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iri.cvecek\Downloads\"/>
    </mc:Choice>
  </mc:AlternateContent>
  <xr:revisionPtr revIDLastSave="0" documentId="8_{87E6A48D-57DB-434A-90D9-B705C2D1951D}" xr6:coauthVersionLast="47" xr6:coauthVersionMax="47" xr10:uidLastSave="{00000000-0000-0000-0000-000000000000}"/>
  <bookViews>
    <workbookView xWindow="-120" yWindow="-120" windowWidth="29040" windowHeight="17640" tabRatio="788" xr2:uid="{00000000-000D-0000-FFFF-FFFF00000000}"/>
  </bookViews>
  <sheets>
    <sheet name="Krycí list rozpočtu-SO01" sheetId="4" r:id="rId1"/>
    <sheet name="Stavební rozpočet - součet-SO01" sheetId="2" r:id="rId2"/>
    <sheet name="Stavební rozpočet-SO01" sheetId="1" r:id="rId3"/>
    <sheet name="Výkaz výměr-SO01" sheetId="3" r:id="rId4"/>
    <sheet name="Krycí list rozpočtu-SO02" sheetId="5" r:id="rId5"/>
    <sheet name="Stavební rozpočet - součet-SO02" sheetId="6" r:id="rId6"/>
    <sheet name="Stavební rozpočet-SO02" sheetId="7" r:id="rId7"/>
    <sheet name="Výkaz výměr-SO02" sheetId="8" r:id="rId8"/>
    <sheet name="Krycí list rozpočtu-SO03" sheetId="9" r:id="rId9"/>
    <sheet name="Stavební rozpočet - součet-SO03" sheetId="10" r:id="rId10"/>
    <sheet name="Stavební rozpočet-SO03" sheetId="11" r:id="rId11"/>
    <sheet name="Výkaz výměr-SO03" sheetId="12" r:id="rId12"/>
    <sheet name="Krycí list rozpočtu-SO04" sheetId="13" r:id="rId13"/>
    <sheet name="Stavební rozpočet - součet-SO04" sheetId="14" r:id="rId14"/>
    <sheet name="Stavební rozpočet-SO04" sheetId="15" r:id="rId15"/>
    <sheet name="Výkaz výměr-SO04" sheetId="16" r:id="rId16"/>
    <sheet name="Krycí list rozpočtu-SO05" sheetId="17" r:id="rId17"/>
    <sheet name="Stavební rozpočet - součet-SO05" sheetId="18" r:id="rId18"/>
    <sheet name="Stavební rozpočet-SO05" sheetId="19" r:id="rId19"/>
    <sheet name="Výkaz výměr-SO05" sheetId="20" r:id="rId20"/>
    <sheet name="Krycí list rozpočtu-SO06+SO07" sheetId="21" r:id="rId21"/>
    <sheet name="Stav_rozpočet-součet-SO06+SO07" sheetId="22" r:id="rId22"/>
    <sheet name="Stavební rozpočet-SO06+SO07" sheetId="23" r:id="rId23"/>
    <sheet name="Výkaz výměr-SO06+SO07" sheetId="24" r:id="rId24"/>
    <sheet name="Krycí list rozpočtu-SO08" sheetId="25" r:id="rId25"/>
    <sheet name="Stavební rozpočet - součet-SO08" sheetId="26" r:id="rId26"/>
    <sheet name="Stavební rozpočet-SO08" sheetId="27" r:id="rId27"/>
    <sheet name="Výkaz výměr-SO08" sheetId="28" r:id="rId28"/>
    <sheet name="Krycí list rozpočtu-SO09" sheetId="29" r:id="rId29"/>
    <sheet name="Stavební rozpočet - součet-SO09" sheetId="30" r:id="rId30"/>
    <sheet name="Stavební rozpočet-SO09" sheetId="31" r:id="rId31"/>
    <sheet name="Výkaz výměr-SO09" sheetId="32" r:id="rId32"/>
    <sheet name="Krycí list rozpočtu-SO10" sheetId="33" r:id="rId33"/>
    <sheet name="Stavební rozpočet - součet-SO10" sheetId="34" r:id="rId34"/>
    <sheet name="Stavební rozpočet-SO10" sheetId="35" r:id="rId35"/>
    <sheet name="Výkaz výměr-SO10" sheetId="36" r:id="rId36"/>
    <sheet name="Stavební rozpočet_SO01-SO010" sheetId="38" r:id="rId37"/>
  </sheets>
  <definedNames>
    <definedName name="_xlnm._FilterDatabase" localSheetId="2" hidden="1">'Stavební rozpočet-SO01'!$A$10:$K$622</definedName>
    <definedName name="_xlnm._FilterDatabase" localSheetId="6" hidden="1">'Stavební rozpočet-SO02'!$A$10:$K$602</definedName>
    <definedName name="_xlnm._FilterDatabase" localSheetId="10" hidden="1">'Stavební rozpočet-SO03'!$A$10:$L$626</definedName>
    <definedName name="_xlnm._FilterDatabase" localSheetId="14" hidden="1">'Stavební rozpočet-SO04'!$A$10:$K$634</definedName>
    <definedName name="_xlnm._FilterDatabase" localSheetId="18" hidden="1">'Stavební rozpočet-SO05'!$A$10:$K$600</definedName>
    <definedName name="_xlnm._FilterDatabase" localSheetId="22" hidden="1">'Stavební rozpočet-SO06+SO07'!$A$10:$K$681</definedName>
    <definedName name="_xlnm._FilterDatabase" localSheetId="26" hidden="1">'Stavební rozpočet-SO08'!$A$10:$K$623</definedName>
    <definedName name="_xlnm._FilterDatabase" localSheetId="30" hidden="1">'Stavební rozpočet-SO09'!$A$10:$K$223</definedName>
    <definedName name="_xlnm._FilterDatabase" localSheetId="34" hidden="1">'Stavební rozpočet-SO10'!$A$10:$K$228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8" i="33" l="1"/>
  <c r="F28" i="29"/>
  <c r="F28" i="25"/>
  <c r="F28" i="21"/>
  <c r="F28" i="9"/>
  <c r="F28" i="5"/>
  <c r="C10" i="4"/>
  <c r="C6" i="4"/>
  <c r="C6" i="5"/>
  <c r="F2" i="4"/>
  <c r="F4" i="4"/>
  <c r="F6" i="4"/>
  <c r="F10" i="4"/>
  <c r="H625" i="11"/>
  <c r="H601" i="7"/>
  <c r="H621" i="1"/>
  <c r="L12" i="38"/>
  <c r="L13" i="38"/>
  <c r="BF13" i="38" s="1"/>
  <c r="Z13" i="38"/>
  <c r="AD13" i="38"/>
  <c r="AE13" i="38"/>
  <c r="AF13" i="38"/>
  <c r="AG13" i="38"/>
  <c r="AH13" i="38"/>
  <c r="AJ13" i="38"/>
  <c r="AL13" i="38"/>
  <c r="L14" i="38"/>
  <c r="Z14" i="38"/>
  <c r="AD14" i="38"/>
  <c r="AE14" i="38"/>
  <c r="AF14" i="38"/>
  <c r="AG14" i="38"/>
  <c r="AH14" i="38"/>
  <c r="AJ14" i="38"/>
  <c r="AL14" i="38"/>
  <c r="BF14" i="38"/>
  <c r="L15" i="38"/>
  <c r="BF15" i="38" s="1"/>
  <c r="Z15" i="38"/>
  <c r="AD15" i="38"/>
  <c r="AE15" i="38"/>
  <c r="AF15" i="38"/>
  <c r="AG15" i="38"/>
  <c r="AH15" i="38"/>
  <c r="AJ15" i="38"/>
  <c r="AL15" i="38"/>
  <c r="L16" i="38"/>
  <c r="Z16" i="38"/>
  <c r="AD16" i="38"/>
  <c r="AE16" i="38"/>
  <c r="AF16" i="38"/>
  <c r="AG16" i="38"/>
  <c r="AH16" i="38"/>
  <c r="AJ16" i="38"/>
  <c r="AL16" i="38"/>
  <c r="BF16" i="38"/>
  <c r="L17" i="38"/>
  <c r="BF17" i="38" s="1"/>
  <c r="Z17" i="38"/>
  <c r="AD17" i="38"/>
  <c r="AE17" i="38"/>
  <c r="AF17" i="38"/>
  <c r="AG17" i="38"/>
  <c r="AH17" i="38"/>
  <c r="AJ17" i="38"/>
  <c r="AL17" i="38"/>
  <c r="L18" i="38"/>
  <c r="Z18" i="38"/>
  <c r="AD18" i="38"/>
  <c r="AE18" i="38"/>
  <c r="AF18" i="38"/>
  <c r="AG18" i="38"/>
  <c r="AH18" i="38"/>
  <c r="AJ18" i="38"/>
  <c r="AL18" i="38"/>
  <c r="BF18" i="38"/>
  <c r="L19" i="38"/>
  <c r="BF19" i="38" s="1"/>
  <c r="Z19" i="38"/>
  <c r="AD19" i="38"/>
  <c r="AE19" i="38"/>
  <c r="AF19" i="38"/>
  <c r="AG19" i="38"/>
  <c r="AH19" i="38"/>
  <c r="AJ19" i="38"/>
  <c r="AL19" i="38"/>
  <c r="L20" i="38"/>
  <c r="Z20" i="38"/>
  <c r="AD20" i="38"/>
  <c r="AE20" i="38"/>
  <c r="AF20" i="38"/>
  <c r="AG20" i="38"/>
  <c r="AH20" i="38"/>
  <c r="AJ20" i="38"/>
  <c r="AL20" i="38"/>
  <c r="BF20" i="38"/>
  <c r="L21" i="38"/>
  <c r="BF21" i="38" s="1"/>
  <c r="Z21" i="38"/>
  <c r="AD21" i="38"/>
  <c r="AE21" i="38"/>
  <c r="AF21" i="38"/>
  <c r="AG21" i="38"/>
  <c r="AH21" i="38"/>
  <c r="AJ21" i="38"/>
  <c r="AL21" i="38"/>
  <c r="C2" i="36"/>
  <c r="F2" i="36"/>
  <c r="C4" i="36"/>
  <c r="F4" i="36"/>
  <c r="C6" i="36"/>
  <c r="F6" i="36"/>
  <c r="C8" i="36"/>
  <c r="K13" i="35"/>
  <c r="AK13" i="35" s="1"/>
  <c r="AT12" i="35" s="1"/>
  <c r="Z13" i="35"/>
  <c r="AD13" i="35"/>
  <c r="AE13" i="35"/>
  <c r="AF13" i="35"/>
  <c r="AG13" i="35"/>
  <c r="AH13" i="35"/>
  <c r="AJ13" i="35"/>
  <c r="AS12" i="35" s="1"/>
  <c r="AL13" i="35"/>
  <c r="AU12" i="35" s="1"/>
  <c r="AO13" i="35"/>
  <c r="BH13" i="35" s="1"/>
  <c r="AB13" i="35" s="1"/>
  <c r="AP13" i="35"/>
  <c r="BD13" i="35"/>
  <c r="BF13" i="35"/>
  <c r="BJ13" i="35"/>
  <c r="J15" i="35"/>
  <c r="K15" i="35"/>
  <c r="Z15" i="35"/>
  <c r="AD15" i="35"/>
  <c r="AE15" i="35"/>
  <c r="AF15" i="35"/>
  <c r="AG15" i="35"/>
  <c r="AH15" i="35"/>
  <c r="AJ15" i="35"/>
  <c r="AL15" i="35"/>
  <c r="AO15" i="35"/>
  <c r="AP15" i="35"/>
  <c r="AX15" i="35"/>
  <c r="BD15" i="35"/>
  <c r="BF15" i="35"/>
  <c r="BI15" i="35"/>
  <c r="AC15" i="35" s="1"/>
  <c r="BJ15" i="35"/>
  <c r="K16" i="35"/>
  <c r="AK16" i="35" s="1"/>
  <c r="Z16" i="35"/>
  <c r="AD16" i="35"/>
  <c r="AE16" i="35"/>
  <c r="AF16" i="35"/>
  <c r="AG16" i="35"/>
  <c r="AH16" i="35"/>
  <c r="AJ16" i="35"/>
  <c r="AL16" i="35"/>
  <c r="AO16" i="35"/>
  <c r="BH16" i="35" s="1"/>
  <c r="AB16" i="35" s="1"/>
  <c r="AP16" i="35"/>
  <c r="BD16" i="35"/>
  <c r="BF16" i="35"/>
  <c r="BJ16" i="35"/>
  <c r="K17" i="35"/>
  <c r="AK17" i="35" s="1"/>
  <c r="Z17" i="35"/>
  <c r="AD17" i="35"/>
  <c r="AE17" i="35"/>
  <c r="AF17" i="35"/>
  <c r="AG17" i="35"/>
  <c r="AH17" i="35"/>
  <c r="AJ17" i="35"/>
  <c r="AS14" i="35" s="1"/>
  <c r="AL17" i="35"/>
  <c r="AO17" i="35"/>
  <c r="AW17" i="35" s="1"/>
  <c r="AP17" i="35"/>
  <c r="BI17" i="35" s="1"/>
  <c r="AC17" i="35" s="1"/>
  <c r="BD17" i="35"/>
  <c r="BF17" i="35"/>
  <c r="BJ17" i="35"/>
  <c r="K19" i="35"/>
  <c r="Z19" i="35"/>
  <c r="AD19" i="35"/>
  <c r="AE19" i="35"/>
  <c r="AF19" i="35"/>
  <c r="AG19" i="35"/>
  <c r="AH19" i="35"/>
  <c r="AJ19" i="35"/>
  <c r="AK19" i="35"/>
  <c r="AL19" i="35"/>
  <c r="AO19" i="35"/>
  <c r="BH19" i="35" s="1"/>
  <c r="AB19" i="35" s="1"/>
  <c r="AP19" i="35"/>
  <c r="BD19" i="35"/>
  <c r="BF19" i="35"/>
  <c r="BJ19" i="35"/>
  <c r="K20" i="35"/>
  <c r="Z20" i="35"/>
  <c r="AD20" i="35"/>
  <c r="AE20" i="35"/>
  <c r="AF20" i="35"/>
  <c r="AG20" i="35"/>
  <c r="AH20" i="35"/>
  <c r="AJ20" i="35"/>
  <c r="AK20" i="35"/>
  <c r="AL20" i="35"/>
  <c r="AO20" i="35"/>
  <c r="AP20" i="35"/>
  <c r="BI20" i="35" s="1"/>
  <c r="AC20" i="35" s="1"/>
  <c r="BD20" i="35"/>
  <c r="BF20" i="35"/>
  <c r="BJ20" i="35"/>
  <c r="K22" i="35"/>
  <c r="Z22" i="35"/>
  <c r="AD22" i="35"/>
  <c r="AE22" i="35"/>
  <c r="AF22" i="35"/>
  <c r="AG22" i="35"/>
  <c r="AH22" i="35"/>
  <c r="AJ22" i="35"/>
  <c r="AS21" i="35" s="1"/>
  <c r="AL22" i="35"/>
  <c r="AU21" i="35" s="1"/>
  <c r="AO22" i="35"/>
  <c r="I22" i="35" s="1"/>
  <c r="I21" i="35" s="1"/>
  <c r="AP22" i="35"/>
  <c r="J22" i="35" s="1"/>
  <c r="J21" i="35" s="1"/>
  <c r="F14" i="34" s="1"/>
  <c r="AX22" i="35"/>
  <c r="BD22" i="35"/>
  <c r="BF22" i="35"/>
  <c r="BH22" i="35"/>
  <c r="AB22" i="35" s="1"/>
  <c r="BI22" i="35"/>
  <c r="AC22" i="35" s="1"/>
  <c r="BJ22" i="35"/>
  <c r="K24" i="35"/>
  <c r="Z24" i="35"/>
  <c r="AD24" i="35"/>
  <c r="AE24" i="35"/>
  <c r="AF24" i="35"/>
  <c r="AG24" i="35"/>
  <c r="AH24" i="35"/>
  <c r="AJ24" i="35"/>
  <c r="AL24" i="35"/>
  <c r="AO24" i="35"/>
  <c r="AP24" i="35"/>
  <c r="BD24" i="35"/>
  <c r="BF24" i="35"/>
  <c r="BJ24" i="35"/>
  <c r="K25" i="35"/>
  <c r="AK25" i="35" s="1"/>
  <c r="Z25" i="35"/>
  <c r="AD25" i="35"/>
  <c r="AE25" i="35"/>
  <c r="AF25" i="35"/>
  <c r="AG25" i="35"/>
  <c r="AH25" i="35"/>
  <c r="AJ25" i="35"/>
  <c r="AL25" i="35"/>
  <c r="AO25" i="35"/>
  <c r="I25" i="35" s="1"/>
  <c r="AP25" i="35"/>
  <c r="AW25" i="35"/>
  <c r="BD25" i="35"/>
  <c r="BF25" i="35"/>
  <c r="BH25" i="35"/>
  <c r="AB25" i="35" s="1"/>
  <c r="BJ25" i="35"/>
  <c r="K27" i="35"/>
  <c r="Z27" i="35"/>
  <c r="AD27" i="35"/>
  <c r="AE27" i="35"/>
  <c r="AF27" i="35"/>
  <c r="AG27" i="35"/>
  <c r="AH27" i="35"/>
  <c r="AJ27" i="35"/>
  <c r="AL27" i="35"/>
  <c r="AO27" i="35"/>
  <c r="I27" i="35" s="1"/>
  <c r="AP27" i="35"/>
  <c r="AX27" i="35" s="1"/>
  <c r="BD27" i="35"/>
  <c r="BF27" i="35"/>
  <c r="BJ27" i="35"/>
  <c r="K28" i="35"/>
  <c r="AK28" i="35" s="1"/>
  <c r="Z28" i="35"/>
  <c r="AD28" i="35"/>
  <c r="AE28" i="35"/>
  <c r="AF28" i="35"/>
  <c r="AG28" i="35"/>
  <c r="AH28" i="35"/>
  <c r="AJ28" i="35"/>
  <c r="AL28" i="35"/>
  <c r="AO28" i="35"/>
  <c r="AP28" i="35"/>
  <c r="AX28" i="35" s="1"/>
  <c r="BD28" i="35"/>
  <c r="BF28" i="35"/>
  <c r="BJ28" i="35"/>
  <c r="K29" i="35"/>
  <c r="Z29" i="35"/>
  <c r="AD29" i="35"/>
  <c r="AE29" i="35"/>
  <c r="AF29" i="35"/>
  <c r="AG29" i="35"/>
  <c r="AH29" i="35"/>
  <c r="AJ29" i="35"/>
  <c r="AK29" i="35"/>
  <c r="AL29" i="35"/>
  <c r="AO29" i="35"/>
  <c r="AW29" i="35" s="1"/>
  <c r="AP29" i="35"/>
  <c r="BI29" i="35" s="1"/>
  <c r="AC29" i="35" s="1"/>
  <c r="BD29" i="35"/>
  <c r="BF29" i="35"/>
  <c r="BJ29" i="35"/>
  <c r="K31" i="35"/>
  <c r="Z31" i="35"/>
  <c r="AD31" i="35"/>
  <c r="AE31" i="35"/>
  <c r="AF31" i="35"/>
  <c r="AG31" i="35"/>
  <c r="AH31" i="35"/>
  <c r="AJ31" i="35"/>
  <c r="AK31" i="35"/>
  <c r="AL31" i="35"/>
  <c r="AO31" i="35"/>
  <c r="I31" i="35" s="1"/>
  <c r="AP31" i="35"/>
  <c r="AX31" i="35" s="1"/>
  <c r="BD31" i="35"/>
  <c r="BF31" i="35"/>
  <c r="BJ31" i="35"/>
  <c r="K32" i="35"/>
  <c r="AK32" i="35" s="1"/>
  <c r="Z32" i="35"/>
  <c r="AD32" i="35"/>
  <c r="AE32" i="35"/>
  <c r="AF32" i="35"/>
  <c r="AG32" i="35"/>
  <c r="AH32" i="35"/>
  <c r="AJ32" i="35"/>
  <c r="AL32" i="35"/>
  <c r="AO32" i="35"/>
  <c r="AW32" i="35" s="1"/>
  <c r="AP32" i="35"/>
  <c r="BI32" i="35" s="1"/>
  <c r="AC32" i="35" s="1"/>
  <c r="BD32" i="35"/>
  <c r="BF32" i="35"/>
  <c r="BH32" i="35"/>
  <c r="AB32" i="35" s="1"/>
  <c r="BJ32" i="35"/>
  <c r="K33" i="35"/>
  <c r="AK33" i="35" s="1"/>
  <c r="Z33" i="35"/>
  <c r="AD33" i="35"/>
  <c r="AE33" i="35"/>
  <c r="AF33" i="35"/>
  <c r="AG33" i="35"/>
  <c r="AH33" i="35"/>
  <c r="AJ33" i="35"/>
  <c r="AL33" i="35"/>
  <c r="AO33" i="35"/>
  <c r="AP33" i="35"/>
  <c r="BD33" i="35"/>
  <c r="BF33" i="35"/>
  <c r="BH33" i="35"/>
  <c r="AB33" i="35" s="1"/>
  <c r="BJ33" i="35"/>
  <c r="K34" i="35"/>
  <c r="AK34" i="35" s="1"/>
  <c r="Z34" i="35"/>
  <c r="AD34" i="35"/>
  <c r="AE34" i="35"/>
  <c r="AF34" i="35"/>
  <c r="AG34" i="35"/>
  <c r="AH34" i="35"/>
  <c r="AJ34" i="35"/>
  <c r="AL34" i="35"/>
  <c r="AO34" i="35"/>
  <c r="I34" i="35" s="1"/>
  <c r="AP34" i="35"/>
  <c r="J34" i="35" s="1"/>
  <c r="AW34" i="35"/>
  <c r="AX34" i="35"/>
  <c r="BD34" i="35"/>
  <c r="BF34" i="35"/>
  <c r="BH34" i="35"/>
  <c r="AB34" i="35" s="1"/>
  <c r="BI34" i="35"/>
  <c r="AC34" i="35" s="1"/>
  <c r="BJ34" i="35"/>
  <c r="K35" i="35"/>
  <c r="AK35" i="35" s="1"/>
  <c r="Z35" i="35"/>
  <c r="AD35" i="35"/>
  <c r="AE35" i="35"/>
  <c r="AF35" i="35"/>
  <c r="AG35" i="35"/>
  <c r="AH35" i="35"/>
  <c r="AJ35" i="35"/>
  <c r="AL35" i="35"/>
  <c r="AO35" i="35"/>
  <c r="AP35" i="35"/>
  <c r="AX35" i="35" s="1"/>
  <c r="BD35" i="35"/>
  <c r="BF35" i="35"/>
  <c r="BI35" i="35"/>
  <c r="AC35" i="35" s="1"/>
  <c r="BJ35" i="35"/>
  <c r="K36" i="35"/>
  <c r="Z36" i="35"/>
  <c r="AB36" i="35"/>
  <c r="AD36" i="35"/>
  <c r="AE36" i="35"/>
  <c r="AF36" i="35"/>
  <c r="AG36" i="35"/>
  <c r="AH36" i="35"/>
  <c r="AJ36" i="35"/>
  <c r="AK36" i="35"/>
  <c r="AL36" i="35"/>
  <c r="AO36" i="35"/>
  <c r="I36" i="35" s="1"/>
  <c r="AP36" i="35"/>
  <c r="BD36" i="35"/>
  <c r="BF36" i="35"/>
  <c r="BH36" i="35"/>
  <c r="BJ36" i="35"/>
  <c r="K37" i="35"/>
  <c r="AK37" i="35" s="1"/>
  <c r="Z37" i="35"/>
  <c r="AD37" i="35"/>
  <c r="AE37" i="35"/>
  <c r="AF37" i="35"/>
  <c r="AG37" i="35"/>
  <c r="AH37" i="35"/>
  <c r="AJ37" i="35"/>
  <c r="AL37" i="35"/>
  <c r="AO37" i="35"/>
  <c r="AP37" i="35"/>
  <c r="J37" i="35" s="1"/>
  <c r="BD37" i="35"/>
  <c r="BF37" i="35"/>
  <c r="BH37" i="35"/>
  <c r="AB37" i="35" s="1"/>
  <c r="BI37" i="35"/>
  <c r="AC37" i="35" s="1"/>
  <c r="BJ37" i="35"/>
  <c r="K38" i="35"/>
  <c r="AK38" i="35" s="1"/>
  <c r="Z38" i="35"/>
  <c r="AD38" i="35"/>
  <c r="AE38" i="35"/>
  <c r="AF38" i="35"/>
  <c r="AG38" i="35"/>
  <c r="AH38" i="35"/>
  <c r="AJ38" i="35"/>
  <c r="AL38" i="35"/>
  <c r="AO38" i="35"/>
  <c r="AP38" i="35"/>
  <c r="J38" i="35" s="1"/>
  <c r="AX38" i="35"/>
  <c r="BD38" i="35"/>
  <c r="BF38" i="35"/>
  <c r="BI38" i="35"/>
  <c r="AC38" i="35" s="1"/>
  <c r="BJ38" i="35"/>
  <c r="K39" i="35"/>
  <c r="AK39" i="35" s="1"/>
  <c r="Z39" i="35"/>
  <c r="AD39" i="35"/>
  <c r="AE39" i="35"/>
  <c r="AF39" i="35"/>
  <c r="AG39" i="35"/>
  <c r="AH39" i="35"/>
  <c r="AJ39" i="35"/>
  <c r="AL39" i="35"/>
  <c r="AO39" i="35"/>
  <c r="AP39" i="35"/>
  <c r="BD39" i="35"/>
  <c r="BF39" i="35"/>
  <c r="BH39" i="35"/>
  <c r="AB39" i="35" s="1"/>
  <c r="BJ39" i="35"/>
  <c r="K40" i="35"/>
  <c r="AK40" i="35" s="1"/>
  <c r="Z40" i="35"/>
  <c r="AD40" i="35"/>
  <c r="AE40" i="35"/>
  <c r="AF40" i="35"/>
  <c r="AG40" i="35"/>
  <c r="AH40" i="35"/>
  <c r="AJ40" i="35"/>
  <c r="AL40" i="35"/>
  <c r="AO40" i="35"/>
  <c r="AP40" i="35"/>
  <c r="BD40" i="35"/>
  <c r="BF40" i="35"/>
  <c r="BH40" i="35"/>
  <c r="AB40" i="35" s="1"/>
  <c r="BJ40" i="35"/>
  <c r="K41" i="35"/>
  <c r="AK41" i="35" s="1"/>
  <c r="Z41" i="35"/>
  <c r="AD41" i="35"/>
  <c r="AE41" i="35"/>
  <c r="AF41" i="35"/>
  <c r="AG41" i="35"/>
  <c r="AH41" i="35"/>
  <c r="AJ41" i="35"/>
  <c r="AL41" i="35"/>
  <c r="AO41" i="35"/>
  <c r="BH41" i="35" s="1"/>
  <c r="AB41" i="35" s="1"/>
  <c r="AP41" i="35"/>
  <c r="BD41" i="35"/>
  <c r="BF41" i="35"/>
  <c r="BJ41" i="35"/>
  <c r="K42" i="35"/>
  <c r="AK42" i="35" s="1"/>
  <c r="Z42" i="35"/>
  <c r="AD42" i="35"/>
  <c r="AE42" i="35"/>
  <c r="AF42" i="35"/>
  <c r="AG42" i="35"/>
  <c r="AH42" i="35"/>
  <c r="AJ42" i="35"/>
  <c r="AL42" i="35"/>
  <c r="AO42" i="35"/>
  <c r="I42" i="35" s="1"/>
  <c r="AP42" i="35"/>
  <c r="J42" i="35" s="1"/>
  <c r="AX42" i="35"/>
  <c r="BD42" i="35"/>
  <c r="BF42" i="35"/>
  <c r="BI42" i="35"/>
  <c r="AC42" i="35" s="1"/>
  <c r="BJ42" i="35"/>
  <c r="K43" i="35"/>
  <c r="Z43" i="35"/>
  <c r="AD43" i="35"/>
  <c r="AE43" i="35"/>
  <c r="AF43" i="35"/>
  <c r="AG43" i="35"/>
  <c r="AH43" i="35"/>
  <c r="AJ43" i="35"/>
  <c r="AK43" i="35"/>
  <c r="AL43" i="35"/>
  <c r="AO43" i="35"/>
  <c r="I43" i="35" s="1"/>
  <c r="AP43" i="35"/>
  <c r="BD43" i="35"/>
  <c r="BF43" i="35"/>
  <c r="BI43" i="35"/>
  <c r="AC43" i="35" s="1"/>
  <c r="BJ43" i="35"/>
  <c r="K44" i="35"/>
  <c r="Z44" i="35"/>
  <c r="AD44" i="35"/>
  <c r="AE44" i="35"/>
  <c r="AF44" i="35"/>
  <c r="AG44" i="35"/>
  <c r="AH44" i="35"/>
  <c r="AJ44" i="35"/>
  <c r="AK44" i="35"/>
  <c r="AL44" i="35"/>
  <c r="AO44" i="35"/>
  <c r="I44" i="35" s="1"/>
  <c r="AP44" i="35"/>
  <c r="BI44" i="35" s="1"/>
  <c r="AC44" i="35" s="1"/>
  <c r="BD44" i="35"/>
  <c r="BF44" i="35"/>
  <c r="BH44" i="35"/>
  <c r="AB44" i="35" s="1"/>
  <c r="BJ44" i="35"/>
  <c r="K45" i="35"/>
  <c r="AK45" i="35" s="1"/>
  <c r="Z45" i="35"/>
  <c r="AD45" i="35"/>
  <c r="AE45" i="35"/>
  <c r="AF45" i="35"/>
  <c r="AG45" i="35"/>
  <c r="AH45" i="35"/>
  <c r="AJ45" i="35"/>
  <c r="AL45" i="35"/>
  <c r="AO45" i="35"/>
  <c r="AP45" i="35"/>
  <c r="J45" i="35" s="1"/>
  <c r="BD45" i="35"/>
  <c r="BF45" i="35"/>
  <c r="BJ45" i="35"/>
  <c r="K47" i="35"/>
  <c r="Z47" i="35"/>
  <c r="AD47" i="35"/>
  <c r="AE47" i="35"/>
  <c r="AF47" i="35"/>
  <c r="AG47" i="35"/>
  <c r="AH47" i="35"/>
  <c r="AJ47" i="35"/>
  <c r="AK47" i="35"/>
  <c r="AL47" i="35"/>
  <c r="AO47" i="35"/>
  <c r="AP47" i="35"/>
  <c r="BI47" i="35" s="1"/>
  <c r="AC47" i="35" s="1"/>
  <c r="BD47" i="35"/>
  <c r="BF47" i="35"/>
  <c r="BJ47" i="35"/>
  <c r="K48" i="35"/>
  <c r="AK48" i="35" s="1"/>
  <c r="Z48" i="35"/>
  <c r="AD48" i="35"/>
  <c r="AE48" i="35"/>
  <c r="AF48" i="35"/>
  <c r="AG48" i="35"/>
  <c r="AH48" i="35"/>
  <c r="AJ48" i="35"/>
  <c r="AL48" i="35"/>
  <c r="AO48" i="35"/>
  <c r="AP48" i="35"/>
  <c r="BD48" i="35"/>
  <c r="BF48" i="35"/>
  <c r="BH48" i="35"/>
  <c r="AB48" i="35" s="1"/>
  <c r="BJ48" i="35"/>
  <c r="K49" i="35"/>
  <c r="AK49" i="35" s="1"/>
  <c r="Z49" i="35"/>
  <c r="AD49" i="35"/>
  <c r="AE49" i="35"/>
  <c r="AF49" i="35"/>
  <c r="AG49" i="35"/>
  <c r="AH49" i="35"/>
  <c r="AJ49" i="35"/>
  <c r="AL49" i="35"/>
  <c r="AO49" i="35"/>
  <c r="I49" i="35" s="1"/>
  <c r="AP49" i="35"/>
  <c r="J49" i="35" s="1"/>
  <c r="BD49" i="35"/>
  <c r="BF49" i="35"/>
  <c r="BH49" i="35"/>
  <c r="AB49" i="35" s="1"/>
  <c r="BJ49" i="35"/>
  <c r="K50" i="35"/>
  <c r="Z50" i="35"/>
  <c r="AD50" i="35"/>
  <c r="AE50" i="35"/>
  <c r="AF50" i="35"/>
  <c r="AG50" i="35"/>
  <c r="AH50" i="35"/>
  <c r="AJ50" i="35"/>
  <c r="AK50" i="35"/>
  <c r="AL50" i="35"/>
  <c r="AO50" i="35"/>
  <c r="I50" i="35" s="1"/>
  <c r="AP50" i="35"/>
  <c r="AX50" i="35" s="1"/>
  <c r="BD50" i="35"/>
  <c r="BF50" i="35"/>
  <c r="BH50" i="35"/>
  <c r="AB50" i="35" s="1"/>
  <c r="BJ50" i="35"/>
  <c r="K51" i="35"/>
  <c r="Z51" i="35"/>
  <c r="AD51" i="35"/>
  <c r="AE51" i="35"/>
  <c r="AF51" i="35"/>
  <c r="AG51" i="35"/>
  <c r="AH51" i="35"/>
  <c r="AJ51" i="35"/>
  <c r="AK51" i="35"/>
  <c r="AL51" i="35"/>
  <c r="AO51" i="35"/>
  <c r="I51" i="35" s="1"/>
  <c r="AP51" i="35"/>
  <c r="BD51" i="35"/>
  <c r="BF51" i="35"/>
  <c r="BJ51" i="35"/>
  <c r="K52" i="35"/>
  <c r="AK52" i="35" s="1"/>
  <c r="Z52" i="35"/>
  <c r="AD52" i="35"/>
  <c r="AE52" i="35"/>
  <c r="AF52" i="35"/>
  <c r="AG52" i="35"/>
  <c r="AH52" i="35"/>
  <c r="AJ52" i="35"/>
  <c r="AL52" i="35"/>
  <c r="AO52" i="35"/>
  <c r="BH52" i="35" s="1"/>
  <c r="AB52" i="35" s="1"/>
  <c r="AP52" i="35"/>
  <c r="J52" i="35" s="1"/>
  <c r="BD52" i="35"/>
  <c r="BF52" i="35"/>
  <c r="BJ52" i="35"/>
  <c r="K54" i="35"/>
  <c r="Z54" i="35"/>
  <c r="AD54" i="35"/>
  <c r="AE54" i="35"/>
  <c r="AF54" i="35"/>
  <c r="AG54" i="35"/>
  <c r="AH54" i="35"/>
  <c r="AJ54" i="35"/>
  <c r="AL54" i="35"/>
  <c r="AO54" i="35"/>
  <c r="AP54" i="35"/>
  <c r="BD54" i="35"/>
  <c r="BF54" i="35"/>
  <c r="BH54" i="35"/>
  <c r="AB54" i="35" s="1"/>
  <c r="BJ54" i="35"/>
  <c r="K55" i="35"/>
  <c r="AK55" i="35" s="1"/>
  <c r="Z55" i="35"/>
  <c r="AD55" i="35"/>
  <c r="AE55" i="35"/>
  <c r="AF55" i="35"/>
  <c r="AG55" i="35"/>
  <c r="AH55" i="35"/>
  <c r="AJ55" i="35"/>
  <c r="AL55" i="35"/>
  <c r="AO55" i="35"/>
  <c r="BH55" i="35" s="1"/>
  <c r="AB55" i="35" s="1"/>
  <c r="AP55" i="35"/>
  <c r="BD55" i="35"/>
  <c r="BF55" i="35"/>
  <c r="BJ55" i="35"/>
  <c r="K56" i="35"/>
  <c r="AK56" i="35" s="1"/>
  <c r="Z56" i="35"/>
  <c r="AD56" i="35"/>
  <c r="AE56" i="35"/>
  <c r="AF56" i="35"/>
  <c r="AG56" i="35"/>
  <c r="AH56" i="35"/>
  <c r="AJ56" i="35"/>
  <c r="AL56" i="35"/>
  <c r="AO56" i="35"/>
  <c r="AP56" i="35"/>
  <c r="BD56" i="35"/>
  <c r="BF56" i="35"/>
  <c r="BH56" i="35"/>
  <c r="AB56" i="35" s="1"/>
  <c r="BJ56" i="35"/>
  <c r="K57" i="35"/>
  <c r="AK57" i="35" s="1"/>
  <c r="Z57" i="35"/>
  <c r="AD57" i="35"/>
  <c r="AE57" i="35"/>
  <c r="AF57" i="35"/>
  <c r="AG57" i="35"/>
  <c r="AH57" i="35"/>
  <c r="AJ57" i="35"/>
  <c r="AL57" i="35"/>
  <c r="AO57" i="35"/>
  <c r="I57" i="35" s="1"/>
  <c r="AP57" i="35"/>
  <c r="J57" i="35" s="1"/>
  <c r="AW57" i="35"/>
  <c r="BD57" i="35"/>
  <c r="BF57" i="35"/>
  <c r="BH57" i="35"/>
  <c r="AB57" i="35" s="1"/>
  <c r="BJ57" i="35"/>
  <c r="K59" i="35"/>
  <c r="Z59" i="35"/>
  <c r="AD59" i="35"/>
  <c r="AE59" i="35"/>
  <c r="AF59" i="35"/>
  <c r="AG59" i="35"/>
  <c r="AH59" i="35"/>
  <c r="AJ59" i="35"/>
  <c r="AL59" i="35"/>
  <c r="AO59" i="35"/>
  <c r="BH59" i="35" s="1"/>
  <c r="AB59" i="35" s="1"/>
  <c r="AP59" i="35"/>
  <c r="J59" i="35" s="1"/>
  <c r="BD59" i="35"/>
  <c r="BF59" i="35"/>
  <c r="BJ59" i="35"/>
  <c r="K60" i="35"/>
  <c r="AK60" i="35" s="1"/>
  <c r="Z60" i="35"/>
  <c r="AD60" i="35"/>
  <c r="AE60" i="35"/>
  <c r="AF60" i="35"/>
  <c r="AG60" i="35"/>
  <c r="AH60" i="35"/>
  <c r="AJ60" i="35"/>
  <c r="AL60" i="35"/>
  <c r="AO60" i="35"/>
  <c r="AP60" i="35"/>
  <c r="BD60" i="35"/>
  <c r="BF60" i="35"/>
  <c r="BJ60" i="35"/>
  <c r="K61" i="35"/>
  <c r="AK61" i="35" s="1"/>
  <c r="Z61" i="35"/>
  <c r="AD61" i="35"/>
  <c r="AE61" i="35"/>
  <c r="AF61" i="35"/>
  <c r="AG61" i="35"/>
  <c r="AH61" i="35"/>
  <c r="AJ61" i="35"/>
  <c r="AL61" i="35"/>
  <c r="AO61" i="35"/>
  <c r="I61" i="35" s="1"/>
  <c r="AP61" i="35"/>
  <c r="BD61" i="35"/>
  <c r="BF61" i="35"/>
  <c r="BJ61" i="35"/>
  <c r="K62" i="35"/>
  <c r="Z62" i="35"/>
  <c r="AD62" i="35"/>
  <c r="AE62" i="35"/>
  <c r="AF62" i="35"/>
  <c r="AG62" i="35"/>
  <c r="AH62" i="35"/>
  <c r="AJ62" i="35"/>
  <c r="AK62" i="35"/>
  <c r="AL62" i="35"/>
  <c r="AO62" i="35"/>
  <c r="I62" i="35" s="1"/>
  <c r="AP62" i="35"/>
  <c r="BI62" i="35" s="1"/>
  <c r="AC62" i="35" s="1"/>
  <c r="BD62" i="35"/>
  <c r="BF62" i="35"/>
  <c r="BJ62" i="35"/>
  <c r="K63" i="35"/>
  <c r="AK63" i="35" s="1"/>
  <c r="Z63" i="35"/>
  <c r="AD63" i="35"/>
  <c r="AE63" i="35"/>
  <c r="AF63" i="35"/>
  <c r="AG63" i="35"/>
  <c r="AH63" i="35"/>
  <c r="AJ63" i="35"/>
  <c r="AL63" i="35"/>
  <c r="AO63" i="35"/>
  <c r="AP63" i="35"/>
  <c r="J63" i="35" s="1"/>
  <c r="BD63" i="35"/>
  <c r="BF63" i="35"/>
  <c r="BJ63" i="35"/>
  <c r="K65" i="35"/>
  <c r="Z65" i="35"/>
  <c r="AD65" i="35"/>
  <c r="AE65" i="35"/>
  <c r="AF65" i="35"/>
  <c r="AG65" i="35"/>
  <c r="AH65" i="35"/>
  <c r="AJ65" i="35"/>
  <c r="AK65" i="35"/>
  <c r="AL65" i="35"/>
  <c r="AO65" i="35"/>
  <c r="I65" i="35" s="1"/>
  <c r="AP65" i="35"/>
  <c r="AW65" i="35"/>
  <c r="BD65" i="35"/>
  <c r="BF65" i="35"/>
  <c r="BH65" i="35"/>
  <c r="AB65" i="35" s="1"/>
  <c r="BI65" i="35"/>
  <c r="AC65" i="35" s="1"/>
  <c r="BJ65" i="35"/>
  <c r="K66" i="35"/>
  <c r="Z66" i="35"/>
  <c r="AD66" i="35"/>
  <c r="AE66" i="35"/>
  <c r="AF66" i="35"/>
  <c r="AG66" i="35"/>
  <c r="AH66" i="35"/>
  <c r="AJ66" i="35"/>
  <c r="AL66" i="35"/>
  <c r="AO66" i="35"/>
  <c r="AP66" i="35"/>
  <c r="J66" i="35" s="1"/>
  <c r="BD66" i="35"/>
  <c r="BF66" i="35"/>
  <c r="BI66" i="35"/>
  <c r="AC66" i="35" s="1"/>
  <c r="BJ66" i="35"/>
  <c r="K67" i="35"/>
  <c r="Z67" i="35"/>
  <c r="AD67" i="35"/>
  <c r="AE67" i="35"/>
  <c r="AF67" i="35"/>
  <c r="AG67" i="35"/>
  <c r="AH67" i="35"/>
  <c r="AJ67" i="35"/>
  <c r="AK67" i="35"/>
  <c r="AL67" i="35"/>
  <c r="AO67" i="35"/>
  <c r="I67" i="35" s="1"/>
  <c r="AP67" i="35"/>
  <c r="J67" i="35" s="1"/>
  <c r="BD67" i="35"/>
  <c r="BF67" i="35"/>
  <c r="BJ67" i="35"/>
  <c r="K68" i="35"/>
  <c r="Z68" i="35"/>
  <c r="AD68" i="35"/>
  <c r="AE68" i="35"/>
  <c r="AF68" i="35"/>
  <c r="AG68" i="35"/>
  <c r="AH68" i="35"/>
  <c r="AJ68" i="35"/>
  <c r="AK68" i="35"/>
  <c r="AL68" i="35"/>
  <c r="AO68" i="35"/>
  <c r="I68" i="35" s="1"/>
  <c r="AP68" i="35"/>
  <c r="AW68" i="35"/>
  <c r="BD68" i="35"/>
  <c r="BF68" i="35"/>
  <c r="BH68" i="35"/>
  <c r="AB68" i="35" s="1"/>
  <c r="BJ68" i="35"/>
  <c r="K69" i="35"/>
  <c r="Z69" i="35"/>
  <c r="AD69" i="35"/>
  <c r="AE69" i="35"/>
  <c r="AF69" i="35"/>
  <c r="AG69" i="35"/>
  <c r="AH69" i="35"/>
  <c r="AJ69" i="35"/>
  <c r="AK69" i="35"/>
  <c r="AL69" i="35"/>
  <c r="AO69" i="35"/>
  <c r="I69" i="35" s="1"/>
  <c r="AP69" i="35"/>
  <c r="BI69" i="35" s="1"/>
  <c r="AC69" i="35" s="1"/>
  <c r="BD69" i="35"/>
  <c r="BF69" i="35"/>
  <c r="BH69" i="35"/>
  <c r="AB69" i="35" s="1"/>
  <c r="BJ69" i="35"/>
  <c r="K70" i="35"/>
  <c r="AK70" i="35" s="1"/>
  <c r="Z70" i="35"/>
  <c r="AD70" i="35"/>
  <c r="AE70" i="35"/>
  <c r="AF70" i="35"/>
  <c r="AG70" i="35"/>
  <c r="AH70" i="35"/>
  <c r="AJ70" i="35"/>
  <c r="AL70" i="35"/>
  <c r="AO70" i="35"/>
  <c r="AP70" i="35"/>
  <c r="BD70" i="35"/>
  <c r="BF70" i="35"/>
  <c r="BH70" i="35"/>
  <c r="AB70" i="35" s="1"/>
  <c r="BJ70" i="35"/>
  <c r="K71" i="35"/>
  <c r="AK71" i="35" s="1"/>
  <c r="Z71" i="35"/>
  <c r="AD71" i="35"/>
  <c r="AE71" i="35"/>
  <c r="AF71" i="35"/>
  <c r="AG71" i="35"/>
  <c r="AH71" i="35"/>
  <c r="AJ71" i="35"/>
  <c r="AL71" i="35"/>
  <c r="AO71" i="35"/>
  <c r="AP71" i="35"/>
  <c r="J71" i="35" s="1"/>
  <c r="BD71" i="35"/>
  <c r="BF71" i="35"/>
  <c r="BJ71" i="35"/>
  <c r="K72" i="35"/>
  <c r="Z72" i="35"/>
  <c r="AD72" i="35"/>
  <c r="AE72" i="35"/>
  <c r="AF72" i="35"/>
  <c r="AG72" i="35"/>
  <c r="AH72" i="35"/>
  <c r="AJ72" i="35"/>
  <c r="AK72" i="35"/>
  <c r="AL72" i="35"/>
  <c r="AO72" i="35"/>
  <c r="AP72" i="35"/>
  <c r="J72" i="35" s="1"/>
  <c r="BD72" i="35"/>
  <c r="BF72" i="35"/>
  <c r="BJ72" i="35"/>
  <c r="K73" i="35"/>
  <c r="Z73" i="35"/>
  <c r="AD73" i="35"/>
  <c r="AE73" i="35"/>
  <c r="AF73" i="35"/>
  <c r="AG73" i="35"/>
  <c r="AH73" i="35"/>
  <c r="AJ73" i="35"/>
  <c r="AK73" i="35"/>
  <c r="AL73" i="35"/>
  <c r="AO73" i="35"/>
  <c r="I73" i="35" s="1"/>
  <c r="AP73" i="35"/>
  <c r="BD73" i="35"/>
  <c r="BF73" i="35"/>
  <c r="BJ73" i="35"/>
  <c r="K74" i="35"/>
  <c r="AK74" i="35" s="1"/>
  <c r="Z74" i="35"/>
  <c r="AD74" i="35"/>
  <c r="AE74" i="35"/>
  <c r="AF74" i="35"/>
  <c r="AG74" i="35"/>
  <c r="AH74" i="35"/>
  <c r="AJ74" i="35"/>
  <c r="AL74" i="35"/>
  <c r="AO74" i="35"/>
  <c r="BH74" i="35" s="1"/>
  <c r="AB74" i="35" s="1"/>
  <c r="AP74" i="35"/>
  <c r="J74" i="35" s="1"/>
  <c r="BD74" i="35"/>
  <c r="BF74" i="35"/>
  <c r="BI74" i="35"/>
  <c r="AC74" i="35" s="1"/>
  <c r="BJ74" i="35"/>
  <c r="K75" i="35"/>
  <c r="Z75" i="35"/>
  <c r="AD75" i="35"/>
  <c r="AE75" i="35"/>
  <c r="AF75" i="35"/>
  <c r="AG75" i="35"/>
  <c r="AH75" i="35"/>
  <c r="AJ75" i="35"/>
  <c r="AK75" i="35"/>
  <c r="AL75" i="35"/>
  <c r="AO75" i="35"/>
  <c r="I75" i="35" s="1"/>
  <c r="AP75" i="35"/>
  <c r="AX75" i="35" s="1"/>
  <c r="BD75" i="35"/>
  <c r="BF75" i="35"/>
  <c r="BJ75" i="35"/>
  <c r="K76" i="35"/>
  <c r="Z76" i="35"/>
  <c r="AD76" i="35"/>
  <c r="AE76" i="35"/>
  <c r="AF76" i="35"/>
  <c r="AG76" i="35"/>
  <c r="AH76" i="35"/>
  <c r="AJ76" i="35"/>
  <c r="AK76" i="35"/>
  <c r="AL76" i="35"/>
  <c r="AO76" i="35"/>
  <c r="I76" i="35" s="1"/>
  <c r="AP76" i="35"/>
  <c r="J76" i="35" s="1"/>
  <c r="AW76" i="35"/>
  <c r="BD76" i="35"/>
  <c r="BF76" i="35"/>
  <c r="BH76" i="35"/>
  <c r="AB76" i="35" s="1"/>
  <c r="BJ76" i="35"/>
  <c r="K78" i="35"/>
  <c r="AK78" i="35" s="1"/>
  <c r="AB78" i="35"/>
  <c r="AC78" i="35"/>
  <c r="AD78" i="35"/>
  <c r="AE78" i="35"/>
  <c r="AF78" i="35"/>
  <c r="AG78" i="35"/>
  <c r="AH78" i="35"/>
  <c r="AJ78" i="35"/>
  <c r="AL78" i="35"/>
  <c r="AO78" i="35"/>
  <c r="AP78" i="35"/>
  <c r="BD78" i="35"/>
  <c r="BF78" i="35"/>
  <c r="BH78" i="35"/>
  <c r="BJ78" i="35"/>
  <c r="Z78" i="35" s="1"/>
  <c r="K79" i="35"/>
  <c r="AK79" i="35" s="1"/>
  <c r="AB79" i="35"/>
  <c r="AC79" i="35"/>
  <c r="AD79" i="35"/>
  <c r="AE79" i="35"/>
  <c r="AF79" i="35"/>
  <c r="AG79" i="35"/>
  <c r="AH79" i="35"/>
  <c r="AJ79" i="35"/>
  <c r="AL79" i="35"/>
  <c r="AO79" i="35"/>
  <c r="AW79" i="35" s="1"/>
  <c r="AP79" i="35"/>
  <c r="BD79" i="35"/>
  <c r="BF79" i="35"/>
  <c r="BH79" i="35"/>
  <c r="BJ79" i="35"/>
  <c r="Z79" i="35" s="1"/>
  <c r="K80" i="35"/>
  <c r="AK80" i="35" s="1"/>
  <c r="AB80" i="35"/>
  <c r="AC80" i="35"/>
  <c r="AD80" i="35"/>
  <c r="AE80" i="35"/>
  <c r="AF80" i="35"/>
  <c r="AG80" i="35"/>
  <c r="AH80" i="35"/>
  <c r="AJ80" i="35"/>
  <c r="AL80" i="35"/>
  <c r="AO80" i="35"/>
  <c r="I80" i="35" s="1"/>
  <c r="AP80" i="35"/>
  <c r="BI80" i="35" s="1"/>
  <c r="BD80" i="35"/>
  <c r="BF80" i="35"/>
  <c r="BH80" i="35"/>
  <c r="BJ80" i="35"/>
  <c r="Z80" i="35" s="1"/>
  <c r="K81" i="35"/>
  <c r="AK81" i="35" s="1"/>
  <c r="AB81" i="35"/>
  <c r="AC81" i="35"/>
  <c r="AD81" i="35"/>
  <c r="AE81" i="35"/>
  <c r="AF81" i="35"/>
  <c r="AG81" i="35"/>
  <c r="AH81" i="35"/>
  <c r="AJ81" i="35"/>
  <c r="AL81" i="35"/>
  <c r="AO81" i="35"/>
  <c r="BH81" i="35" s="1"/>
  <c r="AP81" i="35"/>
  <c r="BD81" i="35"/>
  <c r="BF81" i="35"/>
  <c r="BJ81" i="35"/>
  <c r="Z81" i="35" s="1"/>
  <c r="K82" i="35"/>
  <c r="AK82" i="35" s="1"/>
  <c r="AB82" i="35"/>
  <c r="AC82" i="35"/>
  <c r="AD82" i="35"/>
  <c r="AE82" i="35"/>
  <c r="AF82" i="35"/>
  <c r="AG82" i="35"/>
  <c r="AH82" i="35"/>
  <c r="AJ82" i="35"/>
  <c r="AL82" i="35"/>
  <c r="AO82" i="35"/>
  <c r="AP82" i="35"/>
  <c r="BD82" i="35"/>
  <c r="BF82" i="35"/>
  <c r="BJ82" i="35"/>
  <c r="Z82" i="35" s="1"/>
  <c r="K83" i="35"/>
  <c r="AK83" i="35" s="1"/>
  <c r="AB83" i="35"/>
  <c r="AC83" i="35"/>
  <c r="AD83" i="35"/>
  <c r="AE83" i="35"/>
  <c r="AF83" i="35"/>
  <c r="AG83" i="35"/>
  <c r="AH83" i="35"/>
  <c r="AJ83" i="35"/>
  <c r="AL83" i="35"/>
  <c r="AO83" i="35"/>
  <c r="BH83" i="35" s="1"/>
  <c r="AP83" i="35"/>
  <c r="BI83" i="35" s="1"/>
  <c r="BD83" i="35"/>
  <c r="BF83" i="35"/>
  <c r="BJ83" i="35"/>
  <c r="Z83" i="35" s="1"/>
  <c r="K84" i="35"/>
  <c r="AK84" i="35" s="1"/>
  <c r="AB84" i="35"/>
  <c r="AC84" i="35"/>
  <c r="AD84" i="35"/>
  <c r="AE84" i="35"/>
  <c r="AF84" i="35"/>
  <c r="AG84" i="35"/>
  <c r="AH84" i="35"/>
  <c r="AJ84" i="35"/>
  <c r="AL84" i="35"/>
  <c r="AO84" i="35"/>
  <c r="I84" i="35" s="1"/>
  <c r="AP84" i="35"/>
  <c r="J84" i="35" s="1"/>
  <c r="BD84" i="35"/>
  <c r="BF84" i="35"/>
  <c r="BJ84" i="35"/>
  <c r="Z84" i="35" s="1"/>
  <c r="K85" i="35"/>
  <c r="AK85" i="35" s="1"/>
  <c r="AB85" i="35"/>
  <c r="AC85" i="35"/>
  <c r="AD85" i="35"/>
  <c r="AE85" i="35"/>
  <c r="AF85" i="35"/>
  <c r="AG85" i="35"/>
  <c r="AH85" i="35"/>
  <c r="AJ85" i="35"/>
  <c r="AL85" i="35"/>
  <c r="AO85" i="35"/>
  <c r="AP85" i="35"/>
  <c r="BD85" i="35"/>
  <c r="BF85" i="35"/>
  <c r="BJ85" i="35"/>
  <c r="Z85" i="35" s="1"/>
  <c r="K86" i="35"/>
  <c r="AK86" i="35" s="1"/>
  <c r="AB86" i="35"/>
  <c r="AC86" i="35"/>
  <c r="AD86" i="35"/>
  <c r="AE86" i="35"/>
  <c r="AF86" i="35"/>
  <c r="AG86" i="35"/>
  <c r="AH86" i="35"/>
  <c r="AJ86" i="35"/>
  <c r="AL86" i="35"/>
  <c r="AO86" i="35"/>
  <c r="AW86" i="35" s="1"/>
  <c r="AP86" i="35"/>
  <c r="BI86" i="35" s="1"/>
  <c r="BD86" i="35"/>
  <c r="BF86" i="35"/>
  <c r="BH86" i="35"/>
  <c r="BJ86" i="35"/>
  <c r="Z86" i="35" s="1"/>
  <c r="K87" i="35"/>
  <c r="AK87" i="35" s="1"/>
  <c r="AB87" i="35"/>
  <c r="AC87" i="35"/>
  <c r="AD87" i="35"/>
  <c r="AE87" i="35"/>
  <c r="AF87" i="35"/>
  <c r="AG87" i="35"/>
  <c r="AH87" i="35"/>
  <c r="AJ87" i="35"/>
  <c r="AL87" i="35"/>
  <c r="AO87" i="35"/>
  <c r="BH87" i="35" s="1"/>
  <c r="AP87" i="35"/>
  <c r="J87" i="35" s="1"/>
  <c r="BD87" i="35"/>
  <c r="BF87" i="35"/>
  <c r="BJ87" i="35"/>
  <c r="Z87" i="35" s="1"/>
  <c r="K89" i="35"/>
  <c r="AK89" i="35" s="1"/>
  <c r="AT88" i="35" s="1"/>
  <c r="AB89" i="35"/>
  <c r="AC89" i="35"/>
  <c r="AD89" i="35"/>
  <c r="AE89" i="35"/>
  <c r="AF89" i="35"/>
  <c r="AG89" i="35"/>
  <c r="AH89" i="35"/>
  <c r="AJ89" i="35"/>
  <c r="AS88" i="35" s="1"/>
  <c r="AL89" i="35"/>
  <c r="AU88" i="35" s="1"/>
  <c r="AO89" i="35"/>
  <c r="AW89" i="35" s="1"/>
  <c r="AP89" i="35"/>
  <c r="BD89" i="35"/>
  <c r="BF89" i="35"/>
  <c r="BH89" i="35"/>
  <c r="BJ89" i="35"/>
  <c r="Z89" i="35" s="1"/>
  <c r="K91" i="35"/>
  <c r="Z91" i="35"/>
  <c r="AB91" i="35"/>
  <c r="AC91" i="35"/>
  <c r="AF91" i="35"/>
  <c r="AG91" i="35"/>
  <c r="AH91" i="35"/>
  <c r="AJ91" i="35"/>
  <c r="AK91" i="35"/>
  <c r="AL91" i="35"/>
  <c r="AO91" i="35"/>
  <c r="AW91" i="35" s="1"/>
  <c r="AP91" i="35"/>
  <c r="BD91" i="35"/>
  <c r="BF91" i="35"/>
  <c r="BH91" i="35"/>
  <c r="AD91" i="35" s="1"/>
  <c r="BJ91" i="35"/>
  <c r="K92" i="35"/>
  <c r="Z92" i="35"/>
  <c r="AB92" i="35"/>
  <c r="AC92" i="35"/>
  <c r="AF92" i="35"/>
  <c r="AG92" i="35"/>
  <c r="AH92" i="35"/>
  <c r="AJ92" i="35"/>
  <c r="AK92" i="35"/>
  <c r="AL92" i="35"/>
  <c r="AO92" i="35"/>
  <c r="AW92" i="35" s="1"/>
  <c r="AP92" i="35"/>
  <c r="BD92" i="35"/>
  <c r="BF92" i="35"/>
  <c r="BH92" i="35"/>
  <c r="AD92" i="35" s="1"/>
  <c r="BI92" i="35"/>
  <c r="AE92" i="35" s="1"/>
  <c r="BJ92" i="35"/>
  <c r="K93" i="35"/>
  <c r="AK93" i="35" s="1"/>
  <c r="Z93" i="35"/>
  <c r="AB93" i="35"/>
  <c r="AC93" i="35"/>
  <c r="AF93" i="35"/>
  <c r="AG93" i="35"/>
  <c r="AH93" i="35"/>
  <c r="AJ93" i="35"/>
  <c r="AL93" i="35"/>
  <c r="AO93" i="35"/>
  <c r="AP93" i="35"/>
  <c r="J93" i="35" s="1"/>
  <c r="BD93" i="35"/>
  <c r="BF93" i="35"/>
  <c r="BH93" i="35"/>
  <c r="AD93" i="35" s="1"/>
  <c r="BJ93" i="35"/>
  <c r="K94" i="35"/>
  <c r="AK94" i="35" s="1"/>
  <c r="Z94" i="35"/>
  <c r="AB94" i="35"/>
  <c r="AC94" i="35"/>
  <c r="AF94" i="35"/>
  <c r="AG94" i="35"/>
  <c r="AH94" i="35"/>
  <c r="AJ94" i="35"/>
  <c r="AL94" i="35"/>
  <c r="AO94" i="35"/>
  <c r="AP94" i="35"/>
  <c r="J94" i="35" s="1"/>
  <c r="BD94" i="35"/>
  <c r="BF94" i="35"/>
  <c r="BI94" i="35"/>
  <c r="AE94" i="35" s="1"/>
  <c r="BJ94" i="35"/>
  <c r="K95" i="35"/>
  <c r="Z95" i="35"/>
  <c r="AB95" i="35"/>
  <c r="AC95" i="35"/>
  <c r="AF95" i="35"/>
  <c r="AG95" i="35"/>
  <c r="AH95" i="35"/>
  <c r="AJ95" i="35"/>
  <c r="AK95" i="35"/>
  <c r="AL95" i="35"/>
  <c r="AO95" i="35"/>
  <c r="I95" i="35" s="1"/>
  <c r="AP95" i="35"/>
  <c r="J95" i="35" s="1"/>
  <c r="BD95" i="35"/>
  <c r="BF95" i="35"/>
  <c r="BJ95" i="35"/>
  <c r="K96" i="35"/>
  <c r="Z96" i="35"/>
  <c r="AB96" i="35"/>
  <c r="AC96" i="35"/>
  <c r="AF96" i="35"/>
  <c r="AG96" i="35"/>
  <c r="AH96" i="35"/>
  <c r="AJ96" i="35"/>
  <c r="AK96" i="35"/>
  <c r="AL96" i="35"/>
  <c r="AO96" i="35"/>
  <c r="I96" i="35" s="1"/>
  <c r="AP96" i="35"/>
  <c r="BD96" i="35"/>
  <c r="BF96" i="35"/>
  <c r="BH96" i="35"/>
  <c r="AD96" i="35" s="1"/>
  <c r="BI96" i="35"/>
  <c r="AE96" i="35" s="1"/>
  <c r="BJ96" i="35"/>
  <c r="K97" i="35"/>
  <c r="AK97" i="35" s="1"/>
  <c r="Z97" i="35"/>
  <c r="AB97" i="35"/>
  <c r="AC97" i="35"/>
  <c r="AF97" i="35"/>
  <c r="AG97" i="35"/>
  <c r="AH97" i="35"/>
  <c r="AJ97" i="35"/>
  <c r="AL97" i="35"/>
  <c r="AO97" i="35"/>
  <c r="AP97" i="35"/>
  <c r="J97" i="35" s="1"/>
  <c r="BD97" i="35"/>
  <c r="BF97" i="35"/>
  <c r="BI97" i="35"/>
  <c r="AE97" i="35" s="1"/>
  <c r="BJ97" i="35"/>
  <c r="K98" i="35"/>
  <c r="Z98" i="35"/>
  <c r="AB98" i="35"/>
  <c r="AC98" i="35"/>
  <c r="AF98" i="35"/>
  <c r="AG98" i="35"/>
  <c r="AH98" i="35"/>
  <c r="AJ98" i="35"/>
  <c r="AK98" i="35"/>
  <c r="AL98" i="35"/>
  <c r="AO98" i="35"/>
  <c r="I98" i="35" s="1"/>
  <c r="AP98" i="35"/>
  <c r="AX98" i="35" s="1"/>
  <c r="BD98" i="35"/>
  <c r="BF98" i="35"/>
  <c r="BH98" i="35"/>
  <c r="AD98" i="35" s="1"/>
  <c r="BJ98" i="35"/>
  <c r="K99" i="35"/>
  <c r="Z99" i="35"/>
  <c r="AB99" i="35"/>
  <c r="AC99" i="35"/>
  <c r="AF99" i="35"/>
  <c r="AG99" i="35"/>
  <c r="AH99" i="35"/>
  <c r="AJ99" i="35"/>
  <c r="AK99" i="35"/>
  <c r="AL99" i="35"/>
  <c r="AO99" i="35"/>
  <c r="AW99" i="35" s="1"/>
  <c r="AP99" i="35"/>
  <c r="J99" i="35" s="1"/>
  <c r="BD99" i="35"/>
  <c r="BF99" i="35"/>
  <c r="BH99" i="35"/>
  <c r="AD99" i="35" s="1"/>
  <c r="BI99" i="35"/>
  <c r="AE99" i="35" s="1"/>
  <c r="BJ99" i="35"/>
  <c r="K100" i="35"/>
  <c r="Z100" i="35"/>
  <c r="AB100" i="35"/>
  <c r="AC100" i="35"/>
  <c r="AF100" i="35"/>
  <c r="AG100" i="35"/>
  <c r="AH100" i="35"/>
  <c r="AJ100" i="35"/>
  <c r="AK100" i="35"/>
  <c r="AL100" i="35"/>
  <c r="AO100" i="35"/>
  <c r="I100" i="35" s="1"/>
  <c r="AP100" i="35"/>
  <c r="BD100" i="35"/>
  <c r="BF100" i="35"/>
  <c r="BH100" i="35"/>
  <c r="AD100" i="35" s="1"/>
  <c r="BI100" i="35"/>
  <c r="AE100" i="35" s="1"/>
  <c r="BJ100" i="35"/>
  <c r="K101" i="35"/>
  <c r="AK101" i="35" s="1"/>
  <c r="Z101" i="35"/>
  <c r="AB101" i="35"/>
  <c r="AC101" i="35"/>
  <c r="AF101" i="35"/>
  <c r="AG101" i="35"/>
  <c r="AH101" i="35"/>
  <c r="AJ101" i="35"/>
  <c r="AL101" i="35"/>
  <c r="AO101" i="35"/>
  <c r="AP101" i="35"/>
  <c r="J101" i="35" s="1"/>
  <c r="BD101" i="35"/>
  <c r="BF101" i="35"/>
  <c r="BH101" i="35"/>
  <c r="AD101" i="35" s="1"/>
  <c r="BJ101" i="35"/>
  <c r="K102" i="35"/>
  <c r="Z102" i="35"/>
  <c r="AB102" i="35"/>
  <c r="AC102" i="35"/>
  <c r="AF102" i="35"/>
  <c r="AG102" i="35"/>
  <c r="AH102" i="35"/>
  <c r="AJ102" i="35"/>
  <c r="AK102" i="35"/>
  <c r="AL102" i="35"/>
  <c r="AO102" i="35"/>
  <c r="I102" i="35" s="1"/>
  <c r="AP102" i="35"/>
  <c r="J102" i="35" s="1"/>
  <c r="BD102" i="35"/>
  <c r="BF102" i="35"/>
  <c r="BH102" i="35"/>
  <c r="AD102" i="35" s="1"/>
  <c r="BJ102" i="35"/>
  <c r="K103" i="35"/>
  <c r="Z103" i="35"/>
  <c r="AB103" i="35"/>
  <c r="AC103" i="35"/>
  <c r="AF103" i="35"/>
  <c r="AG103" i="35"/>
  <c r="AH103" i="35"/>
  <c r="AJ103" i="35"/>
  <c r="AK103" i="35"/>
  <c r="AL103" i="35"/>
  <c r="AO103" i="35"/>
  <c r="AW103" i="35" s="1"/>
  <c r="AP103" i="35"/>
  <c r="J103" i="35" s="1"/>
  <c r="AX103" i="35"/>
  <c r="AV103" i="35" s="1"/>
  <c r="BD103" i="35"/>
  <c r="BF103" i="35"/>
  <c r="BH103" i="35"/>
  <c r="AD103" i="35" s="1"/>
  <c r="BI103" i="35"/>
  <c r="AE103" i="35" s="1"/>
  <c r="BJ103" i="35"/>
  <c r="K105" i="35"/>
  <c r="Z105" i="35"/>
  <c r="AB105" i="35"/>
  <c r="AC105" i="35"/>
  <c r="AF105" i="35"/>
  <c r="AG105" i="35"/>
  <c r="AH105" i="35"/>
  <c r="AJ105" i="35"/>
  <c r="AK105" i="35"/>
  <c r="AL105" i="35"/>
  <c r="AO105" i="35"/>
  <c r="I105" i="35" s="1"/>
  <c r="AP105" i="35"/>
  <c r="AX105" i="35" s="1"/>
  <c r="BD105" i="35"/>
  <c r="BF105" i="35"/>
  <c r="BJ105" i="35"/>
  <c r="K106" i="35"/>
  <c r="Z106" i="35"/>
  <c r="AB106" i="35"/>
  <c r="AC106" i="35"/>
  <c r="AF106" i="35"/>
  <c r="AG106" i="35"/>
  <c r="AH106" i="35"/>
  <c r="AJ106" i="35"/>
  <c r="AK106" i="35"/>
  <c r="AL106" i="35"/>
  <c r="AO106" i="35"/>
  <c r="I106" i="35" s="1"/>
  <c r="AP106" i="35"/>
  <c r="J106" i="35" s="1"/>
  <c r="BD106" i="35"/>
  <c r="BF106" i="35"/>
  <c r="BH106" i="35"/>
  <c r="AD106" i="35" s="1"/>
  <c r="BJ106" i="35"/>
  <c r="K107" i="35"/>
  <c r="Z107" i="35"/>
  <c r="AB107" i="35"/>
  <c r="AC107" i="35"/>
  <c r="AF107" i="35"/>
  <c r="AG107" i="35"/>
  <c r="AH107" i="35"/>
  <c r="AJ107" i="35"/>
  <c r="AK107" i="35"/>
  <c r="AL107" i="35"/>
  <c r="AO107" i="35"/>
  <c r="I107" i="35" s="1"/>
  <c r="AP107" i="35"/>
  <c r="BD107" i="35"/>
  <c r="BF107" i="35"/>
  <c r="BH107" i="35"/>
  <c r="AD107" i="35" s="1"/>
  <c r="BJ107" i="35"/>
  <c r="K108" i="35"/>
  <c r="AK108" i="35" s="1"/>
  <c r="Z108" i="35"/>
  <c r="AB108" i="35"/>
  <c r="AC108" i="35"/>
  <c r="AF108" i="35"/>
  <c r="AG108" i="35"/>
  <c r="AH108" i="35"/>
  <c r="AJ108" i="35"/>
  <c r="AL108" i="35"/>
  <c r="AO108" i="35"/>
  <c r="BH108" i="35" s="1"/>
  <c r="AD108" i="35" s="1"/>
  <c r="AP108" i="35"/>
  <c r="BI108" i="35" s="1"/>
  <c r="AE108" i="35" s="1"/>
  <c r="BD108" i="35"/>
  <c r="BF108" i="35"/>
  <c r="BJ108" i="35"/>
  <c r="K109" i="35"/>
  <c r="Z109" i="35"/>
  <c r="AB109" i="35"/>
  <c r="AC109" i="35"/>
  <c r="AF109" i="35"/>
  <c r="AG109" i="35"/>
  <c r="AH109" i="35"/>
  <c r="AJ109" i="35"/>
  <c r="AK109" i="35"/>
  <c r="AL109" i="35"/>
  <c r="AO109" i="35"/>
  <c r="I109" i="35" s="1"/>
  <c r="AP109" i="35"/>
  <c r="AX109" i="35" s="1"/>
  <c r="BD109" i="35"/>
  <c r="BF109" i="35"/>
  <c r="BJ109" i="35"/>
  <c r="K110" i="35"/>
  <c r="Z110" i="35"/>
  <c r="AB110" i="35"/>
  <c r="AC110" i="35"/>
  <c r="AF110" i="35"/>
  <c r="AG110" i="35"/>
  <c r="AH110" i="35"/>
  <c r="AJ110" i="35"/>
  <c r="AK110" i="35"/>
  <c r="AL110" i="35"/>
  <c r="AO110" i="35"/>
  <c r="AP110" i="35"/>
  <c r="J110" i="35" s="1"/>
  <c r="BD110" i="35"/>
  <c r="BF110" i="35"/>
  <c r="BH110" i="35"/>
  <c r="AD110" i="35" s="1"/>
  <c r="BJ110" i="35"/>
  <c r="K111" i="35"/>
  <c r="Z111" i="35"/>
  <c r="AB111" i="35"/>
  <c r="AC111" i="35"/>
  <c r="AF111" i="35"/>
  <c r="AG111" i="35"/>
  <c r="AH111" i="35"/>
  <c r="AJ111" i="35"/>
  <c r="AK111" i="35"/>
  <c r="AL111" i="35"/>
  <c r="AO111" i="35"/>
  <c r="I111" i="35" s="1"/>
  <c r="AP111" i="35"/>
  <c r="BD111" i="35"/>
  <c r="BF111" i="35"/>
  <c r="BH111" i="35"/>
  <c r="AD111" i="35" s="1"/>
  <c r="BI111" i="35"/>
  <c r="AE111" i="35" s="1"/>
  <c r="BJ111" i="35"/>
  <c r="K112" i="35"/>
  <c r="AK112" i="35" s="1"/>
  <c r="Z112" i="35"/>
  <c r="AB112" i="35"/>
  <c r="AC112" i="35"/>
  <c r="AF112" i="35"/>
  <c r="AG112" i="35"/>
  <c r="AH112" i="35"/>
  <c r="AJ112" i="35"/>
  <c r="AL112" i="35"/>
  <c r="AO112" i="35"/>
  <c r="AP112" i="35"/>
  <c r="J112" i="35" s="1"/>
  <c r="BD112" i="35"/>
  <c r="BF112" i="35"/>
  <c r="BI112" i="35"/>
  <c r="AE112" i="35" s="1"/>
  <c r="BJ112" i="35"/>
  <c r="K113" i="35"/>
  <c r="Z113" i="35"/>
  <c r="AB113" i="35"/>
  <c r="AC113" i="35"/>
  <c r="AF113" i="35"/>
  <c r="AG113" i="35"/>
  <c r="AH113" i="35"/>
  <c r="AJ113" i="35"/>
  <c r="AK113" i="35"/>
  <c r="AL113" i="35"/>
  <c r="AO113" i="35"/>
  <c r="AP113" i="35"/>
  <c r="BD113" i="35"/>
  <c r="BF113" i="35"/>
  <c r="BJ113" i="35"/>
  <c r="K114" i="35"/>
  <c r="Z114" i="35"/>
  <c r="AB114" i="35"/>
  <c r="AC114" i="35"/>
  <c r="AF114" i="35"/>
  <c r="AG114" i="35"/>
  <c r="AH114" i="35"/>
  <c r="AJ114" i="35"/>
  <c r="AK114" i="35"/>
  <c r="AL114" i="35"/>
  <c r="AO114" i="35"/>
  <c r="AW114" i="35" s="1"/>
  <c r="AP114" i="35"/>
  <c r="J114" i="35" s="1"/>
  <c r="BD114" i="35"/>
  <c r="BF114" i="35"/>
  <c r="BH114" i="35"/>
  <c r="AD114" i="35" s="1"/>
  <c r="BI114" i="35"/>
  <c r="AE114" i="35" s="1"/>
  <c r="BJ114" i="35"/>
  <c r="K115" i="35"/>
  <c r="Z115" i="35"/>
  <c r="AB115" i="35"/>
  <c r="AC115" i="35"/>
  <c r="AF115" i="35"/>
  <c r="AG115" i="35"/>
  <c r="AH115" i="35"/>
  <c r="AJ115" i="35"/>
  <c r="AK115" i="35"/>
  <c r="AL115" i="35"/>
  <c r="AO115" i="35"/>
  <c r="I115" i="35" s="1"/>
  <c r="AP115" i="35"/>
  <c r="BD115" i="35"/>
  <c r="BF115" i="35"/>
  <c r="BH115" i="35"/>
  <c r="AD115" i="35" s="1"/>
  <c r="BI115" i="35"/>
  <c r="AE115" i="35" s="1"/>
  <c r="BJ115" i="35"/>
  <c r="K116" i="35"/>
  <c r="AK116" i="35" s="1"/>
  <c r="Z116" i="35"/>
  <c r="AB116" i="35"/>
  <c r="AC116" i="35"/>
  <c r="AF116" i="35"/>
  <c r="AG116" i="35"/>
  <c r="AH116" i="35"/>
  <c r="AJ116" i="35"/>
  <c r="AL116" i="35"/>
  <c r="AO116" i="35"/>
  <c r="AP116" i="35"/>
  <c r="J116" i="35" s="1"/>
  <c r="BD116" i="35"/>
  <c r="BF116" i="35"/>
  <c r="BI116" i="35"/>
  <c r="AE116" i="35" s="1"/>
  <c r="BJ116" i="35"/>
  <c r="K117" i="35"/>
  <c r="Z117" i="35"/>
  <c r="AB117" i="35"/>
  <c r="AC117" i="35"/>
  <c r="AF117" i="35"/>
  <c r="AG117" i="35"/>
  <c r="AH117" i="35"/>
  <c r="AJ117" i="35"/>
  <c r="AK117" i="35"/>
  <c r="AL117" i="35"/>
  <c r="AO117" i="35"/>
  <c r="I117" i="35" s="1"/>
  <c r="AP117" i="35"/>
  <c r="AW117" i="35"/>
  <c r="BD117" i="35"/>
  <c r="BF117" i="35"/>
  <c r="BJ117" i="35"/>
  <c r="K118" i="35"/>
  <c r="Z118" i="35"/>
  <c r="AB118" i="35"/>
  <c r="AC118" i="35"/>
  <c r="AF118" i="35"/>
  <c r="AG118" i="35"/>
  <c r="AH118" i="35"/>
  <c r="AJ118" i="35"/>
  <c r="AK118" i="35"/>
  <c r="AL118" i="35"/>
  <c r="AO118" i="35"/>
  <c r="I118" i="35" s="1"/>
  <c r="AP118" i="35"/>
  <c r="J118" i="35" s="1"/>
  <c r="BD118" i="35"/>
  <c r="BF118" i="35"/>
  <c r="BJ118" i="35"/>
  <c r="K119" i="35"/>
  <c r="AK119" i="35" s="1"/>
  <c r="Z119" i="35"/>
  <c r="AB119" i="35"/>
  <c r="AC119" i="35"/>
  <c r="AF119" i="35"/>
  <c r="AG119" i="35"/>
  <c r="AH119" i="35"/>
  <c r="AJ119" i="35"/>
  <c r="AL119" i="35"/>
  <c r="AO119" i="35"/>
  <c r="I119" i="35" s="1"/>
  <c r="AP119" i="35"/>
  <c r="BI119" i="35" s="1"/>
  <c r="AE119" i="35" s="1"/>
  <c r="BD119" i="35"/>
  <c r="BF119" i="35"/>
  <c r="BJ119" i="35"/>
  <c r="K120" i="35"/>
  <c r="AK120" i="35" s="1"/>
  <c r="Z120" i="35"/>
  <c r="AB120" i="35"/>
  <c r="AC120" i="35"/>
  <c r="AF120" i="35"/>
  <c r="AG120" i="35"/>
  <c r="AH120" i="35"/>
  <c r="AJ120" i="35"/>
  <c r="AL120" i="35"/>
  <c r="AO120" i="35"/>
  <c r="AP120" i="35"/>
  <c r="BD120" i="35"/>
  <c r="BF120" i="35"/>
  <c r="BJ120" i="35"/>
  <c r="K121" i="35"/>
  <c r="Z121" i="35"/>
  <c r="AB121" i="35"/>
  <c r="AC121" i="35"/>
  <c r="AF121" i="35"/>
  <c r="AG121" i="35"/>
  <c r="AH121" i="35"/>
  <c r="AJ121" i="35"/>
  <c r="AK121" i="35"/>
  <c r="AL121" i="35"/>
  <c r="AO121" i="35"/>
  <c r="I121" i="35" s="1"/>
  <c r="AP121" i="35"/>
  <c r="J121" i="35" s="1"/>
  <c r="BD121" i="35"/>
  <c r="BF121" i="35"/>
  <c r="BJ121" i="35"/>
  <c r="K122" i="35"/>
  <c r="Z122" i="35"/>
  <c r="AB122" i="35"/>
  <c r="AC122" i="35"/>
  <c r="AF122" i="35"/>
  <c r="AG122" i="35"/>
  <c r="AH122" i="35"/>
  <c r="AJ122" i="35"/>
  <c r="AK122" i="35"/>
  <c r="AL122" i="35"/>
  <c r="AO122" i="35"/>
  <c r="AW122" i="35" s="1"/>
  <c r="AP122" i="35"/>
  <c r="J122" i="35" s="1"/>
  <c r="BD122" i="35"/>
  <c r="BF122" i="35"/>
  <c r="BH122" i="35"/>
  <c r="AD122" i="35" s="1"/>
  <c r="BJ122" i="35"/>
  <c r="K123" i="35"/>
  <c r="Z123" i="35"/>
  <c r="AB123" i="35"/>
  <c r="AC123" i="35"/>
  <c r="AF123" i="35"/>
  <c r="AG123" i="35"/>
  <c r="AH123" i="35"/>
  <c r="AJ123" i="35"/>
  <c r="AK123" i="35"/>
  <c r="AL123" i="35"/>
  <c r="AO123" i="35"/>
  <c r="I123" i="35" s="1"/>
  <c r="AP123" i="35"/>
  <c r="BD123" i="35"/>
  <c r="BF123" i="35"/>
  <c r="BH123" i="35"/>
  <c r="AD123" i="35" s="1"/>
  <c r="BJ123" i="35"/>
  <c r="K124" i="35"/>
  <c r="AK124" i="35" s="1"/>
  <c r="Z124" i="35"/>
  <c r="AB124" i="35"/>
  <c r="AC124" i="35"/>
  <c r="AF124" i="35"/>
  <c r="AG124" i="35"/>
  <c r="AH124" i="35"/>
  <c r="AJ124" i="35"/>
  <c r="AL124" i="35"/>
  <c r="AO124" i="35"/>
  <c r="BH124" i="35" s="1"/>
  <c r="AD124" i="35" s="1"/>
  <c r="AP124" i="35"/>
  <c r="J124" i="35" s="1"/>
  <c r="BD124" i="35"/>
  <c r="BF124" i="35"/>
  <c r="BJ124" i="35"/>
  <c r="K125" i="35"/>
  <c r="Z125" i="35"/>
  <c r="AB125" i="35"/>
  <c r="AC125" i="35"/>
  <c r="AF125" i="35"/>
  <c r="AG125" i="35"/>
  <c r="AH125" i="35"/>
  <c r="AJ125" i="35"/>
  <c r="AK125" i="35"/>
  <c r="AL125" i="35"/>
  <c r="AO125" i="35"/>
  <c r="AP125" i="35"/>
  <c r="J125" i="35" s="1"/>
  <c r="BD125" i="35"/>
  <c r="BF125" i="35"/>
  <c r="BI125" i="35"/>
  <c r="AE125" i="35" s="1"/>
  <c r="BJ125" i="35"/>
  <c r="K126" i="35"/>
  <c r="Z126" i="35"/>
  <c r="AB126" i="35"/>
  <c r="AC126" i="35"/>
  <c r="AF126" i="35"/>
  <c r="AG126" i="35"/>
  <c r="AH126" i="35"/>
  <c r="AJ126" i="35"/>
  <c r="AK126" i="35"/>
  <c r="AL126" i="35"/>
  <c r="AO126" i="35"/>
  <c r="I126" i="35" s="1"/>
  <c r="AP126" i="35"/>
  <c r="J126" i="35" s="1"/>
  <c r="AW126" i="35"/>
  <c r="BD126" i="35"/>
  <c r="BF126" i="35"/>
  <c r="BH126" i="35"/>
  <c r="AD126" i="35" s="1"/>
  <c r="BJ126" i="35"/>
  <c r="K127" i="35"/>
  <c r="Z127" i="35"/>
  <c r="AB127" i="35"/>
  <c r="AC127" i="35"/>
  <c r="AF127" i="35"/>
  <c r="AG127" i="35"/>
  <c r="AH127" i="35"/>
  <c r="AJ127" i="35"/>
  <c r="AK127" i="35"/>
  <c r="AL127" i="35"/>
  <c r="AO127" i="35"/>
  <c r="I127" i="35" s="1"/>
  <c r="AP127" i="35"/>
  <c r="BD127" i="35"/>
  <c r="BF127" i="35"/>
  <c r="BH127" i="35"/>
  <c r="AD127" i="35" s="1"/>
  <c r="BI127" i="35"/>
  <c r="AE127" i="35" s="1"/>
  <c r="BJ127" i="35"/>
  <c r="K128" i="35"/>
  <c r="AK128" i="35" s="1"/>
  <c r="Z128" i="35"/>
  <c r="AB128" i="35"/>
  <c r="AC128" i="35"/>
  <c r="AF128" i="35"/>
  <c r="AG128" i="35"/>
  <c r="AH128" i="35"/>
  <c r="AJ128" i="35"/>
  <c r="AL128" i="35"/>
  <c r="AO128" i="35"/>
  <c r="BH128" i="35" s="1"/>
  <c r="AD128" i="35" s="1"/>
  <c r="AP128" i="35"/>
  <c r="J128" i="35" s="1"/>
  <c r="BD128" i="35"/>
  <c r="BF128" i="35"/>
  <c r="BI128" i="35"/>
  <c r="AE128" i="35" s="1"/>
  <c r="BJ128" i="35"/>
  <c r="K129" i="35"/>
  <c r="AK129" i="35" s="1"/>
  <c r="Z129" i="35"/>
  <c r="AB129" i="35"/>
  <c r="AC129" i="35"/>
  <c r="AF129" i="35"/>
  <c r="AG129" i="35"/>
  <c r="AH129" i="35"/>
  <c r="AJ129" i="35"/>
  <c r="AL129" i="35"/>
  <c r="AO129" i="35"/>
  <c r="BH129" i="35" s="1"/>
  <c r="AD129" i="35" s="1"/>
  <c r="AP129" i="35"/>
  <c r="J129" i="35" s="1"/>
  <c r="BD129" i="35"/>
  <c r="BF129" i="35"/>
  <c r="BI129" i="35"/>
  <c r="AE129" i="35" s="1"/>
  <c r="BJ129" i="35"/>
  <c r="J130" i="35"/>
  <c r="K130" i="35"/>
  <c r="AK130" i="35" s="1"/>
  <c r="Z130" i="35"/>
  <c r="AB130" i="35"/>
  <c r="AC130" i="35"/>
  <c r="AF130" i="35"/>
  <c r="AG130" i="35"/>
  <c r="AH130" i="35"/>
  <c r="AJ130" i="35"/>
  <c r="AL130" i="35"/>
  <c r="AO130" i="35"/>
  <c r="I130" i="35" s="1"/>
  <c r="AP130" i="35"/>
  <c r="AW130" i="35"/>
  <c r="BD130" i="35"/>
  <c r="BF130" i="35"/>
  <c r="BJ130" i="35"/>
  <c r="K131" i="35"/>
  <c r="Z131" i="35"/>
  <c r="AB131" i="35"/>
  <c r="AC131" i="35"/>
  <c r="AF131" i="35"/>
  <c r="AG131" i="35"/>
  <c r="AH131" i="35"/>
  <c r="AJ131" i="35"/>
  <c r="AK131" i="35"/>
  <c r="AL131" i="35"/>
  <c r="AO131" i="35"/>
  <c r="AW131" i="35" s="1"/>
  <c r="AP131" i="35"/>
  <c r="J131" i="35" s="1"/>
  <c r="BD131" i="35"/>
  <c r="BF131" i="35"/>
  <c r="BH131" i="35"/>
  <c r="AD131" i="35" s="1"/>
  <c r="BJ131" i="35"/>
  <c r="K132" i="35"/>
  <c r="Z132" i="35"/>
  <c r="AB132" i="35"/>
  <c r="AC132" i="35"/>
  <c r="AF132" i="35"/>
  <c r="AG132" i="35"/>
  <c r="AH132" i="35"/>
  <c r="AJ132" i="35"/>
  <c r="AK132" i="35"/>
  <c r="AL132" i="35"/>
  <c r="AO132" i="35"/>
  <c r="I132" i="35" s="1"/>
  <c r="AP132" i="35"/>
  <c r="BD132" i="35"/>
  <c r="BF132" i="35"/>
  <c r="BJ132" i="35"/>
  <c r="K133" i="35"/>
  <c r="AK133" i="35" s="1"/>
  <c r="Z133" i="35"/>
  <c r="AB133" i="35"/>
  <c r="AC133" i="35"/>
  <c r="AF133" i="35"/>
  <c r="AG133" i="35"/>
  <c r="AH133" i="35"/>
  <c r="AJ133" i="35"/>
  <c r="AL133" i="35"/>
  <c r="AO133" i="35"/>
  <c r="BH133" i="35" s="1"/>
  <c r="AD133" i="35" s="1"/>
  <c r="AP133" i="35"/>
  <c r="BI133" i="35" s="1"/>
  <c r="AE133" i="35" s="1"/>
  <c r="BD133" i="35"/>
  <c r="BF133" i="35"/>
  <c r="BJ133" i="35"/>
  <c r="K134" i="35"/>
  <c r="Z134" i="35"/>
  <c r="AB134" i="35"/>
  <c r="AC134" i="35"/>
  <c r="AF134" i="35"/>
  <c r="AG134" i="35"/>
  <c r="AH134" i="35"/>
  <c r="AJ134" i="35"/>
  <c r="AK134" i="35"/>
  <c r="AL134" i="35"/>
  <c r="AO134" i="35"/>
  <c r="I134" i="35" s="1"/>
  <c r="AP134" i="35"/>
  <c r="J134" i="35" s="1"/>
  <c r="BD134" i="35"/>
  <c r="BF134" i="35"/>
  <c r="BJ134" i="35"/>
  <c r="I135" i="35"/>
  <c r="K135" i="35"/>
  <c r="Z135" i="35"/>
  <c r="AB135" i="35"/>
  <c r="AC135" i="35"/>
  <c r="AF135" i="35"/>
  <c r="AG135" i="35"/>
  <c r="AH135" i="35"/>
  <c r="AJ135" i="35"/>
  <c r="AK135" i="35"/>
  <c r="AL135" i="35"/>
  <c r="AO135" i="35"/>
  <c r="AW135" i="35" s="1"/>
  <c r="AP135" i="35"/>
  <c r="J135" i="35" s="1"/>
  <c r="BD135" i="35"/>
  <c r="BF135" i="35"/>
  <c r="BH135" i="35"/>
  <c r="AD135" i="35" s="1"/>
  <c r="BJ135" i="35"/>
  <c r="K136" i="35"/>
  <c r="Z136" i="35"/>
  <c r="AB136" i="35"/>
  <c r="AC136" i="35"/>
  <c r="AF136" i="35"/>
  <c r="AG136" i="35"/>
  <c r="AH136" i="35"/>
  <c r="AJ136" i="35"/>
  <c r="AK136" i="35"/>
  <c r="AL136" i="35"/>
  <c r="AO136" i="35"/>
  <c r="I136" i="35" s="1"/>
  <c r="AP136" i="35"/>
  <c r="BI136" i="35" s="1"/>
  <c r="AE136" i="35" s="1"/>
  <c r="BD136" i="35"/>
  <c r="BF136" i="35"/>
  <c r="BH136" i="35"/>
  <c r="AD136" i="35" s="1"/>
  <c r="BJ136" i="35"/>
  <c r="K137" i="35"/>
  <c r="AK137" i="35" s="1"/>
  <c r="Z137" i="35"/>
  <c r="AB137" i="35"/>
  <c r="AC137" i="35"/>
  <c r="AF137" i="35"/>
  <c r="AG137" i="35"/>
  <c r="AH137" i="35"/>
  <c r="AJ137" i="35"/>
  <c r="AL137" i="35"/>
  <c r="AO137" i="35"/>
  <c r="AP137" i="35"/>
  <c r="BD137" i="35"/>
  <c r="BF137" i="35"/>
  <c r="BH137" i="35"/>
  <c r="AD137" i="35" s="1"/>
  <c r="BJ137" i="35"/>
  <c r="K138" i="35"/>
  <c r="Z138" i="35"/>
  <c r="AB138" i="35"/>
  <c r="AC138" i="35"/>
  <c r="AF138" i="35"/>
  <c r="AG138" i="35"/>
  <c r="AH138" i="35"/>
  <c r="AJ138" i="35"/>
  <c r="AK138" i="35"/>
  <c r="AL138" i="35"/>
  <c r="AO138" i="35"/>
  <c r="I138" i="35" s="1"/>
  <c r="AP138" i="35"/>
  <c r="BD138" i="35"/>
  <c r="BF138" i="35"/>
  <c r="BJ138" i="35"/>
  <c r="K139" i="35"/>
  <c r="Z139" i="35"/>
  <c r="AB139" i="35"/>
  <c r="AC139" i="35"/>
  <c r="AF139" i="35"/>
  <c r="AG139" i="35"/>
  <c r="AH139" i="35"/>
  <c r="AJ139" i="35"/>
  <c r="AK139" i="35"/>
  <c r="AL139" i="35"/>
  <c r="AO139" i="35"/>
  <c r="AW139" i="35" s="1"/>
  <c r="AP139" i="35"/>
  <c r="BD139" i="35"/>
  <c r="BF139" i="35"/>
  <c r="BH139" i="35"/>
  <c r="AD139" i="35" s="1"/>
  <c r="BJ139" i="35"/>
  <c r="K140" i="35"/>
  <c r="Z140" i="35"/>
  <c r="AB140" i="35"/>
  <c r="AC140" i="35"/>
  <c r="AF140" i="35"/>
  <c r="AG140" i="35"/>
  <c r="AH140" i="35"/>
  <c r="AJ140" i="35"/>
  <c r="AK140" i="35"/>
  <c r="AL140" i="35"/>
  <c r="AO140" i="35"/>
  <c r="I140" i="35" s="1"/>
  <c r="AP140" i="35"/>
  <c r="BD140" i="35"/>
  <c r="BF140" i="35"/>
  <c r="BI140" i="35"/>
  <c r="AE140" i="35" s="1"/>
  <c r="BJ140" i="35"/>
  <c r="K142" i="35"/>
  <c r="Z142" i="35"/>
  <c r="AB142" i="35"/>
  <c r="AC142" i="35"/>
  <c r="AF142" i="35"/>
  <c r="AG142" i="35"/>
  <c r="AH142" i="35"/>
  <c r="AJ142" i="35"/>
  <c r="AK142" i="35"/>
  <c r="AL142" i="35"/>
  <c r="AO142" i="35"/>
  <c r="AP142" i="35"/>
  <c r="J142" i="35" s="1"/>
  <c r="BD142" i="35"/>
  <c r="BF142" i="35"/>
  <c r="BI142" i="35"/>
  <c r="AE142" i="35" s="1"/>
  <c r="BJ142" i="35"/>
  <c r="K143" i="35"/>
  <c r="Z143" i="35"/>
  <c r="AB143" i="35"/>
  <c r="AC143" i="35"/>
  <c r="AF143" i="35"/>
  <c r="AG143" i="35"/>
  <c r="AH143" i="35"/>
  <c r="AJ143" i="35"/>
  <c r="AK143" i="35"/>
  <c r="AL143" i="35"/>
  <c r="AO143" i="35"/>
  <c r="I143" i="35" s="1"/>
  <c r="AP143" i="35"/>
  <c r="BD143" i="35"/>
  <c r="BF143" i="35"/>
  <c r="BI143" i="35"/>
  <c r="AE143" i="35" s="1"/>
  <c r="BJ143" i="35"/>
  <c r="K144" i="35"/>
  <c r="AK144" i="35" s="1"/>
  <c r="Z144" i="35"/>
  <c r="AB144" i="35"/>
  <c r="AC144" i="35"/>
  <c r="AF144" i="35"/>
  <c r="AG144" i="35"/>
  <c r="AH144" i="35"/>
  <c r="AJ144" i="35"/>
  <c r="AL144" i="35"/>
  <c r="AO144" i="35"/>
  <c r="AP144" i="35"/>
  <c r="J144" i="35" s="1"/>
  <c r="BD144" i="35"/>
  <c r="BF144" i="35"/>
  <c r="BJ144" i="35"/>
  <c r="K145" i="35"/>
  <c r="Z145" i="35"/>
  <c r="AB145" i="35"/>
  <c r="AC145" i="35"/>
  <c r="AF145" i="35"/>
  <c r="AG145" i="35"/>
  <c r="AH145" i="35"/>
  <c r="AJ145" i="35"/>
  <c r="AK145" i="35"/>
  <c r="AL145" i="35"/>
  <c r="AO145" i="35"/>
  <c r="AP145" i="35"/>
  <c r="AX145" i="35" s="1"/>
  <c r="BD145" i="35"/>
  <c r="BF145" i="35"/>
  <c r="BJ145" i="35"/>
  <c r="K146" i="35"/>
  <c r="Z146" i="35"/>
  <c r="AB146" i="35"/>
  <c r="AC146" i="35"/>
  <c r="AF146" i="35"/>
  <c r="AG146" i="35"/>
  <c r="AH146" i="35"/>
  <c r="AJ146" i="35"/>
  <c r="AK146" i="35"/>
  <c r="AL146" i="35"/>
  <c r="AO146" i="35"/>
  <c r="I146" i="35" s="1"/>
  <c r="AP146" i="35"/>
  <c r="J146" i="35" s="1"/>
  <c r="BD146" i="35"/>
  <c r="BF146" i="35"/>
  <c r="BJ146" i="35"/>
  <c r="K147" i="35"/>
  <c r="Z147" i="35"/>
  <c r="AB147" i="35"/>
  <c r="AC147" i="35"/>
  <c r="AF147" i="35"/>
  <c r="AG147" i="35"/>
  <c r="AH147" i="35"/>
  <c r="AJ147" i="35"/>
  <c r="AK147" i="35"/>
  <c r="AL147" i="35"/>
  <c r="AO147" i="35"/>
  <c r="I147" i="35" s="1"/>
  <c r="AP147" i="35"/>
  <c r="BD147" i="35"/>
  <c r="BF147" i="35"/>
  <c r="BH147" i="35"/>
  <c r="AD147" i="35" s="1"/>
  <c r="BJ147" i="35"/>
  <c r="K148" i="35"/>
  <c r="AK148" i="35" s="1"/>
  <c r="Z148" i="35"/>
  <c r="AB148" i="35"/>
  <c r="AC148" i="35"/>
  <c r="AF148" i="35"/>
  <c r="AG148" i="35"/>
  <c r="AH148" i="35"/>
  <c r="AJ148" i="35"/>
  <c r="AL148" i="35"/>
  <c r="AO148" i="35"/>
  <c r="BH148" i="35" s="1"/>
  <c r="AD148" i="35" s="1"/>
  <c r="AP148" i="35"/>
  <c r="J148" i="35" s="1"/>
  <c r="BD148" i="35"/>
  <c r="BF148" i="35"/>
  <c r="BJ148" i="35"/>
  <c r="K149" i="35"/>
  <c r="Z149" i="35"/>
  <c r="AB149" i="35"/>
  <c r="AC149" i="35"/>
  <c r="AF149" i="35"/>
  <c r="AG149" i="35"/>
  <c r="AH149" i="35"/>
  <c r="AJ149" i="35"/>
  <c r="AK149" i="35"/>
  <c r="AL149" i="35"/>
  <c r="AO149" i="35"/>
  <c r="AW149" i="35" s="1"/>
  <c r="AP149" i="35"/>
  <c r="AX149" i="35" s="1"/>
  <c r="BD149" i="35"/>
  <c r="BF149" i="35"/>
  <c r="BJ149" i="35"/>
  <c r="K150" i="35"/>
  <c r="Z150" i="35"/>
  <c r="AB150" i="35"/>
  <c r="AC150" i="35"/>
  <c r="AF150" i="35"/>
  <c r="AG150" i="35"/>
  <c r="AH150" i="35"/>
  <c r="AJ150" i="35"/>
  <c r="AK150" i="35"/>
  <c r="AL150" i="35"/>
  <c r="AO150" i="35"/>
  <c r="AW150" i="35" s="1"/>
  <c r="AP150" i="35"/>
  <c r="BD150" i="35"/>
  <c r="BF150" i="35"/>
  <c r="BJ150" i="35"/>
  <c r="K151" i="35"/>
  <c r="Z151" i="35"/>
  <c r="AB151" i="35"/>
  <c r="AC151" i="35"/>
  <c r="AF151" i="35"/>
  <c r="AG151" i="35"/>
  <c r="AH151" i="35"/>
  <c r="AJ151" i="35"/>
  <c r="AK151" i="35"/>
  <c r="AL151" i="35"/>
  <c r="AO151" i="35"/>
  <c r="I151" i="35" s="1"/>
  <c r="AP151" i="35"/>
  <c r="BD151" i="35"/>
  <c r="BF151" i="35"/>
  <c r="BH151" i="35"/>
  <c r="AD151" i="35" s="1"/>
  <c r="BJ151" i="35"/>
  <c r="K152" i="35"/>
  <c r="AK152" i="35" s="1"/>
  <c r="Z152" i="35"/>
  <c r="AB152" i="35"/>
  <c r="AC152" i="35"/>
  <c r="AF152" i="35"/>
  <c r="AG152" i="35"/>
  <c r="AH152" i="35"/>
  <c r="AJ152" i="35"/>
  <c r="AL152" i="35"/>
  <c r="AO152" i="35"/>
  <c r="BH152" i="35" s="1"/>
  <c r="AD152" i="35" s="1"/>
  <c r="AP152" i="35"/>
  <c r="J152" i="35" s="1"/>
  <c r="BD152" i="35"/>
  <c r="BF152" i="35"/>
  <c r="BJ152" i="35"/>
  <c r="K153" i="35"/>
  <c r="Z153" i="35"/>
  <c r="AB153" i="35"/>
  <c r="AC153" i="35"/>
  <c r="AF153" i="35"/>
  <c r="AG153" i="35"/>
  <c r="AH153" i="35"/>
  <c r="AJ153" i="35"/>
  <c r="AK153" i="35"/>
  <c r="AL153" i="35"/>
  <c r="AO153" i="35"/>
  <c r="I153" i="35" s="1"/>
  <c r="AP153" i="35"/>
  <c r="AX153" i="35" s="1"/>
  <c r="BD153" i="35"/>
  <c r="BF153" i="35"/>
  <c r="BJ153" i="35"/>
  <c r="K154" i="35"/>
  <c r="Z154" i="35"/>
  <c r="AB154" i="35"/>
  <c r="AC154" i="35"/>
  <c r="AF154" i="35"/>
  <c r="AG154" i="35"/>
  <c r="AH154" i="35"/>
  <c r="AJ154" i="35"/>
  <c r="AK154" i="35"/>
  <c r="AL154" i="35"/>
  <c r="AO154" i="35"/>
  <c r="AP154" i="35"/>
  <c r="J154" i="35" s="1"/>
  <c r="BD154" i="35"/>
  <c r="BF154" i="35"/>
  <c r="BH154" i="35"/>
  <c r="AD154" i="35" s="1"/>
  <c r="BI154" i="35"/>
  <c r="AE154" i="35" s="1"/>
  <c r="BJ154" i="35"/>
  <c r="K155" i="35"/>
  <c r="Z155" i="35"/>
  <c r="AB155" i="35"/>
  <c r="AC155" i="35"/>
  <c r="AF155" i="35"/>
  <c r="AG155" i="35"/>
  <c r="AH155" i="35"/>
  <c r="AJ155" i="35"/>
  <c r="AK155" i="35"/>
  <c r="AL155" i="35"/>
  <c r="AO155" i="35"/>
  <c r="I155" i="35" s="1"/>
  <c r="AP155" i="35"/>
  <c r="BD155" i="35"/>
  <c r="BF155" i="35"/>
  <c r="BH155" i="35"/>
  <c r="AD155" i="35" s="1"/>
  <c r="BJ155" i="35"/>
  <c r="K156" i="35"/>
  <c r="AK156" i="35" s="1"/>
  <c r="Z156" i="35"/>
  <c r="AB156" i="35"/>
  <c r="AC156" i="35"/>
  <c r="AF156" i="35"/>
  <c r="AG156" i="35"/>
  <c r="AH156" i="35"/>
  <c r="AJ156" i="35"/>
  <c r="AL156" i="35"/>
  <c r="AO156" i="35"/>
  <c r="BH156" i="35" s="1"/>
  <c r="AD156" i="35" s="1"/>
  <c r="AP156" i="35"/>
  <c r="J156" i="35" s="1"/>
  <c r="BD156" i="35"/>
  <c r="BF156" i="35"/>
  <c r="BJ156" i="35"/>
  <c r="K157" i="35"/>
  <c r="Z157" i="35"/>
  <c r="AB157" i="35"/>
  <c r="AC157" i="35"/>
  <c r="AF157" i="35"/>
  <c r="AG157" i="35"/>
  <c r="AH157" i="35"/>
  <c r="AJ157" i="35"/>
  <c r="AK157" i="35"/>
  <c r="AL157" i="35"/>
  <c r="AO157" i="35"/>
  <c r="I157" i="35" s="1"/>
  <c r="AP157" i="35"/>
  <c r="BD157" i="35"/>
  <c r="BF157" i="35"/>
  <c r="BH157" i="35"/>
  <c r="AD157" i="35" s="1"/>
  <c r="BJ157" i="35"/>
  <c r="K158" i="35"/>
  <c r="Z158" i="35"/>
  <c r="AB158" i="35"/>
  <c r="AC158" i="35"/>
  <c r="AF158" i="35"/>
  <c r="AG158" i="35"/>
  <c r="AH158" i="35"/>
  <c r="AJ158" i="35"/>
  <c r="AK158" i="35"/>
  <c r="AL158" i="35"/>
  <c r="AO158" i="35"/>
  <c r="I158" i="35" s="1"/>
  <c r="AP158" i="35"/>
  <c r="J158" i="35" s="1"/>
  <c r="BD158" i="35"/>
  <c r="BF158" i="35"/>
  <c r="BI158" i="35"/>
  <c r="AE158" i="35" s="1"/>
  <c r="BJ158" i="35"/>
  <c r="K159" i="35"/>
  <c r="Z159" i="35"/>
  <c r="AB159" i="35"/>
  <c r="AC159" i="35"/>
  <c r="AF159" i="35"/>
  <c r="AG159" i="35"/>
  <c r="AH159" i="35"/>
  <c r="AJ159" i="35"/>
  <c r="AK159" i="35"/>
  <c r="AL159" i="35"/>
  <c r="AO159" i="35"/>
  <c r="AP159" i="35"/>
  <c r="BI159" i="35" s="1"/>
  <c r="AE159" i="35" s="1"/>
  <c r="BD159" i="35"/>
  <c r="BF159" i="35"/>
  <c r="BJ159" i="35"/>
  <c r="K161" i="35"/>
  <c r="Z161" i="35"/>
  <c r="AB161" i="35"/>
  <c r="AC161" i="35"/>
  <c r="AF161" i="35"/>
  <c r="AG161" i="35"/>
  <c r="AH161" i="35"/>
  <c r="AJ161" i="35"/>
  <c r="AK161" i="35"/>
  <c r="AL161" i="35"/>
  <c r="AO161" i="35"/>
  <c r="AW161" i="35" s="1"/>
  <c r="AP161" i="35"/>
  <c r="BD161" i="35"/>
  <c r="BF161" i="35"/>
  <c r="BH161" i="35"/>
  <c r="AD161" i="35" s="1"/>
  <c r="BJ161" i="35"/>
  <c r="K162" i="35"/>
  <c r="Z162" i="35"/>
  <c r="AB162" i="35"/>
  <c r="AC162" i="35"/>
  <c r="AF162" i="35"/>
  <c r="AG162" i="35"/>
  <c r="AH162" i="35"/>
  <c r="AJ162" i="35"/>
  <c r="AK162" i="35"/>
  <c r="AL162" i="35"/>
  <c r="AO162" i="35"/>
  <c r="I162" i="35" s="1"/>
  <c r="AP162" i="35"/>
  <c r="BI162" i="35" s="1"/>
  <c r="AE162" i="35" s="1"/>
  <c r="BD162" i="35"/>
  <c r="BF162" i="35"/>
  <c r="BH162" i="35"/>
  <c r="AD162" i="35" s="1"/>
  <c r="BJ162" i="35"/>
  <c r="K163" i="35"/>
  <c r="AK163" i="35" s="1"/>
  <c r="Z163" i="35"/>
  <c r="AB163" i="35"/>
  <c r="AC163" i="35"/>
  <c r="AF163" i="35"/>
  <c r="AG163" i="35"/>
  <c r="AH163" i="35"/>
  <c r="AJ163" i="35"/>
  <c r="AL163" i="35"/>
  <c r="AO163" i="35"/>
  <c r="AP163" i="35"/>
  <c r="J163" i="35" s="1"/>
  <c r="BD163" i="35"/>
  <c r="BF163" i="35"/>
  <c r="BI163" i="35"/>
  <c r="AE163" i="35" s="1"/>
  <c r="BJ163" i="35"/>
  <c r="K164" i="35"/>
  <c r="Z164" i="35"/>
  <c r="AB164" i="35"/>
  <c r="AC164" i="35"/>
  <c r="AF164" i="35"/>
  <c r="AG164" i="35"/>
  <c r="AH164" i="35"/>
  <c r="AJ164" i="35"/>
  <c r="AK164" i="35"/>
  <c r="AL164" i="35"/>
  <c r="AO164" i="35"/>
  <c r="I164" i="35" s="1"/>
  <c r="AP164" i="35"/>
  <c r="J164" i="35" s="1"/>
  <c r="AX164" i="35"/>
  <c r="BD164" i="35"/>
  <c r="BF164" i="35"/>
  <c r="BI164" i="35"/>
  <c r="AE164" i="35" s="1"/>
  <c r="BJ164" i="35"/>
  <c r="K165" i="35"/>
  <c r="Z165" i="35"/>
  <c r="AB165" i="35"/>
  <c r="AC165" i="35"/>
  <c r="AF165" i="35"/>
  <c r="AG165" i="35"/>
  <c r="AH165" i="35"/>
  <c r="AJ165" i="35"/>
  <c r="AK165" i="35"/>
  <c r="AL165" i="35"/>
  <c r="AO165" i="35"/>
  <c r="AW165" i="35" s="1"/>
  <c r="AP165" i="35"/>
  <c r="J165" i="35" s="1"/>
  <c r="BD165" i="35"/>
  <c r="BF165" i="35"/>
  <c r="BJ165" i="35"/>
  <c r="K166" i="35"/>
  <c r="Z166" i="35"/>
  <c r="AB166" i="35"/>
  <c r="AC166" i="35"/>
  <c r="AF166" i="35"/>
  <c r="AG166" i="35"/>
  <c r="AH166" i="35"/>
  <c r="AJ166" i="35"/>
  <c r="AK166" i="35"/>
  <c r="AL166" i="35"/>
  <c r="AO166" i="35"/>
  <c r="I166" i="35" s="1"/>
  <c r="AP166" i="35"/>
  <c r="BD166" i="35"/>
  <c r="BF166" i="35"/>
  <c r="BJ166" i="35"/>
  <c r="K167" i="35"/>
  <c r="AK167" i="35" s="1"/>
  <c r="Z167" i="35"/>
  <c r="AB167" i="35"/>
  <c r="AC167" i="35"/>
  <c r="AF167" i="35"/>
  <c r="AG167" i="35"/>
  <c r="AH167" i="35"/>
  <c r="AJ167" i="35"/>
  <c r="AL167" i="35"/>
  <c r="AO167" i="35"/>
  <c r="AP167" i="35"/>
  <c r="BD167" i="35"/>
  <c r="BF167" i="35"/>
  <c r="BH167" i="35"/>
  <c r="AD167" i="35" s="1"/>
  <c r="BJ167" i="35"/>
  <c r="K168" i="35"/>
  <c r="Z168" i="35"/>
  <c r="AB168" i="35"/>
  <c r="AC168" i="35"/>
  <c r="AF168" i="35"/>
  <c r="AG168" i="35"/>
  <c r="AH168" i="35"/>
  <c r="AJ168" i="35"/>
  <c r="AK168" i="35"/>
  <c r="AL168" i="35"/>
  <c r="AO168" i="35"/>
  <c r="I168" i="35" s="1"/>
  <c r="AP168" i="35"/>
  <c r="BD168" i="35"/>
  <c r="BF168" i="35"/>
  <c r="BJ168" i="35"/>
  <c r="I169" i="35"/>
  <c r="K169" i="35"/>
  <c r="Z169" i="35"/>
  <c r="AB169" i="35"/>
  <c r="AC169" i="35"/>
  <c r="AF169" i="35"/>
  <c r="AG169" i="35"/>
  <c r="AH169" i="35"/>
  <c r="AJ169" i="35"/>
  <c r="AK169" i="35"/>
  <c r="AL169" i="35"/>
  <c r="AO169" i="35"/>
  <c r="AW169" i="35" s="1"/>
  <c r="AP169" i="35"/>
  <c r="J169" i="35" s="1"/>
  <c r="BD169" i="35"/>
  <c r="BF169" i="35"/>
  <c r="BH169" i="35"/>
  <c r="AD169" i="35" s="1"/>
  <c r="BJ169" i="35"/>
  <c r="K170" i="35"/>
  <c r="Z170" i="35"/>
  <c r="AB170" i="35"/>
  <c r="AC170" i="35"/>
  <c r="AF170" i="35"/>
  <c r="AG170" i="35"/>
  <c r="AH170" i="35"/>
  <c r="AJ170" i="35"/>
  <c r="AK170" i="35"/>
  <c r="AL170" i="35"/>
  <c r="AO170" i="35"/>
  <c r="AP170" i="35"/>
  <c r="BI170" i="35" s="1"/>
  <c r="AE170" i="35" s="1"/>
  <c r="BD170" i="35"/>
  <c r="BF170" i="35"/>
  <c r="BH170" i="35"/>
  <c r="AD170" i="35" s="1"/>
  <c r="BJ170" i="35"/>
  <c r="K171" i="35"/>
  <c r="AK171" i="35" s="1"/>
  <c r="Z171" i="35"/>
  <c r="AB171" i="35"/>
  <c r="AC171" i="35"/>
  <c r="AF171" i="35"/>
  <c r="AG171" i="35"/>
  <c r="AH171" i="35"/>
  <c r="AJ171" i="35"/>
  <c r="AL171" i="35"/>
  <c r="AO171" i="35"/>
  <c r="BH171" i="35" s="1"/>
  <c r="AD171" i="35" s="1"/>
  <c r="AP171" i="35"/>
  <c r="J171" i="35" s="1"/>
  <c r="AX171" i="35"/>
  <c r="BD171" i="35"/>
  <c r="BF171" i="35"/>
  <c r="BI171" i="35"/>
  <c r="AE171" i="35" s="1"/>
  <c r="BJ171" i="35"/>
  <c r="K172" i="35"/>
  <c r="Z172" i="35"/>
  <c r="AB172" i="35"/>
  <c r="AC172" i="35"/>
  <c r="AF172" i="35"/>
  <c r="AG172" i="35"/>
  <c r="AH172" i="35"/>
  <c r="AJ172" i="35"/>
  <c r="AK172" i="35"/>
  <c r="AL172" i="35"/>
  <c r="AO172" i="35"/>
  <c r="AP172" i="35"/>
  <c r="J172" i="35" s="1"/>
  <c r="BD172" i="35"/>
  <c r="BF172" i="35"/>
  <c r="BJ172" i="35"/>
  <c r="K173" i="35"/>
  <c r="Z173" i="35"/>
  <c r="AB173" i="35"/>
  <c r="AC173" i="35"/>
  <c r="AF173" i="35"/>
  <c r="AG173" i="35"/>
  <c r="AH173" i="35"/>
  <c r="AJ173" i="35"/>
  <c r="AK173" i="35"/>
  <c r="AL173" i="35"/>
  <c r="AO173" i="35"/>
  <c r="AW173" i="35" s="1"/>
  <c r="AP173" i="35"/>
  <c r="J173" i="35" s="1"/>
  <c r="BD173" i="35"/>
  <c r="BF173" i="35"/>
  <c r="BH173" i="35"/>
  <c r="AD173" i="35" s="1"/>
  <c r="BI173" i="35"/>
  <c r="AE173" i="35" s="1"/>
  <c r="BJ173" i="35"/>
  <c r="K174" i="35"/>
  <c r="Z174" i="35"/>
  <c r="AB174" i="35"/>
  <c r="AC174" i="35"/>
  <c r="AF174" i="35"/>
  <c r="AG174" i="35"/>
  <c r="AH174" i="35"/>
  <c r="AJ174" i="35"/>
  <c r="AK174" i="35"/>
  <c r="AL174" i="35"/>
  <c r="AO174" i="35"/>
  <c r="I174" i="35" s="1"/>
  <c r="AP174" i="35"/>
  <c r="BD174" i="35"/>
  <c r="BF174" i="35"/>
  <c r="BH174" i="35"/>
  <c r="AD174" i="35" s="1"/>
  <c r="BI174" i="35"/>
  <c r="AE174" i="35" s="1"/>
  <c r="BJ174" i="35"/>
  <c r="K175" i="35"/>
  <c r="AK175" i="35" s="1"/>
  <c r="Z175" i="35"/>
  <c r="AB175" i="35"/>
  <c r="AC175" i="35"/>
  <c r="AF175" i="35"/>
  <c r="AG175" i="35"/>
  <c r="AH175" i="35"/>
  <c r="AJ175" i="35"/>
  <c r="AL175" i="35"/>
  <c r="AO175" i="35"/>
  <c r="BH175" i="35" s="1"/>
  <c r="AD175" i="35" s="1"/>
  <c r="AP175" i="35"/>
  <c r="J175" i="35" s="1"/>
  <c r="BD175" i="35"/>
  <c r="BF175" i="35"/>
  <c r="BJ175" i="35"/>
  <c r="K176" i="35"/>
  <c r="Z176" i="35"/>
  <c r="AB176" i="35"/>
  <c r="AC176" i="35"/>
  <c r="AF176" i="35"/>
  <c r="AG176" i="35"/>
  <c r="AH176" i="35"/>
  <c r="AJ176" i="35"/>
  <c r="AK176" i="35"/>
  <c r="AL176" i="35"/>
  <c r="AO176" i="35"/>
  <c r="AP176" i="35"/>
  <c r="BD176" i="35"/>
  <c r="BF176" i="35"/>
  <c r="BH176" i="35"/>
  <c r="AD176" i="35" s="1"/>
  <c r="BJ176" i="35"/>
  <c r="I177" i="35"/>
  <c r="K177" i="35"/>
  <c r="Z177" i="35"/>
  <c r="AB177" i="35"/>
  <c r="AC177" i="35"/>
  <c r="AF177" i="35"/>
  <c r="AG177" i="35"/>
  <c r="AH177" i="35"/>
  <c r="AJ177" i="35"/>
  <c r="AK177" i="35"/>
  <c r="AL177" i="35"/>
  <c r="AO177" i="35"/>
  <c r="AP177" i="35"/>
  <c r="J177" i="35" s="1"/>
  <c r="BD177" i="35"/>
  <c r="BF177" i="35"/>
  <c r="BJ177" i="35"/>
  <c r="K178" i="35"/>
  <c r="Z178" i="35"/>
  <c r="AB178" i="35"/>
  <c r="AC178" i="35"/>
  <c r="AF178" i="35"/>
  <c r="AG178" i="35"/>
  <c r="AH178" i="35"/>
  <c r="AJ178" i="35"/>
  <c r="AK178" i="35"/>
  <c r="AL178" i="35"/>
  <c r="AO178" i="35"/>
  <c r="I178" i="35" s="1"/>
  <c r="AP178" i="35"/>
  <c r="BD178" i="35"/>
  <c r="BF178" i="35"/>
  <c r="BJ178" i="35"/>
  <c r="K179" i="35"/>
  <c r="AK179" i="35" s="1"/>
  <c r="Z179" i="35"/>
  <c r="AB179" i="35"/>
  <c r="AC179" i="35"/>
  <c r="AF179" i="35"/>
  <c r="AG179" i="35"/>
  <c r="AH179" i="35"/>
  <c r="AJ179" i="35"/>
  <c r="AL179" i="35"/>
  <c r="AO179" i="35"/>
  <c r="BH179" i="35" s="1"/>
  <c r="AD179" i="35" s="1"/>
  <c r="AP179" i="35"/>
  <c r="J179" i="35" s="1"/>
  <c r="BD179" i="35"/>
  <c r="BF179" i="35"/>
  <c r="BJ179" i="35"/>
  <c r="K180" i="35"/>
  <c r="Z180" i="35"/>
  <c r="AB180" i="35"/>
  <c r="AC180" i="35"/>
  <c r="AF180" i="35"/>
  <c r="AG180" i="35"/>
  <c r="AH180" i="35"/>
  <c r="AJ180" i="35"/>
  <c r="AK180" i="35"/>
  <c r="AL180" i="35"/>
  <c r="AO180" i="35"/>
  <c r="AP180" i="35"/>
  <c r="AX180" i="35" s="1"/>
  <c r="AW180" i="35"/>
  <c r="BD180" i="35"/>
  <c r="BF180" i="35"/>
  <c r="BI180" i="35"/>
  <c r="AE180" i="35" s="1"/>
  <c r="BJ180" i="35"/>
  <c r="I181" i="35"/>
  <c r="K181" i="35"/>
  <c r="Z181" i="35"/>
  <c r="AB181" i="35"/>
  <c r="AC181" i="35"/>
  <c r="AF181" i="35"/>
  <c r="AG181" i="35"/>
  <c r="AH181" i="35"/>
  <c r="AJ181" i="35"/>
  <c r="AK181" i="35"/>
  <c r="AL181" i="35"/>
  <c r="AO181" i="35"/>
  <c r="AW181" i="35" s="1"/>
  <c r="AP181" i="35"/>
  <c r="BD181" i="35"/>
  <c r="BF181" i="35"/>
  <c r="BJ181" i="35"/>
  <c r="K182" i="35"/>
  <c r="Z182" i="35"/>
  <c r="AB182" i="35"/>
  <c r="AC182" i="35"/>
  <c r="AF182" i="35"/>
  <c r="AG182" i="35"/>
  <c r="AH182" i="35"/>
  <c r="AJ182" i="35"/>
  <c r="AK182" i="35"/>
  <c r="AL182" i="35"/>
  <c r="AO182" i="35"/>
  <c r="I182" i="35" s="1"/>
  <c r="AP182" i="35"/>
  <c r="AW182" i="35"/>
  <c r="BD182" i="35"/>
  <c r="BF182" i="35"/>
  <c r="BJ182" i="35"/>
  <c r="K183" i="35"/>
  <c r="AK183" i="35" s="1"/>
  <c r="Z183" i="35"/>
  <c r="AB183" i="35"/>
  <c r="AC183" i="35"/>
  <c r="AF183" i="35"/>
  <c r="AG183" i="35"/>
  <c r="AH183" i="35"/>
  <c r="AJ183" i="35"/>
  <c r="AL183" i="35"/>
  <c r="AO183" i="35"/>
  <c r="BH183" i="35" s="1"/>
  <c r="AD183" i="35" s="1"/>
  <c r="AP183" i="35"/>
  <c r="J183" i="35" s="1"/>
  <c r="AX183" i="35"/>
  <c r="BD183" i="35"/>
  <c r="BF183" i="35"/>
  <c r="BI183" i="35"/>
  <c r="AE183" i="35" s="1"/>
  <c r="BJ183" i="35"/>
  <c r="K185" i="35"/>
  <c r="Z185" i="35"/>
  <c r="AB185" i="35"/>
  <c r="AC185" i="35"/>
  <c r="AF185" i="35"/>
  <c r="AG185" i="35"/>
  <c r="AH185" i="35"/>
  <c r="AJ185" i="35"/>
  <c r="AK185" i="35"/>
  <c r="AL185" i="35"/>
  <c r="AU184" i="35" s="1"/>
  <c r="AO185" i="35"/>
  <c r="I185" i="35" s="1"/>
  <c r="AP185" i="35"/>
  <c r="BD185" i="35"/>
  <c r="BF185" i="35"/>
  <c r="BJ185" i="35"/>
  <c r="K186" i="35"/>
  <c r="AK186" i="35" s="1"/>
  <c r="AB186" i="35"/>
  <c r="AC186" i="35"/>
  <c r="AD186" i="35"/>
  <c r="AE186" i="35"/>
  <c r="AF186" i="35"/>
  <c r="AG186" i="35"/>
  <c r="AH186" i="35"/>
  <c r="AJ186" i="35"/>
  <c r="AL186" i="35"/>
  <c r="AO186" i="35"/>
  <c r="BH186" i="35" s="1"/>
  <c r="AP186" i="35"/>
  <c r="J186" i="35" s="1"/>
  <c r="BD186" i="35"/>
  <c r="BF186" i="35"/>
  <c r="BJ186" i="35"/>
  <c r="Z186" i="35" s="1"/>
  <c r="K188" i="35"/>
  <c r="Z188" i="35"/>
  <c r="AB188" i="35"/>
  <c r="AC188" i="35"/>
  <c r="AF188" i="35"/>
  <c r="AG188" i="35"/>
  <c r="AH188" i="35"/>
  <c r="AJ188" i="35"/>
  <c r="AK188" i="35"/>
  <c r="AL188" i="35"/>
  <c r="AO188" i="35"/>
  <c r="I188" i="35" s="1"/>
  <c r="AP188" i="35"/>
  <c r="BD188" i="35"/>
  <c r="BF188" i="35"/>
  <c r="BH188" i="35"/>
  <c r="AD188" i="35" s="1"/>
  <c r="BJ188" i="35"/>
  <c r="K189" i="35"/>
  <c r="AK189" i="35" s="1"/>
  <c r="Z189" i="35"/>
  <c r="AB189" i="35"/>
  <c r="AC189" i="35"/>
  <c r="AF189" i="35"/>
  <c r="AG189" i="35"/>
  <c r="AH189" i="35"/>
  <c r="AJ189" i="35"/>
  <c r="AL189" i="35"/>
  <c r="AO189" i="35"/>
  <c r="BH189" i="35" s="1"/>
  <c r="AD189" i="35" s="1"/>
  <c r="AP189" i="35"/>
  <c r="BD189" i="35"/>
  <c r="BF189" i="35"/>
  <c r="BJ189" i="35"/>
  <c r="K190" i="35"/>
  <c r="Z190" i="35"/>
  <c r="AB190" i="35"/>
  <c r="AC190" i="35"/>
  <c r="AF190" i="35"/>
  <c r="AG190" i="35"/>
  <c r="AH190" i="35"/>
  <c r="AJ190" i="35"/>
  <c r="AK190" i="35"/>
  <c r="AL190" i="35"/>
  <c r="AO190" i="35"/>
  <c r="I190" i="35" s="1"/>
  <c r="AP190" i="35"/>
  <c r="AX190" i="35" s="1"/>
  <c r="AW190" i="35"/>
  <c r="BD190" i="35"/>
  <c r="BF190" i="35"/>
  <c r="BH190" i="35"/>
  <c r="AD190" i="35" s="1"/>
  <c r="BJ190" i="35"/>
  <c r="K191" i="35"/>
  <c r="Z191" i="35"/>
  <c r="AB191" i="35"/>
  <c r="AC191" i="35"/>
  <c r="AF191" i="35"/>
  <c r="AG191" i="35"/>
  <c r="AH191" i="35"/>
  <c r="AJ191" i="35"/>
  <c r="AK191" i="35"/>
  <c r="AL191" i="35"/>
  <c r="AO191" i="35"/>
  <c r="AP191" i="35"/>
  <c r="J191" i="35" s="1"/>
  <c r="BD191" i="35"/>
  <c r="BF191" i="35"/>
  <c r="BJ191" i="35"/>
  <c r="K192" i="35"/>
  <c r="Z192" i="35"/>
  <c r="AB192" i="35"/>
  <c r="AC192" i="35"/>
  <c r="AF192" i="35"/>
  <c r="AG192" i="35"/>
  <c r="AH192" i="35"/>
  <c r="AJ192" i="35"/>
  <c r="AK192" i="35"/>
  <c r="AL192" i="35"/>
  <c r="AO192" i="35"/>
  <c r="I192" i="35" s="1"/>
  <c r="AP192" i="35"/>
  <c r="BD192" i="35"/>
  <c r="BF192" i="35"/>
  <c r="BJ192" i="35"/>
  <c r="K193" i="35"/>
  <c r="AK193" i="35" s="1"/>
  <c r="Z193" i="35"/>
  <c r="AB193" i="35"/>
  <c r="AC193" i="35"/>
  <c r="AF193" i="35"/>
  <c r="AG193" i="35"/>
  <c r="AH193" i="35"/>
  <c r="AJ193" i="35"/>
  <c r="AL193" i="35"/>
  <c r="AO193" i="35"/>
  <c r="BH193" i="35" s="1"/>
  <c r="AD193" i="35" s="1"/>
  <c r="AP193" i="35"/>
  <c r="J193" i="35" s="1"/>
  <c r="BD193" i="35"/>
  <c r="BF193" i="35"/>
  <c r="BJ193" i="35"/>
  <c r="K194" i="35"/>
  <c r="AK194" i="35" s="1"/>
  <c r="AB194" i="35"/>
  <c r="AC194" i="35"/>
  <c r="AD194" i="35"/>
  <c r="AE194" i="35"/>
  <c r="AF194" i="35"/>
  <c r="AG194" i="35"/>
  <c r="AH194" i="35"/>
  <c r="AJ194" i="35"/>
  <c r="AL194" i="35"/>
  <c r="AO194" i="35"/>
  <c r="AP194" i="35"/>
  <c r="AX194" i="35" s="1"/>
  <c r="BD194" i="35"/>
  <c r="BF194" i="35"/>
  <c r="BJ194" i="35"/>
  <c r="Z194" i="35" s="1"/>
  <c r="K196" i="35"/>
  <c r="Z196" i="35"/>
  <c r="AB196" i="35"/>
  <c r="AC196" i="35"/>
  <c r="AF196" i="35"/>
  <c r="AG196" i="35"/>
  <c r="AH196" i="35"/>
  <c r="AJ196" i="35"/>
  <c r="AL196" i="35"/>
  <c r="AO196" i="35"/>
  <c r="BH196" i="35" s="1"/>
  <c r="AD196" i="35" s="1"/>
  <c r="AP196" i="35"/>
  <c r="J196" i="35" s="1"/>
  <c r="BD196" i="35"/>
  <c r="BF196" i="35"/>
  <c r="BJ196" i="35"/>
  <c r="K197" i="35"/>
  <c r="Z197" i="35"/>
  <c r="AB197" i="35"/>
  <c r="AC197" i="35"/>
  <c r="AF197" i="35"/>
  <c r="AG197" i="35"/>
  <c r="AH197" i="35"/>
  <c r="AJ197" i="35"/>
  <c r="AK197" i="35"/>
  <c r="AL197" i="35"/>
  <c r="AO197" i="35"/>
  <c r="AP197" i="35"/>
  <c r="J197" i="35" s="1"/>
  <c r="BD197" i="35"/>
  <c r="BF197" i="35"/>
  <c r="BI197" i="35"/>
  <c r="AE197" i="35" s="1"/>
  <c r="BJ197" i="35"/>
  <c r="I198" i="35"/>
  <c r="K198" i="35"/>
  <c r="Z198" i="35"/>
  <c r="AB198" i="35"/>
  <c r="AC198" i="35"/>
  <c r="AF198" i="35"/>
  <c r="AG198" i="35"/>
  <c r="AH198" i="35"/>
  <c r="AJ198" i="35"/>
  <c r="AK198" i="35"/>
  <c r="AL198" i="35"/>
  <c r="AO198" i="35"/>
  <c r="AW198" i="35" s="1"/>
  <c r="AP198" i="35"/>
  <c r="J198" i="35" s="1"/>
  <c r="BD198" i="35"/>
  <c r="BF198" i="35"/>
  <c r="BJ198" i="35"/>
  <c r="K199" i="35"/>
  <c r="Z199" i="35"/>
  <c r="AB199" i="35"/>
  <c r="AC199" i="35"/>
  <c r="AF199" i="35"/>
  <c r="AG199" i="35"/>
  <c r="AH199" i="35"/>
  <c r="AJ199" i="35"/>
  <c r="AK199" i="35"/>
  <c r="AL199" i="35"/>
  <c r="AO199" i="35"/>
  <c r="AP199" i="35"/>
  <c r="BD199" i="35"/>
  <c r="BF199" i="35"/>
  <c r="BJ199" i="35"/>
  <c r="K201" i="35"/>
  <c r="AK201" i="35" s="1"/>
  <c r="Z201" i="35"/>
  <c r="AD201" i="35"/>
  <c r="AE201" i="35"/>
  <c r="AF201" i="35"/>
  <c r="AG201" i="35"/>
  <c r="AH201" i="35"/>
  <c r="AJ201" i="35"/>
  <c r="AL201" i="35"/>
  <c r="AO201" i="35"/>
  <c r="I201" i="35" s="1"/>
  <c r="AP201" i="35"/>
  <c r="J201" i="35" s="1"/>
  <c r="BD201" i="35"/>
  <c r="BF201" i="35"/>
  <c r="BJ201" i="35"/>
  <c r="K202" i="35"/>
  <c r="Z202" i="35"/>
  <c r="AD202" i="35"/>
  <c r="AE202" i="35"/>
  <c r="AF202" i="35"/>
  <c r="AG202" i="35"/>
  <c r="AH202" i="35"/>
  <c r="AJ202" i="35"/>
  <c r="AK202" i="35"/>
  <c r="AL202" i="35"/>
  <c r="AO202" i="35"/>
  <c r="AP202" i="35"/>
  <c r="BI202" i="35" s="1"/>
  <c r="AC202" i="35" s="1"/>
  <c r="BD202" i="35"/>
  <c r="BF202" i="35"/>
  <c r="BH202" i="35"/>
  <c r="AB202" i="35" s="1"/>
  <c r="BJ202" i="35"/>
  <c r="K203" i="35"/>
  <c r="Z203" i="35"/>
  <c r="AD203" i="35"/>
  <c r="AE203" i="35"/>
  <c r="AF203" i="35"/>
  <c r="AG203" i="35"/>
  <c r="AH203" i="35"/>
  <c r="AJ203" i="35"/>
  <c r="AK203" i="35"/>
  <c r="AL203" i="35"/>
  <c r="AO203" i="35"/>
  <c r="I203" i="35" s="1"/>
  <c r="AP203" i="35"/>
  <c r="J203" i="35" s="1"/>
  <c r="BD203" i="35"/>
  <c r="BF203" i="35"/>
  <c r="BH203" i="35"/>
  <c r="AB203" i="35" s="1"/>
  <c r="BJ203" i="35"/>
  <c r="K204" i="35"/>
  <c r="AK204" i="35" s="1"/>
  <c r="Z204" i="35"/>
  <c r="AD204" i="35"/>
  <c r="AE204" i="35"/>
  <c r="AF204" i="35"/>
  <c r="AG204" i="35"/>
  <c r="AH204" i="35"/>
  <c r="AJ204" i="35"/>
  <c r="AL204" i="35"/>
  <c r="AO204" i="35"/>
  <c r="I204" i="35" s="1"/>
  <c r="AP204" i="35"/>
  <c r="BD204" i="35"/>
  <c r="BF204" i="35"/>
  <c r="BH204" i="35"/>
  <c r="AB204" i="35" s="1"/>
  <c r="BJ204" i="35"/>
  <c r="K205" i="35"/>
  <c r="Z205" i="35"/>
  <c r="AD205" i="35"/>
  <c r="AE205" i="35"/>
  <c r="AF205" i="35"/>
  <c r="AG205" i="35"/>
  <c r="AH205" i="35"/>
  <c r="AJ205" i="35"/>
  <c r="AK205" i="35"/>
  <c r="AL205" i="35"/>
  <c r="AO205" i="35"/>
  <c r="I205" i="35" s="1"/>
  <c r="AP205" i="35"/>
  <c r="AX205" i="35" s="1"/>
  <c r="BD205" i="35"/>
  <c r="BF205" i="35"/>
  <c r="BH205" i="35"/>
  <c r="AB205" i="35" s="1"/>
  <c r="BJ205" i="35"/>
  <c r="K206" i="35"/>
  <c r="Z206" i="35"/>
  <c r="AD206" i="35"/>
  <c r="AE206" i="35"/>
  <c r="AF206" i="35"/>
  <c r="AG206" i="35"/>
  <c r="AH206" i="35"/>
  <c r="AJ206" i="35"/>
  <c r="AK206" i="35"/>
  <c r="AL206" i="35"/>
  <c r="AO206" i="35"/>
  <c r="I206" i="35" s="1"/>
  <c r="AP206" i="35"/>
  <c r="J206" i="35" s="1"/>
  <c r="AW206" i="35"/>
  <c r="BD206" i="35"/>
  <c r="BF206" i="35"/>
  <c r="BH206" i="35"/>
  <c r="AB206" i="35" s="1"/>
  <c r="BJ206" i="35"/>
  <c r="K207" i="35"/>
  <c r="AK207" i="35" s="1"/>
  <c r="Z207" i="35"/>
  <c r="AD207" i="35"/>
  <c r="AE207" i="35"/>
  <c r="AF207" i="35"/>
  <c r="AG207" i="35"/>
  <c r="AH207" i="35"/>
  <c r="AJ207" i="35"/>
  <c r="AL207" i="35"/>
  <c r="AO207" i="35"/>
  <c r="I207" i="35" s="1"/>
  <c r="AP207" i="35"/>
  <c r="J207" i="35" s="1"/>
  <c r="BD207" i="35"/>
  <c r="BF207" i="35"/>
  <c r="BH207" i="35"/>
  <c r="AB207" i="35" s="1"/>
  <c r="BJ207" i="35"/>
  <c r="K208" i="35"/>
  <c r="AK208" i="35" s="1"/>
  <c r="Z208" i="35"/>
  <c r="AD208" i="35"/>
  <c r="AE208" i="35"/>
  <c r="AF208" i="35"/>
  <c r="AG208" i="35"/>
  <c r="AH208" i="35"/>
  <c r="AJ208" i="35"/>
  <c r="AL208" i="35"/>
  <c r="AO208" i="35"/>
  <c r="I208" i="35" s="1"/>
  <c r="AP208" i="35"/>
  <c r="J208" i="35" s="1"/>
  <c r="BD208" i="35"/>
  <c r="BF208" i="35"/>
  <c r="BH208" i="35"/>
  <c r="AB208" i="35" s="1"/>
  <c r="BJ208" i="35"/>
  <c r="K209" i="35"/>
  <c r="AK209" i="35" s="1"/>
  <c r="Z209" i="35"/>
  <c r="AD209" i="35"/>
  <c r="AE209" i="35"/>
  <c r="AF209" i="35"/>
  <c r="AG209" i="35"/>
  <c r="AH209" i="35"/>
  <c r="AJ209" i="35"/>
  <c r="AL209" i="35"/>
  <c r="AO209" i="35"/>
  <c r="AP209" i="35"/>
  <c r="J209" i="35" s="1"/>
  <c r="BD209" i="35"/>
  <c r="BF209" i="35"/>
  <c r="BJ209" i="35"/>
  <c r="K210" i="35"/>
  <c r="AK210" i="35" s="1"/>
  <c r="Z210" i="35"/>
  <c r="AD210" i="35"/>
  <c r="AE210" i="35"/>
  <c r="AF210" i="35"/>
  <c r="AG210" i="35"/>
  <c r="AH210" i="35"/>
  <c r="AJ210" i="35"/>
  <c r="AL210" i="35"/>
  <c r="AO210" i="35"/>
  <c r="BH210" i="35" s="1"/>
  <c r="AB210" i="35" s="1"/>
  <c r="AP210" i="35"/>
  <c r="J210" i="35" s="1"/>
  <c r="BD210" i="35"/>
  <c r="BF210" i="35"/>
  <c r="BJ210" i="35"/>
  <c r="K211" i="35"/>
  <c r="AK211" i="35" s="1"/>
  <c r="Z211" i="35"/>
  <c r="AD211" i="35"/>
  <c r="AE211" i="35"/>
  <c r="AF211" i="35"/>
  <c r="AG211" i="35"/>
  <c r="AH211" i="35"/>
  <c r="AJ211" i="35"/>
  <c r="AL211" i="35"/>
  <c r="AO211" i="35"/>
  <c r="I211" i="35" s="1"/>
  <c r="AP211" i="35"/>
  <c r="J211" i="35" s="1"/>
  <c r="BD211" i="35"/>
  <c r="BF211" i="35"/>
  <c r="BH211" i="35"/>
  <c r="AB211" i="35" s="1"/>
  <c r="BJ211" i="35"/>
  <c r="K212" i="35"/>
  <c r="AK212" i="35" s="1"/>
  <c r="Z212" i="35"/>
  <c r="AD212" i="35"/>
  <c r="AE212" i="35"/>
  <c r="AF212" i="35"/>
  <c r="AG212" i="35"/>
  <c r="AH212" i="35"/>
  <c r="AJ212" i="35"/>
  <c r="AL212" i="35"/>
  <c r="AO212" i="35"/>
  <c r="I212" i="35" s="1"/>
  <c r="AP212" i="35"/>
  <c r="J212" i="35" s="1"/>
  <c r="BD212" i="35"/>
  <c r="BF212" i="35"/>
  <c r="BH212" i="35"/>
  <c r="AB212" i="35" s="1"/>
  <c r="BI212" i="35"/>
  <c r="AC212" i="35" s="1"/>
  <c r="BJ212" i="35"/>
  <c r="K213" i="35"/>
  <c r="AK213" i="35" s="1"/>
  <c r="Z213" i="35"/>
  <c r="AD213" i="35"/>
  <c r="AE213" i="35"/>
  <c r="AF213" i="35"/>
  <c r="AG213" i="35"/>
  <c r="AH213" i="35"/>
  <c r="AJ213" i="35"/>
  <c r="AL213" i="35"/>
  <c r="AO213" i="35"/>
  <c r="I213" i="35" s="1"/>
  <c r="AP213" i="35"/>
  <c r="J213" i="35" s="1"/>
  <c r="BD213" i="35"/>
  <c r="BF213" i="35"/>
  <c r="BI213" i="35"/>
  <c r="AC213" i="35" s="1"/>
  <c r="BJ213" i="35"/>
  <c r="K214" i="35"/>
  <c r="Z214" i="35"/>
  <c r="AD214" i="35"/>
  <c r="AE214" i="35"/>
  <c r="AF214" i="35"/>
  <c r="AG214" i="35"/>
  <c r="AH214" i="35"/>
  <c r="AJ214" i="35"/>
  <c r="AK214" i="35"/>
  <c r="AL214" i="35"/>
  <c r="AO214" i="35"/>
  <c r="I214" i="35" s="1"/>
  <c r="AP214" i="35"/>
  <c r="J214" i="35" s="1"/>
  <c r="BD214" i="35"/>
  <c r="BF214" i="35"/>
  <c r="BI214" i="35"/>
  <c r="AC214" i="35" s="1"/>
  <c r="BJ214" i="35"/>
  <c r="K215" i="35"/>
  <c r="AK215" i="35" s="1"/>
  <c r="Z215" i="35"/>
  <c r="AD215" i="35"/>
  <c r="AE215" i="35"/>
  <c r="AF215" i="35"/>
  <c r="AG215" i="35"/>
  <c r="AH215" i="35"/>
  <c r="AJ215" i="35"/>
  <c r="AL215" i="35"/>
  <c r="AO215" i="35"/>
  <c r="I215" i="35" s="1"/>
  <c r="AP215" i="35"/>
  <c r="J215" i="35" s="1"/>
  <c r="BD215" i="35"/>
  <c r="BF215" i="35"/>
  <c r="BH215" i="35"/>
  <c r="AB215" i="35" s="1"/>
  <c r="BJ215" i="35"/>
  <c r="K216" i="35"/>
  <c r="AK216" i="35" s="1"/>
  <c r="Z216" i="35"/>
  <c r="AD216" i="35"/>
  <c r="AE216" i="35"/>
  <c r="AF216" i="35"/>
  <c r="AG216" i="35"/>
  <c r="AH216" i="35"/>
  <c r="AJ216" i="35"/>
  <c r="AL216" i="35"/>
  <c r="AO216" i="35"/>
  <c r="AP216" i="35"/>
  <c r="J216" i="35" s="1"/>
  <c r="BD216" i="35"/>
  <c r="BF216" i="35"/>
  <c r="BI216" i="35"/>
  <c r="AC216" i="35" s="1"/>
  <c r="BJ216" i="35"/>
  <c r="K217" i="35"/>
  <c r="Z217" i="35"/>
  <c r="AB217" i="35"/>
  <c r="AD217" i="35"/>
  <c r="AE217" i="35"/>
  <c r="AF217" i="35"/>
  <c r="AG217" i="35"/>
  <c r="AH217" i="35"/>
  <c r="AJ217" i="35"/>
  <c r="AK217" i="35"/>
  <c r="AL217" i="35"/>
  <c r="AO217" i="35"/>
  <c r="I217" i="35" s="1"/>
  <c r="AP217" i="35"/>
  <c r="AW217" i="35"/>
  <c r="BD217" i="35"/>
  <c r="BF217" i="35"/>
  <c r="BH217" i="35"/>
  <c r="BI217" i="35"/>
  <c r="AC217" i="35" s="1"/>
  <c r="BJ217" i="35"/>
  <c r="K218" i="35"/>
  <c r="Z218" i="35"/>
  <c r="AD218" i="35"/>
  <c r="AE218" i="35"/>
  <c r="AF218" i="35"/>
  <c r="AG218" i="35"/>
  <c r="AH218" i="35"/>
  <c r="AJ218" i="35"/>
  <c r="AK218" i="35"/>
  <c r="AL218" i="35"/>
  <c r="AO218" i="35"/>
  <c r="AW218" i="35" s="1"/>
  <c r="AP218" i="35"/>
  <c r="J218" i="35" s="1"/>
  <c r="BD218" i="35"/>
  <c r="BF218" i="35"/>
  <c r="BH218" i="35"/>
  <c r="AB218" i="35" s="1"/>
  <c r="BJ218" i="35"/>
  <c r="K219" i="35"/>
  <c r="Z219" i="35"/>
  <c r="AD219" i="35"/>
  <c r="AE219" i="35"/>
  <c r="AF219" i="35"/>
  <c r="AG219" i="35"/>
  <c r="AH219" i="35"/>
  <c r="AJ219" i="35"/>
  <c r="AK219" i="35"/>
  <c r="AL219" i="35"/>
  <c r="AO219" i="35"/>
  <c r="AP219" i="35"/>
  <c r="J219" i="35" s="1"/>
  <c r="BD219" i="35"/>
  <c r="BF219" i="35"/>
  <c r="BH219" i="35"/>
  <c r="AB219" i="35" s="1"/>
  <c r="BJ219" i="35"/>
  <c r="K221" i="35"/>
  <c r="Z221" i="35"/>
  <c r="AD221" i="35"/>
  <c r="AE221" i="35"/>
  <c r="AF221" i="35"/>
  <c r="AG221" i="35"/>
  <c r="AH221" i="35"/>
  <c r="AJ221" i="35"/>
  <c r="AK221" i="35"/>
  <c r="AL221" i="35"/>
  <c r="AO221" i="35"/>
  <c r="I221" i="35" s="1"/>
  <c r="AP221" i="35"/>
  <c r="J221" i="35" s="1"/>
  <c r="BD221" i="35"/>
  <c r="BF221" i="35"/>
  <c r="BJ221" i="35"/>
  <c r="K222" i="35"/>
  <c r="Z222" i="35"/>
  <c r="AD222" i="35"/>
  <c r="AE222" i="35"/>
  <c r="AF222" i="35"/>
  <c r="AG222" i="35"/>
  <c r="AH222" i="35"/>
  <c r="AJ222" i="35"/>
  <c r="AK222" i="35"/>
  <c r="AL222" i="35"/>
  <c r="AO222" i="35"/>
  <c r="I222" i="35" s="1"/>
  <c r="AP222" i="35"/>
  <c r="J222" i="35" s="1"/>
  <c r="BD222" i="35"/>
  <c r="BF222" i="35"/>
  <c r="BJ222" i="35"/>
  <c r="K223" i="35"/>
  <c r="Z223" i="35"/>
  <c r="AD223" i="35"/>
  <c r="AE223" i="35"/>
  <c r="AF223" i="35"/>
  <c r="AG223" i="35"/>
  <c r="AH223" i="35"/>
  <c r="AJ223" i="35"/>
  <c r="AL223" i="35"/>
  <c r="AO223" i="35"/>
  <c r="I223" i="35" s="1"/>
  <c r="AP223" i="35"/>
  <c r="BD223" i="35"/>
  <c r="BF223" i="35"/>
  <c r="BH223" i="35"/>
  <c r="AB223" i="35" s="1"/>
  <c r="BJ223" i="35"/>
  <c r="K224" i="35"/>
  <c r="AK224" i="35" s="1"/>
  <c r="Z224" i="35"/>
  <c r="AD224" i="35"/>
  <c r="AE224" i="35"/>
  <c r="AF224" i="35"/>
  <c r="AG224" i="35"/>
  <c r="AH224" i="35"/>
  <c r="AJ224" i="35"/>
  <c r="AL224" i="35"/>
  <c r="AO224" i="35"/>
  <c r="AP224" i="35"/>
  <c r="J224" i="35" s="1"/>
  <c r="BD224" i="35"/>
  <c r="BF224" i="35"/>
  <c r="BI224" i="35"/>
  <c r="AC224" i="35" s="1"/>
  <c r="BJ224" i="35"/>
  <c r="K225" i="35"/>
  <c r="Z225" i="35"/>
  <c r="AB225" i="35"/>
  <c r="AD225" i="35"/>
  <c r="AE225" i="35"/>
  <c r="AF225" i="35"/>
  <c r="AG225" i="35"/>
  <c r="AH225" i="35"/>
  <c r="AJ225" i="35"/>
  <c r="AK225" i="35"/>
  <c r="AL225" i="35"/>
  <c r="AO225" i="35"/>
  <c r="BH225" i="35" s="1"/>
  <c r="AP225" i="35"/>
  <c r="J225" i="35" s="1"/>
  <c r="BD225" i="35"/>
  <c r="BF225" i="35"/>
  <c r="BI225" i="35"/>
  <c r="AC225" i="35" s="1"/>
  <c r="BJ225" i="35"/>
  <c r="K226" i="35"/>
  <c r="Z226" i="35"/>
  <c r="AD226" i="35"/>
  <c r="AE226" i="35"/>
  <c r="AF226" i="35"/>
  <c r="AG226" i="35"/>
  <c r="AH226" i="35"/>
  <c r="AJ226" i="35"/>
  <c r="AK226" i="35"/>
  <c r="AL226" i="35"/>
  <c r="AO226" i="35"/>
  <c r="I226" i="35" s="1"/>
  <c r="AP226" i="35"/>
  <c r="J226" i="35" s="1"/>
  <c r="AW226" i="35"/>
  <c r="BD226" i="35"/>
  <c r="BF226" i="35"/>
  <c r="BI226" i="35"/>
  <c r="AC226" i="35" s="1"/>
  <c r="BJ226" i="35"/>
  <c r="B2" i="34"/>
  <c r="E2" i="34"/>
  <c r="B4" i="34"/>
  <c r="E4" i="34"/>
  <c r="B6" i="34"/>
  <c r="E6" i="34"/>
  <c r="B8" i="34"/>
  <c r="E14" i="34"/>
  <c r="C2" i="33"/>
  <c r="F2" i="33"/>
  <c r="C4" i="33"/>
  <c r="F4" i="33"/>
  <c r="C6" i="33"/>
  <c r="F6" i="33"/>
  <c r="C10" i="33"/>
  <c r="F10" i="33"/>
  <c r="F22" i="33"/>
  <c r="I22" i="33"/>
  <c r="C2" i="32"/>
  <c r="F2" i="32"/>
  <c r="C4" i="32"/>
  <c r="F4" i="32"/>
  <c r="C6" i="32"/>
  <c r="F6" i="32"/>
  <c r="C8" i="32"/>
  <c r="K13" i="31"/>
  <c r="K12" i="31" s="1"/>
  <c r="Z13" i="31"/>
  <c r="AD13" i="31"/>
  <c r="AE13" i="31"/>
  <c r="AF13" i="31"/>
  <c r="AG13" i="31"/>
  <c r="AH13" i="31"/>
  <c r="AJ13" i="31"/>
  <c r="AS12" i="31" s="1"/>
  <c r="AK13" i="31"/>
  <c r="AT12" i="31" s="1"/>
  <c r="AL13" i="31"/>
  <c r="AU12" i="31" s="1"/>
  <c r="AO13" i="31"/>
  <c r="I13" i="31" s="1"/>
  <c r="I12" i="31" s="1"/>
  <c r="E11" i="30" s="1"/>
  <c r="AP13" i="31"/>
  <c r="AX13" i="31" s="1"/>
  <c r="BD13" i="31"/>
  <c r="BF13" i="31"/>
  <c r="BJ13" i="31"/>
  <c r="K15" i="31"/>
  <c r="Z15" i="31"/>
  <c r="AD15" i="31"/>
  <c r="AE15" i="31"/>
  <c r="AF15" i="31"/>
  <c r="AG15" i="31"/>
  <c r="AH15" i="31"/>
  <c r="AJ15" i="31"/>
  <c r="AL15" i="31"/>
  <c r="AO15" i="31"/>
  <c r="BH15" i="31" s="1"/>
  <c r="AB15" i="31" s="1"/>
  <c r="AP15" i="31"/>
  <c r="J15" i="31" s="1"/>
  <c r="BD15" i="31"/>
  <c r="BF15" i="31"/>
  <c r="BI15" i="31"/>
  <c r="AC15" i="31" s="1"/>
  <c r="BJ15" i="31"/>
  <c r="K16" i="31"/>
  <c r="AK16" i="31" s="1"/>
  <c r="Z16" i="31"/>
  <c r="AD16" i="31"/>
  <c r="AE16" i="31"/>
  <c r="AF16" i="31"/>
  <c r="AG16" i="31"/>
  <c r="AH16" i="31"/>
  <c r="AJ16" i="31"/>
  <c r="AL16" i="31"/>
  <c r="AO16" i="31"/>
  <c r="AW16" i="31" s="1"/>
  <c r="AP16" i="31"/>
  <c r="BD16" i="31"/>
  <c r="BF16" i="31"/>
  <c r="BH16" i="31"/>
  <c r="AB16" i="31" s="1"/>
  <c r="BJ16" i="31"/>
  <c r="K17" i="31"/>
  <c r="Z17" i="31"/>
  <c r="AD17" i="31"/>
  <c r="AE17" i="31"/>
  <c r="AF17" i="31"/>
  <c r="AG17" i="31"/>
  <c r="AH17" i="31"/>
  <c r="AJ17" i="31"/>
  <c r="AK17" i="31"/>
  <c r="AL17" i="31"/>
  <c r="AO17" i="31"/>
  <c r="I17" i="31" s="1"/>
  <c r="AP17" i="31"/>
  <c r="J17" i="31" s="1"/>
  <c r="AW17" i="31"/>
  <c r="BD17" i="31"/>
  <c r="BF17" i="31"/>
  <c r="BH17" i="31"/>
  <c r="AB17" i="31" s="1"/>
  <c r="BI17" i="31"/>
  <c r="AC17" i="31" s="1"/>
  <c r="BJ17" i="31"/>
  <c r="K19" i="31"/>
  <c r="Z19" i="31"/>
  <c r="AD19" i="31"/>
  <c r="AE19" i="31"/>
  <c r="AF19" i="31"/>
  <c r="AG19" i="31"/>
  <c r="AH19" i="31"/>
  <c r="AJ19" i="31"/>
  <c r="AS18" i="31" s="1"/>
  <c r="AK19" i="31"/>
  <c r="AL19" i="31"/>
  <c r="AO19" i="31"/>
  <c r="I19" i="31" s="1"/>
  <c r="AP19" i="31"/>
  <c r="J19" i="31" s="1"/>
  <c r="J18" i="31" s="1"/>
  <c r="F13" i="30" s="1"/>
  <c r="BD19" i="31"/>
  <c r="BF19" i="31"/>
  <c r="BJ19" i="31"/>
  <c r="K20" i="31"/>
  <c r="Z20" i="31"/>
  <c r="AD20" i="31"/>
  <c r="AE20" i="31"/>
  <c r="AF20" i="31"/>
  <c r="AG20" i="31"/>
  <c r="AH20" i="31"/>
  <c r="AJ20" i="31"/>
  <c r="AK20" i="31"/>
  <c r="AL20" i="31"/>
  <c r="AO20" i="31"/>
  <c r="AP20" i="31"/>
  <c r="J20" i="31" s="1"/>
  <c r="BD20" i="31"/>
  <c r="BF20" i="31"/>
  <c r="BI20" i="31"/>
  <c r="AC20" i="31" s="1"/>
  <c r="BJ20" i="31"/>
  <c r="K22" i="31"/>
  <c r="Z22" i="31"/>
  <c r="AD22" i="31"/>
  <c r="AE22" i="31"/>
  <c r="AF22" i="31"/>
  <c r="AG22" i="31"/>
  <c r="AH22" i="31"/>
  <c r="AJ22" i="31"/>
  <c r="AK22" i="31"/>
  <c r="AL22" i="31"/>
  <c r="AO22" i="31"/>
  <c r="I22" i="31" s="1"/>
  <c r="AP22" i="31"/>
  <c r="J22" i="31" s="1"/>
  <c r="AX22" i="31"/>
  <c r="BD22" i="31"/>
  <c r="BF22" i="31"/>
  <c r="BI22" i="31"/>
  <c r="AC22" i="31" s="1"/>
  <c r="BJ22" i="31"/>
  <c r="K23" i="31"/>
  <c r="Z23" i="31"/>
  <c r="AD23" i="31"/>
  <c r="AE23" i="31"/>
  <c r="AF23" i="31"/>
  <c r="AG23" i="31"/>
  <c r="AH23" i="31"/>
  <c r="AJ23" i="31"/>
  <c r="AK23" i="31"/>
  <c r="AL23" i="31"/>
  <c r="AO23" i="31"/>
  <c r="AP23" i="31"/>
  <c r="BD23" i="31"/>
  <c r="BF23" i="31"/>
  <c r="BH23" i="31"/>
  <c r="AB23" i="31" s="1"/>
  <c r="BJ23" i="31"/>
  <c r="K25" i="31"/>
  <c r="AK25" i="31" s="1"/>
  <c r="Z25" i="31"/>
  <c r="AD25" i="31"/>
  <c r="AE25" i="31"/>
  <c r="AF25" i="31"/>
  <c r="AG25" i="31"/>
  <c r="AH25" i="31"/>
  <c r="AJ25" i="31"/>
  <c r="AL25" i="31"/>
  <c r="AO25" i="31"/>
  <c r="AP25" i="31"/>
  <c r="J25" i="31" s="1"/>
  <c r="BD25" i="31"/>
  <c r="BF25" i="31"/>
  <c r="BI25" i="31"/>
  <c r="AC25" i="31" s="1"/>
  <c r="BJ25" i="31"/>
  <c r="K26" i="31"/>
  <c r="AK26" i="31" s="1"/>
  <c r="Z26" i="31"/>
  <c r="AD26" i="31"/>
  <c r="AE26" i="31"/>
  <c r="AF26" i="31"/>
  <c r="AG26" i="31"/>
  <c r="AH26" i="31"/>
  <c r="AJ26" i="31"/>
  <c r="AL26" i="31"/>
  <c r="AO26" i="31"/>
  <c r="AP26" i="31"/>
  <c r="BD26" i="31"/>
  <c r="BF26" i="31"/>
  <c r="BH26" i="31"/>
  <c r="AB26" i="31" s="1"/>
  <c r="BJ26" i="31"/>
  <c r="K27" i="31"/>
  <c r="Z27" i="31"/>
  <c r="AD27" i="31"/>
  <c r="AE27" i="31"/>
  <c r="AF27" i="31"/>
  <c r="AG27" i="31"/>
  <c r="AH27" i="31"/>
  <c r="AJ27" i="31"/>
  <c r="AK27" i="31"/>
  <c r="AL27" i="31"/>
  <c r="AO27" i="31"/>
  <c r="I27" i="31" s="1"/>
  <c r="AP27" i="31"/>
  <c r="BD27" i="31"/>
  <c r="BF27" i="31"/>
  <c r="BH27" i="31"/>
  <c r="AB27" i="31" s="1"/>
  <c r="BJ27" i="31"/>
  <c r="K29" i="31"/>
  <c r="Z29" i="31"/>
  <c r="AD29" i="31"/>
  <c r="AE29" i="31"/>
  <c r="AF29" i="31"/>
  <c r="AG29" i="31"/>
  <c r="AH29" i="31"/>
  <c r="AJ29" i="31"/>
  <c r="AK29" i="31"/>
  <c r="AL29" i="31"/>
  <c r="AO29" i="31"/>
  <c r="I29" i="31" s="1"/>
  <c r="AP29" i="31"/>
  <c r="J29" i="31" s="1"/>
  <c r="AW29" i="31"/>
  <c r="BD29" i="31"/>
  <c r="BF29" i="31"/>
  <c r="BH29" i="31"/>
  <c r="AB29" i="31" s="1"/>
  <c r="BJ29" i="31"/>
  <c r="K30" i="31"/>
  <c r="Z30" i="31"/>
  <c r="AD30" i="31"/>
  <c r="AE30" i="31"/>
  <c r="AF30" i="31"/>
  <c r="AG30" i="31"/>
  <c r="AH30" i="31"/>
  <c r="AJ30" i="31"/>
  <c r="AK30" i="31"/>
  <c r="AL30" i="31"/>
  <c r="AO30" i="31"/>
  <c r="AP30" i="31"/>
  <c r="BI30" i="31" s="1"/>
  <c r="AC30" i="31" s="1"/>
  <c r="BD30" i="31"/>
  <c r="BF30" i="31"/>
  <c r="BJ30" i="31"/>
  <c r="K31" i="31"/>
  <c r="AK31" i="31" s="1"/>
  <c r="Z31" i="31"/>
  <c r="AD31" i="31"/>
  <c r="AE31" i="31"/>
  <c r="AF31" i="31"/>
  <c r="AG31" i="31"/>
  <c r="AH31" i="31"/>
  <c r="AJ31" i="31"/>
  <c r="AL31" i="31"/>
  <c r="AO31" i="31"/>
  <c r="BH31" i="31" s="1"/>
  <c r="AB31" i="31" s="1"/>
  <c r="AP31" i="31"/>
  <c r="J31" i="31" s="1"/>
  <c r="BD31" i="31"/>
  <c r="BF31" i="31"/>
  <c r="BJ31" i="31"/>
  <c r="K32" i="31"/>
  <c r="Z32" i="31"/>
  <c r="AD32" i="31"/>
  <c r="AE32" i="31"/>
  <c r="AF32" i="31"/>
  <c r="AG32" i="31"/>
  <c r="AH32" i="31"/>
  <c r="AJ32" i="31"/>
  <c r="AK32" i="31"/>
  <c r="AL32" i="31"/>
  <c r="AO32" i="31"/>
  <c r="AP32" i="31"/>
  <c r="J32" i="31" s="1"/>
  <c r="AX32" i="31"/>
  <c r="BD32" i="31"/>
  <c r="BF32" i="31"/>
  <c r="BI32" i="31"/>
  <c r="AC32" i="31" s="1"/>
  <c r="BJ32" i="31"/>
  <c r="K33" i="31"/>
  <c r="Z33" i="31"/>
  <c r="AD33" i="31"/>
  <c r="AE33" i="31"/>
  <c r="AF33" i="31"/>
  <c r="AG33" i="31"/>
  <c r="AH33" i="31"/>
  <c r="AJ33" i="31"/>
  <c r="AK33" i="31"/>
  <c r="AL33" i="31"/>
  <c r="AO33" i="31"/>
  <c r="AP33" i="31"/>
  <c r="BD33" i="31"/>
  <c r="BF33" i="31"/>
  <c r="BH33" i="31"/>
  <c r="AB33" i="31" s="1"/>
  <c r="BJ33" i="31"/>
  <c r="K34" i="31"/>
  <c r="Z34" i="31"/>
  <c r="AD34" i="31"/>
  <c r="AE34" i="31"/>
  <c r="AF34" i="31"/>
  <c r="AG34" i="31"/>
  <c r="AH34" i="31"/>
  <c r="AJ34" i="31"/>
  <c r="AK34" i="31"/>
  <c r="AL34" i="31"/>
  <c r="AO34" i="31"/>
  <c r="I34" i="31" s="1"/>
  <c r="AP34" i="31"/>
  <c r="BD34" i="31"/>
  <c r="BF34" i="31"/>
  <c r="BH34" i="31"/>
  <c r="AB34" i="31" s="1"/>
  <c r="BJ34" i="31"/>
  <c r="K35" i="31"/>
  <c r="AK35" i="31" s="1"/>
  <c r="Z35" i="31"/>
  <c r="AD35" i="31"/>
  <c r="AE35" i="31"/>
  <c r="AF35" i="31"/>
  <c r="AG35" i="31"/>
  <c r="AH35" i="31"/>
  <c r="AJ35" i="31"/>
  <c r="AL35" i="31"/>
  <c r="AO35" i="31"/>
  <c r="AP35" i="31"/>
  <c r="J35" i="31" s="1"/>
  <c r="AX35" i="31"/>
  <c r="BD35" i="31"/>
  <c r="BF35" i="31"/>
  <c r="BI35" i="31"/>
  <c r="AC35" i="31" s="1"/>
  <c r="BJ35" i="31"/>
  <c r="K36" i="31"/>
  <c r="AK36" i="31" s="1"/>
  <c r="Z36" i="31"/>
  <c r="AD36" i="31"/>
  <c r="AE36" i="31"/>
  <c r="AF36" i="31"/>
  <c r="AG36" i="31"/>
  <c r="AH36" i="31"/>
  <c r="AJ36" i="31"/>
  <c r="AL36" i="31"/>
  <c r="AO36" i="31"/>
  <c r="AP36" i="31"/>
  <c r="BD36" i="31"/>
  <c r="BF36" i="31"/>
  <c r="BH36" i="31"/>
  <c r="AB36" i="31" s="1"/>
  <c r="BJ36" i="31"/>
  <c r="K37" i="31"/>
  <c r="Z37" i="31"/>
  <c r="AD37" i="31"/>
  <c r="AE37" i="31"/>
  <c r="AF37" i="31"/>
  <c r="AG37" i="31"/>
  <c r="AH37" i="31"/>
  <c r="AJ37" i="31"/>
  <c r="AK37" i="31"/>
  <c r="AL37" i="31"/>
  <c r="AO37" i="31"/>
  <c r="AW37" i="31" s="1"/>
  <c r="AP37" i="31"/>
  <c r="J37" i="31" s="1"/>
  <c r="BD37" i="31"/>
  <c r="BF37" i="31"/>
  <c r="BH37" i="31"/>
  <c r="AB37" i="31" s="1"/>
  <c r="BI37" i="31"/>
  <c r="AC37" i="31" s="1"/>
  <c r="BJ37" i="31"/>
  <c r="K38" i="31"/>
  <c r="Z38" i="31"/>
  <c r="AD38" i="31"/>
  <c r="AE38" i="31"/>
  <c r="AF38" i="31"/>
  <c r="AG38" i="31"/>
  <c r="AH38" i="31"/>
  <c r="AJ38" i="31"/>
  <c r="AK38" i="31"/>
  <c r="AL38" i="31"/>
  <c r="AO38" i="31"/>
  <c r="AP38" i="31"/>
  <c r="BD38" i="31"/>
  <c r="BF38" i="31"/>
  <c r="BJ38" i="31"/>
  <c r="K39" i="31"/>
  <c r="AK39" i="31" s="1"/>
  <c r="Z39" i="31"/>
  <c r="AD39" i="31"/>
  <c r="AE39" i="31"/>
  <c r="AF39" i="31"/>
  <c r="AG39" i="31"/>
  <c r="AH39" i="31"/>
  <c r="AJ39" i="31"/>
  <c r="AL39" i="31"/>
  <c r="AO39" i="31"/>
  <c r="AP39" i="31"/>
  <c r="J39" i="31" s="1"/>
  <c r="BD39" i="31"/>
  <c r="BF39" i="31"/>
  <c r="BI39" i="31"/>
  <c r="AC39" i="31" s="1"/>
  <c r="BJ39" i="31"/>
  <c r="K40" i="31"/>
  <c r="Z40" i="31"/>
  <c r="AD40" i="31"/>
  <c r="AE40" i="31"/>
  <c r="AF40" i="31"/>
  <c r="AG40" i="31"/>
  <c r="AH40" i="31"/>
  <c r="AJ40" i="31"/>
  <c r="AK40" i="31"/>
  <c r="AL40" i="31"/>
  <c r="AO40" i="31"/>
  <c r="I40" i="31" s="1"/>
  <c r="AP40" i="31"/>
  <c r="AX40" i="31" s="1"/>
  <c r="AW40" i="31"/>
  <c r="BD40" i="31"/>
  <c r="BF40" i="31"/>
  <c r="BI40" i="31"/>
  <c r="AC40" i="31" s="1"/>
  <c r="BJ40" i="31"/>
  <c r="K41" i="31"/>
  <c r="Z41" i="31"/>
  <c r="AD41" i="31"/>
  <c r="AE41" i="31"/>
  <c r="AF41" i="31"/>
  <c r="AG41" i="31"/>
  <c r="AH41" i="31"/>
  <c r="AJ41" i="31"/>
  <c r="AK41" i="31"/>
  <c r="AL41" i="31"/>
  <c r="AO41" i="31"/>
  <c r="I41" i="31" s="1"/>
  <c r="AP41" i="31"/>
  <c r="J41" i="31" s="1"/>
  <c r="AW41" i="31"/>
  <c r="BD41" i="31"/>
  <c r="BF41" i="31"/>
  <c r="BJ41" i="31"/>
  <c r="K42" i="31"/>
  <c r="Z42" i="31"/>
  <c r="AD42" i="31"/>
  <c r="AE42" i="31"/>
  <c r="AF42" i="31"/>
  <c r="AG42" i="31"/>
  <c r="AH42" i="31"/>
  <c r="AJ42" i="31"/>
  <c r="AK42" i="31"/>
  <c r="AL42" i="31"/>
  <c r="AO42" i="31"/>
  <c r="I42" i="31" s="1"/>
  <c r="AP42" i="31"/>
  <c r="BI42" i="31" s="1"/>
  <c r="AC42" i="31" s="1"/>
  <c r="BD42" i="31"/>
  <c r="BF42" i="31"/>
  <c r="BH42" i="31"/>
  <c r="AB42" i="31" s="1"/>
  <c r="BJ42" i="31"/>
  <c r="K43" i="31"/>
  <c r="AK43" i="31" s="1"/>
  <c r="Z43" i="31"/>
  <c r="AD43" i="31"/>
  <c r="AE43" i="31"/>
  <c r="AF43" i="31"/>
  <c r="AG43" i="31"/>
  <c r="AH43" i="31"/>
  <c r="AJ43" i="31"/>
  <c r="AL43" i="31"/>
  <c r="AO43" i="31"/>
  <c r="BH43" i="31" s="1"/>
  <c r="AB43" i="31" s="1"/>
  <c r="AP43" i="31"/>
  <c r="BD43" i="31"/>
  <c r="BF43" i="31"/>
  <c r="BJ43" i="31"/>
  <c r="K44" i="31"/>
  <c r="Z44" i="31"/>
  <c r="AD44" i="31"/>
  <c r="AE44" i="31"/>
  <c r="AF44" i="31"/>
  <c r="AG44" i="31"/>
  <c r="AH44" i="31"/>
  <c r="AJ44" i="31"/>
  <c r="AK44" i="31"/>
  <c r="AL44" i="31"/>
  <c r="AO44" i="31"/>
  <c r="AP44" i="31"/>
  <c r="AX44" i="31" s="1"/>
  <c r="BD44" i="31"/>
  <c r="BF44" i="31"/>
  <c r="BJ44" i="31"/>
  <c r="K45" i="31"/>
  <c r="Z45" i="31"/>
  <c r="AD45" i="31"/>
  <c r="AE45" i="31"/>
  <c r="AF45" i="31"/>
  <c r="AG45" i="31"/>
  <c r="AH45" i="31"/>
  <c r="AJ45" i="31"/>
  <c r="AK45" i="31"/>
  <c r="AL45" i="31"/>
  <c r="AO45" i="31"/>
  <c r="I45" i="31" s="1"/>
  <c r="AP45" i="31"/>
  <c r="J45" i="31" s="1"/>
  <c r="BD45" i="31"/>
  <c r="BF45" i="31"/>
  <c r="BJ45" i="31"/>
  <c r="K47" i="31"/>
  <c r="AK47" i="31" s="1"/>
  <c r="Z47" i="31"/>
  <c r="AD47" i="31"/>
  <c r="AE47" i="31"/>
  <c r="AF47" i="31"/>
  <c r="AG47" i="31"/>
  <c r="AH47" i="31"/>
  <c r="AJ47" i="31"/>
  <c r="AL47" i="31"/>
  <c r="AO47" i="31"/>
  <c r="AP47" i="31"/>
  <c r="BD47" i="31"/>
  <c r="BF47" i="31"/>
  <c r="BH47" i="31"/>
  <c r="AB47" i="31" s="1"/>
  <c r="BJ47" i="31"/>
  <c r="K48" i="31"/>
  <c r="AK48" i="31" s="1"/>
  <c r="Z48" i="31"/>
  <c r="AD48" i="31"/>
  <c r="AE48" i="31"/>
  <c r="AF48" i="31"/>
  <c r="AG48" i="31"/>
  <c r="AH48" i="31"/>
  <c r="AJ48" i="31"/>
  <c r="AL48" i="31"/>
  <c r="AO48" i="31"/>
  <c r="I48" i="31" s="1"/>
  <c r="AP48" i="31"/>
  <c r="J48" i="31" s="1"/>
  <c r="AW48" i="31"/>
  <c r="BD48" i="31"/>
  <c r="BF48" i="31"/>
  <c r="BH48" i="31"/>
  <c r="AB48" i="31" s="1"/>
  <c r="BJ48" i="31"/>
  <c r="K49" i="31"/>
  <c r="Z49" i="31"/>
  <c r="AD49" i="31"/>
  <c r="AE49" i="31"/>
  <c r="AF49" i="31"/>
  <c r="AG49" i="31"/>
  <c r="AH49" i="31"/>
  <c r="AJ49" i="31"/>
  <c r="AK49" i="31"/>
  <c r="AL49" i="31"/>
  <c r="AO49" i="31"/>
  <c r="I49" i="31" s="1"/>
  <c r="AP49" i="31"/>
  <c r="AW49" i="31"/>
  <c r="BD49" i="31"/>
  <c r="BF49" i="31"/>
  <c r="BH49" i="31"/>
  <c r="AB49" i="31" s="1"/>
  <c r="BJ49" i="31"/>
  <c r="K50" i="31"/>
  <c r="AK50" i="31" s="1"/>
  <c r="Z50" i="31"/>
  <c r="AD50" i="31"/>
  <c r="AE50" i="31"/>
  <c r="AF50" i="31"/>
  <c r="AG50" i="31"/>
  <c r="AH50" i="31"/>
  <c r="AJ50" i="31"/>
  <c r="AL50" i="31"/>
  <c r="AO50" i="31"/>
  <c r="AP50" i="31"/>
  <c r="BD50" i="31"/>
  <c r="BF50" i="31"/>
  <c r="BJ50" i="31"/>
  <c r="K51" i="31"/>
  <c r="Z51" i="31"/>
  <c r="AD51" i="31"/>
  <c r="AE51" i="31"/>
  <c r="AF51" i="31"/>
  <c r="AG51" i="31"/>
  <c r="AH51" i="31"/>
  <c r="AJ51" i="31"/>
  <c r="AK51" i="31"/>
  <c r="AL51" i="31"/>
  <c r="AO51" i="31"/>
  <c r="I51" i="31" s="1"/>
  <c r="AP51" i="31"/>
  <c r="AX51" i="31" s="1"/>
  <c r="AW51" i="31"/>
  <c r="BD51" i="31"/>
  <c r="BF51" i="31"/>
  <c r="BI51" i="31"/>
  <c r="AC51" i="31" s="1"/>
  <c r="BJ51" i="31"/>
  <c r="K52" i="31"/>
  <c r="Z52" i="31"/>
  <c r="AD52" i="31"/>
  <c r="AE52" i="31"/>
  <c r="AF52" i="31"/>
  <c r="AG52" i="31"/>
  <c r="AH52" i="31"/>
  <c r="AJ52" i="31"/>
  <c r="AK52" i="31"/>
  <c r="AL52" i="31"/>
  <c r="AO52" i="31"/>
  <c r="AP52" i="31"/>
  <c r="J52" i="31" s="1"/>
  <c r="BD52" i="31"/>
  <c r="BF52" i="31"/>
  <c r="BJ52" i="31"/>
  <c r="K54" i="31"/>
  <c r="Z54" i="31"/>
  <c r="AD54" i="31"/>
  <c r="AE54" i="31"/>
  <c r="AF54" i="31"/>
  <c r="AG54" i="31"/>
  <c r="AH54" i="31"/>
  <c r="AJ54" i="31"/>
  <c r="AK54" i="31"/>
  <c r="AL54" i="31"/>
  <c r="AO54" i="31"/>
  <c r="AP54" i="31"/>
  <c r="J54" i="31" s="1"/>
  <c r="AX54" i="31"/>
  <c r="BD54" i="31"/>
  <c r="BF54" i="31"/>
  <c r="BI54" i="31"/>
  <c r="AC54" i="31" s="1"/>
  <c r="BJ54" i="31"/>
  <c r="K55" i="31"/>
  <c r="AK55" i="31" s="1"/>
  <c r="Z55" i="31"/>
  <c r="AD55" i="31"/>
  <c r="AE55" i="31"/>
  <c r="AF55" i="31"/>
  <c r="AG55" i="31"/>
  <c r="AH55" i="31"/>
  <c r="AJ55" i="31"/>
  <c r="AL55" i="31"/>
  <c r="AO55" i="31"/>
  <c r="I55" i="31" s="1"/>
  <c r="AP55" i="31"/>
  <c r="AW55" i="31"/>
  <c r="BD55" i="31"/>
  <c r="BF55" i="31"/>
  <c r="BH55" i="31"/>
  <c r="AB55" i="31" s="1"/>
  <c r="BJ55" i="31"/>
  <c r="K56" i="31"/>
  <c r="Z56" i="31"/>
  <c r="AD56" i="31"/>
  <c r="AE56" i="31"/>
  <c r="AF56" i="31"/>
  <c r="AG56" i="31"/>
  <c r="AH56" i="31"/>
  <c r="AJ56" i="31"/>
  <c r="AK56" i="31"/>
  <c r="AL56" i="31"/>
  <c r="AO56" i="31"/>
  <c r="I56" i="31" s="1"/>
  <c r="AP56" i="31"/>
  <c r="BD56" i="31"/>
  <c r="BF56" i="31"/>
  <c r="BH56" i="31"/>
  <c r="AB56" i="31" s="1"/>
  <c r="BI56" i="31"/>
  <c r="AC56" i="31" s="1"/>
  <c r="BJ56" i="31"/>
  <c r="K57" i="31"/>
  <c r="AK57" i="31" s="1"/>
  <c r="Z57" i="31"/>
  <c r="AD57" i="31"/>
  <c r="AE57" i="31"/>
  <c r="AF57" i="31"/>
  <c r="AG57" i="31"/>
  <c r="AH57" i="31"/>
  <c r="AJ57" i="31"/>
  <c r="AL57" i="31"/>
  <c r="AO57" i="31"/>
  <c r="AP57" i="31"/>
  <c r="J57" i="31" s="1"/>
  <c r="BD57" i="31"/>
  <c r="BF57" i="31"/>
  <c r="BH57" i="31"/>
  <c r="AB57" i="31" s="1"/>
  <c r="BJ57" i="31"/>
  <c r="K59" i="31"/>
  <c r="Z59" i="31"/>
  <c r="AD59" i="31"/>
  <c r="AE59" i="31"/>
  <c r="AF59" i="31"/>
  <c r="AG59" i="31"/>
  <c r="AH59" i="31"/>
  <c r="AJ59" i="31"/>
  <c r="AK59" i="31"/>
  <c r="AL59" i="31"/>
  <c r="AO59" i="31"/>
  <c r="I59" i="31" s="1"/>
  <c r="AP59" i="31"/>
  <c r="BI59" i="31" s="1"/>
  <c r="AC59" i="31" s="1"/>
  <c r="BD59" i="31"/>
  <c r="BF59" i="31"/>
  <c r="BH59" i="31"/>
  <c r="AB59" i="31" s="1"/>
  <c r="BJ59" i="31"/>
  <c r="K60" i="31"/>
  <c r="AK60" i="31" s="1"/>
  <c r="Z60" i="31"/>
  <c r="AD60" i="31"/>
  <c r="AE60" i="31"/>
  <c r="AF60" i="31"/>
  <c r="AG60" i="31"/>
  <c r="AH60" i="31"/>
  <c r="AJ60" i="31"/>
  <c r="AL60" i="31"/>
  <c r="AO60" i="31"/>
  <c r="AP60" i="31"/>
  <c r="BD60" i="31"/>
  <c r="BF60" i="31"/>
  <c r="BH60" i="31"/>
  <c r="AB60" i="31" s="1"/>
  <c r="BJ60" i="31"/>
  <c r="K61" i="31"/>
  <c r="Z61" i="31"/>
  <c r="AD61" i="31"/>
  <c r="AE61" i="31"/>
  <c r="AF61" i="31"/>
  <c r="AG61" i="31"/>
  <c r="AH61" i="31"/>
  <c r="AJ61" i="31"/>
  <c r="AK61" i="31"/>
  <c r="AL61" i="31"/>
  <c r="AO61" i="31"/>
  <c r="I61" i="31" s="1"/>
  <c r="AP61" i="31"/>
  <c r="J61" i="31" s="1"/>
  <c r="BD61" i="31"/>
  <c r="BF61" i="31"/>
  <c r="BH61" i="31"/>
  <c r="AB61" i="31" s="1"/>
  <c r="BJ61" i="31"/>
  <c r="K62" i="31"/>
  <c r="AK62" i="31" s="1"/>
  <c r="Z62" i="31"/>
  <c r="AD62" i="31"/>
  <c r="AE62" i="31"/>
  <c r="AF62" i="31"/>
  <c r="AG62" i="31"/>
  <c r="AH62" i="31"/>
  <c r="AJ62" i="31"/>
  <c r="AL62" i="31"/>
  <c r="AO62" i="31"/>
  <c r="I62" i="31" s="1"/>
  <c r="AP62" i="31"/>
  <c r="AX62" i="31" s="1"/>
  <c r="BD62" i="31"/>
  <c r="BF62" i="31"/>
  <c r="BH62" i="31"/>
  <c r="AB62" i="31" s="1"/>
  <c r="BI62" i="31"/>
  <c r="AC62" i="31" s="1"/>
  <c r="BJ62" i="31"/>
  <c r="K63" i="31"/>
  <c r="AK63" i="31" s="1"/>
  <c r="Z63" i="31"/>
  <c r="AD63" i="31"/>
  <c r="AE63" i="31"/>
  <c r="AF63" i="31"/>
  <c r="AG63" i="31"/>
  <c r="AH63" i="31"/>
  <c r="AJ63" i="31"/>
  <c r="AL63" i="31"/>
  <c r="AO63" i="31"/>
  <c r="AW63" i="31" s="1"/>
  <c r="AP63" i="31"/>
  <c r="J63" i="31" s="1"/>
  <c r="BD63" i="31"/>
  <c r="BF63" i="31"/>
  <c r="BI63" i="31"/>
  <c r="AC63" i="31" s="1"/>
  <c r="BJ63" i="31"/>
  <c r="K65" i="31"/>
  <c r="Z65" i="31"/>
  <c r="AD65" i="31"/>
  <c r="AE65" i="31"/>
  <c r="AF65" i="31"/>
  <c r="AG65" i="31"/>
  <c r="AH65" i="31"/>
  <c r="AJ65" i="31"/>
  <c r="AK65" i="31"/>
  <c r="AL65" i="31"/>
  <c r="AO65" i="31"/>
  <c r="AP65" i="31"/>
  <c r="BD65" i="31"/>
  <c r="BF65" i="31"/>
  <c r="BH65" i="31"/>
  <c r="AB65" i="31" s="1"/>
  <c r="BJ65" i="31"/>
  <c r="K66" i="31"/>
  <c r="Z66" i="31"/>
  <c r="AD66" i="31"/>
  <c r="AE66" i="31"/>
  <c r="AF66" i="31"/>
  <c r="AG66" i="31"/>
  <c r="AH66" i="31"/>
  <c r="AJ66" i="31"/>
  <c r="AK66" i="31"/>
  <c r="AL66" i="31"/>
  <c r="AO66" i="31"/>
  <c r="AP66" i="31"/>
  <c r="J66" i="31" s="1"/>
  <c r="AX66" i="31"/>
  <c r="BD66" i="31"/>
  <c r="BF66" i="31"/>
  <c r="BI66" i="31"/>
  <c r="AC66" i="31" s="1"/>
  <c r="BJ66" i="31"/>
  <c r="K67" i="31"/>
  <c r="AK67" i="31" s="1"/>
  <c r="Z67" i="31"/>
  <c r="AD67" i="31"/>
  <c r="AE67" i="31"/>
  <c r="AF67" i="31"/>
  <c r="AG67" i="31"/>
  <c r="AH67" i="31"/>
  <c r="AJ67" i="31"/>
  <c r="AL67" i="31"/>
  <c r="AO67" i="31"/>
  <c r="I67" i="31" s="1"/>
  <c r="AP67" i="31"/>
  <c r="J67" i="31" s="1"/>
  <c r="AW67" i="31"/>
  <c r="BD67" i="31"/>
  <c r="BF67" i="31"/>
  <c r="BH67" i="31"/>
  <c r="AB67" i="31" s="1"/>
  <c r="BI67" i="31"/>
  <c r="AC67" i="31" s="1"/>
  <c r="BJ67" i="31"/>
  <c r="K68" i="31"/>
  <c r="Z68" i="31"/>
  <c r="AC68" i="31"/>
  <c r="AD68" i="31"/>
  <c r="AE68" i="31"/>
  <c r="AF68" i="31"/>
  <c r="AG68" i="31"/>
  <c r="AH68" i="31"/>
  <c r="AJ68" i="31"/>
  <c r="AK68" i="31"/>
  <c r="AL68" i="31"/>
  <c r="AO68" i="31"/>
  <c r="I68" i="31" s="1"/>
  <c r="AP68" i="31"/>
  <c r="J68" i="31" s="1"/>
  <c r="BD68" i="31"/>
  <c r="BF68" i="31"/>
  <c r="BH68" i="31"/>
  <c r="AB68" i="31" s="1"/>
  <c r="BI68" i="31"/>
  <c r="BJ68" i="31"/>
  <c r="K69" i="31"/>
  <c r="Z69" i="31"/>
  <c r="AD69" i="31"/>
  <c r="AE69" i="31"/>
  <c r="AF69" i="31"/>
  <c r="AG69" i="31"/>
  <c r="AH69" i="31"/>
  <c r="AJ69" i="31"/>
  <c r="AK69" i="31"/>
  <c r="AL69" i="31"/>
  <c r="AO69" i="31"/>
  <c r="I69" i="31" s="1"/>
  <c r="AP69" i="31"/>
  <c r="AX69" i="31" s="1"/>
  <c r="AW69" i="31"/>
  <c r="AV69" i="31" s="1"/>
  <c r="BD69" i="31"/>
  <c r="BF69" i="31"/>
  <c r="BH69" i="31"/>
  <c r="AB69" i="31" s="1"/>
  <c r="BI69" i="31"/>
  <c r="AC69" i="31" s="1"/>
  <c r="BJ69" i="31"/>
  <c r="K70" i="31"/>
  <c r="Z70" i="31"/>
  <c r="AD70" i="31"/>
  <c r="AE70" i="31"/>
  <c r="AF70" i="31"/>
  <c r="AG70" i="31"/>
  <c r="AH70" i="31"/>
  <c r="AJ70" i="31"/>
  <c r="AK70" i="31"/>
  <c r="AL70" i="31"/>
  <c r="AO70" i="31"/>
  <c r="AW70" i="31" s="1"/>
  <c r="AP70" i="31"/>
  <c r="BD70" i="31"/>
  <c r="BF70" i="31"/>
  <c r="BJ70" i="31"/>
  <c r="K71" i="31"/>
  <c r="AK71" i="31" s="1"/>
  <c r="Z71" i="31"/>
  <c r="AD71" i="31"/>
  <c r="AE71" i="31"/>
  <c r="AF71" i="31"/>
  <c r="AG71" i="31"/>
  <c r="AH71" i="31"/>
  <c r="AJ71" i="31"/>
  <c r="AL71" i="31"/>
  <c r="AO71" i="31"/>
  <c r="AP71" i="31"/>
  <c r="J71" i="31" s="1"/>
  <c r="BD71" i="31"/>
  <c r="BF71" i="31"/>
  <c r="BJ71" i="31"/>
  <c r="K72" i="31"/>
  <c r="Z72" i="31"/>
  <c r="AD72" i="31"/>
  <c r="AE72" i="31"/>
  <c r="AF72" i="31"/>
  <c r="AG72" i="31"/>
  <c r="AH72" i="31"/>
  <c r="AJ72" i="31"/>
  <c r="AK72" i="31"/>
  <c r="AL72" i="31"/>
  <c r="AO72" i="31"/>
  <c r="I72" i="31" s="1"/>
  <c r="AP72" i="31"/>
  <c r="BD72" i="31"/>
  <c r="BF72" i="31"/>
  <c r="BH72" i="31"/>
  <c r="AB72" i="31" s="1"/>
  <c r="BJ72" i="31"/>
  <c r="K73" i="31"/>
  <c r="Z73" i="31"/>
  <c r="AD73" i="31"/>
  <c r="AE73" i="31"/>
  <c r="AF73" i="31"/>
  <c r="AG73" i="31"/>
  <c r="AH73" i="31"/>
  <c r="AJ73" i="31"/>
  <c r="AK73" i="31"/>
  <c r="AL73" i="31"/>
  <c r="AO73" i="31"/>
  <c r="AP73" i="31"/>
  <c r="AX73" i="31" s="1"/>
  <c r="BD73" i="31"/>
  <c r="BF73" i="31"/>
  <c r="BJ73" i="31"/>
  <c r="K74" i="31"/>
  <c r="Z74" i="31"/>
  <c r="AD74" i="31"/>
  <c r="AE74" i="31"/>
  <c r="AF74" i="31"/>
  <c r="AG74" i="31"/>
  <c r="AH74" i="31"/>
  <c r="AJ74" i="31"/>
  <c r="AK74" i="31"/>
  <c r="AL74" i="31"/>
  <c r="AO74" i="31"/>
  <c r="AP74" i="31"/>
  <c r="J74" i="31" s="1"/>
  <c r="BD74" i="31"/>
  <c r="BF74" i="31"/>
  <c r="BI74" i="31"/>
  <c r="AC74" i="31" s="1"/>
  <c r="BJ74" i="31"/>
  <c r="K75" i="31"/>
  <c r="AK75" i="31" s="1"/>
  <c r="Z75" i="31"/>
  <c r="AD75" i="31"/>
  <c r="AE75" i="31"/>
  <c r="AF75" i="31"/>
  <c r="AG75" i="31"/>
  <c r="AH75" i="31"/>
  <c r="AJ75" i="31"/>
  <c r="AL75" i="31"/>
  <c r="AO75" i="31"/>
  <c r="I75" i="31" s="1"/>
  <c r="AP75" i="31"/>
  <c r="BD75" i="31"/>
  <c r="BF75" i="31"/>
  <c r="BH75" i="31"/>
  <c r="AB75" i="31" s="1"/>
  <c r="BJ75" i="31"/>
  <c r="K76" i="31"/>
  <c r="Z76" i="31"/>
  <c r="AD76" i="31"/>
  <c r="AE76" i="31"/>
  <c r="AF76" i="31"/>
  <c r="AG76" i="31"/>
  <c r="AH76" i="31"/>
  <c r="AJ76" i="31"/>
  <c r="AK76" i="31"/>
  <c r="AL76" i="31"/>
  <c r="AO76" i="31"/>
  <c r="I76" i="31" s="1"/>
  <c r="AP76" i="31"/>
  <c r="J76" i="31" s="1"/>
  <c r="AX76" i="31"/>
  <c r="BD76" i="31"/>
  <c r="BF76" i="31"/>
  <c r="BH76" i="31"/>
  <c r="AB76" i="31" s="1"/>
  <c r="BI76" i="31"/>
  <c r="AC76" i="31" s="1"/>
  <c r="BJ76" i="31"/>
  <c r="K78" i="31"/>
  <c r="AB78" i="31"/>
  <c r="AC78" i="31"/>
  <c r="AD78" i="31"/>
  <c r="AE78" i="31"/>
  <c r="AF78" i="31"/>
  <c r="AG78" i="31"/>
  <c r="AH78" i="31"/>
  <c r="AJ78" i="31"/>
  <c r="AK78" i="31"/>
  <c r="AL78" i="31"/>
  <c r="AO78" i="31"/>
  <c r="AP78" i="31"/>
  <c r="J78" i="31" s="1"/>
  <c r="BD78" i="31"/>
  <c r="BF78" i="31"/>
  <c r="BI78" i="31"/>
  <c r="BJ78" i="31"/>
  <c r="Z78" i="31" s="1"/>
  <c r="K79" i="31"/>
  <c r="AK79" i="31" s="1"/>
  <c r="AB79" i="31"/>
  <c r="AC79" i="31"/>
  <c r="AD79" i="31"/>
  <c r="AE79" i="31"/>
  <c r="AF79" i="31"/>
  <c r="AG79" i="31"/>
  <c r="AH79" i="31"/>
  <c r="AJ79" i="31"/>
  <c r="AL79" i="31"/>
  <c r="AO79" i="31"/>
  <c r="AP79" i="31"/>
  <c r="J79" i="31" s="1"/>
  <c r="BD79" i="31"/>
  <c r="BF79" i="31"/>
  <c r="BI79" i="31"/>
  <c r="BJ79" i="31"/>
  <c r="Z79" i="31" s="1"/>
  <c r="K80" i="31"/>
  <c r="AK80" i="31" s="1"/>
  <c r="AB80" i="31"/>
  <c r="AC80" i="31"/>
  <c r="AD80" i="31"/>
  <c r="AE80" i="31"/>
  <c r="AF80" i="31"/>
  <c r="AG80" i="31"/>
  <c r="AH80" i="31"/>
  <c r="AJ80" i="31"/>
  <c r="AL80" i="31"/>
  <c r="AO80" i="31"/>
  <c r="AP80" i="31"/>
  <c r="AX80" i="31" s="1"/>
  <c r="BD80" i="31"/>
  <c r="BF80" i="31"/>
  <c r="BI80" i="31"/>
  <c r="BJ80" i="31"/>
  <c r="Z80" i="31" s="1"/>
  <c r="K81" i="31"/>
  <c r="AK81" i="31" s="1"/>
  <c r="AB81" i="31"/>
  <c r="AC81" i="31"/>
  <c r="AD81" i="31"/>
  <c r="AE81" i="31"/>
  <c r="AF81" i="31"/>
  <c r="AG81" i="31"/>
  <c r="AH81" i="31"/>
  <c r="AJ81" i="31"/>
  <c r="AL81" i="31"/>
  <c r="AO81" i="31"/>
  <c r="AW81" i="31" s="1"/>
  <c r="AP81" i="31"/>
  <c r="BD81" i="31"/>
  <c r="BF81" i="31"/>
  <c r="BH81" i="31"/>
  <c r="BJ81" i="31"/>
  <c r="Z81" i="31" s="1"/>
  <c r="K82" i="31"/>
  <c r="AB82" i="31"/>
  <c r="AC82" i="31"/>
  <c r="AD82" i="31"/>
  <c r="AE82" i="31"/>
  <c r="AF82" i="31"/>
  <c r="AG82" i="31"/>
  <c r="AH82" i="31"/>
  <c r="AJ82" i="31"/>
  <c r="AK82" i="31"/>
  <c r="AL82" i="31"/>
  <c r="AO82" i="31"/>
  <c r="I82" i="31" s="1"/>
  <c r="AP82" i="31"/>
  <c r="BD82" i="31"/>
  <c r="BF82" i="31"/>
  <c r="BJ82" i="31"/>
  <c r="Z82" i="31" s="1"/>
  <c r="K83" i="31"/>
  <c r="AK83" i="31" s="1"/>
  <c r="AB83" i="31"/>
  <c r="AC83" i="31"/>
  <c r="AD83" i="31"/>
  <c r="AE83" i="31"/>
  <c r="AF83" i="31"/>
  <c r="AG83" i="31"/>
  <c r="AH83" i="31"/>
  <c r="AJ83" i="31"/>
  <c r="AL83" i="31"/>
  <c r="AO83" i="31"/>
  <c r="I83" i="31" s="1"/>
  <c r="AP83" i="31"/>
  <c r="BD83" i="31"/>
  <c r="BF83" i="31"/>
  <c r="BH83" i="31"/>
  <c r="BJ83" i="31"/>
  <c r="Z83" i="31" s="1"/>
  <c r="K84" i="31"/>
  <c r="AK84" i="31" s="1"/>
  <c r="AB84" i="31"/>
  <c r="AC84" i="31"/>
  <c r="AD84" i="31"/>
  <c r="AE84" i="31"/>
  <c r="AF84" i="31"/>
  <c r="AG84" i="31"/>
  <c r="AH84" i="31"/>
  <c r="AJ84" i="31"/>
  <c r="AL84" i="31"/>
  <c r="AO84" i="31"/>
  <c r="I84" i="31" s="1"/>
  <c r="AP84" i="31"/>
  <c r="AX84" i="31" s="1"/>
  <c r="AW84" i="31"/>
  <c r="BD84" i="31"/>
  <c r="BF84" i="31"/>
  <c r="BH84" i="31"/>
  <c r="BJ84" i="31"/>
  <c r="Z84" i="31" s="1"/>
  <c r="K85" i="31"/>
  <c r="AB85" i="31"/>
  <c r="AC85" i="31"/>
  <c r="AD85" i="31"/>
  <c r="AE85" i="31"/>
  <c r="AF85" i="31"/>
  <c r="AG85" i="31"/>
  <c r="AH85" i="31"/>
  <c r="AJ85" i="31"/>
  <c r="AK85" i="31"/>
  <c r="AL85" i="31"/>
  <c r="AO85" i="31"/>
  <c r="AW85" i="31" s="1"/>
  <c r="AP85" i="31"/>
  <c r="J85" i="31" s="1"/>
  <c r="BD85" i="31"/>
  <c r="BF85" i="31"/>
  <c r="BI85" i="31"/>
  <c r="BJ85" i="31"/>
  <c r="Z85" i="31" s="1"/>
  <c r="K86" i="31"/>
  <c r="AK86" i="31" s="1"/>
  <c r="AB86" i="31"/>
  <c r="AC86" i="31"/>
  <c r="AD86" i="31"/>
  <c r="AE86" i="31"/>
  <c r="AF86" i="31"/>
  <c r="AG86" i="31"/>
  <c r="AH86" i="31"/>
  <c r="AJ86" i="31"/>
  <c r="AL86" i="31"/>
  <c r="AO86" i="31"/>
  <c r="AP86" i="31"/>
  <c r="J86" i="31" s="1"/>
  <c r="BD86" i="31"/>
  <c r="BF86" i="31"/>
  <c r="BH86" i="31"/>
  <c r="BJ86" i="31"/>
  <c r="Z86" i="31" s="1"/>
  <c r="K87" i="31"/>
  <c r="AB87" i="31"/>
  <c r="AC87" i="31"/>
  <c r="AD87" i="31"/>
  <c r="AE87" i="31"/>
  <c r="AF87" i="31"/>
  <c r="AG87" i="31"/>
  <c r="AH87" i="31"/>
  <c r="AJ87" i="31"/>
  <c r="AK87" i="31"/>
  <c r="AL87" i="31"/>
  <c r="AO87" i="31"/>
  <c r="BH87" i="31" s="1"/>
  <c r="AP87" i="31"/>
  <c r="J87" i="31" s="1"/>
  <c r="AX87" i="31"/>
  <c r="BD87" i="31"/>
  <c r="BF87" i="31"/>
  <c r="BI87" i="31"/>
  <c r="BJ87" i="31"/>
  <c r="Z87" i="31" s="1"/>
  <c r="K89" i="31"/>
  <c r="AB89" i="31"/>
  <c r="AC89" i="31"/>
  <c r="AD89" i="31"/>
  <c r="AE89" i="31"/>
  <c r="AF89" i="31"/>
  <c r="AG89" i="31"/>
  <c r="AH89" i="31"/>
  <c r="AJ89" i="31"/>
  <c r="AS88" i="31" s="1"/>
  <c r="AL89" i="31"/>
  <c r="AU88" i="31" s="1"/>
  <c r="AO89" i="31"/>
  <c r="AP89" i="31"/>
  <c r="AX89" i="31" s="1"/>
  <c r="BD89" i="31"/>
  <c r="BF89" i="31"/>
  <c r="BJ89" i="31"/>
  <c r="Z89" i="31" s="1"/>
  <c r="K91" i="31"/>
  <c r="Z91" i="31"/>
  <c r="AB91" i="31"/>
  <c r="AC91" i="31"/>
  <c r="AF91" i="31"/>
  <c r="AG91" i="31"/>
  <c r="AH91" i="31"/>
  <c r="AJ91" i="31"/>
  <c r="AK91" i="31"/>
  <c r="AL91" i="31"/>
  <c r="AO91" i="31"/>
  <c r="I91" i="31" s="1"/>
  <c r="AP91" i="31"/>
  <c r="J91" i="31" s="1"/>
  <c r="AX91" i="31"/>
  <c r="BD91" i="31"/>
  <c r="BF91" i="31"/>
  <c r="BH91" i="31"/>
  <c r="AD91" i="31" s="1"/>
  <c r="BI91" i="31"/>
  <c r="AE91" i="31" s="1"/>
  <c r="BJ91" i="31"/>
  <c r="K92" i="31"/>
  <c r="Z92" i="31"/>
  <c r="AB92" i="31"/>
  <c r="AC92" i="31"/>
  <c r="AF92" i="31"/>
  <c r="AG92" i="31"/>
  <c r="AH92" i="31"/>
  <c r="AJ92" i="31"/>
  <c r="AK92" i="31"/>
  <c r="AL92" i="31"/>
  <c r="AO92" i="31"/>
  <c r="BH92" i="31" s="1"/>
  <c r="AD92" i="31" s="1"/>
  <c r="AP92" i="31"/>
  <c r="BD92" i="31"/>
  <c r="BF92" i="31"/>
  <c r="BJ92" i="31"/>
  <c r="K93" i="31"/>
  <c r="Z93" i="31"/>
  <c r="AB93" i="31"/>
  <c r="AC93" i="31"/>
  <c r="AF93" i="31"/>
  <c r="AG93" i="31"/>
  <c r="AH93" i="31"/>
  <c r="AJ93" i="31"/>
  <c r="AK93" i="31"/>
  <c r="AL93" i="31"/>
  <c r="AO93" i="31"/>
  <c r="AP93" i="31"/>
  <c r="J93" i="31" s="1"/>
  <c r="AX93" i="31"/>
  <c r="BD93" i="31"/>
  <c r="BF93" i="31"/>
  <c r="BI93" i="31"/>
  <c r="AE93" i="31" s="1"/>
  <c r="BJ93" i="31"/>
  <c r="K94" i="31"/>
  <c r="Z94" i="31"/>
  <c r="AB94" i="31"/>
  <c r="AC94" i="31"/>
  <c r="AF94" i="31"/>
  <c r="AG94" i="31"/>
  <c r="AH94" i="31"/>
  <c r="AJ94" i="31"/>
  <c r="AK94" i="31"/>
  <c r="AL94" i="31"/>
  <c r="AO94" i="31"/>
  <c r="I94" i="31" s="1"/>
  <c r="AP94" i="31"/>
  <c r="AX94" i="31" s="1"/>
  <c r="AW94" i="31"/>
  <c r="BD94" i="31"/>
  <c r="BF94" i="31"/>
  <c r="BH94" i="31"/>
  <c r="AD94" i="31" s="1"/>
  <c r="BJ94" i="31"/>
  <c r="K95" i="31"/>
  <c r="AK95" i="31" s="1"/>
  <c r="Z95" i="31"/>
  <c r="AB95" i="31"/>
  <c r="AC95" i="31"/>
  <c r="AF95" i="31"/>
  <c r="AG95" i="31"/>
  <c r="AH95" i="31"/>
  <c r="AJ95" i="31"/>
  <c r="AL95" i="31"/>
  <c r="AO95" i="31"/>
  <c r="AW95" i="31" s="1"/>
  <c r="AP95" i="31"/>
  <c r="BD95" i="31"/>
  <c r="BF95" i="31"/>
  <c r="BJ95" i="31"/>
  <c r="K96" i="31"/>
  <c r="Z96" i="31"/>
  <c r="AB96" i="31"/>
  <c r="AC96" i="31"/>
  <c r="AF96" i="31"/>
  <c r="AG96" i="31"/>
  <c r="AH96" i="31"/>
  <c r="AJ96" i="31"/>
  <c r="AK96" i="31"/>
  <c r="AL96" i="31"/>
  <c r="AO96" i="31"/>
  <c r="AP96" i="31"/>
  <c r="AX96" i="31" s="1"/>
  <c r="BD96" i="31"/>
  <c r="BF96" i="31"/>
  <c r="BI96" i="31"/>
  <c r="AE96" i="31" s="1"/>
  <c r="BJ96" i="31"/>
  <c r="K97" i="31"/>
  <c r="Z97" i="31"/>
  <c r="AB97" i="31"/>
  <c r="AC97" i="31"/>
  <c r="AF97" i="31"/>
  <c r="AG97" i="31"/>
  <c r="AH97" i="31"/>
  <c r="AJ97" i="31"/>
  <c r="AK97" i="31"/>
  <c r="AL97" i="31"/>
  <c r="AO97" i="31"/>
  <c r="AP97" i="31"/>
  <c r="J97" i="31" s="1"/>
  <c r="BD97" i="31"/>
  <c r="BF97" i="31"/>
  <c r="BJ97" i="31"/>
  <c r="K98" i="31"/>
  <c r="Z98" i="31"/>
  <c r="AB98" i="31"/>
  <c r="AC98" i="31"/>
  <c r="AF98" i="31"/>
  <c r="AG98" i="31"/>
  <c r="AH98" i="31"/>
  <c r="AJ98" i="31"/>
  <c r="AK98" i="31"/>
  <c r="AL98" i="31"/>
  <c r="AO98" i="31"/>
  <c r="I98" i="31" s="1"/>
  <c r="AP98" i="31"/>
  <c r="AX98" i="31" s="1"/>
  <c r="BD98" i="31"/>
  <c r="BF98" i="31"/>
  <c r="BH98" i="31"/>
  <c r="AD98" i="31" s="1"/>
  <c r="BJ98" i="31"/>
  <c r="K99" i="31"/>
  <c r="AK99" i="31" s="1"/>
  <c r="Z99" i="31"/>
  <c r="AB99" i="31"/>
  <c r="AC99" i="31"/>
  <c r="AF99" i="31"/>
  <c r="AG99" i="31"/>
  <c r="AH99" i="31"/>
  <c r="AJ99" i="31"/>
  <c r="AL99" i="31"/>
  <c r="AO99" i="31"/>
  <c r="AW99" i="31" s="1"/>
  <c r="AP99" i="31"/>
  <c r="J99" i="31" s="1"/>
  <c r="BD99" i="31"/>
  <c r="BF99" i="31"/>
  <c r="BH99" i="31"/>
  <c r="AD99" i="31" s="1"/>
  <c r="BJ99" i="31"/>
  <c r="K100" i="31"/>
  <c r="AK100" i="31" s="1"/>
  <c r="Z100" i="31"/>
  <c r="AB100" i="31"/>
  <c r="AC100" i="31"/>
  <c r="AF100" i="31"/>
  <c r="AG100" i="31"/>
  <c r="AH100" i="31"/>
  <c r="AJ100" i="31"/>
  <c r="AL100" i="31"/>
  <c r="AO100" i="31"/>
  <c r="AP100" i="31"/>
  <c r="AX100" i="31" s="1"/>
  <c r="BD100" i="31"/>
  <c r="BF100" i="31"/>
  <c r="BJ100" i="31"/>
  <c r="K101" i="31"/>
  <c r="Z101" i="31"/>
  <c r="AB101" i="31"/>
  <c r="AC101" i="31"/>
  <c r="AF101" i="31"/>
  <c r="AG101" i="31"/>
  <c r="AH101" i="31"/>
  <c r="AJ101" i="31"/>
  <c r="AK101" i="31"/>
  <c r="AL101" i="31"/>
  <c r="AO101" i="31"/>
  <c r="AP101" i="31"/>
  <c r="BD101" i="31"/>
  <c r="BF101" i="31"/>
  <c r="BH101" i="31"/>
  <c r="AD101" i="31" s="1"/>
  <c r="BJ101" i="31"/>
  <c r="K102" i="31"/>
  <c r="Z102" i="31"/>
  <c r="AB102" i="31"/>
  <c r="AC102" i="31"/>
  <c r="AF102" i="31"/>
  <c r="AG102" i="31"/>
  <c r="AH102" i="31"/>
  <c r="AJ102" i="31"/>
  <c r="AK102" i="31"/>
  <c r="AL102" i="31"/>
  <c r="AO102" i="31"/>
  <c r="I102" i="31" s="1"/>
  <c r="AP102" i="31"/>
  <c r="AX102" i="31" s="1"/>
  <c r="BD102" i="31"/>
  <c r="BF102" i="31"/>
  <c r="BH102" i="31"/>
  <c r="AD102" i="31" s="1"/>
  <c r="BI102" i="31"/>
  <c r="AE102" i="31" s="1"/>
  <c r="BJ102" i="31"/>
  <c r="K103" i="31"/>
  <c r="AK103" i="31" s="1"/>
  <c r="Z103" i="31"/>
  <c r="AB103" i="31"/>
  <c r="AC103" i="31"/>
  <c r="AF103" i="31"/>
  <c r="AG103" i="31"/>
  <c r="AH103" i="31"/>
  <c r="AJ103" i="31"/>
  <c r="AL103" i="31"/>
  <c r="AO103" i="31"/>
  <c r="AP103" i="31"/>
  <c r="J103" i="31" s="1"/>
  <c r="BD103" i="31"/>
  <c r="BF103" i="31"/>
  <c r="BI103" i="31"/>
  <c r="AE103" i="31" s="1"/>
  <c r="BJ103" i="31"/>
  <c r="K105" i="31"/>
  <c r="Z105" i="31"/>
  <c r="AB105" i="31"/>
  <c r="AC105" i="31"/>
  <c r="AF105" i="31"/>
  <c r="AG105" i="31"/>
  <c r="AH105" i="31"/>
  <c r="AJ105" i="31"/>
  <c r="AK105" i="31"/>
  <c r="AL105" i="31"/>
  <c r="AO105" i="31"/>
  <c r="AP105" i="31"/>
  <c r="BD105" i="31"/>
  <c r="BF105" i="31"/>
  <c r="BJ105" i="31"/>
  <c r="K106" i="31"/>
  <c r="Z106" i="31"/>
  <c r="AB106" i="31"/>
  <c r="AC106" i="31"/>
  <c r="AF106" i="31"/>
  <c r="AG106" i="31"/>
  <c r="AH106" i="31"/>
  <c r="AJ106" i="31"/>
  <c r="AL106" i="31"/>
  <c r="AO106" i="31"/>
  <c r="AW106" i="31" s="1"/>
  <c r="AP106" i="31"/>
  <c r="J106" i="31" s="1"/>
  <c r="BD106" i="31"/>
  <c r="BF106" i="31"/>
  <c r="BH106" i="31"/>
  <c r="AD106" i="31" s="1"/>
  <c r="BI106" i="31"/>
  <c r="AE106" i="31" s="1"/>
  <c r="BJ106" i="31"/>
  <c r="K107" i="31"/>
  <c r="AK107" i="31" s="1"/>
  <c r="Z107" i="31"/>
  <c r="AB107" i="31"/>
  <c r="AC107" i="31"/>
  <c r="AF107" i="31"/>
  <c r="AG107" i="31"/>
  <c r="AH107" i="31"/>
  <c r="AJ107" i="31"/>
  <c r="AL107" i="31"/>
  <c r="AO107" i="31"/>
  <c r="I107" i="31" s="1"/>
  <c r="AP107" i="31"/>
  <c r="AW107" i="31"/>
  <c r="BD107" i="31"/>
  <c r="BF107" i="31"/>
  <c r="BJ107" i="31"/>
  <c r="K108" i="31"/>
  <c r="Z108" i="31"/>
  <c r="AB108" i="31"/>
  <c r="AC108" i="31"/>
  <c r="AF108" i="31"/>
  <c r="AG108" i="31"/>
  <c r="AH108" i="31"/>
  <c r="AJ108" i="31"/>
  <c r="AK108" i="31"/>
  <c r="AL108" i="31"/>
  <c r="AO108" i="31"/>
  <c r="I108" i="31" s="1"/>
  <c r="AP108" i="31"/>
  <c r="AW108" i="31"/>
  <c r="BD108" i="31"/>
  <c r="BF108" i="31"/>
  <c r="BH108" i="31"/>
  <c r="AD108" i="31" s="1"/>
  <c r="BJ108" i="31"/>
  <c r="K109" i="31"/>
  <c r="Z109" i="31"/>
  <c r="AB109" i="31"/>
  <c r="AC109" i="31"/>
  <c r="AF109" i="31"/>
  <c r="AG109" i="31"/>
  <c r="AH109" i="31"/>
  <c r="AJ109" i="31"/>
  <c r="AK109" i="31"/>
  <c r="AL109" i="31"/>
  <c r="AO109" i="31"/>
  <c r="AP109" i="31"/>
  <c r="AX109" i="31" s="1"/>
  <c r="BD109" i="31"/>
  <c r="BF109" i="31"/>
  <c r="BJ109" i="31"/>
  <c r="K110" i="31"/>
  <c r="Z110" i="31"/>
  <c r="AB110" i="31"/>
  <c r="AC110" i="31"/>
  <c r="AF110" i="31"/>
  <c r="AG110" i="31"/>
  <c r="AH110" i="31"/>
  <c r="AJ110" i="31"/>
  <c r="AK110" i="31"/>
  <c r="AL110" i="31"/>
  <c r="AO110" i="31"/>
  <c r="AW110" i="31" s="1"/>
  <c r="AP110" i="31"/>
  <c r="BD110" i="31"/>
  <c r="BF110" i="31"/>
  <c r="BH110" i="31"/>
  <c r="AD110" i="31" s="1"/>
  <c r="BJ110" i="31"/>
  <c r="K111" i="31"/>
  <c r="AK111" i="31" s="1"/>
  <c r="Z111" i="31"/>
  <c r="AB111" i="31"/>
  <c r="AC111" i="31"/>
  <c r="AF111" i="31"/>
  <c r="AG111" i="31"/>
  <c r="AH111" i="31"/>
  <c r="AJ111" i="31"/>
  <c r="AL111" i="31"/>
  <c r="AO111" i="31"/>
  <c r="AP111" i="31"/>
  <c r="BD111" i="31"/>
  <c r="BF111" i="31"/>
  <c r="BJ111" i="31"/>
  <c r="K112" i="31"/>
  <c r="Z112" i="31"/>
  <c r="AB112" i="31"/>
  <c r="AC112" i="31"/>
  <c r="AF112" i="31"/>
  <c r="AG112" i="31"/>
  <c r="AH112" i="31"/>
  <c r="AJ112" i="31"/>
  <c r="AK112" i="31"/>
  <c r="AL112" i="31"/>
  <c r="AO112" i="31"/>
  <c r="I112" i="31" s="1"/>
  <c r="AP112" i="31"/>
  <c r="BD112" i="31"/>
  <c r="BF112" i="31"/>
  <c r="BH112" i="31"/>
  <c r="AD112" i="31" s="1"/>
  <c r="BJ112" i="31"/>
  <c r="I113" i="31"/>
  <c r="K113" i="31"/>
  <c r="Z113" i="31"/>
  <c r="AB113" i="31"/>
  <c r="AC113" i="31"/>
  <c r="AF113" i="31"/>
  <c r="AG113" i="31"/>
  <c r="AH113" i="31"/>
  <c r="AJ113" i="31"/>
  <c r="AK113" i="31"/>
  <c r="AL113" i="31"/>
  <c r="AO113" i="31"/>
  <c r="AW113" i="31" s="1"/>
  <c r="AP113" i="31"/>
  <c r="BD113" i="31"/>
  <c r="BF113" i="31"/>
  <c r="BH113" i="31"/>
  <c r="AD113" i="31" s="1"/>
  <c r="BJ113" i="31"/>
  <c r="K114" i="31"/>
  <c r="Z114" i="31"/>
  <c r="AB114" i="31"/>
  <c r="AC114" i="31"/>
  <c r="AF114" i="31"/>
  <c r="AG114" i="31"/>
  <c r="AH114" i="31"/>
  <c r="AJ114" i="31"/>
  <c r="AK114" i="31"/>
  <c r="AL114" i="31"/>
  <c r="AO114" i="31"/>
  <c r="AP114" i="31"/>
  <c r="J114" i="31" s="1"/>
  <c r="BD114" i="31"/>
  <c r="BF114" i="31"/>
  <c r="BI114" i="31"/>
  <c r="AE114" i="31" s="1"/>
  <c r="BJ114" i="31"/>
  <c r="K115" i="31"/>
  <c r="AK115" i="31" s="1"/>
  <c r="Z115" i="31"/>
  <c r="AB115" i="31"/>
  <c r="AC115" i="31"/>
  <c r="AF115" i="31"/>
  <c r="AG115" i="31"/>
  <c r="AH115" i="31"/>
  <c r="AJ115" i="31"/>
  <c r="AL115" i="31"/>
  <c r="AO115" i="31"/>
  <c r="I115" i="31" s="1"/>
  <c r="AP115" i="31"/>
  <c r="J115" i="31" s="1"/>
  <c r="AW115" i="31"/>
  <c r="BD115" i="31"/>
  <c r="BF115" i="31"/>
  <c r="BH115" i="31"/>
  <c r="AD115" i="31" s="1"/>
  <c r="BJ115" i="31"/>
  <c r="K116" i="31"/>
  <c r="Z116" i="31"/>
  <c r="AB116" i="31"/>
  <c r="AC116" i="31"/>
  <c r="AF116" i="31"/>
  <c r="AG116" i="31"/>
  <c r="AH116" i="31"/>
  <c r="AJ116" i="31"/>
  <c r="AK116" i="31"/>
  <c r="AL116" i="31"/>
  <c r="AO116" i="31"/>
  <c r="AP116" i="31"/>
  <c r="BD116" i="31"/>
  <c r="BF116" i="31"/>
  <c r="BH116" i="31"/>
  <c r="AD116" i="31" s="1"/>
  <c r="BJ116" i="31"/>
  <c r="K117" i="31"/>
  <c r="Z117" i="31"/>
  <c r="AB117" i="31"/>
  <c r="AC117" i="31"/>
  <c r="AF117" i="31"/>
  <c r="AG117" i="31"/>
  <c r="AH117" i="31"/>
  <c r="AJ117" i="31"/>
  <c r="AK117" i="31"/>
  <c r="AL117" i="31"/>
  <c r="AO117" i="31"/>
  <c r="I117" i="31" s="1"/>
  <c r="AP117" i="31"/>
  <c r="AX117" i="31" s="1"/>
  <c r="AW117" i="31"/>
  <c r="BD117" i="31"/>
  <c r="BF117" i="31"/>
  <c r="BH117" i="31"/>
  <c r="AD117" i="31" s="1"/>
  <c r="BI117" i="31"/>
  <c r="AE117" i="31" s="1"/>
  <c r="BJ117" i="31"/>
  <c r="K118" i="31"/>
  <c r="AK118" i="31" s="1"/>
  <c r="Z118" i="31"/>
  <c r="AB118" i="31"/>
  <c r="AC118" i="31"/>
  <c r="AF118" i="31"/>
  <c r="AG118" i="31"/>
  <c r="AH118" i="31"/>
  <c r="AJ118" i="31"/>
  <c r="AL118" i="31"/>
  <c r="AO118" i="31"/>
  <c r="AW118" i="31" s="1"/>
  <c r="AP118" i="31"/>
  <c r="J118" i="31" s="1"/>
  <c r="BD118" i="31"/>
  <c r="BF118" i="31"/>
  <c r="BH118" i="31"/>
  <c r="AD118" i="31" s="1"/>
  <c r="BI118" i="31"/>
  <c r="AE118" i="31" s="1"/>
  <c r="BJ118" i="31"/>
  <c r="K119" i="31"/>
  <c r="AK119" i="31" s="1"/>
  <c r="Z119" i="31"/>
  <c r="AB119" i="31"/>
  <c r="AC119" i="31"/>
  <c r="AF119" i="31"/>
  <c r="AG119" i="31"/>
  <c r="AH119" i="31"/>
  <c r="AJ119" i="31"/>
  <c r="AL119" i="31"/>
  <c r="AO119" i="31"/>
  <c r="I119" i="31" s="1"/>
  <c r="AP119" i="31"/>
  <c r="BD119" i="31"/>
  <c r="BF119" i="31"/>
  <c r="BH119" i="31"/>
  <c r="AD119" i="31" s="1"/>
  <c r="BJ119" i="31"/>
  <c r="K120" i="31"/>
  <c r="Z120" i="31"/>
  <c r="AB120" i="31"/>
  <c r="AC120" i="31"/>
  <c r="AF120" i="31"/>
  <c r="AG120" i="31"/>
  <c r="AH120" i="31"/>
  <c r="AJ120" i="31"/>
  <c r="AK120" i="31"/>
  <c r="AL120" i="31"/>
  <c r="AO120" i="31"/>
  <c r="I120" i="31" s="1"/>
  <c r="AP120" i="31"/>
  <c r="BD120" i="31"/>
  <c r="BF120" i="31"/>
  <c r="BH120" i="31"/>
  <c r="AD120" i="31" s="1"/>
  <c r="BJ120" i="31"/>
  <c r="K121" i="31"/>
  <c r="Z121" i="31"/>
  <c r="AB121" i="31"/>
  <c r="AC121" i="31"/>
  <c r="AF121" i="31"/>
  <c r="AG121" i="31"/>
  <c r="AH121" i="31"/>
  <c r="AJ121" i="31"/>
  <c r="AK121" i="31"/>
  <c r="AL121" i="31"/>
  <c r="AO121" i="31"/>
  <c r="AP121" i="31"/>
  <c r="J121" i="31" s="1"/>
  <c r="AX121" i="31"/>
  <c r="BD121" i="31"/>
  <c r="BF121" i="31"/>
  <c r="BI121" i="31"/>
  <c r="AE121" i="31" s="1"/>
  <c r="BJ121" i="31"/>
  <c r="K122" i="31"/>
  <c r="Z122" i="31"/>
  <c r="AB122" i="31"/>
  <c r="AC122" i="31"/>
  <c r="AF122" i="31"/>
  <c r="AG122" i="31"/>
  <c r="AH122" i="31"/>
  <c r="AJ122" i="31"/>
  <c r="AK122" i="31"/>
  <c r="AL122" i="31"/>
  <c r="AO122" i="31"/>
  <c r="I122" i="31" s="1"/>
  <c r="AP122" i="31"/>
  <c r="J122" i="31" s="1"/>
  <c r="AW122" i="31"/>
  <c r="BD122" i="31"/>
  <c r="BF122" i="31"/>
  <c r="BH122" i="31"/>
  <c r="AD122" i="31" s="1"/>
  <c r="BJ122" i="31"/>
  <c r="K123" i="31"/>
  <c r="Z123" i="31"/>
  <c r="AB123" i="31"/>
  <c r="AC123" i="31"/>
  <c r="AF123" i="31"/>
  <c r="AG123" i="31"/>
  <c r="AH123" i="31"/>
  <c r="AJ123" i="31"/>
  <c r="AK123" i="31"/>
  <c r="AL123" i="31"/>
  <c r="AO123" i="31"/>
  <c r="AP123" i="31"/>
  <c r="J123" i="31" s="1"/>
  <c r="AX123" i="31"/>
  <c r="BD123" i="31"/>
  <c r="BF123" i="31"/>
  <c r="BI123" i="31"/>
  <c r="AE123" i="31" s="1"/>
  <c r="BJ123" i="31"/>
  <c r="K124" i="31"/>
  <c r="Z124" i="31"/>
  <c r="AB124" i="31"/>
  <c r="AC124" i="31"/>
  <c r="AF124" i="31"/>
  <c r="AG124" i="31"/>
  <c r="AH124" i="31"/>
  <c r="AJ124" i="31"/>
  <c r="AK124" i="31"/>
  <c r="AL124" i="31"/>
  <c r="AO124" i="31"/>
  <c r="I124" i="31" s="1"/>
  <c r="AP124" i="31"/>
  <c r="AW124" i="31"/>
  <c r="BD124" i="31"/>
  <c r="BF124" i="31"/>
  <c r="BH124" i="31"/>
  <c r="AD124" i="31" s="1"/>
  <c r="BJ124" i="31"/>
  <c r="K125" i="31"/>
  <c r="Z125" i="31"/>
  <c r="AB125" i="31"/>
  <c r="AC125" i="31"/>
  <c r="AF125" i="31"/>
  <c r="AG125" i="31"/>
  <c r="AH125" i="31"/>
  <c r="AJ125" i="31"/>
  <c r="AK125" i="31"/>
  <c r="AL125" i="31"/>
  <c r="AO125" i="31"/>
  <c r="I125" i="31" s="1"/>
  <c r="AP125" i="31"/>
  <c r="J125" i="31" s="1"/>
  <c r="BD125" i="31"/>
  <c r="BF125" i="31"/>
  <c r="BH125" i="31"/>
  <c r="AD125" i="31" s="1"/>
  <c r="BJ125" i="31"/>
  <c r="K126" i="31"/>
  <c r="Z126" i="31"/>
  <c r="AB126" i="31"/>
  <c r="AC126" i="31"/>
  <c r="AF126" i="31"/>
  <c r="AG126" i="31"/>
  <c r="AH126" i="31"/>
  <c r="AJ126" i="31"/>
  <c r="AK126" i="31"/>
  <c r="AL126" i="31"/>
  <c r="AO126" i="31"/>
  <c r="AP126" i="31"/>
  <c r="J126" i="31" s="1"/>
  <c r="AX126" i="31"/>
  <c r="BD126" i="31"/>
  <c r="BF126" i="31"/>
  <c r="BI126" i="31"/>
  <c r="AE126" i="31" s="1"/>
  <c r="BJ126" i="31"/>
  <c r="K127" i="31"/>
  <c r="Z127" i="31"/>
  <c r="AB127" i="31"/>
  <c r="AC127" i="31"/>
  <c r="AF127" i="31"/>
  <c r="AG127" i="31"/>
  <c r="AH127" i="31"/>
  <c r="AJ127" i="31"/>
  <c r="AK127" i="31"/>
  <c r="AL127" i="31"/>
  <c r="AO127" i="31"/>
  <c r="AP127" i="31"/>
  <c r="J127" i="31" s="1"/>
  <c r="AX127" i="31"/>
  <c r="BD127" i="31"/>
  <c r="BF127" i="31"/>
  <c r="BI127" i="31"/>
  <c r="AE127" i="31" s="1"/>
  <c r="BJ127" i="31"/>
  <c r="K128" i="31"/>
  <c r="Z128" i="31"/>
  <c r="AB128" i="31"/>
  <c r="AC128" i="31"/>
  <c r="AF128" i="31"/>
  <c r="AG128" i="31"/>
  <c r="AH128" i="31"/>
  <c r="AJ128" i="31"/>
  <c r="AK128" i="31"/>
  <c r="AL128" i="31"/>
  <c r="AO128" i="31"/>
  <c r="AP128" i="31"/>
  <c r="BD128" i="31"/>
  <c r="BF128" i="31"/>
  <c r="BH128" i="31"/>
  <c r="AD128" i="31" s="1"/>
  <c r="BJ128" i="31"/>
  <c r="K129" i="31"/>
  <c r="Z129" i="31"/>
  <c r="AB129" i="31"/>
  <c r="AC129" i="31"/>
  <c r="AF129" i="31"/>
  <c r="AG129" i="31"/>
  <c r="AH129" i="31"/>
  <c r="AJ129" i="31"/>
  <c r="AK129" i="31"/>
  <c r="AL129" i="31"/>
  <c r="AO129" i="31"/>
  <c r="I129" i="31" s="1"/>
  <c r="AP129" i="31"/>
  <c r="J129" i="31" s="1"/>
  <c r="BD129" i="31"/>
  <c r="BF129" i="31"/>
  <c r="BH129" i="31"/>
  <c r="AD129" i="31" s="1"/>
  <c r="BJ129" i="31"/>
  <c r="K130" i="31"/>
  <c r="Z130" i="31"/>
  <c r="AB130" i="31"/>
  <c r="AC130" i="31"/>
  <c r="AF130" i="31"/>
  <c r="AG130" i="31"/>
  <c r="AH130" i="31"/>
  <c r="AJ130" i="31"/>
  <c r="AK130" i="31"/>
  <c r="AL130" i="31"/>
  <c r="AO130" i="31"/>
  <c r="AP130" i="31"/>
  <c r="BD130" i="31"/>
  <c r="BF130" i="31"/>
  <c r="BJ130" i="31"/>
  <c r="K131" i="31"/>
  <c r="Z131" i="31"/>
  <c r="AB131" i="31"/>
  <c r="AC131" i="31"/>
  <c r="AF131" i="31"/>
  <c r="AG131" i="31"/>
  <c r="AH131" i="31"/>
  <c r="AJ131" i="31"/>
  <c r="AK131" i="31"/>
  <c r="AL131" i="31"/>
  <c r="AO131" i="31"/>
  <c r="AP131" i="31"/>
  <c r="BD131" i="31"/>
  <c r="BF131" i="31"/>
  <c r="BH131" i="31"/>
  <c r="AD131" i="31" s="1"/>
  <c r="BJ131" i="31"/>
  <c r="K132" i="31"/>
  <c r="Z132" i="31"/>
  <c r="AB132" i="31"/>
  <c r="AC132" i="31"/>
  <c r="AF132" i="31"/>
  <c r="AG132" i="31"/>
  <c r="AH132" i="31"/>
  <c r="AJ132" i="31"/>
  <c r="AK132" i="31"/>
  <c r="AL132" i="31"/>
  <c r="AO132" i="31"/>
  <c r="AP132" i="31"/>
  <c r="J132" i="31" s="1"/>
  <c r="BD132" i="31"/>
  <c r="BF132" i="31"/>
  <c r="BI132" i="31"/>
  <c r="AE132" i="31" s="1"/>
  <c r="BJ132" i="31"/>
  <c r="K133" i="31"/>
  <c r="Z133" i="31"/>
  <c r="AB133" i="31"/>
  <c r="AC133" i="31"/>
  <c r="AF133" i="31"/>
  <c r="AG133" i="31"/>
  <c r="AH133" i="31"/>
  <c r="AJ133" i="31"/>
  <c r="AK133" i="31"/>
  <c r="AL133" i="31"/>
  <c r="AO133" i="31"/>
  <c r="AP133" i="31"/>
  <c r="J133" i="31" s="1"/>
  <c r="AX133" i="31"/>
  <c r="BD133" i="31"/>
  <c r="BF133" i="31"/>
  <c r="BI133" i="31"/>
  <c r="AE133" i="31" s="1"/>
  <c r="BJ133" i="31"/>
  <c r="K134" i="31"/>
  <c r="Z134" i="31"/>
  <c r="AB134" i="31"/>
  <c r="AC134" i="31"/>
  <c r="AF134" i="31"/>
  <c r="AG134" i="31"/>
  <c r="AH134" i="31"/>
  <c r="AJ134" i="31"/>
  <c r="AK134" i="31"/>
  <c r="AL134" i="31"/>
  <c r="AO134" i="31"/>
  <c r="AP134" i="31"/>
  <c r="BD134" i="31"/>
  <c r="BF134" i="31"/>
  <c r="BJ134" i="31"/>
  <c r="K135" i="31"/>
  <c r="Z135" i="31"/>
  <c r="AB135" i="31"/>
  <c r="AC135" i="31"/>
  <c r="AF135" i="31"/>
  <c r="AG135" i="31"/>
  <c r="AH135" i="31"/>
  <c r="AJ135" i="31"/>
  <c r="AK135" i="31"/>
  <c r="AL135" i="31"/>
  <c r="AO135" i="31"/>
  <c r="I135" i="31" s="1"/>
  <c r="AP135" i="31"/>
  <c r="J135" i="31" s="1"/>
  <c r="AW135" i="31"/>
  <c r="BD135" i="31"/>
  <c r="BF135" i="31"/>
  <c r="BH135" i="31"/>
  <c r="AD135" i="31" s="1"/>
  <c r="BI135" i="31"/>
  <c r="AE135" i="31" s="1"/>
  <c r="BJ135" i="31"/>
  <c r="K136" i="31"/>
  <c r="Z136" i="31"/>
  <c r="AB136" i="31"/>
  <c r="AC136" i="31"/>
  <c r="AF136" i="31"/>
  <c r="AG136" i="31"/>
  <c r="AH136" i="31"/>
  <c r="AJ136" i="31"/>
  <c r="AK136" i="31"/>
  <c r="AL136" i="31"/>
  <c r="AO136" i="31"/>
  <c r="AP136" i="31"/>
  <c r="J136" i="31" s="1"/>
  <c r="BD136" i="31"/>
  <c r="BF136" i="31"/>
  <c r="BH136" i="31"/>
  <c r="AD136" i="31" s="1"/>
  <c r="BJ136" i="31"/>
  <c r="K137" i="31"/>
  <c r="Z137" i="31"/>
  <c r="AB137" i="31"/>
  <c r="AC137" i="31"/>
  <c r="AF137" i="31"/>
  <c r="AG137" i="31"/>
  <c r="AH137" i="31"/>
  <c r="AJ137" i="31"/>
  <c r="AK137" i="31"/>
  <c r="AL137" i="31"/>
  <c r="AO137" i="31"/>
  <c r="AP137" i="31"/>
  <c r="J137" i="31" s="1"/>
  <c r="BD137" i="31"/>
  <c r="BF137" i="31"/>
  <c r="BI137" i="31"/>
  <c r="AE137" i="31" s="1"/>
  <c r="BJ137" i="31"/>
  <c r="K138" i="31"/>
  <c r="Z138" i="31"/>
  <c r="AB138" i="31"/>
  <c r="AC138" i="31"/>
  <c r="AF138" i="31"/>
  <c r="AG138" i="31"/>
  <c r="AH138" i="31"/>
  <c r="AJ138" i="31"/>
  <c r="AK138" i="31"/>
  <c r="AL138" i="31"/>
  <c r="AO138" i="31"/>
  <c r="AP138" i="31"/>
  <c r="BD138" i="31"/>
  <c r="BF138" i="31"/>
  <c r="BH138" i="31"/>
  <c r="AD138" i="31" s="1"/>
  <c r="BJ138" i="31"/>
  <c r="K139" i="31"/>
  <c r="Z139" i="31"/>
  <c r="AB139" i="31"/>
  <c r="AC139" i="31"/>
  <c r="AF139" i="31"/>
  <c r="AG139" i="31"/>
  <c r="AH139" i="31"/>
  <c r="AJ139" i="31"/>
  <c r="AK139" i="31"/>
  <c r="AL139" i="31"/>
  <c r="AO139" i="31"/>
  <c r="I139" i="31" s="1"/>
  <c r="AP139" i="31"/>
  <c r="AX139" i="31" s="1"/>
  <c r="BD139" i="31"/>
  <c r="BF139" i="31"/>
  <c r="BJ139" i="31"/>
  <c r="K140" i="31"/>
  <c r="AK140" i="31" s="1"/>
  <c r="Z140" i="31"/>
  <c r="AB140" i="31"/>
  <c r="AC140" i="31"/>
  <c r="AF140" i="31"/>
  <c r="AG140" i="31"/>
  <c r="AH140" i="31"/>
  <c r="AJ140" i="31"/>
  <c r="AL140" i="31"/>
  <c r="AO140" i="31"/>
  <c r="AW140" i="31" s="1"/>
  <c r="AP140" i="31"/>
  <c r="BD140" i="31"/>
  <c r="BF140" i="31"/>
  <c r="BJ140" i="31"/>
  <c r="K141" i="31"/>
  <c r="Z141" i="31"/>
  <c r="AB141" i="31"/>
  <c r="AC141" i="31"/>
  <c r="AF141" i="31"/>
  <c r="AG141" i="31"/>
  <c r="AH141" i="31"/>
  <c r="AJ141" i="31"/>
  <c r="AK141" i="31"/>
  <c r="AL141" i="31"/>
  <c r="AO141" i="31"/>
  <c r="AP141" i="31"/>
  <c r="BD141" i="31"/>
  <c r="BF141" i="31"/>
  <c r="BJ141" i="31"/>
  <c r="K143" i="31"/>
  <c r="Z143" i="31"/>
  <c r="AB143" i="31"/>
  <c r="AC143" i="31"/>
  <c r="AF143" i="31"/>
  <c r="AG143" i="31"/>
  <c r="AH143" i="31"/>
  <c r="AJ143" i="31"/>
  <c r="AL143" i="31"/>
  <c r="AO143" i="31"/>
  <c r="AP143" i="31"/>
  <c r="J143" i="31" s="1"/>
  <c r="BD143" i="31"/>
  <c r="BF143" i="31"/>
  <c r="BI143" i="31"/>
  <c r="AE143" i="31" s="1"/>
  <c r="BJ143" i="31"/>
  <c r="K144" i="31"/>
  <c r="Z144" i="31"/>
  <c r="AB144" i="31"/>
  <c r="AC144" i="31"/>
  <c r="AF144" i="31"/>
  <c r="AG144" i="31"/>
  <c r="AH144" i="31"/>
  <c r="AJ144" i="31"/>
  <c r="AK144" i="31"/>
  <c r="AL144" i="31"/>
  <c r="AO144" i="31"/>
  <c r="AP144" i="31"/>
  <c r="BD144" i="31"/>
  <c r="BF144" i="31"/>
  <c r="BJ144" i="31"/>
  <c r="K145" i="31"/>
  <c r="Z145" i="31"/>
  <c r="AB145" i="31"/>
  <c r="AC145" i="31"/>
  <c r="AF145" i="31"/>
  <c r="AG145" i="31"/>
  <c r="AH145" i="31"/>
  <c r="AJ145" i="31"/>
  <c r="AK145" i="31"/>
  <c r="AL145" i="31"/>
  <c r="AO145" i="31"/>
  <c r="AP145" i="31"/>
  <c r="BD145" i="31"/>
  <c r="BF145" i="31"/>
  <c r="BH145" i="31"/>
  <c r="AD145" i="31" s="1"/>
  <c r="BJ145" i="31"/>
  <c r="K146" i="31"/>
  <c r="Z146" i="31"/>
  <c r="AB146" i="31"/>
  <c r="AC146" i="31"/>
  <c r="AF146" i="31"/>
  <c r="AG146" i="31"/>
  <c r="AH146" i="31"/>
  <c r="AJ146" i="31"/>
  <c r="AK146" i="31"/>
  <c r="AL146" i="31"/>
  <c r="AO146" i="31"/>
  <c r="I146" i="31" s="1"/>
  <c r="AP146" i="31"/>
  <c r="AX146" i="31" s="1"/>
  <c r="BD146" i="31"/>
  <c r="BF146" i="31"/>
  <c r="BH146" i="31"/>
  <c r="AD146" i="31" s="1"/>
  <c r="BJ146" i="31"/>
  <c r="K147" i="31"/>
  <c r="AK147" i="31" s="1"/>
  <c r="Z147" i="31"/>
  <c r="AB147" i="31"/>
  <c r="AC147" i="31"/>
  <c r="AF147" i="31"/>
  <c r="AG147" i="31"/>
  <c r="AH147" i="31"/>
  <c r="AJ147" i="31"/>
  <c r="AL147" i="31"/>
  <c r="AO147" i="31"/>
  <c r="AP147" i="31"/>
  <c r="J147" i="31" s="1"/>
  <c r="BD147" i="31"/>
  <c r="BF147" i="31"/>
  <c r="BJ147" i="31"/>
  <c r="K148" i="31"/>
  <c r="Z148" i="31"/>
  <c r="AB148" i="31"/>
  <c r="AC148" i="31"/>
  <c r="AF148" i="31"/>
  <c r="AG148" i="31"/>
  <c r="AH148" i="31"/>
  <c r="AJ148" i="31"/>
  <c r="AK148" i="31"/>
  <c r="AL148" i="31"/>
  <c r="AO148" i="31"/>
  <c r="AP148" i="31"/>
  <c r="J148" i="31" s="1"/>
  <c r="BD148" i="31"/>
  <c r="BF148" i="31"/>
  <c r="BJ148" i="31"/>
  <c r="K149" i="31"/>
  <c r="Z149" i="31"/>
  <c r="AB149" i="31"/>
  <c r="AC149" i="31"/>
  <c r="AF149" i="31"/>
  <c r="AG149" i="31"/>
  <c r="AH149" i="31"/>
  <c r="AJ149" i="31"/>
  <c r="AK149" i="31"/>
  <c r="AL149" i="31"/>
  <c r="AO149" i="31"/>
  <c r="AP149" i="31"/>
  <c r="J149" i="31" s="1"/>
  <c r="BD149" i="31"/>
  <c r="BF149" i="31"/>
  <c r="BJ149" i="31"/>
  <c r="K150" i="31"/>
  <c r="Z150" i="31"/>
  <c r="AB150" i="31"/>
  <c r="AC150" i="31"/>
  <c r="AF150" i="31"/>
  <c r="AG150" i="31"/>
  <c r="AH150" i="31"/>
  <c r="AJ150" i="31"/>
  <c r="AK150" i="31"/>
  <c r="AL150" i="31"/>
  <c r="AO150" i="31"/>
  <c r="I150" i="31" s="1"/>
  <c r="AP150" i="31"/>
  <c r="AX150" i="31" s="1"/>
  <c r="BD150" i="31"/>
  <c r="BF150" i="31"/>
  <c r="BH150" i="31"/>
  <c r="AD150" i="31" s="1"/>
  <c r="BI150" i="31"/>
  <c r="AE150" i="31" s="1"/>
  <c r="BJ150" i="31"/>
  <c r="K151" i="31"/>
  <c r="AK151" i="31" s="1"/>
  <c r="Z151" i="31"/>
  <c r="AB151" i="31"/>
  <c r="AC151" i="31"/>
  <c r="AF151" i="31"/>
  <c r="AG151" i="31"/>
  <c r="AH151" i="31"/>
  <c r="AJ151" i="31"/>
  <c r="AL151" i="31"/>
  <c r="AO151" i="31"/>
  <c r="AW151" i="31" s="1"/>
  <c r="AP151" i="31"/>
  <c r="BD151" i="31"/>
  <c r="BF151" i="31"/>
  <c r="BH151" i="31"/>
  <c r="AD151" i="31" s="1"/>
  <c r="BJ151" i="31"/>
  <c r="K152" i="31"/>
  <c r="Z152" i="31"/>
  <c r="AB152" i="31"/>
  <c r="AC152" i="31"/>
  <c r="AF152" i="31"/>
  <c r="AG152" i="31"/>
  <c r="AH152" i="31"/>
  <c r="AJ152" i="31"/>
  <c r="AK152" i="31"/>
  <c r="AL152" i="31"/>
  <c r="AO152" i="31"/>
  <c r="I152" i="31" s="1"/>
  <c r="AP152" i="31"/>
  <c r="J152" i="31" s="1"/>
  <c r="AW152" i="31"/>
  <c r="AX152" i="31"/>
  <c r="BD152" i="31"/>
  <c r="BF152" i="31"/>
  <c r="BH152" i="31"/>
  <c r="AD152" i="31" s="1"/>
  <c r="BI152" i="31"/>
  <c r="AE152" i="31" s="1"/>
  <c r="BJ152" i="31"/>
  <c r="K153" i="31"/>
  <c r="Z153" i="31"/>
  <c r="AB153" i="31"/>
  <c r="AC153" i="31"/>
  <c r="AF153" i="31"/>
  <c r="AG153" i="31"/>
  <c r="AH153" i="31"/>
  <c r="AJ153" i="31"/>
  <c r="AK153" i="31"/>
  <c r="AL153" i="31"/>
  <c r="AO153" i="31"/>
  <c r="AP153" i="31"/>
  <c r="J153" i="31" s="1"/>
  <c r="BD153" i="31"/>
  <c r="BF153" i="31"/>
  <c r="BJ153" i="31"/>
  <c r="K154" i="31"/>
  <c r="Z154" i="31"/>
  <c r="AB154" i="31"/>
  <c r="AC154" i="31"/>
  <c r="AF154" i="31"/>
  <c r="AG154" i="31"/>
  <c r="AH154" i="31"/>
  <c r="AJ154" i="31"/>
  <c r="AK154" i="31"/>
  <c r="AL154" i="31"/>
  <c r="AO154" i="31"/>
  <c r="I154" i="31" s="1"/>
  <c r="AP154" i="31"/>
  <c r="AX154" i="31" s="1"/>
  <c r="BD154" i="31"/>
  <c r="BF154" i="31"/>
  <c r="BH154" i="31"/>
  <c r="AD154" i="31" s="1"/>
  <c r="BJ154" i="31"/>
  <c r="K156" i="31"/>
  <c r="Z156" i="31"/>
  <c r="AB156" i="31"/>
  <c r="AC156" i="31"/>
  <c r="AF156" i="31"/>
  <c r="AG156" i="31"/>
  <c r="AH156" i="31"/>
  <c r="AJ156" i="31"/>
  <c r="AK156" i="31"/>
  <c r="AL156" i="31"/>
  <c r="AO156" i="31"/>
  <c r="AP156" i="31"/>
  <c r="BD156" i="31"/>
  <c r="BF156" i="31"/>
  <c r="BJ156" i="31"/>
  <c r="K157" i="31"/>
  <c r="Z157" i="31"/>
  <c r="AB157" i="31"/>
  <c r="AC157" i="31"/>
  <c r="AF157" i="31"/>
  <c r="AG157" i="31"/>
  <c r="AH157" i="31"/>
  <c r="AJ157" i="31"/>
  <c r="AK157" i="31"/>
  <c r="AL157" i="31"/>
  <c r="AO157" i="31"/>
  <c r="I157" i="31" s="1"/>
  <c r="AP157" i="31"/>
  <c r="AX157" i="31" s="1"/>
  <c r="BD157" i="31"/>
  <c r="BF157" i="31"/>
  <c r="BH157" i="31"/>
  <c r="AD157" i="31" s="1"/>
  <c r="BJ157" i="31"/>
  <c r="K158" i="31"/>
  <c r="Z158" i="31"/>
  <c r="AB158" i="31"/>
  <c r="AC158" i="31"/>
  <c r="AF158" i="31"/>
  <c r="AG158" i="31"/>
  <c r="AH158" i="31"/>
  <c r="AJ158" i="31"/>
  <c r="AL158" i="31"/>
  <c r="AO158" i="31"/>
  <c r="AW158" i="31" s="1"/>
  <c r="AP158" i="31"/>
  <c r="BD158" i="31"/>
  <c r="BF158" i="31"/>
  <c r="BH158" i="31"/>
  <c r="AD158" i="31" s="1"/>
  <c r="BJ158" i="31"/>
  <c r="K159" i="31"/>
  <c r="Z159" i="31"/>
  <c r="AB159" i="31"/>
  <c r="AC159" i="31"/>
  <c r="AF159" i="31"/>
  <c r="AG159" i="31"/>
  <c r="AH159" i="31"/>
  <c r="AJ159" i="31"/>
  <c r="AK159" i="31"/>
  <c r="AL159" i="31"/>
  <c r="AO159" i="31"/>
  <c r="AP159" i="31"/>
  <c r="BD159" i="31"/>
  <c r="BF159" i="31"/>
  <c r="BJ159" i="31"/>
  <c r="I160" i="31"/>
  <c r="K160" i="31"/>
  <c r="Z160" i="31"/>
  <c r="AB160" i="31"/>
  <c r="AC160" i="31"/>
  <c r="AF160" i="31"/>
  <c r="AG160" i="31"/>
  <c r="AH160" i="31"/>
  <c r="AJ160" i="31"/>
  <c r="AK160" i="31"/>
  <c r="AL160" i="31"/>
  <c r="AO160" i="31"/>
  <c r="AP160" i="31"/>
  <c r="J160" i="31" s="1"/>
  <c r="AW160" i="31"/>
  <c r="BD160" i="31"/>
  <c r="BF160" i="31"/>
  <c r="BH160" i="31"/>
  <c r="AD160" i="31" s="1"/>
  <c r="BI160" i="31"/>
  <c r="AE160" i="31" s="1"/>
  <c r="BJ160" i="31"/>
  <c r="K161" i="31"/>
  <c r="Z161" i="31"/>
  <c r="AB161" i="31"/>
  <c r="AC161" i="31"/>
  <c r="AF161" i="31"/>
  <c r="AG161" i="31"/>
  <c r="AH161" i="31"/>
  <c r="AJ161" i="31"/>
  <c r="AK161" i="31"/>
  <c r="AL161" i="31"/>
  <c r="AO161" i="31"/>
  <c r="AP161" i="31"/>
  <c r="AX161" i="31" s="1"/>
  <c r="BD161" i="31"/>
  <c r="BF161" i="31"/>
  <c r="BJ161" i="31"/>
  <c r="K162" i="31"/>
  <c r="AK162" i="31" s="1"/>
  <c r="Z162" i="31"/>
  <c r="AB162" i="31"/>
  <c r="AC162" i="31"/>
  <c r="AF162" i="31"/>
  <c r="AG162" i="31"/>
  <c r="AH162" i="31"/>
  <c r="AJ162" i="31"/>
  <c r="AL162" i="31"/>
  <c r="AO162" i="31"/>
  <c r="AW162" i="31" s="1"/>
  <c r="AP162" i="31"/>
  <c r="BD162" i="31"/>
  <c r="BF162" i="31"/>
  <c r="BJ162" i="31"/>
  <c r="K163" i="31"/>
  <c r="Z163" i="31"/>
  <c r="AB163" i="31"/>
  <c r="AC163" i="31"/>
  <c r="AF163" i="31"/>
  <c r="AG163" i="31"/>
  <c r="AH163" i="31"/>
  <c r="AJ163" i="31"/>
  <c r="AK163" i="31"/>
  <c r="AL163" i="31"/>
  <c r="AO163" i="31"/>
  <c r="AP163" i="31"/>
  <c r="J163" i="31" s="1"/>
  <c r="AX163" i="31"/>
  <c r="BD163" i="31"/>
  <c r="BF163" i="31"/>
  <c r="BI163" i="31"/>
  <c r="AE163" i="31" s="1"/>
  <c r="BJ163" i="31"/>
  <c r="K164" i="31"/>
  <c r="Z164" i="31"/>
  <c r="AB164" i="31"/>
  <c r="AC164" i="31"/>
  <c r="AF164" i="31"/>
  <c r="AG164" i="31"/>
  <c r="AH164" i="31"/>
  <c r="AJ164" i="31"/>
  <c r="AK164" i="31"/>
  <c r="AL164" i="31"/>
  <c r="AO164" i="31"/>
  <c r="AP164" i="31"/>
  <c r="J164" i="31" s="1"/>
  <c r="BD164" i="31"/>
  <c r="BF164" i="31"/>
  <c r="BJ164" i="31"/>
  <c r="K165" i="31"/>
  <c r="Z165" i="31"/>
  <c r="AB165" i="31"/>
  <c r="AC165" i="31"/>
  <c r="AF165" i="31"/>
  <c r="AG165" i="31"/>
  <c r="AH165" i="31"/>
  <c r="AJ165" i="31"/>
  <c r="AK165" i="31"/>
  <c r="AL165" i="31"/>
  <c r="AO165" i="31"/>
  <c r="AP165" i="31"/>
  <c r="BD165" i="31"/>
  <c r="BF165" i="31"/>
  <c r="BH165" i="31"/>
  <c r="AD165" i="31" s="1"/>
  <c r="BJ165" i="31"/>
  <c r="K166" i="31"/>
  <c r="Z166" i="31"/>
  <c r="AB166" i="31"/>
  <c r="AC166" i="31"/>
  <c r="AF166" i="31"/>
  <c r="AG166" i="31"/>
  <c r="AH166" i="31"/>
  <c r="AJ166" i="31"/>
  <c r="AK166" i="31"/>
  <c r="AL166" i="31"/>
  <c r="AO166" i="31"/>
  <c r="AW166" i="31" s="1"/>
  <c r="AP166" i="31"/>
  <c r="BD166" i="31"/>
  <c r="BF166" i="31"/>
  <c r="BH166" i="31"/>
  <c r="AD166" i="31" s="1"/>
  <c r="BJ166" i="31"/>
  <c r="K167" i="31"/>
  <c r="AK167" i="31" s="1"/>
  <c r="Z167" i="31"/>
  <c r="AB167" i="31"/>
  <c r="AC167" i="31"/>
  <c r="AF167" i="31"/>
  <c r="AG167" i="31"/>
  <c r="AH167" i="31"/>
  <c r="AJ167" i="31"/>
  <c r="AL167" i="31"/>
  <c r="AO167" i="31"/>
  <c r="AP167" i="31"/>
  <c r="BD167" i="31"/>
  <c r="BF167" i="31"/>
  <c r="BJ167" i="31"/>
  <c r="K168" i="31"/>
  <c r="Z168" i="31"/>
  <c r="AB168" i="31"/>
  <c r="AC168" i="31"/>
  <c r="AF168" i="31"/>
  <c r="AG168" i="31"/>
  <c r="AH168" i="31"/>
  <c r="AJ168" i="31"/>
  <c r="AK168" i="31"/>
  <c r="AL168" i="31"/>
  <c r="AO168" i="31"/>
  <c r="I168" i="31" s="1"/>
  <c r="AP168" i="31"/>
  <c r="J168" i="31" s="1"/>
  <c r="AX168" i="31"/>
  <c r="BD168" i="31"/>
  <c r="BF168" i="31"/>
  <c r="BI168" i="31"/>
  <c r="AE168" i="31" s="1"/>
  <c r="BJ168" i="31"/>
  <c r="K169" i="31"/>
  <c r="Z169" i="31"/>
  <c r="AB169" i="31"/>
  <c r="AC169" i="31"/>
  <c r="AF169" i="31"/>
  <c r="AG169" i="31"/>
  <c r="AH169" i="31"/>
  <c r="AJ169" i="31"/>
  <c r="AK169" i="31"/>
  <c r="AL169" i="31"/>
  <c r="AO169" i="31"/>
  <c r="AP169" i="31"/>
  <c r="AX169" i="31" s="1"/>
  <c r="BD169" i="31"/>
  <c r="BF169" i="31"/>
  <c r="BJ169" i="31"/>
  <c r="K170" i="31"/>
  <c r="Z170" i="31"/>
  <c r="AB170" i="31"/>
  <c r="AC170" i="31"/>
  <c r="AF170" i="31"/>
  <c r="AG170" i="31"/>
  <c r="AH170" i="31"/>
  <c r="AJ170" i="31"/>
  <c r="AK170" i="31"/>
  <c r="AL170" i="31"/>
  <c r="AO170" i="31"/>
  <c r="AW170" i="31" s="1"/>
  <c r="AP170" i="31"/>
  <c r="J170" i="31" s="1"/>
  <c r="BD170" i="31"/>
  <c r="BF170" i="31"/>
  <c r="BH170" i="31"/>
  <c r="AD170" i="31" s="1"/>
  <c r="BI170" i="31"/>
  <c r="AE170" i="31" s="1"/>
  <c r="BJ170" i="31"/>
  <c r="K171" i="31"/>
  <c r="Z171" i="31"/>
  <c r="AB171" i="31"/>
  <c r="AC171" i="31"/>
  <c r="AF171" i="31"/>
  <c r="AG171" i="31"/>
  <c r="AH171" i="31"/>
  <c r="AJ171" i="31"/>
  <c r="AK171" i="31"/>
  <c r="AL171" i="31"/>
  <c r="AO171" i="31"/>
  <c r="BH171" i="31" s="1"/>
  <c r="AD171" i="31" s="1"/>
  <c r="AP171" i="31"/>
  <c r="BD171" i="31"/>
  <c r="BF171" i="31"/>
  <c r="BJ171" i="31"/>
  <c r="K172" i="31"/>
  <c r="Z172" i="31"/>
  <c r="AB172" i="31"/>
  <c r="AC172" i="31"/>
  <c r="AF172" i="31"/>
  <c r="AG172" i="31"/>
  <c r="AH172" i="31"/>
  <c r="AJ172" i="31"/>
  <c r="AK172" i="31"/>
  <c r="AL172" i="31"/>
  <c r="AO172" i="31"/>
  <c r="AP172" i="31"/>
  <c r="J172" i="31" s="1"/>
  <c r="BD172" i="31"/>
  <c r="BF172" i="31"/>
  <c r="BJ172" i="31"/>
  <c r="K173" i="31"/>
  <c r="Z173" i="31"/>
  <c r="AB173" i="31"/>
  <c r="AC173" i="31"/>
  <c r="AF173" i="31"/>
  <c r="AG173" i="31"/>
  <c r="AH173" i="31"/>
  <c r="AJ173" i="31"/>
  <c r="AK173" i="31"/>
  <c r="AL173" i="31"/>
  <c r="AO173" i="31"/>
  <c r="AP173" i="31"/>
  <c r="BD173" i="31"/>
  <c r="BF173" i="31"/>
  <c r="BH173" i="31"/>
  <c r="AD173" i="31" s="1"/>
  <c r="BJ173" i="31"/>
  <c r="K174" i="31"/>
  <c r="Z174" i="31"/>
  <c r="AB174" i="31"/>
  <c r="AC174" i="31"/>
  <c r="AF174" i="31"/>
  <c r="AG174" i="31"/>
  <c r="AH174" i="31"/>
  <c r="AJ174" i="31"/>
  <c r="AK174" i="31"/>
  <c r="AL174" i="31"/>
  <c r="AO174" i="31"/>
  <c r="AW174" i="31" s="1"/>
  <c r="AP174" i="31"/>
  <c r="J174" i="31" s="1"/>
  <c r="AX174" i="31"/>
  <c r="BD174" i="31"/>
  <c r="BF174" i="31"/>
  <c r="BH174" i="31"/>
  <c r="AD174" i="31" s="1"/>
  <c r="BI174" i="31"/>
  <c r="AE174" i="31" s="1"/>
  <c r="BJ174" i="31"/>
  <c r="K175" i="31"/>
  <c r="Z175" i="31"/>
  <c r="AB175" i="31"/>
  <c r="AC175" i="31"/>
  <c r="AF175" i="31"/>
  <c r="AG175" i="31"/>
  <c r="AH175" i="31"/>
  <c r="AJ175" i="31"/>
  <c r="AK175" i="31"/>
  <c r="AL175" i="31"/>
  <c r="AO175" i="31"/>
  <c r="BH175" i="31" s="1"/>
  <c r="AD175" i="31" s="1"/>
  <c r="AP175" i="31"/>
  <c r="BD175" i="31"/>
  <c r="BF175" i="31"/>
  <c r="BJ175" i="31"/>
  <c r="K176" i="31"/>
  <c r="Z176" i="31"/>
  <c r="AB176" i="31"/>
  <c r="AC176" i="31"/>
  <c r="AF176" i="31"/>
  <c r="AG176" i="31"/>
  <c r="AH176" i="31"/>
  <c r="AJ176" i="31"/>
  <c r="AK176" i="31"/>
  <c r="AL176" i="31"/>
  <c r="AO176" i="31"/>
  <c r="AP176" i="31"/>
  <c r="J176" i="31" s="1"/>
  <c r="BD176" i="31"/>
  <c r="BF176" i="31"/>
  <c r="BJ176" i="31"/>
  <c r="K177" i="31"/>
  <c r="Z177" i="31"/>
  <c r="AB177" i="31"/>
  <c r="AC177" i="31"/>
  <c r="AF177" i="31"/>
  <c r="AG177" i="31"/>
  <c r="AH177" i="31"/>
  <c r="AJ177" i="31"/>
  <c r="AK177" i="31"/>
  <c r="AL177" i="31"/>
  <c r="AO177" i="31"/>
  <c r="AP177" i="31"/>
  <c r="BD177" i="31"/>
  <c r="BF177" i="31"/>
  <c r="BJ177" i="31"/>
  <c r="K178" i="31"/>
  <c r="Z178" i="31"/>
  <c r="AB178" i="31"/>
  <c r="AC178" i="31"/>
  <c r="AF178" i="31"/>
  <c r="AG178" i="31"/>
  <c r="AH178" i="31"/>
  <c r="AJ178" i="31"/>
  <c r="AK178" i="31"/>
  <c r="AL178" i="31"/>
  <c r="AO178" i="31"/>
  <c r="AW178" i="31" s="1"/>
  <c r="AP178" i="31"/>
  <c r="J178" i="31" s="1"/>
  <c r="AX178" i="31"/>
  <c r="BD178" i="31"/>
  <c r="BF178" i="31"/>
  <c r="BI178" i="31"/>
  <c r="AE178" i="31" s="1"/>
  <c r="BJ178" i="31"/>
  <c r="K180" i="31"/>
  <c r="Z180" i="31"/>
  <c r="AB180" i="31"/>
  <c r="AC180" i="31"/>
  <c r="AF180" i="31"/>
  <c r="AG180" i="31"/>
  <c r="AH180" i="31"/>
  <c r="AJ180" i="31"/>
  <c r="AK180" i="31"/>
  <c r="AL180" i="31"/>
  <c r="AO180" i="31"/>
  <c r="AP180" i="31"/>
  <c r="AX180" i="31" s="1"/>
  <c r="BD180" i="31"/>
  <c r="BF180" i="31"/>
  <c r="BJ180" i="31"/>
  <c r="K181" i="31"/>
  <c r="AK181" i="31" s="1"/>
  <c r="AB181" i="31"/>
  <c r="AC181" i="31"/>
  <c r="AD181" i="31"/>
  <c r="AE181" i="31"/>
  <c r="AF181" i="31"/>
  <c r="AG181" i="31"/>
  <c r="AH181" i="31"/>
  <c r="AJ181" i="31"/>
  <c r="AL181" i="31"/>
  <c r="AO181" i="31"/>
  <c r="AP181" i="31"/>
  <c r="BI181" i="31" s="1"/>
  <c r="BD181" i="31"/>
  <c r="BF181" i="31"/>
  <c r="BJ181" i="31"/>
  <c r="Z181" i="31" s="1"/>
  <c r="K183" i="31"/>
  <c r="Z183" i="31"/>
  <c r="AB183" i="31"/>
  <c r="AC183" i="31"/>
  <c r="AF183" i="31"/>
  <c r="AG183" i="31"/>
  <c r="AH183" i="31"/>
  <c r="AJ183" i="31"/>
  <c r="AK183" i="31"/>
  <c r="AL183" i="31"/>
  <c r="AO183" i="31"/>
  <c r="AP183" i="31"/>
  <c r="BI183" i="31" s="1"/>
  <c r="AE183" i="31" s="1"/>
  <c r="BD183" i="31"/>
  <c r="BF183" i="31"/>
  <c r="BJ183" i="31"/>
  <c r="K184" i="31"/>
  <c r="Z184" i="31"/>
  <c r="AB184" i="31"/>
  <c r="AC184" i="31"/>
  <c r="AF184" i="31"/>
  <c r="AG184" i="31"/>
  <c r="AH184" i="31"/>
  <c r="AJ184" i="31"/>
  <c r="AK184" i="31"/>
  <c r="AL184" i="31"/>
  <c r="AO184" i="31"/>
  <c r="AP184" i="31"/>
  <c r="BD184" i="31"/>
  <c r="BF184" i="31"/>
  <c r="BJ184" i="31"/>
  <c r="K185" i="31"/>
  <c r="Z185" i="31"/>
  <c r="AB185" i="31"/>
  <c r="AC185" i="31"/>
  <c r="AF185" i="31"/>
  <c r="AG185" i="31"/>
  <c r="AH185" i="31"/>
  <c r="AJ185" i="31"/>
  <c r="AK185" i="31"/>
  <c r="AL185" i="31"/>
  <c r="AO185" i="31"/>
  <c r="I185" i="31" s="1"/>
  <c r="AP185" i="31"/>
  <c r="J185" i="31" s="1"/>
  <c r="BD185" i="31"/>
  <c r="BF185" i="31"/>
  <c r="BH185" i="31"/>
  <c r="AD185" i="31" s="1"/>
  <c r="BJ185" i="31"/>
  <c r="K186" i="31"/>
  <c r="Z186" i="31"/>
  <c r="AB186" i="31"/>
  <c r="AC186" i="31"/>
  <c r="AF186" i="31"/>
  <c r="AG186" i="31"/>
  <c r="AH186" i="31"/>
  <c r="AJ186" i="31"/>
  <c r="AK186" i="31"/>
  <c r="AL186" i="31"/>
  <c r="AO186" i="31"/>
  <c r="AW186" i="31" s="1"/>
  <c r="AP186" i="31"/>
  <c r="AX186" i="31" s="1"/>
  <c r="BD186" i="31"/>
  <c r="BF186" i="31"/>
  <c r="BH186" i="31"/>
  <c r="AD186" i="31" s="1"/>
  <c r="BJ186" i="31"/>
  <c r="K187" i="31"/>
  <c r="Z187" i="31"/>
  <c r="AB187" i="31"/>
  <c r="AC187" i="31"/>
  <c r="AF187" i="31"/>
  <c r="AG187" i="31"/>
  <c r="AH187" i="31"/>
  <c r="AJ187" i="31"/>
  <c r="AK187" i="31"/>
  <c r="AL187" i="31"/>
  <c r="AO187" i="31"/>
  <c r="AP187" i="31"/>
  <c r="AX187" i="31" s="1"/>
  <c r="BD187" i="31"/>
  <c r="BF187" i="31"/>
  <c r="BJ187" i="31"/>
  <c r="K188" i="31"/>
  <c r="AK188" i="31" s="1"/>
  <c r="Z188" i="31"/>
  <c r="AB188" i="31"/>
  <c r="AC188" i="31"/>
  <c r="AF188" i="31"/>
  <c r="AG188" i="31"/>
  <c r="AH188" i="31"/>
  <c r="AJ188" i="31"/>
  <c r="AL188" i="31"/>
  <c r="AO188" i="31"/>
  <c r="AW188" i="31" s="1"/>
  <c r="AP188" i="31"/>
  <c r="J188" i="31" s="1"/>
  <c r="BD188" i="31"/>
  <c r="BF188" i="31"/>
  <c r="BI188" i="31"/>
  <c r="AE188" i="31" s="1"/>
  <c r="BJ188" i="31"/>
  <c r="K189" i="31"/>
  <c r="AK189" i="31" s="1"/>
  <c r="AB189" i="31"/>
  <c r="AC189" i="31"/>
  <c r="AD189" i="31"/>
  <c r="AE189" i="31"/>
  <c r="AF189" i="31"/>
  <c r="AG189" i="31"/>
  <c r="AH189" i="31"/>
  <c r="AJ189" i="31"/>
  <c r="AL189" i="31"/>
  <c r="AO189" i="31"/>
  <c r="AP189" i="31"/>
  <c r="BI189" i="31" s="1"/>
  <c r="BD189" i="31"/>
  <c r="BF189" i="31"/>
  <c r="BJ189" i="31"/>
  <c r="Z189" i="31" s="1"/>
  <c r="K191" i="31"/>
  <c r="Z191" i="31"/>
  <c r="AB191" i="31"/>
  <c r="AC191" i="31"/>
  <c r="AF191" i="31"/>
  <c r="AG191" i="31"/>
  <c r="AH191" i="31"/>
  <c r="AJ191" i="31"/>
  <c r="AL191" i="31"/>
  <c r="AO191" i="31"/>
  <c r="AW191" i="31" s="1"/>
  <c r="AP191" i="31"/>
  <c r="BD191" i="31"/>
  <c r="BF191" i="31"/>
  <c r="BH191" i="31"/>
  <c r="AD191" i="31" s="1"/>
  <c r="BJ191" i="31"/>
  <c r="K192" i="31"/>
  <c r="Z192" i="31"/>
  <c r="AB192" i="31"/>
  <c r="AC192" i="31"/>
  <c r="AF192" i="31"/>
  <c r="AG192" i="31"/>
  <c r="AH192" i="31"/>
  <c r="AJ192" i="31"/>
  <c r="AK192" i="31"/>
  <c r="AL192" i="31"/>
  <c r="AO192" i="31"/>
  <c r="I192" i="31" s="1"/>
  <c r="AP192" i="31"/>
  <c r="AX192" i="31" s="1"/>
  <c r="AW192" i="31"/>
  <c r="BD192" i="31"/>
  <c r="BF192" i="31"/>
  <c r="BJ192" i="31"/>
  <c r="K193" i="31"/>
  <c r="Z193" i="31"/>
  <c r="AB193" i="31"/>
  <c r="AC193" i="31"/>
  <c r="AF193" i="31"/>
  <c r="AG193" i="31"/>
  <c r="AH193" i="31"/>
  <c r="AJ193" i="31"/>
  <c r="AK193" i="31"/>
  <c r="AL193" i="31"/>
  <c r="AO193" i="31"/>
  <c r="AW193" i="31" s="1"/>
  <c r="AP193" i="31"/>
  <c r="J193" i="31" s="1"/>
  <c r="BD193" i="31"/>
  <c r="BF193" i="31"/>
  <c r="BH193" i="31"/>
  <c r="AD193" i="31" s="1"/>
  <c r="BJ193" i="31"/>
  <c r="K194" i="31"/>
  <c r="Z194" i="31"/>
  <c r="AB194" i="31"/>
  <c r="AC194" i="31"/>
  <c r="AF194" i="31"/>
  <c r="AG194" i="31"/>
  <c r="AH194" i="31"/>
  <c r="AJ194" i="31"/>
  <c r="AK194" i="31"/>
  <c r="AL194" i="31"/>
  <c r="AO194" i="31"/>
  <c r="AP194" i="31"/>
  <c r="BD194" i="31"/>
  <c r="BF194" i="31"/>
  <c r="BJ194" i="31"/>
  <c r="K196" i="31"/>
  <c r="AK196" i="31" s="1"/>
  <c r="Z196" i="31"/>
  <c r="AD196" i="31"/>
  <c r="AE196" i="31"/>
  <c r="AF196" i="31"/>
  <c r="AG196" i="31"/>
  <c r="AH196" i="31"/>
  <c r="AJ196" i="31"/>
  <c r="AL196" i="31"/>
  <c r="AO196" i="31"/>
  <c r="AW196" i="31" s="1"/>
  <c r="AP196" i="31"/>
  <c r="BD196" i="31"/>
  <c r="BF196" i="31"/>
  <c r="BH196" i="31"/>
  <c r="AB196" i="31" s="1"/>
  <c r="BJ196" i="31"/>
  <c r="K197" i="31"/>
  <c r="Z197" i="31"/>
  <c r="AD197" i="31"/>
  <c r="AE197" i="31"/>
  <c r="AF197" i="31"/>
  <c r="AG197" i="31"/>
  <c r="AH197" i="31"/>
  <c r="AJ197" i="31"/>
  <c r="AK197" i="31"/>
  <c r="AL197" i="31"/>
  <c r="AO197" i="31"/>
  <c r="I197" i="31" s="1"/>
  <c r="AP197" i="31"/>
  <c r="AX197" i="31" s="1"/>
  <c r="BD197" i="31"/>
  <c r="BF197" i="31"/>
  <c r="BJ197" i="31"/>
  <c r="K198" i="31"/>
  <c r="Z198" i="31"/>
  <c r="AD198" i="31"/>
  <c r="AE198" i="31"/>
  <c r="AF198" i="31"/>
  <c r="AG198" i="31"/>
  <c r="AH198" i="31"/>
  <c r="AJ198" i="31"/>
  <c r="AL198" i="31"/>
  <c r="AO198" i="31"/>
  <c r="AW198" i="31" s="1"/>
  <c r="AP198" i="31"/>
  <c r="BD198" i="31"/>
  <c r="BF198" i="31"/>
  <c r="BH198" i="31"/>
  <c r="AB198" i="31" s="1"/>
  <c r="BJ198" i="31"/>
  <c r="K199" i="31"/>
  <c r="Z199" i="31"/>
  <c r="AD199" i="31"/>
  <c r="AE199" i="31"/>
  <c r="AF199" i="31"/>
  <c r="AG199" i="31"/>
  <c r="AH199" i="31"/>
  <c r="AJ199" i="31"/>
  <c r="AK199" i="31"/>
  <c r="AL199" i="31"/>
  <c r="AO199" i="31"/>
  <c r="I199" i="31" s="1"/>
  <c r="AP199" i="31"/>
  <c r="BD199" i="31"/>
  <c r="BF199" i="31"/>
  <c r="BI199" i="31"/>
  <c r="AC199" i="31" s="1"/>
  <c r="BJ199" i="31"/>
  <c r="K200" i="31"/>
  <c r="Z200" i="31"/>
  <c r="AD200" i="31"/>
  <c r="AE200" i="31"/>
  <c r="AF200" i="31"/>
  <c r="AG200" i="31"/>
  <c r="AH200" i="31"/>
  <c r="AJ200" i="31"/>
  <c r="AK200" i="31"/>
  <c r="AL200" i="31"/>
  <c r="AO200" i="31"/>
  <c r="AW200" i="31" s="1"/>
  <c r="AP200" i="31"/>
  <c r="BD200" i="31"/>
  <c r="BF200" i="31"/>
  <c r="BH200" i="31"/>
  <c r="AB200" i="31" s="1"/>
  <c r="BJ200" i="31"/>
  <c r="K201" i="31"/>
  <c r="Z201" i="31"/>
  <c r="AD201" i="31"/>
  <c r="AE201" i="31"/>
  <c r="AF201" i="31"/>
  <c r="AG201" i="31"/>
  <c r="AH201" i="31"/>
  <c r="AJ201" i="31"/>
  <c r="AK201" i="31"/>
  <c r="AL201" i="31"/>
  <c r="AO201" i="31"/>
  <c r="AP201" i="31"/>
  <c r="AX201" i="31" s="1"/>
  <c r="BD201" i="31"/>
  <c r="BF201" i="31"/>
  <c r="BJ201" i="31"/>
  <c r="K202" i="31"/>
  <c r="AK202" i="31" s="1"/>
  <c r="Z202" i="31"/>
  <c r="AD202" i="31"/>
  <c r="AE202" i="31"/>
  <c r="AF202" i="31"/>
  <c r="AG202" i="31"/>
  <c r="AH202" i="31"/>
  <c r="AJ202" i="31"/>
  <c r="AL202" i="31"/>
  <c r="AO202" i="31"/>
  <c r="AW202" i="31" s="1"/>
  <c r="AP202" i="31"/>
  <c r="BD202" i="31"/>
  <c r="BF202" i="31"/>
  <c r="BH202" i="31"/>
  <c r="AB202" i="31" s="1"/>
  <c r="BJ202" i="31"/>
  <c r="K203" i="31"/>
  <c r="Z203" i="31"/>
  <c r="AC203" i="31"/>
  <c r="AD203" i="31"/>
  <c r="AE203" i="31"/>
  <c r="AF203" i="31"/>
  <c r="AG203" i="31"/>
  <c r="AH203" i="31"/>
  <c r="AJ203" i="31"/>
  <c r="AK203" i="31"/>
  <c r="AL203" i="31"/>
  <c r="AO203" i="31"/>
  <c r="I203" i="31" s="1"/>
  <c r="AP203" i="31"/>
  <c r="AX203" i="31" s="1"/>
  <c r="BD203" i="31"/>
  <c r="BF203" i="31"/>
  <c r="BI203" i="31"/>
  <c r="BJ203" i="31"/>
  <c r="K204" i="31"/>
  <c r="Z204" i="31"/>
  <c r="AD204" i="31"/>
  <c r="AE204" i="31"/>
  <c r="AF204" i="31"/>
  <c r="AG204" i="31"/>
  <c r="AH204" i="31"/>
  <c r="AJ204" i="31"/>
  <c r="AK204" i="31"/>
  <c r="AL204" i="31"/>
  <c r="AO204" i="31"/>
  <c r="AP204" i="31"/>
  <c r="BD204" i="31"/>
  <c r="BF204" i="31"/>
  <c r="BJ204" i="31"/>
  <c r="K205" i="31"/>
  <c r="Z205" i="31"/>
  <c r="AD205" i="31"/>
  <c r="AE205" i="31"/>
  <c r="AF205" i="31"/>
  <c r="AG205" i="31"/>
  <c r="AH205" i="31"/>
  <c r="AJ205" i="31"/>
  <c r="AK205" i="31"/>
  <c r="AL205" i="31"/>
  <c r="AO205" i="31"/>
  <c r="AP205" i="31"/>
  <c r="AX205" i="31" s="1"/>
  <c r="BD205" i="31"/>
  <c r="BF205" i="31"/>
  <c r="BJ205" i="31"/>
  <c r="K206" i="31"/>
  <c r="Z206" i="31"/>
  <c r="AD206" i="31"/>
  <c r="AE206" i="31"/>
  <c r="AF206" i="31"/>
  <c r="AG206" i="31"/>
  <c r="AH206" i="31"/>
  <c r="AJ206" i="31"/>
  <c r="AK206" i="31"/>
  <c r="AL206" i="31"/>
  <c r="AO206" i="31"/>
  <c r="AP206" i="31"/>
  <c r="J206" i="31" s="1"/>
  <c r="BD206" i="31"/>
  <c r="BF206" i="31"/>
  <c r="BJ206" i="31"/>
  <c r="K207" i="31"/>
  <c r="Z207" i="31"/>
  <c r="AD207" i="31"/>
  <c r="AE207" i="31"/>
  <c r="AF207" i="31"/>
  <c r="AG207" i="31"/>
  <c r="AH207" i="31"/>
  <c r="AJ207" i="31"/>
  <c r="AK207" i="31"/>
  <c r="AL207" i="31"/>
  <c r="AO207" i="31"/>
  <c r="I207" i="31" s="1"/>
  <c r="AP207" i="31"/>
  <c r="BD207" i="31"/>
  <c r="BF207" i="31"/>
  <c r="BJ207" i="31"/>
  <c r="K208" i="31"/>
  <c r="Z208" i="31"/>
  <c r="AD208" i="31"/>
  <c r="AE208" i="31"/>
  <c r="AF208" i="31"/>
  <c r="AG208" i="31"/>
  <c r="AH208" i="31"/>
  <c r="AJ208" i="31"/>
  <c r="AK208" i="31"/>
  <c r="AL208" i="31"/>
  <c r="AO208" i="31"/>
  <c r="I208" i="31" s="1"/>
  <c r="AP208" i="31"/>
  <c r="BD208" i="31"/>
  <c r="BF208" i="31"/>
  <c r="BJ208" i="31"/>
  <c r="K209" i="31"/>
  <c r="Z209" i="31"/>
  <c r="AD209" i="31"/>
  <c r="AE209" i="31"/>
  <c r="AF209" i="31"/>
  <c r="AG209" i="31"/>
  <c r="AH209" i="31"/>
  <c r="AJ209" i="31"/>
  <c r="AK209" i="31"/>
  <c r="AL209" i="31"/>
  <c r="AO209" i="31"/>
  <c r="AP209" i="31"/>
  <c r="AX209" i="31" s="1"/>
  <c r="BD209" i="31"/>
  <c r="BF209" i="31"/>
  <c r="BJ209" i="31"/>
  <c r="K210" i="31"/>
  <c r="Z210" i="31"/>
  <c r="AD210" i="31"/>
  <c r="AE210" i="31"/>
  <c r="AF210" i="31"/>
  <c r="AG210" i="31"/>
  <c r="AH210" i="31"/>
  <c r="AJ210" i="31"/>
  <c r="AK210" i="31"/>
  <c r="AL210" i="31"/>
  <c r="AO210" i="31"/>
  <c r="AW210" i="31" s="1"/>
  <c r="AP210" i="31"/>
  <c r="J210" i="31" s="1"/>
  <c r="BD210" i="31"/>
  <c r="BF210" i="31"/>
  <c r="BH210" i="31"/>
  <c r="AB210" i="31" s="1"/>
  <c r="BJ210" i="31"/>
  <c r="K211" i="31"/>
  <c r="Z211" i="31"/>
  <c r="AD211" i="31"/>
  <c r="AE211" i="31"/>
  <c r="AF211" i="31"/>
  <c r="AG211" i="31"/>
  <c r="AH211" i="31"/>
  <c r="AJ211" i="31"/>
  <c r="AK211" i="31"/>
  <c r="AL211" i="31"/>
  <c r="AO211" i="31"/>
  <c r="I211" i="31" s="1"/>
  <c r="AP211" i="31"/>
  <c r="BD211" i="31"/>
  <c r="BF211" i="31"/>
  <c r="BH211" i="31"/>
  <c r="AB211" i="31" s="1"/>
  <c r="BJ211" i="31"/>
  <c r="K212" i="31"/>
  <c r="Z212" i="31"/>
  <c r="AD212" i="31"/>
  <c r="AE212" i="31"/>
  <c r="AF212" i="31"/>
  <c r="AG212" i="31"/>
  <c r="AH212" i="31"/>
  <c r="AJ212" i="31"/>
  <c r="AK212" i="31"/>
  <c r="AL212" i="31"/>
  <c r="AO212" i="31"/>
  <c r="I212" i="31" s="1"/>
  <c r="AP212" i="31"/>
  <c r="J212" i="31" s="1"/>
  <c r="AX212" i="31"/>
  <c r="BD212" i="31"/>
  <c r="BF212" i="31"/>
  <c r="BI212" i="31"/>
  <c r="AC212" i="31" s="1"/>
  <c r="BJ212" i="31"/>
  <c r="K213" i="31"/>
  <c r="Z213" i="31"/>
  <c r="AD213" i="31"/>
  <c r="AE213" i="31"/>
  <c r="AF213" i="31"/>
  <c r="AG213" i="31"/>
  <c r="AH213" i="31"/>
  <c r="AJ213" i="31"/>
  <c r="AK213" i="31"/>
  <c r="AL213" i="31"/>
  <c r="AO213" i="31"/>
  <c r="AP213" i="31"/>
  <c r="AX213" i="31" s="1"/>
  <c r="BD213" i="31"/>
  <c r="BF213" i="31"/>
  <c r="BJ213" i="31"/>
  <c r="K214" i="31"/>
  <c r="Z214" i="31"/>
  <c r="AD214" i="31"/>
  <c r="AE214" i="31"/>
  <c r="AF214" i="31"/>
  <c r="AG214" i="31"/>
  <c r="AH214" i="31"/>
  <c r="AJ214" i="31"/>
  <c r="AK214" i="31"/>
  <c r="AL214" i="31"/>
  <c r="AO214" i="31"/>
  <c r="AW214" i="31" s="1"/>
  <c r="AP214" i="31"/>
  <c r="J214" i="31" s="1"/>
  <c r="BD214" i="31"/>
  <c r="BF214" i="31"/>
  <c r="BJ214" i="31"/>
  <c r="K216" i="31"/>
  <c r="Z216" i="31"/>
  <c r="AD216" i="31"/>
  <c r="AE216" i="31"/>
  <c r="AF216" i="31"/>
  <c r="AG216" i="31"/>
  <c r="AH216" i="31"/>
  <c r="AJ216" i="31"/>
  <c r="AK216" i="31"/>
  <c r="AL216" i="31"/>
  <c r="AO216" i="31"/>
  <c r="I216" i="31" s="1"/>
  <c r="AP216" i="31"/>
  <c r="AX216" i="31" s="1"/>
  <c r="BD216" i="31"/>
  <c r="BF216" i="31"/>
  <c r="BJ216" i="31"/>
  <c r="K217" i="31"/>
  <c r="Z217" i="31"/>
  <c r="AD217" i="31"/>
  <c r="AE217" i="31"/>
  <c r="AF217" i="31"/>
  <c r="AG217" i="31"/>
  <c r="AH217" i="31"/>
  <c r="AJ217" i="31"/>
  <c r="AK217" i="31"/>
  <c r="AL217" i="31"/>
  <c r="AO217" i="31"/>
  <c r="AW217" i="31" s="1"/>
  <c r="AP217" i="31"/>
  <c r="J217" i="31" s="1"/>
  <c r="BD217" i="31"/>
  <c r="BF217" i="31"/>
  <c r="BH217" i="31"/>
  <c r="AB217" i="31" s="1"/>
  <c r="BI217" i="31"/>
  <c r="AC217" i="31" s="1"/>
  <c r="BJ217" i="31"/>
  <c r="K218" i="31"/>
  <c r="Z218" i="31"/>
  <c r="AD218" i="31"/>
  <c r="AE218" i="31"/>
  <c r="AF218" i="31"/>
  <c r="AG218" i="31"/>
  <c r="AH218" i="31"/>
  <c r="AJ218" i="31"/>
  <c r="AK218" i="31"/>
  <c r="AL218" i="31"/>
  <c r="AO218" i="31"/>
  <c r="I218" i="31" s="1"/>
  <c r="AP218" i="31"/>
  <c r="J218" i="31" s="1"/>
  <c r="BD218" i="31"/>
  <c r="BF218" i="31"/>
  <c r="BH218" i="31"/>
  <c r="AB218" i="31" s="1"/>
  <c r="BJ218" i="31"/>
  <c r="K219" i="31"/>
  <c r="Z219" i="31"/>
  <c r="AD219" i="31"/>
  <c r="AE219" i="31"/>
  <c r="AF219" i="31"/>
  <c r="AG219" i="31"/>
  <c r="AH219" i="31"/>
  <c r="AJ219" i="31"/>
  <c r="AK219" i="31"/>
  <c r="AL219" i="31"/>
  <c r="AO219" i="31"/>
  <c r="I219" i="31" s="1"/>
  <c r="AP219" i="31"/>
  <c r="BI219" i="31" s="1"/>
  <c r="AC219" i="31" s="1"/>
  <c r="BD219" i="31"/>
  <c r="BF219" i="31"/>
  <c r="BJ219" i="31"/>
  <c r="K220" i="31"/>
  <c r="Z220" i="31"/>
  <c r="AD220" i="31"/>
  <c r="AE220" i="31"/>
  <c r="AF220" i="31"/>
  <c r="AG220" i="31"/>
  <c r="AH220" i="31"/>
  <c r="AJ220" i="31"/>
  <c r="AK220" i="31"/>
  <c r="AL220" i="31"/>
  <c r="AO220" i="31"/>
  <c r="BH220" i="31" s="1"/>
  <c r="AB220" i="31" s="1"/>
  <c r="AP220" i="31"/>
  <c r="BD220" i="31"/>
  <c r="BF220" i="31"/>
  <c r="BJ220" i="31"/>
  <c r="K221" i="31"/>
  <c r="Z221" i="31"/>
  <c r="AD221" i="31"/>
  <c r="AE221" i="31"/>
  <c r="AF221" i="31"/>
  <c r="AG221" i="31"/>
  <c r="AH221" i="31"/>
  <c r="AJ221" i="31"/>
  <c r="AK221" i="31"/>
  <c r="AL221" i="31"/>
  <c r="AO221" i="31"/>
  <c r="AW221" i="31" s="1"/>
  <c r="AP221" i="31"/>
  <c r="J221" i="31" s="1"/>
  <c r="BD221" i="31"/>
  <c r="BF221" i="31"/>
  <c r="BH221" i="31"/>
  <c r="AB221" i="31" s="1"/>
  <c r="BI221" i="31"/>
  <c r="AC221" i="31" s="1"/>
  <c r="BJ221" i="31"/>
  <c r="B2" i="30"/>
  <c r="E2" i="30"/>
  <c r="B4" i="30"/>
  <c r="E4" i="30"/>
  <c r="B6" i="30"/>
  <c r="E6" i="30"/>
  <c r="B8" i="30"/>
  <c r="G11" i="30"/>
  <c r="I11" i="30" s="1"/>
  <c r="C2" i="29"/>
  <c r="F2" i="29"/>
  <c r="C4" i="29"/>
  <c r="F4" i="29"/>
  <c r="C6" i="29"/>
  <c r="F6" i="29"/>
  <c r="C10" i="29"/>
  <c r="F10" i="29"/>
  <c r="F22" i="29"/>
  <c r="I22" i="29"/>
  <c r="C2" i="28"/>
  <c r="F2" i="28"/>
  <c r="C4" i="28"/>
  <c r="F4" i="28"/>
  <c r="C6" i="28"/>
  <c r="F6" i="28"/>
  <c r="C8" i="28"/>
  <c r="K13" i="27"/>
  <c r="AK13" i="27" s="1"/>
  <c r="Z13" i="27"/>
  <c r="AD13" i="27"/>
  <c r="AE13" i="27"/>
  <c r="AF13" i="27"/>
  <c r="AG13" i="27"/>
  <c r="AH13" i="27"/>
  <c r="AJ13" i="27"/>
  <c r="AL13" i="27"/>
  <c r="AO13" i="27"/>
  <c r="AW13" i="27" s="1"/>
  <c r="AP13" i="27"/>
  <c r="BD13" i="27"/>
  <c r="BF13" i="27"/>
  <c r="BH13" i="27"/>
  <c r="AB13" i="27" s="1"/>
  <c r="BJ13" i="27"/>
  <c r="K14" i="27"/>
  <c r="Z14" i="27"/>
  <c r="AD14" i="27"/>
  <c r="AE14" i="27"/>
  <c r="AF14" i="27"/>
  <c r="AG14" i="27"/>
  <c r="AH14" i="27"/>
  <c r="AJ14" i="27"/>
  <c r="AK14" i="27"/>
  <c r="AL14" i="27"/>
  <c r="AO14" i="27"/>
  <c r="AP14" i="27"/>
  <c r="BD14" i="27"/>
  <c r="BF14" i="27"/>
  <c r="BJ14" i="27"/>
  <c r="K15" i="27"/>
  <c r="Z15" i="27"/>
  <c r="AD15" i="27"/>
  <c r="AE15" i="27"/>
  <c r="AF15" i="27"/>
  <c r="AG15" i="27"/>
  <c r="AH15" i="27"/>
  <c r="AJ15" i="27"/>
  <c r="AL15" i="27"/>
  <c r="AO15" i="27"/>
  <c r="AP15" i="27"/>
  <c r="BD15" i="27"/>
  <c r="BF15" i="27"/>
  <c r="BH15" i="27"/>
  <c r="AB15" i="27" s="1"/>
  <c r="BJ15" i="27"/>
  <c r="K16" i="27"/>
  <c r="AK16" i="27" s="1"/>
  <c r="Z16" i="27"/>
  <c r="AD16" i="27"/>
  <c r="AE16" i="27"/>
  <c r="AF16" i="27"/>
  <c r="AG16" i="27"/>
  <c r="AH16" i="27"/>
  <c r="AJ16" i="27"/>
  <c r="AL16" i="27"/>
  <c r="AO16" i="27"/>
  <c r="I16" i="27" s="1"/>
  <c r="AP16" i="27"/>
  <c r="BD16" i="27"/>
  <c r="BF16" i="27"/>
  <c r="BI16" i="27"/>
  <c r="AC16" i="27" s="1"/>
  <c r="BJ16" i="27"/>
  <c r="K17" i="27"/>
  <c r="AK17" i="27" s="1"/>
  <c r="Z17" i="27"/>
  <c r="AD17" i="27"/>
  <c r="AE17" i="27"/>
  <c r="AF17" i="27"/>
  <c r="AG17" i="27"/>
  <c r="AH17" i="27"/>
  <c r="AJ17" i="27"/>
  <c r="AL17" i="27"/>
  <c r="AO17" i="27"/>
  <c r="AP17" i="27"/>
  <c r="AX17" i="27" s="1"/>
  <c r="BD17" i="27"/>
  <c r="BF17" i="27"/>
  <c r="BJ17" i="27"/>
  <c r="K18" i="27"/>
  <c r="AK18" i="27" s="1"/>
  <c r="Z18" i="27"/>
  <c r="AD18" i="27"/>
  <c r="AE18" i="27"/>
  <c r="AF18" i="27"/>
  <c r="AG18" i="27"/>
  <c r="AH18" i="27"/>
  <c r="AJ18" i="27"/>
  <c r="AL18" i="27"/>
  <c r="AO18" i="27"/>
  <c r="AP18" i="27"/>
  <c r="BD18" i="27"/>
  <c r="BF18" i="27"/>
  <c r="BJ18" i="27"/>
  <c r="K19" i="27"/>
  <c r="AK19" i="27" s="1"/>
  <c r="Z19" i="27"/>
  <c r="AD19" i="27"/>
  <c r="AE19" i="27"/>
  <c r="AF19" i="27"/>
  <c r="AG19" i="27"/>
  <c r="AH19" i="27"/>
  <c r="AJ19" i="27"/>
  <c r="AL19" i="27"/>
  <c r="AO19" i="27"/>
  <c r="AP19" i="27"/>
  <c r="BD19" i="27"/>
  <c r="BF19" i="27"/>
  <c r="BJ19" i="27"/>
  <c r="K20" i="27"/>
  <c r="K21" i="27"/>
  <c r="Z21" i="27"/>
  <c r="AD21" i="27"/>
  <c r="AE21" i="27"/>
  <c r="AF21" i="27"/>
  <c r="AG21" i="27"/>
  <c r="AH21" i="27"/>
  <c r="AJ21" i="27"/>
  <c r="AS20" i="27" s="1"/>
  <c r="AK21" i="27"/>
  <c r="AT20" i="27" s="1"/>
  <c r="AL21" i="27"/>
  <c r="AU20" i="27" s="1"/>
  <c r="AO21" i="27"/>
  <c r="I21" i="27" s="1"/>
  <c r="I20" i="27" s="1"/>
  <c r="AP21" i="27"/>
  <c r="BD21" i="27"/>
  <c r="BF21" i="27"/>
  <c r="BI21" i="27"/>
  <c r="AC21" i="27" s="1"/>
  <c r="BJ21" i="27"/>
  <c r="K23" i="27"/>
  <c r="AK23" i="27" s="1"/>
  <c r="Z23" i="27"/>
  <c r="AD23" i="27"/>
  <c r="AE23" i="27"/>
  <c r="AF23" i="27"/>
  <c r="AG23" i="27"/>
  <c r="AH23" i="27"/>
  <c r="AJ23" i="27"/>
  <c r="AL23" i="27"/>
  <c r="AO23" i="27"/>
  <c r="AP23" i="27"/>
  <c r="AX23" i="27" s="1"/>
  <c r="BD23" i="27"/>
  <c r="BF23" i="27"/>
  <c r="BJ23" i="27"/>
  <c r="K24" i="27"/>
  <c r="AK24" i="27" s="1"/>
  <c r="Z24" i="27"/>
  <c r="AD24" i="27"/>
  <c r="AE24" i="27"/>
  <c r="AF24" i="27"/>
  <c r="AG24" i="27"/>
  <c r="AH24" i="27"/>
  <c r="AJ24" i="27"/>
  <c r="AL24" i="27"/>
  <c r="AO24" i="27"/>
  <c r="AP24" i="27"/>
  <c r="BI24" i="27" s="1"/>
  <c r="AC24" i="27" s="1"/>
  <c r="BD24" i="27"/>
  <c r="BF24" i="27"/>
  <c r="BJ24" i="27"/>
  <c r="K25" i="27"/>
  <c r="AK25" i="27" s="1"/>
  <c r="Z25" i="27"/>
  <c r="AD25" i="27"/>
  <c r="AE25" i="27"/>
  <c r="AF25" i="27"/>
  <c r="AG25" i="27"/>
  <c r="AH25" i="27"/>
  <c r="AJ25" i="27"/>
  <c r="AL25" i="27"/>
  <c r="AO25" i="27"/>
  <c r="BH25" i="27" s="1"/>
  <c r="AB25" i="27" s="1"/>
  <c r="AP25" i="27"/>
  <c r="AX25" i="27" s="1"/>
  <c r="BD25" i="27"/>
  <c r="BF25" i="27"/>
  <c r="BJ25" i="27"/>
  <c r="K27" i="27"/>
  <c r="Z27" i="27"/>
  <c r="AD27" i="27"/>
  <c r="AE27" i="27"/>
  <c r="AF27" i="27"/>
  <c r="AG27" i="27"/>
  <c r="AH27" i="27"/>
  <c r="AJ27" i="27"/>
  <c r="AK27" i="27"/>
  <c r="AL27" i="27"/>
  <c r="AO27" i="27"/>
  <c r="AP27" i="27"/>
  <c r="BD27" i="27"/>
  <c r="BF27" i="27"/>
  <c r="BJ27" i="27"/>
  <c r="K28" i="27"/>
  <c r="Z28" i="27"/>
  <c r="AD28" i="27"/>
  <c r="AE28" i="27"/>
  <c r="AF28" i="27"/>
  <c r="AG28" i="27"/>
  <c r="AH28" i="27"/>
  <c r="AJ28" i="27"/>
  <c r="AL28" i="27"/>
  <c r="AO28" i="27"/>
  <c r="BH28" i="27" s="1"/>
  <c r="AB28" i="27" s="1"/>
  <c r="AP28" i="27"/>
  <c r="J28" i="27" s="1"/>
  <c r="BD28" i="27"/>
  <c r="BF28" i="27"/>
  <c r="BJ28" i="27"/>
  <c r="K29" i="27"/>
  <c r="AK29" i="27" s="1"/>
  <c r="Z29" i="27"/>
  <c r="AD29" i="27"/>
  <c r="AE29" i="27"/>
  <c r="AF29" i="27"/>
  <c r="AG29" i="27"/>
  <c r="AH29" i="27"/>
  <c r="AJ29" i="27"/>
  <c r="AL29" i="27"/>
  <c r="AO29" i="27"/>
  <c r="I29" i="27" s="1"/>
  <c r="AP29" i="27"/>
  <c r="J29" i="27" s="1"/>
  <c r="BD29" i="27"/>
  <c r="BF29" i="27"/>
  <c r="BJ29" i="27"/>
  <c r="K31" i="27"/>
  <c r="Z31" i="27"/>
  <c r="AD31" i="27"/>
  <c r="AE31" i="27"/>
  <c r="AF31" i="27"/>
  <c r="AG31" i="27"/>
  <c r="AH31" i="27"/>
  <c r="AJ31" i="27"/>
  <c r="AL31" i="27"/>
  <c r="AO31" i="27"/>
  <c r="AP31" i="27"/>
  <c r="BD31" i="27"/>
  <c r="BF31" i="27"/>
  <c r="BJ31" i="27"/>
  <c r="K32" i="27"/>
  <c r="AK32" i="27" s="1"/>
  <c r="Z32" i="27"/>
  <c r="AD32" i="27"/>
  <c r="AE32" i="27"/>
  <c r="AF32" i="27"/>
  <c r="AG32" i="27"/>
  <c r="AH32" i="27"/>
  <c r="AJ32" i="27"/>
  <c r="AL32" i="27"/>
  <c r="AO32" i="27"/>
  <c r="AP32" i="27"/>
  <c r="BD32" i="27"/>
  <c r="BF32" i="27"/>
  <c r="BJ32" i="27"/>
  <c r="K33" i="27"/>
  <c r="Z33" i="27"/>
  <c r="AD33" i="27"/>
  <c r="AE33" i="27"/>
  <c r="AF33" i="27"/>
  <c r="AG33" i="27"/>
  <c r="AH33" i="27"/>
  <c r="AJ33" i="27"/>
  <c r="AK33" i="27"/>
  <c r="AL33" i="27"/>
  <c r="AO33" i="27"/>
  <c r="AP33" i="27"/>
  <c r="AX33" i="27" s="1"/>
  <c r="BD33" i="27"/>
  <c r="BF33" i="27"/>
  <c r="BJ33" i="27"/>
  <c r="K35" i="27"/>
  <c r="Z35" i="27"/>
  <c r="AD35" i="27"/>
  <c r="AE35" i="27"/>
  <c r="AF35" i="27"/>
  <c r="AG35" i="27"/>
  <c r="AH35" i="27"/>
  <c r="AJ35" i="27"/>
  <c r="AS34" i="27" s="1"/>
  <c r="AL35" i="27"/>
  <c r="AU34" i="27" s="1"/>
  <c r="AO35" i="27"/>
  <c r="AP35" i="27"/>
  <c r="BD35" i="27"/>
  <c r="BF35" i="27"/>
  <c r="BJ35" i="27"/>
  <c r="K37" i="27"/>
  <c r="Z37" i="27"/>
  <c r="AD37" i="27"/>
  <c r="AE37" i="27"/>
  <c r="AF37" i="27"/>
  <c r="AG37" i="27"/>
  <c r="AH37" i="27"/>
  <c r="AJ37" i="27"/>
  <c r="AL37" i="27"/>
  <c r="AO37" i="27"/>
  <c r="AP37" i="27"/>
  <c r="BD37" i="27"/>
  <c r="BF37" i="27"/>
  <c r="BJ37" i="27"/>
  <c r="K38" i="27"/>
  <c r="AK38" i="27" s="1"/>
  <c r="Z38" i="27"/>
  <c r="AD38" i="27"/>
  <c r="AE38" i="27"/>
  <c r="AF38" i="27"/>
  <c r="AG38" i="27"/>
  <c r="AH38" i="27"/>
  <c r="AJ38" i="27"/>
  <c r="AL38" i="27"/>
  <c r="AO38" i="27"/>
  <c r="AP38" i="27"/>
  <c r="J38" i="27" s="1"/>
  <c r="BD38" i="27"/>
  <c r="BF38" i="27"/>
  <c r="BJ38" i="27"/>
  <c r="K40" i="27"/>
  <c r="Z40" i="27"/>
  <c r="AD40" i="27"/>
  <c r="AE40" i="27"/>
  <c r="AF40" i="27"/>
  <c r="AG40" i="27"/>
  <c r="AH40" i="27"/>
  <c r="AJ40" i="27"/>
  <c r="AS39" i="27" s="1"/>
  <c r="AL40" i="27"/>
  <c r="AU39" i="27" s="1"/>
  <c r="AO40" i="27"/>
  <c r="BH40" i="27" s="1"/>
  <c r="AB40" i="27" s="1"/>
  <c r="AP40" i="27"/>
  <c r="J40" i="27" s="1"/>
  <c r="J39" i="27" s="1"/>
  <c r="AX40" i="27"/>
  <c r="BD40" i="27"/>
  <c r="BF40" i="27"/>
  <c r="BI40" i="27"/>
  <c r="AC40" i="27" s="1"/>
  <c r="BJ40" i="27"/>
  <c r="K42" i="27"/>
  <c r="Z42" i="27"/>
  <c r="AD42" i="27"/>
  <c r="AE42" i="27"/>
  <c r="AF42" i="27"/>
  <c r="AG42" i="27"/>
  <c r="AH42" i="27"/>
  <c r="AJ42" i="27"/>
  <c r="AK42" i="27"/>
  <c r="AL42" i="27"/>
  <c r="AO42" i="27"/>
  <c r="I42" i="27" s="1"/>
  <c r="AP42" i="27"/>
  <c r="BI42" i="27" s="1"/>
  <c r="AC42" i="27" s="1"/>
  <c r="BD42" i="27"/>
  <c r="BF42" i="27"/>
  <c r="BH42" i="27"/>
  <c r="AB42" i="27" s="1"/>
  <c r="BJ42" i="27"/>
  <c r="K43" i="27"/>
  <c r="AK43" i="27" s="1"/>
  <c r="Z43" i="27"/>
  <c r="AD43" i="27"/>
  <c r="AE43" i="27"/>
  <c r="AF43" i="27"/>
  <c r="AG43" i="27"/>
  <c r="AH43" i="27"/>
  <c r="AJ43" i="27"/>
  <c r="AL43" i="27"/>
  <c r="AO43" i="27"/>
  <c r="AP43" i="27"/>
  <c r="BD43" i="27"/>
  <c r="BF43" i="27"/>
  <c r="BJ43" i="27"/>
  <c r="K44" i="27"/>
  <c r="AK44" i="27" s="1"/>
  <c r="Z44" i="27"/>
  <c r="AD44" i="27"/>
  <c r="AE44" i="27"/>
  <c r="AF44" i="27"/>
  <c r="AG44" i="27"/>
  <c r="AH44" i="27"/>
  <c r="AJ44" i="27"/>
  <c r="AL44" i="27"/>
  <c r="AO44" i="27"/>
  <c r="AP44" i="27"/>
  <c r="J44" i="27" s="1"/>
  <c r="BD44" i="27"/>
  <c r="BF44" i="27"/>
  <c r="BJ44" i="27"/>
  <c r="K46" i="27"/>
  <c r="Z46" i="27"/>
  <c r="AD46" i="27"/>
  <c r="AE46" i="27"/>
  <c r="AF46" i="27"/>
  <c r="AG46" i="27"/>
  <c r="AH46" i="27"/>
  <c r="AJ46" i="27"/>
  <c r="AL46" i="27"/>
  <c r="AO46" i="27"/>
  <c r="AP46" i="27"/>
  <c r="AX46" i="27" s="1"/>
  <c r="BD46" i="27"/>
  <c r="BF46" i="27"/>
  <c r="BH46" i="27"/>
  <c r="AB46" i="27" s="1"/>
  <c r="BJ46" i="27"/>
  <c r="K47" i="27"/>
  <c r="AK47" i="27" s="1"/>
  <c r="Z47" i="27"/>
  <c r="AD47" i="27"/>
  <c r="AE47" i="27"/>
  <c r="AF47" i="27"/>
  <c r="AG47" i="27"/>
  <c r="AH47" i="27"/>
  <c r="AJ47" i="27"/>
  <c r="AL47" i="27"/>
  <c r="AO47" i="27"/>
  <c r="I47" i="27" s="1"/>
  <c r="AP47" i="27"/>
  <c r="J47" i="27" s="1"/>
  <c r="BD47" i="27"/>
  <c r="BF47" i="27"/>
  <c r="BI47" i="27"/>
  <c r="AC47" i="27" s="1"/>
  <c r="BJ47" i="27"/>
  <c r="K48" i="27"/>
  <c r="AK48" i="27" s="1"/>
  <c r="Z48" i="27"/>
  <c r="AD48" i="27"/>
  <c r="AE48" i="27"/>
  <c r="AF48" i="27"/>
  <c r="AG48" i="27"/>
  <c r="AH48" i="27"/>
  <c r="AJ48" i="27"/>
  <c r="AL48" i="27"/>
  <c r="AO48" i="27"/>
  <c r="AP48" i="27"/>
  <c r="J48" i="27" s="1"/>
  <c r="BD48" i="27"/>
  <c r="BF48" i="27"/>
  <c r="BI48" i="27"/>
  <c r="AC48" i="27" s="1"/>
  <c r="BJ48" i="27"/>
  <c r="K50" i="27"/>
  <c r="Z50" i="27"/>
  <c r="AD50" i="27"/>
  <c r="AE50" i="27"/>
  <c r="AF50" i="27"/>
  <c r="AG50" i="27"/>
  <c r="AH50" i="27"/>
  <c r="AJ50" i="27"/>
  <c r="AL50" i="27"/>
  <c r="AO50" i="27"/>
  <c r="AP50" i="27"/>
  <c r="BD50" i="27"/>
  <c r="BF50" i="27"/>
  <c r="BJ50" i="27"/>
  <c r="K51" i="27"/>
  <c r="Z51" i="27"/>
  <c r="AD51" i="27"/>
  <c r="AE51" i="27"/>
  <c r="AF51" i="27"/>
  <c r="AG51" i="27"/>
  <c r="AH51" i="27"/>
  <c r="AJ51" i="27"/>
  <c r="AK51" i="27"/>
  <c r="AL51" i="27"/>
  <c r="AO51" i="27"/>
  <c r="AP51" i="27"/>
  <c r="J51" i="27" s="1"/>
  <c r="AX51" i="27"/>
  <c r="BD51" i="27"/>
  <c r="BF51" i="27"/>
  <c r="BI51" i="27"/>
  <c r="AC51" i="27" s="1"/>
  <c r="BJ51" i="27"/>
  <c r="K52" i="27"/>
  <c r="AK52" i="27" s="1"/>
  <c r="Z52" i="27"/>
  <c r="AD52" i="27"/>
  <c r="AE52" i="27"/>
  <c r="AF52" i="27"/>
  <c r="AG52" i="27"/>
  <c r="AH52" i="27"/>
  <c r="AJ52" i="27"/>
  <c r="AL52" i="27"/>
  <c r="AO52" i="27"/>
  <c r="I52" i="27" s="1"/>
  <c r="AP52" i="27"/>
  <c r="BI52" i="27" s="1"/>
  <c r="AC52" i="27" s="1"/>
  <c r="BD52" i="27"/>
  <c r="BF52" i="27"/>
  <c r="BH52" i="27"/>
  <c r="AB52" i="27" s="1"/>
  <c r="BJ52" i="27"/>
  <c r="K54" i="27"/>
  <c r="Z54" i="27"/>
  <c r="AD54" i="27"/>
  <c r="AE54" i="27"/>
  <c r="AF54" i="27"/>
  <c r="AG54" i="27"/>
  <c r="AH54" i="27"/>
  <c r="AJ54" i="27"/>
  <c r="AK54" i="27"/>
  <c r="AL54" i="27"/>
  <c r="AO54" i="27"/>
  <c r="I54" i="27" s="1"/>
  <c r="AP54" i="27"/>
  <c r="AX54" i="27" s="1"/>
  <c r="BD54" i="27"/>
  <c r="BF54" i="27"/>
  <c r="BH54" i="27"/>
  <c r="AB54" i="27" s="1"/>
  <c r="BI54" i="27"/>
  <c r="AC54" i="27" s="1"/>
  <c r="BJ54" i="27"/>
  <c r="K55" i="27"/>
  <c r="Z55" i="27"/>
  <c r="AD55" i="27"/>
  <c r="AE55" i="27"/>
  <c r="AF55" i="27"/>
  <c r="AG55" i="27"/>
  <c r="AH55" i="27"/>
  <c r="AJ55" i="27"/>
  <c r="AK55" i="27"/>
  <c r="AL55" i="27"/>
  <c r="AO55" i="27"/>
  <c r="AP55" i="27"/>
  <c r="BI55" i="27" s="1"/>
  <c r="AC55" i="27" s="1"/>
  <c r="BD55" i="27"/>
  <c r="BF55" i="27"/>
  <c r="BJ55" i="27"/>
  <c r="K56" i="27"/>
  <c r="AK56" i="27" s="1"/>
  <c r="Z56" i="27"/>
  <c r="AD56" i="27"/>
  <c r="AE56" i="27"/>
  <c r="AF56" i="27"/>
  <c r="AG56" i="27"/>
  <c r="AH56" i="27"/>
  <c r="AJ56" i="27"/>
  <c r="AL56" i="27"/>
  <c r="AO56" i="27"/>
  <c r="AP56" i="27"/>
  <c r="BD56" i="27"/>
  <c r="BF56" i="27"/>
  <c r="BJ56" i="27"/>
  <c r="K57" i="27"/>
  <c r="AK57" i="27" s="1"/>
  <c r="Z57" i="27"/>
  <c r="AD57" i="27"/>
  <c r="AE57" i="27"/>
  <c r="AF57" i="27"/>
  <c r="AG57" i="27"/>
  <c r="AH57" i="27"/>
  <c r="AJ57" i="27"/>
  <c r="AL57" i="27"/>
  <c r="AO57" i="27"/>
  <c r="AP57" i="27"/>
  <c r="BD57" i="27"/>
  <c r="BF57" i="27"/>
  <c r="BI57" i="27"/>
  <c r="AC57" i="27" s="1"/>
  <c r="BJ57" i="27"/>
  <c r="K58" i="27"/>
  <c r="Z58" i="27"/>
  <c r="AD58" i="27"/>
  <c r="AE58" i="27"/>
  <c r="AF58" i="27"/>
  <c r="AG58" i="27"/>
  <c r="AH58" i="27"/>
  <c r="AJ58" i="27"/>
  <c r="AK58" i="27"/>
  <c r="AL58" i="27"/>
  <c r="AO58" i="27"/>
  <c r="AP58" i="27"/>
  <c r="BD58" i="27"/>
  <c r="BF58" i="27"/>
  <c r="BJ58" i="27"/>
  <c r="K59" i="27"/>
  <c r="AK59" i="27" s="1"/>
  <c r="Z59" i="27"/>
  <c r="AD59" i="27"/>
  <c r="AE59" i="27"/>
  <c r="AF59" i="27"/>
  <c r="AG59" i="27"/>
  <c r="AH59" i="27"/>
  <c r="AJ59" i="27"/>
  <c r="AL59" i="27"/>
  <c r="AO59" i="27"/>
  <c r="AP59" i="27"/>
  <c r="BI59" i="27" s="1"/>
  <c r="AC59" i="27" s="1"/>
  <c r="BD59" i="27"/>
  <c r="BF59" i="27"/>
  <c r="BJ59" i="27"/>
  <c r="K60" i="27"/>
  <c r="AK60" i="27" s="1"/>
  <c r="Z60" i="27"/>
  <c r="AD60" i="27"/>
  <c r="AE60" i="27"/>
  <c r="AF60" i="27"/>
  <c r="AG60" i="27"/>
  <c r="AH60" i="27"/>
  <c r="AJ60" i="27"/>
  <c r="AL60" i="27"/>
  <c r="AO60" i="27"/>
  <c r="AP60" i="27"/>
  <c r="BD60" i="27"/>
  <c r="BF60" i="27"/>
  <c r="BH60" i="27"/>
  <c r="AB60" i="27" s="1"/>
  <c r="BJ60" i="27"/>
  <c r="K61" i="27"/>
  <c r="AK61" i="27" s="1"/>
  <c r="Z61" i="27"/>
  <c r="AD61" i="27"/>
  <c r="AE61" i="27"/>
  <c r="AF61" i="27"/>
  <c r="AG61" i="27"/>
  <c r="AH61" i="27"/>
  <c r="AJ61" i="27"/>
  <c r="AL61" i="27"/>
  <c r="AO61" i="27"/>
  <c r="I61" i="27" s="1"/>
  <c r="AP61" i="27"/>
  <c r="BD61" i="27"/>
  <c r="BF61" i="27"/>
  <c r="BJ61" i="27"/>
  <c r="K62" i="27"/>
  <c r="AK62" i="27" s="1"/>
  <c r="Z62" i="27"/>
  <c r="AD62" i="27"/>
  <c r="AE62" i="27"/>
  <c r="AF62" i="27"/>
  <c r="AG62" i="27"/>
  <c r="AH62" i="27"/>
  <c r="AJ62" i="27"/>
  <c r="AL62" i="27"/>
  <c r="AO62" i="27"/>
  <c r="AP62" i="27"/>
  <c r="J62" i="27" s="1"/>
  <c r="BD62" i="27"/>
  <c r="BF62" i="27"/>
  <c r="BJ62" i="27"/>
  <c r="K64" i="27"/>
  <c r="Z64" i="27"/>
  <c r="AD64" i="27"/>
  <c r="AE64" i="27"/>
  <c r="AF64" i="27"/>
  <c r="AG64" i="27"/>
  <c r="AH64" i="27"/>
  <c r="AJ64" i="27"/>
  <c r="AL64" i="27"/>
  <c r="AO64" i="27"/>
  <c r="AP64" i="27"/>
  <c r="J64" i="27" s="1"/>
  <c r="BD64" i="27"/>
  <c r="BF64" i="27"/>
  <c r="BJ64" i="27"/>
  <c r="K65" i="27"/>
  <c r="Z65" i="27"/>
  <c r="AD65" i="27"/>
  <c r="AE65" i="27"/>
  <c r="AF65" i="27"/>
  <c r="AG65" i="27"/>
  <c r="AH65" i="27"/>
  <c r="AJ65" i="27"/>
  <c r="AK65" i="27"/>
  <c r="AL65" i="27"/>
  <c r="AO65" i="27"/>
  <c r="AP65" i="27"/>
  <c r="BD65" i="27"/>
  <c r="BF65" i="27"/>
  <c r="BJ65" i="27"/>
  <c r="K66" i="27"/>
  <c r="AK66" i="27" s="1"/>
  <c r="Z66" i="27"/>
  <c r="AD66" i="27"/>
  <c r="AE66" i="27"/>
  <c r="AF66" i="27"/>
  <c r="AG66" i="27"/>
  <c r="AH66" i="27"/>
  <c r="AJ66" i="27"/>
  <c r="AL66" i="27"/>
  <c r="AO66" i="27"/>
  <c r="AW66" i="27" s="1"/>
  <c r="AP66" i="27"/>
  <c r="BD66" i="27"/>
  <c r="BF66" i="27"/>
  <c r="BH66" i="27"/>
  <c r="AB66" i="27" s="1"/>
  <c r="BI66" i="27"/>
  <c r="AC66" i="27" s="1"/>
  <c r="BJ66" i="27"/>
  <c r="K67" i="27"/>
  <c r="AK67" i="27" s="1"/>
  <c r="Z67" i="27"/>
  <c r="AD67" i="27"/>
  <c r="AE67" i="27"/>
  <c r="AF67" i="27"/>
  <c r="AG67" i="27"/>
  <c r="AH67" i="27"/>
  <c r="AJ67" i="27"/>
  <c r="AL67" i="27"/>
  <c r="AO67" i="27"/>
  <c r="AP67" i="27"/>
  <c r="BD67" i="27"/>
  <c r="BF67" i="27"/>
  <c r="BJ67" i="27"/>
  <c r="K68" i="27"/>
  <c r="AK68" i="27" s="1"/>
  <c r="Z68" i="27"/>
  <c r="AD68" i="27"/>
  <c r="AE68" i="27"/>
  <c r="AF68" i="27"/>
  <c r="AG68" i="27"/>
  <c r="AH68" i="27"/>
  <c r="AJ68" i="27"/>
  <c r="AL68" i="27"/>
  <c r="AO68" i="27"/>
  <c r="AP68" i="27"/>
  <c r="BI68" i="27" s="1"/>
  <c r="AC68" i="27" s="1"/>
  <c r="BD68" i="27"/>
  <c r="BF68" i="27"/>
  <c r="BJ68" i="27"/>
  <c r="K69" i="27"/>
  <c r="AK69" i="27" s="1"/>
  <c r="Z69" i="27"/>
  <c r="AD69" i="27"/>
  <c r="AE69" i="27"/>
  <c r="AF69" i="27"/>
  <c r="AG69" i="27"/>
  <c r="AH69" i="27"/>
  <c r="AJ69" i="27"/>
  <c r="AL69" i="27"/>
  <c r="AO69" i="27"/>
  <c r="AP69" i="27"/>
  <c r="AX69" i="27" s="1"/>
  <c r="BD69" i="27"/>
  <c r="BF69" i="27"/>
  <c r="BI69" i="27"/>
  <c r="AC69" i="27" s="1"/>
  <c r="BJ69" i="27"/>
  <c r="K70" i="27"/>
  <c r="Z70" i="27"/>
  <c r="AD70" i="27"/>
  <c r="AE70" i="27"/>
  <c r="AF70" i="27"/>
  <c r="AG70" i="27"/>
  <c r="AH70" i="27"/>
  <c r="AJ70" i="27"/>
  <c r="AK70" i="27"/>
  <c r="AL70" i="27"/>
  <c r="AO70" i="27"/>
  <c r="I70" i="27" s="1"/>
  <c r="AP70" i="27"/>
  <c r="AW70" i="27"/>
  <c r="BD70" i="27"/>
  <c r="BF70" i="27"/>
  <c r="BH70" i="27"/>
  <c r="AB70" i="27" s="1"/>
  <c r="BJ70" i="27"/>
  <c r="K71" i="27"/>
  <c r="AK71" i="27" s="1"/>
  <c r="Z71" i="27"/>
  <c r="AD71" i="27"/>
  <c r="AE71" i="27"/>
  <c r="AF71" i="27"/>
  <c r="AG71" i="27"/>
  <c r="AH71" i="27"/>
  <c r="AJ71" i="27"/>
  <c r="AL71" i="27"/>
  <c r="AO71" i="27"/>
  <c r="AP71" i="27"/>
  <c r="AX71" i="27" s="1"/>
  <c r="BD71" i="27"/>
  <c r="BF71" i="27"/>
  <c r="BH71" i="27"/>
  <c r="AB71" i="27" s="1"/>
  <c r="BJ71" i="27"/>
  <c r="K72" i="27"/>
  <c r="AK72" i="27" s="1"/>
  <c r="Z72" i="27"/>
  <c r="AD72" i="27"/>
  <c r="AE72" i="27"/>
  <c r="AF72" i="27"/>
  <c r="AG72" i="27"/>
  <c r="AH72" i="27"/>
  <c r="AJ72" i="27"/>
  <c r="AL72" i="27"/>
  <c r="AO72" i="27"/>
  <c r="AP72" i="27"/>
  <c r="AX72" i="27" s="1"/>
  <c r="BD72" i="27"/>
  <c r="BF72" i="27"/>
  <c r="BJ72" i="27"/>
  <c r="K74" i="27"/>
  <c r="AK74" i="27" s="1"/>
  <c r="Z74" i="27"/>
  <c r="AD74" i="27"/>
  <c r="AE74" i="27"/>
  <c r="AF74" i="27"/>
  <c r="AG74" i="27"/>
  <c r="AH74" i="27"/>
  <c r="AJ74" i="27"/>
  <c r="AL74" i="27"/>
  <c r="AO74" i="27"/>
  <c r="AW74" i="27" s="1"/>
  <c r="AP74" i="27"/>
  <c r="BD74" i="27"/>
  <c r="BF74" i="27"/>
  <c r="BH74" i="27"/>
  <c r="AB74" i="27" s="1"/>
  <c r="BJ74" i="27"/>
  <c r="K76" i="27"/>
  <c r="Z76" i="27"/>
  <c r="AD76" i="27"/>
  <c r="AE76" i="27"/>
  <c r="AF76" i="27"/>
  <c r="AG76" i="27"/>
  <c r="AH76" i="27"/>
  <c r="AJ76" i="27"/>
  <c r="AK76" i="27"/>
  <c r="AL76" i="27"/>
  <c r="AO76" i="27"/>
  <c r="I76" i="27" s="1"/>
  <c r="AP76" i="27"/>
  <c r="BD76" i="27"/>
  <c r="BF76" i="27"/>
  <c r="BJ76" i="27"/>
  <c r="K78" i="27"/>
  <c r="AK78" i="27" s="1"/>
  <c r="Z78" i="27"/>
  <c r="AD78" i="27"/>
  <c r="AE78" i="27"/>
  <c r="AF78" i="27"/>
  <c r="AG78" i="27"/>
  <c r="AH78" i="27"/>
  <c r="AJ78" i="27"/>
  <c r="AL78" i="27"/>
  <c r="AO78" i="27"/>
  <c r="BH78" i="27" s="1"/>
  <c r="AB78" i="27" s="1"/>
  <c r="AP78" i="27"/>
  <c r="BD78" i="27"/>
  <c r="BF78" i="27"/>
  <c r="BI78" i="27"/>
  <c r="AC78" i="27" s="1"/>
  <c r="BJ78" i="27"/>
  <c r="K80" i="27"/>
  <c r="AK80" i="27" s="1"/>
  <c r="Z80" i="27"/>
  <c r="AD80" i="27"/>
  <c r="AE80" i="27"/>
  <c r="AF80" i="27"/>
  <c r="AG80" i="27"/>
  <c r="AH80" i="27"/>
  <c r="AJ80" i="27"/>
  <c r="AL80" i="27"/>
  <c r="AO80" i="27"/>
  <c r="AP80" i="27"/>
  <c r="BI80" i="27" s="1"/>
  <c r="AC80" i="27" s="1"/>
  <c r="BD80" i="27"/>
  <c r="BF80" i="27"/>
  <c r="BJ80" i="27"/>
  <c r="K81" i="27"/>
  <c r="AK81" i="27" s="1"/>
  <c r="Z81" i="27"/>
  <c r="AD81" i="27"/>
  <c r="AE81" i="27"/>
  <c r="AF81" i="27"/>
  <c r="AG81" i="27"/>
  <c r="AH81" i="27"/>
  <c r="AJ81" i="27"/>
  <c r="AL81" i="27"/>
  <c r="AO81" i="27"/>
  <c r="I81" i="27" s="1"/>
  <c r="AP81" i="27"/>
  <c r="BD81" i="27"/>
  <c r="BF81" i="27"/>
  <c r="BH81" i="27"/>
  <c r="AB81" i="27" s="1"/>
  <c r="BJ81" i="27"/>
  <c r="K82" i="27"/>
  <c r="AK82" i="27" s="1"/>
  <c r="Z82" i="27"/>
  <c r="AD82" i="27"/>
  <c r="AE82" i="27"/>
  <c r="AF82" i="27"/>
  <c r="AG82" i="27"/>
  <c r="AH82" i="27"/>
  <c r="AJ82" i="27"/>
  <c r="AL82" i="27"/>
  <c r="AO82" i="27"/>
  <c r="AW82" i="27" s="1"/>
  <c r="AP82" i="27"/>
  <c r="BI82" i="27" s="1"/>
  <c r="AC82" i="27" s="1"/>
  <c r="BD82" i="27"/>
  <c r="BF82" i="27"/>
  <c r="BH82" i="27"/>
  <c r="AB82" i="27" s="1"/>
  <c r="BJ82" i="27"/>
  <c r="K83" i="27"/>
  <c r="AK83" i="27" s="1"/>
  <c r="Z83" i="27"/>
  <c r="AD83" i="27"/>
  <c r="AE83" i="27"/>
  <c r="AF83" i="27"/>
  <c r="AG83" i="27"/>
  <c r="AH83" i="27"/>
  <c r="AJ83" i="27"/>
  <c r="AL83" i="27"/>
  <c r="AO83" i="27"/>
  <c r="AP83" i="27"/>
  <c r="J83" i="27" s="1"/>
  <c r="BD83" i="27"/>
  <c r="BF83" i="27"/>
  <c r="BI83" i="27"/>
  <c r="AC83" i="27" s="1"/>
  <c r="BJ83" i="27"/>
  <c r="K84" i="27"/>
  <c r="Z84" i="27"/>
  <c r="AD84" i="27"/>
  <c r="AE84" i="27"/>
  <c r="AF84" i="27"/>
  <c r="AG84" i="27"/>
  <c r="AH84" i="27"/>
  <c r="AJ84" i="27"/>
  <c r="AK84" i="27"/>
  <c r="AL84" i="27"/>
  <c r="AO84" i="27"/>
  <c r="AP84" i="27"/>
  <c r="BD84" i="27"/>
  <c r="BF84" i="27"/>
  <c r="BJ84" i="27"/>
  <c r="K85" i="27"/>
  <c r="AK85" i="27" s="1"/>
  <c r="Z85" i="27"/>
  <c r="AD85" i="27"/>
  <c r="AE85" i="27"/>
  <c r="AF85" i="27"/>
  <c r="AG85" i="27"/>
  <c r="AH85" i="27"/>
  <c r="AJ85" i="27"/>
  <c r="AL85" i="27"/>
  <c r="AO85" i="27"/>
  <c r="BH85" i="27" s="1"/>
  <c r="AB85" i="27" s="1"/>
  <c r="AP85" i="27"/>
  <c r="J85" i="27" s="1"/>
  <c r="BD85" i="27"/>
  <c r="BF85" i="27"/>
  <c r="BI85" i="27"/>
  <c r="AC85" i="27" s="1"/>
  <c r="BJ85" i="27"/>
  <c r="K86" i="27"/>
  <c r="AK86" i="27" s="1"/>
  <c r="Z86" i="27"/>
  <c r="AD86" i="27"/>
  <c r="AE86" i="27"/>
  <c r="AF86" i="27"/>
  <c r="AG86" i="27"/>
  <c r="AH86" i="27"/>
  <c r="AJ86" i="27"/>
  <c r="AL86" i="27"/>
  <c r="AO86" i="27"/>
  <c r="AP86" i="27"/>
  <c r="J86" i="27" s="1"/>
  <c r="BD86" i="27"/>
  <c r="BF86" i="27"/>
  <c r="BJ86" i="27"/>
  <c r="K88" i="27"/>
  <c r="AK88" i="27" s="1"/>
  <c r="Z88" i="27"/>
  <c r="AD88" i="27"/>
  <c r="AE88" i="27"/>
  <c r="AF88" i="27"/>
  <c r="AG88" i="27"/>
  <c r="AH88" i="27"/>
  <c r="AJ88" i="27"/>
  <c r="AL88" i="27"/>
  <c r="AO88" i="27"/>
  <c r="I88" i="27" s="1"/>
  <c r="AP88" i="27"/>
  <c r="BD88" i="27"/>
  <c r="BF88" i="27"/>
  <c r="BJ88" i="27"/>
  <c r="K90" i="27"/>
  <c r="Z90" i="27"/>
  <c r="AD90" i="27"/>
  <c r="AE90" i="27"/>
  <c r="AF90" i="27"/>
  <c r="AG90" i="27"/>
  <c r="AH90" i="27"/>
  <c r="AJ90" i="27"/>
  <c r="AK90" i="27"/>
  <c r="AL90" i="27"/>
  <c r="AO90" i="27"/>
  <c r="I90" i="27" s="1"/>
  <c r="AP90" i="27"/>
  <c r="BD90" i="27"/>
  <c r="BF90" i="27"/>
  <c r="BJ90" i="27"/>
  <c r="K91" i="27"/>
  <c r="AK91" i="27" s="1"/>
  <c r="Z91" i="27"/>
  <c r="AD91" i="27"/>
  <c r="AE91" i="27"/>
  <c r="AF91" i="27"/>
  <c r="AG91" i="27"/>
  <c r="AH91" i="27"/>
  <c r="AJ91" i="27"/>
  <c r="AL91" i="27"/>
  <c r="AO91" i="27"/>
  <c r="BH91" i="27" s="1"/>
  <c r="AB91" i="27" s="1"/>
  <c r="AP91" i="27"/>
  <c r="J91" i="27" s="1"/>
  <c r="AX91" i="27"/>
  <c r="BD91" i="27"/>
  <c r="BF91" i="27"/>
  <c r="BI91" i="27"/>
  <c r="AC91" i="27" s="1"/>
  <c r="BJ91" i="27"/>
  <c r="K92" i="27"/>
  <c r="AK92" i="27" s="1"/>
  <c r="Z92" i="27"/>
  <c r="AD92" i="27"/>
  <c r="AE92" i="27"/>
  <c r="AF92" i="27"/>
  <c r="AG92" i="27"/>
  <c r="AH92" i="27"/>
  <c r="AJ92" i="27"/>
  <c r="AL92" i="27"/>
  <c r="AO92" i="27"/>
  <c r="I92" i="27" s="1"/>
  <c r="AP92" i="27"/>
  <c r="J92" i="27" s="1"/>
  <c r="BD92" i="27"/>
  <c r="BF92" i="27"/>
  <c r="BJ92" i="27"/>
  <c r="I93" i="27"/>
  <c r="K93" i="27"/>
  <c r="Z93" i="27"/>
  <c r="AD93" i="27"/>
  <c r="AE93" i="27"/>
  <c r="AF93" i="27"/>
  <c r="AG93" i="27"/>
  <c r="AH93" i="27"/>
  <c r="AJ93" i="27"/>
  <c r="AK93" i="27"/>
  <c r="AL93" i="27"/>
  <c r="AO93" i="27"/>
  <c r="AP93" i="27"/>
  <c r="AX93" i="27" s="1"/>
  <c r="BD93" i="27"/>
  <c r="BF93" i="27"/>
  <c r="BJ93" i="27"/>
  <c r="K94" i="27"/>
  <c r="Z94" i="27"/>
  <c r="AD94" i="27"/>
  <c r="AE94" i="27"/>
  <c r="AF94" i="27"/>
  <c r="AG94" i="27"/>
  <c r="AH94" i="27"/>
  <c r="AJ94" i="27"/>
  <c r="AK94" i="27"/>
  <c r="AL94" i="27"/>
  <c r="AO94" i="27"/>
  <c r="I94" i="27" s="1"/>
  <c r="AP94" i="27"/>
  <c r="AW94" i="27"/>
  <c r="BD94" i="27"/>
  <c r="BF94" i="27"/>
  <c r="BH94" i="27"/>
  <c r="AB94" i="27" s="1"/>
  <c r="BI94" i="27"/>
  <c r="AC94" i="27" s="1"/>
  <c r="BJ94" i="27"/>
  <c r="K95" i="27"/>
  <c r="AK95" i="27" s="1"/>
  <c r="Z95" i="27"/>
  <c r="AD95" i="27"/>
  <c r="AE95" i="27"/>
  <c r="AF95" i="27"/>
  <c r="AG95" i="27"/>
  <c r="AH95" i="27"/>
  <c r="AJ95" i="27"/>
  <c r="AL95" i="27"/>
  <c r="AO95" i="27"/>
  <c r="AP95" i="27"/>
  <c r="BD95" i="27"/>
  <c r="BF95" i="27"/>
  <c r="BJ95" i="27"/>
  <c r="K96" i="27"/>
  <c r="AK96" i="27" s="1"/>
  <c r="Z96" i="27"/>
  <c r="AD96" i="27"/>
  <c r="AE96" i="27"/>
  <c r="AF96" i="27"/>
  <c r="AG96" i="27"/>
  <c r="AH96" i="27"/>
  <c r="AJ96" i="27"/>
  <c r="AL96" i="27"/>
  <c r="AO96" i="27"/>
  <c r="AP96" i="27"/>
  <c r="J96" i="27" s="1"/>
  <c r="AX96" i="27"/>
  <c r="BD96" i="27"/>
  <c r="BF96" i="27"/>
  <c r="BI96" i="27"/>
  <c r="AC96" i="27" s="1"/>
  <c r="BJ96" i="27"/>
  <c r="K97" i="27"/>
  <c r="Z97" i="27"/>
  <c r="AD97" i="27"/>
  <c r="AE97" i="27"/>
  <c r="AF97" i="27"/>
  <c r="AG97" i="27"/>
  <c r="AH97" i="27"/>
  <c r="AJ97" i="27"/>
  <c r="AK97" i="27"/>
  <c r="AL97" i="27"/>
  <c r="AO97" i="27"/>
  <c r="I97" i="27" s="1"/>
  <c r="AP97" i="27"/>
  <c r="AX97" i="27" s="1"/>
  <c r="AW97" i="27"/>
  <c r="BD97" i="27"/>
  <c r="BF97" i="27"/>
  <c r="BH97" i="27"/>
  <c r="AB97" i="27" s="1"/>
  <c r="BJ97" i="27"/>
  <c r="K98" i="27"/>
  <c r="AK98" i="27" s="1"/>
  <c r="Z98" i="27"/>
  <c r="AD98" i="27"/>
  <c r="AE98" i="27"/>
  <c r="AF98" i="27"/>
  <c r="AG98" i="27"/>
  <c r="AH98" i="27"/>
  <c r="AJ98" i="27"/>
  <c r="AL98" i="27"/>
  <c r="AO98" i="27"/>
  <c r="AW98" i="27" s="1"/>
  <c r="AP98" i="27"/>
  <c r="BI98" i="27" s="1"/>
  <c r="AC98" i="27" s="1"/>
  <c r="BD98" i="27"/>
  <c r="BF98" i="27"/>
  <c r="BH98" i="27"/>
  <c r="AB98" i="27" s="1"/>
  <c r="BJ98" i="27"/>
  <c r="K100" i="27"/>
  <c r="AK100" i="27" s="1"/>
  <c r="AT99" i="27" s="1"/>
  <c r="Z100" i="27"/>
  <c r="AD100" i="27"/>
  <c r="AE100" i="27"/>
  <c r="AF100" i="27"/>
  <c r="AG100" i="27"/>
  <c r="AH100" i="27"/>
  <c r="AJ100" i="27"/>
  <c r="AS99" i="27" s="1"/>
  <c r="AL100" i="27"/>
  <c r="AU99" i="27" s="1"/>
  <c r="AO100" i="27"/>
  <c r="AP100" i="27"/>
  <c r="J100" i="27" s="1"/>
  <c r="J99" i="27" s="1"/>
  <c r="AX100" i="27"/>
  <c r="BD100" i="27"/>
  <c r="BF100" i="27"/>
  <c r="BI100" i="27"/>
  <c r="AC100" i="27" s="1"/>
  <c r="BJ100" i="27"/>
  <c r="K102" i="27"/>
  <c r="Z102" i="27"/>
  <c r="AD102" i="27"/>
  <c r="AE102" i="27"/>
  <c r="AF102" i="27"/>
  <c r="AG102" i="27"/>
  <c r="AH102" i="27"/>
  <c r="AJ102" i="27"/>
  <c r="AL102" i="27"/>
  <c r="AO102" i="27"/>
  <c r="I102" i="27" s="1"/>
  <c r="AP102" i="27"/>
  <c r="BI102" i="27" s="1"/>
  <c r="AC102" i="27" s="1"/>
  <c r="BD102" i="27"/>
  <c r="BF102" i="27"/>
  <c r="BJ102" i="27"/>
  <c r="K103" i="27"/>
  <c r="Z103" i="27"/>
  <c r="AD103" i="27"/>
  <c r="AE103" i="27"/>
  <c r="AF103" i="27"/>
  <c r="AG103" i="27"/>
  <c r="AH103" i="27"/>
  <c r="AJ103" i="27"/>
  <c r="AK103" i="27"/>
  <c r="AL103" i="27"/>
  <c r="AO103" i="27"/>
  <c r="AP103" i="27"/>
  <c r="AX103" i="27" s="1"/>
  <c r="BD103" i="27"/>
  <c r="BF103" i="27"/>
  <c r="BJ103" i="27"/>
  <c r="K105" i="27"/>
  <c r="Z105" i="27"/>
  <c r="AD105" i="27"/>
  <c r="AE105" i="27"/>
  <c r="AF105" i="27"/>
  <c r="AG105" i="27"/>
  <c r="AH105" i="27"/>
  <c r="AJ105" i="27"/>
  <c r="AK105" i="27"/>
  <c r="AL105" i="27"/>
  <c r="AO105" i="27"/>
  <c r="I105" i="27" s="1"/>
  <c r="AP105" i="27"/>
  <c r="AX105" i="27" s="1"/>
  <c r="AW105" i="27"/>
  <c r="BD105" i="27"/>
  <c r="BF105" i="27"/>
  <c r="BH105" i="27"/>
  <c r="AB105" i="27" s="1"/>
  <c r="BJ105" i="27"/>
  <c r="K106" i="27"/>
  <c r="AK106" i="27" s="1"/>
  <c r="Z106" i="27"/>
  <c r="AD106" i="27"/>
  <c r="AE106" i="27"/>
  <c r="AF106" i="27"/>
  <c r="AG106" i="27"/>
  <c r="AH106" i="27"/>
  <c r="AJ106" i="27"/>
  <c r="AL106" i="27"/>
  <c r="AO106" i="27"/>
  <c r="I106" i="27" s="1"/>
  <c r="AP106" i="27"/>
  <c r="AX106" i="27" s="1"/>
  <c r="BD106" i="27"/>
  <c r="BF106" i="27"/>
  <c r="BJ106" i="27"/>
  <c r="K108" i="27"/>
  <c r="AK108" i="27" s="1"/>
  <c r="Z108" i="27"/>
  <c r="AD108" i="27"/>
  <c r="AE108" i="27"/>
  <c r="AF108" i="27"/>
  <c r="AG108" i="27"/>
  <c r="AH108" i="27"/>
  <c r="AJ108" i="27"/>
  <c r="AL108" i="27"/>
  <c r="AO108" i="27"/>
  <c r="AP108" i="27"/>
  <c r="BD108" i="27"/>
  <c r="BF108" i="27"/>
  <c r="BJ108" i="27"/>
  <c r="K109" i="27"/>
  <c r="Z109" i="27"/>
  <c r="AD109" i="27"/>
  <c r="AE109" i="27"/>
  <c r="AF109" i="27"/>
  <c r="AG109" i="27"/>
  <c r="AH109" i="27"/>
  <c r="AJ109" i="27"/>
  <c r="AK109" i="27"/>
  <c r="AL109" i="27"/>
  <c r="AO109" i="27"/>
  <c r="AP109" i="27"/>
  <c r="AX109" i="27" s="1"/>
  <c r="BD109" i="27"/>
  <c r="BF109" i="27"/>
  <c r="BJ109" i="27"/>
  <c r="K111" i="27"/>
  <c r="AK111" i="27" s="1"/>
  <c r="Z111" i="27"/>
  <c r="AD111" i="27"/>
  <c r="AE111" i="27"/>
  <c r="AF111" i="27"/>
  <c r="AG111" i="27"/>
  <c r="AH111" i="27"/>
  <c r="AJ111" i="27"/>
  <c r="AL111" i="27"/>
  <c r="AO111" i="27"/>
  <c r="AP111" i="27"/>
  <c r="BD111" i="27"/>
  <c r="BF111" i="27"/>
  <c r="BJ111" i="27"/>
  <c r="K112" i="27"/>
  <c r="Z112" i="27"/>
  <c r="AD112" i="27"/>
  <c r="AE112" i="27"/>
  <c r="AF112" i="27"/>
  <c r="AG112" i="27"/>
  <c r="AH112" i="27"/>
  <c r="AJ112" i="27"/>
  <c r="AK112" i="27"/>
  <c r="AL112" i="27"/>
  <c r="AO112" i="27"/>
  <c r="I112" i="27" s="1"/>
  <c r="AP112" i="27"/>
  <c r="AX112" i="27" s="1"/>
  <c r="BD112" i="27"/>
  <c r="BF112" i="27"/>
  <c r="BH112" i="27"/>
  <c r="AB112" i="27" s="1"/>
  <c r="BJ112" i="27"/>
  <c r="K113" i="27"/>
  <c r="Z113" i="27"/>
  <c r="AD113" i="27"/>
  <c r="AE113" i="27"/>
  <c r="AF113" i="27"/>
  <c r="AG113" i="27"/>
  <c r="AH113" i="27"/>
  <c r="AJ113" i="27"/>
  <c r="AL113" i="27"/>
  <c r="AO113" i="27"/>
  <c r="I113" i="27" s="1"/>
  <c r="AP113" i="27"/>
  <c r="BI113" i="27" s="1"/>
  <c r="AC113" i="27" s="1"/>
  <c r="BD113" i="27"/>
  <c r="BF113" i="27"/>
  <c r="BJ113" i="27"/>
  <c r="K114" i="27"/>
  <c r="AK114" i="27" s="1"/>
  <c r="Z114" i="27"/>
  <c r="AD114" i="27"/>
  <c r="AE114" i="27"/>
  <c r="AF114" i="27"/>
  <c r="AG114" i="27"/>
  <c r="AH114" i="27"/>
  <c r="AJ114" i="27"/>
  <c r="AL114" i="27"/>
  <c r="AO114" i="27"/>
  <c r="AP114" i="27"/>
  <c r="BD114" i="27"/>
  <c r="BF114" i="27"/>
  <c r="BJ114" i="27"/>
  <c r="K115" i="27"/>
  <c r="Z115" i="27"/>
  <c r="AD115" i="27"/>
  <c r="AE115" i="27"/>
  <c r="AF115" i="27"/>
  <c r="AG115" i="27"/>
  <c r="AH115" i="27"/>
  <c r="AJ115" i="27"/>
  <c r="AK115" i="27"/>
  <c r="AL115" i="27"/>
  <c r="AO115" i="27"/>
  <c r="AP115" i="27"/>
  <c r="J115" i="27" s="1"/>
  <c r="AX115" i="27"/>
  <c r="BD115" i="27"/>
  <c r="BF115" i="27"/>
  <c r="BI115" i="27"/>
  <c r="AC115" i="27" s="1"/>
  <c r="BJ115" i="27"/>
  <c r="K116" i="27"/>
  <c r="AK116" i="27" s="1"/>
  <c r="Z116" i="27"/>
  <c r="AD116" i="27"/>
  <c r="AE116" i="27"/>
  <c r="AF116" i="27"/>
  <c r="AG116" i="27"/>
  <c r="AH116" i="27"/>
  <c r="AJ116" i="27"/>
  <c r="AL116" i="27"/>
  <c r="AO116" i="27"/>
  <c r="AP116" i="27"/>
  <c r="AX116" i="27" s="1"/>
  <c r="BD116" i="27"/>
  <c r="BF116" i="27"/>
  <c r="BJ116" i="27"/>
  <c r="K117" i="27"/>
  <c r="AK117" i="27" s="1"/>
  <c r="Z117" i="27"/>
  <c r="AD117" i="27"/>
  <c r="AE117" i="27"/>
  <c r="AF117" i="27"/>
  <c r="AG117" i="27"/>
  <c r="AH117" i="27"/>
  <c r="AJ117" i="27"/>
  <c r="AL117" i="27"/>
  <c r="AO117" i="27"/>
  <c r="AW117" i="27" s="1"/>
  <c r="AP117" i="27"/>
  <c r="BD117" i="27"/>
  <c r="BF117" i="27"/>
  <c r="BJ117" i="27"/>
  <c r="K119" i="27"/>
  <c r="Z119" i="27"/>
  <c r="AD119" i="27"/>
  <c r="AE119" i="27"/>
  <c r="AF119" i="27"/>
  <c r="AG119" i="27"/>
  <c r="AH119" i="27"/>
  <c r="AJ119" i="27"/>
  <c r="AK119" i="27"/>
  <c r="AL119" i="27"/>
  <c r="AO119" i="27"/>
  <c r="I119" i="27" s="1"/>
  <c r="AP119" i="27"/>
  <c r="BD119" i="27"/>
  <c r="BF119" i="27"/>
  <c r="BH119" i="27"/>
  <c r="AB119" i="27" s="1"/>
  <c r="BJ119" i="27"/>
  <c r="K120" i="27"/>
  <c r="AK120" i="27" s="1"/>
  <c r="Z120" i="27"/>
  <c r="AD120" i="27"/>
  <c r="AE120" i="27"/>
  <c r="AF120" i="27"/>
  <c r="AG120" i="27"/>
  <c r="AH120" i="27"/>
  <c r="AJ120" i="27"/>
  <c r="AL120" i="27"/>
  <c r="AO120" i="27"/>
  <c r="AP120" i="27"/>
  <c r="J120" i="27" s="1"/>
  <c r="BD120" i="27"/>
  <c r="BF120" i="27"/>
  <c r="BJ120" i="27"/>
  <c r="K121" i="27"/>
  <c r="AK121" i="27" s="1"/>
  <c r="Z121" i="27"/>
  <c r="AD121" i="27"/>
  <c r="AE121" i="27"/>
  <c r="AF121" i="27"/>
  <c r="AG121" i="27"/>
  <c r="AH121" i="27"/>
  <c r="AJ121" i="27"/>
  <c r="AL121" i="27"/>
  <c r="AO121" i="27"/>
  <c r="AP121" i="27"/>
  <c r="AX121" i="27" s="1"/>
  <c r="BD121" i="27"/>
  <c r="BF121" i="27"/>
  <c r="BJ121" i="27"/>
  <c r="K122" i="27"/>
  <c r="Z122" i="27"/>
  <c r="AB122" i="27"/>
  <c r="AD122" i="27"/>
  <c r="AE122" i="27"/>
  <c r="AF122" i="27"/>
  <c r="AG122" i="27"/>
  <c r="AH122" i="27"/>
  <c r="AJ122" i="27"/>
  <c r="AK122" i="27"/>
  <c r="AL122" i="27"/>
  <c r="AO122" i="27"/>
  <c r="I122" i="27" s="1"/>
  <c r="AP122" i="27"/>
  <c r="AW122" i="27"/>
  <c r="BD122" i="27"/>
  <c r="BF122" i="27"/>
  <c r="BH122" i="27"/>
  <c r="BJ122" i="27"/>
  <c r="I123" i="27"/>
  <c r="K123" i="27"/>
  <c r="AK123" i="27" s="1"/>
  <c r="Z123" i="27"/>
  <c r="AD123" i="27"/>
  <c r="AE123" i="27"/>
  <c r="AF123" i="27"/>
  <c r="AG123" i="27"/>
  <c r="AH123" i="27"/>
  <c r="AJ123" i="27"/>
  <c r="AL123" i="27"/>
  <c r="AO123" i="27"/>
  <c r="BH123" i="27" s="1"/>
  <c r="AB123" i="27" s="1"/>
  <c r="AP123" i="27"/>
  <c r="AX123" i="27" s="1"/>
  <c r="AW123" i="27"/>
  <c r="BD123" i="27"/>
  <c r="BF123" i="27"/>
  <c r="BJ123" i="27"/>
  <c r="I124" i="27"/>
  <c r="K124" i="27"/>
  <c r="AK124" i="27" s="1"/>
  <c r="Z124" i="27"/>
  <c r="AD124" i="27"/>
  <c r="AE124" i="27"/>
  <c r="AF124" i="27"/>
  <c r="AG124" i="27"/>
  <c r="AH124" i="27"/>
  <c r="AJ124" i="27"/>
  <c r="AL124" i="27"/>
  <c r="AO124" i="27"/>
  <c r="AP124" i="27"/>
  <c r="BD124" i="27"/>
  <c r="BF124" i="27"/>
  <c r="BJ124" i="27"/>
  <c r="K125" i="27"/>
  <c r="AK125" i="27" s="1"/>
  <c r="Z125" i="27"/>
  <c r="AD125" i="27"/>
  <c r="AE125" i="27"/>
  <c r="AF125" i="27"/>
  <c r="AG125" i="27"/>
  <c r="AH125" i="27"/>
  <c r="AJ125" i="27"/>
  <c r="AL125" i="27"/>
  <c r="AO125" i="27"/>
  <c r="I125" i="27" s="1"/>
  <c r="AP125" i="27"/>
  <c r="J125" i="27" s="1"/>
  <c r="BD125" i="27"/>
  <c r="BF125" i="27"/>
  <c r="BI125" i="27"/>
  <c r="AC125" i="27" s="1"/>
  <c r="BJ125" i="27"/>
  <c r="K126" i="27"/>
  <c r="Z126" i="27"/>
  <c r="AD126" i="27"/>
  <c r="AE126" i="27"/>
  <c r="AF126" i="27"/>
  <c r="AG126" i="27"/>
  <c r="AH126" i="27"/>
  <c r="AJ126" i="27"/>
  <c r="AK126" i="27"/>
  <c r="AL126" i="27"/>
  <c r="AO126" i="27"/>
  <c r="I126" i="27" s="1"/>
  <c r="AP126" i="27"/>
  <c r="AW126" i="27"/>
  <c r="BD126" i="27"/>
  <c r="BF126" i="27"/>
  <c r="BJ126" i="27"/>
  <c r="J127" i="27"/>
  <c r="K127" i="27"/>
  <c r="AK127" i="27" s="1"/>
  <c r="Z127" i="27"/>
  <c r="AD127" i="27"/>
  <c r="AE127" i="27"/>
  <c r="AF127" i="27"/>
  <c r="AG127" i="27"/>
  <c r="AH127" i="27"/>
  <c r="AJ127" i="27"/>
  <c r="AL127" i="27"/>
  <c r="AO127" i="27"/>
  <c r="AP127" i="27"/>
  <c r="AX127" i="27" s="1"/>
  <c r="BD127" i="27"/>
  <c r="BF127" i="27"/>
  <c r="BJ127" i="27"/>
  <c r="K128" i="27"/>
  <c r="AK128" i="27" s="1"/>
  <c r="Z128" i="27"/>
  <c r="AD128" i="27"/>
  <c r="AE128" i="27"/>
  <c r="AF128" i="27"/>
  <c r="AG128" i="27"/>
  <c r="AH128" i="27"/>
  <c r="AJ128" i="27"/>
  <c r="AL128" i="27"/>
  <c r="AO128" i="27"/>
  <c r="AW128" i="27" s="1"/>
  <c r="AP128" i="27"/>
  <c r="BD128" i="27"/>
  <c r="BF128" i="27"/>
  <c r="BJ128" i="27"/>
  <c r="K129" i="27"/>
  <c r="AK129" i="27" s="1"/>
  <c r="Z129" i="27"/>
  <c r="AD129" i="27"/>
  <c r="AE129" i="27"/>
  <c r="AF129" i="27"/>
  <c r="AG129" i="27"/>
  <c r="AH129" i="27"/>
  <c r="AJ129" i="27"/>
  <c r="AL129" i="27"/>
  <c r="AO129" i="27"/>
  <c r="AP129" i="27"/>
  <c r="BD129" i="27"/>
  <c r="BF129" i="27"/>
  <c r="BJ129" i="27"/>
  <c r="K131" i="27"/>
  <c r="AK131" i="27" s="1"/>
  <c r="Z131" i="27"/>
  <c r="AD131" i="27"/>
  <c r="AE131" i="27"/>
  <c r="AF131" i="27"/>
  <c r="AG131" i="27"/>
  <c r="AH131" i="27"/>
  <c r="AJ131" i="27"/>
  <c r="AL131" i="27"/>
  <c r="AO131" i="27"/>
  <c r="AW131" i="27" s="1"/>
  <c r="AP131" i="27"/>
  <c r="BD131" i="27"/>
  <c r="BF131" i="27"/>
  <c r="BJ131" i="27"/>
  <c r="K132" i="27"/>
  <c r="AK132" i="27" s="1"/>
  <c r="Z132" i="27"/>
  <c r="AD132" i="27"/>
  <c r="AE132" i="27"/>
  <c r="AF132" i="27"/>
  <c r="AG132" i="27"/>
  <c r="AH132" i="27"/>
  <c r="AJ132" i="27"/>
  <c r="AL132" i="27"/>
  <c r="AO132" i="27"/>
  <c r="AP132" i="27"/>
  <c r="J132" i="27" s="1"/>
  <c r="AX132" i="27"/>
  <c r="BD132" i="27"/>
  <c r="BF132" i="27"/>
  <c r="BI132" i="27"/>
  <c r="AC132" i="27" s="1"/>
  <c r="BJ132" i="27"/>
  <c r="K133" i="27"/>
  <c r="AK133" i="27" s="1"/>
  <c r="Z133" i="27"/>
  <c r="AD133" i="27"/>
  <c r="AE133" i="27"/>
  <c r="AF133" i="27"/>
  <c r="AG133" i="27"/>
  <c r="AH133" i="27"/>
  <c r="AJ133" i="27"/>
  <c r="AL133" i="27"/>
  <c r="AO133" i="27"/>
  <c r="AP133" i="27"/>
  <c r="J133" i="27" s="1"/>
  <c r="BD133" i="27"/>
  <c r="BF133" i="27"/>
  <c r="BJ133" i="27"/>
  <c r="K134" i="27"/>
  <c r="AK134" i="27" s="1"/>
  <c r="Z134" i="27"/>
  <c r="AD134" i="27"/>
  <c r="AE134" i="27"/>
  <c r="AF134" i="27"/>
  <c r="AG134" i="27"/>
  <c r="AH134" i="27"/>
  <c r="AJ134" i="27"/>
  <c r="AL134" i="27"/>
  <c r="AO134" i="27"/>
  <c r="AP134" i="27"/>
  <c r="BD134" i="27"/>
  <c r="BF134" i="27"/>
  <c r="BJ134" i="27"/>
  <c r="K135" i="27"/>
  <c r="Z135" i="27"/>
  <c r="AD135" i="27"/>
  <c r="AE135" i="27"/>
  <c r="AF135" i="27"/>
  <c r="AG135" i="27"/>
  <c r="AH135" i="27"/>
  <c r="AJ135" i="27"/>
  <c r="AK135" i="27"/>
  <c r="AL135" i="27"/>
  <c r="AO135" i="27"/>
  <c r="AW135" i="27" s="1"/>
  <c r="AP135" i="27"/>
  <c r="J135" i="27" s="1"/>
  <c r="BD135" i="27"/>
  <c r="BF135" i="27"/>
  <c r="BH135" i="27"/>
  <c r="AB135" i="27" s="1"/>
  <c r="BJ135" i="27"/>
  <c r="K136" i="27"/>
  <c r="AK136" i="27" s="1"/>
  <c r="Z136" i="27"/>
  <c r="AD136" i="27"/>
  <c r="AE136" i="27"/>
  <c r="AF136" i="27"/>
  <c r="AG136" i="27"/>
  <c r="AH136" i="27"/>
  <c r="AJ136" i="27"/>
  <c r="AL136" i="27"/>
  <c r="AO136" i="27"/>
  <c r="I136" i="27" s="1"/>
  <c r="AP136" i="27"/>
  <c r="J136" i="27" s="1"/>
  <c r="BD136" i="27"/>
  <c r="BF136" i="27"/>
  <c r="BJ136" i="27"/>
  <c r="K137" i="27"/>
  <c r="AK137" i="27" s="1"/>
  <c r="Z137" i="27"/>
  <c r="AD137" i="27"/>
  <c r="AE137" i="27"/>
  <c r="AF137" i="27"/>
  <c r="AG137" i="27"/>
  <c r="AH137" i="27"/>
  <c r="AJ137" i="27"/>
  <c r="AL137" i="27"/>
  <c r="AO137" i="27"/>
  <c r="I137" i="27" s="1"/>
  <c r="AP137" i="27"/>
  <c r="J137" i="27" s="1"/>
  <c r="BD137" i="27"/>
  <c r="BF137" i="27"/>
  <c r="BI137" i="27"/>
  <c r="AC137" i="27" s="1"/>
  <c r="BJ137" i="27"/>
  <c r="K138" i="27"/>
  <c r="Z138" i="27"/>
  <c r="AD138" i="27"/>
  <c r="AE138" i="27"/>
  <c r="AF138" i="27"/>
  <c r="AG138" i="27"/>
  <c r="AH138" i="27"/>
  <c r="AJ138" i="27"/>
  <c r="AK138" i="27"/>
  <c r="AL138" i="27"/>
  <c r="AO138" i="27"/>
  <c r="I138" i="27" s="1"/>
  <c r="AP138" i="27"/>
  <c r="BD138" i="27"/>
  <c r="BF138" i="27"/>
  <c r="BJ138" i="27"/>
  <c r="K139" i="27"/>
  <c r="Z139" i="27"/>
  <c r="AD139" i="27"/>
  <c r="AE139" i="27"/>
  <c r="AF139" i="27"/>
  <c r="AG139" i="27"/>
  <c r="AH139" i="27"/>
  <c r="AJ139" i="27"/>
  <c r="AK139" i="27"/>
  <c r="AL139" i="27"/>
  <c r="AO139" i="27"/>
  <c r="AW139" i="27" s="1"/>
  <c r="AP139" i="27"/>
  <c r="J139" i="27" s="1"/>
  <c r="BD139" i="27"/>
  <c r="BF139" i="27"/>
  <c r="BH139" i="27"/>
  <c r="AB139" i="27" s="1"/>
  <c r="BJ139" i="27"/>
  <c r="K140" i="27"/>
  <c r="AK140" i="27" s="1"/>
  <c r="Z140" i="27"/>
  <c r="AD140" i="27"/>
  <c r="AE140" i="27"/>
  <c r="AF140" i="27"/>
  <c r="AG140" i="27"/>
  <c r="AH140" i="27"/>
  <c r="AJ140" i="27"/>
  <c r="AL140" i="27"/>
  <c r="AO140" i="27"/>
  <c r="AP140" i="27"/>
  <c r="AX140" i="27" s="1"/>
  <c r="BD140" i="27"/>
  <c r="BF140" i="27"/>
  <c r="BH140" i="27"/>
  <c r="AB140" i="27" s="1"/>
  <c r="BJ140" i="27"/>
  <c r="K141" i="27"/>
  <c r="AK141" i="27" s="1"/>
  <c r="Z141" i="27"/>
  <c r="AD141" i="27"/>
  <c r="AE141" i="27"/>
  <c r="AF141" i="27"/>
  <c r="AG141" i="27"/>
  <c r="AH141" i="27"/>
  <c r="AJ141" i="27"/>
  <c r="AL141" i="27"/>
  <c r="AO141" i="27"/>
  <c r="AP141" i="27"/>
  <c r="J141" i="27" s="1"/>
  <c r="BD141" i="27"/>
  <c r="BF141" i="27"/>
  <c r="BI141" i="27"/>
  <c r="AC141" i="27" s="1"/>
  <c r="BJ141" i="27"/>
  <c r="K142" i="27"/>
  <c r="Z142" i="27"/>
  <c r="AD142" i="27"/>
  <c r="AE142" i="27"/>
  <c r="AF142" i="27"/>
  <c r="AG142" i="27"/>
  <c r="AH142" i="27"/>
  <c r="AJ142" i="27"/>
  <c r="AK142" i="27"/>
  <c r="AL142" i="27"/>
  <c r="AO142" i="27"/>
  <c r="I142" i="27" s="1"/>
  <c r="AP142" i="27"/>
  <c r="AX142" i="27" s="1"/>
  <c r="BD142" i="27"/>
  <c r="BF142" i="27"/>
  <c r="BH142" i="27"/>
  <c r="AB142" i="27" s="1"/>
  <c r="BJ142" i="27"/>
  <c r="K143" i="27"/>
  <c r="AK143" i="27" s="1"/>
  <c r="Z143" i="27"/>
  <c r="AD143" i="27"/>
  <c r="AE143" i="27"/>
  <c r="AF143" i="27"/>
  <c r="AG143" i="27"/>
  <c r="AH143" i="27"/>
  <c r="AJ143" i="27"/>
  <c r="AL143" i="27"/>
  <c r="AO143" i="27"/>
  <c r="AP143" i="27"/>
  <c r="J143" i="27" s="1"/>
  <c r="BD143" i="27"/>
  <c r="BF143" i="27"/>
  <c r="BJ143" i="27"/>
  <c r="K144" i="27"/>
  <c r="AK144" i="27" s="1"/>
  <c r="Z144" i="27"/>
  <c r="AD144" i="27"/>
  <c r="AE144" i="27"/>
  <c r="AF144" i="27"/>
  <c r="AG144" i="27"/>
  <c r="AH144" i="27"/>
  <c r="AJ144" i="27"/>
  <c r="AL144" i="27"/>
  <c r="AO144" i="27"/>
  <c r="I144" i="27" s="1"/>
  <c r="AP144" i="27"/>
  <c r="BD144" i="27"/>
  <c r="BF144" i="27"/>
  <c r="BH144" i="27"/>
  <c r="AB144" i="27" s="1"/>
  <c r="BJ144" i="27"/>
  <c r="K145" i="27"/>
  <c r="AK145" i="27" s="1"/>
  <c r="Z145" i="27"/>
  <c r="AD145" i="27"/>
  <c r="AE145" i="27"/>
  <c r="AF145" i="27"/>
  <c r="AG145" i="27"/>
  <c r="AH145" i="27"/>
  <c r="AJ145" i="27"/>
  <c r="AL145" i="27"/>
  <c r="AO145" i="27"/>
  <c r="I145" i="27" s="1"/>
  <c r="AP145" i="27"/>
  <c r="AW145" i="27"/>
  <c r="BD145" i="27"/>
  <c r="BF145" i="27"/>
  <c r="BH145" i="27"/>
  <c r="AB145" i="27" s="1"/>
  <c r="BJ145" i="27"/>
  <c r="J146" i="27"/>
  <c r="K146" i="27"/>
  <c r="AK146" i="27" s="1"/>
  <c r="Z146" i="27"/>
  <c r="AD146" i="27"/>
  <c r="AE146" i="27"/>
  <c r="AF146" i="27"/>
  <c r="AG146" i="27"/>
  <c r="AH146" i="27"/>
  <c r="AJ146" i="27"/>
  <c r="AL146" i="27"/>
  <c r="AO146" i="27"/>
  <c r="AP146" i="27"/>
  <c r="AX146" i="27" s="1"/>
  <c r="BD146" i="27"/>
  <c r="BF146" i="27"/>
  <c r="BJ146" i="27"/>
  <c r="K147" i="27"/>
  <c r="AK147" i="27" s="1"/>
  <c r="Z147" i="27"/>
  <c r="AD147" i="27"/>
  <c r="AE147" i="27"/>
  <c r="AF147" i="27"/>
  <c r="AG147" i="27"/>
  <c r="AH147" i="27"/>
  <c r="AJ147" i="27"/>
  <c r="AL147" i="27"/>
  <c r="AO147" i="27"/>
  <c r="AW147" i="27" s="1"/>
  <c r="AP147" i="27"/>
  <c r="BD147" i="27"/>
  <c r="BF147" i="27"/>
  <c r="BJ147" i="27"/>
  <c r="K149" i="27"/>
  <c r="Z149" i="27"/>
  <c r="AD149" i="27"/>
  <c r="AE149" i="27"/>
  <c r="AF149" i="27"/>
  <c r="AG149" i="27"/>
  <c r="AH149" i="27"/>
  <c r="AJ149" i="27"/>
  <c r="AK149" i="27"/>
  <c r="AL149" i="27"/>
  <c r="AO149" i="27"/>
  <c r="I149" i="27" s="1"/>
  <c r="AP149" i="27"/>
  <c r="AW149" i="27"/>
  <c r="BD149" i="27"/>
  <c r="BF149" i="27"/>
  <c r="BH149" i="27"/>
  <c r="AB149" i="27" s="1"/>
  <c r="BJ149" i="27"/>
  <c r="K150" i="27"/>
  <c r="Z150" i="27"/>
  <c r="AD150" i="27"/>
  <c r="AE150" i="27"/>
  <c r="AF150" i="27"/>
  <c r="AG150" i="27"/>
  <c r="AH150" i="27"/>
  <c r="AJ150" i="27"/>
  <c r="AK150" i="27"/>
  <c r="AL150" i="27"/>
  <c r="AO150" i="27"/>
  <c r="AW150" i="27" s="1"/>
  <c r="AP150" i="27"/>
  <c r="BD150" i="27"/>
  <c r="BF150" i="27"/>
  <c r="BH150" i="27"/>
  <c r="AB150" i="27" s="1"/>
  <c r="BJ150" i="27"/>
  <c r="K151" i="27"/>
  <c r="AK151" i="27" s="1"/>
  <c r="Z151" i="27"/>
  <c r="AD151" i="27"/>
  <c r="AE151" i="27"/>
  <c r="AF151" i="27"/>
  <c r="AG151" i="27"/>
  <c r="AH151" i="27"/>
  <c r="AJ151" i="27"/>
  <c r="AL151" i="27"/>
  <c r="AO151" i="27"/>
  <c r="AP151" i="27"/>
  <c r="BD151" i="27"/>
  <c r="BF151" i="27"/>
  <c r="BJ151" i="27"/>
  <c r="K152" i="27"/>
  <c r="Z152" i="27"/>
  <c r="AD152" i="27"/>
  <c r="AE152" i="27"/>
  <c r="AF152" i="27"/>
  <c r="AG152" i="27"/>
  <c r="AH152" i="27"/>
  <c r="AJ152" i="27"/>
  <c r="AK152" i="27"/>
  <c r="AL152" i="27"/>
  <c r="AO152" i="27"/>
  <c r="AP152" i="27"/>
  <c r="BD152" i="27"/>
  <c r="BF152" i="27"/>
  <c r="BJ152" i="27"/>
  <c r="K153" i="27"/>
  <c r="Z153" i="27"/>
  <c r="AD153" i="27"/>
  <c r="AE153" i="27"/>
  <c r="AF153" i="27"/>
  <c r="AG153" i="27"/>
  <c r="AH153" i="27"/>
  <c r="AJ153" i="27"/>
  <c r="AK153" i="27"/>
  <c r="AL153" i="27"/>
  <c r="AO153" i="27"/>
  <c r="AW153" i="27" s="1"/>
  <c r="AP153" i="27"/>
  <c r="BD153" i="27"/>
  <c r="BF153" i="27"/>
  <c r="BH153" i="27"/>
  <c r="AB153" i="27" s="1"/>
  <c r="BI153" i="27"/>
  <c r="AC153" i="27" s="1"/>
  <c r="BJ153" i="27"/>
  <c r="K154" i="27"/>
  <c r="AK154" i="27" s="1"/>
  <c r="Z154" i="27"/>
  <c r="AD154" i="27"/>
  <c r="AE154" i="27"/>
  <c r="AF154" i="27"/>
  <c r="AG154" i="27"/>
  <c r="AH154" i="27"/>
  <c r="AJ154" i="27"/>
  <c r="AL154" i="27"/>
  <c r="AO154" i="27"/>
  <c r="AP154" i="27"/>
  <c r="J154" i="27" s="1"/>
  <c r="BD154" i="27"/>
  <c r="BF154" i="27"/>
  <c r="BH154" i="27"/>
  <c r="AB154" i="27" s="1"/>
  <c r="BI154" i="27"/>
  <c r="AC154" i="27" s="1"/>
  <c r="BJ154" i="27"/>
  <c r="K155" i="27"/>
  <c r="AK155" i="27" s="1"/>
  <c r="Z155" i="27"/>
  <c r="AD155" i="27"/>
  <c r="AE155" i="27"/>
  <c r="AF155" i="27"/>
  <c r="AG155" i="27"/>
  <c r="AH155" i="27"/>
  <c r="AJ155" i="27"/>
  <c r="AL155" i="27"/>
  <c r="AO155" i="27"/>
  <c r="I155" i="27" s="1"/>
  <c r="AP155" i="27"/>
  <c r="AW155" i="27"/>
  <c r="BD155" i="27"/>
  <c r="BF155" i="27"/>
  <c r="BH155" i="27"/>
  <c r="AB155" i="27" s="1"/>
  <c r="BJ155" i="27"/>
  <c r="K156" i="27"/>
  <c r="Z156" i="27"/>
  <c r="AD156" i="27"/>
  <c r="AE156" i="27"/>
  <c r="AF156" i="27"/>
  <c r="AG156" i="27"/>
  <c r="AH156" i="27"/>
  <c r="AJ156" i="27"/>
  <c r="AK156" i="27"/>
  <c r="AL156" i="27"/>
  <c r="AO156" i="27"/>
  <c r="I156" i="27" s="1"/>
  <c r="AP156" i="27"/>
  <c r="AW156" i="27"/>
  <c r="BD156" i="27"/>
  <c r="BF156" i="27"/>
  <c r="BH156" i="27"/>
  <c r="AB156" i="27" s="1"/>
  <c r="BJ156" i="27"/>
  <c r="K157" i="27"/>
  <c r="Z157" i="27"/>
  <c r="AD157" i="27"/>
  <c r="AE157" i="27"/>
  <c r="AF157" i="27"/>
  <c r="AG157" i="27"/>
  <c r="AH157" i="27"/>
  <c r="AJ157" i="27"/>
  <c r="AK157" i="27"/>
  <c r="AL157" i="27"/>
  <c r="AO157" i="27"/>
  <c r="I157" i="27" s="1"/>
  <c r="AP157" i="27"/>
  <c r="BD157" i="27"/>
  <c r="BF157" i="27"/>
  <c r="BH157" i="27"/>
  <c r="AB157" i="27" s="1"/>
  <c r="BI157" i="27"/>
  <c r="AC157" i="27" s="1"/>
  <c r="BJ157" i="27"/>
  <c r="K158" i="27"/>
  <c r="AK158" i="27" s="1"/>
  <c r="Z158" i="27"/>
  <c r="AD158" i="27"/>
  <c r="AE158" i="27"/>
  <c r="AF158" i="27"/>
  <c r="AG158" i="27"/>
  <c r="AH158" i="27"/>
  <c r="AJ158" i="27"/>
  <c r="AL158" i="27"/>
  <c r="AO158" i="27"/>
  <c r="AP158" i="27"/>
  <c r="J158" i="27" s="1"/>
  <c r="BD158" i="27"/>
  <c r="BF158" i="27"/>
  <c r="BJ158" i="27"/>
  <c r="K159" i="27"/>
  <c r="AK159" i="27" s="1"/>
  <c r="Z159" i="27"/>
  <c r="AD159" i="27"/>
  <c r="AE159" i="27"/>
  <c r="AF159" i="27"/>
  <c r="AG159" i="27"/>
  <c r="AH159" i="27"/>
  <c r="AJ159" i="27"/>
  <c r="AL159" i="27"/>
  <c r="AO159" i="27"/>
  <c r="AP159" i="27"/>
  <c r="BD159" i="27"/>
  <c r="BF159" i="27"/>
  <c r="BJ159" i="27"/>
  <c r="K160" i="27"/>
  <c r="Z160" i="27"/>
  <c r="AD160" i="27"/>
  <c r="AE160" i="27"/>
  <c r="AF160" i="27"/>
  <c r="AG160" i="27"/>
  <c r="AH160" i="27"/>
  <c r="AJ160" i="27"/>
  <c r="AK160" i="27"/>
  <c r="AL160" i="27"/>
  <c r="AO160" i="27"/>
  <c r="AP160" i="27"/>
  <c r="BD160" i="27"/>
  <c r="BF160" i="27"/>
  <c r="BJ160" i="27"/>
  <c r="K161" i="27"/>
  <c r="Z161" i="27"/>
  <c r="AD161" i="27"/>
  <c r="AE161" i="27"/>
  <c r="AF161" i="27"/>
  <c r="AG161" i="27"/>
  <c r="AH161" i="27"/>
  <c r="AJ161" i="27"/>
  <c r="AK161" i="27"/>
  <c r="AL161" i="27"/>
  <c r="AO161" i="27"/>
  <c r="AW161" i="27" s="1"/>
  <c r="AP161" i="27"/>
  <c r="J161" i="27" s="1"/>
  <c r="BD161" i="27"/>
  <c r="BF161" i="27"/>
  <c r="BH161" i="27"/>
  <c r="AB161" i="27" s="1"/>
  <c r="BJ161" i="27"/>
  <c r="K162" i="27"/>
  <c r="AK162" i="27" s="1"/>
  <c r="Z162" i="27"/>
  <c r="AD162" i="27"/>
  <c r="AE162" i="27"/>
  <c r="AF162" i="27"/>
  <c r="AG162" i="27"/>
  <c r="AH162" i="27"/>
  <c r="AJ162" i="27"/>
  <c r="AL162" i="27"/>
  <c r="AO162" i="27"/>
  <c r="I162" i="27" s="1"/>
  <c r="AP162" i="27"/>
  <c r="J162" i="27" s="1"/>
  <c r="BD162" i="27"/>
  <c r="BF162" i="27"/>
  <c r="BJ162" i="27"/>
  <c r="K163" i="27"/>
  <c r="AK163" i="27" s="1"/>
  <c r="Z163" i="27"/>
  <c r="AC163" i="27"/>
  <c r="AD163" i="27"/>
  <c r="AE163" i="27"/>
  <c r="AF163" i="27"/>
  <c r="AG163" i="27"/>
  <c r="AH163" i="27"/>
  <c r="AJ163" i="27"/>
  <c r="AL163" i="27"/>
  <c r="AO163" i="27"/>
  <c r="I163" i="27" s="1"/>
  <c r="AP163" i="27"/>
  <c r="J163" i="27" s="1"/>
  <c r="AX163" i="27"/>
  <c r="BD163" i="27"/>
  <c r="BF163" i="27"/>
  <c r="BI163" i="27"/>
  <c r="BJ163" i="27"/>
  <c r="K164" i="27"/>
  <c r="AK164" i="27" s="1"/>
  <c r="Z164" i="27"/>
  <c r="AD164" i="27"/>
  <c r="AE164" i="27"/>
  <c r="AF164" i="27"/>
  <c r="AG164" i="27"/>
  <c r="AH164" i="27"/>
  <c r="AJ164" i="27"/>
  <c r="AL164" i="27"/>
  <c r="AO164" i="27"/>
  <c r="AP164" i="27"/>
  <c r="BD164" i="27"/>
  <c r="BF164" i="27"/>
  <c r="BJ164" i="27"/>
  <c r="K165" i="27"/>
  <c r="Z165" i="27"/>
  <c r="AD165" i="27"/>
  <c r="AE165" i="27"/>
  <c r="AF165" i="27"/>
  <c r="AG165" i="27"/>
  <c r="AH165" i="27"/>
  <c r="AJ165" i="27"/>
  <c r="AK165" i="27"/>
  <c r="AL165" i="27"/>
  <c r="AO165" i="27"/>
  <c r="AW165" i="27" s="1"/>
  <c r="AP165" i="27"/>
  <c r="BI165" i="27" s="1"/>
  <c r="AC165" i="27" s="1"/>
  <c r="BD165" i="27"/>
  <c r="BF165" i="27"/>
  <c r="BJ165" i="27"/>
  <c r="K166" i="27"/>
  <c r="AK166" i="27" s="1"/>
  <c r="Z166" i="27"/>
  <c r="AD166" i="27"/>
  <c r="AE166" i="27"/>
  <c r="AF166" i="27"/>
  <c r="AG166" i="27"/>
  <c r="AH166" i="27"/>
  <c r="AJ166" i="27"/>
  <c r="AL166" i="27"/>
  <c r="AO166" i="27"/>
  <c r="I166" i="27" s="1"/>
  <c r="AP166" i="27"/>
  <c r="AX166" i="27" s="1"/>
  <c r="AW166" i="27"/>
  <c r="BD166" i="27"/>
  <c r="BF166" i="27"/>
  <c r="BJ166" i="27"/>
  <c r="K167" i="27"/>
  <c r="Z167" i="27"/>
  <c r="AD167" i="27"/>
  <c r="AE167" i="27"/>
  <c r="AF167" i="27"/>
  <c r="AG167" i="27"/>
  <c r="AH167" i="27"/>
  <c r="AJ167" i="27"/>
  <c r="AK167" i="27"/>
  <c r="AL167" i="27"/>
  <c r="AO167" i="27"/>
  <c r="AP167" i="27"/>
  <c r="J167" i="27" s="1"/>
  <c r="BD167" i="27"/>
  <c r="BF167" i="27"/>
  <c r="BJ167" i="27"/>
  <c r="K168" i="27"/>
  <c r="AK168" i="27" s="1"/>
  <c r="Z168" i="27"/>
  <c r="AD168" i="27"/>
  <c r="AE168" i="27"/>
  <c r="AF168" i="27"/>
  <c r="AG168" i="27"/>
  <c r="AH168" i="27"/>
  <c r="AJ168" i="27"/>
  <c r="AL168" i="27"/>
  <c r="AO168" i="27"/>
  <c r="I168" i="27" s="1"/>
  <c r="AP168" i="27"/>
  <c r="BD168" i="27"/>
  <c r="BF168" i="27"/>
  <c r="BH168" i="27"/>
  <c r="AB168" i="27" s="1"/>
  <c r="BI168" i="27"/>
  <c r="AC168" i="27" s="1"/>
  <c r="BJ168" i="27"/>
  <c r="K169" i="27"/>
  <c r="AK169" i="27" s="1"/>
  <c r="Z169" i="27"/>
  <c r="AD169" i="27"/>
  <c r="AE169" i="27"/>
  <c r="AF169" i="27"/>
  <c r="AG169" i="27"/>
  <c r="AH169" i="27"/>
  <c r="AJ169" i="27"/>
  <c r="AL169" i="27"/>
  <c r="AO169" i="27"/>
  <c r="BH169" i="27" s="1"/>
  <c r="AB169" i="27" s="1"/>
  <c r="AP169" i="27"/>
  <c r="J169" i="27" s="1"/>
  <c r="AX169" i="27"/>
  <c r="BD169" i="27"/>
  <c r="BF169" i="27"/>
  <c r="BI169" i="27"/>
  <c r="AC169" i="27" s="1"/>
  <c r="BJ169" i="27"/>
  <c r="K170" i="27"/>
  <c r="Z170" i="27"/>
  <c r="AD170" i="27"/>
  <c r="AE170" i="27"/>
  <c r="AF170" i="27"/>
  <c r="AG170" i="27"/>
  <c r="AH170" i="27"/>
  <c r="AJ170" i="27"/>
  <c r="AK170" i="27"/>
  <c r="AL170" i="27"/>
  <c r="AO170" i="27"/>
  <c r="I170" i="27" s="1"/>
  <c r="AP170" i="27"/>
  <c r="AW170" i="27"/>
  <c r="BD170" i="27"/>
  <c r="BF170" i="27"/>
  <c r="BJ170" i="27"/>
  <c r="K171" i="27"/>
  <c r="Z171" i="27"/>
  <c r="AD171" i="27"/>
  <c r="AE171" i="27"/>
  <c r="AF171" i="27"/>
  <c r="AG171" i="27"/>
  <c r="AH171" i="27"/>
  <c r="AJ171" i="27"/>
  <c r="AK171" i="27"/>
  <c r="AL171" i="27"/>
  <c r="AO171" i="27"/>
  <c r="I171" i="27" s="1"/>
  <c r="AP171" i="27"/>
  <c r="AW171" i="27"/>
  <c r="BD171" i="27"/>
  <c r="BF171" i="27"/>
  <c r="BH171" i="27"/>
  <c r="AB171" i="27" s="1"/>
  <c r="BJ171" i="27"/>
  <c r="K172" i="27"/>
  <c r="Z172" i="27"/>
  <c r="AD172" i="27"/>
  <c r="AE172" i="27"/>
  <c r="AF172" i="27"/>
  <c r="AG172" i="27"/>
  <c r="AH172" i="27"/>
  <c r="AJ172" i="27"/>
  <c r="AK172" i="27"/>
  <c r="AL172" i="27"/>
  <c r="AO172" i="27"/>
  <c r="AP172" i="27"/>
  <c r="BI172" i="27" s="1"/>
  <c r="AC172" i="27" s="1"/>
  <c r="BD172" i="27"/>
  <c r="BF172" i="27"/>
  <c r="BJ172" i="27"/>
  <c r="K173" i="27"/>
  <c r="AK173" i="27" s="1"/>
  <c r="Z173" i="27"/>
  <c r="AD173" i="27"/>
  <c r="AE173" i="27"/>
  <c r="AF173" i="27"/>
  <c r="AG173" i="27"/>
  <c r="AH173" i="27"/>
  <c r="AJ173" i="27"/>
  <c r="AL173" i="27"/>
  <c r="AO173" i="27"/>
  <c r="AP173" i="27"/>
  <c r="BD173" i="27"/>
  <c r="BF173" i="27"/>
  <c r="BI173" i="27"/>
  <c r="AC173" i="27" s="1"/>
  <c r="BJ173" i="27"/>
  <c r="K174" i="27"/>
  <c r="Z174" i="27"/>
  <c r="AD174" i="27"/>
  <c r="AE174" i="27"/>
  <c r="AF174" i="27"/>
  <c r="AG174" i="27"/>
  <c r="AH174" i="27"/>
  <c r="AJ174" i="27"/>
  <c r="AK174" i="27"/>
  <c r="AL174" i="27"/>
  <c r="AO174" i="27"/>
  <c r="AP174" i="27"/>
  <c r="BD174" i="27"/>
  <c r="BF174" i="27"/>
  <c r="BJ174" i="27"/>
  <c r="K175" i="27"/>
  <c r="AK175" i="27" s="1"/>
  <c r="Z175" i="27"/>
  <c r="AD175" i="27"/>
  <c r="AE175" i="27"/>
  <c r="AF175" i="27"/>
  <c r="AG175" i="27"/>
  <c r="AH175" i="27"/>
  <c r="AJ175" i="27"/>
  <c r="AL175" i="27"/>
  <c r="AO175" i="27"/>
  <c r="AW175" i="27" s="1"/>
  <c r="AP175" i="27"/>
  <c r="BD175" i="27"/>
  <c r="BF175" i="27"/>
  <c r="BH175" i="27"/>
  <c r="AB175" i="27" s="1"/>
  <c r="BJ175" i="27"/>
  <c r="K176" i="27"/>
  <c r="Z176" i="27"/>
  <c r="AD176" i="27"/>
  <c r="AE176" i="27"/>
  <c r="AF176" i="27"/>
  <c r="AG176" i="27"/>
  <c r="AH176" i="27"/>
  <c r="AJ176" i="27"/>
  <c r="AK176" i="27"/>
  <c r="AL176" i="27"/>
  <c r="AO176" i="27"/>
  <c r="I176" i="27" s="1"/>
  <c r="AP176" i="27"/>
  <c r="BI176" i="27" s="1"/>
  <c r="AC176" i="27" s="1"/>
  <c r="BD176" i="27"/>
  <c r="BF176" i="27"/>
  <c r="BJ176" i="27"/>
  <c r="K178" i="27"/>
  <c r="AK178" i="27" s="1"/>
  <c r="AB178" i="27"/>
  <c r="AC178" i="27"/>
  <c r="AD178" i="27"/>
  <c r="AE178" i="27"/>
  <c r="AF178" i="27"/>
  <c r="AG178" i="27"/>
  <c r="AH178" i="27"/>
  <c r="AJ178" i="27"/>
  <c r="AL178" i="27"/>
  <c r="AO178" i="27"/>
  <c r="I178" i="27" s="1"/>
  <c r="AP178" i="27"/>
  <c r="J178" i="27" s="1"/>
  <c r="AX178" i="27"/>
  <c r="BD178" i="27"/>
  <c r="BF178" i="27"/>
  <c r="BI178" i="27"/>
  <c r="BJ178" i="27"/>
  <c r="Z178" i="27" s="1"/>
  <c r="K179" i="27"/>
  <c r="AB179" i="27"/>
  <c r="AC179" i="27"/>
  <c r="AD179" i="27"/>
  <c r="AE179" i="27"/>
  <c r="AF179" i="27"/>
  <c r="AG179" i="27"/>
  <c r="AH179" i="27"/>
  <c r="AJ179" i="27"/>
  <c r="AK179" i="27"/>
  <c r="AL179" i="27"/>
  <c r="AO179" i="27"/>
  <c r="I179" i="27" s="1"/>
  <c r="AP179" i="27"/>
  <c r="BD179" i="27"/>
  <c r="BF179" i="27"/>
  <c r="BH179" i="27"/>
  <c r="BJ179" i="27"/>
  <c r="Z179" i="27" s="1"/>
  <c r="K180" i="27"/>
  <c r="AK180" i="27" s="1"/>
  <c r="AB180" i="27"/>
  <c r="AC180" i="27"/>
  <c r="AD180" i="27"/>
  <c r="AE180" i="27"/>
  <c r="AF180" i="27"/>
  <c r="AG180" i="27"/>
  <c r="AH180" i="27"/>
  <c r="AJ180" i="27"/>
  <c r="AL180" i="27"/>
  <c r="AO180" i="27"/>
  <c r="BH180" i="27" s="1"/>
  <c r="AP180" i="27"/>
  <c r="J180" i="27" s="1"/>
  <c r="AX180" i="27"/>
  <c r="BD180" i="27"/>
  <c r="BF180" i="27"/>
  <c r="BI180" i="27"/>
  <c r="BJ180" i="27"/>
  <c r="Z180" i="27" s="1"/>
  <c r="K181" i="27"/>
  <c r="AK181" i="27" s="1"/>
  <c r="AB181" i="27"/>
  <c r="AC181" i="27"/>
  <c r="AD181" i="27"/>
  <c r="AE181" i="27"/>
  <c r="AF181" i="27"/>
  <c r="AG181" i="27"/>
  <c r="AH181" i="27"/>
  <c r="AJ181" i="27"/>
  <c r="AL181" i="27"/>
  <c r="AO181" i="27"/>
  <c r="AP181" i="27"/>
  <c r="J181" i="27" s="1"/>
  <c r="AX181" i="27"/>
  <c r="BD181" i="27"/>
  <c r="BF181" i="27"/>
  <c r="BI181" i="27"/>
  <c r="BJ181" i="27"/>
  <c r="Z181" i="27" s="1"/>
  <c r="K182" i="27"/>
  <c r="AK182" i="27" s="1"/>
  <c r="AB182" i="27"/>
  <c r="AC182" i="27"/>
  <c r="AD182" i="27"/>
  <c r="AE182" i="27"/>
  <c r="AF182" i="27"/>
  <c r="AG182" i="27"/>
  <c r="AH182" i="27"/>
  <c r="AJ182" i="27"/>
  <c r="AL182" i="27"/>
  <c r="AO182" i="27"/>
  <c r="AP182" i="27"/>
  <c r="J182" i="27" s="1"/>
  <c r="BD182" i="27"/>
  <c r="BF182" i="27"/>
  <c r="BJ182" i="27"/>
  <c r="Z182" i="27" s="1"/>
  <c r="K183" i="27"/>
  <c r="AK183" i="27" s="1"/>
  <c r="AB183" i="27"/>
  <c r="AC183" i="27"/>
  <c r="AD183" i="27"/>
  <c r="AE183" i="27"/>
  <c r="AF183" i="27"/>
  <c r="AG183" i="27"/>
  <c r="AH183" i="27"/>
  <c r="AJ183" i="27"/>
  <c r="AL183" i="27"/>
  <c r="AO183" i="27"/>
  <c r="AP183" i="27"/>
  <c r="BI183" i="27" s="1"/>
  <c r="BD183" i="27"/>
  <c r="BF183" i="27"/>
  <c r="BH183" i="27"/>
  <c r="BJ183" i="27"/>
  <c r="Z183" i="27" s="1"/>
  <c r="K184" i="27"/>
  <c r="AK184" i="27" s="1"/>
  <c r="AB184" i="27"/>
  <c r="AC184" i="27"/>
  <c r="AD184" i="27"/>
  <c r="AE184" i="27"/>
  <c r="AF184" i="27"/>
  <c r="AG184" i="27"/>
  <c r="AH184" i="27"/>
  <c r="AJ184" i="27"/>
  <c r="AL184" i="27"/>
  <c r="AO184" i="27"/>
  <c r="BH184" i="27" s="1"/>
  <c r="AP184" i="27"/>
  <c r="BD184" i="27"/>
  <c r="BF184" i="27"/>
  <c r="BI184" i="27"/>
  <c r="BJ184" i="27"/>
  <c r="Z184" i="27" s="1"/>
  <c r="K185" i="27"/>
  <c r="AK185" i="27" s="1"/>
  <c r="AB185" i="27"/>
  <c r="AC185" i="27"/>
  <c r="AD185" i="27"/>
  <c r="AE185" i="27"/>
  <c r="AF185" i="27"/>
  <c r="AG185" i="27"/>
  <c r="AH185" i="27"/>
  <c r="AJ185" i="27"/>
  <c r="AL185" i="27"/>
  <c r="AO185" i="27"/>
  <c r="AP185" i="27"/>
  <c r="BD185" i="27"/>
  <c r="BF185" i="27"/>
  <c r="BH185" i="27"/>
  <c r="BJ185" i="27"/>
  <c r="Z185" i="27" s="1"/>
  <c r="K186" i="27"/>
  <c r="AK186" i="27" s="1"/>
  <c r="AB186" i="27"/>
  <c r="AC186" i="27"/>
  <c r="AD186" i="27"/>
  <c r="AE186" i="27"/>
  <c r="AF186" i="27"/>
  <c r="AG186" i="27"/>
  <c r="AH186" i="27"/>
  <c r="AJ186" i="27"/>
  <c r="AL186" i="27"/>
  <c r="AO186" i="27"/>
  <c r="AP186" i="27"/>
  <c r="BD186" i="27"/>
  <c r="BF186" i="27"/>
  <c r="BH186" i="27"/>
  <c r="BJ186" i="27"/>
  <c r="Z186" i="27" s="1"/>
  <c r="K187" i="27"/>
  <c r="AK187" i="27" s="1"/>
  <c r="Z187" i="27"/>
  <c r="AB187" i="27"/>
  <c r="AC187" i="27"/>
  <c r="AD187" i="27"/>
  <c r="AE187" i="27"/>
  <c r="AF187" i="27"/>
  <c r="AG187" i="27"/>
  <c r="AH187" i="27"/>
  <c r="AJ187" i="27"/>
  <c r="AL187" i="27"/>
  <c r="AO187" i="27"/>
  <c r="AP187" i="27"/>
  <c r="BD187" i="27"/>
  <c r="BF187" i="27"/>
  <c r="BH187" i="27"/>
  <c r="BJ187" i="27"/>
  <c r="K188" i="27"/>
  <c r="AK188" i="27" s="1"/>
  <c r="AB188" i="27"/>
  <c r="AC188" i="27"/>
  <c r="AD188" i="27"/>
  <c r="AE188" i="27"/>
  <c r="AF188" i="27"/>
  <c r="AG188" i="27"/>
  <c r="AH188" i="27"/>
  <c r="AJ188" i="27"/>
  <c r="AL188" i="27"/>
  <c r="AO188" i="27"/>
  <c r="BH188" i="27" s="1"/>
  <c r="AP188" i="27"/>
  <c r="J188" i="27" s="1"/>
  <c r="AX188" i="27"/>
  <c r="BD188" i="27"/>
  <c r="BF188" i="27"/>
  <c r="BI188" i="27"/>
  <c r="BJ188" i="27"/>
  <c r="Z188" i="27" s="1"/>
  <c r="K189" i="27"/>
  <c r="AK189" i="27" s="1"/>
  <c r="AB189" i="27"/>
  <c r="AC189" i="27"/>
  <c r="AD189" i="27"/>
  <c r="AE189" i="27"/>
  <c r="AF189" i="27"/>
  <c r="AG189" i="27"/>
  <c r="AH189" i="27"/>
  <c r="AJ189" i="27"/>
  <c r="AL189" i="27"/>
  <c r="AO189" i="27"/>
  <c r="AP189" i="27"/>
  <c r="J189" i="27" s="1"/>
  <c r="BD189" i="27"/>
  <c r="BF189" i="27"/>
  <c r="BJ189" i="27"/>
  <c r="Z189" i="27" s="1"/>
  <c r="K190" i="27"/>
  <c r="AK190" i="27" s="1"/>
  <c r="AB190" i="27"/>
  <c r="AC190" i="27"/>
  <c r="AD190" i="27"/>
  <c r="AE190" i="27"/>
  <c r="AF190" i="27"/>
  <c r="AG190" i="27"/>
  <c r="AH190" i="27"/>
  <c r="AJ190" i="27"/>
  <c r="AL190" i="27"/>
  <c r="AO190" i="27"/>
  <c r="I190" i="27" s="1"/>
  <c r="AP190" i="27"/>
  <c r="AW190" i="27"/>
  <c r="BD190" i="27"/>
  <c r="BF190" i="27"/>
  <c r="BH190" i="27"/>
  <c r="BJ190" i="27"/>
  <c r="Z190" i="27" s="1"/>
  <c r="K191" i="27"/>
  <c r="AK191" i="27" s="1"/>
  <c r="AB191" i="27"/>
  <c r="AC191" i="27"/>
  <c r="AD191" i="27"/>
  <c r="AE191" i="27"/>
  <c r="AF191" i="27"/>
  <c r="AG191" i="27"/>
  <c r="AH191" i="27"/>
  <c r="AJ191" i="27"/>
  <c r="AL191" i="27"/>
  <c r="AO191" i="27"/>
  <c r="AP191" i="27"/>
  <c r="BI191" i="27" s="1"/>
  <c r="BD191" i="27"/>
  <c r="BF191" i="27"/>
  <c r="BH191" i="27"/>
  <c r="BJ191" i="27"/>
  <c r="Z191" i="27" s="1"/>
  <c r="K192" i="27"/>
  <c r="AK192" i="27" s="1"/>
  <c r="AB192" i="27"/>
  <c r="AC192" i="27"/>
  <c r="AD192" i="27"/>
  <c r="AE192" i="27"/>
  <c r="AF192" i="27"/>
  <c r="AG192" i="27"/>
  <c r="AH192" i="27"/>
  <c r="AJ192" i="27"/>
  <c r="AL192" i="27"/>
  <c r="AO192" i="27"/>
  <c r="AP192" i="27"/>
  <c r="J192" i="27" s="1"/>
  <c r="AX192" i="27"/>
  <c r="BD192" i="27"/>
  <c r="BF192" i="27"/>
  <c r="BI192" i="27"/>
  <c r="BJ192" i="27"/>
  <c r="Z192" i="27" s="1"/>
  <c r="K193" i="27"/>
  <c r="AK193" i="27" s="1"/>
  <c r="AB193" i="27"/>
  <c r="AC193" i="27"/>
  <c r="AD193" i="27"/>
  <c r="AE193" i="27"/>
  <c r="AF193" i="27"/>
  <c r="AG193" i="27"/>
  <c r="AH193" i="27"/>
  <c r="AJ193" i="27"/>
  <c r="AL193" i="27"/>
  <c r="AO193" i="27"/>
  <c r="AP193" i="27"/>
  <c r="AX193" i="27" s="1"/>
  <c r="BD193" i="27"/>
  <c r="BF193" i="27"/>
  <c r="BJ193" i="27"/>
  <c r="Z193" i="27" s="1"/>
  <c r="K195" i="27"/>
  <c r="AB195" i="27"/>
  <c r="AC195" i="27"/>
  <c r="AD195" i="27"/>
  <c r="AE195" i="27"/>
  <c r="AF195" i="27"/>
  <c r="AG195" i="27"/>
  <c r="AH195" i="27"/>
  <c r="AJ195" i="27"/>
  <c r="AS194" i="27" s="1"/>
  <c r="AL195" i="27"/>
  <c r="AU194" i="27" s="1"/>
  <c r="AO195" i="27"/>
  <c r="AP195" i="27"/>
  <c r="J195" i="27" s="1"/>
  <c r="J194" i="27" s="1"/>
  <c r="BD195" i="27"/>
  <c r="BF195" i="27"/>
  <c r="BJ195" i="27"/>
  <c r="Z195" i="27" s="1"/>
  <c r="K197" i="27"/>
  <c r="Z197" i="27"/>
  <c r="AB197" i="27"/>
  <c r="AC197" i="27"/>
  <c r="AF197" i="27"/>
  <c r="AG197" i="27"/>
  <c r="AH197" i="27"/>
  <c r="AJ197" i="27"/>
  <c r="AK197" i="27"/>
  <c r="AL197" i="27"/>
  <c r="AO197" i="27"/>
  <c r="AP197" i="27"/>
  <c r="BI197" i="27" s="1"/>
  <c r="AE197" i="27" s="1"/>
  <c r="BD197" i="27"/>
  <c r="BF197" i="27"/>
  <c r="BH197" i="27"/>
  <c r="AD197" i="27" s="1"/>
  <c r="BJ197" i="27"/>
  <c r="K198" i="27"/>
  <c r="AK198" i="27" s="1"/>
  <c r="Z198" i="27"/>
  <c r="AB198" i="27"/>
  <c r="AC198" i="27"/>
  <c r="AF198" i="27"/>
  <c r="AG198" i="27"/>
  <c r="AH198" i="27"/>
  <c r="AJ198" i="27"/>
  <c r="AL198" i="27"/>
  <c r="AO198" i="27"/>
  <c r="AP198" i="27"/>
  <c r="J198" i="27" s="1"/>
  <c r="AX198" i="27"/>
  <c r="BD198" i="27"/>
  <c r="BF198" i="27"/>
  <c r="BI198" i="27"/>
  <c r="AE198" i="27" s="1"/>
  <c r="BJ198" i="27"/>
  <c r="K199" i="27"/>
  <c r="Z199" i="27"/>
  <c r="AB199" i="27"/>
  <c r="AC199" i="27"/>
  <c r="AF199" i="27"/>
  <c r="AG199" i="27"/>
  <c r="AH199" i="27"/>
  <c r="AJ199" i="27"/>
  <c r="AK199" i="27"/>
  <c r="AL199" i="27"/>
  <c r="AO199" i="27"/>
  <c r="AP199" i="27"/>
  <c r="BD199" i="27"/>
  <c r="BF199" i="27"/>
  <c r="BH199" i="27"/>
  <c r="AD199" i="27" s="1"/>
  <c r="BJ199" i="27"/>
  <c r="K200" i="27"/>
  <c r="Z200" i="27"/>
  <c r="AB200" i="27"/>
  <c r="AC200" i="27"/>
  <c r="AF200" i="27"/>
  <c r="AG200" i="27"/>
  <c r="AH200" i="27"/>
  <c r="AJ200" i="27"/>
  <c r="AK200" i="27"/>
  <c r="AL200" i="27"/>
  <c r="AO200" i="27"/>
  <c r="AW200" i="27" s="1"/>
  <c r="AP200" i="27"/>
  <c r="BD200" i="27"/>
  <c r="BF200" i="27"/>
  <c r="BH200" i="27"/>
  <c r="AD200" i="27" s="1"/>
  <c r="BJ200" i="27"/>
  <c r="K201" i="27"/>
  <c r="AK201" i="27" s="1"/>
  <c r="Z201" i="27"/>
  <c r="AB201" i="27"/>
  <c r="AC201" i="27"/>
  <c r="AF201" i="27"/>
  <c r="AG201" i="27"/>
  <c r="AH201" i="27"/>
  <c r="AJ201" i="27"/>
  <c r="AL201" i="27"/>
  <c r="AO201" i="27"/>
  <c r="AP201" i="27"/>
  <c r="BI201" i="27" s="1"/>
  <c r="AE201" i="27" s="1"/>
  <c r="BD201" i="27"/>
  <c r="BF201" i="27"/>
  <c r="BH201" i="27"/>
  <c r="AD201" i="27" s="1"/>
  <c r="BJ201" i="27"/>
  <c r="K202" i="27"/>
  <c r="AK202" i="27" s="1"/>
  <c r="AB202" i="27"/>
  <c r="AC202" i="27"/>
  <c r="AD202" i="27"/>
  <c r="AE202" i="27"/>
  <c r="AF202" i="27"/>
  <c r="AG202" i="27"/>
  <c r="AH202" i="27"/>
  <c r="AJ202" i="27"/>
  <c r="AL202" i="27"/>
  <c r="AO202" i="27"/>
  <c r="AP202" i="27"/>
  <c r="J202" i="27" s="1"/>
  <c r="BD202" i="27"/>
  <c r="BF202" i="27"/>
  <c r="BJ202" i="27"/>
  <c r="Z202" i="27" s="1"/>
  <c r="K204" i="27"/>
  <c r="Z204" i="27"/>
  <c r="AB204" i="27"/>
  <c r="AC204" i="27"/>
  <c r="AF204" i="27"/>
  <c r="AG204" i="27"/>
  <c r="AH204" i="27"/>
  <c r="AJ204" i="27"/>
  <c r="AK204" i="27"/>
  <c r="AL204" i="27"/>
  <c r="AO204" i="27"/>
  <c r="I204" i="27" s="1"/>
  <c r="AP204" i="27"/>
  <c r="AW204" i="27"/>
  <c r="BD204" i="27"/>
  <c r="BF204" i="27"/>
  <c r="BI204" i="27"/>
  <c r="AE204" i="27" s="1"/>
  <c r="BJ204" i="27"/>
  <c r="K205" i="27"/>
  <c r="AK205" i="27" s="1"/>
  <c r="Z205" i="27"/>
  <c r="AB205" i="27"/>
  <c r="AC205" i="27"/>
  <c r="AF205" i="27"/>
  <c r="AG205" i="27"/>
  <c r="AH205" i="27"/>
  <c r="AJ205" i="27"/>
  <c r="AL205" i="27"/>
  <c r="AO205" i="27"/>
  <c r="AP205" i="27"/>
  <c r="BD205" i="27"/>
  <c r="BF205" i="27"/>
  <c r="BJ205" i="27"/>
  <c r="K206" i="27"/>
  <c r="Z206" i="27"/>
  <c r="AB206" i="27"/>
  <c r="AC206" i="27"/>
  <c r="AF206" i="27"/>
  <c r="AG206" i="27"/>
  <c r="AH206" i="27"/>
  <c r="AJ206" i="27"/>
  <c r="AK206" i="27"/>
  <c r="AL206" i="27"/>
  <c r="AO206" i="27"/>
  <c r="AP206" i="27"/>
  <c r="BD206" i="27"/>
  <c r="BF206" i="27"/>
  <c r="BJ206" i="27"/>
  <c r="K207" i="27"/>
  <c r="Z207" i="27"/>
  <c r="AB207" i="27"/>
  <c r="AC207" i="27"/>
  <c r="AF207" i="27"/>
  <c r="AG207" i="27"/>
  <c r="AH207" i="27"/>
  <c r="AJ207" i="27"/>
  <c r="AK207" i="27"/>
  <c r="AL207" i="27"/>
  <c r="AO207" i="27"/>
  <c r="I207" i="27" s="1"/>
  <c r="AP207" i="27"/>
  <c r="BD207" i="27"/>
  <c r="BF207" i="27"/>
  <c r="BJ207" i="27"/>
  <c r="K208" i="27"/>
  <c r="Z208" i="27"/>
  <c r="AB208" i="27"/>
  <c r="AC208" i="27"/>
  <c r="AF208" i="27"/>
  <c r="AG208" i="27"/>
  <c r="AH208" i="27"/>
  <c r="AJ208" i="27"/>
  <c r="AK208" i="27"/>
  <c r="AL208" i="27"/>
  <c r="AO208" i="27"/>
  <c r="AW208" i="27" s="1"/>
  <c r="AP208" i="27"/>
  <c r="BD208" i="27"/>
  <c r="BF208" i="27"/>
  <c r="BJ208" i="27"/>
  <c r="K209" i="27"/>
  <c r="AK209" i="27" s="1"/>
  <c r="Z209" i="27"/>
  <c r="AB209" i="27"/>
  <c r="AC209" i="27"/>
  <c r="AF209" i="27"/>
  <c r="AG209" i="27"/>
  <c r="AH209" i="27"/>
  <c r="AJ209" i="27"/>
  <c r="AL209" i="27"/>
  <c r="AO209" i="27"/>
  <c r="BH209" i="27" s="1"/>
  <c r="AD209" i="27" s="1"/>
  <c r="AP209" i="27"/>
  <c r="J209" i="27" s="1"/>
  <c r="BD209" i="27"/>
  <c r="BF209" i="27"/>
  <c r="BI209" i="27"/>
  <c r="AE209" i="27" s="1"/>
  <c r="BJ209" i="27"/>
  <c r="K210" i="27"/>
  <c r="Z210" i="27"/>
  <c r="AB210" i="27"/>
  <c r="AC210" i="27"/>
  <c r="AF210" i="27"/>
  <c r="AG210" i="27"/>
  <c r="AH210" i="27"/>
  <c r="AJ210" i="27"/>
  <c r="AK210" i="27"/>
  <c r="AL210" i="27"/>
  <c r="AO210" i="27"/>
  <c r="AP210" i="27"/>
  <c r="AX210" i="27" s="1"/>
  <c r="BD210" i="27"/>
  <c r="BF210" i="27"/>
  <c r="BI210" i="27"/>
  <c r="AE210" i="27" s="1"/>
  <c r="BJ210" i="27"/>
  <c r="K211" i="27"/>
  <c r="Z211" i="27"/>
  <c r="AB211" i="27"/>
  <c r="AC211" i="27"/>
  <c r="AF211" i="27"/>
  <c r="AG211" i="27"/>
  <c r="AH211" i="27"/>
  <c r="AJ211" i="27"/>
  <c r="AK211" i="27"/>
  <c r="AL211" i="27"/>
  <c r="AO211" i="27"/>
  <c r="I211" i="27" s="1"/>
  <c r="AP211" i="27"/>
  <c r="J211" i="27" s="1"/>
  <c r="AW211" i="27"/>
  <c r="BD211" i="27"/>
  <c r="BF211" i="27"/>
  <c r="BH211" i="27"/>
  <c r="AD211" i="27" s="1"/>
  <c r="BJ211" i="27"/>
  <c r="K212" i="27"/>
  <c r="Z212" i="27"/>
  <c r="AB212" i="27"/>
  <c r="AC212" i="27"/>
  <c r="AF212" i="27"/>
  <c r="AG212" i="27"/>
  <c r="AH212" i="27"/>
  <c r="AJ212" i="27"/>
  <c r="AK212" i="27"/>
  <c r="AL212" i="27"/>
  <c r="AO212" i="27"/>
  <c r="I212" i="27" s="1"/>
  <c r="AP212" i="27"/>
  <c r="BD212" i="27"/>
  <c r="BF212" i="27"/>
  <c r="BH212" i="27"/>
  <c r="AD212" i="27" s="1"/>
  <c r="BI212" i="27"/>
  <c r="AE212" i="27" s="1"/>
  <c r="BJ212" i="27"/>
  <c r="K213" i="27"/>
  <c r="AK213" i="27" s="1"/>
  <c r="AB213" i="27"/>
  <c r="AC213" i="27"/>
  <c r="AD213" i="27"/>
  <c r="AE213" i="27"/>
  <c r="AF213" i="27"/>
  <c r="AG213" i="27"/>
  <c r="AH213" i="27"/>
  <c r="AJ213" i="27"/>
  <c r="AL213" i="27"/>
  <c r="AO213" i="27"/>
  <c r="AP213" i="27"/>
  <c r="BD213" i="27"/>
  <c r="BF213" i="27"/>
  <c r="BI213" i="27"/>
  <c r="BJ213" i="27"/>
  <c r="Z213" i="27" s="1"/>
  <c r="K215" i="27"/>
  <c r="Z215" i="27"/>
  <c r="AB215" i="27"/>
  <c r="AC215" i="27"/>
  <c r="AF215" i="27"/>
  <c r="AG215" i="27"/>
  <c r="AH215" i="27"/>
  <c r="AJ215" i="27"/>
  <c r="AK215" i="27"/>
  <c r="AL215" i="27"/>
  <c r="AO215" i="27"/>
  <c r="AP215" i="27"/>
  <c r="BI215" i="27" s="1"/>
  <c r="AE215" i="27" s="1"/>
  <c r="BD215" i="27"/>
  <c r="BF215" i="27"/>
  <c r="BH215" i="27"/>
  <c r="AD215" i="27" s="1"/>
  <c r="BJ215" i="27"/>
  <c r="K216" i="27"/>
  <c r="AK216" i="27" s="1"/>
  <c r="Z216" i="27"/>
  <c r="AB216" i="27"/>
  <c r="AC216" i="27"/>
  <c r="AF216" i="27"/>
  <c r="AG216" i="27"/>
  <c r="AH216" i="27"/>
  <c r="AJ216" i="27"/>
  <c r="AL216" i="27"/>
  <c r="AO216" i="27"/>
  <c r="AP216" i="27"/>
  <c r="BI216" i="27" s="1"/>
  <c r="AE216" i="27" s="1"/>
  <c r="BD216" i="27"/>
  <c r="BF216" i="27"/>
  <c r="BJ216" i="27"/>
  <c r="K217" i="27"/>
  <c r="Z217" i="27"/>
  <c r="AB217" i="27"/>
  <c r="AC217" i="27"/>
  <c r="AF217" i="27"/>
  <c r="AG217" i="27"/>
  <c r="AH217" i="27"/>
  <c r="AJ217" i="27"/>
  <c r="AK217" i="27"/>
  <c r="AL217" i="27"/>
  <c r="AO217" i="27"/>
  <c r="I217" i="27" s="1"/>
  <c r="AP217" i="27"/>
  <c r="J217" i="27" s="1"/>
  <c r="AW217" i="27"/>
  <c r="BD217" i="27"/>
  <c r="BF217" i="27"/>
  <c r="BH217" i="27"/>
  <c r="AD217" i="27" s="1"/>
  <c r="BI217" i="27"/>
  <c r="AE217" i="27" s="1"/>
  <c r="BJ217" i="27"/>
  <c r="K218" i="27"/>
  <c r="Z218" i="27"/>
  <c r="AB218" i="27"/>
  <c r="AC218" i="27"/>
  <c r="AF218" i="27"/>
  <c r="AG218" i="27"/>
  <c r="AH218" i="27"/>
  <c r="AJ218" i="27"/>
  <c r="AK218" i="27"/>
  <c r="AL218" i="27"/>
  <c r="AO218" i="27"/>
  <c r="AP218" i="27"/>
  <c r="BD218" i="27"/>
  <c r="BF218" i="27"/>
  <c r="BJ218" i="27"/>
  <c r="K219" i="27"/>
  <c r="Z219" i="27"/>
  <c r="AB219" i="27"/>
  <c r="AC219" i="27"/>
  <c r="AF219" i="27"/>
  <c r="AG219" i="27"/>
  <c r="AH219" i="27"/>
  <c r="AJ219" i="27"/>
  <c r="AK219" i="27"/>
  <c r="AL219" i="27"/>
  <c r="AO219" i="27"/>
  <c r="I219" i="27" s="1"/>
  <c r="AP219" i="27"/>
  <c r="BI219" i="27" s="1"/>
  <c r="AE219" i="27" s="1"/>
  <c r="BD219" i="27"/>
  <c r="BF219" i="27"/>
  <c r="BH219" i="27"/>
  <c r="AD219" i="27" s="1"/>
  <c r="BJ219" i="27"/>
  <c r="K220" i="27"/>
  <c r="AK220" i="27" s="1"/>
  <c r="Z220" i="27"/>
  <c r="AB220" i="27"/>
  <c r="AC220" i="27"/>
  <c r="AF220" i="27"/>
  <c r="AG220" i="27"/>
  <c r="AH220" i="27"/>
  <c r="AJ220" i="27"/>
  <c r="AL220" i="27"/>
  <c r="AO220" i="27"/>
  <c r="AP220" i="27"/>
  <c r="BD220" i="27"/>
  <c r="BF220" i="27"/>
  <c r="BH220" i="27"/>
  <c r="AD220" i="27" s="1"/>
  <c r="BJ220" i="27"/>
  <c r="K221" i="27"/>
  <c r="Z221" i="27"/>
  <c r="AB221" i="27"/>
  <c r="AC221" i="27"/>
  <c r="AF221" i="27"/>
  <c r="AG221" i="27"/>
  <c r="AH221" i="27"/>
  <c r="AJ221" i="27"/>
  <c r="AK221" i="27"/>
  <c r="AL221" i="27"/>
  <c r="AO221" i="27"/>
  <c r="I221" i="27" s="1"/>
  <c r="AP221" i="27"/>
  <c r="BD221" i="27"/>
  <c r="BF221" i="27"/>
  <c r="BH221" i="27"/>
  <c r="AD221" i="27" s="1"/>
  <c r="BJ221" i="27"/>
  <c r="K222" i="27"/>
  <c r="Z222" i="27"/>
  <c r="AB222" i="27"/>
  <c r="AC222" i="27"/>
  <c r="AF222" i="27"/>
  <c r="AG222" i="27"/>
  <c r="AH222" i="27"/>
  <c r="AJ222" i="27"/>
  <c r="AK222" i="27"/>
  <c r="AL222" i="27"/>
  <c r="AO222" i="27"/>
  <c r="AP222" i="27"/>
  <c r="BD222" i="27"/>
  <c r="BF222" i="27"/>
  <c r="BJ222" i="27"/>
  <c r="K223" i="27"/>
  <c r="Z223" i="27"/>
  <c r="AB223" i="27"/>
  <c r="AC223" i="27"/>
  <c r="AF223" i="27"/>
  <c r="AG223" i="27"/>
  <c r="AH223" i="27"/>
  <c r="AJ223" i="27"/>
  <c r="AK223" i="27"/>
  <c r="AL223" i="27"/>
  <c r="AO223" i="27"/>
  <c r="I223" i="27" s="1"/>
  <c r="AP223" i="27"/>
  <c r="BD223" i="27"/>
  <c r="BF223" i="27"/>
  <c r="BH223" i="27"/>
  <c r="AD223" i="27" s="1"/>
  <c r="BJ223" i="27"/>
  <c r="K224" i="27"/>
  <c r="AK224" i="27" s="1"/>
  <c r="Z224" i="27"/>
  <c r="AB224" i="27"/>
  <c r="AC224" i="27"/>
  <c r="AF224" i="27"/>
  <c r="AG224" i="27"/>
  <c r="AH224" i="27"/>
  <c r="AJ224" i="27"/>
  <c r="AL224" i="27"/>
  <c r="AO224" i="27"/>
  <c r="BH224" i="27" s="1"/>
  <c r="AD224" i="27" s="1"/>
  <c r="AP224" i="27"/>
  <c r="J224" i="27" s="1"/>
  <c r="BD224" i="27"/>
  <c r="BF224" i="27"/>
  <c r="BJ224" i="27"/>
  <c r="K225" i="27"/>
  <c r="Z225" i="27"/>
  <c r="AB225" i="27"/>
  <c r="AC225" i="27"/>
  <c r="AF225" i="27"/>
  <c r="AG225" i="27"/>
  <c r="AH225" i="27"/>
  <c r="AJ225" i="27"/>
  <c r="AK225" i="27"/>
  <c r="AL225" i="27"/>
  <c r="AO225" i="27"/>
  <c r="AP225" i="27"/>
  <c r="J225" i="27" s="1"/>
  <c r="AX225" i="27"/>
  <c r="BD225" i="27"/>
  <c r="BF225" i="27"/>
  <c r="BI225" i="27"/>
  <c r="AE225" i="27" s="1"/>
  <c r="BJ225" i="27"/>
  <c r="K226" i="27"/>
  <c r="Z226" i="27"/>
  <c r="AB226" i="27"/>
  <c r="AC226" i="27"/>
  <c r="AF226" i="27"/>
  <c r="AG226" i="27"/>
  <c r="AH226" i="27"/>
  <c r="AJ226" i="27"/>
  <c r="AK226" i="27"/>
  <c r="AL226" i="27"/>
  <c r="AO226" i="27"/>
  <c r="AP226" i="27"/>
  <c r="BD226" i="27"/>
  <c r="BF226" i="27"/>
  <c r="BI226" i="27"/>
  <c r="AE226" i="27" s="1"/>
  <c r="BJ226" i="27"/>
  <c r="K227" i="27"/>
  <c r="Z227" i="27"/>
  <c r="AB227" i="27"/>
  <c r="AC227" i="27"/>
  <c r="AF227" i="27"/>
  <c r="AG227" i="27"/>
  <c r="AH227" i="27"/>
  <c r="AJ227" i="27"/>
  <c r="AK227" i="27"/>
  <c r="AL227" i="27"/>
  <c r="AO227" i="27"/>
  <c r="AP227" i="27"/>
  <c r="BD227" i="27"/>
  <c r="BF227" i="27"/>
  <c r="BI227" i="27"/>
  <c r="AE227" i="27" s="1"/>
  <c r="BJ227" i="27"/>
  <c r="K228" i="27"/>
  <c r="AK228" i="27" s="1"/>
  <c r="Z228" i="27"/>
  <c r="AB228" i="27"/>
  <c r="AC228" i="27"/>
  <c r="AF228" i="27"/>
  <c r="AG228" i="27"/>
  <c r="AH228" i="27"/>
  <c r="AJ228" i="27"/>
  <c r="AL228" i="27"/>
  <c r="AO228" i="27"/>
  <c r="BH228" i="27" s="1"/>
  <c r="AD228" i="27" s="1"/>
  <c r="AP228" i="27"/>
  <c r="BD228" i="27"/>
  <c r="BF228" i="27"/>
  <c r="BJ228" i="27"/>
  <c r="K229" i="27"/>
  <c r="Z229" i="27"/>
  <c r="AB229" i="27"/>
  <c r="AC229" i="27"/>
  <c r="AF229" i="27"/>
  <c r="AG229" i="27"/>
  <c r="AH229" i="27"/>
  <c r="AJ229" i="27"/>
  <c r="AK229" i="27"/>
  <c r="AL229" i="27"/>
  <c r="AO229" i="27"/>
  <c r="AP229" i="27"/>
  <c r="AX229" i="27" s="1"/>
  <c r="BD229" i="27"/>
  <c r="BF229" i="27"/>
  <c r="BJ229" i="27"/>
  <c r="K230" i="27"/>
  <c r="Z230" i="27"/>
  <c r="AB230" i="27"/>
  <c r="AC230" i="27"/>
  <c r="AF230" i="27"/>
  <c r="AG230" i="27"/>
  <c r="AH230" i="27"/>
  <c r="AJ230" i="27"/>
  <c r="AK230" i="27"/>
  <c r="AL230" i="27"/>
  <c r="AO230" i="27"/>
  <c r="I230" i="27" s="1"/>
  <c r="AP230" i="27"/>
  <c r="BD230" i="27"/>
  <c r="BF230" i="27"/>
  <c r="BJ230" i="27"/>
  <c r="K232" i="27"/>
  <c r="Z232" i="27"/>
  <c r="AB232" i="27"/>
  <c r="AC232" i="27"/>
  <c r="AF232" i="27"/>
  <c r="AG232" i="27"/>
  <c r="AH232" i="27"/>
  <c r="AJ232" i="27"/>
  <c r="AK232" i="27"/>
  <c r="AL232" i="27"/>
  <c r="AO232" i="27"/>
  <c r="AP232" i="27"/>
  <c r="BD232" i="27"/>
  <c r="BF232" i="27"/>
  <c r="BJ232" i="27"/>
  <c r="K233" i="27"/>
  <c r="Z233" i="27"/>
  <c r="AB233" i="27"/>
  <c r="AC233" i="27"/>
  <c r="AF233" i="27"/>
  <c r="AG233" i="27"/>
  <c r="AH233" i="27"/>
  <c r="AJ233" i="27"/>
  <c r="AK233" i="27"/>
  <c r="AL233" i="27"/>
  <c r="AO233" i="27"/>
  <c r="AW233" i="27" s="1"/>
  <c r="AP233" i="27"/>
  <c r="BD233" i="27"/>
  <c r="BF233" i="27"/>
  <c r="BH233" i="27"/>
  <c r="AD233" i="27" s="1"/>
  <c r="BJ233" i="27"/>
  <c r="K234" i="27"/>
  <c r="Z234" i="27"/>
  <c r="AB234" i="27"/>
  <c r="AC234" i="27"/>
  <c r="AF234" i="27"/>
  <c r="AG234" i="27"/>
  <c r="AH234" i="27"/>
  <c r="AJ234" i="27"/>
  <c r="AK234" i="27"/>
  <c r="AL234" i="27"/>
  <c r="AO234" i="27"/>
  <c r="I234" i="27" s="1"/>
  <c r="AP234" i="27"/>
  <c r="BI234" i="27" s="1"/>
  <c r="AE234" i="27" s="1"/>
  <c r="BD234" i="27"/>
  <c r="BF234" i="27"/>
  <c r="BH234" i="27"/>
  <c r="AD234" i="27" s="1"/>
  <c r="BJ234" i="27"/>
  <c r="K235" i="27"/>
  <c r="AK235" i="27" s="1"/>
  <c r="Z235" i="27"/>
  <c r="AB235" i="27"/>
  <c r="AC235" i="27"/>
  <c r="AF235" i="27"/>
  <c r="AG235" i="27"/>
  <c r="AH235" i="27"/>
  <c r="AJ235" i="27"/>
  <c r="AL235" i="27"/>
  <c r="AO235" i="27"/>
  <c r="BH235" i="27" s="1"/>
  <c r="AD235" i="27" s="1"/>
  <c r="AP235" i="27"/>
  <c r="J235" i="27" s="1"/>
  <c r="AX235" i="27"/>
  <c r="BD235" i="27"/>
  <c r="BF235" i="27"/>
  <c r="BI235" i="27"/>
  <c r="AE235" i="27" s="1"/>
  <c r="BJ235" i="27"/>
  <c r="K236" i="27"/>
  <c r="Z236" i="27"/>
  <c r="AB236" i="27"/>
  <c r="AC236" i="27"/>
  <c r="AF236" i="27"/>
  <c r="AG236" i="27"/>
  <c r="AH236" i="27"/>
  <c r="AJ236" i="27"/>
  <c r="AK236" i="27"/>
  <c r="AL236" i="27"/>
  <c r="AO236" i="27"/>
  <c r="AP236" i="27"/>
  <c r="BD236" i="27"/>
  <c r="BF236" i="27"/>
  <c r="BJ236" i="27"/>
  <c r="K237" i="27"/>
  <c r="Z237" i="27"/>
  <c r="AB237" i="27"/>
  <c r="AC237" i="27"/>
  <c r="AF237" i="27"/>
  <c r="AG237" i="27"/>
  <c r="AH237" i="27"/>
  <c r="AJ237" i="27"/>
  <c r="AK237" i="27"/>
  <c r="AL237" i="27"/>
  <c r="AO237" i="27"/>
  <c r="AP237" i="27"/>
  <c r="J237" i="27" s="1"/>
  <c r="BD237" i="27"/>
  <c r="BF237" i="27"/>
  <c r="BJ237" i="27"/>
  <c r="K238" i="27"/>
  <c r="Z238" i="27"/>
  <c r="AB238" i="27"/>
  <c r="AC238" i="27"/>
  <c r="AF238" i="27"/>
  <c r="AG238" i="27"/>
  <c r="AH238" i="27"/>
  <c r="AJ238" i="27"/>
  <c r="AK238" i="27"/>
  <c r="AL238" i="27"/>
  <c r="AO238" i="27"/>
  <c r="I238" i="27" s="1"/>
  <c r="AP238" i="27"/>
  <c r="BI238" i="27" s="1"/>
  <c r="AE238" i="27" s="1"/>
  <c r="BD238" i="27"/>
  <c r="BF238" i="27"/>
  <c r="BH238" i="27"/>
  <c r="AD238" i="27" s="1"/>
  <c r="BJ238" i="27"/>
  <c r="K239" i="27"/>
  <c r="AK239" i="27" s="1"/>
  <c r="Z239" i="27"/>
  <c r="AB239" i="27"/>
  <c r="AC239" i="27"/>
  <c r="AF239" i="27"/>
  <c r="AG239" i="27"/>
  <c r="AH239" i="27"/>
  <c r="AJ239" i="27"/>
  <c r="AL239" i="27"/>
  <c r="AO239" i="27"/>
  <c r="AP239" i="27"/>
  <c r="BI239" i="27" s="1"/>
  <c r="AE239" i="27" s="1"/>
  <c r="BD239" i="27"/>
  <c r="BF239" i="27"/>
  <c r="BJ239" i="27"/>
  <c r="K240" i="27"/>
  <c r="Z240" i="27"/>
  <c r="AB240" i="27"/>
  <c r="AC240" i="27"/>
  <c r="AF240" i="27"/>
  <c r="AG240" i="27"/>
  <c r="AH240" i="27"/>
  <c r="AJ240" i="27"/>
  <c r="AK240" i="27"/>
  <c r="AL240" i="27"/>
  <c r="AO240" i="27"/>
  <c r="I240" i="27" s="1"/>
  <c r="AP240" i="27"/>
  <c r="AX240" i="27" s="1"/>
  <c r="AW240" i="27"/>
  <c r="BD240" i="27"/>
  <c r="BF240" i="27"/>
  <c r="BI240" i="27"/>
  <c r="AE240" i="27" s="1"/>
  <c r="BJ240" i="27"/>
  <c r="K241" i="27"/>
  <c r="AK241" i="27" s="1"/>
  <c r="Z241" i="27"/>
  <c r="AB241" i="27"/>
  <c r="AC241" i="27"/>
  <c r="AF241" i="27"/>
  <c r="AG241" i="27"/>
  <c r="AH241" i="27"/>
  <c r="AJ241" i="27"/>
  <c r="AL241" i="27"/>
  <c r="AO241" i="27"/>
  <c r="AP241" i="27"/>
  <c r="BD241" i="27"/>
  <c r="BF241" i="27"/>
  <c r="BH241" i="27"/>
  <c r="AD241" i="27" s="1"/>
  <c r="BJ241" i="27"/>
  <c r="K242" i="27"/>
  <c r="AK242" i="27" s="1"/>
  <c r="Z242" i="27"/>
  <c r="AB242" i="27"/>
  <c r="AC242" i="27"/>
  <c r="AF242" i="27"/>
  <c r="AG242" i="27"/>
  <c r="AH242" i="27"/>
  <c r="AJ242" i="27"/>
  <c r="AL242" i="27"/>
  <c r="AO242" i="27"/>
  <c r="I242" i="27" s="1"/>
  <c r="AP242" i="27"/>
  <c r="AW242" i="27"/>
  <c r="BD242" i="27"/>
  <c r="BF242" i="27"/>
  <c r="BJ242" i="27"/>
  <c r="K243" i="27"/>
  <c r="Z243" i="27"/>
  <c r="AB243" i="27"/>
  <c r="AC243" i="27"/>
  <c r="AF243" i="27"/>
  <c r="AG243" i="27"/>
  <c r="AH243" i="27"/>
  <c r="AJ243" i="27"/>
  <c r="AK243" i="27"/>
  <c r="AL243" i="27"/>
  <c r="AO243" i="27"/>
  <c r="I243" i="27" s="1"/>
  <c r="AP243" i="27"/>
  <c r="AW243" i="27"/>
  <c r="BD243" i="27"/>
  <c r="BF243" i="27"/>
  <c r="BJ243" i="27"/>
  <c r="K244" i="27"/>
  <c r="Z244" i="27"/>
  <c r="AB244" i="27"/>
  <c r="AC244" i="27"/>
  <c r="AF244" i="27"/>
  <c r="AG244" i="27"/>
  <c r="AH244" i="27"/>
  <c r="AJ244" i="27"/>
  <c r="AK244" i="27"/>
  <c r="AL244" i="27"/>
  <c r="AO244" i="27"/>
  <c r="AP244" i="27"/>
  <c r="BI244" i="27" s="1"/>
  <c r="AE244" i="27" s="1"/>
  <c r="BD244" i="27"/>
  <c r="BF244" i="27"/>
  <c r="BJ244" i="27"/>
  <c r="K245" i="27"/>
  <c r="AK245" i="27" s="1"/>
  <c r="Z245" i="27"/>
  <c r="AB245" i="27"/>
  <c r="AC245" i="27"/>
  <c r="AF245" i="27"/>
  <c r="AG245" i="27"/>
  <c r="AH245" i="27"/>
  <c r="AJ245" i="27"/>
  <c r="AL245" i="27"/>
  <c r="AO245" i="27"/>
  <c r="BH245" i="27" s="1"/>
  <c r="AD245" i="27" s="1"/>
  <c r="AP245" i="27"/>
  <c r="BD245" i="27"/>
  <c r="BF245" i="27"/>
  <c r="BI245" i="27"/>
  <c r="AE245" i="27" s="1"/>
  <c r="BJ245" i="27"/>
  <c r="K246" i="27"/>
  <c r="AK246" i="27" s="1"/>
  <c r="Z246" i="27"/>
  <c r="AB246" i="27"/>
  <c r="AC246" i="27"/>
  <c r="AF246" i="27"/>
  <c r="AG246" i="27"/>
  <c r="AH246" i="27"/>
  <c r="AJ246" i="27"/>
  <c r="AL246" i="27"/>
  <c r="AO246" i="27"/>
  <c r="AP246" i="27"/>
  <c r="BI246" i="27" s="1"/>
  <c r="AE246" i="27" s="1"/>
  <c r="BD246" i="27"/>
  <c r="BF246" i="27"/>
  <c r="BJ246" i="27"/>
  <c r="K247" i="27"/>
  <c r="Z247" i="27"/>
  <c r="AB247" i="27"/>
  <c r="AC247" i="27"/>
  <c r="AF247" i="27"/>
  <c r="AG247" i="27"/>
  <c r="AH247" i="27"/>
  <c r="AJ247" i="27"/>
  <c r="AK247" i="27"/>
  <c r="AL247" i="27"/>
  <c r="AO247" i="27"/>
  <c r="AP247" i="27"/>
  <c r="J247" i="27" s="1"/>
  <c r="BD247" i="27"/>
  <c r="BF247" i="27"/>
  <c r="BJ247" i="27"/>
  <c r="K248" i="27"/>
  <c r="Z248" i="27"/>
  <c r="AB248" i="27"/>
  <c r="AC248" i="27"/>
  <c r="AF248" i="27"/>
  <c r="AG248" i="27"/>
  <c r="AH248" i="27"/>
  <c r="AJ248" i="27"/>
  <c r="AK248" i="27"/>
  <c r="AL248" i="27"/>
  <c r="AO248" i="27"/>
  <c r="AP248" i="27"/>
  <c r="BD248" i="27"/>
  <c r="BF248" i="27"/>
  <c r="BH248" i="27"/>
  <c r="AD248" i="27" s="1"/>
  <c r="BI248" i="27"/>
  <c r="AE248" i="27" s="1"/>
  <c r="BJ248" i="27"/>
  <c r="K249" i="27"/>
  <c r="AK249" i="27" s="1"/>
  <c r="Z249" i="27"/>
  <c r="AB249" i="27"/>
  <c r="AC249" i="27"/>
  <c r="AF249" i="27"/>
  <c r="AG249" i="27"/>
  <c r="AH249" i="27"/>
  <c r="AJ249" i="27"/>
  <c r="AL249" i="27"/>
  <c r="AO249" i="27"/>
  <c r="AP249" i="27"/>
  <c r="J249" i="27" s="1"/>
  <c r="BD249" i="27"/>
  <c r="BF249" i="27"/>
  <c r="BJ249" i="27"/>
  <c r="K250" i="27"/>
  <c r="AK250" i="27" s="1"/>
  <c r="Z250" i="27"/>
  <c r="AB250" i="27"/>
  <c r="AC250" i="27"/>
  <c r="AF250" i="27"/>
  <c r="AG250" i="27"/>
  <c r="AH250" i="27"/>
  <c r="AJ250" i="27"/>
  <c r="AL250" i="27"/>
  <c r="AO250" i="27"/>
  <c r="AP250" i="27"/>
  <c r="BD250" i="27"/>
  <c r="BF250" i="27"/>
  <c r="BJ250" i="27"/>
  <c r="K251" i="27"/>
  <c r="Z251" i="27"/>
  <c r="AB251" i="27"/>
  <c r="AC251" i="27"/>
  <c r="AF251" i="27"/>
  <c r="AG251" i="27"/>
  <c r="AH251" i="27"/>
  <c r="AJ251" i="27"/>
  <c r="AK251" i="27"/>
  <c r="AL251" i="27"/>
  <c r="AO251" i="27"/>
  <c r="AP251" i="27"/>
  <c r="BD251" i="27"/>
  <c r="BF251" i="27"/>
  <c r="BH251" i="27"/>
  <c r="AD251" i="27" s="1"/>
  <c r="BJ251" i="27"/>
  <c r="K252" i="27"/>
  <c r="Z252" i="27"/>
  <c r="AB252" i="27"/>
  <c r="AC252" i="27"/>
  <c r="AF252" i="27"/>
  <c r="AG252" i="27"/>
  <c r="AH252" i="27"/>
  <c r="AJ252" i="27"/>
  <c r="AK252" i="27"/>
  <c r="AL252" i="27"/>
  <c r="AO252" i="27"/>
  <c r="I252" i="27" s="1"/>
  <c r="AP252" i="27"/>
  <c r="BD252" i="27"/>
  <c r="BF252" i="27"/>
  <c r="BH252" i="27"/>
  <c r="AD252" i="27" s="1"/>
  <c r="BI252" i="27"/>
  <c r="AE252" i="27" s="1"/>
  <c r="BJ252" i="27"/>
  <c r="K253" i="27"/>
  <c r="AK253" i="27" s="1"/>
  <c r="Z253" i="27"/>
  <c r="AB253" i="27"/>
  <c r="AC253" i="27"/>
  <c r="AF253" i="27"/>
  <c r="AG253" i="27"/>
  <c r="AH253" i="27"/>
  <c r="AJ253" i="27"/>
  <c r="AL253" i="27"/>
  <c r="AO253" i="27"/>
  <c r="AP253" i="27"/>
  <c r="J253" i="27" s="1"/>
  <c r="BD253" i="27"/>
  <c r="BF253" i="27"/>
  <c r="BI253" i="27"/>
  <c r="AE253" i="27" s="1"/>
  <c r="BJ253" i="27"/>
  <c r="K254" i="27"/>
  <c r="Z254" i="27"/>
  <c r="AB254" i="27"/>
  <c r="AC254" i="27"/>
  <c r="AF254" i="27"/>
  <c r="AG254" i="27"/>
  <c r="AH254" i="27"/>
  <c r="AJ254" i="27"/>
  <c r="AK254" i="27"/>
  <c r="AL254" i="27"/>
  <c r="AO254" i="27"/>
  <c r="AP254" i="27"/>
  <c r="BD254" i="27"/>
  <c r="BF254" i="27"/>
  <c r="BH254" i="27"/>
  <c r="AD254" i="27" s="1"/>
  <c r="BJ254" i="27"/>
  <c r="K255" i="27"/>
  <c r="Z255" i="27"/>
  <c r="AB255" i="27"/>
  <c r="AC255" i="27"/>
  <c r="AF255" i="27"/>
  <c r="AG255" i="27"/>
  <c r="AH255" i="27"/>
  <c r="AJ255" i="27"/>
  <c r="AK255" i="27"/>
  <c r="AL255" i="27"/>
  <c r="AO255" i="27"/>
  <c r="AP255" i="27"/>
  <c r="BD255" i="27"/>
  <c r="BF255" i="27"/>
  <c r="BJ255" i="27"/>
  <c r="K256" i="27"/>
  <c r="Z256" i="27"/>
  <c r="AB256" i="27"/>
  <c r="AC256" i="27"/>
  <c r="AF256" i="27"/>
  <c r="AG256" i="27"/>
  <c r="AH256" i="27"/>
  <c r="AJ256" i="27"/>
  <c r="AK256" i="27"/>
  <c r="AL256" i="27"/>
  <c r="AO256" i="27"/>
  <c r="I256" i="27" s="1"/>
  <c r="AP256" i="27"/>
  <c r="BD256" i="27"/>
  <c r="BF256" i="27"/>
  <c r="BH256" i="27"/>
  <c r="AD256" i="27" s="1"/>
  <c r="BJ256" i="27"/>
  <c r="K257" i="27"/>
  <c r="AK257" i="27" s="1"/>
  <c r="Z257" i="27"/>
  <c r="AB257" i="27"/>
  <c r="AC257" i="27"/>
  <c r="AF257" i="27"/>
  <c r="AG257" i="27"/>
  <c r="AH257" i="27"/>
  <c r="AJ257" i="27"/>
  <c r="AL257" i="27"/>
  <c r="AO257" i="27"/>
  <c r="BH257" i="27" s="1"/>
  <c r="AD257" i="27" s="1"/>
  <c r="AP257" i="27"/>
  <c r="J257" i="27" s="1"/>
  <c r="AX257" i="27"/>
  <c r="BD257" i="27"/>
  <c r="BF257" i="27"/>
  <c r="BI257" i="27"/>
  <c r="AE257" i="27" s="1"/>
  <c r="BJ257" i="27"/>
  <c r="K258" i="27"/>
  <c r="Z258" i="27"/>
  <c r="AB258" i="27"/>
  <c r="AC258" i="27"/>
  <c r="AF258" i="27"/>
  <c r="AG258" i="27"/>
  <c r="AH258" i="27"/>
  <c r="AJ258" i="27"/>
  <c r="AK258" i="27"/>
  <c r="AL258" i="27"/>
  <c r="AO258" i="27"/>
  <c r="AP258" i="27"/>
  <c r="BD258" i="27"/>
  <c r="BF258" i="27"/>
  <c r="BH258" i="27"/>
  <c r="AD258" i="27" s="1"/>
  <c r="BJ258" i="27"/>
  <c r="K259" i="27"/>
  <c r="Z259" i="27"/>
  <c r="AB259" i="27"/>
  <c r="AC259" i="27"/>
  <c r="AF259" i="27"/>
  <c r="AG259" i="27"/>
  <c r="AH259" i="27"/>
  <c r="AJ259" i="27"/>
  <c r="AK259" i="27"/>
  <c r="AL259" i="27"/>
  <c r="AO259" i="27"/>
  <c r="AP259" i="27"/>
  <c r="J259" i="27" s="1"/>
  <c r="BD259" i="27"/>
  <c r="BF259" i="27"/>
  <c r="BJ259" i="27"/>
  <c r="K260" i="27"/>
  <c r="Z260" i="27"/>
  <c r="AB260" i="27"/>
  <c r="AC260" i="27"/>
  <c r="AF260" i="27"/>
  <c r="AG260" i="27"/>
  <c r="AH260" i="27"/>
  <c r="AJ260" i="27"/>
  <c r="AK260" i="27"/>
  <c r="AL260" i="27"/>
  <c r="AO260" i="27"/>
  <c r="AP260" i="27"/>
  <c r="BD260" i="27"/>
  <c r="BF260" i="27"/>
  <c r="BJ260" i="27"/>
  <c r="K261" i="27"/>
  <c r="AK261" i="27" s="1"/>
  <c r="Z261" i="27"/>
  <c r="AB261" i="27"/>
  <c r="AC261" i="27"/>
  <c r="AF261" i="27"/>
  <c r="AG261" i="27"/>
  <c r="AH261" i="27"/>
  <c r="AJ261" i="27"/>
  <c r="AL261" i="27"/>
  <c r="AO261" i="27"/>
  <c r="BH261" i="27" s="1"/>
  <c r="AD261" i="27" s="1"/>
  <c r="AP261" i="27"/>
  <c r="J261" i="27" s="1"/>
  <c r="AX261" i="27"/>
  <c r="BD261" i="27"/>
  <c r="BF261" i="27"/>
  <c r="BI261" i="27"/>
  <c r="AE261" i="27" s="1"/>
  <c r="BJ261" i="27"/>
  <c r="K262" i="27"/>
  <c r="Z262" i="27"/>
  <c r="AB262" i="27"/>
  <c r="AC262" i="27"/>
  <c r="AF262" i="27"/>
  <c r="AG262" i="27"/>
  <c r="AH262" i="27"/>
  <c r="AJ262" i="27"/>
  <c r="AK262" i="27"/>
  <c r="AL262" i="27"/>
  <c r="AO262" i="27"/>
  <c r="AP262" i="27"/>
  <c r="AX262" i="27" s="1"/>
  <c r="BD262" i="27"/>
  <c r="BF262" i="27"/>
  <c r="BJ262" i="27"/>
  <c r="I263" i="27"/>
  <c r="K263" i="27"/>
  <c r="Z263" i="27"/>
  <c r="AB263" i="27"/>
  <c r="AC263" i="27"/>
  <c r="AF263" i="27"/>
  <c r="AG263" i="27"/>
  <c r="AH263" i="27"/>
  <c r="AJ263" i="27"/>
  <c r="AK263" i="27"/>
  <c r="AL263" i="27"/>
  <c r="AO263" i="27"/>
  <c r="AW263" i="27" s="1"/>
  <c r="AP263" i="27"/>
  <c r="BD263" i="27"/>
  <c r="BF263" i="27"/>
  <c r="BH263" i="27"/>
  <c r="AD263" i="27" s="1"/>
  <c r="BJ263" i="27"/>
  <c r="K264" i="27"/>
  <c r="Z264" i="27"/>
  <c r="AB264" i="27"/>
  <c r="AC264" i="27"/>
  <c r="AF264" i="27"/>
  <c r="AG264" i="27"/>
  <c r="AH264" i="27"/>
  <c r="AJ264" i="27"/>
  <c r="AK264" i="27"/>
  <c r="AL264" i="27"/>
  <c r="AO264" i="27"/>
  <c r="I264" i="27" s="1"/>
  <c r="AP264" i="27"/>
  <c r="BI264" i="27" s="1"/>
  <c r="AE264" i="27" s="1"/>
  <c r="BD264" i="27"/>
  <c r="BF264" i="27"/>
  <c r="BJ264" i="27"/>
  <c r="K265" i="27"/>
  <c r="AK265" i="27" s="1"/>
  <c r="Z265" i="27"/>
  <c r="AB265" i="27"/>
  <c r="AC265" i="27"/>
  <c r="AF265" i="27"/>
  <c r="AG265" i="27"/>
  <c r="AH265" i="27"/>
  <c r="AJ265" i="27"/>
  <c r="AL265" i="27"/>
  <c r="AO265" i="27"/>
  <c r="AP265" i="27"/>
  <c r="BD265" i="27"/>
  <c r="BF265" i="27"/>
  <c r="BH265" i="27"/>
  <c r="AD265" i="27" s="1"/>
  <c r="BJ265" i="27"/>
  <c r="K266" i="27"/>
  <c r="Z266" i="27"/>
  <c r="AB266" i="27"/>
  <c r="AC266" i="27"/>
  <c r="AF266" i="27"/>
  <c r="AG266" i="27"/>
  <c r="AH266" i="27"/>
  <c r="AJ266" i="27"/>
  <c r="AK266" i="27"/>
  <c r="AL266" i="27"/>
  <c r="AO266" i="27"/>
  <c r="I266" i="27" s="1"/>
  <c r="AP266" i="27"/>
  <c r="J266" i="27" s="1"/>
  <c r="BD266" i="27"/>
  <c r="BF266" i="27"/>
  <c r="BH266" i="27"/>
  <c r="AD266" i="27" s="1"/>
  <c r="BJ266" i="27"/>
  <c r="K267" i="27"/>
  <c r="Z267" i="27"/>
  <c r="AB267" i="27"/>
  <c r="AC267" i="27"/>
  <c r="AF267" i="27"/>
  <c r="AG267" i="27"/>
  <c r="AH267" i="27"/>
  <c r="AJ267" i="27"/>
  <c r="AK267" i="27"/>
  <c r="AL267" i="27"/>
  <c r="AO267" i="27"/>
  <c r="AW267" i="27" s="1"/>
  <c r="AP267" i="27"/>
  <c r="J267" i="27" s="1"/>
  <c r="AX267" i="27"/>
  <c r="BD267" i="27"/>
  <c r="BF267" i="27"/>
  <c r="BI267" i="27"/>
  <c r="AE267" i="27" s="1"/>
  <c r="BJ267" i="27"/>
  <c r="K268" i="27"/>
  <c r="Z268" i="27"/>
  <c r="AB268" i="27"/>
  <c r="AC268" i="27"/>
  <c r="AF268" i="27"/>
  <c r="AG268" i="27"/>
  <c r="AH268" i="27"/>
  <c r="AJ268" i="27"/>
  <c r="AK268" i="27"/>
  <c r="AL268" i="27"/>
  <c r="AO268" i="27"/>
  <c r="I268" i="27" s="1"/>
  <c r="AP268" i="27"/>
  <c r="BD268" i="27"/>
  <c r="BF268" i="27"/>
  <c r="BH268" i="27"/>
  <c r="AD268" i="27" s="1"/>
  <c r="BI268" i="27"/>
  <c r="AE268" i="27" s="1"/>
  <c r="BJ268" i="27"/>
  <c r="K269" i="27"/>
  <c r="AK269" i="27" s="1"/>
  <c r="Z269" i="27"/>
  <c r="AB269" i="27"/>
  <c r="AC269" i="27"/>
  <c r="AF269" i="27"/>
  <c r="AG269" i="27"/>
  <c r="AH269" i="27"/>
  <c r="AJ269" i="27"/>
  <c r="AL269" i="27"/>
  <c r="AO269" i="27"/>
  <c r="AP269" i="27"/>
  <c r="BD269" i="27"/>
  <c r="BF269" i="27"/>
  <c r="BJ269" i="27"/>
  <c r="K270" i="27"/>
  <c r="Z270" i="27"/>
  <c r="AB270" i="27"/>
  <c r="AC270" i="27"/>
  <c r="AF270" i="27"/>
  <c r="AG270" i="27"/>
  <c r="AH270" i="27"/>
  <c r="AJ270" i="27"/>
  <c r="AK270" i="27"/>
  <c r="AL270" i="27"/>
  <c r="AO270" i="27"/>
  <c r="I270" i="27" s="1"/>
  <c r="AP270" i="27"/>
  <c r="AX270" i="27" s="1"/>
  <c r="BD270" i="27"/>
  <c r="BF270" i="27"/>
  <c r="BH270" i="27"/>
  <c r="AD270" i="27" s="1"/>
  <c r="BJ270" i="27"/>
  <c r="K271" i="27"/>
  <c r="Z271" i="27"/>
  <c r="AB271" i="27"/>
  <c r="AC271" i="27"/>
  <c r="AF271" i="27"/>
  <c r="AG271" i="27"/>
  <c r="AH271" i="27"/>
  <c r="AJ271" i="27"/>
  <c r="AK271" i="27"/>
  <c r="AL271" i="27"/>
  <c r="AO271" i="27"/>
  <c r="AP271" i="27"/>
  <c r="J271" i="27" s="1"/>
  <c r="BD271" i="27"/>
  <c r="BF271" i="27"/>
  <c r="BI271" i="27"/>
  <c r="AE271" i="27" s="1"/>
  <c r="BJ271" i="27"/>
  <c r="K272" i="27"/>
  <c r="Z272" i="27"/>
  <c r="AB272" i="27"/>
  <c r="AC272" i="27"/>
  <c r="AF272" i="27"/>
  <c r="AG272" i="27"/>
  <c r="AH272" i="27"/>
  <c r="AJ272" i="27"/>
  <c r="AK272" i="27"/>
  <c r="AL272" i="27"/>
  <c r="AO272" i="27"/>
  <c r="AP272" i="27"/>
  <c r="BD272" i="27"/>
  <c r="BF272" i="27"/>
  <c r="BJ272" i="27"/>
  <c r="K273" i="27"/>
  <c r="AK273" i="27" s="1"/>
  <c r="Z273" i="27"/>
  <c r="AB273" i="27"/>
  <c r="AC273" i="27"/>
  <c r="AF273" i="27"/>
  <c r="AG273" i="27"/>
  <c r="AH273" i="27"/>
  <c r="AJ273" i="27"/>
  <c r="AL273" i="27"/>
  <c r="AO273" i="27"/>
  <c r="BH273" i="27" s="1"/>
  <c r="AD273" i="27" s="1"/>
  <c r="AP273" i="27"/>
  <c r="J273" i="27" s="1"/>
  <c r="BD273" i="27"/>
  <c r="BF273" i="27"/>
  <c r="BJ273" i="27"/>
  <c r="K274" i="27"/>
  <c r="Z274" i="27"/>
  <c r="AB274" i="27"/>
  <c r="AC274" i="27"/>
  <c r="AF274" i="27"/>
  <c r="AG274" i="27"/>
  <c r="AH274" i="27"/>
  <c r="AJ274" i="27"/>
  <c r="AK274" i="27"/>
  <c r="AL274" i="27"/>
  <c r="AO274" i="27"/>
  <c r="I274" i="27" s="1"/>
  <c r="AP274" i="27"/>
  <c r="J274" i="27" s="1"/>
  <c r="AW274" i="27"/>
  <c r="BD274" i="27"/>
  <c r="BF274" i="27"/>
  <c r="BH274" i="27"/>
  <c r="AD274" i="27" s="1"/>
  <c r="BJ274" i="27"/>
  <c r="K275" i="27"/>
  <c r="Z275" i="27"/>
  <c r="AB275" i="27"/>
  <c r="AC275" i="27"/>
  <c r="AF275" i="27"/>
  <c r="AG275" i="27"/>
  <c r="AH275" i="27"/>
  <c r="AJ275" i="27"/>
  <c r="AK275" i="27"/>
  <c r="AL275" i="27"/>
  <c r="AO275" i="27"/>
  <c r="I275" i="27" s="1"/>
  <c r="AP275" i="27"/>
  <c r="BD275" i="27"/>
  <c r="BF275" i="27"/>
  <c r="BJ275" i="27"/>
  <c r="K276" i="27"/>
  <c r="Z276" i="27"/>
  <c r="AB276" i="27"/>
  <c r="AC276" i="27"/>
  <c r="AF276" i="27"/>
  <c r="AG276" i="27"/>
  <c r="AH276" i="27"/>
  <c r="AJ276" i="27"/>
  <c r="AK276" i="27"/>
  <c r="AL276" i="27"/>
  <c r="AO276" i="27"/>
  <c r="I276" i="27" s="1"/>
  <c r="AP276" i="27"/>
  <c r="BD276" i="27"/>
  <c r="BF276" i="27"/>
  <c r="BJ276" i="27"/>
  <c r="K277" i="27"/>
  <c r="AK277" i="27" s="1"/>
  <c r="Z277" i="27"/>
  <c r="AB277" i="27"/>
  <c r="AC277" i="27"/>
  <c r="AF277" i="27"/>
  <c r="AG277" i="27"/>
  <c r="AH277" i="27"/>
  <c r="AJ277" i="27"/>
  <c r="AL277" i="27"/>
  <c r="AO277" i="27"/>
  <c r="BH277" i="27" s="1"/>
  <c r="AD277" i="27" s="1"/>
  <c r="AP277" i="27"/>
  <c r="J277" i="27" s="1"/>
  <c r="BD277" i="27"/>
  <c r="BF277" i="27"/>
  <c r="BI277" i="27"/>
  <c r="AE277" i="27" s="1"/>
  <c r="BJ277" i="27"/>
  <c r="K278" i="27"/>
  <c r="Z278" i="27"/>
  <c r="AB278" i="27"/>
  <c r="AC278" i="27"/>
  <c r="AF278" i="27"/>
  <c r="AG278" i="27"/>
  <c r="AH278" i="27"/>
  <c r="AJ278" i="27"/>
  <c r="AK278" i="27"/>
  <c r="AL278" i="27"/>
  <c r="AO278" i="27"/>
  <c r="AP278" i="27"/>
  <c r="BD278" i="27"/>
  <c r="BF278" i="27"/>
  <c r="BJ278" i="27"/>
  <c r="K279" i="27"/>
  <c r="Z279" i="27"/>
  <c r="AB279" i="27"/>
  <c r="AC279" i="27"/>
  <c r="AF279" i="27"/>
  <c r="AG279" i="27"/>
  <c r="AH279" i="27"/>
  <c r="AJ279" i="27"/>
  <c r="AK279" i="27"/>
  <c r="AL279" i="27"/>
  <c r="AO279" i="27"/>
  <c r="AP279" i="27"/>
  <c r="BD279" i="27"/>
  <c r="BF279" i="27"/>
  <c r="BH279" i="27"/>
  <c r="AD279" i="27" s="1"/>
  <c r="BJ279" i="27"/>
  <c r="K280" i="27"/>
  <c r="AK280" i="27" s="1"/>
  <c r="Z280" i="27"/>
  <c r="AB280" i="27"/>
  <c r="AC280" i="27"/>
  <c r="AF280" i="27"/>
  <c r="AG280" i="27"/>
  <c r="AH280" i="27"/>
  <c r="AJ280" i="27"/>
  <c r="AL280" i="27"/>
  <c r="AO280" i="27"/>
  <c r="I280" i="27" s="1"/>
  <c r="AP280" i="27"/>
  <c r="BD280" i="27"/>
  <c r="BF280" i="27"/>
  <c r="BH280" i="27"/>
  <c r="AD280" i="27" s="1"/>
  <c r="BJ280" i="27"/>
  <c r="K281" i="27"/>
  <c r="AK281" i="27" s="1"/>
  <c r="Z281" i="27"/>
  <c r="AB281" i="27"/>
  <c r="AC281" i="27"/>
  <c r="AF281" i="27"/>
  <c r="AG281" i="27"/>
  <c r="AH281" i="27"/>
  <c r="AJ281" i="27"/>
  <c r="AL281" i="27"/>
  <c r="AO281" i="27"/>
  <c r="BH281" i="27" s="1"/>
  <c r="AD281" i="27" s="1"/>
  <c r="AP281" i="27"/>
  <c r="BD281" i="27"/>
  <c r="BF281" i="27"/>
  <c r="BJ281" i="27"/>
  <c r="K282" i="27"/>
  <c r="Z282" i="27"/>
  <c r="AB282" i="27"/>
  <c r="AC282" i="27"/>
  <c r="AF282" i="27"/>
  <c r="AG282" i="27"/>
  <c r="AH282" i="27"/>
  <c r="AJ282" i="27"/>
  <c r="AK282" i="27"/>
  <c r="AL282" i="27"/>
  <c r="AO282" i="27"/>
  <c r="I282" i="27" s="1"/>
  <c r="AP282" i="27"/>
  <c r="J282" i="27" s="1"/>
  <c r="BD282" i="27"/>
  <c r="BF282" i="27"/>
  <c r="BI282" i="27"/>
  <c r="AE282" i="27" s="1"/>
  <c r="BJ282" i="27"/>
  <c r="K283" i="27"/>
  <c r="Z283" i="27"/>
  <c r="AB283" i="27"/>
  <c r="AC283" i="27"/>
  <c r="AF283" i="27"/>
  <c r="AG283" i="27"/>
  <c r="AH283" i="27"/>
  <c r="AJ283" i="27"/>
  <c r="AK283" i="27"/>
  <c r="AL283" i="27"/>
  <c r="AO283" i="27"/>
  <c r="AP283" i="27"/>
  <c r="J283" i="27" s="1"/>
  <c r="BD283" i="27"/>
  <c r="BF283" i="27"/>
  <c r="BI283" i="27"/>
  <c r="AE283" i="27" s="1"/>
  <c r="BJ283" i="27"/>
  <c r="K284" i="27"/>
  <c r="Z284" i="27"/>
  <c r="AB284" i="27"/>
  <c r="AC284" i="27"/>
  <c r="AF284" i="27"/>
  <c r="AG284" i="27"/>
  <c r="AH284" i="27"/>
  <c r="AJ284" i="27"/>
  <c r="AK284" i="27"/>
  <c r="AL284" i="27"/>
  <c r="AO284" i="27"/>
  <c r="I284" i="27" s="1"/>
  <c r="AP284" i="27"/>
  <c r="BI284" i="27" s="1"/>
  <c r="AE284" i="27" s="1"/>
  <c r="BD284" i="27"/>
  <c r="BF284" i="27"/>
  <c r="BH284" i="27"/>
  <c r="AD284" i="27" s="1"/>
  <c r="BJ284" i="27"/>
  <c r="K285" i="27"/>
  <c r="AK285" i="27" s="1"/>
  <c r="Z285" i="27"/>
  <c r="AB285" i="27"/>
  <c r="AC285" i="27"/>
  <c r="AF285" i="27"/>
  <c r="AG285" i="27"/>
  <c r="AH285" i="27"/>
  <c r="AJ285" i="27"/>
  <c r="AL285" i="27"/>
  <c r="AO285" i="27"/>
  <c r="AP285" i="27"/>
  <c r="BD285" i="27"/>
  <c r="BF285" i="27"/>
  <c r="BH285" i="27"/>
  <c r="AD285" i="27" s="1"/>
  <c r="BJ285" i="27"/>
  <c r="K286" i="27"/>
  <c r="Z286" i="27"/>
  <c r="AB286" i="27"/>
  <c r="AC286" i="27"/>
  <c r="AF286" i="27"/>
  <c r="AG286" i="27"/>
  <c r="AH286" i="27"/>
  <c r="AJ286" i="27"/>
  <c r="AK286" i="27"/>
  <c r="AL286" i="27"/>
  <c r="AO286" i="27"/>
  <c r="AP286" i="27"/>
  <c r="BD286" i="27"/>
  <c r="BF286" i="27"/>
  <c r="BJ286" i="27"/>
  <c r="K287" i="27"/>
  <c r="Z287" i="27"/>
  <c r="AB287" i="27"/>
  <c r="AC287" i="27"/>
  <c r="AF287" i="27"/>
  <c r="AG287" i="27"/>
  <c r="AH287" i="27"/>
  <c r="AJ287" i="27"/>
  <c r="AK287" i="27"/>
  <c r="AL287" i="27"/>
  <c r="AO287" i="27"/>
  <c r="AW287" i="27" s="1"/>
  <c r="AP287" i="27"/>
  <c r="BD287" i="27"/>
  <c r="BF287" i="27"/>
  <c r="BH287" i="27"/>
  <c r="AD287" i="27" s="1"/>
  <c r="BJ287" i="27"/>
  <c r="K288" i="27"/>
  <c r="Z288" i="27"/>
  <c r="AB288" i="27"/>
  <c r="AC288" i="27"/>
  <c r="AF288" i="27"/>
  <c r="AG288" i="27"/>
  <c r="AH288" i="27"/>
  <c r="AJ288" i="27"/>
  <c r="AK288" i="27"/>
  <c r="AL288" i="27"/>
  <c r="AO288" i="27"/>
  <c r="I288" i="27" s="1"/>
  <c r="AP288" i="27"/>
  <c r="BD288" i="27"/>
  <c r="BF288" i="27"/>
  <c r="BH288" i="27"/>
  <c r="AD288" i="27" s="1"/>
  <c r="BI288" i="27"/>
  <c r="AE288" i="27" s="1"/>
  <c r="BJ288" i="27"/>
  <c r="K289" i="27"/>
  <c r="AK289" i="27" s="1"/>
  <c r="Z289" i="27"/>
  <c r="AB289" i="27"/>
  <c r="AC289" i="27"/>
  <c r="AF289" i="27"/>
  <c r="AG289" i="27"/>
  <c r="AH289" i="27"/>
  <c r="AJ289" i="27"/>
  <c r="AL289" i="27"/>
  <c r="AO289" i="27"/>
  <c r="BH289" i="27" s="1"/>
  <c r="AD289" i="27" s="1"/>
  <c r="AP289" i="27"/>
  <c r="BD289" i="27"/>
  <c r="BF289" i="27"/>
  <c r="BJ289" i="27"/>
  <c r="K290" i="27"/>
  <c r="Z290" i="27"/>
  <c r="AB290" i="27"/>
  <c r="AC290" i="27"/>
  <c r="AF290" i="27"/>
  <c r="AG290" i="27"/>
  <c r="AH290" i="27"/>
  <c r="AJ290" i="27"/>
  <c r="AK290" i="27"/>
  <c r="AL290" i="27"/>
  <c r="AO290" i="27"/>
  <c r="AP290" i="27"/>
  <c r="AX290" i="27" s="1"/>
  <c r="BD290" i="27"/>
  <c r="BF290" i="27"/>
  <c r="BJ290" i="27"/>
  <c r="K291" i="27"/>
  <c r="Z291" i="27"/>
  <c r="AB291" i="27"/>
  <c r="AC291" i="27"/>
  <c r="AF291" i="27"/>
  <c r="AG291" i="27"/>
  <c r="AH291" i="27"/>
  <c r="AJ291" i="27"/>
  <c r="AK291" i="27"/>
  <c r="AL291" i="27"/>
  <c r="AO291" i="27"/>
  <c r="I291" i="27" s="1"/>
  <c r="AP291" i="27"/>
  <c r="BD291" i="27"/>
  <c r="BF291" i="27"/>
  <c r="BJ291" i="27"/>
  <c r="K292" i="27"/>
  <c r="Z292" i="27"/>
  <c r="AB292" i="27"/>
  <c r="AC292" i="27"/>
  <c r="AF292" i="27"/>
  <c r="AG292" i="27"/>
  <c r="AH292" i="27"/>
  <c r="AJ292" i="27"/>
  <c r="AK292" i="27"/>
  <c r="AL292" i="27"/>
  <c r="AO292" i="27"/>
  <c r="I292" i="27" s="1"/>
  <c r="AP292" i="27"/>
  <c r="BD292" i="27"/>
  <c r="BF292" i="27"/>
  <c r="BH292" i="27"/>
  <c r="AD292" i="27" s="1"/>
  <c r="BI292" i="27"/>
  <c r="AE292" i="27" s="1"/>
  <c r="BJ292" i="27"/>
  <c r="K293" i="27"/>
  <c r="AK293" i="27" s="1"/>
  <c r="Z293" i="27"/>
  <c r="AB293" i="27"/>
  <c r="AC293" i="27"/>
  <c r="AF293" i="27"/>
  <c r="AG293" i="27"/>
  <c r="AH293" i="27"/>
  <c r="AJ293" i="27"/>
  <c r="AL293" i="27"/>
  <c r="AO293" i="27"/>
  <c r="BH293" i="27" s="1"/>
  <c r="AD293" i="27" s="1"/>
  <c r="AP293" i="27"/>
  <c r="BD293" i="27"/>
  <c r="BF293" i="27"/>
  <c r="BJ293" i="27"/>
  <c r="K294" i="27"/>
  <c r="Z294" i="27"/>
  <c r="AB294" i="27"/>
  <c r="AC294" i="27"/>
  <c r="AF294" i="27"/>
  <c r="AG294" i="27"/>
  <c r="AH294" i="27"/>
  <c r="AJ294" i="27"/>
  <c r="AK294" i="27"/>
  <c r="AL294" i="27"/>
  <c r="AO294" i="27"/>
  <c r="AP294" i="27"/>
  <c r="AX294" i="27" s="1"/>
  <c r="BD294" i="27"/>
  <c r="BF294" i="27"/>
  <c r="BI294" i="27"/>
  <c r="AE294" i="27" s="1"/>
  <c r="BJ294" i="27"/>
  <c r="K295" i="27"/>
  <c r="Z295" i="27"/>
  <c r="AB295" i="27"/>
  <c r="AC295" i="27"/>
  <c r="AF295" i="27"/>
  <c r="AG295" i="27"/>
  <c r="AH295" i="27"/>
  <c r="AJ295" i="27"/>
  <c r="AK295" i="27"/>
  <c r="AL295" i="27"/>
  <c r="AO295" i="27"/>
  <c r="AP295" i="27"/>
  <c r="J295" i="27" s="1"/>
  <c r="BD295" i="27"/>
  <c r="BF295" i="27"/>
  <c r="BJ295" i="27"/>
  <c r="K296" i="27"/>
  <c r="Z296" i="27"/>
  <c r="AB296" i="27"/>
  <c r="AC296" i="27"/>
  <c r="AF296" i="27"/>
  <c r="AG296" i="27"/>
  <c r="AH296" i="27"/>
  <c r="AJ296" i="27"/>
  <c r="AK296" i="27"/>
  <c r="AL296" i="27"/>
  <c r="AO296" i="27"/>
  <c r="I296" i="27" s="1"/>
  <c r="AP296" i="27"/>
  <c r="BD296" i="27"/>
  <c r="BF296" i="27"/>
  <c r="BH296" i="27"/>
  <c r="AD296" i="27" s="1"/>
  <c r="BI296" i="27"/>
  <c r="AE296" i="27" s="1"/>
  <c r="BJ296" i="27"/>
  <c r="K297" i="27"/>
  <c r="AK297" i="27" s="1"/>
  <c r="Z297" i="27"/>
  <c r="AB297" i="27"/>
  <c r="AC297" i="27"/>
  <c r="AF297" i="27"/>
  <c r="AG297" i="27"/>
  <c r="AH297" i="27"/>
  <c r="AJ297" i="27"/>
  <c r="AL297" i="27"/>
  <c r="AO297" i="27"/>
  <c r="AP297" i="27"/>
  <c r="BD297" i="27"/>
  <c r="BF297" i="27"/>
  <c r="BH297" i="27"/>
  <c r="AD297" i="27" s="1"/>
  <c r="BJ297" i="27"/>
  <c r="K298" i="27"/>
  <c r="Z298" i="27"/>
  <c r="AB298" i="27"/>
  <c r="AC298" i="27"/>
  <c r="AF298" i="27"/>
  <c r="AG298" i="27"/>
  <c r="AH298" i="27"/>
  <c r="AJ298" i="27"/>
  <c r="AK298" i="27"/>
  <c r="AL298" i="27"/>
  <c r="AO298" i="27"/>
  <c r="AP298" i="27"/>
  <c r="BD298" i="27"/>
  <c r="BF298" i="27"/>
  <c r="BJ298" i="27"/>
  <c r="K299" i="27"/>
  <c r="Z299" i="27"/>
  <c r="AB299" i="27"/>
  <c r="AC299" i="27"/>
  <c r="AF299" i="27"/>
  <c r="AG299" i="27"/>
  <c r="AH299" i="27"/>
  <c r="AJ299" i="27"/>
  <c r="AK299" i="27"/>
  <c r="AL299" i="27"/>
  <c r="AO299" i="27"/>
  <c r="AP299" i="27"/>
  <c r="J299" i="27" s="1"/>
  <c r="BD299" i="27"/>
  <c r="BF299" i="27"/>
  <c r="BJ299" i="27"/>
  <c r="K300" i="27"/>
  <c r="Z300" i="27"/>
  <c r="AB300" i="27"/>
  <c r="AC300" i="27"/>
  <c r="AF300" i="27"/>
  <c r="AG300" i="27"/>
  <c r="AH300" i="27"/>
  <c r="AJ300" i="27"/>
  <c r="AK300" i="27"/>
  <c r="AL300" i="27"/>
  <c r="AO300" i="27"/>
  <c r="I300" i="27" s="1"/>
  <c r="AP300" i="27"/>
  <c r="BD300" i="27"/>
  <c r="BF300" i="27"/>
  <c r="BH300" i="27"/>
  <c r="AD300" i="27" s="1"/>
  <c r="BI300" i="27"/>
  <c r="AE300" i="27" s="1"/>
  <c r="BJ300" i="27"/>
  <c r="K301" i="27"/>
  <c r="AK301" i="27" s="1"/>
  <c r="Z301" i="27"/>
  <c r="AB301" i="27"/>
  <c r="AC301" i="27"/>
  <c r="AF301" i="27"/>
  <c r="AG301" i="27"/>
  <c r="AH301" i="27"/>
  <c r="AJ301" i="27"/>
  <c r="AL301" i="27"/>
  <c r="AO301" i="27"/>
  <c r="BH301" i="27" s="1"/>
  <c r="AD301" i="27" s="1"/>
  <c r="AP301" i="27"/>
  <c r="J301" i="27" s="1"/>
  <c r="AX301" i="27"/>
  <c r="BD301" i="27"/>
  <c r="BF301" i="27"/>
  <c r="BI301" i="27"/>
  <c r="AE301" i="27" s="1"/>
  <c r="BJ301" i="27"/>
  <c r="K302" i="27"/>
  <c r="Z302" i="27"/>
  <c r="AB302" i="27"/>
  <c r="AC302" i="27"/>
  <c r="AF302" i="27"/>
  <c r="AG302" i="27"/>
  <c r="AH302" i="27"/>
  <c r="AJ302" i="27"/>
  <c r="AK302" i="27"/>
  <c r="AL302" i="27"/>
  <c r="AO302" i="27"/>
  <c r="I302" i="27" s="1"/>
  <c r="AP302" i="27"/>
  <c r="AW302" i="27"/>
  <c r="BD302" i="27"/>
  <c r="BF302" i="27"/>
  <c r="BH302" i="27"/>
  <c r="AD302" i="27" s="1"/>
  <c r="BJ302" i="27"/>
  <c r="K303" i="27"/>
  <c r="Z303" i="27"/>
  <c r="AB303" i="27"/>
  <c r="AC303" i="27"/>
  <c r="AF303" i="27"/>
  <c r="AG303" i="27"/>
  <c r="AH303" i="27"/>
  <c r="AJ303" i="27"/>
  <c r="AK303" i="27"/>
  <c r="AL303" i="27"/>
  <c r="AO303" i="27"/>
  <c r="I303" i="27" s="1"/>
  <c r="AP303" i="27"/>
  <c r="J303" i="27" s="1"/>
  <c r="BD303" i="27"/>
  <c r="BF303" i="27"/>
  <c r="BI303" i="27"/>
  <c r="AE303" i="27" s="1"/>
  <c r="BJ303" i="27"/>
  <c r="K304" i="27"/>
  <c r="Z304" i="27"/>
  <c r="AB304" i="27"/>
  <c r="AC304" i="27"/>
  <c r="AF304" i="27"/>
  <c r="AG304" i="27"/>
  <c r="AH304" i="27"/>
  <c r="AJ304" i="27"/>
  <c r="AK304" i="27"/>
  <c r="AL304" i="27"/>
  <c r="AO304" i="27"/>
  <c r="I304" i="27" s="1"/>
  <c r="AP304" i="27"/>
  <c r="BD304" i="27"/>
  <c r="BF304" i="27"/>
  <c r="BH304" i="27"/>
  <c r="AD304" i="27" s="1"/>
  <c r="BI304" i="27"/>
  <c r="AE304" i="27" s="1"/>
  <c r="BJ304" i="27"/>
  <c r="K305" i="27"/>
  <c r="AK305" i="27" s="1"/>
  <c r="Z305" i="27"/>
  <c r="AB305" i="27"/>
  <c r="AC305" i="27"/>
  <c r="AF305" i="27"/>
  <c r="AG305" i="27"/>
  <c r="AH305" i="27"/>
  <c r="AJ305" i="27"/>
  <c r="AL305" i="27"/>
  <c r="AO305" i="27"/>
  <c r="AP305" i="27"/>
  <c r="BD305" i="27"/>
  <c r="BF305" i="27"/>
  <c r="BI305" i="27"/>
  <c r="AE305" i="27" s="1"/>
  <c r="BJ305" i="27"/>
  <c r="K306" i="27"/>
  <c r="Z306" i="27"/>
  <c r="AB306" i="27"/>
  <c r="AC306" i="27"/>
  <c r="AF306" i="27"/>
  <c r="AG306" i="27"/>
  <c r="AH306" i="27"/>
  <c r="AJ306" i="27"/>
  <c r="AK306" i="27"/>
  <c r="AL306" i="27"/>
  <c r="AO306" i="27"/>
  <c r="I306" i="27" s="1"/>
  <c r="AP306" i="27"/>
  <c r="J306" i="27" s="1"/>
  <c r="AW306" i="27"/>
  <c r="BD306" i="27"/>
  <c r="BF306" i="27"/>
  <c r="BH306" i="27"/>
  <c r="AD306" i="27" s="1"/>
  <c r="BJ306" i="27"/>
  <c r="K307" i="27"/>
  <c r="Z307" i="27"/>
  <c r="AB307" i="27"/>
  <c r="AC307" i="27"/>
  <c r="AF307" i="27"/>
  <c r="AG307" i="27"/>
  <c r="AH307" i="27"/>
  <c r="AJ307" i="27"/>
  <c r="AK307" i="27"/>
  <c r="AL307" i="27"/>
  <c r="AO307" i="27"/>
  <c r="I307" i="27" s="1"/>
  <c r="AP307" i="27"/>
  <c r="J307" i="27" s="1"/>
  <c r="BD307" i="27"/>
  <c r="BF307" i="27"/>
  <c r="BJ307" i="27"/>
  <c r="K308" i="27"/>
  <c r="Z308" i="27"/>
  <c r="AB308" i="27"/>
  <c r="AC308" i="27"/>
  <c r="AF308" i="27"/>
  <c r="AG308" i="27"/>
  <c r="AH308" i="27"/>
  <c r="AJ308" i="27"/>
  <c r="AK308" i="27"/>
  <c r="AL308" i="27"/>
  <c r="AO308" i="27"/>
  <c r="I308" i="27" s="1"/>
  <c r="AP308" i="27"/>
  <c r="BD308" i="27"/>
  <c r="BF308" i="27"/>
  <c r="BJ308" i="27"/>
  <c r="K310" i="27"/>
  <c r="Z310" i="27"/>
  <c r="AB310" i="27"/>
  <c r="AC310" i="27"/>
  <c r="AF310" i="27"/>
  <c r="AG310" i="27"/>
  <c r="AH310" i="27"/>
  <c r="AJ310" i="27"/>
  <c r="AK310" i="27"/>
  <c r="AL310" i="27"/>
  <c r="AO310" i="27"/>
  <c r="AP310" i="27"/>
  <c r="J310" i="27" s="1"/>
  <c r="BD310" i="27"/>
  <c r="BF310" i="27"/>
  <c r="BI310" i="27"/>
  <c r="AE310" i="27" s="1"/>
  <c r="BJ310" i="27"/>
  <c r="K311" i="27"/>
  <c r="Z311" i="27"/>
  <c r="AB311" i="27"/>
  <c r="AC311" i="27"/>
  <c r="AF311" i="27"/>
  <c r="AG311" i="27"/>
  <c r="AH311" i="27"/>
  <c r="AJ311" i="27"/>
  <c r="AK311" i="27"/>
  <c r="AL311" i="27"/>
  <c r="AO311" i="27"/>
  <c r="AP311" i="27"/>
  <c r="J311" i="27" s="1"/>
  <c r="BD311" i="27"/>
  <c r="BF311" i="27"/>
  <c r="BJ311" i="27"/>
  <c r="K312" i="27"/>
  <c r="AK312" i="27" s="1"/>
  <c r="Z312" i="27"/>
  <c r="AB312" i="27"/>
  <c r="AC312" i="27"/>
  <c r="AF312" i="27"/>
  <c r="AG312" i="27"/>
  <c r="AH312" i="27"/>
  <c r="AJ312" i="27"/>
  <c r="AL312" i="27"/>
  <c r="AO312" i="27"/>
  <c r="I312" i="27" s="1"/>
  <c r="AP312" i="27"/>
  <c r="BD312" i="27"/>
  <c r="BF312" i="27"/>
  <c r="BH312" i="27"/>
  <c r="AD312" i="27" s="1"/>
  <c r="BI312" i="27"/>
  <c r="AE312" i="27" s="1"/>
  <c r="BJ312" i="27"/>
  <c r="K313" i="27"/>
  <c r="AK313" i="27" s="1"/>
  <c r="Z313" i="27"/>
  <c r="AB313" i="27"/>
  <c r="AC313" i="27"/>
  <c r="AF313" i="27"/>
  <c r="AG313" i="27"/>
  <c r="AH313" i="27"/>
  <c r="AJ313" i="27"/>
  <c r="AL313" i="27"/>
  <c r="AO313" i="27"/>
  <c r="BH313" i="27" s="1"/>
  <c r="AD313" i="27" s="1"/>
  <c r="AP313" i="27"/>
  <c r="BD313" i="27"/>
  <c r="BF313" i="27"/>
  <c r="BJ313" i="27"/>
  <c r="K314" i="27"/>
  <c r="Z314" i="27"/>
  <c r="AB314" i="27"/>
  <c r="AC314" i="27"/>
  <c r="AF314" i="27"/>
  <c r="AG314" i="27"/>
  <c r="AH314" i="27"/>
  <c r="AJ314" i="27"/>
  <c r="AK314" i="27"/>
  <c r="AL314" i="27"/>
  <c r="AO314" i="27"/>
  <c r="I314" i="27" s="1"/>
  <c r="AP314" i="27"/>
  <c r="AW314" i="27"/>
  <c r="BD314" i="27"/>
  <c r="BF314" i="27"/>
  <c r="BH314" i="27"/>
  <c r="AD314" i="27" s="1"/>
  <c r="BJ314" i="27"/>
  <c r="K315" i="27"/>
  <c r="Z315" i="27"/>
  <c r="AB315" i="27"/>
  <c r="AC315" i="27"/>
  <c r="AF315" i="27"/>
  <c r="AG315" i="27"/>
  <c r="AH315" i="27"/>
  <c r="AJ315" i="27"/>
  <c r="AK315" i="27"/>
  <c r="AL315" i="27"/>
  <c r="AO315" i="27"/>
  <c r="I315" i="27" s="1"/>
  <c r="AP315" i="27"/>
  <c r="J315" i="27" s="1"/>
  <c r="AW315" i="27"/>
  <c r="BD315" i="27"/>
  <c r="BF315" i="27"/>
  <c r="BI315" i="27"/>
  <c r="AE315" i="27" s="1"/>
  <c r="BJ315" i="27"/>
  <c r="K316" i="27"/>
  <c r="AK316" i="27" s="1"/>
  <c r="Z316" i="27"/>
  <c r="AB316" i="27"/>
  <c r="AC316" i="27"/>
  <c r="AF316" i="27"/>
  <c r="AG316" i="27"/>
  <c r="AH316" i="27"/>
  <c r="AJ316" i="27"/>
  <c r="AL316" i="27"/>
  <c r="AO316" i="27"/>
  <c r="I316" i="27" s="1"/>
  <c r="AP316" i="27"/>
  <c r="BI316" i="27" s="1"/>
  <c r="AE316" i="27" s="1"/>
  <c r="BD316" i="27"/>
  <c r="BF316" i="27"/>
  <c r="BH316" i="27"/>
  <c r="AD316" i="27" s="1"/>
  <c r="BJ316" i="27"/>
  <c r="K317" i="27"/>
  <c r="AK317" i="27" s="1"/>
  <c r="Z317" i="27"/>
  <c r="AB317" i="27"/>
  <c r="AC317" i="27"/>
  <c r="AF317" i="27"/>
  <c r="AG317" i="27"/>
  <c r="AH317" i="27"/>
  <c r="AJ317" i="27"/>
  <c r="AL317" i="27"/>
  <c r="AO317" i="27"/>
  <c r="AP317" i="27"/>
  <c r="BD317" i="27"/>
  <c r="BF317" i="27"/>
  <c r="BH317" i="27"/>
  <c r="AD317" i="27" s="1"/>
  <c r="BJ317" i="27"/>
  <c r="K318" i="27"/>
  <c r="Z318" i="27"/>
  <c r="AB318" i="27"/>
  <c r="AC318" i="27"/>
  <c r="AF318" i="27"/>
  <c r="AG318" i="27"/>
  <c r="AH318" i="27"/>
  <c r="AJ318" i="27"/>
  <c r="AK318" i="27"/>
  <c r="AL318" i="27"/>
  <c r="AO318" i="27"/>
  <c r="I318" i="27" s="1"/>
  <c r="AP318" i="27"/>
  <c r="AX318" i="27" s="1"/>
  <c r="BD318" i="27"/>
  <c r="BF318" i="27"/>
  <c r="BH318" i="27"/>
  <c r="AD318" i="27" s="1"/>
  <c r="BJ318" i="27"/>
  <c r="K319" i="27"/>
  <c r="Z319" i="27"/>
  <c r="AB319" i="27"/>
  <c r="AC319" i="27"/>
  <c r="AF319" i="27"/>
  <c r="AG319" i="27"/>
  <c r="AH319" i="27"/>
  <c r="AJ319" i="27"/>
  <c r="AK319" i="27"/>
  <c r="AL319" i="27"/>
  <c r="AO319" i="27"/>
  <c r="I319" i="27" s="1"/>
  <c r="AP319" i="27"/>
  <c r="J319" i="27" s="1"/>
  <c r="BD319" i="27"/>
  <c r="BF319" i="27"/>
  <c r="BI319" i="27"/>
  <c r="AE319" i="27" s="1"/>
  <c r="BJ319" i="27"/>
  <c r="K320" i="27"/>
  <c r="AK320" i="27" s="1"/>
  <c r="Z320" i="27"/>
  <c r="AB320" i="27"/>
  <c r="AC320" i="27"/>
  <c r="AF320" i="27"/>
  <c r="AG320" i="27"/>
  <c r="AH320" i="27"/>
  <c r="AJ320" i="27"/>
  <c r="AL320" i="27"/>
  <c r="AO320" i="27"/>
  <c r="I320" i="27" s="1"/>
  <c r="AP320" i="27"/>
  <c r="BI320" i="27" s="1"/>
  <c r="AE320" i="27" s="1"/>
  <c r="BD320" i="27"/>
  <c r="BF320" i="27"/>
  <c r="BH320" i="27"/>
  <c r="AD320" i="27" s="1"/>
  <c r="BJ320" i="27"/>
  <c r="K321" i="27"/>
  <c r="AK321" i="27" s="1"/>
  <c r="Z321" i="27"/>
  <c r="AB321" i="27"/>
  <c r="AC321" i="27"/>
  <c r="AF321" i="27"/>
  <c r="AG321" i="27"/>
  <c r="AH321" i="27"/>
  <c r="AJ321" i="27"/>
  <c r="AL321" i="27"/>
  <c r="AO321" i="27"/>
  <c r="AP321" i="27"/>
  <c r="J321" i="27" s="1"/>
  <c r="BD321" i="27"/>
  <c r="BF321" i="27"/>
  <c r="BH321" i="27"/>
  <c r="AD321" i="27" s="1"/>
  <c r="BJ321" i="27"/>
  <c r="K322" i="27"/>
  <c r="Z322" i="27"/>
  <c r="AB322" i="27"/>
  <c r="AC322" i="27"/>
  <c r="AF322" i="27"/>
  <c r="AG322" i="27"/>
  <c r="AH322" i="27"/>
  <c r="AJ322" i="27"/>
  <c r="AK322" i="27"/>
  <c r="AL322" i="27"/>
  <c r="AO322" i="27"/>
  <c r="I322" i="27" s="1"/>
  <c r="AP322" i="27"/>
  <c r="BD322" i="27"/>
  <c r="BF322" i="27"/>
  <c r="BH322" i="27"/>
  <c r="AD322" i="27" s="1"/>
  <c r="BJ322" i="27"/>
  <c r="K323" i="27"/>
  <c r="Z323" i="27"/>
  <c r="AB323" i="27"/>
  <c r="AC323" i="27"/>
  <c r="AF323" i="27"/>
  <c r="AG323" i="27"/>
  <c r="AH323" i="27"/>
  <c r="AJ323" i="27"/>
  <c r="AK323" i="27"/>
  <c r="AL323" i="27"/>
  <c r="AO323" i="27"/>
  <c r="I323" i="27" s="1"/>
  <c r="AP323" i="27"/>
  <c r="J323" i="27" s="1"/>
  <c r="AW323" i="27"/>
  <c r="BD323" i="27"/>
  <c r="BF323" i="27"/>
  <c r="BI323" i="27"/>
  <c r="AE323" i="27" s="1"/>
  <c r="BJ323" i="27"/>
  <c r="K324" i="27"/>
  <c r="Z324" i="27"/>
  <c r="AB324" i="27"/>
  <c r="AC324" i="27"/>
  <c r="AF324" i="27"/>
  <c r="AG324" i="27"/>
  <c r="AH324" i="27"/>
  <c r="AJ324" i="27"/>
  <c r="AK324" i="27"/>
  <c r="AL324" i="27"/>
  <c r="AO324" i="27"/>
  <c r="I324" i="27" s="1"/>
  <c r="AP324" i="27"/>
  <c r="BD324" i="27"/>
  <c r="BF324" i="27"/>
  <c r="BH324" i="27"/>
  <c r="AD324" i="27" s="1"/>
  <c r="BI324" i="27"/>
  <c r="AE324" i="27" s="1"/>
  <c r="BJ324" i="27"/>
  <c r="K325" i="27"/>
  <c r="AK325" i="27" s="1"/>
  <c r="Z325" i="27"/>
  <c r="AB325" i="27"/>
  <c r="AC325" i="27"/>
  <c r="AF325" i="27"/>
  <c r="AG325" i="27"/>
  <c r="AH325" i="27"/>
  <c r="AJ325" i="27"/>
  <c r="AL325" i="27"/>
  <c r="AO325" i="27"/>
  <c r="AP325" i="27"/>
  <c r="BD325" i="27"/>
  <c r="BF325" i="27"/>
  <c r="BJ325" i="27"/>
  <c r="K326" i="27"/>
  <c r="Z326" i="27"/>
  <c r="AB326" i="27"/>
  <c r="AC326" i="27"/>
  <c r="AF326" i="27"/>
  <c r="AG326" i="27"/>
  <c r="AH326" i="27"/>
  <c r="AJ326" i="27"/>
  <c r="AK326" i="27"/>
  <c r="AL326" i="27"/>
  <c r="AO326" i="27"/>
  <c r="I326" i="27" s="1"/>
  <c r="AP326" i="27"/>
  <c r="BD326" i="27"/>
  <c r="BF326" i="27"/>
  <c r="BH326" i="27"/>
  <c r="AD326" i="27" s="1"/>
  <c r="BJ326" i="27"/>
  <c r="K328" i="27"/>
  <c r="Z328" i="27"/>
  <c r="AB328" i="27"/>
  <c r="AC328" i="27"/>
  <c r="AF328" i="27"/>
  <c r="AG328" i="27"/>
  <c r="AH328" i="27"/>
  <c r="AJ328" i="27"/>
  <c r="AL328" i="27"/>
  <c r="AO328" i="27"/>
  <c r="AP328" i="27"/>
  <c r="BD328" i="27"/>
  <c r="BF328" i="27"/>
  <c r="BI328" i="27"/>
  <c r="AE328" i="27" s="1"/>
  <c r="BJ328" i="27"/>
  <c r="K329" i="27"/>
  <c r="Z329" i="27"/>
  <c r="AB329" i="27"/>
  <c r="AC329" i="27"/>
  <c r="AF329" i="27"/>
  <c r="AG329" i="27"/>
  <c r="AH329" i="27"/>
  <c r="AJ329" i="27"/>
  <c r="AK329" i="27"/>
  <c r="AL329" i="27"/>
  <c r="AO329" i="27"/>
  <c r="AP329" i="27"/>
  <c r="J329" i="27" s="1"/>
  <c r="AX329" i="27"/>
  <c r="BD329" i="27"/>
  <c r="BF329" i="27"/>
  <c r="BI329" i="27"/>
  <c r="AE329" i="27" s="1"/>
  <c r="BJ329" i="27"/>
  <c r="K330" i="27"/>
  <c r="Z330" i="27"/>
  <c r="AB330" i="27"/>
  <c r="AC330" i="27"/>
  <c r="AF330" i="27"/>
  <c r="AG330" i="27"/>
  <c r="AH330" i="27"/>
  <c r="AJ330" i="27"/>
  <c r="AK330" i="27"/>
  <c r="AL330" i="27"/>
  <c r="AO330" i="27"/>
  <c r="I330" i="27" s="1"/>
  <c r="AP330" i="27"/>
  <c r="J330" i="27" s="1"/>
  <c r="BD330" i="27"/>
  <c r="BF330" i="27"/>
  <c r="BJ330" i="27"/>
  <c r="K331" i="27"/>
  <c r="Z331" i="27"/>
  <c r="AB331" i="27"/>
  <c r="AC331" i="27"/>
  <c r="AF331" i="27"/>
  <c r="AG331" i="27"/>
  <c r="AH331" i="27"/>
  <c r="AJ331" i="27"/>
  <c r="AK331" i="27"/>
  <c r="AL331" i="27"/>
  <c r="AO331" i="27"/>
  <c r="I331" i="27" s="1"/>
  <c r="AP331" i="27"/>
  <c r="BD331" i="27"/>
  <c r="BF331" i="27"/>
  <c r="BH331" i="27"/>
  <c r="AD331" i="27" s="1"/>
  <c r="BJ331" i="27"/>
  <c r="K332" i="27"/>
  <c r="AK332" i="27" s="1"/>
  <c r="Z332" i="27"/>
  <c r="AB332" i="27"/>
  <c r="AC332" i="27"/>
  <c r="AF332" i="27"/>
  <c r="AG332" i="27"/>
  <c r="AH332" i="27"/>
  <c r="AJ332" i="27"/>
  <c r="AL332" i="27"/>
  <c r="AO332" i="27"/>
  <c r="BH332" i="27" s="1"/>
  <c r="AD332" i="27" s="1"/>
  <c r="AP332" i="27"/>
  <c r="BI332" i="27" s="1"/>
  <c r="AE332" i="27" s="1"/>
  <c r="BD332" i="27"/>
  <c r="BF332" i="27"/>
  <c r="BJ332" i="27"/>
  <c r="K333" i="27"/>
  <c r="AK333" i="27" s="1"/>
  <c r="Z333" i="27"/>
  <c r="AB333" i="27"/>
  <c r="AC333" i="27"/>
  <c r="AF333" i="27"/>
  <c r="AG333" i="27"/>
  <c r="AH333" i="27"/>
  <c r="AJ333" i="27"/>
  <c r="AL333" i="27"/>
  <c r="AO333" i="27"/>
  <c r="AP333" i="27"/>
  <c r="BD333" i="27"/>
  <c r="BF333" i="27"/>
  <c r="BJ333" i="27"/>
  <c r="K334" i="27"/>
  <c r="Z334" i="27"/>
  <c r="AB334" i="27"/>
  <c r="AC334" i="27"/>
  <c r="AF334" i="27"/>
  <c r="AG334" i="27"/>
  <c r="AH334" i="27"/>
  <c r="AJ334" i="27"/>
  <c r="AK334" i="27"/>
  <c r="AL334" i="27"/>
  <c r="AO334" i="27"/>
  <c r="I334" i="27" s="1"/>
  <c r="AP334" i="27"/>
  <c r="BD334" i="27"/>
  <c r="BF334" i="27"/>
  <c r="BJ334" i="27"/>
  <c r="K335" i="27"/>
  <c r="Z335" i="27"/>
  <c r="AB335" i="27"/>
  <c r="AC335" i="27"/>
  <c r="AF335" i="27"/>
  <c r="AG335" i="27"/>
  <c r="AH335" i="27"/>
  <c r="AJ335" i="27"/>
  <c r="AK335" i="27"/>
  <c r="AL335" i="27"/>
  <c r="AO335" i="27"/>
  <c r="AP335" i="27"/>
  <c r="BI335" i="27" s="1"/>
  <c r="AE335" i="27" s="1"/>
  <c r="BD335" i="27"/>
  <c r="BF335" i="27"/>
  <c r="BH335" i="27"/>
  <c r="AD335" i="27" s="1"/>
  <c r="BJ335" i="27"/>
  <c r="K336" i="27"/>
  <c r="AK336" i="27" s="1"/>
  <c r="Z336" i="27"/>
  <c r="AB336" i="27"/>
  <c r="AC336" i="27"/>
  <c r="AF336" i="27"/>
  <c r="AG336" i="27"/>
  <c r="AH336" i="27"/>
  <c r="AJ336" i="27"/>
  <c r="AL336" i="27"/>
  <c r="AO336" i="27"/>
  <c r="BH336" i="27" s="1"/>
  <c r="AD336" i="27" s="1"/>
  <c r="AP336" i="27"/>
  <c r="J336" i="27" s="1"/>
  <c r="BD336" i="27"/>
  <c r="BF336" i="27"/>
  <c r="BJ336" i="27"/>
  <c r="K337" i="27"/>
  <c r="Z337" i="27"/>
  <c r="AB337" i="27"/>
  <c r="AC337" i="27"/>
  <c r="AF337" i="27"/>
  <c r="AG337" i="27"/>
  <c r="AH337" i="27"/>
  <c r="AJ337" i="27"/>
  <c r="AK337" i="27"/>
  <c r="AL337" i="27"/>
  <c r="AO337" i="27"/>
  <c r="AP337" i="27"/>
  <c r="BD337" i="27"/>
  <c r="BF337" i="27"/>
  <c r="BH337" i="27"/>
  <c r="AD337" i="27" s="1"/>
  <c r="BJ337" i="27"/>
  <c r="K338" i="27"/>
  <c r="Z338" i="27"/>
  <c r="AB338" i="27"/>
  <c r="AC338" i="27"/>
  <c r="AF338" i="27"/>
  <c r="AG338" i="27"/>
  <c r="AH338" i="27"/>
  <c r="AJ338" i="27"/>
  <c r="AK338" i="27"/>
  <c r="AL338" i="27"/>
  <c r="AO338" i="27"/>
  <c r="AP338" i="27"/>
  <c r="BD338" i="27"/>
  <c r="BF338" i="27"/>
  <c r="BJ338" i="27"/>
  <c r="K339" i="27"/>
  <c r="Z339" i="27"/>
  <c r="AB339" i="27"/>
  <c r="AC339" i="27"/>
  <c r="AF339" i="27"/>
  <c r="AG339" i="27"/>
  <c r="AH339" i="27"/>
  <c r="AJ339" i="27"/>
  <c r="AK339" i="27"/>
  <c r="AL339" i="27"/>
  <c r="AO339" i="27"/>
  <c r="AP339" i="27"/>
  <c r="BD339" i="27"/>
  <c r="BF339" i="27"/>
  <c r="BJ339" i="27"/>
  <c r="K340" i="27"/>
  <c r="AK340" i="27" s="1"/>
  <c r="Z340" i="27"/>
  <c r="AB340" i="27"/>
  <c r="AC340" i="27"/>
  <c r="AF340" i="27"/>
  <c r="AG340" i="27"/>
  <c r="AH340" i="27"/>
  <c r="AJ340" i="27"/>
  <c r="AL340" i="27"/>
  <c r="AO340" i="27"/>
  <c r="BH340" i="27" s="1"/>
  <c r="AD340" i="27" s="1"/>
  <c r="AP340" i="27"/>
  <c r="J340" i="27" s="1"/>
  <c r="BD340" i="27"/>
  <c r="BF340" i="27"/>
  <c r="BI340" i="27"/>
  <c r="AE340" i="27" s="1"/>
  <c r="BJ340" i="27"/>
  <c r="K341" i="27"/>
  <c r="Z341" i="27"/>
  <c r="AB341" i="27"/>
  <c r="AC341" i="27"/>
  <c r="AF341" i="27"/>
  <c r="AG341" i="27"/>
  <c r="AH341" i="27"/>
  <c r="AJ341" i="27"/>
  <c r="AK341" i="27"/>
  <c r="AL341" i="27"/>
  <c r="AO341" i="27"/>
  <c r="AP341" i="27"/>
  <c r="J341" i="27" s="1"/>
  <c r="BD341" i="27"/>
  <c r="BF341" i="27"/>
  <c r="BI341" i="27"/>
  <c r="AE341" i="27" s="1"/>
  <c r="BJ341" i="27"/>
  <c r="K342" i="27"/>
  <c r="Z342" i="27"/>
  <c r="AB342" i="27"/>
  <c r="AC342" i="27"/>
  <c r="AF342" i="27"/>
  <c r="AG342" i="27"/>
  <c r="AH342" i="27"/>
  <c r="AJ342" i="27"/>
  <c r="AK342" i="27"/>
  <c r="AL342" i="27"/>
  <c r="AO342" i="27"/>
  <c r="AP342" i="27"/>
  <c r="J342" i="27" s="1"/>
  <c r="BD342" i="27"/>
  <c r="BF342" i="27"/>
  <c r="BI342" i="27"/>
  <c r="AE342" i="27" s="1"/>
  <c r="BJ342" i="27"/>
  <c r="K343" i="27"/>
  <c r="Z343" i="27"/>
  <c r="AB343" i="27"/>
  <c r="AC343" i="27"/>
  <c r="AF343" i="27"/>
  <c r="AG343" i="27"/>
  <c r="AH343" i="27"/>
  <c r="AJ343" i="27"/>
  <c r="AK343" i="27"/>
  <c r="AL343" i="27"/>
  <c r="AO343" i="27"/>
  <c r="AP343" i="27"/>
  <c r="BI343" i="27" s="1"/>
  <c r="AE343" i="27" s="1"/>
  <c r="BD343" i="27"/>
  <c r="BF343" i="27"/>
  <c r="BJ343" i="27"/>
  <c r="K344" i="27"/>
  <c r="AK344" i="27" s="1"/>
  <c r="Z344" i="27"/>
  <c r="AB344" i="27"/>
  <c r="AC344" i="27"/>
  <c r="AF344" i="27"/>
  <c r="AG344" i="27"/>
  <c r="AH344" i="27"/>
  <c r="AJ344" i="27"/>
  <c r="AL344" i="27"/>
  <c r="AO344" i="27"/>
  <c r="AP344" i="27"/>
  <c r="BD344" i="27"/>
  <c r="BF344" i="27"/>
  <c r="BJ344" i="27"/>
  <c r="K345" i="27"/>
  <c r="Z345" i="27"/>
  <c r="AB345" i="27"/>
  <c r="AC345" i="27"/>
  <c r="AF345" i="27"/>
  <c r="AG345" i="27"/>
  <c r="AH345" i="27"/>
  <c r="AJ345" i="27"/>
  <c r="AK345" i="27"/>
  <c r="AL345" i="27"/>
  <c r="AO345" i="27"/>
  <c r="AP345" i="27"/>
  <c r="BD345" i="27"/>
  <c r="BF345" i="27"/>
  <c r="BH345" i="27"/>
  <c r="AD345" i="27" s="1"/>
  <c r="BJ345" i="27"/>
  <c r="K346" i="27"/>
  <c r="Z346" i="27"/>
  <c r="AB346" i="27"/>
  <c r="AC346" i="27"/>
  <c r="AF346" i="27"/>
  <c r="AG346" i="27"/>
  <c r="AH346" i="27"/>
  <c r="AJ346" i="27"/>
  <c r="AK346" i="27"/>
  <c r="AL346" i="27"/>
  <c r="AO346" i="27"/>
  <c r="AW346" i="27" s="1"/>
  <c r="AP346" i="27"/>
  <c r="BD346" i="27"/>
  <c r="BF346" i="27"/>
  <c r="BH346" i="27"/>
  <c r="AD346" i="27" s="1"/>
  <c r="BJ346" i="27"/>
  <c r="K347" i="27"/>
  <c r="Z347" i="27"/>
  <c r="AB347" i="27"/>
  <c r="AC347" i="27"/>
  <c r="AF347" i="27"/>
  <c r="AG347" i="27"/>
  <c r="AH347" i="27"/>
  <c r="AJ347" i="27"/>
  <c r="AK347" i="27"/>
  <c r="AL347" i="27"/>
  <c r="AO347" i="27"/>
  <c r="I347" i="27" s="1"/>
  <c r="AP347" i="27"/>
  <c r="BD347" i="27"/>
  <c r="BF347" i="27"/>
  <c r="BJ347" i="27"/>
  <c r="K348" i="27"/>
  <c r="AK348" i="27" s="1"/>
  <c r="Z348" i="27"/>
  <c r="AB348" i="27"/>
  <c r="AC348" i="27"/>
  <c r="AF348" i="27"/>
  <c r="AG348" i="27"/>
  <c r="AH348" i="27"/>
  <c r="AJ348" i="27"/>
  <c r="AL348" i="27"/>
  <c r="AO348" i="27"/>
  <c r="BH348" i="27" s="1"/>
  <c r="AD348" i="27" s="1"/>
  <c r="AP348" i="27"/>
  <c r="BD348" i="27"/>
  <c r="BF348" i="27"/>
  <c r="BJ348" i="27"/>
  <c r="K349" i="27"/>
  <c r="Z349" i="27"/>
  <c r="AB349" i="27"/>
  <c r="AC349" i="27"/>
  <c r="AF349" i="27"/>
  <c r="AG349" i="27"/>
  <c r="AH349" i="27"/>
  <c r="AJ349" i="27"/>
  <c r="AK349" i="27"/>
  <c r="AL349" i="27"/>
  <c r="AO349" i="27"/>
  <c r="AP349" i="27"/>
  <c r="BD349" i="27"/>
  <c r="BF349" i="27"/>
  <c r="BH349" i="27"/>
  <c r="AD349" i="27" s="1"/>
  <c r="BJ349" i="27"/>
  <c r="K351" i="27"/>
  <c r="Z351" i="27"/>
  <c r="AB351" i="27"/>
  <c r="AC351" i="27"/>
  <c r="AF351" i="27"/>
  <c r="AG351" i="27"/>
  <c r="AH351" i="27"/>
  <c r="AJ351" i="27"/>
  <c r="AL351" i="27"/>
  <c r="AO351" i="27"/>
  <c r="AP351" i="27"/>
  <c r="BD351" i="27"/>
  <c r="BF351" i="27"/>
  <c r="BJ351" i="27"/>
  <c r="K352" i="27"/>
  <c r="Z352" i="27"/>
  <c r="AB352" i="27"/>
  <c r="AC352" i="27"/>
  <c r="AF352" i="27"/>
  <c r="AG352" i="27"/>
  <c r="AH352" i="27"/>
  <c r="AJ352" i="27"/>
  <c r="AK352" i="27"/>
  <c r="AL352" i="27"/>
  <c r="AO352" i="27"/>
  <c r="I352" i="27" s="1"/>
  <c r="AP352" i="27"/>
  <c r="AW352" i="27"/>
  <c r="BD352" i="27"/>
  <c r="BF352" i="27"/>
  <c r="BH352" i="27"/>
  <c r="AD352" i="27" s="1"/>
  <c r="BJ352" i="27"/>
  <c r="K353" i="27"/>
  <c r="Z353" i="27"/>
  <c r="AB353" i="27"/>
  <c r="AC353" i="27"/>
  <c r="AF353" i="27"/>
  <c r="AG353" i="27"/>
  <c r="AH353" i="27"/>
  <c r="AJ353" i="27"/>
  <c r="AK353" i="27"/>
  <c r="AL353" i="27"/>
  <c r="AO353" i="27"/>
  <c r="AP353" i="27"/>
  <c r="BD353" i="27"/>
  <c r="BF353" i="27"/>
  <c r="BJ353" i="27"/>
  <c r="K354" i="27"/>
  <c r="Z354" i="27"/>
  <c r="AB354" i="27"/>
  <c r="AC354" i="27"/>
  <c r="AF354" i="27"/>
  <c r="AG354" i="27"/>
  <c r="AH354" i="27"/>
  <c r="AJ354" i="27"/>
  <c r="AK354" i="27"/>
  <c r="AL354" i="27"/>
  <c r="AO354" i="27"/>
  <c r="I354" i="27" s="1"/>
  <c r="AP354" i="27"/>
  <c r="BI354" i="27" s="1"/>
  <c r="AE354" i="27" s="1"/>
  <c r="AW354" i="27"/>
  <c r="BD354" i="27"/>
  <c r="BF354" i="27"/>
  <c r="BH354" i="27"/>
  <c r="AD354" i="27" s="1"/>
  <c r="BJ354" i="27"/>
  <c r="K355" i="27"/>
  <c r="AK355" i="27" s="1"/>
  <c r="Z355" i="27"/>
  <c r="AB355" i="27"/>
  <c r="AC355" i="27"/>
  <c r="AF355" i="27"/>
  <c r="AG355" i="27"/>
  <c r="AH355" i="27"/>
  <c r="AJ355" i="27"/>
  <c r="AL355" i="27"/>
  <c r="AO355" i="27"/>
  <c r="AP355" i="27"/>
  <c r="BD355" i="27"/>
  <c r="BF355" i="27"/>
  <c r="BH355" i="27"/>
  <c r="AD355" i="27" s="1"/>
  <c r="BJ355" i="27"/>
  <c r="K356" i="27"/>
  <c r="Z356" i="27"/>
  <c r="AB356" i="27"/>
  <c r="AC356" i="27"/>
  <c r="AF356" i="27"/>
  <c r="AG356" i="27"/>
  <c r="AH356" i="27"/>
  <c r="AJ356" i="27"/>
  <c r="AK356" i="27"/>
  <c r="AL356" i="27"/>
  <c r="AO356" i="27"/>
  <c r="AP356" i="27"/>
  <c r="BD356" i="27"/>
  <c r="BF356" i="27"/>
  <c r="BJ356" i="27"/>
  <c r="K357" i="27"/>
  <c r="Z357" i="27"/>
  <c r="AB357" i="27"/>
  <c r="AC357" i="27"/>
  <c r="AF357" i="27"/>
  <c r="AG357" i="27"/>
  <c r="AH357" i="27"/>
  <c r="AJ357" i="27"/>
  <c r="AK357" i="27"/>
  <c r="AL357" i="27"/>
  <c r="AO357" i="27"/>
  <c r="AP357" i="27"/>
  <c r="BD357" i="27"/>
  <c r="BF357" i="27"/>
  <c r="BH357" i="27"/>
  <c r="AD357" i="27" s="1"/>
  <c r="BJ357" i="27"/>
  <c r="K358" i="27"/>
  <c r="Z358" i="27"/>
  <c r="AB358" i="27"/>
  <c r="AC358" i="27"/>
  <c r="AF358" i="27"/>
  <c r="AG358" i="27"/>
  <c r="AH358" i="27"/>
  <c r="AJ358" i="27"/>
  <c r="AK358" i="27"/>
  <c r="AL358" i="27"/>
  <c r="AO358" i="27"/>
  <c r="AP358" i="27"/>
  <c r="BD358" i="27"/>
  <c r="BF358" i="27"/>
  <c r="BJ358" i="27"/>
  <c r="K359" i="27"/>
  <c r="AK359" i="27" s="1"/>
  <c r="Z359" i="27"/>
  <c r="AB359" i="27"/>
  <c r="AC359" i="27"/>
  <c r="AF359" i="27"/>
  <c r="AG359" i="27"/>
  <c r="AH359" i="27"/>
  <c r="AJ359" i="27"/>
  <c r="AL359" i="27"/>
  <c r="AO359" i="27"/>
  <c r="BH359" i="27" s="1"/>
  <c r="AD359" i="27" s="1"/>
  <c r="AP359" i="27"/>
  <c r="BI359" i="27" s="1"/>
  <c r="AE359" i="27" s="1"/>
  <c r="BD359" i="27"/>
  <c r="BF359" i="27"/>
  <c r="BJ359" i="27"/>
  <c r="K360" i="27"/>
  <c r="Z360" i="27"/>
  <c r="AB360" i="27"/>
  <c r="AC360" i="27"/>
  <c r="AF360" i="27"/>
  <c r="AG360" i="27"/>
  <c r="AH360" i="27"/>
  <c r="AJ360" i="27"/>
  <c r="AK360" i="27"/>
  <c r="AL360" i="27"/>
  <c r="AO360" i="27"/>
  <c r="AP360" i="27"/>
  <c r="BD360" i="27"/>
  <c r="BF360" i="27"/>
  <c r="BJ360" i="27"/>
  <c r="K361" i="27"/>
  <c r="Z361" i="27"/>
  <c r="AB361" i="27"/>
  <c r="AC361" i="27"/>
  <c r="AF361" i="27"/>
  <c r="AG361" i="27"/>
  <c r="AH361" i="27"/>
  <c r="AJ361" i="27"/>
  <c r="AK361" i="27"/>
  <c r="AL361" i="27"/>
  <c r="AO361" i="27"/>
  <c r="AP361" i="27"/>
  <c r="BD361" i="27"/>
  <c r="BF361" i="27"/>
  <c r="BH361" i="27"/>
  <c r="AD361" i="27" s="1"/>
  <c r="BJ361" i="27"/>
  <c r="K362" i="27"/>
  <c r="Z362" i="27"/>
  <c r="AB362" i="27"/>
  <c r="AC362" i="27"/>
  <c r="AF362" i="27"/>
  <c r="AG362" i="27"/>
  <c r="AH362" i="27"/>
  <c r="AJ362" i="27"/>
  <c r="AK362" i="27"/>
  <c r="AL362" i="27"/>
  <c r="AO362" i="27"/>
  <c r="I362" i="27" s="1"/>
  <c r="AP362" i="27"/>
  <c r="BI362" i="27" s="1"/>
  <c r="AE362" i="27" s="1"/>
  <c r="BD362" i="27"/>
  <c r="BF362" i="27"/>
  <c r="BJ362" i="27"/>
  <c r="K363" i="27"/>
  <c r="AK363" i="27" s="1"/>
  <c r="Z363" i="27"/>
  <c r="AB363" i="27"/>
  <c r="AC363" i="27"/>
  <c r="AF363" i="27"/>
  <c r="AG363" i="27"/>
  <c r="AH363" i="27"/>
  <c r="AJ363" i="27"/>
  <c r="AL363" i="27"/>
  <c r="AO363" i="27"/>
  <c r="AP363" i="27"/>
  <c r="J363" i="27" s="1"/>
  <c r="BD363" i="27"/>
  <c r="BF363" i="27"/>
  <c r="BH363" i="27"/>
  <c r="AD363" i="27" s="1"/>
  <c r="BJ363" i="27"/>
  <c r="K364" i="27"/>
  <c r="Z364" i="27"/>
  <c r="AB364" i="27"/>
  <c r="AC364" i="27"/>
  <c r="AF364" i="27"/>
  <c r="AG364" i="27"/>
  <c r="AH364" i="27"/>
  <c r="AJ364" i="27"/>
  <c r="AK364" i="27"/>
  <c r="AL364" i="27"/>
  <c r="AO364" i="27"/>
  <c r="I364" i="27" s="1"/>
  <c r="AP364" i="27"/>
  <c r="AX364" i="27" s="1"/>
  <c r="BD364" i="27"/>
  <c r="BF364" i="27"/>
  <c r="BJ364" i="27"/>
  <c r="K365" i="27"/>
  <c r="Z365" i="27"/>
  <c r="AB365" i="27"/>
  <c r="AC365" i="27"/>
  <c r="AF365" i="27"/>
  <c r="AG365" i="27"/>
  <c r="AH365" i="27"/>
  <c r="AJ365" i="27"/>
  <c r="AK365" i="27"/>
  <c r="AL365" i="27"/>
  <c r="AO365" i="27"/>
  <c r="AP365" i="27"/>
  <c r="BD365" i="27"/>
  <c r="BF365" i="27"/>
  <c r="BJ365" i="27"/>
  <c r="K366" i="27"/>
  <c r="Z366" i="27"/>
  <c r="AB366" i="27"/>
  <c r="AC366" i="27"/>
  <c r="AF366" i="27"/>
  <c r="AG366" i="27"/>
  <c r="AH366" i="27"/>
  <c r="AJ366" i="27"/>
  <c r="AK366" i="27"/>
  <c r="AL366" i="27"/>
  <c r="AO366" i="27"/>
  <c r="AP366" i="27"/>
  <c r="BD366" i="27"/>
  <c r="BF366" i="27"/>
  <c r="BJ366" i="27"/>
  <c r="K367" i="27"/>
  <c r="AK367" i="27" s="1"/>
  <c r="Z367" i="27"/>
  <c r="AB367" i="27"/>
  <c r="AC367" i="27"/>
  <c r="AF367" i="27"/>
  <c r="AG367" i="27"/>
  <c r="AH367" i="27"/>
  <c r="AJ367" i="27"/>
  <c r="AL367" i="27"/>
  <c r="AO367" i="27"/>
  <c r="BH367" i="27" s="1"/>
  <c r="AD367" i="27" s="1"/>
  <c r="AP367" i="27"/>
  <c r="BD367" i="27"/>
  <c r="BF367" i="27"/>
  <c r="BJ367" i="27"/>
  <c r="K368" i="27"/>
  <c r="Z368" i="27"/>
  <c r="AB368" i="27"/>
  <c r="AC368" i="27"/>
  <c r="AF368" i="27"/>
  <c r="AG368" i="27"/>
  <c r="AH368" i="27"/>
  <c r="AJ368" i="27"/>
  <c r="AK368" i="27"/>
  <c r="AL368" i="27"/>
  <c r="AO368" i="27"/>
  <c r="I368" i="27" s="1"/>
  <c r="AP368" i="27"/>
  <c r="BD368" i="27"/>
  <c r="BF368" i="27"/>
  <c r="BH368" i="27"/>
  <c r="AD368" i="27" s="1"/>
  <c r="BJ368" i="27"/>
  <c r="K369" i="27"/>
  <c r="Z369" i="27"/>
  <c r="AB369" i="27"/>
  <c r="AC369" i="27"/>
  <c r="AF369" i="27"/>
  <c r="AG369" i="27"/>
  <c r="AH369" i="27"/>
  <c r="AJ369" i="27"/>
  <c r="AK369" i="27"/>
  <c r="AL369" i="27"/>
  <c r="AO369" i="27"/>
  <c r="I369" i="27" s="1"/>
  <c r="AP369" i="27"/>
  <c r="J369" i="27" s="1"/>
  <c r="AW369" i="27"/>
  <c r="BD369" i="27"/>
  <c r="BF369" i="27"/>
  <c r="BH369" i="27"/>
  <c r="AD369" i="27" s="1"/>
  <c r="BJ369" i="27"/>
  <c r="K370" i="27"/>
  <c r="Z370" i="27"/>
  <c r="AB370" i="27"/>
  <c r="AC370" i="27"/>
  <c r="AF370" i="27"/>
  <c r="AG370" i="27"/>
  <c r="AH370" i="27"/>
  <c r="AJ370" i="27"/>
  <c r="AK370" i="27"/>
  <c r="AL370" i="27"/>
  <c r="AO370" i="27"/>
  <c r="I370" i="27" s="1"/>
  <c r="AP370" i="27"/>
  <c r="BI370" i="27" s="1"/>
  <c r="AE370" i="27" s="1"/>
  <c r="AW370" i="27"/>
  <c r="BD370" i="27"/>
  <c r="BF370" i="27"/>
  <c r="BH370" i="27"/>
  <c r="AD370" i="27" s="1"/>
  <c r="BJ370" i="27"/>
  <c r="K371" i="27"/>
  <c r="AK371" i="27" s="1"/>
  <c r="Z371" i="27"/>
  <c r="AB371" i="27"/>
  <c r="AC371" i="27"/>
  <c r="AF371" i="27"/>
  <c r="AG371" i="27"/>
  <c r="AH371" i="27"/>
  <c r="AJ371" i="27"/>
  <c r="AL371" i="27"/>
  <c r="AO371" i="27"/>
  <c r="AP371" i="27"/>
  <c r="BI371" i="27" s="1"/>
  <c r="AE371" i="27" s="1"/>
  <c r="BD371" i="27"/>
  <c r="BF371" i="27"/>
  <c r="BJ371" i="27"/>
  <c r="K372" i="27"/>
  <c r="Z372" i="27"/>
  <c r="AB372" i="27"/>
  <c r="AC372" i="27"/>
  <c r="AF372" i="27"/>
  <c r="AG372" i="27"/>
  <c r="AH372" i="27"/>
  <c r="AJ372" i="27"/>
  <c r="AK372" i="27"/>
  <c r="AL372" i="27"/>
  <c r="AO372" i="27"/>
  <c r="I372" i="27" s="1"/>
  <c r="AP372" i="27"/>
  <c r="AX372" i="27" s="1"/>
  <c r="AW372" i="27"/>
  <c r="BD372" i="27"/>
  <c r="BF372" i="27"/>
  <c r="BI372" i="27"/>
  <c r="AE372" i="27" s="1"/>
  <c r="BJ372" i="27"/>
  <c r="K373" i="27"/>
  <c r="Z373" i="27"/>
  <c r="AB373" i="27"/>
  <c r="AC373" i="27"/>
  <c r="AF373" i="27"/>
  <c r="AG373" i="27"/>
  <c r="AH373" i="27"/>
  <c r="AJ373" i="27"/>
  <c r="AK373" i="27"/>
  <c r="AL373" i="27"/>
  <c r="AO373" i="27"/>
  <c r="AP373" i="27"/>
  <c r="J373" i="27" s="1"/>
  <c r="BD373" i="27"/>
  <c r="BF373" i="27"/>
  <c r="BH373" i="27"/>
  <c r="AD373" i="27" s="1"/>
  <c r="BI373" i="27"/>
  <c r="AE373" i="27" s="1"/>
  <c r="BJ373" i="27"/>
  <c r="K374" i="27"/>
  <c r="AK374" i="27" s="1"/>
  <c r="Z374" i="27"/>
  <c r="AB374" i="27"/>
  <c r="AC374" i="27"/>
  <c r="AF374" i="27"/>
  <c r="AG374" i="27"/>
  <c r="AH374" i="27"/>
  <c r="AJ374" i="27"/>
  <c r="AL374" i="27"/>
  <c r="AO374" i="27"/>
  <c r="I374" i="27" s="1"/>
  <c r="AP374" i="27"/>
  <c r="BI374" i="27" s="1"/>
  <c r="AE374" i="27" s="1"/>
  <c r="BD374" i="27"/>
  <c r="BF374" i="27"/>
  <c r="BH374" i="27"/>
  <c r="AD374" i="27" s="1"/>
  <c r="BJ374" i="27"/>
  <c r="K375" i="27"/>
  <c r="AK375" i="27" s="1"/>
  <c r="Z375" i="27"/>
  <c r="AB375" i="27"/>
  <c r="AC375" i="27"/>
  <c r="AF375" i="27"/>
  <c r="AG375" i="27"/>
  <c r="AH375" i="27"/>
  <c r="AJ375" i="27"/>
  <c r="AL375" i="27"/>
  <c r="AO375" i="27"/>
  <c r="BH375" i="27" s="1"/>
  <c r="AD375" i="27" s="1"/>
  <c r="AP375" i="27"/>
  <c r="J375" i="27" s="1"/>
  <c r="BD375" i="27"/>
  <c r="BF375" i="27"/>
  <c r="BJ375" i="27"/>
  <c r="K376" i="27"/>
  <c r="Z376" i="27"/>
  <c r="AB376" i="27"/>
  <c r="AC376" i="27"/>
  <c r="AF376" i="27"/>
  <c r="AG376" i="27"/>
  <c r="AH376" i="27"/>
  <c r="AJ376" i="27"/>
  <c r="AK376" i="27"/>
  <c r="AL376" i="27"/>
  <c r="AO376" i="27"/>
  <c r="AP376" i="27"/>
  <c r="AX376" i="27" s="1"/>
  <c r="BD376" i="27"/>
  <c r="BF376" i="27"/>
  <c r="BJ376" i="27"/>
  <c r="K377" i="27"/>
  <c r="Z377" i="27"/>
  <c r="AB377" i="27"/>
  <c r="AC377" i="27"/>
  <c r="AF377" i="27"/>
  <c r="AG377" i="27"/>
  <c r="AH377" i="27"/>
  <c r="AJ377" i="27"/>
  <c r="AK377" i="27"/>
  <c r="AL377" i="27"/>
  <c r="AO377" i="27"/>
  <c r="AP377" i="27"/>
  <c r="J377" i="27" s="1"/>
  <c r="BD377" i="27"/>
  <c r="BF377" i="27"/>
  <c r="BH377" i="27"/>
  <c r="AD377" i="27" s="1"/>
  <c r="BJ377" i="27"/>
  <c r="K378" i="27"/>
  <c r="AK378" i="27" s="1"/>
  <c r="Z378" i="27"/>
  <c r="AB378" i="27"/>
  <c r="AC378" i="27"/>
  <c r="AF378" i="27"/>
  <c r="AG378" i="27"/>
  <c r="AH378" i="27"/>
  <c r="AJ378" i="27"/>
  <c r="AL378" i="27"/>
  <c r="AO378" i="27"/>
  <c r="I378" i="27" s="1"/>
  <c r="AP378" i="27"/>
  <c r="BI378" i="27" s="1"/>
  <c r="AE378" i="27" s="1"/>
  <c r="BD378" i="27"/>
  <c r="BF378" i="27"/>
  <c r="BH378" i="27"/>
  <c r="AD378" i="27" s="1"/>
  <c r="BJ378" i="27"/>
  <c r="K380" i="27"/>
  <c r="Z380" i="27"/>
  <c r="AB380" i="27"/>
  <c r="AC380" i="27"/>
  <c r="AF380" i="27"/>
  <c r="AG380" i="27"/>
  <c r="AH380" i="27"/>
  <c r="AJ380" i="27"/>
  <c r="AK380" i="27"/>
  <c r="AL380" i="27"/>
  <c r="AO380" i="27"/>
  <c r="AP380" i="27"/>
  <c r="J380" i="27" s="1"/>
  <c r="BD380" i="27"/>
  <c r="BF380" i="27"/>
  <c r="BH380" i="27"/>
  <c r="AD380" i="27" s="1"/>
  <c r="BJ380" i="27"/>
  <c r="K381" i="27"/>
  <c r="AK381" i="27" s="1"/>
  <c r="Z381" i="27"/>
  <c r="AB381" i="27"/>
  <c r="AC381" i="27"/>
  <c r="AF381" i="27"/>
  <c r="AG381" i="27"/>
  <c r="AH381" i="27"/>
  <c r="AJ381" i="27"/>
  <c r="AL381" i="27"/>
  <c r="AO381" i="27"/>
  <c r="I381" i="27" s="1"/>
  <c r="AP381" i="27"/>
  <c r="BD381" i="27"/>
  <c r="BF381" i="27"/>
  <c r="BH381" i="27"/>
  <c r="AD381" i="27" s="1"/>
  <c r="BI381" i="27"/>
  <c r="AE381" i="27" s="1"/>
  <c r="BJ381" i="27"/>
  <c r="J382" i="27"/>
  <c r="K382" i="27"/>
  <c r="AK382" i="27" s="1"/>
  <c r="Z382" i="27"/>
  <c r="AB382" i="27"/>
  <c r="AC382" i="27"/>
  <c r="AF382" i="27"/>
  <c r="AG382" i="27"/>
  <c r="AH382" i="27"/>
  <c r="AJ382" i="27"/>
  <c r="AL382" i="27"/>
  <c r="AO382" i="27"/>
  <c r="BH382" i="27" s="1"/>
  <c r="AD382" i="27" s="1"/>
  <c r="AP382" i="27"/>
  <c r="AX382" i="27"/>
  <c r="BD382" i="27"/>
  <c r="BF382" i="27"/>
  <c r="BI382" i="27"/>
  <c r="AE382" i="27" s="1"/>
  <c r="BJ382" i="27"/>
  <c r="K383" i="27"/>
  <c r="Z383" i="27"/>
  <c r="AB383" i="27"/>
  <c r="AC383" i="27"/>
  <c r="AF383" i="27"/>
  <c r="AG383" i="27"/>
  <c r="AH383" i="27"/>
  <c r="AJ383" i="27"/>
  <c r="AK383" i="27"/>
  <c r="AL383" i="27"/>
  <c r="AO383" i="27"/>
  <c r="I383" i="27" s="1"/>
  <c r="AP383" i="27"/>
  <c r="J383" i="27" s="1"/>
  <c r="BD383" i="27"/>
  <c r="BF383" i="27"/>
  <c r="BI383" i="27"/>
  <c r="AE383" i="27" s="1"/>
  <c r="BJ383" i="27"/>
  <c r="K384" i="27"/>
  <c r="Z384" i="27"/>
  <c r="AB384" i="27"/>
  <c r="AC384" i="27"/>
  <c r="AF384" i="27"/>
  <c r="AG384" i="27"/>
  <c r="AH384" i="27"/>
  <c r="AJ384" i="27"/>
  <c r="AK384" i="27"/>
  <c r="AL384" i="27"/>
  <c r="AO384" i="27"/>
  <c r="AP384" i="27"/>
  <c r="J384" i="27" s="1"/>
  <c r="BD384" i="27"/>
  <c r="BF384" i="27"/>
  <c r="BJ384" i="27"/>
  <c r="K385" i="27"/>
  <c r="AK385" i="27" s="1"/>
  <c r="Z385" i="27"/>
  <c r="AB385" i="27"/>
  <c r="AC385" i="27"/>
  <c r="AF385" i="27"/>
  <c r="AG385" i="27"/>
  <c r="AH385" i="27"/>
  <c r="AJ385" i="27"/>
  <c r="AL385" i="27"/>
  <c r="AO385" i="27"/>
  <c r="I385" i="27" s="1"/>
  <c r="AP385" i="27"/>
  <c r="BI385" i="27" s="1"/>
  <c r="AE385" i="27" s="1"/>
  <c r="BD385" i="27"/>
  <c r="BF385" i="27"/>
  <c r="BH385" i="27"/>
  <c r="AD385" i="27" s="1"/>
  <c r="BJ385" i="27"/>
  <c r="K386" i="27"/>
  <c r="AK386" i="27" s="1"/>
  <c r="Z386" i="27"/>
  <c r="AB386" i="27"/>
  <c r="AC386" i="27"/>
  <c r="AF386" i="27"/>
  <c r="AG386" i="27"/>
  <c r="AH386" i="27"/>
  <c r="AJ386" i="27"/>
  <c r="AL386" i="27"/>
  <c r="AO386" i="27"/>
  <c r="BH386" i="27" s="1"/>
  <c r="AD386" i="27" s="1"/>
  <c r="AP386" i="27"/>
  <c r="BD386" i="27"/>
  <c r="BF386" i="27"/>
  <c r="BJ386" i="27"/>
  <c r="K387" i="27"/>
  <c r="Z387" i="27"/>
  <c r="AB387" i="27"/>
  <c r="AC387" i="27"/>
  <c r="AF387" i="27"/>
  <c r="AG387" i="27"/>
  <c r="AH387" i="27"/>
  <c r="AJ387" i="27"/>
  <c r="AK387" i="27"/>
  <c r="AL387" i="27"/>
  <c r="AO387" i="27"/>
  <c r="AP387" i="27"/>
  <c r="J387" i="27" s="1"/>
  <c r="BD387" i="27"/>
  <c r="BF387" i="27"/>
  <c r="BJ387" i="27"/>
  <c r="K388" i="27"/>
  <c r="Z388" i="27"/>
  <c r="AB388" i="27"/>
  <c r="AC388" i="27"/>
  <c r="AF388" i="27"/>
  <c r="AG388" i="27"/>
  <c r="AH388" i="27"/>
  <c r="AJ388" i="27"/>
  <c r="AK388" i="27"/>
  <c r="AL388" i="27"/>
  <c r="AO388" i="27"/>
  <c r="I388" i="27" s="1"/>
  <c r="AP388" i="27"/>
  <c r="J388" i="27" s="1"/>
  <c r="AW388" i="27"/>
  <c r="BD388" i="27"/>
  <c r="BF388" i="27"/>
  <c r="BI388" i="27"/>
  <c r="AE388" i="27" s="1"/>
  <c r="BJ388" i="27"/>
  <c r="K389" i="27"/>
  <c r="AK389" i="27" s="1"/>
  <c r="Z389" i="27"/>
  <c r="AB389" i="27"/>
  <c r="AC389" i="27"/>
  <c r="AF389" i="27"/>
  <c r="AG389" i="27"/>
  <c r="AH389" i="27"/>
  <c r="AJ389" i="27"/>
  <c r="AL389" i="27"/>
  <c r="AO389" i="27"/>
  <c r="I389" i="27" s="1"/>
  <c r="AP389" i="27"/>
  <c r="BD389" i="27"/>
  <c r="BF389" i="27"/>
  <c r="BH389" i="27"/>
  <c r="AD389" i="27" s="1"/>
  <c r="BI389" i="27"/>
  <c r="AE389" i="27" s="1"/>
  <c r="BJ389" i="27"/>
  <c r="K390" i="27"/>
  <c r="AK390" i="27" s="1"/>
  <c r="Z390" i="27"/>
  <c r="AB390" i="27"/>
  <c r="AC390" i="27"/>
  <c r="AF390" i="27"/>
  <c r="AG390" i="27"/>
  <c r="AH390" i="27"/>
  <c r="AJ390" i="27"/>
  <c r="AL390" i="27"/>
  <c r="AO390" i="27"/>
  <c r="BH390" i="27" s="1"/>
  <c r="AD390" i="27" s="1"/>
  <c r="AP390" i="27"/>
  <c r="BD390" i="27"/>
  <c r="BF390" i="27"/>
  <c r="BJ390" i="27"/>
  <c r="K391" i="27"/>
  <c r="Z391" i="27"/>
  <c r="AB391" i="27"/>
  <c r="AC391" i="27"/>
  <c r="AF391" i="27"/>
  <c r="AG391" i="27"/>
  <c r="AH391" i="27"/>
  <c r="AJ391" i="27"/>
  <c r="AK391" i="27"/>
  <c r="AL391" i="27"/>
  <c r="AO391" i="27"/>
  <c r="I391" i="27" s="1"/>
  <c r="AP391" i="27"/>
  <c r="BD391" i="27"/>
  <c r="BF391" i="27"/>
  <c r="BJ391" i="27"/>
  <c r="K392" i="27"/>
  <c r="Z392" i="27"/>
  <c r="AB392" i="27"/>
  <c r="AC392" i="27"/>
  <c r="AF392" i="27"/>
  <c r="AG392" i="27"/>
  <c r="AH392" i="27"/>
  <c r="AJ392" i="27"/>
  <c r="AK392" i="27"/>
  <c r="AL392" i="27"/>
  <c r="AO392" i="27"/>
  <c r="AW392" i="27" s="1"/>
  <c r="AP392" i="27"/>
  <c r="J392" i="27" s="1"/>
  <c r="BD392" i="27"/>
  <c r="BF392" i="27"/>
  <c r="BH392" i="27"/>
  <c r="AD392" i="27" s="1"/>
  <c r="BI392" i="27"/>
  <c r="AE392" i="27" s="1"/>
  <c r="BJ392" i="27"/>
  <c r="K393" i="27"/>
  <c r="Z393" i="27"/>
  <c r="AB393" i="27"/>
  <c r="AC393" i="27"/>
  <c r="AF393" i="27"/>
  <c r="AG393" i="27"/>
  <c r="AH393" i="27"/>
  <c r="AJ393" i="27"/>
  <c r="AK393" i="27"/>
  <c r="AL393" i="27"/>
  <c r="AO393" i="27"/>
  <c r="I393" i="27" s="1"/>
  <c r="AP393" i="27"/>
  <c r="BI393" i="27" s="1"/>
  <c r="AE393" i="27" s="1"/>
  <c r="BD393" i="27"/>
  <c r="BF393" i="27"/>
  <c r="BH393" i="27"/>
  <c r="AD393" i="27" s="1"/>
  <c r="BJ393" i="27"/>
  <c r="K394" i="27"/>
  <c r="AK394" i="27" s="1"/>
  <c r="Z394" i="27"/>
  <c r="AB394" i="27"/>
  <c r="AC394" i="27"/>
  <c r="AF394" i="27"/>
  <c r="AG394" i="27"/>
  <c r="AH394" i="27"/>
  <c r="AJ394" i="27"/>
  <c r="AL394" i="27"/>
  <c r="AO394" i="27"/>
  <c r="AP394" i="27"/>
  <c r="BD394" i="27"/>
  <c r="BF394" i="27"/>
  <c r="BH394" i="27"/>
  <c r="AD394" i="27" s="1"/>
  <c r="BJ394" i="27"/>
  <c r="K395" i="27"/>
  <c r="Z395" i="27"/>
  <c r="AB395" i="27"/>
  <c r="AC395" i="27"/>
  <c r="AF395" i="27"/>
  <c r="AG395" i="27"/>
  <c r="AH395" i="27"/>
  <c r="AJ395" i="27"/>
  <c r="AK395" i="27"/>
  <c r="AL395" i="27"/>
  <c r="AO395" i="27"/>
  <c r="I395" i="27" s="1"/>
  <c r="AP395" i="27"/>
  <c r="AW395" i="27"/>
  <c r="BD395" i="27"/>
  <c r="BF395" i="27"/>
  <c r="BH395" i="27"/>
  <c r="AD395" i="27" s="1"/>
  <c r="BJ395" i="27"/>
  <c r="K396" i="27"/>
  <c r="Z396" i="27"/>
  <c r="AB396" i="27"/>
  <c r="AC396" i="27"/>
  <c r="AF396" i="27"/>
  <c r="AG396" i="27"/>
  <c r="AH396" i="27"/>
  <c r="AJ396" i="27"/>
  <c r="AK396" i="27"/>
  <c r="AL396" i="27"/>
  <c r="AO396" i="27"/>
  <c r="I396" i="27" s="1"/>
  <c r="AP396" i="27"/>
  <c r="J396" i="27" s="1"/>
  <c r="BD396" i="27"/>
  <c r="BF396" i="27"/>
  <c r="BJ396" i="27"/>
  <c r="K397" i="27"/>
  <c r="Z397" i="27"/>
  <c r="AB397" i="27"/>
  <c r="AC397" i="27"/>
  <c r="AF397" i="27"/>
  <c r="AG397" i="27"/>
  <c r="AH397" i="27"/>
  <c r="AJ397" i="27"/>
  <c r="AK397" i="27"/>
  <c r="AL397" i="27"/>
  <c r="AO397" i="27"/>
  <c r="AP397" i="27"/>
  <c r="BI397" i="27" s="1"/>
  <c r="AE397" i="27" s="1"/>
  <c r="BD397" i="27"/>
  <c r="BF397" i="27"/>
  <c r="BH397" i="27"/>
  <c r="AD397" i="27" s="1"/>
  <c r="BJ397" i="27"/>
  <c r="K398" i="27"/>
  <c r="AK398" i="27" s="1"/>
  <c r="Z398" i="27"/>
  <c r="AB398" i="27"/>
  <c r="AC398" i="27"/>
  <c r="AF398" i="27"/>
  <c r="AG398" i="27"/>
  <c r="AH398" i="27"/>
  <c r="AJ398" i="27"/>
  <c r="AL398" i="27"/>
  <c r="AO398" i="27"/>
  <c r="BH398" i="27" s="1"/>
  <c r="AD398" i="27" s="1"/>
  <c r="AP398" i="27"/>
  <c r="J398" i="27" s="1"/>
  <c r="BD398" i="27"/>
  <c r="BF398" i="27"/>
  <c r="BJ398" i="27"/>
  <c r="K399" i="27"/>
  <c r="Z399" i="27"/>
  <c r="AB399" i="27"/>
  <c r="AC399" i="27"/>
  <c r="AF399" i="27"/>
  <c r="AG399" i="27"/>
  <c r="AH399" i="27"/>
  <c r="AJ399" i="27"/>
  <c r="AK399" i="27"/>
  <c r="AL399" i="27"/>
  <c r="AO399" i="27"/>
  <c r="AP399" i="27"/>
  <c r="BD399" i="27"/>
  <c r="BF399" i="27"/>
  <c r="BJ399" i="27"/>
  <c r="K400" i="27"/>
  <c r="Z400" i="27"/>
  <c r="AB400" i="27"/>
  <c r="AC400" i="27"/>
  <c r="AF400" i="27"/>
  <c r="AG400" i="27"/>
  <c r="AH400" i="27"/>
  <c r="AJ400" i="27"/>
  <c r="AK400" i="27"/>
  <c r="AL400" i="27"/>
  <c r="AO400" i="27"/>
  <c r="AP400" i="27"/>
  <c r="J400" i="27" s="1"/>
  <c r="BD400" i="27"/>
  <c r="BF400" i="27"/>
  <c r="BJ400" i="27"/>
  <c r="K401" i="27"/>
  <c r="Z401" i="27"/>
  <c r="AB401" i="27"/>
  <c r="AC401" i="27"/>
  <c r="AF401" i="27"/>
  <c r="AG401" i="27"/>
  <c r="AH401" i="27"/>
  <c r="AJ401" i="27"/>
  <c r="AK401" i="27"/>
  <c r="AL401" i="27"/>
  <c r="AO401" i="27"/>
  <c r="AP401" i="27"/>
  <c r="BI401" i="27" s="1"/>
  <c r="AE401" i="27" s="1"/>
  <c r="BD401" i="27"/>
  <c r="BF401" i="27"/>
  <c r="BH401" i="27"/>
  <c r="AD401" i="27" s="1"/>
  <c r="BJ401" i="27"/>
  <c r="K402" i="27"/>
  <c r="AK402" i="27" s="1"/>
  <c r="Z402" i="27"/>
  <c r="AB402" i="27"/>
  <c r="AC402" i="27"/>
  <c r="AF402" i="27"/>
  <c r="AG402" i="27"/>
  <c r="AH402" i="27"/>
  <c r="AJ402" i="27"/>
  <c r="AL402" i="27"/>
  <c r="AO402" i="27"/>
  <c r="BH402" i="27" s="1"/>
  <c r="AD402" i="27" s="1"/>
  <c r="AP402" i="27"/>
  <c r="J402" i="27" s="1"/>
  <c r="BD402" i="27"/>
  <c r="BF402" i="27"/>
  <c r="BI402" i="27"/>
  <c r="AE402" i="27" s="1"/>
  <c r="BJ402" i="27"/>
  <c r="K403" i="27"/>
  <c r="Z403" i="27"/>
  <c r="AB403" i="27"/>
  <c r="AC403" i="27"/>
  <c r="AF403" i="27"/>
  <c r="AG403" i="27"/>
  <c r="AH403" i="27"/>
  <c r="AJ403" i="27"/>
  <c r="AK403" i="27"/>
  <c r="AL403" i="27"/>
  <c r="AO403" i="27"/>
  <c r="AP403" i="27"/>
  <c r="J403" i="27" s="1"/>
  <c r="BD403" i="27"/>
  <c r="BF403" i="27"/>
  <c r="BI403" i="27"/>
  <c r="AE403" i="27" s="1"/>
  <c r="BJ403" i="27"/>
  <c r="K404" i="27"/>
  <c r="Z404" i="27"/>
  <c r="AB404" i="27"/>
  <c r="AC404" i="27"/>
  <c r="AF404" i="27"/>
  <c r="AG404" i="27"/>
  <c r="AH404" i="27"/>
  <c r="AJ404" i="27"/>
  <c r="AK404" i="27"/>
  <c r="AL404" i="27"/>
  <c r="AO404" i="27"/>
  <c r="AW404" i="27" s="1"/>
  <c r="AP404" i="27"/>
  <c r="BD404" i="27"/>
  <c r="BF404" i="27"/>
  <c r="BH404" i="27"/>
  <c r="AD404" i="27" s="1"/>
  <c r="BJ404" i="27"/>
  <c r="K405" i="27"/>
  <c r="Z405" i="27"/>
  <c r="AB405" i="27"/>
  <c r="AC405" i="27"/>
  <c r="AF405" i="27"/>
  <c r="AG405" i="27"/>
  <c r="AH405" i="27"/>
  <c r="AJ405" i="27"/>
  <c r="AK405" i="27"/>
  <c r="AL405" i="27"/>
  <c r="AO405" i="27"/>
  <c r="I405" i="27" s="1"/>
  <c r="AP405" i="27"/>
  <c r="BD405" i="27"/>
  <c r="BF405" i="27"/>
  <c r="BJ405" i="27"/>
  <c r="K406" i="27"/>
  <c r="AK406" i="27" s="1"/>
  <c r="Z406" i="27"/>
  <c r="AB406" i="27"/>
  <c r="AC406" i="27"/>
  <c r="AF406" i="27"/>
  <c r="AG406" i="27"/>
  <c r="AH406" i="27"/>
  <c r="AJ406" i="27"/>
  <c r="AL406" i="27"/>
  <c r="AO406" i="27"/>
  <c r="AP406" i="27"/>
  <c r="J406" i="27" s="1"/>
  <c r="BD406" i="27"/>
  <c r="BF406" i="27"/>
  <c r="BH406" i="27"/>
  <c r="AD406" i="27" s="1"/>
  <c r="BJ406" i="27"/>
  <c r="K407" i="27"/>
  <c r="Z407" i="27"/>
  <c r="AB407" i="27"/>
  <c r="AC407" i="27"/>
  <c r="AF407" i="27"/>
  <c r="AG407" i="27"/>
  <c r="AH407" i="27"/>
  <c r="AJ407" i="27"/>
  <c r="AK407" i="27"/>
  <c r="AL407" i="27"/>
  <c r="AO407" i="27"/>
  <c r="I407" i="27" s="1"/>
  <c r="AP407" i="27"/>
  <c r="AX407" i="27" s="1"/>
  <c r="BD407" i="27"/>
  <c r="BF407" i="27"/>
  <c r="BJ407" i="27"/>
  <c r="K408" i="27"/>
  <c r="Z408" i="27"/>
  <c r="AB408" i="27"/>
  <c r="AC408" i="27"/>
  <c r="AF408" i="27"/>
  <c r="AG408" i="27"/>
  <c r="AH408" i="27"/>
  <c r="AJ408" i="27"/>
  <c r="AK408" i="27"/>
  <c r="AL408" i="27"/>
  <c r="AO408" i="27"/>
  <c r="AP408" i="27"/>
  <c r="J408" i="27" s="1"/>
  <c r="BD408" i="27"/>
  <c r="BF408" i="27"/>
  <c r="BJ408" i="27"/>
  <c r="K409" i="27"/>
  <c r="Z409" i="27"/>
  <c r="AB409" i="27"/>
  <c r="AC409" i="27"/>
  <c r="AF409" i="27"/>
  <c r="AG409" i="27"/>
  <c r="AH409" i="27"/>
  <c r="AJ409" i="27"/>
  <c r="AK409" i="27"/>
  <c r="AL409" i="27"/>
  <c r="AO409" i="27"/>
  <c r="I409" i="27" s="1"/>
  <c r="AP409" i="27"/>
  <c r="BI409" i="27" s="1"/>
  <c r="AE409" i="27" s="1"/>
  <c r="BD409" i="27"/>
  <c r="BF409" i="27"/>
  <c r="BH409" i="27"/>
  <c r="AD409" i="27" s="1"/>
  <c r="BJ409" i="27"/>
  <c r="K410" i="27"/>
  <c r="AK410" i="27" s="1"/>
  <c r="Z410" i="27"/>
  <c r="AB410" i="27"/>
  <c r="AC410" i="27"/>
  <c r="AF410" i="27"/>
  <c r="AG410" i="27"/>
  <c r="AH410" i="27"/>
  <c r="AJ410" i="27"/>
  <c r="AL410" i="27"/>
  <c r="AO410" i="27"/>
  <c r="AP410" i="27"/>
  <c r="J410" i="27" s="1"/>
  <c r="BD410" i="27"/>
  <c r="BF410" i="27"/>
  <c r="BH410" i="27"/>
  <c r="AD410" i="27" s="1"/>
  <c r="BJ410" i="27"/>
  <c r="K411" i="27"/>
  <c r="Z411" i="27"/>
  <c r="AB411" i="27"/>
  <c r="AC411" i="27"/>
  <c r="AF411" i="27"/>
  <c r="AG411" i="27"/>
  <c r="AH411" i="27"/>
  <c r="AJ411" i="27"/>
  <c r="AK411" i="27"/>
  <c r="AL411" i="27"/>
  <c r="AO411" i="27"/>
  <c r="AP411" i="27"/>
  <c r="J411" i="27" s="1"/>
  <c r="BD411" i="27"/>
  <c r="BF411" i="27"/>
  <c r="BJ411" i="27"/>
  <c r="K412" i="27"/>
  <c r="Z412" i="27"/>
  <c r="AB412" i="27"/>
  <c r="AC412" i="27"/>
  <c r="AF412" i="27"/>
  <c r="AG412" i="27"/>
  <c r="AH412" i="27"/>
  <c r="AJ412" i="27"/>
  <c r="AK412" i="27"/>
  <c r="AL412" i="27"/>
  <c r="AO412" i="27"/>
  <c r="I412" i="27" s="1"/>
  <c r="AP412" i="27"/>
  <c r="BD412" i="27"/>
  <c r="BF412" i="27"/>
  <c r="BJ412" i="27"/>
  <c r="K413" i="27"/>
  <c r="Z413" i="27"/>
  <c r="AB413" i="27"/>
  <c r="AC413" i="27"/>
  <c r="AF413" i="27"/>
  <c r="AG413" i="27"/>
  <c r="AH413" i="27"/>
  <c r="AJ413" i="27"/>
  <c r="AK413" i="27"/>
  <c r="AL413" i="27"/>
  <c r="AO413" i="27"/>
  <c r="I413" i="27" s="1"/>
  <c r="AP413" i="27"/>
  <c r="BD413" i="27"/>
  <c r="BF413" i="27"/>
  <c r="BJ413" i="27"/>
  <c r="K414" i="27"/>
  <c r="AK414" i="27" s="1"/>
  <c r="Z414" i="27"/>
  <c r="AB414" i="27"/>
  <c r="AC414" i="27"/>
  <c r="AF414" i="27"/>
  <c r="AG414" i="27"/>
  <c r="AH414" i="27"/>
  <c r="AJ414" i="27"/>
  <c r="AL414" i="27"/>
  <c r="AO414" i="27"/>
  <c r="BH414" i="27" s="1"/>
  <c r="AD414" i="27" s="1"/>
  <c r="AP414" i="27"/>
  <c r="J414" i="27" s="1"/>
  <c r="AX414" i="27"/>
  <c r="BD414" i="27"/>
  <c r="BF414" i="27"/>
  <c r="BI414" i="27"/>
  <c r="AE414" i="27" s="1"/>
  <c r="BJ414" i="27"/>
  <c r="K415" i="27"/>
  <c r="Z415" i="27"/>
  <c r="AB415" i="27"/>
  <c r="AC415" i="27"/>
  <c r="AF415" i="27"/>
  <c r="AG415" i="27"/>
  <c r="AH415" i="27"/>
  <c r="AJ415" i="27"/>
  <c r="AK415" i="27"/>
  <c r="AL415" i="27"/>
  <c r="AO415" i="27"/>
  <c r="I415" i="27" s="1"/>
  <c r="AP415" i="27"/>
  <c r="J415" i="27" s="1"/>
  <c r="AW415" i="27"/>
  <c r="BD415" i="27"/>
  <c r="BF415" i="27"/>
  <c r="BH415" i="27"/>
  <c r="AD415" i="27" s="1"/>
  <c r="BJ415" i="27"/>
  <c r="K416" i="27"/>
  <c r="Z416" i="27"/>
  <c r="AB416" i="27"/>
  <c r="AC416" i="27"/>
  <c r="AF416" i="27"/>
  <c r="AG416" i="27"/>
  <c r="AH416" i="27"/>
  <c r="AJ416" i="27"/>
  <c r="AK416" i="27"/>
  <c r="AL416" i="27"/>
  <c r="AO416" i="27"/>
  <c r="AP416" i="27"/>
  <c r="J416" i="27" s="1"/>
  <c r="BD416" i="27"/>
  <c r="BF416" i="27"/>
  <c r="BI416" i="27"/>
  <c r="AE416" i="27" s="1"/>
  <c r="BJ416" i="27"/>
  <c r="K417" i="27"/>
  <c r="Z417" i="27"/>
  <c r="AB417" i="27"/>
  <c r="AC417" i="27"/>
  <c r="AF417" i="27"/>
  <c r="AG417" i="27"/>
  <c r="AH417" i="27"/>
  <c r="AJ417" i="27"/>
  <c r="AK417" i="27"/>
  <c r="AL417" i="27"/>
  <c r="AO417" i="27"/>
  <c r="I417" i="27" s="1"/>
  <c r="AP417" i="27"/>
  <c r="BI417" i="27" s="1"/>
  <c r="AE417" i="27" s="1"/>
  <c r="BD417" i="27"/>
  <c r="BF417" i="27"/>
  <c r="BJ417" i="27"/>
  <c r="K419" i="27"/>
  <c r="Z419" i="27"/>
  <c r="AB419" i="27"/>
  <c r="AC419" i="27"/>
  <c r="AF419" i="27"/>
  <c r="AG419" i="27"/>
  <c r="AH419" i="27"/>
  <c r="AJ419" i="27"/>
  <c r="AK419" i="27"/>
  <c r="AL419" i="27"/>
  <c r="AO419" i="27"/>
  <c r="AP419" i="27"/>
  <c r="J419" i="27" s="1"/>
  <c r="BD419" i="27"/>
  <c r="BF419" i="27"/>
  <c r="BH419" i="27"/>
  <c r="AD419" i="27" s="1"/>
  <c r="BI419" i="27"/>
  <c r="AE419" i="27" s="1"/>
  <c r="BJ419" i="27"/>
  <c r="K420" i="27"/>
  <c r="Z420" i="27"/>
  <c r="AB420" i="27"/>
  <c r="AC420" i="27"/>
  <c r="AF420" i="27"/>
  <c r="AG420" i="27"/>
  <c r="AH420" i="27"/>
  <c r="AJ420" i="27"/>
  <c r="AK420" i="27"/>
  <c r="AL420" i="27"/>
  <c r="AO420" i="27"/>
  <c r="I420" i="27" s="1"/>
  <c r="AP420" i="27"/>
  <c r="BD420" i="27"/>
  <c r="BF420" i="27"/>
  <c r="BH420" i="27"/>
  <c r="AD420" i="27" s="1"/>
  <c r="BI420" i="27"/>
  <c r="AE420" i="27" s="1"/>
  <c r="BJ420" i="27"/>
  <c r="K421" i="27"/>
  <c r="AK421" i="27" s="1"/>
  <c r="Z421" i="27"/>
  <c r="AB421" i="27"/>
  <c r="AC421" i="27"/>
  <c r="AF421" i="27"/>
  <c r="AG421" i="27"/>
  <c r="AH421" i="27"/>
  <c r="AJ421" i="27"/>
  <c r="AL421" i="27"/>
  <c r="AO421" i="27"/>
  <c r="AP421" i="27"/>
  <c r="J421" i="27" s="1"/>
  <c r="AX421" i="27"/>
  <c r="BD421" i="27"/>
  <c r="BF421" i="27"/>
  <c r="BI421" i="27"/>
  <c r="AE421" i="27" s="1"/>
  <c r="BJ421" i="27"/>
  <c r="K422" i="27"/>
  <c r="Z422" i="27"/>
  <c r="AB422" i="27"/>
  <c r="AC422" i="27"/>
  <c r="AF422" i="27"/>
  <c r="AG422" i="27"/>
  <c r="AH422" i="27"/>
  <c r="AJ422" i="27"/>
  <c r="AK422" i="27"/>
  <c r="AL422" i="27"/>
  <c r="AO422" i="27"/>
  <c r="AP422" i="27"/>
  <c r="BD422" i="27"/>
  <c r="BF422" i="27"/>
  <c r="BH422" i="27"/>
  <c r="AD422" i="27" s="1"/>
  <c r="BJ422" i="27"/>
  <c r="K423" i="27"/>
  <c r="Z423" i="27"/>
  <c r="AB423" i="27"/>
  <c r="AC423" i="27"/>
  <c r="AF423" i="27"/>
  <c r="AG423" i="27"/>
  <c r="AH423" i="27"/>
  <c r="AJ423" i="27"/>
  <c r="AK423" i="27"/>
  <c r="AL423" i="27"/>
  <c r="AO423" i="27"/>
  <c r="AW423" i="27" s="1"/>
  <c r="AP423" i="27"/>
  <c r="BD423" i="27"/>
  <c r="BF423" i="27"/>
  <c r="BJ423" i="27"/>
  <c r="K424" i="27"/>
  <c r="Z424" i="27"/>
  <c r="AB424" i="27"/>
  <c r="AC424" i="27"/>
  <c r="AF424" i="27"/>
  <c r="AG424" i="27"/>
  <c r="AH424" i="27"/>
  <c r="AJ424" i="27"/>
  <c r="AK424" i="27"/>
  <c r="AL424" i="27"/>
  <c r="AO424" i="27"/>
  <c r="I424" i="27" s="1"/>
  <c r="AP424" i="27"/>
  <c r="BD424" i="27"/>
  <c r="BF424" i="27"/>
  <c r="BI424" i="27"/>
  <c r="AE424" i="27" s="1"/>
  <c r="BJ424" i="27"/>
  <c r="K425" i="27"/>
  <c r="AK425" i="27" s="1"/>
  <c r="Z425" i="27"/>
  <c r="AB425" i="27"/>
  <c r="AC425" i="27"/>
  <c r="AF425" i="27"/>
  <c r="AG425" i="27"/>
  <c r="AH425" i="27"/>
  <c r="AJ425" i="27"/>
  <c r="AL425" i="27"/>
  <c r="AO425" i="27"/>
  <c r="BH425" i="27" s="1"/>
  <c r="AD425" i="27" s="1"/>
  <c r="AP425" i="27"/>
  <c r="BD425" i="27"/>
  <c r="BF425" i="27"/>
  <c r="BI425" i="27"/>
  <c r="AE425" i="27" s="1"/>
  <c r="BJ425" i="27"/>
  <c r="K426" i="27"/>
  <c r="Z426" i="27"/>
  <c r="AB426" i="27"/>
  <c r="AC426" i="27"/>
  <c r="AF426" i="27"/>
  <c r="AG426" i="27"/>
  <c r="AH426" i="27"/>
  <c r="AJ426" i="27"/>
  <c r="AK426" i="27"/>
  <c r="AL426" i="27"/>
  <c r="AO426" i="27"/>
  <c r="AP426" i="27"/>
  <c r="AX426" i="27" s="1"/>
  <c r="BD426" i="27"/>
  <c r="BF426" i="27"/>
  <c r="BJ426" i="27"/>
  <c r="K427" i="27"/>
  <c r="Z427" i="27"/>
  <c r="AB427" i="27"/>
  <c r="AC427" i="27"/>
  <c r="AF427" i="27"/>
  <c r="AG427" i="27"/>
  <c r="AH427" i="27"/>
  <c r="AJ427" i="27"/>
  <c r="AK427" i="27"/>
  <c r="AL427" i="27"/>
  <c r="AO427" i="27"/>
  <c r="AP427" i="27"/>
  <c r="BD427" i="27"/>
  <c r="BF427" i="27"/>
  <c r="BH427" i="27"/>
  <c r="AD427" i="27" s="1"/>
  <c r="BJ427" i="27"/>
  <c r="K428" i="27"/>
  <c r="Z428" i="27"/>
  <c r="AB428" i="27"/>
  <c r="AC428" i="27"/>
  <c r="AF428" i="27"/>
  <c r="AG428" i="27"/>
  <c r="AH428" i="27"/>
  <c r="AJ428" i="27"/>
  <c r="AK428" i="27"/>
  <c r="AL428" i="27"/>
  <c r="AO428" i="27"/>
  <c r="I428" i="27" s="1"/>
  <c r="AP428" i="27"/>
  <c r="BD428" i="27"/>
  <c r="BF428" i="27"/>
  <c r="BH428" i="27"/>
  <c r="AD428" i="27" s="1"/>
  <c r="BJ428" i="27"/>
  <c r="K429" i="27"/>
  <c r="AK429" i="27" s="1"/>
  <c r="Z429" i="27"/>
  <c r="AB429" i="27"/>
  <c r="AC429" i="27"/>
  <c r="AF429" i="27"/>
  <c r="AG429" i="27"/>
  <c r="AH429" i="27"/>
  <c r="AJ429" i="27"/>
  <c r="AL429" i="27"/>
  <c r="AO429" i="27"/>
  <c r="BH429" i="27" s="1"/>
  <c r="AD429" i="27" s="1"/>
  <c r="AP429" i="27"/>
  <c r="BD429" i="27"/>
  <c r="BF429" i="27"/>
  <c r="BJ429" i="27"/>
  <c r="K430" i="27"/>
  <c r="Z430" i="27"/>
  <c r="AB430" i="27"/>
  <c r="AC430" i="27"/>
  <c r="AF430" i="27"/>
  <c r="AG430" i="27"/>
  <c r="AH430" i="27"/>
  <c r="AJ430" i="27"/>
  <c r="AK430" i="27"/>
  <c r="AL430" i="27"/>
  <c r="AO430" i="27"/>
  <c r="I430" i="27" s="1"/>
  <c r="AP430" i="27"/>
  <c r="BD430" i="27"/>
  <c r="BF430" i="27"/>
  <c r="BJ430" i="27"/>
  <c r="K431" i="27"/>
  <c r="Z431" i="27"/>
  <c r="AB431" i="27"/>
  <c r="AC431" i="27"/>
  <c r="AF431" i="27"/>
  <c r="AG431" i="27"/>
  <c r="AH431" i="27"/>
  <c r="AJ431" i="27"/>
  <c r="AK431" i="27"/>
  <c r="AL431" i="27"/>
  <c r="AO431" i="27"/>
  <c r="AW431" i="27" s="1"/>
  <c r="AP431" i="27"/>
  <c r="BD431" i="27"/>
  <c r="BF431" i="27"/>
  <c r="BI431" i="27"/>
  <c r="AE431" i="27" s="1"/>
  <c r="BJ431" i="27"/>
  <c r="K432" i="27"/>
  <c r="Z432" i="27"/>
  <c r="AB432" i="27"/>
  <c r="AC432" i="27"/>
  <c r="AF432" i="27"/>
  <c r="AG432" i="27"/>
  <c r="AH432" i="27"/>
  <c r="AJ432" i="27"/>
  <c r="AK432" i="27"/>
  <c r="AL432" i="27"/>
  <c r="AO432" i="27"/>
  <c r="AP432" i="27"/>
  <c r="BD432" i="27"/>
  <c r="BF432" i="27"/>
  <c r="BH432" i="27"/>
  <c r="AD432" i="27" s="1"/>
  <c r="BJ432" i="27"/>
  <c r="K433" i="27"/>
  <c r="AK433" i="27" s="1"/>
  <c r="Z433" i="27"/>
  <c r="AB433" i="27"/>
  <c r="AC433" i="27"/>
  <c r="AF433" i="27"/>
  <c r="AG433" i="27"/>
  <c r="AH433" i="27"/>
  <c r="AJ433" i="27"/>
  <c r="AL433" i="27"/>
  <c r="AO433" i="27"/>
  <c r="BH433" i="27" s="1"/>
  <c r="AD433" i="27" s="1"/>
  <c r="AP433" i="27"/>
  <c r="J433" i="27" s="1"/>
  <c r="BD433" i="27"/>
  <c r="BF433" i="27"/>
  <c r="BJ433" i="27"/>
  <c r="K434" i="27"/>
  <c r="Z434" i="27"/>
  <c r="AB434" i="27"/>
  <c r="AC434" i="27"/>
  <c r="AF434" i="27"/>
  <c r="AG434" i="27"/>
  <c r="AH434" i="27"/>
  <c r="AJ434" i="27"/>
  <c r="AK434" i="27"/>
  <c r="AL434" i="27"/>
  <c r="AO434" i="27"/>
  <c r="AP434" i="27"/>
  <c r="BD434" i="27"/>
  <c r="BF434" i="27"/>
  <c r="BH434" i="27"/>
  <c r="AD434" i="27" s="1"/>
  <c r="BJ434" i="27"/>
  <c r="K435" i="27"/>
  <c r="AK435" i="27" s="1"/>
  <c r="AB435" i="27"/>
  <c r="AC435" i="27"/>
  <c r="AD435" i="27"/>
  <c r="AE435" i="27"/>
  <c r="AF435" i="27"/>
  <c r="AG435" i="27"/>
  <c r="AH435" i="27"/>
  <c r="AJ435" i="27"/>
  <c r="AL435" i="27"/>
  <c r="AO435" i="27"/>
  <c r="I435" i="27" s="1"/>
  <c r="AP435" i="27"/>
  <c r="BD435" i="27"/>
  <c r="BF435" i="27"/>
  <c r="BJ435" i="27"/>
  <c r="Z435" i="27" s="1"/>
  <c r="K437" i="27"/>
  <c r="Z437" i="27"/>
  <c r="AB437" i="27"/>
  <c r="AC437" i="27"/>
  <c r="AF437" i="27"/>
  <c r="AG437" i="27"/>
  <c r="AH437" i="27"/>
  <c r="AJ437" i="27"/>
  <c r="AK437" i="27"/>
  <c r="AL437" i="27"/>
  <c r="AO437" i="27"/>
  <c r="AP437" i="27"/>
  <c r="BD437" i="27"/>
  <c r="BF437" i="27"/>
  <c r="BH437" i="27"/>
  <c r="AD437" i="27" s="1"/>
  <c r="BJ437" i="27"/>
  <c r="K438" i="27"/>
  <c r="Z438" i="27"/>
  <c r="AB438" i="27"/>
  <c r="AC438" i="27"/>
  <c r="AF438" i="27"/>
  <c r="AG438" i="27"/>
  <c r="AH438" i="27"/>
  <c r="AJ438" i="27"/>
  <c r="AK438" i="27"/>
  <c r="AL438" i="27"/>
  <c r="AO438" i="27"/>
  <c r="I438" i="27" s="1"/>
  <c r="AP438" i="27"/>
  <c r="AW438" i="27"/>
  <c r="BD438" i="27"/>
  <c r="BF438" i="27"/>
  <c r="BJ438" i="27"/>
  <c r="K439" i="27"/>
  <c r="Z439" i="27"/>
  <c r="AB439" i="27"/>
  <c r="AC439" i="27"/>
  <c r="AF439" i="27"/>
  <c r="AG439" i="27"/>
  <c r="AH439" i="27"/>
  <c r="AJ439" i="27"/>
  <c r="AK439" i="27"/>
  <c r="AL439" i="27"/>
  <c r="AO439" i="27"/>
  <c r="I439" i="27" s="1"/>
  <c r="AP439" i="27"/>
  <c r="BD439" i="27"/>
  <c r="BF439" i="27"/>
  <c r="BH439" i="27"/>
  <c r="AD439" i="27" s="1"/>
  <c r="BJ439" i="27"/>
  <c r="K440" i="27"/>
  <c r="AK440" i="27" s="1"/>
  <c r="Z440" i="27"/>
  <c r="AB440" i="27"/>
  <c r="AC440" i="27"/>
  <c r="AF440" i="27"/>
  <c r="AG440" i="27"/>
  <c r="AH440" i="27"/>
  <c r="AJ440" i="27"/>
  <c r="AL440" i="27"/>
  <c r="AO440" i="27"/>
  <c r="BH440" i="27" s="1"/>
  <c r="AD440" i="27" s="1"/>
  <c r="AP440" i="27"/>
  <c r="J440" i="27" s="1"/>
  <c r="BD440" i="27"/>
  <c r="BF440" i="27"/>
  <c r="BI440" i="27"/>
  <c r="AE440" i="27" s="1"/>
  <c r="BJ440" i="27"/>
  <c r="K441" i="27"/>
  <c r="Z441" i="27"/>
  <c r="AB441" i="27"/>
  <c r="AC441" i="27"/>
  <c r="AF441" i="27"/>
  <c r="AG441" i="27"/>
  <c r="AH441" i="27"/>
  <c r="AJ441" i="27"/>
  <c r="AK441" i="27"/>
  <c r="AL441" i="27"/>
  <c r="AO441" i="27"/>
  <c r="AP441" i="27"/>
  <c r="J441" i="27" s="1"/>
  <c r="AX441" i="27"/>
  <c r="BD441" i="27"/>
  <c r="BF441" i="27"/>
  <c r="BI441" i="27"/>
  <c r="AE441" i="27" s="1"/>
  <c r="BJ441" i="27"/>
  <c r="K442" i="27"/>
  <c r="Z442" i="27"/>
  <c r="AB442" i="27"/>
  <c r="AC442" i="27"/>
  <c r="AF442" i="27"/>
  <c r="AG442" i="27"/>
  <c r="AH442" i="27"/>
  <c r="AJ442" i="27"/>
  <c r="AK442" i="27"/>
  <c r="AL442" i="27"/>
  <c r="AO442" i="27"/>
  <c r="I442" i="27" s="1"/>
  <c r="AP442" i="27"/>
  <c r="J442" i="27" s="1"/>
  <c r="AX442" i="27"/>
  <c r="BD442" i="27"/>
  <c r="BF442" i="27"/>
  <c r="BH442" i="27"/>
  <c r="AD442" i="27" s="1"/>
  <c r="BI442" i="27"/>
  <c r="AE442" i="27" s="1"/>
  <c r="BJ442" i="27"/>
  <c r="K443" i="27"/>
  <c r="Z443" i="27"/>
  <c r="AB443" i="27"/>
  <c r="AC443" i="27"/>
  <c r="AF443" i="27"/>
  <c r="AG443" i="27"/>
  <c r="AH443" i="27"/>
  <c r="AJ443" i="27"/>
  <c r="AK443" i="27"/>
  <c r="AL443" i="27"/>
  <c r="AO443" i="27"/>
  <c r="AP443" i="27"/>
  <c r="BI443" i="27" s="1"/>
  <c r="AE443" i="27" s="1"/>
  <c r="BD443" i="27"/>
  <c r="BF443" i="27"/>
  <c r="BJ443" i="27"/>
  <c r="K444" i="27"/>
  <c r="AK444" i="27" s="1"/>
  <c r="Z444" i="27"/>
  <c r="AB444" i="27"/>
  <c r="AC444" i="27"/>
  <c r="AF444" i="27"/>
  <c r="AG444" i="27"/>
  <c r="AH444" i="27"/>
  <c r="AJ444" i="27"/>
  <c r="AL444" i="27"/>
  <c r="AO444" i="27"/>
  <c r="AP444" i="27"/>
  <c r="J444" i="27" s="1"/>
  <c r="AX444" i="27"/>
  <c r="BD444" i="27"/>
  <c r="BF444" i="27"/>
  <c r="BI444" i="27"/>
  <c r="AE444" i="27" s="1"/>
  <c r="BJ444" i="27"/>
  <c r="K445" i="27"/>
  <c r="Z445" i="27"/>
  <c r="AB445" i="27"/>
  <c r="AC445" i="27"/>
  <c r="AF445" i="27"/>
  <c r="AG445" i="27"/>
  <c r="AH445" i="27"/>
  <c r="AJ445" i="27"/>
  <c r="AK445" i="27"/>
  <c r="AL445" i="27"/>
  <c r="AO445" i="27"/>
  <c r="AP445" i="27"/>
  <c r="BD445" i="27"/>
  <c r="BF445" i="27"/>
  <c r="BJ445" i="27"/>
  <c r="I446" i="27"/>
  <c r="K446" i="27"/>
  <c r="Z446" i="27"/>
  <c r="AB446" i="27"/>
  <c r="AC446" i="27"/>
  <c r="AF446" i="27"/>
  <c r="AG446" i="27"/>
  <c r="AH446" i="27"/>
  <c r="AJ446" i="27"/>
  <c r="AK446" i="27"/>
  <c r="AL446" i="27"/>
  <c r="AO446" i="27"/>
  <c r="AP446" i="27"/>
  <c r="BD446" i="27"/>
  <c r="BF446" i="27"/>
  <c r="BJ446" i="27"/>
  <c r="K447" i="27"/>
  <c r="Z447" i="27"/>
  <c r="AB447" i="27"/>
  <c r="AC447" i="27"/>
  <c r="AF447" i="27"/>
  <c r="AG447" i="27"/>
  <c r="AH447" i="27"/>
  <c r="AJ447" i="27"/>
  <c r="AK447" i="27"/>
  <c r="AL447" i="27"/>
  <c r="AO447" i="27"/>
  <c r="AP447" i="27"/>
  <c r="BI447" i="27" s="1"/>
  <c r="AE447" i="27" s="1"/>
  <c r="BD447" i="27"/>
  <c r="BF447" i="27"/>
  <c r="BH447" i="27"/>
  <c r="AD447" i="27" s="1"/>
  <c r="BJ447" i="27"/>
  <c r="K448" i="27"/>
  <c r="AK448" i="27" s="1"/>
  <c r="Z448" i="27"/>
  <c r="AB448" i="27"/>
  <c r="AC448" i="27"/>
  <c r="AF448" i="27"/>
  <c r="AG448" i="27"/>
  <c r="AH448" i="27"/>
  <c r="AJ448" i="27"/>
  <c r="AL448" i="27"/>
  <c r="AO448" i="27"/>
  <c r="BH448" i="27" s="1"/>
  <c r="AD448" i="27" s="1"/>
  <c r="AP448" i="27"/>
  <c r="J448" i="27" s="1"/>
  <c r="BD448" i="27"/>
  <c r="BF448" i="27"/>
  <c r="BJ448" i="27"/>
  <c r="K449" i="27"/>
  <c r="Z449" i="27"/>
  <c r="AB449" i="27"/>
  <c r="AC449" i="27"/>
  <c r="AF449" i="27"/>
  <c r="AG449" i="27"/>
  <c r="AH449" i="27"/>
  <c r="AJ449" i="27"/>
  <c r="AK449" i="27"/>
  <c r="AL449" i="27"/>
  <c r="AO449" i="27"/>
  <c r="AP449" i="27"/>
  <c r="BD449" i="27"/>
  <c r="BF449" i="27"/>
  <c r="BJ449" i="27"/>
  <c r="K450" i="27"/>
  <c r="Z450" i="27"/>
  <c r="AB450" i="27"/>
  <c r="AC450" i="27"/>
  <c r="AF450" i="27"/>
  <c r="AG450" i="27"/>
  <c r="AH450" i="27"/>
  <c r="AJ450" i="27"/>
  <c r="AK450" i="27"/>
  <c r="AL450" i="27"/>
  <c r="AO450" i="27"/>
  <c r="I450" i="27" s="1"/>
  <c r="AP450" i="27"/>
  <c r="J450" i="27" s="1"/>
  <c r="AX450" i="27"/>
  <c r="BD450" i="27"/>
  <c r="BF450" i="27"/>
  <c r="BI450" i="27"/>
  <c r="AE450" i="27" s="1"/>
  <c r="BJ450" i="27"/>
  <c r="K451" i="27"/>
  <c r="Z451" i="27"/>
  <c r="AB451" i="27"/>
  <c r="AC451" i="27"/>
  <c r="AF451" i="27"/>
  <c r="AG451" i="27"/>
  <c r="AH451" i="27"/>
  <c r="AJ451" i="27"/>
  <c r="AK451" i="27"/>
  <c r="AL451" i="27"/>
  <c r="AO451" i="27"/>
  <c r="AP451" i="27"/>
  <c r="BD451" i="27"/>
  <c r="BF451" i="27"/>
  <c r="BH451" i="27"/>
  <c r="AD451" i="27" s="1"/>
  <c r="BJ451" i="27"/>
  <c r="K452" i="27"/>
  <c r="AK452" i="27" s="1"/>
  <c r="Z452" i="27"/>
  <c r="AB452" i="27"/>
  <c r="AC452" i="27"/>
  <c r="AF452" i="27"/>
  <c r="AG452" i="27"/>
  <c r="AH452" i="27"/>
  <c r="AJ452" i="27"/>
  <c r="AL452" i="27"/>
  <c r="AO452" i="27"/>
  <c r="BH452" i="27" s="1"/>
  <c r="AD452" i="27" s="1"/>
  <c r="AP452" i="27"/>
  <c r="J452" i="27" s="1"/>
  <c r="BD452" i="27"/>
  <c r="BF452" i="27"/>
  <c r="BJ452" i="27"/>
  <c r="K453" i="27"/>
  <c r="Z453" i="27"/>
  <c r="AB453" i="27"/>
  <c r="AC453" i="27"/>
  <c r="AF453" i="27"/>
  <c r="AG453" i="27"/>
  <c r="AH453" i="27"/>
  <c r="AJ453" i="27"/>
  <c r="AK453" i="27"/>
  <c r="AL453" i="27"/>
  <c r="AO453" i="27"/>
  <c r="AP453" i="27"/>
  <c r="BD453" i="27"/>
  <c r="BF453" i="27"/>
  <c r="BJ453" i="27"/>
  <c r="I454" i="27"/>
  <c r="K454" i="27"/>
  <c r="Z454" i="27"/>
  <c r="AB454" i="27"/>
  <c r="AC454" i="27"/>
  <c r="AF454" i="27"/>
  <c r="AG454" i="27"/>
  <c r="AH454" i="27"/>
  <c r="AJ454" i="27"/>
  <c r="AK454" i="27"/>
  <c r="AL454" i="27"/>
  <c r="AO454" i="27"/>
  <c r="AP454" i="27"/>
  <c r="BD454" i="27"/>
  <c r="BF454" i="27"/>
  <c r="BJ454" i="27"/>
  <c r="K455" i="27"/>
  <c r="Z455" i="27"/>
  <c r="AB455" i="27"/>
  <c r="AC455" i="27"/>
  <c r="AF455" i="27"/>
  <c r="AG455" i="27"/>
  <c r="AH455" i="27"/>
  <c r="AJ455" i="27"/>
  <c r="AK455" i="27"/>
  <c r="AL455" i="27"/>
  <c r="AO455" i="27"/>
  <c r="AP455" i="27"/>
  <c r="BD455" i="27"/>
  <c r="BF455" i="27"/>
  <c r="BH455" i="27"/>
  <c r="AD455" i="27" s="1"/>
  <c r="BJ455" i="27"/>
  <c r="K456" i="27"/>
  <c r="AK456" i="27" s="1"/>
  <c r="Z456" i="27"/>
  <c r="AB456" i="27"/>
  <c r="AC456" i="27"/>
  <c r="AF456" i="27"/>
  <c r="AG456" i="27"/>
  <c r="AH456" i="27"/>
  <c r="AJ456" i="27"/>
  <c r="AL456" i="27"/>
  <c r="AO456" i="27"/>
  <c r="BH456" i="27" s="1"/>
  <c r="AD456" i="27" s="1"/>
  <c r="AP456" i="27"/>
  <c r="BD456" i="27"/>
  <c r="BF456" i="27"/>
  <c r="BJ456" i="27"/>
  <c r="K457" i="27"/>
  <c r="AK457" i="27" s="1"/>
  <c r="Z457" i="27"/>
  <c r="AB457" i="27"/>
  <c r="AC457" i="27"/>
  <c r="AF457" i="27"/>
  <c r="AG457" i="27"/>
  <c r="AH457" i="27"/>
  <c r="AJ457" i="27"/>
  <c r="AL457" i="27"/>
  <c r="AO457" i="27"/>
  <c r="AP457" i="27"/>
  <c r="J457" i="27" s="1"/>
  <c r="BD457" i="27"/>
  <c r="BF457" i="27"/>
  <c r="BI457" i="27"/>
  <c r="AE457" i="27" s="1"/>
  <c r="BJ457" i="27"/>
  <c r="K458" i="27"/>
  <c r="Z458" i="27"/>
  <c r="AB458" i="27"/>
  <c r="AC458" i="27"/>
  <c r="AF458" i="27"/>
  <c r="AG458" i="27"/>
  <c r="AH458" i="27"/>
  <c r="AJ458" i="27"/>
  <c r="AK458" i="27"/>
  <c r="AL458" i="27"/>
  <c r="AO458" i="27"/>
  <c r="I458" i="27" s="1"/>
  <c r="AP458" i="27"/>
  <c r="J458" i="27" s="1"/>
  <c r="BD458" i="27"/>
  <c r="BF458" i="27"/>
  <c r="BI458" i="27"/>
  <c r="AE458" i="27" s="1"/>
  <c r="BJ458" i="27"/>
  <c r="K459" i="27"/>
  <c r="Z459" i="27"/>
  <c r="AB459" i="27"/>
  <c r="AC459" i="27"/>
  <c r="AF459" i="27"/>
  <c r="AG459" i="27"/>
  <c r="AH459" i="27"/>
  <c r="AJ459" i="27"/>
  <c r="AK459" i="27"/>
  <c r="AL459" i="27"/>
  <c r="AO459" i="27"/>
  <c r="AP459" i="27"/>
  <c r="BI459" i="27" s="1"/>
  <c r="AE459" i="27" s="1"/>
  <c r="BD459" i="27"/>
  <c r="BF459" i="27"/>
  <c r="BJ459" i="27"/>
  <c r="K460" i="27"/>
  <c r="AK460" i="27" s="1"/>
  <c r="Z460" i="27"/>
  <c r="AB460" i="27"/>
  <c r="AC460" i="27"/>
  <c r="AF460" i="27"/>
  <c r="AG460" i="27"/>
  <c r="AH460" i="27"/>
  <c r="AJ460" i="27"/>
  <c r="AL460" i="27"/>
  <c r="AO460" i="27"/>
  <c r="BH460" i="27" s="1"/>
  <c r="AD460" i="27" s="1"/>
  <c r="AP460" i="27"/>
  <c r="J460" i="27" s="1"/>
  <c r="BD460" i="27"/>
  <c r="BF460" i="27"/>
  <c r="BI460" i="27"/>
  <c r="AE460" i="27" s="1"/>
  <c r="BJ460" i="27"/>
  <c r="K461" i="27"/>
  <c r="Z461" i="27"/>
  <c r="AB461" i="27"/>
  <c r="AC461" i="27"/>
  <c r="AF461" i="27"/>
  <c r="AG461" i="27"/>
  <c r="AH461" i="27"/>
  <c r="AJ461" i="27"/>
  <c r="AK461" i="27"/>
  <c r="AL461" i="27"/>
  <c r="AO461" i="27"/>
  <c r="AP461" i="27"/>
  <c r="J461" i="27" s="1"/>
  <c r="AX461" i="27"/>
  <c r="BD461" i="27"/>
  <c r="BF461" i="27"/>
  <c r="BI461" i="27"/>
  <c r="AE461" i="27" s="1"/>
  <c r="BJ461" i="27"/>
  <c r="K462" i="27"/>
  <c r="Z462" i="27"/>
  <c r="AB462" i="27"/>
  <c r="AC462" i="27"/>
  <c r="AF462" i="27"/>
  <c r="AG462" i="27"/>
  <c r="AH462" i="27"/>
  <c r="AJ462" i="27"/>
  <c r="AK462" i="27"/>
  <c r="AL462" i="27"/>
  <c r="AO462" i="27"/>
  <c r="I462" i="27" s="1"/>
  <c r="AP462" i="27"/>
  <c r="BD462" i="27"/>
  <c r="BF462" i="27"/>
  <c r="BJ462" i="27"/>
  <c r="K463" i="27"/>
  <c r="AK463" i="27" s="1"/>
  <c r="AB463" i="27"/>
  <c r="AC463" i="27"/>
  <c r="AD463" i="27"/>
  <c r="AE463" i="27"/>
  <c r="AF463" i="27"/>
  <c r="AG463" i="27"/>
  <c r="AH463" i="27"/>
  <c r="AJ463" i="27"/>
  <c r="AL463" i="27"/>
  <c r="AO463" i="27"/>
  <c r="I463" i="27" s="1"/>
  <c r="AP463" i="27"/>
  <c r="BI463" i="27" s="1"/>
  <c r="AW463" i="27"/>
  <c r="BD463" i="27"/>
  <c r="BF463" i="27"/>
  <c r="BH463" i="27"/>
  <c r="BJ463" i="27"/>
  <c r="Z463" i="27" s="1"/>
  <c r="K465" i="27"/>
  <c r="Z465" i="27"/>
  <c r="AB465" i="27"/>
  <c r="AC465" i="27"/>
  <c r="AF465" i="27"/>
  <c r="AG465" i="27"/>
  <c r="AH465" i="27"/>
  <c r="AJ465" i="27"/>
  <c r="AK465" i="27"/>
  <c r="AL465" i="27"/>
  <c r="AO465" i="27"/>
  <c r="AP465" i="27"/>
  <c r="J465" i="27" s="1"/>
  <c r="BD465" i="27"/>
  <c r="BF465" i="27"/>
  <c r="BJ465" i="27"/>
  <c r="K466" i="27"/>
  <c r="Z466" i="27"/>
  <c r="AB466" i="27"/>
  <c r="AC466" i="27"/>
  <c r="AF466" i="27"/>
  <c r="AG466" i="27"/>
  <c r="AH466" i="27"/>
  <c r="AJ466" i="27"/>
  <c r="AK466" i="27"/>
  <c r="AL466" i="27"/>
  <c r="AO466" i="27"/>
  <c r="AP466" i="27"/>
  <c r="BD466" i="27"/>
  <c r="BF466" i="27"/>
  <c r="BJ466" i="27"/>
  <c r="K467" i="27"/>
  <c r="AK467" i="27" s="1"/>
  <c r="Z467" i="27"/>
  <c r="AB467" i="27"/>
  <c r="AC467" i="27"/>
  <c r="AF467" i="27"/>
  <c r="AG467" i="27"/>
  <c r="AH467" i="27"/>
  <c r="AJ467" i="27"/>
  <c r="AL467" i="27"/>
  <c r="AO467" i="27"/>
  <c r="BH467" i="27" s="1"/>
  <c r="AD467" i="27" s="1"/>
  <c r="AP467" i="27"/>
  <c r="J467" i="27" s="1"/>
  <c r="BD467" i="27"/>
  <c r="BF467" i="27"/>
  <c r="BJ467" i="27"/>
  <c r="K468" i="27"/>
  <c r="Z468" i="27"/>
  <c r="AB468" i="27"/>
  <c r="AC468" i="27"/>
  <c r="AF468" i="27"/>
  <c r="AG468" i="27"/>
  <c r="AH468" i="27"/>
  <c r="AJ468" i="27"/>
  <c r="AK468" i="27"/>
  <c r="AL468" i="27"/>
  <c r="AO468" i="27"/>
  <c r="I468" i="27" s="1"/>
  <c r="AP468" i="27"/>
  <c r="BD468" i="27"/>
  <c r="BF468" i="27"/>
  <c r="BH468" i="27"/>
  <c r="AD468" i="27" s="1"/>
  <c r="BJ468" i="27"/>
  <c r="I469" i="27"/>
  <c r="K469" i="27"/>
  <c r="Z469" i="27"/>
  <c r="AB469" i="27"/>
  <c r="AC469" i="27"/>
  <c r="AF469" i="27"/>
  <c r="AG469" i="27"/>
  <c r="AH469" i="27"/>
  <c r="AJ469" i="27"/>
  <c r="AK469" i="27"/>
  <c r="AL469" i="27"/>
  <c r="AO469" i="27"/>
  <c r="AW469" i="27" s="1"/>
  <c r="AP469" i="27"/>
  <c r="BD469" i="27"/>
  <c r="BF469" i="27"/>
  <c r="BH469" i="27"/>
  <c r="AD469" i="27" s="1"/>
  <c r="BJ469" i="27"/>
  <c r="K470" i="27"/>
  <c r="Z470" i="27"/>
  <c r="AB470" i="27"/>
  <c r="AC470" i="27"/>
  <c r="AF470" i="27"/>
  <c r="AG470" i="27"/>
  <c r="AH470" i="27"/>
  <c r="AJ470" i="27"/>
  <c r="AK470" i="27"/>
  <c r="AL470" i="27"/>
  <c r="AO470" i="27"/>
  <c r="AP470" i="27"/>
  <c r="BD470" i="27"/>
  <c r="BF470" i="27"/>
  <c r="BI470" i="27"/>
  <c r="AE470" i="27" s="1"/>
  <c r="BJ470" i="27"/>
  <c r="K471" i="27"/>
  <c r="Z471" i="27"/>
  <c r="AB471" i="27"/>
  <c r="AC471" i="27"/>
  <c r="AF471" i="27"/>
  <c r="AG471" i="27"/>
  <c r="AH471" i="27"/>
  <c r="AJ471" i="27"/>
  <c r="AK471" i="27"/>
  <c r="AL471" i="27"/>
  <c r="AO471" i="27"/>
  <c r="AP471" i="27"/>
  <c r="J471" i="27" s="1"/>
  <c r="BD471" i="27"/>
  <c r="BF471" i="27"/>
  <c r="BJ471" i="27"/>
  <c r="K472" i="27"/>
  <c r="AK472" i="27" s="1"/>
  <c r="Z472" i="27"/>
  <c r="AB472" i="27"/>
  <c r="AC472" i="27"/>
  <c r="AF472" i="27"/>
  <c r="AG472" i="27"/>
  <c r="AH472" i="27"/>
  <c r="AJ472" i="27"/>
  <c r="AL472" i="27"/>
  <c r="AO472" i="27"/>
  <c r="I472" i="27" s="1"/>
  <c r="AP472" i="27"/>
  <c r="BD472" i="27"/>
  <c r="BF472" i="27"/>
  <c r="BH472" i="27"/>
  <c r="AD472" i="27" s="1"/>
  <c r="BJ472" i="27"/>
  <c r="K473" i="27"/>
  <c r="AK473" i="27" s="1"/>
  <c r="Z473" i="27"/>
  <c r="AB473" i="27"/>
  <c r="AC473" i="27"/>
  <c r="AF473" i="27"/>
  <c r="AG473" i="27"/>
  <c r="AH473" i="27"/>
  <c r="AJ473" i="27"/>
  <c r="AL473" i="27"/>
  <c r="AO473" i="27"/>
  <c r="BH473" i="27" s="1"/>
  <c r="AD473" i="27" s="1"/>
  <c r="AP473" i="27"/>
  <c r="BD473" i="27"/>
  <c r="BF473" i="27"/>
  <c r="BI473" i="27"/>
  <c r="AE473" i="27" s="1"/>
  <c r="BJ473" i="27"/>
  <c r="K474" i="27"/>
  <c r="Z474" i="27"/>
  <c r="AB474" i="27"/>
  <c r="AC474" i="27"/>
  <c r="AF474" i="27"/>
  <c r="AG474" i="27"/>
  <c r="AH474" i="27"/>
  <c r="AJ474" i="27"/>
  <c r="AK474" i="27"/>
  <c r="AL474" i="27"/>
  <c r="AO474" i="27"/>
  <c r="I474" i="27" s="1"/>
  <c r="AP474" i="27"/>
  <c r="J474" i="27" s="1"/>
  <c r="AX474" i="27"/>
  <c r="BD474" i="27"/>
  <c r="BF474" i="27"/>
  <c r="BI474" i="27"/>
  <c r="AE474" i="27" s="1"/>
  <c r="BJ474" i="27"/>
  <c r="K475" i="27"/>
  <c r="AB475" i="27"/>
  <c r="AC475" i="27"/>
  <c r="AD475" i="27"/>
  <c r="AE475" i="27"/>
  <c r="AF475" i="27"/>
  <c r="AG475" i="27"/>
  <c r="AH475" i="27"/>
  <c r="AJ475" i="27"/>
  <c r="AK475" i="27"/>
  <c r="AL475" i="27"/>
  <c r="AO475" i="27"/>
  <c r="I475" i="27" s="1"/>
  <c r="AP475" i="27"/>
  <c r="J475" i="27" s="1"/>
  <c r="AW475" i="27"/>
  <c r="BD475" i="27"/>
  <c r="BF475" i="27"/>
  <c r="BI475" i="27"/>
  <c r="BJ475" i="27"/>
  <c r="Z475" i="27" s="1"/>
  <c r="K477" i="27"/>
  <c r="Z477" i="27"/>
  <c r="AB477" i="27"/>
  <c r="AC477" i="27"/>
  <c r="AF477" i="27"/>
  <c r="AG477" i="27"/>
  <c r="AH477" i="27"/>
  <c r="AJ477" i="27"/>
  <c r="AK477" i="27"/>
  <c r="AL477" i="27"/>
  <c r="AO477" i="27"/>
  <c r="I477" i="27" s="1"/>
  <c r="AP477" i="27"/>
  <c r="J477" i="27" s="1"/>
  <c r="AW477" i="27"/>
  <c r="BD477" i="27"/>
  <c r="BF477" i="27"/>
  <c r="BH477" i="27"/>
  <c r="AD477" i="27" s="1"/>
  <c r="BJ477" i="27"/>
  <c r="K478" i="27"/>
  <c r="Z478" i="27"/>
  <c r="AB478" i="27"/>
  <c r="AC478" i="27"/>
  <c r="AF478" i="27"/>
  <c r="AG478" i="27"/>
  <c r="AH478" i="27"/>
  <c r="AJ478" i="27"/>
  <c r="AK478" i="27"/>
  <c r="AL478" i="27"/>
  <c r="AO478" i="27"/>
  <c r="I478" i="27" s="1"/>
  <c r="AP478" i="27"/>
  <c r="J478" i="27" s="1"/>
  <c r="BD478" i="27"/>
  <c r="BF478" i="27"/>
  <c r="BI478" i="27"/>
  <c r="AE478" i="27" s="1"/>
  <c r="BJ478" i="27"/>
  <c r="K479" i="27"/>
  <c r="AK479" i="27" s="1"/>
  <c r="Z479" i="27"/>
  <c r="AB479" i="27"/>
  <c r="AC479" i="27"/>
  <c r="AF479" i="27"/>
  <c r="AG479" i="27"/>
  <c r="AH479" i="27"/>
  <c r="AJ479" i="27"/>
  <c r="AL479" i="27"/>
  <c r="AO479" i="27"/>
  <c r="I479" i="27" s="1"/>
  <c r="AP479" i="27"/>
  <c r="BI479" i="27" s="1"/>
  <c r="AE479" i="27" s="1"/>
  <c r="BD479" i="27"/>
  <c r="BF479" i="27"/>
  <c r="BH479" i="27"/>
  <c r="AD479" i="27" s="1"/>
  <c r="BJ479" i="27"/>
  <c r="J480" i="27"/>
  <c r="K480" i="27"/>
  <c r="AK480" i="27" s="1"/>
  <c r="Z480" i="27"/>
  <c r="AB480" i="27"/>
  <c r="AC480" i="27"/>
  <c r="AF480" i="27"/>
  <c r="AG480" i="27"/>
  <c r="AH480" i="27"/>
  <c r="AJ480" i="27"/>
  <c r="AL480" i="27"/>
  <c r="AO480" i="27"/>
  <c r="BH480" i="27" s="1"/>
  <c r="AD480" i="27" s="1"/>
  <c r="AP480" i="27"/>
  <c r="AX480" i="27"/>
  <c r="BD480" i="27"/>
  <c r="BF480" i="27"/>
  <c r="BI480" i="27"/>
  <c r="AE480" i="27" s="1"/>
  <c r="BJ480" i="27"/>
  <c r="K481" i="27"/>
  <c r="Z481" i="27"/>
  <c r="AB481" i="27"/>
  <c r="AC481" i="27"/>
  <c r="AF481" i="27"/>
  <c r="AG481" i="27"/>
  <c r="AH481" i="27"/>
  <c r="AJ481" i="27"/>
  <c r="AK481" i="27"/>
  <c r="AL481" i="27"/>
  <c r="AO481" i="27"/>
  <c r="I481" i="27" s="1"/>
  <c r="AP481" i="27"/>
  <c r="BD481" i="27"/>
  <c r="BF481" i="27"/>
  <c r="BJ481" i="27"/>
  <c r="K482" i="27"/>
  <c r="Z482" i="27"/>
  <c r="AB482" i="27"/>
  <c r="AC482" i="27"/>
  <c r="AF482" i="27"/>
  <c r="AG482" i="27"/>
  <c r="AH482" i="27"/>
  <c r="AJ482" i="27"/>
  <c r="AK482" i="27"/>
  <c r="AL482" i="27"/>
  <c r="AO482" i="27"/>
  <c r="I482" i="27" s="1"/>
  <c r="AP482" i="27"/>
  <c r="AW482" i="27"/>
  <c r="BD482" i="27"/>
  <c r="BF482" i="27"/>
  <c r="BH482" i="27"/>
  <c r="AD482" i="27" s="1"/>
  <c r="BJ482" i="27"/>
  <c r="K483" i="27"/>
  <c r="AK483" i="27" s="1"/>
  <c r="Z483" i="27"/>
  <c r="AB483" i="27"/>
  <c r="AC483" i="27"/>
  <c r="AF483" i="27"/>
  <c r="AG483" i="27"/>
  <c r="AH483" i="27"/>
  <c r="AJ483" i="27"/>
  <c r="AL483" i="27"/>
  <c r="AO483" i="27"/>
  <c r="I483" i="27" s="1"/>
  <c r="AP483" i="27"/>
  <c r="BI483" i="27" s="1"/>
  <c r="AE483" i="27" s="1"/>
  <c r="BD483" i="27"/>
  <c r="BF483" i="27"/>
  <c r="BH483" i="27"/>
  <c r="AD483" i="27" s="1"/>
  <c r="BJ483" i="27"/>
  <c r="K484" i="27"/>
  <c r="AK484" i="27" s="1"/>
  <c r="Z484" i="27"/>
  <c r="AB484" i="27"/>
  <c r="AC484" i="27"/>
  <c r="AF484" i="27"/>
  <c r="AG484" i="27"/>
  <c r="AH484" i="27"/>
  <c r="AJ484" i="27"/>
  <c r="AL484" i="27"/>
  <c r="AO484" i="27"/>
  <c r="BH484" i="27" s="1"/>
  <c r="AD484" i="27" s="1"/>
  <c r="AP484" i="27"/>
  <c r="J484" i="27" s="1"/>
  <c r="BD484" i="27"/>
  <c r="BF484" i="27"/>
  <c r="BJ484" i="27"/>
  <c r="K485" i="27"/>
  <c r="Z485" i="27"/>
  <c r="AB485" i="27"/>
  <c r="AC485" i="27"/>
  <c r="AF485" i="27"/>
  <c r="AG485" i="27"/>
  <c r="AH485" i="27"/>
  <c r="AJ485" i="27"/>
  <c r="AK485" i="27"/>
  <c r="AL485" i="27"/>
  <c r="AO485" i="27"/>
  <c r="AP485" i="27"/>
  <c r="BD485" i="27"/>
  <c r="BF485" i="27"/>
  <c r="BJ485" i="27"/>
  <c r="K486" i="27"/>
  <c r="Z486" i="27"/>
  <c r="AB486" i="27"/>
  <c r="AC486" i="27"/>
  <c r="AF486" i="27"/>
  <c r="AG486" i="27"/>
  <c r="AH486" i="27"/>
  <c r="AJ486" i="27"/>
  <c r="AK486" i="27"/>
  <c r="AL486" i="27"/>
  <c r="AO486" i="27"/>
  <c r="AW486" i="27" s="1"/>
  <c r="AP486" i="27"/>
  <c r="BD486" i="27"/>
  <c r="BF486" i="27"/>
  <c r="BH486" i="27"/>
  <c r="AD486" i="27" s="1"/>
  <c r="BJ486" i="27"/>
  <c r="K487" i="27"/>
  <c r="AK487" i="27" s="1"/>
  <c r="Z487" i="27"/>
  <c r="AB487" i="27"/>
  <c r="AC487" i="27"/>
  <c r="AF487" i="27"/>
  <c r="AG487" i="27"/>
  <c r="AH487" i="27"/>
  <c r="AJ487" i="27"/>
  <c r="AL487" i="27"/>
  <c r="AO487" i="27"/>
  <c r="I487" i="27" s="1"/>
  <c r="AP487" i="27"/>
  <c r="BI487" i="27" s="1"/>
  <c r="AE487" i="27" s="1"/>
  <c r="BD487" i="27"/>
  <c r="BF487" i="27"/>
  <c r="BH487" i="27"/>
  <c r="AD487" i="27" s="1"/>
  <c r="BJ487" i="27"/>
  <c r="K488" i="27"/>
  <c r="AK488" i="27" s="1"/>
  <c r="Z488" i="27"/>
  <c r="AB488" i="27"/>
  <c r="AC488" i="27"/>
  <c r="AF488" i="27"/>
  <c r="AG488" i="27"/>
  <c r="AH488" i="27"/>
  <c r="AJ488" i="27"/>
  <c r="AL488" i="27"/>
  <c r="AO488" i="27"/>
  <c r="BH488" i="27" s="1"/>
  <c r="AD488" i="27" s="1"/>
  <c r="AP488" i="27"/>
  <c r="BD488" i="27"/>
  <c r="BF488" i="27"/>
  <c r="BJ488" i="27"/>
  <c r="K489" i="27"/>
  <c r="Z489" i="27"/>
  <c r="AB489" i="27"/>
  <c r="AC489" i="27"/>
  <c r="AF489" i="27"/>
  <c r="AG489" i="27"/>
  <c r="AH489" i="27"/>
  <c r="AJ489" i="27"/>
  <c r="AK489" i="27"/>
  <c r="AL489" i="27"/>
  <c r="AO489" i="27"/>
  <c r="I489" i="27" s="1"/>
  <c r="AP489" i="27"/>
  <c r="J489" i="27" s="1"/>
  <c r="BD489" i="27"/>
  <c r="BF489" i="27"/>
  <c r="BJ489" i="27"/>
  <c r="K490" i="27"/>
  <c r="Z490" i="27"/>
  <c r="AB490" i="27"/>
  <c r="AC490" i="27"/>
  <c r="AF490" i="27"/>
  <c r="AG490" i="27"/>
  <c r="AH490" i="27"/>
  <c r="AJ490" i="27"/>
  <c r="AK490" i="27"/>
  <c r="AL490" i="27"/>
  <c r="AO490" i="27"/>
  <c r="I490" i="27" s="1"/>
  <c r="AP490" i="27"/>
  <c r="J490" i="27" s="1"/>
  <c r="AW490" i="27"/>
  <c r="BD490" i="27"/>
  <c r="BF490" i="27"/>
  <c r="BI490" i="27"/>
  <c r="AE490" i="27" s="1"/>
  <c r="BJ490" i="27"/>
  <c r="K491" i="27"/>
  <c r="AK491" i="27" s="1"/>
  <c r="Z491" i="27"/>
  <c r="AB491" i="27"/>
  <c r="AC491" i="27"/>
  <c r="AF491" i="27"/>
  <c r="AG491" i="27"/>
  <c r="AH491" i="27"/>
  <c r="AJ491" i="27"/>
  <c r="AL491" i="27"/>
  <c r="AO491" i="27"/>
  <c r="I491" i="27" s="1"/>
  <c r="AP491" i="27"/>
  <c r="BI491" i="27" s="1"/>
  <c r="AE491" i="27" s="1"/>
  <c r="BD491" i="27"/>
  <c r="BF491" i="27"/>
  <c r="BH491" i="27"/>
  <c r="AD491" i="27" s="1"/>
  <c r="BJ491" i="27"/>
  <c r="K492" i="27"/>
  <c r="AK492" i="27" s="1"/>
  <c r="Z492" i="27"/>
  <c r="AB492" i="27"/>
  <c r="AC492" i="27"/>
  <c r="AF492" i="27"/>
  <c r="AG492" i="27"/>
  <c r="AH492" i="27"/>
  <c r="AJ492" i="27"/>
  <c r="AL492" i="27"/>
  <c r="AO492" i="27"/>
  <c r="AP492" i="27"/>
  <c r="BD492" i="27"/>
  <c r="BF492" i="27"/>
  <c r="BH492" i="27"/>
  <c r="AD492" i="27" s="1"/>
  <c r="BJ492" i="27"/>
  <c r="K493" i="27"/>
  <c r="AK493" i="27" s="1"/>
  <c r="AB493" i="27"/>
  <c r="AC493" i="27"/>
  <c r="AD493" i="27"/>
  <c r="AE493" i="27"/>
  <c r="AF493" i="27"/>
  <c r="AG493" i="27"/>
  <c r="AH493" i="27"/>
  <c r="AJ493" i="27"/>
  <c r="AL493" i="27"/>
  <c r="AO493" i="27"/>
  <c r="AP493" i="27"/>
  <c r="BD493" i="27"/>
  <c r="BF493" i="27"/>
  <c r="BJ493" i="27"/>
  <c r="Z493" i="27" s="1"/>
  <c r="K495" i="27"/>
  <c r="Z495" i="27"/>
  <c r="AB495" i="27"/>
  <c r="AC495" i="27"/>
  <c r="AF495" i="27"/>
  <c r="AG495" i="27"/>
  <c r="AH495" i="27"/>
  <c r="AJ495" i="27"/>
  <c r="AL495" i="27"/>
  <c r="AO495" i="27"/>
  <c r="BH495" i="27" s="1"/>
  <c r="AD495" i="27" s="1"/>
  <c r="AP495" i="27"/>
  <c r="BD495" i="27"/>
  <c r="BF495" i="27"/>
  <c r="BJ495" i="27"/>
  <c r="K496" i="27"/>
  <c r="Z496" i="27"/>
  <c r="AB496" i="27"/>
  <c r="AC496" i="27"/>
  <c r="AF496" i="27"/>
  <c r="AG496" i="27"/>
  <c r="AH496" i="27"/>
  <c r="AJ496" i="27"/>
  <c r="AK496" i="27"/>
  <c r="AL496" i="27"/>
  <c r="AO496" i="27"/>
  <c r="I496" i="27" s="1"/>
  <c r="AP496" i="27"/>
  <c r="J496" i="27" s="1"/>
  <c r="BD496" i="27"/>
  <c r="BF496" i="27"/>
  <c r="BH496" i="27"/>
  <c r="AD496" i="27" s="1"/>
  <c r="BJ496" i="27"/>
  <c r="K497" i="27"/>
  <c r="Z497" i="27"/>
  <c r="AB497" i="27"/>
  <c r="AC497" i="27"/>
  <c r="AF497" i="27"/>
  <c r="AG497" i="27"/>
  <c r="AH497" i="27"/>
  <c r="AJ497" i="27"/>
  <c r="AK497" i="27"/>
  <c r="AL497" i="27"/>
  <c r="AO497" i="27"/>
  <c r="I497" i="27" s="1"/>
  <c r="AP497" i="27"/>
  <c r="J497" i="27" s="1"/>
  <c r="AW497" i="27"/>
  <c r="BD497" i="27"/>
  <c r="BF497" i="27"/>
  <c r="BI497" i="27"/>
  <c r="AE497" i="27" s="1"/>
  <c r="BJ497" i="27"/>
  <c r="K498" i="27"/>
  <c r="AK498" i="27" s="1"/>
  <c r="Z498" i="27"/>
  <c r="AB498" i="27"/>
  <c r="AC498" i="27"/>
  <c r="AF498" i="27"/>
  <c r="AG498" i="27"/>
  <c r="AH498" i="27"/>
  <c r="AJ498" i="27"/>
  <c r="AL498" i="27"/>
  <c r="AO498" i="27"/>
  <c r="I498" i="27" s="1"/>
  <c r="AP498" i="27"/>
  <c r="BI498" i="27" s="1"/>
  <c r="AE498" i="27" s="1"/>
  <c r="BD498" i="27"/>
  <c r="BF498" i="27"/>
  <c r="BH498" i="27"/>
  <c r="AD498" i="27" s="1"/>
  <c r="BJ498" i="27"/>
  <c r="K499" i="27"/>
  <c r="AK499" i="27" s="1"/>
  <c r="Z499" i="27"/>
  <c r="AB499" i="27"/>
  <c r="AC499" i="27"/>
  <c r="AF499" i="27"/>
  <c r="AG499" i="27"/>
  <c r="AH499" i="27"/>
  <c r="AJ499" i="27"/>
  <c r="AL499" i="27"/>
  <c r="AO499" i="27"/>
  <c r="AP499" i="27"/>
  <c r="BD499" i="27"/>
  <c r="BF499" i="27"/>
  <c r="BJ499" i="27"/>
  <c r="K500" i="27"/>
  <c r="Z500" i="27"/>
  <c r="AB500" i="27"/>
  <c r="AC500" i="27"/>
  <c r="AF500" i="27"/>
  <c r="AG500" i="27"/>
  <c r="AH500" i="27"/>
  <c r="AJ500" i="27"/>
  <c r="AK500" i="27"/>
  <c r="AL500" i="27"/>
  <c r="AO500" i="27"/>
  <c r="I500" i="27" s="1"/>
  <c r="AP500" i="27"/>
  <c r="BD500" i="27"/>
  <c r="BF500" i="27"/>
  <c r="BJ500" i="27"/>
  <c r="K501" i="27"/>
  <c r="AK501" i="27" s="1"/>
  <c r="AB501" i="27"/>
  <c r="AC501" i="27"/>
  <c r="AD501" i="27"/>
  <c r="AE501" i="27"/>
  <c r="AF501" i="27"/>
  <c r="AG501" i="27"/>
  <c r="AH501" i="27"/>
  <c r="AJ501" i="27"/>
  <c r="AL501" i="27"/>
  <c r="AO501" i="27"/>
  <c r="I501" i="27" s="1"/>
  <c r="AP501" i="27"/>
  <c r="BD501" i="27"/>
  <c r="BF501" i="27"/>
  <c r="BJ501" i="27"/>
  <c r="Z501" i="27" s="1"/>
  <c r="K503" i="27"/>
  <c r="Z503" i="27"/>
  <c r="AB503" i="27"/>
  <c r="AC503" i="27"/>
  <c r="AF503" i="27"/>
  <c r="AG503" i="27"/>
  <c r="AH503" i="27"/>
  <c r="AJ503" i="27"/>
  <c r="AK503" i="27"/>
  <c r="AL503" i="27"/>
  <c r="AO503" i="27"/>
  <c r="I503" i="27" s="1"/>
  <c r="AP503" i="27"/>
  <c r="AW503" i="27"/>
  <c r="BD503" i="27"/>
  <c r="BF503" i="27"/>
  <c r="BH503" i="27"/>
  <c r="AD503" i="27" s="1"/>
  <c r="BJ503" i="27"/>
  <c r="K504" i="27"/>
  <c r="Z504" i="27"/>
  <c r="AB504" i="27"/>
  <c r="AC504" i="27"/>
  <c r="AF504" i="27"/>
  <c r="AG504" i="27"/>
  <c r="AH504" i="27"/>
  <c r="AJ504" i="27"/>
  <c r="AK504" i="27"/>
  <c r="AL504" i="27"/>
  <c r="AO504" i="27"/>
  <c r="I504" i="27" s="1"/>
  <c r="AP504" i="27"/>
  <c r="J504" i="27" s="1"/>
  <c r="BD504" i="27"/>
  <c r="BF504" i="27"/>
  <c r="BI504" i="27"/>
  <c r="AE504" i="27" s="1"/>
  <c r="BJ504" i="27"/>
  <c r="K505" i="27"/>
  <c r="AK505" i="27" s="1"/>
  <c r="Z505" i="27"/>
  <c r="AB505" i="27"/>
  <c r="AC505" i="27"/>
  <c r="AF505" i="27"/>
  <c r="AG505" i="27"/>
  <c r="AH505" i="27"/>
  <c r="AJ505" i="27"/>
  <c r="AL505" i="27"/>
  <c r="AO505" i="27"/>
  <c r="I505" i="27" s="1"/>
  <c r="AP505" i="27"/>
  <c r="BD505" i="27"/>
  <c r="BF505" i="27"/>
  <c r="BH505" i="27"/>
  <c r="AD505" i="27" s="1"/>
  <c r="BI505" i="27"/>
  <c r="AE505" i="27" s="1"/>
  <c r="BJ505" i="27"/>
  <c r="K506" i="27"/>
  <c r="AK506" i="27" s="1"/>
  <c r="Z506" i="27"/>
  <c r="AB506" i="27"/>
  <c r="AC506" i="27"/>
  <c r="AF506" i="27"/>
  <c r="AG506" i="27"/>
  <c r="AH506" i="27"/>
  <c r="AJ506" i="27"/>
  <c r="AL506" i="27"/>
  <c r="AO506" i="27"/>
  <c r="BH506" i="27" s="1"/>
  <c r="AD506" i="27" s="1"/>
  <c r="AP506" i="27"/>
  <c r="J506" i="27" s="1"/>
  <c r="BD506" i="27"/>
  <c r="BF506" i="27"/>
  <c r="BJ506" i="27"/>
  <c r="K507" i="27"/>
  <c r="Z507" i="27"/>
  <c r="AB507" i="27"/>
  <c r="AC507" i="27"/>
  <c r="AF507" i="27"/>
  <c r="AG507" i="27"/>
  <c r="AH507" i="27"/>
  <c r="AJ507" i="27"/>
  <c r="AK507" i="27"/>
  <c r="AL507" i="27"/>
  <c r="AO507" i="27"/>
  <c r="AP507" i="27"/>
  <c r="BD507" i="27"/>
  <c r="BF507" i="27"/>
  <c r="BJ507" i="27"/>
  <c r="K509" i="27"/>
  <c r="Z509" i="27"/>
  <c r="AB509" i="27"/>
  <c r="AC509" i="27"/>
  <c r="AD509" i="27"/>
  <c r="AE509" i="27"/>
  <c r="AH509" i="27"/>
  <c r="AJ509" i="27"/>
  <c r="AL509" i="27"/>
  <c r="AO509" i="27"/>
  <c r="BH509" i="27" s="1"/>
  <c r="AF509" i="27" s="1"/>
  <c r="AP509" i="27"/>
  <c r="J509" i="27" s="1"/>
  <c r="BD509" i="27"/>
  <c r="BF509" i="27"/>
  <c r="BI509" i="27"/>
  <c r="AG509" i="27" s="1"/>
  <c r="BJ509" i="27"/>
  <c r="K510" i="27"/>
  <c r="Z510" i="27"/>
  <c r="AB510" i="27"/>
  <c r="AC510" i="27"/>
  <c r="AD510" i="27"/>
  <c r="AE510" i="27"/>
  <c r="AH510" i="27"/>
  <c r="AJ510" i="27"/>
  <c r="AK510" i="27"/>
  <c r="AL510" i="27"/>
  <c r="AO510" i="27"/>
  <c r="AP510" i="27"/>
  <c r="AX510" i="27" s="1"/>
  <c r="AW510" i="27"/>
  <c r="BD510" i="27"/>
  <c r="BF510" i="27"/>
  <c r="BJ510" i="27"/>
  <c r="K511" i="27"/>
  <c r="Z511" i="27"/>
  <c r="AB511" i="27"/>
  <c r="AC511" i="27"/>
  <c r="AD511" i="27"/>
  <c r="AE511" i="27"/>
  <c r="AH511" i="27"/>
  <c r="AJ511" i="27"/>
  <c r="AK511" i="27"/>
  <c r="AL511" i="27"/>
  <c r="AO511" i="27"/>
  <c r="I511" i="27" s="1"/>
  <c r="AP511" i="27"/>
  <c r="J511" i="27" s="1"/>
  <c r="AW511" i="27"/>
  <c r="BD511" i="27"/>
  <c r="BF511" i="27"/>
  <c r="BH511" i="27"/>
  <c r="AF511" i="27" s="1"/>
  <c r="BJ511" i="27"/>
  <c r="K512" i="27"/>
  <c r="Z512" i="27"/>
  <c r="AB512" i="27"/>
  <c r="AC512" i="27"/>
  <c r="AD512" i="27"/>
  <c r="AE512" i="27"/>
  <c r="AH512" i="27"/>
  <c r="AJ512" i="27"/>
  <c r="AK512" i="27"/>
  <c r="AL512" i="27"/>
  <c r="AO512" i="27"/>
  <c r="AP512" i="27"/>
  <c r="BI512" i="27" s="1"/>
  <c r="AG512" i="27" s="1"/>
  <c r="BD512" i="27"/>
  <c r="BF512" i="27"/>
  <c r="BJ512" i="27"/>
  <c r="K513" i="27"/>
  <c r="AK513" i="27" s="1"/>
  <c r="Z513" i="27"/>
  <c r="AD513" i="27"/>
  <c r="AE513" i="27"/>
  <c r="AF513" i="27"/>
  <c r="AG513" i="27"/>
  <c r="AH513" i="27"/>
  <c r="AJ513" i="27"/>
  <c r="AL513" i="27"/>
  <c r="AO513" i="27"/>
  <c r="BH513" i="27" s="1"/>
  <c r="AB513" i="27" s="1"/>
  <c r="AP513" i="27"/>
  <c r="J513" i="27" s="1"/>
  <c r="BD513" i="27"/>
  <c r="BF513" i="27"/>
  <c r="BI513" i="27"/>
  <c r="AC513" i="27" s="1"/>
  <c r="BJ513" i="27"/>
  <c r="K514" i="27"/>
  <c r="Z514" i="27"/>
  <c r="AD514" i="27"/>
  <c r="AE514" i="27"/>
  <c r="AF514" i="27"/>
  <c r="AG514" i="27"/>
  <c r="AH514" i="27"/>
  <c r="AJ514" i="27"/>
  <c r="AK514" i="27"/>
  <c r="AL514" i="27"/>
  <c r="AO514" i="27"/>
  <c r="I514" i="27" s="1"/>
  <c r="AP514" i="27"/>
  <c r="AX514" i="27" s="1"/>
  <c r="BD514" i="27"/>
  <c r="BF514" i="27"/>
  <c r="BJ514" i="27"/>
  <c r="K515" i="27"/>
  <c r="Z515" i="27"/>
  <c r="AD515" i="27"/>
  <c r="AE515" i="27"/>
  <c r="AF515" i="27"/>
  <c r="AG515" i="27"/>
  <c r="AH515" i="27"/>
  <c r="AJ515" i="27"/>
  <c r="AK515" i="27"/>
  <c r="AL515" i="27"/>
  <c r="AO515" i="27"/>
  <c r="I515" i="27" s="1"/>
  <c r="AP515" i="27"/>
  <c r="AW515" i="27"/>
  <c r="BD515" i="27"/>
  <c r="BF515" i="27"/>
  <c r="BJ515" i="27"/>
  <c r="K516" i="27"/>
  <c r="Z516" i="27"/>
  <c r="AD516" i="27"/>
  <c r="AE516" i="27"/>
  <c r="AF516" i="27"/>
  <c r="AG516" i="27"/>
  <c r="AH516" i="27"/>
  <c r="AJ516" i="27"/>
  <c r="AK516" i="27"/>
  <c r="AL516" i="27"/>
  <c r="AO516" i="27"/>
  <c r="I516" i="27" s="1"/>
  <c r="AP516" i="27"/>
  <c r="BI516" i="27" s="1"/>
  <c r="AC516" i="27" s="1"/>
  <c r="BD516" i="27"/>
  <c r="BF516" i="27"/>
  <c r="BH516" i="27"/>
  <c r="AB516" i="27" s="1"/>
  <c r="BJ516" i="27"/>
  <c r="K517" i="27"/>
  <c r="AK517" i="27" s="1"/>
  <c r="Z517" i="27"/>
  <c r="AD517" i="27"/>
  <c r="AE517" i="27"/>
  <c r="AF517" i="27"/>
  <c r="AG517" i="27"/>
  <c r="AH517" i="27"/>
  <c r="AJ517" i="27"/>
  <c r="AL517" i="27"/>
  <c r="AO517" i="27"/>
  <c r="BH517" i="27" s="1"/>
  <c r="AB517" i="27" s="1"/>
  <c r="AP517" i="27"/>
  <c r="J517" i="27" s="1"/>
  <c r="BD517" i="27"/>
  <c r="BF517" i="27"/>
  <c r="BI517" i="27"/>
  <c r="AC517" i="27" s="1"/>
  <c r="BJ517" i="27"/>
  <c r="K518" i="27"/>
  <c r="Z518" i="27"/>
  <c r="AD518" i="27"/>
  <c r="AE518" i="27"/>
  <c r="AF518" i="27"/>
  <c r="AG518" i="27"/>
  <c r="AH518" i="27"/>
  <c r="AJ518" i="27"/>
  <c r="AK518" i="27"/>
  <c r="AL518" i="27"/>
  <c r="AO518" i="27"/>
  <c r="I518" i="27" s="1"/>
  <c r="AP518" i="27"/>
  <c r="J518" i="27" s="1"/>
  <c r="AX518" i="27"/>
  <c r="BD518" i="27"/>
  <c r="BF518" i="27"/>
  <c r="BI518" i="27"/>
  <c r="AC518" i="27" s="1"/>
  <c r="BJ518" i="27"/>
  <c r="K519" i="27"/>
  <c r="Z519" i="27"/>
  <c r="AD519" i="27"/>
  <c r="AE519" i="27"/>
  <c r="AF519" i="27"/>
  <c r="AG519" i="27"/>
  <c r="AH519" i="27"/>
  <c r="AJ519" i="27"/>
  <c r="AK519" i="27"/>
  <c r="AL519" i="27"/>
  <c r="AO519" i="27"/>
  <c r="I519" i="27" s="1"/>
  <c r="AP519" i="27"/>
  <c r="BD519" i="27"/>
  <c r="BF519" i="27"/>
  <c r="BJ519" i="27"/>
  <c r="K520" i="27"/>
  <c r="Z520" i="27"/>
  <c r="AD520" i="27"/>
  <c r="AE520" i="27"/>
  <c r="AF520" i="27"/>
  <c r="AG520" i="27"/>
  <c r="AH520" i="27"/>
  <c r="AJ520" i="27"/>
  <c r="AK520" i="27"/>
  <c r="AL520" i="27"/>
  <c r="AO520" i="27"/>
  <c r="AP520" i="27"/>
  <c r="AW520" i="27"/>
  <c r="BD520" i="27"/>
  <c r="BF520" i="27"/>
  <c r="BJ520" i="27"/>
  <c r="K521" i="27"/>
  <c r="AK521" i="27" s="1"/>
  <c r="Z521" i="27"/>
  <c r="AD521" i="27"/>
  <c r="AE521" i="27"/>
  <c r="AF521" i="27"/>
  <c r="AG521" i="27"/>
  <c r="AH521" i="27"/>
  <c r="AJ521" i="27"/>
  <c r="AL521" i="27"/>
  <c r="AO521" i="27"/>
  <c r="AP521" i="27"/>
  <c r="J521" i="27" s="1"/>
  <c r="BD521" i="27"/>
  <c r="BF521" i="27"/>
  <c r="BH521" i="27"/>
  <c r="AB521" i="27" s="1"/>
  <c r="BJ521" i="27"/>
  <c r="K522" i="27"/>
  <c r="Z522" i="27"/>
  <c r="AD522" i="27"/>
  <c r="AE522" i="27"/>
  <c r="AF522" i="27"/>
  <c r="AG522" i="27"/>
  <c r="AH522" i="27"/>
  <c r="AJ522" i="27"/>
  <c r="AK522" i="27"/>
  <c r="AL522" i="27"/>
  <c r="AO522" i="27"/>
  <c r="I522" i="27" s="1"/>
  <c r="AP522" i="27"/>
  <c r="BI522" i="27" s="1"/>
  <c r="AC522" i="27" s="1"/>
  <c r="BD522" i="27"/>
  <c r="BF522" i="27"/>
  <c r="BH522" i="27"/>
  <c r="AB522" i="27" s="1"/>
  <c r="BJ522" i="27"/>
  <c r="K523" i="27"/>
  <c r="Z523" i="27"/>
  <c r="AD523" i="27"/>
  <c r="AE523" i="27"/>
  <c r="AF523" i="27"/>
  <c r="AG523" i="27"/>
  <c r="AH523" i="27"/>
  <c r="AJ523" i="27"/>
  <c r="AK523" i="27"/>
  <c r="AL523" i="27"/>
  <c r="AO523" i="27"/>
  <c r="AW523" i="27" s="1"/>
  <c r="AP523" i="27"/>
  <c r="BD523" i="27"/>
  <c r="BF523" i="27"/>
  <c r="BJ523" i="27"/>
  <c r="K524" i="27"/>
  <c r="Z524" i="27"/>
  <c r="AD524" i="27"/>
  <c r="AE524" i="27"/>
  <c r="AF524" i="27"/>
  <c r="AG524" i="27"/>
  <c r="AH524" i="27"/>
  <c r="AJ524" i="27"/>
  <c r="AK524" i="27"/>
  <c r="AL524" i="27"/>
  <c r="AO524" i="27"/>
  <c r="I524" i="27" s="1"/>
  <c r="AP524" i="27"/>
  <c r="BI524" i="27" s="1"/>
  <c r="AC524" i="27" s="1"/>
  <c r="BD524" i="27"/>
  <c r="BF524" i="27"/>
  <c r="BJ524" i="27"/>
  <c r="K525" i="27"/>
  <c r="AK525" i="27" s="1"/>
  <c r="Z525" i="27"/>
  <c r="AD525" i="27"/>
  <c r="AE525" i="27"/>
  <c r="AF525" i="27"/>
  <c r="AG525" i="27"/>
  <c r="AH525" i="27"/>
  <c r="AJ525" i="27"/>
  <c r="AL525" i="27"/>
  <c r="AO525" i="27"/>
  <c r="AP525" i="27"/>
  <c r="BD525" i="27"/>
  <c r="BF525" i="27"/>
  <c r="BH525" i="27"/>
  <c r="AB525" i="27" s="1"/>
  <c r="BJ525" i="27"/>
  <c r="K526" i="27"/>
  <c r="AK526" i="27" s="1"/>
  <c r="Z526" i="27"/>
  <c r="AD526" i="27"/>
  <c r="AE526" i="27"/>
  <c r="AF526" i="27"/>
  <c r="AG526" i="27"/>
  <c r="AH526" i="27"/>
  <c r="AJ526" i="27"/>
  <c r="AL526" i="27"/>
  <c r="AO526" i="27"/>
  <c r="AP526" i="27"/>
  <c r="BD526" i="27"/>
  <c r="BF526" i="27"/>
  <c r="BJ526" i="27"/>
  <c r="K527" i="27"/>
  <c r="AK527" i="27" s="1"/>
  <c r="Z527" i="27"/>
  <c r="AD527" i="27"/>
  <c r="AE527" i="27"/>
  <c r="AF527" i="27"/>
  <c r="AG527" i="27"/>
  <c r="AH527" i="27"/>
  <c r="AJ527" i="27"/>
  <c r="AL527" i="27"/>
  <c r="AO527" i="27"/>
  <c r="AW527" i="27" s="1"/>
  <c r="AP527" i="27"/>
  <c r="J527" i="27" s="1"/>
  <c r="BD527" i="27"/>
  <c r="BF527" i="27"/>
  <c r="BI527" i="27"/>
  <c r="AC527" i="27" s="1"/>
  <c r="BJ527" i="27"/>
  <c r="K528" i="27"/>
  <c r="Z528" i="27"/>
  <c r="AD528" i="27"/>
  <c r="AE528" i="27"/>
  <c r="AF528" i="27"/>
  <c r="AG528" i="27"/>
  <c r="AH528" i="27"/>
  <c r="AJ528" i="27"/>
  <c r="AK528" i="27"/>
  <c r="AL528" i="27"/>
  <c r="AO528" i="27"/>
  <c r="AP528" i="27"/>
  <c r="BI528" i="27" s="1"/>
  <c r="AC528" i="27" s="1"/>
  <c r="BD528" i="27"/>
  <c r="BF528" i="27"/>
  <c r="BJ528" i="27"/>
  <c r="K529" i="27"/>
  <c r="AK529" i="27" s="1"/>
  <c r="Z529" i="27"/>
  <c r="AD529" i="27"/>
  <c r="AE529" i="27"/>
  <c r="AF529" i="27"/>
  <c r="AG529" i="27"/>
  <c r="AH529" i="27"/>
  <c r="AJ529" i="27"/>
  <c r="AL529" i="27"/>
  <c r="AO529" i="27"/>
  <c r="BH529" i="27" s="1"/>
  <c r="AB529" i="27" s="1"/>
  <c r="AP529" i="27"/>
  <c r="J529" i="27" s="1"/>
  <c r="BD529" i="27"/>
  <c r="BF529" i="27"/>
  <c r="BI529" i="27"/>
  <c r="AC529" i="27" s="1"/>
  <c r="BJ529" i="27"/>
  <c r="J530" i="27"/>
  <c r="K530" i="27"/>
  <c r="AK530" i="27" s="1"/>
  <c r="Z530" i="27"/>
  <c r="AD530" i="27"/>
  <c r="AE530" i="27"/>
  <c r="AF530" i="27"/>
  <c r="AG530" i="27"/>
  <c r="AH530" i="27"/>
  <c r="AJ530" i="27"/>
  <c r="AL530" i="27"/>
  <c r="AO530" i="27"/>
  <c r="AP530" i="27"/>
  <c r="BD530" i="27"/>
  <c r="BF530" i="27"/>
  <c r="BH530" i="27"/>
  <c r="AB530" i="27" s="1"/>
  <c r="BJ530" i="27"/>
  <c r="K531" i="27"/>
  <c r="AK531" i="27" s="1"/>
  <c r="Z531" i="27"/>
  <c r="AD531" i="27"/>
  <c r="AE531" i="27"/>
  <c r="AF531" i="27"/>
  <c r="AG531" i="27"/>
  <c r="AH531" i="27"/>
  <c r="AJ531" i="27"/>
  <c r="AL531" i="27"/>
  <c r="AO531" i="27"/>
  <c r="I531" i="27" s="1"/>
  <c r="AP531" i="27"/>
  <c r="J531" i="27" s="1"/>
  <c r="BD531" i="27"/>
  <c r="BF531" i="27"/>
  <c r="BJ531" i="27"/>
  <c r="K532" i="27"/>
  <c r="Z532" i="27"/>
  <c r="AD532" i="27"/>
  <c r="AE532" i="27"/>
  <c r="AF532" i="27"/>
  <c r="AG532" i="27"/>
  <c r="AH532" i="27"/>
  <c r="AJ532" i="27"/>
  <c r="AK532" i="27"/>
  <c r="AL532" i="27"/>
  <c r="AO532" i="27"/>
  <c r="BH532" i="27" s="1"/>
  <c r="AB532" i="27" s="1"/>
  <c r="AP532" i="27"/>
  <c r="BI532" i="27" s="1"/>
  <c r="AC532" i="27" s="1"/>
  <c r="BD532" i="27"/>
  <c r="BF532" i="27"/>
  <c r="BJ532" i="27"/>
  <c r="K533" i="27"/>
  <c r="AK533" i="27" s="1"/>
  <c r="Z533" i="27"/>
  <c r="AD533" i="27"/>
  <c r="AE533" i="27"/>
  <c r="AF533" i="27"/>
  <c r="AG533" i="27"/>
  <c r="AH533" i="27"/>
  <c r="AJ533" i="27"/>
  <c r="AL533" i="27"/>
  <c r="AO533" i="27"/>
  <c r="AP533" i="27"/>
  <c r="J533" i="27" s="1"/>
  <c r="BD533" i="27"/>
  <c r="BF533" i="27"/>
  <c r="BJ533" i="27"/>
  <c r="K534" i="27"/>
  <c r="AK534" i="27" s="1"/>
  <c r="Z534" i="27"/>
  <c r="AD534" i="27"/>
  <c r="AE534" i="27"/>
  <c r="AF534" i="27"/>
  <c r="AG534" i="27"/>
  <c r="AH534" i="27"/>
  <c r="AJ534" i="27"/>
  <c r="AL534" i="27"/>
  <c r="AO534" i="27"/>
  <c r="AP534" i="27"/>
  <c r="J534" i="27" s="1"/>
  <c r="BD534" i="27"/>
  <c r="BF534" i="27"/>
  <c r="BJ534" i="27"/>
  <c r="K535" i="27"/>
  <c r="AK535" i="27" s="1"/>
  <c r="Z535" i="27"/>
  <c r="AD535" i="27"/>
  <c r="AE535" i="27"/>
  <c r="AF535" i="27"/>
  <c r="AG535" i="27"/>
  <c r="AH535" i="27"/>
  <c r="AJ535" i="27"/>
  <c r="AL535" i="27"/>
  <c r="AO535" i="27"/>
  <c r="I535" i="27" s="1"/>
  <c r="AP535" i="27"/>
  <c r="J535" i="27" s="1"/>
  <c r="BD535" i="27"/>
  <c r="BF535" i="27"/>
  <c r="BI535" i="27"/>
  <c r="AC535" i="27" s="1"/>
  <c r="BJ535" i="27"/>
  <c r="K536" i="27"/>
  <c r="Z536" i="27"/>
  <c r="AD536" i="27"/>
  <c r="AE536" i="27"/>
  <c r="AF536" i="27"/>
  <c r="AG536" i="27"/>
  <c r="AH536" i="27"/>
  <c r="AJ536" i="27"/>
  <c r="AK536" i="27"/>
  <c r="AL536" i="27"/>
  <c r="AO536" i="27"/>
  <c r="AP536" i="27"/>
  <c r="BI536" i="27" s="1"/>
  <c r="AC536" i="27" s="1"/>
  <c r="BD536" i="27"/>
  <c r="BF536" i="27"/>
  <c r="BJ536" i="27"/>
  <c r="K537" i="27"/>
  <c r="AK537" i="27" s="1"/>
  <c r="Z537" i="27"/>
  <c r="AD537" i="27"/>
  <c r="AE537" i="27"/>
  <c r="AF537" i="27"/>
  <c r="AG537" i="27"/>
  <c r="AH537" i="27"/>
  <c r="AJ537" i="27"/>
  <c r="AL537" i="27"/>
  <c r="AO537" i="27"/>
  <c r="BH537" i="27" s="1"/>
  <c r="AB537" i="27" s="1"/>
  <c r="AP537" i="27"/>
  <c r="J537" i="27" s="1"/>
  <c r="AX537" i="27"/>
  <c r="BD537" i="27"/>
  <c r="BF537" i="27"/>
  <c r="BI537" i="27"/>
  <c r="AC537" i="27" s="1"/>
  <c r="BJ537" i="27"/>
  <c r="K539" i="27"/>
  <c r="Z539" i="27"/>
  <c r="AB539" i="27"/>
  <c r="AC539" i="27"/>
  <c r="AD539" i="27"/>
  <c r="AE539" i="27"/>
  <c r="AH539" i="27"/>
  <c r="AJ539" i="27"/>
  <c r="AK539" i="27"/>
  <c r="AL539" i="27"/>
  <c r="AU538" i="27" s="1"/>
  <c r="AO539" i="27"/>
  <c r="I539" i="27" s="1"/>
  <c r="AP539" i="27"/>
  <c r="BI539" i="27" s="1"/>
  <c r="AG539" i="27" s="1"/>
  <c r="BD539" i="27"/>
  <c r="BF539" i="27"/>
  <c r="BJ539" i="27"/>
  <c r="K540" i="27"/>
  <c r="Z540" i="27"/>
  <c r="AB540" i="27"/>
  <c r="AC540" i="27"/>
  <c r="AD540" i="27"/>
  <c r="AE540" i="27"/>
  <c r="AH540" i="27"/>
  <c r="AJ540" i="27"/>
  <c r="AL540" i="27"/>
  <c r="AO540" i="27"/>
  <c r="BH540" i="27" s="1"/>
  <c r="AF540" i="27" s="1"/>
  <c r="AP540" i="27"/>
  <c r="BD540" i="27"/>
  <c r="BF540" i="27"/>
  <c r="BI540" i="27"/>
  <c r="AG540" i="27" s="1"/>
  <c r="BJ540" i="27"/>
  <c r="K542" i="27"/>
  <c r="Z542" i="27"/>
  <c r="AD542" i="27"/>
  <c r="AE542" i="27"/>
  <c r="AF542" i="27"/>
  <c r="AG542" i="27"/>
  <c r="AH542" i="27"/>
  <c r="AJ542" i="27"/>
  <c r="AK542" i="27"/>
  <c r="AL542" i="27"/>
  <c r="AO542" i="27"/>
  <c r="I542" i="27" s="1"/>
  <c r="AP542" i="27"/>
  <c r="BI542" i="27" s="1"/>
  <c r="AC542" i="27" s="1"/>
  <c r="BD542" i="27"/>
  <c r="BF542" i="27"/>
  <c r="BH542" i="27"/>
  <c r="AB542" i="27" s="1"/>
  <c r="BJ542" i="27"/>
  <c r="K543" i="27"/>
  <c r="Z543" i="27"/>
  <c r="AD543" i="27"/>
  <c r="AE543" i="27"/>
  <c r="AF543" i="27"/>
  <c r="AG543" i="27"/>
  <c r="AH543" i="27"/>
  <c r="AJ543" i="27"/>
  <c r="AL543" i="27"/>
  <c r="AO543" i="27"/>
  <c r="AP543" i="27"/>
  <c r="BI543" i="27" s="1"/>
  <c r="AC543" i="27" s="1"/>
  <c r="BD543" i="27"/>
  <c r="BF543" i="27"/>
  <c r="BJ543" i="27"/>
  <c r="K544" i="27"/>
  <c r="AK544" i="27" s="1"/>
  <c r="Z544" i="27"/>
  <c r="AD544" i="27"/>
  <c r="AE544" i="27"/>
  <c r="AF544" i="27"/>
  <c r="AG544" i="27"/>
  <c r="AH544" i="27"/>
  <c r="AJ544" i="27"/>
  <c r="AL544" i="27"/>
  <c r="AO544" i="27"/>
  <c r="I544" i="27" s="1"/>
  <c r="AP544" i="27"/>
  <c r="BD544" i="27"/>
  <c r="BF544" i="27"/>
  <c r="BJ544" i="27"/>
  <c r="K545" i="27"/>
  <c r="Z545" i="27"/>
  <c r="AD545" i="27"/>
  <c r="AE545" i="27"/>
  <c r="AF545" i="27"/>
  <c r="AG545" i="27"/>
  <c r="AH545" i="27"/>
  <c r="AJ545" i="27"/>
  <c r="AK545" i="27"/>
  <c r="AL545" i="27"/>
  <c r="AO545" i="27"/>
  <c r="I545" i="27" s="1"/>
  <c r="AP545" i="27"/>
  <c r="BD545" i="27"/>
  <c r="BF545" i="27"/>
  <c r="BI545" i="27"/>
  <c r="AC545" i="27" s="1"/>
  <c r="BJ545" i="27"/>
  <c r="K546" i="27"/>
  <c r="Z546" i="27"/>
  <c r="AD546" i="27"/>
  <c r="AE546" i="27"/>
  <c r="AF546" i="27"/>
  <c r="AG546" i="27"/>
  <c r="AH546" i="27"/>
  <c r="AJ546" i="27"/>
  <c r="AK546" i="27"/>
  <c r="AL546" i="27"/>
  <c r="AO546" i="27"/>
  <c r="I546" i="27" s="1"/>
  <c r="AP546" i="27"/>
  <c r="BI546" i="27" s="1"/>
  <c r="AC546" i="27" s="1"/>
  <c r="BD546" i="27"/>
  <c r="BF546" i="27"/>
  <c r="BJ546" i="27"/>
  <c r="K547" i="27"/>
  <c r="AK547" i="27" s="1"/>
  <c r="Z547" i="27"/>
  <c r="AD547" i="27"/>
  <c r="AE547" i="27"/>
  <c r="AF547" i="27"/>
  <c r="AG547" i="27"/>
  <c r="AH547" i="27"/>
  <c r="AJ547" i="27"/>
  <c r="AL547" i="27"/>
  <c r="AO547" i="27"/>
  <c r="BH547" i="27" s="1"/>
  <c r="AB547" i="27" s="1"/>
  <c r="AP547" i="27"/>
  <c r="J547" i="27" s="1"/>
  <c r="BD547" i="27"/>
  <c r="BF547" i="27"/>
  <c r="BJ547" i="27"/>
  <c r="K548" i="27"/>
  <c r="AK548" i="27" s="1"/>
  <c r="Z548" i="27"/>
  <c r="AD548" i="27"/>
  <c r="AE548" i="27"/>
  <c r="AF548" i="27"/>
  <c r="AG548" i="27"/>
  <c r="AH548" i="27"/>
  <c r="AJ548" i="27"/>
  <c r="AL548" i="27"/>
  <c r="AO548" i="27"/>
  <c r="AP548" i="27"/>
  <c r="BD548" i="27"/>
  <c r="BF548" i="27"/>
  <c r="BJ548" i="27"/>
  <c r="I549" i="27"/>
  <c r="K549" i="27"/>
  <c r="AK549" i="27" s="1"/>
  <c r="Z549" i="27"/>
  <c r="AD549" i="27"/>
  <c r="AE549" i="27"/>
  <c r="AF549" i="27"/>
  <c r="AG549" i="27"/>
  <c r="AH549" i="27"/>
  <c r="AJ549" i="27"/>
  <c r="AL549" i="27"/>
  <c r="AO549" i="27"/>
  <c r="AP549" i="27"/>
  <c r="J549" i="27" s="1"/>
  <c r="BD549" i="27"/>
  <c r="BF549" i="27"/>
  <c r="BJ549" i="27"/>
  <c r="K550" i="27"/>
  <c r="Z550" i="27"/>
  <c r="AD550" i="27"/>
  <c r="AE550" i="27"/>
  <c r="AF550" i="27"/>
  <c r="AG550" i="27"/>
  <c r="AH550" i="27"/>
  <c r="AJ550" i="27"/>
  <c r="AK550" i="27"/>
  <c r="AL550" i="27"/>
  <c r="AO550" i="27"/>
  <c r="I550" i="27" s="1"/>
  <c r="AP550" i="27"/>
  <c r="BI550" i="27" s="1"/>
  <c r="AC550" i="27" s="1"/>
  <c r="BD550" i="27"/>
  <c r="BF550" i="27"/>
  <c r="BH550" i="27"/>
  <c r="AB550" i="27" s="1"/>
  <c r="BJ550" i="27"/>
  <c r="K551" i="27"/>
  <c r="AK551" i="27" s="1"/>
  <c r="Z551" i="27"/>
  <c r="AD551" i="27"/>
  <c r="AE551" i="27"/>
  <c r="AF551" i="27"/>
  <c r="AG551" i="27"/>
  <c r="AH551" i="27"/>
  <c r="AJ551" i="27"/>
  <c r="AL551" i="27"/>
  <c r="AO551" i="27"/>
  <c r="BH551" i="27" s="1"/>
  <c r="AB551" i="27" s="1"/>
  <c r="AP551" i="27"/>
  <c r="J551" i="27" s="1"/>
  <c r="BD551" i="27"/>
  <c r="BF551" i="27"/>
  <c r="BI551" i="27"/>
  <c r="AC551" i="27" s="1"/>
  <c r="BJ551" i="27"/>
  <c r="J552" i="27"/>
  <c r="K552" i="27"/>
  <c r="AK552" i="27" s="1"/>
  <c r="Z552" i="27"/>
  <c r="AD552" i="27"/>
  <c r="AE552" i="27"/>
  <c r="AF552" i="27"/>
  <c r="AG552" i="27"/>
  <c r="AH552" i="27"/>
  <c r="AJ552" i="27"/>
  <c r="AL552" i="27"/>
  <c r="AO552" i="27"/>
  <c r="AP552" i="27"/>
  <c r="AX552" i="27" s="1"/>
  <c r="BD552" i="27"/>
  <c r="BF552" i="27"/>
  <c r="BJ552" i="27"/>
  <c r="K553" i="27"/>
  <c r="AK553" i="27" s="1"/>
  <c r="Z553" i="27"/>
  <c r="AD553" i="27"/>
  <c r="AE553" i="27"/>
  <c r="AF553" i="27"/>
  <c r="AG553" i="27"/>
  <c r="AH553" i="27"/>
  <c r="AJ553" i="27"/>
  <c r="AL553" i="27"/>
  <c r="AO553" i="27"/>
  <c r="I553" i="27" s="1"/>
  <c r="AP553" i="27"/>
  <c r="J553" i="27" s="1"/>
  <c r="BD553" i="27"/>
  <c r="BF553" i="27"/>
  <c r="BJ553" i="27"/>
  <c r="K554" i="27"/>
  <c r="Z554" i="27"/>
  <c r="AD554" i="27"/>
  <c r="AE554" i="27"/>
  <c r="AF554" i="27"/>
  <c r="AG554" i="27"/>
  <c r="AH554" i="27"/>
  <c r="AJ554" i="27"/>
  <c r="AK554" i="27"/>
  <c r="AL554" i="27"/>
  <c r="AO554" i="27"/>
  <c r="I554" i="27" s="1"/>
  <c r="AP554" i="27"/>
  <c r="BI554" i="27" s="1"/>
  <c r="AC554" i="27" s="1"/>
  <c r="BD554" i="27"/>
  <c r="BF554" i="27"/>
  <c r="BJ554" i="27"/>
  <c r="K555" i="27"/>
  <c r="AK555" i="27" s="1"/>
  <c r="Z555" i="27"/>
  <c r="AD555" i="27"/>
  <c r="AE555" i="27"/>
  <c r="AF555" i="27"/>
  <c r="AG555" i="27"/>
  <c r="AH555" i="27"/>
  <c r="AJ555" i="27"/>
  <c r="AL555" i="27"/>
  <c r="AO555" i="27"/>
  <c r="BH555" i="27" s="1"/>
  <c r="AB555" i="27" s="1"/>
  <c r="AP555" i="27"/>
  <c r="BD555" i="27"/>
  <c r="BF555" i="27"/>
  <c r="BI555" i="27"/>
  <c r="AC555" i="27" s="1"/>
  <c r="BJ555" i="27"/>
  <c r="K556" i="27"/>
  <c r="AK556" i="27" s="1"/>
  <c r="Z556" i="27"/>
  <c r="AD556" i="27"/>
  <c r="AE556" i="27"/>
  <c r="AF556" i="27"/>
  <c r="AG556" i="27"/>
  <c r="AH556" i="27"/>
  <c r="AJ556" i="27"/>
  <c r="AL556" i="27"/>
  <c r="AO556" i="27"/>
  <c r="I556" i="27" s="1"/>
  <c r="AP556" i="27"/>
  <c r="AX556" i="27" s="1"/>
  <c r="AW556" i="27"/>
  <c r="BD556" i="27"/>
  <c r="BF556" i="27"/>
  <c r="BI556" i="27"/>
  <c r="AC556" i="27" s="1"/>
  <c r="BJ556" i="27"/>
  <c r="K557" i="27"/>
  <c r="Z557" i="27"/>
  <c r="AD557" i="27"/>
  <c r="AE557" i="27"/>
  <c r="AF557" i="27"/>
  <c r="AG557" i="27"/>
  <c r="AH557" i="27"/>
  <c r="AJ557" i="27"/>
  <c r="AK557" i="27"/>
  <c r="AL557" i="27"/>
  <c r="AO557" i="27"/>
  <c r="I557" i="27" s="1"/>
  <c r="AP557" i="27"/>
  <c r="J557" i="27" s="1"/>
  <c r="BD557" i="27"/>
  <c r="BF557" i="27"/>
  <c r="BI557" i="27"/>
  <c r="AC557" i="27" s="1"/>
  <c r="BJ557" i="27"/>
  <c r="K558" i="27"/>
  <c r="Z558" i="27"/>
  <c r="AD558" i="27"/>
  <c r="AE558" i="27"/>
  <c r="AF558" i="27"/>
  <c r="AG558" i="27"/>
  <c r="AH558" i="27"/>
  <c r="AJ558" i="27"/>
  <c r="AK558" i="27"/>
  <c r="AL558" i="27"/>
  <c r="AO558" i="27"/>
  <c r="AP558" i="27"/>
  <c r="BI558" i="27" s="1"/>
  <c r="AC558" i="27" s="1"/>
  <c r="BD558" i="27"/>
  <c r="BF558" i="27"/>
  <c r="BH558" i="27"/>
  <c r="AB558" i="27" s="1"/>
  <c r="BJ558" i="27"/>
  <c r="K559" i="27"/>
  <c r="AK559" i="27" s="1"/>
  <c r="Z559" i="27"/>
  <c r="AD559" i="27"/>
  <c r="AE559" i="27"/>
  <c r="AF559" i="27"/>
  <c r="AG559" i="27"/>
  <c r="AH559" i="27"/>
  <c r="AJ559" i="27"/>
  <c r="AL559" i="27"/>
  <c r="AO559" i="27"/>
  <c r="BH559" i="27" s="1"/>
  <c r="AB559" i="27" s="1"/>
  <c r="AP559" i="27"/>
  <c r="J559" i="27" s="1"/>
  <c r="BD559" i="27"/>
  <c r="BF559" i="27"/>
  <c r="BJ559" i="27"/>
  <c r="K560" i="27"/>
  <c r="AK560" i="27" s="1"/>
  <c r="Z560" i="27"/>
  <c r="AD560" i="27"/>
  <c r="AE560" i="27"/>
  <c r="AF560" i="27"/>
  <c r="AG560" i="27"/>
  <c r="AH560" i="27"/>
  <c r="AJ560" i="27"/>
  <c r="AL560" i="27"/>
  <c r="AO560" i="27"/>
  <c r="AP560" i="27"/>
  <c r="AX560" i="27" s="1"/>
  <c r="BD560" i="27"/>
  <c r="BF560" i="27"/>
  <c r="BJ560" i="27"/>
  <c r="K561" i="27"/>
  <c r="AK561" i="27" s="1"/>
  <c r="Z561" i="27"/>
  <c r="AD561" i="27"/>
  <c r="AE561" i="27"/>
  <c r="AF561" i="27"/>
  <c r="AG561" i="27"/>
  <c r="AH561" i="27"/>
  <c r="AJ561" i="27"/>
  <c r="AL561" i="27"/>
  <c r="AO561" i="27"/>
  <c r="BH561" i="27" s="1"/>
  <c r="AB561" i="27" s="1"/>
  <c r="AP561" i="27"/>
  <c r="J561" i="27" s="1"/>
  <c r="BD561" i="27"/>
  <c r="BF561" i="27"/>
  <c r="BJ561" i="27"/>
  <c r="K562" i="27"/>
  <c r="Z562" i="27"/>
  <c r="AD562" i="27"/>
  <c r="AE562" i="27"/>
  <c r="AF562" i="27"/>
  <c r="AG562" i="27"/>
  <c r="AH562" i="27"/>
  <c r="AJ562" i="27"/>
  <c r="AK562" i="27"/>
  <c r="AL562" i="27"/>
  <c r="AO562" i="27"/>
  <c r="I562" i="27" s="1"/>
  <c r="AP562" i="27"/>
  <c r="BI562" i="27" s="1"/>
  <c r="AC562" i="27" s="1"/>
  <c r="BD562" i="27"/>
  <c r="BF562" i="27"/>
  <c r="BJ562" i="27"/>
  <c r="K563" i="27"/>
  <c r="AK563" i="27" s="1"/>
  <c r="Z563" i="27"/>
  <c r="AD563" i="27"/>
  <c r="AE563" i="27"/>
  <c r="AF563" i="27"/>
  <c r="AG563" i="27"/>
  <c r="AH563" i="27"/>
  <c r="AJ563" i="27"/>
  <c r="AL563" i="27"/>
  <c r="AO563" i="27"/>
  <c r="BH563" i="27" s="1"/>
  <c r="AB563" i="27" s="1"/>
  <c r="AP563" i="27"/>
  <c r="BD563" i="27"/>
  <c r="BF563" i="27"/>
  <c r="BJ563" i="27"/>
  <c r="K564" i="27"/>
  <c r="AK564" i="27" s="1"/>
  <c r="Z564" i="27"/>
  <c r="AD564" i="27"/>
  <c r="AE564" i="27"/>
  <c r="AF564" i="27"/>
  <c r="AG564" i="27"/>
  <c r="AH564" i="27"/>
  <c r="AJ564" i="27"/>
  <c r="AL564" i="27"/>
  <c r="AO564" i="27"/>
  <c r="AP564" i="27"/>
  <c r="AX564" i="27" s="1"/>
  <c r="BD564" i="27"/>
  <c r="BF564" i="27"/>
  <c r="BJ564" i="27"/>
  <c r="K565" i="27"/>
  <c r="AK565" i="27" s="1"/>
  <c r="Z565" i="27"/>
  <c r="AD565" i="27"/>
  <c r="AE565" i="27"/>
  <c r="AF565" i="27"/>
  <c r="AG565" i="27"/>
  <c r="AH565" i="27"/>
  <c r="AJ565" i="27"/>
  <c r="AL565" i="27"/>
  <c r="AO565" i="27"/>
  <c r="I565" i="27" s="1"/>
  <c r="AP565" i="27"/>
  <c r="J565" i="27" s="1"/>
  <c r="BD565" i="27"/>
  <c r="BF565" i="27"/>
  <c r="BJ565" i="27"/>
  <c r="K566" i="27"/>
  <c r="Z566" i="27"/>
  <c r="AD566" i="27"/>
  <c r="AE566" i="27"/>
  <c r="AF566" i="27"/>
  <c r="AG566" i="27"/>
  <c r="AH566" i="27"/>
  <c r="AJ566" i="27"/>
  <c r="AK566" i="27"/>
  <c r="AL566" i="27"/>
  <c r="AO566" i="27"/>
  <c r="I566" i="27" s="1"/>
  <c r="AP566" i="27"/>
  <c r="BI566" i="27" s="1"/>
  <c r="AC566" i="27" s="1"/>
  <c r="BD566" i="27"/>
  <c r="BF566" i="27"/>
  <c r="BH566" i="27"/>
  <c r="AB566" i="27" s="1"/>
  <c r="BJ566" i="27"/>
  <c r="K567" i="27"/>
  <c r="AK567" i="27" s="1"/>
  <c r="Z567" i="27"/>
  <c r="AD567" i="27"/>
  <c r="AE567" i="27"/>
  <c r="AF567" i="27"/>
  <c r="AG567" i="27"/>
  <c r="AH567" i="27"/>
  <c r="AJ567" i="27"/>
  <c r="AL567" i="27"/>
  <c r="AO567" i="27"/>
  <c r="BH567" i="27" s="1"/>
  <c r="AB567" i="27" s="1"/>
  <c r="AP567" i="27"/>
  <c r="BD567" i="27"/>
  <c r="BF567" i="27"/>
  <c r="BI567" i="27"/>
  <c r="AC567" i="27" s="1"/>
  <c r="BJ567" i="27"/>
  <c r="K568" i="27"/>
  <c r="AK568" i="27" s="1"/>
  <c r="Z568" i="27"/>
  <c r="AD568" i="27"/>
  <c r="AE568" i="27"/>
  <c r="AF568" i="27"/>
  <c r="AG568" i="27"/>
  <c r="AH568" i="27"/>
  <c r="AJ568" i="27"/>
  <c r="AL568" i="27"/>
  <c r="AO568" i="27"/>
  <c r="AP568" i="27"/>
  <c r="AX568" i="27" s="1"/>
  <c r="BD568" i="27"/>
  <c r="BF568" i="27"/>
  <c r="BJ568" i="27"/>
  <c r="K569" i="27"/>
  <c r="AK569" i="27" s="1"/>
  <c r="Z569" i="27"/>
  <c r="AD569" i="27"/>
  <c r="AE569" i="27"/>
  <c r="AF569" i="27"/>
  <c r="AG569" i="27"/>
  <c r="AH569" i="27"/>
  <c r="AJ569" i="27"/>
  <c r="AL569" i="27"/>
  <c r="AO569" i="27"/>
  <c r="AW569" i="27" s="1"/>
  <c r="AP569" i="27"/>
  <c r="J569" i="27" s="1"/>
  <c r="BD569" i="27"/>
  <c r="BF569" i="27"/>
  <c r="BH569" i="27"/>
  <c r="AB569" i="27" s="1"/>
  <c r="BI569" i="27"/>
  <c r="AC569" i="27" s="1"/>
  <c r="BJ569" i="27"/>
  <c r="K570" i="27"/>
  <c r="Z570" i="27"/>
  <c r="AD570" i="27"/>
  <c r="AE570" i="27"/>
  <c r="AF570" i="27"/>
  <c r="AG570" i="27"/>
  <c r="AH570" i="27"/>
  <c r="AJ570" i="27"/>
  <c r="AK570" i="27"/>
  <c r="AL570" i="27"/>
  <c r="AO570" i="27"/>
  <c r="I570" i="27" s="1"/>
  <c r="AP570" i="27"/>
  <c r="BI570" i="27" s="1"/>
  <c r="AC570" i="27" s="1"/>
  <c r="BD570" i="27"/>
  <c r="BF570" i="27"/>
  <c r="BJ570" i="27"/>
  <c r="K571" i="27"/>
  <c r="AK571" i="27" s="1"/>
  <c r="Z571" i="27"/>
  <c r="AD571" i="27"/>
  <c r="AE571" i="27"/>
  <c r="AF571" i="27"/>
  <c r="AG571" i="27"/>
  <c r="AH571" i="27"/>
  <c r="AJ571" i="27"/>
  <c r="AL571" i="27"/>
  <c r="AO571" i="27"/>
  <c r="BH571" i="27" s="1"/>
  <c r="AB571" i="27" s="1"/>
  <c r="AP571" i="27"/>
  <c r="J571" i="27" s="1"/>
  <c r="AX571" i="27"/>
  <c r="BD571" i="27"/>
  <c r="BF571" i="27"/>
  <c r="BI571" i="27"/>
  <c r="AC571" i="27" s="1"/>
  <c r="BJ571" i="27"/>
  <c r="K572" i="27"/>
  <c r="AK572" i="27" s="1"/>
  <c r="Z572" i="27"/>
  <c r="AD572" i="27"/>
  <c r="AE572" i="27"/>
  <c r="AF572" i="27"/>
  <c r="AG572" i="27"/>
  <c r="AH572" i="27"/>
  <c r="AJ572" i="27"/>
  <c r="AL572" i="27"/>
  <c r="AO572" i="27"/>
  <c r="AP572" i="27"/>
  <c r="AX572" i="27" s="1"/>
  <c r="BD572" i="27"/>
  <c r="BF572" i="27"/>
  <c r="BJ572" i="27"/>
  <c r="K573" i="27"/>
  <c r="AK573" i="27" s="1"/>
  <c r="Z573" i="27"/>
  <c r="AD573" i="27"/>
  <c r="AE573" i="27"/>
  <c r="AF573" i="27"/>
  <c r="AG573" i="27"/>
  <c r="AH573" i="27"/>
  <c r="AJ573" i="27"/>
  <c r="AL573" i="27"/>
  <c r="AO573" i="27"/>
  <c r="I573" i="27" s="1"/>
  <c r="AP573" i="27"/>
  <c r="J573" i="27" s="1"/>
  <c r="BD573" i="27"/>
  <c r="BF573" i="27"/>
  <c r="BI573" i="27"/>
  <c r="AC573" i="27" s="1"/>
  <c r="BJ573" i="27"/>
  <c r="K574" i="27"/>
  <c r="Z574" i="27"/>
  <c r="AD574" i="27"/>
  <c r="AE574" i="27"/>
  <c r="AF574" i="27"/>
  <c r="AG574" i="27"/>
  <c r="AH574" i="27"/>
  <c r="AJ574" i="27"/>
  <c r="AK574" i="27"/>
  <c r="AL574" i="27"/>
  <c r="AO574" i="27"/>
  <c r="I574" i="27" s="1"/>
  <c r="AP574" i="27"/>
  <c r="BI574" i="27" s="1"/>
  <c r="AC574" i="27" s="1"/>
  <c r="BD574" i="27"/>
  <c r="BF574" i="27"/>
  <c r="BJ574" i="27"/>
  <c r="K575" i="27"/>
  <c r="AK575" i="27" s="1"/>
  <c r="Z575" i="27"/>
  <c r="AD575" i="27"/>
  <c r="AE575" i="27"/>
  <c r="AF575" i="27"/>
  <c r="AG575" i="27"/>
  <c r="AH575" i="27"/>
  <c r="AJ575" i="27"/>
  <c r="AL575" i="27"/>
  <c r="AO575" i="27"/>
  <c r="BH575" i="27" s="1"/>
  <c r="AB575" i="27" s="1"/>
  <c r="AP575" i="27"/>
  <c r="BD575" i="27"/>
  <c r="BF575" i="27"/>
  <c r="BJ575" i="27"/>
  <c r="K576" i="27"/>
  <c r="AK576" i="27" s="1"/>
  <c r="Z576" i="27"/>
  <c r="AD576" i="27"/>
  <c r="AE576" i="27"/>
  <c r="AF576" i="27"/>
  <c r="AG576" i="27"/>
  <c r="AH576" i="27"/>
  <c r="AJ576" i="27"/>
  <c r="AL576" i="27"/>
  <c r="AO576" i="27"/>
  <c r="AP576" i="27"/>
  <c r="BD576" i="27"/>
  <c r="BF576" i="27"/>
  <c r="BJ576" i="27"/>
  <c r="K577" i="27"/>
  <c r="AK577" i="27" s="1"/>
  <c r="Z577" i="27"/>
  <c r="AD577" i="27"/>
  <c r="AE577" i="27"/>
  <c r="AF577" i="27"/>
  <c r="AG577" i="27"/>
  <c r="AH577" i="27"/>
  <c r="AJ577" i="27"/>
  <c r="AL577" i="27"/>
  <c r="AO577" i="27"/>
  <c r="I577" i="27" s="1"/>
  <c r="AP577" i="27"/>
  <c r="BD577" i="27"/>
  <c r="BF577" i="27"/>
  <c r="BI577" i="27"/>
  <c r="AC577" i="27" s="1"/>
  <c r="BJ577" i="27"/>
  <c r="K578" i="27"/>
  <c r="Z578" i="27"/>
  <c r="AD578" i="27"/>
  <c r="AE578" i="27"/>
  <c r="AF578" i="27"/>
  <c r="AG578" i="27"/>
  <c r="AH578" i="27"/>
  <c r="AJ578" i="27"/>
  <c r="AK578" i="27"/>
  <c r="AL578" i="27"/>
  <c r="AO578" i="27"/>
  <c r="I578" i="27" s="1"/>
  <c r="AP578" i="27"/>
  <c r="BD578" i="27"/>
  <c r="BF578" i="27"/>
  <c r="BI578" i="27"/>
  <c r="AC578" i="27" s="1"/>
  <c r="BJ578" i="27"/>
  <c r="K579" i="27"/>
  <c r="AK579" i="27" s="1"/>
  <c r="Z579" i="27"/>
  <c r="AD579" i="27"/>
  <c r="AE579" i="27"/>
  <c r="AF579" i="27"/>
  <c r="AG579" i="27"/>
  <c r="AH579" i="27"/>
  <c r="AJ579" i="27"/>
  <c r="AL579" i="27"/>
  <c r="AO579" i="27"/>
  <c r="AP579" i="27"/>
  <c r="J579" i="27" s="1"/>
  <c r="BD579" i="27"/>
  <c r="BF579" i="27"/>
  <c r="BJ579" i="27"/>
  <c r="K580" i="27"/>
  <c r="Z580" i="27"/>
  <c r="AD580" i="27"/>
  <c r="AE580" i="27"/>
  <c r="AF580" i="27"/>
  <c r="AG580" i="27"/>
  <c r="AH580" i="27"/>
  <c r="AJ580" i="27"/>
  <c r="AK580" i="27"/>
  <c r="AL580" i="27"/>
  <c r="AO580" i="27"/>
  <c r="I580" i="27" s="1"/>
  <c r="AP580" i="27"/>
  <c r="AX580" i="27" s="1"/>
  <c r="AW580" i="27"/>
  <c r="BD580" i="27"/>
  <c r="BF580" i="27"/>
  <c r="BI580" i="27"/>
  <c r="AC580" i="27" s="1"/>
  <c r="BJ580" i="27"/>
  <c r="K581" i="27"/>
  <c r="Z581" i="27"/>
  <c r="AD581" i="27"/>
  <c r="AE581" i="27"/>
  <c r="AF581" i="27"/>
  <c r="AG581" i="27"/>
  <c r="AH581" i="27"/>
  <c r="AJ581" i="27"/>
  <c r="AK581" i="27"/>
  <c r="AL581" i="27"/>
  <c r="AO581" i="27"/>
  <c r="AW581" i="27" s="1"/>
  <c r="AP581" i="27"/>
  <c r="J581" i="27" s="1"/>
  <c r="BD581" i="27"/>
  <c r="BF581" i="27"/>
  <c r="BJ581" i="27"/>
  <c r="K582" i="27"/>
  <c r="Z582" i="27"/>
  <c r="AD582" i="27"/>
  <c r="AE582" i="27"/>
  <c r="AF582" i="27"/>
  <c r="AG582" i="27"/>
  <c r="AH582" i="27"/>
  <c r="AJ582" i="27"/>
  <c r="AK582" i="27"/>
  <c r="AL582" i="27"/>
  <c r="AO582" i="27"/>
  <c r="I582" i="27" s="1"/>
  <c r="AP582" i="27"/>
  <c r="BD582" i="27"/>
  <c r="BF582" i="27"/>
  <c r="BH582" i="27"/>
  <c r="AB582" i="27" s="1"/>
  <c r="BJ582" i="27"/>
  <c r="K583" i="27"/>
  <c r="AK583" i="27" s="1"/>
  <c r="Z583" i="27"/>
  <c r="AD583" i="27"/>
  <c r="AE583" i="27"/>
  <c r="AF583" i="27"/>
  <c r="AG583" i="27"/>
  <c r="AH583" i="27"/>
  <c r="AJ583" i="27"/>
  <c r="AL583" i="27"/>
  <c r="AO583" i="27"/>
  <c r="AP583" i="27"/>
  <c r="J583" i="27" s="1"/>
  <c r="BD583" i="27"/>
  <c r="BF583" i="27"/>
  <c r="BI583" i="27"/>
  <c r="AC583" i="27" s="1"/>
  <c r="BJ583" i="27"/>
  <c r="K584" i="27"/>
  <c r="Z584" i="27"/>
  <c r="AD584" i="27"/>
  <c r="AE584" i="27"/>
  <c r="AF584" i="27"/>
  <c r="AG584" i="27"/>
  <c r="AH584" i="27"/>
  <c r="AJ584" i="27"/>
  <c r="AK584" i="27"/>
  <c r="AL584" i="27"/>
  <c r="AO584" i="27"/>
  <c r="AP584" i="27"/>
  <c r="AX584" i="27" s="1"/>
  <c r="BD584" i="27"/>
  <c r="BF584" i="27"/>
  <c r="BI584" i="27"/>
  <c r="AC584" i="27" s="1"/>
  <c r="BJ584" i="27"/>
  <c r="K585" i="27"/>
  <c r="Z585" i="27"/>
  <c r="AD585" i="27"/>
  <c r="AE585" i="27"/>
  <c r="AF585" i="27"/>
  <c r="AG585" i="27"/>
  <c r="AH585" i="27"/>
  <c r="AJ585" i="27"/>
  <c r="AK585" i="27"/>
  <c r="AL585" i="27"/>
  <c r="AO585" i="27"/>
  <c r="BH585" i="27" s="1"/>
  <c r="AB585" i="27" s="1"/>
  <c r="AP585" i="27"/>
  <c r="J585" i="27" s="1"/>
  <c r="BD585" i="27"/>
  <c r="BF585" i="27"/>
  <c r="BI585" i="27"/>
  <c r="AC585" i="27" s="1"/>
  <c r="BJ585" i="27"/>
  <c r="K586" i="27"/>
  <c r="Z586" i="27"/>
  <c r="AD586" i="27"/>
  <c r="AE586" i="27"/>
  <c r="AF586" i="27"/>
  <c r="AG586" i="27"/>
  <c r="AH586" i="27"/>
  <c r="AJ586" i="27"/>
  <c r="AK586" i="27"/>
  <c r="AL586" i="27"/>
  <c r="AO586" i="27"/>
  <c r="I586" i="27" s="1"/>
  <c r="AP586" i="27"/>
  <c r="BD586" i="27"/>
  <c r="BF586" i="27"/>
  <c r="BH586" i="27"/>
  <c r="AB586" i="27" s="1"/>
  <c r="BJ586" i="27"/>
  <c r="K587" i="27"/>
  <c r="AK587" i="27" s="1"/>
  <c r="Z587" i="27"/>
  <c r="AD587" i="27"/>
  <c r="AE587" i="27"/>
  <c r="AF587" i="27"/>
  <c r="AG587" i="27"/>
  <c r="AH587" i="27"/>
  <c r="AJ587" i="27"/>
  <c r="AL587" i="27"/>
  <c r="AO587" i="27"/>
  <c r="BH587" i="27" s="1"/>
  <c r="AB587" i="27" s="1"/>
  <c r="AP587" i="27"/>
  <c r="J587" i="27" s="1"/>
  <c r="BD587" i="27"/>
  <c r="BF587" i="27"/>
  <c r="BJ587" i="27"/>
  <c r="K588" i="27"/>
  <c r="AK588" i="27" s="1"/>
  <c r="Z588" i="27"/>
  <c r="AD588" i="27"/>
  <c r="AE588" i="27"/>
  <c r="AF588" i="27"/>
  <c r="AG588" i="27"/>
  <c r="AH588" i="27"/>
  <c r="AJ588" i="27"/>
  <c r="AL588" i="27"/>
  <c r="AO588" i="27"/>
  <c r="I588" i="27" s="1"/>
  <c r="AP588" i="27"/>
  <c r="BI588" i="27" s="1"/>
  <c r="AC588" i="27" s="1"/>
  <c r="BD588" i="27"/>
  <c r="BF588" i="27"/>
  <c r="BH588" i="27"/>
  <c r="AB588" i="27" s="1"/>
  <c r="BJ588" i="27"/>
  <c r="K589" i="27"/>
  <c r="Z589" i="27"/>
  <c r="AD589" i="27"/>
  <c r="AE589" i="27"/>
  <c r="AF589" i="27"/>
  <c r="AG589" i="27"/>
  <c r="AH589" i="27"/>
  <c r="AJ589" i="27"/>
  <c r="AK589" i="27"/>
  <c r="AL589" i="27"/>
  <c r="AO589" i="27"/>
  <c r="I589" i="27" s="1"/>
  <c r="AP589" i="27"/>
  <c r="J589" i="27" s="1"/>
  <c r="BD589" i="27"/>
  <c r="BF589" i="27"/>
  <c r="BI589" i="27"/>
  <c r="AC589" i="27" s="1"/>
  <c r="BJ589" i="27"/>
  <c r="K590" i="27"/>
  <c r="Z590" i="27"/>
  <c r="AD590" i="27"/>
  <c r="AE590" i="27"/>
  <c r="AF590" i="27"/>
  <c r="AG590" i="27"/>
  <c r="AH590" i="27"/>
  <c r="AJ590" i="27"/>
  <c r="AK590" i="27"/>
  <c r="AL590" i="27"/>
  <c r="AO590" i="27"/>
  <c r="AP590" i="27"/>
  <c r="BI590" i="27" s="1"/>
  <c r="AC590" i="27" s="1"/>
  <c r="BD590" i="27"/>
  <c r="BF590" i="27"/>
  <c r="BH590" i="27"/>
  <c r="AB590" i="27" s="1"/>
  <c r="BJ590" i="27"/>
  <c r="K591" i="27"/>
  <c r="AK591" i="27" s="1"/>
  <c r="Z591" i="27"/>
  <c r="AD591" i="27"/>
  <c r="AE591" i="27"/>
  <c r="AF591" i="27"/>
  <c r="AG591" i="27"/>
  <c r="AH591" i="27"/>
  <c r="AJ591" i="27"/>
  <c r="AL591" i="27"/>
  <c r="AO591" i="27"/>
  <c r="BH591" i="27" s="1"/>
  <c r="AB591" i="27" s="1"/>
  <c r="AP591" i="27"/>
  <c r="BD591" i="27"/>
  <c r="BF591" i="27"/>
  <c r="BJ591" i="27"/>
  <c r="K592" i="27"/>
  <c r="Z592" i="27"/>
  <c r="AD592" i="27"/>
  <c r="AE592" i="27"/>
  <c r="AF592" i="27"/>
  <c r="AG592" i="27"/>
  <c r="AH592" i="27"/>
  <c r="AJ592" i="27"/>
  <c r="AK592" i="27"/>
  <c r="AL592" i="27"/>
  <c r="AO592" i="27"/>
  <c r="I592" i="27" s="1"/>
  <c r="AP592" i="27"/>
  <c r="AX592" i="27" s="1"/>
  <c r="BD592" i="27"/>
  <c r="BF592" i="27"/>
  <c r="BI592" i="27"/>
  <c r="AC592" i="27" s="1"/>
  <c r="BJ592" i="27"/>
  <c r="I593" i="27"/>
  <c r="K593" i="27"/>
  <c r="Z593" i="27"/>
  <c r="AD593" i="27"/>
  <c r="AE593" i="27"/>
  <c r="AF593" i="27"/>
  <c r="AG593" i="27"/>
  <c r="AH593" i="27"/>
  <c r="AJ593" i="27"/>
  <c r="AK593" i="27"/>
  <c r="AL593" i="27"/>
  <c r="AO593" i="27"/>
  <c r="AP593" i="27"/>
  <c r="J593" i="27" s="1"/>
  <c r="AW593" i="27"/>
  <c r="BD593" i="27"/>
  <c r="BF593" i="27"/>
  <c r="BH593" i="27"/>
  <c r="AB593" i="27" s="1"/>
  <c r="BJ593" i="27"/>
  <c r="K594" i="27"/>
  <c r="Z594" i="27"/>
  <c r="AD594" i="27"/>
  <c r="AE594" i="27"/>
  <c r="AF594" i="27"/>
  <c r="AG594" i="27"/>
  <c r="AH594" i="27"/>
  <c r="AJ594" i="27"/>
  <c r="AK594" i="27"/>
  <c r="AL594" i="27"/>
  <c r="AO594" i="27"/>
  <c r="AP594" i="27"/>
  <c r="BI594" i="27" s="1"/>
  <c r="AC594" i="27" s="1"/>
  <c r="BD594" i="27"/>
  <c r="BF594" i="27"/>
  <c r="BJ594" i="27"/>
  <c r="K595" i="27"/>
  <c r="AK595" i="27" s="1"/>
  <c r="Z595" i="27"/>
  <c r="AD595" i="27"/>
  <c r="AE595" i="27"/>
  <c r="AF595" i="27"/>
  <c r="AG595" i="27"/>
  <c r="AH595" i="27"/>
  <c r="AJ595" i="27"/>
  <c r="AL595" i="27"/>
  <c r="AO595" i="27"/>
  <c r="AP595" i="27"/>
  <c r="J595" i="27" s="1"/>
  <c r="BD595" i="27"/>
  <c r="BF595" i="27"/>
  <c r="BH595" i="27"/>
  <c r="AB595" i="27" s="1"/>
  <c r="BJ595" i="27"/>
  <c r="K596" i="27"/>
  <c r="Z596" i="27"/>
  <c r="AD596" i="27"/>
  <c r="AE596" i="27"/>
  <c r="AF596" i="27"/>
  <c r="AG596" i="27"/>
  <c r="AH596" i="27"/>
  <c r="AJ596" i="27"/>
  <c r="AK596" i="27"/>
  <c r="AL596" i="27"/>
  <c r="AO596" i="27"/>
  <c r="I596" i="27" s="1"/>
  <c r="AP596" i="27"/>
  <c r="BD596" i="27"/>
  <c r="BF596" i="27"/>
  <c r="BI596" i="27"/>
  <c r="AC596" i="27" s="1"/>
  <c r="BJ596" i="27"/>
  <c r="K597" i="27"/>
  <c r="AK597" i="27" s="1"/>
  <c r="Z597" i="27"/>
  <c r="AD597" i="27"/>
  <c r="AE597" i="27"/>
  <c r="AF597" i="27"/>
  <c r="AG597" i="27"/>
  <c r="AH597" i="27"/>
  <c r="AJ597" i="27"/>
  <c r="AL597" i="27"/>
  <c r="AO597" i="27"/>
  <c r="I597" i="27" s="1"/>
  <c r="AP597" i="27"/>
  <c r="BD597" i="27"/>
  <c r="BF597" i="27"/>
  <c r="BH597" i="27"/>
  <c r="AB597" i="27" s="1"/>
  <c r="BJ597" i="27"/>
  <c r="K598" i="27"/>
  <c r="Z598" i="27"/>
  <c r="AD598" i="27"/>
  <c r="AE598" i="27"/>
  <c r="AF598" i="27"/>
  <c r="AG598" i="27"/>
  <c r="AH598" i="27"/>
  <c r="AJ598" i="27"/>
  <c r="AK598" i="27"/>
  <c r="AL598" i="27"/>
  <c r="AO598" i="27"/>
  <c r="I598" i="27" s="1"/>
  <c r="AP598" i="27"/>
  <c r="BD598" i="27"/>
  <c r="BF598" i="27"/>
  <c r="BJ598" i="27"/>
  <c r="K599" i="27"/>
  <c r="AK599" i="27" s="1"/>
  <c r="Z599" i="27"/>
  <c r="AD599" i="27"/>
  <c r="AE599" i="27"/>
  <c r="AF599" i="27"/>
  <c r="AG599" i="27"/>
  <c r="AH599" i="27"/>
  <c r="AJ599" i="27"/>
  <c r="AL599" i="27"/>
  <c r="AO599" i="27"/>
  <c r="BH599" i="27" s="1"/>
  <c r="AB599" i="27" s="1"/>
  <c r="AP599" i="27"/>
  <c r="J599" i="27" s="1"/>
  <c r="BD599" i="27"/>
  <c r="BF599" i="27"/>
  <c r="BJ599" i="27"/>
  <c r="K600" i="27"/>
  <c r="Z600" i="27"/>
  <c r="AD600" i="27"/>
  <c r="AE600" i="27"/>
  <c r="AF600" i="27"/>
  <c r="AG600" i="27"/>
  <c r="AH600" i="27"/>
  <c r="AJ600" i="27"/>
  <c r="AK600" i="27"/>
  <c r="AL600" i="27"/>
  <c r="AO600" i="27"/>
  <c r="I600" i="27" s="1"/>
  <c r="AP600" i="27"/>
  <c r="J600" i="27" s="1"/>
  <c r="BD600" i="27"/>
  <c r="BF600" i="27"/>
  <c r="BJ600" i="27"/>
  <c r="K601" i="27"/>
  <c r="Z601" i="27"/>
  <c r="AD601" i="27"/>
  <c r="AE601" i="27"/>
  <c r="AF601" i="27"/>
  <c r="AG601" i="27"/>
  <c r="AH601" i="27"/>
  <c r="AJ601" i="27"/>
  <c r="AK601" i="27"/>
  <c r="AL601" i="27"/>
  <c r="AO601" i="27"/>
  <c r="I601" i="27" s="1"/>
  <c r="AP601" i="27"/>
  <c r="AW601" i="27"/>
  <c r="BD601" i="27"/>
  <c r="BF601" i="27"/>
  <c r="BJ601" i="27"/>
  <c r="K602" i="27"/>
  <c r="Z602" i="27"/>
  <c r="AD602" i="27"/>
  <c r="AE602" i="27"/>
  <c r="AF602" i="27"/>
  <c r="AG602" i="27"/>
  <c r="AH602" i="27"/>
  <c r="AJ602" i="27"/>
  <c r="AK602" i="27"/>
  <c r="AL602" i="27"/>
  <c r="AO602" i="27"/>
  <c r="I602" i="27" s="1"/>
  <c r="AP602" i="27"/>
  <c r="BI602" i="27" s="1"/>
  <c r="AC602" i="27" s="1"/>
  <c r="BD602" i="27"/>
  <c r="BF602" i="27"/>
  <c r="BJ602" i="27"/>
  <c r="K603" i="27"/>
  <c r="AK603" i="27" s="1"/>
  <c r="Z603" i="27"/>
  <c r="AD603" i="27"/>
  <c r="AE603" i="27"/>
  <c r="AF603" i="27"/>
  <c r="AG603" i="27"/>
  <c r="AH603" i="27"/>
  <c r="AJ603" i="27"/>
  <c r="AL603" i="27"/>
  <c r="AO603" i="27"/>
  <c r="AP603" i="27"/>
  <c r="J603" i="27" s="1"/>
  <c r="BD603" i="27"/>
  <c r="BF603" i="27"/>
  <c r="BI603" i="27"/>
  <c r="AC603" i="27" s="1"/>
  <c r="BJ603" i="27"/>
  <c r="K604" i="27"/>
  <c r="AK604" i="27" s="1"/>
  <c r="Z604" i="27"/>
  <c r="AD604" i="27"/>
  <c r="AE604" i="27"/>
  <c r="AF604" i="27"/>
  <c r="AG604" i="27"/>
  <c r="AH604" i="27"/>
  <c r="AJ604" i="27"/>
  <c r="AL604" i="27"/>
  <c r="AO604" i="27"/>
  <c r="I604" i="27" s="1"/>
  <c r="AP604" i="27"/>
  <c r="BD604" i="27"/>
  <c r="BF604" i="27"/>
  <c r="BH604" i="27"/>
  <c r="AB604" i="27" s="1"/>
  <c r="BJ604" i="27"/>
  <c r="K605" i="27"/>
  <c r="Z605" i="27"/>
  <c r="AD605" i="27"/>
  <c r="AE605" i="27"/>
  <c r="AF605" i="27"/>
  <c r="AG605" i="27"/>
  <c r="AH605" i="27"/>
  <c r="AJ605" i="27"/>
  <c r="AK605" i="27"/>
  <c r="AL605" i="27"/>
  <c r="AO605" i="27"/>
  <c r="I605" i="27" s="1"/>
  <c r="AP605" i="27"/>
  <c r="BD605" i="27"/>
  <c r="BF605" i="27"/>
  <c r="BJ605" i="27"/>
  <c r="K606" i="27"/>
  <c r="Z606" i="27"/>
  <c r="AD606" i="27"/>
  <c r="AE606" i="27"/>
  <c r="AF606" i="27"/>
  <c r="AG606" i="27"/>
  <c r="AH606" i="27"/>
  <c r="AJ606" i="27"/>
  <c r="AK606" i="27"/>
  <c r="AL606" i="27"/>
  <c r="AO606" i="27"/>
  <c r="I606" i="27" s="1"/>
  <c r="AP606" i="27"/>
  <c r="BI606" i="27" s="1"/>
  <c r="AC606" i="27" s="1"/>
  <c r="BD606" i="27"/>
  <c r="BF606" i="27"/>
  <c r="BH606" i="27"/>
  <c r="AB606" i="27" s="1"/>
  <c r="BJ606" i="27"/>
  <c r="K607" i="27"/>
  <c r="AK607" i="27" s="1"/>
  <c r="Z607" i="27"/>
  <c r="AD607" i="27"/>
  <c r="AE607" i="27"/>
  <c r="AF607" i="27"/>
  <c r="AG607" i="27"/>
  <c r="AH607" i="27"/>
  <c r="AJ607" i="27"/>
  <c r="AL607" i="27"/>
  <c r="AO607" i="27"/>
  <c r="BH607" i="27" s="1"/>
  <c r="AB607" i="27" s="1"/>
  <c r="AP607" i="27"/>
  <c r="J607" i="27" s="1"/>
  <c r="BD607" i="27"/>
  <c r="BF607" i="27"/>
  <c r="BJ607" i="27"/>
  <c r="K608" i="27"/>
  <c r="Z608" i="27"/>
  <c r="AD608" i="27"/>
  <c r="AE608" i="27"/>
  <c r="AF608" i="27"/>
  <c r="AG608" i="27"/>
  <c r="AH608" i="27"/>
  <c r="AJ608" i="27"/>
  <c r="AK608" i="27"/>
  <c r="AL608" i="27"/>
  <c r="AO608" i="27"/>
  <c r="AP608" i="27"/>
  <c r="AX608" i="27" s="1"/>
  <c r="BD608" i="27"/>
  <c r="BF608" i="27"/>
  <c r="BJ608" i="27"/>
  <c r="K609" i="27"/>
  <c r="Z609" i="27"/>
  <c r="AD609" i="27"/>
  <c r="AE609" i="27"/>
  <c r="AF609" i="27"/>
  <c r="AG609" i="27"/>
  <c r="AH609" i="27"/>
  <c r="AJ609" i="27"/>
  <c r="AK609" i="27"/>
  <c r="AL609" i="27"/>
  <c r="AO609" i="27"/>
  <c r="AW609" i="27" s="1"/>
  <c r="AP609" i="27"/>
  <c r="J609" i="27" s="1"/>
  <c r="BD609" i="27"/>
  <c r="BF609" i="27"/>
  <c r="BI609" i="27"/>
  <c r="AC609" i="27" s="1"/>
  <c r="BJ609" i="27"/>
  <c r="K610" i="27"/>
  <c r="Z610" i="27"/>
  <c r="AD610" i="27"/>
  <c r="AE610" i="27"/>
  <c r="AF610" i="27"/>
  <c r="AG610" i="27"/>
  <c r="AH610" i="27"/>
  <c r="AJ610" i="27"/>
  <c r="AK610" i="27"/>
  <c r="AL610" i="27"/>
  <c r="AO610" i="27"/>
  <c r="AP610" i="27"/>
  <c r="BI610" i="27" s="1"/>
  <c r="AC610" i="27" s="1"/>
  <c r="BD610" i="27"/>
  <c r="BF610" i="27"/>
  <c r="BH610" i="27"/>
  <c r="AB610" i="27" s="1"/>
  <c r="BJ610" i="27"/>
  <c r="K611" i="27"/>
  <c r="AK611" i="27" s="1"/>
  <c r="Z611" i="27"/>
  <c r="AD611" i="27"/>
  <c r="AE611" i="27"/>
  <c r="AF611" i="27"/>
  <c r="AG611" i="27"/>
  <c r="AH611" i="27"/>
  <c r="AJ611" i="27"/>
  <c r="AL611" i="27"/>
  <c r="AO611" i="27"/>
  <c r="BH611" i="27" s="1"/>
  <c r="AB611" i="27" s="1"/>
  <c r="AP611" i="27"/>
  <c r="J611" i="27" s="1"/>
  <c r="BD611" i="27"/>
  <c r="BF611" i="27"/>
  <c r="BJ611" i="27"/>
  <c r="K612" i="27"/>
  <c r="Z612" i="27"/>
  <c r="AD612" i="27"/>
  <c r="AE612" i="27"/>
  <c r="AF612" i="27"/>
  <c r="AG612" i="27"/>
  <c r="AH612" i="27"/>
  <c r="AJ612" i="27"/>
  <c r="AK612" i="27"/>
  <c r="AL612" i="27"/>
  <c r="AO612" i="27"/>
  <c r="AP612" i="27"/>
  <c r="AX612" i="27" s="1"/>
  <c r="BD612" i="27"/>
  <c r="BF612" i="27"/>
  <c r="BJ612" i="27"/>
  <c r="K613" i="27"/>
  <c r="Z613" i="27"/>
  <c r="AD613" i="27"/>
  <c r="AE613" i="27"/>
  <c r="AF613" i="27"/>
  <c r="AG613" i="27"/>
  <c r="AH613" i="27"/>
  <c r="AJ613" i="27"/>
  <c r="AK613" i="27"/>
  <c r="AL613" i="27"/>
  <c r="AO613" i="27"/>
  <c r="AW613" i="27" s="1"/>
  <c r="AP613" i="27"/>
  <c r="J613" i="27" s="1"/>
  <c r="BD613" i="27"/>
  <c r="BF613" i="27"/>
  <c r="BH613" i="27"/>
  <c r="AB613" i="27" s="1"/>
  <c r="BI613" i="27"/>
  <c r="AC613" i="27" s="1"/>
  <c r="BJ613" i="27"/>
  <c r="K615" i="27"/>
  <c r="AK615" i="27" s="1"/>
  <c r="Z615" i="27"/>
  <c r="AD615" i="27"/>
  <c r="AE615" i="27"/>
  <c r="AF615" i="27"/>
  <c r="AG615" i="27"/>
  <c r="AH615" i="27"/>
  <c r="AJ615" i="27"/>
  <c r="AL615" i="27"/>
  <c r="AO615" i="27"/>
  <c r="AP615" i="27"/>
  <c r="BD615" i="27"/>
  <c r="BF615" i="27"/>
  <c r="BH615" i="27"/>
  <c r="AB615" i="27" s="1"/>
  <c r="BJ615" i="27"/>
  <c r="K616" i="27"/>
  <c r="AK616" i="27" s="1"/>
  <c r="Z616" i="27"/>
  <c r="AD616" i="27"/>
  <c r="AE616" i="27"/>
  <c r="AF616" i="27"/>
  <c r="AG616" i="27"/>
  <c r="AH616" i="27"/>
  <c r="AJ616" i="27"/>
  <c r="AL616" i="27"/>
  <c r="AO616" i="27"/>
  <c r="AW616" i="27" s="1"/>
  <c r="AP616" i="27"/>
  <c r="BD616" i="27"/>
  <c r="BF616" i="27"/>
  <c r="BH616" i="27"/>
  <c r="AB616" i="27" s="1"/>
  <c r="BJ616" i="27"/>
  <c r="K617" i="27"/>
  <c r="Z617" i="27"/>
  <c r="AD617" i="27"/>
  <c r="AE617" i="27"/>
  <c r="AF617" i="27"/>
  <c r="AG617" i="27"/>
  <c r="AH617" i="27"/>
  <c r="AJ617" i="27"/>
  <c r="AK617" i="27"/>
  <c r="AL617" i="27"/>
  <c r="AO617" i="27"/>
  <c r="I617" i="27" s="1"/>
  <c r="AP617" i="27"/>
  <c r="BI617" i="27" s="1"/>
  <c r="AC617" i="27" s="1"/>
  <c r="BD617" i="27"/>
  <c r="BF617" i="27"/>
  <c r="BH617" i="27"/>
  <c r="AB617" i="27" s="1"/>
  <c r="BJ617" i="27"/>
  <c r="K618" i="27"/>
  <c r="AK618" i="27" s="1"/>
  <c r="Z618" i="27"/>
  <c r="AD618" i="27"/>
  <c r="AE618" i="27"/>
  <c r="AF618" i="27"/>
  <c r="AG618" i="27"/>
  <c r="AH618" i="27"/>
  <c r="AJ618" i="27"/>
  <c r="AL618" i="27"/>
  <c r="AO618" i="27"/>
  <c r="AP618" i="27"/>
  <c r="AX618" i="27" s="1"/>
  <c r="BD618" i="27"/>
  <c r="BF618" i="27"/>
  <c r="BJ618" i="27"/>
  <c r="K619" i="27"/>
  <c r="Z619" i="27"/>
  <c r="AD619" i="27"/>
  <c r="AE619" i="27"/>
  <c r="AF619" i="27"/>
  <c r="AG619" i="27"/>
  <c r="AH619" i="27"/>
  <c r="AJ619" i="27"/>
  <c r="AK619" i="27"/>
  <c r="AL619" i="27"/>
  <c r="AO619" i="27"/>
  <c r="AP619" i="27"/>
  <c r="J619" i="27" s="1"/>
  <c r="BD619" i="27"/>
  <c r="BF619" i="27"/>
  <c r="BJ619" i="27"/>
  <c r="K620" i="27"/>
  <c r="Z620" i="27"/>
  <c r="AD620" i="27"/>
  <c r="AE620" i="27"/>
  <c r="AF620" i="27"/>
  <c r="AG620" i="27"/>
  <c r="AH620" i="27"/>
  <c r="AJ620" i="27"/>
  <c r="AK620" i="27"/>
  <c r="AL620" i="27"/>
  <c r="AO620" i="27"/>
  <c r="BH620" i="27" s="1"/>
  <c r="AB620" i="27" s="1"/>
  <c r="AP620" i="27"/>
  <c r="J620" i="27" s="1"/>
  <c r="BD620" i="27"/>
  <c r="BF620" i="27"/>
  <c r="BI620" i="27"/>
  <c r="AC620" i="27" s="1"/>
  <c r="BJ620" i="27"/>
  <c r="K621" i="27"/>
  <c r="AK621" i="27" s="1"/>
  <c r="Z621" i="27"/>
  <c r="AD621" i="27"/>
  <c r="AE621" i="27"/>
  <c r="AF621" i="27"/>
  <c r="AG621" i="27"/>
  <c r="AH621" i="27"/>
  <c r="AJ621" i="27"/>
  <c r="AL621" i="27"/>
  <c r="AO621" i="27"/>
  <c r="I621" i="27" s="1"/>
  <c r="AP621" i="27"/>
  <c r="J621" i="27" s="1"/>
  <c r="BD621" i="27"/>
  <c r="BF621" i="27"/>
  <c r="BH621" i="27"/>
  <c r="AB621" i="27" s="1"/>
  <c r="BJ621" i="27"/>
  <c r="B2" i="26"/>
  <c r="E2" i="26"/>
  <c r="B4" i="26"/>
  <c r="E4" i="26"/>
  <c r="B6" i="26"/>
  <c r="E6" i="26"/>
  <c r="B8" i="26"/>
  <c r="E12" i="26"/>
  <c r="G12" i="26"/>
  <c r="I12" i="26" s="1"/>
  <c r="F18" i="26"/>
  <c r="F24" i="26"/>
  <c r="F33" i="26"/>
  <c r="C2" i="25"/>
  <c r="F2" i="25"/>
  <c r="C4" i="25"/>
  <c r="F4" i="25"/>
  <c r="C6" i="25"/>
  <c r="F6" i="25"/>
  <c r="C10" i="25"/>
  <c r="F10" i="25"/>
  <c r="F22" i="25"/>
  <c r="I22" i="25"/>
  <c r="C2" i="24"/>
  <c r="F2" i="24"/>
  <c r="C4" i="24"/>
  <c r="F4" i="24"/>
  <c r="C6" i="24"/>
  <c r="F6" i="24"/>
  <c r="C8" i="24"/>
  <c r="K13" i="23"/>
  <c r="AK13" i="23" s="1"/>
  <c r="Z13" i="23"/>
  <c r="AD13" i="23"/>
  <c r="AE13" i="23"/>
  <c r="AF13" i="23"/>
  <c r="AG13" i="23"/>
  <c r="AH13" i="23"/>
  <c r="AJ13" i="23"/>
  <c r="AL13" i="23"/>
  <c r="AO13" i="23"/>
  <c r="AP13" i="23"/>
  <c r="BD13" i="23"/>
  <c r="BF13" i="23"/>
  <c r="BH13" i="23"/>
  <c r="AB13" i="23" s="1"/>
  <c r="BJ13" i="23"/>
  <c r="K14" i="23"/>
  <c r="AK14" i="23" s="1"/>
  <c r="Z14" i="23"/>
  <c r="AD14" i="23"/>
  <c r="AE14" i="23"/>
  <c r="AF14" i="23"/>
  <c r="AG14" i="23"/>
  <c r="AH14" i="23"/>
  <c r="AJ14" i="23"/>
  <c r="AL14" i="23"/>
  <c r="AO14" i="23"/>
  <c r="AP14" i="23"/>
  <c r="BD14" i="23"/>
  <c r="BF14" i="23"/>
  <c r="BJ14" i="23"/>
  <c r="K15" i="23"/>
  <c r="Z15" i="23"/>
  <c r="AD15" i="23"/>
  <c r="AE15" i="23"/>
  <c r="AF15" i="23"/>
  <c r="AG15" i="23"/>
  <c r="AH15" i="23"/>
  <c r="AJ15" i="23"/>
  <c r="AK15" i="23"/>
  <c r="AL15" i="23"/>
  <c r="AO15" i="23"/>
  <c r="I15" i="23" s="1"/>
  <c r="AP15" i="23"/>
  <c r="BD15" i="23"/>
  <c r="BF15" i="23"/>
  <c r="BI15" i="23"/>
  <c r="AC15" i="23" s="1"/>
  <c r="BJ15" i="23"/>
  <c r="K16" i="23"/>
  <c r="AK16" i="23" s="1"/>
  <c r="Z16" i="23"/>
  <c r="AD16" i="23"/>
  <c r="AE16" i="23"/>
  <c r="AF16" i="23"/>
  <c r="AG16" i="23"/>
  <c r="AH16" i="23"/>
  <c r="AJ16" i="23"/>
  <c r="AL16" i="23"/>
  <c r="AO16" i="23"/>
  <c r="AP16" i="23"/>
  <c r="BD16" i="23"/>
  <c r="BF16" i="23"/>
  <c r="BH16" i="23"/>
  <c r="AB16" i="23" s="1"/>
  <c r="BJ16" i="23"/>
  <c r="K17" i="23"/>
  <c r="AK17" i="23" s="1"/>
  <c r="Z17" i="23"/>
  <c r="AD17" i="23"/>
  <c r="AE17" i="23"/>
  <c r="AF17" i="23"/>
  <c r="AG17" i="23"/>
  <c r="AH17" i="23"/>
  <c r="AJ17" i="23"/>
  <c r="AL17" i="23"/>
  <c r="AO17" i="23"/>
  <c r="AP17" i="23"/>
  <c r="BD17" i="23"/>
  <c r="BF17" i="23"/>
  <c r="BH17" i="23"/>
  <c r="AB17" i="23" s="1"/>
  <c r="BJ17" i="23"/>
  <c r="K19" i="23"/>
  <c r="Z19" i="23"/>
  <c r="AD19" i="23"/>
  <c r="AE19" i="23"/>
  <c r="AF19" i="23"/>
  <c r="AG19" i="23"/>
  <c r="AH19" i="23"/>
  <c r="AJ19" i="23"/>
  <c r="AS18" i="23" s="1"/>
  <c r="AL19" i="23"/>
  <c r="AU18" i="23" s="1"/>
  <c r="AO19" i="23"/>
  <c r="BH19" i="23" s="1"/>
  <c r="AB19" i="23" s="1"/>
  <c r="AP19" i="23"/>
  <c r="J19" i="23" s="1"/>
  <c r="J18" i="23" s="1"/>
  <c r="F12" i="22" s="1"/>
  <c r="BD19" i="23"/>
  <c r="BF19" i="23"/>
  <c r="BI19" i="23"/>
  <c r="AC19" i="23" s="1"/>
  <c r="BJ19" i="23"/>
  <c r="K21" i="23"/>
  <c r="Z21" i="23"/>
  <c r="AD21" i="23"/>
  <c r="AE21" i="23"/>
  <c r="AF21" i="23"/>
  <c r="AG21" i="23"/>
  <c r="AH21" i="23"/>
  <c r="AJ21" i="23"/>
  <c r="AL21" i="23"/>
  <c r="AO21" i="23"/>
  <c r="AP21" i="23"/>
  <c r="BI21" i="23" s="1"/>
  <c r="AC21" i="23" s="1"/>
  <c r="BD21" i="23"/>
  <c r="BF21" i="23"/>
  <c r="BJ21" i="23"/>
  <c r="K22" i="23"/>
  <c r="AK22" i="23" s="1"/>
  <c r="Z22" i="23"/>
  <c r="AD22" i="23"/>
  <c r="AE22" i="23"/>
  <c r="AF22" i="23"/>
  <c r="AG22" i="23"/>
  <c r="AH22" i="23"/>
  <c r="AJ22" i="23"/>
  <c r="AL22" i="23"/>
  <c r="AO22" i="23"/>
  <c r="AP22" i="23"/>
  <c r="BD22" i="23"/>
  <c r="BF22" i="23"/>
  <c r="BH22" i="23"/>
  <c r="AB22" i="23" s="1"/>
  <c r="BJ22" i="23"/>
  <c r="K23" i="23"/>
  <c r="Z23" i="23"/>
  <c r="AD23" i="23"/>
  <c r="AE23" i="23"/>
  <c r="AF23" i="23"/>
  <c r="AG23" i="23"/>
  <c r="AH23" i="23"/>
  <c r="AJ23" i="23"/>
  <c r="AK23" i="23"/>
  <c r="AL23" i="23"/>
  <c r="AO23" i="23"/>
  <c r="I23" i="23" s="1"/>
  <c r="AP23" i="23"/>
  <c r="AW23" i="23"/>
  <c r="BD23" i="23"/>
  <c r="BF23" i="23"/>
  <c r="BH23" i="23"/>
  <c r="AB23" i="23" s="1"/>
  <c r="BI23" i="23"/>
  <c r="AC23" i="23" s="1"/>
  <c r="BJ23" i="23"/>
  <c r="K25" i="23"/>
  <c r="Z25" i="23"/>
  <c r="AD25" i="23"/>
  <c r="AE25" i="23"/>
  <c r="AF25" i="23"/>
  <c r="AG25" i="23"/>
  <c r="AH25" i="23"/>
  <c r="AJ25" i="23"/>
  <c r="AL25" i="23"/>
  <c r="AO25" i="23"/>
  <c r="AP25" i="23"/>
  <c r="BD25" i="23"/>
  <c r="BF25" i="23"/>
  <c r="BH25" i="23"/>
  <c r="AB25" i="23" s="1"/>
  <c r="BJ25" i="23"/>
  <c r="K26" i="23"/>
  <c r="AK26" i="23" s="1"/>
  <c r="Z26" i="23"/>
  <c r="AD26" i="23"/>
  <c r="AE26" i="23"/>
  <c r="AF26" i="23"/>
  <c r="AG26" i="23"/>
  <c r="AH26" i="23"/>
  <c r="AJ26" i="23"/>
  <c r="AL26" i="23"/>
  <c r="AO26" i="23"/>
  <c r="AP26" i="23"/>
  <c r="BD26" i="23"/>
  <c r="BF26" i="23"/>
  <c r="BH26" i="23"/>
  <c r="AB26" i="23" s="1"/>
  <c r="BJ26" i="23"/>
  <c r="K27" i="23"/>
  <c r="AK27" i="23" s="1"/>
  <c r="Z27" i="23"/>
  <c r="AD27" i="23"/>
  <c r="AE27" i="23"/>
  <c r="AF27" i="23"/>
  <c r="AG27" i="23"/>
  <c r="AH27" i="23"/>
  <c r="AJ27" i="23"/>
  <c r="AL27" i="23"/>
  <c r="AO27" i="23"/>
  <c r="AP27" i="23"/>
  <c r="BD27" i="23"/>
  <c r="BF27" i="23"/>
  <c r="BJ27" i="23"/>
  <c r="K29" i="23"/>
  <c r="Z29" i="23"/>
  <c r="AD29" i="23"/>
  <c r="AE29" i="23"/>
  <c r="AF29" i="23"/>
  <c r="AG29" i="23"/>
  <c r="AH29" i="23"/>
  <c r="AJ29" i="23"/>
  <c r="AK29" i="23"/>
  <c r="AL29" i="23"/>
  <c r="AO29" i="23"/>
  <c r="AP29" i="23"/>
  <c r="AX29" i="23" s="1"/>
  <c r="BD29" i="23"/>
  <c r="BF29" i="23"/>
  <c r="BJ29" i="23"/>
  <c r="K30" i="23"/>
  <c r="Z30" i="23"/>
  <c r="AD30" i="23"/>
  <c r="AE30" i="23"/>
  <c r="AF30" i="23"/>
  <c r="AG30" i="23"/>
  <c r="AH30" i="23"/>
  <c r="AJ30" i="23"/>
  <c r="AK30" i="23"/>
  <c r="AL30" i="23"/>
  <c r="AO30" i="23"/>
  <c r="AP30" i="23"/>
  <c r="J30" i="23" s="1"/>
  <c r="BD30" i="23"/>
  <c r="BF30" i="23"/>
  <c r="BJ30" i="23"/>
  <c r="K31" i="23"/>
  <c r="Z31" i="23"/>
  <c r="AD31" i="23"/>
  <c r="AE31" i="23"/>
  <c r="AF31" i="23"/>
  <c r="AG31" i="23"/>
  <c r="AH31" i="23"/>
  <c r="AJ31" i="23"/>
  <c r="AK31" i="23"/>
  <c r="AL31" i="23"/>
  <c r="AO31" i="23"/>
  <c r="I31" i="23" s="1"/>
  <c r="AP31" i="23"/>
  <c r="AW31" i="23"/>
  <c r="BD31" i="23"/>
  <c r="BF31" i="23"/>
  <c r="BH31" i="23"/>
  <c r="AB31" i="23" s="1"/>
  <c r="BJ31" i="23"/>
  <c r="K33" i="23"/>
  <c r="K32" i="23" s="1"/>
  <c r="G16" i="22" s="1"/>
  <c r="I16" i="22" s="1"/>
  <c r="Z33" i="23"/>
  <c r="AD33" i="23"/>
  <c r="AE33" i="23"/>
  <c r="AF33" i="23"/>
  <c r="AG33" i="23"/>
  <c r="AH33" i="23"/>
  <c r="AJ33" i="23"/>
  <c r="AS32" i="23" s="1"/>
  <c r="AK33" i="23"/>
  <c r="AT32" i="23" s="1"/>
  <c r="AL33" i="23"/>
  <c r="AU32" i="23" s="1"/>
  <c r="AO33" i="23"/>
  <c r="AW33" i="23" s="1"/>
  <c r="AP33" i="23"/>
  <c r="BD33" i="23"/>
  <c r="BF33" i="23"/>
  <c r="BJ33" i="23"/>
  <c r="K35" i="23"/>
  <c r="Z35" i="23"/>
  <c r="AD35" i="23"/>
  <c r="AE35" i="23"/>
  <c r="AF35" i="23"/>
  <c r="AG35" i="23"/>
  <c r="AH35" i="23"/>
  <c r="AJ35" i="23"/>
  <c r="AL35" i="23"/>
  <c r="AO35" i="23"/>
  <c r="AP35" i="23"/>
  <c r="BD35" i="23"/>
  <c r="BF35" i="23"/>
  <c r="BH35" i="23"/>
  <c r="AB35" i="23" s="1"/>
  <c r="BJ35" i="23"/>
  <c r="K36" i="23"/>
  <c r="AK36" i="23" s="1"/>
  <c r="Z36" i="23"/>
  <c r="AD36" i="23"/>
  <c r="AE36" i="23"/>
  <c r="AF36" i="23"/>
  <c r="AG36" i="23"/>
  <c r="AH36" i="23"/>
  <c r="AJ36" i="23"/>
  <c r="AL36" i="23"/>
  <c r="AO36" i="23"/>
  <c r="AP36" i="23"/>
  <c r="BD36" i="23"/>
  <c r="BF36" i="23"/>
  <c r="BJ36" i="23"/>
  <c r="K38" i="23"/>
  <c r="AK38" i="23" s="1"/>
  <c r="Z38" i="23"/>
  <c r="AD38" i="23"/>
  <c r="AE38" i="23"/>
  <c r="AF38" i="23"/>
  <c r="AG38" i="23"/>
  <c r="AH38" i="23"/>
  <c r="AJ38" i="23"/>
  <c r="AS37" i="23" s="1"/>
  <c r="AL38" i="23"/>
  <c r="AO38" i="23"/>
  <c r="AP38" i="23"/>
  <c r="AX38" i="23" s="1"/>
  <c r="BD38" i="23"/>
  <c r="BF38" i="23"/>
  <c r="BJ38" i="23"/>
  <c r="K39" i="23"/>
  <c r="AK39" i="23" s="1"/>
  <c r="Z39" i="23"/>
  <c r="AD39" i="23"/>
  <c r="AE39" i="23"/>
  <c r="AF39" i="23"/>
  <c r="AG39" i="23"/>
  <c r="AH39" i="23"/>
  <c r="AJ39" i="23"/>
  <c r="AL39" i="23"/>
  <c r="AO39" i="23"/>
  <c r="AW39" i="23" s="1"/>
  <c r="AP39" i="23"/>
  <c r="BD39" i="23"/>
  <c r="BF39" i="23"/>
  <c r="BH39" i="23"/>
  <c r="AB39" i="23" s="1"/>
  <c r="BJ39" i="23"/>
  <c r="K40" i="23"/>
  <c r="Z40" i="23"/>
  <c r="AD40" i="23"/>
  <c r="AE40" i="23"/>
  <c r="AF40" i="23"/>
  <c r="AG40" i="23"/>
  <c r="AH40" i="23"/>
  <c r="AJ40" i="23"/>
  <c r="AK40" i="23"/>
  <c r="AL40" i="23"/>
  <c r="AO40" i="23"/>
  <c r="AP40" i="23"/>
  <c r="BI40" i="23" s="1"/>
  <c r="AC40" i="23" s="1"/>
  <c r="BD40" i="23"/>
  <c r="BF40" i="23"/>
  <c r="BH40" i="23"/>
  <c r="AB40" i="23" s="1"/>
  <c r="BJ40" i="23"/>
  <c r="K41" i="23"/>
  <c r="AK41" i="23" s="1"/>
  <c r="Z41" i="23"/>
  <c r="AD41" i="23"/>
  <c r="AE41" i="23"/>
  <c r="AF41" i="23"/>
  <c r="AG41" i="23"/>
  <c r="AH41" i="23"/>
  <c r="AJ41" i="23"/>
  <c r="AL41" i="23"/>
  <c r="AO41" i="23"/>
  <c r="AP41" i="23"/>
  <c r="BD41" i="23"/>
  <c r="BF41" i="23"/>
  <c r="BH41" i="23"/>
  <c r="AB41" i="23" s="1"/>
  <c r="BJ41" i="23"/>
  <c r="K43" i="23"/>
  <c r="Z43" i="23"/>
  <c r="AD43" i="23"/>
  <c r="AE43" i="23"/>
  <c r="AF43" i="23"/>
  <c r="AG43" i="23"/>
  <c r="AH43" i="23"/>
  <c r="AJ43" i="23"/>
  <c r="AK43" i="23"/>
  <c r="AL43" i="23"/>
  <c r="AO43" i="23"/>
  <c r="AP43" i="23"/>
  <c r="BI43" i="23" s="1"/>
  <c r="AC43" i="23" s="1"/>
  <c r="BD43" i="23"/>
  <c r="BF43" i="23"/>
  <c r="BJ43" i="23"/>
  <c r="K44" i="23"/>
  <c r="AK44" i="23" s="1"/>
  <c r="Z44" i="23"/>
  <c r="AD44" i="23"/>
  <c r="AE44" i="23"/>
  <c r="AF44" i="23"/>
  <c r="AG44" i="23"/>
  <c r="AH44" i="23"/>
  <c r="AJ44" i="23"/>
  <c r="AL44" i="23"/>
  <c r="AO44" i="23"/>
  <c r="AP44" i="23"/>
  <c r="J44" i="23" s="1"/>
  <c r="AX44" i="23"/>
  <c r="BD44" i="23"/>
  <c r="BF44" i="23"/>
  <c r="BI44" i="23"/>
  <c r="AC44" i="23" s="1"/>
  <c r="BJ44" i="23"/>
  <c r="K45" i="23"/>
  <c r="Z45" i="23"/>
  <c r="AD45" i="23"/>
  <c r="AE45" i="23"/>
  <c r="AF45" i="23"/>
  <c r="AG45" i="23"/>
  <c r="AH45" i="23"/>
  <c r="AJ45" i="23"/>
  <c r="AK45" i="23"/>
  <c r="AL45" i="23"/>
  <c r="AO45" i="23"/>
  <c r="I45" i="23" s="1"/>
  <c r="AP45" i="23"/>
  <c r="AX45" i="23" s="1"/>
  <c r="AW45" i="23"/>
  <c r="BD45" i="23"/>
  <c r="BF45" i="23"/>
  <c r="BH45" i="23"/>
  <c r="AB45" i="23" s="1"/>
  <c r="BJ45" i="23"/>
  <c r="K47" i="23"/>
  <c r="Z47" i="23"/>
  <c r="AD47" i="23"/>
  <c r="AE47" i="23"/>
  <c r="AF47" i="23"/>
  <c r="AG47" i="23"/>
  <c r="AH47" i="23"/>
  <c r="AJ47" i="23"/>
  <c r="AS46" i="23" s="1"/>
  <c r="AL47" i="23"/>
  <c r="AU46" i="23" s="1"/>
  <c r="AO47" i="23"/>
  <c r="BH47" i="23" s="1"/>
  <c r="AB47" i="23" s="1"/>
  <c r="AP47" i="23"/>
  <c r="BD47" i="23"/>
  <c r="BF47" i="23"/>
  <c r="BJ47" i="23"/>
  <c r="K49" i="23"/>
  <c r="Z49" i="23"/>
  <c r="AD49" i="23"/>
  <c r="AE49" i="23"/>
  <c r="AF49" i="23"/>
  <c r="AG49" i="23"/>
  <c r="AH49" i="23"/>
  <c r="AJ49" i="23"/>
  <c r="AK49" i="23"/>
  <c r="AL49" i="23"/>
  <c r="AO49" i="23"/>
  <c r="AP49" i="23"/>
  <c r="BD49" i="23"/>
  <c r="BF49" i="23"/>
  <c r="BJ49" i="23"/>
  <c r="K50" i="23"/>
  <c r="AK50" i="23" s="1"/>
  <c r="Z50" i="23"/>
  <c r="AD50" i="23"/>
  <c r="AE50" i="23"/>
  <c r="AF50" i="23"/>
  <c r="AG50" i="23"/>
  <c r="AH50" i="23"/>
  <c r="AJ50" i="23"/>
  <c r="AL50" i="23"/>
  <c r="AO50" i="23"/>
  <c r="BH50" i="23" s="1"/>
  <c r="AB50" i="23" s="1"/>
  <c r="AP50" i="23"/>
  <c r="J50" i="23" s="1"/>
  <c r="BD50" i="23"/>
  <c r="BF50" i="23"/>
  <c r="BI50" i="23"/>
  <c r="AC50" i="23" s="1"/>
  <c r="BJ50" i="23"/>
  <c r="K51" i="23"/>
  <c r="AK51" i="23" s="1"/>
  <c r="Z51" i="23"/>
  <c r="AD51" i="23"/>
  <c r="AE51" i="23"/>
  <c r="AF51" i="23"/>
  <c r="AG51" i="23"/>
  <c r="AH51" i="23"/>
  <c r="AJ51" i="23"/>
  <c r="AL51" i="23"/>
  <c r="AO51" i="23"/>
  <c r="AP51" i="23"/>
  <c r="BD51" i="23"/>
  <c r="BF51" i="23"/>
  <c r="BH51" i="23"/>
  <c r="AB51" i="23" s="1"/>
  <c r="BJ51" i="23"/>
  <c r="K53" i="23"/>
  <c r="Z53" i="23"/>
  <c r="AD53" i="23"/>
  <c r="AE53" i="23"/>
  <c r="AF53" i="23"/>
  <c r="AG53" i="23"/>
  <c r="AH53" i="23"/>
  <c r="AJ53" i="23"/>
  <c r="AL53" i="23"/>
  <c r="AO53" i="23"/>
  <c r="AP53" i="23"/>
  <c r="BD53" i="23"/>
  <c r="BF53" i="23"/>
  <c r="BJ53" i="23"/>
  <c r="K54" i="23"/>
  <c r="AK54" i="23" s="1"/>
  <c r="Z54" i="23"/>
  <c r="AD54" i="23"/>
  <c r="AE54" i="23"/>
  <c r="AF54" i="23"/>
  <c r="AG54" i="23"/>
  <c r="AH54" i="23"/>
  <c r="AJ54" i="23"/>
  <c r="AL54" i="23"/>
  <c r="AO54" i="23"/>
  <c r="AP54" i="23"/>
  <c r="BD54" i="23"/>
  <c r="BF54" i="23"/>
  <c r="BH54" i="23"/>
  <c r="AB54" i="23" s="1"/>
  <c r="BJ54" i="23"/>
  <c r="K55" i="23"/>
  <c r="AK55" i="23" s="1"/>
  <c r="Z55" i="23"/>
  <c r="AD55" i="23"/>
  <c r="AE55" i="23"/>
  <c r="AF55" i="23"/>
  <c r="AG55" i="23"/>
  <c r="AH55" i="23"/>
  <c r="AJ55" i="23"/>
  <c r="AL55" i="23"/>
  <c r="AO55" i="23"/>
  <c r="AP55" i="23"/>
  <c r="J55" i="23" s="1"/>
  <c r="BD55" i="23"/>
  <c r="BF55" i="23"/>
  <c r="BI55" i="23"/>
  <c r="AC55" i="23" s="1"/>
  <c r="BJ55" i="23"/>
  <c r="K56" i="23"/>
  <c r="AK56" i="23" s="1"/>
  <c r="Z56" i="23"/>
  <c r="AD56" i="23"/>
  <c r="AE56" i="23"/>
  <c r="AF56" i="23"/>
  <c r="AG56" i="23"/>
  <c r="AH56" i="23"/>
  <c r="AJ56" i="23"/>
  <c r="AL56" i="23"/>
  <c r="AO56" i="23"/>
  <c r="AP56" i="23"/>
  <c r="BD56" i="23"/>
  <c r="BF56" i="23"/>
  <c r="BJ56" i="23"/>
  <c r="K57" i="23"/>
  <c r="AK57" i="23" s="1"/>
  <c r="Z57" i="23"/>
  <c r="AD57" i="23"/>
  <c r="AE57" i="23"/>
  <c r="AF57" i="23"/>
  <c r="AG57" i="23"/>
  <c r="AH57" i="23"/>
  <c r="AJ57" i="23"/>
  <c r="AL57" i="23"/>
  <c r="AO57" i="23"/>
  <c r="AP57" i="23"/>
  <c r="BI57" i="23" s="1"/>
  <c r="AC57" i="23" s="1"/>
  <c r="BD57" i="23"/>
  <c r="BF57" i="23"/>
  <c r="BH57" i="23"/>
  <c r="AB57" i="23" s="1"/>
  <c r="BJ57" i="23"/>
  <c r="K58" i="23"/>
  <c r="Z58" i="23"/>
  <c r="AD58" i="23"/>
  <c r="AE58" i="23"/>
  <c r="AF58" i="23"/>
  <c r="AG58" i="23"/>
  <c r="AH58" i="23"/>
  <c r="AJ58" i="23"/>
  <c r="AK58" i="23"/>
  <c r="AL58" i="23"/>
  <c r="AO58" i="23"/>
  <c r="AW58" i="23" s="1"/>
  <c r="AP58" i="23"/>
  <c r="J58" i="23" s="1"/>
  <c r="BD58" i="23"/>
  <c r="BF58" i="23"/>
  <c r="BH58" i="23"/>
  <c r="AB58" i="23" s="1"/>
  <c r="BJ58" i="23"/>
  <c r="K59" i="23"/>
  <c r="AK59" i="23" s="1"/>
  <c r="Z59" i="23"/>
  <c r="AD59" i="23"/>
  <c r="AE59" i="23"/>
  <c r="AF59" i="23"/>
  <c r="AG59" i="23"/>
  <c r="AH59" i="23"/>
  <c r="AJ59" i="23"/>
  <c r="AL59" i="23"/>
  <c r="AO59" i="23"/>
  <c r="I59" i="23" s="1"/>
  <c r="AP59" i="23"/>
  <c r="BD59" i="23"/>
  <c r="BF59" i="23"/>
  <c r="BH59" i="23"/>
  <c r="AB59" i="23" s="1"/>
  <c r="BJ59" i="23"/>
  <c r="K60" i="23"/>
  <c r="Z60" i="23"/>
  <c r="AD60" i="23"/>
  <c r="AE60" i="23"/>
  <c r="AF60" i="23"/>
  <c r="AG60" i="23"/>
  <c r="AH60" i="23"/>
  <c r="AJ60" i="23"/>
  <c r="AK60" i="23"/>
  <c r="AL60" i="23"/>
  <c r="AO60" i="23"/>
  <c r="AP60" i="23"/>
  <c r="BD60" i="23"/>
  <c r="BF60" i="23"/>
  <c r="BJ60" i="23"/>
  <c r="K62" i="23"/>
  <c r="Z62" i="23"/>
  <c r="AD62" i="23"/>
  <c r="AE62" i="23"/>
  <c r="AF62" i="23"/>
  <c r="AG62" i="23"/>
  <c r="AH62" i="23"/>
  <c r="AJ62" i="23"/>
  <c r="AL62" i="23"/>
  <c r="AO62" i="23"/>
  <c r="AP62" i="23"/>
  <c r="J62" i="23" s="1"/>
  <c r="BD62" i="23"/>
  <c r="BF62" i="23"/>
  <c r="BI62" i="23"/>
  <c r="AC62" i="23" s="1"/>
  <c r="BJ62" i="23"/>
  <c r="K63" i="23"/>
  <c r="Z63" i="23"/>
  <c r="AD63" i="23"/>
  <c r="AE63" i="23"/>
  <c r="AF63" i="23"/>
  <c r="AG63" i="23"/>
  <c r="AH63" i="23"/>
  <c r="AJ63" i="23"/>
  <c r="AK63" i="23"/>
  <c r="AL63" i="23"/>
  <c r="AO63" i="23"/>
  <c r="AP63" i="23"/>
  <c r="J63" i="23" s="1"/>
  <c r="AX63" i="23"/>
  <c r="BD63" i="23"/>
  <c r="BF63" i="23"/>
  <c r="BI63" i="23"/>
  <c r="AC63" i="23" s="1"/>
  <c r="BJ63" i="23"/>
  <c r="K64" i="23"/>
  <c r="AK64" i="23" s="1"/>
  <c r="Z64" i="23"/>
  <c r="AD64" i="23"/>
  <c r="AE64" i="23"/>
  <c r="AF64" i="23"/>
  <c r="AG64" i="23"/>
  <c r="AH64" i="23"/>
  <c r="AJ64" i="23"/>
  <c r="AL64" i="23"/>
  <c r="AO64" i="23"/>
  <c r="AP64" i="23"/>
  <c r="J64" i="23" s="1"/>
  <c r="BD64" i="23"/>
  <c r="BF64" i="23"/>
  <c r="BJ64" i="23"/>
  <c r="K65" i="23"/>
  <c r="Z65" i="23"/>
  <c r="AD65" i="23"/>
  <c r="AE65" i="23"/>
  <c r="AF65" i="23"/>
  <c r="AG65" i="23"/>
  <c r="AH65" i="23"/>
  <c r="AJ65" i="23"/>
  <c r="AK65" i="23"/>
  <c r="AL65" i="23"/>
  <c r="AO65" i="23"/>
  <c r="I65" i="23" s="1"/>
  <c r="AP65" i="23"/>
  <c r="J65" i="23" s="1"/>
  <c r="BD65" i="23"/>
  <c r="BF65" i="23"/>
  <c r="BH65" i="23"/>
  <c r="AB65" i="23" s="1"/>
  <c r="BI65" i="23"/>
  <c r="AC65" i="23" s="1"/>
  <c r="BJ65" i="23"/>
  <c r="K66" i="23"/>
  <c r="AK66" i="23" s="1"/>
  <c r="Z66" i="23"/>
  <c r="AD66" i="23"/>
  <c r="AE66" i="23"/>
  <c r="AF66" i="23"/>
  <c r="AG66" i="23"/>
  <c r="AH66" i="23"/>
  <c r="AJ66" i="23"/>
  <c r="AL66" i="23"/>
  <c r="AO66" i="23"/>
  <c r="I66" i="23" s="1"/>
  <c r="AP66" i="23"/>
  <c r="BD66" i="23"/>
  <c r="BF66" i="23"/>
  <c r="BH66" i="23"/>
  <c r="AB66" i="23" s="1"/>
  <c r="BJ66" i="23"/>
  <c r="K67" i="23"/>
  <c r="AK67" i="23" s="1"/>
  <c r="Z67" i="23"/>
  <c r="AD67" i="23"/>
  <c r="AE67" i="23"/>
  <c r="AF67" i="23"/>
  <c r="AG67" i="23"/>
  <c r="AH67" i="23"/>
  <c r="AJ67" i="23"/>
  <c r="AL67" i="23"/>
  <c r="AO67" i="23"/>
  <c r="AP67" i="23"/>
  <c r="BD67" i="23"/>
  <c r="BF67" i="23"/>
  <c r="BJ67" i="23"/>
  <c r="K68" i="23"/>
  <c r="Z68" i="23"/>
  <c r="AD68" i="23"/>
  <c r="AE68" i="23"/>
  <c r="AF68" i="23"/>
  <c r="AG68" i="23"/>
  <c r="AH68" i="23"/>
  <c r="AJ68" i="23"/>
  <c r="AK68" i="23"/>
  <c r="AL68" i="23"/>
  <c r="AO68" i="23"/>
  <c r="AP68" i="23"/>
  <c r="J68" i="23" s="1"/>
  <c r="BD68" i="23"/>
  <c r="BF68" i="23"/>
  <c r="BI68" i="23"/>
  <c r="AC68" i="23" s="1"/>
  <c r="BJ68" i="23"/>
  <c r="K69" i="23"/>
  <c r="Z69" i="23"/>
  <c r="AD69" i="23"/>
  <c r="AE69" i="23"/>
  <c r="AF69" i="23"/>
  <c r="AG69" i="23"/>
  <c r="AH69" i="23"/>
  <c r="AJ69" i="23"/>
  <c r="AK69" i="23"/>
  <c r="AL69" i="23"/>
  <c r="AO69" i="23"/>
  <c r="AP69" i="23"/>
  <c r="J69" i="23" s="1"/>
  <c r="BD69" i="23"/>
  <c r="BF69" i="23"/>
  <c r="BI69" i="23"/>
  <c r="AC69" i="23" s="1"/>
  <c r="BJ69" i="23"/>
  <c r="K70" i="23"/>
  <c r="AK70" i="23" s="1"/>
  <c r="Z70" i="23"/>
  <c r="AD70" i="23"/>
  <c r="AE70" i="23"/>
  <c r="AF70" i="23"/>
  <c r="AG70" i="23"/>
  <c r="AH70" i="23"/>
  <c r="AJ70" i="23"/>
  <c r="AL70" i="23"/>
  <c r="AO70" i="23"/>
  <c r="I70" i="23" s="1"/>
  <c r="AP70" i="23"/>
  <c r="BD70" i="23"/>
  <c r="BF70" i="23"/>
  <c r="BH70" i="23"/>
  <c r="AB70" i="23" s="1"/>
  <c r="BJ70" i="23"/>
  <c r="K72" i="23"/>
  <c r="AK72" i="23" s="1"/>
  <c r="Z72" i="23"/>
  <c r="AD72" i="23"/>
  <c r="AE72" i="23"/>
  <c r="AF72" i="23"/>
  <c r="AG72" i="23"/>
  <c r="AH72" i="23"/>
  <c r="AJ72" i="23"/>
  <c r="AL72" i="23"/>
  <c r="AO72" i="23"/>
  <c r="AP72" i="23"/>
  <c r="J72" i="23" s="1"/>
  <c r="BD72" i="23"/>
  <c r="BF72" i="23"/>
  <c r="BH72" i="23"/>
  <c r="AB72" i="23" s="1"/>
  <c r="BJ72" i="23"/>
  <c r="K74" i="23"/>
  <c r="AK74" i="23" s="1"/>
  <c r="Z74" i="23"/>
  <c r="AD74" i="23"/>
  <c r="AE74" i="23"/>
  <c r="AF74" i="23"/>
  <c r="AG74" i="23"/>
  <c r="AH74" i="23"/>
  <c r="AJ74" i="23"/>
  <c r="AL74" i="23"/>
  <c r="AO74" i="23"/>
  <c r="I74" i="23" s="1"/>
  <c r="AP74" i="23"/>
  <c r="J74" i="23" s="1"/>
  <c r="AX74" i="23"/>
  <c r="BD74" i="23"/>
  <c r="BF74" i="23"/>
  <c r="BI74" i="23"/>
  <c r="AC74" i="23" s="1"/>
  <c r="BJ74" i="23"/>
  <c r="K76" i="23"/>
  <c r="Z76" i="23"/>
  <c r="AD76" i="23"/>
  <c r="AE76" i="23"/>
  <c r="AF76" i="23"/>
  <c r="AG76" i="23"/>
  <c r="AH76" i="23"/>
  <c r="AJ76" i="23"/>
  <c r="AK76" i="23"/>
  <c r="AL76" i="23"/>
  <c r="AO76" i="23"/>
  <c r="AP76" i="23"/>
  <c r="BI76" i="23" s="1"/>
  <c r="AC76" i="23" s="1"/>
  <c r="BD76" i="23"/>
  <c r="BF76" i="23"/>
  <c r="BH76" i="23"/>
  <c r="AB76" i="23" s="1"/>
  <c r="BJ76" i="23"/>
  <c r="K78" i="23"/>
  <c r="AK78" i="23" s="1"/>
  <c r="Z78" i="23"/>
  <c r="AD78" i="23"/>
  <c r="AE78" i="23"/>
  <c r="AF78" i="23"/>
  <c r="AG78" i="23"/>
  <c r="AH78" i="23"/>
  <c r="AJ78" i="23"/>
  <c r="AL78" i="23"/>
  <c r="AO78" i="23"/>
  <c r="BH78" i="23" s="1"/>
  <c r="AB78" i="23" s="1"/>
  <c r="AP78" i="23"/>
  <c r="J78" i="23" s="1"/>
  <c r="BD78" i="23"/>
  <c r="BF78" i="23"/>
  <c r="BI78" i="23"/>
  <c r="AC78" i="23" s="1"/>
  <c r="BJ78" i="23"/>
  <c r="K79" i="23"/>
  <c r="Z79" i="23"/>
  <c r="AD79" i="23"/>
  <c r="AE79" i="23"/>
  <c r="AF79" i="23"/>
  <c r="AG79" i="23"/>
  <c r="AH79" i="23"/>
  <c r="AJ79" i="23"/>
  <c r="AK79" i="23"/>
  <c r="AL79" i="23"/>
  <c r="AO79" i="23"/>
  <c r="AP79" i="23"/>
  <c r="AX79" i="23" s="1"/>
  <c r="BD79" i="23"/>
  <c r="BF79" i="23"/>
  <c r="BJ79" i="23"/>
  <c r="K80" i="23"/>
  <c r="Z80" i="23"/>
  <c r="AD80" i="23"/>
  <c r="AE80" i="23"/>
  <c r="AF80" i="23"/>
  <c r="AG80" i="23"/>
  <c r="AH80" i="23"/>
  <c r="AJ80" i="23"/>
  <c r="AK80" i="23"/>
  <c r="AL80" i="23"/>
  <c r="AO80" i="23"/>
  <c r="I80" i="23" s="1"/>
  <c r="AP80" i="23"/>
  <c r="J80" i="23" s="1"/>
  <c r="BD80" i="23"/>
  <c r="BF80" i="23"/>
  <c r="BJ80" i="23"/>
  <c r="K81" i="23"/>
  <c r="Z81" i="23"/>
  <c r="AD81" i="23"/>
  <c r="AE81" i="23"/>
  <c r="AF81" i="23"/>
  <c r="AG81" i="23"/>
  <c r="AH81" i="23"/>
  <c r="AJ81" i="23"/>
  <c r="AK81" i="23"/>
  <c r="AL81" i="23"/>
  <c r="AO81" i="23"/>
  <c r="AP81" i="23"/>
  <c r="BD81" i="23"/>
  <c r="BF81" i="23"/>
  <c r="BJ81" i="23"/>
  <c r="K82" i="23"/>
  <c r="AK82" i="23" s="1"/>
  <c r="Z82" i="23"/>
  <c r="AD82" i="23"/>
  <c r="AE82" i="23"/>
  <c r="AF82" i="23"/>
  <c r="AG82" i="23"/>
  <c r="AH82" i="23"/>
  <c r="AJ82" i="23"/>
  <c r="AL82" i="23"/>
  <c r="AO82" i="23"/>
  <c r="BH82" i="23" s="1"/>
  <c r="AB82" i="23" s="1"/>
  <c r="AP82" i="23"/>
  <c r="J82" i="23" s="1"/>
  <c r="BD82" i="23"/>
  <c r="BF82" i="23"/>
  <c r="BI82" i="23"/>
  <c r="AC82" i="23" s="1"/>
  <c r="BJ82" i="23"/>
  <c r="K83" i="23"/>
  <c r="Z83" i="23"/>
  <c r="AD83" i="23"/>
  <c r="AE83" i="23"/>
  <c r="AF83" i="23"/>
  <c r="AG83" i="23"/>
  <c r="AH83" i="23"/>
  <c r="AJ83" i="23"/>
  <c r="AK83" i="23"/>
  <c r="AL83" i="23"/>
  <c r="AO83" i="23"/>
  <c r="I83" i="23" s="1"/>
  <c r="AP83" i="23"/>
  <c r="AX83" i="23" s="1"/>
  <c r="AW83" i="23"/>
  <c r="BD83" i="23"/>
  <c r="BF83" i="23"/>
  <c r="BH83" i="23"/>
  <c r="AB83" i="23" s="1"/>
  <c r="BI83" i="23"/>
  <c r="AC83" i="23" s="1"/>
  <c r="BJ83" i="23"/>
  <c r="K84" i="23"/>
  <c r="Z84" i="23"/>
  <c r="AD84" i="23"/>
  <c r="AE84" i="23"/>
  <c r="AF84" i="23"/>
  <c r="AG84" i="23"/>
  <c r="AH84" i="23"/>
  <c r="AJ84" i="23"/>
  <c r="AK84" i="23"/>
  <c r="AL84" i="23"/>
  <c r="AO84" i="23"/>
  <c r="I84" i="23" s="1"/>
  <c r="AP84" i="23"/>
  <c r="J84" i="23" s="1"/>
  <c r="BD84" i="23"/>
  <c r="BF84" i="23"/>
  <c r="BJ84" i="23"/>
  <c r="K86" i="23"/>
  <c r="Z86" i="23"/>
  <c r="AD86" i="23"/>
  <c r="AE86" i="23"/>
  <c r="AF86" i="23"/>
  <c r="AG86" i="23"/>
  <c r="AH86" i="23"/>
  <c r="AJ86" i="23"/>
  <c r="AK86" i="23"/>
  <c r="AL86" i="23"/>
  <c r="AO86" i="23"/>
  <c r="I86" i="23" s="1"/>
  <c r="AP86" i="23"/>
  <c r="BD86" i="23"/>
  <c r="BF86" i="23"/>
  <c r="BI86" i="23"/>
  <c r="AC86" i="23" s="1"/>
  <c r="BJ86" i="23"/>
  <c r="K88" i="23"/>
  <c r="AK88" i="23" s="1"/>
  <c r="Z88" i="23"/>
  <c r="AD88" i="23"/>
  <c r="AE88" i="23"/>
  <c r="AF88" i="23"/>
  <c r="AG88" i="23"/>
  <c r="AH88" i="23"/>
  <c r="AJ88" i="23"/>
  <c r="AL88" i="23"/>
  <c r="AO88" i="23"/>
  <c r="AP88" i="23"/>
  <c r="BD88" i="23"/>
  <c r="BF88" i="23"/>
  <c r="BH88" i="23"/>
  <c r="AB88" i="23" s="1"/>
  <c r="BJ88" i="23"/>
  <c r="K89" i="23"/>
  <c r="Z89" i="23"/>
  <c r="AD89" i="23"/>
  <c r="AE89" i="23"/>
  <c r="AF89" i="23"/>
  <c r="AG89" i="23"/>
  <c r="AH89" i="23"/>
  <c r="AJ89" i="23"/>
  <c r="AK89" i="23"/>
  <c r="AL89" i="23"/>
  <c r="AO89" i="23"/>
  <c r="I89" i="23" s="1"/>
  <c r="AP89" i="23"/>
  <c r="AW89" i="23"/>
  <c r="BD89" i="23"/>
  <c r="BF89" i="23"/>
  <c r="BH89" i="23"/>
  <c r="AB89" i="23" s="1"/>
  <c r="BI89" i="23"/>
  <c r="AC89" i="23" s="1"/>
  <c r="BJ89" i="23"/>
  <c r="K90" i="23"/>
  <c r="Z90" i="23"/>
  <c r="AD90" i="23"/>
  <c r="AE90" i="23"/>
  <c r="AF90" i="23"/>
  <c r="AG90" i="23"/>
  <c r="AH90" i="23"/>
  <c r="AJ90" i="23"/>
  <c r="AK90" i="23"/>
  <c r="AL90" i="23"/>
  <c r="AO90" i="23"/>
  <c r="AW90" i="23" s="1"/>
  <c r="AP90" i="23"/>
  <c r="BD90" i="23"/>
  <c r="BF90" i="23"/>
  <c r="BJ90" i="23"/>
  <c r="K91" i="23"/>
  <c r="Z91" i="23"/>
  <c r="AD91" i="23"/>
  <c r="AE91" i="23"/>
  <c r="AF91" i="23"/>
  <c r="AG91" i="23"/>
  <c r="AH91" i="23"/>
  <c r="AJ91" i="23"/>
  <c r="AK91" i="23"/>
  <c r="AL91" i="23"/>
  <c r="AO91" i="23"/>
  <c r="AP91" i="23"/>
  <c r="BI91" i="23" s="1"/>
  <c r="AC91" i="23" s="1"/>
  <c r="BD91" i="23"/>
  <c r="BF91" i="23"/>
  <c r="BJ91" i="23"/>
  <c r="K92" i="23"/>
  <c r="AK92" i="23" s="1"/>
  <c r="Z92" i="23"/>
  <c r="AD92" i="23"/>
  <c r="AE92" i="23"/>
  <c r="AF92" i="23"/>
  <c r="AG92" i="23"/>
  <c r="AH92" i="23"/>
  <c r="AJ92" i="23"/>
  <c r="AL92" i="23"/>
  <c r="AO92" i="23"/>
  <c r="BH92" i="23" s="1"/>
  <c r="AB92" i="23" s="1"/>
  <c r="AP92" i="23"/>
  <c r="J92" i="23" s="1"/>
  <c r="AX92" i="23"/>
  <c r="BD92" i="23"/>
  <c r="BF92" i="23"/>
  <c r="BI92" i="23"/>
  <c r="AC92" i="23" s="1"/>
  <c r="BJ92" i="23"/>
  <c r="K93" i="23"/>
  <c r="Z93" i="23"/>
  <c r="AD93" i="23"/>
  <c r="AE93" i="23"/>
  <c r="AF93" i="23"/>
  <c r="AG93" i="23"/>
  <c r="AH93" i="23"/>
  <c r="AJ93" i="23"/>
  <c r="AK93" i="23"/>
  <c r="AL93" i="23"/>
  <c r="AO93" i="23"/>
  <c r="I93" i="23" s="1"/>
  <c r="AP93" i="23"/>
  <c r="AW93" i="23"/>
  <c r="BD93" i="23"/>
  <c r="BF93" i="23"/>
  <c r="BH93" i="23"/>
  <c r="AB93" i="23" s="1"/>
  <c r="BJ93" i="23"/>
  <c r="K94" i="23"/>
  <c r="Z94" i="23"/>
  <c r="AD94" i="23"/>
  <c r="AE94" i="23"/>
  <c r="AF94" i="23"/>
  <c r="AG94" i="23"/>
  <c r="AH94" i="23"/>
  <c r="AJ94" i="23"/>
  <c r="AK94" i="23"/>
  <c r="AL94" i="23"/>
  <c r="AO94" i="23"/>
  <c r="AP94" i="23"/>
  <c r="J94" i="23" s="1"/>
  <c r="AX94" i="23"/>
  <c r="BD94" i="23"/>
  <c r="BF94" i="23"/>
  <c r="BI94" i="23"/>
  <c r="AC94" i="23" s="1"/>
  <c r="BJ94" i="23"/>
  <c r="K95" i="23"/>
  <c r="Z95" i="23"/>
  <c r="AD95" i="23"/>
  <c r="AE95" i="23"/>
  <c r="AF95" i="23"/>
  <c r="AG95" i="23"/>
  <c r="AH95" i="23"/>
  <c r="AJ95" i="23"/>
  <c r="AK95" i="23"/>
  <c r="AL95" i="23"/>
  <c r="AO95" i="23"/>
  <c r="AW95" i="23" s="1"/>
  <c r="AP95" i="23"/>
  <c r="BD95" i="23"/>
  <c r="BF95" i="23"/>
  <c r="BJ95" i="23"/>
  <c r="K96" i="23"/>
  <c r="AK96" i="23" s="1"/>
  <c r="Z96" i="23"/>
  <c r="AD96" i="23"/>
  <c r="AE96" i="23"/>
  <c r="AF96" i="23"/>
  <c r="AG96" i="23"/>
  <c r="AH96" i="23"/>
  <c r="AJ96" i="23"/>
  <c r="AL96" i="23"/>
  <c r="AO96" i="23"/>
  <c r="AW96" i="23" s="1"/>
  <c r="AP96" i="23"/>
  <c r="BI96" i="23" s="1"/>
  <c r="AC96" i="23" s="1"/>
  <c r="BD96" i="23"/>
  <c r="BF96" i="23"/>
  <c r="BH96" i="23"/>
  <c r="AB96" i="23" s="1"/>
  <c r="BJ96" i="23"/>
  <c r="K98" i="23"/>
  <c r="K97" i="23" s="1"/>
  <c r="Z98" i="23"/>
  <c r="AD98" i="23"/>
  <c r="AE98" i="23"/>
  <c r="AF98" i="23"/>
  <c r="AG98" i="23"/>
  <c r="AH98" i="23"/>
  <c r="AJ98" i="23"/>
  <c r="AS97" i="23" s="1"/>
  <c r="AL98" i="23"/>
  <c r="AU97" i="23" s="1"/>
  <c r="AO98" i="23"/>
  <c r="I98" i="23" s="1"/>
  <c r="I97" i="23" s="1"/>
  <c r="AP98" i="23"/>
  <c r="BD98" i="23"/>
  <c r="BF98" i="23"/>
  <c r="BH98" i="23"/>
  <c r="AB98" i="23" s="1"/>
  <c r="BJ98" i="23"/>
  <c r="K100" i="23"/>
  <c r="Z100" i="23"/>
  <c r="AD100" i="23"/>
  <c r="AE100" i="23"/>
  <c r="AF100" i="23"/>
  <c r="AG100" i="23"/>
  <c r="AH100" i="23"/>
  <c r="AJ100" i="23"/>
  <c r="AL100" i="23"/>
  <c r="AO100" i="23"/>
  <c r="AP100" i="23"/>
  <c r="BD100" i="23"/>
  <c r="BF100" i="23"/>
  <c r="BH100" i="23"/>
  <c r="AB100" i="23" s="1"/>
  <c r="BJ100" i="23"/>
  <c r="K101" i="23"/>
  <c r="AK101" i="23" s="1"/>
  <c r="Z101" i="23"/>
  <c r="AD101" i="23"/>
  <c r="AE101" i="23"/>
  <c r="AF101" i="23"/>
  <c r="AG101" i="23"/>
  <c r="AH101" i="23"/>
  <c r="AJ101" i="23"/>
  <c r="AL101" i="23"/>
  <c r="AO101" i="23"/>
  <c r="AP101" i="23"/>
  <c r="BI101" i="23" s="1"/>
  <c r="AC101" i="23" s="1"/>
  <c r="BD101" i="23"/>
  <c r="BF101" i="23"/>
  <c r="BJ101" i="23"/>
  <c r="K103" i="23"/>
  <c r="Z103" i="23"/>
  <c r="AD103" i="23"/>
  <c r="AE103" i="23"/>
  <c r="AF103" i="23"/>
  <c r="AG103" i="23"/>
  <c r="AH103" i="23"/>
  <c r="AJ103" i="23"/>
  <c r="AL103" i="23"/>
  <c r="AO103" i="23"/>
  <c r="AP103" i="23"/>
  <c r="J103" i="23" s="1"/>
  <c r="BD103" i="23"/>
  <c r="BF103" i="23"/>
  <c r="BJ103" i="23"/>
  <c r="K104" i="23"/>
  <c r="AK104" i="23" s="1"/>
  <c r="Z104" i="23"/>
  <c r="AD104" i="23"/>
  <c r="AE104" i="23"/>
  <c r="AF104" i="23"/>
  <c r="AG104" i="23"/>
  <c r="AH104" i="23"/>
  <c r="AJ104" i="23"/>
  <c r="AL104" i="23"/>
  <c r="AO104" i="23"/>
  <c r="I104" i="23" s="1"/>
  <c r="AP104" i="23"/>
  <c r="BD104" i="23"/>
  <c r="BF104" i="23"/>
  <c r="BH104" i="23"/>
  <c r="AB104" i="23" s="1"/>
  <c r="BJ104" i="23"/>
  <c r="K106" i="23"/>
  <c r="Z106" i="23"/>
  <c r="AD106" i="23"/>
  <c r="AE106" i="23"/>
  <c r="AF106" i="23"/>
  <c r="AG106" i="23"/>
  <c r="AH106" i="23"/>
  <c r="AJ106" i="23"/>
  <c r="AK106" i="23"/>
  <c r="AL106" i="23"/>
  <c r="AO106" i="23"/>
  <c r="I106" i="23" s="1"/>
  <c r="AP106" i="23"/>
  <c r="BD106" i="23"/>
  <c r="BF106" i="23"/>
  <c r="BJ106" i="23"/>
  <c r="K107" i="23"/>
  <c r="AK107" i="23" s="1"/>
  <c r="Z107" i="23"/>
  <c r="AD107" i="23"/>
  <c r="AE107" i="23"/>
  <c r="AF107" i="23"/>
  <c r="AG107" i="23"/>
  <c r="AH107" i="23"/>
  <c r="AJ107" i="23"/>
  <c r="AL107" i="23"/>
  <c r="AO107" i="23"/>
  <c r="I107" i="23" s="1"/>
  <c r="AP107" i="23"/>
  <c r="BD107" i="23"/>
  <c r="BF107" i="23"/>
  <c r="BH107" i="23"/>
  <c r="AB107" i="23" s="1"/>
  <c r="BJ107" i="23"/>
  <c r="K108" i="23"/>
  <c r="Z108" i="23"/>
  <c r="AD108" i="23"/>
  <c r="AE108" i="23"/>
  <c r="AF108" i="23"/>
  <c r="AG108" i="23"/>
  <c r="AH108" i="23"/>
  <c r="AJ108" i="23"/>
  <c r="AK108" i="23"/>
  <c r="AL108" i="23"/>
  <c r="AO108" i="23"/>
  <c r="I108" i="23" s="1"/>
  <c r="AP108" i="23"/>
  <c r="AX108" i="23" s="1"/>
  <c r="BD108" i="23"/>
  <c r="BF108" i="23"/>
  <c r="BH108" i="23"/>
  <c r="AB108" i="23" s="1"/>
  <c r="BI108" i="23"/>
  <c r="AC108" i="23" s="1"/>
  <c r="BJ108" i="23"/>
  <c r="K110" i="23"/>
  <c r="Z110" i="23"/>
  <c r="AD110" i="23"/>
  <c r="AE110" i="23"/>
  <c r="AF110" i="23"/>
  <c r="AG110" i="23"/>
  <c r="AH110" i="23"/>
  <c r="AJ110" i="23"/>
  <c r="AL110" i="23"/>
  <c r="AO110" i="23"/>
  <c r="I110" i="23" s="1"/>
  <c r="AP110" i="23"/>
  <c r="BD110" i="23"/>
  <c r="BF110" i="23"/>
  <c r="BH110" i="23"/>
  <c r="AB110" i="23" s="1"/>
  <c r="BJ110" i="23"/>
  <c r="K111" i="23"/>
  <c r="Z111" i="23"/>
  <c r="AD111" i="23"/>
  <c r="AE111" i="23"/>
  <c r="AF111" i="23"/>
  <c r="AG111" i="23"/>
  <c r="AH111" i="23"/>
  <c r="AJ111" i="23"/>
  <c r="AK111" i="23"/>
  <c r="AL111" i="23"/>
  <c r="AO111" i="23"/>
  <c r="AW111" i="23" s="1"/>
  <c r="AP111" i="23"/>
  <c r="AX111" i="23" s="1"/>
  <c r="BD111" i="23"/>
  <c r="BF111" i="23"/>
  <c r="BJ111" i="23"/>
  <c r="K112" i="23"/>
  <c r="Z112" i="23"/>
  <c r="AD112" i="23"/>
  <c r="AE112" i="23"/>
  <c r="AF112" i="23"/>
  <c r="AG112" i="23"/>
  <c r="AH112" i="23"/>
  <c r="AJ112" i="23"/>
  <c r="AK112" i="23"/>
  <c r="AL112" i="23"/>
  <c r="AO112" i="23"/>
  <c r="AW112" i="23" s="1"/>
  <c r="AP112" i="23"/>
  <c r="J112" i="23" s="1"/>
  <c r="BD112" i="23"/>
  <c r="BF112" i="23"/>
  <c r="BH112" i="23"/>
  <c r="AB112" i="23" s="1"/>
  <c r="BI112" i="23"/>
  <c r="AC112" i="23" s="1"/>
  <c r="BJ112" i="23"/>
  <c r="K113" i="23"/>
  <c r="Z113" i="23"/>
  <c r="AD113" i="23"/>
  <c r="AE113" i="23"/>
  <c r="AF113" i="23"/>
  <c r="AG113" i="23"/>
  <c r="AH113" i="23"/>
  <c r="AJ113" i="23"/>
  <c r="AK113" i="23"/>
  <c r="AL113" i="23"/>
  <c r="AO113" i="23"/>
  <c r="I113" i="23" s="1"/>
  <c r="AP113" i="23"/>
  <c r="J113" i="23" s="1"/>
  <c r="BD113" i="23"/>
  <c r="BF113" i="23"/>
  <c r="BH113" i="23"/>
  <c r="AB113" i="23" s="1"/>
  <c r="BI113" i="23"/>
  <c r="AC113" i="23" s="1"/>
  <c r="BJ113" i="23"/>
  <c r="K114" i="23"/>
  <c r="AK114" i="23" s="1"/>
  <c r="Z114" i="23"/>
  <c r="AD114" i="23"/>
  <c r="AE114" i="23"/>
  <c r="AF114" i="23"/>
  <c r="AG114" i="23"/>
  <c r="AH114" i="23"/>
  <c r="AJ114" i="23"/>
  <c r="AL114" i="23"/>
  <c r="AO114" i="23"/>
  <c r="I114" i="23" s="1"/>
  <c r="AP114" i="23"/>
  <c r="BD114" i="23"/>
  <c r="BF114" i="23"/>
  <c r="BH114" i="23"/>
  <c r="AB114" i="23" s="1"/>
  <c r="BJ114" i="23"/>
  <c r="K115" i="23"/>
  <c r="Z115" i="23"/>
  <c r="AD115" i="23"/>
  <c r="AE115" i="23"/>
  <c r="AF115" i="23"/>
  <c r="AG115" i="23"/>
  <c r="AH115" i="23"/>
  <c r="AJ115" i="23"/>
  <c r="AK115" i="23"/>
  <c r="AL115" i="23"/>
  <c r="AO115" i="23"/>
  <c r="AP115" i="23"/>
  <c r="BD115" i="23"/>
  <c r="BF115" i="23"/>
  <c r="BJ115" i="23"/>
  <c r="I116" i="23"/>
  <c r="K116" i="23"/>
  <c r="Z116" i="23"/>
  <c r="AD116" i="23"/>
  <c r="AE116" i="23"/>
  <c r="AF116" i="23"/>
  <c r="AG116" i="23"/>
  <c r="AH116" i="23"/>
  <c r="AJ116" i="23"/>
  <c r="AK116" i="23"/>
  <c r="AL116" i="23"/>
  <c r="AO116" i="23"/>
  <c r="AP116" i="23"/>
  <c r="J116" i="23" s="1"/>
  <c r="BD116" i="23"/>
  <c r="BF116" i="23"/>
  <c r="BJ116" i="23"/>
  <c r="K118" i="23"/>
  <c r="Z118" i="23"/>
  <c r="AD118" i="23"/>
  <c r="AE118" i="23"/>
  <c r="AF118" i="23"/>
  <c r="AG118" i="23"/>
  <c r="AH118" i="23"/>
  <c r="AJ118" i="23"/>
  <c r="AK118" i="23"/>
  <c r="AL118" i="23"/>
  <c r="AO118" i="23"/>
  <c r="AP118" i="23"/>
  <c r="BD118" i="23"/>
  <c r="BF118" i="23"/>
  <c r="BJ118" i="23"/>
  <c r="K119" i="23"/>
  <c r="AK119" i="23" s="1"/>
  <c r="Z119" i="23"/>
  <c r="AD119" i="23"/>
  <c r="AE119" i="23"/>
  <c r="AF119" i="23"/>
  <c r="AG119" i="23"/>
  <c r="AH119" i="23"/>
  <c r="AJ119" i="23"/>
  <c r="AL119" i="23"/>
  <c r="AO119" i="23"/>
  <c r="AW119" i="23" s="1"/>
  <c r="AP119" i="23"/>
  <c r="BD119" i="23"/>
  <c r="BF119" i="23"/>
  <c r="BH119" i="23"/>
  <c r="AB119" i="23" s="1"/>
  <c r="BJ119" i="23"/>
  <c r="K120" i="23"/>
  <c r="Z120" i="23"/>
  <c r="AD120" i="23"/>
  <c r="AE120" i="23"/>
  <c r="AF120" i="23"/>
  <c r="AG120" i="23"/>
  <c r="AH120" i="23"/>
  <c r="AJ120" i="23"/>
  <c r="AK120" i="23"/>
  <c r="AL120" i="23"/>
  <c r="AO120" i="23"/>
  <c r="I120" i="23" s="1"/>
  <c r="AP120" i="23"/>
  <c r="J120" i="23" s="1"/>
  <c r="AX120" i="23"/>
  <c r="BD120" i="23"/>
  <c r="BF120" i="23"/>
  <c r="BI120" i="23"/>
  <c r="AC120" i="23" s="1"/>
  <c r="BJ120" i="23"/>
  <c r="K121" i="23"/>
  <c r="AK121" i="23" s="1"/>
  <c r="Z121" i="23"/>
  <c r="AD121" i="23"/>
  <c r="AE121" i="23"/>
  <c r="AF121" i="23"/>
  <c r="AG121" i="23"/>
  <c r="AH121" i="23"/>
  <c r="AJ121" i="23"/>
  <c r="AL121" i="23"/>
  <c r="AO121" i="23"/>
  <c r="AP121" i="23"/>
  <c r="BD121" i="23"/>
  <c r="BF121" i="23"/>
  <c r="BH121" i="23"/>
  <c r="AB121" i="23" s="1"/>
  <c r="BJ121" i="23"/>
  <c r="K122" i="23"/>
  <c r="Z122" i="23"/>
  <c r="AD122" i="23"/>
  <c r="AE122" i="23"/>
  <c r="AF122" i="23"/>
  <c r="AG122" i="23"/>
  <c r="AH122" i="23"/>
  <c r="AJ122" i="23"/>
  <c r="AK122" i="23"/>
  <c r="AL122" i="23"/>
  <c r="AO122" i="23"/>
  <c r="AP122" i="23"/>
  <c r="BD122" i="23"/>
  <c r="BF122" i="23"/>
  <c r="BH122" i="23"/>
  <c r="AB122" i="23" s="1"/>
  <c r="BJ122" i="23"/>
  <c r="K123" i="23"/>
  <c r="Z123" i="23"/>
  <c r="AD123" i="23"/>
  <c r="AE123" i="23"/>
  <c r="AF123" i="23"/>
  <c r="AG123" i="23"/>
  <c r="AH123" i="23"/>
  <c r="AJ123" i="23"/>
  <c r="AK123" i="23"/>
  <c r="AL123" i="23"/>
  <c r="AO123" i="23"/>
  <c r="AP123" i="23"/>
  <c r="BD123" i="23"/>
  <c r="BF123" i="23"/>
  <c r="BJ123" i="23"/>
  <c r="K124" i="23"/>
  <c r="Z124" i="23"/>
  <c r="AD124" i="23"/>
  <c r="AE124" i="23"/>
  <c r="AF124" i="23"/>
  <c r="AG124" i="23"/>
  <c r="AH124" i="23"/>
  <c r="AJ124" i="23"/>
  <c r="AK124" i="23"/>
  <c r="AL124" i="23"/>
  <c r="AO124" i="23"/>
  <c r="I124" i="23" s="1"/>
  <c r="AP124" i="23"/>
  <c r="J124" i="23" s="1"/>
  <c r="BD124" i="23"/>
  <c r="BF124" i="23"/>
  <c r="BH124" i="23"/>
  <c r="AB124" i="23" s="1"/>
  <c r="BI124" i="23"/>
  <c r="AC124" i="23" s="1"/>
  <c r="BJ124" i="23"/>
  <c r="K125" i="23"/>
  <c r="AK125" i="23" s="1"/>
  <c r="Z125" i="23"/>
  <c r="AD125" i="23"/>
  <c r="AE125" i="23"/>
  <c r="AF125" i="23"/>
  <c r="AG125" i="23"/>
  <c r="AH125" i="23"/>
  <c r="AJ125" i="23"/>
  <c r="AL125" i="23"/>
  <c r="AO125" i="23"/>
  <c r="AP125" i="23"/>
  <c r="J125" i="23" s="1"/>
  <c r="AX125" i="23"/>
  <c r="BD125" i="23"/>
  <c r="BF125" i="23"/>
  <c r="BI125" i="23"/>
  <c r="AC125" i="23" s="1"/>
  <c r="BJ125" i="23"/>
  <c r="K126" i="23"/>
  <c r="Z126" i="23"/>
  <c r="AD126" i="23"/>
  <c r="AE126" i="23"/>
  <c r="AF126" i="23"/>
  <c r="AG126" i="23"/>
  <c r="AH126" i="23"/>
  <c r="AJ126" i="23"/>
  <c r="AK126" i="23"/>
  <c r="AL126" i="23"/>
  <c r="AO126" i="23"/>
  <c r="AP126" i="23"/>
  <c r="BD126" i="23"/>
  <c r="BF126" i="23"/>
  <c r="BJ126" i="23"/>
  <c r="K127" i="23"/>
  <c r="Z127" i="23"/>
  <c r="AD127" i="23"/>
  <c r="AE127" i="23"/>
  <c r="AF127" i="23"/>
  <c r="AG127" i="23"/>
  <c r="AH127" i="23"/>
  <c r="AJ127" i="23"/>
  <c r="AK127" i="23"/>
  <c r="AL127" i="23"/>
  <c r="AO127" i="23"/>
  <c r="AP127" i="23"/>
  <c r="J127" i="23" s="1"/>
  <c r="BD127" i="23"/>
  <c r="BF127" i="23"/>
  <c r="BJ127" i="23"/>
  <c r="K129" i="23"/>
  <c r="AK129" i="23" s="1"/>
  <c r="Z129" i="23"/>
  <c r="AD129" i="23"/>
  <c r="AE129" i="23"/>
  <c r="AF129" i="23"/>
  <c r="AG129" i="23"/>
  <c r="AH129" i="23"/>
  <c r="AJ129" i="23"/>
  <c r="AL129" i="23"/>
  <c r="AO129" i="23"/>
  <c r="AP129" i="23"/>
  <c r="J129" i="23" s="1"/>
  <c r="BD129" i="23"/>
  <c r="BF129" i="23"/>
  <c r="BI129" i="23"/>
  <c r="AC129" i="23" s="1"/>
  <c r="BJ129" i="23"/>
  <c r="K130" i="23"/>
  <c r="Z130" i="23"/>
  <c r="AD130" i="23"/>
  <c r="AE130" i="23"/>
  <c r="AF130" i="23"/>
  <c r="AG130" i="23"/>
  <c r="AH130" i="23"/>
  <c r="AJ130" i="23"/>
  <c r="AK130" i="23"/>
  <c r="AL130" i="23"/>
  <c r="AO130" i="23"/>
  <c r="AP130" i="23"/>
  <c r="BD130" i="23"/>
  <c r="BF130" i="23"/>
  <c r="BJ130" i="23"/>
  <c r="K131" i="23"/>
  <c r="AK131" i="23" s="1"/>
  <c r="Z131" i="23"/>
  <c r="AD131" i="23"/>
  <c r="AE131" i="23"/>
  <c r="AF131" i="23"/>
  <c r="AG131" i="23"/>
  <c r="AH131" i="23"/>
  <c r="AJ131" i="23"/>
  <c r="AL131" i="23"/>
  <c r="AO131" i="23"/>
  <c r="I131" i="23" s="1"/>
  <c r="AP131" i="23"/>
  <c r="J131" i="23" s="1"/>
  <c r="AX131" i="23"/>
  <c r="BD131" i="23"/>
  <c r="BF131" i="23"/>
  <c r="BH131" i="23"/>
  <c r="AB131" i="23" s="1"/>
  <c r="BI131" i="23"/>
  <c r="AC131" i="23" s="1"/>
  <c r="BJ131" i="23"/>
  <c r="K132" i="23"/>
  <c r="AK132" i="23" s="1"/>
  <c r="Z132" i="23"/>
  <c r="AD132" i="23"/>
  <c r="AE132" i="23"/>
  <c r="AF132" i="23"/>
  <c r="AG132" i="23"/>
  <c r="AH132" i="23"/>
  <c r="AJ132" i="23"/>
  <c r="AL132" i="23"/>
  <c r="AO132" i="23"/>
  <c r="I132" i="23" s="1"/>
  <c r="AP132" i="23"/>
  <c r="BD132" i="23"/>
  <c r="BF132" i="23"/>
  <c r="BH132" i="23"/>
  <c r="AB132" i="23" s="1"/>
  <c r="BJ132" i="23"/>
  <c r="K133" i="23"/>
  <c r="Z133" i="23"/>
  <c r="AD133" i="23"/>
  <c r="AE133" i="23"/>
  <c r="AF133" i="23"/>
  <c r="AG133" i="23"/>
  <c r="AH133" i="23"/>
  <c r="AJ133" i="23"/>
  <c r="AK133" i="23"/>
  <c r="AL133" i="23"/>
  <c r="AO133" i="23"/>
  <c r="BH133" i="23" s="1"/>
  <c r="AB133" i="23" s="1"/>
  <c r="AP133" i="23"/>
  <c r="J133" i="23" s="1"/>
  <c r="BD133" i="23"/>
  <c r="BF133" i="23"/>
  <c r="BJ133" i="23"/>
  <c r="K134" i="23"/>
  <c r="Z134" i="23"/>
  <c r="AD134" i="23"/>
  <c r="AE134" i="23"/>
  <c r="AF134" i="23"/>
  <c r="AG134" i="23"/>
  <c r="AH134" i="23"/>
  <c r="AJ134" i="23"/>
  <c r="AK134" i="23"/>
  <c r="AL134" i="23"/>
  <c r="AO134" i="23"/>
  <c r="BH134" i="23" s="1"/>
  <c r="AB134" i="23" s="1"/>
  <c r="AP134" i="23"/>
  <c r="BD134" i="23"/>
  <c r="BF134" i="23"/>
  <c r="BJ134" i="23"/>
  <c r="K135" i="23"/>
  <c r="Z135" i="23"/>
  <c r="AD135" i="23"/>
  <c r="AE135" i="23"/>
  <c r="AF135" i="23"/>
  <c r="AG135" i="23"/>
  <c r="AH135" i="23"/>
  <c r="AJ135" i="23"/>
  <c r="AK135" i="23"/>
  <c r="AL135" i="23"/>
  <c r="AO135" i="23"/>
  <c r="I135" i="23" s="1"/>
  <c r="AP135" i="23"/>
  <c r="J135" i="23" s="1"/>
  <c r="BD135" i="23"/>
  <c r="BF135" i="23"/>
  <c r="BH135" i="23"/>
  <c r="AB135" i="23" s="1"/>
  <c r="BI135" i="23"/>
  <c r="AC135" i="23" s="1"/>
  <c r="BJ135" i="23"/>
  <c r="K136" i="23"/>
  <c r="Z136" i="23"/>
  <c r="AD136" i="23"/>
  <c r="AE136" i="23"/>
  <c r="AF136" i="23"/>
  <c r="AG136" i="23"/>
  <c r="AH136" i="23"/>
  <c r="AJ136" i="23"/>
  <c r="AK136" i="23"/>
  <c r="AL136" i="23"/>
  <c r="AO136" i="23"/>
  <c r="I136" i="23" s="1"/>
  <c r="AP136" i="23"/>
  <c r="BD136" i="23"/>
  <c r="BF136" i="23"/>
  <c r="BJ136" i="23"/>
  <c r="K137" i="23"/>
  <c r="Z137" i="23"/>
  <c r="AD137" i="23"/>
  <c r="AE137" i="23"/>
  <c r="AF137" i="23"/>
  <c r="AG137" i="23"/>
  <c r="AH137" i="23"/>
  <c r="AJ137" i="23"/>
  <c r="AK137" i="23"/>
  <c r="AL137" i="23"/>
  <c r="AO137" i="23"/>
  <c r="I137" i="23" s="1"/>
  <c r="AP137" i="23"/>
  <c r="BD137" i="23"/>
  <c r="BF137" i="23"/>
  <c r="BH137" i="23"/>
  <c r="AB137" i="23" s="1"/>
  <c r="BJ137" i="23"/>
  <c r="K138" i="23"/>
  <c r="Z138" i="23"/>
  <c r="AD138" i="23"/>
  <c r="AE138" i="23"/>
  <c r="AF138" i="23"/>
  <c r="AG138" i="23"/>
  <c r="AH138" i="23"/>
  <c r="AJ138" i="23"/>
  <c r="AK138" i="23"/>
  <c r="AL138" i="23"/>
  <c r="AO138" i="23"/>
  <c r="AP138" i="23"/>
  <c r="BD138" i="23"/>
  <c r="BF138" i="23"/>
  <c r="BH138" i="23"/>
  <c r="AB138" i="23" s="1"/>
  <c r="BJ138" i="23"/>
  <c r="K139" i="23"/>
  <c r="Z139" i="23"/>
  <c r="AD139" i="23"/>
  <c r="AE139" i="23"/>
  <c r="AF139" i="23"/>
  <c r="AG139" i="23"/>
  <c r="AH139" i="23"/>
  <c r="AJ139" i="23"/>
  <c r="AK139" i="23"/>
  <c r="AL139" i="23"/>
  <c r="AO139" i="23"/>
  <c r="I139" i="23" s="1"/>
  <c r="AP139" i="23"/>
  <c r="AW139" i="23"/>
  <c r="BD139" i="23"/>
  <c r="BF139" i="23"/>
  <c r="BJ139" i="23"/>
  <c r="K140" i="23"/>
  <c r="Z140" i="23"/>
  <c r="AD140" i="23"/>
  <c r="AE140" i="23"/>
  <c r="AF140" i="23"/>
  <c r="AG140" i="23"/>
  <c r="AH140" i="23"/>
  <c r="AJ140" i="23"/>
  <c r="AK140" i="23"/>
  <c r="AL140" i="23"/>
  <c r="AO140" i="23"/>
  <c r="AP140" i="23"/>
  <c r="AX140" i="23" s="1"/>
  <c r="BD140" i="23"/>
  <c r="BF140" i="23"/>
  <c r="BJ140" i="23"/>
  <c r="K141" i="23"/>
  <c r="Z141" i="23"/>
  <c r="AD141" i="23"/>
  <c r="AE141" i="23"/>
  <c r="AF141" i="23"/>
  <c r="AG141" i="23"/>
  <c r="AH141" i="23"/>
  <c r="AJ141" i="23"/>
  <c r="AK141" i="23"/>
  <c r="AL141" i="23"/>
  <c r="AO141" i="23"/>
  <c r="AP141" i="23"/>
  <c r="BI141" i="23" s="1"/>
  <c r="AC141" i="23" s="1"/>
  <c r="BD141" i="23"/>
  <c r="BF141" i="23"/>
  <c r="BJ141" i="23"/>
  <c r="K142" i="23"/>
  <c r="Z142" i="23"/>
  <c r="AD142" i="23"/>
  <c r="AE142" i="23"/>
  <c r="AF142" i="23"/>
  <c r="AG142" i="23"/>
  <c r="AH142" i="23"/>
  <c r="AJ142" i="23"/>
  <c r="AK142" i="23"/>
  <c r="AL142" i="23"/>
  <c r="AO142" i="23"/>
  <c r="AP142" i="23"/>
  <c r="BD142" i="23"/>
  <c r="BF142" i="23"/>
  <c r="BJ142" i="23"/>
  <c r="K143" i="23"/>
  <c r="Z143" i="23"/>
  <c r="AD143" i="23"/>
  <c r="AE143" i="23"/>
  <c r="AF143" i="23"/>
  <c r="AG143" i="23"/>
  <c r="AH143" i="23"/>
  <c r="AJ143" i="23"/>
  <c r="AK143" i="23"/>
  <c r="AL143" i="23"/>
  <c r="AO143" i="23"/>
  <c r="I143" i="23" s="1"/>
  <c r="AP143" i="23"/>
  <c r="BD143" i="23"/>
  <c r="BF143" i="23"/>
  <c r="BJ143" i="23"/>
  <c r="K144" i="23"/>
  <c r="AK144" i="23" s="1"/>
  <c r="Z144" i="23"/>
  <c r="AD144" i="23"/>
  <c r="AE144" i="23"/>
  <c r="AF144" i="23"/>
  <c r="AG144" i="23"/>
  <c r="AH144" i="23"/>
  <c r="AJ144" i="23"/>
  <c r="AL144" i="23"/>
  <c r="AO144" i="23"/>
  <c r="I144" i="23" s="1"/>
  <c r="AP144" i="23"/>
  <c r="BD144" i="23"/>
  <c r="BF144" i="23"/>
  <c r="BH144" i="23"/>
  <c r="AB144" i="23" s="1"/>
  <c r="BJ144" i="23"/>
  <c r="K145" i="23"/>
  <c r="AK145" i="23" s="1"/>
  <c r="Z145" i="23"/>
  <c r="AD145" i="23"/>
  <c r="AE145" i="23"/>
  <c r="AF145" i="23"/>
  <c r="AG145" i="23"/>
  <c r="AH145" i="23"/>
  <c r="AJ145" i="23"/>
  <c r="AL145" i="23"/>
  <c r="AO145" i="23"/>
  <c r="BH145" i="23" s="1"/>
  <c r="AB145" i="23" s="1"/>
  <c r="AP145" i="23"/>
  <c r="AX145" i="23" s="1"/>
  <c r="BD145" i="23"/>
  <c r="BF145" i="23"/>
  <c r="BI145" i="23"/>
  <c r="AC145" i="23" s="1"/>
  <c r="BJ145" i="23"/>
  <c r="K146" i="23"/>
  <c r="Z146" i="23"/>
  <c r="AD146" i="23"/>
  <c r="AE146" i="23"/>
  <c r="AF146" i="23"/>
  <c r="AG146" i="23"/>
  <c r="AH146" i="23"/>
  <c r="AJ146" i="23"/>
  <c r="AK146" i="23"/>
  <c r="AL146" i="23"/>
  <c r="AO146" i="23"/>
  <c r="AW146" i="23" s="1"/>
  <c r="AP146" i="23"/>
  <c r="J146" i="23" s="1"/>
  <c r="BD146" i="23"/>
  <c r="BF146" i="23"/>
  <c r="BH146" i="23"/>
  <c r="AB146" i="23" s="1"/>
  <c r="BI146" i="23"/>
  <c r="AC146" i="23" s="1"/>
  <c r="BJ146" i="23"/>
  <c r="K147" i="23"/>
  <c r="AK147" i="23" s="1"/>
  <c r="Z147" i="23"/>
  <c r="AD147" i="23"/>
  <c r="AE147" i="23"/>
  <c r="AF147" i="23"/>
  <c r="AG147" i="23"/>
  <c r="AH147" i="23"/>
  <c r="AJ147" i="23"/>
  <c r="AL147" i="23"/>
  <c r="AO147" i="23"/>
  <c r="I147" i="23" s="1"/>
  <c r="AP147" i="23"/>
  <c r="J147" i="23" s="1"/>
  <c r="BD147" i="23"/>
  <c r="BF147" i="23"/>
  <c r="BH147" i="23"/>
  <c r="AB147" i="23" s="1"/>
  <c r="BI147" i="23"/>
  <c r="AC147" i="23" s="1"/>
  <c r="BJ147" i="23"/>
  <c r="K149" i="23"/>
  <c r="Z149" i="23"/>
  <c r="AD149" i="23"/>
  <c r="AE149" i="23"/>
  <c r="AF149" i="23"/>
  <c r="AG149" i="23"/>
  <c r="AH149" i="23"/>
  <c r="AJ149" i="23"/>
  <c r="AK149" i="23"/>
  <c r="AL149" i="23"/>
  <c r="AO149" i="23"/>
  <c r="AW149" i="23" s="1"/>
  <c r="AP149" i="23"/>
  <c r="J149" i="23" s="1"/>
  <c r="BD149" i="23"/>
  <c r="BF149" i="23"/>
  <c r="BH149" i="23"/>
  <c r="AB149" i="23" s="1"/>
  <c r="BI149" i="23"/>
  <c r="AC149" i="23" s="1"/>
  <c r="BJ149" i="23"/>
  <c r="K150" i="23"/>
  <c r="AK150" i="23" s="1"/>
  <c r="Z150" i="23"/>
  <c r="AD150" i="23"/>
  <c r="AE150" i="23"/>
  <c r="AF150" i="23"/>
  <c r="AG150" i="23"/>
  <c r="AH150" i="23"/>
  <c r="AJ150" i="23"/>
  <c r="AL150" i="23"/>
  <c r="AO150" i="23"/>
  <c r="AP150" i="23"/>
  <c r="BD150" i="23"/>
  <c r="BF150" i="23"/>
  <c r="BJ150" i="23"/>
  <c r="K151" i="23"/>
  <c r="Z151" i="23"/>
  <c r="AD151" i="23"/>
  <c r="AE151" i="23"/>
  <c r="AF151" i="23"/>
  <c r="AG151" i="23"/>
  <c r="AH151" i="23"/>
  <c r="AJ151" i="23"/>
  <c r="AL151" i="23"/>
  <c r="AO151" i="23"/>
  <c r="I151" i="23" s="1"/>
  <c r="AP151" i="23"/>
  <c r="BD151" i="23"/>
  <c r="BF151" i="23"/>
  <c r="BH151" i="23"/>
  <c r="AB151" i="23" s="1"/>
  <c r="BJ151" i="23"/>
  <c r="I152" i="23"/>
  <c r="K152" i="23"/>
  <c r="Z152" i="23"/>
  <c r="AB152" i="23"/>
  <c r="AD152" i="23"/>
  <c r="AE152" i="23"/>
  <c r="AF152" i="23"/>
  <c r="AG152" i="23"/>
  <c r="AH152" i="23"/>
  <c r="AJ152" i="23"/>
  <c r="AK152" i="23"/>
  <c r="AL152" i="23"/>
  <c r="AO152" i="23"/>
  <c r="AW152" i="23" s="1"/>
  <c r="AP152" i="23"/>
  <c r="AX152" i="23" s="1"/>
  <c r="BD152" i="23"/>
  <c r="BF152" i="23"/>
  <c r="BH152" i="23"/>
  <c r="BJ152" i="23"/>
  <c r="K153" i="23"/>
  <c r="Z153" i="23"/>
  <c r="AD153" i="23"/>
  <c r="AE153" i="23"/>
  <c r="AF153" i="23"/>
  <c r="AG153" i="23"/>
  <c r="AH153" i="23"/>
  <c r="AJ153" i="23"/>
  <c r="AK153" i="23"/>
  <c r="AL153" i="23"/>
  <c r="AO153" i="23"/>
  <c r="AW153" i="23" s="1"/>
  <c r="AP153" i="23"/>
  <c r="J153" i="23" s="1"/>
  <c r="BD153" i="23"/>
  <c r="BF153" i="23"/>
  <c r="BH153" i="23"/>
  <c r="AB153" i="23" s="1"/>
  <c r="BI153" i="23"/>
  <c r="AC153" i="23" s="1"/>
  <c r="BJ153" i="23"/>
  <c r="K154" i="23"/>
  <c r="AK154" i="23" s="1"/>
  <c r="Z154" i="23"/>
  <c r="AD154" i="23"/>
  <c r="AE154" i="23"/>
  <c r="AF154" i="23"/>
  <c r="AG154" i="23"/>
  <c r="AH154" i="23"/>
  <c r="AJ154" i="23"/>
  <c r="AL154" i="23"/>
  <c r="AO154" i="23"/>
  <c r="I154" i="23" s="1"/>
  <c r="AP154" i="23"/>
  <c r="J154" i="23" s="1"/>
  <c r="BD154" i="23"/>
  <c r="BF154" i="23"/>
  <c r="BH154" i="23"/>
  <c r="AB154" i="23" s="1"/>
  <c r="BI154" i="23"/>
  <c r="AC154" i="23" s="1"/>
  <c r="BJ154" i="23"/>
  <c r="K155" i="23"/>
  <c r="AK155" i="23" s="1"/>
  <c r="Z155" i="23"/>
  <c r="AD155" i="23"/>
  <c r="AE155" i="23"/>
  <c r="AF155" i="23"/>
  <c r="AG155" i="23"/>
  <c r="AH155" i="23"/>
  <c r="AJ155" i="23"/>
  <c r="AL155" i="23"/>
  <c r="AO155" i="23"/>
  <c r="I155" i="23" s="1"/>
  <c r="AP155" i="23"/>
  <c r="J155" i="23" s="1"/>
  <c r="BD155" i="23"/>
  <c r="BF155" i="23"/>
  <c r="BH155" i="23"/>
  <c r="AB155" i="23" s="1"/>
  <c r="BJ155" i="23"/>
  <c r="K156" i="23"/>
  <c r="Z156" i="23"/>
  <c r="AD156" i="23"/>
  <c r="AE156" i="23"/>
  <c r="AF156" i="23"/>
  <c r="AG156" i="23"/>
  <c r="AH156" i="23"/>
  <c r="AJ156" i="23"/>
  <c r="AK156" i="23"/>
  <c r="AL156" i="23"/>
  <c r="AO156" i="23"/>
  <c r="I156" i="23" s="1"/>
  <c r="AP156" i="23"/>
  <c r="AW156" i="23"/>
  <c r="BD156" i="23"/>
  <c r="BF156" i="23"/>
  <c r="BH156" i="23"/>
  <c r="AB156" i="23" s="1"/>
  <c r="BJ156" i="23"/>
  <c r="K157" i="23"/>
  <c r="Z157" i="23"/>
  <c r="AD157" i="23"/>
  <c r="AE157" i="23"/>
  <c r="AF157" i="23"/>
  <c r="AG157" i="23"/>
  <c r="AH157" i="23"/>
  <c r="AJ157" i="23"/>
  <c r="AK157" i="23"/>
  <c r="AL157" i="23"/>
  <c r="AO157" i="23"/>
  <c r="AW157" i="23" s="1"/>
  <c r="AP157" i="23"/>
  <c r="J157" i="23" s="1"/>
  <c r="BD157" i="23"/>
  <c r="BF157" i="23"/>
  <c r="BH157" i="23"/>
  <c r="AB157" i="23" s="1"/>
  <c r="BI157" i="23"/>
  <c r="AC157" i="23" s="1"/>
  <c r="BJ157" i="23"/>
  <c r="K158" i="23"/>
  <c r="AK158" i="23" s="1"/>
  <c r="Z158" i="23"/>
  <c r="AD158" i="23"/>
  <c r="AE158" i="23"/>
  <c r="AF158" i="23"/>
  <c r="AG158" i="23"/>
  <c r="AH158" i="23"/>
  <c r="AJ158" i="23"/>
  <c r="AL158" i="23"/>
  <c r="AO158" i="23"/>
  <c r="I158" i="23" s="1"/>
  <c r="AP158" i="23"/>
  <c r="J158" i="23" s="1"/>
  <c r="BD158" i="23"/>
  <c r="BF158" i="23"/>
  <c r="BH158" i="23"/>
  <c r="AB158" i="23" s="1"/>
  <c r="BI158" i="23"/>
  <c r="AC158" i="23" s="1"/>
  <c r="BJ158" i="23"/>
  <c r="K159" i="23"/>
  <c r="AK159" i="23" s="1"/>
  <c r="Z159" i="23"/>
  <c r="AD159" i="23"/>
  <c r="AE159" i="23"/>
  <c r="AF159" i="23"/>
  <c r="AG159" i="23"/>
  <c r="AH159" i="23"/>
  <c r="AJ159" i="23"/>
  <c r="AL159" i="23"/>
  <c r="AO159" i="23"/>
  <c r="I159" i="23" s="1"/>
  <c r="AP159" i="23"/>
  <c r="BD159" i="23"/>
  <c r="BF159" i="23"/>
  <c r="BH159" i="23"/>
  <c r="AB159" i="23" s="1"/>
  <c r="BJ159" i="23"/>
  <c r="K160" i="23"/>
  <c r="Z160" i="23"/>
  <c r="AD160" i="23"/>
  <c r="AE160" i="23"/>
  <c r="AF160" i="23"/>
  <c r="AG160" i="23"/>
  <c r="AH160" i="23"/>
  <c r="AJ160" i="23"/>
  <c r="AK160" i="23"/>
  <c r="AL160" i="23"/>
  <c r="AO160" i="23"/>
  <c r="I160" i="23" s="1"/>
  <c r="AP160" i="23"/>
  <c r="BD160" i="23"/>
  <c r="BF160" i="23"/>
  <c r="BJ160" i="23"/>
  <c r="K161" i="23"/>
  <c r="AK161" i="23" s="1"/>
  <c r="Z161" i="23"/>
  <c r="AD161" i="23"/>
  <c r="AE161" i="23"/>
  <c r="AF161" i="23"/>
  <c r="AG161" i="23"/>
  <c r="AH161" i="23"/>
  <c r="AJ161" i="23"/>
  <c r="AL161" i="23"/>
  <c r="AO161" i="23"/>
  <c r="AW161" i="23" s="1"/>
  <c r="AP161" i="23"/>
  <c r="J161" i="23" s="1"/>
  <c r="BD161" i="23"/>
  <c r="BF161" i="23"/>
  <c r="BH161" i="23"/>
  <c r="AB161" i="23" s="1"/>
  <c r="BI161" i="23"/>
  <c r="AC161" i="23" s="1"/>
  <c r="BJ161" i="23"/>
  <c r="K162" i="23"/>
  <c r="AK162" i="23" s="1"/>
  <c r="Z162" i="23"/>
  <c r="AD162" i="23"/>
  <c r="AE162" i="23"/>
  <c r="AF162" i="23"/>
  <c r="AG162" i="23"/>
  <c r="AH162" i="23"/>
  <c r="AJ162" i="23"/>
  <c r="AL162" i="23"/>
  <c r="AO162" i="23"/>
  <c r="I162" i="23" s="1"/>
  <c r="AP162" i="23"/>
  <c r="BD162" i="23"/>
  <c r="BF162" i="23"/>
  <c r="BJ162" i="23"/>
  <c r="K163" i="23"/>
  <c r="AK163" i="23" s="1"/>
  <c r="Z163" i="23"/>
  <c r="AD163" i="23"/>
  <c r="AE163" i="23"/>
  <c r="AF163" i="23"/>
  <c r="AG163" i="23"/>
  <c r="AH163" i="23"/>
  <c r="AJ163" i="23"/>
  <c r="AL163" i="23"/>
  <c r="AO163" i="23"/>
  <c r="AP163" i="23"/>
  <c r="BD163" i="23"/>
  <c r="BF163" i="23"/>
  <c r="BI163" i="23"/>
  <c r="AC163" i="23" s="1"/>
  <c r="BJ163" i="23"/>
  <c r="K164" i="23"/>
  <c r="AK164" i="23" s="1"/>
  <c r="Z164" i="23"/>
  <c r="AD164" i="23"/>
  <c r="AE164" i="23"/>
  <c r="AF164" i="23"/>
  <c r="AG164" i="23"/>
  <c r="AH164" i="23"/>
  <c r="AJ164" i="23"/>
  <c r="AL164" i="23"/>
  <c r="AO164" i="23"/>
  <c r="AP164" i="23"/>
  <c r="BD164" i="23"/>
  <c r="BF164" i="23"/>
  <c r="BH164" i="23"/>
  <c r="AB164" i="23" s="1"/>
  <c r="BJ164" i="23"/>
  <c r="K165" i="23"/>
  <c r="Z165" i="23"/>
  <c r="AD165" i="23"/>
  <c r="AE165" i="23"/>
  <c r="AF165" i="23"/>
  <c r="AG165" i="23"/>
  <c r="AH165" i="23"/>
  <c r="AJ165" i="23"/>
  <c r="AK165" i="23"/>
  <c r="AL165" i="23"/>
  <c r="AO165" i="23"/>
  <c r="AW165" i="23" s="1"/>
  <c r="AP165" i="23"/>
  <c r="BD165" i="23"/>
  <c r="BF165" i="23"/>
  <c r="BH165" i="23"/>
  <c r="AB165" i="23" s="1"/>
  <c r="BJ165" i="23"/>
  <c r="K166" i="23"/>
  <c r="AK166" i="23" s="1"/>
  <c r="Z166" i="23"/>
  <c r="AD166" i="23"/>
  <c r="AE166" i="23"/>
  <c r="AF166" i="23"/>
  <c r="AG166" i="23"/>
  <c r="AH166" i="23"/>
  <c r="AJ166" i="23"/>
  <c r="AL166" i="23"/>
  <c r="AO166" i="23"/>
  <c r="AP166" i="23"/>
  <c r="BD166" i="23"/>
  <c r="BF166" i="23"/>
  <c r="BH166" i="23"/>
  <c r="AB166" i="23" s="1"/>
  <c r="BJ166" i="23"/>
  <c r="K167" i="23"/>
  <c r="AK167" i="23" s="1"/>
  <c r="Z167" i="23"/>
  <c r="AC167" i="23"/>
  <c r="AD167" i="23"/>
  <c r="AE167" i="23"/>
  <c r="AF167" i="23"/>
  <c r="AG167" i="23"/>
  <c r="AH167" i="23"/>
  <c r="AJ167" i="23"/>
  <c r="AL167" i="23"/>
  <c r="AO167" i="23"/>
  <c r="AP167" i="23"/>
  <c r="J167" i="23" s="1"/>
  <c r="BD167" i="23"/>
  <c r="BF167" i="23"/>
  <c r="BI167" i="23"/>
  <c r="BJ167" i="23"/>
  <c r="K168" i="23"/>
  <c r="Z168" i="23"/>
  <c r="AD168" i="23"/>
  <c r="AE168" i="23"/>
  <c r="AF168" i="23"/>
  <c r="AG168" i="23"/>
  <c r="AH168" i="23"/>
  <c r="AJ168" i="23"/>
  <c r="AK168" i="23"/>
  <c r="AL168" i="23"/>
  <c r="AO168" i="23"/>
  <c r="I168" i="23" s="1"/>
  <c r="AP168" i="23"/>
  <c r="AX168" i="23" s="1"/>
  <c r="BD168" i="23"/>
  <c r="BF168" i="23"/>
  <c r="BJ168" i="23"/>
  <c r="K169" i="23"/>
  <c r="Z169" i="23"/>
  <c r="AD169" i="23"/>
  <c r="AE169" i="23"/>
  <c r="AF169" i="23"/>
  <c r="AG169" i="23"/>
  <c r="AH169" i="23"/>
  <c r="AJ169" i="23"/>
  <c r="AK169" i="23"/>
  <c r="AL169" i="23"/>
  <c r="AO169" i="23"/>
  <c r="AP169" i="23"/>
  <c r="J169" i="23" s="1"/>
  <c r="BD169" i="23"/>
  <c r="BF169" i="23"/>
  <c r="BJ169" i="23"/>
  <c r="K170" i="23"/>
  <c r="AK170" i="23" s="1"/>
  <c r="Z170" i="23"/>
  <c r="AD170" i="23"/>
  <c r="AE170" i="23"/>
  <c r="AF170" i="23"/>
  <c r="AG170" i="23"/>
  <c r="AH170" i="23"/>
  <c r="AJ170" i="23"/>
  <c r="AL170" i="23"/>
  <c r="AO170" i="23"/>
  <c r="I170" i="23" s="1"/>
  <c r="AP170" i="23"/>
  <c r="J170" i="23" s="1"/>
  <c r="AW170" i="23"/>
  <c r="BD170" i="23"/>
  <c r="BF170" i="23"/>
  <c r="BH170" i="23"/>
  <c r="AB170" i="23" s="1"/>
  <c r="BJ170" i="23"/>
  <c r="K172" i="23"/>
  <c r="AB172" i="23"/>
  <c r="AC172" i="23"/>
  <c r="AD172" i="23"/>
  <c r="AE172" i="23"/>
  <c r="AF172" i="23"/>
  <c r="AG172" i="23"/>
  <c r="AH172" i="23"/>
  <c r="AJ172" i="23"/>
  <c r="AK172" i="23"/>
  <c r="AL172" i="23"/>
  <c r="AO172" i="23"/>
  <c r="I172" i="23" s="1"/>
  <c r="AP172" i="23"/>
  <c r="J172" i="23" s="1"/>
  <c r="BD172" i="23"/>
  <c r="BF172" i="23"/>
  <c r="BH172" i="23"/>
  <c r="BI172" i="23"/>
  <c r="BJ172" i="23"/>
  <c r="Z172" i="23" s="1"/>
  <c r="K173" i="23"/>
  <c r="AB173" i="23"/>
  <c r="AC173" i="23"/>
  <c r="AD173" i="23"/>
  <c r="AE173" i="23"/>
  <c r="AF173" i="23"/>
  <c r="AG173" i="23"/>
  <c r="AH173" i="23"/>
  <c r="AJ173" i="23"/>
  <c r="AL173" i="23"/>
  <c r="AO173" i="23"/>
  <c r="I173" i="23" s="1"/>
  <c r="AP173" i="23"/>
  <c r="J173" i="23" s="1"/>
  <c r="BD173" i="23"/>
  <c r="BF173" i="23"/>
  <c r="BH173" i="23"/>
  <c r="BI173" i="23"/>
  <c r="BJ173" i="23"/>
  <c r="Z173" i="23" s="1"/>
  <c r="K174" i="23"/>
  <c r="AK174" i="23" s="1"/>
  <c r="AB174" i="23"/>
  <c r="AC174" i="23"/>
  <c r="AD174" i="23"/>
  <c r="AE174" i="23"/>
  <c r="AF174" i="23"/>
  <c r="AG174" i="23"/>
  <c r="AH174" i="23"/>
  <c r="AJ174" i="23"/>
  <c r="AL174" i="23"/>
  <c r="AO174" i="23"/>
  <c r="AP174" i="23"/>
  <c r="BI174" i="23" s="1"/>
  <c r="BD174" i="23"/>
  <c r="BF174" i="23"/>
  <c r="BJ174" i="23"/>
  <c r="Z174" i="23" s="1"/>
  <c r="K175" i="23"/>
  <c r="AK175" i="23" s="1"/>
  <c r="AB175" i="23"/>
  <c r="AC175" i="23"/>
  <c r="AD175" i="23"/>
  <c r="AE175" i="23"/>
  <c r="AF175" i="23"/>
  <c r="AG175" i="23"/>
  <c r="AH175" i="23"/>
  <c r="AJ175" i="23"/>
  <c r="AL175" i="23"/>
  <c r="AO175" i="23"/>
  <c r="AP175" i="23"/>
  <c r="J175" i="23" s="1"/>
  <c r="BD175" i="23"/>
  <c r="BF175" i="23"/>
  <c r="BI175" i="23"/>
  <c r="BJ175" i="23"/>
  <c r="Z175" i="23" s="1"/>
  <c r="K176" i="23"/>
  <c r="AK176" i="23" s="1"/>
  <c r="AB176" i="23"/>
  <c r="AC176" i="23"/>
  <c r="AD176" i="23"/>
  <c r="AE176" i="23"/>
  <c r="AF176" i="23"/>
  <c r="AG176" i="23"/>
  <c r="AH176" i="23"/>
  <c r="AJ176" i="23"/>
  <c r="AL176" i="23"/>
  <c r="AO176" i="23"/>
  <c r="I176" i="23" s="1"/>
  <c r="AP176" i="23"/>
  <c r="J176" i="23" s="1"/>
  <c r="BD176" i="23"/>
  <c r="BF176" i="23"/>
  <c r="BH176" i="23"/>
  <c r="BI176" i="23"/>
  <c r="BJ176" i="23"/>
  <c r="Z176" i="23" s="1"/>
  <c r="K177" i="23"/>
  <c r="AK177" i="23" s="1"/>
  <c r="AB177" i="23"/>
  <c r="AC177" i="23"/>
  <c r="AD177" i="23"/>
  <c r="AE177" i="23"/>
  <c r="AF177" i="23"/>
  <c r="AG177" i="23"/>
  <c r="AH177" i="23"/>
  <c r="AJ177" i="23"/>
  <c r="AL177" i="23"/>
  <c r="AO177" i="23"/>
  <c r="I177" i="23" s="1"/>
  <c r="AP177" i="23"/>
  <c r="J177" i="23" s="1"/>
  <c r="BD177" i="23"/>
  <c r="BF177" i="23"/>
  <c r="BH177" i="23"/>
  <c r="BI177" i="23"/>
  <c r="BJ177" i="23"/>
  <c r="Z177" i="23" s="1"/>
  <c r="J178" i="23"/>
  <c r="K178" i="23"/>
  <c r="AB178" i="23"/>
  <c r="AC178" i="23"/>
  <c r="AD178" i="23"/>
  <c r="AE178" i="23"/>
  <c r="AF178" i="23"/>
  <c r="AG178" i="23"/>
  <c r="AH178" i="23"/>
  <c r="AJ178" i="23"/>
  <c r="AK178" i="23"/>
  <c r="AL178" i="23"/>
  <c r="AO178" i="23"/>
  <c r="AP178" i="23"/>
  <c r="AX178" i="23" s="1"/>
  <c r="BD178" i="23"/>
  <c r="BF178" i="23"/>
  <c r="BI178" i="23"/>
  <c r="BJ178" i="23"/>
  <c r="Z178" i="23" s="1"/>
  <c r="K179" i="23"/>
  <c r="AK179" i="23" s="1"/>
  <c r="AB179" i="23"/>
  <c r="AC179" i="23"/>
  <c r="AD179" i="23"/>
  <c r="AE179" i="23"/>
  <c r="AF179" i="23"/>
  <c r="AG179" i="23"/>
  <c r="AH179" i="23"/>
  <c r="AJ179" i="23"/>
  <c r="AL179" i="23"/>
  <c r="AO179" i="23"/>
  <c r="AP179" i="23"/>
  <c r="BD179" i="23"/>
  <c r="BF179" i="23"/>
  <c r="BJ179" i="23"/>
  <c r="Z179" i="23" s="1"/>
  <c r="K180" i="23"/>
  <c r="AK180" i="23" s="1"/>
  <c r="AB180" i="23"/>
  <c r="AC180" i="23"/>
  <c r="AD180" i="23"/>
  <c r="AE180" i="23"/>
  <c r="AF180" i="23"/>
  <c r="AG180" i="23"/>
  <c r="AH180" i="23"/>
  <c r="AJ180" i="23"/>
  <c r="AL180" i="23"/>
  <c r="AO180" i="23"/>
  <c r="I180" i="23" s="1"/>
  <c r="AP180" i="23"/>
  <c r="J180" i="23" s="1"/>
  <c r="BD180" i="23"/>
  <c r="BF180" i="23"/>
  <c r="BH180" i="23"/>
  <c r="BI180" i="23"/>
  <c r="BJ180" i="23"/>
  <c r="Z180" i="23" s="1"/>
  <c r="K181" i="23"/>
  <c r="AK181" i="23" s="1"/>
  <c r="AB181" i="23"/>
  <c r="AC181" i="23"/>
  <c r="AD181" i="23"/>
  <c r="AE181" i="23"/>
  <c r="AF181" i="23"/>
  <c r="AG181" i="23"/>
  <c r="AH181" i="23"/>
  <c r="AJ181" i="23"/>
  <c r="AL181" i="23"/>
  <c r="AO181" i="23"/>
  <c r="I181" i="23" s="1"/>
  <c r="AP181" i="23"/>
  <c r="J181" i="23" s="1"/>
  <c r="BD181" i="23"/>
  <c r="BF181" i="23"/>
  <c r="BI181" i="23"/>
  <c r="BJ181" i="23"/>
  <c r="Z181" i="23" s="1"/>
  <c r="K182" i="23"/>
  <c r="AK182" i="23" s="1"/>
  <c r="AB182" i="23"/>
  <c r="AC182" i="23"/>
  <c r="AD182" i="23"/>
  <c r="AE182" i="23"/>
  <c r="AF182" i="23"/>
  <c r="AG182" i="23"/>
  <c r="AH182" i="23"/>
  <c r="AJ182" i="23"/>
  <c r="AL182" i="23"/>
  <c r="AO182" i="23"/>
  <c r="AP182" i="23"/>
  <c r="J182" i="23" s="1"/>
  <c r="AX182" i="23"/>
  <c r="BD182" i="23"/>
  <c r="BF182" i="23"/>
  <c r="BI182" i="23"/>
  <c r="BJ182" i="23"/>
  <c r="Z182" i="23" s="1"/>
  <c r="K183" i="23"/>
  <c r="AK183" i="23" s="1"/>
  <c r="AB183" i="23"/>
  <c r="AC183" i="23"/>
  <c r="AD183" i="23"/>
  <c r="AE183" i="23"/>
  <c r="AF183" i="23"/>
  <c r="AG183" i="23"/>
  <c r="AH183" i="23"/>
  <c r="AJ183" i="23"/>
  <c r="AL183" i="23"/>
  <c r="AO183" i="23"/>
  <c r="AP183" i="23"/>
  <c r="J183" i="23" s="1"/>
  <c r="BD183" i="23"/>
  <c r="BF183" i="23"/>
  <c r="BH183" i="23"/>
  <c r="BJ183" i="23"/>
  <c r="Z183" i="23" s="1"/>
  <c r="K184" i="23"/>
  <c r="AB184" i="23"/>
  <c r="AC184" i="23"/>
  <c r="AD184" i="23"/>
  <c r="AE184" i="23"/>
  <c r="AF184" i="23"/>
  <c r="AG184" i="23"/>
  <c r="AH184" i="23"/>
  <c r="AJ184" i="23"/>
  <c r="AK184" i="23"/>
  <c r="AL184" i="23"/>
  <c r="AO184" i="23"/>
  <c r="I184" i="23" s="1"/>
  <c r="AP184" i="23"/>
  <c r="J184" i="23" s="1"/>
  <c r="BD184" i="23"/>
  <c r="BF184" i="23"/>
  <c r="BH184" i="23"/>
  <c r="BI184" i="23"/>
  <c r="BJ184" i="23"/>
  <c r="Z184" i="23" s="1"/>
  <c r="K185" i="23"/>
  <c r="AK185" i="23" s="1"/>
  <c r="AB185" i="23"/>
  <c r="AC185" i="23"/>
  <c r="AD185" i="23"/>
  <c r="AE185" i="23"/>
  <c r="AF185" i="23"/>
  <c r="AG185" i="23"/>
  <c r="AH185" i="23"/>
  <c r="AJ185" i="23"/>
  <c r="AL185" i="23"/>
  <c r="AO185" i="23"/>
  <c r="I185" i="23" s="1"/>
  <c r="AP185" i="23"/>
  <c r="BD185" i="23"/>
  <c r="BF185" i="23"/>
  <c r="BH185" i="23"/>
  <c r="BJ185" i="23"/>
  <c r="Z185" i="23" s="1"/>
  <c r="K186" i="23"/>
  <c r="AK186" i="23" s="1"/>
  <c r="AB186" i="23"/>
  <c r="AC186" i="23"/>
  <c r="AD186" i="23"/>
  <c r="AE186" i="23"/>
  <c r="AF186" i="23"/>
  <c r="AG186" i="23"/>
  <c r="AH186" i="23"/>
  <c r="AJ186" i="23"/>
  <c r="AL186" i="23"/>
  <c r="AO186" i="23"/>
  <c r="AP186" i="23"/>
  <c r="BD186" i="23"/>
  <c r="BF186" i="23"/>
  <c r="BJ186" i="23"/>
  <c r="Z186" i="23" s="1"/>
  <c r="K187" i="23"/>
  <c r="AK187" i="23" s="1"/>
  <c r="AB187" i="23"/>
  <c r="AC187" i="23"/>
  <c r="AD187" i="23"/>
  <c r="AE187" i="23"/>
  <c r="AF187" i="23"/>
  <c r="AG187" i="23"/>
  <c r="AH187" i="23"/>
  <c r="AJ187" i="23"/>
  <c r="AL187" i="23"/>
  <c r="AO187" i="23"/>
  <c r="AP187" i="23"/>
  <c r="J187" i="23" s="1"/>
  <c r="BD187" i="23"/>
  <c r="BF187" i="23"/>
  <c r="BI187" i="23"/>
  <c r="BJ187" i="23"/>
  <c r="Z187" i="23" s="1"/>
  <c r="K189" i="23"/>
  <c r="K188" i="23" s="1"/>
  <c r="AB189" i="23"/>
  <c r="AC189" i="23"/>
  <c r="AD189" i="23"/>
  <c r="AE189" i="23"/>
  <c r="AF189" i="23"/>
  <c r="AG189" i="23"/>
  <c r="AH189" i="23"/>
  <c r="AJ189" i="23"/>
  <c r="AS188" i="23" s="1"/>
  <c r="AL189" i="23"/>
  <c r="AU188" i="23" s="1"/>
  <c r="AO189" i="23"/>
  <c r="AP189" i="23"/>
  <c r="BD189" i="23"/>
  <c r="BF189" i="23"/>
  <c r="BJ189" i="23"/>
  <c r="Z189" i="23" s="1"/>
  <c r="K191" i="23"/>
  <c r="Z191" i="23"/>
  <c r="AB191" i="23"/>
  <c r="AC191" i="23"/>
  <c r="AF191" i="23"/>
  <c r="AG191" i="23"/>
  <c r="AH191" i="23"/>
  <c r="AJ191" i="23"/>
  <c r="AL191" i="23"/>
  <c r="AO191" i="23"/>
  <c r="AP191" i="23"/>
  <c r="J191" i="23" s="1"/>
  <c r="AX191" i="23"/>
  <c r="BD191" i="23"/>
  <c r="BF191" i="23"/>
  <c r="BI191" i="23"/>
  <c r="AE191" i="23" s="1"/>
  <c r="BJ191" i="23"/>
  <c r="K192" i="23"/>
  <c r="Z192" i="23"/>
  <c r="AB192" i="23"/>
  <c r="AC192" i="23"/>
  <c r="AF192" i="23"/>
  <c r="AG192" i="23"/>
  <c r="AH192" i="23"/>
  <c r="AJ192" i="23"/>
  <c r="AK192" i="23"/>
  <c r="AL192" i="23"/>
  <c r="AO192" i="23"/>
  <c r="AP192" i="23"/>
  <c r="BD192" i="23"/>
  <c r="BF192" i="23"/>
  <c r="BJ192" i="23"/>
  <c r="K193" i="23"/>
  <c r="Z193" i="23"/>
  <c r="AB193" i="23"/>
  <c r="AC193" i="23"/>
  <c r="AF193" i="23"/>
  <c r="AG193" i="23"/>
  <c r="AH193" i="23"/>
  <c r="AJ193" i="23"/>
  <c r="AK193" i="23"/>
  <c r="AL193" i="23"/>
  <c r="AO193" i="23"/>
  <c r="AP193" i="23"/>
  <c r="BD193" i="23"/>
  <c r="BF193" i="23"/>
  <c r="BJ193" i="23"/>
  <c r="K194" i="23"/>
  <c r="AK194" i="23" s="1"/>
  <c r="Z194" i="23"/>
  <c r="AB194" i="23"/>
  <c r="AC194" i="23"/>
  <c r="AF194" i="23"/>
  <c r="AG194" i="23"/>
  <c r="AH194" i="23"/>
  <c r="AJ194" i="23"/>
  <c r="AL194" i="23"/>
  <c r="AO194" i="23"/>
  <c r="I194" i="23" s="1"/>
  <c r="AP194" i="23"/>
  <c r="J194" i="23" s="1"/>
  <c r="BD194" i="23"/>
  <c r="BF194" i="23"/>
  <c r="BH194" i="23"/>
  <c r="AD194" i="23" s="1"/>
  <c r="BI194" i="23"/>
  <c r="AE194" i="23" s="1"/>
  <c r="BJ194" i="23"/>
  <c r="K195" i="23"/>
  <c r="AK195" i="23" s="1"/>
  <c r="AB195" i="23"/>
  <c r="AC195" i="23"/>
  <c r="AD195" i="23"/>
  <c r="AE195" i="23"/>
  <c r="AF195" i="23"/>
  <c r="AG195" i="23"/>
  <c r="AH195" i="23"/>
  <c r="AJ195" i="23"/>
  <c r="AL195" i="23"/>
  <c r="AO195" i="23"/>
  <c r="I195" i="23" s="1"/>
  <c r="AP195" i="23"/>
  <c r="BD195" i="23"/>
  <c r="BF195" i="23"/>
  <c r="BJ195" i="23"/>
  <c r="Z195" i="23" s="1"/>
  <c r="K197" i="23"/>
  <c r="Z197" i="23"/>
  <c r="AB197" i="23"/>
  <c r="AC197" i="23"/>
  <c r="AF197" i="23"/>
  <c r="AG197" i="23"/>
  <c r="AH197" i="23"/>
  <c r="AJ197" i="23"/>
  <c r="AL197" i="23"/>
  <c r="AO197" i="23"/>
  <c r="I197" i="23" s="1"/>
  <c r="AP197" i="23"/>
  <c r="J197" i="23" s="1"/>
  <c r="BD197" i="23"/>
  <c r="BF197" i="23"/>
  <c r="BI197" i="23"/>
  <c r="AE197" i="23" s="1"/>
  <c r="BJ197" i="23"/>
  <c r="K198" i="23"/>
  <c r="AK198" i="23" s="1"/>
  <c r="Z198" i="23"/>
  <c r="AB198" i="23"/>
  <c r="AC198" i="23"/>
  <c r="AF198" i="23"/>
  <c r="AG198" i="23"/>
  <c r="AH198" i="23"/>
  <c r="AJ198" i="23"/>
  <c r="AL198" i="23"/>
  <c r="AO198" i="23"/>
  <c r="I198" i="23" s="1"/>
  <c r="AP198" i="23"/>
  <c r="J198" i="23" s="1"/>
  <c r="BD198" i="23"/>
  <c r="BF198" i="23"/>
  <c r="BI198" i="23"/>
  <c r="AE198" i="23" s="1"/>
  <c r="BJ198" i="23"/>
  <c r="K199" i="23"/>
  <c r="Z199" i="23"/>
  <c r="AB199" i="23"/>
  <c r="AC199" i="23"/>
  <c r="AF199" i="23"/>
  <c r="AG199" i="23"/>
  <c r="AH199" i="23"/>
  <c r="AJ199" i="23"/>
  <c r="AK199" i="23"/>
  <c r="AL199" i="23"/>
  <c r="AO199" i="23"/>
  <c r="AP199" i="23"/>
  <c r="J199" i="23" s="1"/>
  <c r="BD199" i="23"/>
  <c r="BF199" i="23"/>
  <c r="BJ199" i="23"/>
  <c r="K200" i="23"/>
  <c r="Z200" i="23"/>
  <c r="AB200" i="23"/>
  <c r="AC200" i="23"/>
  <c r="AF200" i="23"/>
  <c r="AG200" i="23"/>
  <c r="AH200" i="23"/>
  <c r="AJ200" i="23"/>
  <c r="AK200" i="23"/>
  <c r="AL200" i="23"/>
  <c r="AO200" i="23"/>
  <c r="AP200" i="23"/>
  <c r="J200" i="23" s="1"/>
  <c r="BD200" i="23"/>
  <c r="BF200" i="23"/>
  <c r="BJ200" i="23"/>
  <c r="K201" i="23"/>
  <c r="Z201" i="23"/>
  <c r="AB201" i="23"/>
  <c r="AC201" i="23"/>
  <c r="AF201" i="23"/>
  <c r="AG201" i="23"/>
  <c r="AH201" i="23"/>
  <c r="AJ201" i="23"/>
  <c r="AK201" i="23"/>
  <c r="AL201" i="23"/>
  <c r="AO201" i="23"/>
  <c r="AP201" i="23"/>
  <c r="J201" i="23" s="1"/>
  <c r="BD201" i="23"/>
  <c r="BF201" i="23"/>
  <c r="BJ201" i="23"/>
  <c r="K202" i="23"/>
  <c r="AK202" i="23" s="1"/>
  <c r="Z202" i="23"/>
  <c r="AB202" i="23"/>
  <c r="AC202" i="23"/>
  <c r="AF202" i="23"/>
  <c r="AG202" i="23"/>
  <c r="AH202" i="23"/>
  <c r="AJ202" i="23"/>
  <c r="AL202" i="23"/>
  <c r="AO202" i="23"/>
  <c r="AP202" i="23"/>
  <c r="BD202" i="23"/>
  <c r="BF202" i="23"/>
  <c r="BI202" i="23"/>
  <c r="AE202" i="23" s="1"/>
  <c r="BJ202" i="23"/>
  <c r="K203" i="23"/>
  <c r="Z203" i="23"/>
  <c r="AB203" i="23"/>
  <c r="AC203" i="23"/>
  <c r="AF203" i="23"/>
  <c r="AG203" i="23"/>
  <c r="AH203" i="23"/>
  <c r="AJ203" i="23"/>
  <c r="AK203" i="23"/>
  <c r="AL203" i="23"/>
  <c r="AO203" i="23"/>
  <c r="AP203" i="23"/>
  <c r="AX203" i="23" s="1"/>
  <c r="BD203" i="23"/>
  <c r="BF203" i="23"/>
  <c r="BI203" i="23"/>
  <c r="AE203" i="23" s="1"/>
  <c r="BJ203" i="23"/>
  <c r="K204" i="23"/>
  <c r="Z204" i="23"/>
  <c r="AB204" i="23"/>
  <c r="AC204" i="23"/>
  <c r="AF204" i="23"/>
  <c r="AG204" i="23"/>
  <c r="AH204" i="23"/>
  <c r="AJ204" i="23"/>
  <c r="AK204" i="23"/>
  <c r="AL204" i="23"/>
  <c r="AO204" i="23"/>
  <c r="AW204" i="23" s="1"/>
  <c r="AP204" i="23"/>
  <c r="BD204" i="23"/>
  <c r="BF204" i="23"/>
  <c r="BH204" i="23"/>
  <c r="AD204" i="23" s="1"/>
  <c r="BJ204" i="23"/>
  <c r="K205" i="23"/>
  <c r="Z205" i="23"/>
  <c r="AB205" i="23"/>
  <c r="AC205" i="23"/>
  <c r="AF205" i="23"/>
  <c r="AG205" i="23"/>
  <c r="AH205" i="23"/>
  <c r="AJ205" i="23"/>
  <c r="AK205" i="23"/>
  <c r="AL205" i="23"/>
  <c r="AO205" i="23"/>
  <c r="AP205" i="23"/>
  <c r="J205" i="23" s="1"/>
  <c r="BD205" i="23"/>
  <c r="BF205" i="23"/>
  <c r="BJ205" i="23"/>
  <c r="K206" i="23"/>
  <c r="AK206" i="23" s="1"/>
  <c r="AB206" i="23"/>
  <c r="AC206" i="23"/>
  <c r="AD206" i="23"/>
  <c r="AE206" i="23"/>
  <c r="AF206" i="23"/>
  <c r="AG206" i="23"/>
  <c r="AH206" i="23"/>
  <c r="AJ206" i="23"/>
  <c r="AL206" i="23"/>
  <c r="AO206" i="23"/>
  <c r="AP206" i="23"/>
  <c r="BD206" i="23"/>
  <c r="BF206" i="23"/>
  <c r="BJ206" i="23"/>
  <c r="Z206" i="23" s="1"/>
  <c r="K208" i="23"/>
  <c r="Z208" i="23"/>
  <c r="AB208" i="23"/>
  <c r="AC208" i="23"/>
  <c r="AF208" i="23"/>
  <c r="AG208" i="23"/>
  <c r="AH208" i="23"/>
  <c r="AJ208" i="23"/>
  <c r="AK208" i="23"/>
  <c r="AL208" i="23"/>
  <c r="AO208" i="23"/>
  <c r="I208" i="23" s="1"/>
  <c r="AP208" i="23"/>
  <c r="J208" i="23" s="1"/>
  <c r="BD208" i="23"/>
  <c r="BF208" i="23"/>
  <c r="BH208" i="23"/>
  <c r="AD208" i="23" s="1"/>
  <c r="BJ208" i="23"/>
  <c r="K209" i="23"/>
  <c r="AK209" i="23" s="1"/>
  <c r="Z209" i="23"/>
  <c r="AB209" i="23"/>
  <c r="AC209" i="23"/>
  <c r="AF209" i="23"/>
  <c r="AG209" i="23"/>
  <c r="AH209" i="23"/>
  <c r="AJ209" i="23"/>
  <c r="AL209" i="23"/>
  <c r="AO209" i="23"/>
  <c r="AP209" i="23"/>
  <c r="J209" i="23" s="1"/>
  <c r="BD209" i="23"/>
  <c r="BF209" i="23"/>
  <c r="BJ209" i="23"/>
  <c r="K210" i="23"/>
  <c r="Z210" i="23"/>
  <c r="AB210" i="23"/>
  <c r="AC210" i="23"/>
  <c r="AF210" i="23"/>
  <c r="AG210" i="23"/>
  <c r="AH210" i="23"/>
  <c r="AJ210" i="23"/>
  <c r="AK210" i="23"/>
  <c r="AL210" i="23"/>
  <c r="AO210" i="23"/>
  <c r="AP210" i="23"/>
  <c r="J210" i="23" s="1"/>
  <c r="AX210" i="23"/>
  <c r="BD210" i="23"/>
  <c r="BF210" i="23"/>
  <c r="BI210" i="23"/>
  <c r="AE210" i="23" s="1"/>
  <c r="BJ210" i="23"/>
  <c r="K211" i="23"/>
  <c r="Z211" i="23"/>
  <c r="AB211" i="23"/>
  <c r="AC211" i="23"/>
  <c r="AF211" i="23"/>
  <c r="AG211" i="23"/>
  <c r="AH211" i="23"/>
  <c r="AJ211" i="23"/>
  <c r="AK211" i="23"/>
  <c r="AL211" i="23"/>
  <c r="AO211" i="23"/>
  <c r="AW211" i="23" s="1"/>
  <c r="AP211" i="23"/>
  <c r="BD211" i="23"/>
  <c r="BF211" i="23"/>
  <c r="BJ211" i="23"/>
  <c r="K212" i="23"/>
  <c r="Z212" i="23"/>
  <c r="AB212" i="23"/>
  <c r="AC212" i="23"/>
  <c r="AF212" i="23"/>
  <c r="AG212" i="23"/>
  <c r="AH212" i="23"/>
  <c r="AJ212" i="23"/>
  <c r="AK212" i="23"/>
  <c r="AL212" i="23"/>
  <c r="AO212" i="23"/>
  <c r="I212" i="23" s="1"/>
  <c r="AP212" i="23"/>
  <c r="J212" i="23" s="1"/>
  <c r="BD212" i="23"/>
  <c r="BF212" i="23"/>
  <c r="BH212" i="23"/>
  <c r="AD212" i="23" s="1"/>
  <c r="BI212" i="23"/>
  <c r="AE212" i="23" s="1"/>
  <c r="BJ212" i="23"/>
  <c r="K213" i="23"/>
  <c r="AK213" i="23" s="1"/>
  <c r="Z213" i="23"/>
  <c r="AB213" i="23"/>
  <c r="AC213" i="23"/>
  <c r="AF213" i="23"/>
  <c r="AG213" i="23"/>
  <c r="AH213" i="23"/>
  <c r="AJ213" i="23"/>
  <c r="AL213" i="23"/>
  <c r="AO213" i="23"/>
  <c r="AP213" i="23"/>
  <c r="J213" i="23" s="1"/>
  <c r="BD213" i="23"/>
  <c r="BF213" i="23"/>
  <c r="BJ213" i="23"/>
  <c r="K214" i="23"/>
  <c r="Z214" i="23"/>
  <c r="AB214" i="23"/>
  <c r="AC214" i="23"/>
  <c r="AF214" i="23"/>
  <c r="AG214" i="23"/>
  <c r="AH214" i="23"/>
  <c r="AJ214" i="23"/>
  <c r="AK214" i="23"/>
  <c r="AL214" i="23"/>
  <c r="AO214" i="23"/>
  <c r="I214" i="23" s="1"/>
  <c r="AP214" i="23"/>
  <c r="AW214" i="23"/>
  <c r="BD214" i="23"/>
  <c r="BF214" i="23"/>
  <c r="BH214" i="23"/>
  <c r="AD214" i="23" s="1"/>
  <c r="BJ214" i="23"/>
  <c r="I215" i="23"/>
  <c r="K215" i="23"/>
  <c r="Z215" i="23"/>
  <c r="AB215" i="23"/>
  <c r="AC215" i="23"/>
  <c r="AF215" i="23"/>
  <c r="AG215" i="23"/>
  <c r="AH215" i="23"/>
  <c r="AJ215" i="23"/>
  <c r="AK215" i="23"/>
  <c r="AL215" i="23"/>
  <c r="AO215" i="23"/>
  <c r="AW215" i="23" s="1"/>
  <c r="AP215" i="23"/>
  <c r="BD215" i="23"/>
  <c r="BF215" i="23"/>
  <c r="BH215" i="23"/>
  <c r="AD215" i="23" s="1"/>
  <c r="BJ215" i="23"/>
  <c r="K216" i="23"/>
  <c r="Z216" i="23"/>
  <c r="AB216" i="23"/>
  <c r="AC216" i="23"/>
  <c r="AF216" i="23"/>
  <c r="AG216" i="23"/>
  <c r="AH216" i="23"/>
  <c r="AJ216" i="23"/>
  <c r="AK216" i="23"/>
  <c r="AL216" i="23"/>
  <c r="AO216" i="23"/>
  <c r="I216" i="23" s="1"/>
  <c r="AP216" i="23"/>
  <c r="BD216" i="23"/>
  <c r="BF216" i="23"/>
  <c r="BI216" i="23"/>
  <c r="AE216" i="23" s="1"/>
  <c r="BJ216" i="23"/>
  <c r="K217" i="23"/>
  <c r="AK217" i="23" s="1"/>
  <c r="Z217" i="23"/>
  <c r="AB217" i="23"/>
  <c r="AC217" i="23"/>
  <c r="AF217" i="23"/>
  <c r="AG217" i="23"/>
  <c r="AH217" i="23"/>
  <c r="AJ217" i="23"/>
  <c r="AL217" i="23"/>
  <c r="AO217" i="23"/>
  <c r="I217" i="23" s="1"/>
  <c r="AP217" i="23"/>
  <c r="BD217" i="23"/>
  <c r="BF217" i="23"/>
  <c r="BJ217" i="23"/>
  <c r="K218" i="23"/>
  <c r="AK218" i="23" s="1"/>
  <c r="Z218" i="23"/>
  <c r="AB218" i="23"/>
  <c r="AC218" i="23"/>
  <c r="AF218" i="23"/>
  <c r="AG218" i="23"/>
  <c r="AH218" i="23"/>
  <c r="AJ218" i="23"/>
  <c r="AL218" i="23"/>
  <c r="AO218" i="23"/>
  <c r="AP218" i="23"/>
  <c r="BD218" i="23"/>
  <c r="BF218" i="23"/>
  <c r="BJ218" i="23"/>
  <c r="K219" i="23"/>
  <c r="Z219" i="23"/>
  <c r="AB219" i="23"/>
  <c r="AC219" i="23"/>
  <c r="AF219" i="23"/>
  <c r="AG219" i="23"/>
  <c r="AH219" i="23"/>
  <c r="AJ219" i="23"/>
  <c r="AK219" i="23"/>
  <c r="AL219" i="23"/>
  <c r="AO219" i="23"/>
  <c r="AP219" i="23"/>
  <c r="AX219" i="23" s="1"/>
  <c r="BD219" i="23"/>
  <c r="BF219" i="23"/>
  <c r="BI219" i="23"/>
  <c r="AE219" i="23" s="1"/>
  <c r="BJ219" i="23"/>
  <c r="K220" i="23"/>
  <c r="Z220" i="23"/>
  <c r="AB220" i="23"/>
  <c r="AC220" i="23"/>
  <c r="AF220" i="23"/>
  <c r="AG220" i="23"/>
  <c r="AH220" i="23"/>
  <c r="AJ220" i="23"/>
  <c r="AK220" i="23"/>
  <c r="AL220" i="23"/>
  <c r="AO220" i="23"/>
  <c r="AW220" i="23" s="1"/>
  <c r="AP220" i="23"/>
  <c r="J220" i="23" s="1"/>
  <c r="BD220" i="23"/>
  <c r="BF220" i="23"/>
  <c r="BH220" i="23"/>
  <c r="AD220" i="23" s="1"/>
  <c r="BI220" i="23"/>
  <c r="AE220" i="23" s="1"/>
  <c r="BJ220" i="23"/>
  <c r="K221" i="23"/>
  <c r="AK221" i="23" s="1"/>
  <c r="Z221" i="23"/>
  <c r="AB221" i="23"/>
  <c r="AC221" i="23"/>
  <c r="AF221" i="23"/>
  <c r="AG221" i="23"/>
  <c r="AH221" i="23"/>
  <c r="AJ221" i="23"/>
  <c r="AL221" i="23"/>
  <c r="AO221" i="23"/>
  <c r="I221" i="23" s="1"/>
  <c r="AP221" i="23"/>
  <c r="J221" i="23" s="1"/>
  <c r="BD221" i="23"/>
  <c r="BF221" i="23"/>
  <c r="BH221" i="23"/>
  <c r="AD221" i="23" s="1"/>
  <c r="BI221" i="23"/>
  <c r="AE221" i="23" s="1"/>
  <c r="BJ221" i="23"/>
  <c r="K222" i="23"/>
  <c r="AK222" i="23" s="1"/>
  <c r="Z222" i="23"/>
  <c r="AB222" i="23"/>
  <c r="AC222" i="23"/>
  <c r="AF222" i="23"/>
  <c r="AG222" i="23"/>
  <c r="AH222" i="23"/>
  <c r="AJ222" i="23"/>
  <c r="AL222" i="23"/>
  <c r="AO222" i="23"/>
  <c r="AP222" i="23"/>
  <c r="J222" i="23" s="1"/>
  <c r="BD222" i="23"/>
  <c r="BF222" i="23"/>
  <c r="BI222" i="23"/>
  <c r="AE222" i="23" s="1"/>
  <c r="BJ222" i="23"/>
  <c r="K223" i="23"/>
  <c r="Z223" i="23"/>
  <c r="AB223" i="23"/>
  <c r="AC223" i="23"/>
  <c r="AF223" i="23"/>
  <c r="AG223" i="23"/>
  <c r="AH223" i="23"/>
  <c r="AJ223" i="23"/>
  <c r="AK223" i="23"/>
  <c r="AL223" i="23"/>
  <c r="AO223" i="23"/>
  <c r="AP223" i="23"/>
  <c r="AX223" i="23" s="1"/>
  <c r="BD223" i="23"/>
  <c r="BF223" i="23"/>
  <c r="BI223" i="23"/>
  <c r="AE223" i="23" s="1"/>
  <c r="BJ223" i="23"/>
  <c r="K224" i="23"/>
  <c r="Z224" i="23"/>
  <c r="AB224" i="23"/>
  <c r="AC224" i="23"/>
  <c r="AF224" i="23"/>
  <c r="AG224" i="23"/>
  <c r="AH224" i="23"/>
  <c r="AJ224" i="23"/>
  <c r="AK224" i="23"/>
  <c r="AL224" i="23"/>
  <c r="AO224" i="23"/>
  <c r="AP224" i="23"/>
  <c r="J224" i="23" s="1"/>
  <c r="BD224" i="23"/>
  <c r="BF224" i="23"/>
  <c r="BH224" i="23"/>
  <c r="AD224" i="23" s="1"/>
  <c r="BI224" i="23"/>
  <c r="AE224" i="23" s="1"/>
  <c r="BJ224" i="23"/>
  <c r="K225" i="23"/>
  <c r="AK225" i="23" s="1"/>
  <c r="Z225" i="23"/>
  <c r="AB225" i="23"/>
  <c r="AC225" i="23"/>
  <c r="AF225" i="23"/>
  <c r="AG225" i="23"/>
  <c r="AH225" i="23"/>
  <c r="AJ225" i="23"/>
  <c r="AL225" i="23"/>
  <c r="AO225" i="23"/>
  <c r="I225" i="23" s="1"/>
  <c r="AP225" i="23"/>
  <c r="J225" i="23" s="1"/>
  <c r="BD225" i="23"/>
  <c r="BF225" i="23"/>
  <c r="BH225" i="23"/>
  <c r="AD225" i="23" s="1"/>
  <c r="BI225" i="23"/>
  <c r="AE225" i="23" s="1"/>
  <c r="BJ225" i="23"/>
  <c r="K226" i="23"/>
  <c r="AK226" i="23" s="1"/>
  <c r="Z226" i="23"/>
  <c r="AB226" i="23"/>
  <c r="AC226" i="23"/>
  <c r="AF226" i="23"/>
  <c r="AG226" i="23"/>
  <c r="AH226" i="23"/>
  <c r="AJ226" i="23"/>
  <c r="AL226" i="23"/>
  <c r="AO226" i="23"/>
  <c r="I226" i="23" s="1"/>
  <c r="AP226" i="23"/>
  <c r="BD226" i="23"/>
  <c r="BF226" i="23"/>
  <c r="BH226" i="23"/>
  <c r="AD226" i="23" s="1"/>
  <c r="BJ226" i="23"/>
  <c r="K227" i="23"/>
  <c r="Z227" i="23"/>
  <c r="AB227" i="23"/>
  <c r="AC227" i="23"/>
  <c r="AF227" i="23"/>
  <c r="AG227" i="23"/>
  <c r="AH227" i="23"/>
  <c r="AJ227" i="23"/>
  <c r="AK227" i="23"/>
  <c r="AL227" i="23"/>
  <c r="AO227" i="23"/>
  <c r="I227" i="23" s="1"/>
  <c r="AP227" i="23"/>
  <c r="AX227" i="23" s="1"/>
  <c r="BD227" i="23"/>
  <c r="BF227" i="23"/>
  <c r="BI227" i="23"/>
  <c r="AE227" i="23" s="1"/>
  <c r="BJ227" i="23"/>
  <c r="K228" i="23"/>
  <c r="Z228" i="23"/>
  <c r="AB228" i="23"/>
  <c r="AC228" i="23"/>
  <c r="AF228" i="23"/>
  <c r="AG228" i="23"/>
  <c r="AH228" i="23"/>
  <c r="AJ228" i="23"/>
  <c r="AK228" i="23"/>
  <c r="AL228" i="23"/>
  <c r="AO228" i="23"/>
  <c r="AW228" i="23" s="1"/>
  <c r="AP228" i="23"/>
  <c r="J228" i="23" s="1"/>
  <c r="BD228" i="23"/>
  <c r="BF228" i="23"/>
  <c r="BJ228" i="23"/>
  <c r="K229" i="23"/>
  <c r="Z229" i="23"/>
  <c r="AB229" i="23"/>
  <c r="AC229" i="23"/>
  <c r="AF229" i="23"/>
  <c r="AG229" i="23"/>
  <c r="AH229" i="23"/>
  <c r="AJ229" i="23"/>
  <c r="AK229" i="23"/>
  <c r="AL229" i="23"/>
  <c r="AO229" i="23"/>
  <c r="I229" i="23" s="1"/>
  <c r="AP229" i="23"/>
  <c r="J229" i="23" s="1"/>
  <c r="BD229" i="23"/>
  <c r="BF229" i="23"/>
  <c r="BH229" i="23"/>
  <c r="AD229" i="23" s="1"/>
  <c r="BI229" i="23"/>
  <c r="AE229" i="23" s="1"/>
  <c r="BJ229" i="23"/>
  <c r="K230" i="23"/>
  <c r="AK230" i="23" s="1"/>
  <c r="Z230" i="23"/>
  <c r="AB230" i="23"/>
  <c r="AC230" i="23"/>
  <c r="AF230" i="23"/>
  <c r="AG230" i="23"/>
  <c r="AH230" i="23"/>
  <c r="AJ230" i="23"/>
  <c r="AL230" i="23"/>
  <c r="AO230" i="23"/>
  <c r="I230" i="23" s="1"/>
  <c r="AP230" i="23"/>
  <c r="BD230" i="23"/>
  <c r="BF230" i="23"/>
  <c r="BJ230" i="23"/>
  <c r="K231" i="23"/>
  <c r="Z231" i="23"/>
  <c r="AB231" i="23"/>
  <c r="AC231" i="23"/>
  <c r="AF231" i="23"/>
  <c r="AG231" i="23"/>
  <c r="AH231" i="23"/>
  <c r="AJ231" i="23"/>
  <c r="AK231" i="23"/>
  <c r="AL231" i="23"/>
  <c r="AO231" i="23"/>
  <c r="AP231" i="23"/>
  <c r="BD231" i="23"/>
  <c r="BF231" i="23"/>
  <c r="BH231" i="23"/>
  <c r="AD231" i="23" s="1"/>
  <c r="BJ231" i="23"/>
  <c r="K232" i="23"/>
  <c r="Z232" i="23"/>
  <c r="AB232" i="23"/>
  <c r="AC232" i="23"/>
  <c r="AF232" i="23"/>
  <c r="AG232" i="23"/>
  <c r="AH232" i="23"/>
  <c r="AJ232" i="23"/>
  <c r="AK232" i="23"/>
  <c r="AL232" i="23"/>
  <c r="AO232" i="23"/>
  <c r="AP232" i="23"/>
  <c r="J232" i="23" s="1"/>
  <c r="BD232" i="23"/>
  <c r="BF232" i="23"/>
  <c r="BJ232" i="23"/>
  <c r="K233" i="23"/>
  <c r="Z233" i="23"/>
  <c r="AB233" i="23"/>
  <c r="AC233" i="23"/>
  <c r="AF233" i="23"/>
  <c r="AG233" i="23"/>
  <c r="AH233" i="23"/>
  <c r="AJ233" i="23"/>
  <c r="AK233" i="23"/>
  <c r="AL233" i="23"/>
  <c r="AO233" i="23"/>
  <c r="AP233" i="23"/>
  <c r="BD233" i="23"/>
  <c r="BF233" i="23"/>
  <c r="BH233" i="23"/>
  <c r="AD233" i="23" s="1"/>
  <c r="BJ233" i="23"/>
  <c r="K234" i="23"/>
  <c r="AK234" i="23" s="1"/>
  <c r="Z234" i="23"/>
  <c r="AB234" i="23"/>
  <c r="AC234" i="23"/>
  <c r="AF234" i="23"/>
  <c r="AG234" i="23"/>
  <c r="AH234" i="23"/>
  <c r="AJ234" i="23"/>
  <c r="AL234" i="23"/>
  <c r="AO234" i="23"/>
  <c r="AP234" i="23"/>
  <c r="J234" i="23" s="1"/>
  <c r="AX234" i="23"/>
  <c r="BD234" i="23"/>
  <c r="BF234" i="23"/>
  <c r="BI234" i="23"/>
  <c r="AE234" i="23" s="1"/>
  <c r="BJ234" i="23"/>
  <c r="K235" i="23"/>
  <c r="Z235" i="23"/>
  <c r="AB235" i="23"/>
  <c r="AC235" i="23"/>
  <c r="AF235" i="23"/>
  <c r="AG235" i="23"/>
  <c r="AH235" i="23"/>
  <c r="AJ235" i="23"/>
  <c r="AK235" i="23"/>
  <c r="AL235" i="23"/>
  <c r="AO235" i="23"/>
  <c r="AP235" i="23"/>
  <c r="J235" i="23" s="1"/>
  <c r="BD235" i="23"/>
  <c r="BF235" i="23"/>
  <c r="BJ235" i="23"/>
  <c r="K236" i="23"/>
  <c r="Z236" i="23"/>
  <c r="AB236" i="23"/>
  <c r="AC236" i="23"/>
  <c r="AF236" i="23"/>
  <c r="AG236" i="23"/>
  <c r="AH236" i="23"/>
  <c r="AJ236" i="23"/>
  <c r="AK236" i="23"/>
  <c r="AL236" i="23"/>
  <c r="AO236" i="23"/>
  <c r="AP236" i="23"/>
  <c r="BI236" i="23" s="1"/>
  <c r="AE236" i="23" s="1"/>
  <c r="BD236" i="23"/>
  <c r="BF236" i="23"/>
  <c r="BJ236" i="23"/>
  <c r="K237" i="23"/>
  <c r="Z237" i="23"/>
  <c r="AB237" i="23"/>
  <c r="AC237" i="23"/>
  <c r="AF237" i="23"/>
  <c r="AG237" i="23"/>
  <c r="AH237" i="23"/>
  <c r="AJ237" i="23"/>
  <c r="AK237" i="23"/>
  <c r="AL237" i="23"/>
  <c r="AO237" i="23"/>
  <c r="AP237" i="23"/>
  <c r="BD237" i="23"/>
  <c r="BF237" i="23"/>
  <c r="BH237" i="23"/>
  <c r="AD237" i="23" s="1"/>
  <c r="BJ237" i="23"/>
  <c r="K238" i="23"/>
  <c r="AK238" i="23" s="1"/>
  <c r="Z238" i="23"/>
  <c r="AB238" i="23"/>
  <c r="AC238" i="23"/>
  <c r="AF238" i="23"/>
  <c r="AG238" i="23"/>
  <c r="AH238" i="23"/>
  <c r="AJ238" i="23"/>
  <c r="AL238" i="23"/>
  <c r="AO238" i="23"/>
  <c r="AP238" i="23"/>
  <c r="BD238" i="23"/>
  <c r="BF238" i="23"/>
  <c r="BJ238" i="23"/>
  <c r="K239" i="23"/>
  <c r="Z239" i="23"/>
  <c r="AB239" i="23"/>
  <c r="AC239" i="23"/>
  <c r="AF239" i="23"/>
  <c r="AG239" i="23"/>
  <c r="AH239" i="23"/>
  <c r="AJ239" i="23"/>
  <c r="AK239" i="23"/>
  <c r="AL239" i="23"/>
  <c r="AO239" i="23"/>
  <c r="AP239" i="23"/>
  <c r="J239" i="23" s="1"/>
  <c r="BD239" i="23"/>
  <c r="BF239" i="23"/>
  <c r="BI239" i="23"/>
  <c r="AE239" i="23" s="1"/>
  <c r="BJ239" i="23"/>
  <c r="K240" i="23"/>
  <c r="Z240" i="23"/>
  <c r="AB240" i="23"/>
  <c r="AC240" i="23"/>
  <c r="AF240" i="23"/>
  <c r="AG240" i="23"/>
  <c r="AH240" i="23"/>
  <c r="AJ240" i="23"/>
  <c r="AK240" i="23"/>
  <c r="AL240" i="23"/>
  <c r="AO240" i="23"/>
  <c r="I240" i="23" s="1"/>
  <c r="AP240" i="23"/>
  <c r="BD240" i="23"/>
  <c r="BF240" i="23"/>
  <c r="BJ240" i="23"/>
  <c r="K241" i="23"/>
  <c r="Z241" i="23"/>
  <c r="AB241" i="23"/>
  <c r="AC241" i="23"/>
  <c r="AF241" i="23"/>
  <c r="AG241" i="23"/>
  <c r="AH241" i="23"/>
  <c r="AJ241" i="23"/>
  <c r="AK241" i="23"/>
  <c r="AL241" i="23"/>
  <c r="AO241" i="23"/>
  <c r="BH241" i="23" s="1"/>
  <c r="AD241" i="23" s="1"/>
  <c r="AP241" i="23"/>
  <c r="BD241" i="23"/>
  <c r="BF241" i="23"/>
  <c r="BJ241" i="23"/>
  <c r="K243" i="23"/>
  <c r="Z243" i="23"/>
  <c r="AB243" i="23"/>
  <c r="AC243" i="23"/>
  <c r="AF243" i="23"/>
  <c r="AG243" i="23"/>
  <c r="AH243" i="23"/>
  <c r="AJ243" i="23"/>
  <c r="AK243" i="23"/>
  <c r="AL243" i="23"/>
  <c r="AO243" i="23"/>
  <c r="AW243" i="23" s="1"/>
  <c r="AP243" i="23"/>
  <c r="BD243" i="23"/>
  <c r="BF243" i="23"/>
  <c r="BH243" i="23"/>
  <c r="AD243" i="23" s="1"/>
  <c r="BJ243" i="23"/>
  <c r="K244" i="23"/>
  <c r="Z244" i="23"/>
  <c r="AB244" i="23"/>
  <c r="AC244" i="23"/>
  <c r="AF244" i="23"/>
  <c r="AG244" i="23"/>
  <c r="AH244" i="23"/>
  <c r="AJ244" i="23"/>
  <c r="AK244" i="23"/>
  <c r="AL244" i="23"/>
  <c r="AO244" i="23"/>
  <c r="I244" i="23" s="1"/>
  <c r="AP244" i="23"/>
  <c r="J244" i="23" s="1"/>
  <c r="BD244" i="23"/>
  <c r="BF244" i="23"/>
  <c r="BH244" i="23"/>
  <c r="AD244" i="23" s="1"/>
  <c r="BI244" i="23"/>
  <c r="AE244" i="23" s="1"/>
  <c r="BJ244" i="23"/>
  <c r="K245" i="23"/>
  <c r="Z245" i="23"/>
  <c r="AB245" i="23"/>
  <c r="AC245" i="23"/>
  <c r="AF245" i="23"/>
  <c r="AG245" i="23"/>
  <c r="AH245" i="23"/>
  <c r="AJ245" i="23"/>
  <c r="AL245" i="23"/>
  <c r="AO245" i="23"/>
  <c r="AP245" i="23"/>
  <c r="J245" i="23" s="1"/>
  <c r="BD245" i="23"/>
  <c r="BF245" i="23"/>
  <c r="BI245" i="23"/>
  <c r="AE245" i="23" s="1"/>
  <c r="BJ245" i="23"/>
  <c r="K246" i="23"/>
  <c r="Z246" i="23"/>
  <c r="AB246" i="23"/>
  <c r="AC246" i="23"/>
  <c r="AF246" i="23"/>
  <c r="AG246" i="23"/>
  <c r="AH246" i="23"/>
  <c r="AJ246" i="23"/>
  <c r="AK246" i="23"/>
  <c r="AL246" i="23"/>
  <c r="AO246" i="23"/>
  <c r="AP246" i="23"/>
  <c r="BD246" i="23"/>
  <c r="BF246" i="23"/>
  <c r="BJ246" i="23"/>
  <c r="K247" i="23"/>
  <c r="Z247" i="23"/>
  <c r="AB247" i="23"/>
  <c r="AC247" i="23"/>
  <c r="AF247" i="23"/>
  <c r="AG247" i="23"/>
  <c r="AH247" i="23"/>
  <c r="AJ247" i="23"/>
  <c r="AK247" i="23"/>
  <c r="AL247" i="23"/>
  <c r="AO247" i="23"/>
  <c r="AP247" i="23"/>
  <c r="BD247" i="23"/>
  <c r="BF247" i="23"/>
  <c r="BH247" i="23"/>
  <c r="AD247" i="23" s="1"/>
  <c r="BJ247" i="23"/>
  <c r="K248" i="23"/>
  <c r="Z248" i="23"/>
  <c r="AB248" i="23"/>
  <c r="AC248" i="23"/>
  <c r="AF248" i="23"/>
  <c r="AG248" i="23"/>
  <c r="AH248" i="23"/>
  <c r="AJ248" i="23"/>
  <c r="AK248" i="23"/>
  <c r="AL248" i="23"/>
  <c r="AO248" i="23"/>
  <c r="AP248" i="23"/>
  <c r="J248" i="23" s="1"/>
  <c r="BD248" i="23"/>
  <c r="BF248" i="23"/>
  <c r="BJ248" i="23"/>
  <c r="K249" i="23"/>
  <c r="AK249" i="23" s="1"/>
  <c r="Z249" i="23"/>
  <c r="AB249" i="23"/>
  <c r="AC249" i="23"/>
  <c r="AF249" i="23"/>
  <c r="AG249" i="23"/>
  <c r="AH249" i="23"/>
  <c r="AJ249" i="23"/>
  <c r="AL249" i="23"/>
  <c r="AO249" i="23"/>
  <c r="I249" i="23" s="1"/>
  <c r="AP249" i="23"/>
  <c r="J249" i="23" s="1"/>
  <c r="BD249" i="23"/>
  <c r="BF249" i="23"/>
  <c r="BJ249" i="23"/>
  <c r="K250" i="23"/>
  <c r="Z250" i="23"/>
  <c r="AB250" i="23"/>
  <c r="AC250" i="23"/>
  <c r="AF250" i="23"/>
  <c r="AG250" i="23"/>
  <c r="AH250" i="23"/>
  <c r="AJ250" i="23"/>
  <c r="AK250" i="23"/>
  <c r="AL250" i="23"/>
  <c r="AO250" i="23"/>
  <c r="AP250" i="23"/>
  <c r="BD250" i="23"/>
  <c r="BF250" i="23"/>
  <c r="BH250" i="23"/>
  <c r="AD250" i="23" s="1"/>
  <c r="BJ250" i="23"/>
  <c r="K251" i="23"/>
  <c r="Z251" i="23"/>
  <c r="AB251" i="23"/>
  <c r="AC251" i="23"/>
  <c r="AF251" i="23"/>
  <c r="AG251" i="23"/>
  <c r="AH251" i="23"/>
  <c r="AJ251" i="23"/>
  <c r="AK251" i="23"/>
  <c r="AL251" i="23"/>
  <c r="AO251" i="23"/>
  <c r="I251" i="23" s="1"/>
  <c r="AP251" i="23"/>
  <c r="J251" i="23" s="1"/>
  <c r="BD251" i="23"/>
  <c r="BF251" i="23"/>
  <c r="BJ251" i="23"/>
  <c r="K252" i="23"/>
  <c r="Z252" i="23"/>
  <c r="AB252" i="23"/>
  <c r="AC252" i="23"/>
  <c r="AF252" i="23"/>
  <c r="AG252" i="23"/>
  <c r="AH252" i="23"/>
  <c r="AJ252" i="23"/>
  <c r="AK252" i="23"/>
  <c r="AL252" i="23"/>
  <c r="AO252" i="23"/>
  <c r="AP252" i="23"/>
  <c r="BI252" i="23" s="1"/>
  <c r="AE252" i="23" s="1"/>
  <c r="BD252" i="23"/>
  <c r="BF252" i="23"/>
  <c r="BJ252" i="23"/>
  <c r="K253" i="23"/>
  <c r="Z253" i="23"/>
  <c r="AB253" i="23"/>
  <c r="AC253" i="23"/>
  <c r="AF253" i="23"/>
  <c r="AG253" i="23"/>
  <c r="AH253" i="23"/>
  <c r="AJ253" i="23"/>
  <c r="AK253" i="23"/>
  <c r="AL253" i="23"/>
  <c r="AO253" i="23"/>
  <c r="I253" i="23" s="1"/>
  <c r="AP253" i="23"/>
  <c r="BD253" i="23"/>
  <c r="BF253" i="23"/>
  <c r="BH253" i="23"/>
  <c r="AD253" i="23" s="1"/>
  <c r="BJ253" i="23"/>
  <c r="K254" i="23"/>
  <c r="Z254" i="23"/>
  <c r="AB254" i="23"/>
  <c r="AC254" i="23"/>
  <c r="AF254" i="23"/>
  <c r="AG254" i="23"/>
  <c r="AH254" i="23"/>
  <c r="AJ254" i="23"/>
  <c r="AK254" i="23"/>
  <c r="AL254" i="23"/>
  <c r="AO254" i="23"/>
  <c r="AP254" i="23"/>
  <c r="BD254" i="23"/>
  <c r="BF254" i="23"/>
  <c r="BH254" i="23"/>
  <c r="AD254" i="23" s="1"/>
  <c r="BJ254" i="23"/>
  <c r="K255" i="23"/>
  <c r="Z255" i="23"/>
  <c r="AB255" i="23"/>
  <c r="AC255" i="23"/>
  <c r="AF255" i="23"/>
  <c r="AG255" i="23"/>
  <c r="AH255" i="23"/>
  <c r="AJ255" i="23"/>
  <c r="AK255" i="23"/>
  <c r="AL255" i="23"/>
  <c r="AO255" i="23"/>
  <c r="AP255" i="23"/>
  <c r="BD255" i="23"/>
  <c r="BF255" i="23"/>
  <c r="BJ255" i="23"/>
  <c r="K256" i="23"/>
  <c r="Z256" i="23"/>
  <c r="AB256" i="23"/>
  <c r="AC256" i="23"/>
  <c r="AF256" i="23"/>
  <c r="AG256" i="23"/>
  <c r="AH256" i="23"/>
  <c r="AJ256" i="23"/>
  <c r="AK256" i="23"/>
  <c r="AL256" i="23"/>
  <c r="AO256" i="23"/>
  <c r="AP256" i="23"/>
  <c r="J256" i="23" s="1"/>
  <c r="BD256" i="23"/>
  <c r="BF256" i="23"/>
  <c r="BJ256" i="23"/>
  <c r="K257" i="23"/>
  <c r="Z257" i="23"/>
  <c r="AB257" i="23"/>
  <c r="AC257" i="23"/>
  <c r="AF257" i="23"/>
  <c r="AG257" i="23"/>
  <c r="AH257" i="23"/>
  <c r="AJ257" i="23"/>
  <c r="AK257" i="23"/>
  <c r="AL257" i="23"/>
  <c r="AO257" i="23"/>
  <c r="AP257" i="23"/>
  <c r="J257" i="23" s="1"/>
  <c r="AX257" i="23"/>
  <c r="BD257" i="23"/>
  <c r="BF257" i="23"/>
  <c r="BI257" i="23"/>
  <c r="AE257" i="23" s="1"/>
  <c r="BJ257" i="23"/>
  <c r="K258" i="23"/>
  <c r="AK258" i="23" s="1"/>
  <c r="Z258" i="23"/>
  <c r="AB258" i="23"/>
  <c r="AC258" i="23"/>
  <c r="AF258" i="23"/>
  <c r="AG258" i="23"/>
  <c r="AH258" i="23"/>
  <c r="AJ258" i="23"/>
  <c r="AL258" i="23"/>
  <c r="AO258" i="23"/>
  <c r="AW258" i="23" s="1"/>
  <c r="AP258" i="23"/>
  <c r="J258" i="23" s="1"/>
  <c r="AX258" i="23"/>
  <c r="BD258" i="23"/>
  <c r="BF258" i="23"/>
  <c r="BI258" i="23"/>
  <c r="AE258" i="23" s="1"/>
  <c r="BJ258" i="23"/>
  <c r="K259" i="23"/>
  <c r="Z259" i="23"/>
  <c r="AB259" i="23"/>
  <c r="AC259" i="23"/>
  <c r="AF259" i="23"/>
  <c r="AG259" i="23"/>
  <c r="AH259" i="23"/>
  <c r="AJ259" i="23"/>
  <c r="AK259" i="23"/>
  <c r="AL259" i="23"/>
  <c r="AO259" i="23"/>
  <c r="AP259" i="23"/>
  <c r="BD259" i="23"/>
  <c r="BF259" i="23"/>
  <c r="BH259" i="23"/>
  <c r="AD259" i="23" s="1"/>
  <c r="BJ259" i="23"/>
  <c r="K260" i="23"/>
  <c r="Z260" i="23"/>
  <c r="AB260" i="23"/>
  <c r="AC260" i="23"/>
  <c r="AF260" i="23"/>
  <c r="AG260" i="23"/>
  <c r="AH260" i="23"/>
  <c r="AJ260" i="23"/>
  <c r="AK260" i="23"/>
  <c r="AL260" i="23"/>
  <c r="AO260" i="23"/>
  <c r="I260" i="23" s="1"/>
  <c r="AP260" i="23"/>
  <c r="BD260" i="23"/>
  <c r="BF260" i="23"/>
  <c r="BH260" i="23"/>
  <c r="AD260" i="23" s="1"/>
  <c r="BJ260" i="23"/>
  <c r="K261" i="23"/>
  <c r="Z261" i="23"/>
  <c r="AB261" i="23"/>
  <c r="AC261" i="23"/>
  <c r="AF261" i="23"/>
  <c r="AG261" i="23"/>
  <c r="AH261" i="23"/>
  <c r="AJ261" i="23"/>
  <c r="AK261" i="23"/>
  <c r="AL261" i="23"/>
  <c r="AO261" i="23"/>
  <c r="AP261" i="23"/>
  <c r="BD261" i="23"/>
  <c r="BF261" i="23"/>
  <c r="BJ261" i="23"/>
  <c r="K262" i="23"/>
  <c r="Z262" i="23"/>
  <c r="AB262" i="23"/>
  <c r="AC262" i="23"/>
  <c r="AF262" i="23"/>
  <c r="AG262" i="23"/>
  <c r="AH262" i="23"/>
  <c r="AJ262" i="23"/>
  <c r="AK262" i="23"/>
  <c r="AL262" i="23"/>
  <c r="AO262" i="23"/>
  <c r="AP262" i="23"/>
  <c r="BD262" i="23"/>
  <c r="BF262" i="23"/>
  <c r="BJ262" i="23"/>
  <c r="K263" i="23"/>
  <c r="Z263" i="23"/>
  <c r="AB263" i="23"/>
  <c r="AC263" i="23"/>
  <c r="AF263" i="23"/>
  <c r="AG263" i="23"/>
  <c r="AH263" i="23"/>
  <c r="AJ263" i="23"/>
  <c r="AK263" i="23"/>
  <c r="AL263" i="23"/>
  <c r="AO263" i="23"/>
  <c r="AP263" i="23"/>
  <c r="J263" i="23" s="1"/>
  <c r="AX263" i="23"/>
  <c r="BD263" i="23"/>
  <c r="BF263" i="23"/>
  <c r="BI263" i="23"/>
  <c r="AE263" i="23" s="1"/>
  <c r="BJ263" i="23"/>
  <c r="K264" i="23"/>
  <c r="Z264" i="23"/>
  <c r="AB264" i="23"/>
  <c r="AC264" i="23"/>
  <c r="AF264" i="23"/>
  <c r="AG264" i="23"/>
  <c r="AH264" i="23"/>
  <c r="AJ264" i="23"/>
  <c r="AK264" i="23"/>
  <c r="AL264" i="23"/>
  <c r="AO264" i="23"/>
  <c r="I264" i="23" s="1"/>
  <c r="AP264" i="23"/>
  <c r="J264" i="23" s="1"/>
  <c r="AW264" i="23"/>
  <c r="BD264" i="23"/>
  <c r="BF264" i="23"/>
  <c r="BH264" i="23"/>
  <c r="AD264" i="23" s="1"/>
  <c r="BJ264" i="23"/>
  <c r="K265" i="23"/>
  <c r="Z265" i="23"/>
  <c r="AB265" i="23"/>
  <c r="AC265" i="23"/>
  <c r="AF265" i="23"/>
  <c r="AG265" i="23"/>
  <c r="AH265" i="23"/>
  <c r="AJ265" i="23"/>
  <c r="AK265" i="23"/>
  <c r="AL265" i="23"/>
  <c r="AO265" i="23"/>
  <c r="AP265" i="23"/>
  <c r="J265" i="23" s="1"/>
  <c r="BD265" i="23"/>
  <c r="BF265" i="23"/>
  <c r="BI265" i="23"/>
  <c r="AE265" i="23" s="1"/>
  <c r="BJ265" i="23"/>
  <c r="K266" i="23"/>
  <c r="Z266" i="23"/>
  <c r="AB266" i="23"/>
  <c r="AC266" i="23"/>
  <c r="AF266" i="23"/>
  <c r="AG266" i="23"/>
  <c r="AH266" i="23"/>
  <c r="AJ266" i="23"/>
  <c r="AK266" i="23"/>
  <c r="AL266" i="23"/>
  <c r="AO266" i="23"/>
  <c r="I266" i="23" s="1"/>
  <c r="AP266" i="23"/>
  <c r="J266" i="23" s="1"/>
  <c r="AW266" i="23"/>
  <c r="BD266" i="23"/>
  <c r="BF266" i="23"/>
  <c r="BI266" i="23"/>
  <c r="AE266" i="23" s="1"/>
  <c r="BJ266" i="23"/>
  <c r="K267" i="23"/>
  <c r="Z267" i="23"/>
  <c r="AB267" i="23"/>
  <c r="AC267" i="23"/>
  <c r="AF267" i="23"/>
  <c r="AG267" i="23"/>
  <c r="AH267" i="23"/>
  <c r="AJ267" i="23"/>
  <c r="AK267" i="23"/>
  <c r="AL267" i="23"/>
  <c r="AO267" i="23"/>
  <c r="AP267" i="23"/>
  <c r="J267" i="23" s="1"/>
  <c r="BD267" i="23"/>
  <c r="BF267" i="23"/>
  <c r="BJ267" i="23"/>
  <c r="K268" i="23"/>
  <c r="AK268" i="23" s="1"/>
  <c r="Z268" i="23"/>
  <c r="AB268" i="23"/>
  <c r="AC268" i="23"/>
  <c r="AF268" i="23"/>
  <c r="AG268" i="23"/>
  <c r="AH268" i="23"/>
  <c r="AJ268" i="23"/>
  <c r="AL268" i="23"/>
  <c r="AO268" i="23"/>
  <c r="I268" i="23" s="1"/>
  <c r="AP268" i="23"/>
  <c r="AW268" i="23"/>
  <c r="BD268" i="23"/>
  <c r="BF268" i="23"/>
  <c r="BH268" i="23"/>
  <c r="AD268" i="23" s="1"/>
  <c r="BJ268" i="23"/>
  <c r="K269" i="23"/>
  <c r="Z269" i="23"/>
  <c r="AB269" i="23"/>
  <c r="AC269" i="23"/>
  <c r="AF269" i="23"/>
  <c r="AG269" i="23"/>
  <c r="AH269" i="23"/>
  <c r="AJ269" i="23"/>
  <c r="AK269" i="23"/>
  <c r="AL269" i="23"/>
  <c r="AO269" i="23"/>
  <c r="AP269" i="23"/>
  <c r="J269" i="23" s="1"/>
  <c r="BD269" i="23"/>
  <c r="BF269" i="23"/>
  <c r="BJ269" i="23"/>
  <c r="K270" i="23"/>
  <c r="Z270" i="23"/>
  <c r="AB270" i="23"/>
  <c r="AC270" i="23"/>
  <c r="AF270" i="23"/>
  <c r="AG270" i="23"/>
  <c r="AH270" i="23"/>
  <c r="AJ270" i="23"/>
  <c r="AK270" i="23"/>
  <c r="AL270" i="23"/>
  <c r="AO270" i="23"/>
  <c r="AP270" i="23"/>
  <c r="J270" i="23" s="1"/>
  <c r="BD270" i="23"/>
  <c r="BF270" i="23"/>
  <c r="BJ270" i="23"/>
  <c r="K271" i="23"/>
  <c r="Z271" i="23"/>
  <c r="AB271" i="23"/>
  <c r="AC271" i="23"/>
  <c r="AF271" i="23"/>
  <c r="AG271" i="23"/>
  <c r="AH271" i="23"/>
  <c r="AJ271" i="23"/>
  <c r="AK271" i="23"/>
  <c r="AL271" i="23"/>
  <c r="AO271" i="23"/>
  <c r="AP271" i="23"/>
  <c r="J271" i="23" s="1"/>
  <c r="BD271" i="23"/>
  <c r="BF271" i="23"/>
  <c r="BJ271" i="23"/>
  <c r="K272" i="23"/>
  <c r="AK272" i="23" s="1"/>
  <c r="Z272" i="23"/>
  <c r="AB272" i="23"/>
  <c r="AC272" i="23"/>
  <c r="AF272" i="23"/>
  <c r="AG272" i="23"/>
  <c r="AH272" i="23"/>
  <c r="AJ272" i="23"/>
  <c r="AL272" i="23"/>
  <c r="AO272" i="23"/>
  <c r="AP272" i="23"/>
  <c r="BD272" i="23"/>
  <c r="BF272" i="23"/>
  <c r="BJ272" i="23"/>
  <c r="K273" i="23"/>
  <c r="Z273" i="23"/>
  <c r="AB273" i="23"/>
  <c r="AC273" i="23"/>
  <c r="AF273" i="23"/>
  <c r="AG273" i="23"/>
  <c r="AH273" i="23"/>
  <c r="AJ273" i="23"/>
  <c r="AK273" i="23"/>
  <c r="AL273" i="23"/>
  <c r="AO273" i="23"/>
  <c r="AP273" i="23"/>
  <c r="J273" i="23" s="1"/>
  <c r="BD273" i="23"/>
  <c r="BF273" i="23"/>
  <c r="BI273" i="23"/>
  <c r="AE273" i="23" s="1"/>
  <c r="BJ273" i="23"/>
  <c r="K274" i="23"/>
  <c r="Z274" i="23"/>
  <c r="AB274" i="23"/>
  <c r="AC274" i="23"/>
  <c r="AF274" i="23"/>
  <c r="AG274" i="23"/>
  <c r="AH274" i="23"/>
  <c r="AJ274" i="23"/>
  <c r="AK274" i="23"/>
  <c r="AL274" i="23"/>
  <c r="AO274" i="23"/>
  <c r="AP274" i="23"/>
  <c r="J274" i="23" s="1"/>
  <c r="BD274" i="23"/>
  <c r="BF274" i="23"/>
  <c r="BJ274" i="23"/>
  <c r="K275" i="23"/>
  <c r="Z275" i="23"/>
  <c r="AB275" i="23"/>
  <c r="AC275" i="23"/>
  <c r="AF275" i="23"/>
  <c r="AG275" i="23"/>
  <c r="AH275" i="23"/>
  <c r="AJ275" i="23"/>
  <c r="AK275" i="23"/>
  <c r="AL275" i="23"/>
  <c r="AO275" i="23"/>
  <c r="I275" i="23" s="1"/>
  <c r="AP275" i="23"/>
  <c r="J275" i="23" s="1"/>
  <c r="BD275" i="23"/>
  <c r="BF275" i="23"/>
  <c r="BH275" i="23"/>
  <c r="AD275" i="23" s="1"/>
  <c r="BI275" i="23"/>
  <c r="AE275" i="23" s="1"/>
  <c r="BJ275" i="23"/>
  <c r="K276" i="23"/>
  <c r="AK276" i="23" s="1"/>
  <c r="Z276" i="23"/>
  <c r="AB276" i="23"/>
  <c r="AC276" i="23"/>
  <c r="AF276" i="23"/>
  <c r="AG276" i="23"/>
  <c r="AH276" i="23"/>
  <c r="AJ276" i="23"/>
  <c r="AL276" i="23"/>
  <c r="AO276" i="23"/>
  <c r="I276" i="23" s="1"/>
  <c r="AP276" i="23"/>
  <c r="BD276" i="23"/>
  <c r="BF276" i="23"/>
  <c r="BH276" i="23"/>
  <c r="AD276" i="23" s="1"/>
  <c r="BJ276" i="23"/>
  <c r="K277" i="23"/>
  <c r="Z277" i="23"/>
  <c r="AB277" i="23"/>
  <c r="AC277" i="23"/>
  <c r="AF277" i="23"/>
  <c r="AG277" i="23"/>
  <c r="AH277" i="23"/>
  <c r="AJ277" i="23"/>
  <c r="AK277" i="23"/>
  <c r="AL277" i="23"/>
  <c r="AO277" i="23"/>
  <c r="I277" i="23" s="1"/>
  <c r="AP277" i="23"/>
  <c r="BD277" i="23"/>
  <c r="BF277" i="23"/>
  <c r="BH277" i="23"/>
  <c r="AD277" i="23" s="1"/>
  <c r="BJ277" i="23"/>
  <c r="K278" i="23"/>
  <c r="Z278" i="23"/>
  <c r="AB278" i="23"/>
  <c r="AC278" i="23"/>
  <c r="AF278" i="23"/>
  <c r="AG278" i="23"/>
  <c r="AH278" i="23"/>
  <c r="AJ278" i="23"/>
  <c r="AK278" i="23"/>
  <c r="AL278" i="23"/>
  <c r="AO278" i="23"/>
  <c r="I278" i="23" s="1"/>
  <c r="AP278" i="23"/>
  <c r="J278" i="23" s="1"/>
  <c r="AW278" i="23"/>
  <c r="BD278" i="23"/>
  <c r="BF278" i="23"/>
  <c r="BI278" i="23"/>
  <c r="AE278" i="23" s="1"/>
  <c r="BJ278" i="23"/>
  <c r="K279" i="23"/>
  <c r="Z279" i="23"/>
  <c r="AB279" i="23"/>
  <c r="AC279" i="23"/>
  <c r="AF279" i="23"/>
  <c r="AG279" i="23"/>
  <c r="AH279" i="23"/>
  <c r="AJ279" i="23"/>
  <c r="AK279" i="23"/>
  <c r="AL279" i="23"/>
  <c r="AO279" i="23"/>
  <c r="I279" i="23" s="1"/>
  <c r="AP279" i="23"/>
  <c r="J279" i="23" s="1"/>
  <c r="BD279" i="23"/>
  <c r="BF279" i="23"/>
  <c r="BH279" i="23"/>
  <c r="AD279" i="23" s="1"/>
  <c r="BI279" i="23"/>
  <c r="AE279" i="23" s="1"/>
  <c r="BJ279" i="23"/>
  <c r="K280" i="23"/>
  <c r="AK280" i="23" s="1"/>
  <c r="Z280" i="23"/>
  <c r="AB280" i="23"/>
  <c r="AC280" i="23"/>
  <c r="AF280" i="23"/>
  <c r="AG280" i="23"/>
  <c r="AH280" i="23"/>
  <c r="AJ280" i="23"/>
  <c r="AL280" i="23"/>
  <c r="AO280" i="23"/>
  <c r="I280" i="23" s="1"/>
  <c r="AP280" i="23"/>
  <c r="BD280" i="23"/>
  <c r="BF280" i="23"/>
  <c r="BH280" i="23"/>
  <c r="AD280" i="23" s="1"/>
  <c r="BJ280" i="23"/>
  <c r="K281" i="23"/>
  <c r="AK281" i="23" s="1"/>
  <c r="Z281" i="23"/>
  <c r="AB281" i="23"/>
  <c r="AC281" i="23"/>
  <c r="AF281" i="23"/>
  <c r="AG281" i="23"/>
  <c r="AH281" i="23"/>
  <c r="AJ281" i="23"/>
  <c r="AL281" i="23"/>
  <c r="AO281" i="23"/>
  <c r="I281" i="23" s="1"/>
  <c r="AP281" i="23"/>
  <c r="J281" i="23" s="1"/>
  <c r="AW281" i="23"/>
  <c r="BD281" i="23"/>
  <c r="BF281" i="23"/>
  <c r="BH281" i="23"/>
  <c r="AD281" i="23" s="1"/>
  <c r="BJ281" i="23"/>
  <c r="K282" i="23"/>
  <c r="AK282" i="23" s="1"/>
  <c r="Z282" i="23"/>
  <c r="AB282" i="23"/>
  <c r="AC282" i="23"/>
  <c r="AF282" i="23"/>
  <c r="AG282" i="23"/>
  <c r="AH282" i="23"/>
  <c r="AJ282" i="23"/>
  <c r="AL282" i="23"/>
  <c r="AO282" i="23"/>
  <c r="I282" i="23" s="1"/>
  <c r="AP282" i="23"/>
  <c r="J282" i="23" s="1"/>
  <c r="BD282" i="23"/>
  <c r="BF282" i="23"/>
  <c r="BH282" i="23"/>
  <c r="AD282" i="23" s="1"/>
  <c r="BJ282" i="23"/>
  <c r="K283" i="23"/>
  <c r="AK283" i="23" s="1"/>
  <c r="Z283" i="23"/>
  <c r="AB283" i="23"/>
  <c r="AC283" i="23"/>
  <c r="AF283" i="23"/>
  <c r="AG283" i="23"/>
  <c r="AH283" i="23"/>
  <c r="AJ283" i="23"/>
  <c r="AL283" i="23"/>
  <c r="AO283" i="23"/>
  <c r="AP283" i="23"/>
  <c r="BD283" i="23"/>
  <c r="BF283" i="23"/>
  <c r="BI283" i="23"/>
  <c r="AE283" i="23" s="1"/>
  <c r="BJ283" i="23"/>
  <c r="K284" i="23"/>
  <c r="Z284" i="23"/>
  <c r="AB284" i="23"/>
  <c r="AC284" i="23"/>
  <c r="AF284" i="23"/>
  <c r="AG284" i="23"/>
  <c r="AH284" i="23"/>
  <c r="AJ284" i="23"/>
  <c r="AK284" i="23"/>
  <c r="AL284" i="23"/>
  <c r="AO284" i="23"/>
  <c r="AP284" i="23"/>
  <c r="BD284" i="23"/>
  <c r="BF284" i="23"/>
  <c r="BJ284" i="23"/>
  <c r="K285" i="23"/>
  <c r="Z285" i="23"/>
  <c r="AB285" i="23"/>
  <c r="AC285" i="23"/>
  <c r="AF285" i="23"/>
  <c r="AG285" i="23"/>
  <c r="AH285" i="23"/>
  <c r="AJ285" i="23"/>
  <c r="AK285" i="23"/>
  <c r="AL285" i="23"/>
  <c r="AO285" i="23"/>
  <c r="AP285" i="23"/>
  <c r="J285" i="23" s="1"/>
  <c r="BD285" i="23"/>
  <c r="BF285" i="23"/>
  <c r="BJ285" i="23"/>
  <c r="K286" i="23"/>
  <c r="AK286" i="23" s="1"/>
  <c r="Z286" i="23"/>
  <c r="AB286" i="23"/>
  <c r="AC286" i="23"/>
  <c r="AF286" i="23"/>
  <c r="AG286" i="23"/>
  <c r="AH286" i="23"/>
  <c r="AJ286" i="23"/>
  <c r="AL286" i="23"/>
  <c r="AO286" i="23"/>
  <c r="I286" i="23" s="1"/>
  <c r="AP286" i="23"/>
  <c r="BD286" i="23"/>
  <c r="BF286" i="23"/>
  <c r="BH286" i="23"/>
  <c r="AD286" i="23" s="1"/>
  <c r="BJ286" i="23"/>
  <c r="K287" i="23"/>
  <c r="AK287" i="23" s="1"/>
  <c r="Z287" i="23"/>
  <c r="AB287" i="23"/>
  <c r="AC287" i="23"/>
  <c r="AF287" i="23"/>
  <c r="AG287" i="23"/>
  <c r="AH287" i="23"/>
  <c r="AJ287" i="23"/>
  <c r="AL287" i="23"/>
  <c r="AO287" i="23"/>
  <c r="AP287" i="23"/>
  <c r="BD287" i="23"/>
  <c r="BF287" i="23"/>
  <c r="BJ287" i="23"/>
  <c r="K288" i="23"/>
  <c r="Z288" i="23"/>
  <c r="AB288" i="23"/>
  <c r="AC288" i="23"/>
  <c r="AF288" i="23"/>
  <c r="AG288" i="23"/>
  <c r="AH288" i="23"/>
  <c r="AJ288" i="23"/>
  <c r="AK288" i="23"/>
  <c r="AL288" i="23"/>
  <c r="AO288" i="23"/>
  <c r="AP288" i="23"/>
  <c r="BD288" i="23"/>
  <c r="BF288" i="23"/>
  <c r="BJ288" i="23"/>
  <c r="K289" i="23"/>
  <c r="Z289" i="23"/>
  <c r="AB289" i="23"/>
  <c r="AC289" i="23"/>
  <c r="AF289" i="23"/>
  <c r="AG289" i="23"/>
  <c r="AH289" i="23"/>
  <c r="AJ289" i="23"/>
  <c r="AK289" i="23"/>
  <c r="AL289" i="23"/>
  <c r="AO289" i="23"/>
  <c r="AW289" i="23" s="1"/>
  <c r="AP289" i="23"/>
  <c r="BD289" i="23"/>
  <c r="BF289" i="23"/>
  <c r="BH289" i="23"/>
  <c r="AD289" i="23" s="1"/>
  <c r="BJ289" i="23"/>
  <c r="K290" i="23"/>
  <c r="AK290" i="23" s="1"/>
  <c r="Z290" i="23"/>
  <c r="AB290" i="23"/>
  <c r="AC290" i="23"/>
  <c r="AF290" i="23"/>
  <c r="AG290" i="23"/>
  <c r="AH290" i="23"/>
  <c r="AJ290" i="23"/>
  <c r="AL290" i="23"/>
  <c r="AO290" i="23"/>
  <c r="AP290" i="23"/>
  <c r="J290" i="23" s="1"/>
  <c r="AX290" i="23"/>
  <c r="BD290" i="23"/>
  <c r="BF290" i="23"/>
  <c r="BI290" i="23"/>
  <c r="AE290" i="23" s="1"/>
  <c r="BJ290" i="23"/>
  <c r="K291" i="23"/>
  <c r="AK291" i="23" s="1"/>
  <c r="Z291" i="23"/>
  <c r="AB291" i="23"/>
  <c r="AC291" i="23"/>
  <c r="AF291" i="23"/>
  <c r="AG291" i="23"/>
  <c r="AH291" i="23"/>
  <c r="AJ291" i="23"/>
  <c r="AL291" i="23"/>
  <c r="AO291" i="23"/>
  <c r="I291" i="23" s="1"/>
  <c r="AP291" i="23"/>
  <c r="J291" i="23" s="1"/>
  <c r="AW291" i="23"/>
  <c r="BD291" i="23"/>
  <c r="BF291" i="23"/>
  <c r="BJ291" i="23"/>
  <c r="K292" i="23"/>
  <c r="Z292" i="23"/>
  <c r="AB292" i="23"/>
  <c r="AC292" i="23"/>
  <c r="AF292" i="23"/>
  <c r="AG292" i="23"/>
  <c r="AH292" i="23"/>
  <c r="AJ292" i="23"/>
  <c r="AK292" i="23"/>
  <c r="AL292" i="23"/>
  <c r="AO292" i="23"/>
  <c r="AP292" i="23"/>
  <c r="J292" i="23" s="1"/>
  <c r="BD292" i="23"/>
  <c r="BF292" i="23"/>
  <c r="BI292" i="23"/>
  <c r="AE292" i="23" s="1"/>
  <c r="BJ292" i="23"/>
  <c r="K293" i="23"/>
  <c r="Z293" i="23"/>
  <c r="AB293" i="23"/>
  <c r="AC293" i="23"/>
  <c r="AF293" i="23"/>
  <c r="AG293" i="23"/>
  <c r="AH293" i="23"/>
  <c r="AJ293" i="23"/>
  <c r="AK293" i="23"/>
  <c r="AL293" i="23"/>
  <c r="AO293" i="23"/>
  <c r="AP293" i="23"/>
  <c r="J293" i="23" s="1"/>
  <c r="BD293" i="23"/>
  <c r="BF293" i="23"/>
  <c r="BJ293" i="23"/>
  <c r="K294" i="23"/>
  <c r="AK294" i="23" s="1"/>
  <c r="Z294" i="23"/>
  <c r="AB294" i="23"/>
  <c r="AC294" i="23"/>
  <c r="AF294" i="23"/>
  <c r="AG294" i="23"/>
  <c r="AH294" i="23"/>
  <c r="AJ294" i="23"/>
  <c r="AL294" i="23"/>
  <c r="AO294" i="23"/>
  <c r="I294" i="23" s="1"/>
  <c r="AP294" i="23"/>
  <c r="BD294" i="23"/>
  <c r="BF294" i="23"/>
  <c r="BH294" i="23"/>
  <c r="AD294" i="23" s="1"/>
  <c r="BJ294" i="23"/>
  <c r="K295" i="23"/>
  <c r="AK295" i="23" s="1"/>
  <c r="Z295" i="23"/>
  <c r="AB295" i="23"/>
  <c r="AC295" i="23"/>
  <c r="AF295" i="23"/>
  <c r="AG295" i="23"/>
  <c r="AH295" i="23"/>
  <c r="AJ295" i="23"/>
  <c r="AL295" i="23"/>
  <c r="AO295" i="23"/>
  <c r="AP295" i="23"/>
  <c r="J295" i="23" s="1"/>
  <c r="BD295" i="23"/>
  <c r="BF295" i="23"/>
  <c r="BI295" i="23"/>
  <c r="AE295" i="23" s="1"/>
  <c r="BJ295" i="23"/>
  <c r="K296" i="23"/>
  <c r="Z296" i="23"/>
  <c r="AB296" i="23"/>
  <c r="AC296" i="23"/>
  <c r="AF296" i="23"/>
  <c r="AG296" i="23"/>
  <c r="AH296" i="23"/>
  <c r="AJ296" i="23"/>
  <c r="AK296" i="23"/>
  <c r="AL296" i="23"/>
  <c r="AO296" i="23"/>
  <c r="I296" i="23" s="1"/>
  <c r="AP296" i="23"/>
  <c r="AW296" i="23"/>
  <c r="BD296" i="23"/>
  <c r="BF296" i="23"/>
  <c r="BH296" i="23"/>
  <c r="AD296" i="23" s="1"/>
  <c r="BJ296" i="23"/>
  <c r="K297" i="23"/>
  <c r="Z297" i="23"/>
  <c r="AB297" i="23"/>
  <c r="AC297" i="23"/>
  <c r="AF297" i="23"/>
  <c r="AG297" i="23"/>
  <c r="AH297" i="23"/>
  <c r="AJ297" i="23"/>
  <c r="AK297" i="23"/>
  <c r="AL297" i="23"/>
  <c r="AO297" i="23"/>
  <c r="AP297" i="23"/>
  <c r="BD297" i="23"/>
  <c r="BF297" i="23"/>
  <c r="BH297" i="23"/>
  <c r="AD297" i="23" s="1"/>
  <c r="BJ297" i="23"/>
  <c r="K298" i="23"/>
  <c r="AK298" i="23" s="1"/>
  <c r="Z298" i="23"/>
  <c r="AB298" i="23"/>
  <c r="AC298" i="23"/>
  <c r="AF298" i="23"/>
  <c r="AG298" i="23"/>
  <c r="AH298" i="23"/>
  <c r="AJ298" i="23"/>
  <c r="AL298" i="23"/>
  <c r="AO298" i="23"/>
  <c r="AP298" i="23"/>
  <c r="J298" i="23" s="1"/>
  <c r="BD298" i="23"/>
  <c r="BF298" i="23"/>
  <c r="BJ298" i="23"/>
  <c r="K299" i="23"/>
  <c r="Z299" i="23"/>
  <c r="AB299" i="23"/>
  <c r="AC299" i="23"/>
  <c r="AF299" i="23"/>
  <c r="AG299" i="23"/>
  <c r="AH299" i="23"/>
  <c r="AJ299" i="23"/>
  <c r="AK299" i="23"/>
  <c r="AL299" i="23"/>
  <c r="AO299" i="23"/>
  <c r="AP299" i="23"/>
  <c r="BD299" i="23"/>
  <c r="BF299" i="23"/>
  <c r="BJ299" i="23"/>
  <c r="K300" i="23"/>
  <c r="Z300" i="23"/>
  <c r="AB300" i="23"/>
  <c r="AC300" i="23"/>
  <c r="AF300" i="23"/>
  <c r="AG300" i="23"/>
  <c r="AH300" i="23"/>
  <c r="AJ300" i="23"/>
  <c r="AK300" i="23"/>
  <c r="AL300" i="23"/>
  <c r="AO300" i="23"/>
  <c r="AW300" i="23" s="1"/>
  <c r="AP300" i="23"/>
  <c r="J300" i="23" s="1"/>
  <c r="AX300" i="23"/>
  <c r="BD300" i="23"/>
  <c r="BF300" i="23"/>
  <c r="BJ300" i="23"/>
  <c r="K301" i="23"/>
  <c r="Z301" i="23"/>
  <c r="AB301" i="23"/>
  <c r="AC301" i="23"/>
  <c r="AF301" i="23"/>
  <c r="AG301" i="23"/>
  <c r="AH301" i="23"/>
  <c r="AJ301" i="23"/>
  <c r="AK301" i="23"/>
  <c r="AL301" i="23"/>
  <c r="AO301" i="23"/>
  <c r="AP301" i="23"/>
  <c r="J301" i="23" s="1"/>
  <c r="BD301" i="23"/>
  <c r="BF301" i="23"/>
  <c r="BJ301" i="23"/>
  <c r="K302" i="23"/>
  <c r="AK302" i="23" s="1"/>
  <c r="Z302" i="23"/>
  <c r="AB302" i="23"/>
  <c r="AC302" i="23"/>
  <c r="AF302" i="23"/>
  <c r="AG302" i="23"/>
  <c r="AH302" i="23"/>
  <c r="AJ302" i="23"/>
  <c r="AL302" i="23"/>
  <c r="AO302" i="23"/>
  <c r="I302" i="23" s="1"/>
  <c r="AP302" i="23"/>
  <c r="J302" i="23" s="1"/>
  <c r="BD302" i="23"/>
  <c r="BF302" i="23"/>
  <c r="BI302" i="23"/>
  <c r="AE302" i="23" s="1"/>
  <c r="BJ302" i="23"/>
  <c r="K303" i="23"/>
  <c r="Z303" i="23"/>
  <c r="AB303" i="23"/>
  <c r="AC303" i="23"/>
  <c r="AF303" i="23"/>
  <c r="AG303" i="23"/>
  <c r="AH303" i="23"/>
  <c r="AJ303" i="23"/>
  <c r="AK303" i="23"/>
  <c r="AL303" i="23"/>
  <c r="AO303" i="23"/>
  <c r="AP303" i="23"/>
  <c r="BD303" i="23"/>
  <c r="BF303" i="23"/>
  <c r="BJ303" i="23"/>
  <c r="K304" i="23"/>
  <c r="Z304" i="23"/>
  <c r="AB304" i="23"/>
  <c r="AC304" i="23"/>
  <c r="AF304" i="23"/>
  <c r="AG304" i="23"/>
  <c r="AH304" i="23"/>
  <c r="AJ304" i="23"/>
  <c r="AK304" i="23"/>
  <c r="AL304" i="23"/>
  <c r="AO304" i="23"/>
  <c r="I304" i="23" s="1"/>
  <c r="AP304" i="23"/>
  <c r="J304" i="23" s="1"/>
  <c r="BD304" i="23"/>
  <c r="BF304" i="23"/>
  <c r="BI304" i="23"/>
  <c r="AE304" i="23" s="1"/>
  <c r="BJ304" i="23"/>
  <c r="K305" i="23"/>
  <c r="AK305" i="23" s="1"/>
  <c r="Z305" i="23"/>
  <c r="AB305" i="23"/>
  <c r="AC305" i="23"/>
  <c r="AF305" i="23"/>
  <c r="AG305" i="23"/>
  <c r="AH305" i="23"/>
  <c r="AJ305" i="23"/>
  <c r="AL305" i="23"/>
  <c r="AO305" i="23"/>
  <c r="I305" i="23" s="1"/>
  <c r="AP305" i="23"/>
  <c r="BD305" i="23"/>
  <c r="BF305" i="23"/>
  <c r="BJ305" i="23"/>
  <c r="K306" i="23"/>
  <c r="Z306" i="23"/>
  <c r="AB306" i="23"/>
  <c r="AC306" i="23"/>
  <c r="AF306" i="23"/>
  <c r="AG306" i="23"/>
  <c r="AH306" i="23"/>
  <c r="AJ306" i="23"/>
  <c r="AK306" i="23"/>
  <c r="AL306" i="23"/>
  <c r="AO306" i="23"/>
  <c r="I306" i="23" s="1"/>
  <c r="AP306" i="23"/>
  <c r="BD306" i="23"/>
  <c r="BF306" i="23"/>
  <c r="BJ306" i="23"/>
  <c r="K307" i="23"/>
  <c r="Z307" i="23"/>
  <c r="AB307" i="23"/>
  <c r="AC307" i="23"/>
  <c r="AF307" i="23"/>
  <c r="AG307" i="23"/>
  <c r="AH307" i="23"/>
  <c r="AJ307" i="23"/>
  <c r="AK307" i="23"/>
  <c r="AL307" i="23"/>
  <c r="AO307" i="23"/>
  <c r="AP307" i="23"/>
  <c r="J307" i="23" s="1"/>
  <c r="BD307" i="23"/>
  <c r="BF307" i="23"/>
  <c r="BJ307" i="23"/>
  <c r="K308" i="23"/>
  <c r="Z308" i="23"/>
  <c r="AB308" i="23"/>
  <c r="AC308" i="23"/>
  <c r="AF308" i="23"/>
  <c r="AG308" i="23"/>
  <c r="AH308" i="23"/>
  <c r="AJ308" i="23"/>
  <c r="AK308" i="23"/>
  <c r="AL308" i="23"/>
  <c r="AO308" i="23"/>
  <c r="AP308" i="23"/>
  <c r="J308" i="23" s="1"/>
  <c r="BD308" i="23"/>
  <c r="BF308" i="23"/>
  <c r="BJ308" i="23"/>
  <c r="K309" i="23"/>
  <c r="Z309" i="23"/>
  <c r="AB309" i="23"/>
  <c r="AC309" i="23"/>
  <c r="AF309" i="23"/>
  <c r="AG309" i="23"/>
  <c r="AH309" i="23"/>
  <c r="AJ309" i="23"/>
  <c r="AK309" i="23"/>
  <c r="AL309" i="23"/>
  <c r="AO309" i="23"/>
  <c r="AP309" i="23"/>
  <c r="J309" i="23" s="1"/>
  <c r="BD309" i="23"/>
  <c r="BF309" i="23"/>
  <c r="BJ309" i="23"/>
  <c r="K310" i="23"/>
  <c r="Z310" i="23"/>
  <c r="AB310" i="23"/>
  <c r="AC310" i="23"/>
  <c r="AF310" i="23"/>
  <c r="AG310" i="23"/>
  <c r="AH310" i="23"/>
  <c r="AJ310" i="23"/>
  <c r="AK310" i="23"/>
  <c r="AL310" i="23"/>
  <c r="AO310" i="23"/>
  <c r="AP310" i="23"/>
  <c r="AX310" i="23" s="1"/>
  <c r="BD310" i="23"/>
  <c r="BF310" i="23"/>
  <c r="BH310" i="23"/>
  <c r="AD310" i="23" s="1"/>
  <c r="BJ310" i="23"/>
  <c r="K311" i="23"/>
  <c r="Z311" i="23"/>
  <c r="AB311" i="23"/>
  <c r="AC311" i="23"/>
  <c r="AF311" i="23"/>
  <c r="AG311" i="23"/>
  <c r="AH311" i="23"/>
  <c r="AJ311" i="23"/>
  <c r="AK311" i="23"/>
  <c r="AL311" i="23"/>
  <c r="AO311" i="23"/>
  <c r="AP311" i="23"/>
  <c r="J311" i="23" s="1"/>
  <c r="AX311" i="23"/>
  <c r="BD311" i="23"/>
  <c r="BF311" i="23"/>
  <c r="BI311" i="23"/>
  <c r="AE311" i="23" s="1"/>
  <c r="BJ311" i="23"/>
  <c r="K312" i="23"/>
  <c r="Z312" i="23"/>
  <c r="AB312" i="23"/>
  <c r="AC312" i="23"/>
  <c r="AF312" i="23"/>
  <c r="AG312" i="23"/>
  <c r="AH312" i="23"/>
  <c r="AJ312" i="23"/>
  <c r="AK312" i="23"/>
  <c r="AL312" i="23"/>
  <c r="AO312" i="23"/>
  <c r="AP312" i="23"/>
  <c r="BD312" i="23"/>
  <c r="BF312" i="23"/>
  <c r="BH312" i="23"/>
  <c r="AD312" i="23" s="1"/>
  <c r="BJ312" i="23"/>
  <c r="K313" i="23"/>
  <c r="Z313" i="23"/>
  <c r="AB313" i="23"/>
  <c r="AC313" i="23"/>
  <c r="AF313" i="23"/>
  <c r="AG313" i="23"/>
  <c r="AH313" i="23"/>
  <c r="AJ313" i="23"/>
  <c r="AK313" i="23"/>
  <c r="AL313" i="23"/>
  <c r="AO313" i="23"/>
  <c r="I313" i="23" s="1"/>
  <c r="AP313" i="23"/>
  <c r="BI313" i="23" s="1"/>
  <c r="AE313" i="23" s="1"/>
  <c r="BD313" i="23"/>
  <c r="BF313" i="23"/>
  <c r="BJ313" i="23"/>
  <c r="K314" i="23"/>
  <c r="Z314" i="23"/>
  <c r="AB314" i="23"/>
  <c r="AC314" i="23"/>
  <c r="AF314" i="23"/>
  <c r="AG314" i="23"/>
  <c r="AH314" i="23"/>
  <c r="AJ314" i="23"/>
  <c r="AK314" i="23"/>
  <c r="AL314" i="23"/>
  <c r="AO314" i="23"/>
  <c r="AP314" i="23"/>
  <c r="BD314" i="23"/>
  <c r="BF314" i="23"/>
  <c r="BJ314" i="23"/>
  <c r="K315" i="23"/>
  <c r="Z315" i="23"/>
  <c r="AB315" i="23"/>
  <c r="AC315" i="23"/>
  <c r="AF315" i="23"/>
  <c r="AG315" i="23"/>
  <c r="AH315" i="23"/>
  <c r="AJ315" i="23"/>
  <c r="AK315" i="23"/>
  <c r="AL315" i="23"/>
  <c r="AO315" i="23"/>
  <c r="AP315" i="23"/>
  <c r="J315" i="23" s="1"/>
  <c r="BD315" i="23"/>
  <c r="BF315" i="23"/>
  <c r="BH315" i="23"/>
  <c r="AD315" i="23" s="1"/>
  <c r="BJ315" i="23"/>
  <c r="K316" i="23"/>
  <c r="Z316" i="23"/>
  <c r="AB316" i="23"/>
  <c r="AC316" i="23"/>
  <c r="AF316" i="23"/>
  <c r="AG316" i="23"/>
  <c r="AH316" i="23"/>
  <c r="AJ316" i="23"/>
  <c r="AK316" i="23"/>
  <c r="AL316" i="23"/>
  <c r="AO316" i="23"/>
  <c r="I316" i="23" s="1"/>
  <c r="AP316" i="23"/>
  <c r="J316" i="23" s="1"/>
  <c r="BD316" i="23"/>
  <c r="BF316" i="23"/>
  <c r="BH316" i="23"/>
  <c r="AD316" i="23" s="1"/>
  <c r="BI316" i="23"/>
  <c r="AE316" i="23" s="1"/>
  <c r="BJ316" i="23"/>
  <c r="K317" i="23"/>
  <c r="Z317" i="23"/>
  <c r="AB317" i="23"/>
  <c r="AC317" i="23"/>
  <c r="AF317" i="23"/>
  <c r="AG317" i="23"/>
  <c r="AH317" i="23"/>
  <c r="AJ317" i="23"/>
  <c r="AK317" i="23"/>
  <c r="AL317" i="23"/>
  <c r="AO317" i="23"/>
  <c r="I317" i="23" s="1"/>
  <c r="AP317" i="23"/>
  <c r="J317" i="23" s="1"/>
  <c r="AX317" i="23"/>
  <c r="BD317" i="23"/>
  <c r="BF317" i="23"/>
  <c r="BI317" i="23"/>
  <c r="AE317" i="23" s="1"/>
  <c r="BJ317" i="23"/>
  <c r="K318" i="23"/>
  <c r="Z318" i="23"/>
  <c r="AB318" i="23"/>
  <c r="AC318" i="23"/>
  <c r="AF318" i="23"/>
  <c r="AG318" i="23"/>
  <c r="AH318" i="23"/>
  <c r="AJ318" i="23"/>
  <c r="AK318" i="23"/>
  <c r="AL318" i="23"/>
  <c r="AO318" i="23"/>
  <c r="AP318" i="23"/>
  <c r="BD318" i="23"/>
  <c r="BF318" i="23"/>
  <c r="BJ318" i="23"/>
  <c r="K319" i="23"/>
  <c r="Z319" i="23"/>
  <c r="AB319" i="23"/>
  <c r="AC319" i="23"/>
  <c r="AF319" i="23"/>
  <c r="AG319" i="23"/>
  <c r="AH319" i="23"/>
  <c r="AJ319" i="23"/>
  <c r="AK319" i="23"/>
  <c r="AL319" i="23"/>
  <c r="AO319" i="23"/>
  <c r="I319" i="23" s="1"/>
  <c r="AP319" i="23"/>
  <c r="J319" i="23" s="1"/>
  <c r="AW319" i="23"/>
  <c r="BD319" i="23"/>
  <c r="BF319" i="23"/>
  <c r="BI319" i="23"/>
  <c r="AE319" i="23" s="1"/>
  <c r="BJ319" i="23"/>
  <c r="K320" i="23"/>
  <c r="Z320" i="23"/>
  <c r="AB320" i="23"/>
  <c r="AC320" i="23"/>
  <c r="AF320" i="23"/>
  <c r="AG320" i="23"/>
  <c r="AH320" i="23"/>
  <c r="AJ320" i="23"/>
  <c r="AK320" i="23"/>
  <c r="AL320" i="23"/>
  <c r="AO320" i="23"/>
  <c r="I320" i="23" s="1"/>
  <c r="AP320" i="23"/>
  <c r="J320" i="23" s="1"/>
  <c r="BD320" i="23"/>
  <c r="BF320" i="23"/>
  <c r="BH320" i="23"/>
  <c r="AD320" i="23" s="1"/>
  <c r="BJ320" i="23"/>
  <c r="K321" i="23"/>
  <c r="AK321" i="23" s="1"/>
  <c r="Z321" i="23"/>
  <c r="AB321" i="23"/>
  <c r="AC321" i="23"/>
  <c r="AF321" i="23"/>
  <c r="AG321" i="23"/>
  <c r="AH321" i="23"/>
  <c r="AJ321" i="23"/>
  <c r="AL321" i="23"/>
  <c r="AO321" i="23"/>
  <c r="AP321" i="23"/>
  <c r="J321" i="23" s="1"/>
  <c r="BD321" i="23"/>
  <c r="BF321" i="23"/>
  <c r="BJ321" i="23"/>
  <c r="K322" i="23"/>
  <c r="Z322" i="23"/>
  <c r="AB322" i="23"/>
  <c r="AC322" i="23"/>
  <c r="AF322" i="23"/>
  <c r="AG322" i="23"/>
  <c r="AH322" i="23"/>
  <c r="AJ322" i="23"/>
  <c r="AK322" i="23"/>
  <c r="AL322" i="23"/>
  <c r="AO322" i="23"/>
  <c r="I322" i="23" s="1"/>
  <c r="AP322" i="23"/>
  <c r="AW322" i="23"/>
  <c r="BD322" i="23"/>
  <c r="BF322" i="23"/>
  <c r="BH322" i="23"/>
  <c r="AD322" i="23" s="1"/>
  <c r="BJ322" i="23"/>
  <c r="K323" i="23"/>
  <c r="Z323" i="23"/>
  <c r="AB323" i="23"/>
  <c r="AC323" i="23"/>
  <c r="AF323" i="23"/>
  <c r="AG323" i="23"/>
  <c r="AH323" i="23"/>
  <c r="AJ323" i="23"/>
  <c r="AK323" i="23"/>
  <c r="AL323" i="23"/>
  <c r="AO323" i="23"/>
  <c r="AP323" i="23"/>
  <c r="BD323" i="23"/>
  <c r="BF323" i="23"/>
  <c r="BJ323" i="23"/>
  <c r="K324" i="23"/>
  <c r="Z324" i="23"/>
  <c r="AB324" i="23"/>
  <c r="AC324" i="23"/>
  <c r="AF324" i="23"/>
  <c r="AG324" i="23"/>
  <c r="AH324" i="23"/>
  <c r="AJ324" i="23"/>
  <c r="AK324" i="23"/>
  <c r="AL324" i="23"/>
  <c r="AO324" i="23"/>
  <c r="I324" i="23" s="1"/>
  <c r="AP324" i="23"/>
  <c r="J324" i="23" s="1"/>
  <c r="AW324" i="23"/>
  <c r="BD324" i="23"/>
  <c r="BF324" i="23"/>
  <c r="BI324" i="23"/>
  <c r="AE324" i="23" s="1"/>
  <c r="BJ324" i="23"/>
  <c r="K325" i="23"/>
  <c r="Z325" i="23"/>
  <c r="AB325" i="23"/>
  <c r="AC325" i="23"/>
  <c r="AF325" i="23"/>
  <c r="AG325" i="23"/>
  <c r="AH325" i="23"/>
  <c r="AJ325" i="23"/>
  <c r="AK325" i="23"/>
  <c r="AL325" i="23"/>
  <c r="AO325" i="23"/>
  <c r="I325" i="23" s="1"/>
  <c r="AP325" i="23"/>
  <c r="BD325" i="23"/>
  <c r="BF325" i="23"/>
  <c r="BH325" i="23"/>
  <c r="AD325" i="23" s="1"/>
  <c r="BJ325" i="23"/>
  <c r="K326" i="23"/>
  <c r="Z326" i="23"/>
  <c r="AB326" i="23"/>
  <c r="AC326" i="23"/>
  <c r="AF326" i="23"/>
  <c r="AG326" i="23"/>
  <c r="AH326" i="23"/>
  <c r="AJ326" i="23"/>
  <c r="AK326" i="23"/>
  <c r="AL326" i="23"/>
  <c r="AO326" i="23"/>
  <c r="AP326" i="23"/>
  <c r="BD326" i="23"/>
  <c r="BF326" i="23"/>
  <c r="BJ326" i="23"/>
  <c r="K327" i="23"/>
  <c r="Z327" i="23"/>
  <c r="AB327" i="23"/>
  <c r="AC327" i="23"/>
  <c r="AF327" i="23"/>
  <c r="AG327" i="23"/>
  <c r="AH327" i="23"/>
  <c r="AJ327" i="23"/>
  <c r="AK327" i="23"/>
  <c r="AL327" i="23"/>
  <c r="AO327" i="23"/>
  <c r="AP327" i="23"/>
  <c r="J327" i="23" s="1"/>
  <c r="BD327" i="23"/>
  <c r="BF327" i="23"/>
  <c r="BJ327" i="23"/>
  <c r="K328" i="23"/>
  <c r="Z328" i="23"/>
  <c r="AB328" i="23"/>
  <c r="AC328" i="23"/>
  <c r="AF328" i="23"/>
  <c r="AG328" i="23"/>
  <c r="AH328" i="23"/>
  <c r="AJ328" i="23"/>
  <c r="AK328" i="23"/>
  <c r="AL328" i="23"/>
  <c r="AO328" i="23"/>
  <c r="AP328" i="23"/>
  <c r="BD328" i="23"/>
  <c r="BF328" i="23"/>
  <c r="BI328" i="23"/>
  <c r="AE328" i="23" s="1"/>
  <c r="BJ328" i="23"/>
  <c r="K329" i="23"/>
  <c r="Z329" i="23"/>
  <c r="AB329" i="23"/>
  <c r="AC329" i="23"/>
  <c r="AF329" i="23"/>
  <c r="AG329" i="23"/>
  <c r="AH329" i="23"/>
  <c r="AJ329" i="23"/>
  <c r="AK329" i="23"/>
  <c r="AL329" i="23"/>
  <c r="AO329" i="23"/>
  <c r="AP329" i="23"/>
  <c r="J329" i="23" s="1"/>
  <c r="BD329" i="23"/>
  <c r="BF329" i="23"/>
  <c r="BJ329" i="23"/>
  <c r="K331" i="23"/>
  <c r="Z331" i="23"/>
  <c r="AB331" i="23"/>
  <c r="AC331" i="23"/>
  <c r="AF331" i="23"/>
  <c r="AG331" i="23"/>
  <c r="AH331" i="23"/>
  <c r="AJ331" i="23"/>
  <c r="AK331" i="23"/>
  <c r="AL331" i="23"/>
  <c r="AO331" i="23"/>
  <c r="AP331" i="23"/>
  <c r="BD331" i="23"/>
  <c r="BF331" i="23"/>
  <c r="BH331" i="23"/>
  <c r="AD331" i="23" s="1"/>
  <c r="BJ331" i="23"/>
  <c r="K332" i="23"/>
  <c r="Z332" i="23"/>
  <c r="AB332" i="23"/>
  <c r="AC332" i="23"/>
  <c r="AF332" i="23"/>
  <c r="AG332" i="23"/>
  <c r="AH332" i="23"/>
  <c r="AJ332" i="23"/>
  <c r="AK332" i="23"/>
  <c r="AL332" i="23"/>
  <c r="AO332" i="23"/>
  <c r="I332" i="23" s="1"/>
  <c r="AP332" i="23"/>
  <c r="J332" i="23" s="1"/>
  <c r="BD332" i="23"/>
  <c r="BF332" i="23"/>
  <c r="BI332" i="23"/>
  <c r="AE332" i="23" s="1"/>
  <c r="BJ332" i="23"/>
  <c r="K333" i="23"/>
  <c r="Z333" i="23"/>
  <c r="AB333" i="23"/>
  <c r="AC333" i="23"/>
  <c r="AF333" i="23"/>
  <c r="AG333" i="23"/>
  <c r="AH333" i="23"/>
  <c r="AJ333" i="23"/>
  <c r="AK333" i="23"/>
  <c r="AL333" i="23"/>
  <c r="AO333" i="23"/>
  <c r="I333" i="23" s="1"/>
  <c r="AP333" i="23"/>
  <c r="J333" i="23" s="1"/>
  <c r="BD333" i="23"/>
  <c r="BF333" i="23"/>
  <c r="BI333" i="23"/>
  <c r="AE333" i="23" s="1"/>
  <c r="BJ333" i="23"/>
  <c r="K334" i="23"/>
  <c r="Z334" i="23"/>
  <c r="AB334" i="23"/>
  <c r="AC334" i="23"/>
  <c r="AF334" i="23"/>
  <c r="AG334" i="23"/>
  <c r="AH334" i="23"/>
  <c r="AJ334" i="23"/>
  <c r="AK334" i="23"/>
  <c r="AL334" i="23"/>
  <c r="AO334" i="23"/>
  <c r="AP334" i="23"/>
  <c r="BD334" i="23"/>
  <c r="BF334" i="23"/>
  <c r="BH334" i="23"/>
  <c r="AD334" i="23" s="1"/>
  <c r="BJ334" i="23"/>
  <c r="K335" i="23"/>
  <c r="Z335" i="23"/>
  <c r="AB335" i="23"/>
  <c r="AC335" i="23"/>
  <c r="AF335" i="23"/>
  <c r="AG335" i="23"/>
  <c r="AH335" i="23"/>
  <c r="AJ335" i="23"/>
  <c r="AK335" i="23"/>
  <c r="AL335" i="23"/>
  <c r="AO335" i="23"/>
  <c r="I335" i="23" s="1"/>
  <c r="AP335" i="23"/>
  <c r="J335" i="23" s="1"/>
  <c r="BD335" i="23"/>
  <c r="BF335" i="23"/>
  <c r="BH335" i="23"/>
  <c r="AD335" i="23" s="1"/>
  <c r="BI335" i="23"/>
  <c r="AE335" i="23" s="1"/>
  <c r="BJ335" i="23"/>
  <c r="K336" i="23"/>
  <c r="AK336" i="23" s="1"/>
  <c r="Z336" i="23"/>
  <c r="AB336" i="23"/>
  <c r="AC336" i="23"/>
  <c r="AF336" i="23"/>
  <c r="AG336" i="23"/>
  <c r="AH336" i="23"/>
  <c r="AJ336" i="23"/>
  <c r="AL336" i="23"/>
  <c r="AO336" i="23"/>
  <c r="AP336" i="23"/>
  <c r="BD336" i="23"/>
  <c r="BF336" i="23"/>
  <c r="BJ336" i="23"/>
  <c r="K337" i="23"/>
  <c r="Z337" i="23"/>
  <c r="AB337" i="23"/>
  <c r="AC337" i="23"/>
  <c r="AF337" i="23"/>
  <c r="AG337" i="23"/>
  <c r="AH337" i="23"/>
  <c r="AJ337" i="23"/>
  <c r="AK337" i="23"/>
  <c r="AL337" i="23"/>
  <c r="AO337" i="23"/>
  <c r="AP337" i="23"/>
  <c r="J337" i="23" s="1"/>
  <c r="BD337" i="23"/>
  <c r="BF337" i="23"/>
  <c r="BI337" i="23"/>
  <c r="AE337" i="23" s="1"/>
  <c r="BJ337" i="23"/>
  <c r="K338" i="23"/>
  <c r="Z338" i="23"/>
  <c r="AB338" i="23"/>
  <c r="AC338" i="23"/>
  <c r="AF338" i="23"/>
  <c r="AG338" i="23"/>
  <c r="AH338" i="23"/>
  <c r="AJ338" i="23"/>
  <c r="AK338" i="23"/>
  <c r="AL338" i="23"/>
  <c r="AO338" i="23"/>
  <c r="AP338" i="23"/>
  <c r="J338" i="23" s="1"/>
  <c r="BD338" i="23"/>
  <c r="BF338" i="23"/>
  <c r="BJ338" i="23"/>
  <c r="K339" i="23"/>
  <c r="Z339" i="23"/>
  <c r="AB339" i="23"/>
  <c r="AC339" i="23"/>
  <c r="AF339" i="23"/>
  <c r="AG339" i="23"/>
  <c r="AH339" i="23"/>
  <c r="AJ339" i="23"/>
  <c r="AK339" i="23"/>
  <c r="AL339" i="23"/>
  <c r="AO339" i="23"/>
  <c r="I339" i="23" s="1"/>
  <c r="AP339" i="23"/>
  <c r="J339" i="23" s="1"/>
  <c r="BD339" i="23"/>
  <c r="BF339" i="23"/>
  <c r="BH339" i="23"/>
  <c r="AD339" i="23" s="1"/>
  <c r="BI339" i="23"/>
  <c r="AE339" i="23" s="1"/>
  <c r="BJ339" i="23"/>
  <c r="K340" i="23"/>
  <c r="AK340" i="23" s="1"/>
  <c r="Z340" i="23"/>
  <c r="AB340" i="23"/>
  <c r="AC340" i="23"/>
  <c r="AF340" i="23"/>
  <c r="AG340" i="23"/>
  <c r="AH340" i="23"/>
  <c r="AJ340" i="23"/>
  <c r="AL340" i="23"/>
  <c r="AO340" i="23"/>
  <c r="I340" i="23" s="1"/>
  <c r="AP340" i="23"/>
  <c r="J340" i="23" s="1"/>
  <c r="BD340" i="23"/>
  <c r="BF340" i="23"/>
  <c r="BH340" i="23"/>
  <c r="AD340" i="23" s="1"/>
  <c r="BJ340" i="23"/>
  <c r="K341" i="23"/>
  <c r="AK341" i="23" s="1"/>
  <c r="Z341" i="23"/>
  <c r="AB341" i="23"/>
  <c r="AC341" i="23"/>
  <c r="AF341" i="23"/>
  <c r="AG341" i="23"/>
  <c r="AH341" i="23"/>
  <c r="AJ341" i="23"/>
  <c r="AL341" i="23"/>
  <c r="AO341" i="23"/>
  <c r="AP341" i="23"/>
  <c r="BD341" i="23"/>
  <c r="BF341" i="23"/>
  <c r="BJ341" i="23"/>
  <c r="K342" i="23"/>
  <c r="Z342" i="23"/>
  <c r="AB342" i="23"/>
  <c r="AC342" i="23"/>
  <c r="AF342" i="23"/>
  <c r="AG342" i="23"/>
  <c r="AH342" i="23"/>
  <c r="AJ342" i="23"/>
  <c r="AK342" i="23"/>
  <c r="AL342" i="23"/>
  <c r="AO342" i="23"/>
  <c r="AP342" i="23"/>
  <c r="J342" i="23" s="1"/>
  <c r="BD342" i="23"/>
  <c r="BF342" i="23"/>
  <c r="BJ342" i="23"/>
  <c r="K343" i="23"/>
  <c r="Z343" i="23"/>
  <c r="AB343" i="23"/>
  <c r="AC343" i="23"/>
  <c r="AF343" i="23"/>
  <c r="AG343" i="23"/>
  <c r="AH343" i="23"/>
  <c r="AJ343" i="23"/>
  <c r="AK343" i="23"/>
  <c r="AL343" i="23"/>
  <c r="AO343" i="23"/>
  <c r="I343" i="23" s="1"/>
  <c r="AP343" i="23"/>
  <c r="J343" i="23" s="1"/>
  <c r="BD343" i="23"/>
  <c r="BF343" i="23"/>
  <c r="BH343" i="23"/>
  <c r="AD343" i="23" s="1"/>
  <c r="BI343" i="23"/>
  <c r="AE343" i="23" s="1"/>
  <c r="BJ343" i="23"/>
  <c r="K344" i="23"/>
  <c r="Z344" i="23"/>
  <c r="AB344" i="23"/>
  <c r="AC344" i="23"/>
  <c r="AF344" i="23"/>
  <c r="AG344" i="23"/>
  <c r="AH344" i="23"/>
  <c r="AJ344" i="23"/>
  <c r="AK344" i="23"/>
  <c r="AL344" i="23"/>
  <c r="AO344" i="23"/>
  <c r="I344" i="23" s="1"/>
  <c r="AP344" i="23"/>
  <c r="J344" i="23" s="1"/>
  <c r="AX344" i="23"/>
  <c r="BD344" i="23"/>
  <c r="BF344" i="23"/>
  <c r="BI344" i="23"/>
  <c r="AE344" i="23" s="1"/>
  <c r="BJ344" i="23"/>
  <c r="K345" i="23"/>
  <c r="Z345" i="23"/>
  <c r="AB345" i="23"/>
  <c r="AC345" i="23"/>
  <c r="AF345" i="23"/>
  <c r="AG345" i="23"/>
  <c r="AH345" i="23"/>
  <c r="AJ345" i="23"/>
  <c r="AK345" i="23"/>
  <c r="AL345" i="23"/>
  <c r="AO345" i="23"/>
  <c r="AP345" i="23"/>
  <c r="BD345" i="23"/>
  <c r="BF345" i="23"/>
  <c r="BJ345" i="23"/>
  <c r="K346" i="23"/>
  <c r="Z346" i="23"/>
  <c r="AB346" i="23"/>
  <c r="AC346" i="23"/>
  <c r="AF346" i="23"/>
  <c r="AG346" i="23"/>
  <c r="AH346" i="23"/>
  <c r="AJ346" i="23"/>
  <c r="AK346" i="23"/>
  <c r="AL346" i="23"/>
  <c r="AO346" i="23"/>
  <c r="I346" i="23" s="1"/>
  <c r="AP346" i="23"/>
  <c r="J346" i="23" s="1"/>
  <c r="AW346" i="23"/>
  <c r="BD346" i="23"/>
  <c r="BF346" i="23"/>
  <c r="BH346" i="23"/>
  <c r="AD346" i="23" s="1"/>
  <c r="BJ346" i="23"/>
  <c r="K347" i="23"/>
  <c r="Z347" i="23"/>
  <c r="AB347" i="23"/>
  <c r="AC347" i="23"/>
  <c r="AF347" i="23"/>
  <c r="AG347" i="23"/>
  <c r="AH347" i="23"/>
  <c r="AJ347" i="23"/>
  <c r="AK347" i="23"/>
  <c r="AL347" i="23"/>
  <c r="AO347" i="23"/>
  <c r="AP347" i="23"/>
  <c r="J347" i="23" s="1"/>
  <c r="BD347" i="23"/>
  <c r="BF347" i="23"/>
  <c r="BJ347" i="23"/>
  <c r="K348" i="23"/>
  <c r="AK348" i="23" s="1"/>
  <c r="Z348" i="23"/>
  <c r="AB348" i="23"/>
  <c r="AC348" i="23"/>
  <c r="AF348" i="23"/>
  <c r="AG348" i="23"/>
  <c r="AH348" i="23"/>
  <c r="AJ348" i="23"/>
  <c r="AL348" i="23"/>
  <c r="AO348" i="23"/>
  <c r="I348" i="23" s="1"/>
  <c r="AP348" i="23"/>
  <c r="J348" i="23" s="1"/>
  <c r="AX348" i="23"/>
  <c r="BD348" i="23"/>
  <c r="BF348" i="23"/>
  <c r="BI348" i="23"/>
  <c r="AE348" i="23" s="1"/>
  <c r="BJ348" i="23"/>
  <c r="K349" i="23"/>
  <c r="Z349" i="23"/>
  <c r="AB349" i="23"/>
  <c r="AC349" i="23"/>
  <c r="AF349" i="23"/>
  <c r="AG349" i="23"/>
  <c r="AH349" i="23"/>
  <c r="AJ349" i="23"/>
  <c r="AK349" i="23"/>
  <c r="AL349" i="23"/>
  <c r="AO349" i="23"/>
  <c r="AP349" i="23"/>
  <c r="J349" i="23" s="1"/>
  <c r="BD349" i="23"/>
  <c r="BF349" i="23"/>
  <c r="BJ349" i="23"/>
  <c r="K350" i="23"/>
  <c r="Z350" i="23"/>
  <c r="AB350" i="23"/>
  <c r="AC350" i="23"/>
  <c r="AF350" i="23"/>
  <c r="AG350" i="23"/>
  <c r="AH350" i="23"/>
  <c r="AJ350" i="23"/>
  <c r="AK350" i="23"/>
  <c r="AL350" i="23"/>
  <c r="AO350" i="23"/>
  <c r="AP350" i="23"/>
  <c r="BD350" i="23"/>
  <c r="BF350" i="23"/>
  <c r="BH350" i="23"/>
  <c r="AD350" i="23" s="1"/>
  <c r="BJ350" i="23"/>
  <c r="K351" i="23"/>
  <c r="Z351" i="23"/>
  <c r="AB351" i="23"/>
  <c r="AC351" i="23"/>
  <c r="AF351" i="23"/>
  <c r="AG351" i="23"/>
  <c r="AH351" i="23"/>
  <c r="AJ351" i="23"/>
  <c r="AK351" i="23"/>
  <c r="AL351" i="23"/>
  <c r="AO351" i="23"/>
  <c r="I351" i="23" s="1"/>
  <c r="AP351" i="23"/>
  <c r="J351" i="23" s="1"/>
  <c r="BD351" i="23"/>
  <c r="BF351" i="23"/>
  <c r="BI351" i="23"/>
  <c r="AE351" i="23" s="1"/>
  <c r="BJ351" i="23"/>
  <c r="K352" i="23"/>
  <c r="AK352" i="23" s="1"/>
  <c r="Z352" i="23"/>
  <c r="AB352" i="23"/>
  <c r="AC352" i="23"/>
  <c r="AF352" i="23"/>
  <c r="AG352" i="23"/>
  <c r="AH352" i="23"/>
  <c r="AJ352" i="23"/>
  <c r="AL352" i="23"/>
  <c r="AO352" i="23"/>
  <c r="I352" i="23" s="1"/>
  <c r="AP352" i="23"/>
  <c r="AW352" i="23"/>
  <c r="BD352" i="23"/>
  <c r="BF352" i="23"/>
  <c r="BJ352" i="23"/>
  <c r="K354" i="23"/>
  <c r="Z354" i="23"/>
  <c r="AB354" i="23"/>
  <c r="AC354" i="23"/>
  <c r="AF354" i="23"/>
  <c r="AG354" i="23"/>
  <c r="AH354" i="23"/>
  <c r="AJ354" i="23"/>
  <c r="AK354" i="23"/>
  <c r="AL354" i="23"/>
  <c r="AO354" i="23"/>
  <c r="I354" i="23" s="1"/>
  <c r="AP354" i="23"/>
  <c r="J354" i="23" s="1"/>
  <c r="BD354" i="23"/>
  <c r="BF354" i="23"/>
  <c r="BJ354" i="23"/>
  <c r="K355" i="23"/>
  <c r="AK355" i="23" s="1"/>
  <c r="Z355" i="23"/>
  <c r="AB355" i="23"/>
  <c r="AC355" i="23"/>
  <c r="AF355" i="23"/>
  <c r="AG355" i="23"/>
  <c r="AH355" i="23"/>
  <c r="AJ355" i="23"/>
  <c r="AL355" i="23"/>
  <c r="AO355" i="23"/>
  <c r="I355" i="23" s="1"/>
  <c r="AP355" i="23"/>
  <c r="AW355" i="23"/>
  <c r="BD355" i="23"/>
  <c r="BF355" i="23"/>
  <c r="BH355" i="23"/>
  <c r="AD355" i="23" s="1"/>
  <c r="BJ355" i="23"/>
  <c r="K356" i="23"/>
  <c r="Z356" i="23"/>
  <c r="AB356" i="23"/>
  <c r="AC356" i="23"/>
  <c r="AF356" i="23"/>
  <c r="AG356" i="23"/>
  <c r="AH356" i="23"/>
  <c r="AJ356" i="23"/>
  <c r="AK356" i="23"/>
  <c r="AL356" i="23"/>
  <c r="AO356" i="23"/>
  <c r="AP356" i="23"/>
  <c r="BD356" i="23"/>
  <c r="BF356" i="23"/>
  <c r="BJ356" i="23"/>
  <c r="K357" i="23"/>
  <c r="Z357" i="23"/>
  <c r="AB357" i="23"/>
  <c r="AC357" i="23"/>
  <c r="AF357" i="23"/>
  <c r="AG357" i="23"/>
  <c r="AH357" i="23"/>
  <c r="AJ357" i="23"/>
  <c r="AK357" i="23"/>
  <c r="AL357" i="23"/>
  <c r="AO357" i="23"/>
  <c r="AP357" i="23"/>
  <c r="BD357" i="23"/>
  <c r="BF357" i="23"/>
  <c r="BJ357" i="23"/>
  <c r="K358" i="23"/>
  <c r="Z358" i="23"/>
  <c r="AB358" i="23"/>
  <c r="AC358" i="23"/>
  <c r="AF358" i="23"/>
  <c r="AG358" i="23"/>
  <c r="AH358" i="23"/>
  <c r="AJ358" i="23"/>
  <c r="AK358" i="23"/>
  <c r="AL358" i="23"/>
  <c r="AO358" i="23"/>
  <c r="I358" i="23" s="1"/>
  <c r="AP358" i="23"/>
  <c r="J358" i="23" s="1"/>
  <c r="BD358" i="23"/>
  <c r="BF358" i="23"/>
  <c r="BH358" i="23"/>
  <c r="AD358" i="23" s="1"/>
  <c r="BJ358" i="23"/>
  <c r="K359" i="23"/>
  <c r="Z359" i="23"/>
  <c r="AB359" i="23"/>
  <c r="AC359" i="23"/>
  <c r="AF359" i="23"/>
  <c r="AG359" i="23"/>
  <c r="AH359" i="23"/>
  <c r="AJ359" i="23"/>
  <c r="AK359" i="23"/>
  <c r="AL359" i="23"/>
  <c r="AO359" i="23"/>
  <c r="I359" i="23" s="1"/>
  <c r="AP359" i="23"/>
  <c r="BD359" i="23"/>
  <c r="BF359" i="23"/>
  <c r="BJ359" i="23"/>
  <c r="K360" i="23"/>
  <c r="Z360" i="23"/>
  <c r="AB360" i="23"/>
  <c r="AC360" i="23"/>
  <c r="AF360" i="23"/>
  <c r="AG360" i="23"/>
  <c r="AH360" i="23"/>
  <c r="AJ360" i="23"/>
  <c r="AK360" i="23"/>
  <c r="AL360" i="23"/>
  <c r="AO360" i="23"/>
  <c r="AP360" i="23"/>
  <c r="BD360" i="23"/>
  <c r="BF360" i="23"/>
  <c r="BJ360" i="23"/>
  <c r="K361" i="23"/>
  <c r="Z361" i="23"/>
  <c r="AB361" i="23"/>
  <c r="AC361" i="23"/>
  <c r="AF361" i="23"/>
  <c r="AG361" i="23"/>
  <c r="AH361" i="23"/>
  <c r="AJ361" i="23"/>
  <c r="AK361" i="23"/>
  <c r="AL361" i="23"/>
  <c r="AO361" i="23"/>
  <c r="AW361" i="23" s="1"/>
  <c r="AP361" i="23"/>
  <c r="BD361" i="23"/>
  <c r="BF361" i="23"/>
  <c r="BH361" i="23"/>
  <c r="AD361" i="23" s="1"/>
  <c r="BJ361" i="23"/>
  <c r="K362" i="23"/>
  <c r="Z362" i="23"/>
  <c r="AB362" i="23"/>
  <c r="AC362" i="23"/>
  <c r="AF362" i="23"/>
  <c r="AG362" i="23"/>
  <c r="AH362" i="23"/>
  <c r="AJ362" i="23"/>
  <c r="AK362" i="23"/>
  <c r="AL362" i="23"/>
  <c r="AO362" i="23"/>
  <c r="I362" i="23" s="1"/>
  <c r="AP362" i="23"/>
  <c r="J362" i="23" s="1"/>
  <c r="BD362" i="23"/>
  <c r="BF362" i="23"/>
  <c r="BH362" i="23"/>
  <c r="AD362" i="23" s="1"/>
  <c r="BJ362" i="23"/>
  <c r="K363" i="23"/>
  <c r="Z363" i="23"/>
  <c r="AB363" i="23"/>
  <c r="AC363" i="23"/>
  <c r="AF363" i="23"/>
  <c r="AG363" i="23"/>
  <c r="AH363" i="23"/>
  <c r="AJ363" i="23"/>
  <c r="AK363" i="23"/>
  <c r="AL363" i="23"/>
  <c r="AO363" i="23"/>
  <c r="I363" i="23" s="1"/>
  <c r="AP363" i="23"/>
  <c r="BD363" i="23"/>
  <c r="BF363" i="23"/>
  <c r="BH363" i="23"/>
  <c r="AD363" i="23" s="1"/>
  <c r="BJ363" i="23"/>
  <c r="K364" i="23"/>
  <c r="Z364" i="23"/>
  <c r="AB364" i="23"/>
  <c r="AC364" i="23"/>
  <c r="AF364" i="23"/>
  <c r="AG364" i="23"/>
  <c r="AH364" i="23"/>
  <c r="AJ364" i="23"/>
  <c r="AK364" i="23"/>
  <c r="AL364" i="23"/>
  <c r="AO364" i="23"/>
  <c r="AP364" i="23"/>
  <c r="BD364" i="23"/>
  <c r="BF364" i="23"/>
  <c r="BJ364" i="23"/>
  <c r="K365" i="23"/>
  <c r="Z365" i="23"/>
  <c r="AB365" i="23"/>
  <c r="AC365" i="23"/>
  <c r="AF365" i="23"/>
  <c r="AG365" i="23"/>
  <c r="AH365" i="23"/>
  <c r="AJ365" i="23"/>
  <c r="AK365" i="23"/>
  <c r="AL365" i="23"/>
  <c r="AO365" i="23"/>
  <c r="I365" i="23" s="1"/>
  <c r="AP365" i="23"/>
  <c r="J365" i="23" s="1"/>
  <c r="AX365" i="23"/>
  <c r="BD365" i="23"/>
  <c r="BF365" i="23"/>
  <c r="BI365" i="23"/>
  <c r="AE365" i="23" s="1"/>
  <c r="BJ365" i="23"/>
  <c r="K366" i="23"/>
  <c r="Z366" i="23"/>
  <c r="AB366" i="23"/>
  <c r="AC366" i="23"/>
  <c r="AF366" i="23"/>
  <c r="AG366" i="23"/>
  <c r="AH366" i="23"/>
  <c r="AJ366" i="23"/>
  <c r="AK366" i="23"/>
  <c r="AL366" i="23"/>
  <c r="AO366" i="23"/>
  <c r="AP366" i="23"/>
  <c r="J366" i="23" s="1"/>
  <c r="BD366" i="23"/>
  <c r="BF366" i="23"/>
  <c r="BJ366" i="23"/>
  <c r="K367" i="23"/>
  <c r="Z367" i="23"/>
  <c r="AB367" i="23"/>
  <c r="AC367" i="23"/>
  <c r="AF367" i="23"/>
  <c r="AG367" i="23"/>
  <c r="AH367" i="23"/>
  <c r="AJ367" i="23"/>
  <c r="AK367" i="23"/>
  <c r="AL367" i="23"/>
  <c r="AO367" i="23"/>
  <c r="AP367" i="23"/>
  <c r="J367" i="23" s="1"/>
  <c r="BD367" i="23"/>
  <c r="BF367" i="23"/>
  <c r="BJ367" i="23"/>
  <c r="K368" i="23"/>
  <c r="AK368" i="23" s="1"/>
  <c r="Z368" i="23"/>
  <c r="AB368" i="23"/>
  <c r="AC368" i="23"/>
  <c r="AF368" i="23"/>
  <c r="AG368" i="23"/>
  <c r="AH368" i="23"/>
  <c r="AJ368" i="23"/>
  <c r="AL368" i="23"/>
  <c r="AO368" i="23"/>
  <c r="AP368" i="23"/>
  <c r="BD368" i="23"/>
  <c r="BF368" i="23"/>
  <c r="BJ368" i="23"/>
  <c r="K369" i="23"/>
  <c r="Z369" i="23"/>
  <c r="AB369" i="23"/>
  <c r="AC369" i="23"/>
  <c r="AF369" i="23"/>
  <c r="AG369" i="23"/>
  <c r="AH369" i="23"/>
  <c r="AJ369" i="23"/>
  <c r="AK369" i="23"/>
  <c r="AL369" i="23"/>
  <c r="AO369" i="23"/>
  <c r="AP369" i="23"/>
  <c r="BD369" i="23"/>
  <c r="BF369" i="23"/>
  <c r="BJ369" i="23"/>
  <c r="K370" i="23"/>
  <c r="Z370" i="23"/>
  <c r="AB370" i="23"/>
  <c r="AC370" i="23"/>
  <c r="AF370" i="23"/>
  <c r="AG370" i="23"/>
  <c r="AH370" i="23"/>
  <c r="AJ370" i="23"/>
  <c r="AK370" i="23"/>
  <c r="AL370" i="23"/>
  <c r="AO370" i="23"/>
  <c r="AP370" i="23"/>
  <c r="J370" i="23" s="1"/>
  <c r="BD370" i="23"/>
  <c r="BF370" i="23"/>
  <c r="BH370" i="23"/>
  <c r="AD370" i="23" s="1"/>
  <c r="BJ370" i="23"/>
  <c r="K371" i="23"/>
  <c r="Z371" i="23"/>
  <c r="AB371" i="23"/>
  <c r="AC371" i="23"/>
  <c r="AF371" i="23"/>
  <c r="AG371" i="23"/>
  <c r="AH371" i="23"/>
  <c r="AJ371" i="23"/>
  <c r="AK371" i="23"/>
  <c r="AL371" i="23"/>
  <c r="AO371" i="23"/>
  <c r="AP371" i="23"/>
  <c r="J371" i="23" s="1"/>
  <c r="BD371" i="23"/>
  <c r="BF371" i="23"/>
  <c r="BJ371" i="23"/>
  <c r="K372" i="23"/>
  <c r="Z372" i="23"/>
  <c r="AB372" i="23"/>
  <c r="AC372" i="23"/>
  <c r="AF372" i="23"/>
  <c r="AG372" i="23"/>
  <c r="AH372" i="23"/>
  <c r="AJ372" i="23"/>
  <c r="AK372" i="23"/>
  <c r="AL372" i="23"/>
  <c r="AO372" i="23"/>
  <c r="AP372" i="23"/>
  <c r="J372" i="23" s="1"/>
  <c r="BD372" i="23"/>
  <c r="BF372" i="23"/>
  <c r="BH372" i="23"/>
  <c r="AD372" i="23" s="1"/>
  <c r="BJ372" i="23"/>
  <c r="K373" i="23"/>
  <c r="AK373" i="23" s="1"/>
  <c r="Z373" i="23"/>
  <c r="AB373" i="23"/>
  <c r="AC373" i="23"/>
  <c r="AF373" i="23"/>
  <c r="AG373" i="23"/>
  <c r="AH373" i="23"/>
  <c r="AJ373" i="23"/>
  <c r="AL373" i="23"/>
  <c r="AO373" i="23"/>
  <c r="I373" i="23" s="1"/>
  <c r="AP373" i="23"/>
  <c r="J373" i="23" s="1"/>
  <c r="BD373" i="23"/>
  <c r="BF373" i="23"/>
  <c r="BJ373" i="23"/>
  <c r="K374" i="23"/>
  <c r="AK374" i="23" s="1"/>
  <c r="Z374" i="23"/>
  <c r="AB374" i="23"/>
  <c r="AC374" i="23"/>
  <c r="AF374" i="23"/>
  <c r="AG374" i="23"/>
  <c r="AH374" i="23"/>
  <c r="AJ374" i="23"/>
  <c r="AL374" i="23"/>
  <c r="AO374" i="23"/>
  <c r="I374" i="23" s="1"/>
  <c r="AP374" i="23"/>
  <c r="BD374" i="23"/>
  <c r="BF374" i="23"/>
  <c r="BJ374" i="23"/>
  <c r="K375" i="23"/>
  <c r="Z375" i="23"/>
  <c r="AB375" i="23"/>
  <c r="AC375" i="23"/>
  <c r="AF375" i="23"/>
  <c r="AG375" i="23"/>
  <c r="AH375" i="23"/>
  <c r="AJ375" i="23"/>
  <c r="AK375" i="23"/>
  <c r="AL375" i="23"/>
  <c r="AO375" i="23"/>
  <c r="AP375" i="23"/>
  <c r="AX375" i="23" s="1"/>
  <c r="BD375" i="23"/>
  <c r="BF375" i="23"/>
  <c r="BI375" i="23"/>
  <c r="AE375" i="23" s="1"/>
  <c r="BJ375" i="23"/>
  <c r="K376" i="23"/>
  <c r="Z376" i="23"/>
  <c r="AB376" i="23"/>
  <c r="AC376" i="23"/>
  <c r="AF376" i="23"/>
  <c r="AG376" i="23"/>
  <c r="AH376" i="23"/>
  <c r="AJ376" i="23"/>
  <c r="AK376" i="23"/>
  <c r="AL376" i="23"/>
  <c r="AO376" i="23"/>
  <c r="AP376" i="23"/>
  <c r="J376" i="23" s="1"/>
  <c r="BD376" i="23"/>
  <c r="BF376" i="23"/>
  <c r="BH376" i="23"/>
  <c r="AD376" i="23" s="1"/>
  <c r="BI376" i="23"/>
  <c r="AE376" i="23" s="1"/>
  <c r="BJ376" i="23"/>
  <c r="K377" i="23"/>
  <c r="AK377" i="23" s="1"/>
  <c r="Z377" i="23"/>
  <c r="AB377" i="23"/>
  <c r="AC377" i="23"/>
  <c r="AF377" i="23"/>
  <c r="AG377" i="23"/>
  <c r="AH377" i="23"/>
  <c r="AJ377" i="23"/>
  <c r="AL377" i="23"/>
  <c r="AO377" i="23"/>
  <c r="I377" i="23" s="1"/>
  <c r="AP377" i="23"/>
  <c r="J377" i="23" s="1"/>
  <c r="BD377" i="23"/>
  <c r="BF377" i="23"/>
  <c r="BH377" i="23"/>
  <c r="AD377" i="23" s="1"/>
  <c r="BJ377" i="23"/>
  <c r="K378" i="23"/>
  <c r="AK378" i="23" s="1"/>
  <c r="Z378" i="23"/>
  <c r="AB378" i="23"/>
  <c r="AC378" i="23"/>
  <c r="AF378" i="23"/>
  <c r="AG378" i="23"/>
  <c r="AH378" i="23"/>
  <c r="AJ378" i="23"/>
  <c r="AL378" i="23"/>
  <c r="AO378" i="23"/>
  <c r="I378" i="23" s="1"/>
  <c r="AP378" i="23"/>
  <c r="BI378" i="23" s="1"/>
  <c r="AE378" i="23" s="1"/>
  <c r="BD378" i="23"/>
  <c r="BF378" i="23"/>
  <c r="BJ378" i="23"/>
  <c r="K379" i="23"/>
  <c r="Z379" i="23"/>
  <c r="AB379" i="23"/>
  <c r="AC379" i="23"/>
  <c r="AF379" i="23"/>
  <c r="AG379" i="23"/>
  <c r="AH379" i="23"/>
  <c r="AJ379" i="23"/>
  <c r="AK379" i="23"/>
  <c r="AL379" i="23"/>
  <c r="AO379" i="23"/>
  <c r="AP379" i="23"/>
  <c r="AX379" i="23" s="1"/>
  <c r="BD379" i="23"/>
  <c r="BF379" i="23"/>
  <c r="BJ379" i="23"/>
  <c r="K380" i="23"/>
  <c r="Z380" i="23"/>
  <c r="AB380" i="23"/>
  <c r="AC380" i="23"/>
  <c r="AF380" i="23"/>
  <c r="AG380" i="23"/>
  <c r="AH380" i="23"/>
  <c r="AJ380" i="23"/>
  <c r="AK380" i="23"/>
  <c r="AL380" i="23"/>
  <c r="AO380" i="23"/>
  <c r="AP380" i="23"/>
  <c r="J380" i="23" s="1"/>
  <c r="BD380" i="23"/>
  <c r="BF380" i="23"/>
  <c r="BJ380" i="23"/>
  <c r="K381" i="23"/>
  <c r="AK381" i="23" s="1"/>
  <c r="Z381" i="23"/>
  <c r="AB381" i="23"/>
  <c r="AC381" i="23"/>
  <c r="AF381" i="23"/>
  <c r="AG381" i="23"/>
  <c r="AH381" i="23"/>
  <c r="AJ381" i="23"/>
  <c r="AL381" i="23"/>
  <c r="AO381" i="23"/>
  <c r="I381" i="23" s="1"/>
  <c r="AP381" i="23"/>
  <c r="J381" i="23" s="1"/>
  <c r="BD381" i="23"/>
  <c r="BF381" i="23"/>
  <c r="BH381" i="23"/>
  <c r="AD381" i="23" s="1"/>
  <c r="BI381" i="23"/>
  <c r="AE381" i="23" s="1"/>
  <c r="BJ381" i="23"/>
  <c r="K382" i="23"/>
  <c r="AK382" i="23" s="1"/>
  <c r="Z382" i="23"/>
  <c r="AB382" i="23"/>
  <c r="AC382" i="23"/>
  <c r="AF382" i="23"/>
  <c r="AG382" i="23"/>
  <c r="AH382" i="23"/>
  <c r="AJ382" i="23"/>
  <c r="AL382" i="23"/>
  <c r="AO382" i="23"/>
  <c r="I382" i="23" s="1"/>
  <c r="AP382" i="23"/>
  <c r="J382" i="23" s="1"/>
  <c r="BD382" i="23"/>
  <c r="BF382" i="23"/>
  <c r="BH382" i="23"/>
  <c r="AD382" i="23" s="1"/>
  <c r="BJ382" i="23"/>
  <c r="K383" i="23"/>
  <c r="Z383" i="23"/>
  <c r="AB383" i="23"/>
  <c r="AC383" i="23"/>
  <c r="AF383" i="23"/>
  <c r="AG383" i="23"/>
  <c r="AH383" i="23"/>
  <c r="AJ383" i="23"/>
  <c r="AK383" i="23"/>
  <c r="AL383" i="23"/>
  <c r="AO383" i="23"/>
  <c r="AP383" i="23"/>
  <c r="BD383" i="23"/>
  <c r="BF383" i="23"/>
  <c r="BJ383" i="23"/>
  <c r="K384" i="23"/>
  <c r="Z384" i="23"/>
  <c r="AB384" i="23"/>
  <c r="AC384" i="23"/>
  <c r="AF384" i="23"/>
  <c r="AG384" i="23"/>
  <c r="AH384" i="23"/>
  <c r="AJ384" i="23"/>
  <c r="AK384" i="23"/>
  <c r="AL384" i="23"/>
  <c r="AO384" i="23"/>
  <c r="I384" i="23" s="1"/>
  <c r="AP384" i="23"/>
  <c r="J384" i="23" s="1"/>
  <c r="BD384" i="23"/>
  <c r="BF384" i="23"/>
  <c r="BH384" i="23"/>
  <c r="AD384" i="23" s="1"/>
  <c r="BJ384" i="23"/>
  <c r="K385" i="23"/>
  <c r="AK385" i="23" s="1"/>
  <c r="Z385" i="23"/>
  <c r="AB385" i="23"/>
  <c r="AC385" i="23"/>
  <c r="AF385" i="23"/>
  <c r="AG385" i="23"/>
  <c r="AH385" i="23"/>
  <c r="AJ385" i="23"/>
  <c r="AL385" i="23"/>
  <c r="AO385" i="23"/>
  <c r="I385" i="23" s="1"/>
  <c r="AP385" i="23"/>
  <c r="J385" i="23" s="1"/>
  <c r="BD385" i="23"/>
  <c r="BF385" i="23"/>
  <c r="BH385" i="23"/>
  <c r="AD385" i="23" s="1"/>
  <c r="BI385" i="23"/>
  <c r="AE385" i="23" s="1"/>
  <c r="BJ385" i="23"/>
  <c r="K386" i="23"/>
  <c r="AK386" i="23" s="1"/>
  <c r="Z386" i="23"/>
  <c r="AB386" i="23"/>
  <c r="AC386" i="23"/>
  <c r="AF386" i="23"/>
  <c r="AG386" i="23"/>
  <c r="AH386" i="23"/>
  <c r="AJ386" i="23"/>
  <c r="AL386" i="23"/>
  <c r="AO386" i="23"/>
  <c r="I386" i="23" s="1"/>
  <c r="AP386" i="23"/>
  <c r="BD386" i="23"/>
  <c r="BF386" i="23"/>
  <c r="BH386" i="23"/>
  <c r="AD386" i="23" s="1"/>
  <c r="BJ386" i="23"/>
  <c r="K387" i="23"/>
  <c r="Z387" i="23"/>
  <c r="AB387" i="23"/>
  <c r="AC387" i="23"/>
  <c r="AF387" i="23"/>
  <c r="AG387" i="23"/>
  <c r="AH387" i="23"/>
  <c r="AJ387" i="23"/>
  <c r="AK387" i="23"/>
  <c r="AL387" i="23"/>
  <c r="AO387" i="23"/>
  <c r="I387" i="23" s="1"/>
  <c r="AP387" i="23"/>
  <c r="BD387" i="23"/>
  <c r="BF387" i="23"/>
  <c r="BH387" i="23"/>
  <c r="AD387" i="23" s="1"/>
  <c r="BJ387" i="23"/>
  <c r="K388" i="23"/>
  <c r="Z388" i="23"/>
  <c r="AB388" i="23"/>
  <c r="AC388" i="23"/>
  <c r="AF388" i="23"/>
  <c r="AG388" i="23"/>
  <c r="AH388" i="23"/>
  <c r="AJ388" i="23"/>
  <c r="AK388" i="23"/>
  <c r="AL388" i="23"/>
  <c r="AO388" i="23"/>
  <c r="AP388" i="23"/>
  <c r="BD388" i="23"/>
  <c r="BF388" i="23"/>
  <c r="BH388" i="23"/>
  <c r="AD388" i="23" s="1"/>
  <c r="BJ388" i="23"/>
  <c r="K389" i="23"/>
  <c r="Z389" i="23"/>
  <c r="AB389" i="23"/>
  <c r="AC389" i="23"/>
  <c r="AF389" i="23"/>
  <c r="AG389" i="23"/>
  <c r="AH389" i="23"/>
  <c r="AJ389" i="23"/>
  <c r="AK389" i="23"/>
  <c r="AL389" i="23"/>
  <c r="AO389" i="23"/>
  <c r="I389" i="23" s="1"/>
  <c r="AP389" i="23"/>
  <c r="BD389" i="23"/>
  <c r="BF389" i="23"/>
  <c r="BH389" i="23"/>
  <c r="AD389" i="23" s="1"/>
  <c r="BJ389" i="23"/>
  <c r="K390" i="23"/>
  <c r="Z390" i="23"/>
  <c r="AB390" i="23"/>
  <c r="AC390" i="23"/>
  <c r="AF390" i="23"/>
  <c r="AG390" i="23"/>
  <c r="AH390" i="23"/>
  <c r="AJ390" i="23"/>
  <c r="AK390" i="23"/>
  <c r="AL390" i="23"/>
  <c r="AO390" i="23"/>
  <c r="I390" i="23" s="1"/>
  <c r="AP390" i="23"/>
  <c r="J390" i="23" s="1"/>
  <c r="AW390" i="23"/>
  <c r="BD390" i="23"/>
  <c r="BF390" i="23"/>
  <c r="BH390" i="23"/>
  <c r="AD390" i="23" s="1"/>
  <c r="BI390" i="23"/>
  <c r="AE390" i="23" s="1"/>
  <c r="BJ390" i="23"/>
  <c r="K392" i="23"/>
  <c r="Z392" i="23"/>
  <c r="AB392" i="23"/>
  <c r="AC392" i="23"/>
  <c r="AF392" i="23"/>
  <c r="AG392" i="23"/>
  <c r="AH392" i="23"/>
  <c r="AJ392" i="23"/>
  <c r="AK392" i="23"/>
  <c r="AL392" i="23"/>
  <c r="AO392" i="23"/>
  <c r="AP392" i="23"/>
  <c r="J392" i="23" s="1"/>
  <c r="BD392" i="23"/>
  <c r="BF392" i="23"/>
  <c r="BJ392" i="23"/>
  <c r="K393" i="23"/>
  <c r="AK393" i="23" s="1"/>
  <c r="Z393" i="23"/>
  <c r="AB393" i="23"/>
  <c r="AC393" i="23"/>
  <c r="AF393" i="23"/>
  <c r="AG393" i="23"/>
  <c r="AH393" i="23"/>
  <c r="AJ393" i="23"/>
  <c r="AL393" i="23"/>
  <c r="AO393" i="23"/>
  <c r="AP393" i="23"/>
  <c r="J393" i="23" s="1"/>
  <c r="AX393" i="23"/>
  <c r="BD393" i="23"/>
  <c r="BF393" i="23"/>
  <c r="BI393" i="23"/>
  <c r="AE393" i="23" s="1"/>
  <c r="BJ393" i="23"/>
  <c r="K394" i="23"/>
  <c r="Z394" i="23"/>
  <c r="AB394" i="23"/>
  <c r="AC394" i="23"/>
  <c r="AF394" i="23"/>
  <c r="AG394" i="23"/>
  <c r="AH394" i="23"/>
  <c r="AJ394" i="23"/>
  <c r="AK394" i="23"/>
  <c r="AL394" i="23"/>
  <c r="AO394" i="23"/>
  <c r="AP394" i="23"/>
  <c r="BD394" i="23"/>
  <c r="BF394" i="23"/>
  <c r="BI394" i="23"/>
  <c r="AE394" i="23" s="1"/>
  <c r="BJ394" i="23"/>
  <c r="K395" i="23"/>
  <c r="Z395" i="23"/>
  <c r="AB395" i="23"/>
  <c r="AC395" i="23"/>
  <c r="AF395" i="23"/>
  <c r="AG395" i="23"/>
  <c r="AH395" i="23"/>
  <c r="AJ395" i="23"/>
  <c r="AK395" i="23"/>
  <c r="AL395" i="23"/>
  <c r="AO395" i="23"/>
  <c r="AP395" i="23"/>
  <c r="BD395" i="23"/>
  <c r="BF395" i="23"/>
  <c r="BH395" i="23"/>
  <c r="AD395" i="23" s="1"/>
  <c r="BJ395" i="23"/>
  <c r="K396" i="23"/>
  <c r="Z396" i="23"/>
  <c r="AB396" i="23"/>
  <c r="AC396" i="23"/>
  <c r="AF396" i="23"/>
  <c r="AG396" i="23"/>
  <c r="AH396" i="23"/>
  <c r="AJ396" i="23"/>
  <c r="AK396" i="23"/>
  <c r="AL396" i="23"/>
  <c r="AO396" i="23"/>
  <c r="AP396" i="23"/>
  <c r="J396" i="23" s="1"/>
  <c r="BD396" i="23"/>
  <c r="BF396" i="23"/>
  <c r="BI396" i="23"/>
  <c r="AE396" i="23" s="1"/>
  <c r="BJ396" i="23"/>
  <c r="K397" i="23"/>
  <c r="Z397" i="23"/>
  <c r="AB397" i="23"/>
  <c r="AC397" i="23"/>
  <c r="AF397" i="23"/>
  <c r="AG397" i="23"/>
  <c r="AH397" i="23"/>
  <c r="AJ397" i="23"/>
  <c r="AK397" i="23"/>
  <c r="AL397" i="23"/>
  <c r="AO397" i="23"/>
  <c r="AP397" i="23"/>
  <c r="BD397" i="23"/>
  <c r="BF397" i="23"/>
  <c r="BJ397" i="23"/>
  <c r="K398" i="23"/>
  <c r="Z398" i="23"/>
  <c r="AB398" i="23"/>
  <c r="AC398" i="23"/>
  <c r="AF398" i="23"/>
  <c r="AG398" i="23"/>
  <c r="AH398" i="23"/>
  <c r="AJ398" i="23"/>
  <c r="AK398" i="23"/>
  <c r="AL398" i="23"/>
  <c r="AO398" i="23"/>
  <c r="I398" i="23" s="1"/>
  <c r="AP398" i="23"/>
  <c r="J398" i="23" s="1"/>
  <c r="BD398" i="23"/>
  <c r="BF398" i="23"/>
  <c r="BI398" i="23"/>
  <c r="AE398" i="23" s="1"/>
  <c r="BJ398" i="23"/>
  <c r="K399" i="23"/>
  <c r="Z399" i="23"/>
  <c r="AB399" i="23"/>
  <c r="AC399" i="23"/>
  <c r="AF399" i="23"/>
  <c r="AG399" i="23"/>
  <c r="AH399" i="23"/>
  <c r="AJ399" i="23"/>
  <c r="AK399" i="23"/>
  <c r="AL399" i="23"/>
  <c r="AO399" i="23"/>
  <c r="I399" i="23" s="1"/>
  <c r="AP399" i="23"/>
  <c r="J399" i="23" s="1"/>
  <c r="BD399" i="23"/>
  <c r="BF399" i="23"/>
  <c r="BH399" i="23"/>
  <c r="AD399" i="23" s="1"/>
  <c r="BI399" i="23"/>
  <c r="AE399" i="23" s="1"/>
  <c r="BJ399" i="23"/>
  <c r="K400" i="23"/>
  <c r="Z400" i="23"/>
  <c r="AB400" i="23"/>
  <c r="AC400" i="23"/>
  <c r="AF400" i="23"/>
  <c r="AG400" i="23"/>
  <c r="AH400" i="23"/>
  <c r="AJ400" i="23"/>
  <c r="AK400" i="23"/>
  <c r="AL400" i="23"/>
  <c r="AO400" i="23"/>
  <c r="I400" i="23" s="1"/>
  <c r="AP400" i="23"/>
  <c r="J400" i="23" s="1"/>
  <c r="BD400" i="23"/>
  <c r="BF400" i="23"/>
  <c r="BI400" i="23"/>
  <c r="AE400" i="23" s="1"/>
  <c r="BJ400" i="23"/>
  <c r="K401" i="23"/>
  <c r="Z401" i="23"/>
  <c r="AB401" i="23"/>
  <c r="AC401" i="23"/>
  <c r="AF401" i="23"/>
  <c r="AG401" i="23"/>
  <c r="AH401" i="23"/>
  <c r="AJ401" i="23"/>
  <c r="AK401" i="23"/>
  <c r="AL401" i="23"/>
  <c r="AO401" i="23"/>
  <c r="AP401" i="23"/>
  <c r="BD401" i="23"/>
  <c r="BF401" i="23"/>
  <c r="BJ401" i="23"/>
  <c r="K402" i="23"/>
  <c r="Z402" i="23"/>
  <c r="AB402" i="23"/>
  <c r="AC402" i="23"/>
  <c r="AF402" i="23"/>
  <c r="AG402" i="23"/>
  <c r="AH402" i="23"/>
  <c r="AJ402" i="23"/>
  <c r="AK402" i="23"/>
  <c r="AL402" i="23"/>
  <c r="AO402" i="23"/>
  <c r="AP402" i="23"/>
  <c r="J402" i="23" s="1"/>
  <c r="BD402" i="23"/>
  <c r="BF402" i="23"/>
  <c r="BJ402" i="23"/>
  <c r="K403" i="23"/>
  <c r="Z403" i="23"/>
  <c r="AB403" i="23"/>
  <c r="AC403" i="23"/>
  <c r="AF403" i="23"/>
  <c r="AG403" i="23"/>
  <c r="AH403" i="23"/>
  <c r="AJ403" i="23"/>
  <c r="AK403" i="23"/>
  <c r="AL403" i="23"/>
  <c r="AO403" i="23"/>
  <c r="I403" i="23" s="1"/>
  <c r="AP403" i="23"/>
  <c r="J403" i="23" s="1"/>
  <c r="BD403" i="23"/>
  <c r="BF403" i="23"/>
  <c r="BH403" i="23"/>
  <c r="AD403" i="23" s="1"/>
  <c r="BI403" i="23"/>
  <c r="AE403" i="23" s="1"/>
  <c r="BJ403" i="23"/>
  <c r="K404" i="23"/>
  <c r="Z404" i="23"/>
  <c r="AB404" i="23"/>
  <c r="AC404" i="23"/>
  <c r="AF404" i="23"/>
  <c r="AG404" i="23"/>
  <c r="AH404" i="23"/>
  <c r="AJ404" i="23"/>
  <c r="AK404" i="23"/>
  <c r="AL404" i="23"/>
  <c r="AO404" i="23"/>
  <c r="I404" i="23" s="1"/>
  <c r="AP404" i="23"/>
  <c r="J404" i="23" s="1"/>
  <c r="BD404" i="23"/>
  <c r="BF404" i="23"/>
  <c r="BH404" i="23"/>
  <c r="AD404" i="23" s="1"/>
  <c r="BJ404" i="23"/>
  <c r="K405" i="23"/>
  <c r="Z405" i="23"/>
  <c r="AB405" i="23"/>
  <c r="AC405" i="23"/>
  <c r="AF405" i="23"/>
  <c r="AG405" i="23"/>
  <c r="AH405" i="23"/>
  <c r="AJ405" i="23"/>
  <c r="AK405" i="23"/>
  <c r="AL405" i="23"/>
  <c r="AO405" i="23"/>
  <c r="AP405" i="23"/>
  <c r="BD405" i="23"/>
  <c r="BF405" i="23"/>
  <c r="BJ405" i="23"/>
  <c r="K406" i="23"/>
  <c r="Z406" i="23"/>
  <c r="AB406" i="23"/>
  <c r="AC406" i="23"/>
  <c r="AF406" i="23"/>
  <c r="AG406" i="23"/>
  <c r="AH406" i="23"/>
  <c r="AJ406" i="23"/>
  <c r="AK406" i="23"/>
  <c r="AL406" i="23"/>
  <c r="AO406" i="23"/>
  <c r="BH406" i="23" s="1"/>
  <c r="AD406" i="23" s="1"/>
  <c r="AP406" i="23"/>
  <c r="J406" i="23" s="1"/>
  <c r="BD406" i="23"/>
  <c r="BF406" i="23"/>
  <c r="BJ406" i="23"/>
  <c r="K407" i="23"/>
  <c r="Z407" i="23"/>
  <c r="AB407" i="23"/>
  <c r="AC407" i="23"/>
  <c r="AF407" i="23"/>
  <c r="AG407" i="23"/>
  <c r="AH407" i="23"/>
  <c r="AJ407" i="23"/>
  <c r="AK407" i="23"/>
  <c r="AL407" i="23"/>
  <c r="AO407" i="23"/>
  <c r="AP407" i="23"/>
  <c r="J407" i="23" s="1"/>
  <c r="BD407" i="23"/>
  <c r="BF407" i="23"/>
  <c r="BJ407" i="23"/>
  <c r="K408" i="23"/>
  <c r="Z408" i="23"/>
  <c r="AB408" i="23"/>
  <c r="AC408" i="23"/>
  <c r="AF408" i="23"/>
  <c r="AG408" i="23"/>
  <c r="AH408" i="23"/>
  <c r="AJ408" i="23"/>
  <c r="AK408" i="23"/>
  <c r="AL408" i="23"/>
  <c r="AO408" i="23"/>
  <c r="AP408" i="23"/>
  <c r="J408" i="23" s="1"/>
  <c r="AX408" i="23"/>
  <c r="BD408" i="23"/>
  <c r="BF408" i="23"/>
  <c r="BI408" i="23"/>
  <c r="AE408" i="23" s="1"/>
  <c r="BJ408" i="23"/>
  <c r="K409" i="23"/>
  <c r="Z409" i="23"/>
  <c r="AB409" i="23"/>
  <c r="AC409" i="23"/>
  <c r="AF409" i="23"/>
  <c r="AG409" i="23"/>
  <c r="AH409" i="23"/>
  <c r="AJ409" i="23"/>
  <c r="AK409" i="23"/>
  <c r="AL409" i="23"/>
  <c r="AO409" i="23"/>
  <c r="AP409" i="23"/>
  <c r="J409" i="23" s="1"/>
  <c r="AX409" i="23"/>
  <c r="BD409" i="23"/>
  <c r="BF409" i="23"/>
  <c r="BI409" i="23"/>
  <c r="AE409" i="23" s="1"/>
  <c r="BJ409" i="23"/>
  <c r="K410" i="23"/>
  <c r="Z410" i="23"/>
  <c r="AB410" i="23"/>
  <c r="AC410" i="23"/>
  <c r="AF410" i="23"/>
  <c r="AG410" i="23"/>
  <c r="AH410" i="23"/>
  <c r="AJ410" i="23"/>
  <c r="AK410" i="23"/>
  <c r="AL410" i="23"/>
  <c r="AO410" i="23"/>
  <c r="AP410" i="23"/>
  <c r="BD410" i="23"/>
  <c r="BF410" i="23"/>
  <c r="BH410" i="23"/>
  <c r="AD410" i="23" s="1"/>
  <c r="BJ410" i="23"/>
  <c r="K411" i="23"/>
  <c r="Z411" i="23"/>
  <c r="AB411" i="23"/>
  <c r="AC411" i="23"/>
  <c r="AF411" i="23"/>
  <c r="AG411" i="23"/>
  <c r="AH411" i="23"/>
  <c r="AJ411" i="23"/>
  <c r="AK411" i="23"/>
  <c r="AL411" i="23"/>
  <c r="AO411" i="23"/>
  <c r="AP411" i="23"/>
  <c r="BD411" i="23"/>
  <c r="BF411" i="23"/>
  <c r="BH411" i="23"/>
  <c r="AD411" i="23" s="1"/>
  <c r="BJ411" i="23"/>
  <c r="K412" i="23"/>
  <c r="Z412" i="23"/>
  <c r="AB412" i="23"/>
  <c r="AC412" i="23"/>
  <c r="AF412" i="23"/>
  <c r="AG412" i="23"/>
  <c r="AH412" i="23"/>
  <c r="AJ412" i="23"/>
  <c r="AK412" i="23"/>
  <c r="AL412" i="23"/>
  <c r="AO412" i="23"/>
  <c r="I412" i="23" s="1"/>
  <c r="AP412" i="23"/>
  <c r="J412" i="23" s="1"/>
  <c r="BD412" i="23"/>
  <c r="BF412" i="23"/>
  <c r="BH412" i="23"/>
  <c r="AD412" i="23" s="1"/>
  <c r="BI412" i="23"/>
  <c r="AE412" i="23" s="1"/>
  <c r="BJ412" i="23"/>
  <c r="K413" i="23"/>
  <c r="Z413" i="23"/>
  <c r="AB413" i="23"/>
  <c r="AC413" i="23"/>
  <c r="AF413" i="23"/>
  <c r="AG413" i="23"/>
  <c r="AH413" i="23"/>
  <c r="AJ413" i="23"/>
  <c r="AK413" i="23"/>
  <c r="AL413" i="23"/>
  <c r="AO413" i="23"/>
  <c r="AP413" i="23"/>
  <c r="J413" i="23" s="1"/>
  <c r="BD413" i="23"/>
  <c r="BF413" i="23"/>
  <c r="BJ413" i="23"/>
  <c r="K414" i="23"/>
  <c r="Z414" i="23"/>
  <c r="AB414" i="23"/>
  <c r="AC414" i="23"/>
  <c r="AF414" i="23"/>
  <c r="AG414" i="23"/>
  <c r="AH414" i="23"/>
  <c r="AJ414" i="23"/>
  <c r="AK414" i="23"/>
  <c r="AL414" i="23"/>
  <c r="AO414" i="23"/>
  <c r="AP414" i="23"/>
  <c r="BD414" i="23"/>
  <c r="BF414" i="23"/>
  <c r="BJ414" i="23"/>
  <c r="K415" i="23"/>
  <c r="Z415" i="23"/>
  <c r="AB415" i="23"/>
  <c r="AC415" i="23"/>
  <c r="AF415" i="23"/>
  <c r="AG415" i="23"/>
  <c r="AH415" i="23"/>
  <c r="AJ415" i="23"/>
  <c r="AK415" i="23"/>
  <c r="AL415" i="23"/>
  <c r="AO415" i="23"/>
  <c r="I415" i="23" s="1"/>
  <c r="AP415" i="23"/>
  <c r="J415" i="23" s="1"/>
  <c r="AW415" i="23"/>
  <c r="BD415" i="23"/>
  <c r="BF415" i="23"/>
  <c r="BH415" i="23"/>
  <c r="AD415" i="23" s="1"/>
  <c r="BJ415" i="23"/>
  <c r="K416" i="23"/>
  <c r="Z416" i="23"/>
  <c r="AB416" i="23"/>
  <c r="AC416" i="23"/>
  <c r="AF416" i="23"/>
  <c r="AG416" i="23"/>
  <c r="AH416" i="23"/>
  <c r="AJ416" i="23"/>
  <c r="AK416" i="23"/>
  <c r="AL416" i="23"/>
  <c r="AO416" i="23"/>
  <c r="AP416" i="23"/>
  <c r="J416" i="23" s="1"/>
  <c r="BD416" i="23"/>
  <c r="BF416" i="23"/>
  <c r="BJ416" i="23"/>
  <c r="K417" i="23"/>
  <c r="Z417" i="23"/>
  <c r="AB417" i="23"/>
  <c r="AC417" i="23"/>
  <c r="AF417" i="23"/>
  <c r="AG417" i="23"/>
  <c r="AH417" i="23"/>
  <c r="AJ417" i="23"/>
  <c r="AK417" i="23"/>
  <c r="AL417" i="23"/>
  <c r="AO417" i="23"/>
  <c r="I417" i="23" s="1"/>
  <c r="AP417" i="23"/>
  <c r="AW417" i="23"/>
  <c r="BD417" i="23"/>
  <c r="BF417" i="23"/>
  <c r="BH417" i="23"/>
  <c r="AD417" i="23" s="1"/>
  <c r="BJ417" i="23"/>
  <c r="K418" i="23"/>
  <c r="Z418" i="23"/>
  <c r="AB418" i="23"/>
  <c r="AC418" i="23"/>
  <c r="AF418" i="23"/>
  <c r="AG418" i="23"/>
  <c r="AH418" i="23"/>
  <c r="AJ418" i="23"/>
  <c r="AK418" i="23"/>
  <c r="AL418" i="23"/>
  <c r="AO418" i="23"/>
  <c r="AP418" i="23"/>
  <c r="BD418" i="23"/>
  <c r="BF418" i="23"/>
  <c r="BH418" i="23"/>
  <c r="AD418" i="23" s="1"/>
  <c r="BJ418" i="23"/>
  <c r="K419" i="23"/>
  <c r="Z419" i="23"/>
  <c r="AB419" i="23"/>
  <c r="AC419" i="23"/>
  <c r="AF419" i="23"/>
  <c r="AG419" i="23"/>
  <c r="AH419" i="23"/>
  <c r="AJ419" i="23"/>
  <c r="AK419" i="23"/>
  <c r="AL419" i="23"/>
  <c r="AO419" i="23"/>
  <c r="I419" i="23" s="1"/>
  <c r="AP419" i="23"/>
  <c r="J419" i="23" s="1"/>
  <c r="BD419" i="23"/>
  <c r="BF419" i="23"/>
  <c r="BH419" i="23"/>
  <c r="AD419" i="23" s="1"/>
  <c r="BJ419" i="23"/>
  <c r="K421" i="23"/>
  <c r="Z421" i="23"/>
  <c r="AB421" i="23"/>
  <c r="AC421" i="23"/>
  <c r="AF421" i="23"/>
  <c r="AG421" i="23"/>
  <c r="AH421" i="23"/>
  <c r="AJ421" i="23"/>
  <c r="AK421" i="23"/>
  <c r="AL421" i="23"/>
  <c r="AO421" i="23"/>
  <c r="AP421" i="23"/>
  <c r="BD421" i="23"/>
  <c r="BF421" i="23"/>
  <c r="BJ421" i="23"/>
  <c r="K422" i="23"/>
  <c r="AK422" i="23" s="1"/>
  <c r="Z422" i="23"/>
  <c r="AB422" i="23"/>
  <c r="AC422" i="23"/>
  <c r="AF422" i="23"/>
  <c r="AG422" i="23"/>
  <c r="AH422" i="23"/>
  <c r="AJ422" i="23"/>
  <c r="AL422" i="23"/>
  <c r="AO422" i="23"/>
  <c r="I422" i="23" s="1"/>
  <c r="AP422" i="23"/>
  <c r="J422" i="23" s="1"/>
  <c r="BD422" i="23"/>
  <c r="BF422" i="23"/>
  <c r="BH422" i="23"/>
  <c r="AD422" i="23" s="1"/>
  <c r="BI422" i="23"/>
  <c r="AE422" i="23" s="1"/>
  <c r="BJ422" i="23"/>
  <c r="K423" i="23"/>
  <c r="AK423" i="23" s="1"/>
  <c r="Z423" i="23"/>
  <c r="AB423" i="23"/>
  <c r="AC423" i="23"/>
  <c r="AF423" i="23"/>
  <c r="AG423" i="23"/>
  <c r="AH423" i="23"/>
  <c r="AJ423" i="23"/>
  <c r="AL423" i="23"/>
  <c r="AO423" i="23"/>
  <c r="I423" i="23" s="1"/>
  <c r="AP423" i="23"/>
  <c r="J423" i="23" s="1"/>
  <c r="AX423" i="23"/>
  <c r="BD423" i="23"/>
  <c r="BF423" i="23"/>
  <c r="BH423" i="23"/>
  <c r="AD423" i="23" s="1"/>
  <c r="BI423" i="23"/>
  <c r="AE423" i="23" s="1"/>
  <c r="BJ423" i="23"/>
  <c r="K424" i="23"/>
  <c r="Z424" i="23"/>
  <c r="AB424" i="23"/>
  <c r="AC424" i="23"/>
  <c r="AF424" i="23"/>
  <c r="AG424" i="23"/>
  <c r="AH424" i="23"/>
  <c r="AJ424" i="23"/>
  <c r="AK424" i="23"/>
  <c r="AL424" i="23"/>
  <c r="AO424" i="23"/>
  <c r="AP424" i="23"/>
  <c r="BD424" i="23"/>
  <c r="BF424" i="23"/>
  <c r="BI424" i="23"/>
  <c r="AE424" i="23" s="1"/>
  <c r="BJ424" i="23"/>
  <c r="K425" i="23"/>
  <c r="Z425" i="23"/>
  <c r="AB425" i="23"/>
  <c r="AC425" i="23"/>
  <c r="AF425" i="23"/>
  <c r="AG425" i="23"/>
  <c r="AH425" i="23"/>
  <c r="AJ425" i="23"/>
  <c r="AK425" i="23"/>
  <c r="AL425" i="23"/>
  <c r="AO425" i="23"/>
  <c r="AP425" i="23"/>
  <c r="BD425" i="23"/>
  <c r="BF425" i="23"/>
  <c r="BH425" i="23"/>
  <c r="AD425" i="23" s="1"/>
  <c r="BJ425" i="23"/>
  <c r="K426" i="23"/>
  <c r="Z426" i="23"/>
  <c r="AB426" i="23"/>
  <c r="AC426" i="23"/>
  <c r="AF426" i="23"/>
  <c r="AG426" i="23"/>
  <c r="AH426" i="23"/>
  <c r="AJ426" i="23"/>
  <c r="AK426" i="23"/>
  <c r="AL426" i="23"/>
  <c r="AO426" i="23"/>
  <c r="I426" i="23" s="1"/>
  <c r="AP426" i="23"/>
  <c r="J426" i="23" s="1"/>
  <c r="BD426" i="23"/>
  <c r="BF426" i="23"/>
  <c r="BH426" i="23"/>
  <c r="AD426" i="23" s="1"/>
  <c r="BI426" i="23"/>
  <c r="AE426" i="23" s="1"/>
  <c r="BJ426" i="23"/>
  <c r="K427" i="23"/>
  <c r="Z427" i="23"/>
  <c r="AB427" i="23"/>
  <c r="AC427" i="23"/>
  <c r="AF427" i="23"/>
  <c r="AG427" i="23"/>
  <c r="AH427" i="23"/>
  <c r="AJ427" i="23"/>
  <c r="AK427" i="23"/>
  <c r="AL427" i="23"/>
  <c r="AO427" i="23"/>
  <c r="I427" i="23" s="1"/>
  <c r="AP427" i="23"/>
  <c r="J427" i="23" s="1"/>
  <c r="BD427" i="23"/>
  <c r="BF427" i="23"/>
  <c r="BH427" i="23"/>
  <c r="AD427" i="23" s="1"/>
  <c r="BI427" i="23"/>
  <c r="AE427" i="23" s="1"/>
  <c r="BJ427" i="23"/>
  <c r="K428" i="23"/>
  <c r="Z428" i="23"/>
  <c r="AB428" i="23"/>
  <c r="AC428" i="23"/>
  <c r="AF428" i="23"/>
  <c r="AG428" i="23"/>
  <c r="AH428" i="23"/>
  <c r="AJ428" i="23"/>
  <c r="AK428" i="23"/>
  <c r="AL428" i="23"/>
  <c r="AO428" i="23"/>
  <c r="AP428" i="23"/>
  <c r="BD428" i="23"/>
  <c r="BF428" i="23"/>
  <c r="BH428" i="23"/>
  <c r="AD428" i="23" s="1"/>
  <c r="BJ428" i="23"/>
  <c r="K429" i="23"/>
  <c r="Z429" i="23"/>
  <c r="AB429" i="23"/>
  <c r="AC429" i="23"/>
  <c r="AF429" i="23"/>
  <c r="AG429" i="23"/>
  <c r="AH429" i="23"/>
  <c r="AJ429" i="23"/>
  <c r="AK429" i="23"/>
  <c r="AL429" i="23"/>
  <c r="AO429" i="23"/>
  <c r="I429" i="23" s="1"/>
  <c r="AP429" i="23"/>
  <c r="J429" i="23" s="1"/>
  <c r="AW429" i="23"/>
  <c r="BD429" i="23"/>
  <c r="BF429" i="23"/>
  <c r="BH429" i="23"/>
  <c r="AD429" i="23" s="1"/>
  <c r="BJ429" i="23"/>
  <c r="K430" i="23"/>
  <c r="Z430" i="23"/>
  <c r="AB430" i="23"/>
  <c r="AC430" i="23"/>
  <c r="AF430" i="23"/>
  <c r="AG430" i="23"/>
  <c r="AH430" i="23"/>
  <c r="AJ430" i="23"/>
  <c r="AK430" i="23"/>
  <c r="AL430" i="23"/>
  <c r="AO430" i="23"/>
  <c r="AP430" i="23"/>
  <c r="BD430" i="23"/>
  <c r="BF430" i="23"/>
  <c r="BJ430" i="23"/>
  <c r="K431" i="23"/>
  <c r="Z431" i="23"/>
  <c r="AB431" i="23"/>
  <c r="AC431" i="23"/>
  <c r="AF431" i="23"/>
  <c r="AG431" i="23"/>
  <c r="AH431" i="23"/>
  <c r="AJ431" i="23"/>
  <c r="AK431" i="23"/>
  <c r="AL431" i="23"/>
  <c r="AO431" i="23"/>
  <c r="AP431" i="23"/>
  <c r="BD431" i="23"/>
  <c r="BF431" i="23"/>
  <c r="BH431" i="23"/>
  <c r="AD431" i="23" s="1"/>
  <c r="BJ431" i="23"/>
  <c r="K432" i="23"/>
  <c r="Z432" i="23"/>
  <c r="AB432" i="23"/>
  <c r="AC432" i="23"/>
  <c r="AF432" i="23"/>
  <c r="AG432" i="23"/>
  <c r="AH432" i="23"/>
  <c r="AJ432" i="23"/>
  <c r="AK432" i="23"/>
  <c r="AL432" i="23"/>
  <c r="AO432" i="23"/>
  <c r="AP432" i="23"/>
  <c r="AX432" i="23" s="1"/>
  <c r="BD432" i="23"/>
  <c r="BF432" i="23"/>
  <c r="BJ432" i="23"/>
  <c r="K433" i="23"/>
  <c r="Z433" i="23"/>
  <c r="AB433" i="23"/>
  <c r="AC433" i="23"/>
  <c r="AF433" i="23"/>
  <c r="AG433" i="23"/>
  <c r="AH433" i="23"/>
  <c r="AJ433" i="23"/>
  <c r="AK433" i="23"/>
  <c r="AL433" i="23"/>
  <c r="AO433" i="23"/>
  <c r="AP433" i="23"/>
  <c r="J433" i="23" s="1"/>
  <c r="AX433" i="23"/>
  <c r="BD433" i="23"/>
  <c r="BF433" i="23"/>
  <c r="BI433" i="23"/>
  <c r="AE433" i="23" s="1"/>
  <c r="BJ433" i="23"/>
  <c r="K434" i="23"/>
  <c r="Z434" i="23"/>
  <c r="AB434" i="23"/>
  <c r="AC434" i="23"/>
  <c r="AF434" i="23"/>
  <c r="AG434" i="23"/>
  <c r="AH434" i="23"/>
  <c r="AJ434" i="23"/>
  <c r="AK434" i="23"/>
  <c r="AL434" i="23"/>
  <c r="AO434" i="23"/>
  <c r="BH434" i="23" s="1"/>
  <c r="AD434" i="23" s="1"/>
  <c r="AP434" i="23"/>
  <c r="BD434" i="23"/>
  <c r="BF434" i="23"/>
  <c r="BJ434" i="23"/>
  <c r="K435" i="23"/>
  <c r="Z435" i="23"/>
  <c r="AB435" i="23"/>
  <c r="AC435" i="23"/>
  <c r="AF435" i="23"/>
  <c r="AG435" i="23"/>
  <c r="AH435" i="23"/>
  <c r="AJ435" i="23"/>
  <c r="AK435" i="23"/>
  <c r="AL435" i="23"/>
  <c r="AO435" i="23"/>
  <c r="I435" i="23" s="1"/>
  <c r="AP435" i="23"/>
  <c r="J435" i="23" s="1"/>
  <c r="BD435" i="23"/>
  <c r="BF435" i="23"/>
  <c r="BI435" i="23"/>
  <c r="AE435" i="23" s="1"/>
  <c r="BJ435" i="23"/>
  <c r="K436" i="23"/>
  <c r="AK436" i="23" s="1"/>
  <c r="Z436" i="23"/>
  <c r="AB436" i="23"/>
  <c r="AC436" i="23"/>
  <c r="AF436" i="23"/>
  <c r="AG436" i="23"/>
  <c r="AH436" i="23"/>
  <c r="AJ436" i="23"/>
  <c r="AL436" i="23"/>
  <c r="AO436" i="23"/>
  <c r="I436" i="23" s="1"/>
  <c r="AP436" i="23"/>
  <c r="AX436" i="23" s="1"/>
  <c r="AW436" i="23"/>
  <c r="BD436" i="23"/>
  <c r="BF436" i="23"/>
  <c r="BH436" i="23"/>
  <c r="AD436" i="23" s="1"/>
  <c r="BJ436" i="23"/>
  <c r="K437" i="23"/>
  <c r="Z437" i="23"/>
  <c r="AB437" i="23"/>
  <c r="AC437" i="23"/>
  <c r="AF437" i="23"/>
  <c r="AG437" i="23"/>
  <c r="AH437" i="23"/>
  <c r="AJ437" i="23"/>
  <c r="AK437" i="23"/>
  <c r="AL437" i="23"/>
  <c r="AO437" i="23"/>
  <c r="AP437" i="23"/>
  <c r="J437" i="23" s="1"/>
  <c r="BD437" i="23"/>
  <c r="BF437" i="23"/>
  <c r="BJ437" i="23"/>
  <c r="K438" i="23"/>
  <c r="Z438" i="23"/>
  <c r="AB438" i="23"/>
  <c r="AC438" i="23"/>
  <c r="AF438" i="23"/>
  <c r="AG438" i="23"/>
  <c r="AH438" i="23"/>
  <c r="AJ438" i="23"/>
  <c r="AK438" i="23"/>
  <c r="AL438" i="23"/>
  <c r="AO438" i="23"/>
  <c r="AP438" i="23"/>
  <c r="BD438" i="23"/>
  <c r="BF438" i="23"/>
  <c r="BH438" i="23"/>
  <c r="AD438" i="23" s="1"/>
  <c r="BJ438" i="23"/>
  <c r="K439" i="23"/>
  <c r="Z439" i="23"/>
  <c r="AB439" i="23"/>
  <c r="AC439" i="23"/>
  <c r="AF439" i="23"/>
  <c r="AG439" i="23"/>
  <c r="AH439" i="23"/>
  <c r="AJ439" i="23"/>
  <c r="AK439" i="23"/>
  <c r="AL439" i="23"/>
  <c r="AO439" i="23"/>
  <c r="AP439" i="23"/>
  <c r="J439" i="23" s="1"/>
  <c r="BD439" i="23"/>
  <c r="BF439" i="23"/>
  <c r="BI439" i="23"/>
  <c r="AE439" i="23" s="1"/>
  <c r="BJ439" i="23"/>
  <c r="K440" i="23"/>
  <c r="Z440" i="23"/>
  <c r="AB440" i="23"/>
  <c r="AC440" i="23"/>
  <c r="AF440" i="23"/>
  <c r="AG440" i="23"/>
  <c r="AH440" i="23"/>
  <c r="AJ440" i="23"/>
  <c r="AK440" i="23"/>
  <c r="AL440" i="23"/>
  <c r="AO440" i="23"/>
  <c r="AP440" i="23"/>
  <c r="AX440" i="23" s="1"/>
  <c r="BD440" i="23"/>
  <c r="BF440" i="23"/>
  <c r="BJ440" i="23"/>
  <c r="K441" i="23"/>
  <c r="Z441" i="23"/>
  <c r="AB441" i="23"/>
  <c r="AC441" i="23"/>
  <c r="AF441" i="23"/>
  <c r="AG441" i="23"/>
  <c r="AH441" i="23"/>
  <c r="AJ441" i="23"/>
  <c r="AK441" i="23"/>
  <c r="AL441" i="23"/>
  <c r="AO441" i="23"/>
  <c r="AW441" i="23" s="1"/>
  <c r="AP441" i="23"/>
  <c r="J441" i="23" s="1"/>
  <c r="BD441" i="23"/>
  <c r="BF441" i="23"/>
  <c r="BH441" i="23"/>
  <c r="AD441" i="23" s="1"/>
  <c r="BJ441" i="23"/>
  <c r="K442" i="23"/>
  <c r="Z442" i="23"/>
  <c r="AB442" i="23"/>
  <c r="AC442" i="23"/>
  <c r="AF442" i="23"/>
  <c r="AG442" i="23"/>
  <c r="AH442" i="23"/>
  <c r="AJ442" i="23"/>
  <c r="AK442" i="23"/>
  <c r="AL442" i="23"/>
  <c r="AO442" i="23"/>
  <c r="AP442" i="23"/>
  <c r="J442" i="23" s="1"/>
  <c r="BD442" i="23"/>
  <c r="BF442" i="23"/>
  <c r="BJ442" i="23"/>
  <c r="K443" i="23"/>
  <c r="Z443" i="23"/>
  <c r="AB443" i="23"/>
  <c r="AC443" i="23"/>
  <c r="AF443" i="23"/>
  <c r="AG443" i="23"/>
  <c r="AH443" i="23"/>
  <c r="AJ443" i="23"/>
  <c r="AK443" i="23"/>
  <c r="AL443" i="23"/>
  <c r="AO443" i="23"/>
  <c r="I443" i="23" s="1"/>
  <c r="AP443" i="23"/>
  <c r="J443" i="23" s="1"/>
  <c r="BD443" i="23"/>
  <c r="BF443" i="23"/>
  <c r="BH443" i="23"/>
  <c r="AD443" i="23" s="1"/>
  <c r="BJ443" i="23"/>
  <c r="K444" i="23"/>
  <c r="Z444" i="23"/>
  <c r="AB444" i="23"/>
  <c r="AC444" i="23"/>
  <c r="AF444" i="23"/>
  <c r="AG444" i="23"/>
  <c r="AH444" i="23"/>
  <c r="AJ444" i="23"/>
  <c r="AK444" i="23"/>
  <c r="AL444" i="23"/>
  <c r="AO444" i="23"/>
  <c r="AP444" i="23"/>
  <c r="AX444" i="23" s="1"/>
  <c r="BD444" i="23"/>
  <c r="BF444" i="23"/>
  <c r="BJ444" i="23"/>
  <c r="K445" i="23"/>
  <c r="Z445" i="23"/>
  <c r="AB445" i="23"/>
  <c r="AC445" i="23"/>
  <c r="AF445" i="23"/>
  <c r="AG445" i="23"/>
  <c r="AH445" i="23"/>
  <c r="AJ445" i="23"/>
  <c r="AK445" i="23"/>
  <c r="AL445" i="23"/>
  <c r="AO445" i="23"/>
  <c r="I445" i="23" s="1"/>
  <c r="AP445" i="23"/>
  <c r="AW445" i="23"/>
  <c r="BD445" i="23"/>
  <c r="BF445" i="23"/>
  <c r="BH445" i="23"/>
  <c r="AD445" i="23" s="1"/>
  <c r="BJ445" i="23"/>
  <c r="K446" i="23"/>
  <c r="Z446" i="23"/>
  <c r="AB446" i="23"/>
  <c r="AC446" i="23"/>
  <c r="AF446" i="23"/>
  <c r="AG446" i="23"/>
  <c r="AH446" i="23"/>
  <c r="AJ446" i="23"/>
  <c r="AK446" i="23"/>
  <c r="AL446" i="23"/>
  <c r="AO446" i="23"/>
  <c r="I446" i="23" s="1"/>
  <c r="AP446" i="23"/>
  <c r="J446" i="23" s="1"/>
  <c r="BD446" i="23"/>
  <c r="BF446" i="23"/>
  <c r="BJ446" i="23"/>
  <c r="K447" i="23"/>
  <c r="Z447" i="23"/>
  <c r="AB447" i="23"/>
  <c r="AC447" i="23"/>
  <c r="AF447" i="23"/>
  <c r="AG447" i="23"/>
  <c r="AH447" i="23"/>
  <c r="AJ447" i="23"/>
  <c r="AK447" i="23"/>
  <c r="AL447" i="23"/>
  <c r="AO447" i="23"/>
  <c r="I447" i="23" s="1"/>
  <c r="AP447" i="23"/>
  <c r="BD447" i="23"/>
  <c r="BF447" i="23"/>
  <c r="BH447" i="23"/>
  <c r="AD447" i="23" s="1"/>
  <c r="BJ447" i="23"/>
  <c r="K448" i="23"/>
  <c r="Z448" i="23"/>
  <c r="AB448" i="23"/>
  <c r="AC448" i="23"/>
  <c r="AF448" i="23"/>
  <c r="AG448" i="23"/>
  <c r="AH448" i="23"/>
  <c r="AJ448" i="23"/>
  <c r="AK448" i="23"/>
  <c r="AL448" i="23"/>
  <c r="AO448" i="23"/>
  <c r="AP448" i="23"/>
  <c r="J448" i="23" s="1"/>
  <c r="AX448" i="23"/>
  <c r="BD448" i="23"/>
  <c r="BF448" i="23"/>
  <c r="BI448" i="23"/>
  <c r="AE448" i="23" s="1"/>
  <c r="BJ448" i="23"/>
  <c r="K449" i="23"/>
  <c r="Z449" i="23"/>
  <c r="AB449" i="23"/>
  <c r="AC449" i="23"/>
  <c r="AF449" i="23"/>
  <c r="AG449" i="23"/>
  <c r="AH449" i="23"/>
  <c r="AJ449" i="23"/>
  <c r="AK449" i="23"/>
  <c r="AL449" i="23"/>
  <c r="AO449" i="23"/>
  <c r="AP449" i="23"/>
  <c r="BI449" i="23" s="1"/>
  <c r="AE449" i="23" s="1"/>
  <c r="BD449" i="23"/>
  <c r="BF449" i="23"/>
  <c r="BJ449" i="23"/>
  <c r="K450" i="23"/>
  <c r="Z450" i="23"/>
  <c r="AB450" i="23"/>
  <c r="AC450" i="23"/>
  <c r="AF450" i="23"/>
  <c r="AG450" i="23"/>
  <c r="AH450" i="23"/>
  <c r="AJ450" i="23"/>
  <c r="AK450" i="23"/>
  <c r="AL450" i="23"/>
  <c r="AO450" i="23"/>
  <c r="AP450" i="23"/>
  <c r="BD450" i="23"/>
  <c r="BF450" i="23"/>
  <c r="BH450" i="23"/>
  <c r="AD450" i="23" s="1"/>
  <c r="BJ450" i="23"/>
  <c r="K451" i="23"/>
  <c r="Z451" i="23"/>
  <c r="AB451" i="23"/>
  <c r="AC451" i="23"/>
  <c r="AF451" i="23"/>
  <c r="AG451" i="23"/>
  <c r="AH451" i="23"/>
  <c r="AJ451" i="23"/>
  <c r="AK451" i="23"/>
  <c r="AL451" i="23"/>
  <c r="AO451" i="23"/>
  <c r="AP451" i="23"/>
  <c r="J451" i="23" s="1"/>
  <c r="BD451" i="23"/>
  <c r="BF451" i="23"/>
  <c r="BJ451" i="23"/>
  <c r="K452" i="23"/>
  <c r="Z452" i="23"/>
  <c r="AB452" i="23"/>
  <c r="AC452" i="23"/>
  <c r="AF452" i="23"/>
  <c r="AG452" i="23"/>
  <c r="AH452" i="23"/>
  <c r="AJ452" i="23"/>
  <c r="AK452" i="23"/>
  <c r="AL452" i="23"/>
  <c r="AO452" i="23"/>
  <c r="AP452" i="23"/>
  <c r="BD452" i="23"/>
  <c r="BF452" i="23"/>
  <c r="BJ452" i="23"/>
  <c r="K453" i="23"/>
  <c r="Z453" i="23"/>
  <c r="AB453" i="23"/>
  <c r="AC453" i="23"/>
  <c r="AF453" i="23"/>
  <c r="AG453" i="23"/>
  <c r="AH453" i="23"/>
  <c r="AJ453" i="23"/>
  <c r="AK453" i="23"/>
  <c r="AL453" i="23"/>
  <c r="AO453" i="23"/>
  <c r="I453" i="23" s="1"/>
  <c r="AP453" i="23"/>
  <c r="J453" i="23" s="1"/>
  <c r="AW453" i="23"/>
  <c r="BD453" i="23"/>
  <c r="BF453" i="23"/>
  <c r="BH453" i="23"/>
  <c r="AD453" i="23" s="1"/>
  <c r="BJ453" i="23"/>
  <c r="K454" i="23"/>
  <c r="Z454" i="23"/>
  <c r="AB454" i="23"/>
  <c r="AC454" i="23"/>
  <c r="AF454" i="23"/>
  <c r="AG454" i="23"/>
  <c r="AH454" i="23"/>
  <c r="AJ454" i="23"/>
  <c r="AK454" i="23"/>
  <c r="AL454" i="23"/>
  <c r="AO454" i="23"/>
  <c r="BH454" i="23" s="1"/>
  <c r="AD454" i="23" s="1"/>
  <c r="AP454" i="23"/>
  <c r="J454" i="23" s="1"/>
  <c r="AX454" i="23"/>
  <c r="BD454" i="23"/>
  <c r="BF454" i="23"/>
  <c r="BI454" i="23"/>
  <c r="AE454" i="23" s="1"/>
  <c r="BJ454" i="23"/>
  <c r="K455" i="23"/>
  <c r="Z455" i="23"/>
  <c r="AB455" i="23"/>
  <c r="AC455" i="23"/>
  <c r="AF455" i="23"/>
  <c r="AG455" i="23"/>
  <c r="AH455" i="23"/>
  <c r="AJ455" i="23"/>
  <c r="AK455" i="23"/>
  <c r="AL455" i="23"/>
  <c r="AO455" i="23"/>
  <c r="AP455" i="23"/>
  <c r="J455" i="23" s="1"/>
  <c r="BD455" i="23"/>
  <c r="BF455" i="23"/>
  <c r="BI455" i="23"/>
  <c r="AE455" i="23" s="1"/>
  <c r="BJ455" i="23"/>
  <c r="K456" i="23"/>
  <c r="Z456" i="23"/>
  <c r="AB456" i="23"/>
  <c r="AC456" i="23"/>
  <c r="AF456" i="23"/>
  <c r="AG456" i="23"/>
  <c r="AH456" i="23"/>
  <c r="AJ456" i="23"/>
  <c r="AK456" i="23"/>
  <c r="AL456" i="23"/>
  <c r="AO456" i="23"/>
  <c r="AP456" i="23"/>
  <c r="AX456" i="23" s="1"/>
  <c r="BD456" i="23"/>
  <c r="BF456" i="23"/>
  <c r="BI456" i="23"/>
  <c r="AE456" i="23" s="1"/>
  <c r="BJ456" i="23"/>
  <c r="K458" i="23"/>
  <c r="Z458" i="23"/>
  <c r="AB458" i="23"/>
  <c r="AC458" i="23"/>
  <c r="AF458" i="23"/>
  <c r="AG458" i="23"/>
  <c r="AH458" i="23"/>
  <c r="AJ458" i="23"/>
  <c r="AK458" i="23"/>
  <c r="AL458" i="23"/>
  <c r="AO458" i="23"/>
  <c r="AP458" i="23"/>
  <c r="J458" i="23" s="1"/>
  <c r="BD458" i="23"/>
  <c r="BF458" i="23"/>
  <c r="BJ458" i="23"/>
  <c r="K459" i="23"/>
  <c r="Z459" i="23"/>
  <c r="AB459" i="23"/>
  <c r="AC459" i="23"/>
  <c r="AF459" i="23"/>
  <c r="AG459" i="23"/>
  <c r="AH459" i="23"/>
  <c r="AJ459" i="23"/>
  <c r="AK459" i="23"/>
  <c r="AL459" i="23"/>
  <c r="AO459" i="23"/>
  <c r="I459" i="23" s="1"/>
  <c r="AP459" i="23"/>
  <c r="AW459" i="23"/>
  <c r="BD459" i="23"/>
  <c r="BF459" i="23"/>
  <c r="BH459" i="23"/>
  <c r="AD459" i="23" s="1"/>
  <c r="BJ459" i="23"/>
  <c r="K460" i="23"/>
  <c r="Z460" i="23"/>
  <c r="AB460" i="23"/>
  <c r="AC460" i="23"/>
  <c r="AF460" i="23"/>
  <c r="AG460" i="23"/>
  <c r="AH460" i="23"/>
  <c r="AJ460" i="23"/>
  <c r="AK460" i="23"/>
  <c r="AL460" i="23"/>
  <c r="AO460" i="23"/>
  <c r="I460" i="23" s="1"/>
  <c r="AP460" i="23"/>
  <c r="AW460" i="23"/>
  <c r="BD460" i="23"/>
  <c r="BF460" i="23"/>
  <c r="BJ460" i="23"/>
  <c r="K461" i="23"/>
  <c r="Z461" i="23"/>
  <c r="AB461" i="23"/>
  <c r="AC461" i="23"/>
  <c r="AF461" i="23"/>
  <c r="AG461" i="23"/>
  <c r="AH461" i="23"/>
  <c r="AJ461" i="23"/>
  <c r="AK461" i="23"/>
  <c r="AL461" i="23"/>
  <c r="AO461" i="23"/>
  <c r="AP461" i="23"/>
  <c r="BD461" i="23"/>
  <c r="BF461" i="23"/>
  <c r="BH461" i="23"/>
  <c r="AD461" i="23" s="1"/>
  <c r="BJ461" i="23"/>
  <c r="K462" i="23"/>
  <c r="Z462" i="23"/>
  <c r="AB462" i="23"/>
  <c r="AC462" i="23"/>
  <c r="AF462" i="23"/>
  <c r="AG462" i="23"/>
  <c r="AH462" i="23"/>
  <c r="AJ462" i="23"/>
  <c r="AK462" i="23"/>
  <c r="AL462" i="23"/>
  <c r="AO462" i="23"/>
  <c r="I462" i="23" s="1"/>
  <c r="AP462" i="23"/>
  <c r="J462" i="23" s="1"/>
  <c r="BD462" i="23"/>
  <c r="BF462" i="23"/>
  <c r="BH462" i="23"/>
  <c r="AD462" i="23" s="1"/>
  <c r="BI462" i="23"/>
  <c r="AE462" i="23" s="1"/>
  <c r="BJ462" i="23"/>
  <c r="K463" i="23"/>
  <c r="AK463" i="23" s="1"/>
  <c r="Z463" i="23"/>
  <c r="AB463" i="23"/>
  <c r="AC463" i="23"/>
  <c r="AF463" i="23"/>
  <c r="AG463" i="23"/>
  <c r="AH463" i="23"/>
  <c r="AJ463" i="23"/>
  <c r="AL463" i="23"/>
  <c r="AO463" i="23"/>
  <c r="AP463" i="23"/>
  <c r="BD463" i="23"/>
  <c r="BF463" i="23"/>
  <c r="BJ463" i="23"/>
  <c r="K464" i="23"/>
  <c r="Z464" i="23"/>
  <c r="AB464" i="23"/>
  <c r="AC464" i="23"/>
  <c r="AF464" i="23"/>
  <c r="AG464" i="23"/>
  <c r="AH464" i="23"/>
  <c r="AJ464" i="23"/>
  <c r="AK464" i="23"/>
  <c r="AL464" i="23"/>
  <c r="AO464" i="23"/>
  <c r="I464" i="23" s="1"/>
  <c r="AP464" i="23"/>
  <c r="BD464" i="23"/>
  <c r="BF464" i="23"/>
  <c r="BH464" i="23"/>
  <c r="AD464" i="23" s="1"/>
  <c r="BJ464" i="23"/>
  <c r="K465" i="23"/>
  <c r="Z465" i="23"/>
  <c r="AB465" i="23"/>
  <c r="AC465" i="23"/>
  <c r="AF465" i="23"/>
  <c r="AG465" i="23"/>
  <c r="AH465" i="23"/>
  <c r="AJ465" i="23"/>
  <c r="AK465" i="23"/>
  <c r="AL465" i="23"/>
  <c r="AO465" i="23"/>
  <c r="AP465" i="23"/>
  <c r="J465" i="23" s="1"/>
  <c r="BD465" i="23"/>
  <c r="BF465" i="23"/>
  <c r="BI465" i="23"/>
  <c r="AE465" i="23" s="1"/>
  <c r="BJ465" i="23"/>
  <c r="K466" i="23"/>
  <c r="Z466" i="23"/>
  <c r="AB466" i="23"/>
  <c r="AC466" i="23"/>
  <c r="AF466" i="23"/>
  <c r="AG466" i="23"/>
  <c r="AH466" i="23"/>
  <c r="AJ466" i="23"/>
  <c r="AK466" i="23"/>
  <c r="AL466" i="23"/>
  <c r="AO466" i="23"/>
  <c r="AP466" i="23"/>
  <c r="J466" i="23" s="1"/>
  <c r="BD466" i="23"/>
  <c r="BF466" i="23"/>
  <c r="BJ466" i="23"/>
  <c r="K467" i="23"/>
  <c r="AK467" i="23" s="1"/>
  <c r="Z467" i="23"/>
  <c r="AB467" i="23"/>
  <c r="AC467" i="23"/>
  <c r="AF467" i="23"/>
  <c r="AG467" i="23"/>
  <c r="AH467" i="23"/>
  <c r="AJ467" i="23"/>
  <c r="AL467" i="23"/>
  <c r="AO467" i="23"/>
  <c r="AP467" i="23"/>
  <c r="J467" i="23" s="1"/>
  <c r="AX467" i="23"/>
  <c r="BD467" i="23"/>
  <c r="BF467" i="23"/>
  <c r="BI467" i="23"/>
  <c r="AE467" i="23" s="1"/>
  <c r="BJ467" i="23"/>
  <c r="K468" i="23"/>
  <c r="Z468" i="23"/>
  <c r="AB468" i="23"/>
  <c r="AC468" i="23"/>
  <c r="AF468" i="23"/>
  <c r="AG468" i="23"/>
  <c r="AH468" i="23"/>
  <c r="AJ468" i="23"/>
  <c r="AK468" i="23"/>
  <c r="AL468" i="23"/>
  <c r="AO468" i="23"/>
  <c r="AP468" i="23"/>
  <c r="BI468" i="23" s="1"/>
  <c r="AE468" i="23" s="1"/>
  <c r="BD468" i="23"/>
  <c r="BF468" i="23"/>
  <c r="BJ468" i="23"/>
  <c r="K469" i="23"/>
  <c r="Z469" i="23"/>
  <c r="AB469" i="23"/>
  <c r="AC469" i="23"/>
  <c r="AF469" i="23"/>
  <c r="AG469" i="23"/>
  <c r="AH469" i="23"/>
  <c r="AJ469" i="23"/>
  <c r="AK469" i="23"/>
  <c r="AL469" i="23"/>
  <c r="AO469" i="23"/>
  <c r="AP469" i="23"/>
  <c r="BD469" i="23"/>
  <c r="BF469" i="23"/>
  <c r="BH469" i="23"/>
  <c r="AD469" i="23" s="1"/>
  <c r="BJ469" i="23"/>
  <c r="K470" i="23"/>
  <c r="Z470" i="23"/>
  <c r="AB470" i="23"/>
  <c r="AC470" i="23"/>
  <c r="AF470" i="23"/>
  <c r="AG470" i="23"/>
  <c r="AH470" i="23"/>
  <c r="AJ470" i="23"/>
  <c r="AK470" i="23"/>
  <c r="AL470" i="23"/>
  <c r="AO470" i="23"/>
  <c r="AP470" i="23"/>
  <c r="J470" i="23" s="1"/>
  <c r="BD470" i="23"/>
  <c r="BF470" i="23"/>
  <c r="BI470" i="23"/>
  <c r="AE470" i="23" s="1"/>
  <c r="BJ470" i="23"/>
  <c r="K471" i="23"/>
  <c r="Z471" i="23"/>
  <c r="AB471" i="23"/>
  <c r="AC471" i="23"/>
  <c r="AF471" i="23"/>
  <c r="AG471" i="23"/>
  <c r="AH471" i="23"/>
  <c r="AJ471" i="23"/>
  <c r="AK471" i="23"/>
  <c r="AL471" i="23"/>
  <c r="AO471" i="23"/>
  <c r="AP471" i="23"/>
  <c r="BD471" i="23"/>
  <c r="BF471" i="23"/>
  <c r="BJ471" i="23"/>
  <c r="K472" i="23"/>
  <c r="Z472" i="23"/>
  <c r="AB472" i="23"/>
  <c r="AC472" i="23"/>
  <c r="AF472" i="23"/>
  <c r="AG472" i="23"/>
  <c r="AH472" i="23"/>
  <c r="AJ472" i="23"/>
  <c r="AK472" i="23"/>
  <c r="AL472" i="23"/>
  <c r="AO472" i="23"/>
  <c r="I472" i="23" s="1"/>
  <c r="AP472" i="23"/>
  <c r="J472" i="23" s="1"/>
  <c r="AW472" i="23"/>
  <c r="BD472" i="23"/>
  <c r="BF472" i="23"/>
  <c r="BH472" i="23"/>
  <c r="AD472" i="23" s="1"/>
  <c r="BJ472" i="23"/>
  <c r="K473" i="23"/>
  <c r="AK473" i="23" s="1"/>
  <c r="AB473" i="23"/>
  <c r="AC473" i="23"/>
  <c r="AD473" i="23"/>
  <c r="AE473" i="23"/>
  <c r="AF473" i="23"/>
  <c r="AG473" i="23"/>
  <c r="AH473" i="23"/>
  <c r="AJ473" i="23"/>
  <c r="AL473" i="23"/>
  <c r="AO473" i="23"/>
  <c r="AP473" i="23"/>
  <c r="BD473" i="23"/>
  <c r="BF473" i="23"/>
  <c r="BJ473" i="23"/>
  <c r="Z473" i="23" s="1"/>
  <c r="K475" i="23"/>
  <c r="Z475" i="23"/>
  <c r="AB475" i="23"/>
  <c r="AC475" i="23"/>
  <c r="AF475" i="23"/>
  <c r="AG475" i="23"/>
  <c r="AH475" i="23"/>
  <c r="AJ475" i="23"/>
  <c r="AK475" i="23"/>
  <c r="AL475" i="23"/>
  <c r="AO475" i="23"/>
  <c r="AP475" i="23"/>
  <c r="J475" i="23" s="1"/>
  <c r="BD475" i="23"/>
  <c r="BF475" i="23"/>
  <c r="BJ475" i="23"/>
  <c r="K476" i="23"/>
  <c r="Z476" i="23"/>
  <c r="AB476" i="23"/>
  <c r="AC476" i="23"/>
  <c r="AF476" i="23"/>
  <c r="AG476" i="23"/>
  <c r="AH476" i="23"/>
  <c r="AJ476" i="23"/>
  <c r="AK476" i="23"/>
  <c r="AL476" i="23"/>
  <c r="AO476" i="23"/>
  <c r="AP476" i="23"/>
  <c r="BD476" i="23"/>
  <c r="BF476" i="23"/>
  <c r="BH476" i="23"/>
  <c r="AD476" i="23" s="1"/>
  <c r="BJ476" i="23"/>
  <c r="K477" i="23"/>
  <c r="Z477" i="23"/>
  <c r="AB477" i="23"/>
  <c r="AC477" i="23"/>
  <c r="AF477" i="23"/>
  <c r="AG477" i="23"/>
  <c r="AH477" i="23"/>
  <c r="AJ477" i="23"/>
  <c r="AK477" i="23"/>
  <c r="AL477" i="23"/>
  <c r="AO477" i="23"/>
  <c r="I477" i="23" s="1"/>
  <c r="AP477" i="23"/>
  <c r="J477" i="23" s="1"/>
  <c r="AX477" i="23"/>
  <c r="BD477" i="23"/>
  <c r="BF477" i="23"/>
  <c r="BI477" i="23"/>
  <c r="AE477" i="23" s="1"/>
  <c r="BJ477" i="23"/>
  <c r="K478" i="23"/>
  <c r="Z478" i="23"/>
  <c r="AB478" i="23"/>
  <c r="AC478" i="23"/>
  <c r="AF478" i="23"/>
  <c r="AG478" i="23"/>
  <c r="AH478" i="23"/>
  <c r="AJ478" i="23"/>
  <c r="AK478" i="23"/>
  <c r="AL478" i="23"/>
  <c r="AO478" i="23"/>
  <c r="AP478" i="23"/>
  <c r="BD478" i="23"/>
  <c r="BF478" i="23"/>
  <c r="BJ478" i="23"/>
  <c r="K479" i="23"/>
  <c r="Z479" i="23"/>
  <c r="AB479" i="23"/>
  <c r="AC479" i="23"/>
  <c r="AF479" i="23"/>
  <c r="AG479" i="23"/>
  <c r="AH479" i="23"/>
  <c r="AJ479" i="23"/>
  <c r="AK479" i="23"/>
  <c r="AL479" i="23"/>
  <c r="AO479" i="23"/>
  <c r="I479" i="23" s="1"/>
  <c r="AP479" i="23"/>
  <c r="BI479" i="23" s="1"/>
  <c r="AE479" i="23" s="1"/>
  <c r="AW479" i="23"/>
  <c r="BD479" i="23"/>
  <c r="BF479" i="23"/>
  <c r="BH479" i="23"/>
  <c r="AD479" i="23" s="1"/>
  <c r="BJ479" i="23"/>
  <c r="K480" i="23"/>
  <c r="AK480" i="23" s="1"/>
  <c r="Z480" i="23"/>
  <c r="AB480" i="23"/>
  <c r="AC480" i="23"/>
  <c r="AF480" i="23"/>
  <c r="AG480" i="23"/>
  <c r="AH480" i="23"/>
  <c r="AJ480" i="23"/>
  <c r="AL480" i="23"/>
  <c r="AO480" i="23"/>
  <c r="BH480" i="23" s="1"/>
  <c r="AD480" i="23" s="1"/>
  <c r="AP480" i="23"/>
  <c r="J480" i="23" s="1"/>
  <c r="BD480" i="23"/>
  <c r="BF480" i="23"/>
  <c r="BI480" i="23"/>
  <c r="AE480" i="23" s="1"/>
  <c r="BJ480" i="23"/>
  <c r="K481" i="23"/>
  <c r="Z481" i="23"/>
  <c r="AB481" i="23"/>
  <c r="AC481" i="23"/>
  <c r="AF481" i="23"/>
  <c r="AG481" i="23"/>
  <c r="AH481" i="23"/>
  <c r="AJ481" i="23"/>
  <c r="AK481" i="23"/>
  <c r="AL481" i="23"/>
  <c r="AO481" i="23"/>
  <c r="I481" i="23" s="1"/>
  <c r="AP481" i="23"/>
  <c r="BD481" i="23"/>
  <c r="BF481" i="23"/>
  <c r="BJ481" i="23"/>
  <c r="K482" i="23"/>
  <c r="Z482" i="23"/>
  <c r="AB482" i="23"/>
  <c r="AC482" i="23"/>
  <c r="AF482" i="23"/>
  <c r="AG482" i="23"/>
  <c r="AH482" i="23"/>
  <c r="AJ482" i="23"/>
  <c r="AK482" i="23"/>
  <c r="AL482" i="23"/>
  <c r="AO482" i="23"/>
  <c r="AW482" i="23" s="1"/>
  <c r="AP482" i="23"/>
  <c r="BD482" i="23"/>
  <c r="BF482" i="23"/>
  <c r="BH482" i="23"/>
  <c r="AD482" i="23" s="1"/>
  <c r="BJ482" i="23"/>
  <c r="K483" i="23"/>
  <c r="AK483" i="23" s="1"/>
  <c r="Z483" i="23"/>
  <c r="AB483" i="23"/>
  <c r="AC483" i="23"/>
  <c r="AF483" i="23"/>
  <c r="AG483" i="23"/>
  <c r="AH483" i="23"/>
  <c r="AJ483" i="23"/>
  <c r="AL483" i="23"/>
  <c r="AO483" i="23"/>
  <c r="AP483" i="23"/>
  <c r="BD483" i="23"/>
  <c r="BF483" i="23"/>
  <c r="BJ483" i="23"/>
  <c r="K484" i="23"/>
  <c r="AK484" i="23" s="1"/>
  <c r="Z484" i="23"/>
  <c r="AB484" i="23"/>
  <c r="AC484" i="23"/>
  <c r="AF484" i="23"/>
  <c r="AG484" i="23"/>
  <c r="AH484" i="23"/>
  <c r="AJ484" i="23"/>
  <c r="AL484" i="23"/>
  <c r="AO484" i="23"/>
  <c r="BH484" i="23" s="1"/>
  <c r="AD484" i="23" s="1"/>
  <c r="AP484" i="23"/>
  <c r="J484" i="23" s="1"/>
  <c r="BD484" i="23"/>
  <c r="BF484" i="23"/>
  <c r="BI484" i="23"/>
  <c r="AE484" i="23" s="1"/>
  <c r="BJ484" i="23"/>
  <c r="K485" i="23"/>
  <c r="Z485" i="23"/>
  <c r="AB485" i="23"/>
  <c r="AC485" i="23"/>
  <c r="AF485" i="23"/>
  <c r="AG485" i="23"/>
  <c r="AH485" i="23"/>
  <c r="AJ485" i="23"/>
  <c r="AK485" i="23"/>
  <c r="AL485" i="23"/>
  <c r="AO485" i="23"/>
  <c r="I485" i="23" s="1"/>
  <c r="AP485" i="23"/>
  <c r="AX485" i="23" s="1"/>
  <c r="BD485" i="23"/>
  <c r="BF485" i="23"/>
  <c r="BJ485" i="23"/>
  <c r="K486" i="23"/>
  <c r="Z486" i="23"/>
  <c r="AB486" i="23"/>
  <c r="AC486" i="23"/>
  <c r="AF486" i="23"/>
  <c r="AG486" i="23"/>
  <c r="AH486" i="23"/>
  <c r="AJ486" i="23"/>
  <c r="AK486" i="23"/>
  <c r="AL486" i="23"/>
  <c r="AO486" i="23"/>
  <c r="AW486" i="23" s="1"/>
  <c r="AP486" i="23"/>
  <c r="J486" i="23" s="1"/>
  <c r="BD486" i="23"/>
  <c r="BF486" i="23"/>
  <c r="BJ486" i="23"/>
  <c r="K487" i="23"/>
  <c r="AK487" i="23" s="1"/>
  <c r="Z487" i="23"/>
  <c r="AB487" i="23"/>
  <c r="AC487" i="23"/>
  <c r="AF487" i="23"/>
  <c r="AG487" i="23"/>
  <c r="AH487" i="23"/>
  <c r="AJ487" i="23"/>
  <c r="AL487" i="23"/>
  <c r="AO487" i="23"/>
  <c r="I487" i="23" s="1"/>
  <c r="AP487" i="23"/>
  <c r="BD487" i="23"/>
  <c r="BF487" i="23"/>
  <c r="BI487" i="23"/>
  <c r="AE487" i="23" s="1"/>
  <c r="BJ487" i="23"/>
  <c r="K488" i="23"/>
  <c r="AK488" i="23" s="1"/>
  <c r="Z488" i="23"/>
  <c r="AB488" i="23"/>
  <c r="AC488" i="23"/>
  <c r="AF488" i="23"/>
  <c r="AG488" i="23"/>
  <c r="AH488" i="23"/>
  <c r="AJ488" i="23"/>
  <c r="AL488" i="23"/>
  <c r="AO488" i="23"/>
  <c r="AP488" i="23"/>
  <c r="J488" i="23" s="1"/>
  <c r="BD488" i="23"/>
  <c r="BF488" i="23"/>
  <c r="BH488" i="23"/>
  <c r="AD488" i="23" s="1"/>
  <c r="BJ488" i="23"/>
  <c r="K489" i="23"/>
  <c r="Z489" i="23"/>
  <c r="AB489" i="23"/>
  <c r="AC489" i="23"/>
  <c r="AF489" i="23"/>
  <c r="AG489" i="23"/>
  <c r="AH489" i="23"/>
  <c r="AJ489" i="23"/>
  <c r="AK489" i="23"/>
  <c r="AL489" i="23"/>
  <c r="AO489" i="23"/>
  <c r="AW489" i="23" s="1"/>
  <c r="AP489" i="23"/>
  <c r="AX489" i="23" s="1"/>
  <c r="BD489" i="23"/>
  <c r="BF489" i="23"/>
  <c r="BH489" i="23"/>
  <c r="AD489" i="23" s="1"/>
  <c r="BJ489" i="23"/>
  <c r="K490" i="23"/>
  <c r="Z490" i="23"/>
  <c r="AB490" i="23"/>
  <c r="AC490" i="23"/>
  <c r="AF490" i="23"/>
  <c r="AG490" i="23"/>
  <c r="AH490" i="23"/>
  <c r="AJ490" i="23"/>
  <c r="AK490" i="23"/>
  <c r="AL490" i="23"/>
  <c r="AO490" i="23"/>
  <c r="AW490" i="23" s="1"/>
  <c r="AP490" i="23"/>
  <c r="J490" i="23" s="1"/>
  <c r="BD490" i="23"/>
  <c r="BF490" i="23"/>
  <c r="BH490" i="23"/>
  <c r="AD490" i="23" s="1"/>
  <c r="BJ490" i="23"/>
  <c r="K491" i="23"/>
  <c r="AK491" i="23" s="1"/>
  <c r="Z491" i="23"/>
  <c r="AB491" i="23"/>
  <c r="AC491" i="23"/>
  <c r="AF491" i="23"/>
  <c r="AG491" i="23"/>
  <c r="AH491" i="23"/>
  <c r="AJ491" i="23"/>
  <c r="AL491" i="23"/>
  <c r="AO491" i="23"/>
  <c r="I491" i="23" s="1"/>
  <c r="AP491" i="23"/>
  <c r="BD491" i="23"/>
  <c r="BF491" i="23"/>
  <c r="BH491" i="23"/>
  <c r="AD491" i="23" s="1"/>
  <c r="BJ491" i="23"/>
  <c r="K492" i="23"/>
  <c r="AK492" i="23" s="1"/>
  <c r="Z492" i="23"/>
  <c r="AB492" i="23"/>
  <c r="AC492" i="23"/>
  <c r="AF492" i="23"/>
  <c r="AG492" i="23"/>
  <c r="AH492" i="23"/>
  <c r="AJ492" i="23"/>
  <c r="AL492" i="23"/>
  <c r="AO492" i="23"/>
  <c r="BH492" i="23" s="1"/>
  <c r="AD492" i="23" s="1"/>
  <c r="AP492" i="23"/>
  <c r="J492" i="23" s="1"/>
  <c r="BD492" i="23"/>
  <c r="BF492" i="23"/>
  <c r="BJ492" i="23"/>
  <c r="K493" i="23"/>
  <c r="Z493" i="23"/>
  <c r="AB493" i="23"/>
  <c r="AC493" i="23"/>
  <c r="AF493" i="23"/>
  <c r="AG493" i="23"/>
  <c r="AH493" i="23"/>
  <c r="AJ493" i="23"/>
  <c r="AK493" i="23"/>
  <c r="AL493" i="23"/>
  <c r="AO493" i="23"/>
  <c r="BH493" i="23" s="1"/>
  <c r="AD493" i="23" s="1"/>
  <c r="AP493" i="23"/>
  <c r="AX493" i="23" s="1"/>
  <c r="BD493" i="23"/>
  <c r="BF493" i="23"/>
  <c r="BJ493" i="23"/>
  <c r="K494" i="23"/>
  <c r="Z494" i="23"/>
  <c r="AB494" i="23"/>
  <c r="AC494" i="23"/>
  <c r="AF494" i="23"/>
  <c r="AG494" i="23"/>
  <c r="AH494" i="23"/>
  <c r="AJ494" i="23"/>
  <c r="AK494" i="23"/>
  <c r="AL494" i="23"/>
  <c r="AO494" i="23"/>
  <c r="AW494" i="23" s="1"/>
  <c r="AP494" i="23"/>
  <c r="J494" i="23" s="1"/>
  <c r="BD494" i="23"/>
  <c r="BF494" i="23"/>
  <c r="BJ494" i="23"/>
  <c r="K495" i="23"/>
  <c r="AK495" i="23" s="1"/>
  <c r="Z495" i="23"/>
  <c r="AB495" i="23"/>
  <c r="AC495" i="23"/>
  <c r="AF495" i="23"/>
  <c r="AG495" i="23"/>
  <c r="AH495" i="23"/>
  <c r="AJ495" i="23"/>
  <c r="AL495" i="23"/>
  <c r="AO495" i="23"/>
  <c r="AP495" i="23"/>
  <c r="BD495" i="23"/>
  <c r="BF495" i="23"/>
  <c r="BI495" i="23"/>
  <c r="AE495" i="23" s="1"/>
  <c r="BJ495" i="23"/>
  <c r="K496" i="23"/>
  <c r="AK496" i="23" s="1"/>
  <c r="Z496" i="23"/>
  <c r="AB496" i="23"/>
  <c r="AC496" i="23"/>
  <c r="AF496" i="23"/>
  <c r="AG496" i="23"/>
  <c r="AH496" i="23"/>
  <c r="AJ496" i="23"/>
  <c r="AL496" i="23"/>
  <c r="AO496" i="23"/>
  <c r="AP496" i="23"/>
  <c r="J496" i="23" s="1"/>
  <c r="BD496" i="23"/>
  <c r="BF496" i="23"/>
  <c r="BH496" i="23"/>
  <c r="AD496" i="23" s="1"/>
  <c r="BJ496" i="23"/>
  <c r="K497" i="23"/>
  <c r="Z497" i="23"/>
  <c r="AB497" i="23"/>
  <c r="AC497" i="23"/>
  <c r="AF497" i="23"/>
  <c r="AG497" i="23"/>
  <c r="AH497" i="23"/>
  <c r="AJ497" i="23"/>
  <c r="AK497" i="23"/>
  <c r="AL497" i="23"/>
  <c r="AO497" i="23"/>
  <c r="AW497" i="23" s="1"/>
  <c r="AP497" i="23"/>
  <c r="AX497" i="23" s="1"/>
  <c r="BD497" i="23"/>
  <c r="BF497" i="23"/>
  <c r="BH497" i="23"/>
  <c r="AD497" i="23" s="1"/>
  <c r="BJ497" i="23"/>
  <c r="K498" i="23"/>
  <c r="Z498" i="23"/>
  <c r="AB498" i="23"/>
  <c r="AC498" i="23"/>
  <c r="AF498" i="23"/>
  <c r="AG498" i="23"/>
  <c r="AH498" i="23"/>
  <c r="AJ498" i="23"/>
  <c r="AK498" i="23"/>
  <c r="AL498" i="23"/>
  <c r="AO498" i="23"/>
  <c r="AP498" i="23"/>
  <c r="J498" i="23" s="1"/>
  <c r="BD498" i="23"/>
  <c r="BF498" i="23"/>
  <c r="BJ498" i="23"/>
  <c r="K499" i="23"/>
  <c r="AK499" i="23" s="1"/>
  <c r="AB499" i="23"/>
  <c r="AC499" i="23"/>
  <c r="AD499" i="23"/>
  <c r="AE499" i="23"/>
  <c r="AF499" i="23"/>
  <c r="AG499" i="23"/>
  <c r="AH499" i="23"/>
  <c r="AJ499" i="23"/>
  <c r="AL499" i="23"/>
  <c r="AO499" i="23"/>
  <c r="I499" i="23" s="1"/>
  <c r="AP499" i="23"/>
  <c r="BI499" i="23" s="1"/>
  <c r="AW499" i="23"/>
  <c r="BD499" i="23"/>
  <c r="BF499" i="23"/>
  <c r="BJ499" i="23"/>
  <c r="Z499" i="23" s="1"/>
  <c r="I501" i="23"/>
  <c r="K501" i="23"/>
  <c r="Z501" i="23"/>
  <c r="AB501" i="23"/>
  <c r="AC501" i="23"/>
  <c r="AF501" i="23"/>
  <c r="AG501" i="23"/>
  <c r="AH501" i="23"/>
  <c r="AJ501" i="23"/>
  <c r="AK501" i="23"/>
  <c r="AL501" i="23"/>
  <c r="AO501" i="23"/>
  <c r="AW501" i="23" s="1"/>
  <c r="AP501" i="23"/>
  <c r="J501" i="23" s="1"/>
  <c r="BD501" i="23"/>
  <c r="BF501" i="23"/>
  <c r="BH501" i="23"/>
  <c r="AD501" i="23" s="1"/>
  <c r="BJ501" i="23"/>
  <c r="K502" i="23"/>
  <c r="AK502" i="23" s="1"/>
  <c r="Z502" i="23"/>
  <c r="AB502" i="23"/>
  <c r="AC502" i="23"/>
  <c r="AF502" i="23"/>
  <c r="AG502" i="23"/>
  <c r="AH502" i="23"/>
  <c r="AJ502" i="23"/>
  <c r="AL502" i="23"/>
  <c r="AO502" i="23"/>
  <c r="I502" i="23" s="1"/>
  <c r="AP502" i="23"/>
  <c r="BI502" i="23" s="1"/>
  <c r="AE502" i="23" s="1"/>
  <c r="BD502" i="23"/>
  <c r="BF502" i="23"/>
  <c r="BJ502" i="23"/>
  <c r="J503" i="23"/>
  <c r="K503" i="23"/>
  <c r="AK503" i="23" s="1"/>
  <c r="Z503" i="23"/>
  <c r="AB503" i="23"/>
  <c r="AC503" i="23"/>
  <c r="AF503" i="23"/>
  <c r="AG503" i="23"/>
  <c r="AH503" i="23"/>
  <c r="AJ503" i="23"/>
  <c r="AL503" i="23"/>
  <c r="AO503" i="23"/>
  <c r="AP503" i="23"/>
  <c r="AX503" i="23"/>
  <c r="BD503" i="23"/>
  <c r="BF503" i="23"/>
  <c r="BI503" i="23"/>
  <c r="AE503" i="23" s="1"/>
  <c r="BJ503" i="23"/>
  <c r="K504" i="23"/>
  <c r="Z504" i="23"/>
  <c r="AB504" i="23"/>
  <c r="AC504" i="23"/>
  <c r="AF504" i="23"/>
  <c r="AG504" i="23"/>
  <c r="AH504" i="23"/>
  <c r="AJ504" i="23"/>
  <c r="AK504" i="23"/>
  <c r="AL504" i="23"/>
  <c r="AO504" i="23"/>
  <c r="BH504" i="23" s="1"/>
  <c r="AD504" i="23" s="1"/>
  <c r="AP504" i="23"/>
  <c r="AX504" i="23" s="1"/>
  <c r="BD504" i="23"/>
  <c r="BF504" i="23"/>
  <c r="BJ504" i="23"/>
  <c r="I505" i="23"/>
  <c r="K505" i="23"/>
  <c r="Z505" i="23"/>
  <c r="AB505" i="23"/>
  <c r="AC505" i="23"/>
  <c r="AF505" i="23"/>
  <c r="AG505" i="23"/>
  <c r="AH505" i="23"/>
  <c r="AJ505" i="23"/>
  <c r="AK505" i="23"/>
  <c r="AL505" i="23"/>
  <c r="AO505" i="23"/>
  <c r="AW505" i="23" s="1"/>
  <c r="AP505" i="23"/>
  <c r="J505" i="23" s="1"/>
  <c r="BD505" i="23"/>
  <c r="BF505" i="23"/>
  <c r="BJ505" i="23"/>
  <c r="K506" i="23"/>
  <c r="AK506" i="23" s="1"/>
  <c r="Z506" i="23"/>
  <c r="AB506" i="23"/>
  <c r="AC506" i="23"/>
  <c r="AF506" i="23"/>
  <c r="AG506" i="23"/>
  <c r="AH506" i="23"/>
  <c r="AJ506" i="23"/>
  <c r="AL506" i="23"/>
  <c r="AO506" i="23"/>
  <c r="AP506" i="23"/>
  <c r="BD506" i="23"/>
  <c r="BF506" i="23"/>
  <c r="BI506" i="23"/>
  <c r="AE506" i="23" s="1"/>
  <c r="BJ506" i="23"/>
  <c r="K507" i="23"/>
  <c r="AK507" i="23" s="1"/>
  <c r="Z507" i="23"/>
  <c r="AB507" i="23"/>
  <c r="AC507" i="23"/>
  <c r="AF507" i="23"/>
  <c r="AG507" i="23"/>
  <c r="AH507" i="23"/>
  <c r="AJ507" i="23"/>
  <c r="AL507" i="23"/>
  <c r="AO507" i="23"/>
  <c r="BH507" i="23" s="1"/>
  <c r="AD507" i="23" s="1"/>
  <c r="AP507" i="23"/>
  <c r="J507" i="23" s="1"/>
  <c r="BD507" i="23"/>
  <c r="BF507" i="23"/>
  <c r="BJ507" i="23"/>
  <c r="K508" i="23"/>
  <c r="Z508" i="23"/>
  <c r="AB508" i="23"/>
  <c r="AC508" i="23"/>
  <c r="AF508" i="23"/>
  <c r="AG508" i="23"/>
  <c r="AH508" i="23"/>
  <c r="AJ508" i="23"/>
  <c r="AK508" i="23"/>
  <c r="AL508" i="23"/>
  <c r="AO508" i="23"/>
  <c r="AW508" i="23" s="1"/>
  <c r="AP508" i="23"/>
  <c r="AX508" i="23" s="1"/>
  <c r="BD508" i="23"/>
  <c r="BF508" i="23"/>
  <c r="BH508" i="23"/>
  <c r="AD508" i="23" s="1"/>
  <c r="BJ508" i="23"/>
  <c r="I509" i="23"/>
  <c r="K509" i="23"/>
  <c r="Z509" i="23"/>
  <c r="AB509" i="23"/>
  <c r="AC509" i="23"/>
  <c r="AF509" i="23"/>
  <c r="AG509" i="23"/>
  <c r="AH509" i="23"/>
  <c r="AJ509" i="23"/>
  <c r="AK509" i="23"/>
  <c r="AL509" i="23"/>
  <c r="AO509" i="23"/>
  <c r="AW509" i="23" s="1"/>
  <c r="AP509" i="23"/>
  <c r="J509" i="23" s="1"/>
  <c r="BD509" i="23"/>
  <c r="BF509" i="23"/>
  <c r="BH509" i="23"/>
  <c r="AD509" i="23" s="1"/>
  <c r="BJ509" i="23"/>
  <c r="K510" i="23"/>
  <c r="AK510" i="23" s="1"/>
  <c r="Z510" i="23"/>
  <c r="AB510" i="23"/>
  <c r="AC510" i="23"/>
  <c r="AF510" i="23"/>
  <c r="AG510" i="23"/>
  <c r="AH510" i="23"/>
  <c r="AJ510" i="23"/>
  <c r="AL510" i="23"/>
  <c r="AO510" i="23"/>
  <c r="I510" i="23" s="1"/>
  <c r="AP510" i="23"/>
  <c r="BI510" i="23" s="1"/>
  <c r="AE510" i="23" s="1"/>
  <c r="BD510" i="23"/>
  <c r="BF510" i="23"/>
  <c r="BH510" i="23"/>
  <c r="AD510" i="23" s="1"/>
  <c r="BJ510" i="23"/>
  <c r="K511" i="23"/>
  <c r="AK511" i="23" s="1"/>
  <c r="AB511" i="23"/>
  <c r="AC511" i="23"/>
  <c r="AD511" i="23"/>
  <c r="AE511" i="23"/>
  <c r="AF511" i="23"/>
  <c r="AG511" i="23"/>
  <c r="AH511" i="23"/>
  <c r="AJ511" i="23"/>
  <c r="AL511" i="23"/>
  <c r="AO511" i="23"/>
  <c r="AP511" i="23"/>
  <c r="BI511" i="23" s="1"/>
  <c r="BD511" i="23"/>
  <c r="BF511" i="23"/>
  <c r="BJ511" i="23"/>
  <c r="Z511" i="23" s="1"/>
  <c r="K513" i="23"/>
  <c r="Z513" i="23"/>
  <c r="AB513" i="23"/>
  <c r="AC513" i="23"/>
  <c r="AF513" i="23"/>
  <c r="AG513" i="23"/>
  <c r="AH513" i="23"/>
  <c r="AJ513" i="23"/>
  <c r="AL513" i="23"/>
  <c r="AO513" i="23"/>
  <c r="AP513" i="23"/>
  <c r="BI513" i="23" s="1"/>
  <c r="AE513" i="23" s="1"/>
  <c r="BD513" i="23"/>
  <c r="BF513" i="23"/>
  <c r="BJ513" i="23"/>
  <c r="K514" i="23"/>
  <c r="AK514" i="23" s="1"/>
  <c r="Z514" i="23"/>
  <c r="AB514" i="23"/>
  <c r="AC514" i="23"/>
  <c r="AF514" i="23"/>
  <c r="AG514" i="23"/>
  <c r="AH514" i="23"/>
  <c r="AJ514" i="23"/>
  <c r="AL514" i="23"/>
  <c r="AO514" i="23"/>
  <c r="AP514" i="23"/>
  <c r="BI514" i="23" s="1"/>
  <c r="AE514" i="23" s="1"/>
  <c r="BD514" i="23"/>
  <c r="BF514" i="23"/>
  <c r="BJ514" i="23"/>
  <c r="K515" i="23"/>
  <c r="Z515" i="23"/>
  <c r="AB515" i="23"/>
  <c r="AC515" i="23"/>
  <c r="AF515" i="23"/>
  <c r="AG515" i="23"/>
  <c r="AH515" i="23"/>
  <c r="AJ515" i="23"/>
  <c r="AK515" i="23"/>
  <c r="AL515" i="23"/>
  <c r="AO515" i="23"/>
  <c r="AP515" i="23"/>
  <c r="AX515" i="23" s="1"/>
  <c r="BD515" i="23"/>
  <c r="BF515" i="23"/>
  <c r="BJ515" i="23"/>
  <c r="K516" i="23"/>
  <c r="Z516" i="23"/>
  <c r="AB516" i="23"/>
  <c r="AC516" i="23"/>
  <c r="AF516" i="23"/>
  <c r="AG516" i="23"/>
  <c r="AH516" i="23"/>
  <c r="AJ516" i="23"/>
  <c r="AK516" i="23"/>
  <c r="AL516" i="23"/>
  <c r="AO516" i="23"/>
  <c r="AW516" i="23" s="1"/>
  <c r="AP516" i="23"/>
  <c r="J516" i="23" s="1"/>
  <c r="BD516" i="23"/>
  <c r="BF516" i="23"/>
  <c r="BI516" i="23"/>
  <c r="AE516" i="23" s="1"/>
  <c r="BJ516" i="23"/>
  <c r="K517" i="23"/>
  <c r="AK517" i="23" s="1"/>
  <c r="Z517" i="23"/>
  <c r="AB517" i="23"/>
  <c r="AC517" i="23"/>
  <c r="AF517" i="23"/>
  <c r="AG517" i="23"/>
  <c r="AH517" i="23"/>
  <c r="AJ517" i="23"/>
  <c r="AL517" i="23"/>
  <c r="AO517" i="23"/>
  <c r="I517" i="23" s="1"/>
  <c r="AP517" i="23"/>
  <c r="BI517" i="23" s="1"/>
  <c r="AE517" i="23" s="1"/>
  <c r="BD517" i="23"/>
  <c r="BF517" i="23"/>
  <c r="BH517" i="23"/>
  <c r="AD517" i="23" s="1"/>
  <c r="BJ517" i="23"/>
  <c r="K518" i="23"/>
  <c r="AK518" i="23" s="1"/>
  <c r="Z518" i="23"/>
  <c r="AB518" i="23"/>
  <c r="AC518" i="23"/>
  <c r="AF518" i="23"/>
  <c r="AG518" i="23"/>
  <c r="AH518" i="23"/>
  <c r="AJ518" i="23"/>
  <c r="AL518" i="23"/>
  <c r="AO518" i="23"/>
  <c r="BH518" i="23" s="1"/>
  <c r="AD518" i="23" s="1"/>
  <c r="AP518" i="23"/>
  <c r="J518" i="23" s="1"/>
  <c r="BD518" i="23"/>
  <c r="BF518" i="23"/>
  <c r="BI518" i="23"/>
  <c r="AE518" i="23" s="1"/>
  <c r="BJ518" i="23"/>
  <c r="K519" i="23"/>
  <c r="AK519" i="23" s="1"/>
  <c r="Z519" i="23"/>
  <c r="AB519" i="23"/>
  <c r="AC519" i="23"/>
  <c r="AF519" i="23"/>
  <c r="AG519" i="23"/>
  <c r="AH519" i="23"/>
  <c r="AJ519" i="23"/>
  <c r="AL519" i="23"/>
  <c r="AO519" i="23"/>
  <c r="BH519" i="23" s="1"/>
  <c r="AD519" i="23" s="1"/>
  <c r="AP519" i="23"/>
  <c r="AX519" i="23" s="1"/>
  <c r="BD519" i="23"/>
  <c r="BF519" i="23"/>
  <c r="BJ519" i="23"/>
  <c r="I520" i="23"/>
  <c r="K520" i="23"/>
  <c r="Z520" i="23"/>
  <c r="AB520" i="23"/>
  <c r="AC520" i="23"/>
  <c r="AF520" i="23"/>
  <c r="AG520" i="23"/>
  <c r="AH520" i="23"/>
  <c r="AJ520" i="23"/>
  <c r="AK520" i="23"/>
  <c r="AL520" i="23"/>
  <c r="AO520" i="23"/>
  <c r="AW520" i="23" s="1"/>
  <c r="AP520" i="23"/>
  <c r="J520" i="23" s="1"/>
  <c r="BD520" i="23"/>
  <c r="BF520" i="23"/>
  <c r="BH520" i="23"/>
  <c r="AD520" i="23" s="1"/>
  <c r="BJ520" i="23"/>
  <c r="K521" i="23"/>
  <c r="AK521" i="23" s="1"/>
  <c r="Z521" i="23"/>
  <c r="AB521" i="23"/>
  <c r="AC521" i="23"/>
  <c r="AF521" i="23"/>
  <c r="AG521" i="23"/>
  <c r="AH521" i="23"/>
  <c r="AJ521" i="23"/>
  <c r="AL521" i="23"/>
  <c r="AO521" i="23"/>
  <c r="I521" i="23" s="1"/>
  <c r="AP521" i="23"/>
  <c r="BI521" i="23" s="1"/>
  <c r="AE521" i="23" s="1"/>
  <c r="BD521" i="23"/>
  <c r="BF521" i="23"/>
  <c r="BJ521" i="23"/>
  <c r="K522" i="23"/>
  <c r="AK522" i="23" s="1"/>
  <c r="Z522" i="23"/>
  <c r="AB522" i="23"/>
  <c r="AC522" i="23"/>
  <c r="AF522" i="23"/>
  <c r="AG522" i="23"/>
  <c r="AH522" i="23"/>
  <c r="AJ522" i="23"/>
  <c r="AL522" i="23"/>
  <c r="AO522" i="23"/>
  <c r="BH522" i="23" s="1"/>
  <c r="AD522" i="23" s="1"/>
  <c r="AP522" i="23"/>
  <c r="J522" i="23" s="1"/>
  <c r="BD522" i="23"/>
  <c r="BF522" i="23"/>
  <c r="BJ522" i="23"/>
  <c r="K523" i="23"/>
  <c r="Z523" i="23"/>
  <c r="AB523" i="23"/>
  <c r="AC523" i="23"/>
  <c r="AF523" i="23"/>
  <c r="AG523" i="23"/>
  <c r="AH523" i="23"/>
  <c r="AJ523" i="23"/>
  <c r="AK523" i="23"/>
  <c r="AL523" i="23"/>
  <c r="AO523" i="23"/>
  <c r="I523" i="23" s="1"/>
  <c r="AP523" i="23"/>
  <c r="AX523" i="23" s="1"/>
  <c r="BD523" i="23"/>
  <c r="BF523" i="23"/>
  <c r="BH523" i="23"/>
  <c r="AD523" i="23" s="1"/>
  <c r="BJ523" i="23"/>
  <c r="K524" i="23"/>
  <c r="Z524" i="23"/>
  <c r="AB524" i="23"/>
  <c r="AC524" i="23"/>
  <c r="AF524" i="23"/>
  <c r="AG524" i="23"/>
  <c r="AH524" i="23"/>
  <c r="AJ524" i="23"/>
  <c r="AK524" i="23"/>
  <c r="AL524" i="23"/>
  <c r="AO524" i="23"/>
  <c r="AW524" i="23" s="1"/>
  <c r="AP524" i="23"/>
  <c r="BD524" i="23"/>
  <c r="BF524" i="23"/>
  <c r="BJ524" i="23"/>
  <c r="K525" i="23"/>
  <c r="Z525" i="23"/>
  <c r="AB525" i="23"/>
  <c r="AC525" i="23"/>
  <c r="AF525" i="23"/>
  <c r="AG525" i="23"/>
  <c r="AH525" i="23"/>
  <c r="AJ525" i="23"/>
  <c r="AK525" i="23"/>
  <c r="AL525" i="23"/>
  <c r="AO525" i="23"/>
  <c r="I525" i="23" s="1"/>
  <c r="AP525" i="23"/>
  <c r="BI525" i="23" s="1"/>
  <c r="AE525" i="23" s="1"/>
  <c r="BD525" i="23"/>
  <c r="BF525" i="23"/>
  <c r="BJ525" i="23"/>
  <c r="K526" i="23"/>
  <c r="AK526" i="23" s="1"/>
  <c r="Z526" i="23"/>
  <c r="AB526" i="23"/>
  <c r="AC526" i="23"/>
  <c r="AF526" i="23"/>
  <c r="AG526" i="23"/>
  <c r="AH526" i="23"/>
  <c r="AJ526" i="23"/>
  <c r="AL526" i="23"/>
  <c r="AO526" i="23"/>
  <c r="AP526" i="23"/>
  <c r="BD526" i="23"/>
  <c r="BF526" i="23"/>
  <c r="BI526" i="23"/>
  <c r="AE526" i="23" s="1"/>
  <c r="BJ526" i="23"/>
  <c r="K527" i="23"/>
  <c r="Z527" i="23"/>
  <c r="AB527" i="23"/>
  <c r="AC527" i="23"/>
  <c r="AF527" i="23"/>
  <c r="AG527" i="23"/>
  <c r="AH527" i="23"/>
  <c r="AJ527" i="23"/>
  <c r="AK527" i="23"/>
  <c r="AL527" i="23"/>
  <c r="AO527" i="23"/>
  <c r="I527" i="23" s="1"/>
  <c r="AP527" i="23"/>
  <c r="AX527" i="23" s="1"/>
  <c r="BD527" i="23"/>
  <c r="BF527" i="23"/>
  <c r="BH527" i="23"/>
  <c r="AD527" i="23" s="1"/>
  <c r="BJ527" i="23"/>
  <c r="I528" i="23"/>
  <c r="K528" i="23"/>
  <c r="Z528" i="23"/>
  <c r="AB528" i="23"/>
  <c r="AC528" i="23"/>
  <c r="AF528" i="23"/>
  <c r="AG528" i="23"/>
  <c r="AH528" i="23"/>
  <c r="AJ528" i="23"/>
  <c r="AK528" i="23"/>
  <c r="AL528" i="23"/>
  <c r="AO528" i="23"/>
  <c r="AW528" i="23" s="1"/>
  <c r="AP528" i="23"/>
  <c r="J528" i="23" s="1"/>
  <c r="BD528" i="23"/>
  <c r="BF528" i="23"/>
  <c r="BH528" i="23"/>
  <c r="AD528" i="23" s="1"/>
  <c r="BJ528" i="23"/>
  <c r="K529" i="23"/>
  <c r="Z529" i="23"/>
  <c r="AB529" i="23"/>
  <c r="AC529" i="23"/>
  <c r="AF529" i="23"/>
  <c r="AG529" i="23"/>
  <c r="AH529" i="23"/>
  <c r="AJ529" i="23"/>
  <c r="AK529" i="23"/>
  <c r="AL529" i="23"/>
  <c r="AO529" i="23"/>
  <c r="I529" i="23" s="1"/>
  <c r="AP529" i="23"/>
  <c r="BD529" i="23"/>
  <c r="BF529" i="23"/>
  <c r="BI529" i="23"/>
  <c r="AE529" i="23" s="1"/>
  <c r="BJ529" i="23"/>
  <c r="K530" i="23"/>
  <c r="AK530" i="23" s="1"/>
  <c r="Z530" i="23"/>
  <c r="AB530" i="23"/>
  <c r="AC530" i="23"/>
  <c r="AF530" i="23"/>
  <c r="AG530" i="23"/>
  <c r="AH530" i="23"/>
  <c r="AJ530" i="23"/>
  <c r="AL530" i="23"/>
  <c r="AO530" i="23"/>
  <c r="AP530" i="23"/>
  <c r="J530" i="23" s="1"/>
  <c r="BD530" i="23"/>
  <c r="BF530" i="23"/>
  <c r="BH530" i="23"/>
  <c r="AD530" i="23" s="1"/>
  <c r="BJ530" i="23"/>
  <c r="K531" i="23"/>
  <c r="Z531" i="23"/>
  <c r="AB531" i="23"/>
  <c r="AC531" i="23"/>
  <c r="AF531" i="23"/>
  <c r="AG531" i="23"/>
  <c r="AH531" i="23"/>
  <c r="AJ531" i="23"/>
  <c r="AK531" i="23"/>
  <c r="AL531" i="23"/>
  <c r="AO531" i="23"/>
  <c r="AP531" i="23"/>
  <c r="AX531" i="23" s="1"/>
  <c r="BD531" i="23"/>
  <c r="BF531" i="23"/>
  <c r="BI531" i="23"/>
  <c r="AE531" i="23" s="1"/>
  <c r="BJ531" i="23"/>
  <c r="K532" i="23"/>
  <c r="Z532" i="23"/>
  <c r="AB532" i="23"/>
  <c r="AC532" i="23"/>
  <c r="AF532" i="23"/>
  <c r="AG532" i="23"/>
  <c r="AH532" i="23"/>
  <c r="AJ532" i="23"/>
  <c r="AK532" i="23"/>
  <c r="AL532" i="23"/>
  <c r="AO532" i="23"/>
  <c r="AW532" i="23" s="1"/>
  <c r="BC532" i="23" s="1"/>
  <c r="AP532" i="23"/>
  <c r="J532" i="23" s="1"/>
  <c r="AX532" i="23"/>
  <c r="BD532" i="23"/>
  <c r="BF532" i="23"/>
  <c r="BI532" i="23"/>
  <c r="AE532" i="23" s="1"/>
  <c r="BJ532" i="23"/>
  <c r="K533" i="23"/>
  <c r="Z533" i="23"/>
  <c r="AB533" i="23"/>
  <c r="AC533" i="23"/>
  <c r="AF533" i="23"/>
  <c r="AG533" i="23"/>
  <c r="AH533" i="23"/>
  <c r="AJ533" i="23"/>
  <c r="AK533" i="23"/>
  <c r="AL533" i="23"/>
  <c r="AO533" i="23"/>
  <c r="I533" i="23" s="1"/>
  <c r="AP533" i="23"/>
  <c r="BD533" i="23"/>
  <c r="BF533" i="23"/>
  <c r="BH533" i="23"/>
  <c r="AD533" i="23" s="1"/>
  <c r="BJ533" i="23"/>
  <c r="K534" i="23"/>
  <c r="AK534" i="23" s="1"/>
  <c r="Z534" i="23"/>
  <c r="AB534" i="23"/>
  <c r="AC534" i="23"/>
  <c r="AF534" i="23"/>
  <c r="AG534" i="23"/>
  <c r="AH534" i="23"/>
  <c r="AJ534" i="23"/>
  <c r="AL534" i="23"/>
  <c r="AO534" i="23"/>
  <c r="BH534" i="23" s="1"/>
  <c r="AD534" i="23" s="1"/>
  <c r="AP534" i="23"/>
  <c r="J534" i="23" s="1"/>
  <c r="BD534" i="23"/>
  <c r="BF534" i="23"/>
  <c r="BI534" i="23"/>
  <c r="AE534" i="23" s="1"/>
  <c r="BJ534" i="23"/>
  <c r="K535" i="23"/>
  <c r="Z535" i="23"/>
  <c r="AB535" i="23"/>
  <c r="AC535" i="23"/>
  <c r="AF535" i="23"/>
  <c r="AG535" i="23"/>
  <c r="AH535" i="23"/>
  <c r="AJ535" i="23"/>
  <c r="AK535" i="23"/>
  <c r="AL535" i="23"/>
  <c r="AO535" i="23"/>
  <c r="AP535" i="23"/>
  <c r="AX535" i="23" s="1"/>
  <c r="BD535" i="23"/>
  <c r="BF535" i="23"/>
  <c r="BI535" i="23"/>
  <c r="AE535" i="23" s="1"/>
  <c r="BJ535" i="23"/>
  <c r="K536" i="23"/>
  <c r="Z536" i="23"/>
  <c r="AB536" i="23"/>
  <c r="AC536" i="23"/>
  <c r="AF536" i="23"/>
  <c r="AG536" i="23"/>
  <c r="AH536" i="23"/>
  <c r="AJ536" i="23"/>
  <c r="AK536" i="23"/>
  <c r="AL536" i="23"/>
  <c r="AO536" i="23"/>
  <c r="AW536" i="23" s="1"/>
  <c r="AP536" i="23"/>
  <c r="J536" i="23" s="1"/>
  <c r="BD536" i="23"/>
  <c r="BF536" i="23"/>
  <c r="BJ536" i="23"/>
  <c r="K537" i="23"/>
  <c r="Z537" i="23"/>
  <c r="AB537" i="23"/>
  <c r="AC537" i="23"/>
  <c r="AF537" i="23"/>
  <c r="AG537" i="23"/>
  <c r="AH537" i="23"/>
  <c r="AJ537" i="23"/>
  <c r="AK537" i="23"/>
  <c r="AL537" i="23"/>
  <c r="AO537" i="23"/>
  <c r="AP537" i="23"/>
  <c r="BI537" i="23" s="1"/>
  <c r="AE537" i="23" s="1"/>
  <c r="BD537" i="23"/>
  <c r="BF537" i="23"/>
  <c r="BJ537" i="23"/>
  <c r="K538" i="23"/>
  <c r="AK538" i="23" s="1"/>
  <c r="AB538" i="23"/>
  <c r="AC538" i="23"/>
  <c r="AD538" i="23"/>
  <c r="AE538" i="23"/>
  <c r="AF538" i="23"/>
  <c r="AG538" i="23"/>
  <c r="AH538" i="23"/>
  <c r="AJ538" i="23"/>
  <c r="AL538" i="23"/>
  <c r="AO538" i="23"/>
  <c r="AP538" i="23"/>
  <c r="J538" i="23" s="1"/>
  <c r="BD538" i="23"/>
  <c r="BF538" i="23"/>
  <c r="BH538" i="23"/>
  <c r="BJ538" i="23"/>
  <c r="Z538" i="23" s="1"/>
  <c r="K540" i="23"/>
  <c r="Z540" i="23"/>
  <c r="AB540" i="23"/>
  <c r="AC540" i="23"/>
  <c r="AF540" i="23"/>
  <c r="AG540" i="23"/>
  <c r="AH540" i="23"/>
  <c r="AJ540" i="23"/>
  <c r="AK540" i="23"/>
  <c r="AL540" i="23"/>
  <c r="AO540" i="23"/>
  <c r="I540" i="23" s="1"/>
  <c r="AP540" i="23"/>
  <c r="BI540" i="23" s="1"/>
  <c r="AE540" i="23" s="1"/>
  <c r="AW540" i="23"/>
  <c r="BD540" i="23"/>
  <c r="BF540" i="23"/>
  <c r="BH540" i="23"/>
  <c r="AD540" i="23" s="1"/>
  <c r="BJ540" i="23"/>
  <c r="K541" i="23"/>
  <c r="AK541" i="23" s="1"/>
  <c r="Z541" i="23"/>
  <c r="AB541" i="23"/>
  <c r="AC541" i="23"/>
  <c r="AF541" i="23"/>
  <c r="AG541" i="23"/>
  <c r="AH541" i="23"/>
  <c r="AJ541" i="23"/>
  <c r="AL541" i="23"/>
  <c r="AO541" i="23"/>
  <c r="AP541" i="23"/>
  <c r="J541" i="23" s="1"/>
  <c r="BD541" i="23"/>
  <c r="BF541" i="23"/>
  <c r="BH541" i="23"/>
  <c r="AD541" i="23" s="1"/>
  <c r="BJ541" i="23"/>
  <c r="K542" i="23"/>
  <c r="Z542" i="23"/>
  <c r="AB542" i="23"/>
  <c r="AC542" i="23"/>
  <c r="AF542" i="23"/>
  <c r="AG542" i="23"/>
  <c r="AH542" i="23"/>
  <c r="AJ542" i="23"/>
  <c r="AK542" i="23"/>
  <c r="AL542" i="23"/>
  <c r="AO542" i="23"/>
  <c r="AP542" i="23"/>
  <c r="AX542" i="23" s="1"/>
  <c r="BD542" i="23"/>
  <c r="BF542" i="23"/>
  <c r="BI542" i="23"/>
  <c r="AE542" i="23" s="1"/>
  <c r="BJ542" i="23"/>
  <c r="K543" i="23"/>
  <c r="Z543" i="23"/>
  <c r="AB543" i="23"/>
  <c r="AC543" i="23"/>
  <c r="AF543" i="23"/>
  <c r="AG543" i="23"/>
  <c r="AH543" i="23"/>
  <c r="AJ543" i="23"/>
  <c r="AK543" i="23"/>
  <c r="AL543" i="23"/>
  <c r="AO543" i="23"/>
  <c r="AW543" i="23" s="1"/>
  <c r="AP543" i="23"/>
  <c r="J543" i="23" s="1"/>
  <c r="BD543" i="23"/>
  <c r="BF543" i="23"/>
  <c r="BJ543" i="23"/>
  <c r="K544" i="23"/>
  <c r="Z544" i="23"/>
  <c r="AB544" i="23"/>
  <c r="AC544" i="23"/>
  <c r="AF544" i="23"/>
  <c r="AG544" i="23"/>
  <c r="AH544" i="23"/>
  <c r="AJ544" i="23"/>
  <c r="AK544" i="23"/>
  <c r="AL544" i="23"/>
  <c r="AO544" i="23"/>
  <c r="AP544" i="23"/>
  <c r="BI544" i="23" s="1"/>
  <c r="AE544" i="23" s="1"/>
  <c r="BD544" i="23"/>
  <c r="BF544" i="23"/>
  <c r="BH544" i="23"/>
  <c r="AD544" i="23" s="1"/>
  <c r="BJ544" i="23"/>
  <c r="K545" i="23"/>
  <c r="AK545" i="23" s="1"/>
  <c r="Z545" i="23"/>
  <c r="AB545" i="23"/>
  <c r="AC545" i="23"/>
  <c r="AF545" i="23"/>
  <c r="AG545" i="23"/>
  <c r="AH545" i="23"/>
  <c r="AJ545" i="23"/>
  <c r="AL545" i="23"/>
  <c r="AO545" i="23"/>
  <c r="AP545" i="23"/>
  <c r="J545" i="23" s="1"/>
  <c r="BD545" i="23"/>
  <c r="BF545" i="23"/>
  <c r="BJ545" i="23"/>
  <c r="K546" i="23"/>
  <c r="Z546" i="23"/>
  <c r="AB546" i="23"/>
  <c r="AC546" i="23"/>
  <c r="AF546" i="23"/>
  <c r="AG546" i="23"/>
  <c r="AH546" i="23"/>
  <c r="AJ546" i="23"/>
  <c r="AK546" i="23"/>
  <c r="AL546" i="23"/>
  <c r="AO546" i="23"/>
  <c r="AP546" i="23"/>
  <c r="AX546" i="23" s="1"/>
  <c r="BD546" i="23"/>
  <c r="BF546" i="23"/>
  <c r="BJ546" i="23"/>
  <c r="K547" i="23"/>
  <c r="AK547" i="23" s="1"/>
  <c r="AB547" i="23"/>
  <c r="AC547" i="23"/>
  <c r="AD547" i="23"/>
  <c r="AE547" i="23"/>
  <c r="AF547" i="23"/>
  <c r="AG547" i="23"/>
  <c r="AH547" i="23"/>
  <c r="AJ547" i="23"/>
  <c r="AL547" i="23"/>
  <c r="AO547" i="23"/>
  <c r="AW547" i="23" s="1"/>
  <c r="AP547" i="23"/>
  <c r="J547" i="23" s="1"/>
  <c r="BD547" i="23"/>
  <c r="BF547" i="23"/>
  <c r="BH547" i="23"/>
  <c r="BJ547" i="23"/>
  <c r="Z547" i="23" s="1"/>
  <c r="K549" i="23"/>
  <c r="Z549" i="23"/>
  <c r="AB549" i="23"/>
  <c r="AC549" i="23"/>
  <c r="AF549" i="23"/>
  <c r="AG549" i="23"/>
  <c r="AH549" i="23"/>
  <c r="AJ549" i="23"/>
  <c r="AK549" i="23"/>
  <c r="AL549" i="23"/>
  <c r="AO549" i="23"/>
  <c r="AP549" i="23"/>
  <c r="AX549" i="23" s="1"/>
  <c r="BD549" i="23"/>
  <c r="BF549" i="23"/>
  <c r="BJ549" i="23"/>
  <c r="K550" i="23"/>
  <c r="Z550" i="23"/>
  <c r="AB550" i="23"/>
  <c r="AC550" i="23"/>
  <c r="AF550" i="23"/>
  <c r="AG550" i="23"/>
  <c r="AH550" i="23"/>
  <c r="AJ550" i="23"/>
  <c r="AK550" i="23"/>
  <c r="AL550" i="23"/>
  <c r="AO550" i="23"/>
  <c r="AW550" i="23" s="1"/>
  <c r="AP550" i="23"/>
  <c r="J550" i="23" s="1"/>
  <c r="BD550" i="23"/>
  <c r="BF550" i="23"/>
  <c r="BH550" i="23"/>
  <c r="AD550" i="23" s="1"/>
  <c r="BJ550" i="23"/>
  <c r="K551" i="23"/>
  <c r="Z551" i="23"/>
  <c r="AB551" i="23"/>
  <c r="AC551" i="23"/>
  <c r="AF551" i="23"/>
  <c r="AG551" i="23"/>
  <c r="AH551" i="23"/>
  <c r="AJ551" i="23"/>
  <c r="AK551" i="23"/>
  <c r="AL551" i="23"/>
  <c r="AO551" i="23"/>
  <c r="AP551" i="23"/>
  <c r="AX551" i="23" s="1"/>
  <c r="BD551" i="23"/>
  <c r="BF551" i="23"/>
  <c r="BJ551" i="23"/>
  <c r="K552" i="23"/>
  <c r="AK552" i="23" s="1"/>
  <c r="Z552" i="23"/>
  <c r="AB552" i="23"/>
  <c r="AC552" i="23"/>
  <c r="AF552" i="23"/>
  <c r="AG552" i="23"/>
  <c r="AH552" i="23"/>
  <c r="AJ552" i="23"/>
  <c r="AL552" i="23"/>
  <c r="AO552" i="23"/>
  <c r="AW552" i="23" s="1"/>
  <c r="AP552" i="23"/>
  <c r="BI552" i="23" s="1"/>
  <c r="AE552" i="23" s="1"/>
  <c r="BD552" i="23"/>
  <c r="BF552" i="23"/>
  <c r="BJ552" i="23"/>
  <c r="K553" i="23"/>
  <c r="AK553" i="23" s="1"/>
  <c r="Z553" i="23"/>
  <c r="AB553" i="23"/>
  <c r="AC553" i="23"/>
  <c r="AF553" i="23"/>
  <c r="AG553" i="23"/>
  <c r="AH553" i="23"/>
  <c r="AJ553" i="23"/>
  <c r="AL553" i="23"/>
  <c r="AO553" i="23"/>
  <c r="AP553" i="23"/>
  <c r="BD553" i="23"/>
  <c r="BF553" i="23"/>
  <c r="BJ553" i="23"/>
  <c r="K555" i="23"/>
  <c r="Z555" i="23"/>
  <c r="AB555" i="23"/>
  <c r="AC555" i="23"/>
  <c r="AD555" i="23"/>
  <c r="AE555" i="23"/>
  <c r="AH555" i="23"/>
  <c r="AJ555" i="23"/>
  <c r="AL555" i="23"/>
  <c r="AO555" i="23"/>
  <c r="AW555" i="23" s="1"/>
  <c r="AP555" i="23"/>
  <c r="J555" i="23" s="1"/>
  <c r="BD555" i="23"/>
  <c r="BF555" i="23"/>
  <c r="BJ555" i="23"/>
  <c r="K556" i="23"/>
  <c r="Z556" i="23"/>
  <c r="AB556" i="23"/>
  <c r="AC556" i="23"/>
  <c r="AD556" i="23"/>
  <c r="AE556" i="23"/>
  <c r="AH556" i="23"/>
  <c r="AJ556" i="23"/>
  <c r="AK556" i="23"/>
  <c r="AL556" i="23"/>
  <c r="AO556" i="23"/>
  <c r="I556" i="23" s="1"/>
  <c r="AP556" i="23"/>
  <c r="AX556" i="23" s="1"/>
  <c r="AW556" i="23"/>
  <c r="BD556" i="23"/>
  <c r="BF556" i="23"/>
  <c r="BH556" i="23"/>
  <c r="AF556" i="23" s="1"/>
  <c r="BJ556" i="23"/>
  <c r="K557" i="23"/>
  <c r="AK557" i="23" s="1"/>
  <c r="Z557" i="23"/>
  <c r="AB557" i="23"/>
  <c r="AC557" i="23"/>
  <c r="AD557" i="23"/>
  <c r="AE557" i="23"/>
  <c r="AH557" i="23"/>
  <c r="AJ557" i="23"/>
  <c r="AL557" i="23"/>
  <c r="AO557" i="23"/>
  <c r="AW557" i="23" s="1"/>
  <c r="AP557" i="23"/>
  <c r="J557" i="23" s="1"/>
  <c r="BD557" i="23"/>
  <c r="BF557" i="23"/>
  <c r="BH557" i="23"/>
  <c r="AF557" i="23" s="1"/>
  <c r="BJ557" i="23"/>
  <c r="K558" i="23"/>
  <c r="Z558" i="23"/>
  <c r="AB558" i="23"/>
  <c r="AC558" i="23"/>
  <c r="AD558" i="23"/>
  <c r="AE558" i="23"/>
  <c r="AH558" i="23"/>
  <c r="AJ558" i="23"/>
  <c r="AK558" i="23"/>
  <c r="AL558" i="23"/>
  <c r="AO558" i="23"/>
  <c r="I558" i="23" s="1"/>
  <c r="AP558" i="23"/>
  <c r="AX558" i="23" s="1"/>
  <c r="BD558" i="23"/>
  <c r="BF558" i="23"/>
  <c r="BJ558" i="23"/>
  <c r="K559" i="23"/>
  <c r="AK559" i="23" s="1"/>
  <c r="Z559" i="23"/>
  <c r="AD559" i="23"/>
  <c r="AE559" i="23"/>
  <c r="AF559" i="23"/>
  <c r="AG559" i="23"/>
  <c r="AH559" i="23"/>
  <c r="AJ559" i="23"/>
  <c r="AL559" i="23"/>
  <c r="AO559" i="23"/>
  <c r="AW559" i="23" s="1"/>
  <c r="AP559" i="23"/>
  <c r="J559" i="23" s="1"/>
  <c r="BD559" i="23"/>
  <c r="BF559" i="23"/>
  <c r="BJ559" i="23"/>
  <c r="K560" i="23"/>
  <c r="Z560" i="23"/>
  <c r="AD560" i="23"/>
  <c r="AE560" i="23"/>
  <c r="AF560" i="23"/>
  <c r="AG560" i="23"/>
  <c r="AH560" i="23"/>
  <c r="AJ560" i="23"/>
  <c r="AK560" i="23"/>
  <c r="AL560" i="23"/>
  <c r="AO560" i="23"/>
  <c r="I560" i="23" s="1"/>
  <c r="AP560" i="23"/>
  <c r="BD560" i="23"/>
  <c r="BF560" i="23"/>
  <c r="BJ560" i="23"/>
  <c r="K561" i="23"/>
  <c r="AK561" i="23" s="1"/>
  <c r="Z561" i="23"/>
  <c r="AD561" i="23"/>
  <c r="AE561" i="23"/>
  <c r="AF561" i="23"/>
  <c r="AG561" i="23"/>
  <c r="AH561" i="23"/>
  <c r="AJ561" i="23"/>
  <c r="AL561" i="23"/>
  <c r="AO561" i="23"/>
  <c r="AW561" i="23" s="1"/>
  <c r="AP561" i="23"/>
  <c r="J561" i="23" s="1"/>
  <c r="AX561" i="23"/>
  <c r="AV561" i="23" s="1"/>
  <c r="BD561" i="23"/>
  <c r="BF561" i="23"/>
  <c r="BH561" i="23"/>
  <c r="AB561" i="23" s="1"/>
  <c r="BI561" i="23"/>
  <c r="AC561" i="23" s="1"/>
  <c r="BJ561" i="23"/>
  <c r="K562" i="23"/>
  <c r="Z562" i="23"/>
  <c r="AD562" i="23"/>
  <c r="AE562" i="23"/>
  <c r="AF562" i="23"/>
  <c r="AG562" i="23"/>
  <c r="AH562" i="23"/>
  <c r="AJ562" i="23"/>
  <c r="AK562" i="23"/>
  <c r="AL562" i="23"/>
  <c r="AO562" i="23"/>
  <c r="AP562" i="23"/>
  <c r="AX562" i="23" s="1"/>
  <c r="BD562" i="23"/>
  <c r="BF562" i="23"/>
  <c r="BH562" i="23"/>
  <c r="AB562" i="23" s="1"/>
  <c r="BJ562" i="23"/>
  <c r="K563" i="23"/>
  <c r="AK563" i="23" s="1"/>
  <c r="Z563" i="23"/>
  <c r="AD563" i="23"/>
  <c r="AE563" i="23"/>
  <c r="AF563" i="23"/>
  <c r="AG563" i="23"/>
  <c r="AH563" i="23"/>
  <c r="AJ563" i="23"/>
  <c r="AL563" i="23"/>
  <c r="AO563" i="23"/>
  <c r="AW563" i="23" s="1"/>
  <c r="AP563" i="23"/>
  <c r="BI563" i="23" s="1"/>
  <c r="AC563" i="23" s="1"/>
  <c r="BD563" i="23"/>
  <c r="BF563" i="23"/>
  <c r="BJ563" i="23"/>
  <c r="K564" i="23"/>
  <c r="Z564" i="23"/>
  <c r="AD564" i="23"/>
  <c r="AE564" i="23"/>
  <c r="AF564" i="23"/>
  <c r="AG564" i="23"/>
  <c r="AH564" i="23"/>
  <c r="AJ564" i="23"/>
  <c r="AK564" i="23"/>
  <c r="AL564" i="23"/>
  <c r="AO564" i="23"/>
  <c r="I564" i="23" s="1"/>
  <c r="AP564" i="23"/>
  <c r="AX564" i="23" s="1"/>
  <c r="BD564" i="23"/>
  <c r="BF564" i="23"/>
  <c r="BH564" i="23"/>
  <c r="AB564" i="23" s="1"/>
  <c r="BJ564" i="23"/>
  <c r="K565" i="23"/>
  <c r="AK565" i="23" s="1"/>
  <c r="Z565" i="23"/>
  <c r="AD565" i="23"/>
  <c r="AE565" i="23"/>
  <c r="AF565" i="23"/>
  <c r="AG565" i="23"/>
  <c r="AH565" i="23"/>
  <c r="AJ565" i="23"/>
  <c r="AL565" i="23"/>
  <c r="AO565" i="23"/>
  <c r="AW565" i="23" s="1"/>
  <c r="AP565" i="23"/>
  <c r="BD565" i="23"/>
  <c r="BF565" i="23"/>
  <c r="BH565" i="23"/>
  <c r="AB565" i="23" s="1"/>
  <c r="BJ565" i="23"/>
  <c r="K566" i="23"/>
  <c r="Z566" i="23"/>
  <c r="AD566" i="23"/>
  <c r="AE566" i="23"/>
  <c r="AF566" i="23"/>
  <c r="AG566" i="23"/>
  <c r="AH566" i="23"/>
  <c r="AJ566" i="23"/>
  <c r="AK566" i="23"/>
  <c r="AL566" i="23"/>
  <c r="AO566" i="23"/>
  <c r="I566" i="23" s="1"/>
  <c r="AP566" i="23"/>
  <c r="AX566" i="23" s="1"/>
  <c r="BD566" i="23"/>
  <c r="BF566" i="23"/>
  <c r="BJ566" i="23"/>
  <c r="K567" i="23"/>
  <c r="AK567" i="23" s="1"/>
  <c r="Z567" i="23"/>
  <c r="AD567" i="23"/>
  <c r="AE567" i="23"/>
  <c r="AF567" i="23"/>
  <c r="AG567" i="23"/>
  <c r="AH567" i="23"/>
  <c r="AJ567" i="23"/>
  <c r="AL567" i="23"/>
  <c r="AO567" i="23"/>
  <c r="AW567" i="23" s="1"/>
  <c r="AP567" i="23"/>
  <c r="J567" i="23" s="1"/>
  <c r="BD567" i="23"/>
  <c r="BF567" i="23"/>
  <c r="BJ567" i="23"/>
  <c r="K568" i="23"/>
  <c r="Z568" i="23"/>
  <c r="AD568" i="23"/>
  <c r="AE568" i="23"/>
  <c r="AF568" i="23"/>
  <c r="AG568" i="23"/>
  <c r="AH568" i="23"/>
  <c r="AJ568" i="23"/>
  <c r="AK568" i="23"/>
  <c r="AL568" i="23"/>
  <c r="AO568" i="23"/>
  <c r="AP568" i="23"/>
  <c r="BD568" i="23"/>
  <c r="BF568" i="23"/>
  <c r="BH568" i="23"/>
  <c r="AB568" i="23" s="1"/>
  <c r="BJ568" i="23"/>
  <c r="K569" i="23"/>
  <c r="AK569" i="23" s="1"/>
  <c r="Z569" i="23"/>
  <c r="AD569" i="23"/>
  <c r="AE569" i="23"/>
  <c r="AF569" i="23"/>
  <c r="AG569" i="23"/>
  <c r="AH569" i="23"/>
  <c r="AJ569" i="23"/>
  <c r="AL569" i="23"/>
  <c r="AO569" i="23"/>
  <c r="AW569" i="23" s="1"/>
  <c r="AP569" i="23"/>
  <c r="J569" i="23" s="1"/>
  <c r="BD569" i="23"/>
  <c r="BF569" i="23"/>
  <c r="BJ569" i="23"/>
  <c r="K570" i="23"/>
  <c r="Z570" i="23"/>
  <c r="AD570" i="23"/>
  <c r="AE570" i="23"/>
  <c r="AF570" i="23"/>
  <c r="AG570" i="23"/>
  <c r="AH570" i="23"/>
  <c r="AJ570" i="23"/>
  <c r="AK570" i="23"/>
  <c r="AL570" i="23"/>
  <c r="AO570" i="23"/>
  <c r="I570" i="23" s="1"/>
  <c r="AP570" i="23"/>
  <c r="AX570" i="23" s="1"/>
  <c r="BD570" i="23"/>
  <c r="BF570" i="23"/>
  <c r="BH570" i="23"/>
  <c r="AB570" i="23" s="1"/>
  <c r="BJ570" i="23"/>
  <c r="K571" i="23"/>
  <c r="AK571" i="23" s="1"/>
  <c r="Z571" i="23"/>
  <c r="AD571" i="23"/>
  <c r="AE571" i="23"/>
  <c r="AF571" i="23"/>
  <c r="AG571" i="23"/>
  <c r="AH571" i="23"/>
  <c r="AJ571" i="23"/>
  <c r="AL571" i="23"/>
  <c r="AO571" i="23"/>
  <c r="I571" i="23" s="1"/>
  <c r="AP571" i="23"/>
  <c r="J571" i="23" s="1"/>
  <c r="BD571" i="23"/>
  <c r="BF571" i="23"/>
  <c r="BI571" i="23"/>
  <c r="AC571" i="23" s="1"/>
  <c r="BJ571" i="23"/>
  <c r="K572" i="23"/>
  <c r="Z572" i="23"/>
  <c r="AD572" i="23"/>
  <c r="AE572" i="23"/>
  <c r="AF572" i="23"/>
  <c r="AG572" i="23"/>
  <c r="AH572" i="23"/>
  <c r="AJ572" i="23"/>
  <c r="AK572" i="23"/>
  <c r="AL572" i="23"/>
  <c r="AO572" i="23"/>
  <c r="AW572" i="23" s="1"/>
  <c r="AP572" i="23"/>
  <c r="J572" i="23" s="1"/>
  <c r="AX572" i="23"/>
  <c r="BD572" i="23"/>
  <c r="BF572" i="23"/>
  <c r="BH572" i="23"/>
  <c r="AB572" i="23" s="1"/>
  <c r="BI572" i="23"/>
  <c r="AC572" i="23" s="1"/>
  <c r="BJ572" i="23"/>
  <c r="K573" i="23"/>
  <c r="Z573" i="23"/>
  <c r="AD573" i="23"/>
  <c r="AE573" i="23"/>
  <c r="AF573" i="23"/>
  <c r="AG573" i="23"/>
  <c r="AH573" i="23"/>
  <c r="AJ573" i="23"/>
  <c r="AK573" i="23"/>
  <c r="AL573" i="23"/>
  <c r="AO573" i="23"/>
  <c r="AP573" i="23"/>
  <c r="BD573" i="23"/>
  <c r="BF573" i="23"/>
  <c r="BH573" i="23"/>
  <c r="AB573" i="23" s="1"/>
  <c r="BJ573" i="23"/>
  <c r="K574" i="23"/>
  <c r="AK574" i="23" s="1"/>
  <c r="Z574" i="23"/>
  <c r="AD574" i="23"/>
  <c r="AE574" i="23"/>
  <c r="AF574" i="23"/>
  <c r="AG574" i="23"/>
  <c r="AH574" i="23"/>
  <c r="AJ574" i="23"/>
  <c r="AL574" i="23"/>
  <c r="AO574" i="23"/>
  <c r="I574" i="23" s="1"/>
  <c r="AP574" i="23"/>
  <c r="J574" i="23" s="1"/>
  <c r="BD574" i="23"/>
  <c r="BF574" i="23"/>
  <c r="BH574" i="23"/>
  <c r="AB574" i="23" s="1"/>
  <c r="BJ574" i="23"/>
  <c r="K575" i="23"/>
  <c r="AK575" i="23" s="1"/>
  <c r="Z575" i="23"/>
  <c r="AD575" i="23"/>
  <c r="AE575" i="23"/>
  <c r="AF575" i="23"/>
  <c r="AG575" i="23"/>
  <c r="AH575" i="23"/>
  <c r="AJ575" i="23"/>
  <c r="AL575" i="23"/>
  <c r="AO575" i="23"/>
  <c r="AP575" i="23"/>
  <c r="BD575" i="23"/>
  <c r="BF575" i="23"/>
  <c r="BH575" i="23"/>
  <c r="AB575" i="23" s="1"/>
  <c r="BJ575" i="23"/>
  <c r="J576" i="23"/>
  <c r="K576" i="23"/>
  <c r="AK576" i="23" s="1"/>
  <c r="Z576" i="23"/>
  <c r="AD576" i="23"/>
  <c r="AE576" i="23"/>
  <c r="AF576" i="23"/>
  <c r="AG576" i="23"/>
  <c r="AH576" i="23"/>
  <c r="AJ576" i="23"/>
  <c r="AL576" i="23"/>
  <c r="AO576" i="23"/>
  <c r="AW576" i="23" s="1"/>
  <c r="AP576" i="23"/>
  <c r="AX576" i="23"/>
  <c r="BD576" i="23"/>
  <c r="BF576" i="23"/>
  <c r="BI576" i="23"/>
  <c r="AC576" i="23" s="1"/>
  <c r="BJ576" i="23"/>
  <c r="K577" i="23"/>
  <c r="Z577" i="23"/>
  <c r="AD577" i="23"/>
  <c r="AE577" i="23"/>
  <c r="AF577" i="23"/>
  <c r="AG577" i="23"/>
  <c r="AH577" i="23"/>
  <c r="AJ577" i="23"/>
  <c r="AK577" i="23"/>
  <c r="AL577" i="23"/>
  <c r="AO577" i="23"/>
  <c r="BH577" i="23" s="1"/>
  <c r="AB577" i="23" s="1"/>
  <c r="AP577" i="23"/>
  <c r="J577" i="23" s="1"/>
  <c r="BD577" i="23"/>
  <c r="BF577" i="23"/>
  <c r="BJ577" i="23"/>
  <c r="K578" i="23"/>
  <c r="AK578" i="23" s="1"/>
  <c r="Z578" i="23"/>
  <c r="AD578" i="23"/>
  <c r="AE578" i="23"/>
  <c r="AF578" i="23"/>
  <c r="AG578" i="23"/>
  <c r="AH578" i="23"/>
  <c r="AJ578" i="23"/>
  <c r="AL578" i="23"/>
  <c r="AO578" i="23"/>
  <c r="I578" i="23" s="1"/>
  <c r="AP578" i="23"/>
  <c r="J578" i="23" s="1"/>
  <c r="AX578" i="23"/>
  <c r="BD578" i="23"/>
  <c r="BF578" i="23"/>
  <c r="BH578" i="23"/>
  <c r="AB578" i="23" s="1"/>
  <c r="BI578" i="23"/>
  <c r="AC578" i="23" s="1"/>
  <c r="BJ578" i="23"/>
  <c r="K579" i="23"/>
  <c r="AK579" i="23" s="1"/>
  <c r="Z579" i="23"/>
  <c r="AD579" i="23"/>
  <c r="AE579" i="23"/>
  <c r="AF579" i="23"/>
  <c r="AG579" i="23"/>
  <c r="AH579" i="23"/>
  <c r="AJ579" i="23"/>
  <c r="AL579" i="23"/>
  <c r="AO579" i="23"/>
  <c r="I579" i="23" s="1"/>
  <c r="AP579" i="23"/>
  <c r="AX579" i="23" s="1"/>
  <c r="BD579" i="23"/>
  <c r="BF579" i="23"/>
  <c r="BI579" i="23"/>
  <c r="AC579" i="23" s="1"/>
  <c r="BJ579" i="23"/>
  <c r="K580" i="23"/>
  <c r="Z580" i="23"/>
  <c r="AD580" i="23"/>
  <c r="AE580" i="23"/>
  <c r="AF580" i="23"/>
  <c r="AG580" i="23"/>
  <c r="AH580" i="23"/>
  <c r="AJ580" i="23"/>
  <c r="AK580" i="23"/>
  <c r="AL580" i="23"/>
  <c r="AO580" i="23"/>
  <c r="AW580" i="23" s="1"/>
  <c r="AP580" i="23"/>
  <c r="J580" i="23" s="1"/>
  <c r="BD580" i="23"/>
  <c r="BF580" i="23"/>
  <c r="BH580" i="23"/>
  <c r="AB580" i="23" s="1"/>
  <c r="BJ580" i="23"/>
  <c r="K581" i="23"/>
  <c r="Z581" i="23"/>
  <c r="AD581" i="23"/>
  <c r="AE581" i="23"/>
  <c r="AF581" i="23"/>
  <c r="AG581" i="23"/>
  <c r="AH581" i="23"/>
  <c r="AJ581" i="23"/>
  <c r="AK581" i="23"/>
  <c r="AL581" i="23"/>
  <c r="AO581" i="23"/>
  <c r="AP581" i="23"/>
  <c r="J581" i="23" s="1"/>
  <c r="BD581" i="23"/>
  <c r="BF581" i="23"/>
  <c r="BI581" i="23"/>
  <c r="AC581" i="23" s="1"/>
  <c r="BJ581" i="23"/>
  <c r="K582" i="23"/>
  <c r="AK582" i="23" s="1"/>
  <c r="Z582" i="23"/>
  <c r="AD582" i="23"/>
  <c r="AE582" i="23"/>
  <c r="AF582" i="23"/>
  <c r="AG582" i="23"/>
  <c r="AH582" i="23"/>
  <c r="AJ582" i="23"/>
  <c r="AL582" i="23"/>
  <c r="AO582" i="23"/>
  <c r="I582" i="23" s="1"/>
  <c r="AP582" i="23"/>
  <c r="J582" i="23" s="1"/>
  <c r="BD582" i="23"/>
  <c r="BF582" i="23"/>
  <c r="BH582" i="23"/>
  <c r="AB582" i="23" s="1"/>
  <c r="BJ582" i="23"/>
  <c r="K583" i="23"/>
  <c r="AK583" i="23" s="1"/>
  <c r="Z583" i="23"/>
  <c r="AD583" i="23"/>
  <c r="AE583" i="23"/>
  <c r="AF583" i="23"/>
  <c r="AG583" i="23"/>
  <c r="AH583" i="23"/>
  <c r="AJ583" i="23"/>
  <c r="AL583" i="23"/>
  <c r="AO583" i="23"/>
  <c r="AP583" i="23"/>
  <c r="AX583" i="23" s="1"/>
  <c r="BD583" i="23"/>
  <c r="BF583" i="23"/>
  <c r="BI583" i="23"/>
  <c r="AC583" i="23" s="1"/>
  <c r="BJ583" i="23"/>
  <c r="K585" i="23"/>
  <c r="Z585" i="23"/>
  <c r="AB585" i="23"/>
  <c r="AC585" i="23"/>
  <c r="AD585" i="23"/>
  <c r="AE585" i="23"/>
  <c r="AH585" i="23"/>
  <c r="AJ585" i="23"/>
  <c r="AL585" i="23"/>
  <c r="AO585" i="23"/>
  <c r="I585" i="23" s="1"/>
  <c r="AP585" i="23"/>
  <c r="J585" i="23" s="1"/>
  <c r="BD585" i="23"/>
  <c r="BF585" i="23"/>
  <c r="BH585" i="23"/>
  <c r="AF585" i="23" s="1"/>
  <c r="BJ585" i="23"/>
  <c r="K586" i="23"/>
  <c r="AK586" i="23" s="1"/>
  <c r="Z586" i="23"/>
  <c r="AB586" i="23"/>
  <c r="AC586" i="23"/>
  <c r="AD586" i="23"/>
  <c r="AE586" i="23"/>
  <c r="AH586" i="23"/>
  <c r="AJ586" i="23"/>
  <c r="AL586" i="23"/>
  <c r="AO586" i="23"/>
  <c r="AP586" i="23"/>
  <c r="AX586" i="23" s="1"/>
  <c r="BD586" i="23"/>
  <c r="BF586" i="23"/>
  <c r="BJ586" i="23"/>
  <c r="K588" i="23"/>
  <c r="Z588" i="23"/>
  <c r="AD588" i="23"/>
  <c r="AE588" i="23"/>
  <c r="AF588" i="23"/>
  <c r="AG588" i="23"/>
  <c r="AH588" i="23"/>
  <c r="AJ588" i="23"/>
  <c r="AL588" i="23"/>
  <c r="AO588" i="23"/>
  <c r="I588" i="23" s="1"/>
  <c r="AP588" i="23"/>
  <c r="J588" i="23" s="1"/>
  <c r="BD588" i="23"/>
  <c r="BF588" i="23"/>
  <c r="BH588" i="23"/>
  <c r="AB588" i="23" s="1"/>
  <c r="BJ588" i="23"/>
  <c r="K589" i="23"/>
  <c r="AK589" i="23" s="1"/>
  <c r="Z589" i="23"/>
  <c r="AD589" i="23"/>
  <c r="AE589" i="23"/>
  <c r="AF589" i="23"/>
  <c r="AG589" i="23"/>
  <c r="AH589" i="23"/>
  <c r="AJ589" i="23"/>
  <c r="AL589" i="23"/>
  <c r="AO589" i="23"/>
  <c r="AP589" i="23"/>
  <c r="AX589" i="23" s="1"/>
  <c r="BD589" i="23"/>
  <c r="BF589" i="23"/>
  <c r="BI589" i="23"/>
  <c r="AC589" i="23" s="1"/>
  <c r="BJ589" i="23"/>
  <c r="K590" i="23"/>
  <c r="AK590" i="23" s="1"/>
  <c r="Z590" i="23"/>
  <c r="AD590" i="23"/>
  <c r="AE590" i="23"/>
  <c r="AF590" i="23"/>
  <c r="AG590" i="23"/>
  <c r="AH590" i="23"/>
  <c r="AJ590" i="23"/>
  <c r="AL590" i="23"/>
  <c r="AO590" i="23"/>
  <c r="AW590" i="23" s="1"/>
  <c r="AP590" i="23"/>
  <c r="AX590" i="23" s="1"/>
  <c r="BD590" i="23"/>
  <c r="BF590" i="23"/>
  <c r="BJ590" i="23"/>
  <c r="K591" i="23"/>
  <c r="Z591" i="23"/>
  <c r="AD591" i="23"/>
  <c r="AE591" i="23"/>
  <c r="AF591" i="23"/>
  <c r="AG591" i="23"/>
  <c r="AH591" i="23"/>
  <c r="AJ591" i="23"/>
  <c r="AK591" i="23"/>
  <c r="AL591" i="23"/>
  <c r="AO591" i="23"/>
  <c r="BH591" i="23" s="1"/>
  <c r="AB591" i="23" s="1"/>
  <c r="AP591" i="23"/>
  <c r="J591" i="23" s="1"/>
  <c r="BD591" i="23"/>
  <c r="BF591" i="23"/>
  <c r="BJ591" i="23"/>
  <c r="K592" i="23"/>
  <c r="AK592" i="23" s="1"/>
  <c r="Z592" i="23"/>
  <c r="AD592" i="23"/>
  <c r="AE592" i="23"/>
  <c r="AF592" i="23"/>
  <c r="AG592" i="23"/>
  <c r="AH592" i="23"/>
  <c r="AJ592" i="23"/>
  <c r="AL592" i="23"/>
  <c r="AO592" i="23"/>
  <c r="I592" i="23" s="1"/>
  <c r="AP592" i="23"/>
  <c r="BD592" i="23"/>
  <c r="BF592" i="23"/>
  <c r="BH592" i="23"/>
  <c r="AB592" i="23" s="1"/>
  <c r="BJ592" i="23"/>
  <c r="K593" i="23"/>
  <c r="AK593" i="23" s="1"/>
  <c r="Z593" i="23"/>
  <c r="AD593" i="23"/>
  <c r="AE593" i="23"/>
  <c r="AF593" i="23"/>
  <c r="AG593" i="23"/>
  <c r="AH593" i="23"/>
  <c r="AJ593" i="23"/>
  <c r="AL593" i="23"/>
  <c r="AO593" i="23"/>
  <c r="I593" i="23" s="1"/>
  <c r="AP593" i="23"/>
  <c r="AX593" i="23" s="1"/>
  <c r="BD593" i="23"/>
  <c r="BF593" i="23"/>
  <c r="BJ593" i="23"/>
  <c r="K594" i="23"/>
  <c r="AK594" i="23" s="1"/>
  <c r="Z594" i="23"/>
  <c r="AD594" i="23"/>
  <c r="AE594" i="23"/>
  <c r="AF594" i="23"/>
  <c r="AG594" i="23"/>
  <c r="AH594" i="23"/>
  <c r="AJ594" i="23"/>
  <c r="AL594" i="23"/>
  <c r="AO594" i="23"/>
  <c r="AW594" i="23" s="1"/>
  <c r="AP594" i="23"/>
  <c r="BD594" i="23"/>
  <c r="BF594" i="23"/>
  <c r="BJ594" i="23"/>
  <c r="K595" i="23"/>
  <c r="Z595" i="23"/>
  <c r="AD595" i="23"/>
  <c r="AE595" i="23"/>
  <c r="AF595" i="23"/>
  <c r="AG595" i="23"/>
  <c r="AH595" i="23"/>
  <c r="AJ595" i="23"/>
  <c r="AK595" i="23"/>
  <c r="AL595" i="23"/>
  <c r="AO595" i="23"/>
  <c r="I595" i="23" s="1"/>
  <c r="AP595" i="23"/>
  <c r="J595" i="23" s="1"/>
  <c r="AX595" i="23"/>
  <c r="BD595" i="23"/>
  <c r="BF595" i="23"/>
  <c r="BI595" i="23"/>
  <c r="AC595" i="23" s="1"/>
  <c r="BJ595" i="23"/>
  <c r="K596" i="23"/>
  <c r="AK596" i="23" s="1"/>
  <c r="Z596" i="23"/>
  <c r="AD596" i="23"/>
  <c r="AE596" i="23"/>
  <c r="AF596" i="23"/>
  <c r="AG596" i="23"/>
  <c r="AH596" i="23"/>
  <c r="AJ596" i="23"/>
  <c r="AL596" i="23"/>
  <c r="AO596" i="23"/>
  <c r="I596" i="23" s="1"/>
  <c r="AP596" i="23"/>
  <c r="AX596" i="23" s="1"/>
  <c r="BD596" i="23"/>
  <c r="BF596" i="23"/>
  <c r="BJ596" i="23"/>
  <c r="K597" i="23"/>
  <c r="Z597" i="23"/>
  <c r="AD597" i="23"/>
  <c r="AE597" i="23"/>
  <c r="AF597" i="23"/>
  <c r="AG597" i="23"/>
  <c r="AH597" i="23"/>
  <c r="AJ597" i="23"/>
  <c r="AK597" i="23"/>
  <c r="AL597" i="23"/>
  <c r="AO597" i="23"/>
  <c r="I597" i="23" s="1"/>
  <c r="AP597" i="23"/>
  <c r="AX597" i="23" s="1"/>
  <c r="AW597" i="23"/>
  <c r="BD597" i="23"/>
  <c r="BF597" i="23"/>
  <c r="BH597" i="23"/>
  <c r="AB597" i="23" s="1"/>
  <c r="BJ597" i="23"/>
  <c r="K598" i="23"/>
  <c r="Z598" i="23"/>
  <c r="AD598" i="23"/>
  <c r="AE598" i="23"/>
  <c r="AF598" i="23"/>
  <c r="AG598" i="23"/>
  <c r="AH598" i="23"/>
  <c r="AJ598" i="23"/>
  <c r="AK598" i="23"/>
  <c r="AL598" i="23"/>
  <c r="AO598" i="23"/>
  <c r="AW598" i="23" s="1"/>
  <c r="AP598" i="23"/>
  <c r="J598" i="23" s="1"/>
  <c r="BD598" i="23"/>
  <c r="BF598" i="23"/>
  <c r="BH598" i="23"/>
  <c r="AB598" i="23" s="1"/>
  <c r="BI598" i="23"/>
  <c r="AC598" i="23" s="1"/>
  <c r="BJ598" i="23"/>
  <c r="K599" i="23"/>
  <c r="AK599" i="23" s="1"/>
  <c r="Z599" i="23"/>
  <c r="AD599" i="23"/>
  <c r="AE599" i="23"/>
  <c r="AF599" i="23"/>
  <c r="AG599" i="23"/>
  <c r="AH599" i="23"/>
  <c r="AJ599" i="23"/>
  <c r="AL599" i="23"/>
  <c r="AO599" i="23"/>
  <c r="AP599" i="23"/>
  <c r="J599" i="23" s="1"/>
  <c r="BD599" i="23"/>
  <c r="BF599" i="23"/>
  <c r="BI599" i="23"/>
  <c r="AC599" i="23" s="1"/>
  <c r="BJ599" i="23"/>
  <c r="K600" i="23"/>
  <c r="AK600" i="23" s="1"/>
  <c r="Z600" i="23"/>
  <c r="AD600" i="23"/>
  <c r="AE600" i="23"/>
  <c r="AF600" i="23"/>
  <c r="AG600" i="23"/>
  <c r="AH600" i="23"/>
  <c r="AJ600" i="23"/>
  <c r="AL600" i="23"/>
  <c r="AO600" i="23"/>
  <c r="I600" i="23" s="1"/>
  <c r="AP600" i="23"/>
  <c r="J600" i="23" s="1"/>
  <c r="BD600" i="23"/>
  <c r="BF600" i="23"/>
  <c r="BJ600" i="23"/>
  <c r="K601" i="23"/>
  <c r="AK601" i="23" s="1"/>
  <c r="Z601" i="23"/>
  <c r="AD601" i="23"/>
  <c r="AE601" i="23"/>
  <c r="AF601" i="23"/>
  <c r="AG601" i="23"/>
  <c r="AH601" i="23"/>
  <c r="AJ601" i="23"/>
  <c r="AL601" i="23"/>
  <c r="AO601" i="23"/>
  <c r="BH601" i="23" s="1"/>
  <c r="AB601" i="23" s="1"/>
  <c r="AP601" i="23"/>
  <c r="AX601" i="23" s="1"/>
  <c r="BD601" i="23"/>
  <c r="BF601" i="23"/>
  <c r="BJ601" i="23"/>
  <c r="K602" i="23"/>
  <c r="Z602" i="23"/>
  <c r="AD602" i="23"/>
  <c r="AE602" i="23"/>
  <c r="AF602" i="23"/>
  <c r="AG602" i="23"/>
  <c r="AH602" i="23"/>
  <c r="AJ602" i="23"/>
  <c r="AK602" i="23"/>
  <c r="AL602" i="23"/>
  <c r="AO602" i="23"/>
  <c r="AW602" i="23" s="1"/>
  <c r="AP602" i="23"/>
  <c r="J602" i="23" s="1"/>
  <c r="BD602" i="23"/>
  <c r="BF602" i="23"/>
  <c r="BH602" i="23"/>
  <c r="AB602" i="23" s="1"/>
  <c r="BJ602" i="23"/>
  <c r="K603" i="23"/>
  <c r="AK603" i="23" s="1"/>
  <c r="Z603" i="23"/>
  <c r="AD603" i="23"/>
  <c r="AE603" i="23"/>
  <c r="AF603" i="23"/>
  <c r="AG603" i="23"/>
  <c r="AH603" i="23"/>
  <c r="AJ603" i="23"/>
  <c r="AL603" i="23"/>
  <c r="AO603" i="23"/>
  <c r="I603" i="23" s="1"/>
  <c r="AP603" i="23"/>
  <c r="J603" i="23" s="1"/>
  <c r="BD603" i="23"/>
  <c r="BF603" i="23"/>
  <c r="BJ603" i="23"/>
  <c r="K604" i="23"/>
  <c r="AK604" i="23" s="1"/>
  <c r="Z604" i="23"/>
  <c r="AD604" i="23"/>
  <c r="AE604" i="23"/>
  <c r="AF604" i="23"/>
  <c r="AG604" i="23"/>
  <c r="AH604" i="23"/>
  <c r="AJ604" i="23"/>
  <c r="AL604" i="23"/>
  <c r="AO604" i="23"/>
  <c r="AP604" i="23"/>
  <c r="AX604" i="23" s="1"/>
  <c r="BD604" i="23"/>
  <c r="BF604" i="23"/>
  <c r="BH604" i="23"/>
  <c r="AB604" i="23" s="1"/>
  <c r="BJ604" i="23"/>
  <c r="K605" i="23"/>
  <c r="AK605" i="23" s="1"/>
  <c r="Z605" i="23"/>
  <c r="AD605" i="23"/>
  <c r="AE605" i="23"/>
  <c r="AF605" i="23"/>
  <c r="AG605" i="23"/>
  <c r="AH605" i="23"/>
  <c r="AJ605" i="23"/>
  <c r="AL605" i="23"/>
  <c r="AO605" i="23"/>
  <c r="AP605" i="23"/>
  <c r="AX605" i="23" s="1"/>
  <c r="BD605" i="23"/>
  <c r="BF605" i="23"/>
  <c r="BI605" i="23"/>
  <c r="AC605" i="23" s="1"/>
  <c r="BJ605" i="23"/>
  <c r="K606" i="23"/>
  <c r="AK606" i="23" s="1"/>
  <c r="Z606" i="23"/>
  <c r="AD606" i="23"/>
  <c r="AE606" i="23"/>
  <c r="AF606" i="23"/>
  <c r="AG606" i="23"/>
  <c r="AH606" i="23"/>
  <c r="AJ606" i="23"/>
  <c r="AL606" i="23"/>
  <c r="AO606" i="23"/>
  <c r="AW606" i="23" s="1"/>
  <c r="AP606" i="23"/>
  <c r="J606" i="23" s="1"/>
  <c r="BD606" i="23"/>
  <c r="BF606" i="23"/>
  <c r="BH606" i="23"/>
  <c r="AB606" i="23" s="1"/>
  <c r="BJ606" i="23"/>
  <c r="K607" i="23"/>
  <c r="AK607" i="23" s="1"/>
  <c r="Z607" i="23"/>
  <c r="AD607" i="23"/>
  <c r="AE607" i="23"/>
  <c r="AF607" i="23"/>
  <c r="AG607" i="23"/>
  <c r="AH607" i="23"/>
  <c r="AJ607" i="23"/>
  <c r="AL607" i="23"/>
  <c r="AO607" i="23"/>
  <c r="I607" i="23" s="1"/>
  <c r="AP607" i="23"/>
  <c r="BD607" i="23"/>
  <c r="BF607" i="23"/>
  <c r="BH607" i="23"/>
  <c r="AB607" i="23" s="1"/>
  <c r="BJ607" i="23"/>
  <c r="K608" i="23"/>
  <c r="AK608" i="23" s="1"/>
  <c r="Z608" i="23"/>
  <c r="AD608" i="23"/>
  <c r="AE608" i="23"/>
  <c r="AF608" i="23"/>
  <c r="AG608" i="23"/>
  <c r="AH608" i="23"/>
  <c r="AJ608" i="23"/>
  <c r="AL608" i="23"/>
  <c r="AO608" i="23"/>
  <c r="I608" i="23" s="1"/>
  <c r="AP608" i="23"/>
  <c r="J608" i="23" s="1"/>
  <c r="AX608" i="23"/>
  <c r="BD608" i="23"/>
  <c r="BF608" i="23"/>
  <c r="BI608" i="23"/>
  <c r="AC608" i="23" s="1"/>
  <c r="BJ608" i="23"/>
  <c r="K609" i="23"/>
  <c r="AK609" i="23" s="1"/>
  <c r="Z609" i="23"/>
  <c r="AD609" i="23"/>
  <c r="AE609" i="23"/>
  <c r="AF609" i="23"/>
  <c r="AG609" i="23"/>
  <c r="AH609" i="23"/>
  <c r="AJ609" i="23"/>
  <c r="AL609" i="23"/>
  <c r="AO609" i="23"/>
  <c r="I609" i="23" s="1"/>
  <c r="AP609" i="23"/>
  <c r="AX609" i="23" s="1"/>
  <c r="BD609" i="23"/>
  <c r="BF609" i="23"/>
  <c r="BH609" i="23"/>
  <c r="AB609" i="23" s="1"/>
  <c r="BJ609" i="23"/>
  <c r="K610" i="23"/>
  <c r="AK610" i="23" s="1"/>
  <c r="Z610" i="23"/>
  <c r="AD610" i="23"/>
  <c r="AE610" i="23"/>
  <c r="AF610" i="23"/>
  <c r="AG610" i="23"/>
  <c r="AH610" i="23"/>
  <c r="AJ610" i="23"/>
  <c r="AL610" i="23"/>
  <c r="AO610" i="23"/>
  <c r="AW610" i="23" s="1"/>
  <c r="AP610" i="23"/>
  <c r="J610" i="23" s="1"/>
  <c r="BD610" i="23"/>
  <c r="BF610" i="23"/>
  <c r="BH610" i="23"/>
  <c r="AB610" i="23" s="1"/>
  <c r="BI610" i="23"/>
  <c r="AC610" i="23" s="1"/>
  <c r="BJ610" i="23"/>
  <c r="K611" i="23"/>
  <c r="AK611" i="23" s="1"/>
  <c r="Z611" i="23"/>
  <c r="AD611" i="23"/>
  <c r="AE611" i="23"/>
  <c r="AF611" i="23"/>
  <c r="AG611" i="23"/>
  <c r="AH611" i="23"/>
  <c r="AJ611" i="23"/>
  <c r="AL611" i="23"/>
  <c r="AO611" i="23"/>
  <c r="I611" i="23" s="1"/>
  <c r="AP611" i="23"/>
  <c r="J611" i="23" s="1"/>
  <c r="BD611" i="23"/>
  <c r="BF611" i="23"/>
  <c r="BH611" i="23"/>
  <c r="AB611" i="23" s="1"/>
  <c r="BJ611" i="23"/>
  <c r="K612" i="23"/>
  <c r="AK612" i="23" s="1"/>
  <c r="Z612" i="23"/>
  <c r="AD612" i="23"/>
  <c r="AE612" i="23"/>
  <c r="AF612" i="23"/>
  <c r="AG612" i="23"/>
  <c r="AH612" i="23"/>
  <c r="AJ612" i="23"/>
  <c r="AL612" i="23"/>
  <c r="AO612" i="23"/>
  <c r="BH612" i="23" s="1"/>
  <c r="AB612" i="23" s="1"/>
  <c r="AP612" i="23"/>
  <c r="AX612" i="23" s="1"/>
  <c r="BD612" i="23"/>
  <c r="BF612" i="23"/>
  <c r="BJ612" i="23"/>
  <c r="K613" i="23"/>
  <c r="AK613" i="23" s="1"/>
  <c r="Z613" i="23"/>
  <c r="AD613" i="23"/>
  <c r="AE613" i="23"/>
  <c r="AF613" i="23"/>
  <c r="AG613" i="23"/>
  <c r="AH613" i="23"/>
  <c r="AJ613" i="23"/>
  <c r="AL613" i="23"/>
  <c r="AO613" i="23"/>
  <c r="AP613" i="23"/>
  <c r="AX613" i="23" s="1"/>
  <c r="BD613" i="23"/>
  <c r="BF613" i="23"/>
  <c r="BI613" i="23"/>
  <c r="AC613" i="23" s="1"/>
  <c r="BJ613" i="23"/>
  <c r="K614" i="23"/>
  <c r="AK614" i="23" s="1"/>
  <c r="Z614" i="23"/>
  <c r="AD614" i="23"/>
  <c r="AE614" i="23"/>
  <c r="AF614" i="23"/>
  <c r="AG614" i="23"/>
  <c r="AH614" i="23"/>
  <c r="AJ614" i="23"/>
  <c r="AL614" i="23"/>
  <c r="AO614" i="23"/>
  <c r="AW614" i="23" s="1"/>
  <c r="AP614" i="23"/>
  <c r="J614" i="23" s="1"/>
  <c r="BD614" i="23"/>
  <c r="BF614" i="23"/>
  <c r="BH614" i="23"/>
  <c r="AB614" i="23" s="1"/>
  <c r="BJ614" i="23"/>
  <c r="K615" i="23"/>
  <c r="AK615" i="23" s="1"/>
  <c r="Z615" i="23"/>
  <c r="AD615" i="23"/>
  <c r="AE615" i="23"/>
  <c r="AF615" i="23"/>
  <c r="AG615" i="23"/>
  <c r="AH615" i="23"/>
  <c r="AJ615" i="23"/>
  <c r="AL615" i="23"/>
  <c r="AO615" i="23"/>
  <c r="I615" i="23" s="1"/>
  <c r="AP615" i="23"/>
  <c r="J615" i="23" s="1"/>
  <c r="BD615" i="23"/>
  <c r="BF615" i="23"/>
  <c r="BI615" i="23"/>
  <c r="AC615" i="23" s="1"/>
  <c r="BJ615" i="23"/>
  <c r="K616" i="23"/>
  <c r="AK616" i="23" s="1"/>
  <c r="Z616" i="23"/>
  <c r="AD616" i="23"/>
  <c r="AE616" i="23"/>
  <c r="AF616" i="23"/>
  <c r="AG616" i="23"/>
  <c r="AH616" i="23"/>
  <c r="AJ616" i="23"/>
  <c r="AL616" i="23"/>
  <c r="AO616" i="23"/>
  <c r="I616" i="23" s="1"/>
  <c r="AP616" i="23"/>
  <c r="AX616" i="23" s="1"/>
  <c r="BD616" i="23"/>
  <c r="BF616" i="23"/>
  <c r="BJ616" i="23"/>
  <c r="K617" i="23"/>
  <c r="AK617" i="23" s="1"/>
  <c r="Z617" i="23"/>
  <c r="AD617" i="23"/>
  <c r="AE617" i="23"/>
  <c r="AF617" i="23"/>
  <c r="AG617" i="23"/>
  <c r="AH617" i="23"/>
  <c r="AJ617" i="23"/>
  <c r="AL617" i="23"/>
  <c r="AO617" i="23"/>
  <c r="AW617" i="23" s="1"/>
  <c r="AP617" i="23"/>
  <c r="BD617" i="23"/>
  <c r="BF617" i="23"/>
  <c r="BH617" i="23"/>
  <c r="AB617" i="23" s="1"/>
  <c r="BJ617" i="23"/>
  <c r="K618" i="23"/>
  <c r="Z618" i="23"/>
  <c r="AD618" i="23"/>
  <c r="AE618" i="23"/>
  <c r="AF618" i="23"/>
  <c r="AG618" i="23"/>
  <c r="AH618" i="23"/>
  <c r="AJ618" i="23"/>
  <c r="AK618" i="23"/>
  <c r="AL618" i="23"/>
  <c r="AO618" i="23"/>
  <c r="AW618" i="23" s="1"/>
  <c r="AP618" i="23"/>
  <c r="J618" i="23" s="1"/>
  <c r="BD618" i="23"/>
  <c r="BF618" i="23"/>
  <c r="BH618" i="23"/>
  <c r="AB618" i="23" s="1"/>
  <c r="BJ618" i="23"/>
  <c r="K619" i="23"/>
  <c r="AK619" i="23" s="1"/>
  <c r="Z619" i="23"/>
  <c r="AD619" i="23"/>
  <c r="AE619" i="23"/>
  <c r="AF619" i="23"/>
  <c r="AG619" i="23"/>
  <c r="AH619" i="23"/>
  <c r="AJ619" i="23"/>
  <c r="AL619" i="23"/>
  <c r="AO619" i="23"/>
  <c r="AP619" i="23"/>
  <c r="J619" i="23" s="1"/>
  <c r="BD619" i="23"/>
  <c r="BF619" i="23"/>
  <c r="BI619" i="23"/>
  <c r="AC619" i="23" s="1"/>
  <c r="BJ619" i="23"/>
  <c r="K620" i="23"/>
  <c r="AK620" i="23" s="1"/>
  <c r="Z620" i="23"/>
  <c r="AD620" i="23"/>
  <c r="AE620" i="23"/>
  <c r="AF620" i="23"/>
  <c r="AG620" i="23"/>
  <c r="AH620" i="23"/>
  <c r="AJ620" i="23"/>
  <c r="AL620" i="23"/>
  <c r="AO620" i="23"/>
  <c r="I620" i="23" s="1"/>
  <c r="AP620" i="23"/>
  <c r="J620" i="23" s="1"/>
  <c r="BD620" i="23"/>
  <c r="BF620" i="23"/>
  <c r="BH620" i="23"/>
  <c r="AB620" i="23" s="1"/>
  <c r="BJ620" i="23"/>
  <c r="K621" i="23"/>
  <c r="AK621" i="23" s="1"/>
  <c r="Z621" i="23"/>
  <c r="AD621" i="23"/>
  <c r="AE621" i="23"/>
  <c r="AF621" i="23"/>
  <c r="AG621" i="23"/>
  <c r="AH621" i="23"/>
  <c r="AJ621" i="23"/>
  <c r="AL621" i="23"/>
  <c r="AO621" i="23"/>
  <c r="BH621" i="23" s="1"/>
  <c r="AB621" i="23" s="1"/>
  <c r="AP621" i="23"/>
  <c r="J621" i="23" s="1"/>
  <c r="BD621" i="23"/>
  <c r="BF621" i="23"/>
  <c r="BJ621" i="23"/>
  <c r="K622" i="23"/>
  <c r="Z622" i="23"/>
  <c r="AD622" i="23"/>
  <c r="AE622" i="23"/>
  <c r="AF622" i="23"/>
  <c r="AG622" i="23"/>
  <c r="AH622" i="23"/>
  <c r="AJ622" i="23"/>
  <c r="AK622" i="23"/>
  <c r="AL622" i="23"/>
  <c r="AO622" i="23"/>
  <c r="AW622" i="23" s="1"/>
  <c r="AP622" i="23"/>
  <c r="J622" i="23" s="1"/>
  <c r="BD622" i="23"/>
  <c r="BF622" i="23"/>
  <c r="BH622" i="23"/>
  <c r="AB622" i="23" s="1"/>
  <c r="BI622" i="23"/>
  <c r="AC622" i="23" s="1"/>
  <c r="BJ622" i="23"/>
  <c r="K623" i="23"/>
  <c r="AK623" i="23" s="1"/>
  <c r="Z623" i="23"/>
  <c r="AD623" i="23"/>
  <c r="AE623" i="23"/>
  <c r="AF623" i="23"/>
  <c r="AG623" i="23"/>
  <c r="AH623" i="23"/>
  <c r="AJ623" i="23"/>
  <c r="AL623" i="23"/>
  <c r="AO623" i="23"/>
  <c r="I623" i="23" s="1"/>
  <c r="AP623" i="23"/>
  <c r="J623" i="23" s="1"/>
  <c r="BD623" i="23"/>
  <c r="BF623" i="23"/>
  <c r="BJ623" i="23"/>
  <c r="K624" i="23"/>
  <c r="AK624" i="23" s="1"/>
  <c r="Z624" i="23"/>
  <c r="AD624" i="23"/>
  <c r="AE624" i="23"/>
  <c r="AF624" i="23"/>
  <c r="AG624" i="23"/>
  <c r="AH624" i="23"/>
  <c r="AJ624" i="23"/>
  <c r="AL624" i="23"/>
  <c r="AO624" i="23"/>
  <c r="I624" i="23" s="1"/>
  <c r="AP624" i="23"/>
  <c r="J624" i="23" s="1"/>
  <c r="BD624" i="23"/>
  <c r="BF624" i="23"/>
  <c r="BJ624" i="23"/>
  <c r="K625" i="23"/>
  <c r="Z625" i="23"/>
  <c r="AD625" i="23"/>
  <c r="AE625" i="23"/>
  <c r="AF625" i="23"/>
  <c r="AG625" i="23"/>
  <c r="AH625" i="23"/>
  <c r="AJ625" i="23"/>
  <c r="AK625" i="23"/>
  <c r="AL625" i="23"/>
  <c r="AO625" i="23"/>
  <c r="I625" i="23" s="1"/>
  <c r="AP625" i="23"/>
  <c r="AX625" i="23" s="1"/>
  <c r="BD625" i="23"/>
  <c r="BF625" i="23"/>
  <c r="BJ625" i="23"/>
  <c r="K626" i="23"/>
  <c r="Z626" i="23"/>
  <c r="AD626" i="23"/>
  <c r="AE626" i="23"/>
  <c r="AF626" i="23"/>
  <c r="AG626" i="23"/>
  <c r="AH626" i="23"/>
  <c r="AJ626" i="23"/>
  <c r="AK626" i="23"/>
  <c r="AL626" i="23"/>
  <c r="AO626" i="23"/>
  <c r="AW626" i="23" s="1"/>
  <c r="AP626" i="23"/>
  <c r="J626" i="23" s="1"/>
  <c r="BD626" i="23"/>
  <c r="BF626" i="23"/>
  <c r="BI626" i="23"/>
  <c r="AC626" i="23" s="1"/>
  <c r="BJ626" i="23"/>
  <c r="K627" i="23"/>
  <c r="AK627" i="23" s="1"/>
  <c r="Z627" i="23"/>
  <c r="AD627" i="23"/>
  <c r="AE627" i="23"/>
  <c r="AF627" i="23"/>
  <c r="AG627" i="23"/>
  <c r="AH627" i="23"/>
  <c r="AJ627" i="23"/>
  <c r="AL627" i="23"/>
  <c r="AO627" i="23"/>
  <c r="AP627" i="23"/>
  <c r="J627" i="23" s="1"/>
  <c r="BD627" i="23"/>
  <c r="BF627" i="23"/>
  <c r="BI627" i="23"/>
  <c r="AC627" i="23" s="1"/>
  <c r="BJ627" i="23"/>
  <c r="K628" i="23"/>
  <c r="AK628" i="23" s="1"/>
  <c r="Z628" i="23"/>
  <c r="AD628" i="23"/>
  <c r="AE628" i="23"/>
  <c r="AF628" i="23"/>
  <c r="AG628" i="23"/>
  <c r="AH628" i="23"/>
  <c r="AJ628" i="23"/>
  <c r="AL628" i="23"/>
  <c r="AO628" i="23"/>
  <c r="I628" i="23" s="1"/>
  <c r="AP628" i="23"/>
  <c r="J628" i="23" s="1"/>
  <c r="BD628" i="23"/>
  <c r="BF628" i="23"/>
  <c r="BJ628" i="23"/>
  <c r="K629" i="23"/>
  <c r="AK629" i="23" s="1"/>
  <c r="Z629" i="23"/>
  <c r="AD629" i="23"/>
  <c r="AE629" i="23"/>
  <c r="AF629" i="23"/>
  <c r="AG629" i="23"/>
  <c r="AH629" i="23"/>
  <c r="AJ629" i="23"/>
  <c r="AL629" i="23"/>
  <c r="AO629" i="23"/>
  <c r="BH629" i="23" s="1"/>
  <c r="AB629" i="23" s="1"/>
  <c r="AP629" i="23"/>
  <c r="J629" i="23" s="1"/>
  <c r="BD629" i="23"/>
  <c r="BF629" i="23"/>
  <c r="BJ629" i="23"/>
  <c r="K630" i="23"/>
  <c r="Z630" i="23"/>
  <c r="AD630" i="23"/>
  <c r="AE630" i="23"/>
  <c r="AF630" i="23"/>
  <c r="AG630" i="23"/>
  <c r="AH630" i="23"/>
  <c r="AJ630" i="23"/>
  <c r="AK630" i="23"/>
  <c r="AL630" i="23"/>
  <c r="AO630" i="23"/>
  <c r="BH630" i="23" s="1"/>
  <c r="AB630" i="23" s="1"/>
  <c r="AP630" i="23"/>
  <c r="BD630" i="23"/>
  <c r="BF630" i="23"/>
  <c r="BJ630" i="23"/>
  <c r="K631" i="23"/>
  <c r="AK631" i="23" s="1"/>
  <c r="Z631" i="23"/>
  <c r="AD631" i="23"/>
  <c r="AE631" i="23"/>
  <c r="AF631" i="23"/>
  <c r="AG631" i="23"/>
  <c r="AH631" i="23"/>
  <c r="AJ631" i="23"/>
  <c r="AL631" i="23"/>
  <c r="AO631" i="23"/>
  <c r="AP631" i="23"/>
  <c r="J631" i="23" s="1"/>
  <c r="AX631" i="23"/>
  <c r="BD631" i="23"/>
  <c r="BF631" i="23"/>
  <c r="BI631" i="23"/>
  <c r="AC631" i="23" s="1"/>
  <c r="BJ631" i="23"/>
  <c r="K632" i="23"/>
  <c r="AK632" i="23" s="1"/>
  <c r="Z632" i="23"/>
  <c r="AD632" i="23"/>
  <c r="AE632" i="23"/>
  <c r="AF632" i="23"/>
  <c r="AG632" i="23"/>
  <c r="AH632" i="23"/>
  <c r="AJ632" i="23"/>
  <c r="AL632" i="23"/>
  <c r="AO632" i="23"/>
  <c r="I632" i="23" s="1"/>
  <c r="AP632" i="23"/>
  <c r="J632" i="23" s="1"/>
  <c r="BD632" i="23"/>
  <c r="BF632" i="23"/>
  <c r="BJ632" i="23"/>
  <c r="K633" i="23"/>
  <c r="Z633" i="23"/>
  <c r="AD633" i="23"/>
  <c r="AE633" i="23"/>
  <c r="AF633" i="23"/>
  <c r="AG633" i="23"/>
  <c r="AH633" i="23"/>
  <c r="AJ633" i="23"/>
  <c r="AK633" i="23"/>
  <c r="AL633" i="23"/>
  <c r="AO633" i="23"/>
  <c r="AP633" i="23"/>
  <c r="AX633" i="23" s="1"/>
  <c r="AW633" i="23"/>
  <c r="BC633" i="23" s="1"/>
  <c r="BD633" i="23"/>
  <c r="BF633" i="23"/>
  <c r="BI633" i="23"/>
  <c r="AC633" i="23" s="1"/>
  <c r="BJ633" i="23"/>
  <c r="K634" i="23"/>
  <c r="AK634" i="23" s="1"/>
  <c r="Z634" i="23"/>
  <c r="AD634" i="23"/>
  <c r="AE634" i="23"/>
  <c r="AF634" i="23"/>
  <c r="AG634" i="23"/>
  <c r="AH634" i="23"/>
  <c r="AJ634" i="23"/>
  <c r="AL634" i="23"/>
  <c r="AO634" i="23"/>
  <c r="AP634" i="23"/>
  <c r="BD634" i="23"/>
  <c r="BF634" i="23"/>
  <c r="BH634" i="23"/>
  <c r="AB634" i="23" s="1"/>
  <c r="BJ634" i="23"/>
  <c r="K635" i="23"/>
  <c r="AK635" i="23" s="1"/>
  <c r="Z635" i="23"/>
  <c r="AD635" i="23"/>
  <c r="AE635" i="23"/>
  <c r="AF635" i="23"/>
  <c r="AG635" i="23"/>
  <c r="AH635" i="23"/>
  <c r="AJ635" i="23"/>
  <c r="AL635" i="23"/>
  <c r="AO635" i="23"/>
  <c r="AP635" i="23"/>
  <c r="J635" i="23" s="1"/>
  <c r="AX635" i="23"/>
  <c r="BD635" i="23"/>
  <c r="BF635" i="23"/>
  <c r="BI635" i="23"/>
  <c r="AC635" i="23" s="1"/>
  <c r="BJ635" i="23"/>
  <c r="K636" i="23"/>
  <c r="Z636" i="23"/>
  <c r="AD636" i="23"/>
  <c r="AE636" i="23"/>
  <c r="AF636" i="23"/>
  <c r="AG636" i="23"/>
  <c r="AH636" i="23"/>
  <c r="AJ636" i="23"/>
  <c r="AK636" i="23"/>
  <c r="AL636" i="23"/>
  <c r="AO636" i="23"/>
  <c r="I636" i="23" s="1"/>
  <c r="AP636" i="23"/>
  <c r="AX636" i="23" s="1"/>
  <c r="AW636" i="23"/>
  <c r="BD636" i="23"/>
  <c r="BF636" i="23"/>
  <c r="BH636" i="23"/>
  <c r="AB636" i="23" s="1"/>
  <c r="BJ636" i="23"/>
  <c r="K637" i="23"/>
  <c r="AK637" i="23" s="1"/>
  <c r="Z637" i="23"/>
  <c r="AD637" i="23"/>
  <c r="AE637" i="23"/>
  <c r="AF637" i="23"/>
  <c r="AG637" i="23"/>
  <c r="AH637" i="23"/>
  <c r="AJ637" i="23"/>
  <c r="AL637" i="23"/>
  <c r="AO637" i="23"/>
  <c r="AW637" i="23" s="1"/>
  <c r="AP637" i="23"/>
  <c r="AX637" i="23" s="1"/>
  <c r="BD637" i="23"/>
  <c r="BF637" i="23"/>
  <c r="BH637" i="23"/>
  <c r="AB637" i="23" s="1"/>
  <c r="BJ637" i="23"/>
  <c r="K638" i="23"/>
  <c r="Z638" i="23"/>
  <c r="AD638" i="23"/>
  <c r="AE638" i="23"/>
  <c r="AF638" i="23"/>
  <c r="AG638" i="23"/>
  <c r="AH638" i="23"/>
  <c r="AJ638" i="23"/>
  <c r="AK638" i="23"/>
  <c r="AL638" i="23"/>
  <c r="AO638" i="23"/>
  <c r="I638" i="23" s="1"/>
  <c r="AP638" i="23"/>
  <c r="J638" i="23" s="1"/>
  <c r="AW638" i="23"/>
  <c r="BD638" i="23"/>
  <c r="BF638" i="23"/>
  <c r="BH638" i="23"/>
  <c r="AB638" i="23" s="1"/>
  <c r="BJ638" i="23"/>
  <c r="K639" i="23"/>
  <c r="AK639" i="23" s="1"/>
  <c r="Z639" i="23"/>
  <c r="AD639" i="23"/>
  <c r="AE639" i="23"/>
  <c r="AF639" i="23"/>
  <c r="AG639" i="23"/>
  <c r="AH639" i="23"/>
  <c r="AJ639" i="23"/>
  <c r="AL639" i="23"/>
  <c r="AO639" i="23"/>
  <c r="I639" i="23" s="1"/>
  <c r="AP639" i="23"/>
  <c r="J639" i="23" s="1"/>
  <c r="AX639" i="23"/>
  <c r="BD639" i="23"/>
  <c r="BF639" i="23"/>
  <c r="BH639" i="23"/>
  <c r="AB639" i="23" s="1"/>
  <c r="BI639" i="23"/>
  <c r="AC639" i="23" s="1"/>
  <c r="BJ639" i="23"/>
  <c r="K640" i="23"/>
  <c r="Z640" i="23"/>
  <c r="AC640" i="23"/>
  <c r="AD640" i="23"/>
  <c r="AE640" i="23"/>
  <c r="AF640" i="23"/>
  <c r="AG640" i="23"/>
  <c r="AH640" i="23"/>
  <c r="AJ640" i="23"/>
  <c r="AK640" i="23"/>
  <c r="AL640" i="23"/>
  <c r="AO640" i="23"/>
  <c r="I640" i="23" s="1"/>
  <c r="AP640" i="23"/>
  <c r="AX640" i="23" s="1"/>
  <c r="AW640" i="23"/>
  <c r="BC640" i="23" s="1"/>
  <c r="BD640" i="23"/>
  <c r="BF640" i="23"/>
  <c r="BI640" i="23"/>
  <c r="BJ640" i="23"/>
  <c r="K641" i="23"/>
  <c r="Z641" i="23"/>
  <c r="AD641" i="23"/>
  <c r="AE641" i="23"/>
  <c r="AF641" i="23"/>
  <c r="AG641" i="23"/>
  <c r="AH641" i="23"/>
  <c r="AJ641" i="23"/>
  <c r="AK641" i="23"/>
  <c r="AL641" i="23"/>
  <c r="AO641" i="23"/>
  <c r="AW641" i="23" s="1"/>
  <c r="AP641" i="23"/>
  <c r="AX641" i="23" s="1"/>
  <c r="BD641" i="23"/>
  <c r="BF641" i="23"/>
  <c r="BJ641" i="23"/>
  <c r="K642" i="23"/>
  <c r="Z642" i="23"/>
  <c r="AD642" i="23"/>
  <c r="AE642" i="23"/>
  <c r="AF642" i="23"/>
  <c r="AG642" i="23"/>
  <c r="AH642" i="23"/>
  <c r="AJ642" i="23"/>
  <c r="AK642" i="23"/>
  <c r="AL642" i="23"/>
  <c r="AO642" i="23"/>
  <c r="I642" i="23" s="1"/>
  <c r="AP642" i="23"/>
  <c r="J642" i="23" s="1"/>
  <c r="BD642" i="23"/>
  <c r="BF642" i="23"/>
  <c r="BH642" i="23"/>
  <c r="AB642" i="23" s="1"/>
  <c r="BJ642" i="23"/>
  <c r="K643" i="23"/>
  <c r="AK643" i="23" s="1"/>
  <c r="Z643" i="23"/>
  <c r="AD643" i="23"/>
  <c r="AE643" i="23"/>
  <c r="AF643" i="23"/>
  <c r="AG643" i="23"/>
  <c r="AH643" i="23"/>
  <c r="AJ643" i="23"/>
  <c r="AL643" i="23"/>
  <c r="AO643" i="23"/>
  <c r="I643" i="23" s="1"/>
  <c r="AP643" i="23"/>
  <c r="J643" i="23" s="1"/>
  <c r="BD643" i="23"/>
  <c r="BF643" i="23"/>
  <c r="BH643" i="23"/>
  <c r="AB643" i="23" s="1"/>
  <c r="BJ643" i="23"/>
  <c r="K644" i="23"/>
  <c r="AK644" i="23" s="1"/>
  <c r="Z644" i="23"/>
  <c r="AD644" i="23"/>
  <c r="AE644" i="23"/>
  <c r="AF644" i="23"/>
  <c r="AG644" i="23"/>
  <c r="AH644" i="23"/>
  <c r="AJ644" i="23"/>
  <c r="AL644" i="23"/>
  <c r="AO644" i="23"/>
  <c r="I644" i="23" s="1"/>
  <c r="AP644" i="23"/>
  <c r="AX644" i="23" s="1"/>
  <c r="BD644" i="23"/>
  <c r="BF644" i="23"/>
  <c r="BH644" i="23"/>
  <c r="AB644" i="23" s="1"/>
  <c r="BJ644" i="23"/>
  <c r="K645" i="23"/>
  <c r="AK645" i="23" s="1"/>
  <c r="Z645" i="23"/>
  <c r="AD645" i="23"/>
  <c r="AE645" i="23"/>
  <c r="AF645" i="23"/>
  <c r="AG645" i="23"/>
  <c r="AH645" i="23"/>
  <c r="AJ645" i="23"/>
  <c r="AL645" i="23"/>
  <c r="AO645" i="23"/>
  <c r="AW645" i="23" s="1"/>
  <c r="AP645" i="23"/>
  <c r="AX645" i="23" s="1"/>
  <c r="BD645" i="23"/>
  <c r="BF645" i="23"/>
  <c r="BJ645" i="23"/>
  <c r="K646" i="23"/>
  <c r="Z646" i="23"/>
  <c r="AD646" i="23"/>
  <c r="AE646" i="23"/>
  <c r="AF646" i="23"/>
  <c r="AG646" i="23"/>
  <c r="AH646" i="23"/>
  <c r="AJ646" i="23"/>
  <c r="AK646" i="23"/>
  <c r="AL646" i="23"/>
  <c r="AO646" i="23"/>
  <c r="AW646" i="23" s="1"/>
  <c r="AP646" i="23"/>
  <c r="J646" i="23" s="1"/>
  <c r="BD646" i="23"/>
  <c r="BF646" i="23"/>
  <c r="BH646" i="23"/>
  <c r="AB646" i="23" s="1"/>
  <c r="BJ646" i="23"/>
  <c r="K647" i="23"/>
  <c r="AK647" i="23" s="1"/>
  <c r="Z647" i="23"/>
  <c r="AD647" i="23"/>
  <c r="AE647" i="23"/>
  <c r="AF647" i="23"/>
  <c r="AG647" i="23"/>
  <c r="AH647" i="23"/>
  <c r="AJ647" i="23"/>
  <c r="AL647" i="23"/>
  <c r="AO647" i="23"/>
  <c r="I647" i="23" s="1"/>
  <c r="AP647" i="23"/>
  <c r="BD647" i="23"/>
  <c r="BF647" i="23"/>
  <c r="BH647" i="23"/>
  <c r="AB647" i="23" s="1"/>
  <c r="BJ647" i="23"/>
  <c r="K648" i="23"/>
  <c r="Z648" i="23"/>
  <c r="AD648" i="23"/>
  <c r="AE648" i="23"/>
  <c r="AF648" i="23"/>
  <c r="AG648" i="23"/>
  <c r="AH648" i="23"/>
  <c r="AJ648" i="23"/>
  <c r="AK648" i="23"/>
  <c r="AL648" i="23"/>
  <c r="AO648" i="23"/>
  <c r="I648" i="23" s="1"/>
  <c r="AP648" i="23"/>
  <c r="AX648" i="23" s="1"/>
  <c r="AW648" i="23"/>
  <c r="BD648" i="23"/>
  <c r="BF648" i="23"/>
  <c r="BH648" i="23"/>
  <c r="AB648" i="23" s="1"/>
  <c r="BJ648" i="23"/>
  <c r="K649" i="23"/>
  <c r="Z649" i="23"/>
  <c r="AD649" i="23"/>
  <c r="AE649" i="23"/>
  <c r="AF649" i="23"/>
  <c r="AG649" i="23"/>
  <c r="AH649" i="23"/>
  <c r="AJ649" i="23"/>
  <c r="AK649" i="23"/>
  <c r="AL649" i="23"/>
  <c r="AO649" i="23"/>
  <c r="I649" i="23" s="1"/>
  <c r="AP649" i="23"/>
  <c r="AX649" i="23" s="1"/>
  <c r="AW649" i="23"/>
  <c r="BD649" i="23"/>
  <c r="BF649" i="23"/>
  <c r="BH649" i="23"/>
  <c r="AB649" i="23" s="1"/>
  <c r="BI649" i="23"/>
  <c r="AC649" i="23" s="1"/>
  <c r="BJ649" i="23"/>
  <c r="K650" i="23"/>
  <c r="Z650" i="23"/>
  <c r="AD650" i="23"/>
  <c r="AE650" i="23"/>
  <c r="AF650" i="23"/>
  <c r="AG650" i="23"/>
  <c r="AH650" i="23"/>
  <c r="AJ650" i="23"/>
  <c r="AK650" i="23"/>
  <c r="AL650" i="23"/>
  <c r="AO650" i="23"/>
  <c r="AW650" i="23" s="1"/>
  <c r="AP650" i="23"/>
  <c r="J650" i="23" s="1"/>
  <c r="BD650" i="23"/>
  <c r="BF650" i="23"/>
  <c r="BJ650" i="23"/>
  <c r="K651" i="23"/>
  <c r="AK651" i="23" s="1"/>
  <c r="Z651" i="23"/>
  <c r="AD651" i="23"/>
  <c r="AE651" i="23"/>
  <c r="AF651" i="23"/>
  <c r="AG651" i="23"/>
  <c r="AH651" i="23"/>
  <c r="AJ651" i="23"/>
  <c r="AL651" i="23"/>
  <c r="AO651" i="23"/>
  <c r="I651" i="23" s="1"/>
  <c r="AP651" i="23"/>
  <c r="J651" i="23" s="1"/>
  <c r="AX651" i="23"/>
  <c r="BD651" i="23"/>
  <c r="BF651" i="23"/>
  <c r="BH651" i="23"/>
  <c r="AB651" i="23" s="1"/>
  <c r="BI651" i="23"/>
  <c r="AC651" i="23" s="1"/>
  <c r="BJ651" i="23"/>
  <c r="K652" i="23"/>
  <c r="Z652" i="23"/>
  <c r="AD652" i="23"/>
  <c r="AE652" i="23"/>
  <c r="AF652" i="23"/>
  <c r="AG652" i="23"/>
  <c r="AH652" i="23"/>
  <c r="AJ652" i="23"/>
  <c r="AK652" i="23"/>
  <c r="AL652" i="23"/>
  <c r="AO652" i="23"/>
  <c r="AW652" i="23" s="1"/>
  <c r="AP652" i="23"/>
  <c r="AX652" i="23" s="1"/>
  <c r="BD652" i="23"/>
  <c r="BF652" i="23"/>
  <c r="BJ652" i="23"/>
  <c r="K653" i="23"/>
  <c r="AK653" i="23" s="1"/>
  <c r="Z653" i="23"/>
  <c r="AD653" i="23"/>
  <c r="AE653" i="23"/>
  <c r="AF653" i="23"/>
  <c r="AG653" i="23"/>
  <c r="AH653" i="23"/>
  <c r="AJ653" i="23"/>
  <c r="AL653" i="23"/>
  <c r="AO653" i="23"/>
  <c r="AW653" i="23" s="1"/>
  <c r="AP653" i="23"/>
  <c r="AX653" i="23" s="1"/>
  <c r="BD653" i="23"/>
  <c r="BF653" i="23"/>
  <c r="BJ653" i="23"/>
  <c r="K654" i="23"/>
  <c r="Z654" i="23"/>
  <c r="AD654" i="23"/>
  <c r="AE654" i="23"/>
  <c r="AF654" i="23"/>
  <c r="AG654" i="23"/>
  <c r="AH654" i="23"/>
  <c r="AJ654" i="23"/>
  <c r="AK654" i="23"/>
  <c r="AL654" i="23"/>
  <c r="AO654" i="23"/>
  <c r="AP654" i="23"/>
  <c r="J654" i="23" s="1"/>
  <c r="BD654" i="23"/>
  <c r="BF654" i="23"/>
  <c r="BI654" i="23"/>
  <c r="AC654" i="23" s="1"/>
  <c r="BJ654" i="23"/>
  <c r="K655" i="23"/>
  <c r="AK655" i="23" s="1"/>
  <c r="Z655" i="23"/>
  <c r="AD655" i="23"/>
  <c r="AE655" i="23"/>
  <c r="AF655" i="23"/>
  <c r="AG655" i="23"/>
  <c r="AH655" i="23"/>
  <c r="AJ655" i="23"/>
  <c r="AL655" i="23"/>
  <c r="AO655" i="23"/>
  <c r="I655" i="23" s="1"/>
  <c r="AP655" i="23"/>
  <c r="J655" i="23" s="1"/>
  <c r="BD655" i="23"/>
  <c r="BF655" i="23"/>
  <c r="BH655" i="23"/>
  <c r="AB655" i="23" s="1"/>
  <c r="BJ655" i="23"/>
  <c r="K656" i="23"/>
  <c r="Z656" i="23"/>
  <c r="AD656" i="23"/>
  <c r="AE656" i="23"/>
  <c r="AF656" i="23"/>
  <c r="AG656" i="23"/>
  <c r="AH656" i="23"/>
  <c r="AJ656" i="23"/>
  <c r="AK656" i="23"/>
  <c r="AL656" i="23"/>
  <c r="AO656" i="23"/>
  <c r="BH656" i="23" s="1"/>
  <c r="AB656" i="23" s="1"/>
  <c r="AP656" i="23"/>
  <c r="BD656" i="23"/>
  <c r="BF656" i="23"/>
  <c r="BJ656" i="23"/>
  <c r="K657" i="23"/>
  <c r="Z657" i="23"/>
  <c r="AD657" i="23"/>
  <c r="AE657" i="23"/>
  <c r="AF657" i="23"/>
  <c r="AG657" i="23"/>
  <c r="AH657" i="23"/>
  <c r="AJ657" i="23"/>
  <c r="AK657" i="23"/>
  <c r="AL657" i="23"/>
  <c r="AO657" i="23"/>
  <c r="I657" i="23" s="1"/>
  <c r="AP657" i="23"/>
  <c r="AX657" i="23" s="1"/>
  <c r="BD657" i="23"/>
  <c r="BF657" i="23"/>
  <c r="BJ657" i="23"/>
  <c r="K658" i="23"/>
  <c r="Z658" i="23"/>
  <c r="AD658" i="23"/>
  <c r="AE658" i="23"/>
  <c r="AF658" i="23"/>
  <c r="AG658" i="23"/>
  <c r="AH658" i="23"/>
  <c r="AJ658" i="23"/>
  <c r="AK658" i="23"/>
  <c r="AL658" i="23"/>
  <c r="AO658" i="23"/>
  <c r="I658" i="23" s="1"/>
  <c r="AP658" i="23"/>
  <c r="J658" i="23" s="1"/>
  <c r="BD658" i="23"/>
  <c r="BF658" i="23"/>
  <c r="BJ658" i="23"/>
  <c r="K659" i="23"/>
  <c r="AK659" i="23" s="1"/>
  <c r="Z659" i="23"/>
  <c r="AD659" i="23"/>
  <c r="AE659" i="23"/>
  <c r="AF659" i="23"/>
  <c r="AG659" i="23"/>
  <c r="AH659" i="23"/>
  <c r="AJ659" i="23"/>
  <c r="AL659" i="23"/>
  <c r="AO659" i="23"/>
  <c r="I659" i="23" s="1"/>
  <c r="AP659" i="23"/>
  <c r="J659" i="23" s="1"/>
  <c r="BD659" i="23"/>
  <c r="BF659" i="23"/>
  <c r="BI659" i="23"/>
  <c r="AC659" i="23" s="1"/>
  <c r="BJ659" i="23"/>
  <c r="K660" i="23"/>
  <c r="Z660" i="23"/>
  <c r="AD660" i="23"/>
  <c r="AE660" i="23"/>
  <c r="AF660" i="23"/>
  <c r="AG660" i="23"/>
  <c r="AH660" i="23"/>
  <c r="AJ660" i="23"/>
  <c r="AK660" i="23"/>
  <c r="AL660" i="23"/>
  <c r="AO660" i="23"/>
  <c r="I660" i="23" s="1"/>
  <c r="AP660" i="23"/>
  <c r="AX660" i="23" s="1"/>
  <c r="BD660" i="23"/>
  <c r="BF660" i="23"/>
  <c r="BJ660" i="23"/>
  <c r="K661" i="23"/>
  <c r="Z661" i="23"/>
  <c r="AD661" i="23"/>
  <c r="AE661" i="23"/>
  <c r="AF661" i="23"/>
  <c r="AG661" i="23"/>
  <c r="AH661" i="23"/>
  <c r="AJ661" i="23"/>
  <c r="AK661" i="23"/>
  <c r="AL661" i="23"/>
  <c r="AO661" i="23"/>
  <c r="BH661" i="23" s="1"/>
  <c r="AB661" i="23" s="1"/>
  <c r="AP661" i="23"/>
  <c r="AX661" i="23" s="1"/>
  <c r="BD661" i="23"/>
  <c r="BF661" i="23"/>
  <c r="BJ661" i="23"/>
  <c r="K662" i="23"/>
  <c r="Z662" i="23"/>
  <c r="AD662" i="23"/>
  <c r="AE662" i="23"/>
  <c r="AF662" i="23"/>
  <c r="AG662" i="23"/>
  <c r="AH662" i="23"/>
  <c r="AJ662" i="23"/>
  <c r="AK662" i="23"/>
  <c r="AL662" i="23"/>
  <c r="AO662" i="23"/>
  <c r="AP662" i="23"/>
  <c r="J662" i="23" s="1"/>
  <c r="BD662" i="23"/>
  <c r="BF662" i="23"/>
  <c r="BJ662" i="23"/>
  <c r="K663" i="23"/>
  <c r="AK663" i="23" s="1"/>
  <c r="Z663" i="23"/>
  <c r="AD663" i="23"/>
  <c r="AE663" i="23"/>
  <c r="AF663" i="23"/>
  <c r="AG663" i="23"/>
  <c r="AH663" i="23"/>
  <c r="AJ663" i="23"/>
  <c r="AL663" i="23"/>
  <c r="AO663" i="23"/>
  <c r="I663" i="23" s="1"/>
  <c r="AP663" i="23"/>
  <c r="J663" i="23" s="1"/>
  <c r="BD663" i="23"/>
  <c r="BF663" i="23"/>
  <c r="BH663" i="23"/>
  <c r="AB663" i="23" s="1"/>
  <c r="BJ663" i="23"/>
  <c r="K664" i="23"/>
  <c r="AK664" i="23" s="1"/>
  <c r="Z664" i="23"/>
  <c r="AD664" i="23"/>
  <c r="AE664" i="23"/>
  <c r="AF664" i="23"/>
  <c r="AG664" i="23"/>
  <c r="AH664" i="23"/>
  <c r="AJ664" i="23"/>
  <c r="AL664" i="23"/>
  <c r="AO664" i="23"/>
  <c r="I664" i="23" s="1"/>
  <c r="AP664" i="23"/>
  <c r="AX664" i="23" s="1"/>
  <c r="BD664" i="23"/>
  <c r="BF664" i="23"/>
  <c r="BH664" i="23"/>
  <c r="AB664" i="23" s="1"/>
  <c r="BJ664" i="23"/>
  <c r="K665" i="23"/>
  <c r="AK665" i="23" s="1"/>
  <c r="Z665" i="23"/>
  <c r="AD665" i="23"/>
  <c r="AE665" i="23"/>
  <c r="AF665" i="23"/>
  <c r="AG665" i="23"/>
  <c r="AH665" i="23"/>
  <c r="AJ665" i="23"/>
  <c r="AL665" i="23"/>
  <c r="AO665" i="23"/>
  <c r="AW665" i="23" s="1"/>
  <c r="AP665" i="23"/>
  <c r="AX665" i="23" s="1"/>
  <c r="BD665" i="23"/>
  <c r="BF665" i="23"/>
  <c r="BH665" i="23"/>
  <c r="AB665" i="23" s="1"/>
  <c r="BJ665" i="23"/>
  <c r="K666" i="23"/>
  <c r="Z666" i="23"/>
  <c r="AD666" i="23"/>
  <c r="AE666" i="23"/>
  <c r="AF666" i="23"/>
  <c r="AG666" i="23"/>
  <c r="AH666" i="23"/>
  <c r="AJ666" i="23"/>
  <c r="AK666" i="23"/>
  <c r="AL666" i="23"/>
  <c r="AO666" i="23"/>
  <c r="AP666" i="23"/>
  <c r="BD666" i="23"/>
  <c r="BF666" i="23"/>
  <c r="BH666" i="23"/>
  <c r="AB666" i="23" s="1"/>
  <c r="BJ666" i="23"/>
  <c r="K667" i="23"/>
  <c r="AK667" i="23" s="1"/>
  <c r="Z667" i="23"/>
  <c r="AD667" i="23"/>
  <c r="AE667" i="23"/>
  <c r="AF667" i="23"/>
  <c r="AG667" i="23"/>
  <c r="AH667" i="23"/>
  <c r="AJ667" i="23"/>
  <c r="AL667" i="23"/>
  <c r="AO667" i="23"/>
  <c r="AP667" i="23"/>
  <c r="J667" i="23" s="1"/>
  <c r="AX667" i="23"/>
  <c r="BD667" i="23"/>
  <c r="BF667" i="23"/>
  <c r="BI667" i="23"/>
  <c r="AC667" i="23" s="1"/>
  <c r="BJ667" i="23"/>
  <c r="K668" i="23"/>
  <c r="Z668" i="23"/>
  <c r="AD668" i="23"/>
  <c r="AE668" i="23"/>
  <c r="AF668" i="23"/>
  <c r="AG668" i="23"/>
  <c r="AH668" i="23"/>
  <c r="AJ668" i="23"/>
  <c r="AK668" i="23"/>
  <c r="AL668" i="23"/>
  <c r="AO668" i="23"/>
  <c r="I668" i="23" s="1"/>
  <c r="AP668" i="23"/>
  <c r="AX668" i="23" s="1"/>
  <c r="AW668" i="23"/>
  <c r="BD668" i="23"/>
  <c r="BF668" i="23"/>
  <c r="BH668" i="23"/>
  <c r="AB668" i="23" s="1"/>
  <c r="BJ668" i="23"/>
  <c r="K669" i="23"/>
  <c r="Z669" i="23"/>
  <c r="AD669" i="23"/>
  <c r="AE669" i="23"/>
  <c r="AF669" i="23"/>
  <c r="AG669" i="23"/>
  <c r="AH669" i="23"/>
  <c r="AJ669" i="23"/>
  <c r="AK669" i="23"/>
  <c r="AL669" i="23"/>
  <c r="AO669" i="23"/>
  <c r="AP669" i="23"/>
  <c r="AX669" i="23" s="1"/>
  <c r="BD669" i="23"/>
  <c r="BF669" i="23"/>
  <c r="BI669" i="23"/>
  <c r="AC669" i="23" s="1"/>
  <c r="BJ669" i="23"/>
  <c r="K670" i="23"/>
  <c r="Z670" i="23"/>
  <c r="AD670" i="23"/>
  <c r="AE670" i="23"/>
  <c r="AF670" i="23"/>
  <c r="AG670" i="23"/>
  <c r="AH670" i="23"/>
  <c r="AJ670" i="23"/>
  <c r="AK670" i="23"/>
  <c r="AL670" i="23"/>
  <c r="AO670" i="23"/>
  <c r="I670" i="23" s="1"/>
  <c r="AP670" i="23"/>
  <c r="J670" i="23" s="1"/>
  <c r="BD670" i="23"/>
  <c r="BF670" i="23"/>
  <c r="BI670" i="23"/>
  <c r="AC670" i="23" s="1"/>
  <c r="BJ670" i="23"/>
  <c r="K671" i="23"/>
  <c r="AK671" i="23" s="1"/>
  <c r="Z671" i="23"/>
  <c r="AD671" i="23"/>
  <c r="AE671" i="23"/>
  <c r="AF671" i="23"/>
  <c r="AG671" i="23"/>
  <c r="AH671" i="23"/>
  <c r="AJ671" i="23"/>
  <c r="AL671" i="23"/>
  <c r="AO671" i="23"/>
  <c r="I671" i="23" s="1"/>
  <c r="AP671" i="23"/>
  <c r="J671" i="23" s="1"/>
  <c r="BD671" i="23"/>
  <c r="BF671" i="23"/>
  <c r="BH671" i="23"/>
  <c r="AB671" i="23" s="1"/>
  <c r="BJ671" i="23"/>
  <c r="K673" i="23"/>
  <c r="Z673" i="23"/>
  <c r="AD673" i="23"/>
  <c r="AE673" i="23"/>
  <c r="AF673" i="23"/>
  <c r="AG673" i="23"/>
  <c r="AH673" i="23"/>
  <c r="AJ673" i="23"/>
  <c r="AK673" i="23"/>
  <c r="AL673" i="23"/>
  <c r="AO673" i="23"/>
  <c r="I673" i="23" s="1"/>
  <c r="AP673" i="23"/>
  <c r="J673" i="23" s="1"/>
  <c r="BD673" i="23"/>
  <c r="BF673" i="23"/>
  <c r="BJ673" i="23"/>
  <c r="K674" i="23"/>
  <c r="AK674" i="23" s="1"/>
  <c r="Z674" i="23"/>
  <c r="AD674" i="23"/>
  <c r="AE674" i="23"/>
  <c r="AF674" i="23"/>
  <c r="AG674" i="23"/>
  <c r="AH674" i="23"/>
  <c r="AJ674" i="23"/>
  <c r="AL674" i="23"/>
  <c r="AO674" i="23"/>
  <c r="I674" i="23" s="1"/>
  <c r="AP674" i="23"/>
  <c r="J674" i="23" s="1"/>
  <c r="BD674" i="23"/>
  <c r="BF674" i="23"/>
  <c r="BI674" i="23"/>
  <c r="AC674" i="23" s="1"/>
  <c r="BJ674" i="23"/>
  <c r="K675" i="23"/>
  <c r="AK675" i="23" s="1"/>
  <c r="Z675" i="23"/>
  <c r="AD675" i="23"/>
  <c r="AE675" i="23"/>
  <c r="AF675" i="23"/>
  <c r="AG675" i="23"/>
  <c r="AH675" i="23"/>
  <c r="AJ675" i="23"/>
  <c r="AL675" i="23"/>
  <c r="AO675" i="23"/>
  <c r="I675" i="23" s="1"/>
  <c r="AP675" i="23"/>
  <c r="J675" i="23" s="1"/>
  <c r="BD675" i="23"/>
  <c r="BF675" i="23"/>
  <c r="BJ675" i="23"/>
  <c r="K676" i="23"/>
  <c r="Z676" i="23"/>
  <c r="AD676" i="23"/>
  <c r="AE676" i="23"/>
  <c r="AF676" i="23"/>
  <c r="AG676" i="23"/>
  <c r="AH676" i="23"/>
  <c r="AJ676" i="23"/>
  <c r="AK676" i="23"/>
  <c r="AL676" i="23"/>
  <c r="AO676" i="23"/>
  <c r="AW676" i="23" s="1"/>
  <c r="AP676" i="23"/>
  <c r="J676" i="23" s="1"/>
  <c r="BD676" i="23"/>
  <c r="BF676" i="23"/>
  <c r="BI676" i="23"/>
  <c r="AC676" i="23" s="1"/>
  <c r="BJ676" i="23"/>
  <c r="K677" i="23"/>
  <c r="Z677" i="23"/>
  <c r="AD677" i="23"/>
  <c r="AE677" i="23"/>
  <c r="AF677" i="23"/>
  <c r="AG677" i="23"/>
  <c r="AH677" i="23"/>
  <c r="AJ677" i="23"/>
  <c r="AK677" i="23"/>
  <c r="AL677" i="23"/>
  <c r="AO677" i="23"/>
  <c r="I677" i="23" s="1"/>
  <c r="AP677" i="23"/>
  <c r="J677" i="23" s="1"/>
  <c r="BD677" i="23"/>
  <c r="BF677" i="23"/>
  <c r="BJ677" i="23"/>
  <c r="K678" i="23"/>
  <c r="AK678" i="23" s="1"/>
  <c r="Z678" i="23"/>
  <c r="AD678" i="23"/>
  <c r="AE678" i="23"/>
  <c r="AF678" i="23"/>
  <c r="AG678" i="23"/>
  <c r="AH678" i="23"/>
  <c r="AJ678" i="23"/>
  <c r="AL678" i="23"/>
  <c r="AO678" i="23"/>
  <c r="I678" i="23" s="1"/>
  <c r="AP678" i="23"/>
  <c r="J678" i="23" s="1"/>
  <c r="BD678" i="23"/>
  <c r="BF678" i="23"/>
  <c r="BJ678" i="23"/>
  <c r="K679" i="23"/>
  <c r="Z679" i="23"/>
  <c r="AC679" i="23"/>
  <c r="AD679" i="23"/>
  <c r="AE679" i="23"/>
  <c r="AF679" i="23"/>
  <c r="AG679" i="23"/>
  <c r="AH679" i="23"/>
  <c r="AJ679" i="23"/>
  <c r="AK679" i="23"/>
  <c r="AL679" i="23"/>
  <c r="AO679" i="23"/>
  <c r="I679" i="23" s="1"/>
  <c r="AP679" i="23"/>
  <c r="AX679" i="23" s="1"/>
  <c r="BD679" i="23"/>
  <c r="BF679" i="23"/>
  <c r="BI679" i="23"/>
  <c r="BJ679" i="23"/>
  <c r="B2" i="22"/>
  <c r="E2" i="22"/>
  <c r="B4" i="22"/>
  <c r="E4" i="22"/>
  <c r="B6" i="22"/>
  <c r="E6" i="22"/>
  <c r="B8" i="22"/>
  <c r="E24" i="22"/>
  <c r="G24" i="22"/>
  <c r="I24" i="22" s="1"/>
  <c r="G33" i="22"/>
  <c r="I33" i="22"/>
  <c r="C2" i="21"/>
  <c r="F2" i="21"/>
  <c r="C4" i="21"/>
  <c r="F4" i="21"/>
  <c r="C6" i="21"/>
  <c r="F6" i="21"/>
  <c r="C10" i="21"/>
  <c r="F10" i="21"/>
  <c r="F22" i="21"/>
  <c r="I22" i="21"/>
  <c r="C2" i="20"/>
  <c r="F2" i="20"/>
  <c r="C4" i="20"/>
  <c r="F4" i="20"/>
  <c r="C6" i="20"/>
  <c r="F6" i="20"/>
  <c r="C8" i="20"/>
  <c r="J13" i="19"/>
  <c r="K13" i="19"/>
  <c r="AK13" i="19" s="1"/>
  <c r="Z13" i="19"/>
  <c r="AD13" i="19"/>
  <c r="AE13" i="19"/>
  <c r="AF13" i="19"/>
  <c r="AG13" i="19"/>
  <c r="AH13" i="19"/>
  <c r="AJ13" i="19"/>
  <c r="AL13" i="19"/>
  <c r="AO13" i="19"/>
  <c r="AP13" i="19"/>
  <c r="AX13" i="19" s="1"/>
  <c r="BD13" i="19"/>
  <c r="BF13" i="19"/>
  <c r="BJ13" i="19"/>
  <c r="K14" i="19"/>
  <c r="Z14" i="19"/>
  <c r="AD14" i="19"/>
  <c r="AE14" i="19"/>
  <c r="AF14" i="19"/>
  <c r="AG14" i="19"/>
  <c r="AH14" i="19"/>
  <c r="AJ14" i="19"/>
  <c r="AK14" i="19"/>
  <c r="AL14" i="19"/>
  <c r="AO14" i="19"/>
  <c r="BH14" i="19" s="1"/>
  <c r="AB14" i="19" s="1"/>
  <c r="AP14" i="19"/>
  <c r="AW14" i="19"/>
  <c r="BD14" i="19"/>
  <c r="BF14" i="19"/>
  <c r="BJ14" i="19"/>
  <c r="K15" i="19"/>
  <c r="Z15" i="19"/>
  <c r="AD15" i="19"/>
  <c r="AE15" i="19"/>
  <c r="AF15" i="19"/>
  <c r="AG15" i="19"/>
  <c r="AH15" i="19"/>
  <c r="AJ15" i="19"/>
  <c r="AL15" i="19"/>
  <c r="AO15" i="19"/>
  <c r="BH15" i="19" s="1"/>
  <c r="AB15" i="19" s="1"/>
  <c r="AP15" i="19"/>
  <c r="J15" i="19" s="1"/>
  <c r="BD15" i="19"/>
  <c r="BF15" i="19"/>
  <c r="BI15" i="19"/>
  <c r="AC15" i="19" s="1"/>
  <c r="BJ15" i="19"/>
  <c r="J16" i="19"/>
  <c r="K16" i="19"/>
  <c r="AK16" i="19" s="1"/>
  <c r="Z16" i="19"/>
  <c r="AD16" i="19"/>
  <c r="AE16" i="19"/>
  <c r="AF16" i="19"/>
  <c r="AG16" i="19"/>
  <c r="AH16" i="19"/>
  <c r="AJ16" i="19"/>
  <c r="AL16" i="19"/>
  <c r="AO16" i="19"/>
  <c r="AP16" i="19"/>
  <c r="BD16" i="19"/>
  <c r="BF16" i="19"/>
  <c r="BJ16" i="19"/>
  <c r="K18" i="19"/>
  <c r="Z18" i="19"/>
  <c r="AD18" i="19"/>
  <c r="AE18" i="19"/>
  <c r="AF18" i="19"/>
  <c r="AG18" i="19"/>
  <c r="AH18" i="19"/>
  <c r="AJ18" i="19"/>
  <c r="AS17" i="19" s="1"/>
  <c r="AL18" i="19"/>
  <c r="AU17" i="19" s="1"/>
  <c r="AO18" i="19"/>
  <c r="AP18" i="19"/>
  <c r="BD18" i="19"/>
  <c r="BF18" i="19"/>
  <c r="BJ18" i="19"/>
  <c r="K20" i="19"/>
  <c r="Z20" i="19"/>
  <c r="AD20" i="19"/>
  <c r="AE20" i="19"/>
  <c r="AF20" i="19"/>
  <c r="AG20" i="19"/>
  <c r="AH20" i="19"/>
  <c r="AJ20" i="19"/>
  <c r="AK20" i="19"/>
  <c r="AL20" i="19"/>
  <c r="AO20" i="19"/>
  <c r="AP20" i="19"/>
  <c r="BI20" i="19" s="1"/>
  <c r="AC20" i="19" s="1"/>
  <c r="BD20" i="19"/>
  <c r="BF20" i="19"/>
  <c r="BJ20" i="19"/>
  <c r="K21" i="19"/>
  <c r="AK21" i="19" s="1"/>
  <c r="Z21" i="19"/>
  <c r="AD21" i="19"/>
  <c r="AE21" i="19"/>
  <c r="AF21" i="19"/>
  <c r="AG21" i="19"/>
  <c r="AH21" i="19"/>
  <c r="AJ21" i="19"/>
  <c r="AL21" i="19"/>
  <c r="AO21" i="19"/>
  <c r="AP21" i="19"/>
  <c r="BD21" i="19"/>
  <c r="BF21" i="19"/>
  <c r="BH21" i="19"/>
  <c r="AB21" i="19" s="1"/>
  <c r="BJ21" i="19"/>
  <c r="K23" i="19"/>
  <c r="AK23" i="19" s="1"/>
  <c r="Z23" i="19"/>
  <c r="AD23" i="19"/>
  <c r="AE23" i="19"/>
  <c r="AF23" i="19"/>
  <c r="AG23" i="19"/>
  <c r="AH23" i="19"/>
  <c r="AJ23" i="19"/>
  <c r="AL23" i="19"/>
  <c r="AO23" i="19"/>
  <c r="AP23" i="19"/>
  <c r="BD23" i="19"/>
  <c r="BF23" i="19"/>
  <c r="BH23" i="19"/>
  <c r="AB23" i="19" s="1"/>
  <c r="BJ23" i="19"/>
  <c r="K24" i="19"/>
  <c r="AK24" i="19" s="1"/>
  <c r="Z24" i="19"/>
  <c r="AD24" i="19"/>
  <c r="AE24" i="19"/>
  <c r="AF24" i="19"/>
  <c r="AG24" i="19"/>
  <c r="AH24" i="19"/>
  <c r="AJ24" i="19"/>
  <c r="AL24" i="19"/>
  <c r="AO24" i="19"/>
  <c r="AP24" i="19"/>
  <c r="BD24" i="19"/>
  <c r="BF24" i="19"/>
  <c r="BH24" i="19"/>
  <c r="AB24" i="19" s="1"/>
  <c r="BJ24" i="19"/>
  <c r="K25" i="19"/>
  <c r="AK25" i="19" s="1"/>
  <c r="Z25" i="19"/>
  <c r="AD25" i="19"/>
  <c r="AE25" i="19"/>
  <c r="AF25" i="19"/>
  <c r="AG25" i="19"/>
  <c r="AH25" i="19"/>
  <c r="AJ25" i="19"/>
  <c r="AL25" i="19"/>
  <c r="AO25" i="19"/>
  <c r="AP25" i="19"/>
  <c r="BD25" i="19"/>
  <c r="BF25" i="19"/>
  <c r="BH25" i="19"/>
  <c r="AB25" i="19" s="1"/>
  <c r="BJ25" i="19"/>
  <c r="K27" i="19"/>
  <c r="Z27" i="19"/>
  <c r="AD27" i="19"/>
  <c r="AE27" i="19"/>
  <c r="AF27" i="19"/>
  <c r="AG27" i="19"/>
  <c r="AH27" i="19"/>
  <c r="AJ27" i="19"/>
  <c r="AL27" i="19"/>
  <c r="AO27" i="19"/>
  <c r="AP27" i="19"/>
  <c r="BD27" i="19"/>
  <c r="BF27" i="19"/>
  <c r="BJ27" i="19"/>
  <c r="K28" i="19"/>
  <c r="AK28" i="19" s="1"/>
  <c r="Z28" i="19"/>
  <c r="AC28" i="19"/>
  <c r="AD28" i="19"/>
  <c r="AE28" i="19"/>
  <c r="AF28" i="19"/>
  <c r="AG28" i="19"/>
  <c r="AH28" i="19"/>
  <c r="AJ28" i="19"/>
  <c r="AL28" i="19"/>
  <c r="AO28" i="19"/>
  <c r="AP28" i="19"/>
  <c r="J28" i="19" s="1"/>
  <c r="AX28" i="19"/>
  <c r="BD28" i="19"/>
  <c r="BF28" i="19"/>
  <c r="BI28" i="19"/>
  <c r="BJ28" i="19"/>
  <c r="K30" i="19"/>
  <c r="Z30" i="19"/>
  <c r="AD30" i="19"/>
  <c r="AE30" i="19"/>
  <c r="AF30" i="19"/>
  <c r="AG30" i="19"/>
  <c r="AH30" i="19"/>
  <c r="AJ30" i="19"/>
  <c r="AS29" i="19" s="1"/>
  <c r="AL30" i="19"/>
  <c r="AU29" i="19" s="1"/>
  <c r="AO30" i="19"/>
  <c r="BH30" i="19" s="1"/>
  <c r="AB30" i="19" s="1"/>
  <c r="AP30" i="19"/>
  <c r="BD30" i="19"/>
  <c r="BF30" i="19"/>
  <c r="BJ30" i="19"/>
  <c r="K32" i="19"/>
  <c r="Z32" i="19"/>
  <c r="AD32" i="19"/>
  <c r="AE32" i="19"/>
  <c r="AF32" i="19"/>
  <c r="AG32" i="19"/>
  <c r="AH32" i="19"/>
  <c r="AJ32" i="19"/>
  <c r="AL32" i="19"/>
  <c r="AO32" i="19"/>
  <c r="AW32" i="19" s="1"/>
  <c r="AP32" i="19"/>
  <c r="BD32" i="19"/>
  <c r="BF32" i="19"/>
  <c r="BH32" i="19"/>
  <c r="AB32" i="19" s="1"/>
  <c r="BJ32" i="19"/>
  <c r="K33" i="19"/>
  <c r="AK33" i="19" s="1"/>
  <c r="Z33" i="19"/>
  <c r="AD33" i="19"/>
  <c r="AE33" i="19"/>
  <c r="AF33" i="19"/>
  <c r="AG33" i="19"/>
  <c r="AH33" i="19"/>
  <c r="AJ33" i="19"/>
  <c r="AL33" i="19"/>
  <c r="AO33" i="19"/>
  <c r="AP33" i="19"/>
  <c r="BD33" i="19"/>
  <c r="BF33" i="19"/>
  <c r="BJ33" i="19"/>
  <c r="K35" i="19"/>
  <c r="K34" i="19" s="1"/>
  <c r="G18" i="18" s="1"/>
  <c r="I18" i="18" s="1"/>
  <c r="Z35" i="19"/>
  <c r="AD35" i="19"/>
  <c r="AE35" i="19"/>
  <c r="AF35" i="19"/>
  <c r="AG35" i="19"/>
  <c r="AH35" i="19"/>
  <c r="AJ35" i="19"/>
  <c r="AS34" i="19" s="1"/>
  <c r="AK35" i="19"/>
  <c r="AT34" i="19" s="1"/>
  <c r="AL35" i="19"/>
  <c r="AU34" i="19" s="1"/>
  <c r="AO35" i="19"/>
  <c r="AP35" i="19"/>
  <c r="BD35" i="19"/>
  <c r="BF35" i="19"/>
  <c r="BI35" i="19"/>
  <c r="AC35" i="19" s="1"/>
  <c r="BJ35" i="19"/>
  <c r="K37" i="19"/>
  <c r="AK37" i="19" s="1"/>
  <c r="Z37" i="19"/>
  <c r="AD37" i="19"/>
  <c r="AE37" i="19"/>
  <c r="AF37" i="19"/>
  <c r="AG37" i="19"/>
  <c r="AH37" i="19"/>
  <c r="AJ37" i="19"/>
  <c r="AL37" i="19"/>
  <c r="AO37" i="19"/>
  <c r="AP37" i="19"/>
  <c r="J37" i="19" s="1"/>
  <c r="BD37" i="19"/>
  <c r="BF37" i="19"/>
  <c r="BJ37" i="19"/>
  <c r="K38" i="19"/>
  <c r="Z38" i="19"/>
  <c r="AD38" i="19"/>
  <c r="AE38" i="19"/>
  <c r="AF38" i="19"/>
  <c r="AG38" i="19"/>
  <c r="AH38" i="19"/>
  <c r="AJ38" i="19"/>
  <c r="AK38" i="19"/>
  <c r="AL38" i="19"/>
  <c r="AO38" i="19"/>
  <c r="AP38" i="19"/>
  <c r="BI38" i="19" s="1"/>
  <c r="AC38" i="19" s="1"/>
  <c r="BD38" i="19"/>
  <c r="BF38" i="19"/>
  <c r="BJ38" i="19"/>
  <c r="K39" i="19"/>
  <c r="AK39" i="19" s="1"/>
  <c r="Z39" i="19"/>
  <c r="AD39" i="19"/>
  <c r="AE39" i="19"/>
  <c r="AF39" i="19"/>
  <c r="AG39" i="19"/>
  <c r="AH39" i="19"/>
  <c r="AJ39" i="19"/>
  <c r="AL39" i="19"/>
  <c r="AO39" i="19"/>
  <c r="AP39" i="19"/>
  <c r="BD39" i="19"/>
  <c r="BF39" i="19"/>
  <c r="BJ39" i="19"/>
  <c r="K40" i="19"/>
  <c r="AK40" i="19" s="1"/>
  <c r="Z40" i="19"/>
  <c r="AD40" i="19"/>
  <c r="AE40" i="19"/>
  <c r="AF40" i="19"/>
  <c r="AG40" i="19"/>
  <c r="AH40" i="19"/>
  <c r="AJ40" i="19"/>
  <c r="AL40" i="19"/>
  <c r="AO40" i="19"/>
  <c r="AP40" i="19"/>
  <c r="BD40" i="19"/>
  <c r="BF40" i="19"/>
  <c r="BJ40" i="19"/>
  <c r="K42" i="19"/>
  <c r="Z42" i="19"/>
  <c r="AD42" i="19"/>
  <c r="AE42" i="19"/>
  <c r="AF42" i="19"/>
  <c r="AG42" i="19"/>
  <c r="AH42" i="19"/>
  <c r="AJ42" i="19"/>
  <c r="AL42" i="19"/>
  <c r="AO42" i="19"/>
  <c r="BH42" i="19" s="1"/>
  <c r="AB42" i="19" s="1"/>
  <c r="AP42" i="19"/>
  <c r="J42" i="19" s="1"/>
  <c r="BD42" i="19"/>
  <c r="BF42" i="19"/>
  <c r="BJ42" i="19"/>
  <c r="J43" i="19"/>
  <c r="K43" i="19"/>
  <c r="AK43" i="19" s="1"/>
  <c r="Z43" i="19"/>
  <c r="AD43" i="19"/>
  <c r="AE43" i="19"/>
  <c r="AF43" i="19"/>
  <c r="AG43" i="19"/>
  <c r="AH43" i="19"/>
  <c r="AJ43" i="19"/>
  <c r="AL43" i="19"/>
  <c r="AO43" i="19"/>
  <c r="I43" i="19" s="1"/>
  <c r="AP43" i="19"/>
  <c r="AX43" i="19" s="1"/>
  <c r="AW43" i="19"/>
  <c r="BD43" i="19"/>
  <c r="BF43" i="19"/>
  <c r="BH43" i="19"/>
  <c r="AB43" i="19" s="1"/>
  <c r="BJ43" i="19"/>
  <c r="K44" i="19"/>
  <c r="AK44" i="19" s="1"/>
  <c r="Z44" i="19"/>
  <c r="AD44" i="19"/>
  <c r="AE44" i="19"/>
  <c r="AF44" i="19"/>
  <c r="AG44" i="19"/>
  <c r="AH44" i="19"/>
  <c r="AJ44" i="19"/>
  <c r="AL44" i="19"/>
  <c r="AO44" i="19"/>
  <c r="AP44" i="19"/>
  <c r="AX44" i="19" s="1"/>
  <c r="BD44" i="19"/>
  <c r="BF44" i="19"/>
  <c r="BI44" i="19"/>
  <c r="AC44" i="19" s="1"/>
  <c r="BJ44" i="19"/>
  <c r="K46" i="19"/>
  <c r="Z46" i="19"/>
  <c r="AD46" i="19"/>
  <c r="AE46" i="19"/>
  <c r="AF46" i="19"/>
  <c r="AG46" i="19"/>
  <c r="AH46" i="19"/>
  <c r="AJ46" i="19"/>
  <c r="AL46" i="19"/>
  <c r="AO46" i="19"/>
  <c r="AP46" i="19"/>
  <c r="AX46" i="19" s="1"/>
  <c r="BD46" i="19"/>
  <c r="BF46" i="19"/>
  <c r="BJ46" i="19"/>
  <c r="K47" i="19"/>
  <c r="Z47" i="19"/>
  <c r="AD47" i="19"/>
  <c r="AE47" i="19"/>
  <c r="AF47" i="19"/>
  <c r="AG47" i="19"/>
  <c r="AH47" i="19"/>
  <c r="AJ47" i="19"/>
  <c r="AK47" i="19"/>
  <c r="AL47" i="19"/>
  <c r="AO47" i="19"/>
  <c r="BH47" i="19" s="1"/>
  <c r="AB47" i="19" s="1"/>
  <c r="AP47" i="19"/>
  <c r="AW47" i="19"/>
  <c r="BD47" i="19"/>
  <c r="BF47" i="19"/>
  <c r="BJ47" i="19"/>
  <c r="K48" i="19"/>
  <c r="Z48" i="19"/>
  <c r="AD48" i="19"/>
  <c r="AE48" i="19"/>
  <c r="AF48" i="19"/>
  <c r="AG48" i="19"/>
  <c r="AH48" i="19"/>
  <c r="AJ48" i="19"/>
  <c r="AK48" i="19"/>
  <c r="AL48" i="19"/>
  <c r="AO48" i="19"/>
  <c r="AW48" i="19" s="1"/>
  <c r="AP48" i="19"/>
  <c r="BD48" i="19"/>
  <c r="BF48" i="19"/>
  <c r="BH48" i="19"/>
  <c r="AB48" i="19" s="1"/>
  <c r="BJ48" i="19"/>
  <c r="K50" i="19"/>
  <c r="AK50" i="19" s="1"/>
  <c r="Z50" i="19"/>
  <c r="AD50" i="19"/>
  <c r="AE50" i="19"/>
  <c r="AF50" i="19"/>
  <c r="AG50" i="19"/>
  <c r="AH50" i="19"/>
  <c r="AJ50" i="19"/>
  <c r="AL50" i="19"/>
  <c r="AO50" i="19"/>
  <c r="AP50" i="19"/>
  <c r="J50" i="19" s="1"/>
  <c r="BD50" i="19"/>
  <c r="BF50" i="19"/>
  <c r="BJ50" i="19"/>
  <c r="K51" i="19"/>
  <c r="AK51" i="19" s="1"/>
  <c r="Z51" i="19"/>
  <c r="AD51" i="19"/>
  <c r="AE51" i="19"/>
  <c r="AF51" i="19"/>
  <c r="AG51" i="19"/>
  <c r="AH51" i="19"/>
  <c r="AJ51" i="19"/>
  <c r="AL51" i="19"/>
  <c r="AO51" i="19"/>
  <c r="AP51" i="19"/>
  <c r="BD51" i="19"/>
  <c r="BF51" i="19"/>
  <c r="BJ51" i="19"/>
  <c r="K52" i="19"/>
  <c r="AK52" i="19" s="1"/>
  <c r="Z52" i="19"/>
  <c r="AD52" i="19"/>
  <c r="AE52" i="19"/>
  <c r="AF52" i="19"/>
  <c r="AG52" i="19"/>
  <c r="AH52" i="19"/>
  <c r="AJ52" i="19"/>
  <c r="AL52" i="19"/>
  <c r="AO52" i="19"/>
  <c r="AP52" i="19"/>
  <c r="BD52" i="19"/>
  <c r="BF52" i="19"/>
  <c r="BJ52" i="19"/>
  <c r="K53" i="19"/>
  <c r="AK53" i="19" s="1"/>
  <c r="Z53" i="19"/>
  <c r="AD53" i="19"/>
  <c r="AE53" i="19"/>
  <c r="AF53" i="19"/>
  <c r="AG53" i="19"/>
  <c r="AH53" i="19"/>
  <c r="AJ53" i="19"/>
  <c r="AL53" i="19"/>
  <c r="AO53" i="19"/>
  <c r="AP53" i="19"/>
  <c r="BI53" i="19" s="1"/>
  <c r="AC53" i="19" s="1"/>
  <c r="BD53" i="19"/>
  <c r="BF53" i="19"/>
  <c r="BH53" i="19"/>
  <c r="AB53" i="19" s="1"/>
  <c r="BJ53" i="19"/>
  <c r="K54" i="19"/>
  <c r="AK54" i="19" s="1"/>
  <c r="Z54" i="19"/>
  <c r="AD54" i="19"/>
  <c r="AE54" i="19"/>
  <c r="AF54" i="19"/>
  <c r="AG54" i="19"/>
  <c r="AH54" i="19"/>
  <c r="AJ54" i="19"/>
  <c r="AL54" i="19"/>
  <c r="AO54" i="19"/>
  <c r="AP54" i="19"/>
  <c r="BD54" i="19"/>
  <c r="BF54" i="19"/>
  <c r="BJ54" i="19"/>
  <c r="K55" i="19"/>
  <c r="AK55" i="19" s="1"/>
  <c r="Z55" i="19"/>
  <c r="AD55" i="19"/>
  <c r="AE55" i="19"/>
  <c r="AF55" i="19"/>
  <c r="AG55" i="19"/>
  <c r="AH55" i="19"/>
  <c r="AJ55" i="19"/>
  <c r="AL55" i="19"/>
  <c r="AO55" i="19"/>
  <c r="AP55" i="19"/>
  <c r="BD55" i="19"/>
  <c r="BF55" i="19"/>
  <c r="BJ55" i="19"/>
  <c r="K56" i="19"/>
  <c r="AK56" i="19" s="1"/>
  <c r="Z56" i="19"/>
  <c r="AD56" i="19"/>
  <c r="AE56" i="19"/>
  <c r="AF56" i="19"/>
  <c r="AG56" i="19"/>
  <c r="AH56" i="19"/>
  <c r="AJ56" i="19"/>
  <c r="AL56" i="19"/>
  <c r="AO56" i="19"/>
  <c r="I56" i="19" s="1"/>
  <c r="AP56" i="19"/>
  <c r="BI56" i="19" s="1"/>
  <c r="AC56" i="19" s="1"/>
  <c r="BD56" i="19"/>
  <c r="BF56" i="19"/>
  <c r="BH56" i="19"/>
  <c r="AB56" i="19" s="1"/>
  <c r="BJ56" i="19"/>
  <c r="K58" i="19"/>
  <c r="Z58" i="19"/>
  <c r="AD58" i="19"/>
  <c r="AE58" i="19"/>
  <c r="AF58" i="19"/>
  <c r="AG58" i="19"/>
  <c r="AH58" i="19"/>
  <c r="AJ58" i="19"/>
  <c r="AL58" i="19"/>
  <c r="AO58" i="19"/>
  <c r="I58" i="19" s="1"/>
  <c r="AP58" i="19"/>
  <c r="BD58" i="19"/>
  <c r="BF58" i="19"/>
  <c r="BJ58" i="19"/>
  <c r="K59" i="19"/>
  <c r="Z59" i="19"/>
  <c r="AD59" i="19"/>
  <c r="AE59" i="19"/>
  <c r="AF59" i="19"/>
  <c r="AG59" i="19"/>
  <c r="AH59" i="19"/>
  <c r="AJ59" i="19"/>
  <c r="AK59" i="19"/>
  <c r="AL59" i="19"/>
  <c r="AO59" i="19"/>
  <c r="AP59" i="19"/>
  <c r="AX59" i="19" s="1"/>
  <c r="BD59" i="19"/>
  <c r="BF59" i="19"/>
  <c r="BI59" i="19"/>
  <c r="AC59" i="19" s="1"/>
  <c r="BJ59" i="19"/>
  <c r="K60" i="19"/>
  <c r="AK60" i="19" s="1"/>
  <c r="Z60" i="19"/>
  <c r="AD60" i="19"/>
  <c r="AE60" i="19"/>
  <c r="AF60" i="19"/>
  <c r="AG60" i="19"/>
  <c r="AH60" i="19"/>
  <c r="AJ60" i="19"/>
  <c r="AL60" i="19"/>
  <c r="AO60" i="19"/>
  <c r="AW60" i="19" s="1"/>
  <c r="AP60" i="19"/>
  <c r="BD60" i="19"/>
  <c r="BF60" i="19"/>
  <c r="BH60" i="19"/>
  <c r="AB60" i="19" s="1"/>
  <c r="BJ60" i="19"/>
  <c r="K61" i="19"/>
  <c r="AK61" i="19" s="1"/>
  <c r="Z61" i="19"/>
  <c r="AD61" i="19"/>
  <c r="AE61" i="19"/>
  <c r="AF61" i="19"/>
  <c r="AG61" i="19"/>
  <c r="AH61" i="19"/>
  <c r="AJ61" i="19"/>
  <c r="AL61" i="19"/>
  <c r="AO61" i="19"/>
  <c r="AP61" i="19"/>
  <c r="J61" i="19" s="1"/>
  <c r="BD61" i="19"/>
  <c r="BF61" i="19"/>
  <c r="BJ61" i="19"/>
  <c r="K62" i="19"/>
  <c r="AK62" i="19" s="1"/>
  <c r="Z62" i="19"/>
  <c r="AD62" i="19"/>
  <c r="AE62" i="19"/>
  <c r="AF62" i="19"/>
  <c r="AG62" i="19"/>
  <c r="AH62" i="19"/>
  <c r="AJ62" i="19"/>
  <c r="AL62" i="19"/>
  <c r="AO62" i="19"/>
  <c r="AP62" i="19"/>
  <c r="J62" i="19" s="1"/>
  <c r="BD62" i="19"/>
  <c r="BF62" i="19"/>
  <c r="BI62" i="19"/>
  <c r="AC62" i="19" s="1"/>
  <c r="BJ62" i="19"/>
  <c r="K63" i="19"/>
  <c r="Z63" i="19"/>
  <c r="AD63" i="19"/>
  <c r="AE63" i="19"/>
  <c r="AF63" i="19"/>
  <c r="AG63" i="19"/>
  <c r="AH63" i="19"/>
  <c r="AJ63" i="19"/>
  <c r="AK63" i="19"/>
  <c r="AL63" i="19"/>
  <c r="AO63" i="19"/>
  <c r="AP63" i="19"/>
  <c r="BD63" i="19"/>
  <c r="BF63" i="19"/>
  <c r="BI63" i="19"/>
  <c r="AC63" i="19" s="1"/>
  <c r="BJ63" i="19"/>
  <c r="K65" i="19"/>
  <c r="Z65" i="19"/>
  <c r="AD65" i="19"/>
  <c r="AE65" i="19"/>
  <c r="AF65" i="19"/>
  <c r="AG65" i="19"/>
  <c r="AH65" i="19"/>
  <c r="AJ65" i="19"/>
  <c r="AK65" i="19"/>
  <c r="AL65" i="19"/>
  <c r="AO65" i="19"/>
  <c r="AW65" i="19" s="1"/>
  <c r="AP65" i="19"/>
  <c r="BI65" i="19" s="1"/>
  <c r="AC65" i="19" s="1"/>
  <c r="BD65" i="19"/>
  <c r="BF65" i="19"/>
  <c r="BH65" i="19"/>
  <c r="AB65" i="19" s="1"/>
  <c r="BJ65" i="19"/>
  <c r="K67" i="19"/>
  <c r="AK67" i="19" s="1"/>
  <c r="Z67" i="19"/>
  <c r="AD67" i="19"/>
  <c r="AE67" i="19"/>
  <c r="AF67" i="19"/>
  <c r="AG67" i="19"/>
  <c r="AH67" i="19"/>
  <c r="AJ67" i="19"/>
  <c r="AL67" i="19"/>
  <c r="AO67" i="19"/>
  <c r="AP67" i="19"/>
  <c r="BD67" i="19"/>
  <c r="BF67" i="19"/>
  <c r="BJ67" i="19"/>
  <c r="K69" i="19"/>
  <c r="AK69" i="19" s="1"/>
  <c r="Z69" i="19"/>
  <c r="AD69" i="19"/>
  <c r="AE69" i="19"/>
  <c r="AF69" i="19"/>
  <c r="AG69" i="19"/>
  <c r="AH69" i="19"/>
  <c r="AJ69" i="19"/>
  <c r="AL69" i="19"/>
  <c r="AO69" i="19"/>
  <c r="AP69" i="19"/>
  <c r="BD69" i="19"/>
  <c r="BF69" i="19"/>
  <c r="BJ69" i="19"/>
  <c r="K71" i="19"/>
  <c r="AK71" i="19" s="1"/>
  <c r="Z71" i="19"/>
  <c r="AD71" i="19"/>
  <c r="AE71" i="19"/>
  <c r="AF71" i="19"/>
  <c r="AG71" i="19"/>
  <c r="AH71" i="19"/>
  <c r="AJ71" i="19"/>
  <c r="AL71" i="19"/>
  <c r="AO71" i="19"/>
  <c r="AW71" i="19" s="1"/>
  <c r="AP71" i="19"/>
  <c r="BI71" i="19" s="1"/>
  <c r="AC71" i="19" s="1"/>
  <c r="BD71" i="19"/>
  <c r="BF71" i="19"/>
  <c r="BJ71" i="19"/>
  <c r="K72" i="19"/>
  <c r="AK72" i="19" s="1"/>
  <c r="Z72" i="19"/>
  <c r="AD72" i="19"/>
  <c r="AE72" i="19"/>
  <c r="AF72" i="19"/>
  <c r="AG72" i="19"/>
  <c r="AH72" i="19"/>
  <c r="AJ72" i="19"/>
  <c r="AL72" i="19"/>
  <c r="AO72" i="19"/>
  <c r="I72" i="19" s="1"/>
  <c r="AP72" i="19"/>
  <c r="BD72" i="19"/>
  <c r="BF72" i="19"/>
  <c r="BJ72" i="19"/>
  <c r="K73" i="19"/>
  <c r="AK73" i="19" s="1"/>
  <c r="Z73" i="19"/>
  <c r="AD73" i="19"/>
  <c r="AE73" i="19"/>
  <c r="AF73" i="19"/>
  <c r="AG73" i="19"/>
  <c r="AH73" i="19"/>
  <c r="AJ73" i="19"/>
  <c r="AL73" i="19"/>
  <c r="AO73" i="19"/>
  <c r="AP73" i="19"/>
  <c r="AX73" i="19" s="1"/>
  <c r="BD73" i="19"/>
  <c r="BF73" i="19"/>
  <c r="BH73" i="19"/>
  <c r="AB73" i="19" s="1"/>
  <c r="BJ73" i="19"/>
  <c r="K74" i="19"/>
  <c r="AK74" i="19" s="1"/>
  <c r="Z74" i="19"/>
  <c r="AD74" i="19"/>
  <c r="AE74" i="19"/>
  <c r="AF74" i="19"/>
  <c r="AG74" i="19"/>
  <c r="AH74" i="19"/>
  <c r="AJ74" i="19"/>
  <c r="AL74" i="19"/>
  <c r="AO74" i="19"/>
  <c r="AP74" i="19"/>
  <c r="BD74" i="19"/>
  <c r="BF74" i="19"/>
  <c r="BJ74" i="19"/>
  <c r="K75" i="19"/>
  <c r="AK75" i="19" s="1"/>
  <c r="Z75" i="19"/>
  <c r="AD75" i="19"/>
  <c r="AE75" i="19"/>
  <c r="AF75" i="19"/>
  <c r="AG75" i="19"/>
  <c r="AH75" i="19"/>
  <c r="AJ75" i="19"/>
  <c r="AL75" i="19"/>
  <c r="AO75" i="19"/>
  <c r="I75" i="19" s="1"/>
  <c r="AP75" i="19"/>
  <c r="AW75" i="19"/>
  <c r="BD75" i="19"/>
  <c r="BF75" i="19"/>
  <c r="BH75" i="19"/>
  <c r="AB75" i="19" s="1"/>
  <c r="BJ75" i="19"/>
  <c r="K76" i="19"/>
  <c r="AK76" i="19" s="1"/>
  <c r="Z76" i="19"/>
  <c r="AD76" i="19"/>
  <c r="AE76" i="19"/>
  <c r="AF76" i="19"/>
  <c r="AG76" i="19"/>
  <c r="AH76" i="19"/>
  <c r="AJ76" i="19"/>
  <c r="AL76" i="19"/>
  <c r="AO76" i="19"/>
  <c r="AW76" i="19" s="1"/>
  <c r="AP76" i="19"/>
  <c r="BD76" i="19"/>
  <c r="BF76" i="19"/>
  <c r="BH76" i="19"/>
  <c r="AB76" i="19" s="1"/>
  <c r="BJ76" i="19"/>
  <c r="K77" i="19"/>
  <c r="AK77" i="19" s="1"/>
  <c r="Z77" i="19"/>
  <c r="AD77" i="19"/>
  <c r="AE77" i="19"/>
  <c r="AF77" i="19"/>
  <c r="AG77" i="19"/>
  <c r="AH77" i="19"/>
  <c r="AJ77" i="19"/>
  <c r="AL77" i="19"/>
  <c r="AO77" i="19"/>
  <c r="AP77" i="19"/>
  <c r="AX77" i="19" s="1"/>
  <c r="BD77" i="19"/>
  <c r="BF77" i="19"/>
  <c r="BH77" i="19"/>
  <c r="AB77" i="19" s="1"/>
  <c r="BJ77" i="19"/>
  <c r="K78" i="19"/>
  <c r="AK78" i="19" s="1"/>
  <c r="Z78" i="19"/>
  <c r="AD78" i="19"/>
  <c r="AE78" i="19"/>
  <c r="AF78" i="19"/>
  <c r="AG78" i="19"/>
  <c r="AH78" i="19"/>
  <c r="AJ78" i="19"/>
  <c r="AL78" i="19"/>
  <c r="AO78" i="19"/>
  <c r="I78" i="19" s="1"/>
  <c r="AP78" i="19"/>
  <c r="J78" i="19" s="1"/>
  <c r="BD78" i="19"/>
  <c r="BF78" i="19"/>
  <c r="BI78" i="19"/>
  <c r="AC78" i="19" s="1"/>
  <c r="BJ78" i="19"/>
  <c r="K79" i="19"/>
  <c r="AK79" i="19" s="1"/>
  <c r="Z79" i="19"/>
  <c r="AD79" i="19"/>
  <c r="AE79" i="19"/>
  <c r="AF79" i="19"/>
  <c r="AG79" i="19"/>
  <c r="AH79" i="19"/>
  <c r="AJ79" i="19"/>
  <c r="AL79" i="19"/>
  <c r="AO79" i="19"/>
  <c r="AP79" i="19"/>
  <c r="AX79" i="19" s="1"/>
  <c r="BD79" i="19"/>
  <c r="BF79" i="19"/>
  <c r="BI79" i="19"/>
  <c r="AC79" i="19" s="1"/>
  <c r="BJ79" i="19"/>
  <c r="K80" i="19"/>
  <c r="AK80" i="19" s="1"/>
  <c r="Z80" i="19"/>
  <c r="AD80" i="19"/>
  <c r="AE80" i="19"/>
  <c r="AF80" i="19"/>
  <c r="AG80" i="19"/>
  <c r="AH80" i="19"/>
  <c r="AJ80" i="19"/>
  <c r="AL80" i="19"/>
  <c r="AO80" i="19"/>
  <c r="I80" i="19" s="1"/>
  <c r="AP80" i="19"/>
  <c r="BD80" i="19"/>
  <c r="BF80" i="19"/>
  <c r="BH80" i="19"/>
  <c r="AB80" i="19" s="1"/>
  <c r="BJ80" i="19"/>
  <c r="K81" i="19"/>
  <c r="AK81" i="19" s="1"/>
  <c r="Z81" i="19"/>
  <c r="AD81" i="19"/>
  <c r="AE81" i="19"/>
  <c r="AF81" i="19"/>
  <c r="AG81" i="19"/>
  <c r="AH81" i="19"/>
  <c r="AJ81" i="19"/>
  <c r="AL81" i="19"/>
  <c r="AO81" i="19"/>
  <c r="AP81" i="19"/>
  <c r="BD81" i="19"/>
  <c r="BF81" i="19"/>
  <c r="BH81" i="19"/>
  <c r="AB81" i="19" s="1"/>
  <c r="BJ81" i="19"/>
  <c r="K83" i="19"/>
  <c r="Z83" i="19"/>
  <c r="AD83" i="19"/>
  <c r="AE83" i="19"/>
  <c r="AF83" i="19"/>
  <c r="AG83" i="19"/>
  <c r="AH83" i="19"/>
  <c r="AJ83" i="19"/>
  <c r="AK83" i="19"/>
  <c r="AL83" i="19"/>
  <c r="AO83" i="19"/>
  <c r="AP83" i="19"/>
  <c r="BD83" i="19"/>
  <c r="BF83" i="19"/>
  <c r="BH83" i="19"/>
  <c r="AB83" i="19" s="1"/>
  <c r="BJ83" i="19"/>
  <c r="K84" i="19"/>
  <c r="Z84" i="19"/>
  <c r="AD84" i="19"/>
  <c r="AE84" i="19"/>
  <c r="AF84" i="19"/>
  <c r="AG84" i="19"/>
  <c r="AH84" i="19"/>
  <c r="AJ84" i="19"/>
  <c r="AL84" i="19"/>
  <c r="AO84" i="19"/>
  <c r="I84" i="19" s="1"/>
  <c r="AP84" i="19"/>
  <c r="J84" i="19" s="1"/>
  <c r="AW84" i="19"/>
  <c r="BD84" i="19"/>
  <c r="BF84" i="19"/>
  <c r="BH84" i="19"/>
  <c r="AB84" i="19" s="1"/>
  <c r="BJ84" i="19"/>
  <c r="K86" i="19"/>
  <c r="Z86" i="19"/>
  <c r="AD86" i="19"/>
  <c r="AE86" i="19"/>
  <c r="AF86" i="19"/>
  <c r="AG86" i="19"/>
  <c r="AH86" i="19"/>
  <c r="AJ86" i="19"/>
  <c r="AL86" i="19"/>
  <c r="AO86" i="19"/>
  <c r="AP86" i="19"/>
  <c r="BD86" i="19"/>
  <c r="BF86" i="19"/>
  <c r="BJ86" i="19"/>
  <c r="J87" i="19"/>
  <c r="K87" i="19"/>
  <c r="AK87" i="19" s="1"/>
  <c r="Z87" i="19"/>
  <c r="AD87" i="19"/>
  <c r="AE87" i="19"/>
  <c r="AF87" i="19"/>
  <c r="AG87" i="19"/>
  <c r="AH87" i="19"/>
  <c r="AJ87" i="19"/>
  <c r="AL87" i="19"/>
  <c r="AO87" i="19"/>
  <c r="AP87" i="19"/>
  <c r="AX87" i="19"/>
  <c r="BD87" i="19"/>
  <c r="BF87" i="19"/>
  <c r="BI87" i="19"/>
  <c r="AC87" i="19" s="1"/>
  <c r="BJ87" i="19"/>
  <c r="K89" i="19"/>
  <c r="Z89" i="19"/>
  <c r="AD89" i="19"/>
  <c r="AE89" i="19"/>
  <c r="AF89" i="19"/>
  <c r="AG89" i="19"/>
  <c r="AH89" i="19"/>
  <c r="AJ89" i="19"/>
  <c r="AL89" i="19"/>
  <c r="AO89" i="19"/>
  <c r="AP89" i="19"/>
  <c r="BD89" i="19"/>
  <c r="BF89" i="19"/>
  <c r="BH89" i="19"/>
  <c r="AB89" i="19" s="1"/>
  <c r="BJ89" i="19"/>
  <c r="K90" i="19"/>
  <c r="AK90" i="19" s="1"/>
  <c r="Z90" i="19"/>
  <c r="AD90" i="19"/>
  <c r="AE90" i="19"/>
  <c r="AF90" i="19"/>
  <c r="AG90" i="19"/>
  <c r="AH90" i="19"/>
  <c r="AJ90" i="19"/>
  <c r="AL90" i="19"/>
  <c r="AO90" i="19"/>
  <c r="AP90" i="19"/>
  <c r="BD90" i="19"/>
  <c r="BF90" i="19"/>
  <c r="BJ90" i="19"/>
  <c r="K92" i="19"/>
  <c r="Z92" i="19"/>
  <c r="AD92" i="19"/>
  <c r="AE92" i="19"/>
  <c r="AF92" i="19"/>
  <c r="AG92" i="19"/>
  <c r="AH92" i="19"/>
  <c r="AJ92" i="19"/>
  <c r="AL92" i="19"/>
  <c r="AO92" i="19"/>
  <c r="AP92" i="19"/>
  <c r="BD92" i="19"/>
  <c r="BF92" i="19"/>
  <c r="BJ92" i="19"/>
  <c r="J93" i="19"/>
  <c r="K93" i="19"/>
  <c r="AK93" i="19" s="1"/>
  <c r="Z93" i="19"/>
  <c r="AD93" i="19"/>
  <c r="AE93" i="19"/>
  <c r="AF93" i="19"/>
  <c r="AG93" i="19"/>
  <c r="AH93" i="19"/>
  <c r="AJ93" i="19"/>
  <c r="AL93" i="19"/>
  <c r="AO93" i="19"/>
  <c r="AP93" i="19"/>
  <c r="AX93" i="19"/>
  <c r="BD93" i="19"/>
  <c r="BF93" i="19"/>
  <c r="BI93" i="19"/>
  <c r="AC93" i="19" s="1"/>
  <c r="BJ93" i="19"/>
  <c r="K95" i="19"/>
  <c r="Z95" i="19"/>
  <c r="AD95" i="19"/>
  <c r="AE95" i="19"/>
  <c r="AF95" i="19"/>
  <c r="AG95" i="19"/>
  <c r="AH95" i="19"/>
  <c r="AJ95" i="19"/>
  <c r="AL95" i="19"/>
  <c r="AO95" i="19"/>
  <c r="BH95" i="19" s="1"/>
  <c r="AB95" i="19" s="1"/>
  <c r="AP95" i="19"/>
  <c r="J95" i="19" s="1"/>
  <c r="AX95" i="19"/>
  <c r="BD95" i="19"/>
  <c r="BF95" i="19"/>
  <c r="BI95" i="19"/>
  <c r="AC95" i="19" s="1"/>
  <c r="BJ95" i="19"/>
  <c r="K96" i="19"/>
  <c r="AK96" i="19" s="1"/>
  <c r="Z96" i="19"/>
  <c r="AD96" i="19"/>
  <c r="AE96" i="19"/>
  <c r="AF96" i="19"/>
  <c r="AG96" i="19"/>
  <c r="AH96" i="19"/>
  <c r="AJ96" i="19"/>
  <c r="AL96" i="19"/>
  <c r="AO96" i="19"/>
  <c r="I96" i="19" s="1"/>
  <c r="AP96" i="19"/>
  <c r="AW96" i="19"/>
  <c r="BD96" i="19"/>
  <c r="BF96" i="19"/>
  <c r="BH96" i="19"/>
  <c r="AB96" i="19" s="1"/>
  <c r="BJ96" i="19"/>
  <c r="K97" i="19"/>
  <c r="AK97" i="19" s="1"/>
  <c r="Z97" i="19"/>
  <c r="AD97" i="19"/>
  <c r="AE97" i="19"/>
  <c r="AF97" i="19"/>
  <c r="AG97" i="19"/>
  <c r="AH97" i="19"/>
  <c r="AJ97" i="19"/>
  <c r="AL97" i="19"/>
  <c r="AO97" i="19"/>
  <c r="AP97" i="19"/>
  <c r="BD97" i="19"/>
  <c r="BF97" i="19"/>
  <c r="BH97" i="19"/>
  <c r="AB97" i="19" s="1"/>
  <c r="BJ97" i="19"/>
  <c r="K98" i="19"/>
  <c r="AK98" i="19" s="1"/>
  <c r="Z98" i="19"/>
  <c r="AD98" i="19"/>
  <c r="AE98" i="19"/>
  <c r="AF98" i="19"/>
  <c r="AG98" i="19"/>
  <c r="AH98" i="19"/>
  <c r="AJ98" i="19"/>
  <c r="AL98" i="19"/>
  <c r="AO98" i="19"/>
  <c r="AP98" i="19"/>
  <c r="BD98" i="19"/>
  <c r="BF98" i="19"/>
  <c r="BH98" i="19"/>
  <c r="AB98" i="19" s="1"/>
  <c r="BI98" i="19"/>
  <c r="AC98" i="19" s="1"/>
  <c r="BJ98" i="19"/>
  <c r="K99" i="19"/>
  <c r="AK99" i="19" s="1"/>
  <c r="Z99" i="19"/>
  <c r="AD99" i="19"/>
  <c r="AE99" i="19"/>
  <c r="AF99" i="19"/>
  <c r="AG99" i="19"/>
  <c r="AH99" i="19"/>
  <c r="AJ99" i="19"/>
  <c r="AL99" i="19"/>
  <c r="AO99" i="19"/>
  <c r="AP99" i="19"/>
  <c r="BD99" i="19"/>
  <c r="BF99" i="19"/>
  <c r="BJ99" i="19"/>
  <c r="K100" i="19"/>
  <c r="AK100" i="19" s="1"/>
  <c r="Z100" i="19"/>
  <c r="AD100" i="19"/>
  <c r="AE100" i="19"/>
  <c r="AF100" i="19"/>
  <c r="AG100" i="19"/>
  <c r="AH100" i="19"/>
  <c r="AJ100" i="19"/>
  <c r="AL100" i="19"/>
  <c r="AO100" i="19"/>
  <c r="AP100" i="19"/>
  <c r="AX100" i="19" s="1"/>
  <c r="BD100" i="19"/>
  <c r="BF100" i="19"/>
  <c r="BJ100" i="19"/>
  <c r="J101" i="19"/>
  <c r="K101" i="19"/>
  <c r="AK101" i="19" s="1"/>
  <c r="Z101" i="19"/>
  <c r="AD101" i="19"/>
  <c r="AE101" i="19"/>
  <c r="AF101" i="19"/>
  <c r="AG101" i="19"/>
  <c r="AH101" i="19"/>
  <c r="AJ101" i="19"/>
  <c r="AL101" i="19"/>
  <c r="AO101" i="19"/>
  <c r="AP101" i="19"/>
  <c r="AX101" i="19"/>
  <c r="BD101" i="19"/>
  <c r="BF101" i="19"/>
  <c r="BI101" i="19"/>
  <c r="AC101" i="19" s="1"/>
  <c r="BJ101" i="19"/>
  <c r="K103" i="19"/>
  <c r="Z103" i="19"/>
  <c r="AD103" i="19"/>
  <c r="AE103" i="19"/>
  <c r="AF103" i="19"/>
  <c r="AG103" i="19"/>
  <c r="AH103" i="19"/>
  <c r="AJ103" i="19"/>
  <c r="AL103" i="19"/>
  <c r="AO103" i="19"/>
  <c r="I103" i="19" s="1"/>
  <c r="AP103" i="19"/>
  <c r="AW103" i="19"/>
  <c r="BD103" i="19"/>
  <c r="BF103" i="19"/>
  <c r="BJ103" i="19"/>
  <c r="I104" i="19"/>
  <c r="K104" i="19"/>
  <c r="Z104" i="19"/>
  <c r="AB104" i="19"/>
  <c r="AD104" i="19"/>
  <c r="AE104" i="19"/>
  <c r="AF104" i="19"/>
  <c r="AG104" i="19"/>
  <c r="AH104" i="19"/>
  <c r="AJ104" i="19"/>
  <c r="AK104" i="19"/>
  <c r="AL104" i="19"/>
  <c r="AO104" i="19"/>
  <c r="BH104" i="19" s="1"/>
  <c r="AP104" i="19"/>
  <c r="AX104" i="19" s="1"/>
  <c r="AW104" i="19"/>
  <c r="BC104" i="19" s="1"/>
  <c r="BD104" i="19"/>
  <c r="BF104" i="19"/>
  <c r="BI104" i="19"/>
  <c r="AC104" i="19" s="1"/>
  <c r="BJ104" i="19"/>
  <c r="K105" i="19"/>
  <c r="AK105" i="19" s="1"/>
  <c r="Z105" i="19"/>
  <c r="AD105" i="19"/>
  <c r="AE105" i="19"/>
  <c r="AF105" i="19"/>
  <c r="AG105" i="19"/>
  <c r="AH105" i="19"/>
  <c r="AJ105" i="19"/>
  <c r="AL105" i="19"/>
  <c r="AO105" i="19"/>
  <c r="AP105" i="19"/>
  <c r="BD105" i="19"/>
  <c r="BF105" i="19"/>
  <c r="BJ105" i="19"/>
  <c r="K106" i="19"/>
  <c r="AK106" i="19" s="1"/>
  <c r="Z106" i="19"/>
  <c r="AD106" i="19"/>
  <c r="AE106" i="19"/>
  <c r="AF106" i="19"/>
  <c r="AG106" i="19"/>
  <c r="AH106" i="19"/>
  <c r="AJ106" i="19"/>
  <c r="AL106" i="19"/>
  <c r="AO106" i="19"/>
  <c r="BH106" i="19" s="1"/>
  <c r="AB106" i="19" s="1"/>
  <c r="AP106" i="19"/>
  <c r="BD106" i="19"/>
  <c r="BF106" i="19"/>
  <c r="BJ106" i="19"/>
  <c r="K107" i="19"/>
  <c r="AK107" i="19" s="1"/>
  <c r="Z107" i="19"/>
  <c r="AD107" i="19"/>
  <c r="AE107" i="19"/>
  <c r="AF107" i="19"/>
  <c r="AG107" i="19"/>
  <c r="AH107" i="19"/>
  <c r="AJ107" i="19"/>
  <c r="AL107" i="19"/>
  <c r="AO107" i="19"/>
  <c r="AP107" i="19"/>
  <c r="J107" i="19" s="1"/>
  <c r="BD107" i="19"/>
  <c r="BF107" i="19"/>
  <c r="BI107" i="19"/>
  <c r="AC107" i="19" s="1"/>
  <c r="BJ107" i="19"/>
  <c r="K108" i="19"/>
  <c r="AK108" i="19" s="1"/>
  <c r="Z108" i="19"/>
  <c r="AD108" i="19"/>
  <c r="AE108" i="19"/>
  <c r="AF108" i="19"/>
  <c r="AG108" i="19"/>
  <c r="AH108" i="19"/>
  <c r="AJ108" i="19"/>
  <c r="AL108" i="19"/>
  <c r="AO108" i="19"/>
  <c r="AP108" i="19"/>
  <c r="BI108" i="19" s="1"/>
  <c r="AC108" i="19" s="1"/>
  <c r="BD108" i="19"/>
  <c r="BF108" i="19"/>
  <c r="BJ108" i="19"/>
  <c r="K109" i="19"/>
  <c r="Z109" i="19"/>
  <c r="AD109" i="19"/>
  <c r="AE109" i="19"/>
  <c r="AF109" i="19"/>
  <c r="AG109" i="19"/>
  <c r="AH109" i="19"/>
  <c r="AJ109" i="19"/>
  <c r="AK109" i="19"/>
  <c r="AL109" i="19"/>
  <c r="AO109" i="19"/>
  <c r="I109" i="19" s="1"/>
  <c r="AP109" i="19"/>
  <c r="BI109" i="19" s="1"/>
  <c r="AC109" i="19" s="1"/>
  <c r="BD109" i="19"/>
  <c r="BF109" i="19"/>
  <c r="BH109" i="19"/>
  <c r="AB109" i="19" s="1"/>
  <c r="BJ109" i="19"/>
  <c r="K110" i="19"/>
  <c r="AK110" i="19" s="1"/>
  <c r="Z110" i="19"/>
  <c r="AD110" i="19"/>
  <c r="AE110" i="19"/>
  <c r="AF110" i="19"/>
  <c r="AG110" i="19"/>
  <c r="AH110" i="19"/>
  <c r="AJ110" i="19"/>
  <c r="AL110" i="19"/>
  <c r="AO110" i="19"/>
  <c r="AP110" i="19"/>
  <c r="J110" i="19" s="1"/>
  <c r="BD110" i="19"/>
  <c r="BF110" i="19"/>
  <c r="BJ110" i="19"/>
  <c r="K111" i="19"/>
  <c r="AK111" i="19" s="1"/>
  <c r="Z111" i="19"/>
  <c r="AD111" i="19"/>
  <c r="AE111" i="19"/>
  <c r="AF111" i="19"/>
  <c r="AG111" i="19"/>
  <c r="AH111" i="19"/>
  <c r="AJ111" i="19"/>
  <c r="AL111" i="19"/>
  <c r="AO111" i="19"/>
  <c r="AP111" i="19"/>
  <c r="J111" i="19" s="1"/>
  <c r="BD111" i="19"/>
  <c r="BF111" i="19"/>
  <c r="BJ111" i="19"/>
  <c r="K112" i="19"/>
  <c r="Z112" i="19"/>
  <c r="AD112" i="19"/>
  <c r="AE112" i="19"/>
  <c r="AF112" i="19"/>
  <c r="AG112" i="19"/>
  <c r="AH112" i="19"/>
  <c r="AJ112" i="19"/>
  <c r="AK112" i="19"/>
  <c r="AL112" i="19"/>
  <c r="AO112" i="19"/>
  <c r="AP112" i="19"/>
  <c r="AX112" i="19" s="1"/>
  <c r="BD112" i="19"/>
  <c r="BF112" i="19"/>
  <c r="BJ112" i="19"/>
  <c r="K113" i="19"/>
  <c r="Z113" i="19"/>
  <c r="AD113" i="19"/>
  <c r="AE113" i="19"/>
  <c r="AF113" i="19"/>
  <c r="AG113" i="19"/>
  <c r="AH113" i="19"/>
  <c r="AJ113" i="19"/>
  <c r="AK113" i="19"/>
  <c r="AL113" i="19"/>
  <c r="AO113" i="19"/>
  <c r="I113" i="19" s="1"/>
  <c r="AP113" i="19"/>
  <c r="BI113" i="19" s="1"/>
  <c r="AC113" i="19" s="1"/>
  <c r="BD113" i="19"/>
  <c r="BF113" i="19"/>
  <c r="BJ113" i="19"/>
  <c r="K115" i="19"/>
  <c r="AK115" i="19" s="1"/>
  <c r="Z115" i="19"/>
  <c r="AD115" i="19"/>
  <c r="AE115" i="19"/>
  <c r="AF115" i="19"/>
  <c r="AG115" i="19"/>
  <c r="AH115" i="19"/>
  <c r="AJ115" i="19"/>
  <c r="AL115" i="19"/>
  <c r="AO115" i="19"/>
  <c r="AP115" i="19"/>
  <c r="J115" i="19" s="1"/>
  <c r="BD115" i="19"/>
  <c r="BF115" i="19"/>
  <c r="BI115" i="19"/>
  <c r="AC115" i="19" s="1"/>
  <c r="BJ115" i="19"/>
  <c r="K116" i="19"/>
  <c r="AK116" i="19" s="1"/>
  <c r="Z116" i="19"/>
  <c r="AD116" i="19"/>
  <c r="AE116" i="19"/>
  <c r="AF116" i="19"/>
  <c r="AG116" i="19"/>
  <c r="AH116" i="19"/>
  <c r="AJ116" i="19"/>
  <c r="AL116" i="19"/>
  <c r="AO116" i="19"/>
  <c r="AP116" i="19"/>
  <c r="BI116" i="19" s="1"/>
  <c r="AC116" i="19" s="1"/>
  <c r="BD116" i="19"/>
  <c r="BF116" i="19"/>
  <c r="BJ116" i="19"/>
  <c r="K117" i="19"/>
  <c r="AK117" i="19" s="1"/>
  <c r="Z117" i="19"/>
  <c r="AD117" i="19"/>
  <c r="AE117" i="19"/>
  <c r="AF117" i="19"/>
  <c r="AG117" i="19"/>
  <c r="AH117" i="19"/>
  <c r="AJ117" i="19"/>
  <c r="AL117" i="19"/>
  <c r="AO117" i="19"/>
  <c r="AP117" i="19"/>
  <c r="BD117" i="19"/>
  <c r="BF117" i="19"/>
  <c r="BJ117" i="19"/>
  <c r="K118" i="19"/>
  <c r="AK118" i="19" s="1"/>
  <c r="Z118" i="19"/>
  <c r="AD118" i="19"/>
  <c r="AE118" i="19"/>
  <c r="AF118" i="19"/>
  <c r="AG118" i="19"/>
  <c r="AH118" i="19"/>
  <c r="AJ118" i="19"/>
  <c r="AL118" i="19"/>
  <c r="AO118" i="19"/>
  <c r="AP118" i="19"/>
  <c r="BD118" i="19"/>
  <c r="BF118" i="19"/>
  <c r="BJ118" i="19"/>
  <c r="K119" i="19"/>
  <c r="AK119" i="19" s="1"/>
  <c r="Z119" i="19"/>
  <c r="AD119" i="19"/>
  <c r="AE119" i="19"/>
  <c r="AF119" i="19"/>
  <c r="AG119" i="19"/>
  <c r="AH119" i="19"/>
  <c r="AJ119" i="19"/>
  <c r="AL119" i="19"/>
  <c r="AO119" i="19"/>
  <c r="AP119" i="19"/>
  <c r="BD119" i="19"/>
  <c r="BF119" i="19"/>
  <c r="BJ119" i="19"/>
  <c r="K120" i="19"/>
  <c r="Z120" i="19"/>
  <c r="AD120" i="19"/>
  <c r="AE120" i="19"/>
  <c r="AF120" i="19"/>
  <c r="AG120" i="19"/>
  <c r="AH120" i="19"/>
  <c r="AJ120" i="19"/>
  <c r="AK120" i="19"/>
  <c r="AL120" i="19"/>
  <c r="AO120" i="19"/>
  <c r="AP120" i="19"/>
  <c r="BI120" i="19" s="1"/>
  <c r="AC120" i="19" s="1"/>
  <c r="BD120" i="19"/>
  <c r="BF120" i="19"/>
  <c r="BJ120" i="19"/>
  <c r="K121" i="19"/>
  <c r="AK121" i="19" s="1"/>
  <c r="Z121" i="19"/>
  <c r="AD121" i="19"/>
  <c r="AE121" i="19"/>
  <c r="AF121" i="19"/>
  <c r="AG121" i="19"/>
  <c r="AH121" i="19"/>
  <c r="AJ121" i="19"/>
  <c r="AL121" i="19"/>
  <c r="AO121" i="19"/>
  <c r="AP121" i="19"/>
  <c r="BD121" i="19"/>
  <c r="BF121" i="19"/>
  <c r="BJ121" i="19"/>
  <c r="K122" i="19"/>
  <c r="AK122" i="19" s="1"/>
  <c r="Z122" i="19"/>
  <c r="AD122" i="19"/>
  <c r="AE122" i="19"/>
  <c r="AF122" i="19"/>
  <c r="AG122" i="19"/>
  <c r="AH122" i="19"/>
  <c r="AJ122" i="19"/>
  <c r="AL122" i="19"/>
  <c r="AO122" i="19"/>
  <c r="AP122" i="19"/>
  <c r="BD122" i="19"/>
  <c r="BF122" i="19"/>
  <c r="BJ122" i="19"/>
  <c r="K123" i="19"/>
  <c r="AK123" i="19" s="1"/>
  <c r="Z123" i="19"/>
  <c r="AD123" i="19"/>
  <c r="AE123" i="19"/>
  <c r="AF123" i="19"/>
  <c r="AG123" i="19"/>
  <c r="AH123" i="19"/>
  <c r="AJ123" i="19"/>
  <c r="AL123" i="19"/>
  <c r="AO123" i="19"/>
  <c r="AP123" i="19"/>
  <c r="BD123" i="19"/>
  <c r="BF123" i="19"/>
  <c r="BJ123" i="19"/>
  <c r="K124" i="19"/>
  <c r="AK124" i="19" s="1"/>
  <c r="Z124" i="19"/>
  <c r="AD124" i="19"/>
  <c r="AE124" i="19"/>
  <c r="AF124" i="19"/>
  <c r="AG124" i="19"/>
  <c r="AH124" i="19"/>
  <c r="AJ124" i="19"/>
  <c r="AL124" i="19"/>
  <c r="AO124" i="19"/>
  <c r="I124" i="19" s="1"/>
  <c r="AP124" i="19"/>
  <c r="BI124" i="19" s="1"/>
  <c r="AC124" i="19" s="1"/>
  <c r="BD124" i="19"/>
  <c r="BF124" i="19"/>
  <c r="BH124" i="19"/>
  <c r="AB124" i="19" s="1"/>
  <c r="BJ124" i="19"/>
  <c r="K125" i="19"/>
  <c r="AK125" i="19" s="1"/>
  <c r="Z125" i="19"/>
  <c r="AD125" i="19"/>
  <c r="AE125" i="19"/>
  <c r="AF125" i="19"/>
  <c r="AG125" i="19"/>
  <c r="AH125" i="19"/>
  <c r="AJ125" i="19"/>
  <c r="AL125" i="19"/>
  <c r="AO125" i="19"/>
  <c r="AP125" i="19"/>
  <c r="BD125" i="19"/>
  <c r="BF125" i="19"/>
  <c r="BJ125" i="19"/>
  <c r="K126" i="19"/>
  <c r="AK126" i="19" s="1"/>
  <c r="Z126" i="19"/>
  <c r="AD126" i="19"/>
  <c r="AE126" i="19"/>
  <c r="AF126" i="19"/>
  <c r="AG126" i="19"/>
  <c r="AH126" i="19"/>
  <c r="AJ126" i="19"/>
  <c r="AL126" i="19"/>
  <c r="AO126" i="19"/>
  <c r="AP126" i="19"/>
  <c r="BD126" i="19"/>
  <c r="BF126" i="19"/>
  <c r="BJ126" i="19"/>
  <c r="K127" i="19"/>
  <c r="AK127" i="19" s="1"/>
  <c r="Z127" i="19"/>
  <c r="AD127" i="19"/>
  <c r="AE127" i="19"/>
  <c r="AF127" i="19"/>
  <c r="AG127" i="19"/>
  <c r="AH127" i="19"/>
  <c r="AJ127" i="19"/>
  <c r="AL127" i="19"/>
  <c r="AO127" i="19"/>
  <c r="AP127" i="19"/>
  <c r="BD127" i="19"/>
  <c r="BF127" i="19"/>
  <c r="BJ127" i="19"/>
  <c r="K128" i="19"/>
  <c r="Z128" i="19"/>
  <c r="AD128" i="19"/>
  <c r="AE128" i="19"/>
  <c r="AF128" i="19"/>
  <c r="AG128" i="19"/>
  <c r="AH128" i="19"/>
  <c r="AJ128" i="19"/>
  <c r="AK128" i="19"/>
  <c r="AL128" i="19"/>
  <c r="AO128" i="19"/>
  <c r="AP128" i="19"/>
  <c r="BD128" i="19"/>
  <c r="BF128" i="19"/>
  <c r="BJ128" i="19"/>
  <c r="K129" i="19"/>
  <c r="AK129" i="19" s="1"/>
  <c r="Z129" i="19"/>
  <c r="AD129" i="19"/>
  <c r="AE129" i="19"/>
  <c r="AF129" i="19"/>
  <c r="AG129" i="19"/>
  <c r="AH129" i="19"/>
  <c r="AJ129" i="19"/>
  <c r="AL129" i="19"/>
  <c r="AO129" i="19"/>
  <c r="AP129" i="19"/>
  <c r="AX129" i="19" s="1"/>
  <c r="BD129" i="19"/>
  <c r="BF129" i="19"/>
  <c r="BH129" i="19"/>
  <c r="AB129" i="19" s="1"/>
  <c r="BJ129" i="19"/>
  <c r="K130" i="19"/>
  <c r="AK130" i="19" s="1"/>
  <c r="Z130" i="19"/>
  <c r="AD130" i="19"/>
  <c r="AE130" i="19"/>
  <c r="AF130" i="19"/>
  <c r="AG130" i="19"/>
  <c r="AH130" i="19"/>
  <c r="AJ130" i="19"/>
  <c r="AL130" i="19"/>
  <c r="AO130" i="19"/>
  <c r="AP130" i="19"/>
  <c r="J130" i="19" s="1"/>
  <c r="AX130" i="19"/>
  <c r="BD130" i="19"/>
  <c r="BF130" i="19"/>
  <c r="BI130" i="19"/>
  <c r="AC130" i="19" s="1"/>
  <c r="BJ130" i="19"/>
  <c r="K131" i="19"/>
  <c r="AK131" i="19" s="1"/>
  <c r="Z131" i="19"/>
  <c r="AD131" i="19"/>
  <c r="AE131" i="19"/>
  <c r="AF131" i="19"/>
  <c r="AG131" i="19"/>
  <c r="AH131" i="19"/>
  <c r="AJ131" i="19"/>
  <c r="AL131" i="19"/>
  <c r="AO131" i="19"/>
  <c r="AP131" i="19"/>
  <c r="J131" i="19" s="1"/>
  <c r="BD131" i="19"/>
  <c r="BF131" i="19"/>
  <c r="BJ131" i="19"/>
  <c r="K132" i="19"/>
  <c r="AK132" i="19" s="1"/>
  <c r="Z132" i="19"/>
  <c r="AD132" i="19"/>
  <c r="AE132" i="19"/>
  <c r="AF132" i="19"/>
  <c r="AG132" i="19"/>
  <c r="AH132" i="19"/>
  <c r="AJ132" i="19"/>
  <c r="AL132" i="19"/>
  <c r="AO132" i="19"/>
  <c r="I132" i="19" s="1"/>
  <c r="AP132" i="19"/>
  <c r="AW132" i="19"/>
  <c r="BD132" i="19"/>
  <c r="BF132" i="19"/>
  <c r="BH132" i="19"/>
  <c r="AB132" i="19" s="1"/>
  <c r="BJ132" i="19"/>
  <c r="K133" i="19"/>
  <c r="AK133" i="19" s="1"/>
  <c r="Z133" i="19"/>
  <c r="AD133" i="19"/>
  <c r="AE133" i="19"/>
  <c r="AF133" i="19"/>
  <c r="AG133" i="19"/>
  <c r="AH133" i="19"/>
  <c r="AJ133" i="19"/>
  <c r="AL133" i="19"/>
  <c r="AO133" i="19"/>
  <c r="AP133" i="19"/>
  <c r="AX133" i="19" s="1"/>
  <c r="BD133" i="19"/>
  <c r="BF133" i="19"/>
  <c r="BH133" i="19"/>
  <c r="AB133" i="19" s="1"/>
  <c r="BJ133" i="19"/>
  <c r="K135" i="19"/>
  <c r="Z135" i="19"/>
  <c r="AD135" i="19"/>
  <c r="AE135" i="19"/>
  <c r="AF135" i="19"/>
  <c r="AG135" i="19"/>
  <c r="AH135" i="19"/>
  <c r="AJ135" i="19"/>
  <c r="AK135" i="19"/>
  <c r="AL135" i="19"/>
  <c r="AO135" i="19"/>
  <c r="AW135" i="19" s="1"/>
  <c r="AP135" i="19"/>
  <c r="BD135" i="19"/>
  <c r="BF135" i="19"/>
  <c r="BH135" i="19"/>
  <c r="AB135" i="19" s="1"/>
  <c r="BJ135" i="19"/>
  <c r="K136" i="19"/>
  <c r="AK136" i="19" s="1"/>
  <c r="Z136" i="19"/>
  <c r="AD136" i="19"/>
  <c r="AE136" i="19"/>
  <c r="AF136" i="19"/>
  <c r="AG136" i="19"/>
  <c r="AH136" i="19"/>
  <c r="AJ136" i="19"/>
  <c r="AL136" i="19"/>
  <c r="AO136" i="19"/>
  <c r="AP136" i="19"/>
  <c r="J136" i="19" s="1"/>
  <c r="BD136" i="19"/>
  <c r="BF136" i="19"/>
  <c r="BJ136" i="19"/>
  <c r="K137" i="19"/>
  <c r="AK137" i="19" s="1"/>
  <c r="Z137" i="19"/>
  <c r="AD137" i="19"/>
  <c r="AE137" i="19"/>
  <c r="AF137" i="19"/>
  <c r="AG137" i="19"/>
  <c r="AH137" i="19"/>
  <c r="AJ137" i="19"/>
  <c r="AL137" i="19"/>
  <c r="AO137" i="19"/>
  <c r="AP137" i="19"/>
  <c r="J137" i="19" s="1"/>
  <c r="BD137" i="19"/>
  <c r="BF137" i="19"/>
  <c r="BJ137" i="19"/>
  <c r="I138" i="19"/>
  <c r="K138" i="19"/>
  <c r="AK138" i="19" s="1"/>
  <c r="Z138" i="19"/>
  <c r="AD138" i="19"/>
  <c r="AE138" i="19"/>
  <c r="AF138" i="19"/>
  <c r="AG138" i="19"/>
  <c r="AH138" i="19"/>
  <c r="AJ138" i="19"/>
  <c r="AL138" i="19"/>
  <c r="AO138" i="19"/>
  <c r="AW138" i="19" s="1"/>
  <c r="AP138" i="19"/>
  <c r="BD138" i="19"/>
  <c r="BF138" i="19"/>
  <c r="BJ138" i="19"/>
  <c r="K139" i="19"/>
  <c r="AK139" i="19" s="1"/>
  <c r="Z139" i="19"/>
  <c r="AD139" i="19"/>
  <c r="AE139" i="19"/>
  <c r="AF139" i="19"/>
  <c r="AG139" i="19"/>
  <c r="AH139" i="19"/>
  <c r="AJ139" i="19"/>
  <c r="AL139" i="19"/>
  <c r="AO139" i="19"/>
  <c r="AP139" i="19"/>
  <c r="BI139" i="19" s="1"/>
  <c r="AC139" i="19" s="1"/>
  <c r="BD139" i="19"/>
  <c r="BF139" i="19"/>
  <c r="BH139" i="19"/>
  <c r="AB139" i="19" s="1"/>
  <c r="BJ139" i="19"/>
  <c r="K140" i="19"/>
  <c r="AK140" i="19" s="1"/>
  <c r="Z140" i="19"/>
  <c r="AD140" i="19"/>
  <c r="AE140" i="19"/>
  <c r="AF140" i="19"/>
  <c r="AG140" i="19"/>
  <c r="AH140" i="19"/>
  <c r="AJ140" i="19"/>
  <c r="AL140" i="19"/>
  <c r="AO140" i="19"/>
  <c r="AP140" i="19"/>
  <c r="BD140" i="19"/>
  <c r="BF140" i="19"/>
  <c r="BJ140" i="19"/>
  <c r="K141" i="19"/>
  <c r="AK141" i="19" s="1"/>
  <c r="Z141" i="19"/>
  <c r="AD141" i="19"/>
  <c r="AE141" i="19"/>
  <c r="AF141" i="19"/>
  <c r="AG141" i="19"/>
  <c r="AH141" i="19"/>
  <c r="AJ141" i="19"/>
  <c r="AL141" i="19"/>
  <c r="AO141" i="19"/>
  <c r="AP141" i="19"/>
  <c r="J141" i="19" s="1"/>
  <c r="AX141" i="19"/>
  <c r="BD141" i="19"/>
  <c r="BF141" i="19"/>
  <c r="BI141" i="19"/>
  <c r="AC141" i="19" s="1"/>
  <c r="BJ141" i="19"/>
  <c r="K142" i="19"/>
  <c r="Z142" i="19"/>
  <c r="AD142" i="19"/>
  <c r="AE142" i="19"/>
  <c r="AF142" i="19"/>
  <c r="AG142" i="19"/>
  <c r="AH142" i="19"/>
  <c r="AJ142" i="19"/>
  <c r="AK142" i="19"/>
  <c r="AL142" i="19"/>
  <c r="AO142" i="19"/>
  <c r="AP142" i="19"/>
  <c r="BD142" i="19"/>
  <c r="BF142" i="19"/>
  <c r="BJ142" i="19"/>
  <c r="K143" i="19"/>
  <c r="AK143" i="19" s="1"/>
  <c r="Z143" i="19"/>
  <c r="AC143" i="19"/>
  <c r="AD143" i="19"/>
  <c r="AE143" i="19"/>
  <c r="AF143" i="19"/>
  <c r="AG143" i="19"/>
  <c r="AH143" i="19"/>
  <c r="AJ143" i="19"/>
  <c r="AL143" i="19"/>
  <c r="AO143" i="19"/>
  <c r="AP143" i="19"/>
  <c r="J143" i="19" s="1"/>
  <c r="BD143" i="19"/>
  <c r="BF143" i="19"/>
  <c r="BI143" i="19"/>
  <c r="BJ143" i="19"/>
  <c r="K144" i="19"/>
  <c r="Z144" i="19"/>
  <c r="AD144" i="19"/>
  <c r="AE144" i="19"/>
  <c r="AF144" i="19"/>
  <c r="AG144" i="19"/>
  <c r="AH144" i="19"/>
  <c r="AJ144" i="19"/>
  <c r="AK144" i="19"/>
  <c r="AL144" i="19"/>
  <c r="AO144" i="19"/>
  <c r="AP144" i="19"/>
  <c r="AX144" i="19" s="1"/>
  <c r="BD144" i="19"/>
  <c r="BF144" i="19"/>
  <c r="BJ144" i="19"/>
  <c r="K145" i="19"/>
  <c r="Z145" i="19"/>
  <c r="AD145" i="19"/>
  <c r="AE145" i="19"/>
  <c r="AF145" i="19"/>
  <c r="AG145" i="19"/>
  <c r="AH145" i="19"/>
  <c r="AJ145" i="19"/>
  <c r="AK145" i="19"/>
  <c r="AL145" i="19"/>
  <c r="AO145" i="19"/>
  <c r="I145" i="19" s="1"/>
  <c r="AP145" i="19"/>
  <c r="AW145" i="19"/>
  <c r="BD145" i="19"/>
  <c r="BF145" i="19"/>
  <c r="BH145" i="19"/>
  <c r="AB145" i="19" s="1"/>
  <c r="BJ145" i="19"/>
  <c r="K146" i="19"/>
  <c r="AK146" i="19" s="1"/>
  <c r="Z146" i="19"/>
  <c r="AD146" i="19"/>
  <c r="AE146" i="19"/>
  <c r="AF146" i="19"/>
  <c r="AG146" i="19"/>
  <c r="AH146" i="19"/>
  <c r="AJ146" i="19"/>
  <c r="AL146" i="19"/>
  <c r="AO146" i="19"/>
  <c r="AP146" i="19"/>
  <c r="BD146" i="19"/>
  <c r="BF146" i="19"/>
  <c r="BJ146" i="19"/>
  <c r="K147" i="19"/>
  <c r="AK147" i="19" s="1"/>
  <c r="Z147" i="19"/>
  <c r="AD147" i="19"/>
  <c r="AE147" i="19"/>
  <c r="AF147" i="19"/>
  <c r="AG147" i="19"/>
  <c r="AH147" i="19"/>
  <c r="AJ147" i="19"/>
  <c r="AL147" i="19"/>
  <c r="AO147" i="19"/>
  <c r="AP147" i="19"/>
  <c r="BD147" i="19"/>
  <c r="BF147" i="19"/>
  <c r="BJ147" i="19"/>
  <c r="K148" i="19"/>
  <c r="Z148" i="19"/>
  <c r="AD148" i="19"/>
  <c r="AE148" i="19"/>
  <c r="AF148" i="19"/>
  <c r="AG148" i="19"/>
  <c r="AH148" i="19"/>
  <c r="AJ148" i="19"/>
  <c r="AK148" i="19"/>
  <c r="AL148" i="19"/>
  <c r="AO148" i="19"/>
  <c r="I148" i="19" s="1"/>
  <c r="AP148" i="19"/>
  <c r="BD148" i="19"/>
  <c r="BF148" i="19"/>
  <c r="BJ148" i="19"/>
  <c r="K149" i="19"/>
  <c r="Z149" i="19"/>
  <c r="AD149" i="19"/>
  <c r="AE149" i="19"/>
  <c r="AF149" i="19"/>
  <c r="AG149" i="19"/>
  <c r="AH149" i="19"/>
  <c r="AJ149" i="19"/>
  <c r="AK149" i="19"/>
  <c r="AL149" i="19"/>
  <c r="AO149" i="19"/>
  <c r="I149" i="19" s="1"/>
  <c r="AP149" i="19"/>
  <c r="BD149" i="19"/>
  <c r="BF149" i="19"/>
  <c r="BH149" i="19"/>
  <c r="AB149" i="19" s="1"/>
  <c r="BJ149" i="19"/>
  <c r="K150" i="19"/>
  <c r="AK150" i="19" s="1"/>
  <c r="Z150" i="19"/>
  <c r="AD150" i="19"/>
  <c r="AE150" i="19"/>
  <c r="AF150" i="19"/>
  <c r="AG150" i="19"/>
  <c r="AH150" i="19"/>
  <c r="AJ150" i="19"/>
  <c r="AL150" i="19"/>
  <c r="AO150" i="19"/>
  <c r="AP150" i="19"/>
  <c r="J150" i="19" s="1"/>
  <c r="BD150" i="19"/>
  <c r="BF150" i="19"/>
  <c r="BJ150" i="19"/>
  <c r="K151" i="19"/>
  <c r="AK151" i="19" s="1"/>
  <c r="Z151" i="19"/>
  <c r="AD151" i="19"/>
  <c r="AE151" i="19"/>
  <c r="AF151" i="19"/>
  <c r="AG151" i="19"/>
  <c r="AH151" i="19"/>
  <c r="AJ151" i="19"/>
  <c r="AL151" i="19"/>
  <c r="AO151" i="19"/>
  <c r="AP151" i="19"/>
  <c r="J151" i="19" s="1"/>
  <c r="BD151" i="19"/>
  <c r="BF151" i="19"/>
  <c r="BI151" i="19"/>
  <c r="AC151" i="19" s="1"/>
  <c r="BJ151" i="19"/>
  <c r="K152" i="19"/>
  <c r="AK152" i="19" s="1"/>
  <c r="Z152" i="19"/>
  <c r="AD152" i="19"/>
  <c r="AE152" i="19"/>
  <c r="AF152" i="19"/>
  <c r="AG152" i="19"/>
  <c r="AH152" i="19"/>
  <c r="AJ152" i="19"/>
  <c r="AL152" i="19"/>
  <c r="AO152" i="19"/>
  <c r="AP152" i="19"/>
  <c r="J152" i="19" s="1"/>
  <c r="AX152" i="19"/>
  <c r="BD152" i="19"/>
  <c r="BF152" i="19"/>
  <c r="BI152" i="19"/>
  <c r="AC152" i="19" s="1"/>
  <c r="BJ152" i="19"/>
  <c r="K154" i="19"/>
  <c r="AB154" i="19"/>
  <c r="AC154" i="19"/>
  <c r="AD154" i="19"/>
  <c r="AE154" i="19"/>
  <c r="AF154" i="19"/>
  <c r="AG154" i="19"/>
  <c r="AH154" i="19"/>
  <c r="AJ154" i="19"/>
  <c r="AL154" i="19"/>
  <c r="AO154" i="19"/>
  <c r="AP154" i="19"/>
  <c r="J154" i="19" s="1"/>
  <c r="AX154" i="19"/>
  <c r="BD154" i="19"/>
  <c r="BF154" i="19"/>
  <c r="BI154" i="19"/>
  <c r="BJ154" i="19"/>
  <c r="Z154" i="19" s="1"/>
  <c r="K155" i="19"/>
  <c r="AK155" i="19" s="1"/>
  <c r="AB155" i="19"/>
  <c r="AC155" i="19"/>
  <c r="AD155" i="19"/>
  <c r="AE155" i="19"/>
  <c r="AF155" i="19"/>
  <c r="AG155" i="19"/>
  <c r="AH155" i="19"/>
  <c r="AJ155" i="19"/>
  <c r="AL155" i="19"/>
  <c r="AO155" i="19"/>
  <c r="I155" i="19" s="1"/>
  <c r="AP155" i="19"/>
  <c r="J155" i="19" s="1"/>
  <c r="BD155" i="19"/>
  <c r="BF155" i="19"/>
  <c r="BJ155" i="19"/>
  <c r="Z155" i="19" s="1"/>
  <c r="K156" i="19"/>
  <c r="AK156" i="19" s="1"/>
  <c r="AB156" i="19"/>
  <c r="AC156" i="19"/>
  <c r="AD156" i="19"/>
  <c r="AE156" i="19"/>
  <c r="AF156" i="19"/>
  <c r="AG156" i="19"/>
  <c r="AH156" i="19"/>
  <c r="AJ156" i="19"/>
  <c r="AL156" i="19"/>
  <c r="AO156" i="19"/>
  <c r="AW156" i="19" s="1"/>
  <c r="AP156" i="19"/>
  <c r="BD156" i="19"/>
  <c r="BF156" i="19"/>
  <c r="BH156" i="19"/>
  <c r="BI156" i="19"/>
  <c r="BJ156" i="19"/>
  <c r="Z156" i="19" s="1"/>
  <c r="K157" i="19"/>
  <c r="AK157" i="19" s="1"/>
  <c r="AB157" i="19"/>
  <c r="AC157" i="19"/>
  <c r="AD157" i="19"/>
  <c r="AE157" i="19"/>
  <c r="AF157" i="19"/>
  <c r="AG157" i="19"/>
  <c r="AH157" i="19"/>
  <c r="AJ157" i="19"/>
  <c r="AL157" i="19"/>
  <c r="AO157" i="19"/>
  <c r="BH157" i="19" s="1"/>
  <c r="AP157" i="19"/>
  <c r="J157" i="19" s="1"/>
  <c r="AX157" i="19"/>
  <c r="BD157" i="19"/>
  <c r="BF157" i="19"/>
  <c r="BI157" i="19"/>
  <c r="BJ157" i="19"/>
  <c r="Z157" i="19" s="1"/>
  <c r="K158" i="19"/>
  <c r="AK158" i="19" s="1"/>
  <c r="AB158" i="19"/>
  <c r="AC158" i="19"/>
  <c r="AD158" i="19"/>
  <c r="AE158" i="19"/>
  <c r="AF158" i="19"/>
  <c r="AG158" i="19"/>
  <c r="AH158" i="19"/>
  <c r="AJ158" i="19"/>
  <c r="AL158" i="19"/>
  <c r="AO158" i="19"/>
  <c r="I158" i="19" s="1"/>
  <c r="AP158" i="19"/>
  <c r="J158" i="19" s="1"/>
  <c r="AW158" i="19"/>
  <c r="BD158" i="19"/>
  <c r="BF158" i="19"/>
  <c r="BH158" i="19"/>
  <c r="BJ158" i="19"/>
  <c r="Z158" i="19" s="1"/>
  <c r="K159" i="19"/>
  <c r="AK159" i="19" s="1"/>
  <c r="AB159" i="19"/>
  <c r="AC159" i="19"/>
  <c r="AD159" i="19"/>
  <c r="AE159" i="19"/>
  <c r="AF159" i="19"/>
  <c r="AG159" i="19"/>
  <c r="AH159" i="19"/>
  <c r="AJ159" i="19"/>
  <c r="AL159" i="19"/>
  <c r="AO159" i="19"/>
  <c r="AW159" i="19" s="1"/>
  <c r="AP159" i="19"/>
  <c r="BD159" i="19"/>
  <c r="BF159" i="19"/>
  <c r="BH159" i="19"/>
  <c r="BJ159" i="19"/>
  <c r="Z159" i="19" s="1"/>
  <c r="K160" i="19"/>
  <c r="AK160" i="19" s="1"/>
  <c r="AB160" i="19"/>
  <c r="AC160" i="19"/>
  <c r="AD160" i="19"/>
  <c r="AE160" i="19"/>
  <c r="AF160" i="19"/>
  <c r="AG160" i="19"/>
  <c r="AH160" i="19"/>
  <c r="AJ160" i="19"/>
  <c r="AL160" i="19"/>
  <c r="AO160" i="19"/>
  <c r="AW160" i="19" s="1"/>
  <c r="AP160" i="19"/>
  <c r="BD160" i="19"/>
  <c r="BF160" i="19"/>
  <c r="BH160" i="19"/>
  <c r="BI160" i="19"/>
  <c r="BJ160" i="19"/>
  <c r="Z160" i="19" s="1"/>
  <c r="K161" i="19"/>
  <c r="AK161" i="19" s="1"/>
  <c r="AB161" i="19"/>
  <c r="AC161" i="19"/>
  <c r="AD161" i="19"/>
  <c r="AE161" i="19"/>
  <c r="AF161" i="19"/>
  <c r="AG161" i="19"/>
  <c r="AH161" i="19"/>
  <c r="AJ161" i="19"/>
  <c r="AL161" i="19"/>
  <c r="AO161" i="19"/>
  <c r="BH161" i="19" s="1"/>
  <c r="AP161" i="19"/>
  <c r="J161" i="19" s="1"/>
  <c r="AX161" i="19"/>
  <c r="BD161" i="19"/>
  <c r="BF161" i="19"/>
  <c r="BI161" i="19"/>
  <c r="BJ161" i="19"/>
  <c r="Z161" i="19" s="1"/>
  <c r="K162" i="19"/>
  <c r="AK162" i="19" s="1"/>
  <c r="AB162" i="19"/>
  <c r="AC162" i="19"/>
  <c r="AD162" i="19"/>
  <c r="AE162" i="19"/>
  <c r="AF162" i="19"/>
  <c r="AG162" i="19"/>
  <c r="AH162" i="19"/>
  <c r="AJ162" i="19"/>
  <c r="AL162" i="19"/>
  <c r="AO162" i="19"/>
  <c r="AP162" i="19"/>
  <c r="BD162" i="19"/>
  <c r="BF162" i="19"/>
  <c r="BJ162" i="19"/>
  <c r="Z162" i="19" s="1"/>
  <c r="K163" i="19"/>
  <c r="AB163" i="19"/>
  <c r="AC163" i="19"/>
  <c r="AD163" i="19"/>
  <c r="AE163" i="19"/>
  <c r="AF163" i="19"/>
  <c r="AG163" i="19"/>
  <c r="AH163" i="19"/>
  <c r="AJ163" i="19"/>
  <c r="AK163" i="19"/>
  <c r="AL163" i="19"/>
  <c r="AO163" i="19"/>
  <c r="I163" i="19" s="1"/>
  <c r="AP163" i="19"/>
  <c r="J163" i="19" s="1"/>
  <c r="BD163" i="19"/>
  <c r="BF163" i="19"/>
  <c r="BJ163" i="19"/>
  <c r="Z163" i="19" s="1"/>
  <c r="K164" i="19"/>
  <c r="AB164" i="19"/>
  <c r="AC164" i="19"/>
  <c r="AD164" i="19"/>
  <c r="AE164" i="19"/>
  <c r="AF164" i="19"/>
  <c r="AG164" i="19"/>
  <c r="AH164" i="19"/>
  <c r="AJ164" i="19"/>
  <c r="AK164" i="19"/>
  <c r="AL164" i="19"/>
  <c r="AO164" i="19"/>
  <c r="AP164" i="19"/>
  <c r="BD164" i="19"/>
  <c r="BF164" i="19"/>
  <c r="BJ164" i="19"/>
  <c r="Z164" i="19" s="1"/>
  <c r="K165" i="19"/>
  <c r="AK165" i="19" s="1"/>
  <c r="Z165" i="19"/>
  <c r="AB165" i="19"/>
  <c r="AC165" i="19"/>
  <c r="AD165" i="19"/>
  <c r="AE165" i="19"/>
  <c r="AF165" i="19"/>
  <c r="AG165" i="19"/>
  <c r="AH165" i="19"/>
  <c r="AJ165" i="19"/>
  <c r="AL165" i="19"/>
  <c r="AO165" i="19"/>
  <c r="AP165" i="19"/>
  <c r="BD165" i="19"/>
  <c r="BF165" i="19"/>
  <c r="BJ165" i="19"/>
  <c r="K166" i="19"/>
  <c r="AK166" i="19" s="1"/>
  <c r="AB166" i="19"/>
  <c r="AC166" i="19"/>
  <c r="AD166" i="19"/>
  <c r="AE166" i="19"/>
  <c r="AF166" i="19"/>
  <c r="AG166" i="19"/>
  <c r="AH166" i="19"/>
  <c r="AJ166" i="19"/>
  <c r="AL166" i="19"/>
  <c r="AO166" i="19"/>
  <c r="I166" i="19" s="1"/>
  <c r="AP166" i="19"/>
  <c r="J166" i="19" s="1"/>
  <c r="BD166" i="19"/>
  <c r="BF166" i="19"/>
  <c r="BI166" i="19"/>
  <c r="BJ166" i="19"/>
  <c r="Z166" i="19" s="1"/>
  <c r="K167" i="19"/>
  <c r="AK167" i="19" s="1"/>
  <c r="AB167" i="19"/>
  <c r="AC167" i="19"/>
  <c r="AD167" i="19"/>
  <c r="AE167" i="19"/>
  <c r="AF167" i="19"/>
  <c r="AG167" i="19"/>
  <c r="AH167" i="19"/>
  <c r="AJ167" i="19"/>
  <c r="AL167" i="19"/>
  <c r="AO167" i="19"/>
  <c r="AP167" i="19"/>
  <c r="BD167" i="19"/>
  <c r="BF167" i="19"/>
  <c r="BJ167" i="19"/>
  <c r="Z167" i="19" s="1"/>
  <c r="K168" i="19"/>
  <c r="AK168" i="19" s="1"/>
  <c r="Z168" i="19"/>
  <c r="AB168" i="19"/>
  <c r="AC168" i="19"/>
  <c r="AD168" i="19"/>
  <c r="AE168" i="19"/>
  <c r="AF168" i="19"/>
  <c r="AG168" i="19"/>
  <c r="AH168" i="19"/>
  <c r="AJ168" i="19"/>
  <c r="AL168" i="19"/>
  <c r="AO168" i="19"/>
  <c r="AW168" i="19" s="1"/>
  <c r="AP168" i="19"/>
  <c r="BD168" i="19"/>
  <c r="BF168" i="19"/>
  <c r="BH168" i="19"/>
  <c r="BJ168" i="19"/>
  <c r="K169" i="19"/>
  <c r="AK169" i="19" s="1"/>
  <c r="AB169" i="19"/>
  <c r="AC169" i="19"/>
  <c r="AD169" i="19"/>
  <c r="AE169" i="19"/>
  <c r="AF169" i="19"/>
  <c r="AG169" i="19"/>
  <c r="AH169" i="19"/>
  <c r="AJ169" i="19"/>
  <c r="AL169" i="19"/>
  <c r="AO169" i="19"/>
  <c r="AP169" i="19"/>
  <c r="J169" i="19" s="1"/>
  <c r="BD169" i="19"/>
  <c r="BF169" i="19"/>
  <c r="BJ169" i="19"/>
  <c r="Z169" i="19" s="1"/>
  <c r="K171" i="19"/>
  <c r="AB171" i="19"/>
  <c r="AC171" i="19"/>
  <c r="AD171" i="19"/>
  <c r="AE171" i="19"/>
  <c r="AF171" i="19"/>
  <c r="AG171" i="19"/>
  <c r="AH171" i="19"/>
  <c r="AJ171" i="19"/>
  <c r="AS170" i="19" s="1"/>
  <c r="AL171" i="19"/>
  <c r="AU170" i="19" s="1"/>
  <c r="AO171" i="19"/>
  <c r="I171" i="19" s="1"/>
  <c r="I170" i="19" s="1"/>
  <c r="AP171" i="19"/>
  <c r="BI171" i="19" s="1"/>
  <c r="BD171" i="19"/>
  <c r="BF171" i="19"/>
  <c r="BH171" i="19"/>
  <c r="BJ171" i="19"/>
  <c r="Z171" i="19" s="1"/>
  <c r="K173" i="19"/>
  <c r="Z173" i="19"/>
  <c r="AB173" i="19"/>
  <c r="AC173" i="19"/>
  <c r="AF173" i="19"/>
  <c r="AG173" i="19"/>
  <c r="AH173" i="19"/>
  <c r="AJ173" i="19"/>
  <c r="AK173" i="19"/>
  <c r="AL173" i="19"/>
  <c r="AO173" i="19"/>
  <c r="I173" i="19" s="1"/>
  <c r="AP173" i="19"/>
  <c r="AW173" i="19"/>
  <c r="BD173" i="19"/>
  <c r="BF173" i="19"/>
  <c r="BH173" i="19"/>
  <c r="AD173" i="19" s="1"/>
  <c r="BJ173" i="19"/>
  <c r="K174" i="19"/>
  <c r="Z174" i="19"/>
  <c r="AB174" i="19"/>
  <c r="AC174" i="19"/>
  <c r="AF174" i="19"/>
  <c r="AG174" i="19"/>
  <c r="AH174" i="19"/>
  <c r="AJ174" i="19"/>
  <c r="AK174" i="19"/>
  <c r="AL174" i="19"/>
  <c r="AO174" i="19"/>
  <c r="AP174" i="19"/>
  <c r="BD174" i="19"/>
  <c r="BF174" i="19"/>
  <c r="BH174" i="19"/>
  <c r="AD174" i="19" s="1"/>
  <c r="BJ174" i="19"/>
  <c r="K175" i="19"/>
  <c r="Z175" i="19"/>
  <c r="AB175" i="19"/>
  <c r="AC175" i="19"/>
  <c r="AF175" i="19"/>
  <c r="AG175" i="19"/>
  <c r="AH175" i="19"/>
  <c r="AJ175" i="19"/>
  <c r="AL175" i="19"/>
  <c r="AO175" i="19"/>
  <c r="AP175" i="19"/>
  <c r="BD175" i="19"/>
  <c r="BF175" i="19"/>
  <c r="BJ175" i="19"/>
  <c r="K176" i="19"/>
  <c r="AK176" i="19" s="1"/>
  <c r="AB176" i="19"/>
  <c r="AC176" i="19"/>
  <c r="AD176" i="19"/>
  <c r="AE176" i="19"/>
  <c r="AF176" i="19"/>
  <c r="AG176" i="19"/>
  <c r="AH176" i="19"/>
  <c r="AJ176" i="19"/>
  <c r="AL176" i="19"/>
  <c r="AO176" i="19"/>
  <c r="I176" i="19" s="1"/>
  <c r="AP176" i="19"/>
  <c r="J176" i="19" s="1"/>
  <c r="BD176" i="19"/>
  <c r="BF176" i="19"/>
  <c r="BJ176" i="19"/>
  <c r="Z176" i="19" s="1"/>
  <c r="K178" i="19"/>
  <c r="Z178" i="19"/>
  <c r="AB178" i="19"/>
  <c r="AC178" i="19"/>
  <c r="AF178" i="19"/>
  <c r="AG178" i="19"/>
  <c r="AH178" i="19"/>
  <c r="AJ178" i="19"/>
  <c r="AL178" i="19"/>
  <c r="AO178" i="19"/>
  <c r="AP178" i="19"/>
  <c r="BD178" i="19"/>
  <c r="BF178" i="19"/>
  <c r="BJ178" i="19"/>
  <c r="K179" i="19"/>
  <c r="AK179" i="19" s="1"/>
  <c r="Z179" i="19"/>
  <c r="AB179" i="19"/>
  <c r="AC179" i="19"/>
  <c r="AF179" i="19"/>
  <c r="AG179" i="19"/>
  <c r="AH179" i="19"/>
  <c r="AJ179" i="19"/>
  <c r="AL179" i="19"/>
  <c r="AO179" i="19"/>
  <c r="I179" i="19" s="1"/>
  <c r="AP179" i="19"/>
  <c r="BI179" i="19" s="1"/>
  <c r="AE179" i="19" s="1"/>
  <c r="BD179" i="19"/>
  <c r="BF179" i="19"/>
  <c r="BJ179" i="19"/>
  <c r="K180" i="19"/>
  <c r="Z180" i="19"/>
  <c r="AB180" i="19"/>
  <c r="AC180" i="19"/>
  <c r="AF180" i="19"/>
  <c r="AG180" i="19"/>
  <c r="AH180" i="19"/>
  <c r="AJ180" i="19"/>
  <c r="AK180" i="19"/>
  <c r="AL180" i="19"/>
  <c r="AO180" i="19"/>
  <c r="I180" i="19" s="1"/>
  <c r="AP180" i="19"/>
  <c r="AX180" i="19" s="1"/>
  <c r="BD180" i="19"/>
  <c r="BF180" i="19"/>
  <c r="BH180" i="19"/>
  <c r="AD180" i="19" s="1"/>
  <c r="BJ180" i="19"/>
  <c r="I181" i="19"/>
  <c r="K181" i="19"/>
  <c r="Z181" i="19"/>
  <c r="AB181" i="19"/>
  <c r="AC181" i="19"/>
  <c r="AF181" i="19"/>
  <c r="AG181" i="19"/>
  <c r="AH181" i="19"/>
  <c r="AJ181" i="19"/>
  <c r="AK181" i="19"/>
  <c r="AL181" i="19"/>
  <c r="AO181" i="19"/>
  <c r="AW181" i="19" s="1"/>
  <c r="AP181" i="19"/>
  <c r="BD181" i="19"/>
  <c r="BF181" i="19"/>
  <c r="BH181" i="19"/>
  <c r="AD181" i="19" s="1"/>
  <c r="BJ181" i="19"/>
  <c r="K182" i="19"/>
  <c r="AK182" i="19" s="1"/>
  <c r="Z182" i="19"/>
  <c r="AB182" i="19"/>
  <c r="AC182" i="19"/>
  <c r="AF182" i="19"/>
  <c r="AG182" i="19"/>
  <c r="AH182" i="19"/>
  <c r="AJ182" i="19"/>
  <c r="AL182" i="19"/>
  <c r="AO182" i="19"/>
  <c r="AP182" i="19"/>
  <c r="BD182" i="19"/>
  <c r="BF182" i="19"/>
  <c r="BJ182" i="19"/>
  <c r="J183" i="19"/>
  <c r="K183" i="19"/>
  <c r="AK183" i="19" s="1"/>
  <c r="Z183" i="19"/>
  <c r="AB183" i="19"/>
  <c r="AC183" i="19"/>
  <c r="AF183" i="19"/>
  <c r="AG183" i="19"/>
  <c r="AH183" i="19"/>
  <c r="AJ183" i="19"/>
  <c r="AL183" i="19"/>
  <c r="AO183" i="19"/>
  <c r="I183" i="19" s="1"/>
  <c r="AP183" i="19"/>
  <c r="AX183" i="19"/>
  <c r="BD183" i="19"/>
  <c r="BF183" i="19"/>
  <c r="BI183" i="19"/>
  <c r="AE183" i="19" s="1"/>
  <c r="BJ183" i="19"/>
  <c r="K184" i="19"/>
  <c r="Z184" i="19"/>
  <c r="AB184" i="19"/>
  <c r="AC184" i="19"/>
  <c r="AF184" i="19"/>
  <c r="AG184" i="19"/>
  <c r="AH184" i="19"/>
  <c r="AJ184" i="19"/>
  <c r="AK184" i="19"/>
  <c r="AL184" i="19"/>
  <c r="AO184" i="19"/>
  <c r="I184" i="19" s="1"/>
  <c r="AP184" i="19"/>
  <c r="BD184" i="19"/>
  <c r="BF184" i="19"/>
  <c r="BI184" i="19"/>
  <c r="AE184" i="19" s="1"/>
  <c r="BJ184" i="19"/>
  <c r="K185" i="19"/>
  <c r="AB185" i="19"/>
  <c r="AC185" i="19"/>
  <c r="AD185" i="19"/>
  <c r="AE185" i="19"/>
  <c r="AF185" i="19"/>
  <c r="AG185" i="19"/>
  <c r="AH185" i="19"/>
  <c r="AJ185" i="19"/>
  <c r="AK185" i="19"/>
  <c r="AL185" i="19"/>
  <c r="AO185" i="19"/>
  <c r="AP185" i="19"/>
  <c r="BD185" i="19"/>
  <c r="BF185" i="19"/>
  <c r="BJ185" i="19"/>
  <c r="Z185" i="19" s="1"/>
  <c r="K187" i="19"/>
  <c r="Z187" i="19"/>
  <c r="AB187" i="19"/>
  <c r="AC187" i="19"/>
  <c r="AF187" i="19"/>
  <c r="AG187" i="19"/>
  <c r="AH187" i="19"/>
  <c r="AJ187" i="19"/>
  <c r="AK187" i="19"/>
  <c r="AL187" i="19"/>
  <c r="AO187" i="19"/>
  <c r="I187" i="19" s="1"/>
  <c r="AP187" i="19"/>
  <c r="J187" i="19" s="1"/>
  <c r="AX187" i="19"/>
  <c r="BD187" i="19"/>
  <c r="BF187" i="19"/>
  <c r="BI187" i="19"/>
  <c r="AE187" i="19" s="1"/>
  <c r="BJ187" i="19"/>
  <c r="K188" i="19"/>
  <c r="Z188" i="19"/>
  <c r="AB188" i="19"/>
  <c r="AC188" i="19"/>
  <c r="AF188" i="19"/>
  <c r="AG188" i="19"/>
  <c r="AH188" i="19"/>
  <c r="AJ188" i="19"/>
  <c r="AK188" i="19"/>
  <c r="AL188" i="19"/>
  <c r="AO188" i="19"/>
  <c r="AP188" i="19"/>
  <c r="BD188" i="19"/>
  <c r="BF188" i="19"/>
  <c r="BH188" i="19"/>
  <c r="AD188" i="19" s="1"/>
  <c r="BI188" i="19"/>
  <c r="AE188" i="19" s="1"/>
  <c r="BJ188" i="19"/>
  <c r="K189" i="19"/>
  <c r="AK189" i="19" s="1"/>
  <c r="Z189" i="19"/>
  <c r="AB189" i="19"/>
  <c r="AC189" i="19"/>
  <c r="AF189" i="19"/>
  <c r="AG189" i="19"/>
  <c r="AH189" i="19"/>
  <c r="AJ189" i="19"/>
  <c r="AL189" i="19"/>
  <c r="AO189" i="19"/>
  <c r="BH189" i="19" s="1"/>
  <c r="AD189" i="19" s="1"/>
  <c r="AP189" i="19"/>
  <c r="J189" i="19" s="1"/>
  <c r="AX189" i="19"/>
  <c r="BD189" i="19"/>
  <c r="BF189" i="19"/>
  <c r="BI189" i="19"/>
  <c r="AE189" i="19" s="1"/>
  <c r="BJ189" i="19"/>
  <c r="K190" i="19"/>
  <c r="AK190" i="19" s="1"/>
  <c r="Z190" i="19"/>
  <c r="AB190" i="19"/>
  <c r="AC190" i="19"/>
  <c r="AF190" i="19"/>
  <c r="AG190" i="19"/>
  <c r="AH190" i="19"/>
  <c r="AJ190" i="19"/>
  <c r="AL190" i="19"/>
  <c r="AO190" i="19"/>
  <c r="I190" i="19" s="1"/>
  <c r="AP190" i="19"/>
  <c r="BD190" i="19"/>
  <c r="BF190" i="19"/>
  <c r="BJ190" i="19"/>
  <c r="K191" i="19"/>
  <c r="Z191" i="19"/>
  <c r="AB191" i="19"/>
  <c r="AC191" i="19"/>
  <c r="AF191" i="19"/>
  <c r="AG191" i="19"/>
  <c r="AH191" i="19"/>
  <c r="AJ191" i="19"/>
  <c r="AK191" i="19"/>
  <c r="AL191" i="19"/>
  <c r="AO191" i="19"/>
  <c r="I191" i="19" s="1"/>
  <c r="AP191" i="19"/>
  <c r="AX191" i="19" s="1"/>
  <c r="BD191" i="19"/>
  <c r="BF191" i="19"/>
  <c r="BJ191" i="19"/>
  <c r="K192" i="19"/>
  <c r="Z192" i="19"/>
  <c r="AB192" i="19"/>
  <c r="AC192" i="19"/>
  <c r="AF192" i="19"/>
  <c r="AG192" i="19"/>
  <c r="AH192" i="19"/>
  <c r="AJ192" i="19"/>
  <c r="AK192" i="19"/>
  <c r="AL192" i="19"/>
  <c r="AO192" i="19"/>
  <c r="AP192" i="19"/>
  <c r="BD192" i="19"/>
  <c r="BF192" i="19"/>
  <c r="BJ192" i="19"/>
  <c r="K193" i="19"/>
  <c r="AK193" i="19" s="1"/>
  <c r="Z193" i="19"/>
  <c r="AB193" i="19"/>
  <c r="AC193" i="19"/>
  <c r="AF193" i="19"/>
  <c r="AG193" i="19"/>
  <c r="AH193" i="19"/>
  <c r="AJ193" i="19"/>
  <c r="AL193" i="19"/>
  <c r="AO193" i="19"/>
  <c r="AP193" i="19"/>
  <c r="BD193" i="19"/>
  <c r="BF193" i="19"/>
  <c r="BJ193" i="19"/>
  <c r="K194" i="19"/>
  <c r="AK194" i="19" s="1"/>
  <c r="Z194" i="19"/>
  <c r="AB194" i="19"/>
  <c r="AC194" i="19"/>
  <c r="AF194" i="19"/>
  <c r="AG194" i="19"/>
  <c r="AH194" i="19"/>
  <c r="AJ194" i="19"/>
  <c r="AL194" i="19"/>
  <c r="AO194" i="19"/>
  <c r="AP194" i="19"/>
  <c r="BD194" i="19"/>
  <c r="BF194" i="19"/>
  <c r="BI194" i="19"/>
  <c r="AE194" i="19" s="1"/>
  <c r="BJ194" i="19"/>
  <c r="K195" i="19"/>
  <c r="Z195" i="19"/>
  <c r="AB195" i="19"/>
  <c r="AC195" i="19"/>
  <c r="AF195" i="19"/>
  <c r="AG195" i="19"/>
  <c r="AH195" i="19"/>
  <c r="AJ195" i="19"/>
  <c r="AK195" i="19"/>
  <c r="AL195" i="19"/>
  <c r="AO195" i="19"/>
  <c r="AW195" i="19" s="1"/>
  <c r="AP195" i="19"/>
  <c r="BD195" i="19"/>
  <c r="BF195" i="19"/>
  <c r="BH195" i="19"/>
  <c r="AD195" i="19" s="1"/>
  <c r="BJ195" i="19"/>
  <c r="K196" i="19"/>
  <c r="Z196" i="19"/>
  <c r="AB196" i="19"/>
  <c r="AC196" i="19"/>
  <c r="AF196" i="19"/>
  <c r="AG196" i="19"/>
  <c r="AH196" i="19"/>
  <c r="AJ196" i="19"/>
  <c r="AK196" i="19"/>
  <c r="AL196" i="19"/>
  <c r="AO196" i="19"/>
  <c r="AW196" i="19" s="1"/>
  <c r="AP196" i="19"/>
  <c r="BD196" i="19"/>
  <c r="BF196" i="19"/>
  <c r="BH196" i="19"/>
  <c r="AD196" i="19" s="1"/>
  <c r="BJ196" i="19"/>
  <c r="K197" i="19"/>
  <c r="AK197" i="19" s="1"/>
  <c r="Z197" i="19"/>
  <c r="AB197" i="19"/>
  <c r="AC197" i="19"/>
  <c r="AF197" i="19"/>
  <c r="AG197" i="19"/>
  <c r="AH197" i="19"/>
  <c r="AJ197" i="19"/>
  <c r="AL197" i="19"/>
  <c r="AO197" i="19"/>
  <c r="BH197" i="19" s="1"/>
  <c r="AD197" i="19" s="1"/>
  <c r="AP197" i="19"/>
  <c r="J197" i="19" s="1"/>
  <c r="BD197" i="19"/>
  <c r="BF197" i="19"/>
  <c r="BJ197" i="19"/>
  <c r="K198" i="19"/>
  <c r="AK198" i="19" s="1"/>
  <c r="Z198" i="19"/>
  <c r="AB198" i="19"/>
  <c r="AC198" i="19"/>
  <c r="AF198" i="19"/>
  <c r="AG198" i="19"/>
  <c r="AH198" i="19"/>
  <c r="AJ198" i="19"/>
  <c r="AL198" i="19"/>
  <c r="AO198" i="19"/>
  <c r="I198" i="19" s="1"/>
  <c r="AP198" i="19"/>
  <c r="AX198" i="19" s="1"/>
  <c r="BD198" i="19"/>
  <c r="BF198" i="19"/>
  <c r="BH198" i="19"/>
  <c r="AD198" i="19" s="1"/>
  <c r="BJ198" i="19"/>
  <c r="K199" i="19"/>
  <c r="Z199" i="19"/>
  <c r="AB199" i="19"/>
  <c r="AC199" i="19"/>
  <c r="AF199" i="19"/>
  <c r="AG199" i="19"/>
  <c r="AH199" i="19"/>
  <c r="AJ199" i="19"/>
  <c r="AK199" i="19"/>
  <c r="AL199" i="19"/>
  <c r="AO199" i="19"/>
  <c r="AW199" i="19" s="1"/>
  <c r="AP199" i="19"/>
  <c r="BD199" i="19"/>
  <c r="BF199" i="19"/>
  <c r="BJ199" i="19"/>
  <c r="K200" i="19"/>
  <c r="Z200" i="19"/>
  <c r="AB200" i="19"/>
  <c r="AC200" i="19"/>
  <c r="AF200" i="19"/>
  <c r="AG200" i="19"/>
  <c r="AH200" i="19"/>
  <c r="AJ200" i="19"/>
  <c r="AK200" i="19"/>
  <c r="AL200" i="19"/>
  <c r="AO200" i="19"/>
  <c r="AW200" i="19" s="1"/>
  <c r="AP200" i="19"/>
  <c r="BI200" i="19" s="1"/>
  <c r="AE200" i="19" s="1"/>
  <c r="BD200" i="19"/>
  <c r="BF200" i="19"/>
  <c r="BH200" i="19"/>
  <c r="AD200" i="19" s="1"/>
  <c r="BJ200" i="19"/>
  <c r="K201" i="19"/>
  <c r="AK201" i="19" s="1"/>
  <c r="Z201" i="19"/>
  <c r="AB201" i="19"/>
  <c r="AC201" i="19"/>
  <c r="AF201" i="19"/>
  <c r="AG201" i="19"/>
  <c r="AH201" i="19"/>
  <c r="AJ201" i="19"/>
  <c r="AL201" i="19"/>
  <c r="AO201" i="19"/>
  <c r="AP201" i="19"/>
  <c r="BD201" i="19"/>
  <c r="BF201" i="19"/>
  <c r="BH201" i="19"/>
  <c r="AD201" i="19" s="1"/>
  <c r="BJ201" i="19"/>
  <c r="K202" i="19"/>
  <c r="AK202" i="19" s="1"/>
  <c r="Z202" i="19"/>
  <c r="AB202" i="19"/>
  <c r="AC202" i="19"/>
  <c r="AF202" i="19"/>
  <c r="AG202" i="19"/>
  <c r="AH202" i="19"/>
  <c r="AJ202" i="19"/>
  <c r="AL202" i="19"/>
  <c r="AO202" i="19"/>
  <c r="AP202" i="19"/>
  <c r="J202" i="19" s="1"/>
  <c r="AX202" i="19"/>
  <c r="BD202" i="19"/>
  <c r="BF202" i="19"/>
  <c r="BI202" i="19"/>
  <c r="AE202" i="19" s="1"/>
  <c r="BJ202" i="19"/>
  <c r="K204" i="19"/>
  <c r="Z204" i="19"/>
  <c r="AB204" i="19"/>
  <c r="AC204" i="19"/>
  <c r="AF204" i="19"/>
  <c r="AG204" i="19"/>
  <c r="AH204" i="19"/>
  <c r="AJ204" i="19"/>
  <c r="AK204" i="19"/>
  <c r="AL204" i="19"/>
  <c r="AO204" i="19"/>
  <c r="AP204" i="19"/>
  <c r="BD204" i="19"/>
  <c r="BF204" i="19"/>
  <c r="BJ204" i="19"/>
  <c r="K205" i="19"/>
  <c r="AK205" i="19" s="1"/>
  <c r="Z205" i="19"/>
  <c r="AB205" i="19"/>
  <c r="AC205" i="19"/>
  <c r="AF205" i="19"/>
  <c r="AG205" i="19"/>
  <c r="AH205" i="19"/>
  <c r="AJ205" i="19"/>
  <c r="AL205" i="19"/>
  <c r="AO205" i="19"/>
  <c r="I205" i="19" s="1"/>
  <c r="AP205" i="19"/>
  <c r="BD205" i="19"/>
  <c r="BF205" i="19"/>
  <c r="BH205" i="19"/>
  <c r="AD205" i="19" s="1"/>
  <c r="BI205" i="19"/>
  <c r="AE205" i="19" s="1"/>
  <c r="BJ205" i="19"/>
  <c r="K206" i="19"/>
  <c r="AK206" i="19" s="1"/>
  <c r="Z206" i="19"/>
  <c r="AB206" i="19"/>
  <c r="AC206" i="19"/>
  <c r="AF206" i="19"/>
  <c r="AG206" i="19"/>
  <c r="AH206" i="19"/>
  <c r="AJ206" i="19"/>
  <c r="AL206" i="19"/>
  <c r="AO206" i="19"/>
  <c r="AP206" i="19"/>
  <c r="BD206" i="19"/>
  <c r="BF206" i="19"/>
  <c r="BH206" i="19"/>
  <c r="AD206" i="19" s="1"/>
  <c r="BJ206" i="19"/>
  <c r="K207" i="19"/>
  <c r="Z207" i="19"/>
  <c r="AB207" i="19"/>
  <c r="AC207" i="19"/>
  <c r="AF207" i="19"/>
  <c r="AG207" i="19"/>
  <c r="AH207" i="19"/>
  <c r="AJ207" i="19"/>
  <c r="AK207" i="19"/>
  <c r="AL207" i="19"/>
  <c r="AO207" i="19"/>
  <c r="I207" i="19" s="1"/>
  <c r="AP207" i="19"/>
  <c r="AX207" i="19" s="1"/>
  <c r="BD207" i="19"/>
  <c r="BF207" i="19"/>
  <c r="BH207" i="19"/>
  <c r="AD207" i="19" s="1"/>
  <c r="BJ207" i="19"/>
  <c r="K208" i="19"/>
  <c r="Z208" i="19"/>
  <c r="AB208" i="19"/>
  <c r="AC208" i="19"/>
  <c r="AF208" i="19"/>
  <c r="AG208" i="19"/>
  <c r="AH208" i="19"/>
  <c r="AJ208" i="19"/>
  <c r="AK208" i="19"/>
  <c r="AL208" i="19"/>
  <c r="AO208" i="19"/>
  <c r="AP208" i="19"/>
  <c r="BD208" i="19"/>
  <c r="BF208" i="19"/>
  <c r="BJ208" i="19"/>
  <c r="K209" i="19"/>
  <c r="AK209" i="19" s="1"/>
  <c r="Z209" i="19"/>
  <c r="AB209" i="19"/>
  <c r="AC209" i="19"/>
  <c r="AF209" i="19"/>
  <c r="AG209" i="19"/>
  <c r="AH209" i="19"/>
  <c r="AJ209" i="19"/>
  <c r="AL209" i="19"/>
  <c r="AO209" i="19"/>
  <c r="I209" i="19" s="1"/>
  <c r="AP209" i="19"/>
  <c r="BD209" i="19"/>
  <c r="BF209" i="19"/>
  <c r="BH209" i="19"/>
  <c r="AD209" i="19" s="1"/>
  <c r="BI209" i="19"/>
  <c r="AE209" i="19" s="1"/>
  <c r="BJ209" i="19"/>
  <c r="K210" i="19"/>
  <c r="AK210" i="19" s="1"/>
  <c r="Z210" i="19"/>
  <c r="AB210" i="19"/>
  <c r="AC210" i="19"/>
  <c r="AF210" i="19"/>
  <c r="AG210" i="19"/>
  <c r="AH210" i="19"/>
  <c r="AJ210" i="19"/>
  <c r="AL210" i="19"/>
  <c r="AO210" i="19"/>
  <c r="BH210" i="19" s="1"/>
  <c r="AD210" i="19" s="1"/>
  <c r="AP210" i="19"/>
  <c r="J210" i="19" s="1"/>
  <c r="BD210" i="19"/>
  <c r="BF210" i="19"/>
  <c r="BI210" i="19"/>
  <c r="AE210" i="19" s="1"/>
  <c r="BJ210" i="19"/>
  <c r="K211" i="19"/>
  <c r="Z211" i="19"/>
  <c r="AB211" i="19"/>
  <c r="AC211" i="19"/>
  <c r="AF211" i="19"/>
  <c r="AG211" i="19"/>
  <c r="AH211" i="19"/>
  <c r="AJ211" i="19"/>
  <c r="AK211" i="19"/>
  <c r="AL211" i="19"/>
  <c r="AO211" i="19"/>
  <c r="AW211" i="19" s="1"/>
  <c r="AP211" i="19"/>
  <c r="BD211" i="19"/>
  <c r="BF211" i="19"/>
  <c r="BJ211" i="19"/>
  <c r="K212" i="19"/>
  <c r="Z212" i="19"/>
  <c r="AB212" i="19"/>
  <c r="AC212" i="19"/>
  <c r="AF212" i="19"/>
  <c r="AG212" i="19"/>
  <c r="AH212" i="19"/>
  <c r="AJ212" i="19"/>
  <c r="AK212" i="19"/>
  <c r="AL212" i="19"/>
  <c r="AO212" i="19"/>
  <c r="AW212" i="19" s="1"/>
  <c r="AP212" i="19"/>
  <c r="BD212" i="19"/>
  <c r="BF212" i="19"/>
  <c r="BH212" i="19"/>
  <c r="AD212" i="19" s="1"/>
  <c r="BJ212" i="19"/>
  <c r="K213" i="19"/>
  <c r="AK213" i="19" s="1"/>
  <c r="Z213" i="19"/>
  <c r="AB213" i="19"/>
  <c r="AC213" i="19"/>
  <c r="AF213" i="19"/>
  <c r="AG213" i="19"/>
  <c r="AH213" i="19"/>
  <c r="AJ213" i="19"/>
  <c r="AL213" i="19"/>
  <c r="AO213" i="19"/>
  <c r="I213" i="19" s="1"/>
  <c r="AP213" i="19"/>
  <c r="BD213" i="19"/>
  <c r="BF213" i="19"/>
  <c r="BH213" i="19"/>
  <c r="AD213" i="19" s="1"/>
  <c r="BI213" i="19"/>
  <c r="AE213" i="19" s="1"/>
  <c r="BJ213" i="19"/>
  <c r="K214" i="19"/>
  <c r="AK214" i="19" s="1"/>
  <c r="Z214" i="19"/>
  <c r="AB214" i="19"/>
  <c r="AC214" i="19"/>
  <c r="AF214" i="19"/>
  <c r="AG214" i="19"/>
  <c r="AH214" i="19"/>
  <c r="AJ214" i="19"/>
  <c r="AL214" i="19"/>
  <c r="AO214" i="19"/>
  <c r="BH214" i="19" s="1"/>
  <c r="AD214" i="19" s="1"/>
  <c r="AP214" i="19"/>
  <c r="BD214" i="19"/>
  <c r="BF214" i="19"/>
  <c r="BJ214" i="19"/>
  <c r="K215" i="19"/>
  <c r="Z215" i="19"/>
  <c r="AB215" i="19"/>
  <c r="AC215" i="19"/>
  <c r="AF215" i="19"/>
  <c r="AG215" i="19"/>
  <c r="AH215" i="19"/>
  <c r="AJ215" i="19"/>
  <c r="AK215" i="19"/>
  <c r="AL215" i="19"/>
  <c r="AO215" i="19"/>
  <c r="AP215" i="19"/>
  <c r="J215" i="19" s="1"/>
  <c r="BD215" i="19"/>
  <c r="BF215" i="19"/>
  <c r="BJ215" i="19"/>
  <c r="K216" i="19"/>
  <c r="Z216" i="19"/>
  <c r="AB216" i="19"/>
  <c r="AC216" i="19"/>
  <c r="AF216" i="19"/>
  <c r="AG216" i="19"/>
  <c r="AH216" i="19"/>
  <c r="AJ216" i="19"/>
  <c r="AK216" i="19"/>
  <c r="AL216" i="19"/>
  <c r="AO216" i="19"/>
  <c r="AP216" i="19"/>
  <c r="J216" i="19" s="1"/>
  <c r="BD216" i="19"/>
  <c r="BF216" i="19"/>
  <c r="BH216" i="19"/>
  <c r="AD216" i="19" s="1"/>
  <c r="BI216" i="19"/>
  <c r="AE216" i="19" s="1"/>
  <c r="BJ216" i="19"/>
  <c r="K217" i="19"/>
  <c r="AK217" i="19" s="1"/>
  <c r="Z217" i="19"/>
  <c r="AB217" i="19"/>
  <c r="AC217" i="19"/>
  <c r="AF217" i="19"/>
  <c r="AG217" i="19"/>
  <c r="AH217" i="19"/>
  <c r="AJ217" i="19"/>
  <c r="AL217" i="19"/>
  <c r="AO217" i="19"/>
  <c r="I217" i="19" s="1"/>
  <c r="AP217" i="19"/>
  <c r="BD217" i="19"/>
  <c r="BF217" i="19"/>
  <c r="BH217" i="19"/>
  <c r="AD217" i="19" s="1"/>
  <c r="BI217" i="19"/>
  <c r="AE217" i="19" s="1"/>
  <c r="BJ217" i="19"/>
  <c r="K218" i="19"/>
  <c r="AK218" i="19" s="1"/>
  <c r="Z218" i="19"/>
  <c r="AB218" i="19"/>
  <c r="AC218" i="19"/>
  <c r="AF218" i="19"/>
  <c r="AG218" i="19"/>
  <c r="AH218" i="19"/>
  <c r="AJ218" i="19"/>
  <c r="AL218" i="19"/>
  <c r="AO218" i="19"/>
  <c r="AP218" i="19"/>
  <c r="BD218" i="19"/>
  <c r="BF218" i="19"/>
  <c r="BJ218" i="19"/>
  <c r="K219" i="19"/>
  <c r="Z219" i="19"/>
  <c r="AB219" i="19"/>
  <c r="AC219" i="19"/>
  <c r="AF219" i="19"/>
  <c r="AG219" i="19"/>
  <c r="AH219" i="19"/>
  <c r="AJ219" i="19"/>
  <c r="AK219" i="19"/>
  <c r="AL219" i="19"/>
  <c r="AO219" i="19"/>
  <c r="I219" i="19" s="1"/>
  <c r="AP219" i="19"/>
  <c r="BD219" i="19"/>
  <c r="BF219" i="19"/>
  <c r="BJ219" i="19"/>
  <c r="K220" i="19"/>
  <c r="Z220" i="19"/>
  <c r="AB220" i="19"/>
  <c r="AC220" i="19"/>
  <c r="AF220" i="19"/>
  <c r="AG220" i="19"/>
  <c r="AH220" i="19"/>
  <c r="AJ220" i="19"/>
  <c r="AK220" i="19"/>
  <c r="AL220" i="19"/>
  <c r="AO220" i="19"/>
  <c r="I220" i="19" s="1"/>
  <c r="AP220" i="19"/>
  <c r="AW220" i="19"/>
  <c r="BD220" i="19"/>
  <c r="BF220" i="19"/>
  <c r="BI220" i="19"/>
  <c r="AE220" i="19" s="1"/>
  <c r="BJ220" i="19"/>
  <c r="K221" i="19"/>
  <c r="AK221" i="19" s="1"/>
  <c r="Z221" i="19"/>
  <c r="AB221" i="19"/>
  <c r="AC221" i="19"/>
  <c r="AF221" i="19"/>
  <c r="AG221" i="19"/>
  <c r="AH221" i="19"/>
  <c r="AJ221" i="19"/>
  <c r="AL221" i="19"/>
  <c r="AO221" i="19"/>
  <c r="AP221" i="19"/>
  <c r="BD221" i="19"/>
  <c r="BF221" i="19"/>
  <c r="BH221" i="19"/>
  <c r="AD221" i="19" s="1"/>
  <c r="BJ221" i="19"/>
  <c r="K222" i="19"/>
  <c r="AK222" i="19" s="1"/>
  <c r="Z222" i="19"/>
  <c r="AB222" i="19"/>
  <c r="AC222" i="19"/>
  <c r="AF222" i="19"/>
  <c r="AG222" i="19"/>
  <c r="AH222" i="19"/>
  <c r="AJ222" i="19"/>
  <c r="AL222" i="19"/>
  <c r="AO222" i="19"/>
  <c r="AP222" i="19"/>
  <c r="BD222" i="19"/>
  <c r="BF222" i="19"/>
  <c r="BJ222" i="19"/>
  <c r="K223" i="19"/>
  <c r="Z223" i="19"/>
  <c r="AB223" i="19"/>
  <c r="AC223" i="19"/>
  <c r="AF223" i="19"/>
  <c r="AG223" i="19"/>
  <c r="AH223" i="19"/>
  <c r="AJ223" i="19"/>
  <c r="AK223" i="19"/>
  <c r="AL223" i="19"/>
  <c r="AO223" i="19"/>
  <c r="AW223" i="19" s="1"/>
  <c r="AP223" i="19"/>
  <c r="J223" i="19" s="1"/>
  <c r="AX223" i="19"/>
  <c r="BD223" i="19"/>
  <c r="BF223" i="19"/>
  <c r="BI223" i="19"/>
  <c r="AE223" i="19" s="1"/>
  <c r="BJ223" i="19"/>
  <c r="K224" i="19"/>
  <c r="Z224" i="19"/>
  <c r="AB224" i="19"/>
  <c r="AC224" i="19"/>
  <c r="AF224" i="19"/>
  <c r="AG224" i="19"/>
  <c r="AH224" i="19"/>
  <c r="AJ224" i="19"/>
  <c r="AK224" i="19"/>
  <c r="AL224" i="19"/>
  <c r="AO224" i="19"/>
  <c r="AP224" i="19"/>
  <c r="BI224" i="19" s="1"/>
  <c r="AE224" i="19" s="1"/>
  <c r="BD224" i="19"/>
  <c r="BF224" i="19"/>
  <c r="BJ224" i="19"/>
  <c r="K225" i="19"/>
  <c r="AK225" i="19" s="1"/>
  <c r="Z225" i="19"/>
  <c r="AB225" i="19"/>
  <c r="AC225" i="19"/>
  <c r="AF225" i="19"/>
  <c r="AG225" i="19"/>
  <c r="AH225" i="19"/>
  <c r="AJ225" i="19"/>
  <c r="AL225" i="19"/>
  <c r="AO225" i="19"/>
  <c r="AP225" i="19"/>
  <c r="J225" i="19" s="1"/>
  <c r="BD225" i="19"/>
  <c r="BF225" i="19"/>
  <c r="BH225" i="19"/>
  <c r="AD225" i="19" s="1"/>
  <c r="BJ225" i="19"/>
  <c r="K226" i="19"/>
  <c r="AK226" i="19" s="1"/>
  <c r="Z226" i="19"/>
  <c r="AB226" i="19"/>
  <c r="AC226" i="19"/>
  <c r="AF226" i="19"/>
  <c r="AG226" i="19"/>
  <c r="AH226" i="19"/>
  <c r="AJ226" i="19"/>
  <c r="AL226" i="19"/>
  <c r="AO226" i="19"/>
  <c r="AP226" i="19"/>
  <c r="BD226" i="19"/>
  <c r="BF226" i="19"/>
  <c r="BJ226" i="19"/>
  <c r="K227" i="19"/>
  <c r="Z227" i="19"/>
  <c r="AB227" i="19"/>
  <c r="AC227" i="19"/>
  <c r="AF227" i="19"/>
  <c r="AG227" i="19"/>
  <c r="AH227" i="19"/>
  <c r="AJ227" i="19"/>
  <c r="AK227" i="19"/>
  <c r="AL227" i="19"/>
  <c r="AO227" i="19"/>
  <c r="AP227" i="19"/>
  <c r="J227" i="19" s="1"/>
  <c r="AX227" i="19"/>
  <c r="BD227" i="19"/>
  <c r="BF227" i="19"/>
  <c r="BI227" i="19"/>
  <c r="AE227" i="19" s="1"/>
  <c r="BJ227" i="19"/>
  <c r="K228" i="19"/>
  <c r="Z228" i="19"/>
  <c r="AB228" i="19"/>
  <c r="AC228" i="19"/>
  <c r="AF228" i="19"/>
  <c r="AG228" i="19"/>
  <c r="AH228" i="19"/>
  <c r="AJ228" i="19"/>
  <c r="AK228" i="19"/>
  <c r="AL228" i="19"/>
  <c r="AO228" i="19"/>
  <c r="AW228" i="19" s="1"/>
  <c r="AP228" i="19"/>
  <c r="BD228" i="19"/>
  <c r="BF228" i="19"/>
  <c r="BH228" i="19"/>
  <c r="AD228" i="19" s="1"/>
  <c r="BI228" i="19"/>
  <c r="AE228" i="19" s="1"/>
  <c r="BJ228" i="19"/>
  <c r="K229" i="19"/>
  <c r="AK229" i="19" s="1"/>
  <c r="Z229" i="19"/>
  <c r="AB229" i="19"/>
  <c r="AC229" i="19"/>
  <c r="AF229" i="19"/>
  <c r="AG229" i="19"/>
  <c r="AH229" i="19"/>
  <c r="AJ229" i="19"/>
  <c r="AL229" i="19"/>
  <c r="AO229" i="19"/>
  <c r="BH229" i="19" s="1"/>
  <c r="AD229" i="19" s="1"/>
  <c r="AP229" i="19"/>
  <c r="BD229" i="19"/>
  <c r="BF229" i="19"/>
  <c r="BJ229" i="19"/>
  <c r="K230" i="19"/>
  <c r="AK230" i="19" s="1"/>
  <c r="Z230" i="19"/>
  <c r="AB230" i="19"/>
  <c r="AC230" i="19"/>
  <c r="AF230" i="19"/>
  <c r="AG230" i="19"/>
  <c r="AH230" i="19"/>
  <c r="AJ230" i="19"/>
  <c r="AL230" i="19"/>
  <c r="AO230" i="19"/>
  <c r="AP230" i="19"/>
  <c r="BD230" i="19"/>
  <c r="BF230" i="19"/>
  <c r="BJ230" i="19"/>
  <c r="I231" i="19"/>
  <c r="K231" i="19"/>
  <c r="Z231" i="19"/>
  <c r="AB231" i="19"/>
  <c r="AC231" i="19"/>
  <c r="AF231" i="19"/>
  <c r="AG231" i="19"/>
  <c r="AH231" i="19"/>
  <c r="AJ231" i="19"/>
  <c r="AK231" i="19"/>
  <c r="AL231" i="19"/>
  <c r="AO231" i="19"/>
  <c r="BH231" i="19" s="1"/>
  <c r="AD231" i="19" s="1"/>
  <c r="AP231" i="19"/>
  <c r="AX231" i="19" s="1"/>
  <c r="BD231" i="19"/>
  <c r="BF231" i="19"/>
  <c r="BJ231" i="19"/>
  <c r="K232" i="19"/>
  <c r="Z232" i="19"/>
  <c r="AB232" i="19"/>
  <c r="AC232" i="19"/>
  <c r="AF232" i="19"/>
  <c r="AG232" i="19"/>
  <c r="AH232" i="19"/>
  <c r="AJ232" i="19"/>
  <c r="AK232" i="19"/>
  <c r="AL232" i="19"/>
  <c r="AO232" i="19"/>
  <c r="AP232" i="19"/>
  <c r="BD232" i="19"/>
  <c r="BF232" i="19"/>
  <c r="BH232" i="19"/>
  <c r="AD232" i="19" s="1"/>
  <c r="BJ232" i="19"/>
  <c r="K233" i="19"/>
  <c r="AK233" i="19" s="1"/>
  <c r="Z233" i="19"/>
  <c r="AB233" i="19"/>
  <c r="AC233" i="19"/>
  <c r="AF233" i="19"/>
  <c r="AG233" i="19"/>
  <c r="AH233" i="19"/>
  <c r="AJ233" i="19"/>
  <c r="AL233" i="19"/>
  <c r="AO233" i="19"/>
  <c r="AP233" i="19"/>
  <c r="BD233" i="19"/>
  <c r="BF233" i="19"/>
  <c r="BJ233" i="19"/>
  <c r="J234" i="19"/>
  <c r="K234" i="19"/>
  <c r="AK234" i="19" s="1"/>
  <c r="Z234" i="19"/>
  <c r="AB234" i="19"/>
  <c r="AC234" i="19"/>
  <c r="AF234" i="19"/>
  <c r="AG234" i="19"/>
  <c r="AH234" i="19"/>
  <c r="AJ234" i="19"/>
  <c r="AL234" i="19"/>
  <c r="AO234" i="19"/>
  <c r="I234" i="19" s="1"/>
  <c r="AP234" i="19"/>
  <c r="AX234" i="19"/>
  <c r="BD234" i="19"/>
  <c r="BF234" i="19"/>
  <c r="BI234" i="19"/>
  <c r="AE234" i="19" s="1"/>
  <c r="BJ234" i="19"/>
  <c r="K235" i="19"/>
  <c r="Z235" i="19"/>
  <c r="AB235" i="19"/>
  <c r="AC235" i="19"/>
  <c r="AF235" i="19"/>
  <c r="AG235" i="19"/>
  <c r="AH235" i="19"/>
  <c r="AJ235" i="19"/>
  <c r="AK235" i="19"/>
  <c r="AL235" i="19"/>
  <c r="AO235" i="19"/>
  <c r="I235" i="19" s="1"/>
  <c r="AP235" i="19"/>
  <c r="AW235" i="19"/>
  <c r="BD235" i="19"/>
  <c r="BF235" i="19"/>
  <c r="BH235" i="19"/>
  <c r="AD235" i="19" s="1"/>
  <c r="BJ235" i="19"/>
  <c r="K236" i="19"/>
  <c r="Z236" i="19"/>
  <c r="AB236" i="19"/>
  <c r="AC236" i="19"/>
  <c r="AF236" i="19"/>
  <c r="AG236" i="19"/>
  <c r="AH236" i="19"/>
  <c r="AJ236" i="19"/>
  <c r="AK236" i="19"/>
  <c r="AL236" i="19"/>
  <c r="AO236" i="19"/>
  <c r="AW236" i="19" s="1"/>
  <c r="AP236" i="19"/>
  <c r="BD236" i="19"/>
  <c r="BF236" i="19"/>
  <c r="BH236" i="19"/>
  <c r="AD236" i="19" s="1"/>
  <c r="BJ236" i="19"/>
  <c r="K237" i="19"/>
  <c r="AK237" i="19" s="1"/>
  <c r="Z237" i="19"/>
  <c r="AB237" i="19"/>
  <c r="AC237" i="19"/>
  <c r="AF237" i="19"/>
  <c r="AG237" i="19"/>
  <c r="AH237" i="19"/>
  <c r="AJ237" i="19"/>
  <c r="AL237" i="19"/>
  <c r="AO237" i="19"/>
  <c r="BH237" i="19" s="1"/>
  <c r="AD237" i="19" s="1"/>
  <c r="AP237" i="19"/>
  <c r="J237" i="19" s="1"/>
  <c r="BD237" i="19"/>
  <c r="BF237" i="19"/>
  <c r="BJ237" i="19"/>
  <c r="K238" i="19"/>
  <c r="AK238" i="19" s="1"/>
  <c r="Z238" i="19"/>
  <c r="AB238" i="19"/>
  <c r="AC238" i="19"/>
  <c r="AF238" i="19"/>
  <c r="AG238" i="19"/>
  <c r="AH238" i="19"/>
  <c r="AJ238" i="19"/>
  <c r="AL238" i="19"/>
  <c r="AO238" i="19"/>
  <c r="AP238" i="19"/>
  <c r="J238" i="19" s="1"/>
  <c r="AX238" i="19"/>
  <c r="BD238" i="19"/>
  <c r="BF238" i="19"/>
  <c r="BI238" i="19"/>
  <c r="AE238" i="19" s="1"/>
  <c r="BJ238" i="19"/>
  <c r="K239" i="19"/>
  <c r="Z239" i="19"/>
  <c r="AB239" i="19"/>
  <c r="AC239" i="19"/>
  <c r="AF239" i="19"/>
  <c r="AG239" i="19"/>
  <c r="AH239" i="19"/>
  <c r="AJ239" i="19"/>
  <c r="AK239" i="19"/>
  <c r="AL239" i="19"/>
  <c r="AO239" i="19"/>
  <c r="I239" i="19" s="1"/>
  <c r="AP239" i="19"/>
  <c r="AX239" i="19" s="1"/>
  <c r="BD239" i="19"/>
  <c r="BF239" i="19"/>
  <c r="BH239" i="19"/>
  <c r="AD239" i="19" s="1"/>
  <c r="BJ239" i="19"/>
  <c r="K240" i="19"/>
  <c r="Z240" i="19"/>
  <c r="AB240" i="19"/>
  <c r="AC240" i="19"/>
  <c r="AF240" i="19"/>
  <c r="AG240" i="19"/>
  <c r="AH240" i="19"/>
  <c r="AJ240" i="19"/>
  <c r="AK240" i="19"/>
  <c r="AL240" i="19"/>
  <c r="AO240" i="19"/>
  <c r="AP240" i="19"/>
  <c r="BI240" i="19" s="1"/>
  <c r="AE240" i="19" s="1"/>
  <c r="BD240" i="19"/>
  <c r="BF240" i="19"/>
  <c r="BJ240" i="19"/>
  <c r="K241" i="19"/>
  <c r="AK241" i="19" s="1"/>
  <c r="Z241" i="19"/>
  <c r="AB241" i="19"/>
  <c r="AC241" i="19"/>
  <c r="AF241" i="19"/>
  <c r="AG241" i="19"/>
  <c r="AH241" i="19"/>
  <c r="AJ241" i="19"/>
  <c r="AL241" i="19"/>
  <c r="AO241" i="19"/>
  <c r="AP241" i="19"/>
  <c r="J241" i="19" s="1"/>
  <c r="BD241" i="19"/>
  <c r="BF241" i="19"/>
  <c r="BH241" i="19"/>
  <c r="AD241" i="19" s="1"/>
  <c r="BJ241" i="19"/>
  <c r="K242" i="19"/>
  <c r="AK242" i="19" s="1"/>
  <c r="Z242" i="19"/>
  <c r="AB242" i="19"/>
  <c r="AC242" i="19"/>
  <c r="AF242" i="19"/>
  <c r="AG242" i="19"/>
  <c r="AH242" i="19"/>
  <c r="AJ242" i="19"/>
  <c r="AL242" i="19"/>
  <c r="AO242" i="19"/>
  <c r="AP242" i="19"/>
  <c r="BD242" i="19"/>
  <c r="BF242" i="19"/>
  <c r="BJ242" i="19"/>
  <c r="K243" i="19"/>
  <c r="Z243" i="19"/>
  <c r="AB243" i="19"/>
  <c r="AC243" i="19"/>
  <c r="AF243" i="19"/>
  <c r="AG243" i="19"/>
  <c r="AH243" i="19"/>
  <c r="AJ243" i="19"/>
  <c r="AK243" i="19"/>
  <c r="AL243" i="19"/>
  <c r="AO243" i="19"/>
  <c r="AP243" i="19"/>
  <c r="AX243" i="19" s="1"/>
  <c r="BD243" i="19"/>
  <c r="BF243" i="19"/>
  <c r="BI243" i="19"/>
  <c r="AE243" i="19" s="1"/>
  <c r="BJ243" i="19"/>
  <c r="K244" i="19"/>
  <c r="Z244" i="19"/>
  <c r="AB244" i="19"/>
  <c r="AC244" i="19"/>
  <c r="AF244" i="19"/>
  <c r="AG244" i="19"/>
  <c r="AH244" i="19"/>
  <c r="AJ244" i="19"/>
  <c r="AK244" i="19"/>
  <c r="AL244" i="19"/>
  <c r="AO244" i="19"/>
  <c r="AW244" i="19" s="1"/>
  <c r="AP244" i="19"/>
  <c r="BD244" i="19"/>
  <c r="BF244" i="19"/>
  <c r="BH244" i="19"/>
  <c r="AD244" i="19" s="1"/>
  <c r="BJ244" i="19"/>
  <c r="K245" i="19"/>
  <c r="AK245" i="19" s="1"/>
  <c r="Z245" i="19"/>
  <c r="AB245" i="19"/>
  <c r="AC245" i="19"/>
  <c r="AF245" i="19"/>
  <c r="AG245" i="19"/>
  <c r="AH245" i="19"/>
  <c r="AJ245" i="19"/>
  <c r="AL245" i="19"/>
  <c r="AO245" i="19"/>
  <c r="AP245" i="19"/>
  <c r="BD245" i="19"/>
  <c r="BF245" i="19"/>
  <c r="BJ245" i="19"/>
  <c r="K246" i="19"/>
  <c r="AK246" i="19" s="1"/>
  <c r="Z246" i="19"/>
  <c r="AB246" i="19"/>
  <c r="AC246" i="19"/>
  <c r="AF246" i="19"/>
  <c r="AG246" i="19"/>
  <c r="AH246" i="19"/>
  <c r="AJ246" i="19"/>
  <c r="AL246" i="19"/>
  <c r="AO246" i="19"/>
  <c r="I246" i="19" s="1"/>
  <c r="AP246" i="19"/>
  <c r="BD246" i="19"/>
  <c r="BF246" i="19"/>
  <c r="BI246" i="19"/>
  <c r="AE246" i="19" s="1"/>
  <c r="BJ246" i="19"/>
  <c r="K247" i="19"/>
  <c r="Z247" i="19"/>
  <c r="AB247" i="19"/>
  <c r="AC247" i="19"/>
  <c r="AF247" i="19"/>
  <c r="AG247" i="19"/>
  <c r="AH247" i="19"/>
  <c r="AJ247" i="19"/>
  <c r="AK247" i="19"/>
  <c r="AL247" i="19"/>
  <c r="AO247" i="19"/>
  <c r="AP247" i="19"/>
  <c r="BD247" i="19"/>
  <c r="BF247" i="19"/>
  <c r="BJ247" i="19"/>
  <c r="K248" i="19"/>
  <c r="Z248" i="19"/>
  <c r="AB248" i="19"/>
  <c r="AC248" i="19"/>
  <c r="AF248" i="19"/>
  <c r="AG248" i="19"/>
  <c r="AH248" i="19"/>
  <c r="AJ248" i="19"/>
  <c r="AK248" i="19"/>
  <c r="AL248" i="19"/>
  <c r="AO248" i="19"/>
  <c r="I248" i="19" s="1"/>
  <c r="AP248" i="19"/>
  <c r="AW248" i="19"/>
  <c r="BD248" i="19"/>
  <c r="BF248" i="19"/>
  <c r="BJ248" i="19"/>
  <c r="K249" i="19"/>
  <c r="AK249" i="19" s="1"/>
  <c r="Z249" i="19"/>
  <c r="AB249" i="19"/>
  <c r="AC249" i="19"/>
  <c r="AF249" i="19"/>
  <c r="AG249" i="19"/>
  <c r="AH249" i="19"/>
  <c r="AJ249" i="19"/>
  <c r="AL249" i="19"/>
  <c r="AO249" i="19"/>
  <c r="AP249" i="19"/>
  <c r="BD249" i="19"/>
  <c r="BF249" i="19"/>
  <c r="BJ249" i="19"/>
  <c r="K250" i="19"/>
  <c r="AK250" i="19" s="1"/>
  <c r="Z250" i="19"/>
  <c r="AB250" i="19"/>
  <c r="AC250" i="19"/>
  <c r="AF250" i="19"/>
  <c r="AG250" i="19"/>
  <c r="AH250" i="19"/>
  <c r="AJ250" i="19"/>
  <c r="AL250" i="19"/>
  <c r="AO250" i="19"/>
  <c r="I250" i="19" s="1"/>
  <c r="AP250" i="19"/>
  <c r="J250" i="19" s="1"/>
  <c r="BD250" i="19"/>
  <c r="BF250" i="19"/>
  <c r="BH250" i="19"/>
  <c r="AD250" i="19" s="1"/>
  <c r="BI250" i="19"/>
  <c r="AE250" i="19" s="1"/>
  <c r="BJ250" i="19"/>
  <c r="K251" i="19"/>
  <c r="Z251" i="19"/>
  <c r="AB251" i="19"/>
  <c r="AC251" i="19"/>
  <c r="AF251" i="19"/>
  <c r="AG251" i="19"/>
  <c r="AH251" i="19"/>
  <c r="AJ251" i="19"/>
  <c r="AK251" i="19"/>
  <c r="AL251" i="19"/>
  <c r="AO251" i="19"/>
  <c r="I251" i="19" s="1"/>
  <c r="AP251" i="19"/>
  <c r="BD251" i="19"/>
  <c r="BF251" i="19"/>
  <c r="BJ251" i="19"/>
  <c r="K252" i="19"/>
  <c r="Z252" i="19"/>
  <c r="AB252" i="19"/>
  <c r="AC252" i="19"/>
  <c r="AF252" i="19"/>
  <c r="AG252" i="19"/>
  <c r="AH252" i="19"/>
  <c r="AJ252" i="19"/>
  <c r="AK252" i="19"/>
  <c r="AL252" i="19"/>
  <c r="AO252" i="19"/>
  <c r="I252" i="19" s="1"/>
  <c r="AP252" i="19"/>
  <c r="AW252" i="19"/>
  <c r="BD252" i="19"/>
  <c r="BF252" i="19"/>
  <c r="BJ252" i="19"/>
  <c r="K253" i="19"/>
  <c r="AK253" i="19" s="1"/>
  <c r="Z253" i="19"/>
  <c r="AB253" i="19"/>
  <c r="AC253" i="19"/>
  <c r="AD253" i="19"/>
  <c r="AF253" i="19"/>
  <c r="AG253" i="19"/>
  <c r="AH253" i="19"/>
  <c r="AJ253" i="19"/>
  <c r="AL253" i="19"/>
  <c r="AO253" i="19"/>
  <c r="AP253" i="19"/>
  <c r="BD253" i="19"/>
  <c r="BF253" i="19"/>
  <c r="BH253" i="19"/>
  <c r="BJ253" i="19"/>
  <c r="K254" i="19"/>
  <c r="AK254" i="19" s="1"/>
  <c r="Z254" i="19"/>
  <c r="AB254" i="19"/>
  <c r="AC254" i="19"/>
  <c r="AF254" i="19"/>
  <c r="AG254" i="19"/>
  <c r="AH254" i="19"/>
  <c r="AJ254" i="19"/>
  <c r="AL254" i="19"/>
  <c r="AO254" i="19"/>
  <c r="I254" i="19" s="1"/>
  <c r="AP254" i="19"/>
  <c r="J254" i="19" s="1"/>
  <c r="AW254" i="19"/>
  <c r="BD254" i="19"/>
  <c r="BF254" i="19"/>
  <c r="BJ254" i="19"/>
  <c r="K255" i="19"/>
  <c r="Z255" i="19"/>
  <c r="AB255" i="19"/>
  <c r="AC255" i="19"/>
  <c r="AF255" i="19"/>
  <c r="AG255" i="19"/>
  <c r="AH255" i="19"/>
  <c r="AJ255" i="19"/>
  <c r="AK255" i="19"/>
  <c r="AL255" i="19"/>
  <c r="AO255" i="19"/>
  <c r="I255" i="19" s="1"/>
  <c r="AP255" i="19"/>
  <c r="BD255" i="19"/>
  <c r="BF255" i="19"/>
  <c r="BJ255" i="19"/>
  <c r="K256" i="19"/>
  <c r="Z256" i="19"/>
  <c r="AB256" i="19"/>
  <c r="AC256" i="19"/>
  <c r="AF256" i="19"/>
  <c r="AG256" i="19"/>
  <c r="AH256" i="19"/>
  <c r="AJ256" i="19"/>
  <c r="AK256" i="19"/>
  <c r="AL256" i="19"/>
  <c r="AO256" i="19"/>
  <c r="AP256" i="19"/>
  <c r="BD256" i="19"/>
  <c r="BF256" i="19"/>
  <c r="BH256" i="19"/>
  <c r="AD256" i="19" s="1"/>
  <c r="BJ256" i="19"/>
  <c r="K257" i="19"/>
  <c r="AK257" i="19" s="1"/>
  <c r="Z257" i="19"/>
  <c r="AB257" i="19"/>
  <c r="AC257" i="19"/>
  <c r="AF257" i="19"/>
  <c r="AG257" i="19"/>
  <c r="AH257" i="19"/>
  <c r="AJ257" i="19"/>
  <c r="AL257" i="19"/>
  <c r="AO257" i="19"/>
  <c r="AP257" i="19"/>
  <c r="BD257" i="19"/>
  <c r="BF257" i="19"/>
  <c r="BH257" i="19"/>
  <c r="AD257" i="19" s="1"/>
  <c r="BJ257" i="19"/>
  <c r="K258" i="19"/>
  <c r="AK258" i="19" s="1"/>
  <c r="Z258" i="19"/>
  <c r="AB258" i="19"/>
  <c r="AC258" i="19"/>
  <c r="AF258" i="19"/>
  <c r="AG258" i="19"/>
  <c r="AH258" i="19"/>
  <c r="AJ258" i="19"/>
  <c r="AL258" i="19"/>
  <c r="AO258" i="19"/>
  <c r="AP258" i="19"/>
  <c r="J258" i="19" s="1"/>
  <c r="BD258" i="19"/>
  <c r="BF258" i="19"/>
  <c r="BI258" i="19"/>
  <c r="AE258" i="19" s="1"/>
  <c r="BJ258" i="19"/>
  <c r="K259" i="19"/>
  <c r="Z259" i="19"/>
  <c r="AB259" i="19"/>
  <c r="AC259" i="19"/>
  <c r="AF259" i="19"/>
  <c r="AG259" i="19"/>
  <c r="AH259" i="19"/>
  <c r="AJ259" i="19"/>
  <c r="AK259" i="19"/>
  <c r="AL259" i="19"/>
  <c r="AO259" i="19"/>
  <c r="I259" i="19" s="1"/>
  <c r="AP259" i="19"/>
  <c r="AX259" i="19" s="1"/>
  <c r="AW259" i="19"/>
  <c r="AV259" i="19" s="1"/>
  <c r="BD259" i="19"/>
  <c r="BF259" i="19"/>
  <c r="BH259" i="19"/>
  <c r="AD259" i="19" s="1"/>
  <c r="BJ259" i="19"/>
  <c r="K260" i="19"/>
  <c r="Z260" i="19"/>
  <c r="AB260" i="19"/>
  <c r="AC260" i="19"/>
  <c r="AF260" i="19"/>
  <c r="AG260" i="19"/>
  <c r="AH260" i="19"/>
  <c r="AJ260" i="19"/>
  <c r="AK260" i="19"/>
  <c r="AL260" i="19"/>
  <c r="AO260" i="19"/>
  <c r="AW260" i="19" s="1"/>
  <c r="AP260" i="19"/>
  <c r="BD260" i="19"/>
  <c r="BF260" i="19"/>
  <c r="BH260" i="19"/>
  <c r="AD260" i="19" s="1"/>
  <c r="BI260" i="19"/>
  <c r="AE260" i="19" s="1"/>
  <c r="BJ260" i="19"/>
  <c r="K261" i="19"/>
  <c r="AK261" i="19" s="1"/>
  <c r="Z261" i="19"/>
  <c r="AB261" i="19"/>
  <c r="AC261" i="19"/>
  <c r="AF261" i="19"/>
  <c r="AG261" i="19"/>
  <c r="AH261" i="19"/>
  <c r="AJ261" i="19"/>
  <c r="AL261" i="19"/>
  <c r="AO261" i="19"/>
  <c r="AP261" i="19"/>
  <c r="BD261" i="19"/>
  <c r="BF261" i="19"/>
  <c r="BH261" i="19"/>
  <c r="AD261" i="19" s="1"/>
  <c r="BJ261" i="19"/>
  <c r="K262" i="19"/>
  <c r="AK262" i="19" s="1"/>
  <c r="Z262" i="19"/>
  <c r="AB262" i="19"/>
  <c r="AC262" i="19"/>
  <c r="AF262" i="19"/>
  <c r="AG262" i="19"/>
  <c r="AH262" i="19"/>
  <c r="AJ262" i="19"/>
  <c r="AL262" i="19"/>
  <c r="AO262" i="19"/>
  <c r="AP262" i="19"/>
  <c r="BD262" i="19"/>
  <c r="BF262" i="19"/>
  <c r="BJ262" i="19"/>
  <c r="K263" i="19"/>
  <c r="Z263" i="19"/>
  <c r="AB263" i="19"/>
  <c r="AC263" i="19"/>
  <c r="AF263" i="19"/>
  <c r="AG263" i="19"/>
  <c r="AH263" i="19"/>
  <c r="AJ263" i="19"/>
  <c r="AK263" i="19"/>
  <c r="AL263" i="19"/>
  <c r="AO263" i="19"/>
  <c r="AP263" i="19"/>
  <c r="J263" i="19" s="1"/>
  <c r="BD263" i="19"/>
  <c r="BF263" i="19"/>
  <c r="BI263" i="19"/>
  <c r="AE263" i="19" s="1"/>
  <c r="BJ263" i="19"/>
  <c r="K264" i="19"/>
  <c r="Z264" i="19"/>
  <c r="AB264" i="19"/>
  <c r="AC264" i="19"/>
  <c r="AF264" i="19"/>
  <c r="AG264" i="19"/>
  <c r="AH264" i="19"/>
  <c r="AJ264" i="19"/>
  <c r="AK264" i="19"/>
  <c r="AL264" i="19"/>
  <c r="AO264" i="19"/>
  <c r="I264" i="19" s="1"/>
  <c r="AP264" i="19"/>
  <c r="AW264" i="19"/>
  <c r="BD264" i="19"/>
  <c r="BF264" i="19"/>
  <c r="BH264" i="19"/>
  <c r="AD264" i="19" s="1"/>
  <c r="BI264" i="19"/>
  <c r="AE264" i="19" s="1"/>
  <c r="BJ264" i="19"/>
  <c r="K265" i="19"/>
  <c r="AK265" i="19" s="1"/>
  <c r="Z265" i="19"/>
  <c r="AB265" i="19"/>
  <c r="AC265" i="19"/>
  <c r="AF265" i="19"/>
  <c r="AG265" i="19"/>
  <c r="AH265" i="19"/>
  <c r="AJ265" i="19"/>
  <c r="AL265" i="19"/>
  <c r="AO265" i="19"/>
  <c r="AP265" i="19"/>
  <c r="BD265" i="19"/>
  <c r="BF265" i="19"/>
  <c r="BH265" i="19"/>
  <c r="AD265" i="19" s="1"/>
  <c r="BJ265" i="19"/>
  <c r="K266" i="19"/>
  <c r="AK266" i="19" s="1"/>
  <c r="Z266" i="19"/>
  <c r="AB266" i="19"/>
  <c r="AC266" i="19"/>
  <c r="AF266" i="19"/>
  <c r="AG266" i="19"/>
  <c r="AH266" i="19"/>
  <c r="AJ266" i="19"/>
  <c r="AL266" i="19"/>
  <c r="AO266" i="19"/>
  <c r="AP266" i="19"/>
  <c r="BD266" i="19"/>
  <c r="BF266" i="19"/>
  <c r="BJ266" i="19"/>
  <c r="K267" i="19"/>
  <c r="Z267" i="19"/>
  <c r="AB267" i="19"/>
  <c r="AC267" i="19"/>
  <c r="AF267" i="19"/>
  <c r="AG267" i="19"/>
  <c r="AH267" i="19"/>
  <c r="AJ267" i="19"/>
  <c r="AK267" i="19"/>
  <c r="AL267" i="19"/>
  <c r="AO267" i="19"/>
  <c r="AP267" i="19"/>
  <c r="J267" i="19" s="1"/>
  <c r="AX267" i="19"/>
  <c r="BD267" i="19"/>
  <c r="BF267" i="19"/>
  <c r="BI267" i="19"/>
  <c r="AE267" i="19" s="1"/>
  <c r="BJ267" i="19"/>
  <c r="K268" i="19"/>
  <c r="Z268" i="19"/>
  <c r="AB268" i="19"/>
  <c r="AC268" i="19"/>
  <c r="AF268" i="19"/>
  <c r="AG268" i="19"/>
  <c r="AH268" i="19"/>
  <c r="AJ268" i="19"/>
  <c r="AK268" i="19"/>
  <c r="AL268" i="19"/>
  <c r="AO268" i="19"/>
  <c r="AP268" i="19"/>
  <c r="BD268" i="19"/>
  <c r="BF268" i="19"/>
  <c r="BH268" i="19"/>
  <c r="AD268" i="19" s="1"/>
  <c r="BI268" i="19"/>
  <c r="AE268" i="19" s="1"/>
  <c r="BJ268" i="19"/>
  <c r="K269" i="19"/>
  <c r="AK269" i="19" s="1"/>
  <c r="Z269" i="19"/>
  <c r="AB269" i="19"/>
  <c r="AC269" i="19"/>
  <c r="AF269" i="19"/>
  <c r="AG269" i="19"/>
  <c r="AH269" i="19"/>
  <c r="AJ269" i="19"/>
  <c r="AL269" i="19"/>
  <c r="AO269" i="19"/>
  <c r="BH269" i="19" s="1"/>
  <c r="AD269" i="19" s="1"/>
  <c r="AP269" i="19"/>
  <c r="J269" i="19" s="1"/>
  <c r="BD269" i="19"/>
  <c r="BF269" i="19"/>
  <c r="BJ269" i="19"/>
  <c r="K270" i="19"/>
  <c r="AK270" i="19" s="1"/>
  <c r="Z270" i="19"/>
  <c r="AB270" i="19"/>
  <c r="AC270" i="19"/>
  <c r="AF270" i="19"/>
  <c r="AG270" i="19"/>
  <c r="AH270" i="19"/>
  <c r="AJ270" i="19"/>
  <c r="AL270" i="19"/>
  <c r="AO270" i="19"/>
  <c r="AP270" i="19"/>
  <c r="BD270" i="19"/>
  <c r="BF270" i="19"/>
  <c r="BJ270" i="19"/>
  <c r="K271" i="19"/>
  <c r="Z271" i="19"/>
  <c r="AB271" i="19"/>
  <c r="AC271" i="19"/>
  <c r="AF271" i="19"/>
  <c r="AG271" i="19"/>
  <c r="AH271" i="19"/>
  <c r="AJ271" i="19"/>
  <c r="AK271" i="19"/>
  <c r="AL271" i="19"/>
  <c r="AO271" i="19"/>
  <c r="I271" i="19" s="1"/>
  <c r="AP271" i="19"/>
  <c r="BD271" i="19"/>
  <c r="BF271" i="19"/>
  <c r="BJ271" i="19"/>
  <c r="K272" i="19"/>
  <c r="Z272" i="19"/>
  <c r="AB272" i="19"/>
  <c r="AC272" i="19"/>
  <c r="AF272" i="19"/>
  <c r="AG272" i="19"/>
  <c r="AH272" i="19"/>
  <c r="AJ272" i="19"/>
  <c r="AK272" i="19"/>
  <c r="AL272" i="19"/>
  <c r="AO272" i="19"/>
  <c r="I272" i="19" s="1"/>
  <c r="AP272" i="19"/>
  <c r="AW272" i="19"/>
  <c r="BD272" i="19"/>
  <c r="BF272" i="19"/>
  <c r="BI272" i="19"/>
  <c r="AE272" i="19" s="1"/>
  <c r="BJ272" i="19"/>
  <c r="K273" i="19"/>
  <c r="AK273" i="19" s="1"/>
  <c r="Z273" i="19"/>
  <c r="AB273" i="19"/>
  <c r="AC273" i="19"/>
  <c r="AF273" i="19"/>
  <c r="AG273" i="19"/>
  <c r="AH273" i="19"/>
  <c r="AJ273" i="19"/>
  <c r="AL273" i="19"/>
  <c r="AO273" i="19"/>
  <c r="AP273" i="19"/>
  <c r="J273" i="19" s="1"/>
  <c r="AX273" i="19"/>
  <c r="BD273" i="19"/>
  <c r="BF273" i="19"/>
  <c r="BH273" i="19"/>
  <c r="AD273" i="19" s="1"/>
  <c r="BI273" i="19"/>
  <c r="AE273" i="19" s="1"/>
  <c r="BJ273" i="19"/>
  <c r="K274" i="19"/>
  <c r="AK274" i="19" s="1"/>
  <c r="Z274" i="19"/>
  <c r="AB274" i="19"/>
  <c r="AC274" i="19"/>
  <c r="AF274" i="19"/>
  <c r="AG274" i="19"/>
  <c r="AH274" i="19"/>
  <c r="AJ274" i="19"/>
  <c r="AL274" i="19"/>
  <c r="AO274" i="19"/>
  <c r="AP274" i="19"/>
  <c r="BD274" i="19"/>
  <c r="BF274" i="19"/>
  <c r="BJ274" i="19"/>
  <c r="K275" i="19"/>
  <c r="Z275" i="19"/>
  <c r="AB275" i="19"/>
  <c r="AC275" i="19"/>
  <c r="AF275" i="19"/>
  <c r="AG275" i="19"/>
  <c r="AH275" i="19"/>
  <c r="AJ275" i="19"/>
  <c r="AK275" i="19"/>
  <c r="AL275" i="19"/>
  <c r="AO275" i="19"/>
  <c r="I275" i="19" s="1"/>
  <c r="AP275" i="19"/>
  <c r="AX275" i="19" s="1"/>
  <c r="AW275" i="19"/>
  <c r="BD275" i="19"/>
  <c r="BF275" i="19"/>
  <c r="BJ275" i="19"/>
  <c r="K276" i="19"/>
  <c r="Z276" i="19"/>
  <c r="AB276" i="19"/>
  <c r="AC276" i="19"/>
  <c r="AF276" i="19"/>
  <c r="AG276" i="19"/>
  <c r="AH276" i="19"/>
  <c r="AJ276" i="19"/>
  <c r="AK276" i="19"/>
  <c r="AL276" i="19"/>
  <c r="AO276" i="19"/>
  <c r="AP276" i="19"/>
  <c r="BI276" i="19" s="1"/>
  <c r="AE276" i="19" s="1"/>
  <c r="BD276" i="19"/>
  <c r="BF276" i="19"/>
  <c r="BH276" i="19"/>
  <c r="AD276" i="19" s="1"/>
  <c r="BJ276" i="19"/>
  <c r="K277" i="19"/>
  <c r="AK277" i="19" s="1"/>
  <c r="Z277" i="19"/>
  <c r="AB277" i="19"/>
  <c r="AC277" i="19"/>
  <c r="AF277" i="19"/>
  <c r="AG277" i="19"/>
  <c r="AH277" i="19"/>
  <c r="AJ277" i="19"/>
  <c r="AL277" i="19"/>
  <c r="AO277" i="19"/>
  <c r="AP277" i="19"/>
  <c r="J277" i="19" s="1"/>
  <c r="BD277" i="19"/>
  <c r="BF277" i="19"/>
  <c r="BH277" i="19"/>
  <c r="AD277" i="19" s="1"/>
  <c r="BI277" i="19"/>
  <c r="AE277" i="19" s="1"/>
  <c r="BJ277" i="19"/>
  <c r="K278" i="19"/>
  <c r="AK278" i="19" s="1"/>
  <c r="Z278" i="19"/>
  <c r="AB278" i="19"/>
  <c r="AC278" i="19"/>
  <c r="AF278" i="19"/>
  <c r="AG278" i="19"/>
  <c r="AH278" i="19"/>
  <c r="AJ278" i="19"/>
  <c r="AL278" i="19"/>
  <c r="AO278" i="19"/>
  <c r="AP278" i="19"/>
  <c r="J278" i="19" s="1"/>
  <c r="BD278" i="19"/>
  <c r="BF278" i="19"/>
  <c r="BI278" i="19"/>
  <c r="AE278" i="19" s="1"/>
  <c r="BJ278" i="19"/>
  <c r="K279" i="19"/>
  <c r="Z279" i="19"/>
  <c r="AB279" i="19"/>
  <c r="AC279" i="19"/>
  <c r="AF279" i="19"/>
  <c r="AG279" i="19"/>
  <c r="AH279" i="19"/>
  <c r="AJ279" i="19"/>
  <c r="AK279" i="19"/>
  <c r="AL279" i="19"/>
  <c r="AO279" i="19"/>
  <c r="I279" i="19" s="1"/>
  <c r="AP279" i="19"/>
  <c r="AX279" i="19" s="1"/>
  <c r="BD279" i="19"/>
  <c r="BF279" i="19"/>
  <c r="BJ279" i="19"/>
  <c r="K281" i="19"/>
  <c r="Z281" i="19"/>
  <c r="AB281" i="19"/>
  <c r="AC281" i="19"/>
  <c r="AF281" i="19"/>
  <c r="AG281" i="19"/>
  <c r="AH281" i="19"/>
  <c r="AJ281" i="19"/>
  <c r="AL281" i="19"/>
  <c r="AO281" i="19"/>
  <c r="I281" i="19" s="1"/>
  <c r="AP281" i="19"/>
  <c r="BD281" i="19"/>
  <c r="BF281" i="19"/>
  <c r="BJ281" i="19"/>
  <c r="K282" i="19"/>
  <c r="Z282" i="19"/>
  <c r="AB282" i="19"/>
  <c r="AC282" i="19"/>
  <c r="AF282" i="19"/>
  <c r="AG282" i="19"/>
  <c r="AH282" i="19"/>
  <c r="AJ282" i="19"/>
  <c r="AK282" i="19"/>
  <c r="AL282" i="19"/>
  <c r="AO282" i="19"/>
  <c r="AW282" i="19" s="1"/>
  <c r="AP282" i="19"/>
  <c r="BD282" i="19"/>
  <c r="BF282" i="19"/>
  <c r="BJ282" i="19"/>
  <c r="K283" i="19"/>
  <c r="Z283" i="19"/>
  <c r="AB283" i="19"/>
  <c r="AC283" i="19"/>
  <c r="AF283" i="19"/>
  <c r="AG283" i="19"/>
  <c r="AH283" i="19"/>
  <c r="AJ283" i="19"/>
  <c r="AK283" i="19"/>
  <c r="AL283" i="19"/>
  <c r="AO283" i="19"/>
  <c r="AW283" i="19" s="1"/>
  <c r="AP283" i="19"/>
  <c r="BD283" i="19"/>
  <c r="BF283" i="19"/>
  <c r="BH283" i="19"/>
  <c r="AD283" i="19" s="1"/>
  <c r="BJ283" i="19"/>
  <c r="K284" i="19"/>
  <c r="AK284" i="19" s="1"/>
  <c r="Z284" i="19"/>
  <c r="AB284" i="19"/>
  <c r="AC284" i="19"/>
  <c r="AF284" i="19"/>
  <c r="AG284" i="19"/>
  <c r="AH284" i="19"/>
  <c r="AJ284" i="19"/>
  <c r="AL284" i="19"/>
  <c r="AO284" i="19"/>
  <c r="AP284" i="19"/>
  <c r="BD284" i="19"/>
  <c r="BF284" i="19"/>
  <c r="BH284" i="19"/>
  <c r="AD284" i="19" s="1"/>
  <c r="BJ284" i="19"/>
  <c r="K285" i="19"/>
  <c r="AK285" i="19" s="1"/>
  <c r="Z285" i="19"/>
  <c r="AB285" i="19"/>
  <c r="AC285" i="19"/>
  <c r="AF285" i="19"/>
  <c r="AG285" i="19"/>
  <c r="AH285" i="19"/>
  <c r="AJ285" i="19"/>
  <c r="AL285" i="19"/>
  <c r="AO285" i="19"/>
  <c r="AP285" i="19"/>
  <c r="J285" i="19" s="1"/>
  <c r="BD285" i="19"/>
  <c r="BF285" i="19"/>
  <c r="BI285" i="19"/>
  <c r="AE285" i="19" s="1"/>
  <c r="BJ285" i="19"/>
  <c r="K286" i="19"/>
  <c r="Z286" i="19"/>
  <c r="AB286" i="19"/>
  <c r="AC286" i="19"/>
  <c r="AF286" i="19"/>
  <c r="AG286" i="19"/>
  <c r="AH286" i="19"/>
  <c r="AJ286" i="19"/>
  <c r="AK286" i="19"/>
  <c r="AL286" i="19"/>
  <c r="AO286" i="19"/>
  <c r="I286" i="19" s="1"/>
  <c r="AP286" i="19"/>
  <c r="J286" i="19" s="1"/>
  <c r="AX286" i="19"/>
  <c r="BD286" i="19"/>
  <c r="BF286" i="19"/>
  <c r="BI286" i="19"/>
  <c r="AE286" i="19" s="1"/>
  <c r="BJ286" i="19"/>
  <c r="K287" i="19"/>
  <c r="Z287" i="19"/>
  <c r="AB287" i="19"/>
  <c r="AC287" i="19"/>
  <c r="AF287" i="19"/>
  <c r="AG287" i="19"/>
  <c r="AH287" i="19"/>
  <c r="AJ287" i="19"/>
  <c r="AK287" i="19"/>
  <c r="AL287" i="19"/>
  <c r="AO287" i="19"/>
  <c r="AW287" i="19" s="1"/>
  <c r="AP287" i="19"/>
  <c r="BD287" i="19"/>
  <c r="BF287" i="19"/>
  <c r="BH287" i="19"/>
  <c r="AD287" i="19" s="1"/>
  <c r="BI287" i="19"/>
  <c r="AE287" i="19" s="1"/>
  <c r="BJ287" i="19"/>
  <c r="K288" i="19"/>
  <c r="AK288" i="19" s="1"/>
  <c r="Z288" i="19"/>
  <c r="AB288" i="19"/>
  <c r="AC288" i="19"/>
  <c r="AF288" i="19"/>
  <c r="AG288" i="19"/>
  <c r="AH288" i="19"/>
  <c r="AJ288" i="19"/>
  <c r="AL288" i="19"/>
  <c r="AO288" i="19"/>
  <c r="BH288" i="19" s="1"/>
  <c r="AD288" i="19" s="1"/>
  <c r="AP288" i="19"/>
  <c r="J288" i="19" s="1"/>
  <c r="BD288" i="19"/>
  <c r="BF288" i="19"/>
  <c r="BI288" i="19"/>
  <c r="AE288" i="19" s="1"/>
  <c r="BJ288" i="19"/>
  <c r="K289" i="19"/>
  <c r="AK289" i="19" s="1"/>
  <c r="Z289" i="19"/>
  <c r="AB289" i="19"/>
  <c r="AC289" i="19"/>
  <c r="AF289" i="19"/>
  <c r="AG289" i="19"/>
  <c r="AH289" i="19"/>
  <c r="AJ289" i="19"/>
  <c r="AL289" i="19"/>
  <c r="AO289" i="19"/>
  <c r="AP289" i="19"/>
  <c r="BD289" i="19"/>
  <c r="BF289" i="19"/>
  <c r="BJ289" i="19"/>
  <c r="K290" i="19"/>
  <c r="Z290" i="19"/>
  <c r="AB290" i="19"/>
  <c r="AC290" i="19"/>
  <c r="AF290" i="19"/>
  <c r="AG290" i="19"/>
  <c r="AH290" i="19"/>
  <c r="AJ290" i="19"/>
  <c r="AK290" i="19"/>
  <c r="AL290" i="19"/>
  <c r="AO290" i="19"/>
  <c r="AP290" i="19"/>
  <c r="AX290" i="19" s="1"/>
  <c r="BD290" i="19"/>
  <c r="BF290" i="19"/>
  <c r="BJ290" i="19"/>
  <c r="K291" i="19"/>
  <c r="Z291" i="19"/>
  <c r="AB291" i="19"/>
  <c r="AC291" i="19"/>
  <c r="AF291" i="19"/>
  <c r="AG291" i="19"/>
  <c r="AH291" i="19"/>
  <c r="AJ291" i="19"/>
  <c r="AK291" i="19"/>
  <c r="AL291" i="19"/>
  <c r="AO291" i="19"/>
  <c r="AP291" i="19"/>
  <c r="BD291" i="19"/>
  <c r="BF291" i="19"/>
  <c r="BJ291" i="19"/>
  <c r="K292" i="19"/>
  <c r="AK292" i="19" s="1"/>
  <c r="Z292" i="19"/>
  <c r="AB292" i="19"/>
  <c r="AC292" i="19"/>
  <c r="AF292" i="19"/>
  <c r="AG292" i="19"/>
  <c r="AH292" i="19"/>
  <c r="AJ292" i="19"/>
  <c r="AL292" i="19"/>
  <c r="AO292" i="19"/>
  <c r="AP292" i="19"/>
  <c r="J292" i="19" s="1"/>
  <c r="BD292" i="19"/>
  <c r="BF292" i="19"/>
  <c r="BI292" i="19"/>
  <c r="AE292" i="19" s="1"/>
  <c r="BJ292" i="19"/>
  <c r="K293" i="19"/>
  <c r="AK293" i="19" s="1"/>
  <c r="Z293" i="19"/>
  <c r="AB293" i="19"/>
  <c r="AC293" i="19"/>
  <c r="AF293" i="19"/>
  <c r="AG293" i="19"/>
  <c r="AH293" i="19"/>
  <c r="AJ293" i="19"/>
  <c r="AL293" i="19"/>
  <c r="AO293" i="19"/>
  <c r="AP293" i="19"/>
  <c r="J293" i="19" s="1"/>
  <c r="BD293" i="19"/>
  <c r="BF293" i="19"/>
  <c r="BI293" i="19"/>
  <c r="AE293" i="19" s="1"/>
  <c r="BJ293" i="19"/>
  <c r="I294" i="19"/>
  <c r="K294" i="19"/>
  <c r="Z294" i="19"/>
  <c r="AB294" i="19"/>
  <c r="AC294" i="19"/>
  <c r="AF294" i="19"/>
  <c r="AG294" i="19"/>
  <c r="AH294" i="19"/>
  <c r="AJ294" i="19"/>
  <c r="AK294" i="19"/>
  <c r="AL294" i="19"/>
  <c r="AO294" i="19"/>
  <c r="AP294" i="19"/>
  <c r="BD294" i="19"/>
  <c r="BF294" i="19"/>
  <c r="BJ294" i="19"/>
  <c r="K295" i="19"/>
  <c r="Z295" i="19"/>
  <c r="AB295" i="19"/>
  <c r="AC295" i="19"/>
  <c r="AF295" i="19"/>
  <c r="AG295" i="19"/>
  <c r="AH295" i="19"/>
  <c r="AJ295" i="19"/>
  <c r="AK295" i="19"/>
  <c r="AL295" i="19"/>
  <c r="AO295" i="19"/>
  <c r="AW295" i="19" s="1"/>
  <c r="AP295" i="19"/>
  <c r="BD295" i="19"/>
  <c r="BF295" i="19"/>
  <c r="BH295" i="19"/>
  <c r="AD295" i="19" s="1"/>
  <c r="BJ295" i="19"/>
  <c r="K296" i="19"/>
  <c r="AK296" i="19" s="1"/>
  <c r="Z296" i="19"/>
  <c r="AB296" i="19"/>
  <c r="AC296" i="19"/>
  <c r="AF296" i="19"/>
  <c r="AG296" i="19"/>
  <c r="AH296" i="19"/>
  <c r="AJ296" i="19"/>
  <c r="AL296" i="19"/>
  <c r="AO296" i="19"/>
  <c r="AP296" i="19"/>
  <c r="J296" i="19" s="1"/>
  <c r="BD296" i="19"/>
  <c r="BF296" i="19"/>
  <c r="BH296" i="19"/>
  <c r="AD296" i="19" s="1"/>
  <c r="BJ296" i="19"/>
  <c r="K297" i="19"/>
  <c r="AK297" i="19" s="1"/>
  <c r="Z297" i="19"/>
  <c r="AB297" i="19"/>
  <c r="AC297" i="19"/>
  <c r="AF297" i="19"/>
  <c r="AG297" i="19"/>
  <c r="AH297" i="19"/>
  <c r="AJ297" i="19"/>
  <c r="AL297" i="19"/>
  <c r="AO297" i="19"/>
  <c r="AP297" i="19"/>
  <c r="BD297" i="19"/>
  <c r="BF297" i="19"/>
  <c r="BJ297" i="19"/>
  <c r="K298" i="19"/>
  <c r="Z298" i="19"/>
  <c r="AB298" i="19"/>
  <c r="AC298" i="19"/>
  <c r="AF298" i="19"/>
  <c r="AG298" i="19"/>
  <c r="AH298" i="19"/>
  <c r="AJ298" i="19"/>
  <c r="AK298" i="19"/>
  <c r="AL298" i="19"/>
  <c r="AO298" i="19"/>
  <c r="I298" i="19" s="1"/>
  <c r="AP298" i="19"/>
  <c r="BD298" i="19"/>
  <c r="BF298" i="19"/>
  <c r="BI298" i="19"/>
  <c r="AE298" i="19" s="1"/>
  <c r="BJ298" i="19"/>
  <c r="K299" i="19"/>
  <c r="Z299" i="19"/>
  <c r="AB299" i="19"/>
  <c r="AC299" i="19"/>
  <c r="AF299" i="19"/>
  <c r="AG299" i="19"/>
  <c r="AH299" i="19"/>
  <c r="AJ299" i="19"/>
  <c r="AK299" i="19"/>
  <c r="AL299" i="19"/>
  <c r="AO299" i="19"/>
  <c r="I299" i="19" s="1"/>
  <c r="AP299" i="19"/>
  <c r="BD299" i="19"/>
  <c r="BF299" i="19"/>
  <c r="BH299" i="19"/>
  <c r="AD299" i="19" s="1"/>
  <c r="BI299" i="19"/>
  <c r="AE299" i="19" s="1"/>
  <c r="BJ299" i="19"/>
  <c r="K300" i="19"/>
  <c r="AK300" i="19" s="1"/>
  <c r="Z300" i="19"/>
  <c r="AB300" i="19"/>
  <c r="AC300" i="19"/>
  <c r="AF300" i="19"/>
  <c r="AG300" i="19"/>
  <c r="AH300" i="19"/>
  <c r="AJ300" i="19"/>
  <c r="AL300" i="19"/>
  <c r="AO300" i="19"/>
  <c r="BH300" i="19" s="1"/>
  <c r="AD300" i="19" s="1"/>
  <c r="AP300" i="19"/>
  <c r="BD300" i="19"/>
  <c r="BF300" i="19"/>
  <c r="BI300" i="19"/>
  <c r="AE300" i="19" s="1"/>
  <c r="BJ300" i="19"/>
  <c r="K301" i="19"/>
  <c r="Z301" i="19"/>
  <c r="AB301" i="19"/>
  <c r="AC301" i="19"/>
  <c r="AF301" i="19"/>
  <c r="AG301" i="19"/>
  <c r="AH301" i="19"/>
  <c r="AJ301" i="19"/>
  <c r="AK301" i="19"/>
  <c r="AL301" i="19"/>
  <c r="AO301" i="19"/>
  <c r="AP301" i="19"/>
  <c r="BD301" i="19"/>
  <c r="BF301" i="19"/>
  <c r="BJ301" i="19"/>
  <c r="K302" i="19"/>
  <c r="Z302" i="19"/>
  <c r="AB302" i="19"/>
  <c r="AC302" i="19"/>
  <c r="AF302" i="19"/>
  <c r="AG302" i="19"/>
  <c r="AH302" i="19"/>
  <c r="AJ302" i="19"/>
  <c r="AK302" i="19"/>
  <c r="AL302" i="19"/>
  <c r="AO302" i="19"/>
  <c r="AP302" i="19"/>
  <c r="BD302" i="19"/>
  <c r="BF302" i="19"/>
  <c r="BJ302" i="19"/>
  <c r="K303" i="19"/>
  <c r="Z303" i="19"/>
  <c r="AB303" i="19"/>
  <c r="AC303" i="19"/>
  <c r="AF303" i="19"/>
  <c r="AG303" i="19"/>
  <c r="AH303" i="19"/>
  <c r="AJ303" i="19"/>
  <c r="AK303" i="19"/>
  <c r="AL303" i="19"/>
  <c r="AO303" i="19"/>
  <c r="I303" i="19" s="1"/>
  <c r="AP303" i="19"/>
  <c r="BI303" i="19" s="1"/>
  <c r="AE303" i="19" s="1"/>
  <c r="BD303" i="19"/>
  <c r="BF303" i="19"/>
  <c r="BH303" i="19"/>
  <c r="AD303" i="19" s="1"/>
  <c r="BJ303" i="19"/>
  <c r="K305" i="19"/>
  <c r="Z305" i="19"/>
  <c r="AB305" i="19"/>
  <c r="AC305" i="19"/>
  <c r="AF305" i="19"/>
  <c r="AG305" i="19"/>
  <c r="AH305" i="19"/>
  <c r="AJ305" i="19"/>
  <c r="AK305" i="19"/>
  <c r="AL305" i="19"/>
  <c r="AO305" i="19"/>
  <c r="I305" i="19" s="1"/>
  <c r="AP305" i="19"/>
  <c r="AW305" i="19"/>
  <c r="BD305" i="19"/>
  <c r="BF305" i="19"/>
  <c r="BJ305" i="19"/>
  <c r="K306" i="19"/>
  <c r="Z306" i="19"/>
  <c r="AB306" i="19"/>
  <c r="AC306" i="19"/>
  <c r="AF306" i="19"/>
  <c r="AG306" i="19"/>
  <c r="AH306" i="19"/>
  <c r="AJ306" i="19"/>
  <c r="AK306" i="19"/>
  <c r="AL306" i="19"/>
  <c r="AO306" i="19"/>
  <c r="I306" i="19" s="1"/>
  <c r="AP306" i="19"/>
  <c r="BI306" i="19" s="1"/>
  <c r="AE306" i="19" s="1"/>
  <c r="BD306" i="19"/>
  <c r="BF306" i="19"/>
  <c r="BH306" i="19"/>
  <c r="AD306" i="19" s="1"/>
  <c r="BJ306" i="19"/>
  <c r="K307" i="19"/>
  <c r="AK307" i="19" s="1"/>
  <c r="Z307" i="19"/>
  <c r="AB307" i="19"/>
  <c r="AC307" i="19"/>
  <c r="AF307" i="19"/>
  <c r="AG307" i="19"/>
  <c r="AH307" i="19"/>
  <c r="AJ307" i="19"/>
  <c r="AL307" i="19"/>
  <c r="AO307" i="19"/>
  <c r="BH307" i="19" s="1"/>
  <c r="AD307" i="19" s="1"/>
  <c r="AP307" i="19"/>
  <c r="J307" i="19" s="1"/>
  <c r="BD307" i="19"/>
  <c r="BF307" i="19"/>
  <c r="BI307" i="19"/>
  <c r="AE307" i="19" s="1"/>
  <c r="BJ307" i="19"/>
  <c r="K308" i="19"/>
  <c r="Z308" i="19"/>
  <c r="AB308" i="19"/>
  <c r="AC308" i="19"/>
  <c r="AF308" i="19"/>
  <c r="AG308" i="19"/>
  <c r="AH308" i="19"/>
  <c r="AJ308" i="19"/>
  <c r="AK308" i="19"/>
  <c r="AL308" i="19"/>
  <c r="AO308" i="19"/>
  <c r="I308" i="19" s="1"/>
  <c r="AP308" i="19"/>
  <c r="AX308" i="19" s="1"/>
  <c r="BD308" i="19"/>
  <c r="BF308" i="19"/>
  <c r="BI308" i="19"/>
  <c r="AE308" i="19" s="1"/>
  <c r="BJ308" i="19"/>
  <c r="K309" i="19"/>
  <c r="Z309" i="19"/>
  <c r="AB309" i="19"/>
  <c r="AC309" i="19"/>
  <c r="AF309" i="19"/>
  <c r="AG309" i="19"/>
  <c r="AH309" i="19"/>
  <c r="AJ309" i="19"/>
  <c r="AK309" i="19"/>
  <c r="AL309" i="19"/>
  <c r="AO309" i="19"/>
  <c r="AW309" i="19" s="1"/>
  <c r="AP309" i="19"/>
  <c r="BD309" i="19"/>
  <c r="BF309" i="19"/>
  <c r="BJ309" i="19"/>
  <c r="K310" i="19"/>
  <c r="Z310" i="19"/>
  <c r="AB310" i="19"/>
  <c r="AC310" i="19"/>
  <c r="AF310" i="19"/>
  <c r="AG310" i="19"/>
  <c r="AH310" i="19"/>
  <c r="AJ310" i="19"/>
  <c r="AK310" i="19"/>
  <c r="AL310" i="19"/>
  <c r="AO310" i="19"/>
  <c r="AP310" i="19"/>
  <c r="BI310" i="19" s="1"/>
  <c r="AE310" i="19" s="1"/>
  <c r="BD310" i="19"/>
  <c r="BF310" i="19"/>
  <c r="BH310" i="19"/>
  <c r="AD310" i="19" s="1"/>
  <c r="BJ310" i="19"/>
  <c r="K311" i="19"/>
  <c r="AK311" i="19" s="1"/>
  <c r="Z311" i="19"/>
  <c r="AB311" i="19"/>
  <c r="AC311" i="19"/>
  <c r="AF311" i="19"/>
  <c r="AG311" i="19"/>
  <c r="AH311" i="19"/>
  <c r="AJ311" i="19"/>
  <c r="AL311" i="19"/>
  <c r="AO311" i="19"/>
  <c r="AP311" i="19"/>
  <c r="BD311" i="19"/>
  <c r="BF311" i="19"/>
  <c r="BH311" i="19"/>
  <c r="AD311" i="19" s="1"/>
  <c r="BJ311" i="19"/>
  <c r="K312" i="19"/>
  <c r="Z312" i="19"/>
  <c r="AB312" i="19"/>
  <c r="AC312" i="19"/>
  <c r="AF312" i="19"/>
  <c r="AG312" i="19"/>
  <c r="AH312" i="19"/>
  <c r="AJ312" i="19"/>
  <c r="AK312" i="19"/>
  <c r="AL312" i="19"/>
  <c r="AO312" i="19"/>
  <c r="AP312" i="19"/>
  <c r="BD312" i="19"/>
  <c r="BF312" i="19"/>
  <c r="BJ312" i="19"/>
  <c r="I313" i="19"/>
  <c r="K313" i="19"/>
  <c r="Z313" i="19"/>
  <c r="AB313" i="19"/>
  <c r="AC313" i="19"/>
  <c r="AF313" i="19"/>
  <c r="AG313" i="19"/>
  <c r="AH313" i="19"/>
  <c r="AJ313" i="19"/>
  <c r="AK313" i="19"/>
  <c r="AL313" i="19"/>
  <c r="AO313" i="19"/>
  <c r="AP313" i="19"/>
  <c r="AW313" i="19"/>
  <c r="BD313" i="19"/>
  <c r="BF313" i="19"/>
  <c r="BH313" i="19"/>
  <c r="AD313" i="19" s="1"/>
  <c r="BJ313" i="19"/>
  <c r="K314" i="19"/>
  <c r="Z314" i="19"/>
  <c r="AB314" i="19"/>
  <c r="AC314" i="19"/>
  <c r="AF314" i="19"/>
  <c r="AG314" i="19"/>
  <c r="AH314" i="19"/>
  <c r="AJ314" i="19"/>
  <c r="AK314" i="19"/>
  <c r="AL314" i="19"/>
  <c r="AO314" i="19"/>
  <c r="I314" i="19" s="1"/>
  <c r="AP314" i="19"/>
  <c r="BD314" i="19"/>
  <c r="BF314" i="19"/>
  <c r="BH314" i="19"/>
  <c r="AD314" i="19" s="1"/>
  <c r="BI314" i="19"/>
  <c r="AE314" i="19" s="1"/>
  <c r="BJ314" i="19"/>
  <c r="K315" i="19"/>
  <c r="AK315" i="19" s="1"/>
  <c r="Z315" i="19"/>
  <c r="AB315" i="19"/>
  <c r="AC315" i="19"/>
  <c r="AF315" i="19"/>
  <c r="AG315" i="19"/>
  <c r="AH315" i="19"/>
  <c r="AJ315" i="19"/>
  <c r="AL315" i="19"/>
  <c r="AO315" i="19"/>
  <c r="AP315" i="19"/>
  <c r="BD315" i="19"/>
  <c r="BF315" i="19"/>
  <c r="BJ315" i="19"/>
  <c r="K316" i="19"/>
  <c r="Z316" i="19"/>
  <c r="AB316" i="19"/>
  <c r="AC316" i="19"/>
  <c r="AF316" i="19"/>
  <c r="AG316" i="19"/>
  <c r="AH316" i="19"/>
  <c r="AJ316" i="19"/>
  <c r="AK316" i="19"/>
  <c r="AL316" i="19"/>
  <c r="AO316" i="19"/>
  <c r="I316" i="19" s="1"/>
  <c r="AP316" i="19"/>
  <c r="BD316" i="19"/>
  <c r="BF316" i="19"/>
  <c r="BH316" i="19"/>
  <c r="AD316" i="19" s="1"/>
  <c r="BJ316" i="19"/>
  <c r="I317" i="19"/>
  <c r="K317" i="19"/>
  <c r="Z317" i="19"/>
  <c r="AB317" i="19"/>
  <c r="AC317" i="19"/>
  <c r="AF317" i="19"/>
  <c r="AG317" i="19"/>
  <c r="AH317" i="19"/>
  <c r="AJ317" i="19"/>
  <c r="AK317" i="19"/>
  <c r="AL317" i="19"/>
  <c r="AO317" i="19"/>
  <c r="AW317" i="19" s="1"/>
  <c r="AP317" i="19"/>
  <c r="BD317" i="19"/>
  <c r="BF317" i="19"/>
  <c r="BH317" i="19"/>
  <c r="AD317" i="19" s="1"/>
  <c r="BJ317" i="19"/>
  <c r="K318" i="19"/>
  <c r="Z318" i="19"/>
  <c r="AB318" i="19"/>
  <c r="AC318" i="19"/>
  <c r="AF318" i="19"/>
  <c r="AG318" i="19"/>
  <c r="AH318" i="19"/>
  <c r="AJ318" i="19"/>
  <c r="AK318" i="19"/>
  <c r="AL318" i="19"/>
  <c r="AO318" i="19"/>
  <c r="I318" i="19" s="1"/>
  <c r="AP318" i="19"/>
  <c r="BD318" i="19"/>
  <c r="BF318" i="19"/>
  <c r="BH318" i="19"/>
  <c r="AD318" i="19" s="1"/>
  <c r="BJ318" i="19"/>
  <c r="K319" i="19"/>
  <c r="AK319" i="19" s="1"/>
  <c r="Z319" i="19"/>
  <c r="AB319" i="19"/>
  <c r="AC319" i="19"/>
  <c r="AF319" i="19"/>
  <c r="AG319" i="19"/>
  <c r="AH319" i="19"/>
  <c r="AJ319" i="19"/>
  <c r="AL319" i="19"/>
  <c r="AO319" i="19"/>
  <c r="BH319" i="19" s="1"/>
  <c r="AD319" i="19" s="1"/>
  <c r="AP319" i="19"/>
  <c r="BD319" i="19"/>
  <c r="BF319" i="19"/>
  <c r="BJ319" i="19"/>
  <c r="K320" i="19"/>
  <c r="Z320" i="19"/>
  <c r="AB320" i="19"/>
  <c r="AC320" i="19"/>
  <c r="AF320" i="19"/>
  <c r="AG320" i="19"/>
  <c r="AH320" i="19"/>
  <c r="AJ320" i="19"/>
  <c r="AK320" i="19"/>
  <c r="AL320" i="19"/>
  <c r="AO320" i="19"/>
  <c r="I320" i="19" s="1"/>
  <c r="AP320" i="19"/>
  <c r="AX320" i="19" s="1"/>
  <c r="AW320" i="19"/>
  <c r="BD320" i="19"/>
  <c r="BF320" i="19"/>
  <c r="BI320" i="19"/>
  <c r="AE320" i="19" s="1"/>
  <c r="BJ320" i="19"/>
  <c r="K321" i="19"/>
  <c r="Z321" i="19"/>
  <c r="AB321" i="19"/>
  <c r="AC321" i="19"/>
  <c r="AF321" i="19"/>
  <c r="AG321" i="19"/>
  <c r="AH321" i="19"/>
  <c r="AJ321" i="19"/>
  <c r="AK321" i="19"/>
  <c r="AL321" i="19"/>
  <c r="AO321" i="19"/>
  <c r="AP321" i="19"/>
  <c r="J321" i="19" s="1"/>
  <c r="BD321" i="19"/>
  <c r="BF321" i="19"/>
  <c r="BI321" i="19"/>
  <c r="AE321" i="19" s="1"/>
  <c r="BJ321" i="19"/>
  <c r="K322" i="19"/>
  <c r="Z322" i="19"/>
  <c r="AB322" i="19"/>
  <c r="AC322" i="19"/>
  <c r="AF322" i="19"/>
  <c r="AG322" i="19"/>
  <c r="AH322" i="19"/>
  <c r="AJ322" i="19"/>
  <c r="AK322" i="19"/>
  <c r="AL322" i="19"/>
  <c r="AO322" i="19"/>
  <c r="I322" i="19" s="1"/>
  <c r="AP322" i="19"/>
  <c r="BD322" i="19"/>
  <c r="BF322" i="19"/>
  <c r="BH322" i="19"/>
  <c r="AD322" i="19" s="1"/>
  <c r="BJ322" i="19"/>
  <c r="K323" i="19"/>
  <c r="AK323" i="19" s="1"/>
  <c r="Z323" i="19"/>
  <c r="AB323" i="19"/>
  <c r="AC323" i="19"/>
  <c r="AF323" i="19"/>
  <c r="AG323" i="19"/>
  <c r="AH323" i="19"/>
  <c r="AJ323" i="19"/>
  <c r="AL323" i="19"/>
  <c r="AO323" i="19"/>
  <c r="BH323" i="19" s="1"/>
  <c r="AD323" i="19" s="1"/>
  <c r="AP323" i="19"/>
  <c r="J323" i="19" s="1"/>
  <c r="BD323" i="19"/>
  <c r="BF323" i="19"/>
  <c r="BI323" i="19"/>
  <c r="AE323" i="19" s="1"/>
  <c r="BJ323" i="19"/>
  <c r="K324" i="19"/>
  <c r="Z324" i="19"/>
  <c r="AB324" i="19"/>
  <c r="AC324" i="19"/>
  <c r="AF324" i="19"/>
  <c r="AG324" i="19"/>
  <c r="AH324" i="19"/>
  <c r="AJ324" i="19"/>
  <c r="AK324" i="19"/>
  <c r="AL324" i="19"/>
  <c r="AO324" i="19"/>
  <c r="AP324" i="19"/>
  <c r="AX324" i="19" s="1"/>
  <c r="BD324" i="19"/>
  <c r="BF324" i="19"/>
  <c r="BJ324" i="19"/>
  <c r="K325" i="19"/>
  <c r="Z325" i="19"/>
  <c r="AB325" i="19"/>
  <c r="AC325" i="19"/>
  <c r="AF325" i="19"/>
  <c r="AG325" i="19"/>
  <c r="AH325" i="19"/>
  <c r="AJ325" i="19"/>
  <c r="AK325" i="19"/>
  <c r="AL325" i="19"/>
  <c r="AO325" i="19"/>
  <c r="I325" i="19" s="1"/>
  <c r="AP325" i="19"/>
  <c r="BD325" i="19"/>
  <c r="BF325" i="19"/>
  <c r="BJ325" i="19"/>
  <c r="K326" i="19"/>
  <c r="Z326" i="19"/>
  <c r="AB326" i="19"/>
  <c r="AC326" i="19"/>
  <c r="AF326" i="19"/>
  <c r="AG326" i="19"/>
  <c r="AH326" i="19"/>
  <c r="AJ326" i="19"/>
  <c r="AK326" i="19"/>
  <c r="AL326" i="19"/>
  <c r="AO326" i="19"/>
  <c r="AP326" i="19"/>
  <c r="BD326" i="19"/>
  <c r="BF326" i="19"/>
  <c r="BJ326" i="19"/>
  <c r="K328" i="19"/>
  <c r="Z328" i="19"/>
  <c r="AB328" i="19"/>
  <c r="AC328" i="19"/>
  <c r="AF328" i="19"/>
  <c r="AG328" i="19"/>
  <c r="AH328" i="19"/>
  <c r="AJ328" i="19"/>
  <c r="AK328" i="19"/>
  <c r="AL328" i="19"/>
  <c r="AO328" i="19"/>
  <c r="I328" i="19" s="1"/>
  <c r="AP328" i="19"/>
  <c r="J328" i="19" s="1"/>
  <c r="BD328" i="19"/>
  <c r="BF328" i="19"/>
  <c r="BI328" i="19"/>
  <c r="AE328" i="19" s="1"/>
  <c r="BJ328" i="19"/>
  <c r="K329" i="19"/>
  <c r="Z329" i="19"/>
  <c r="AB329" i="19"/>
  <c r="AC329" i="19"/>
  <c r="AF329" i="19"/>
  <c r="AG329" i="19"/>
  <c r="AH329" i="19"/>
  <c r="AJ329" i="19"/>
  <c r="AK329" i="19"/>
  <c r="AL329" i="19"/>
  <c r="AO329" i="19"/>
  <c r="BH329" i="19" s="1"/>
  <c r="AD329" i="19" s="1"/>
  <c r="AP329" i="19"/>
  <c r="BI329" i="19" s="1"/>
  <c r="AE329" i="19" s="1"/>
  <c r="BD329" i="19"/>
  <c r="BF329" i="19"/>
  <c r="BJ329" i="19"/>
  <c r="K330" i="19"/>
  <c r="AK330" i="19" s="1"/>
  <c r="Z330" i="19"/>
  <c r="AB330" i="19"/>
  <c r="AC330" i="19"/>
  <c r="AF330" i="19"/>
  <c r="AG330" i="19"/>
  <c r="AH330" i="19"/>
  <c r="AJ330" i="19"/>
  <c r="AL330" i="19"/>
  <c r="AO330" i="19"/>
  <c r="AP330" i="19"/>
  <c r="BD330" i="19"/>
  <c r="BF330" i="19"/>
  <c r="BH330" i="19"/>
  <c r="AD330" i="19" s="1"/>
  <c r="BJ330" i="19"/>
  <c r="K331" i="19"/>
  <c r="AK331" i="19" s="1"/>
  <c r="Z331" i="19"/>
  <c r="AB331" i="19"/>
  <c r="AC331" i="19"/>
  <c r="AF331" i="19"/>
  <c r="AG331" i="19"/>
  <c r="AH331" i="19"/>
  <c r="AJ331" i="19"/>
  <c r="AL331" i="19"/>
  <c r="AO331" i="19"/>
  <c r="I331" i="19" s="1"/>
  <c r="AP331" i="19"/>
  <c r="BD331" i="19"/>
  <c r="BF331" i="19"/>
  <c r="BJ331" i="19"/>
  <c r="K332" i="19"/>
  <c r="Z332" i="19"/>
  <c r="AB332" i="19"/>
  <c r="AC332" i="19"/>
  <c r="AF332" i="19"/>
  <c r="AG332" i="19"/>
  <c r="AH332" i="19"/>
  <c r="AJ332" i="19"/>
  <c r="AK332" i="19"/>
  <c r="AL332" i="19"/>
  <c r="AO332" i="19"/>
  <c r="I332" i="19" s="1"/>
  <c r="AP332" i="19"/>
  <c r="J332" i="19" s="1"/>
  <c r="BD332" i="19"/>
  <c r="BF332" i="19"/>
  <c r="BI332" i="19"/>
  <c r="AE332" i="19" s="1"/>
  <c r="BJ332" i="19"/>
  <c r="K333" i="19"/>
  <c r="Z333" i="19"/>
  <c r="AB333" i="19"/>
  <c r="AC333" i="19"/>
  <c r="AF333" i="19"/>
  <c r="AG333" i="19"/>
  <c r="AH333" i="19"/>
  <c r="AJ333" i="19"/>
  <c r="AK333" i="19"/>
  <c r="AL333" i="19"/>
  <c r="AO333" i="19"/>
  <c r="I333" i="19" s="1"/>
  <c r="AP333" i="19"/>
  <c r="BI333" i="19" s="1"/>
  <c r="AE333" i="19" s="1"/>
  <c r="BD333" i="19"/>
  <c r="BF333" i="19"/>
  <c r="BH333" i="19"/>
  <c r="AD333" i="19" s="1"/>
  <c r="BJ333" i="19"/>
  <c r="K334" i="19"/>
  <c r="AK334" i="19" s="1"/>
  <c r="Z334" i="19"/>
  <c r="AB334" i="19"/>
  <c r="AC334" i="19"/>
  <c r="AF334" i="19"/>
  <c r="AG334" i="19"/>
  <c r="AH334" i="19"/>
  <c r="AJ334" i="19"/>
  <c r="AL334" i="19"/>
  <c r="AO334" i="19"/>
  <c r="AP334" i="19"/>
  <c r="BD334" i="19"/>
  <c r="BF334" i="19"/>
  <c r="BH334" i="19"/>
  <c r="AD334" i="19" s="1"/>
  <c r="BJ334" i="19"/>
  <c r="K335" i="19"/>
  <c r="Z335" i="19"/>
  <c r="AB335" i="19"/>
  <c r="AC335" i="19"/>
  <c r="AF335" i="19"/>
  <c r="AG335" i="19"/>
  <c r="AH335" i="19"/>
  <c r="AJ335" i="19"/>
  <c r="AK335" i="19"/>
  <c r="AL335" i="19"/>
  <c r="AO335" i="19"/>
  <c r="I335" i="19" s="1"/>
  <c r="AP335" i="19"/>
  <c r="BD335" i="19"/>
  <c r="BF335" i="19"/>
  <c r="BJ335" i="19"/>
  <c r="K336" i="19"/>
  <c r="Z336" i="19"/>
  <c r="AB336" i="19"/>
  <c r="AC336" i="19"/>
  <c r="AF336" i="19"/>
  <c r="AG336" i="19"/>
  <c r="AH336" i="19"/>
  <c r="AJ336" i="19"/>
  <c r="AK336" i="19"/>
  <c r="AL336" i="19"/>
  <c r="AO336" i="19"/>
  <c r="I336" i="19" s="1"/>
  <c r="AP336" i="19"/>
  <c r="J336" i="19" s="1"/>
  <c r="BD336" i="19"/>
  <c r="BF336" i="19"/>
  <c r="BJ336" i="19"/>
  <c r="K337" i="19"/>
  <c r="Z337" i="19"/>
  <c r="AB337" i="19"/>
  <c r="AC337" i="19"/>
  <c r="AF337" i="19"/>
  <c r="AG337" i="19"/>
  <c r="AH337" i="19"/>
  <c r="AJ337" i="19"/>
  <c r="AK337" i="19"/>
  <c r="AL337" i="19"/>
  <c r="AO337" i="19"/>
  <c r="I337" i="19" s="1"/>
  <c r="AP337" i="19"/>
  <c r="BD337" i="19"/>
  <c r="BF337" i="19"/>
  <c r="BH337" i="19"/>
  <c r="AD337" i="19" s="1"/>
  <c r="BJ337" i="19"/>
  <c r="K338" i="19"/>
  <c r="AK338" i="19" s="1"/>
  <c r="Z338" i="19"/>
  <c r="AB338" i="19"/>
  <c r="AC338" i="19"/>
  <c r="AF338" i="19"/>
  <c r="AG338" i="19"/>
  <c r="AH338" i="19"/>
  <c r="AJ338" i="19"/>
  <c r="AL338" i="19"/>
  <c r="AO338" i="19"/>
  <c r="BH338" i="19" s="1"/>
  <c r="AD338" i="19" s="1"/>
  <c r="AP338" i="19"/>
  <c r="J338" i="19" s="1"/>
  <c r="BD338" i="19"/>
  <c r="BF338" i="19"/>
  <c r="BJ338" i="19"/>
  <c r="K339" i="19"/>
  <c r="Z339" i="19"/>
  <c r="AB339" i="19"/>
  <c r="AC339" i="19"/>
  <c r="AF339" i="19"/>
  <c r="AG339" i="19"/>
  <c r="AH339" i="19"/>
  <c r="AJ339" i="19"/>
  <c r="AK339" i="19"/>
  <c r="AL339" i="19"/>
  <c r="AO339" i="19"/>
  <c r="I339" i="19" s="1"/>
  <c r="AP339" i="19"/>
  <c r="AW339" i="19"/>
  <c r="BD339" i="19"/>
  <c r="BF339" i="19"/>
  <c r="BH339" i="19"/>
  <c r="AD339" i="19" s="1"/>
  <c r="BJ339" i="19"/>
  <c r="K340" i="19"/>
  <c r="Z340" i="19"/>
  <c r="AB340" i="19"/>
  <c r="AC340" i="19"/>
  <c r="AF340" i="19"/>
  <c r="AG340" i="19"/>
  <c r="AH340" i="19"/>
  <c r="AJ340" i="19"/>
  <c r="AK340" i="19"/>
  <c r="AL340" i="19"/>
  <c r="AO340" i="19"/>
  <c r="AP340" i="19"/>
  <c r="BI340" i="19" s="1"/>
  <c r="AE340" i="19" s="1"/>
  <c r="BD340" i="19"/>
  <c r="BF340" i="19"/>
  <c r="BH340" i="19"/>
  <c r="AD340" i="19" s="1"/>
  <c r="BJ340" i="19"/>
  <c r="K341" i="19"/>
  <c r="Z341" i="19"/>
  <c r="AB341" i="19"/>
  <c r="AC341" i="19"/>
  <c r="AF341" i="19"/>
  <c r="AG341" i="19"/>
  <c r="AH341" i="19"/>
  <c r="AJ341" i="19"/>
  <c r="AK341" i="19"/>
  <c r="AL341" i="19"/>
  <c r="AO341" i="19"/>
  <c r="I341" i="19" s="1"/>
  <c r="AP341" i="19"/>
  <c r="BD341" i="19"/>
  <c r="BF341" i="19"/>
  <c r="BH341" i="19"/>
  <c r="AD341" i="19" s="1"/>
  <c r="BI341" i="19"/>
  <c r="AE341" i="19" s="1"/>
  <c r="BJ341" i="19"/>
  <c r="K342" i="19"/>
  <c r="AK342" i="19" s="1"/>
  <c r="Z342" i="19"/>
  <c r="AB342" i="19"/>
  <c r="AC342" i="19"/>
  <c r="AF342" i="19"/>
  <c r="AG342" i="19"/>
  <c r="AH342" i="19"/>
  <c r="AJ342" i="19"/>
  <c r="AL342" i="19"/>
  <c r="AO342" i="19"/>
  <c r="AP342" i="19"/>
  <c r="BI342" i="19" s="1"/>
  <c r="AE342" i="19" s="1"/>
  <c r="BD342" i="19"/>
  <c r="BF342" i="19"/>
  <c r="BJ342" i="19"/>
  <c r="K343" i="19"/>
  <c r="Z343" i="19"/>
  <c r="AB343" i="19"/>
  <c r="AC343" i="19"/>
  <c r="AF343" i="19"/>
  <c r="AG343" i="19"/>
  <c r="AH343" i="19"/>
  <c r="AJ343" i="19"/>
  <c r="AK343" i="19"/>
  <c r="AL343" i="19"/>
  <c r="AO343" i="19"/>
  <c r="I343" i="19" s="1"/>
  <c r="AP343" i="19"/>
  <c r="AW343" i="19"/>
  <c r="BD343" i="19"/>
  <c r="BF343" i="19"/>
  <c r="BH343" i="19"/>
  <c r="AD343" i="19" s="1"/>
  <c r="BJ343" i="19"/>
  <c r="K344" i="19"/>
  <c r="Z344" i="19"/>
  <c r="AB344" i="19"/>
  <c r="AC344" i="19"/>
  <c r="AF344" i="19"/>
  <c r="AG344" i="19"/>
  <c r="AH344" i="19"/>
  <c r="AJ344" i="19"/>
  <c r="AK344" i="19"/>
  <c r="AL344" i="19"/>
  <c r="AO344" i="19"/>
  <c r="AP344" i="19"/>
  <c r="J344" i="19" s="1"/>
  <c r="AX344" i="19"/>
  <c r="BD344" i="19"/>
  <c r="BF344" i="19"/>
  <c r="BI344" i="19"/>
  <c r="AE344" i="19" s="1"/>
  <c r="BJ344" i="19"/>
  <c r="K345" i="19"/>
  <c r="Z345" i="19"/>
  <c r="AB345" i="19"/>
  <c r="AC345" i="19"/>
  <c r="AF345" i="19"/>
  <c r="AG345" i="19"/>
  <c r="AH345" i="19"/>
  <c r="AJ345" i="19"/>
  <c r="AK345" i="19"/>
  <c r="AL345" i="19"/>
  <c r="AO345" i="19"/>
  <c r="I345" i="19" s="1"/>
  <c r="AP345" i="19"/>
  <c r="BI345" i="19" s="1"/>
  <c r="AE345" i="19" s="1"/>
  <c r="BD345" i="19"/>
  <c r="BF345" i="19"/>
  <c r="BH345" i="19"/>
  <c r="AD345" i="19" s="1"/>
  <c r="BJ345" i="19"/>
  <c r="K346" i="19"/>
  <c r="AK346" i="19" s="1"/>
  <c r="Z346" i="19"/>
  <c r="AB346" i="19"/>
  <c r="AC346" i="19"/>
  <c r="AF346" i="19"/>
  <c r="AG346" i="19"/>
  <c r="AH346" i="19"/>
  <c r="AJ346" i="19"/>
  <c r="AL346" i="19"/>
  <c r="AO346" i="19"/>
  <c r="AP346" i="19"/>
  <c r="BD346" i="19"/>
  <c r="BF346" i="19"/>
  <c r="BH346" i="19"/>
  <c r="AD346" i="19" s="1"/>
  <c r="BJ346" i="19"/>
  <c r="K347" i="19"/>
  <c r="Z347" i="19"/>
  <c r="AB347" i="19"/>
  <c r="AC347" i="19"/>
  <c r="AF347" i="19"/>
  <c r="AG347" i="19"/>
  <c r="AH347" i="19"/>
  <c r="AJ347" i="19"/>
  <c r="AK347" i="19"/>
  <c r="AL347" i="19"/>
  <c r="AO347" i="19"/>
  <c r="AP347" i="19"/>
  <c r="J347" i="19" s="1"/>
  <c r="BD347" i="19"/>
  <c r="BF347" i="19"/>
  <c r="BJ347" i="19"/>
  <c r="K348" i="19"/>
  <c r="Z348" i="19"/>
  <c r="AB348" i="19"/>
  <c r="AC348" i="19"/>
  <c r="AF348" i="19"/>
  <c r="AG348" i="19"/>
  <c r="AH348" i="19"/>
  <c r="AJ348" i="19"/>
  <c r="AK348" i="19"/>
  <c r="AL348" i="19"/>
  <c r="AO348" i="19"/>
  <c r="AP348" i="19"/>
  <c r="J348" i="19" s="1"/>
  <c r="AX348" i="19"/>
  <c r="BD348" i="19"/>
  <c r="BF348" i="19"/>
  <c r="BI348" i="19"/>
  <c r="AE348" i="19" s="1"/>
  <c r="BJ348" i="19"/>
  <c r="K349" i="19"/>
  <c r="AK349" i="19" s="1"/>
  <c r="Z349" i="19"/>
  <c r="AB349" i="19"/>
  <c r="AC349" i="19"/>
  <c r="AF349" i="19"/>
  <c r="AG349" i="19"/>
  <c r="AH349" i="19"/>
  <c r="AJ349" i="19"/>
  <c r="AL349" i="19"/>
  <c r="AO349" i="19"/>
  <c r="I349" i="19" s="1"/>
  <c r="AP349" i="19"/>
  <c r="BI349" i="19" s="1"/>
  <c r="AE349" i="19" s="1"/>
  <c r="BD349" i="19"/>
  <c r="BF349" i="19"/>
  <c r="BH349" i="19"/>
  <c r="AD349" i="19" s="1"/>
  <c r="BJ349" i="19"/>
  <c r="K350" i="19"/>
  <c r="AK350" i="19" s="1"/>
  <c r="Z350" i="19"/>
  <c r="AB350" i="19"/>
  <c r="AC350" i="19"/>
  <c r="AF350" i="19"/>
  <c r="AG350" i="19"/>
  <c r="AH350" i="19"/>
  <c r="AJ350" i="19"/>
  <c r="AL350" i="19"/>
  <c r="AO350" i="19"/>
  <c r="AP350" i="19"/>
  <c r="J350" i="19" s="1"/>
  <c r="BD350" i="19"/>
  <c r="BF350" i="19"/>
  <c r="BH350" i="19"/>
  <c r="AD350" i="19" s="1"/>
  <c r="BI350" i="19"/>
  <c r="AE350" i="19" s="1"/>
  <c r="BJ350" i="19"/>
  <c r="K351" i="19"/>
  <c r="Z351" i="19"/>
  <c r="AB351" i="19"/>
  <c r="AC351" i="19"/>
  <c r="AF351" i="19"/>
  <c r="AG351" i="19"/>
  <c r="AH351" i="19"/>
  <c r="AJ351" i="19"/>
  <c r="AK351" i="19"/>
  <c r="AL351" i="19"/>
  <c r="AO351" i="19"/>
  <c r="AP351" i="19"/>
  <c r="BD351" i="19"/>
  <c r="BF351" i="19"/>
  <c r="BJ351" i="19"/>
  <c r="K352" i="19"/>
  <c r="AK352" i="19" s="1"/>
  <c r="Z352" i="19"/>
  <c r="AB352" i="19"/>
  <c r="AC352" i="19"/>
  <c r="AF352" i="19"/>
  <c r="AG352" i="19"/>
  <c r="AH352" i="19"/>
  <c r="AJ352" i="19"/>
  <c r="AL352" i="19"/>
  <c r="AO352" i="19"/>
  <c r="AP352" i="19"/>
  <c r="J352" i="19" s="1"/>
  <c r="BD352" i="19"/>
  <c r="BF352" i="19"/>
  <c r="BJ352" i="19"/>
  <c r="K353" i="19"/>
  <c r="Z353" i="19"/>
  <c r="AB353" i="19"/>
  <c r="AC353" i="19"/>
  <c r="AF353" i="19"/>
  <c r="AG353" i="19"/>
  <c r="AH353" i="19"/>
  <c r="AJ353" i="19"/>
  <c r="AK353" i="19"/>
  <c r="AL353" i="19"/>
  <c r="AO353" i="19"/>
  <c r="AP353" i="19"/>
  <c r="BD353" i="19"/>
  <c r="BF353" i="19"/>
  <c r="BJ353" i="19"/>
  <c r="K354" i="19"/>
  <c r="Z354" i="19"/>
  <c r="AB354" i="19"/>
  <c r="AC354" i="19"/>
  <c r="AF354" i="19"/>
  <c r="AG354" i="19"/>
  <c r="AH354" i="19"/>
  <c r="AJ354" i="19"/>
  <c r="AK354" i="19"/>
  <c r="AL354" i="19"/>
  <c r="AO354" i="19"/>
  <c r="AP354" i="19"/>
  <c r="BD354" i="19"/>
  <c r="BF354" i="19"/>
  <c r="BH354" i="19"/>
  <c r="AD354" i="19" s="1"/>
  <c r="BI354" i="19"/>
  <c r="AE354" i="19" s="1"/>
  <c r="BJ354" i="19"/>
  <c r="K355" i="19"/>
  <c r="AK355" i="19" s="1"/>
  <c r="Z355" i="19"/>
  <c r="AB355" i="19"/>
  <c r="AC355" i="19"/>
  <c r="AF355" i="19"/>
  <c r="AG355" i="19"/>
  <c r="AH355" i="19"/>
  <c r="AJ355" i="19"/>
  <c r="AL355" i="19"/>
  <c r="AO355" i="19"/>
  <c r="AP355" i="19"/>
  <c r="BD355" i="19"/>
  <c r="BF355" i="19"/>
  <c r="BH355" i="19"/>
  <c r="AD355" i="19" s="1"/>
  <c r="BI355" i="19"/>
  <c r="AE355" i="19" s="1"/>
  <c r="BJ355" i="19"/>
  <c r="K357" i="19"/>
  <c r="Z357" i="19"/>
  <c r="AB357" i="19"/>
  <c r="AC357" i="19"/>
  <c r="AF357" i="19"/>
  <c r="AG357" i="19"/>
  <c r="AH357" i="19"/>
  <c r="AJ357" i="19"/>
  <c r="AK357" i="19"/>
  <c r="AL357" i="19"/>
  <c r="AO357" i="19"/>
  <c r="AW357" i="19" s="1"/>
  <c r="AP357" i="19"/>
  <c r="BD357" i="19"/>
  <c r="BF357" i="19"/>
  <c r="BH357" i="19"/>
  <c r="AD357" i="19" s="1"/>
  <c r="BI357" i="19"/>
  <c r="AE357" i="19" s="1"/>
  <c r="BJ357" i="19"/>
  <c r="K358" i="19"/>
  <c r="Z358" i="19"/>
  <c r="AB358" i="19"/>
  <c r="AC358" i="19"/>
  <c r="AF358" i="19"/>
  <c r="AG358" i="19"/>
  <c r="AH358" i="19"/>
  <c r="AJ358" i="19"/>
  <c r="AL358" i="19"/>
  <c r="AO358" i="19"/>
  <c r="BH358" i="19" s="1"/>
  <c r="AD358" i="19" s="1"/>
  <c r="AP358" i="19"/>
  <c r="BD358" i="19"/>
  <c r="BF358" i="19"/>
  <c r="BJ358" i="19"/>
  <c r="K359" i="19"/>
  <c r="Z359" i="19"/>
  <c r="AB359" i="19"/>
  <c r="AC359" i="19"/>
  <c r="AF359" i="19"/>
  <c r="AG359" i="19"/>
  <c r="AH359" i="19"/>
  <c r="AJ359" i="19"/>
  <c r="AK359" i="19"/>
  <c r="AL359" i="19"/>
  <c r="AO359" i="19"/>
  <c r="AP359" i="19"/>
  <c r="J359" i="19" s="1"/>
  <c r="BD359" i="19"/>
  <c r="BF359" i="19"/>
  <c r="BI359" i="19"/>
  <c r="AE359" i="19" s="1"/>
  <c r="BJ359" i="19"/>
  <c r="K360" i="19"/>
  <c r="Z360" i="19"/>
  <c r="AB360" i="19"/>
  <c r="AC360" i="19"/>
  <c r="AF360" i="19"/>
  <c r="AG360" i="19"/>
  <c r="AH360" i="19"/>
  <c r="AJ360" i="19"/>
  <c r="AK360" i="19"/>
  <c r="AL360" i="19"/>
  <c r="AO360" i="19"/>
  <c r="AP360" i="19"/>
  <c r="J360" i="19" s="1"/>
  <c r="BD360" i="19"/>
  <c r="BF360" i="19"/>
  <c r="BI360" i="19"/>
  <c r="AE360" i="19" s="1"/>
  <c r="BJ360" i="19"/>
  <c r="K361" i="19"/>
  <c r="Z361" i="19"/>
  <c r="AB361" i="19"/>
  <c r="AC361" i="19"/>
  <c r="AF361" i="19"/>
  <c r="AG361" i="19"/>
  <c r="AH361" i="19"/>
  <c r="AJ361" i="19"/>
  <c r="AK361" i="19"/>
  <c r="AL361" i="19"/>
  <c r="AO361" i="19"/>
  <c r="I361" i="19" s="1"/>
  <c r="AP361" i="19"/>
  <c r="BD361" i="19"/>
  <c r="BF361" i="19"/>
  <c r="BH361" i="19"/>
  <c r="AD361" i="19" s="1"/>
  <c r="BI361" i="19"/>
  <c r="AE361" i="19" s="1"/>
  <c r="BJ361" i="19"/>
  <c r="K362" i="19"/>
  <c r="AK362" i="19" s="1"/>
  <c r="Z362" i="19"/>
  <c r="AB362" i="19"/>
  <c r="AC362" i="19"/>
  <c r="AF362" i="19"/>
  <c r="AG362" i="19"/>
  <c r="AH362" i="19"/>
  <c r="AJ362" i="19"/>
  <c r="AL362" i="19"/>
  <c r="AO362" i="19"/>
  <c r="AP362" i="19"/>
  <c r="BI362" i="19" s="1"/>
  <c r="AE362" i="19" s="1"/>
  <c r="BD362" i="19"/>
  <c r="BF362" i="19"/>
  <c r="BJ362" i="19"/>
  <c r="K363" i="19"/>
  <c r="Z363" i="19"/>
  <c r="AB363" i="19"/>
  <c r="AC363" i="19"/>
  <c r="AF363" i="19"/>
  <c r="AG363" i="19"/>
  <c r="AH363" i="19"/>
  <c r="AJ363" i="19"/>
  <c r="AK363" i="19"/>
  <c r="AL363" i="19"/>
  <c r="AO363" i="19"/>
  <c r="AP363" i="19"/>
  <c r="J363" i="19" s="1"/>
  <c r="BD363" i="19"/>
  <c r="BF363" i="19"/>
  <c r="BJ363" i="19"/>
  <c r="K364" i="19"/>
  <c r="Z364" i="19"/>
  <c r="AB364" i="19"/>
  <c r="AC364" i="19"/>
  <c r="AF364" i="19"/>
  <c r="AG364" i="19"/>
  <c r="AH364" i="19"/>
  <c r="AJ364" i="19"/>
  <c r="AK364" i="19"/>
  <c r="AL364" i="19"/>
  <c r="AO364" i="19"/>
  <c r="AP364" i="19"/>
  <c r="J364" i="19" s="1"/>
  <c r="BD364" i="19"/>
  <c r="BF364" i="19"/>
  <c r="BJ364" i="19"/>
  <c r="K365" i="19"/>
  <c r="Z365" i="19"/>
  <c r="AB365" i="19"/>
  <c r="AC365" i="19"/>
  <c r="AF365" i="19"/>
  <c r="AG365" i="19"/>
  <c r="AH365" i="19"/>
  <c r="AJ365" i="19"/>
  <c r="AK365" i="19"/>
  <c r="AL365" i="19"/>
  <c r="AO365" i="19"/>
  <c r="I365" i="19" s="1"/>
  <c r="AP365" i="19"/>
  <c r="BD365" i="19"/>
  <c r="BF365" i="19"/>
  <c r="BH365" i="19"/>
  <c r="AD365" i="19" s="1"/>
  <c r="BI365" i="19"/>
  <c r="AE365" i="19" s="1"/>
  <c r="BJ365" i="19"/>
  <c r="K366" i="19"/>
  <c r="AK366" i="19" s="1"/>
  <c r="Z366" i="19"/>
  <c r="AB366" i="19"/>
  <c r="AC366" i="19"/>
  <c r="AF366" i="19"/>
  <c r="AG366" i="19"/>
  <c r="AH366" i="19"/>
  <c r="AJ366" i="19"/>
  <c r="AL366" i="19"/>
  <c r="AO366" i="19"/>
  <c r="BH366" i="19" s="1"/>
  <c r="AD366" i="19" s="1"/>
  <c r="AP366" i="19"/>
  <c r="BI366" i="19" s="1"/>
  <c r="AE366" i="19" s="1"/>
  <c r="BD366" i="19"/>
  <c r="BF366" i="19"/>
  <c r="BJ366" i="19"/>
  <c r="K367" i="19"/>
  <c r="Z367" i="19"/>
  <c r="AB367" i="19"/>
  <c r="AC367" i="19"/>
  <c r="AF367" i="19"/>
  <c r="AG367" i="19"/>
  <c r="AH367" i="19"/>
  <c r="AJ367" i="19"/>
  <c r="AK367" i="19"/>
  <c r="AL367" i="19"/>
  <c r="AO367" i="19"/>
  <c r="AP367" i="19"/>
  <c r="AX367" i="19" s="1"/>
  <c r="BD367" i="19"/>
  <c r="BF367" i="19"/>
  <c r="BJ367" i="19"/>
  <c r="K368" i="19"/>
  <c r="Z368" i="19"/>
  <c r="AB368" i="19"/>
  <c r="AC368" i="19"/>
  <c r="AF368" i="19"/>
  <c r="AG368" i="19"/>
  <c r="AH368" i="19"/>
  <c r="AJ368" i="19"/>
  <c r="AK368" i="19"/>
  <c r="AL368" i="19"/>
  <c r="AO368" i="19"/>
  <c r="AP368" i="19"/>
  <c r="J368" i="19" s="1"/>
  <c r="BD368" i="19"/>
  <c r="BF368" i="19"/>
  <c r="BH368" i="19"/>
  <c r="AD368" i="19" s="1"/>
  <c r="BI368" i="19"/>
  <c r="AE368" i="19" s="1"/>
  <c r="BJ368" i="19"/>
  <c r="K369" i="19"/>
  <c r="Z369" i="19"/>
  <c r="AB369" i="19"/>
  <c r="AC369" i="19"/>
  <c r="AF369" i="19"/>
  <c r="AG369" i="19"/>
  <c r="AH369" i="19"/>
  <c r="AJ369" i="19"/>
  <c r="AK369" i="19"/>
  <c r="AL369" i="19"/>
  <c r="AO369" i="19"/>
  <c r="I369" i="19" s="1"/>
  <c r="AP369" i="19"/>
  <c r="BI369" i="19" s="1"/>
  <c r="AE369" i="19" s="1"/>
  <c r="AW369" i="19"/>
  <c r="BD369" i="19"/>
  <c r="BF369" i="19"/>
  <c r="BH369" i="19"/>
  <c r="AD369" i="19" s="1"/>
  <c r="BJ369" i="19"/>
  <c r="K370" i="19"/>
  <c r="AK370" i="19" s="1"/>
  <c r="Z370" i="19"/>
  <c r="AB370" i="19"/>
  <c r="AC370" i="19"/>
  <c r="AF370" i="19"/>
  <c r="AG370" i="19"/>
  <c r="AH370" i="19"/>
  <c r="AJ370" i="19"/>
  <c r="AL370" i="19"/>
  <c r="AO370" i="19"/>
  <c r="BH370" i="19" s="1"/>
  <c r="AD370" i="19" s="1"/>
  <c r="AP370" i="19"/>
  <c r="J370" i="19" s="1"/>
  <c r="AX370" i="19"/>
  <c r="BD370" i="19"/>
  <c r="BF370" i="19"/>
  <c r="BI370" i="19"/>
  <c r="AE370" i="19" s="1"/>
  <c r="BJ370" i="19"/>
  <c r="K371" i="19"/>
  <c r="Z371" i="19"/>
  <c r="AB371" i="19"/>
  <c r="AC371" i="19"/>
  <c r="AF371" i="19"/>
  <c r="AG371" i="19"/>
  <c r="AH371" i="19"/>
  <c r="AJ371" i="19"/>
  <c r="AK371" i="19"/>
  <c r="AL371" i="19"/>
  <c r="AO371" i="19"/>
  <c r="I371" i="19" s="1"/>
  <c r="AP371" i="19"/>
  <c r="AX371" i="19" s="1"/>
  <c r="BD371" i="19"/>
  <c r="BF371" i="19"/>
  <c r="BH371" i="19"/>
  <c r="AD371" i="19" s="1"/>
  <c r="BJ371" i="19"/>
  <c r="K372" i="19"/>
  <c r="Z372" i="19"/>
  <c r="AB372" i="19"/>
  <c r="AC372" i="19"/>
  <c r="AF372" i="19"/>
  <c r="AG372" i="19"/>
  <c r="AH372" i="19"/>
  <c r="AJ372" i="19"/>
  <c r="AK372" i="19"/>
  <c r="AL372" i="19"/>
  <c r="AO372" i="19"/>
  <c r="AP372" i="19"/>
  <c r="BD372" i="19"/>
  <c r="BF372" i="19"/>
  <c r="BJ372" i="19"/>
  <c r="K373" i="19"/>
  <c r="AK373" i="19" s="1"/>
  <c r="Z373" i="19"/>
  <c r="AB373" i="19"/>
  <c r="AC373" i="19"/>
  <c r="AF373" i="19"/>
  <c r="AG373" i="19"/>
  <c r="AH373" i="19"/>
  <c r="AJ373" i="19"/>
  <c r="AL373" i="19"/>
  <c r="AO373" i="19"/>
  <c r="I373" i="19" s="1"/>
  <c r="AP373" i="19"/>
  <c r="BD373" i="19"/>
  <c r="BF373" i="19"/>
  <c r="BH373" i="19"/>
  <c r="AD373" i="19" s="1"/>
  <c r="BI373" i="19"/>
  <c r="AE373" i="19" s="1"/>
  <c r="BJ373" i="19"/>
  <c r="K374" i="19"/>
  <c r="AK374" i="19" s="1"/>
  <c r="Z374" i="19"/>
  <c r="AB374" i="19"/>
  <c r="AC374" i="19"/>
  <c r="AF374" i="19"/>
  <c r="AG374" i="19"/>
  <c r="AH374" i="19"/>
  <c r="AJ374" i="19"/>
  <c r="AL374" i="19"/>
  <c r="AO374" i="19"/>
  <c r="BH374" i="19" s="1"/>
  <c r="AD374" i="19" s="1"/>
  <c r="AP374" i="19"/>
  <c r="BD374" i="19"/>
  <c r="BF374" i="19"/>
  <c r="BI374" i="19"/>
  <c r="AE374" i="19" s="1"/>
  <c r="BJ374" i="19"/>
  <c r="K375" i="19"/>
  <c r="Z375" i="19"/>
  <c r="AB375" i="19"/>
  <c r="AC375" i="19"/>
  <c r="AF375" i="19"/>
  <c r="AG375" i="19"/>
  <c r="AH375" i="19"/>
  <c r="AJ375" i="19"/>
  <c r="AK375" i="19"/>
  <c r="AL375" i="19"/>
  <c r="AO375" i="19"/>
  <c r="AP375" i="19"/>
  <c r="AX375" i="19" s="1"/>
  <c r="BD375" i="19"/>
  <c r="BF375" i="19"/>
  <c r="BJ375" i="19"/>
  <c r="K376" i="19"/>
  <c r="Z376" i="19"/>
  <c r="AB376" i="19"/>
  <c r="AC376" i="19"/>
  <c r="AF376" i="19"/>
  <c r="AG376" i="19"/>
  <c r="AH376" i="19"/>
  <c r="AJ376" i="19"/>
  <c r="AK376" i="19"/>
  <c r="AL376" i="19"/>
  <c r="AO376" i="19"/>
  <c r="AP376" i="19"/>
  <c r="J376" i="19" s="1"/>
  <c r="BD376" i="19"/>
  <c r="BF376" i="19"/>
  <c r="BI376" i="19"/>
  <c r="AE376" i="19" s="1"/>
  <c r="BJ376" i="19"/>
  <c r="K377" i="19"/>
  <c r="Z377" i="19"/>
  <c r="AB377" i="19"/>
  <c r="AC377" i="19"/>
  <c r="AF377" i="19"/>
  <c r="AG377" i="19"/>
  <c r="AH377" i="19"/>
  <c r="AJ377" i="19"/>
  <c r="AK377" i="19"/>
  <c r="AL377" i="19"/>
  <c r="AO377" i="19"/>
  <c r="I377" i="19" s="1"/>
  <c r="AP377" i="19"/>
  <c r="AW377" i="19"/>
  <c r="BD377" i="19"/>
  <c r="BF377" i="19"/>
  <c r="BH377" i="19"/>
  <c r="AD377" i="19" s="1"/>
  <c r="BJ377" i="19"/>
  <c r="K378" i="19"/>
  <c r="AK378" i="19" s="1"/>
  <c r="Z378" i="19"/>
  <c r="AB378" i="19"/>
  <c r="AC378" i="19"/>
  <c r="AF378" i="19"/>
  <c r="AG378" i="19"/>
  <c r="AH378" i="19"/>
  <c r="AJ378" i="19"/>
  <c r="AL378" i="19"/>
  <c r="AO378" i="19"/>
  <c r="BH378" i="19" s="1"/>
  <c r="AD378" i="19" s="1"/>
  <c r="AP378" i="19"/>
  <c r="J378" i="19" s="1"/>
  <c r="AX378" i="19"/>
  <c r="BD378" i="19"/>
  <c r="BF378" i="19"/>
  <c r="BI378" i="19"/>
  <c r="AE378" i="19" s="1"/>
  <c r="BJ378" i="19"/>
  <c r="K379" i="19"/>
  <c r="Z379" i="19"/>
  <c r="AB379" i="19"/>
  <c r="AC379" i="19"/>
  <c r="AF379" i="19"/>
  <c r="AG379" i="19"/>
  <c r="AH379" i="19"/>
  <c r="AJ379" i="19"/>
  <c r="AK379" i="19"/>
  <c r="AL379" i="19"/>
  <c r="AO379" i="19"/>
  <c r="I379" i="19" s="1"/>
  <c r="AP379" i="19"/>
  <c r="AX379" i="19" s="1"/>
  <c r="BD379" i="19"/>
  <c r="BF379" i="19"/>
  <c r="BH379" i="19"/>
  <c r="AD379" i="19" s="1"/>
  <c r="BJ379" i="19"/>
  <c r="K380" i="19"/>
  <c r="Z380" i="19"/>
  <c r="AB380" i="19"/>
  <c r="AC380" i="19"/>
  <c r="AF380" i="19"/>
  <c r="AG380" i="19"/>
  <c r="AH380" i="19"/>
  <c r="AJ380" i="19"/>
  <c r="AK380" i="19"/>
  <c r="AL380" i="19"/>
  <c r="AO380" i="19"/>
  <c r="AP380" i="19"/>
  <c r="J380" i="19" s="1"/>
  <c r="BD380" i="19"/>
  <c r="BF380" i="19"/>
  <c r="BH380" i="19"/>
  <c r="AD380" i="19" s="1"/>
  <c r="BI380" i="19"/>
  <c r="AE380" i="19" s="1"/>
  <c r="BJ380" i="19"/>
  <c r="K381" i="19"/>
  <c r="Z381" i="19"/>
  <c r="AB381" i="19"/>
  <c r="AC381" i="19"/>
  <c r="AF381" i="19"/>
  <c r="AG381" i="19"/>
  <c r="AH381" i="19"/>
  <c r="AJ381" i="19"/>
  <c r="AK381" i="19"/>
  <c r="AL381" i="19"/>
  <c r="AO381" i="19"/>
  <c r="AP381" i="19"/>
  <c r="BD381" i="19"/>
  <c r="BF381" i="19"/>
  <c r="BJ381" i="19"/>
  <c r="K382" i="19"/>
  <c r="AK382" i="19" s="1"/>
  <c r="Z382" i="19"/>
  <c r="AB382" i="19"/>
  <c r="AC382" i="19"/>
  <c r="AF382" i="19"/>
  <c r="AG382" i="19"/>
  <c r="AH382" i="19"/>
  <c r="AJ382" i="19"/>
  <c r="AL382" i="19"/>
  <c r="AO382" i="19"/>
  <c r="BH382" i="19" s="1"/>
  <c r="AD382" i="19" s="1"/>
  <c r="AP382" i="19"/>
  <c r="J382" i="19" s="1"/>
  <c r="BD382" i="19"/>
  <c r="BF382" i="19"/>
  <c r="BI382" i="19"/>
  <c r="AE382" i="19" s="1"/>
  <c r="BJ382" i="19"/>
  <c r="K383" i="19"/>
  <c r="Z383" i="19"/>
  <c r="AB383" i="19"/>
  <c r="AC383" i="19"/>
  <c r="AF383" i="19"/>
  <c r="AG383" i="19"/>
  <c r="AH383" i="19"/>
  <c r="AJ383" i="19"/>
  <c r="AK383" i="19"/>
  <c r="AL383" i="19"/>
  <c r="AO383" i="19"/>
  <c r="I383" i="19" s="1"/>
  <c r="AP383" i="19"/>
  <c r="AX383" i="19" s="1"/>
  <c r="AW383" i="19"/>
  <c r="BD383" i="19"/>
  <c r="BF383" i="19"/>
  <c r="BH383" i="19"/>
  <c r="AD383" i="19" s="1"/>
  <c r="BJ383" i="19"/>
  <c r="K384" i="19"/>
  <c r="Z384" i="19"/>
  <c r="AB384" i="19"/>
  <c r="AC384" i="19"/>
  <c r="AF384" i="19"/>
  <c r="AG384" i="19"/>
  <c r="AH384" i="19"/>
  <c r="AJ384" i="19"/>
  <c r="AK384" i="19"/>
  <c r="AL384" i="19"/>
  <c r="AO384" i="19"/>
  <c r="AP384" i="19"/>
  <c r="BD384" i="19"/>
  <c r="BF384" i="19"/>
  <c r="BJ384" i="19"/>
  <c r="K385" i="19"/>
  <c r="Z385" i="19"/>
  <c r="AB385" i="19"/>
  <c r="AC385" i="19"/>
  <c r="AF385" i="19"/>
  <c r="AG385" i="19"/>
  <c r="AH385" i="19"/>
  <c r="AJ385" i="19"/>
  <c r="AK385" i="19"/>
  <c r="AL385" i="19"/>
  <c r="AO385" i="19"/>
  <c r="I385" i="19" s="1"/>
  <c r="AP385" i="19"/>
  <c r="BI385" i="19" s="1"/>
  <c r="AE385" i="19" s="1"/>
  <c r="BD385" i="19"/>
  <c r="BF385" i="19"/>
  <c r="BJ385" i="19"/>
  <c r="K386" i="19"/>
  <c r="AK386" i="19" s="1"/>
  <c r="Z386" i="19"/>
  <c r="AB386" i="19"/>
  <c r="AC386" i="19"/>
  <c r="AF386" i="19"/>
  <c r="AG386" i="19"/>
  <c r="AH386" i="19"/>
  <c r="AJ386" i="19"/>
  <c r="AL386" i="19"/>
  <c r="AO386" i="19"/>
  <c r="AP386" i="19"/>
  <c r="BD386" i="19"/>
  <c r="BF386" i="19"/>
  <c r="BH386" i="19"/>
  <c r="AD386" i="19" s="1"/>
  <c r="BJ386" i="19"/>
  <c r="K387" i="19"/>
  <c r="Z387" i="19"/>
  <c r="AB387" i="19"/>
  <c r="AC387" i="19"/>
  <c r="AF387" i="19"/>
  <c r="AG387" i="19"/>
  <c r="AH387" i="19"/>
  <c r="AJ387" i="19"/>
  <c r="AK387" i="19"/>
  <c r="AL387" i="19"/>
  <c r="AO387" i="19"/>
  <c r="I387" i="19" s="1"/>
  <c r="AP387" i="19"/>
  <c r="BD387" i="19"/>
  <c r="BF387" i="19"/>
  <c r="BJ387" i="19"/>
  <c r="K388" i="19"/>
  <c r="Z388" i="19"/>
  <c r="AB388" i="19"/>
  <c r="AC388" i="19"/>
  <c r="AF388" i="19"/>
  <c r="AG388" i="19"/>
  <c r="AH388" i="19"/>
  <c r="AJ388" i="19"/>
  <c r="AK388" i="19"/>
  <c r="AL388" i="19"/>
  <c r="AO388" i="19"/>
  <c r="AW388" i="19" s="1"/>
  <c r="AP388" i="19"/>
  <c r="J388" i="19" s="1"/>
  <c r="AX388" i="19"/>
  <c r="BD388" i="19"/>
  <c r="BF388" i="19"/>
  <c r="BH388" i="19"/>
  <c r="AD388" i="19" s="1"/>
  <c r="BI388" i="19"/>
  <c r="AE388" i="19" s="1"/>
  <c r="BJ388" i="19"/>
  <c r="K389" i="19"/>
  <c r="Z389" i="19"/>
  <c r="AB389" i="19"/>
  <c r="AC389" i="19"/>
  <c r="AF389" i="19"/>
  <c r="AG389" i="19"/>
  <c r="AH389" i="19"/>
  <c r="AJ389" i="19"/>
  <c r="AK389" i="19"/>
  <c r="AL389" i="19"/>
  <c r="AO389" i="19"/>
  <c r="I389" i="19" s="1"/>
  <c r="AP389" i="19"/>
  <c r="BD389" i="19"/>
  <c r="BF389" i="19"/>
  <c r="BH389" i="19"/>
  <c r="AD389" i="19" s="1"/>
  <c r="BI389" i="19"/>
  <c r="AE389" i="19" s="1"/>
  <c r="BJ389" i="19"/>
  <c r="K390" i="19"/>
  <c r="AK390" i="19" s="1"/>
  <c r="Z390" i="19"/>
  <c r="AB390" i="19"/>
  <c r="AC390" i="19"/>
  <c r="AF390" i="19"/>
  <c r="AG390" i="19"/>
  <c r="AH390" i="19"/>
  <c r="AJ390" i="19"/>
  <c r="AL390" i="19"/>
  <c r="AO390" i="19"/>
  <c r="BH390" i="19" s="1"/>
  <c r="AD390" i="19" s="1"/>
  <c r="AP390" i="19"/>
  <c r="J390" i="19" s="1"/>
  <c r="BD390" i="19"/>
  <c r="BF390" i="19"/>
  <c r="BI390" i="19"/>
  <c r="AE390" i="19" s="1"/>
  <c r="BJ390" i="19"/>
  <c r="K392" i="19"/>
  <c r="Z392" i="19"/>
  <c r="AB392" i="19"/>
  <c r="AC392" i="19"/>
  <c r="AF392" i="19"/>
  <c r="AG392" i="19"/>
  <c r="AH392" i="19"/>
  <c r="AJ392" i="19"/>
  <c r="AK392" i="19"/>
  <c r="AL392" i="19"/>
  <c r="AO392" i="19"/>
  <c r="I392" i="19" s="1"/>
  <c r="AP392" i="19"/>
  <c r="BD392" i="19"/>
  <c r="BF392" i="19"/>
  <c r="BH392" i="19"/>
  <c r="AD392" i="19" s="1"/>
  <c r="BJ392" i="19"/>
  <c r="K393" i="19"/>
  <c r="AK393" i="19" s="1"/>
  <c r="Z393" i="19"/>
  <c r="AB393" i="19"/>
  <c r="AC393" i="19"/>
  <c r="AF393" i="19"/>
  <c r="AG393" i="19"/>
  <c r="AH393" i="19"/>
  <c r="AJ393" i="19"/>
  <c r="AL393" i="19"/>
  <c r="AO393" i="19"/>
  <c r="BH393" i="19" s="1"/>
  <c r="AD393" i="19" s="1"/>
  <c r="AP393" i="19"/>
  <c r="J393" i="19" s="1"/>
  <c r="AX393" i="19"/>
  <c r="BD393" i="19"/>
  <c r="BF393" i="19"/>
  <c r="BI393" i="19"/>
  <c r="AE393" i="19" s="1"/>
  <c r="BJ393" i="19"/>
  <c r="K394" i="19"/>
  <c r="Z394" i="19"/>
  <c r="AB394" i="19"/>
  <c r="AC394" i="19"/>
  <c r="AF394" i="19"/>
  <c r="AG394" i="19"/>
  <c r="AH394" i="19"/>
  <c r="AJ394" i="19"/>
  <c r="AK394" i="19"/>
  <c r="AL394" i="19"/>
  <c r="AO394" i="19"/>
  <c r="I394" i="19" s="1"/>
  <c r="AP394" i="19"/>
  <c r="BD394" i="19"/>
  <c r="BF394" i="19"/>
  <c r="BH394" i="19"/>
  <c r="AD394" i="19" s="1"/>
  <c r="BJ394" i="19"/>
  <c r="K395" i="19"/>
  <c r="Z395" i="19"/>
  <c r="AB395" i="19"/>
  <c r="AC395" i="19"/>
  <c r="AF395" i="19"/>
  <c r="AG395" i="19"/>
  <c r="AH395" i="19"/>
  <c r="AJ395" i="19"/>
  <c r="AK395" i="19"/>
  <c r="AL395" i="19"/>
  <c r="AO395" i="19"/>
  <c r="AP395" i="19"/>
  <c r="BD395" i="19"/>
  <c r="BF395" i="19"/>
  <c r="BJ395" i="19"/>
  <c r="K396" i="19"/>
  <c r="Z396" i="19"/>
  <c r="AB396" i="19"/>
  <c r="AC396" i="19"/>
  <c r="AF396" i="19"/>
  <c r="AG396" i="19"/>
  <c r="AH396" i="19"/>
  <c r="AJ396" i="19"/>
  <c r="AK396" i="19"/>
  <c r="AL396" i="19"/>
  <c r="AO396" i="19"/>
  <c r="AP396" i="19"/>
  <c r="BI396" i="19" s="1"/>
  <c r="AE396" i="19" s="1"/>
  <c r="BD396" i="19"/>
  <c r="BF396" i="19"/>
  <c r="BJ396" i="19"/>
  <c r="K397" i="19"/>
  <c r="AK397" i="19" s="1"/>
  <c r="Z397" i="19"/>
  <c r="AB397" i="19"/>
  <c r="AC397" i="19"/>
  <c r="AF397" i="19"/>
  <c r="AG397" i="19"/>
  <c r="AH397" i="19"/>
  <c r="AJ397" i="19"/>
  <c r="AL397" i="19"/>
  <c r="AO397" i="19"/>
  <c r="AP397" i="19"/>
  <c r="J397" i="19" s="1"/>
  <c r="BD397" i="19"/>
  <c r="BF397" i="19"/>
  <c r="BI397" i="19"/>
  <c r="AE397" i="19" s="1"/>
  <c r="BJ397" i="19"/>
  <c r="K398" i="19"/>
  <c r="Z398" i="19"/>
  <c r="AB398" i="19"/>
  <c r="AC398" i="19"/>
  <c r="AF398" i="19"/>
  <c r="AG398" i="19"/>
  <c r="AH398" i="19"/>
  <c r="AJ398" i="19"/>
  <c r="AK398" i="19"/>
  <c r="AL398" i="19"/>
  <c r="AO398" i="19"/>
  <c r="AP398" i="19"/>
  <c r="AX398" i="19" s="1"/>
  <c r="BD398" i="19"/>
  <c r="BF398" i="19"/>
  <c r="BJ398" i="19"/>
  <c r="K399" i="19"/>
  <c r="Z399" i="19"/>
  <c r="AB399" i="19"/>
  <c r="AC399" i="19"/>
  <c r="AF399" i="19"/>
  <c r="AG399" i="19"/>
  <c r="AH399" i="19"/>
  <c r="AJ399" i="19"/>
  <c r="AK399" i="19"/>
  <c r="AL399" i="19"/>
  <c r="AO399" i="19"/>
  <c r="AW399" i="19" s="1"/>
  <c r="AP399" i="19"/>
  <c r="J399" i="19" s="1"/>
  <c r="BD399" i="19"/>
  <c r="BF399" i="19"/>
  <c r="BH399" i="19"/>
  <c r="AD399" i="19" s="1"/>
  <c r="BI399" i="19"/>
  <c r="AE399" i="19" s="1"/>
  <c r="BJ399" i="19"/>
  <c r="K400" i="19"/>
  <c r="Z400" i="19"/>
  <c r="AB400" i="19"/>
  <c r="AC400" i="19"/>
  <c r="AF400" i="19"/>
  <c r="AG400" i="19"/>
  <c r="AH400" i="19"/>
  <c r="AJ400" i="19"/>
  <c r="AK400" i="19"/>
  <c r="AL400" i="19"/>
  <c r="AO400" i="19"/>
  <c r="I400" i="19" s="1"/>
  <c r="AP400" i="19"/>
  <c r="BI400" i="19" s="1"/>
  <c r="AE400" i="19" s="1"/>
  <c r="BD400" i="19"/>
  <c r="BF400" i="19"/>
  <c r="BJ400" i="19"/>
  <c r="K401" i="19"/>
  <c r="AK401" i="19" s="1"/>
  <c r="Z401" i="19"/>
  <c r="AB401" i="19"/>
  <c r="AC401" i="19"/>
  <c r="AF401" i="19"/>
  <c r="AG401" i="19"/>
  <c r="AH401" i="19"/>
  <c r="AJ401" i="19"/>
  <c r="AL401" i="19"/>
  <c r="AO401" i="19"/>
  <c r="BH401" i="19" s="1"/>
  <c r="AD401" i="19" s="1"/>
  <c r="AP401" i="19"/>
  <c r="J401" i="19" s="1"/>
  <c r="BD401" i="19"/>
  <c r="BF401" i="19"/>
  <c r="BJ401" i="19"/>
  <c r="K402" i="19"/>
  <c r="Z402" i="19"/>
  <c r="AB402" i="19"/>
  <c r="AC402" i="19"/>
  <c r="AF402" i="19"/>
  <c r="AG402" i="19"/>
  <c r="AH402" i="19"/>
  <c r="AJ402" i="19"/>
  <c r="AK402" i="19"/>
  <c r="AL402" i="19"/>
  <c r="AO402" i="19"/>
  <c r="I402" i="19" s="1"/>
  <c r="AP402" i="19"/>
  <c r="BD402" i="19"/>
  <c r="BF402" i="19"/>
  <c r="BH402" i="19"/>
  <c r="AD402" i="19" s="1"/>
  <c r="BJ402" i="19"/>
  <c r="K403" i="19"/>
  <c r="AK403" i="19" s="1"/>
  <c r="AB403" i="19"/>
  <c r="AC403" i="19"/>
  <c r="AD403" i="19"/>
  <c r="AE403" i="19"/>
  <c r="AF403" i="19"/>
  <c r="AG403" i="19"/>
  <c r="AH403" i="19"/>
  <c r="AJ403" i="19"/>
  <c r="AL403" i="19"/>
  <c r="AO403" i="19"/>
  <c r="I403" i="19" s="1"/>
  <c r="AP403" i="19"/>
  <c r="J403" i="19" s="1"/>
  <c r="BD403" i="19"/>
  <c r="BF403" i="19"/>
  <c r="BJ403" i="19"/>
  <c r="Z403" i="19" s="1"/>
  <c r="K405" i="19"/>
  <c r="Z405" i="19"/>
  <c r="AB405" i="19"/>
  <c r="AC405" i="19"/>
  <c r="AF405" i="19"/>
  <c r="AG405" i="19"/>
  <c r="AH405" i="19"/>
  <c r="AJ405" i="19"/>
  <c r="AK405" i="19"/>
  <c r="AL405" i="19"/>
  <c r="AO405" i="19"/>
  <c r="AP405" i="19"/>
  <c r="BD405" i="19"/>
  <c r="BF405" i="19"/>
  <c r="BI405" i="19"/>
  <c r="AE405" i="19" s="1"/>
  <c r="BJ405" i="19"/>
  <c r="K406" i="19"/>
  <c r="Z406" i="19"/>
  <c r="AB406" i="19"/>
  <c r="AC406" i="19"/>
  <c r="AF406" i="19"/>
  <c r="AG406" i="19"/>
  <c r="AH406" i="19"/>
  <c r="AJ406" i="19"/>
  <c r="AK406" i="19"/>
  <c r="AL406" i="19"/>
  <c r="AO406" i="19"/>
  <c r="AP406" i="19"/>
  <c r="J406" i="19" s="1"/>
  <c r="BD406" i="19"/>
  <c r="BF406" i="19"/>
  <c r="BJ406" i="19"/>
  <c r="K407" i="19"/>
  <c r="Z407" i="19"/>
  <c r="AB407" i="19"/>
  <c r="AC407" i="19"/>
  <c r="AF407" i="19"/>
  <c r="AG407" i="19"/>
  <c r="AH407" i="19"/>
  <c r="AJ407" i="19"/>
  <c r="AK407" i="19"/>
  <c r="AL407" i="19"/>
  <c r="AO407" i="19"/>
  <c r="I407" i="19" s="1"/>
  <c r="AP407" i="19"/>
  <c r="BD407" i="19"/>
  <c r="BF407" i="19"/>
  <c r="BH407" i="19"/>
  <c r="AD407" i="19" s="1"/>
  <c r="BI407" i="19"/>
  <c r="AE407" i="19" s="1"/>
  <c r="BJ407" i="19"/>
  <c r="K408" i="19"/>
  <c r="AK408" i="19" s="1"/>
  <c r="Z408" i="19"/>
  <c r="AB408" i="19"/>
  <c r="AC408" i="19"/>
  <c r="AF408" i="19"/>
  <c r="AG408" i="19"/>
  <c r="AH408" i="19"/>
  <c r="AJ408" i="19"/>
  <c r="AL408" i="19"/>
  <c r="AO408" i="19"/>
  <c r="AP408" i="19"/>
  <c r="BD408" i="19"/>
  <c r="BF408" i="19"/>
  <c r="BH408" i="19"/>
  <c r="AD408" i="19" s="1"/>
  <c r="BJ408" i="19"/>
  <c r="K409" i="19"/>
  <c r="Z409" i="19"/>
  <c r="AB409" i="19"/>
  <c r="AC409" i="19"/>
  <c r="AF409" i="19"/>
  <c r="AG409" i="19"/>
  <c r="AH409" i="19"/>
  <c r="AJ409" i="19"/>
  <c r="AK409" i="19"/>
  <c r="AL409" i="19"/>
  <c r="AO409" i="19"/>
  <c r="I409" i="19" s="1"/>
  <c r="AP409" i="19"/>
  <c r="AW409" i="19"/>
  <c r="BD409" i="19"/>
  <c r="BF409" i="19"/>
  <c r="BH409" i="19"/>
  <c r="AD409" i="19" s="1"/>
  <c r="BJ409" i="19"/>
  <c r="K410" i="19"/>
  <c r="Z410" i="19"/>
  <c r="AB410" i="19"/>
  <c r="AC410" i="19"/>
  <c r="AF410" i="19"/>
  <c r="AG410" i="19"/>
  <c r="AH410" i="19"/>
  <c r="AJ410" i="19"/>
  <c r="AK410" i="19"/>
  <c r="AL410" i="19"/>
  <c r="AO410" i="19"/>
  <c r="I410" i="19" s="1"/>
  <c r="AP410" i="19"/>
  <c r="J410" i="19" s="1"/>
  <c r="BD410" i="19"/>
  <c r="BF410" i="19"/>
  <c r="BI410" i="19"/>
  <c r="AE410" i="19" s="1"/>
  <c r="BJ410" i="19"/>
  <c r="K411" i="19"/>
  <c r="Z411" i="19"/>
  <c r="AB411" i="19"/>
  <c r="AC411" i="19"/>
  <c r="AF411" i="19"/>
  <c r="AG411" i="19"/>
  <c r="AH411" i="19"/>
  <c r="AJ411" i="19"/>
  <c r="AK411" i="19"/>
  <c r="AL411" i="19"/>
  <c r="AO411" i="19"/>
  <c r="I411" i="19" s="1"/>
  <c r="AP411" i="19"/>
  <c r="BI411" i="19" s="1"/>
  <c r="AE411" i="19" s="1"/>
  <c r="BD411" i="19"/>
  <c r="BF411" i="19"/>
  <c r="BJ411" i="19"/>
  <c r="K412" i="19"/>
  <c r="AK412" i="19" s="1"/>
  <c r="Z412" i="19"/>
  <c r="AB412" i="19"/>
  <c r="AC412" i="19"/>
  <c r="AF412" i="19"/>
  <c r="AG412" i="19"/>
  <c r="AH412" i="19"/>
  <c r="AJ412" i="19"/>
  <c r="AL412" i="19"/>
  <c r="AO412" i="19"/>
  <c r="BH412" i="19" s="1"/>
  <c r="AD412" i="19" s="1"/>
  <c r="AP412" i="19"/>
  <c r="BD412" i="19"/>
  <c r="BF412" i="19"/>
  <c r="BJ412" i="19"/>
  <c r="K413" i="19"/>
  <c r="Z413" i="19"/>
  <c r="AB413" i="19"/>
  <c r="AC413" i="19"/>
  <c r="AF413" i="19"/>
  <c r="AG413" i="19"/>
  <c r="AH413" i="19"/>
  <c r="AJ413" i="19"/>
  <c r="AK413" i="19"/>
  <c r="AL413" i="19"/>
  <c r="AO413" i="19"/>
  <c r="I413" i="19" s="1"/>
  <c r="AP413" i="19"/>
  <c r="BD413" i="19"/>
  <c r="BF413" i="19"/>
  <c r="BH413" i="19"/>
  <c r="AD413" i="19" s="1"/>
  <c r="BJ413" i="19"/>
  <c r="K414" i="19"/>
  <c r="Z414" i="19"/>
  <c r="AB414" i="19"/>
  <c r="AC414" i="19"/>
  <c r="AF414" i="19"/>
  <c r="AG414" i="19"/>
  <c r="AH414" i="19"/>
  <c r="AJ414" i="19"/>
  <c r="AK414" i="19"/>
  <c r="AL414" i="19"/>
  <c r="AO414" i="19"/>
  <c r="I414" i="19" s="1"/>
  <c r="AP414" i="19"/>
  <c r="J414" i="19" s="1"/>
  <c r="BD414" i="19"/>
  <c r="BF414" i="19"/>
  <c r="BH414" i="19"/>
  <c r="AD414" i="19" s="1"/>
  <c r="BJ414" i="19"/>
  <c r="K415" i="19"/>
  <c r="Z415" i="19"/>
  <c r="AB415" i="19"/>
  <c r="AC415" i="19"/>
  <c r="AF415" i="19"/>
  <c r="AG415" i="19"/>
  <c r="AH415" i="19"/>
  <c r="AJ415" i="19"/>
  <c r="AK415" i="19"/>
  <c r="AL415" i="19"/>
  <c r="AO415" i="19"/>
  <c r="AP415" i="19"/>
  <c r="BD415" i="19"/>
  <c r="BF415" i="19"/>
  <c r="BJ415" i="19"/>
  <c r="K416" i="19"/>
  <c r="AK416" i="19" s="1"/>
  <c r="Z416" i="19"/>
  <c r="AB416" i="19"/>
  <c r="AC416" i="19"/>
  <c r="AF416" i="19"/>
  <c r="AG416" i="19"/>
  <c r="AH416" i="19"/>
  <c r="AJ416" i="19"/>
  <c r="AL416" i="19"/>
  <c r="AO416" i="19"/>
  <c r="BH416" i="19" s="1"/>
  <c r="AD416" i="19" s="1"/>
  <c r="AP416" i="19"/>
  <c r="BD416" i="19"/>
  <c r="BF416" i="19"/>
  <c r="BJ416" i="19"/>
  <c r="K417" i="19"/>
  <c r="Z417" i="19"/>
  <c r="AB417" i="19"/>
  <c r="AC417" i="19"/>
  <c r="AF417" i="19"/>
  <c r="AG417" i="19"/>
  <c r="AH417" i="19"/>
  <c r="AJ417" i="19"/>
  <c r="AK417" i="19"/>
  <c r="AL417" i="19"/>
  <c r="AO417" i="19"/>
  <c r="AP417" i="19"/>
  <c r="BD417" i="19"/>
  <c r="BF417" i="19"/>
  <c r="BJ417" i="19"/>
  <c r="K418" i="19"/>
  <c r="Z418" i="19"/>
  <c r="AB418" i="19"/>
  <c r="AC418" i="19"/>
  <c r="AF418" i="19"/>
  <c r="AG418" i="19"/>
  <c r="AH418" i="19"/>
  <c r="AJ418" i="19"/>
  <c r="AK418" i="19"/>
  <c r="AL418" i="19"/>
  <c r="AO418" i="19"/>
  <c r="I418" i="19" s="1"/>
  <c r="AP418" i="19"/>
  <c r="BD418" i="19"/>
  <c r="BF418" i="19"/>
  <c r="BJ418" i="19"/>
  <c r="K419" i="19"/>
  <c r="Z419" i="19"/>
  <c r="AB419" i="19"/>
  <c r="AC419" i="19"/>
  <c r="AF419" i="19"/>
  <c r="AG419" i="19"/>
  <c r="AH419" i="19"/>
  <c r="AJ419" i="19"/>
  <c r="AK419" i="19"/>
  <c r="AL419" i="19"/>
  <c r="AO419" i="19"/>
  <c r="I419" i="19" s="1"/>
  <c r="AP419" i="19"/>
  <c r="BD419" i="19"/>
  <c r="BF419" i="19"/>
  <c r="BH419" i="19"/>
  <c r="AD419" i="19" s="1"/>
  <c r="BJ419" i="19"/>
  <c r="K420" i="19"/>
  <c r="AK420" i="19" s="1"/>
  <c r="Z420" i="19"/>
  <c r="AB420" i="19"/>
  <c r="AC420" i="19"/>
  <c r="AF420" i="19"/>
  <c r="AG420" i="19"/>
  <c r="AH420" i="19"/>
  <c r="AJ420" i="19"/>
  <c r="AL420" i="19"/>
  <c r="AO420" i="19"/>
  <c r="BH420" i="19" s="1"/>
  <c r="AD420" i="19" s="1"/>
  <c r="AP420" i="19"/>
  <c r="BI420" i="19" s="1"/>
  <c r="AE420" i="19" s="1"/>
  <c r="BD420" i="19"/>
  <c r="BF420" i="19"/>
  <c r="BJ420" i="19"/>
  <c r="K421" i="19"/>
  <c r="Z421" i="19"/>
  <c r="AB421" i="19"/>
  <c r="AC421" i="19"/>
  <c r="AF421" i="19"/>
  <c r="AG421" i="19"/>
  <c r="AH421" i="19"/>
  <c r="AJ421" i="19"/>
  <c r="AK421" i="19"/>
  <c r="AL421" i="19"/>
  <c r="AO421" i="19"/>
  <c r="AP421" i="19"/>
  <c r="BD421" i="19"/>
  <c r="BF421" i="19"/>
  <c r="BJ421" i="19"/>
  <c r="K422" i="19"/>
  <c r="Z422" i="19"/>
  <c r="AB422" i="19"/>
  <c r="AC422" i="19"/>
  <c r="AF422" i="19"/>
  <c r="AG422" i="19"/>
  <c r="AH422" i="19"/>
  <c r="AJ422" i="19"/>
  <c r="AK422" i="19"/>
  <c r="AL422" i="19"/>
  <c r="AO422" i="19"/>
  <c r="I422" i="19" s="1"/>
  <c r="AP422" i="19"/>
  <c r="AW422" i="19"/>
  <c r="BD422" i="19"/>
  <c r="BF422" i="19"/>
  <c r="BH422" i="19"/>
  <c r="AD422" i="19" s="1"/>
  <c r="BI422" i="19"/>
  <c r="AE422" i="19" s="1"/>
  <c r="BJ422" i="19"/>
  <c r="K423" i="19"/>
  <c r="Z423" i="19"/>
  <c r="AB423" i="19"/>
  <c r="AC423" i="19"/>
  <c r="AF423" i="19"/>
  <c r="AG423" i="19"/>
  <c r="AH423" i="19"/>
  <c r="AJ423" i="19"/>
  <c r="AK423" i="19"/>
  <c r="AL423" i="19"/>
  <c r="AO423" i="19"/>
  <c r="I423" i="19" s="1"/>
  <c r="AP423" i="19"/>
  <c r="BI423" i="19" s="1"/>
  <c r="AE423" i="19" s="1"/>
  <c r="BD423" i="19"/>
  <c r="BF423" i="19"/>
  <c r="BJ423" i="19"/>
  <c r="K424" i="19"/>
  <c r="AK424" i="19" s="1"/>
  <c r="AB424" i="19"/>
  <c r="AC424" i="19"/>
  <c r="AD424" i="19"/>
  <c r="AE424" i="19"/>
  <c r="AF424" i="19"/>
  <c r="AG424" i="19"/>
  <c r="AH424" i="19"/>
  <c r="AJ424" i="19"/>
  <c r="AL424" i="19"/>
  <c r="AO424" i="19"/>
  <c r="AP424" i="19"/>
  <c r="BD424" i="19"/>
  <c r="BF424" i="19"/>
  <c r="BJ424" i="19"/>
  <c r="Z424" i="19" s="1"/>
  <c r="K426" i="19"/>
  <c r="Z426" i="19"/>
  <c r="AB426" i="19"/>
  <c r="AC426" i="19"/>
  <c r="AF426" i="19"/>
  <c r="AG426" i="19"/>
  <c r="AH426" i="19"/>
  <c r="AJ426" i="19"/>
  <c r="AK426" i="19"/>
  <c r="AL426" i="19"/>
  <c r="AO426" i="19"/>
  <c r="AP426" i="19"/>
  <c r="BI426" i="19" s="1"/>
  <c r="AE426" i="19" s="1"/>
  <c r="BD426" i="19"/>
  <c r="BF426" i="19"/>
  <c r="BJ426" i="19"/>
  <c r="K427" i="19"/>
  <c r="AK427" i="19" s="1"/>
  <c r="Z427" i="19"/>
  <c r="AB427" i="19"/>
  <c r="AC427" i="19"/>
  <c r="AF427" i="19"/>
  <c r="AG427" i="19"/>
  <c r="AH427" i="19"/>
  <c r="AJ427" i="19"/>
  <c r="AL427" i="19"/>
  <c r="AO427" i="19"/>
  <c r="AP427" i="19"/>
  <c r="BD427" i="19"/>
  <c r="BF427" i="19"/>
  <c r="BJ427" i="19"/>
  <c r="K428" i="19"/>
  <c r="Z428" i="19"/>
  <c r="AB428" i="19"/>
  <c r="AC428" i="19"/>
  <c r="AF428" i="19"/>
  <c r="AG428" i="19"/>
  <c r="AH428" i="19"/>
  <c r="AJ428" i="19"/>
  <c r="AK428" i="19"/>
  <c r="AL428" i="19"/>
  <c r="AO428" i="19"/>
  <c r="AP428" i="19"/>
  <c r="J428" i="19" s="1"/>
  <c r="BD428" i="19"/>
  <c r="BF428" i="19"/>
  <c r="BI428" i="19"/>
  <c r="AE428" i="19" s="1"/>
  <c r="BJ428" i="19"/>
  <c r="K429" i="19"/>
  <c r="Z429" i="19"/>
  <c r="AB429" i="19"/>
  <c r="AC429" i="19"/>
  <c r="AF429" i="19"/>
  <c r="AG429" i="19"/>
  <c r="AH429" i="19"/>
  <c r="AJ429" i="19"/>
  <c r="AK429" i="19"/>
  <c r="AL429" i="19"/>
  <c r="AO429" i="19"/>
  <c r="AW429" i="19" s="1"/>
  <c r="AP429" i="19"/>
  <c r="J429" i="19" s="1"/>
  <c r="BD429" i="19"/>
  <c r="BF429" i="19"/>
  <c r="BH429" i="19"/>
  <c r="AD429" i="19" s="1"/>
  <c r="BI429" i="19"/>
  <c r="AE429" i="19" s="1"/>
  <c r="BJ429" i="19"/>
  <c r="K430" i="19"/>
  <c r="Z430" i="19"/>
  <c r="AB430" i="19"/>
  <c r="AC430" i="19"/>
  <c r="AF430" i="19"/>
  <c r="AG430" i="19"/>
  <c r="AH430" i="19"/>
  <c r="AJ430" i="19"/>
  <c r="AK430" i="19"/>
  <c r="AL430" i="19"/>
  <c r="AO430" i="19"/>
  <c r="I430" i="19" s="1"/>
  <c r="AP430" i="19"/>
  <c r="BD430" i="19"/>
  <c r="BF430" i="19"/>
  <c r="BH430" i="19"/>
  <c r="AD430" i="19" s="1"/>
  <c r="BJ430" i="19"/>
  <c r="K431" i="19"/>
  <c r="AK431" i="19" s="1"/>
  <c r="Z431" i="19"/>
  <c r="AB431" i="19"/>
  <c r="AC431" i="19"/>
  <c r="AF431" i="19"/>
  <c r="AG431" i="19"/>
  <c r="AH431" i="19"/>
  <c r="AJ431" i="19"/>
  <c r="AL431" i="19"/>
  <c r="AO431" i="19"/>
  <c r="AP431" i="19"/>
  <c r="BD431" i="19"/>
  <c r="BF431" i="19"/>
  <c r="BH431" i="19"/>
  <c r="AD431" i="19" s="1"/>
  <c r="BJ431" i="19"/>
  <c r="K432" i="19"/>
  <c r="Z432" i="19"/>
  <c r="AB432" i="19"/>
  <c r="AC432" i="19"/>
  <c r="AF432" i="19"/>
  <c r="AG432" i="19"/>
  <c r="AH432" i="19"/>
  <c r="AJ432" i="19"/>
  <c r="AK432" i="19"/>
  <c r="AL432" i="19"/>
  <c r="AO432" i="19"/>
  <c r="I432" i="19" s="1"/>
  <c r="AP432" i="19"/>
  <c r="BD432" i="19"/>
  <c r="BF432" i="19"/>
  <c r="BJ432" i="19"/>
  <c r="K433" i="19"/>
  <c r="Z433" i="19"/>
  <c r="AB433" i="19"/>
  <c r="AC433" i="19"/>
  <c r="AF433" i="19"/>
  <c r="AG433" i="19"/>
  <c r="AH433" i="19"/>
  <c r="AJ433" i="19"/>
  <c r="AK433" i="19"/>
  <c r="AL433" i="19"/>
  <c r="AO433" i="19"/>
  <c r="AP433" i="19"/>
  <c r="J433" i="19" s="1"/>
  <c r="BD433" i="19"/>
  <c r="BF433" i="19"/>
  <c r="BI433" i="19"/>
  <c r="AE433" i="19" s="1"/>
  <c r="BJ433" i="19"/>
  <c r="K434" i="19"/>
  <c r="AK434" i="19" s="1"/>
  <c r="AB434" i="19"/>
  <c r="AC434" i="19"/>
  <c r="AD434" i="19"/>
  <c r="AE434" i="19"/>
  <c r="AF434" i="19"/>
  <c r="AG434" i="19"/>
  <c r="AH434" i="19"/>
  <c r="AJ434" i="19"/>
  <c r="AL434" i="19"/>
  <c r="AO434" i="19"/>
  <c r="I434" i="19" s="1"/>
  <c r="AP434" i="19"/>
  <c r="BI434" i="19" s="1"/>
  <c r="AW434" i="19"/>
  <c r="BD434" i="19"/>
  <c r="BF434" i="19"/>
  <c r="BJ434" i="19"/>
  <c r="Z434" i="19" s="1"/>
  <c r="K436" i="19"/>
  <c r="Z436" i="19"/>
  <c r="AB436" i="19"/>
  <c r="AC436" i="19"/>
  <c r="AF436" i="19"/>
  <c r="AG436" i="19"/>
  <c r="AH436" i="19"/>
  <c r="AJ436" i="19"/>
  <c r="AK436" i="19"/>
  <c r="AL436" i="19"/>
  <c r="AO436" i="19"/>
  <c r="AW436" i="19" s="1"/>
  <c r="AP436" i="19"/>
  <c r="BD436" i="19"/>
  <c r="BF436" i="19"/>
  <c r="BH436" i="19"/>
  <c r="AD436" i="19" s="1"/>
  <c r="BJ436" i="19"/>
  <c r="K437" i="19"/>
  <c r="Z437" i="19"/>
  <c r="AB437" i="19"/>
  <c r="AC437" i="19"/>
  <c r="AF437" i="19"/>
  <c r="AG437" i="19"/>
  <c r="AH437" i="19"/>
  <c r="AJ437" i="19"/>
  <c r="AK437" i="19"/>
  <c r="AL437" i="19"/>
  <c r="AO437" i="19"/>
  <c r="I437" i="19" s="1"/>
  <c r="AP437" i="19"/>
  <c r="BD437" i="19"/>
  <c r="BF437" i="19"/>
  <c r="BH437" i="19"/>
  <c r="AD437" i="19" s="1"/>
  <c r="BI437" i="19"/>
  <c r="AE437" i="19" s="1"/>
  <c r="BJ437" i="19"/>
  <c r="K438" i="19"/>
  <c r="AK438" i="19" s="1"/>
  <c r="Z438" i="19"/>
  <c r="AB438" i="19"/>
  <c r="AC438" i="19"/>
  <c r="AF438" i="19"/>
  <c r="AG438" i="19"/>
  <c r="AH438" i="19"/>
  <c r="AJ438" i="19"/>
  <c r="AL438" i="19"/>
  <c r="AO438" i="19"/>
  <c r="AP438" i="19"/>
  <c r="J438" i="19" s="1"/>
  <c r="BD438" i="19"/>
  <c r="BF438" i="19"/>
  <c r="BI438" i="19"/>
  <c r="AE438" i="19" s="1"/>
  <c r="BJ438" i="19"/>
  <c r="K439" i="19"/>
  <c r="Z439" i="19"/>
  <c r="AB439" i="19"/>
  <c r="AC439" i="19"/>
  <c r="AF439" i="19"/>
  <c r="AG439" i="19"/>
  <c r="AH439" i="19"/>
  <c r="AJ439" i="19"/>
  <c r="AK439" i="19"/>
  <c r="AL439" i="19"/>
  <c r="AO439" i="19"/>
  <c r="AP439" i="19"/>
  <c r="J439" i="19" s="1"/>
  <c r="BD439" i="19"/>
  <c r="BF439" i="19"/>
  <c r="BJ439" i="19"/>
  <c r="K440" i="19"/>
  <c r="Z440" i="19"/>
  <c r="AB440" i="19"/>
  <c r="AC440" i="19"/>
  <c r="AF440" i="19"/>
  <c r="AG440" i="19"/>
  <c r="AH440" i="19"/>
  <c r="AJ440" i="19"/>
  <c r="AK440" i="19"/>
  <c r="AL440" i="19"/>
  <c r="AO440" i="19"/>
  <c r="I440" i="19" s="1"/>
  <c r="AP440" i="19"/>
  <c r="J440" i="19" s="1"/>
  <c r="AW440" i="19"/>
  <c r="BD440" i="19"/>
  <c r="BF440" i="19"/>
  <c r="BI440" i="19"/>
  <c r="AE440" i="19" s="1"/>
  <c r="BJ440" i="19"/>
  <c r="K441" i="19"/>
  <c r="Z441" i="19"/>
  <c r="AB441" i="19"/>
  <c r="AC441" i="19"/>
  <c r="AF441" i="19"/>
  <c r="AG441" i="19"/>
  <c r="AH441" i="19"/>
  <c r="AJ441" i="19"/>
  <c r="AK441" i="19"/>
  <c r="AL441" i="19"/>
  <c r="AO441" i="19"/>
  <c r="I441" i="19" s="1"/>
  <c r="AP441" i="19"/>
  <c r="BD441" i="19"/>
  <c r="BF441" i="19"/>
  <c r="BI441" i="19"/>
  <c r="AE441" i="19" s="1"/>
  <c r="BJ441" i="19"/>
  <c r="K442" i="19"/>
  <c r="AK442" i="19" s="1"/>
  <c r="Z442" i="19"/>
  <c r="AB442" i="19"/>
  <c r="AC442" i="19"/>
  <c r="AF442" i="19"/>
  <c r="AG442" i="19"/>
  <c r="AH442" i="19"/>
  <c r="AJ442" i="19"/>
  <c r="AL442" i="19"/>
  <c r="AO442" i="19"/>
  <c r="AP442" i="19"/>
  <c r="BD442" i="19"/>
  <c r="BF442" i="19"/>
  <c r="BH442" i="19"/>
  <c r="AD442" i="19" s="1"/>
  <c r="BJ442" i="19"/>
  <c r="K443" i="19"/>
  <c r="AK443" i="19" s="1"/>
  <c r="Z443" i="19"/>
  <c r="AB443" i="19"/>
  <c r="AC443" i="19"/>
  <c r="AF443" i="19"/>
  <c r="AG443" i="19"/>
  <c r="AH443" i="19"/>
  <c r="AJ443" i="19"/>
  <c r="AL443" i="19"/>
  <c r="AO443" i="19"/>
  <c r="I443" i="19" s="1"/>
  <c r="AP443" i="19"/>
  <c r="AW443" i="19"/>
  <c r="BD443" i="19"/>
  <c r="BF443" i="19"/>
  <c r="BH443" i="19"/>
  <c r="AD443" i="19" s="1"/>
  <c r="BJ443" i="19"/>
  <c r="K444" i="19"/>
  <c r="Z444" i="19"/>
  <c r="AB444" i="19"/>
  <c r="AC444" i="19"/>
  <c r="AF444" i="19"/>
  <c r="AG444" i="19"/>
  <c r="AH444" i="19"/>
  <c r="AJ444" i="19"/>
  <c r="AK444" i="19"/>
  <c r="AL444" i="19"/>
  <c r="AO444" i="19"/>
  <c r="AP444" i="19"/>
  <c r="J444" i="19" s="1"/>
  <c r="BD444" i="19"/>
  <c r="BF444" i="19"/>
  <c r="BJ444" i="19"/>
  <c r="K445" i="19"/>
  <c r="Z445" i="19"/>
  <c r="AB445" i="19"/>
  <c r="AC445" i="19"/>
  <c r="AF445" i="19"/>
  <c r="AG445" i="19"/>
  <c r="AH445" i="19"/>
  <c r="AJ445" i="19"/>
  <c r="AK445" i="19"/>
  <c r="AL445" i="19"/>
  <c r="AO445" i="19"/>
  <c r="I445" i="19" s="1"/>
  <c r="AP445" i="19"/>
  <c r="BD445" i="19"/>
  <c r="BF445" i="19"/>
  <c r="BI445" i="19"/>
  <c r="AE445" i="19" s="1"/>
  <c r="BJ445" i="19"/>
  <c r="K446" i="19"/>
  <c r="AK446" i="19" s="1"/>
  <c r="Z446" i="19"/>
  <c r="AB446" i="19"/>
  <c r="AC446" i="19"/>
  <c r="AF446" i="19"/>
  <c r="AG446" i="19"/>
  <c r="AH446" i="19"/>
  <c r="AJ446" i="19"/>
  <c r="AL446" i="19"/>
  <c r="AO446" i="19"/>
  <c r="AP446" i="19"/>
  <c r="BD446" i="19"/>
  <c r="BF446" i="19"/>
  <c r="BH446" i="19"/>
  <c r="AD446" i="19" s="1"/>
  <c r="BJ446" i="19"/>
  <c r="K447" i="19"/>
  <c r="AK447" i="19" s="1"/>
  <c r="AB447" i="19"/>
  <c r="AC447" i="19"/>
  <c r="AD447" i="19"/>
  <c r="AE447" i="19"/>
  <c r="AF447" i="19"/>
  <c r="AG447" i="19"/>
  <c r="AH447" i="19"/>
  <c r="AJ447" i="19"/>
  <c r="AL447" i="19"/>
  <c r="AO447" i="19"/>
  <c r="I447" i="19" s="1"/>
  <c r="AP447" i="19"/>
  <c r="AX447" i="19" s="1"/>
  <c r="BD447" i="19"/>
  <c r="BF447" i="19"/>
  <c r="BH447" i="19"/>
  <c r="BJ447" i="19"/>
  <c r="Z447" i="19" s="1"/>
  <c r="K449" i="19"/>
  <c r="Z449" i="19"/>
  <c r="AB449" i="19"/>
  <c r="AC449" i="19"/>
  <c r="AF449" i="19"/>
  <c r="AG449" i="19"/>
  <c r="AH449" i="19"/>
  <c r="AJ449" i="19"/>
  <c r="AL449" i="19"/>
  <c r="AO449" i="19"/>
  <c r="BH449" i="19" s="1"/>
  <c r="AD449" i="19" s="1"/>
  <c r="AP449" i="19"/>
  <c r="BD449" i="19"/>
  <c r="BF449" i="19"/>
  <c r="BI449" i="19"/>
  <c r="AE449" i="19" s="1"/>
  <c r="BJ449" i="19"/>
  <c r="K450" i="19"/>
  <c r="Z450" i="19"/>
  <c r="AB450" i="19"/>
  <c r="AC450" i="19"/>
  <c r="AF450" i="19"/>
  <c r="AG450" i="19"/>
  <c r="AH450" i="19"/>
  <c r="AJ450" i="19"/>
  <c r="AK450" i="19"/>
  <c r="AL450" i="19"/>
  <c r="AO450" i="19"/>
  <c r="AP450" i="19"/>
  <c r="BD450" i="19"/>
  <c r="BF450" i="19"/>
  <c r="BJ450" i="19"/>
  <c r="K451" i="19"/>
  <c r="Z451" i="19"/>
  <c r="AB451" i="19"/>
  <c r="AC451" i="19"/>
  <c r="AF451" i="19"/>
  <c r="AG451" i="19"/>
  <c r="AH451" i="19"/>
  <c r="AJ451" i="19"/>
  <c r="AK451" i="19"/>
  <c r="AL451" i="19"/>
  <c r="AO451" i="19"/>
  <c r="AW451" i="19" s="1"/>
  <c r="AP451" i="19"/>
  <c r="J451" i="19" s="1"/>
  <c r="BD451" i="19"/>
  <c r="BF451" i="19"/>
  <c r="BI451" i="19"/>
  <c r="AE451" i="19" s="1"/>
  <c r="BJ451" i="19"/>
  <c r="K452" i="19"/>
  <c r="Z452" i="19"/>
  <c r="AB452" i="19"/>
  <c r="AC452" i="19"/>
  <c r="AF452" i="19"/>
  <c r="AG452" i="19"/>
  <c r="AH452" i="19"/>
  <c r="AJ452" i="19"/>
  <c r="AK452" i="19"/>
  <c r="AL452" i="19"/>
  <c r="AO452" i="19"/>
  <c r="AP452" i="19"/>
  <c r="BI452" i="19" s="1"/>
  <c r="AE452" i="19" s="1"/>
  <c r="BD452" i="19"/>
  <c r="BF452" i="19"/>
  <c r="BJ452" i="19"/>
  <c r="K453" i="19"/>
  <c r="AK453" i="19" s="1"/>
  <c r="Z453" i="19"/>
  <c r="AB453" i="19"/>
  <c r="AC453" i="19"/>
  <c r="AF453" i="19"/>
  <c r="AG453" i="19"/>
  <c r="AH453" i="19"/>
  <c r="AJ453" i="19"/>
  <c r="AL453" i="19"/>
  <c r="AO453" i="19"/>
  <c r="AP453" i="19"/>
  <c r="J453" i="19" s="1"/>
  <c r="BD453" i="19"/>
  <c r="BF453" i="19"/>
  <c r="BH453" i="19"/>
  <c r="AD453" i="19" s="1"/>
  <c r="BJ453" i="19"/>
  <c r="K454" i="19"/>
  <c r="Z454" i="19"/>
  <c r="AB454" i="19"/>
  <c r="AC454" i="19"/>
  <c r="AF454" i="19"/>
  <c r="AG454" i="19"/>
  <c r="AH454" i="19"/>
  <c r="AJ454" i="19"/>
  <c r="AK454" i="19"/>
  <c r="AL454" i="19"/>
  <c r="AO454" i="19"/>
  <c r="AP454" i="19"/>
  <c r="AX454" i="19" s="1"/>
  <c r="BD454" i="19"/>
  <c r="BF454" i="19"/>
  <c r="BI454" i="19"/>
  <c r="AE454" i="19" s="1"/>
  <c r="BJ454" i="19"/>
  <c r="K455" i="19"/>
  <c r="AB455" i="19"/>
  <c r="AC455" i="19"/>
  <c r="AD455" i="19"/>
  <c r="AE455" i="19"/>
  <c r="AF455" i="19"/>
  <c r="AG455" i="19"/>
  <c r="AH455" i="19"/>
  <c r="AJ455" i="19"/>
  <c r="AK455" i="19"/>
  <c r="AL455" i="19"/>
  <c r="AO455" i="19"/>
  <c r="AW455" i="19" s="1"/>
  <c r="AP455" i="19"/>
  <c r="J455" i="19" s="1"/>
  <c r="BD455" i="19"/>
  <c r="BF455" i="19"/>
  <c r="BH455" i="19"/>
  <c r="BI455" i="19"/>
  <c r="BJ455" i="19"/>
  <c r="Z455" i="19" s="1"/>
  <c r="K457" i="19"/>
  <c r="Z457" i="19"/>
  <c r="AB457" i="19"/>
  <c r="AC457" i="19"/>
  <c r="AF457" i="19"/>
  <c r="AG457" i="19"/>
  <c r="AH457" i="19"/>
  <c r="AJ457" i="19"/>
  <c r="AK457" i="19"/>
  <c r="AL457" i="19"/>
  <c r="AO457" i="19"/>
  <c r="I457" i="19" s="1"/>
  <c r="AP457" i="19"/>
  <c r="AX457" i="19" s="1"/>
  <c r="BD457" i="19"/>
  <c r="BF457" i="19"/>
  <c r="BI457" i="19"/>
  <c r="AE457" i="19" s="1"/>
  <c r="BJ457" i="19"/>
  <c r="K458" i="19"/>
  <c r="Z458" i="19"/>
  <c r="AB458" i="19"/>
  <c r="AC458" i="19"/>
  <c r="AF458" i="19"/>
  <c r="AG458" i="19"/>
  <c r="AH458" i="19"/>
  <c r="AJ458" i="19"/>
  <c r="AK458" i="19"/>
  <c r="AL458" i="19"/>
  <c r="AO458" i="19"/>
  <c r="AW458" i="19" s="1"/>
  <c r="AP458" i="19"/>
  <c r="J458" i="19" s="1"/>
  <c r="AX458" i="19"/>
  <c r="BD458" i="19"/>
  <c r="BF458" i="19"/>
  <c r="BI458" i="19"/>
  <c r="AE458" i="19" s="1"/>
  <c r="BJ458" i="19"/>
  <c r="K459" i="19"/>
  <c r="Z459" i="19"/>
  <c r="AB459" i="19"/>
  <c r="AC459" i="19"/>
  <c r="AF459" i="19"/>
  <c r="AG459" i="19"/>
  <c r="AH459" i="19"/>
  <c r="AJ459" i="19"/>
  <c r="AK459" i="19"/>
  <c r="AL459" i="19"/>
  <c r="AO459" i="19"/>
  <c r="I459" i="19" s="1"/>
  <c r="AP459" i="19"/>
  <c r="BD459" i="19"/>
  <c r="BF459" i="19"/>
  <c r="BH459" i="19"/>
  <c r="AD459" i="19" s="1"/>
  <c r="BI459" i="19"/>
  <c r="AE459" i="19" s="1"/>
  <c r="BJ459" i="19"/>
  <c r="K460" i="19"/>
  <c r="AK460" i="19" s="1"/>
  <c r="Z460" i="19"/>
  <c r="AB460" i="19"/>
  <c r="AC460" i="19"/>
  <c r="AF460" i="19"/>
  <c r="AG460" i="19"/>
  <c r="AH460" i="19"/>
  <c r="AJ460" i="19"/>
  <c r="AL460" i="19"/>
  <c r="AO460" i="19"/>
  <c r="BH460" i="19" s="1"/>
  <c r="AD460" i="19" s="1"/>
  <c r="AP460" i="19"/>
  <c r="J460" i="19" s="1"/>
  <c r="BD460" i="19"/>
  <c r="BF460" i="19"/>
  <c r="BJ460" i="19"/>
  <c r="K461" i="19"/>
  <c r="Z461" i="19"/>
  <c r="AB461" i="19"/>
  <c r="AC461" i="19"/>
  <c r="AF461" i="19"/>
  <c r="AG461" i="19"/>
  <c r="AH461" i="19"/>
  <c r="AJ461" i="19"/>
  <c r="AK461" i="19"/>
  <c r="AL461" i="19"/>
  <c r="AO461" i="19"/>
  <c r="I461" i="19" s="1"/>
  <c r="AP461" i="19"/>
  <c r="AW461" i="19"/>
  <c r="BD461" i="19"/>
  <c r="BF461" i="19"/>
  <c r="BH461" i="19"/>
  <c r="AD461" i="19" s="1"/>
  <c r="BJ461" i="19"/>
  <c r="K463" i="19"/>
  <c r="Z463" i="19"/>
  <c r="AB463" i="19"/>
  <c r="AC463" i="19"/>
  <c r="AD463" i="19"/>
  <c r="AE463" i="19"/>
  <c r="AH463" i="19"/>
  <c r="AJ463" i="19"/>
  <c r="AL463" i="19"/>
  <c r="AO463" i="19"/>
  <c r="BH463" i="19" s="1"/>
  <c r="AF463" i="19" s="1"/>
  <c r="AP463" i="19"/>
  <c r="J463" i="19" s="1"/>
  <c r="AX463" i="19"/>
  <c r="BD463" i="19"/>
  <c r="BF463" i="19"/>
  <c r="BI463" i="19"/>
  <c r="AG463" i="19" s="1"/>
  <c r="BJ463" i="19"/>
  <c r="K464" i="19"/>
  <c r="Z464" i="19"/>
  <c r="AB464" i="19"/>
  <c r="AC464" i="19"/>
  <c r="AD464" i="19"/>
  <c r="AE464" i="19"/>
  <c r="AH464" i="19"/>
  <c r="AJ464" i="19"/>
  <c r="AK464" i="19"/>
  <c r="AL464" i="19"/>
  <c r="AO464" i="19"/>
  <c r="AP464" i="19"/>
  <c r="AX464" i="19" s="1"/>
  <c r="BD464" i="19"/>
  <c r="BF464" i="19"/>
  <c r="BJ464" i="19"/>
  <c r="K465" i="19"/>
  <c r="AK465" i="19" s="1"/>
  <c r="Z465" i="19"/>
  <c r="AB465" i="19"/>
  <c r="AC465" i="19"/>
  <c r="AD465" i="19"/>
  <c r="AE465" i="19"/>
  <c r="AH465" i="19"/>
  <c r="AJ465" i="19"/>
  <c r="AL465" i="19"/>
  <c r="AO465" i="19"/>
  <c r="I465" i="19" s="1"/>
  <c r="AP465" i="19"/>
  <c r="J465" i="19" s="1"/>
  <c r="BD465" i="19"/>
  <c r="BF465" i="19"/>
  <c r="BH465" i="19"/>
  <c r="AF465" i="19" s="1"/>
  <c r="BJ465" i="19"/>
  <c r="K466" i="19"/>
  <c r="Z466" i="19"/>
  <c r="AB466" i="19"/>
  <c r="AC466" i="19"/>
  <c r="AD466" i="19"/>
  <c r="AE466" i="19"/>
  <c r="AH466" i="19"/>
  <c r="AJ466" i="19"/>
  <c r="AK466" i="19"/>
  <c r="AL466" i="19"/>
  <c r="AO466" i="19"/>
  <c r="I466" i="19" s="1"/>
  <c r="AP466" i="19"/>
  <c r="BI466" i="19" s="1"/>
  <c r="AG466" i="19" s="1"/>
  <c r="BD466" i="19"/>
  <c r="BF466" i="19"/>
  <c r="BH466" i="19"/>
  <c r="AF466" i="19" s="1"/>
  <c r="BJ466" i="19"/>
  <c r="K467" i="19"/>
  <c r="AK467" i="19" s="1"/>
  <c r="Z467" i="19"/>
  <c r="AD467" i="19"/>
  <c r="AE467" i="19"/>
  <c r="AF467" i="19"/>
  <c r="AG467" i="19"/>
  <c r="AH467" i="19"/>
  <c r="AJ467" i="19"/>
  <c r="AL467" i="19"/>
  <c r="AO467" i="19"/>
  <c r="BH467" i="19" s="1"/>
  <c r="AB467" i="19" s="1"/>
  <c r="AP467" i="19"/>
  <c r="BD467" i="19"/>
  <c r="BF467" i="19"/>
  <c r="BI467" i="19"/>
  <c r="AC467" i="19" s="1"/>
  <c r="BJ467" i="19"/>
  <c r="K468" i="19"/>
  <c r="Z468" i="19"/>
  <c r="AD468" i="19"/>
  <c r="AE468" i="19"/>
  <c r="AF468" i="19"/>
  <c r="AG468" i="19"/>
  <c r="AH468" i="19"/>
  <c r="AJ468" i="19"/>
  <c r="AK468" i="19"/>
  <c r="AL468" i="19"/>
  <c r="AO468" i="19"/>
  <c r="AP468" i="19"/>
  <c r="AX468" i="19" s="1"/>
  <c r="BD468" i="19"/>
  <c r="BF468" i="19"/>
  <c r="BJ468" i="19"/>
  <c r="K469" i="19"/>
  <c r="Z469" i="19"/>
  <c r="AD469" i="19"/>
  <c r="AE469" i="19"/>
  <c r="AF469" i="19"/>
  <c r="AG469" i="19"/>
  <c r="AH469" i="19"/>
  <c r="AJ469" i="19"/>
  <c r="AK469" i="19"/>
  <c r="AL469" i="19"/>
  <c r="AO469" i="19"/>
  <c r="AP469" i="19"/>
  <c r="BD469" i="19"/>
  <c r="BF469" i="19"/>
  <c r="BJ469" i="19"/>
  <c r="K470" i="19"/>
  <c r="Z470" i="19"/>
  <c r="AD470" i="19"/>
  <c r="AE470" i="19"/>
  <c r="AF470" i="19"/>
  <c r="AG470" i="19"/>
  <c r="AH470" i="19"/>
  <c r="AJ470" i="19"/>
  <c r="AK470" i="19"/>
  <c r="AL470" i="19"/>
  <c r="AO470" i="19"/>
  <c r="AP470" i="19"/>
  <c r="BD470" i="19"/>
  <c r="BF470" i="19"/>
  <c r="BJ470" i="19"/>
  <c r="K471" i="19"/>
  <c r="AK471" i="19" s="1"/>
  <c r="Z471" i="19"/>
  <c r="AD471" i="19"/>
  <c r="AE471" i="19"/>
  <c r="AF471" i="19"/>
  <c r="AG471" i="19"/>
  <c r="AH471" i="19"/>
  <c r="AJ471" i="19"/>
  <c r="AL471" i="19"/>
  <c r="AO471" i="19"/>
  <c r="BH471" i="19" s="1"/>
  <c r="AB471" i="19" s="1"/>
  <c r="AP471" i="19"/>
  <c r="J471" i="19" s="1"/>
  <c r="BD471" i="19"/>
  <c r="BF471" i="19"/>
  <c r="BJ471" i="19"/>
  <c r="K472" i="19"/>
  <c r="AK472" i="19" s="1"/>
  <c r="Z472" i="19"/>
  <c r="AD472" i="19"/>
  <c r="AE472" i="19"/>
  <c r="AF472" i="19"/>
  <c r="AG472" i="19"/>
  <c r="AH472" i="19"/>
  <c r="AJ472" i="19"/>
  <c r="AL472" i="19"/>
  <c r="AO472" i="19"/>
  <c r="AP472" i="19"/>
  <c r="BD472" i="19"/>
  <c r="BF472" i="19"/>
  <c r="BI472" i="19"/>
  <c r="AC472" i="19" s="1"/>
  <c r="BJ472" i="19"/>
  <c r="K473" i="19"/>
  <c r="Z473" i="19"/>
  <c r="AB473" i="19"/>
  <c r="AD473" i="19"/>
  <c r="AE473" i="19"/>
  <c r="AF473" i="19"/>
  <c r="AG473" i="19"/>
  <c r="AH473" i="19"/>
  <c r="AJ473" i="19"/>
  <c r="AK473" i="19"/>
  <c r="AL473" i="19"/>
  <c r="AO473" i="19"/>
  <c r="I473" i="19" s="1"/>
  <c r="AP473" i="19"/>
  <c r="J473" i="19" s="1"/>
  <c r="AX473" i="19"/>
  <c r="BD473" i="19"/>
  <c r="BF473" i="19"/>
  <c r="BH473" i="19"/>
  <c r="BI473" i="19"/>
  <c r="AC473" i="19" s="1"/>
  <c r="BJ473" i="19"/>
  <c r="K474" i="19"/>
  <c r="Z474" i="19"/>
  <c r="AD474" i="19"/>
  <c r="AE474" i="19"/>
  <c r="AF474" i="19"/>
  <c r="AG474" i="19"/>
  <c r="AH474" i="19"/>
  <c r="AJ474" i="19"/>
  <c r="AK474" i="19"/>
  <c r="AL474" i="19"/>
  <c r="AO474" i="19"/>
  <c r="AP474" i="19"/>
  <c r="BD474" i="19"/>
  <c r="BF474" i="19"/>
  <c r="BJ474" i="19"/>
  <c r="K475" i="19"/>
  <c r="AK475" i="19" s="1"/>
  <c r="Z475" i="19"/>
  <c r="AD475" i="19"/>
  <c r="AE475" i="19"/>
  <c r="AF475" i="19"/>
  <c r="AG475" i="19"/>
  <c r="AH475" i="19"/>
  <c r="AJ475" i="19"/>
  <c r="AL475" i="19"/>
  <c r="AO475" i="19"/>
  <c r="AP475" i="19"/>
  <c r="BD475" i="19"/>
  <c r="BF475" i="19"/>
  <c r="BI475" i="19"/>
  <c r="AC475" i="19" s="1"/>
  <c r="BJ475" i="19"/>
  <c r="K476" i="19"/>
  <c r="Z476" i="19"/>
  <c r="AD476" i="19"/>
  <c r="AE476" i="19"/>
  <c r="AF476" i="19"/>
  <c r="AG476" i="19"/>
  <c r="AH476" i="19"/>
  <c r="AJ476" i="19"/>
  <c r="AK476" i="19"/>
  <c r="AL476" i="19"/>
  <c r="AO476" i="19"/>
  <c r="AP476" i="19"/>
  <c r="AX476" i="19" s="1"/>
  <c r="BD476" i="19"/>
  <c r="BF476" i="19"/>
  <c r="BJ476" i="19"/>
  <c r="K477" i="19"/>
  <c r="Z477" i="19"/>
  <c r="AD477" i="19"/>
  <c r="AE477" i="19"/>
  <c r="AF477" i="19"/>
  <c r="AG477" i="19"/>
  <c r="AH477" i="19"/>
  <c r="AJ477" i="19"/>
  <c r="AK477" i="19"/>
  <c r="AL477" i="19"/>
  <c r="AO477" i="19"/>
  <c r="I477" i="19" s="1"/>
  <c r="AP477" i="19"/>
  <c r="J477" i="19" s="1"/>
  <c r="BD477" i="19"/>
  <c r="BF477" i="19"/>
  <c r="BJ477" i="19"/>
  <c r="K478" i="19"/>
  <c r="Z478" i="19"/>
  <c r="AD478" i="19"/>
  <c r="AE478" i="19"/>
  <c r="AF478" i="19"/>
  <c r="AG478" i="19"/>
  <c r="AH478" i="19"/>
  <c r="AJ478" i="19"/>
  <c r="AK478" i="19"/>
  <c r="AL478" i="19"/>
  <c r="AO478" i="19"/>
  <c r="AP478" i="19"/>
  <c r="BD478" i="19"/>
  <c r="BF478" i="19"/>
  <c r="BJ478" i="19"/>
  <c r="K479" i="19"/>
  <c r="AK479" i="19" s="1"/>
  <c r="Z479" i="19"/>
  <c r="AD479" i="19"/>
  <c r="AE479" i="19"/>
  <c r="AF479" i="19"/>
  <c r="AG479" i="19"/>
  <c r="AH479" i="19"/>
  <c r="AJ479" i="19"/>
  <c r="AL479" i="19"/>
  <c r="AO479" i="19"/>
  <c r="AP479" i="19"/>
  <c r="J479" i="19" s="1"/>
  <c r="BD479" i="19"/>
  <c r="BF479" i="19"/>
  <c r="BH479" i="19"/>
  <c r="AB479" i="19" s="1"/>
  <c r="BJ479" i="19"/>
  <c r="K480" i="19"/>
  <c r="Z480" i="19"/>
  <c r="AD480" i="19"/>
  <c r="AE480" i="19"/>
  <c r="AF480" i="19"/>
  <c r="AG480" i="19"/>
  <c r="AH480" i="19"/>
  <c r="AJ480" i="19"/>
  <c r="AK480" i="19"/>
  <c r="AL480" i="19"/>
  <c r="AO480" i="19"/>
  <c r="I480" i="19" s="1"/>
  <c r="AP480" i="19"/>
  <c r="BD480" i="19"/>
  <c r="BF480" i="19"/>
  <c r="BH480" i="19"/>
  <c r="AB480" i="19" s="1"/>
  <c r="BJ480" i="19"/>
  <c r="K481" i="19"/>
  <c r="Z481" i="19"/>
  <c r="AD481" i="19"/>
  <c r="AE481" i="19"/>
  <c r="AF481" i="19"/>
  <c r="AG481" i="19"/>
  <c r="AH481" i="19"/>
  <c r="AJ481" i="19"/>
  <c r="AK481" i="19"/>
  <c r="AL481" i="19"/>
  <c r="AO481" i="19"/>
  <c r="AP481" i="19"/>
  <c r="J481" i="19" s="1"/>
  <c r="BD481" i="19"/>
  <c r="BF481" i="19"/>
  <c r="BI481" i="19"/>
  <c r="AC481" i="19" s="1"/>
  <c r="BJ481" i="19"/>
  <c r="K482" i="19"/>
  <c r="Z482" i="19"/>
  <c r="AD482" i="19"/>
  <c r="AE482" i="19"/>
  <c r="AF482" i="19"/>
  <c r="AG482" i="19"/>
  <c r="AH482" i="19"/>
  <c r="AJ482" i="19"/>
  <c r="AK482" i="19"/>
  <c r="AL482" i="19"/>
  <c r="AO482" i="19"/>
  <c r="AP482" i="19"/>
  <c r="BD482" i="19"/>
  <c r="BF482" i="19"/>
  <c r="BJ482" i="19"/>
  <c r="K483" i="19"/>
  <c r="AK483" i="19" s="1"/>
  <c r="Z483" i="19"/>
  <c r="AD483" i="19"/>
  <c r="AE483" i="19"/>
  <c r="AF483" i="19"/>
  <c r="AG483" i="19"/>
  <c r="AH483" i="19"/>
  <c r="AJ483" i="19"/>
  <c r="AL483" i="19"/>
  <c r="AO483" i="19"/>
  <c r="AP483" i="19"/>
  <c r="BD483" i="19"/>
  <c r="BF483" i="19"/>
  <c r="BJ483" i="19"/>
  <c r="K484" i="19"/>
  <c r="Z484" i="19"/>
  <c r="AD484" i="19"/>
  <c r="AE484" i="19"/>
  <c r="AF484" i="19"/>
  <c r="AG484" i="19"/>
  <c r="AH484" i="19"/>
  <c r="AJ484" i="19"/>
  <c r="AK484" i="19"/>
  <c r="AL484" i="19"/>
  <c r="AO484" i="19"/>
  <c r="I484" i="19" s="1"/>
  <c r="AP484" i="19"/>
  <c r="AW484" i="19"/>
  <c r="BD484" i="19"/>
  <c r="BF484" i="19"/>
  <c r="BH484" i="19"/>
  <c r="AB484" i="19" s="1"/>
  <c r="BJ484" i="19"/>
  <c r="K485" i="19"/>
  <c r="AK485" i="19" s="1"/>
  <c r="Z485" i="19"/>
  <c r="AD485" i="19"/>
  <c r="AE485" i="19"/>
  <c r="AF485" i="19"/>
  <c r="AG485" i="19"/>
  <c r="AH485" i="19"/>
  <c r="AJ485" i="19"/>
  <c r="AL485" i="19"/>
  <c r="AO485" i="19"/>
  <c r="AW485" i="19" s="1"/>
  <c r="AP485" i="19"/>
  <c r="BD485" i="19"/>
  <c r="BF485" i="19"/>
  <c r="BJ485" i="19"/>
  <c r="K486" i="19"/>
  <c r="Z486" i="19"/>
  <c r="AD486" i="19"/>
  <c r="AE486" i="19"/>
  <c r="AF486" i="19"/>
  <c r="AG486" i="19"/>
  <c r="AH486" i="19"/>
  <c r="AJ486" i="19"/>
  <c r="AK486" i="19"/>
  <c r="AL486" i="19"/>
  <c r="AO486" i="19"/>
  <c r="I486" i="19" s="1"/>
  <c r="AP486" i="19"/>
  <c r="BI486" i="19" s="1"/>
  <c r="AC486" i="19" s="1"/>
  <c r="BD486" i="19"/>
  <c r="BF486" i="19"/>
  <c r="BH486" i="19"/>
  <c r="AB486" i="19" s="1"/>
  <c r="BJ486" i="19"/>
  <c r="K487" i="19"/>
  <c r="AK487" i="19" s="1"/>
  <c r="Z487" i="19"/>
  <c r="AD487" i="19"/>
  <c r="AE487" i="19"/>
  <c r="AF487" i="19"/>
  <c r="AG487" i="19"/>
  <c r="AH487" i="19"/>
  <c r="AJ487" i="19"/>
  <c r="AL487" i="19"/>
  <c r="AO487" i="19"/>
  <c r="BH487" i="19" s="1"/>
  <c r="AB487" i="19" s="1"/>
  <c r="AP487" i="19"/>
  <c r="BD487" i="19"/>
  <c r="BF487" i="19"/>
  <c r="BJ487" i="19"/>
  <c r="K488" i="19"/>
  <c r="Z488" i="19"/>
  <c r="AD488" i="19"/>
  <c r="AE488" i="19"/>
  <c r="AF488" i="19"/>
  <c r="AG488" i="19"/>
  <c r="AH488" i="19"/>
  <c r="AJ488" i="19"/>
  <c r="AK488" i="19"/>
  <c r="AL488" i="19"/>
  <c r="AO488" i="19"/>
  <c r="I488" i="19" s="1"/>
  <c r="AP488" i="19"/>
  <c r="BD488" i="19"/>
  <c r="BF488" i="19"/>
  <c r="BJ488" i="19"/>
  <c r="K489" i="19"/>
  <c r="Z489" i="19"/>
  <c r="AD489" i="19"/>
  <c r="AE489" i="19"/>
  <c r="AF489" i="19"/>
  <c r="AG489" i="19"/>
  <c r="AH489" i="19"/>
  <c r="AJ489" i="19"/>
  <c r="AK489" i="19"/>
  <c r="AL489" i="19"/>
  <c r="AO489" i="19"/>
  <c r="BH489" i="19" s="1"/>
  <c r="AB489" i="19" s="1"/>
  <c r="AP489" i="19"/>
  <c r="BD489" i="19"/>
  <c r="BF489" i="19"/>
  <c r="BJ489" i="19"/>
  <c r="K490" i="19"/>
  <c r="Z490" i="19"/>
  <c r="AD490" i="19"/>
  <c r="AE490" i="19"/>
  <c r="AF490" i="19"/>
  <c r="AG490" i="19"/>
  <c r="AH490" i="19"/>
  <c r="AJ490" i="19"/>
  <c r="AK490" i="19"/>
  <c r="AL490" i="19"/>
  <c r="AO490" i="19"/>
  <c r="I490" i="19" s="1"/>
  <c r="AP490" i="19"/>
  <c r="BD490" i="19"/>
  <c r="BF490" i="19"/>
  <c r="BH490" i="19"/>
  <c r="AB490" i="19" s="1"/>
  <c r="BJ490" i="19"/>
  <c r="K491" i="19"/>
  <c r="AK491" i="19" s="1"/>
  <c r="Z491" i="19"/>
  <c r="AD491" i="19"/>
  <c r="AE491" i="19"/>
  <c r="AF491" i="19"/>
  <c r="AG491" i="19"/>
  <c r="AH491" i="19"/>
  <c r="AJ491" i="19"/>
  <c r="AL491" i="19"/>
  <c r="AO491" i="19"/>
  <c r="AP491" i="19"/>
  <c r="BD491" i="19"/>
  <c r="BF491" i="19"/>
  <c r="BJ491" i="19"/>
  <c r="K493" i="19"/>
  <c r="Z493" i="19"/>
  <c r="AD493" i="19"/>
  <c r="AE493" i="19"/>
  <c r="AF493" i="19"/>
  <c r="AG493" i="19"/>
  <c r="AH493" i="19"/>
  <c r="AJ493" i="19"/>
  <c r="AK493" i="19"/>
  <c r="AL493" i="19"/>
  <c r="C29" i="17" s="1"/>
  <c r="F29" i="17" s="1"/>
  <c r="AO493" i="19"/>
  <c r="I493" i="19" s="1"/>
  <c r="AP493" i="19"/>
  <c r="BI493" i="19" s="1"/>
  <c r="AC493" i="19" s="1"/>
  <c r="BD493" i="19"/>
  <c r="BF493" i="19"/>
  <c r="BH493" i="19"/>
  <c r="AB493" i="19" s="1"/>
  <c r="BJ493" i="19"/>
  <c r="K494" i="19"/>
  <c r="AK494" i="19" s="1"/>
  <c r="Z494" i="19"/>
  <c r="AD494" i="19"/>
  <c r="AE494" i="19"/>
  <c r="AF494" i="19"/>
  <c r="AG494" i="19"/>
  <c r="AH494" i="19"/>
  <c r="AJ494" i="19"/>
  <c r="AL494" i="19"/>
  <c r="AO494" i="19"/>
  <c r="BH494" i="19" s="1"/>
  <c r="AB494" i="19" s="1"/>
  <c r="AP494" i="19"/>
  <c r="J494" i="19" s="1"/>
  <c r="BD494" i="19"/>
  <c r="BF494" i="19"/>
  <c r="BJ494" i="19"/>
  <c r="K495" i="19"/>
  <c r="Z495" i="19"/>
  <c r="AD495" i="19"/>
  <c r="AE495" i="19"/>
  <c r="AF495" i="19"/>
  <c r="AG495" i="19"/>
  <c r="AH495" i="19"/>
  <c r="AJ495" i="19"/>
  <c r="AK495" i="19"/>
  <c r="AL495" i="19"/>
  <c r="AO495" i="19"/>
  <c r="I495" i="19" s="1"/>
  <c r="AP495" i="19"/>
  <c r="BD495" i="19"/>
  <c r="BF495" i="19"/>
  <c r="BJ495" i="19"/>
  <c r="K496" i="19"/>
  <c r="Z496" i="19"/>
  <c r="AD496" i="19"/>
  <c r="AE496" i="19"/>
  <c r="AF496" i="19"/>
  <c r="AG496" i="19"/>
  <c r="AH496" i="19"/>
  <c r="AJ496" i="19"/>
  <c r="AK496" i="19"/>
  <c r="AL496" i="19"/>
  <c r="AO496" i="19"/>
  <c r="BH496" i="19" s="1"/>
  <c r="AB496" i="19" s="1"/>
  <c r="AP496" i="19"/>
  <c r="BD496" i="19"/>
  <c r="BF496" i="19"/>
  <c r="BJ496" i="19"/>
  <c r="K497" i="19"/>
  <c r="Z497" i="19"/>
  <c r="AD497" i="19"/>
  <c r="AE497" i="19"/>
  <c r="AF497" i="19"/>
  <c r="AG497" i="19"/>
  <c r="AH497" i="19"/>
  <c r="AJ497" i="19"/>
  <c r="AK497" i="19"/>
  <c r="AL497" i="19"/>
  <c r="AO497" i="19"/>
  <c r="AP497" i="19"/>
  <c r="BI497" i="19" s="1"/>
  <c r="AC497" i="19" s="1"/>
  <c r="BD497" i="19"/>
  <c r="BF497" i="19"/>
  <c r="BJ497" i="19"/>
  <c r="K498" i="19"/>
  <c r="AK498" i="19" s="1"/>
  <c r="Z498" i="19"/>
  <c r="AD498" i="19"/>
  <c r="AE498" i="19"/>
  <c r="AF498" i="19"/>
  <c r="AG498" i="19"/>
  <c r="AH498" i="19"/>
  <c r="AJ498" i="19"/>
  <c r="AL498" i="19"/>
  <c r="AO498" i="19"/>
  <c r="AP498" i="19"/>
  <c r="J498" i="19" s="1"/>
  <c r="BD498" i="19"/>
  <c r="BF498" i="19"/>
  <c r="BH498" i="19"/>
  <c r="AB498" i="19" s="1"/>
  <c r="BJ498" i="19"/>
  <c r="K499" i="19"/>
  <c r="AK499" i="19" s="1"/>
  <c r="Z499" i="19"/>
  <c r="AD499" i="19"/>
  <c r="AE499" i="19"/>
  <c r="AF499" i="19"/>
  <c r="AG499" i="19"/>
  <c r="AH499" i="19"/>
  <c r="AJ499" i="19"/>
  <c r="AL499" i="19"/>
  <c r="AO499" i="19"/>
  <c r="I499" i="19" s="1"/>
  <c r="AP499" i="19"/>
  <c r="AX499" i="19" s="1"/>
  <c r="BD499" i="19"/>
  <c r="BF499" i="19"/>
  <c r="BI499" i="19"/>
  <c r="AC499" i="19" s="1"/>
  <c r="BJ499" i="19"/>
  <c r="K500" i="19"/>
  <c r="Z500" i="19"/>
  <c r="AD500" i="19"/>
  <c r="AE500" i="19"/>
  <c r="AF500" i="19"/>
  <c r="AG500" i="19"/>
  <c r="AH500" i="19"/>
  <c r="AJ500" i="19"/>
  <c r="AK500" i="19"/>
  <c r="AL500" i="19"/>
  <c r="AO500" i="19"/>
  <c r="BH500" i="19" s="1"/>
  <c r="AB500" i="19" s="1"/>
  <c r="AP500" i="19"/>
  <c r="J500" i="19" s="1"/>
  <c r="BD500" i="19"/>
  <c r="BF500" i="19"/>
  <c r="BI500" i="19"/>
  <c r="AC500" i="19" s="1"/>
  <c r="BJ500" i="19"/>
  <c r="K501" i="19"/>
  <c r="Z501" i="19"/>
  <c r="AD501" i="19"/>
  <c r="AE501" i="19"/>
  <c r="AF501" i="19"/>
  <c r="AG501" i="19"/>
  <c r="AH501" i="19"/>
  <c r="AJ501" i="19"/>
  <c r="AK501" i="19"/>
  <c r="AL501" i="19"/>
  <c r="AO501" i="19"/>
  <c r="I501" i="19" s="1"/>
  <c r="AP501" i="19"/>
  <c r="BD501" i="19"/>
  <c r="BF501" i="19"/>
  <c r="BH501" i="19"/>
  <c r="AB501" i="19" s="1"/>
  <c r="BJ501" i="19"/>
  <c r="K502" i="19"/>
  <c r="AK502" i="19" s="1"/>
  <c r="Z502" i="19"/>
  <c r="AD502" i="19"/>
  <c r="AE502" i="19"/>
  <c r="AF502" i="19"/>
  <c r="AG502" i="19"/>
  <c r="AH502" i="19"/>
  <c r="AJ502" i="19"/>
  <c r="AL502" i="19"/>
  <c r="AO502" i="19"/>
  <c r="AP502" i="19"/>
  <c r="J502" i="19" s="1"/>
  <c r="BD502" i="19"/>
  <c r="BF502" i="19"/>
  <c r="BI502" i="19"/>
  <c r="AC502" i="19" s="1"/>
  <c r="BJ502" i="19"/>
  <c r="K503" i="19"/>
  <c r="Z503" i="19"/>
  <c r="AD503" i="19"/>
  <c r="AE503" i="19"/>
  <c r="AF503" i="19"/>
  <c r="AG503" i="19"/>
  <c r="AH503" i="19"/>
  <c r="AJ503" i="19"/>
  <c r="AK503" i="19"/>
  <c r="AL503" i="19"/>
  <c r="AO503" i="19"/>
  <c r="AP503" i="19"/>
  <c r="AX503" i="19" s="1"/>
  <c r="BD503" i="19"/>
  <c r="BF503" i="19"/>
  <c r="BJ503" i="19"/>
  <c r="K504" i="19"/>
  <c r="Z504" i="19"/>
  <c r="AD504" i="19"/>
  <c r="AE504" i="19"/>
  <c r="AF504" i="19"/>
  <c r="AG504" i="19"/>
  <c r="AH504" i="19"/>
  <c r="AJ504" i="19"/>
  <c r="AK504" i="19"/>
  <c r="AL504" i="19"/>
  <c r="AO504" i="19"/>
  <c r="I504" i="19" s="1"/>
  <c r="AP504" i="19"/>
  <c r="J504" i="19" s="1"/>
  <c r="BD504" i="19"/>
  <c r="BF504" i="19"/>
  <c r="BJ504" i="19"/>
  <c r="K505" i="19"/>
  <c r="Z505" i="19"/>
  <c r="AD505" i="19"/>
  <c r="AE505" i="19"/>
  <c r="AF505" i="19"/>
  <c r="AG505" i="19"/>
  <c r="AH505" i="19"/>
  <c r="AJ505" i="19"/>
  <c r="AK505" i="19"/>
  <c r="AL505" i="19"/>
  <c r="AO505" i="19"/>
  <c r="AP505" i="19"/>
  <c r="BD505" i="19"/>
  <c r="BF505" i="19"/>
  <c r="BJ505" i="19"/>
  <c r="K506" i="19"/>
  <c r="AK506" i="19" s="1"/>
  <c r="Z506" i="19"/>
  <c r="AD506" i="19"/>
  <c r="AE506" i="19"/>
  <c r="AF506" i="19"/>
  <c r="AG506" i="19"/>
  <c r="AH506" i="19"/>
  <c r="AJ506" i="19"/>
  <c r="AL506" i="19"/>
  <c r="AO506" i="19"/>
  <c r="I506" i="19" s="1"/>
  <c r="AP506" i="19"/>
  <c r="AX506" i="19" s="1"/>
  <c r="BD506" i="19"/>
  <c r="BF506" i="19"/>
  <c r="BJ506" i="19"/>
  <c r="K507" i="19"/>
  <c r="Z507" i="19"/>
  <c r="AD507" i="19"/>
  <c r="AE507" i="19"/>
  <c r="AF507" i="19"/>
  <c r="AG507" i="19"/>
  <c r="AH507" i="19"/>
  <c r="AJ507" i="19"/>
  <c r="AK507" i="19"/>
  <c r="AL507" i="19"/>
  <c r="AO507" i="19"/>
  <c r="AW507" i="19" s="1"/>
  <c r="AP507" i="19"/>
  <c r="J507" i="19" s="1"/>
  <c r="BD507" i="19"/>
  <c r="BF507" i="19"/>
  <c r="BH507" i="19"/>
  <c r="AB507" i="19" s="1"/>
  <c r="BJ507" i="19"/>
  <c r="K508" i="19"/>
  <c r="AK508" i="19" s="1"/>
  <c r="Z508" i="19"/>
  <c r="AD508" i="19"/>
  <c r="AE508" i="19"/>
  <c r="AF508" i="19"/>
  <c r="AG508" i="19"/>
  <c r="AH508" i="19"/>
  <c r="AJ508" i="19"/>
  <c r="AL508" i="19"/>
  <c r="AO508" i="19"/>
  <c r="I508" i="19" s="1"/>
  <c r="AP508" i="19"/>
  <c r="BI508" i="19" s="1"/>
  <c r="AC508" i="19" s="1"/>
  <c r="AW508" i="19"/>
  <c r="BD508" i="19"/>
  <c r="BF508" i="19"/>
  <c r="BH508" i="19"/>
  <c r="AB508" i="19" s="1"/>
  <c r="BJ508" i="19"/>
  <c r="K509" i="19"/>
  <c r="AK509" i="19" s="1"/>
  <c r="Z509" i="19"/>
  <c r="AD509" i="19"/>
  <c r="AE509" i="19"/>
  <c r="AF509" i="19"/>
  <c r="AG509" i="19"/>
  <c r="AH509" i="19"/>
  <c r="AJ509" i="19"/>
  <c r="AL509" i="19"/>
  <c r="AO509" i="19"/>
  <c r="I509" i="19" s="1"/>
  <c r="AP509" i="19"/>
  <c r="J509" i="19" s="1"/>
  <c r="BD509" i="19"/>
  <c r="BF509" i="19"/>
  <c r="BI509" i="19"/>
  <c r="AC509" i="19" s="1"/>
  <c r="BJ509" i="19"/>
  <c r="K510" i="19"/>
  <c r="AK510" i="19" s="1"/>
  <c r="Z510" i="19"/>
  <c r="AD510" i="19"/>
  <c r="AE510" i="19"/>
  <c r="AF510" i="19"/>
  <c r="AG510" i="19"/>
  <c r="AH510" i="19"/>
  <c r="AJ510" i="19"/>
  <c r="AL510" i="19"/>
  <c r="AO510" i="19"/>
  <c r="I510" i="19" s="1"/>
  <c r="AP510" i="19"/>
  <c r="AX510" i="19" s="1"/>
  <c r="AW510" i="19"/>
  <c r="BD510" i="19"/>
  <c r="BF510" i="19"/>
  <c r="BH510" i="19"/>
  <c r="AB510" i="19" s="1"/>
  <c r="BJ510" i="19"/>
  <c r="K511" i="19"/>
  <c r="Z511" i="19"/>
  <c r="AD511" i="19"/>
  <c r="AE511" i="19"/>
  <c r="AF511" i="19"/>
  <c r="AG511" i="19"/>
  <c r="AH511" i="19"/>
  <c r="AJ511" i="19"/>
  <c r="AK511" i="19"/>
  <c r="AL511" i="19"/>
  <c r="AO511" i="19"/>
  <c r="AW511" i="19" s="1"/>
  <c r="AP511" i="19"/>
  <c r="J511" i="19" s="1"/>
  <c r="BD511" i="19"/>
  <c r="BF511" i="19"/>
  <c r="BJ511" i="19"/>
  <c r="K513" i="19"/>
  <c r="Z513" i="19"/>
  <c r="AB513" i="19"/>
  <c r="AC513" i="19"/>
  <c r="AD513" i="19"/>
  <c r="AE513" i="19"/>
  <c r="AH513" i="19"/>
  <c r="AJ513" i="19"/>
  <c r="AK513" i="19"/>
  <c r="AL513" i="19"/>
  <c r="AO513" i="19"/>
  <c r="I513" i="19" s="1"/>
  <c r="AP513" i="19"/>
  <c r="AX513" i="19" s="1"/>
  <c r="AW513" i="19"/>
  <c r="BD513" i="19"/>
  <c r="BF513" i="19"/>
  <c r="BH513" i="19"/>
  <c r="AF513" i="19" s="1"/>
  <c r="BJ513" i="19"/>
  <c r="K514" i="19"/>
  <c r="Z514" i="19"/>
  <c r="AB514" i="19"/>
  <c r="AC514" i="19"/>
  <c r="AD514" i="19"/>
  <c r="AE514" i="19"/>
  <c r="AH514" i="19"/>
  <c r="AJ514" i="19"/>
  <c r="AK514" i="19"/>
  <c r="AL514" i="19"/>
  <c r="AO514" i="19"/>
  <c r="AW514" i="19" s="1"/>
  <c r="AP514" i="19"/>
  <c r="J514" i="19" s="1"/>
  <c r="BD514" i="19"/>
  <c r="BF514" i="19"/>
  <c r="BH514" i="19"/>
  <c r="AF514" i="19" s="1"/>
  <c r="BI514" i="19"/>
  <c r="AG514" i="19" s="1"/>
  <c r="BJ514" i="19"/>
  <c r="K516" i="19"/>
  <c r="Z516" i="19"/>
  <c r="AD516" i="19"/>
  <c r="AE516" i="19"/>
  <c r="AF516" i="19"/>
  <c r="AG516" i="19"/>
  <c r="AH516" i="19"/>
  <c r="AJ516" i="19"/>
  <c r="AK516" i="19"/>
  <c r="AL516" i="19"/>
  <c r="AO516" i="19"/>
  <c r="I516" i="19" s="1"/>
  <c r="AP516" i="19"/>
  <c r="AX516" i="19" s="1"/>
  <c r="BD516" i="19"/>
  <c r="BF516" i="19"/>
  <c r="BI516" i="19"/>
  <c r="AC516" i="19" s="1"/>
  <c r="BJ516" i="19"/>
  <c r="K517" i="19"/>
  <c r="Z517" i="19"/>
  <c r="AD517" i="19"/>
  <c r="AE517" i="19"/>
  <c r="AF517" i="19"/>
  <c r="AG517" i="19"/>
  <c r="AH517" i="19"/>
  <c r="AJ517" i="19"/>
  <c r="AK517" i="19"/>
  <c r="AL517" i="19"/>
  <c r="AO517" i="19"/>
  <c r="BH517" i="19" s="1"/>
  <c r="AB517" i="19" s="1"/>
  <c r="AP517" i="19"/>
  <c r="J517" i="19" s="1"/>
  <c r="BD517" i="19"/>
  <c r="BF517" i="19"/>
  <c r="BI517" i="19"/>
  <c r="AC517" i="19" s="1"/>
  <c r="BJ517" i="19"/>
  <c r="K518" i="19"/>
  <c r="Z518" i="19"/>
  <c r="AD518" i="19"/>
  <c r="AE518" i="19"/>
  <c r="AF518" i="19"/>
  <c r="AG518" i="19"/>
  <c r="AH518" i="19"/>
  <c r="AJ518" i="19"/>
  <c r="AK518" i="19"/>
  <c r="AL518" i="19"/>
  <c r="AO518" i="19"/>
  <c r="I518" i="19" s="1"/>
  <c r="AP518" i="19"/>
  <c r="J518" i="19" s="1"/>
  <c r="BD518" i="19"/>
  <c r="BF518" i="19"/>
  <c r="BH518" i="19"/>
  <c r="AB518" i="19" s="1"/>
  <c r="BI518" i="19"/>
  <c r="AC518" i="19" s="1"/>
  <c r="BJ518" i="19"/>
  <c r="K519" i="19"/>
  <c r="AK519" i="19" s="1"/>
  <c r="Z519" i="19"/>
  <c r="AD519" i="19"/>
  <c r="AE519" i="19"/>
  <c r="AF519" i="19"/>
  <c r="AG519" i="19"/>
  <c r="AH519" i="19"/>
  <c r="AJ519" i="19"/>
  <c r="AL519" i="19"/>
  <c r="AO519" i="19"/>
  <c r="I519" i="19" s="1"/>
  <c r="AP519" i="19"/>
  <c r="J519" i="19" s="1"/>
  <c r="BD519" i="19"/>
  <c r="BF519" i="19"/>
  <c r="BJ519" i="19"/>
  <c r="K520" i="19"/>
  <c r="Z520" i="19"/>
  <c r="AD520" i="19"/>
  <c r="AE520" i="19"/>
  <c r="AF520" i="19"/>
  <c r="AG520" i="19"/>
  <c r="AH520" i="19"/>
  <c r="AJ520" i="19"/>
  <c r="AK520" i="19"/>
  <c r="AL520" i="19"/>
  <c r="AO520" i="19"/>
  <c r="AP520" i="19"/>
  <c r="AX520" i="19" s="1"/>
  <c r="BD520" i="19"/>
  <c r="BF520" i="19"/>
  <c r="BI520" i="19"/>
  <c r="AC520" i="19" s="1"/>
  <c r="BJ520" i="19"/>
  <c r="K521" i="19"/>
  <c r="Z521" i="19"/>
  <c r="AD521" i="19"/>
  <c r="AE521" i="19"/>
  <c r="AF521" i="19"/>
  <c r="AG521" i="19"/>
  <c r="AH521" i="19"/>
  <c r="AJ521" i="19"/>
  <c r="AK521" i="19"/>
  <c r="AL521" i="19"/>
  <c r="AO521" i="19"/>
  <c r="I521" i="19" s="1"/>
  <c r="AP521" i="19"/>
  <c r="J521" i="19" s="1"/>
  <c r="BD521" i="19"/>
  <c r="BF521" i="19"/>
  <c r="BJ521" i="19"/>
  <c r="K522" i="19"/>
  <c r="Z522" i="19"/>
  <c r="AD522" i="19"/>
  <c r="AE522" i="19"/>
  <c r="AF522" i="19"/>
  <c r="AG522" i="19"/>
  <c r="AH522" i="19"/>
  <c r="AJ522" i="19"/>
  <c r="AK522" i="19"/>
  <c r="AL522" i="19"/>
  <c r="AO522" i="19"/>
  <c r="I522" i="19" s="1"/>
  <c r="AP522" i="19"/>
  <c r="J522" i="19" s="1"/>
  <c r="BD522" i="19"/>
  <c r="BF522" i="19"/>
  <c r="BJ522" i="19"/>
  <c r="K523" i="19"/>
  <c r="AK523" i="19" s="1"/>
  <c r="Z523" i="19"/>
  <c r="AD523" i="19"/>
  <c r="AE523" i="19"/>
  <c r="AF523" i="19"/>
  <c r="AG523" i="19"/>
  <c r="AH523" i="19"/>
  <c r="AJ523" i="19"/>
  <c r="AL523" i="19"/>
  <c r="AO523" i="19"/>
  <c r="I523" i="19" s="1"/>
  <c r="AP523" i="19"/>
  <c r="J523" i="19" s="1"/>
  <c r="BD523" i="19"/>
  <c r="BF523" i="19"/>
  <c r="BJ523" i="19"/>
  <c r="K524" i="19"/>
  <c r="AK524" i="19" s="1"/>
  <c r="Z524" i="19"/>
  <c r="AD524" i="19"/>
  <c r="AE524" i="19"/>
  <c r="AF524" i="19"/>
  <c r="AG524" i="19"/>
  <c r="AH524" i="19"/>
  <c r="AJ524" i="19"/>
  <c r="AL524" i="19"/>
  <c r="AO524" i="19"/>
  <c r="I524" i="19" s="1"/>
  <c r="AP524" i="19"/>
  <c r="AX524" i="19" s="1"/>
  <c r="BD524" i="19"/>
  <c r="BF524" i="19"/>
  <c r="BJ524" i="19"/>
  <c r="K525" i="19"/>
  <c r="AK525" i="19" s="1"/>
  <c r="Z525" i="19"/>
  <c r="AD525" i="19"/>
  <c r="AE525" i="19"/>
  <c r="AF525" i="19"/>
  <c r="AG525" i="19"/>
  <c r="AH525" i="19"/>
  <c r="AJ525" i="19"/>
  <c r="AL525" i="19"/>
  <c r="AO525" i="19"/>
  <c r="I525" i="19" s="1"/>
  <c r="AP525" i="19"/>
  <c r="J525" i="19" s="1"/>
  <c r="AW525" i="19"/>
  <c r="BD525" i="19"/>
  <c r="BF525" i="19"/>
  <c r="BJ525" i="19"/>
  <c r="K526" i="19"/>
  <c r="Z526" i="19"/>
  <c r="AD526" i="19"/>
  <c r="AE526" i="19"/>
  <c r="AF526" i="19"/>
  <c r="AG526" i="19"/>
  <c r="AH526" i="19"/>
  <c r="AJ526" i="19"/>
  <c r="AK526" i="19"/>
  <c r="AL526" i="19"/>
  <c r="AO526" i="19"/>
  <c r="I526" i="19" s="1"/>
  <c r="AP526" i="19"/>
  <c r="J526" i="19" s="1"/>
  <c r="BD526" i="19"/>
  <c r="BF526" i="19"/>
  <c r="BH526" i="19"/>
  <c r="AB526" i="19" s="1"/>
  <c r="BJ526" i="19"/>
  <c r="K527" i="19"/>
  <c r="AK527" i="19" s="1"/>
  <c r="Z527" i="19"/>
  <c r="AD527" i="19"/>
  <c r="AE527" i="19"/>
  <c r="AF527" i="19"/>
  <c r="AG527" i="19"/>
  <c r="AH527" i="19"/>
  <c r="AJ527" i="19"/>
  <c r="AL527" i="19"/>
  <c r="AO527" i="19"/>
  <c r="I527" i="19" s="1"/>
  <c r="AP527" i="19"/>
  <c r="J527" i="19" s="1"/>
  <c r="BD527" i="19"/>
  <c r="BF527" i="19"/>
  <c r="BI527" i="19"/>
  <c r="AC527" i="19" s="1"/>
  <c r="BJ527" i="19"/>
  <c r="K528" i="19"/>
  <c r="AK528" i="19" s="1"/>
  <c r="Z528" i="19"/>
  <c r="AD528" i="19"/>
  <c r="AE528" i="19"/>
  <c r="AF528" i="19"/>
  <c r="AG528" i="19"/>
  <c r="AH528" i="19"/>
  <c r="AJ528" i="19"/>
  <c r="AL528" i="19"/>
  <c r="AO528" i="19"/>
  <c r="I528" i="19" s="1"/>
  <c r="AP528" i="19"/>
  <c r="AX528" i="19" s="1"/>
  <c r="BD528" i="19"/>
  <c r="BF528" i="19"/>
  <c r="BJ528" i="19"/>
  <c r="K529" i="19"/>
  <c r="Z529" i="19"/>
  <c r="AD529" i="19"/>
  <c r="AE529" i="19"/>
  <c r="AF529" i="19"/>
  <c r="AG529" i="19"/>
  <c r="AH529" i="19"/>
  <c r="AJ529" i="19"/>
  <c r="AK529" i="19"/>
  <c r="AL529" i="19"/>
  <c r="AO529" i="19"/>
  <c r="AW529" i="19" s="1"/>
  <c r="AP529" i="19"/>
  <c r="J529" i="19" s="1"/>
  <c r="BD529" i="19"/>
  <c r="BF529" i="19"/>
  <c r="BJ529" i="19"/>
  <c r="K530" i="19"/>
  <c r="Z530" i="19"/>
  <c r="AD530" i="19"/>
  <c r="AE530" i="19"/>
  <c r="AF530" i="19"/>
  <c r="AG530" i="19"/>
  <c r="AH530" i="19"/>
  <c r="AJ530" i="19"/>
  <c r="AK530" i="19"/>
  <c r="AL530" i="19"/>
  <c r="AO530" i="19"/>
  <c r="I530" i="19" s="1"/>
  <c r="AP530" i="19"/>
  <c r="J530" i="19" s="1"/>
  <c r="BD530" i="19"/>
  <c r="BF530" i="19"/>
  <c r="BJ530" i="19"/>
  <c r="K531" i="19"/>
  <c r="AK531" i="19" s="1"/>
  <c r="Z531" i="19"/>
  <c r="AD531" i="19"/>
  <c r="AE531" i="19"/>
  <c r="AF531" i="19"/>
  <c r="AG531" i="19"/>
  <c r="AH531" i="19"/>
  <c r="AJ531" i="19"/>
  <c r="AL531" i="19"/>
  <c r="AO531" i="19"/>
  <c r="I531" i="19" s="1"/>
  <c r="AP531" i="19"/>
  <c r="J531" i="19" s="1"/>
  <c r="BD531" i="19"/>
  <c r="BF531" i="19"/>
  <c r="BH531" i="19"/>
  <c r="AB531" i="19" s="1"/>
  <c r="BJ531" i="19"/>
  <c r="K532" i="19"/>
  <c r="AK532" i="19" s="1"/>
  <c r="Z532" i="19"/>
  <c r="AD532" i="19"/>
  <c r="AE532" i="19"/>
  <c r="AF532" i="19"/>
  <c r="AG532" i="19"/>
  <c r="AH532" i="19"/>
  <c r="AJ532" i="19"/>
  <c r="AL532" i="19"/>
  <c r="AO532" i="19"/>
  <c r="I532" i="19" s="1"/>
  <c r="AP532" i="19"/>
  <c r="AX532" i="19" s="1"/>
  <c r="BD532" i="19"/>
  <c r="BF532" i="19"/>
  <c r="BH532" i="19"/>
  <c r="AB532" i="19" s="1"/>
  <c r="BJ532" i="19"/>
  <c r="K533" i="19"/>
  <c r="AK533" i="19" s="1"/>
  <c r="Z533" i="19"/>
  <c r="AD533" i="19"/>
  <c r="AE533" i="19"/>
  <c r="AF533" i="19"/>
  <c r="AG533" i="19"/>
  <c r="AH533" i="19"/>
  <c r="AJ533" i="19"/>
  <c r="AL533" i="19"/>
  <c r="AO533" i="19"/>
  <c r="AW533" i="19" s="1"/>
  <c r="AP533" i="19"/>
  <c r="J533" i="19" s="1"/>
  <c r="BD533" i="19"/>
  <c r="BF533" i="19"/>
  <c r="BH533" i="19"/>
  <c r="AB533" i="19" s="1"/>
  <c r="BJ533" i="19"/>
  <c r="K534" i="19"/>
  <c r="Z534" i="19"/>
  <c r="AD534" i="19"/>
  <c r="AE534" i="19"/>
  <c r="AF534" i="19"/>
  <c r="AG534" i="19"/>
  <c r="AH534" i="19"/>
  <c r="AJ534" i="19"/>
  <c r="AK534" i="19"/>
  <c r="AL534" i="19"/>
  <c r="AO534" i="19"/>
  <c r="I534" i="19" s="1"/>
  <c r="AP534" i="19"/>
  <c r="J534" i="19" s="1"/>
  <c r="AW534" i="19"/>
  <c r="BD534" i="19"/>
  <c r="BF534" i="19"/>
  <c r="BI534" i="19"/>
  <c r="AC534" i="19" s="1"/>
  <c r="BJ534" i="19"/>
  <c r="K535" i="19"/>
  <c r="AK535" i="19" s="1"/>
  <c r="Z535" i="19"/>
  <c r="AD535" i="19"/>
  <c r="AE535" i="19"/>
  <c r="AF535" i="19"/>
  <c r="AG535" i="19"/>
  <c r="AH535" i="19"/>
  <c r="AJ535" i="19"/>
  <c r="AL535" i="19"/>
  <c r="AO535" i="19"/>
  <c r="I535" i="19" s="1"/>
  <c r="AP535" i="19"/>
  <c r="J535" i="19" s="1"/>
  <c r="BD535" i="19"/>
  <c r="BF535" i="19"/>
  <c r="BH535" i="19"/>
  <c r="AB535" i="19" s="1"/>
  <c r="BJ535" i="19"/>
  <c r="K536" i="19"/>
  <c r="Z536" i="19"/>
  <c r="AD536" i="19"/>
  <c r="AE536" i="19"/>
  <c r="AF536" i="19"/>
  <c r="AG536" i="19"/>
  <c r="AH536" i="19"/>
  <c r="AJ536" i="19"/>
  <c r="AK536" i="19"/>
  <c r="AL536" i="19"/>
  <c r="AO536" i="19"/>
  <c r="I536" i="19" s="1"/>
  <c r="AP536" i="19"/>
  <c r="AX536" i="19" s="1"/>
  <c r="BD536" i="19"/>
  <c r="BF536" i="19"/>
  <c r="BJ536" i="19"/>
  <c r="K537" i="19"/>
  <c r="Z537" i="19"/>
  <c r="AD537" i="19"/>
  <c r="AE537" i="19"/>
  <c r="AF537" i="19"/>
  <c r="AG537" i="19"/>
  <c r="AH537" i="19"/>
  <c r="AJ537" i="19"/>
  <c r="AK537" i="19"/>
  <c r="AL537" i="19"/>
  <c r="AO537" i="19"/>
  <c r="I537" i="19" s="1"/>
  <c r="AP537" i="19"/>
  <c r="J537" i="19" s="1"/>
  <c r="AW537" i="19"/>
  <c r="BD537" i="19"/>
  <c r="BF537" i="19"/>
  <c r="BH537" i="19"/>
  <c r="AB537" i="19" s="1"/>
  <c r="BJ537" i="19"/>
  <c r="K538" i="19"/>
  <c r="Z538" i="19"/>
  <c r="AD538" i="19"/>
  <c r="AE538" i="19"/>
  <c r="AF538" i="19"/>
  <c r="AG538" i="19"/>
  <c r="AH538" i="19"/>
  <c r="AJ538" i="19"/>
  <c r="AK538" i="19"/>
  <c r="AL538" i="19"/>
  <c r="AO538" i="19"/>
  <c r="I538" i="19" s="1"/>
  <c r="AP538" i="19"/>
  <c r="J538" i="19" s="1"/>
  <c r="BD538" i="19"/>
  <c r="BF538" i="19"/>
  <c r="BJ538" i="19"/>
  <c r="K539" i="19"/>
  <c r="AK539" i="19" s="1"/>
  <c r="Z539" i="19"/>
  <c r="AD539" i="19"/>
  <c r="AE539" i="19"/>
  <c r="AF539" i="19"/>
  <c r="AG539" i="19"/>
  <c r="AH539" i="19"/>
  <c r="AJ539" i="19"/>
  <c r="AL539" i="19"/>
  <c r="AO539" i="19"/>
  <c r="I539" i="19" s="1"/>
  <c r="AP539" i="19"/>
  <c r="J539" i="19" s="1"/>
  <c r="BD539" i="19"/>
  <c r="BF539" i="19"/>
  <c r="BJ539" i="19"/>
  <c r="K540" i="19"/>
  <c r="Z540" i="19"/>
  <c r="AC540" i="19"/>
  <c r="AD540" i="19"/>
  <c r="AE540" i="19"/>
  <c r="AF540" i="19"/>
  <c r="AG540" i="19"/>
  <c r="AH540" i="19"/>
  <c r="AJ540" i="19"/>
  <c r="AK540" i="19"/>
  <c r="AL540" i="19"/>
  <c r="AO540" i="19"/>
  <c r="I540" i="19" s="1"/>
  <c r="AP540" i="19"/>
  <c r="AX540" i="19" s="1"/>
  <c r="AW540" i="19"/>
  <c r="BD540" i="19"/>
  <c r="BF540" i="19"/>
  <c r="BI540" i="19"/>
  <c r="BJ540" i="19"/>
  <c r="K541" i="19"/>
  <c r="Z541" i="19"/>
  <c r="AD541" i="19"/>
  <c r="AE541" i="19"/>
  <c r="AF541" i="19"/>
  <c r="AG541" i="19"/>
  <c r="AH541" i="19"/>
  <c r="AJ541" i="19"/>
  <c r="AK541" i="19"/>
  <c r="AL541" i="19"/>
  <c r="AO541" i="19"/>
  <c r="I541" i="19" s="1"/>
  <c r="AP541" i="19"/>
  <c r="J541" i="19" s="1"/>
  <c r="AW541" i="19"/>
  <c r="BD541" i="19"/>
  <c r="BF541" i="19"/>
  <c r="BJ541" i="19"/>
  <c r="K542" i="19"/>
  <c r="Z542" i="19"/>
  <c r="AD542" i="19"/>
  <c r="AE542" i="19"/>
  <c r="AF542" i="19"/>
  <c r="AG542" i="19"/>
  <c r="AH542" i="19"/>
  <c r="AJ542" i="19"/>
  <c r="AK542" i="19"/>
  <c r="AL542" i="19"/>
  <c r="AO542" i="19"/>
  <c r="I542" i="19" s="1"/>
  <c r="AP542" i="19"/>
  <c r="J542" i="19" s="1"/>
  <c r="BD542" i="19"/>
  <c r="BF542" i="19"/>
  <c r="BJ542" i="19"/>
  <c r="K543" i="19"/>
  <c r="AK543" i="19" s="1"/>
  <c r="Z543" i="19"/>
  <c r="AD543" i="19"/>
  <c r="AE543" i="19"/>
  <c r="AF543" i="19"/>
  <c r="AG543" i="19"/>
  <c r="AH543" i="19"/>
  <c r="AJ543" i="19"/>
  <c r="AL543" i="19"/>
  <c r="AO543" i="19"/>
  <c r="I543" i="19" s="1"/>
  <c r="AP543" i="19"/>
  <c r="J543" i="19" s="1"/>
  <c r="BD543" i="19"/>
  <c r="BF543" i="19"/>
  <c r="BH543" i="19"/>
  <c r="AB543" i="19" s="1"/>
  <c r="BJ543" i="19"/>
  <c r="K544" i="19"/>
  <c r="AK544" i="19" s="1"/>
  <c r="Z544" i="19"/>
  <c r="AD544" i="19"/>
  <c r="AE544" i="19"/>
  <c r="AF544" i="19"/>
  <c r="AG544" i="19"/>
  <c r="AH544" i="19"/>
  <c r="AJ544" i="19"/>
  <c r="AL544" i="19"/>
  <c r="AO544" i="19"/>
  <c r="I544" i="19" s="1"/>
  <c r="AP544" i="19"/>
  <c r="AX544" i="19" s="1"/>
  <c r="BD544" i="19"/>
  <c r="BF544" i="19"/>
  <c r="BJ544" i="19"/>
  <c r="K545" i="19"/>
  <c r="AK545" i="19" s="1"/>
  <c r="Z545" i="19"/>
  <c r="AD545" i="19"/>
  <c r="AE545" i="19"/>
  <c r="AF545" i="19"/>
  <c r="AG545" i="19"/>
  <c r="AH545" i="19"/>
  <c r="AJ545" i="19"/>
  <c r="AL545" i="19"/>
  <c r="AO545" i="19"/>
  <c r="BH545" i="19" s="1"/>
  <c r="AB545" i="19" s="1"/>
  <c r="AP545" i="19"/>
  <c r="J545" i="19" s="1"/>
  <c r="BD545" i="19"/>
  <c r="BF545" i="19"/>
  <c r="BJ545" i="19"/>
  <c r="K546" i="19"/>
  <c r="Z546" i="19"/>
  <c r="AD546" i="19"/>
  <c r="AE546" i="19"/>
  <c r="AF546" i="19"/>
  <c r="AG546" i="19"/>
  <c r="AH546" i="19"/>
  <c r="AJ546" i="19"/>
  <c r="AK546" i="19"/>
  <c r="AL546" i="19"/>
  <c r="AO546" i="19"/>
  <c r="I546" i="19" s="1"/>
  <c r="AP546" i="19"/>
  <c r="J546" i="19" s="1"/>
  <c r="BD546" i="19"/>
  <c r="BF546" i="19"/>
  <c r="BH546" i="19"/>
  <c r="AB546" i="19" s="1"/>
  <c r="BJ546" i="19"/>
  <c r="K547" i="19"/>
  <c r="AK547" i="19" s="1"/>
  <c r="Z547" i="19"/>
  <c r="AD547" i="19"/>
  <c r="AE547" i="19"/>
  <c r="AF547" i="19"/>
  <c r="AG547" i="19"/>
  <c r="AH547" i="19"/>
  <c r="AJ547" i="19"/>
  <c r="AL547" i="19"/>
  <c r="AO547" i="19"/>
  <c r="I547" i="19" s="1"/>
  <c r="AP547" i="19"/>
  <c r="J547" i="19" s="1"/>
  <c r="BD547" i="19"/>
  <c r="BF547" i="19"/>
  <c r="BH547" i="19"/>
  <c r="AB547" i="19" s="1"/>
  <c r="BJ547" i="19"/>
  <c r="K548" i="19"/>
  <c r="AK548" i="19" s="1"/>
  <c r="Z548" i="19"/>
  <c r="AD548" i="19"/>
  <c r="AE548" i="19"/>
  <c r="AF548" i="19"/>
  <c r="AG548" i="19"/>
  <c r="AH548" i="19"/>
  <c r="AJ548" i="19"/>
  <c r="AL548" i="19"/>
  <c r="AO548" i="19"/>
  <c r="I548" i="19" s="1"/>
  <c r="AP548" i="19"/>
  <c r="AX548" i="19" s="1"/>
  <c r="BD548" i="19"/>
  <c r="BF548" i="19"/>
  <c r="BJ548" i="19"/>
  <c r="K549" i="19"/>
  <c r="AK549" i="19" s="1"/>
  <c r="Z549" i="19"/>
  <c r="AD549" i="19"/>
  <c r="AE549" i="19"/>
  <c r="AF549" i="19"/>
  <c r="AG549" i="19"/>
  <c r="AH549" i="19"/>
  <c r="AJ549" i="19"/>
  <c r="AL549" i="19"/>
  <c r="AO549" i="19"/>
  <c r="AW549" i="19" s="1"/>
  <c r="AP549" i="19"/>
  <c r="J549" i="19" s="1"/>
  <c r="BD549" i="19"/>
  <c r="BF549" i="19"/>
  <c r="BH549" i="19"/>
  <c r="AB549" i="19" s="1"/>
  <c r="BJ549" i="19"/>
  <c r="K550" i="19"/>
  <c r="Z550" i="19"/>
  <c r="AD550" i="19"/>
  <c r="AE550" i="19"/>
  <c r="AF550" i="19"/>
  <c r="AG550" i="19"/>
  <c r="AH550" i="19"/>
  <c r="AJ550" i="19"/>
  <c r="AK550" i="19"/>
  <c r="AL550" i="19"/>
  <c r="AO550" i="19"/>
  <c r="I550" i="19" s="1"/>
  <c r="AP550" i="19"/>
  <c r="J550" i="19" s="1"/>
  <c r="AW550" i="19"/>
  <c r="BD550" i="19"/>
  <c r="BF550" i="19"/>
  <c r="BI550" i="19"/>
  <c r="AC550" i="19" s="1"/>
  <c r="BJ550" i="19"/>
  <c r="K551" i="19"/>
  <c r="AK551" i="19" s="1"/>
  <c r="Z551" i="19"/>
  <c r="AD551" i="19"/>
  <c r="AE551" i="19"/>
  <c r="AF551" i="19"/>
  <c r="AG551" i="19"/>
  <c r="AH551" i="19"/>
  <c r="AJ551" i="19"/>
  <c r="AL551" i="19"/>
  <c r="AO551" i="19"/>
  <c r="I551" i="19" s="1"/>
  <c r="AP551" i="19"/>
  <c r="J551" i="19" s="1"/>
  <c r="BD551" i="19"/>
  <c r="BF551" i="19"/>
  <c r="BH551" i="19"/>
  <c r="AB551" i="19" s="1"/>
  <c r="BJ551" i="19"/>
  <c r="K552" i="19"/>
  <c r="Z552" i="19"/>
  <c r="AD552" i="19"/>
  <c r="AE552" i="19"/>
  <c r="AF552" i="19"/>
  <c r="AG552" i="19"/>
  <c r="AH552" i="19"/>
  <c r="AJ552" i="19"/>
  <c r="AK552" i="19"/>
  <c r="AL552" i="19"/>
  <c r="AO552" i="19"/>
  <c r="I552" i="19" s="1"/>
  <c r="AP552" i="19"/>
  <c r="AX552" i="19" s="1"/>
  <c r="BD552" i="19"/>
  <c r="BF552" i="19"/>
  <c r="BJ552" i="19"/>
  <c r="K553" i="19"/>
  <c r="Z553" i="19"/>
  <c r="AD553" i="19"/>
  <c r="AE553" i="19"/>
  <c r="AF553" i="19"/>
  <c r="AG553" i="19"/>
  <c r="AH553" i="19"/>
  <c r="AJ553" i="19"/>
  <c r="AK553" i="19"/>
  <c r="AL553" i="19"/>
  <c r="AO553" i="19"/>
  <c r="I553" i="19" s="1"/>
  <c r="AP553" i="19"/>
  <c r="J553" i="19" s="1"/>
  <c r="BD553" i="19"/>
  <c r="BF553" i="19"/>
  <c r="BI553" i="19"/>
  <c r="AC553" i="19" s="1"/>
  <c r="BJ553" i="19"/>
  <c r="K554" i="19"/>
  <c r="Z554" i="19"/>
  <c r="AD554" i="19"/>
  <c r="AE554" i="19"/>
  <c r="AF554" i="19"/>
  <c r="AG554" i="19"/>
  <c r="AH554" i="19"/>
  <c r="AJ554" i="19"/>
  <c r="AK554" i="19"/>
  <c r="AL554" i="19"/>
  <c r="AO554" i="19"/>
  <c r="I554" i="19" s="1"/>
  <c r="AP554" i="19"/>
  <c r="J554" i="19" s="1"/>
  <c r="BD554" i="19"/>
  <c r="BF554" i="19"/>
  <c r="BH554" i="19"/>
  <c r="AB554" i="19" s="1"/>
  <c r="BJ554" i="19"/>
  <c r="K555" i="19"/>
  <c r="AK555" i="19" s="1"/>
  <c r="Z555" i="19"/>
  <c r="AD555" i="19"/>
  <c r="AE555" i="19"/>
  <c r="AF555" i="19"/>
  <c r="AG555" i="19"/>
  <c r="AH555" i="19"/>
  <c r="AJ555" i="19"/>
  <c r="AL555" i="19"/>
  <c r="AO555" i="19"/>
  <c r="I555" i="19" s="1"/>
  <c r="AP555" i="19"/>
  <c r="J555" i="19" s="1"/>
  <c r="BD555" i="19"/>
  <c r="BF555" i="19"/>
  <c r="BH555" i="19"/>
  <c r="AB555" i="19" s="1"/>
  <c r="BJ555" i="19"/>
  <c r="K556" i="19"/>
  <c r="AK556" i="19" s="1"/>
  <c r="Z556" i="19"/>
  <c r="AD556" i="19"/>
  <c r="AE556" i="19"/>
  <c r="AF556" i="19"/>
  <c r="AG556" i="19"/>
  <c r="AH556" i="19"/>
  <c r="AJ556" i="19"/>
  <c r="AL556" i="19"/>
  <c r="AO556" i="19"/>
  <c r="I556" i="19" s="1"/>
  <c r="AP556" i="19"/>
  <c r="AX556" i="19" s="1"/>
  <c r="BD556" i="19"/>
  <c r="BF556" i="19"/>
  <c r="BJ556" i="19"/>
  <c r="K557" i="19"/>
  <c r="AK557" i="19" s="1"/>
  <c r="Z557" i="19"/>
  <c r="AD557" i="19"/>
  <c r="AE557" i="19"/>
  <c r="AF557" i="19"/>
  <c r="AG557" i="19"/>
  <c r="AH557" i="19"/>
  <c r="AJ557" i="19"/>
  <c r="AL557" i="19"/>
  <c r="AO557" i="19"/>
  <c r="BH557" i="19" s="1"/>
  <c r="AB557" i="19" s="1"/>
  <c r="AP557" i="19"/>
  <c r="J557" i="19" s="1"/>
  <c r="BD557" i="19"/>
  <c r="BF557" i="19"/>
  <c r="BJ557" i="19"/>
  <c r="K558" i="19"/>
  <c r="Z558" i="19"/>
  <c r="AD558" i="19"/>
  <c r="AE558" i="19"/>
  <c r="AF558" i="19"/>
  <c r="AG558" i="19"/>
  <c r="AH558" i="19"/>
  <c r="AJ558" i="19"/>
  <c r="AK558" i="19"/>
  <c r="AL558" i="19"/>
  <c r="AO558" i="19"/>
  <c r="I558" i="19" s="1"/>
  <c r="AP558" i="19"/>
  <c r="J558" i="19" s="1"/>
  <c r="BD558" i="19"/>
  <c r="BF558" i="19"/>
  <c r="BH558" i="19"/>
  <c r="AB558" i="19" s="1"/>
  <c r="BJ558" i="19"/>
  <c r="K559" i="19"/>
  <c r="AK559" i="19" s="1"/>
  <c r="Z559" i="19"/>
  <c r="AD559" i="19"/>
  <c r="AE559" i="19"/>
  <c r="AF559" i="19"/>
  <c r="AG559" i="19"/>
  <c r="AH559" i="19"/>
  <c r="AJ559" i="19"/>
  <c r="AL559" i="19"/>
  <c r="AO559" i="19"/>
  <c r="I559" i="19" s="1"/>
  <c r="AP559" i="19"/>
  <c r="J559" i="19" s="1"/>
  <c r="BD559" i="19"/>
  <c r="BF559" i="19"/>
  <c r="BH559" i="19"/>
  <c r="AB559" i="19" s="1"/>
  <c r="BJ559" i="19"/>
  <c r="K560" i="19"/>
  <c r="AK560" i="19" s="1"/>
  <c r="Z560" i="19"/>
  <c r="AD560" i="19"/>
  <c r="AE560" i="19"/>
  <c r="AF560" i="19"/>
  <c r="AG560" i="19"/>
  <c r="AH560" i="19"/>
  <c r="AJ560" i="19"/>
  <c r="AL560" i="19"/>
  <c r="AO560" i="19"/>
  <c r="I560" i="19" s="1"/>
  <c r="AP560" i="19"/>
  <c r="AX560" i="19" s="1"/>
  <c r="BD560" i="19"/>
  <c r="BF560" i="19"/>
  <c r="BJ560" i="19"/>
  <c r="K561" i="19"/>
  <c r="AK561" i="19" s="1"/>
  <c r="Z561" i="19"/>
  <c r="AD561" i="19"/>
  <c r="AE561" i="19"/>
  <c r="AF561" i="19"/>
  <c r="AG561" i="19"/>
  <c r="AH561" i="19"/>
  <c r="AJ561" i="19"/>
  <c r="AL561" i="19"/>
  <c r="AO561" i="19"/>
  <c r="AW561" i="19" s="1"/>
  <c r="AP561" i="19"/>
  <c r="J561" i="19" s="1"/>
  <c r="BD561" i="19"/>
  <c r="BF561" i="19"/>
  <c r="BH561" i="19"/>
  <c r="AB561" i="19" s="1"/>
  <c r="BJ561" i="19"/>
  <c r="K562" i="19"/>
  <c r="Z562" i="19"/>
  <c r="AD562" i="19"/>
  <c r="AE562" i="19"/>
  <c r="AF562" i="19"/>
  <c r="AG562" i="19"/>
  <c r="AH562" i="19"/>
  <c r="AJ562" i="19"/>
  <c r="AK562" i="19"/>
  <c r="AL562" i="19"/>
  <c r="AO562" i="19"/>
  <c r="I562" i="19" s="1"/>
  <c r="AP562" i="19"/>
  <c r="J562" i="19" s="1"/>
  <c r="AW562" i="19"/>
  <c r="BD562" i="19"/>
  <c r="BF562" i="19"/>
  <c r="BJ562" i="19"/>
  <c r="K563" i="19"/>
  <c r="AK563" i="19" s="1"/>
  <c r="Z563" i="19"/>
  <c r="AD563" i="19"/>
  <c r="AE563" i="19"/>
  <c r="AF563" i="19"/>
  <c r="AG563" i="19"/>
  <c r="AH563" i="19"/>
  <c r="AJ563" i="19"/>
  <c r="AL563" i="19"/>
  <c r="AO563" i="19"/>
  <c r="I563" i="19" s="1"/>
  <c r="AP563" i="19"/>
  <c r="J563" i="19" s="1"/>
  <c r="BD563" i="19"/>
  <c r="BF563" i="19"/>
  <c r="BH563" i="19"/>
  <c r="AB563" i="19" s="1"/>
  <c r="BJ563" i="19"/>
  <c r="K564" i="19"/>
  <c r="Z564" i="19"/>
  <c r="AD564" i="19"/>
  <c r="AE564" i="19"/>
  <c r="AF564" i="19"/>
  <c r="AG564" i="19"/>
  <c r="AH564" i="19"/>
  <c r="AJ564" i="19"/>
  <c r="AK564" i="19"/>
  <c r="AL564" i="19"/>
  <c r="AO564" i="19"/>
  <c r="I564" i="19" s="1"/>
  <c r="AP564" i="19"/>
  <c r="AX564" i="19" s="1"/>
  <c r="BD564" i="19"/>
  <c r="BF564" i="19"/>
  <c r="BJ564" i="19"/>
  <c r="K565" i="19"/>
  <c r="AK565" i="19" s="1"/>
  <c r="Z565" i="19"/>
  <c r="AD565" i="19"/>
  <c r="AE565" i="19"/>
  <c r="AF565" i="19"/>
  <c r="AG565" i="19"/>
  <c r="AH565" i="19"/>
  <c r="AJ565" i="19"/>
  <c r="AL565" i="19"/>
  <c r="AO565" i="19"/>
  <c r="AW565" i="19" s="1"/>
  <c r="AP565" i="19"/>
  <c r="J565" i="19" s="1"/>
  <c r="BD565" i="19"/>
  <c r="BF565" i="19"/>
  <c r="BJ565" i="19"/>
  <c r="K566" i="19"/>
  <c r="Z566" i="19"/>
  <c r="AD566" i="19"/>
  <c r="AE566" i="19"/>
  <c r="AF566" i="19"/>
  <c r="AG566" i="19"/>
  <c r="AH566" i="19"/>
  <c r="AJ566" i="19"/>
  <c r="AK566" i="19"/>
  <c r="AL566" i="19"/>
  <c r="AO566" i="19"/>
  <c r="I566" i="19" s="1"/>
  <c r="AP566" i="19"/>
  <c r="J566" i="19" s="1"/>
  <c r="BD566" i="19"/>
  <c r="BF566" i="19"/>
  <c r="BI566" i="19"/>
  <c r="AC566" i="19" s="1"/>
  <c r="BJ566" i="19"/>
  <c r="K567" i="19"/>
  <c r="AK567" i="19" s="1"/>
  <c r="Z567" i="19"/>
  <c r="AD567" i="19"/>
  <c r="AE567" i="19"/>
  <c r="AF567" i="19"/>
  <c r="AG567" i="19"/>
  <c r="AH567" i="19"/>
  <c r="AJ567" i="19"/>
  <c r="AL567" i="19"/>
  <c r="AO567" i="19"/>
  <c r="I567" i="19" s="1"/>
  <c r="AP567" i="19"/>
  <c r="J567" i="19" s="1"/>
  <c r="BD567" i="19"/>
  <c r="BF567" i="19"/>
  <c r="BJ567" i="19"/>
  <c r="K568" i="19"/>
  <c r="Z568" i="19"/>
  <c r="AD568" i="19"/>
  <c r="AE568" i="19"/>
  <c r="AF568" i="19"/>
  <c r="AG568" i="19"/>
  <c r="AH568" i="19"/>
  <c r="AJ568" i="19"/>
  <c r="AK568" i="19"/>
  <c r="AL568" i="19"/>
  <c r="AO568" i="19"/>
  <c r="I568" i="19" s="1"/>
  <c r="AP568" i="19"/>
  <c r="AX568" i="19" s="1"/>
  <c r="BD568" i="19"/>
  <c r="BF568" i="19"/>
  <c r="BI568" i="19"/>
  <c r="AC568" i="19" s="1"/>
  <c r="BJ568" i="19"/>
  <c r="K569" i="19"/>
  <c r="Z569" i="19"/>
  <c r="AD569" i="19"/>
  <c r="AE569" i="19"/>
  <c r="AF569" i="19"/>
  <c r="AG569" i="19"/>
  <c r="AH569" i="19"/>
  <c r="AJ569" i="19"/>
  <c r="AK569" i="19"/>
  <c r="AL569" i="19"/>
  <c r="AO569" i="19"/>
  <c r="I569" i="19" s="1"/>
  <c r="AP569" i="19"/>
  <c r="J569" i="19" s="1"/>
  <c r="BD569" i="19"/>
  <c r="BF569" i="19"/>
  <c r="BI569" i="19"/>
  <c r="AC569" i="19" s="1"/>
  <c r="BJ569" i="19"/>
  <c r="K570" i="19"/>
  <c r="Z570" i="19"/>
  <c r="AD570" i="19"/>
  <c r="AE570" i="19"/>
  <c r="AF570" i="19"/>
  <c r="AG570" i="19"/>
  <c r="AH570" i="19"/>
  <c r="AJ570" i="19"/>
  <c r="AK570" i="19"/>
  <c r="AL570" i="19"/>
  <c r="AO570" i="19"/>
  <c r="I570" i="19" s="1"/>
  <c r="AP570" i="19"/>
  <c r="J570" i="19" s="1"/>
  <c r="BD570" i="19"/>
  <c r="BF570" i="19"/>
  <c r="BH570" i="19"/>
  <c r="AB570" i="19" s="1"/>
  <c r="BJ570" i="19"/>
  <c r="K571" i="19"/>
  <c r="AK571" i="19" s="1"/>
  <c r="Z571" i="19"/>
  <c r="AD571" i="19"/>
  <c r="AE571" i="19"/>
  <c r="AF571" i="19"/>
  <c r="AG571" i="19"/>
  <c r="AH571" i="19"/>
  <c r="AJ571" i="19"/>
  <c r="AL571" i="19"/>
  <c r="AO571" i="19"/>
  <c r="I571" i="19" s="1"/>
  <c r="AP571" i="19"/>
  <c r="J571" i="19" s="1"/>
  <c r="BD571" i="19"/>
  <c r="BF571" i="19"/>
  <c r="BH571" i="19"/>
  <c r="AB571" i="19" s="1"/>
  <c r="BJ571" i="19"/>
  <c r="K572" i="19"/>
  <c r="AK572" i="19" s="1"/>
  <c r="Z572" i="19"/>
  <c r="AD572" i="19"/>
  <c r="AE572" i="19"/>
  <c r="AF572" i="19"/>
  <c r="AG572" i="19"/>
  <c r="AH572" i="19"/>
  <c r="AJ572" i="19"/>
  <c r="AL572" i="19"/>
  <c r="AO572" i="19"/>
  <c r="I572" i="19" s="1"/>
  <c r="AP572" i="19"/>
  <c r="AX572" i="19" s="1"/>
  <c r="BD572" i="19"/>
  <c r="BF572" i="19"/>
  <c r="BJ572" i="19"/>
  <c r="K573" i="19"/>
  <c r="Z573" i="19"/>
  <c r="AD573" i="19"/>
  <c r="AE573" i="19"/>
  <c r="AF573" i="19"/>
  <c r="AG573" i="19"/>
  <c r="AH573" i="19"/>
  <c r="AJ573" i="19"/>
  <c r="AK573" i="19"/>
  <c r="AL573" i="19"/>
  <c r="AO573" i="19"/>
  <c r="BH573" i="19" s="1"/>
  <c r="AB573" i="19" s="1"/>
  <c r="AP573" i="19"/>
  <c r="AX573" i="19" s="1"/>
  <c r="AW573" i="19"/>
  <c r="BD573" i="19"/>
  <c r="BF573" i="19"/>
  <c r="BI573" i="19"/>
  <c r="AC573" i="19" s="1"/>
  <c r="BJ573" i="19"/>
  <c r="K574" i="19"/>
  <c r="Z574" i="19"/>
  <c r="AD574" i="19"/>
  <c r="AE574" i="19"/>
  <c r="AF574" i="19"/>
  <c r="AG574" i="19"/>
  <c r="AH574" i="19"/>
  <c r="AJ574" i="19"/>
  <c r="AK574" i="19"/>
  <c r="AL574" i="19"/>
  <c r="AO574" i="19"/>
  <c r="I574" i="19" s="1"/>
  <c r="AP574" i="19"/>
  <c r="J574" i="19" s="1"/>
  <c r="BD574" i="19"/>
  <c r="BF574" i="19"/>
  <c r="BH574" i="19"/>
  <c r="AB574" i="19" s="1"/>
  <c r="BJ574" i="19"/>
  <c r="K575" i="19"/>
  <c r="AK575" i="19" s="1"/>
  <c r="Z575" i="19"/>
  <c r="AD575" i="19"/>
  <c r="AE575" i="19"/>
  <c r="AF575" i="19"/>
  <c r="AG575" i="19"/>
  <c r="AH575" i="19"/>
  <c r="AJ575" i="19"/>
  <c r="AL575" i="19"/>
  <c r="AO575" i="19"/>
  <c r="I575" i="19" s="1"/>
  <c r="AP575" i="19"/>
  <c r="J575" i="19" s="1"/>
  <c r="BD575" i="19"/>
  <c r="BF575" i="19"/>
  <c r="BJ575" i="19"/>
  <c r="J576" i="19"/>
  <c r="K576" i="19"/>
  <c r="AK576" i="19" s="1"/>
  <c r="Z576" i="19"/>
  <c r="AD576" i="19"/>
  <c r="AE576" i="19"/>
  <c r="AF576" i="19"/>
  <c r="AG576" i="19"/>
  <c r="AH576" i="19"/>
  <c r="AJ576" i="19"/>
  <c r="AL576" i="19"/>
  <c r="AO576" i="19"/>
  <c r="I576" i="19" s="1"/>
  <c r="AP576" i="19"/>
  <c r="AX576" i="19" s="1"/>
  <c r="BD576" i="19"/>
  <c r="BF576" i="19"/>
  <c r="BJ576" i="19"/>
  <c r="K577" i="19"/>
  <c r="AK577" i="19" s="1"/>
  <c r="Z577" i="19"/>
  <c r="AD577" i="19"/>
  <c r="AE577" i="19"/>
  <c r="AF577" i="19"/>
  <c r="AG577" i="19"/>
  <c r="AH577" i="19"/>
  <c r="AJ577" i="19"/>
  <c r="AL577" i="19"/>
  <c r="AO577" i="19"/>
  <c r="BH577" i="19" s="1"/>
  <c r="AB577" i="19" s="1"/>
  <c r="AP577" i="19"/>
  <c r="J577" i="19" s="1"/>
  <c r="BD577" i="19"/>
  <c r="BF577" i="19"/>
  <c r="BJ577" i="19"/>
  <c r="K578" i="19"/>
  <c r="Z578" i="19"/>
  <c r="AD578" i="19"/>
  <c r="AE578" i="19"/>
  <c r="AF578" i="19"/>
  <c r="AG578" i="19"/>
  <c r="AH578" i="19"/>
  <c r="AJ578" i="19"/>
  <c r="AK578" i="19"/>
  <c r="AL578" i="19"/>
  <c r="AO578" i="19"/>
  <c r="I578" i="19" s="1"/>
  <c r="AP578" i="19"/>
  <c r="J578" i="19" s="1"/>
  <c r="AW578" i="19"/>
  <c r="BD578" i="19"/>
  <c r="BF578" i="19"/>
  <c r="BH578" i="19"/>
  <c r="AB578" i="19" s="1"/>
  <c r="BJ578" i="19"/>
  <c r="K579" i="19"/>
  <c r="AK579" i="19" s="1"/>
  <c r="Z579" i="19"/>
  <c r="AD579" i="19"/>
  <c r="AE579" i="19"/>
  <c r="AF579" i="19"/>
  <c r="AG579" i="19"/>
  <c r="AH579" i="19"/>
  <c r="AJ579" i="19"/>
  <c r="AL579" i="19"/>
  <c r="AO579" i="19"/>
  <c r="I579" i="19" s="1"/>
  <c r="AP579" i="19"/>
  <c r="J579" i="19" s="1"/>
  <c r="BD579" i="19"/>
  <c r="BF579" i="19"/>
  <c r="BH579" i="19"/>
  <c r="AB579" i="19" s="1"/>
  <c r="BJ579" i="19"/>
  <c r="K580" i="19"/>
  <c r="AK580" i="19" s="1"/>
  <c r="Z580" i="19"/>
  <c r="AD580" i="19"/>
  <c r="AE580" i="19"/>
  <c r="AF580" i="19"/>
  <c r="AG580" i="19"/>
  <c r="AH580" i="19"/>
  <c r="AJ580" i="19"/>
  <c r="AL580" i="19"/>
  <c r="AO580" i="19"/>
  <c r="I580" i="19" s="1"/>
  <c r="AP580" i="19"/>
  <c r="AX580" i="19" s="1"/>
  <c r="BD580" i="19"/>
  <c r="BF580" i="19"/>
  <c r="BH580" i="19"/>
  <c r="AB580" i="19" s="1"/>
  <c r="BJ580" i="19"/>
  <c r="K581" i="19"/>
  <c r="AK581" i="19" s="1"/>
  <c r="Z581" i="19"/>
  <c r="AD581" i="19"/>
  <c r="AE581" i="19"/>
  <c r="AF581" i="19"/>
  <c r="AG581" i="19"/>
  <c r="AH581" i="19"/>
  <c r="AJ581" i="19"/>
  <c r="AL581" i="19"/>
  <c r="AO581" i="19"/>
  <c r="AW581" i="19" s="1"/>
  <c r="AP581" i="19"/>
  <c r="J581" i="19" s="1"/>
  <c r="BD581" i="19"/>
  <c r="BF581" i="19"/>
  <c r="BH581" i="19"/>
  <c r="AB581" i="19" s="1"/>
  <c r="BJ581" i="19"/>
  <c r="K582" i="19"/>
  <c r="Z582" i="19"/>
  <c r="AD582" i="19"/>
  <c r="AE582" i="19"/>
  <c r="AF582" i="19"/>
  <c r="AG582" i="19"/>
  <c r="AH582" i="19"/>
  <c r="AJ582" i="19"/>
  <c r="AK582" i="19"/>
  <c r="AL582" i="19"/>
  <c r="AO582" i="19"/>
  <c r="I582" i="19" s="1"/>
  <c r="AP582" i="19"/>
  <c r="J582" i="19" s="1"/>
  <c r="BD582" i="19"/>
  <c r="BF582" i="19"/>
  <c r="BI582" i="19"/>
  <c r="AC582" i="19" s="1"/>
  <c r="BJ582" i="19"/>
  <c r="K583" i="19"/>
  <c r="AK583" i="19" s="1"/>
  <c r="Z583" i="19"/>
  <c r="AD583" i="19"/>
  <c r="AE583" i="19"/>
  <c r="AF583" i="19"/>
  <c r="AG583" i="19"/>
  <c r="AH583" i="19"/>
  <c r="AJ583" i="19"/>
  <c r="AL583" i="19"/>
  <c r="AO583" i="19"/>
  <c r="I583" i="19" s="1"/>
  <c r="AP583" i="19"/>
  <c r="J583" i="19" s="1"/>
  <c r="BD583" i="19"/>
  <c r="BF583" i="19"/>
  <c r="BI583" i="19"/>
  <c r="AC583" i="19" s="1"/>
  <c r="BJ583" i="19"/>
  <c r="K584" i="19"/>
  <c r="Z584" i="19"/>
  <c r="AD584" i="19"/>
  <c r="AE584" i="19"/>
  <c r="AF584" i="19"/>
  <c r="AG584" i="19"/>
  <c r="AH584" i="19"/>
  <c r="AJ584" i="19"/>
  <c r="AK584" i="19"/>
  <c r="AL584" i="19"/>
  <c r="AO584" i="19"/>
  <c r="I584" i="19" s="1"/>
  <c r="AP584" i="19"/>
  <c r="AX584" i="19" s="1"/>
  <c r="AW584" i="19"/>
  <c r="BD584" i="19"/>
  <c r="BF584" i="19"/>
  <c r="BJ584" i="19"/>
  <c r="K585" i="19"/>
  <c r="AK585" i="19" s="1"/>
  <c r="Z585" i="19"/>
  <c r="AD585" i="19"/>
  <c r="AE585" i="19"/>
  <c r="AF585" i="19"/>
  <c r="AG585" i="19"/>
  <c r="AH585" i="19"/>
  <c r="AJ585" i="19"/>
  <c r="AL585" i="19"/>
  <c r="AO585" i="19"/>
  <c r="AW585" i="19" s="1"/>
  <c r="AP585" i="19"/>
  <c r="J585" i="19" s="1"/>
  <c r="BD585" i="19"/>
  <c r="BF585" i="19"/>
  <c r="BJ585" i="19"/>
  <c r="K586" i="19"/>
  <c r="Z586" i="19"/>
  <c r="AD586" i="19"/>
  <c r="AE586" i="19"/>
  <c r="AF586" i="19"/>
  <c r="AG586" i="19"/>
  <c r="AH586" i="19"/>
  <c r="AJ586" i="19"/>
  <c r="AK586" i="19"/>
  <c r="AL586" i="19"/>
  <c r="AO586" i="19"/>
  <c r="I586" i="19" s="1"/>
  <c r="AP586" i="19"/>
  <c r="J586" i="19" s="1"/>
  <c r="BD586" i="19"/>
  <c r="BF586" i="19"/>
  <c r="BH586" i="19"/>
  <c r="AB586" i="19" s="1"/>
  <c r="BJ586" i="19"/>
  <c r="K587" i="19"/>
  <c r="AK587" i="19" s="1"/>
  <c r="Z587" i="19"/>
  <c r="AD587" i="19"/>
  <c r="AE587" i="19"/>
  <c r="AF587" i="19"/>
  <c r="AG587" i="19"/>
  <c r="AH587" i="19"/>
  <c r="AJ587" i="19"/>
  <c r="AL587" i="19"/>
  <c r="AO587" i="19"/>
  <c r="I587" i="19" s="1"/>
  <c r="AP587" i="19"/>
  <c r="J587" i="19" s="1"/>
  <c r="BD587" i="19"/>
  <c r="BF587" i="19"/>
  <c r="BJ587" i="19"/>
  <c r="K588" i="19"/>
  <c r="AK588" i="19" s="1"/>
  <c r="Z588" i="19"/>
  <c r="AD588" i="19"/>
  <c r="AE588" i="19"/>
  <c r="AF588" i="19"/>
  <c r="AG588" i="19"/>
  <c r="AH588" i="19"/>
  <c r="AJ588" i="19"/>
  <c r="AL588" i="19"/>
  <c r="AO588" i="19"/>
  <c r="I588" i="19" s="1"/>
  <c r="AP588" i="19"/>
  <c r="J588" i="19" s="1"/>
  <c r="BD588" i="19"/>
  <c r="BF588" i="19"/>
  <c r="BI588" i="19"/>
  <c r="AC588" i="19" s="1"/>
  <c r="BJ588" i="19"/>
  <c r="K589" i="19"/>
  <c r="Z589" i="19"/>
  <c r="AD589" i="19"/>
  <c r="AE589" i="19"/>
  <c r="AF589" i="19"/>
  <c r="AG589" i="19"/>
  <c r="AH589" i="19"/>
  <c r="AJ589" i="19"/>
  <c r="AK589" i="19"/>
  <c r="AL589" i="19"/>
  <c r="AO589" i="19"/>
  <c r="I589" i="19" s="1"/>
  <c r="AP589" i="19"/>
  <c r="J589" i="19" s="1"/>
  <c r="BD589" i="19"/>
  <c r="BF589" i="19"/>
  <c r="BI589" i="19"/>
  <c r="AC589" i="19" s="1"/>
  <c r="BJ589" i="19"/>
  <c r="K590" i="19"/>
  <c r="Z590" i="19"/>
  <c r="AD590" i="19"/>
  <c r="AE590" i="19"/>
  <c r="AF590" i="19"/>
  <c r="AG590" i="19"/>
  <c r="AH590" i="19"/>
  <c r="AJ590" i="19"/>
  <c r="AK590" i="19"/>
  <c r="AL590" i="19"/>
  <c r="AO590" i="19"/>
  <c r="I590" i="19" s="1"/>
  <c r="AP590" i="19"/>
  <c r="J590" i="19" s="1"/>
  <c r="BD590" i="19"/>
  <c r="BF590" i="19"/>
  <c r="BH590" i="19"/>
  <c r="AB590" i="19" s="1"/>
  <c r="BJ590" i="19"/>
  <c r="K592" i="19"/>
  <c r="Z592" i="19"/>
  <c r="AD592" i="19"/>
  <c r="AE592" i="19"/>
  <c r="AF592" i="19"/>
  <c r="AG592" i="19"/>
  <c r="AH592" i="19"/>
  <c r="AJ592" i="19"/>
  <c r="AK592" i="19"/>
  <c r="AL592" i="19"/>
  <c r="AO592" i="19"/>
  <c r="I592" i="19" s="1"/>
  <c r="AP592" i="19"/>
  <c r="J592" i="19" s="1"/>
  <c r="AW592" i="19"/>
  <c r="BD592" i="19"/>
  <c r="BF592" i="19"/>
  <c r="BH592" i="19"/>
  <c r="AB592" i="19" s="1"/>
  <c r="BJ592" i="19"/>
  <c r="K593" i="19"/>
  <c r="Z593" i="19"/>
  <c r="AD593" i="19"/>
  <c r="AE593" i="19"/>
  <c r="AF593" i="19"/>
  <c r="AG593" i="19"/>
  <c r="AH593" i="19"/>
  <c r="AJ593" i="19"/>
  <c r="AK593" i="19"/>
  <c r="AL593" i="19"/>
  <c r="AO593" i="19"/>
  <c r="I593" i="19" s="1"/>
  <c r="AP593" i="19"/>
  <c r="J593" i="19" s="1"/>
  <c r="BD593" i="19"/>
  <c r="BF593" i="19"/>
  <c r="BH593" i="19"/>
  <c r="AB593" i="19" s="1"/>
  <c r="BJ593" i="19"/>
  <c r="K594" i="19"/>
  <c r="Z594" i="19"/>
  <c r="AD594" i="19"/>
  <c r="AE594" i="19"/>
  <c r="AF594" i="19"/>
  <c r="AG594" i="19"/>
  <c r="AH594" i="19"/>
  <c r="AJ594" i="19"/>
  <c r="AL594" i="19"/>
  <c r="AO594" i="19"/>
  <c r="I594" i="19" s="1"/>
  <c r="AP594" i="19"/>
  <c r="J594" i="19" s="1"/>
  <c r="BD594" i="19"/>
  <c r="BF594" i="19"/>
  <c r="BH594" i="19"/>
  <c r="AB594" i="19" s="1"/>
  <c r="BJ594" i="19"/>
  <c r="K595" i="19"/>
  <c r="AK595" i="19" s="1"/>
  <c r="Z595" i="19"/>
  <c r="AD595" i="19"/>
  <c r="AE595" i="19"/>
  <c r="AF595" i="19"/>
  <c r="AG595" i="19"/>
  <c r="AH595" i="19"/>
  <c r="AJ595" i="19"/>
  <c r="AL595" i="19"/>
  <c r="AO595" i="19"/>
  <c r="I595" i="19" s="1"/>
  <c r="AP595" i="19"/>
  <c r="AX595" i="19" s="1"/>
  <c r="BD595" i="19"/>
  <c r="BF595" i="19"/>
  <c r="BH595" i="19"/>
  <c r="AB595" i="19" s="1"/>
  <c r="BJ595" i="19"/>
  <c r="K596" i="19"/>
  <c r="AK596" i="19" s="1"/>
  <c r="Z596" i="19"/>
  <c r="AD596" i="19"/>
  <c r="AE596" i="19"/>
  <c r="AF596" i="19"/>
  <c r="AG596" i="19"/>
  <c r="AH596" i="19"/>
  <c r="AJ596" i="19"/>
  <c r="AL596" i="19"/>
  <c r="AO596" i="19"/>
  <c r="AW596" i="19" s="1"/>
  <c r="AP596" i="19"/>
  <c r="J596" i="19" s="1"/>
  <c r="BD596" i="19"/>
  <c r="BF596" i="19"/>
  <c r="BJ596" i="19"/>
  <c r="K597" i="19"/>
  <c r="Z597" i="19"/>
  <c r="AD597" i="19"/>
  <c r="AE597" i="19"/>
  <c r="AF597" i="19"/>
  <c r="AG597" i="19"/>
  <c r="AH597" i="19"/>
  <c r="AJ597" i="19"/>
  <c r="AK597" i="19"/>
  <c r="AL597" i="19"/>
  <c r="AO597" i="19"/>
  <c r="I597" i="19" s="1"/>
  <c r="AP597" i="19"/>
  <c r="BI597" i="19" s="1"/>
  <c r="AC597" i="19" s="1"/>
  <c r="BD597" i="19"/>
  <c r="BF597" i="19"/>
  <c r="BH597" i="19"/>
  <c r="AB597" i="19" s="1"/>
  <c r="BJ597" i="19"/>
  <c r="K598" i="19"/>
  <c r="AK598" i="19" s="1"/>
  <c r="Z598" i="19"/>
  <c r="AD598" i="19"/>
  <c r="AE598" i="19"/>
  <c r="AF598" i="19"/>
  <c r="AG598" i="19"/>
  <c r="AH598" i="19"/>
  <c r="AJ598" i="19"/>
  <c r="AL598" i="19"/>
  <c r="AO598" i="19"/>
  <c r="I598" i="19" s="1"/>
  <c r="AP598" i="19"/>
  <c r="J598" i="19" s="1"/>
  <c r="BD598" i="19"/>
  <c r="BF598" i="19"/>
  <c r="BH598" i="19"/>
  <c r="AB598" i="19" s="1"/>
  <c r="BJ598" i="19"/>
  <c r="B2" i="18"/>
  <c r="E2" i="18"/>
  <c r="B4" i="18"/>
  <c r="E4" i="18"/>
  <c r="B6" i="18"/>
  <c r="E6" i="18"/>
  <c r="B8" i="18"/>
  <c r="E33" i="18"/>
  <c r="C2" i="17"/>
  <c r="F2" i="17"/>
  <c r="C4" i="17"/>
  <c r="F4" i="17"/>
  <c r="C6" i="17"/>
  <c r="F6" i="17"/>
  <c r="C10" i="17"/>
  <c r="F10" i="17"/>
  <c r="F22" i="17"/>
  <c r="I22" i="17"/>
  <c r="C2" i="16"/>
  <c r="F2" i="16"/>
  <c r="C4" i="16"/>
  <c r="F4" i="16"/>
  <c r="C6" i="16"/>
  <c r="F6" i="16"/>
  <c r="C8" i="16"/>
  <c r="K13" i="15"/>
  <c r="Z13" i="15"/>
  <c r="AD13" i="15"/>
  <c r="AE13" i="15"/>
  <c r="AF13" i="15"/>
  <c r="AG13" i="15"/>
  <c r="AH13" i="15"/>
  <c r="AJ13" i="15"/>
  <c r="AK13" i="15"/>
  <c r="AL13" i="15"/>
  <c r="AO13" i="15"/>
  <c r="I13" i="15" s="1"/>
  <c r="AP13" i="15"/>
  <c r="AX13" i="15" s="1"/>
  <c r="AW13" i="15"/>
  <c r="BD13" i="15"/>
  <c r="BF13" i="15"/>
  <c r="BJ13" i="15"/>
  <c r="K14" i="15"/>
  <c r="AK14" i="15" s="1"/>
  <c r="Z14" i="15"/>
  <c r="AD14" i="15"/>
  <c r="AE14" i="15"/>
  <c r="AF14" i="15"/>
  <c r="AG14" i="15"/>
  <c r="AH14" i="15"/>
  <c r="AJ14" i="15"/>
  <c r="AL14" i="15"/>
  <c r="AO14" i="15"/>
  <c r="AP14" i="15"/>
  <c r="BD14" i="15"/>
  <c r="BF14" i="15"/>
  <c r="BJ14" i="15"/>
  <c r="K15" i="15"/>
  <c r="Z15" i="15"/>
  <c r="AD15" i="15"/>
  <c r="AE15" i="15"/>
  <c r="AF15" i="15"/>
  <c r="AG15" i="15"/>
  <c r="AH15" i="15"/>
  <c r="AJ15" i="15"/>
  <c r="AL15" i="15"/>
  <c r="AO15" i="15"/>
  <c r="BH15" i="15" s="1"/>
  <c r="AB15" i="15" s="1"/>
  <c r="AP15" i="15"/>
  <c r="J15" i="15" s="1"/>
  <c r="BD15" i="15"/>
  <c r="BF15" i="15"/>
  <c r="BJ15" i="15"/>
  <c r="K16" i="15"/>
  <c r="AK16" i="15" s="1"/>
  <c r="Z16" i="15"/>
  <c r="AD16" i="15"/>
  <c r="AE16" i="15"/>
  <c r="AF16" i="15"/>
  <c r="AG16" i="15"/>
  <c r="AH16" i="15"/>
  <c r="AJ16" i="15"/>
  <c r="AL16" i="15"/>
  <c r="AO16" i="15"/>
  <c r="I16" i="15" s="1"/>
  <c r="AP16" i="15"/>
  <c r="J16" i="15" s="1"/>
  <c r="BD16" i="15"/>
  <c r="BF16" i="15"/>
  <c r="BH16" i="15"/>
  <c r="AB16" i="15" s="1"/>
  <c r="BJ16" i="15"/>
  <c r="K17" i="15"/>
  <c r="Z17" i="15"/>
  <c r="AD17" i="15"/>
  <c r="AE17" i="15"/>
  <c r="AF17" i="15"/>
  <c r="AG17" i="15"/>
  <c r="AH17" i="15"/>
  <c r="AJ17" i="15"/>
  <c r="AK17" i="15"/>
  <c r="AL17" i="15"/>
  <c r="AO17" i="15"/>
  <c r="AP17" i="15"/>
  <c r="J17" i="15" s="1"/>
  <c r="BD17" i="15"/>
  <c r="BF17" i="15"/>
  <c r="BJ17" i="15"/>
  <c r="K18" i="15"/>
  <c r="AK18" i="15" s="1"/>
  <c r="Z18" i="15"/>
  <c r="AD18" i="15"/>
  <c r="AE18" i="15"/>
  <c r="AF18" i="15"/>
  <c r="AG18" i="15"/>
  <c r="AH18" i="15"/>
  <c r="AJ18" i="15"/>
  <c r="AL18" i="15"/>
  <c r="AO18" i="15"/>
  <c r="AW18" i="15" s="1"/>
  <c r="AP18" i="15"/>
  <c r="BD18" i="15"/>
  <c r="BF18" i="15"/>
  <c r="BJ18" i="15"/>
  <c r="K20" i="15"/>
  <c r="K19" i="15" s="1"/>
  <c r="G12" i="14" s="1"/>
  <c r="I12" i="14" s="1"/>
  <c r="Z20" i="15"/>
  <c r="AD20" i="15"/>
  <c r="AE20" i="15"/>
  <c r="AF20" i="15"/>
  <c r="AG20" i="15"/>
  <c r="AH20" i="15"/>
  <c r="AJ20" i="15"/>
  <c r="AS19" i="15" s="1"/>
  <c r="AK20" i="15"/>
  <c r="AT19" i="15" s="1"/>
  <c r="AL20" i="15"/>
  <c r="AU19" i="15" s="1"/>
  <c r="AO20" i="15"/>
  <c r="AP20" i="15"/>
  <c r="AX20" i="15" s="1"/>
  <c r="BD20" i="15"/>
  <c r="BF20" i="15"/>
  <c r="BH20" i="15"/>
  <c r="AB20" i="15" s="1"/>
  <c r="BJ20" i="15"/>
  <c r="K22" i="15"/>
  <c r="Z22" i="15"/>
  <c r="AD22" i="15"/>
  <c r="AE22" i="15"/>
  <c r="AF22" i="15"/>
  <c r="AG22" i="15"/>
  <c r="AH22" i="15"/>
  <c r="AJ22" i="15"/>
  <c r="AL22" i="15"/>
  <c r="AO22" i="15"/>
  <c r="AP22" i="15"/>
  <c r="BI22" i="15" s="1"/>
  <c r="AC22" i="15" s="1"/>
  <c r="BD22" i="15"/>
  <c r="BF22" i="15"/>
  <c r="BJ22" i="15"/>
  <c r="K23" i="15"/>
  <c r="Z23" i="15"/>
  <c r="AD23" i="15"/>
  <c r="AE23" i="15"/>
  <c r="AF23" i="15"/>
  <c r="AG23" i="15"/>
  <c r="AH23" i="15"/>
  <c r="AJ23" i="15"/>
  <c r="AK23" i="15"/>
  <c r="AL23" i="15"/>
  <c r="AO23" i="15"/>
  <c r="I23" i="15" s="1"/>
  <c r="AP23" i="15"/>
  <c r="AX23" i="15" s="1"/>
  <c r="BD23" i="15"/>
  <c r="BF23" i="15"/>
  <c r="BI23" i="15"/>
  <c r="AC23" i="15" s="1"/>
  <c r="BJ23" i="15"/>
  <c r="K24" i="15"/>
  <c r="Z24" i="15"/>
  <c r="AD24" i="15"/>
  <c r="AE24" i="15"/>
  <c r="AF24" i="15"/>
  <c r="AG24" i="15"/>
  <c r="AH24" i="15"/>
  <c r="AJ24" i="15"/>
  <c r="AK24" i="15"/>
  <c r="AL24" i="15"/>
  <c r="AO24" i="15"/>
  <c r="AW24" i="15" s="1"/>
  <c r="AP24" i="15"/>
  <c r="BD24" i="15"/>
  <c r="BF24" i="15"/>
  <c r="BI24" i="15"/>
  <c r="AC24" i="15" s="1"/>
  <c r="BJ24" i="15"/>
  <c r="K25" i="15"/>
  <c r="AK25" i="15" s="1"/>
  <c r="Z25" i="15"/>
  <c r="AD25" i="15"/>
  <c r="AE25" i="15"/>
  <c r="AF25" i="15"/>
  <c r="AG25" i="15"/>
  <c r="AH25" i="15"/>
  <c r="AJ25" i="15"/>
  <c r="AL25" i="15"/>
  <c r="AO25" i="15"/>
  <c r="BH25" i="15" s="1"/>
  <c r="AB25" i="15" s="1"/>
  <c r="AP25" i="15"/>
  <c r="AX25" i="15" s="1"/>
  <c r="BD25" i="15"/>
  <c r="BF25" i="15"/>
  <c r="BJ25" i="15"/>
  <c r="K27" i="15"/>
  <c r="AK27" i="15" s="1"/>
  <c r="Z27" i="15"/>
  <c r="AD27" i="15"/>
  <c r="AE27" i="15"/>
  <c r="AF27" i="15"/>
  <c r="AG27" i="15"/>
  <c r="AH27" i="15"/>
  <c r="AJ27" i="15"/>
  <c r="AL27" i="15"/>
  <c r="AO27" i="15"/>
  <c r="AW27" i="15" s="1"/>
  <c r="AP27" i="15"/>
  <c r="BD27" i="15"/>
  <c r="BF27" i="15"/>
  <c r="BH27" i="15"/>
  <c r="AB27" i="15" s="1"/>
  <c r="BJ27" i="15"/>
  <c r="K28" i="15"/>
  <c r="AK28" i="15" s="1"/>
  <c r="Z28" i="15"/>
  <c r="AD28" i="15"/>
  <c r="AE28" i="15"/>
  <c r="AF28" i="15"/>
  <c r="AG28" i="15"/>
  <c r="AH28" i="15"/>
  <c r="AJ28" i="15"/>
  <c r="AL28" i="15"/>
  <c r="AO28" i="15"/>
  <c r="AP28" i="15"/>
  <c r="BD28" i="15"/>
  <c r="BF28" i="15"/>
  <c r="BJ28" i="15"/>
  <c r="K29" i="15"/>
  <c r="AK29" i="15" s="1"/>
  <c r="Z29" i="15"/>
  <c r="AD29" i="15"/>
  <c r="AE29" i="15"/>
  <c r="AF29" i="15"/>
  <c r="AG29" i="15"/>
  <c r="AH29" i="15"/>
  <c r="AJ29" i="15"/>
  <c r="AL29" i="15"/>
  <c r="AO29" i="15"/>
  <c r="AP29" i="15"/>
  <c r="J29" i="15" s="1"/>
  <c r="BD29" i="15"/>
  <c r="BF29" i="15"/>
  <c r="BJ29" i="15"/>
  <c r="K31" i="15"/>
  <c r="Z31" i="15"/>
  <c r="AD31" i="15"/>
  <c r="AE31" i="15"/>
  <c r="AF31" i="15"/>
  <c r="AG31" i="15"/>
  <c r="AH31" i="15"/>
  <c r="AJ31" i="15"/>
  <c r="AL31" i="15"/>
  <c r="AO31" i="15"/>
  <c r="AP31" i="15"/>
  <c r="AX31" i="15" s="1"/>
  <c r="BD31" i="15"/>
  <c r="BF31" i="15"/>
  <c r="BJ31" i="15"/>
  <c r="K32" i="15"/>
  <c r="AK32" i="15" s="1"/>
  <c r="Z32" i="15"/>
  <c r="AD32" i="15"/>
  <c r="AE32" i="15"/>
  <c r="AF32" i="15"/>
  <c r="AG32" i="15"/>
  <c r="AH32" i="15"/>
  <c r="AJ32" i="15"/>
  <c r="AL32" i="15"/>
  <c r="AO32" i="15"/>
  <c r="AP32" i="15"/>
  <c r="J32" i="15" s="1"/>
  <c r="BD32" i="15"/>
  <c r="BF32" i="15"/>
  <c r="BJ32" i="15"/>
  <c r="K33" i="15"/>
  <c r="Z33" i="15"/>
  <c r="AD33" i="15"/>
  <c r="AE33" i="15"/>
  <c r="AF33" i="15"/>
  <c r="AG33" i="15"/>
  <c r="AH33" i="15"/>
  <c r="AJ33" i="15"/>
  <c r="AK33" i="15"/>
  <c r="AL33" i="15"/>
  <c r="AO33" i="15"/>
  <c r="AW33" i="15" s="1"/>
  <c r="AP33" i="15"/>
  <c r="BD33" i="15"/>
  <c r="BF33" i="15"/>
  <c r="BH33" i="15"/>
  <c r="AB33" i="15" s="1"/>
  <c r="BJ33" i="15"/>
  <c r="K34" i="15"/>
  <c r="AK34" i="15" s="1"/>
  <c r="Z34" i="15"/>
  <c r="AD34" i="15"/>
  <c r="AE34" i="15"/>
  <c r="AF34" i="15"/>
  <c r="AG34" i="15"/>
  <c r="AH34" i="15"/>
  <c r="AJ34" i="15"/>
  <c r="AL34" i="15"/>
  <c r="AO34" i="15"/>
  <c r="AP34" i="15"/>
  <c r="BD34" i="15"/>
  <c r="BF34" i="15"/>
  <c r="BJ34" i="15"/>
  <c r="K36" i="15"/>
  <c r="K35" i="15" s="1"/>
  <c r="G16" i="14" s="1"/>
  <c r="I16" i="14" s="1"/>
  <c r="Z36" i="15"/>
  <c r="AD36" i="15"/>
  <c r="AE36" i="15"/>
  <c r="AF36" i="15"/>
  <c r="AG36" i="15"/>
  <c r="AH36" i="15"/>
  <c r="AJ36" i="15"/>
  <c r="AS35" i="15" s="1"/>
  <c r="AK36" i="15"/>
  <c r="AT35" i="15" s="1"/>
  <c r="AL36" i="15"/>
  <c r="AU35" i="15" s="1"/>
  <c r="AO36" i="15"/>
  <c r="AP36" i="15"/>
  <c r="AX36" i="15" s="1"/>
  <c r="BD36" i="15"/>
  <c r="BF36" i="15"/>
  <c r="BJ36" i="15"/>
  <c r="K38" i="15"/>
  <c r="Z38" i="15"/>
  <c r="AD38" i="15"/>
  <c r="AE38" i="15"/>
  <c r="AF38" i="15"/>
  <c r="AG38" i="15"/>
  <c r="AH38" i="15"/>
  <c r="AJ38" i="15"/>
  <c r="AL38" i="15"/>
  <c r="AO38" i="15"/>
  <c r="AP38" i="15"/>
  <c r="J38" i="15" s="1"/>
  <c r="BD38" i="15"/>
  <c r="BF38" i="15"/>
  <c r="BJ38" i="15"/>
  <c r="K39" i="15"/>
  <c r="AK39" i="15" s="1"/>
  <c r="Z39" i="15"/>
  <c r="AD39" i="15"/>
  <c r="AE39" i="15"/>
  <c r="AF39" i="15"/>
  <c r="AG39" i="15"/>
  <c r="AH39" i="15"/>
  <c r="AJ39" i="15"/>
  <c r="AL39" i="15"/>
  <c r="AO39" i="15"/>
  <c r="AP39" i="15"/>
  <c r="J39" i="15" s="1"/>
  <c r="BD39" i="15"/>
  <c r="BF39" i="15"/>
  <c r="BJ39" i="15"/>
  <c r="K41" i="15"/>
  <c r="Z41" i="15"/>
  <c r="AD41" i="15"/>
  <c r="AE41" i="15"/>
  <c r="AF41" i="15"/>
  <c r="AG41" i="15"/>
  <c r="AH41" i="15"/>
  <c r="AJ41" i="15"/>
  <c r="AL41" i="15"/>
  <c r="AO41" i="15"/>
  <c r="AP41" i="15"/>
  <c r="J41" i="15" s="1"/>
  <c r="BD41" i="15"/>
  <c r="BF41" i="15"/>
  <c r="BJ41" i="15"/>
  <c r="K42" i="15"/>
  <c r="Z42" i="15"/>
  <c r="AD42" i="15"/>
  <c r="AE42" i="15"/>
  <c r="AF42" i="15"/>
  <c r="AG42" i="15"/>
  <c r="AH42" i="15"/>
  <c r="AJ42" i="15"/>
  <c r="AK42" i="15"/>
  <c r="AL42" i="15"/>
  <c r="AO42" i="15"/>
  <c r="AP42" i="15"/>
  <c r="AX42" i="15" s="1"/>
  <c r="BD42" i="15"/>
  <c r="BF42" i="15"/>
  <c r="BH42" i="15"/>
  <c r="AB42" i="15" s="1"/>
  <c r="BI42" i="15"/>
  <c r="AC42" i="15" s="1"/>
  <c r="BJ42" i="15"/>
  <c r="K44" i="15"/>
  <c r="Z44" i="15"/>
  <c r="AD44" i="15"/>
  <c r="AE44" i="15"/>
  <c r="AF44" i="15"/>
  <c r="AG44" i="15"/>
  <c r="AH44" i="15"/>
  <c r="AJ44" i="15"/>
  <c r="AL44" i="15"/>
  <c r="AO44" i="15"/>
  <c r="I44" i="15" s="1"/>
  <c r="AP44" i="15"/>
  <c r="BD44" i="15"/>
  <c r="BF44" i="15"/>
  <c r="BJ44" i="15"/>
  <c r="K45" i="15"/>
  <c r="AK45" i="15" s="1"/>
  <c r="Z45" i="15"/>
  <c r="AD45" i="15"/>
  <c r="AE45" i="15"/>
  <c r="AF45" i="15"/>
  <c r="AG45" i="15"/>
  <c r="AH45" i="15"/>
  <c r="AJ45" i="15"/>
  <c r="AL45" i="15"/>
  <c r="AO45" i="15"/>
  <c r="I45" i="15" s="1"/>
  <c r="AP45" i="15"/>
  <c r="AX45" i="15" s="1"/>
  <c r="BD45" i="15"/>
  <c r="BF45" i="15"/>
  <c r="BH45" i="15"/>
  <c r="AB45" i="15" s="1"/>
  <c r="BJ45" i="15"/>
  <c r="K46" i="15"/>
  <c r="AK46" i="15" s="1"/>
  <c r="Z46" i="15"/>
  <c r="AD46" i="15"/>
  <c r="AE46" i="15"/>
  <c r="AF46" i="15"/>
  <c r="AG46" i="15"/>
  <c r="AH46" i="15"/>
  <c r="AJ46" i="15"/>
  <c r="AL46" i="15"/>
  <c r="AO46" i="15"/>
  <c r="I46" i="15" s="1"/>
  <c r="AP46" i="15"/>
  <c r="BD46" i="15"/>
  <c r="BF46" i="15"/>
  <c r="BJ46" i="15"/>
  <c r="K47" i="15"/>
  <c r="AK47" i="15" s="1"/>
  <c r="Z47" i="15"/>
  <c r="AD47" i="15"/>
  <c r="AE47" i="15"/>
  <c r="AF47" i="15"/>
  <c r="AG47" i="15"/>
  <c r="AH47" i="15"/>
  <c r="AJ47" i="15"/>
  <c r="AL47" i="15"/>
  <c r="AO47" i="15"/>
  <c r="AP47" i="15"/>
  <c r="J47" i="15" s="1"/>
  <c r="BD47" i="15"/>
  <c r="BF47" i="15"/>
  <c r="BH47" i="15"/>
  <c r="AB47" i="15" s="1"/>
  <c r="BJ47" i="15"/>
  <c r="K49" i="15"/>
  <c r="Z49" i="15"/>
  <c r="AD49" i="15"/>
  <c r="AE49" i="15"/>
  <c r="AF49" i="15"/>
  <c r="AG49" i="15"/>
  <c r="AH49" i="15"/>
  <c r="AJ49" i="15"/>
  <c r="AK49" i="15"/>
  <c r="AL49" i="15"/>
  <c r="AO49" i="15"/>
  <c r="I49" i="15" s="1"/>
  <c r="AP49" i="15"/>
  <c r="BI49" i="15" s="1"/>
  <c r="AC49" i="15" s="1"/>
  <c r="BD49" i="15"/>
  <c r="BF49" i="15"/>
  <c r="BJ49" i="15"/>
  <c r="K50" i="15"/>
  <c r="AK50" i="15" s="1"/>
  <c r="Z50" i="15"/>
  <c r="AD50" i="15"/>
  <c r="AE50" i="15"/>
  <c r="AF50" i="15"/>
  <c r="AG50" i="15"/>
  <c r="AH50" i="15"/>
  <c r="AJ50" i="15"/>
  <c r="AL50" i="15"/>
  <c r="AO50" i="15"/>
  <c r="AP50" i="15"/>
  <c r="BD50" i="15"/>
  <c r="BF50" i="15"/>
  <c r="BJ50" i="15"/>
  <c r="K51" i="15"/>
  <c r="AK51" i="15" s="1"/>
  <c r="Z51" i="15"/>
  <c r="AD51" i="15"/>
  <c r="AE51" i="15"/>
  <c r="AF51" i="15"/>
  <c r="AG51" i="15"/>
  <c r="AH51" i="15"/>
  <c r="AJ51" i="15"/>
  <c r="AL51" i="15"/>
  <c r="AO51" i="15"/>
  <c r="AP51" i="15"/>
  <c r="BD51" i="15"/>
  <c r="BF51" i="15"/>
  <c r="BJ51" i="15"/>
  <c r="K53" i="15"/>
  <c r="Z53" i="15"/>
  <c r="AD53" i="15"/>
  <c r="AE53" i="15"/>
  <c r="AF53" i="15"/>
  <c r="AG53" i="15"/>
  <c r="AH53" i="15"/>
  <c r="AJ53" i="15"/>
  <c r="AL53" i="15"/>
  <c r="AO53" i="15"/>
  <c r="AP53" i="15"/>
  <c r="BD53" i="15"/>
  <c r="BF53" i="15"/>
  <c r="BH53" i="15"/>
  <c r="AB53" i="15" s="1"/>
  <c r="BJ53" i="15"/>
  <c r="K54" i="15"/>
  <c r="AK54" i="15" s="1"/>
  <c r="Z54" i="15"/>
  <c r="AD54" i="15"/>
  <c r="AE54" i="15"/>
  <c r="AF54" i="15"/>
  <c r="AG54" i="15"/>
  <c r="AH54" i="15"/>
  <c r="AJ54" i="15"/>
  <c r="AL54" i="15"/>
  <c r="AO54" i="15"/>
  <c r="AP54" i="15"/>
  <c r="BI54" i="15" s="1"/>
  <c r="AC54" i="15" s="1"/>
  <c r="BD54" i="15"/>
  <c r="BF54" i="15"/>
  <c r="BJ54" i="15"/>
  <c r="K55" i="15"/>
  <c r="AK55" i="15" s="1"/>
  <c r="Z55" i="15"/>
  <c r="AD55" i="15"/>
  <c r="AE55" i="15"/>
  <c r="AF55" i="15"/>
  <c r="AG55" i="15"/>
  <c r="AH55" i="15"/>
  <c r="AJ55" i="15"/>
  <c r="AL55" i="15"/>
  <c r="AO55" i="15"/>
  <c r="I55" i="15" s="1"/>
  <c r="AP55" i="15"/>
  <c r="BD55" i="15"/>
  <c r="BF55" i="15"/>
  <c r="BH55" i="15"/>
  <c r="AB55" i="15" s="1"/>
  <c r="BJ55" i="15"/>
  <c r="K57" i="15"/>
  <c r="Z57" i="15"/>
  <c r="AD57" i="15"/>
  <c r="AE57" i="15"/>
  <c r="AF57" i="15"/>
  <c r="AG57" i="15"/>
  <c r="AH57" i="15"/>
  <c r="AJ57" i="15"/>
  <c r="AL57" i="15"/>
  <c r="AO57" i="15"/>
  <c r="AP57" i="15"/>
  <c r="BI57" i="15" s="1"/>
  <c r="AC57" i="15" s="1"/>
  <c r="BD57" i="15"/>
  <c r="BF57" i="15"/>
  <c r="BJ57" i="15"/>
  <c r="K58" i="15"/>
  <c r="Z58" i="15"/>
  <c r="AD58" i="15"/>
  <c r="AE58" i="15"/>
  <c r="AF58" i="15"/>
  <c r="AG58" i="15"/>
  <c r="AH58" i="15"/>
  <c r="AJ58" i="15"/>
  <c r="AK58" i="15"/>
  <c r="AL58" i="15"/>
  <c r="AO58" i="15"/>
  <c r="I58" i="15" s="1"/>
  <c r="AP58" i="15"/>
  <c r="BI58" i="15" s="1"/>
  <c r="AC58" i="15" s="1"/>
  <c r="BD58" i="15"/>
  <c r="BF58" i="15"/>
  <c r="BJ58" i="15"/>
  <c r="K59" i="15"/>
  <c r="AK59" i="15" s="1"/>
  <c r="Z59" i="15"/>
  <c r="AD59" i="15"/>
  <c r="AE59" i="15"/>
  <c r="AF59" i="15"/>
  <c r="AG59" i="15"/>
  <c r="AH59" i="15"/>
  <c r="AJ59" i="15"/>
  <c r="AL59" i="15"/>
  <c r="AO59" i="15"/>
  <c r="AW59" i="15" s="1"/>
  <c r="AP59" i="15"/>
  <c r="J59" i="15" s="1"/>
  <c r="BD59" i="15"/>
  <c r="BF59" i="15"/>
  <c r="BH59" i="15"/>
  <c r="AB59" i="15" s="1"/>
  <c r="BJ59" i="15"/>
  <c r="K60" i="15"/>
  <c r="AK60" i="15" s="1"/>
  <c r="Z60" i="15"/>
  <c r="AD60" i="15"/>
  <c r="AE60" i="15"/>
  <c r="AF60" i="15"/>
  <c r="AG60" i="15"/>
  <c r="AH60" i="15"/>
  <c r="AJ60" i="15"/>
  <c r="AL60" i="15"/>
  <c r="AO60" i="15"/>
  <c r="I60" i="15" s="1"/>
  <c r="AP60" i="15"/>
  <c r="J60" i="15" s="1"/>
  <c r="BD60" i="15"/>
  <c r="BF60" i="15"/>
  <c r="BJ60" i="15"/>
  <c r="K61" i="15"/>
  <c r="AK61" i="15" s="1"/>
  <c r="Z61" i="15"/>
  <c r="AD61" i="15"/>
  <c r="AE61" i="15"/>
  <c r="AF61" i="15"/>
  <c r="AG61" i="15"/>
  <c r="AH61" i="15"/>
  <c r="AJ61" i="15"/>
  <c r="AL61" i="15"/>
  <c r="AO61" i="15"/>
  <c r="AW61" i="15" s="1"/>
  <c r="AP61" i="15"/>
  <c r="J61" i="15" s="1"/>
  <c r="BD61" i="15"/>
  <c r="BF61" i="15"/>
  <c r="BJ61" i="15"/>
  <c r="K62" i="15"/>
  <c r="AK62" i="15" s="1"/>
  <c r="Z62" i="15"/>
  <c r="AD62" i="15"/>
  <c r="AE62" i="15"/>
  <c r="AF62" i="15"/>
  <c r="AG62" i="15"/>
  <c r="AH62" i="15"/>
  <c r="AJ62" i="15"/>
  <c r="AL62" i="15"/>
  <c r="AO62" i="15"/>
  <c r="I62" i="15" s="1"/>
  <c r="AP62" i="15"/>
  <c r="BD62" i="15"/>
  <c r="BF62" i="15"/>
  <c r="BH62" i="15"/>
  <c r="AB62" i="15" s="1"/>
  <c r="BJ62" i="15"/>
  <c r="K63" i="15"/>
  <c r="Z63" i="15"/>
  <c r="AD63" i="15"/>
  <c r="AE63" i="15"/>
  <c r="AF63" i="15"/>
  <c r="AG63" i="15"/>
  <c r="AH63" i="15"/>
  <c r="AJ63" i="15"/>
  <c r="AK63" i="15"/>
  <c r="AL63" i="15"/>
  <c r="AO63" i="15"/>
  <c r="AW63" i="15" s="1"/>
  <c r="AP63" i="15"/>
  <c r="J63" i="15" s="1"/>
  <c r="BD63" i="15"/>
  <c r="BF63" i="15"/>
  <c r="BJ63" i="15"/>
  <c r="K65" i="15"/>
  <c r="Z65" i="15"/>
  <c r="AD65" i="15"/>
  <c r="AE65" i="15"/>
  <c r="AF65" i="15"/>
  <c r="AG65" i="15"/>
  <c r="AH65" i="15"/>
  <c r="AJ65" i="15"/>
  <c r="AK65" i="15"/>
  <c r="AL65" i="15"/>
  <c r="AO65" i="15"/>
  <c r="AP65" i="15"/>
  <c r="BD65" i="15"/>
  <c r="BF65" i="15"/>
  <c r="BJ65" i="15"/>
  <c r="K66" i="15"/>
  <c r="Z66" i="15"/>
  <c r="AD66" i="15"/>
  <c r="AE66" i="15"/>
  <c r="AF66" i="15"/>
  <c r="AG66" i="15"/>
  <c r="AH66" i="15"/>
  <c r="AJ66" i="15"/>
  <c r="AK66" i="15"/>
  <c r="AL66" i="15"/>
  <c r="AO66" i="15"/>
  <c r="AW66" i="15" s="1"/>
  <c r="AP66" i="15"/>
  <c r="BD66" i="15"/>
  <c r="BF66" i="15"/>
  <c r="BJ66" i="15"/>
  <c r="K67" i="15"/>
  <c r="AK67" i="15" s="1"/>
  <c r="Z67" i="15"/>
  <c r="AD67" i="15"/>
  <c r="AE67" i="15"/>
  <c r="AF67" i="15"/>
  <c r="AG67" i="15"/>
  <c r="AH67" i="15"/>
  <c r="AJ67" i="15"/>
  <c r="AL67" i="15"/>
  <c r="AO67" i="15"/>
  <c r="AP67" i="15"/>
  <c r="J67" i="15" s="1"/>
  <c r="BD67" i="15"/>
  <c r="BF67" i="15"/>
  <c r="BJ67" i="15"/>
  <c r="K68" i="15"/>
  <c r="AK68" i="15" s="1"/>
  <c r="Z68" i="15"/>
  <c r="AD68" i="15"/>
  <c r="AE68" i="15"/>
  <c r="AF68" i="15"/>
  <c r="AG68" i="15"/>
  <c r="AH68" i="15"/>
  <c r="AJ68" i="15"/>
  <c r="AL68" i="15"/>
  <c r="AO68" i="15"/>
  <c r="AP68" i="15"/>
  <c r="BI68" i="15" s="1"/>
  <c r="AC68" i="15" s="1"/>
  <c r="BD68" i="15"/>
  <c r="BF68" i="15"/>
  <c r="BJ68" i="15"/>
  <c r="K69" i="15"/>
  <c r="AK69" i="15" s="1"/>
  <c r="Z69" i="15"/>
  <c r="AD69" i="15"/>
  <c r="AE69" i="15"/>
  <c r="AF69" i="15"/>
  <c r="AG69" i="15"/>
  <c r="AH69" i="15"/>
  <c r="AJ69" i="15"/>
  <c r="AL69" i="15"/>
  <c r="AO69" i="15"/>
  <c r="I69" i="15" s="1"/>
  <c r="AP69" i="15"/>
  <c r="BI69" i="15" s="1"/>
  <c r="AC69" i="15" s="1"/>
  <c r="BD69" i="15"/>
  <c r="BF69" i="15"/>
  <c r="BH69" i="15"/>
  <c r="AB69" i="15" s="1"/>
  <c r="BJ69" i="15"/>
  <c r="K70" i="15"/>
  <c r="Z70" i="15"/>
  <c r="AD70" i="15"/>
  <c r="AE70" i="15"/>
  <c r="AF70" i="15"/>
  <c r="AG70" i="15"/>
  <c r="AH70" i="15"/>
  <c r="AJ70" i="15"/>
  <c r="AK70" i="15"/>
  <c r="AL70" i="15"/>
  <c r="AO70" i="15"/>
  <c r="AP70" i="15"/>
  <c r="BD70" i="15"/>
  <c r="BF70" i="15"/>
  <c r="BJ70" i="15"/>
  <c r="K72" i="15"/>
  <c r="AK72" i="15" s="1"/>
  <c r="Z72" i="15"/>
  <c r="AD72" i="15"/>
  <c r="AE72" i="15"/>
  <c r="AF72" i="15"/>
  <c r="AG72" i="15"/>
  <c r="AH72" i="15"/>
  <c r="AJ72" i="15"/>
  <c r="AL72" i="15"/>
  <c r="AO72" i="15"/>
  <c r="AP72" i="15"/>
  <c r="BD72" i="15"/>
  <c r="BF72" i="15"/>
  <c r="BJ72" i="15"/>
  <c r="K74" i="15"/>
  <c r="AK74" i="15" s="1"/>
  <c r="Z74" i="15"/>
  <c r="AD74" i="15"/>
  <c r="AE74" i="15"/>
  <c r="AF74" i="15"/>
  <c r="AG74" i="15"/>
  <c r="AH74" i="15"/>
  <c r="AJ74" i="15"/>
  <c r="AL74" i="15"/>
  <c r="AO74" i="15"/>
  <c r="AW74" i="15" s="1"/>
  <c r="AP74" i="15"/>
  <c r="BD74" i="15"/>
  <c r="BF74" i="15"/>
  <c r="BJ74" i="15"/>
  <c r="K76" i="15"/>
  <c r="AK76" i="15" s="1"/>
  <c r="Z76" i="15"/>
  <c r="AD76" i="15"/>
  <c r="AE76" i="15"/>
  <c r="AF76" i="15"/>
  <c r="AG76" i="15"/>
  <c r="AH76" i="15"/>
  <c r="AJ76" i="15"/>
  <c r="AL76" i="15"/>
  <c r="AO76" i="15"/>
  <c r="AP76" i="15"/>
  <c r="BD76" i="15"/>
  <c r="BF76" i="15"/>
  <c r="BJ76" i="15"/>
  <c r="K78" i="15"/>
  <c r="Z78" i="15"/>
  <c r="AD78" i="15"/>
  <c r="AE78" i="15"/>
  <c r="AF78" i="15"/>
  <c r="AG78" i="15"/>
  <c r="AH78" i="15"/>
  <c r="AJ78" i="15"/>
  <c r="AK78" i="15"/>
  <c r="AL78" i="15"/>
  <c r="AO78" i="15"/>
  <c r="AP78" i="15"/>
  <c r="BI78" i="15" s="1"/>
  <c r="AC78" i="15" s="1"/>
  <c r="BD78" i="15"/>
  <c r="BF78" i="15"/>
  <c r="BJ78" i="15"/>
  <c r="K79" i="15"/>
  <c r="AK79" i="15" s="1"/>
  <c r="Z79" i="15"/>
  <c r="AD79" i="15"/>
  <c r="AE79" i="15"/>
  <c r="AF79" i="15"/>
  <c r="AG79" i="15"/>
  <c r="AH79" i="15"/>
  <c r="AJ79" i="15"/>
  <c r="AL79" i="15"/>
  <c r="AO79" i="15"/>
  <c r="I79" i="15" s="1"/>
  <c r="AP79" i="15"/>
  <c r="BD79" i="15"/>
  <c r="BF79" i="15"/>
  <c r="BJ79" i="15"/>
  <c r="K80" i="15"/>
  <c r="Z80" i="15"/>
  <c r="AD80" i="15"/>
  <c r="AE80" i="15"/>
  <c r="AF80" i="15"/>
  <c r="AG80" i="15"/>
  <c r="AH80" i="15"/>
  <c r="AJ80" i="15"/>
  <c r="AK80" i="15"/>
  <c r="AL80" i="15"/>
  <c r="AO80" i="15"/>
  <c r="AW80" i="15" s="1"/>
  <c r="AP80" i="15"/>
  <c r="BD80" i="15"/>
  <c r="BF80" i="15"/>
  <c r="BJ80" i="15"/>
  <c r="K81" i="15"/>
  <c r="Z81" i="15"/>
  <c r="AD81" i="15"/>
  <c r="AE81" i="15"/>
  <c r="AF81" i="15"/>
  <c r="AG81" i="15"/>
  <c r="AH81" i="15"/>
  <c r="AJ81" i="15"/>
  <c r="AK81" i="15"/>
  <c r="AL81" i="15"/>
  <c r="AO81" i="15"/>
  <c r="I81" i="15" s="1"/>
  <c r="AP81" i="15"/>
  <c r="AX81" i="15" s="1"/>
  <c r="BD81" i="15"/>
  <c r="BF81" i="15"/>
  <c r="BH81" i="15"/>
  <c r="AB81" i="15" s="1"/>
  <c r="BJ81" i="15"/>
  <c r="K82" i="15"/>
  <c r="AK82" i="15" s="1"/>
  <c r="Z82" i="15"/>
  <c r="AD82" i="15"/>
  <c r="AE82" i="15"/>
  <c r="AF82" i="15"/>
  <c r="AG82" i="15"/>
  <c r="AH82" i="15"/>
  <c r="AJ82" i="15"/>
  <c r="AL82" i="15"/>
  <c r="AO82" i="15"/>
  <c r="AP82" i="15"/>
  <c r="BI82" i="15" s="1"/>
  <c r="AC82" i="15" s="1"/>
  <c r="BD82" i="15"/>
  <c r="BF82" i="15"/>
  <c r="BJ82" i="15"/>
  <c r="K83" i="15"/>
  <c r="AK83" i="15" s="1"/>
  <c r="Z83" i="15"/>
  <c r="AD83" i="15"/>
  <c r="AE83" i="15"/>
  <c r="AF83" i="15"/>
  <c r="AG83" i="15"/>
  <c r="AH83" i="15"/>
  <c r="AJ83" i="15"/>
  <c r="AL83" i="15"/>
  <c r="AO83" i="15"/>
  <c r="BH83" i="15" s="1"/>
  <c r="AB83" i="15" s="1"/>
  <c r="AP83" i="15"/>
  <c r="BD83" i="15"/>
  <c r="BF83" i="15"/>
  <c r="BJ83" i="15"/>
  <c r="K84" i="15"/>
  <c r="AK84" i="15" s="1"/>
  <c r="Z84" i="15"/>
  <c r="AD84" i="15"/>
  <c r="AE84" i="15"/>
  <c r="AF84" i="15"/>
  <c r="AG84" i="15"/>
  <c r="AH84" i="15"/>
  <c r="AJ84" i="15"/>
  <c r="AL84" i="15"/>
  <c r="AO84" i="15"/>
  <c r="AP84" i="15"/>
  <c r="AX84" i="15" s="1"/>
  <c r="BD84" i="15"/>
  <c r="BF84" i="15"/>
  <c r="BH84" i="15"/>
  <c r="AB84" i="15" s="1"/>
  <c r="BJ84" i="15"/>
  <c r="K85" i="15"/>
  <c r="AK85" i="15" s="1"/>
  <c r="Z85" i="15"/>
  <c r="AD85" i="15"/>
  <c r="AE85" i="15"/>
  <c r="AF85" i="15"/>
  <c r="AG85" i="15"/>
  <c r="AH85" i="15"/>
  <c r="AJ85" i="15"/>
  <c r="AL85" i="15"/>
  <c r="AO85" i="15"/>
  <c r="AP85" i="15"/>
  <c r="J85" i="15" s="1"/>
  <c r="BD85" i="15"/>
  <c r="BF85" i="15"/>
  <c r="BH85" i="15"/>
  <c r="AB85" i="15" s="1"/>
  <c r="BJ85" i="15"/>
  <c r="K86" i="15"/>
  <c r="Z86" i="15"/>
  <c r="AD86" i="15"/>
  <c r="AE86" i="15"/>
  <c r="AF86" i="15"/>
  <c r="AG86" i="15"/>
  <c r="AH86" i="15"/>
  <c r="AJ86" i="15"/>
  <c r="AK86" i="15"/>
  <c r="AL86" i="15"/>
  <c r="AO86" i="15"/>
  <c r="AP86" i="15"/>
  <c r="J86" i="15" s="1"/>
  <c r="BD86" i="15"/>
  <c r="BF86" i="15"/>
  <c r="BH86" i="15"/>
  <c r="AB86" i="15" s="1"/>
  <c r="BJ86" i="15"/>
  <c r="K87" i="15"/>
  <c r="AK87" i="15" s="1"/>
  <c r="Z87" i="15"/>
  <c r="AD87" i="15"/>
  <c r="AE87" i="15"/>
  <c r="AF87" i="15"/>
  <c r="AG87" i="15"/>
  <c r="AH87" i="15"/>
  <c r="AJ87" i="15"/>
  <c r="AL87" i="15"/>
  <c r="AO87" i="15"/>
  <c r="AW87" i="15" s="1"/>
  <c r="AP87" i="15"/>
  <c r="BI87" i="15" s="1"/>
  <c r="AC87" i="15" s="1"/>
  <c r="BD87" i="15"/>
  <c r="BF87" i="15"/>
  <c r="BH87" i="15"/>
  <c r="AB87" i="15" s="1"/>
  <c r="BJ87" i="15"/>
  <c r="K88" i="15"/>
  <c r="AK88" i="15" s="1"/>
  <c r="Z88" i="15"/>
  <c r="AD88" i="15"/>
  <c r="AE88" i="15"/>
  <c r="AF88" i="15"/>
  <c r="AG88" i="15"/>
  <c r="AH88" i="15"/>
  <c r="AJ88" i="15"/>
  <c r="AL88" i="15"/>
  <c r="AO88" i="15"/>
  <c r="AP88" i="15"/>
  <c r="BD88" i="15"/>
  <c r="BF88" i="15"/>
  <c r="BJ88" i="15"/>
  <c r="K90" i="15"/>
  <c r="K89" i="15" s="1"/>
  <c r="G24" i="14" s="1"/>
  <c r="I24" i="14" s="1"/>
  <c r="Z90" i="15"/>
  <c r="AD90" i="15"/>
  <c r="AE90" i="15"/>
  <c r="AF90" i="15"/>
  <c r="AG90" i="15"/>
  <c r="AH90" i="15"/>
  <c r="AJ90" i="15"/>
  <c r="AS89" i="15" s="1"/>
  <c r="AK90" i="15"/>
  <c r="AT89" i="15" s="1"/>
  <c r="AL90" i="15"/>
  <c r="AU89" i="15" s="1"/>
  <c r="AO90" i="15"/>
  <c r="AP90" i="15"/>
  <c r="BD90" i="15"/>
  <c r="BF90" i="15"/>
  <c r="BJ90" i="15"/>
  <c r="K92" i="15"/>
  <c r="Z92" i="15"/>
  <c r="AD92" i="15"/>
  <c r="AE92" i="15"/>
  <c r="AF92" i="15"/>
  <c r="AG92" i="15"/>
  <c r="AH92" i="15"/>
  <c r="AJ92" i="15"/>
  <c r="AL92" i="15"/>
  <c r="AO92" i="15"/>
  <c r="I92" i="15" s="1"/>
  <c r="AP92" i="15"/>
  <c r="J92" i="15" s="1"/>
  <c r="BD92" i="15"/>
  <c r="BF92" i="15"/>
  <c r="BJ92" i="15"/>
  <c r="K93" i="15"/>
  <c r="AK93" i="15" s="1"/>
  <c r="Z93" i="15"/>
  <c r="AD93" i="15"/>
  <c r="AE93" i="15"/>
  <c r="AF93" i="15"/>
  <c r="AG93" i="15"/>
  <c r="AH93" i="15"/>
  <c r="AJ93" i="15"/>
  <c r="AL93" i="15"/>
  <c r="AO93" i="15"/>
  <c r="I93" i="15" s="1"/>
  <c r="AP93" i="15"/>
  <c r="BI93" i="15" s="1"/>
  <c r="AC93" i="15" s="1"/>
  <c r="BD93" i="15"/>
  <c r="BF93" i="15"/>
  <c r="BH93" i="15"/>
  <c r="AB93" i="15" s="1"/>
  <c r="BJ93" i="15"/>
  <c r="K95" i="15"/>
  <c r="Z95" i="15"/>
  <c r="AD95" i="15"/>
  <c r="AE95" i="15"/>
  <c r="AF95" i="15"/>
  <c r="AG95" i="15"/>
  <c r="AH95" i="15"/>
  <c r="AJ95" i="15"/>
  <c r="AK95" i="15"/>
  <c r="AL95" i="15"/>
  <c r="AO95" i="15"/>
  <c r="AP95" i="15"/>
  <c r="J95" i="15" s="1"/>
  <c r="BD95" i="15"/>
  <c r="BF95" i="15"/>
  <c r="BJ95" i="15"/>
  <c r="K96" i="15"/>
  <c r="Z96" i="15"/>
  <c r="AD96" i="15"/>
  <c r="AE96" i="15"/>
  <c r="AF96" i="15"/>
  <c r="AG96" i="15"/>
  <c r="AH96" i="15"/>
  <c r="AJ96" i="15"/>
  <c r="AK96" i="15"/>
  <c r="AL96" i="15"/>
  <c r="AO96" i="15"/>
  <c r="AP96" i="15"/>
  <c r="BD96" i="15"/>
  <c r="BF96" i="15"/>
  <c r="BJ96" i="15"/>
  <c r="K98" i="15"/>
  <c r="Z98" i="15"/>
  <c r="AD98" i="15"/>
  <c r="AE98" i="15"/>
  <c r="AF98" i="15"/>
  <c r="AG98" i="15"/>
  <c r="AH98" i="15"/>
  <c r="AJ98" i="15"/>
  <c r="AK98" i="15"/>
  <c r="AL98" i="15"/>
  <c r="AO98" i="15"/>
  <c r="AP98" i="15"/>
  <c r="BI98" i="15" s="1"/>
  <c r="AC98" i="15" s="1"/>
  <c r="BD98" i="15"/>
  <c r="BF98" i="15"/>
  <c r="BJ98" i="15"/>
  <c r="K99" i="15"/>
  <c r="Z99" i="15"/>
  <c r="AD99" i="15"/>
  <c r="AE99" i="15"/>
  <c r="AF99" i="15"/>
  <c r="AG99" i="15"/>
  <c r="AH99" i="15"/>
  <c r="AJ99" i="15"/>
  <c r="AK99" i="15"/>
  <c r="AL99" i="15"/>
  <c r="AO99" i="15"/>
  <c r="AW99" i="15" s="1"/>
  <c r="AP99" i="15"/>
  <c r="BI99" i="15" s="1"/>
  <c r="AC99" i="15" s="1"/>
  <c r="BD99" i="15"/>
  <c r="BF99" i="15"/>
  <c r="BH99" i="15"/>
  <c r="AB99" i="15" s="1"/>
  <c r="BJ99" i="15"/>
  <c r="K101" i="15"/>
  <c r="Z101" i="15"/>
  <c r="AD101" i="15"/>
  <c r="AE101" i="15"/>
  <c r="AF101" i="15"/>
  <c r="AG101" i="15"/>
  <c r="AH101" i="15"/>
  <c r="AJ101" i="15"/>
  <c r="AK101" i="15"/>
  <c r="AL101" i="15"/>
  <c r="AO101" i="15"/>
  <c r="AP101" i="15"/>
  <c r="BD101" i="15"/>
  <c r="BF101" i="15"/>
  <c r="BH101" i="15"/>
  <c r="AB101" i="15" s="1"/>
  <c r="BJ101" i="15"/>
  <c r="K102" i="15"/>
  <c r="AK102" i="15" s="1"/>
  <c r="Z102" i="15"/>
  <c r="AD102" i="15"/>
  <c r="AE102" i="15"/>
  <c r="AF102" i="15"/>
  <c r="AG102" i="15"/>
  <c r="AH102" i="15"/>
  <c r="AJ102" i="15"/>
  <c r="AS100" i="15" s="1"/>
  <c r="AL102" i="15"/>
  <c r="AO102" i="15"/>
  <c r="AP102" i="15"/>
  <c r="BD102" i="15"/>
  <c r="BF102" i="15"/>
  <c r="BH102" i="15"/>
  <c r="AB102" i="15" s="1"/>
  <c r="BJ102" i="15"/>
  <c r="K104" i="15"/>
  <c r="AK104" i="15" s="1"/>
  <c r="Z104" i="15"/>
  <c r="AD104" i="15"/>
  <c r="AE104" i="15"/>
  <c r="AF104" i="15"/>
  <c r="AG104" i="15"/>
  <c r="AH104" i="15"/>
  <c r="AJ104" i="15"/>
  <c r="AL104" i="15"/>
  <c r="AO104" i="15"/>
  <c r="AP104" i="15"/>
  <c r="J104" i="15" s="1"/>
  <c r="BD104" i="15"/>
  <c r="BF104" i="15"/>
  <c r="BJ104" i="15"/>
  <c r="K105" i="15"/>
  <c r="Z105" i="15"/>
  <c r="AD105" i="15"/>
  <c r="AE105" i="15"/>
  <c r="AF105" i="15"/>
  <c r="AG105" i="15"/>
  <c r="AH105" i="15"/>
  <c r="AJ105" i="15"/>
  <c r="AK105" i="15"/>
  <c r="AL105" i="15"/>
  <c r="AO105" i="15"/>
  <c r="AW105" i="15" s="1"/>
  <c r="AP105" i="15"/>
  <c r="BI105" i="15" s="1"/>
  <c r="AC105" i="15" s="1"/>
  <c r="BD105" i="15"/>
  <c r="BF105" i="15"/>
  <c r="BH105" i="15"/>
  <c r="AB105" i="15" s="1"/>
  <c r="BJ105" i="15"/>
  <c r="K106" i="15"/>
  <c r="AK106" i="15" s="1"/>
  <c r="Z106" i="15"/>
  <c r="AD106" i="15"/>
  <c r="AE106" i="15"/>
  <c r="AF106" i="15"/>
  <c r="AG106" i="15"/>
  <c r="AH106" i="15"/>
  <c r="AJ106" i="15"/>
  <c r="AL106" i="15"/>
  <c r="AO106" i="15"/>
  <c r="BH106" i="15" s="1"/>
  <c r="AB106" i="15" s="1"/>
  <c r="AP106" i="15"/>
  <c r="AX106" i="15" s="1"/>
  <c r="BD106" i="15"/>
  <c r="BF106" i="15"/>
  <c r="BJ106" i="15"/>
  <c r="K107" i="15"/>
  <c r="AK107" i="15" s="1"/>
  <c r="Z107" i="15"/>
  <c r="AD107" i="15"/>
  <c r="AE107" i="15"/>
  <c r="AF107" i="15"/>
  <c r="AG107" i="15"/>
  <c r="AH107" i="15"/>
  <c r="AJ107" i="15"/>
  <c r="AL107" i="15"/>
  <c r="AO107" i="15"/>
  <c r="I107" i="15" s="1"/>
  <c r="AP107" i="15"/>
  <c r="J107" i="15" s="1"/>
  <c r="BD107" i="15"/>
  <c r="BF107" i="15"/>
  <c r="BJ107" i="15"/>
  <c r="K108" i="15"/>
  <c r="AK108" i="15" s="1"/>
  <c r="Z108" i="15"/>
  <c r="AD108" i="15"/>
  <c r="AE108" i="15"/>
  <c r="AF108" i="15"/>
  <c r="AG108" i="15"/>
  <c r="AH108" i="15"/>
  <c r="AJ108" i="15"/>
  <c r="AL108" i="15"/>
  <c r="AO108" i="15"/>
  <c r="I108" i="15" s="1"/>
  <c r="AP108" i="15"/>
  <c r="BD108" i="15"/>
  <c r="BF108" i="15"/>
  <c r="BJ108" i="15"/>
  <c r="K109" i="15"/>
  <c r="Z109" i="15"/>
  <c r="AD109" i="15"/>
  <c r="AE109" i="15"/>
  <c r="AF109" i="15"/>
  <c r="AG109" i="15"/>
  <c r="AH109" i="15"/>
  <c r="AJ109" i="15"/>
  <c r="AK109" i="15"/>
  <c r="AL109" i="15"/>
  <c r="AO109" i="15"/>
  <c r="AP109" i="15"/>
  <c r="BD109" i="15"/>
  <c r="BF109" i="15"/>
  <c r="BJ109" i="15"/>
  <c r="K110" i="15"/>
  <c r="AK110" i="15" s="1"/>
  <c r="Z110" i="15"/>
  <c r="AD110" i="15"/>
  <c r="AE110" i="15"/>
  <c r="AF110" i="15"/>
  <c r="AG110" i="15"/>
  <c r="AH110" i="15"/>
  <c r="AJ110" i="15"/>
  <c r="AL110" i="15"/>
  <c r="AO110" i="15"/>
  <c r="BH110" i="15" s="1"/>
  <c r="AB110" i="15" s="1"/>
  <c r="AP110" i="15"/>
  <c r="BI110" i="15" s="1"/>
  <c r="AC110" i="15" s="1"/>
  <c r="BD110" i="15"/>
  <c r="BF110" i="15"/>
  <c r="BJ110" i="15"/>
  <c r="K112" i="15"/>
  <c r="AK112" i="15" s="1"/>
  <c r="Z112" i="15"/>
  <c r="AD112" i="15"/>
  <c r="AE112" i="15"/>
  <c r="AF112" i="15"/>
  <c r="AG112" i="15"/>
  <c r="AH112" i="15"/>
  <c r="AJ112" i="15"/>
  <c r="AL112" i="15"/>
  <c r="AO112" i="15"/>
  <c r="AP112" i="15"/>
  <c r="BD112" i="15"/>
  <c r="BF112" i="15"/>
  <c r="BJ112" i="15"/>
  <c r="K113" i="15"/>
  <c r="Z113" i="15"/>
  <c r="AD113" i="15"/>
  <c r="AE113" i="15"/>
  <c r="AF113" i="15"/>
  <c r="AG113" i="15"/>
  <c r="AH113" i="15"/>
  <c r="AJ113" i="15"/>
  <c r="AL113" i="15"/>
  <c r="AO113" i="15"/>
  <c r="AP113" i="15"/>
  <c r="BI113" i="15" s="1"/>
  <c r="AC113" i="15" s="1"/>
  <c r="BD113" i="15"/>
  <c r="BF113" i="15"/>
  <c r="BJ113" i="15"/>
  <c r="K114" i="15"/>
  <c r="AK114" i="15" s="1"/>
  <c r="Z114" i="15"/>
  <c r="AD114" i="15"/>
  <c r="AE114" i="15"/>
  <c r="AF114" i="15"/>
  <c r="AG114" i="15"/>
  <c r="AH114" i="15"/>
  <c r="AJ114" i="15"/>
  <c r="AL114" i="15"/>
  <c r="AO114" i="15"/>
  <c r="AP114" i="15"/>
  <c r="J114" i="15" s="1"/>
  <c r="BD114" i="15"/>
  <c r="BF114" i="15"/>
  <c r="BJ114" i="15"/>
  <c r="K115" i="15"/>
  <c r="Z115" i="15"/>
  <c r="AD115" i="15"/>
  <c r="AE115" i="15"/>
  <c r="AF115" i="15"/>
  <c r="AG115" i="15"/>
  <c r="AH115" i="15"/>
  <c r="AJ115" i="15"/>
  <c r="AK115" i="15"/>
  <c r="AL115" i="15"/>
  <c r="AO115" i="15"/>
  <c r="AP115" i="15"/>
  <c r="BD115" i="15"/>
  <c r="BF115" i="15"/>
  <c r="BJ115" i="15"/>
  <c r="K116" i="15"/>
  <c r="AK116" i="15" s="1"/>
  <c r="Z116" i="15"/>
  <c r="AD116" i="15"/>
  <c r="AE116" i="15"/>
  <c r="AF116" i="15"/>
  <c r="AG116" i="15"/>
  <c r="AH116" i="15"/>
  <c r="AJ116" i="15"/>
  <c r="AL116" i="15"/>
  <c r="AO116" i="15"/>
  <c r="AW116" i="15" s="1"/>
  <c r="AP116" i="15"/>
  <c r="BD116" i="15"/>
  <c r="BF116" i="15"/>
  <c r="BJ116" i="15"/>
  <c r="K117" i="15"/>
  <c r="AK117" i="15" s="1"/>
  <c r="Z117" i="15"/>
  <c r="AD117" i="15"/>
  <c r="AE117" i="15"/>
  <c r="AF117" i="15"/>
  <c r="AG117" i="15"/>
  <c r="AH117" i="15"/>
  <c r="AJ117" i="15"/>
  <c r="AL117" i="15"/>
  <c r="AO117" i="15"/>
  <c r="AP117" i="15"/>
  <c r="BI117" i="15" s="1"/>
  <c r="AC117" i="15" s="1"/>
  <c r="BD117" i="15"/>
  <c r="BF117" i="15"/>
  <c r="BJ117" i="15"/>
  <c r="K118" i="15"/>
  <c r="AK118" i="15" s="1"/>
  <c r="Z118" i="15"/>
  <c r="AD118" i="15"/>
  <c r="AE118" i="15"/>
  <c r="AF118" i="15"/>
  <c r="AG118" i="15"/>
  <c r="AH118" i="15"/>
  <c r="AJ118" i="15"/>
  <c r="AL118" i="15"/>
  <c r="AO118" i="15"/>
  <c r="AP118" i="15"/>
  <c r="J118" i="15" s="1"/>
  <c r="BD118" i="15"/>
  <c r="BF118" i="15"/>
  <c r="BJ118" i="15"/>
  <c r="K119" i="15"/>
  <c r="AK119" i="15" s="1"/>
  <c r="Z119" i="15"/>
  <c r="AD119" i="15"/>
  <c r="AE119" i="15"/>
  <c r="AF119" i="15"/>
  <c r="AG119" i="15"/>
  <c r="AH119" i="15"/>
  <c r="AJ119" i="15"/>
  <c r="AL119" i="15"/>
  <c r="AO119" i="15"/>
  <c r="AP119" i="15"/>
  <c r="BD119" i="15"/>
  <c r="BF119" i="15"/>
  <c r="BJ119" i="15"/>
  <c r="K120" i="15"/>
  <c r="AK120" i="15" s="1"/>
  <c r="Z120" i="15"/>
  <c r="AD120" i="15"/>
  <c r="AE120" i="15"/>
  <c r="AF120" i="15"/>
  <c r="AG120" i="15"/>
  <c r="AH120" i="15"/>
  <c r="AJ120" i="15"/>
  <c r="AL120" i="15"/>
  <c r="AO120" i="15"/>
  <c r="AP120" i="15"/>
  <c r="BD120" i="15"/>
  <c r="BF120" i="15"/>
  <c r="BH120" i="15"/>
  <c r="AB120" i="15" s="1"/>
  <c r="BJ120" i="15"/>
  <c r="K121" i="15"/>
  <c r="AK121" i="15" s="1"/>
  <c r="Z121" i="15"/>
  <c r="AD121" i="15"/>
  <c r="AE121" i="15"/>
  <c r="AF121" i="15"/>
  <c r="AG121" i="15"/>
  <c r="AH121" i="15"/>
  <c r="AJ121" i="15"/>
  <c r="AL121" i="15"/>
  <c r="AO121" i="15"/>
  <c r="AP121" i="15"/>
  <c r="BD121" i="15"/>
  <c r="BF121" i="15"/>
  <c r="BJ121" i="15"/>
  <c r="K123" i="15"/>
  <c r="Z123" i="15"/>
  <c r="AD123" i="15"/>
  <c r="AE123" i="15"/>
  <c r="AF123" i="15"/>
  <c r="AG123" i="15"/>
  <c r="AH123" i="15"/>
  <c r="AJ123" i="15"/>
  <c r="AK123" i="15"/>
  <c r="AL123" i="15"/>
  <c r="AO123" i="15"/>
  <c r="AW123" i="15" s="1"/>
  <c r="AP123" i="15"/>
  <c r="BI123" i="15" s="1"/>
  <c r="AC123" i="15" s="1"/>
  <c r="BD123" i="15"/>
  <c r="BF123" i="15"/>
  <c r="BJ123" i="15"/>
  <c r="K124" i="15"/>
  <c r="AK124" i="15" s="1"/>
  <c r="Z124" i="15"/>
  <c r="AD124" i="15"/>
  <c r="AE124" i="15"/>
  <c r="AF124" i="15"/>
  <c r="AG124" i="15"/>
  <c r="AH124" i="15"/>
  <c r="AJ124" i="15"/>
  <c r="AL124" i="15"/>
  <c r="AO124" i="15"/>
  <c r="AP124" i="15"/>
  <c r="BD124" i="15"/>
  <c r="BF124" i="15"/>
  <c r="BJ124" i="15"/>
  <c r="K125" i="15"/>
  <c r="AK125" i="15" s="1"/>
  <c r="Z125" i="15"/>
  <c r="AD125" i="15"/>
  <c r="AE125" i="15"/>
  <c r="AF125" i="15"/>
  <c r="AG125" i="15"/>
  <c r="AH125" i="15"/>
  <c r="AJ125" i="15"/>
  <c r="AL125" i="15"/>
  <c r="AO125" i="15"/>
  <c r="AP125" i="15"/>
  <c r="BI125" i="15" s="1"/>
  <c r="AC125" i="15" s="1"/>
  <c r="BD125" i="15"/>
  <c r="BF125" i="15"/>
  <c r="BJ125" i="15"/>
  <c r="K126" i="15"/>
  <c r="Z126" i="15"/>
  <c r="AD126" i="15"/>
  <c r="AE126" i="15"/>
  <c r="AF126" i="15"/>
  <c r="AG126" i="15"/>
  <c r="AH126" i="15"/>
  <c r="AJ126" i="15"/>
  <c r="AK126" i="15"/>
  <c r="AL126" i="15"/>
  <c r="AO126" i="15"/>
  <c r="I126" i="15" s="1"/>
  <c r="AP126" i="15"/>
  <c r="BD126" i="15"/>
  <c r="BF126" i="15"/>
  <c r="BJ126" i="15"/>
  <c r="K127" i="15"/>
  <c r="AK127" i="15" s="1"/>
  <c r="Z127" i="15"/>
  <c r="AD127" i="15"/>
  <c r="AE127" i="15"/>
  <c r="AF127" i="15"/>
  <c r="AG127" i="15"/>
  <c r="AH127" i="15"/>
  <c r="AJ127" i="15"/>
  <c r="AL127" i="15"/>
  <c r="AO127" i="15"/>
  <c r="AW127" i="15" s="1"/>
  <c r="AP127" i="15"/>
  <c r="BD127" i="15"/>
  <c r="BF127" i="15"/>
  <c r="BH127" i="15"/>
  <c r="AB127" i="15" s="1"/>
  <c r="BJ127" i="15"/>
  <c r="K128" i="15"/>
  <c r="AK128" i="15" s="1"/>
  <c r="Z128" i="15"/>
  <c r="AD128" i="15"/>
  <c r="AE128" i="15"/>
  <c r="AF128" i="15"/>
  <c r="AG128" i="15"/>
  <c r="AH128" i="15"/>
  <c r="AJ128" i="15"/>
  <c r="AL128" i="15"/>
  <c r="AO128" i="15"/>
  <c r="AP128" i="15"/>
  <c r="AX128" i="15" s="1"/>
  <c r="BD128" i="15"/>
  <c r="BF128" i="15"/>
  <c r="BH128" i="15"/>
  <c r="AB128" i="15" s="1"/>
  <c r="BJ128" i="15"/>
  <c r="K129" i="15"/>
  <c r="AK129" i="15" s="1"/>
  <c r="Z129" i="15"/>
  <c r="AD129" i="15"/>
  <c r="AE129" i="15"/>
  <c r="AF129" i="15"/>
  <c r="AG129" i="15"/>
  <c r="AH129" i="15"/>
  <c r="AJ129" i="15"/>
  <c r="AL129" i="15"/>
  <c r="AO129" i="15"/>
  <c r="AP129" i="15"/>
  <c r="J129" i="15" s="1"/>
  <c r="BD129" i="15"/>
  <c r="BF129" i="15"/>
  <c r="BJ129" i="15"/>
  <c r="K130" i="15"/>
  <c r="AK130" i="15" s="1"/>
  <c r="Z130" i="15"/>
  <c r="AD130" i="15"/>
  <c r="AE130" i="15"/>
  <c r="AF130" i="15"/>
  <c r="AG130" i="15"/>
  <c r="AH130" i="15"/>
  <c r="AJ130" i="15"/>
  <c r="AL130" i="15"/>
  <c r="AO130" i="15"/>
  <c r="AP130" i="15"/>
  <c r="AX130" i="15" s="1"/>
  <c r="BD130" i="15"/>
  <c r="BF130" i="15"/>
  <c r="BJ130" i="15"/>
  <c r="K131" i="15"/>
  <c r="Z131" i="15"/>
  <c r="AD131" i="15"/>
  <c r="AE131" i="15"/>
  <c r="AF131" i="15"/>
  <c r="AG131" i="15"/>
  <c r="AH131" i="15"/>
  <c r="AJ131" i="15"/>
  <c r="AK131" i="15"/>
  <c r="AL131" i="15"/>
  <c r="AO131" i="15"/>
  <c r="AP131" i="15"/>
  <c r="BD131" i="15"/>
  <c r="BF131" i="15"/>
  <c r="BJ131" i="15"/>
  <c r="K132" i="15"/>
  <c r="AK132" i="15" s="1"/>
  <c r="Z132" i="15"/>
  <c r="AD132" i="15"/>
  <c r="AE132" i="15"/>
  <c r="AF132" i="15"/>
  <c r="AG132" i="15"/>
  <c r="AH132" i="15"/>
  <c r="AJ132" i="15"/>
  <c r="AL132" i="15"/>
  <c r="AO132" i="15"/>
  <c r="BH132" i="15" s="1"/>
  <c r="AB132" i="15" s="1"/>
  <c r="AP132" i="15"/>
  <c r="BD132" i="15"/>
  <c r="BF132" i="15"/>
  <c r="BJ132" i="15"/>
  <c r="K133" i="15"/>
  <c r="AK133" i="15" s="1"/>
  <c r="Z133" i="15"/>
  <c r="AD133" i="15"/>
  <c r="AE133" i="15"/>
  <c r="AF133" i="15"/>
  <c r="AG133" i="15"/>
  <c r="AH133" i="15"/>
  <c r="AJ133" i="15"/>
  <c r="AL133" i="15"/>
  <c r="AO133" i="15"/>
  <c r="AP133" i="15"/>
  <c r="BI133" i="15" s="1"/>
  <c r="AC133" i="15" s="1"/>
  <c r="BD133" i="15"/>
  <c r="BF133" i="15"/>
  <c r="BJ133" i="15"/>
  <c r="K134" i="15"/>
  <c r="AK134" i="15" s="1"/>
  <c r="Z134" i="15"/>
  <c r="AD134" i="15"/>
  <c r="AE134" i="15"/>
  <c r="AF134" i="15"/>
  <c r="AG134" i="15"/>
  <c r="AH134" i="15"/>
  <c r="AJ134" i="15"/>
  <c r="AL134" i="15"/>
  <c r="AO134" i="15"/>
  <c r="AP134" i="15"/>
  <c r="BD134" i="15"/>
  <c r="BF134" i="15"/>
  <c r="BH134" i="15"/>
  <c r="AB134" i="15" s="1"/>
  <c r="BJ134" i="15"/>
  <c r="K135" i="15"/>
  <c r="Z135" i="15"/>
  <c r="AD135" i="15"/>
  <c r="AE135" i="15"/>
  <c r="AF135" i="15"/>
  <c r="AG135" i="15"/>
  <c r="AH135" i="15"/>
  <c r="AJ135" i="15"/>
  <c r="AK135" i="15"/>
  <c r="AL135" i="15"/>
  <c r="AO135" i="15"/>
  <c r="AW135" i="15" s="1"/>
  <c r="AP135" i="15"/>
  <c r="BD135" i="15"/>
  <c r="BF135" i="15"/>
  <c r="BH135" i="15"/>
  <c r="AB135" i="15" s="1"/>
  <c r="BJ135" i="15"/>
  <c r="K136" i="15"/>
  <c r="AK136" i="15" s="1"/>
  <c r="Z136" i="15"/>
  <c r="AD136" i="15"/>
  <c r="AE136" i="15"/>
  <c r="AF136" i="15"/>
  <c r="AG136" i="15"/>
  <c r="AH136" i="15"/>
  <c r="AJ136" i="15"/>
  <c r="AL136" i="15"/>
  <c r="AO136" i="15"/>
  <c r="AP136" i="15"/>
  <c r="BD136" i="15"/>
  <c r="BF136" i="15"/>
  <c r="BJ136" i="15"/>
  <c r="K137" i="15"/>
  <c r="AK137" i="15" s="1"/>
  <c r="Z137" i="15"/>
  <c r="AD137" i="15"/>
  <c r="AE137" i="15"/>
  <c r="AF137" i="15"/>
  <c r="AG137" i="15"/>
  <c r="AH137" i="15"/>
  <c r="AJ137" i="15"/>
  <c r="AL137" i="15"/>
  <c r="AO137" i="15"/>
  <c r="I137" i="15" s="1"/>
  <c r="AP137" i="15"/>
  <c r="BD137" i="15"/>
  <c r="BF137" i="15"/>
  <c r="BH137" i="15"/>
  <c r="AB137" i="15" s="1"/>
  <c r="BJ137" i="15"/>
  <c r="K138" i="15"/>
  <c r="AK138" i="15" s="1"/>
  <c r="Z138" i="15"/>
  <c r="AD138" i="15"/>
  <c r="AE138" i="15"/>
  <c r="AF138" i="15"/>
  <c r="AG138" i="15"/>
  <c r="AH138" i="15"/>
  <c r="AJ138" i="15"/>
  <c r="AL138" i="15"/>
  <c r="AO138" i="15"/>
  <c r="AP138" i="15"/>
  <c r="BI138" i="15" s="1"/>
  <c r="AC138" i="15" s="1"/>
  <c r="BD138" i="15"/>
  <c r="BF138" i="15"/>
  <c r="BJ138" i="15"/>
  <c r="K139" i="15"/>
  <c r="AK139" i="15" s="1"/>
  <c r="Z139" i="15"/>
  <c r="AD139" i="15"/>
  <c r="AE139" i="15"/>
  <c r="AF139" i="15"/>
  <c r="AG139" i="15"/>
  <c r="AH139" i="15"/>
  <c r="AJ139" i="15"/>
  <c r="AL139" i="15"/>
  <c r="AO139" i="15"/>
  <c r="AP139" i="15"/>
  <c r="BD139" i="15"/>
  <c r="BF139" i="15"/>
  <c r="BJ139" i="15"/>
  <c r="K140" i="15"/>
  <c r="Z140" i="15"/>
  <c r="AD140" i="15"/>
  <c r="AE140" i="15"/>
  <c r="AF140" i="15"/>
  <c r="AG140" i="15"/>
  <c r="AH140" i="15"/>
  <c r="AJ140" i="15"/>
  <c r="AK140" i="15"/>
  <c r="AL140" i="15"/>
  <c r="AO140" i="15"/>
  <c r="BH140" i="15" s="1"/>
  <c r="AB140" i="15" s="1"/>
  <c r="AP140" i="15"/>
  <c r="BD140" i="15"/>
  <c r="BF140" i="15"/>
  <c r="BJ140" i="15"/>
  <c r="K141" i="15"/>
  <c r="Z141" i="15"/>
  <c r="AD141" i="15"/>
  <c r="AE141" i="15"/>
  <c r="AF141" i="15"/>
  <c r="AG141" i="15"/>
  <c r="AH141" i="15"/>
  <c r="AJ141" i="15"/>
  <c r="AK141" i="15"/>
  <c r="AL141" i="15"/>
  <c r="AO141" i="15"/>
  <c r="AW141" i="15" s="1"/>
  <c r="AP141" i="15"/>
  <c r="BI141" i="15" s="1"/>
  <c r="AC141" i="15" s="1"/>
  <c r="BD141" i="15"/>
  <c r="BF141" i="15"/>
  <c r="BH141" i="15"/>
  <c r="AB141" i="15" s="1"/>
  <c r="BJ141" i="15"/>
  <c r="K142" i="15"/>
  <c r="AK142" i="15" s="1"/>
  <c r="Z142" i="15"/>
  <c r="AD142" i="15"/>
  <c r="AE142" i="15"/>
  <c r="AF142" i="15"/>
  <c r="AG142" i="15"/>
  <c r="AH142" i="15"/>
  <c r="AJ142" i="15"/>
  <c r="AL142" i="15"/>
  <c r="AO142" i="15"/>
  <c r="AP142" i="15"/>
  <c r="BD142" i="15"/>
  <c r="BF142" i="15"/>
  <c r="BJ142" i="15"/>
  <c r="K143" i="15"/>
  <c r="AK143" i="15" s="1"/>
  <c r="Z143" i="15"/>
  <c r="AD143" i="15"/>
  <c r="AE143" i="15"/>
  <c r="AF143" i="15"/>
  <c r="AG143" i="15"/>
  <c r="AH143" i="15"/>
  <c r="AJ143" i="15"/>
  <c r="AL143" i="15"/>
  <c r="AO143" i="15"/>
  <c r="AP143" i="15"/>
  <c r="BD143" i="15"/>
  <c r="BF143" i="15"/>
  <c r="BJ143" i="15"/>
  <c r="K144" i="15"/>
  <c r="Z144" i="15"/>
  <c r="AD144" i="15"/>
  <c r="AE144" i="15"/>
  <c r="AF144" i="15"/>
  <c r="AG144" i="15"/>
  <c r="AH144" i="15"/>
  <c r="AJ144" i="15"/>
  <c r="AK144" i="15"/>
  <c r="AL144" i="15"/>
  <c r="AO144" i="15"/>
  <c r="AP144" i="15"/>
  <c r="AX144" i="15" s="1"/>
  <c r="BD144" i="15"/>
  <c r="BF144" i="15"/>
  <c r="BH144" i="15"/>
  <c r="AB144" i="15" s="1"/>
  <c r="BI144" i="15"/>
  <c r="AC144" i="15" s="1"/>
  <c r="BJ144" i="15"/>
  <c r="K146" i="15"/>
  <c r="Z146" i="15"/>
  <c r="AD146" i="15"/>
  <c r="AE146" i="15"/>
  <c r="AF146" i="15"/>
  <c r="AG146" i="15"/>
  <c r="AH146" i="15"/>
  <c r="AJ146" i="15"/>
  <c r="AL146" i="15"/>
  <c r="AO146" i="15"/>
  <c r="I146" i="15" s="1"/>
  <c r="AP146" i="15"/>
  <c r="BD146" i="15"/>
  <c r="BF146" i="15"/>
  <c r="BH146" i="15"/>
  <c r="AB146" i="15" s="1"/>
  <c r="BJ146" i="15"/>
  <c r="K147" i="15"/>
  <c r="AK147" i="15" s="1"/>
  <c r="Z147" i="15"/>
  <c r="AD147" i="15"/>
  <c r="AE147" i="15"/>
  <c r="AF147" i="15"/>
  <c r="AG147" i="15"/>
  <c r="AH147" i="15"/>
  <c r="AJ147" i="15"/>
  <c r="AL147" i="15"/>
  <c r="AO147" i="15"/>
  <c r="AP147" i="15"/>
  <c r="BD147" i="15"/>
  <c r="BF147" i="15"/>
  <c r="BH147" i="15"/>
  <c r="AB147" i="15" s="1"/>
  <c r="BJ147" i="15"/>
  <c r="K148" i="15"/>
  <c r="AK148" i="15" s="1"/>
  <c r="Z148" i="15"/>
  <c r="AD148" i="15"/>
  <c r="AE148" i="15"/>
  <c r="AF148" i="15"/>
  <c r="AG148" i="15"/>
  <c r="AH148" i="15"/>
  <c r="AJ148" i="15"/>
  <c r="AL148" i="15"/>
  <c r="AO148" i="15"/>
  <c r="AP148" i="15"/>
  <c r="BD148" i="15"/>
  <c r="BF148" i="15"/>
  <c r="BH148" i="15"/>
  <c r="AB148" i="15" s="1"/>
  <c r="BJ148" i="15"/>
  <c r="K149" i="15"/>
  <c r="AK149" i="15" s="1"/>
  <c r="Z149" i="15"/>
  <c r="AD149" i="15"/>
  <c r="AE149" i="15"/>
  <c r="AF149" i="15"/>
  <c r="AG149" i="15"/>
  <c r="AH149" i="15"/>
  <c r="AJ149" i="15"/>
  <c r="AL149" i="15"/>
  <c r="AO149" i="15"/>
  <c r="AP149" i="15"/>
  <c r="BD149" i="15"/>
  <c r="BF149" i="15"/>
  <c r="BJ149" i="15"/>
  <c r="K150" i="15"/>
  <c r="AK150" i="15" s="1"/>
  <c r="Z150" i="15"/>
  <c r="AD150" i="15"/>
  <c r="AE150" i="15"/>
  <c r="AF150" i="15"/>
  <c r="AG150" i="15"/>
  <c r="AH150" i="15"/>
  <c r="AJ150" i="15"/>
  <c r="AL150" i="15"/>
  <c r="AO150" i="15"/>
  <c r="AP150" i="15"/>
  <c r="BI150" i="15" s="1"/>
  <c r="AC150" i="15" s="1"/>
  <c r="BD150" i="15"/>
  <c r="BF150" i="15"/>
  <c r="BJ150" i="15"/>
  <c r="K151" i="15"/>
  <c r="AK151" i="15" s="1"/>
  <c r="Z151" i="15"/>
  <c r="AD151" i="15"/>
  <c r="AE151" i="15"/>
  <c r="AF151" i="15"/>
  <c r="AG151" i="15"/>
  <c r="AH151" i="15"/>
  <c r="AJ151" i="15"/>
  <c r="AL151" i="15"/>
  <c r="AO151" i="15"/>
  <c r="BH151" i="15" s="1"/>
  <c r="AB151" i="15" s="1"/>
  <c r="AP151" i="15"/>
  <c r="BI151" i="15" s="1"/>
  <c r="AC151" i="15" s="1"/>
  <c r="BD151" i="15"/>
  <c r="BF151" i="15"/>
  <c r="BJ151" i="15"/>
  <c r="K152" i="15"/>
  <c r="Z152" i="15"/>
  <c r="AD152" i="15"/>
  <c r="AE152" i="15"/>
  <c r="AF152" i="15"/>
  <c r="AG152" i="15"/>
  <c r="AH152" i="15"/>
  <c r="AJ152" i="15"/>
  <c r="AK152" i="15"/>
  <c r="AL152" i="15"/>
  <c r="AO152" i="15"/>
  <c r="AP152" i="15"/>
  <c r="BD152" i="15"/>
  <c r="BF152" i="15"/>
  <c r="BH152" i="15"/>
  <c r="AB152" i="15" s="1"/>
  <c r="BI152" i="15"/>
  <c r="AC152" i="15" s="1"/>
  <c r="BJ152" i="15"/>
  <c r="K153" i="15"/>
  <c r="AK153" i="15" s="1"/>
  <c r="Z153" i="15"/>
  <c r="AD153" i="15"/>
  <c r="AE153" i="15"/>
  <c r="AF153" i="15"/>
  <c r="AG153" i="15"/>
  <c r="AH153" i="15"/>
  <c r="AJ153" i="15"/>
  <c r="AL153" i="15"/>
  <c r="AO153" i="15"/>
  <c r="AP153" i="15"/>
  <c r="AX153" i="15" s="1"/>
  <c r="BD153" i="15"/>
  <c r="BF153" i="15"/>
  <c r="BH153" i="15"/>
  <c r="AB153" i="15" s="1"/>
  <c r="BJ153" i="15"/>
  <c r="K154" i="15"/>
  <c r="AK154" i="15" s="1"/>
  <c r="Z154" i="15"/>
  <c r="AD154" i="15"/>
  <c r="AE154" i="15"/>
  <c r="AF154" i="15"/>
  <c r="AG154" i="15"/>
  <c r="AH154" i="15"/>
  <c r="AJ154" i="15"/>
  <c r="AL154" i="15"/>
  <c r="AO154" i="15"/>
  <c r="AP154" i="15"/>
  <c r="J154" i="15" s="1"/>
  <c r="BD154" i="15"/>
  <c r="BF154" i="15"/>
  <c r="BJ154" i="15"/>
  <c r="K155" i="15"/>
  <c r="AK155" i="15" s="1"/>
  <c r="Z155" i="15"/>
  <c r="AD155" i="15"/>
  <c r="AE155" i="15"/>
  <c r="AF155" i="15"/>
  <c r="AG155" i="15"/>
  <c r="AH155" i="15"/>
  <c r="AJ155" i="15"/>
  <c r="AL155" i="15"/>
  <c r="AO155" i="15"/>
  <c r="AP155" i="15"/>
  <c r="BD155" i="15"/>
  <c r="BF155" i="15"/>
  <c r="BH155" i="15"/>
  <c r="AB155" i="15" s="1"/>
  <c r="BJ155" i="15"/>
  <c r="K156" i="15"/>
  <c r="AK156" i="15" s="1"/>
  <c r="Z156" i="15"/>
  <c r="AD156" i="15"/>
  <c r="AE156" i="15"/>
  <c r="AF156" i="15"/>
  <c r="AG156" i="15"/>
  <c r="AH156" i="15"/>
  <c r="AJ156" i="15"/>
  <c r="AL156" i="15"/>
  <c r="AO156" i="15"/>
  <c r="AW156" i="15" s="1"/>
  <c r="AP156" i="15"/>
  <c r="BD156" i="15"/>
  <c r="BF156" i="15"/>
  <c r="BJ156" i="15"/>
  <c r="K157" i="15"/>
  <c r="AK157" i="15" s="1"/>
  <c r="Z157" i="15"/>
  <c r="AD157" i="15"/>
  <c r="AE157" i="15"/>
  <c r="AF157" i="15"/>
  <c r="AG157" i="15"/>
  <c r="AH157" i="15"/>
  <c r="AJ157" i="15"/>
  <c r="AL157" i="15"/>
  <c r="AO157" i="15"/>
  <c r="AP157" i="15"/>
  <c r="AX157" i="15" s="1"/>
  <c r="BD157" i="15"/>
  <c r="BF157" i="15"/>
  <c r="BH157" i="15"/>
  <c r="AB157" i="15" s="1"/>
  <c r="BJ157" i="15"/>
  <c r="K158" i="15"/>
  <c r="AK158" i="15" s="1"/>
  <c r="Z158" i="15"/>
  <c r="AD158" i="15"/>
  <c r="AE158" i="15"/>
  <c r="AF158" i="15"/>
  <c r="AG158" i="15"/>
  <c r="AH158" i="15"/>
  <c r="AJ158" i="15"/>
  <c r="AL158" i="15"/>
  <c r="AO158" i="15"/>
  <c r="I158" i="15" s="1"/>
  <c r="AP158" i="15"/>
  <c r="J158" i="15" s="1"/>
  <c r="BD158" i="15"/>
  <c r="BF158" i="15"/>
  <c r="BJ158" i="15"/>
  <c r="K159" i="15"/>
  <c r="AK159" i="15" s="1"/>
  <c r="Z159" i="15"/>
  <c r="AD159" i="15"/>
  <c r="AE159" i="15"/>
  <c r="AF159" i="15"/>
  <c r="AG159" i="15"/>
  <c r="AH159" i="15"/>
  <c r="AJ159" i="15"/>
  <c r="AL159" i="15"/>
  <c r="AO159" i="15"/>
  <c r="AP159" i="15"/>
  <c r="AX159" i="15" s="1"/>
  <c r="BD159" i="15"/>
  <c r="BF159" i="15"/>
  <c r="BJ159" i="15"/>
  <c r="K160" i="15"/>
  <c r="AK160" i="15" s="1"/>
  <c r="Z160" i="15"/>
  <c r="AD160" i="15"/>
  <c r="AE160" i="15"/>
  <c r="AF160" i="15"/>
  <c r="AG160" i="15"/>
  <c r="AH160" i="15"/>
  <c r="AJ160" i="15"/>
  <c r="AL160" i="15"/>
  <c r="AO160" i="15"/>
  <c r="AW160" i="15" s="1"/>
  <c r="AP160" i="15"/>
  <c r="BD160" i="15"/>
  <c r="BF160" i="15"/>
  <c r="BJ160" i="15"/>
  <c r="K161" i="15"/>
  <c r="AK161" i="15" s="1"/>
  <c r="Z161" i="15"/>
  <c r="AD161" i="15"/>
  <c r="AE161" i="15"/>
  <c r="AF161" i="15"/>
  <c r="AG161" i="15"/>
  <c r="AH161" i="15"/>
  <c r="AJ161" i="15"/>
  <c r="AL161" i="15"/>
  <c r="AO161" i="15"/>
  <c r="AP161" i="15"/>
  <c r="BD161" i="15"/>
  <c r="BF161" i="15"/>
  <c r="BH161" i="15"/>
  <c r="AB161" i="15" s="1"/>
  <c r="BJ161" i="15"/>
  <c r="K162" i="15"/>
  <c r="AK162" i="15" s="1"/>
  <c r="Z162" i="15"/>
  <c r="AD162" i="15"/>
  <c r="AE162" i="15"/>
  <c r="AF162" i="15"/>
  <c r="AG162" i="15"/>
  <c r="AH162" i="15"/>
  <c r="AJ162" i="15"/>
  <c r="AL162" i="15"/>
  <c r="AO162" i="15"/>
  <c r="I162" i="15" s="1"/>
  <c r="AP162" i="15"/>
  <c r="BD162" i="15"/>
  <c r="BF162" i="15"/>
  <c r="BJ162" i="15"/>
  <c r="K163" i="15"/>
  <c r="AK163" i="15" s="1"/>
  <c r="Z163" i="15"/>
  <c r="AD163" i="15"/>
  <c r="AE163" i="15"/>
  <c r="AF163" i="15"/>
  <c r="AG163" i="15"/>
  <c r="AH163" i="15"/>
  <c r="AJ163" i="15"/>
  <c r="AL163" i="15"/>
  <c r="AO163" i="15"/>
  <c r="BH163" i="15" s="1"/>
  <c r="AB163" i="15" s="1"/>
  <c r="AP163" i="15"/>
  <c r="J163" i="15" s="1"/>
  <c r="BD163" i="15"/>
  <c r="BF163" i="15"/>
  <c r="BJ163" i="15"/>
  <c r="K164" i="15"/>
  <c r="AK164" i="15" s="1"/>
  <c r="Z164" i="15"/>
  <c r="AD164" i="15"/>
  <c r="AE164" i="15"/>
  <c r="AF164" i="15"/>
  <c r="AG164" i="15"/>
  <c r="AH164" i="15"/>
  <c r="AJ164" i="15"/>
  <c r="AL164" i="15"/>
  <c r="AO164" i="15"/>
  <c r="AP164" i="15"/>
  <c r="BD164" i="15"/>
  <c r="BF164" i="15"/>
  <c r="BH164" i="15"/>
  <c r="AB164" i="15" s="1"/>
  <c r="BJ164" i="15"/>
  <c r="K165" i="15"/>
  <c r="AK165" i="15" s="1"/>
  <c r="Z165" i="15"/>
  <c r="AD165" i="15"/>
  <c r="AE165" i="15"/>
  <c r="AF165" i="15"/>
  <c r="AG165" i="15"/>
  <c r="AH165" i="15"/>
  <c r="AJ165" i="15"/>
  <c r="AL165" i="15"/>
  <c r="AO165" i="15"/>
  <c r="AP165" i="15"/>
  <c r="BD165" i="15"/>
  <c r="BF165" i="15"/>
  <c r="BH165" i="15"/>
  <c r="AB165" i="15" s="1"/>
  <c r="BJ165" i="15"/>
  <c r="K166" i="15"/>
  <c r="AK166" i="15" s="1"/>
  <c r="Z166" i="15"/>
  <c r="AD166" i="15"/>
  <c r="AE166" i="15"/>
  <c r="AF166" i="15"/>
  <c r="AG166" i="15"/>
  <c r="AH166" i="15"/>
  <c r="AJ166" i="15"/>
  <c r="AL166" i="15"/>
  <c r="AO166" i="15"/>
  <c r="AP166" i="15"/>
  <c r="J166" i="15" s="1"/>
  <c r="BD166" i="15"/>
  <c r="BF166" i="15"/>
  <c r="BJ166" i="15"/>
  <c r="K167" i="15"/>
  <c r="AK167" i="15" s="1"/>
  <c r="Z167" i="15"/>
  <c r="AD167" i="15"/>
  <c r="AE167" i="15"/>
  <c r="AF167" i="15"/>
  <c r="AG167" i="15"/>
  <c r="AH167" i="15"/>
  <c r="AJ167" i="15"/>
  <c r="AL167" i="15"/>
  <c r="AO167" i="15"/>
  <c r="AP167" i="15"/>
  <c r="BD167" i="15"/>
  <c r="BF167" i="15"/>
  <c r="BH167" i="15"/>
  <c r="AB167" i="15" s="1"/>
  <c r="BJ167" i="15"/>
  <c r="K169" i="15"/>
  <c r="AB169" i="15"/>
  <c r="AC169" i="15"/>
  <c r="AD169" i="15"/>
  <c r="AE169" i="15"/>
  <c r="AF169" i="15"/>
  <c r="AG169" i="15"/>
  <c r="AH169" i="15"/>
  <c r="AJ169" i="15"/>
  <c r="AL169" i="15"/>
  <c r="AO169" i="15"/>
  <c r="AP169" i="15"/>
  <c r="J169" i="15" s="1"/>
  <c r="BD169" i="15"/>
  <c r="BF169" i="15"/>
  <c r="BJ169" i="15"/>
  <c r="Z169" i="15" s="1"/>
  <c r="K170" i="15"/>
  <c r="AK170" i="15" s="1"/>
  <c r="AB170" i="15"/>
  <c r="AC170" i="15"/>
  <c r="AD170" i="15"/>
  <c r="AE170" i="15"/>
  <c r="AF170" i="15"/>
  <c r="AG170" i="15"/>
  <c r="AH170" i="15"/>
  <c r="AJ170" i="15"/>
  <c r="AL170" i="15"/>
  <c r="AO170" i="15"/>
  <c r="AP170" i="15"/>
  <c r="BD170" i="15"/>
  <c r="BF170" i="15"/>
  <c r="BH170" i="15"/>
  <c r="BJ170" i="15"/>
  <c r="Z170" i="15" s="1"/>
  <c r="K171" i="15"/>
  <c r="AK171" i="15" s="1"/>
  <c r="AB171" i="15"/>
  <c r="AC171" i="15"/>
  <c r="AD171" i="15"/>
  <c r="AE171" i="15"/>
  <c r="AF171" i="15"/>
  <c r="AG171" i="15"/>
  <c r="AH171" i="15"/>
  <c r="AJ171" i="15"/>
  <c r="AL171" i="15"/>
  <c r="AO171" i="15"/>
  <c r="AW171" i="15" s="1"/>
  <c r="AP171" i="15"/>
  <c r="BD171" i="15"/>
  <c r="BF171" i="15"/>
  <c r="BH171" i="15"/>
  <c r="BJ171" i="15"/>
  <c r="Z171" i="15" s="1"/>
  <c r="K172" i="15"/>
  <c r="AK172" i="15" s="1"/>
  <c r="AB172" i="15"/>
  <c r="AC172" i="15"/>
  <c r="AD172" i="15"/>
  <c r="AE172" i="15"/>
  <c r="AF172" i="15"/>
  <c r="AG172" i="15"/>
  <c r="AH172" i="15"/>
  <c r="AJ172" i="15"/>
  <c r="AL172" i="15"/>
  <c r="AO172" i="15"/>
  <c r="AP172" i="15"/>
  <c r="BD172" i="15"/>
  <c r="BF172" i="15"/>
  <c r="BJ172" i="15"/>
  <c r="Z172" i="15" s="1"/>
  <c r="K173" i="15"/>
  <c r="AK173" i="15" s="1"/>
  <c r="AB173" i="15"/>
  <c r="AC173" i="15"/>
  <c r="AD173" i="15"/>
  <c r="AE173" i="15"/>
  <c r="AF173" i="15"/>
  <c r="AG173" i="15"/>
  <c r="AH173" i="15"/>
  <c r="AJ173" i="15"/>
  <c r="AL173" i="15"/>
  <c r="AO173" i="15"/>
  <c r="AP173" i="15"/>
  <c r="BD173" i="15"/>
  <c r="BF173" i="15"/>
  <c r="BJ173" i="15"/>
  <c r="Z173" i="15" s="1"/>
  <c r="K174" i="15"/>
  <c r="AK174" i="15" s="1"/>
  <c r="AB174" i="15"/>
  <c r="AC174" i="15"/>
  <c r="AD174" i="15"/>
  <c r="AE174" i="15"/>
  <c r="AF174" i="15"/>
  <c r="AG174" i="15"/>
  <c r="AH174" i="15"/>
  <c r="AJ174" i="15"/>
  <c r="AL174" i="15"/>
  <c r="AO174" i="15"/>
  <c r="AP174" i="15"/>
  <c r="AX174" i="15" s="1"/>
  <c r="BD174" i="15"/>
  <c r="BF174" i="15"/>
  <c r="BJ174" i="15"/>
  <c r="Z174" i="15" s="1"/>
  <c r="K175" i="15"/>
  <c r="AK175" i="15" s="1"/>
  <c r="AB175" i="15"/>
  <c r="AC175" i="15"/>
  <c r="AD175" i="15"/>
  <c r="AE175" i="15"/>
  <c r="AF175" i="15"/>
  <c r="AG175" i="15"/>
  <c r="AH175" i="15"/>
  <c r="AJ175" i="15"/>
  <c r="AL175" i="15"/>
  <c r="AO175" i="15"/>
  <c r="BH175" i="15" s="1"/>
  <c r="AP175" i="15"/>
  <c r="BI175" i="15" s="1"/>
  <c r="BD175" i="15"/>
  <c r="BF175" i="15"/>
  <c r="BJ175" i="15"/>
  <c r="Z175" i="15" s="1"/>
  <c r="K176" i="15"/>
  <c r="AK176" i="15" s="1"/>
  <c r="AB176" i="15"/>
  <c r="AC176" i="15"/>
  <c r="AD176" i="15"/>
  <c r="AE176" i="15"/>
  <c r="AF176" i="15"/>
  <c r="AG176" i="15"/>
  <c r="AH176" i="15"/>
  <c r="AJ176" i="15"/>
  <c r="AL176" i="15"/>
  <c r="AO176" i="15"/>
  <c r="AP176" i="15"/>
  <c r="BD176" i="15"/>
  <c r="BF176" i="15"/>
  <c r="BJ176" i="15"/>
  <c r="Z176" i="15" s="1"/>
  <c r="K177" i="15"/>
  <c r="AK177" i="15" s="1"/>
  <c r="AB177" i="15"/>
  <c r="AC177" i="15"/>
  <c r="AD177" i="15"/>
  <c r="AE177" i="15"/>
  <c r="AF177" i="15"/>
  <c r="AG177" i="15"/>
  <c r="AH177" i="15"/>
  <c r="AJ177" i="15"/>
  <c r="AL177" i="15"/>
  <c r="AO177" i="15"/>
  <c r="AP177" i="15"/>
  <c r="BI177" i="15" s="1"/>
  <c r="BD177" i="15"/>
  <c r="BF177" i="15"/>
  <c r="BJ177" i="15"/>
  <c r="Z177" i="15" s="1"/>
  <c r="K178" i="15"/>
  <c r="AK178" i="15" s="1"/>
  <c r="AB178" i="15"/>
  <c r="AC178" i="15"/>
  <c r="AD178" i="15"/>
  <c r="AE178" i="15"/>
  <c r="AF178" i="15"/>
  <c r="AG178" i="15"/>
  <c r="AH178" i="15"/>
  <c r="AJ178" i="15"/>
  <c r="AL178" i="15"/>
  <c r="AO178" i="15"/>
  <c r="AW178" i="15" s="1"/>
  <c r="AP178" i="15"/>
  <c r="BD178" i="15"/>
  <c r="BF178" i="15"/>
  <c r="BH178" i="15"/>
  <c r="BJ178" i="15"/>
  <c r="Z178" i="15" s="1"/>
  <c r="K179" i="15"/>
  <c r="AK179" i="15" s="1"/>
  <c r="AB179" i="15"/>
  <c r="AC179" i="15"/>
  <c r="AD179" i="15"/>
  <c r="AE179" i="15"/>
  <c r="AF179" i="15"/>
  <c r="AG179" i="15"/>
  <c r="AH179" i="15"/>
  <c r="AJ179" i="15"/>
  <c r="AL179" i="15"/>
  <c r="AO179" i="15"/>
  <c r="AP179" i="15"/>
  <c r="BD179" i="15"/>
  <c r="BF179" i="15"/>
  <c r="BH179" i="15"/>
  <c r="BJ179" i="15"/>
  <c r="Z179" i="15" s="1"/>
  <c r="K180" i="15"/>
  <c r="AK180" i="15" s="1"/>
  <c r="AB180" i="15"/>
  <c r="AC180" i="15"/>
  <c r="AD180" i="15"/>
  <c r="AE180" i="15"/>
  <c r="AF180" i="15"/>
  <c r="AG180" i="15"/>
  <c r="AH180" i="15"/>
  <c r="AJ180" i="15"/>
  <c r="AL180" i="15"/>
  <c r="AO180" i="15"/>
  <c r="BH180" i="15" s="1"/>
  <c r="AP180" i="15"/>
  <c r="AX180" i="15" s="1"/>
  <c r="BD180" i="15"/>
  <c r="BF180" i="15"/>
  <c r="BJ180" i="15"/>
  <c r="Z180" i="15" s="1"/>
  <c r="K181" i="15"/>
  <c r="AK181" i="15" s="1"/>
  <c r="AB181" i="15"/>
  <c r="AC181" i="15"/>
  <c r="AD181" i="15"/>
  <c r="AE181" i="15"/>
  <c r="AF181" i="15"/>
  <c r="AG181" i="15"/>
  <c r="AH181" i="15"/>
  <c r="AJ181" i="15"/>
  <c r="AL181" i="15"/>
  <c r="AO181" i="15"/>
  <c r="AP181" i="15"/>
  <c r="BD181" i="15"/>
  <c r="BF181" i="15"/>
  <c r="BJ181" i="15"/>
  <c r="Z181" i="15" s="1"/>
  <c r="K182" i="15"/>
  <c r="AK182" i="15" s="1"/>
  <c r="AB182" i="15"/>
  <c r="AC182" i="15"/>
  <c r="AD182" i="15"/>
  <c r="AE182" i="15"/>
  <c r="AF182" i="15"/>
  <c r="AG182" i="15"/>
  <c r="AH182" i="15"/>
  <c r="AJ182" i="15"/>
  <c r="AL182" i="15"/>
  <c r="AO182" i="15"/>
  <c r="AW182" i="15" s="1"/>
  <c r="AP182" i="15"/>
  <c r="BI182" i="15" s="1"/>
  <c r="BD182" i="15"/>
  <c r="BF182" i="15"/>
  <c r="BH182" i="15"/>
  <c r="BJ182" i="15"/>
  <c r="Z182" i="15" s="1"/>
  <c r="K183" i="15"/>
  <c r="AK183" i="15" s="1"/>
  <c r="AB183" i="15"/>
  <c r="AC183" i="15"/>
  <c r="AD183" i="15"/>
  <c r="AE183" i="15"/>
  <c r="AF183" i="15"/>
  <c r="AG183" i="15"/>
  <c r="AH183" i="15"/>
  <c r="AJ183" i="15"/>
  <c r="AL183" i="15"/>
  <c r="AO183" i="15"/>
  <c r="AP183" i="15"/>
  <c r="BD183" i="15"/>
  <c r="BF183" i="15"/>
  <c r="BH183" i="15"/>
  <c r="BJ183" i="15"/>
  <c r="Z183" i="15" s="1"/>
  <c r="K184" i="15"/>
  <c r="AK184" i="15" s="1"/>
  <c r="AB184" i="15"/>
  <c r="AC184" i="15"/>
  <c r="AD184" i="15"/>
  <c r="AE184" i="15"/>
  <c r="AF184" i="15"/>
  <c r="AG184" i="15"/>
  <c r="AH184" i="15"/>
  <c r="AJ184" i="15"/>
  <c r="AL184" i="15"/>
  <c r="AO184" i="15"/>
  <c r="AP184" i="15"/>
  <c r="AX184" i="15" s="1"/>
  <c r="BD184" i="15"/>
  <c r="BF184" i="15"/>
  <c r="BH184" i="15"/>
  <c r="BJ184" i="15"/>
  <c r="Z184" i="15" s="1"/>
  <c r="K186" i="15"/>
  <c r="AB186" i="15"/>
  <c r="AC186" i="15"/>
  <c r="AD186" i="15"/>
  <c r="AE186" i="15"/>
  <c r="AF186" i="15"/>
  <c r="AG186" i="15"/>
  <c r="AH186" i="15"/>
  <c r="AJ186" i="15"/>
  <c r="AS185" i="15" s="1"/>
  <c r="AL186" i="15"/>
  <c r="AU185" i="15" s="1"/>
  <c r="AO186" i="15"/>
  <c r="BH186" i="15" s="1"/>
  <c r="AP186" i="15"/>
  <c r="BD186" i="15"/>
  <c r="BF186" i="15"/>
  <c r="BJ186" i="15"/>
  <c r="Z186" i="15" s="1"/>
  <c r="K188" i="15"/>
  <c r="Z188" i="15"/>
  <c r="AB188" i="15"/>
  <c r="AC188" i="15"/>
  <c r="AF188" i="15"/>
  <c r="AG188" i="15"/>
  <c r="AH188" i="15"/>
  <c r="AJ188" i="15"/>
  <c r="AK188" i="15"/>
  <c r="AL188" i="15"/>
  <c r="AO188" i="15"/>
  <c r="AP188" i="15"/>
  <c r="J188" i="15" s="1"/>
  <c r="BD188" i="15"/>
  <c r="BF188" i="15"/>
  <c r="BJ188" i="15"/>
  <c r="K189" i="15"/>
  <c r="Z189" i="15"/>
  <c r="AB189" i="15"/>
  <c r="AC189" i="15"/>
  <c r="AF189" i="15"/>
  <c r="AG189" i="15"/>
  <c r="AH189" i="15"/>
  <c r="AJ189" i="15"/>
  <c r="AK189" i="15"/>
  <c r="AL189" i="15"/>
  <c r="AO189" i="15"/>
  <c r="AP189" i="15"/>
  <c r="BD189" i="15"/>
  <c r="BF189" i="15"/>
  <c r="BJ189" i="15"/>
  <c r="K190" i="15"/>
  <c r="Z190" i="15"/>
  <c r="AB190" i="15"/>
  <c r="AC190" i="15"/>
  <c r="AF190" i="15"/>
  <c r="AG190" i="15"/>
  <c r="AH190" i="15"/>
  <c r="AJ190" i="15"/>
  <c r="AL190" i="15"/>
  <c r="AO190" i="15"/>
  <c r="BH190" i="15" s="1"/>
  <c r="AD190" i="15" s="1"/>
  <c r="AP190" i="15"/>
  <c r="BD190" i="15"/>
  <c r="BF190" i="15"/>
  <c r="BJ190" i="15"/>
  <c r="K191" i="15"/>
  <c r="AK191" i="15" s="1"/>
  <c r="AB191" i="15"/>
  <c r="AC191" i="15"/>
  <c r="AD191" i="15"/>
  <c r="AE191" i="15"/>
  <c r="AF191" i="15"/>
  <c r="AG191" i="15"/>
  <c r="AH191" i="15"/>
  <c r="AJ191" i="15"/>
  <c r="AL191" i="15"/>
  <c r="AO191" i="15"/>
  <c r="I191" i="15" s="1"/>
  <c r="AP191" i="15"/>
  <c r="BD191" i="15"/>
  <c r="BF191" i="15"/>
  <c r="BJ191" i="15"/>
  <c r="Z191" i="15" s="1"/>
  <c r="K193" i="15"/>
  <c r="Z193" i="15"/>
  <c r="AB193" i="15"/>
  <c r="AC193" i="15"/>
  <c r="AF193" i="15"/>
  <c r="AG193" i="15"/>
  <c r="AH193" i="15"/>
  <c r="AJ193" i="15"/>
  <c r="AL193" i="15"/>
  <c r="AO193" i="15"/>
  <c r="AP193" i="15"/>
  <c r="BD193" i="15"/>
  <c r="BF193" i="15"/>
  <c r="BH193" i="15"/>
  <c r="AD193" i="15" s="1"/>
  <c r="BJ193" i="15"/>
  <c r="K194" i="15"/>
  <c r="AK194" i="15" s="1"/>
  <c r="Z194" i="15"/>
  <c r="AB194" i="15"/>
  <c r="AC194" i="15"/>
  <c r="AF194" i="15"/>
  <c r="AG194" i="15"/>
  <c r="AH194" i="15"/>
  <c r="AJ194" i="15"/>
  <c r="AL194" i="15"/>
  <c r="AO194" i="15"/>
  <c r="AP194" i="15"/>
  <c r="J194" i="15" s="1"/>
  <c r="BD194" i="15"/>
  <c r="BF194" i="15"/>
  <c r="BH194" i="15"/>
  <c r="AD194" i="15" s="1"/>
  <c r="BJ194" i="15"/>
  <c r="K195" i="15"/>
  <c r="Z195" i="15"/>
  <c r="AB195" i="15"/>
  <c r="AC195" i="15"/>
  <c r="AF195" i="15"/>
  <c r="AG195" i="15"/>
  <c r="AH195" i="15"/>
  <c r="AJ195" i="15"/>
  <c r="AK195" i="15"/>
  <c r="AL195" i="15"/>
  <c r="AO195" i="15"/>
  <c r="AW195" i="15" s="1"/>
  <c r="AP195" i="15"/>
  <c r="BD195" i="15"/>
  <c r="BF195" i="15"/>
  <c r="BJ195" i="15"/>
  <c r="K196" i="15"/>
  <c r="Z196" i="15"/>
  <c r="AB196" i="15"/>
  <c r="AC196" i="15"/>
  <c r="AF196" i="15"/>
  <c r="AG196" i="15"/>
  <c r="AH196" i="15"/>
  <c r="AJ196" i="15"/>
  <c r="AK196" i="15"/>
  <c r="AL196" i="15"/>
  <c r="AO196" i="15"/>
  <c r="I196" i="15" s="1"/>
  <c r="AP196" i="15"/>
  <c r="BI196" i="15" s="1"/>
  <c r="AE196" i="15" s="1"/>
  <c r="BD196" i="15"/>
  <c r="BF196" i="15"/>
  <c r="BJ196" i="15"/>
  <c r="K197" i="15"/>
  <c r="AK197" i="15" s="1"/>
  <c r="Z197" i="15"/>
  <c r="AB197" i="15"/>
  <c r="AC197" i="15"/>
  <c r="AF197" i="15"/>
  <c r="AG197" i="15"/>
  <c r="AH197" i="15"/>
  <c r="AJ197" i="15"/>
  <c r="AL197" i="15"/>
  <c r="AO197" i="15"/>
  <c r="BH197" i="15" s="1"/>
  <c r="AD197" i="15" s="1"/>
  <c r="AP197" i="15"/>
  <c r="BD197" i="15"/>
  <c r="BF197" i="15"/>
  <c r="BJ197" i="15"/>
  <c r="K198" i="15"/>
  <c r="AK198" i="15" s="1"/>
  <c r="Z198" i="15"/>
  <c r="AB198" i="15"/>
  <c r="AC198" i="15"/>
  <c r="AF198" i="15"/>
  <c r="AG198" i="15"/>
  <c r="AH198" i="15"/>
  <c r="AJ198" i="15"/>
  <c r="AL198" i="15"/>
  <c r="AO198" i="15"/>
  <c r="AP198" i="15"/>
  <c r="BD198" i="15"/>
  <c r="BF198" i="15"/>
  <c r="BH198" i="15"/>
  <c r="AD198" i="15" s="1"/>
  <c r="BJ198" i="15"/>
  <c r="K199" i="15"/>
  <c r="Z199" i="15"/>
  <c r="AB199" i="15"/>
  <c r="AC199" i="15"/>
  <c r="AF199" i="15"/>
  <c r="AG199" i="15"/>
  <c r="AH199" i="15"/>
  <c r="AJ199" i="15"/>
  <c r="AK199" i="15"/>
  <c r="AL199" i="15"/>
  <c r="AO199" i="15"/>
  <c r="AP199" i="15"/>
  <c r="AX199" i="15" s="1"/>
  <c r="BD199" i="15"/>
  <c r="BF199" i="15"/>
  <c r="BH199" i="15"/>
  <c r="AD199" i="15" s="1"/>
  <c r="BJ199" i="15"/>
  <c r="K200" i="15"/>
  <c r="AK200" i="15" s="1"/>
  <c r="AB200" i="15"/>
  <c r="AC200" i="15"/>
  <c r="AD200" i="15"/>
  <c r="AE200" i="15"/>
  <c r="AF200" i="15"/>
  <c r="AG200" i="15"/>
  <c r="AH200" i="15"/>
  <c r="AJ200" i="15"/>
  <c r="AL200" i="15"/>
  <c r="AO200" i="15"/>
  <c r="AP200" i="15"/>
  <c r="J200" i="15" s="1"/>
  <c r="BD200" i="15"/>
  <c r="BF200" i="15"/>
  <c r="BJ200" i="15"/>
  <c r="Z200" i="15" s="1"/>
  <c r="K202" i="15"/>
  <c r="Z202" i="15"/>
  <c r="AB202" i="15"/>
  <c r="AC202" i="15"/>
  <c r="AF202" i="15"/>
  <c r="AG202" i="15"/>
  <c r="AH202" i="15"/>
  <c r="AJ202" i="15"/>
  <c r="AL202" i="15"/>
  <c r="AO202" i="15"/>
  <c r="AP202" i="15"/>
  <c r="BD202" i="15"/>
  <c r="BF202" i="15"/>
  <c r="BH202" i="15"/>
  <c r="AD202" i="15" s="1"/>
  <c r="BJ202" i="15"/>
  <c r="K203" i="15"/>
  <c r="AK203" i="15" s="1"/>
  <c r="Z203" i="15"/>
  <c r="AB203" i="15"/>
  <c r="AC203" i="15"/>
  <c r="AF203" i="15"/>
  <c r="AG203" i="15"/>
  <c r="AH203" i="15"/>
  <c r="AJ203" i="15"/>
  <c r="AL203" i="15"/>
  <c r="AO203" i="15"/>
  <c r="AP203" i="15"/>
  <c r="BD203" i="15"/>
  <c r="BF203" i="15"/>
  <c r="BJ203" i="15"/>
  <c r="K204" i="15"/>
  <c r="Z204" i="15"/>
  <c r="AB204" i="15"/>
  <c r="AC204" i="15"/>
  <c r="AF204" i="15"/>
  <c r="AG204" i="15"/>
  <c r="AH204" i="15"/>
  <c r="AJ204" i="15"/>
  <c r="AK204" i="15"/>
  <c r="AL204" i="15"/>
  <c r="AO204" i="15"/>
  <c r="AP204" i="15"/>
  <c r="AX204" i="15" s="1"/>
  <c r="BD204" i="15"/>
  <c r="BF204" i="15"/>
  <c r="BJ204" i="15"/>
  <c r="K205" i="15"/>
  <c r="Z205" i="15"/>
  <c r="AB205" i="15"/>
  <c r="AC205" i="15"/>
  <c r="AF205" i="15"/>
  <c r="AG205" i="15"/>
  <c r="AH205" i="15"/>
  <c r="AJ205" i="15"/>
  <c r="AK205" i="15"/>
  <c r="AL205" i="15"/>
  <c r="AO205" i="15"/>
  <c r="AW205" i="15" s="1"/>
  <c r="AP205" i="15"/>
  <c r="BI205" i="15" s="1"/>
  <c r="AE205" i="15" s="1"/>
  <c r="BD205" i="15"/>
  <c r="BF205" i="15"/>
  <c r="BJ205" i="15"/>
  <c r="K206" i="15"/>
  <c r="AK206" i="15" s="1"/>
  <c r="Z206" i="15"/>
  <c r="AB206" i="15"/>
  <c r="AC206" i="15"/>
  <c r="AF206" i="15"/>
  <c r="AG206" i="15"/>
  <c r="AH206" i="15"/>
  <c r="AJ206" i="15"/>
  <c r="AL206" i="15"/>
  <c r="AO206" i="15"/>
  <c r="AP206" i="15"/>
  <c r="BD206" i="15"/>
  <c r="BF206" i="15"/>
  <c r="BH206" i="15"/>
  <c r="AD206" i="15" s="1"/>
  <c r="BJ206" i="15"/>
  <c r="K207" i="15"/>
  <c r="AK207" i="15" s="1"/>
  <c r="Z207" i="15"/>
  <c r="AB207" i="15"/>
  <c r="AC207" i="15"/>
  <c r="AF207" i="15"/>
  <c r="AG207" i="15"/>
  <c r="AH207" i="15"/>
  <c r="AJ207" i="15"/>
  <c r="AL207" i="15"/>
  <c r="AO207" i="15"/>
  <c r="AP207" i="15"/>
  <c r="J207" i="15" s="1"/>
  <c r="BD207" i="15"/>
  <c r="BF207" i="15"/>
  <c r="BJ207" i="15"/>
  <c r="K208" i="15"/>
  <c r="Z208" i="15"/>
  <c r="AB208" i="15"/>
  <c r="AC208" i="15"/>
  <c r="AF208" i="15"/>
  <c r="AG208" i="15"/>
  <c r="AH208" i="15"/>
  <c r="AJ208" i="15"/>
  <c r="AK208" i="15"/>
  <c r="AL208" i="15"/>
  <c r="AO208" i="15"/>
  <c r="I208" i="15" s="1"/>
  <c r="AP208" i="15"/>
  <c r="J208" i="15" s="1"/>
  <c r="BD208" i="15"/>
  <c r="BF208" i="15"/>
  <c r="BJ208" i="15"/>
  <c r="K209" i="15"/>
  <c r="Z209" i="15"/>
  <c r="AB209" i="15"/>
  <c r="AC209" i="15"/>
  <c r="AF209" i="15"/>
  <c r="AG209" i="15"/>
  <c r="AH209" i="15"/>
  <c r="AJ209" i="15"/>
  <c r="AK209" i="15"/>
  <c r="AL209" i="15"/>
  <c r="AO209" i="15"/>
  <c r="AW209" i="15" s="1"/>
  <c r="AP209" i="15"/>
  <c r="BI209" i="15" s="1"/>
  <c r="AE209" i="15" s="1"/>
  <c r="BD209" i="15"/>
  <c r="BF209" i="15"/>
  <c r="BH209" i="15"/>
  <c r="AD209" i="15" s="1"/>
  <c r="BJ209" i="15"/>
  <c r="K210" i="15"/>
  <c r="AK210" i="15" s="1"/>
  <c r="Z210" i="15"/>
  <c r="AB210" i="15"/>
  <c r="AC210" i="15"/>
  <c r="AF210" i="15"/>
  <c r="AG210" i="15"/>
  <c r="AH210" i="15"/>
  <c r="AJ210" i="15"/>
  <c r="AL210" i="15"/>
  <c r="AO210" i="15"/>
  <c r="BH210" i="15" s="1"/>
  <c r="AD210" i="15" s="1"/>
  <c r="AP210" i="15"/>
  <c r="BI210" i="15" s="1"/>
  <c r="AE210" i="15" s="1"/>
  <c r="BD210" i="15"/>
  <c r="BF210" i="15"/>
  <c r="BJ210" i="15"/>
  <c r="K211" i="15"/>
  <c r="AK211" i="15" s="1"/>
  <c r="Z211" i="15"/>
  <c r="AB211" i="15"/>
  <c r="AC211" i="15"/>
  <c r="AF211" i="15"/>
  <c r="AG211" i="15"/>
  <c r="AH211" i="15"/>
  <c r="AJ211" i="15"/>
  <c r="AL211" i="15"/>
  <c r="AO211" i="15"/>
  <c r="I211" i="15" s="1"/>
  <c r="AP211" i="15"/>
  <c r="BD211" i="15"/>
  <c r="BF211" i="15"/>
  <c r="BJ211" i="15"/>
  <c r="K212" i="15"/>
  <c r="Z212" i="15"/>
  <c r="AB212" i="15"/>
  <c r="AC212" i="15"/>
  <c r="AF212" i="15"/>
  <c r="AG212" i="15"/>
  <c r="AH212" i="15"/>
  <c r="AJ212" i="15"/>
  <c r="AK212" i="15"/>
  <c r="AL212" i="15"/>
  <c r="AO212" i="15"/>
  <c r="AP212" i="15"/>
  <c r="BD212" i="15"/>
  <c r="BF212" i="15"/>
  <c r="BJ212" i="15"/>
  <c r="K213" i="15"/>
  <c r="Z213" i="15"/>
  <c r="AB213" i="15"/>
  <c r="AC213" i="15"/>
  <c r="AF213" i="15"/>
  <c r="AG213" i="15"/>
  <c r="AH213" i="15"/>
  <c r="AJ213" i="15"/>
  <c r="AK213" i="15"/>
  <c r="AL213" i="15"/>
  <c r="AO213" i="15"/>
  <c r="AP213" i="15"/>
  <c r="BI213" i="15" s="1"/>
  <c r="AE213" i="15" s="1"/>
  <c r="BD213" i="15"/>
  <c r="BF213" i="15"/>
  <c r="BJ213" i="15"/>
  <c r="K214" i="15"/>
  <c r="AK214" i="15" s="1"/>
  <c r="Z214" i="15"/>
  <c r="AB214" i="15"/>
  <c r="AC214" i="15"/>
  <c r="AF214" i="15"/>
  <c r="AG214" i="15"/>
  <c r="AH214" i="15"/>
  <c r="AJ214" i="15"/>
  <c r="AL214" i="15"/>
  <c r="AO214" i="15"/>
  <c r="AP214" i="15"/>
  <c r="BD214" i="15"/>
  <c r="BF214" i="15"/>
  <c r="BH214" i="15"/>
  <c r="AD214" i="15" s="1"/>
  <c r="BJ214" i="15"/>
  <c r="K215" i="15"/>
  <c r="AK215" i="15" s="1"/>
  <c r="Z215" i="15"/>
  <c r="AB215" i="15"/>
  <c r="AC215" i="15"/>
  <c r="AF215" i="15"/>
  <c r="AG215" i="15"/>
  <c r="AH215" i="15"/>
  <c r="AJ215" i="15"/>
  <c r="AL215" i="15"/>
  <c r="AO215" i="15"/>
  <c r="AP215" i="15"/>
  <c r="BD215" i="15"/>
  <c r="BF215" i="15"/>
  <c r="BJ215" i="15"/>
  <c r="K216" i="15"/>
  <c r="Z216" i="15"/>
  <c r="AB216" i="15"/>
  <c r="AC216" i="15"/>
  <c r="AF216" i="15"/>
  <c r="AG216" i="15"/>
  <c r="AH216" i="15"/>
  <c r="AJ216" i="15"/>
  <c r="AK216" i="15"/>
  <c r="AL216" i="15"/>
  <c r="AO216" i="15"/>
  <c r="AP216" i="15"/>
  <c r="BD216" i="15"/>
  <c r="BF216" i="15"/>
  <c r="BJ216" i="15"/>
  <c r="K217" i="15"/>
  <c r="Z217" i="15"/>
  <c r="AB217" i="15"/>
  <c r="AC217" i="15"/>
  <c r="AF217" i="15"/>
  <c r="AG217" i="15"/>
  <c r="AH217" i="15"/>
  <c r="AJ217" i="15"/>
  <c r="AK217" i="15"/>
  <c r="AL217" i="15"/>
  <c r="AO217" i="15"/>
  <c r="AP217" i="15"/>
  <c r="BD217" i="15"/>
  <c r="BF217" i="15"/>
  <c r="BH217" i="15"/>
  <c r="AD217" i="15" s="1"/>
  <c r="BI217" i="15"/>
  <c r="AE217" i="15" s="1"/>
  <c r="BJ217" i="15"/>
  <c r="K218" i="15"/>
  <c r="AK218" i="15" s="1"/>
  <c r="Z218" i="15"/>
  <c r="AB218" i="15"/>
  <c r="AC218" i="15"/>
  <c r="AF218" i="15"/>
  <c r="AG218" i="15"/>
  <c r="AH218" i="15"/>
  <c r="AJ218" i="15"/>
  <c r="AL218" i="15"/>
  <c r="AO218" i="15"/>
  <c r="AP218" i="15"/>
  <c r="BD218" i="15"/>
  <c r="BF218" i="15"/>
  <c r="BJ218" i="15"/>
  <c r="K219" i="15"/>
  <c r="AK219" i="15" s="1"/>
  <c r="Z219" i="15"/>
  <c r="AB219" i="15"/>
  <c r="AC219" i="15"/>
  <c r="AF219" i="15"/>
  <c r="AG219" i="15"/>
  <c r="AH219" i="15"/>
  <c r="AJ219" i="15"/>
  <c r="AL219" i="15"/>
  <c r="AO219" i="15"/>
  <c r="AP219" i="15"/>
  <c r="BD219" i="15"/>
  <c r="BF219" i="15"/>
  <c r="BJ219" i="15"/>
  <c r="K220" i="15"/>
  <c r="Z220" i="15"/>
  <c r="AB220" i="15"/>
  <c r="AC220" i="15"/>
  <c r="AF220" i="15"/>
  <c r="AG220" i="15"/>
  <c r="AH220" i="15"/>
  <c r="AJ220" i="15"/>
  <c r="AK220" i="15"/>
  <c r="AL220" i="15"/>
  <c r="AO220" i="15"/>
  <c r="AW220" i="15" s="1"/>
  <c r="AP220" i="15"/>
  <c r="BD220" i="15"/>
  <c r="BF220" i="15"/>
  <c r="BH220" i="15"/>
  <c r="AD220" i="15" s="1"/>
  <c r="BJ220" i="15"/>
  <c r="K221" i="15"/>
  <c r="Z221" i="15"/>
  <c r="AB221" i="15"/>
  <c r="AC221" i="15"/>
  <c r="AF221" i="15"/>
  <c r="AG221" i="15"/>
  <c r="AH221" i="15"/>
  <c r="AJ221" i="15"/>
  <c r="AK221" i="15"/>
  <c r="AL221" i="15"/>
  <c r="AO221" i="15"/>
  <c r="BH221" i="15" s="1"/>
  <c r="AD221" i="15" s="1"/>
  <c r="AP221" i="15"/>
  <c r="BD221" i="15"/>
  <c r="BF221" i="15"/>
  <c r="BJ221" i="15"/>
  <c r="K222" i="15"/>
  <c r="AK222" i="15" s="1"/>
  <c r="Z222" i="15"/>
  <c r="AB222" i="15"/>
  <c r="AC222" i="15"/>
  <c r="AF222" i="15"/>
  <c r="AG222" i="15"/>
  <c r="AH222" i="15"/>
  <c r="AJ222" i="15"/>
  <c r="AL222" i="15"/>
  <c r="AO222" i="15"/>
  <c r="BH222" i="15" s="1"/>
  <c r="AD222" i="15" s="1"/>
  <c r="AP222" i="15"/>
  <c r="BD222" i="15"/>
  <c r="BF222" i="15"/>
  <c r="BJ222" i="15"/>
  <c r="K223" i="15"/>
  <c r="AK223" i="15" s="1"/>
  <c r="Z223" i="15"/>
  <c r="AB223" i="15"/>
  <c r="AC223" i="15"/>
  <c r="AF223" i="15"/>
  <c r="AG223" i="15"/>
  <c r="AH223" i="15"/>
  <c r="AJ223" i="15"/>
  <c r="AL223" i="15"/>
  <c r="AO223" i="15"/>
  <c r="BH223" i="15" s="1"/>
  <c r="AD223" i="15" s="1"/>
  <c r="AP223" i="15"/>
  <c r="J223" i="15" s="1"/>
  <c r="BD223" i="15"/>
  <c r="BF223" i="15"/>
  <c r="BJ223" i="15"/>
  <c r="K224" i="15"/>
  <c r="Z224" i="15"/>
  <c r="AB224" i="15"/>
  <c r="AC224" i="15"/>
  <c r="AF224" i="15"/>
  <c r="AG224" i="15"/>
  <c r="AH224" i="15"/>
  <c r="AJ224" i="15"/>
  <c r="AK224" i="15"/>
  <c r="AL224" i="15"/>
  <c r="AO224" i="15"/>
  <c r="AP224" i="15"/>
  <c r="J224" i="15" s="1"/>
  <c r="BD224" i="15"/>
  <c r="BF224" i="15"/>
  <c r="BJ224" i="15"/>
  <c r="K225" i="15"/>
  <c r="Z225" i="15"/>
  <c r="AB225" i="15"/>
  <c r="AC225" i="15"/>
  <c r="AF225" i="15"/>
  <c r="AG225" i="15"/>
  <c r="AH225" i="15"/>
  <c r="AJ225" i="15"/>
  <c r="AK225" i="15"/>
  <c r="AL225" i="15"/>
  <c r="AO225" i="15"/>
  <c r="AP225" i="15"/>
  <c r="BD225" i="15"/>
  <c r="BF225" i="15"/>
  <c r="BH225" i="15"/>
  <c r="AD225" i="15" s="1"/>
  <c r="BJ225" i="15"/>
  <c r="K227" i="15"/>
  <c r="Z227" i="15"/>
  <c r="AB227" i="15"/>
  <c r="AC227" i="15"/>
  <c r="AF227" i="15"/>
  <c r="AG227" i="15"/>
  <c r="AH227" i="15"/>
  <c r="AJ227" i="15"/>
  <c r="AK227" i="15"/>
  <c r="AL227" i="15"/>
  <c r="AO227" i="15"/>
  <c r="BH227" i="15" s="1"/>
  <c r="AD227" i="15" s="1"/>
  <c r="AP227" i="15"/>
  <c r="BD227" i="15"/>
  <c r="BF227" i="15"/>
  <c r="BJ227" i="15"/>
  <c r="K228" i="15"/>
  <c r="Z228" i="15"/>
  <c r="AB228" i="15"/>
  <c r="AC228" i="15"/>
  <c r="AF228" i="15"/>
  <c r="AG228" i="15"/>
  <c r="AH228" i="15"/>
  <c r="AJ228" i="15"/>
  <c r="AK228" i="15"/>
  <c r="AL228" i="15"/>
  <c r="AO228" i="15"/>
  <c r="AW228" i="15" s="1"/>
  <c r="AP228" i="15"/>
  <c r="BD228" i="15"/>
  <c r="BF228" i="15"/>
  <c r="BJ228" i="15"/>
  <c r="K229" i="15"/>
  <c r="Z229" i="15"/>
  <c r="AB229" i="15"/>
  <c r="AC229" i="15"/>
  <c r="AF229" i="15"/>
  <c r="AG229" i="15"/>
  <c r="AH229" i="15"/>
  <c r="AJ229" i="15"/>
  <c r="AL229" i="15"/>
  <c r="AO229" i="15"/>
  <c r="AP229" i="15"/>
  <c r="BD229" i="15"/>
  <c r="BF229" i="15"/>
  <c r="BJ229" i="15"/>
  <c r="K230" i="15"/>
  <c r="AK230" i="15" s="1"/>
  <c r="Z230" i="15"/>
  <c r="AB230" i="15"/>
  <c r="AC230" i="15"/>
  <c r="AF230" i="15"/>
  <c r="AG230" i="15"/>
  <c r="AH230" i="15"/>
  <c r="AJ230" i="15"/>
  <c r="AL230" i="15"/>
  <c r="AO230" i="15"/>
  <c r="I230" i="15" s="1"/>
  <c r="AP230" i="15"/>
  <c r="J230" i="15" s="1"/>
  <c r="BD230" i="15"/>
  <c r="BF230" i="15"/>
  <c r="BJ230" i="15"/>
  <c r="K231" i="15"/>
  <c r="Z231" i="15"/>
  <c r="AB231" i="15"/>
  <c r="AC231" i="15"/>
  <c r="AF231" i="15"/>
  <c r="AG231" i="15"/>
  <c r="AH231" i="15"/>
  <c r="AJ231" i="15"/>
  <c r="AK231" i="15"/>
  <c r="AL231" i="15"/>
  <c r="AO231" i="15"/>
  <c r="AW231" i="15" s="1"/>
  <c r="AP231" i="15"/>
  <c r="BD231" i="15"/>
  <c r="BF231" i="15"/>
  <c r="BH231" i="15"/>
  <c r="AD231" i="15" s="1"/>
  <c r="BJ231" i="15"/>
  <c r="K232" i="15"/>
  <c r="Z232" i="15"/>
  <c r="AB232" i="15"/>
  <c r="AC232" i="15"/>
  <c r="AF232" i="15"/>
  <c r="AG232" i="15"/>
  <c r="AH232" i="15"/>
  <c r="AJ232" i="15"/>
  <c r="AK232" i="15"/>
  <c r="AL232" i="15"/>
  <c r="AO232" i="15"/>
  <c r="AP232" i="15"/>
  <c r="BD232" i="15"/>
  <c r="BF232" i="15"/>
  <c r="BJ232" i="15"/>
  <c r="K233" i="15"/>
  <c r="AK233" i="15" s="1"/>
  <c r="Z233" i="15"/>
  <c r="AB233" i="15"/>
  <c r="AC233" i="15"/>
  <c r="AF233" i="15"/>
  <c r="AG233" i="15"/>
  <c r="AH233" i="15"/>
  <c r="AJ233" i="15"/>
  <c r="AL233" i="15"/>
  <c r="AO233" i="15"/>
  <c r="BH233" i="15" s="1"/>
  <c r="AD233" i="15" s="1"/>
  <c r="AP233" i="15"/>
  <c r="J233" i="15" s="1"/>
  <c r="BD233" i="15"/>
  <c r="BF233" i="15"/>
  <c r="BJ233" i="15"/>
  <c r="K234" i="15"/>
  <c r="AK234" i="15" s="1"/>
  <c r="Z234" i="15"/>
  <c r="AB234" i="15"/>
  <c r="AC234" i="15"/>
  <c r="AF234" i="15"/>
  <c r="AG234" i="15"/>
  <c r="AH234" i="15"/>
  <c r="AJ234" i="15"/>
  <c r="AL234" i="15"/>
  <c r="AO234" i="15"/>
  <c r="AP234" i="15"/>
  <c r="BD234" i="15"/>
  <c r="BF234" i="15"/>
  <c r="BJ234" i="15"/>
  <c r="K235" i="15"/>
  <c r="Z235" i="15"/>
  <c r="AB235" i="15"/>
  <c r="AC235" i="15"/>
  <c r="AF235" i="15"/>
  <c r="AG235" i="15"/>
  <c r="AH235" i="15"/>
  <c r="AJ235" i="15"/>
  <c r="AK235" i="15"/>
  <c r="AL235" i="15"/>
  <c r="AO235" i="15"/>
  <c r="AP235" i="15"/>
  <c r="J235" i="15" s="1"/>
  <c r="BD235" i="15"/>
  <c r="BF235" i="15"/>
  <c r="BJ235" i="15"/>
  <c r="K236" i="15"/>
  <c r="Z236" i="15"/>
  <c r="AB236" i="15"/>
  <c r="AC236" i="15"/>
  <c r="AF236" i="15"/>
  <c r="AG236" i="15"/>
  <c r="AH236" i="15"/>
  <c r="AJ236" i="15"/>
  <c r="AK236" i="15"/>
  <c r="AL236" i="15"/>
  <c r="AO236" i="15"/>
  <c r="AW236" i="15" s="1"/>
  <c r="AP236" i="15"/>
  <c r="BD236" i="15"/>
  <c r="BF236" i="15"/>
  <c r="BJ236" i="15"/>
  <c r="K237" i="15"/>
  <c r="AK237" i="15" s="1"/>
  <c r="Z237" i="15"/>
  <c r="AB237" i="15"/>
  <c r="AC237" i="15"/>
  <c r="AF237" i="15"/>
  <c r="AG237" i="15"/>
  <c r="AH237" i="15"/>
  <c r="AJ237" i="15"/>
  <c r="AL237" i="15"/>
  <c r="AO237" i="15"/>
  <c r="BH237" i="15" s="1"/>
  <c r="AD237" i="15" s="1"/>
  <c r="AP237" i="15"/>
  <c r="J237" i="15" s="1"/>
  <c r="BD237" i="15"/>
  <c r="BF237" i="15"/>
  <c r="BJ237" i="15"/>
  <c r="K238" i="15"/>
  <c r="AK238" i="15" s="1"/>
  <c r="Z238" i="15"/>
  <c r="AB238" i="15"/>
  <c r="AC238" i="15"/>
  <c r="AF238" i="15"/>
  <c r="AG238" i="15"/>
  <c r="AH238" i="15"/>
  <c r="AJ238" i="15"/>
  <c r="AL238" i="15"/>
  <c r="AO238" i="15"/>
  <c r="AP238" i="15"/>
  <c r="J238" i="15" s="1"/>
  <c r="BD238" i="15"/>
  <c r="BF238" i="15"/>
  <c r="BJ238" i="15"/>
  <c r="K239" i="15"/>
  <c r="Z239" i="15"/>
  <c r="AB239" i="15"/>
  <c r="AC239" i="15"/>
  <c r="AF239" i="15"/>
  <c r="AG239" i="15"/>
  <c r="AH239" i="15"/>
  <c r="AJ239" i="15"/>
  <c r="AK239" i="15"/>
  <c r="AL239" i="15"/>
  <c r="AO239" i="15"/>
  <c r="AP239" i="15"/>
  <c r="AX239" i="15" s="1"/>
  <c r="BD239" i="15"/>
  <c r="BF239" i="15"/>
  <c r="BJ239" i="15"/>
  <c r="K240" i="15"/>
  <c r="Z240" i="15"/>
  <c r="AB240" i="15"/>
  <c r="AC240" i="15"/>
  <c r="AF240" i="15"/>
  <c r="AG240" i="15"/>
  <c r="AH240" i="15"/>
  <c r="AJ240" i="15"/>
  <c r="AK240" i="15"/>
  <c r="AL240" i="15"/>
  <c r="AO240" i="15"/>
  <c r="AP240" i="15"/>
  <c r="BI240" i="15" s="1"/>
  <c r="AE240" i="15" s="1"/>
  <c r="BD240" i="15"/>
  <c r="BF240" i="15"/>
  <c r="BJ240" i="15"/>
  <c r="K241" i="15"/>
  <c r="AK241" i="15" s="1"/>
  <c r="Z241" i="15"/>
  <c r="AB241" i="15"/>
  <c r="AC241" i="15"/>
  <c r="AF241" i="15"/>
  <c r="AG241" i="15"/>
  <c r="AH241" i="15"/>
  <c r="AJ241" i="15"/>
  <c r="AL241" i="15"/>
  <c r="AO241" i="15"/>
  <c r="BH241" i="15" s="1"/>
  <c r="AD241" i="15" s="1"/>
  <c r="AP241" i="15"/>
  <c r="J241" i="15" s="1"/>
  <c r="BD241" i="15"/>
  <c r="BF241" i="15"/>
  <c r="BJ241" i="15"/>
  <c r="K242" i="15"/>
  <c r="AK242" i="15" s="1"/>
  <c r="Z242" i="15"/>
  <c r="AB242" i="15"/>
  <c r="AC242" i="15"/>
  <c r="AF242" i="15"/>
  <c r="AG242" i="15"/>
  <c r="AH242" i="15"/>
  <c r="AJ242" i="15"/>
  <c r="AL242" i="15"/>
  <c r="AO242" i="15"/>
  <c r="I242" i="15" s="1"/>
  <c r="AP242" i="15"/>
  <c r="J242" i="15" s="1"/>
  <c r="BD242" i="15"/>
  <c r="BF242" i="15"/>
  <c r="BJ242" i="15"/>
  <c r="K244" i="15"/>
  <c r="Z244" i="15"/>
  <c r="AB244" i="15"/>
  <c r="AC244" i="15"/>
  <c r="AF244" i="15"/>
  <c r="AG244" i="15"/>
  <c r="AH244" i="15"/>
  <c r="AJ244" i="15"/>
  <c r="AL244" i="15"/>
  <c r="AO244" i="15"/>
  <c r="AP244" i="15"/>
  <c r="J244" i="15" s="1"/>
  <c r="BD244" i="15"/>
  <c r="BF244" i="15"/>
  <c r="BH244" i="15"/>
  <c r="AD244" i="15" s="1"/>
  <c r="BJ244" i="15"/>
  <c r="K245" i="15"/>
  <c r="AK245" i="15" s="1"/>
  <c r="Z245" i="15"/>
  <c r="AB245" i="15"/>
  <c r="AC245" i="15"/>
  <c r="AF245" i="15"/>
  <c r="AG245" i="15"/>
  <c r="AH245" i="15"/>
  <c r="AJ245" i="15"/>
  <c r="AL245" i="15"/>
  <c r="AO245" i="15"/>
  <c r="I245" i="15" s="1"/>
  <c r="AP245" i="15"/>
  <c r="BD245" i="15"/>
  <c r="BF245" i="15"/>
  <c r="BJ245" i="15"/>
  <c r="K246" i="15"/>
  <c r="Z246" i="15"/>
  <c r="AB246" i="15"/>
  <c r="AC246" i="15"/>
  <c r="AF246" i="15"/>
  <c r="AG246" i="15"/>
  <c r="AH246" i="15"/>
  <c r="AJ246" i="15"/>
  <c r="AK246" i="15"/>
  <c r="AL246" i="15"/>
  <c r="AO246" i="15"/>
  <c r="AP246" i="15"/>
  <c r="BD246" i="15"/>
  <c r="BF246" i="15"/>
  <c r="BJ246" i="15"/>
  <c r="K247" i="15"/>
  <c r="Z247" i="15"/>
  <c r="AB247" i="15"/>
  <c r="AC247" i="15"/>
  <c r="AF247" i="15"/>
  <c r="AG247" i="15"/>
  <c r="AH247" i="15"/>
  <c r="AJ247" i="15"/>
  <c r="AK247" i="15"/>
  <c r="AL247" i="15"/>
  <c r="AO247" i="15"/>
  <c r="AW247" i="15" s="1"/>
  <c r="AP247" i="15"/>
  <c r="BI247" i="15" s="1"/>
  <c r="AE247" i="15" s="1"/>
  <c r="BD247" i="15"/>
  <c r="BF247" i="15"/>
  <c r="BH247" i="15"/>
  <c r="AD247" i="15" s="1"/>
  <c r="BJ247" i="15"/>
  <c r="K248" i="15"/>
  <c r="AK248" i="15" s="1"/>
  <c r="Z248" i="15"/>
  <c r="AB248" i="15"/>
  <c r="AC248" i="15"/>
  <c r="AF248" i="15"/>
  <c r="AG248" i="15"/>
  <c r="AH248" i="15"/>
  <c r="AJ248" i="15"/>
  <c r="AL248" i="15"/>
  <c r="AO248" i="15"/>
  <c r="AP248" i="15"/>
  <c r="BD248" i="15"/>
  <c r="BF248" i="15"/>
  <c r="BH248" i="15"/>
  <c r="AD248" i="15" s="1"/>
  <c r="BJ248" i="15"/>
  <c r="K249" i="15"/>
  <c r="AK249" i="15" s="1"/>
  <c r="Z249" i="15"/>
  <c r="AB249" i="15"/>
  <c r="AC249" i="15"/>
  <c r="AF249" i="15"/>
  <c r="AG249" i="15"/>
  <c r="AH249" i="15"/>
  <c r="AJ249" i="15"/>
  <c r="AL249" i="15"/>
  <c r="AO249" i="15"/>
  <c r="AP249" i="15"/>
  <c r="BD249" i="15"/>
  <c r="BF249" i="15"/>
  <c r="BH249" i="15"/>
  <c r="AD249" i="15" s="1"/>
  <c r="BJ249" i="15"/>
  <c r="K250" i="15"/>
  <c r="Z250" i="15"/>
  <c r="AB250" i="15"/>
  <c r="AC250" i="15"/>
  <c r="AF250" i="15"/>
  <c r="AG250" i="15"/>
  <c r="AH250" i="15"/>
  <c r="AJ250" i="15"/>
  <c r="AK250" i="15"/>
  <c r="AL250" i="15"/>
  <c r="AO250" i="15"/>
  <c r="AP250" i="15"/>
  <c r="BI250" i="15" s="1"/>
  <c r="AE250" i="15" s="1"/>
  <c r="BD250" i="15"/>
  <c r="BF250" i="15"/>
  <c r="BJ250" i="15"/>
  <c r="K251" i="15"/>
  <c r="Z251" i="15"/>
  <c r="AB251" i="15"/>
  <c r="AC251" i="15"/>
  <c r="AF251" i="15"/>
  <c r="AG251" i="15"/>
  <c r="AH251" i="15"/>
  <c r="AJ251" i="15"/>
  <c r="AK251" i="15"/>
  <c r="AL251" i="15"/>
  <c r="AO251" i="15"/>
  <c r="BH251" i="15" s="1"/>
  <c r="AD251" i="15" s="1"/>
  <c r="AP251" i="15"/>
  <c r="BI251" i="15" s="1"/>
  <c r="AE251" i="15" s="1"/>
  <c r="BD251" i="15"/>
  <c r="BF251" i="15"/>
  <c r="BJ251" i="15"/>
  <c r="K252" i="15"/>
  <c r="AK252" i="15" s="1"/>
  <c r="Z252" i="15"/>
  <c r="AB252" i="15"/>
  <c r="AC252" i="15"/>
  <c r="AF252" i="15"/>
  <c r="AG252" i="15"/>
  <c r="AH252" i="15"/>
  <c r="AJ252" i="15"/>
  <c r="AL252" i="15"/>
  <c r="AO252" i="15"/>
  <c r="BH252" i="15" s="1"/>
  <c r="AD252" i="15" s="1"/>
  <c r="AP252" i="15"/>
  <c r="BI252" i="15" s="1"/>
  <c r="AE252" i="15" s="1"/>
  <c r="BD252" i="15"/>
  <c r="BF252" i="15"/>
  <c r="BJ252" i="15"/>
  <c r="K253" i="15"/>
  <c r="AK253" i="15" s="1"/>
  <c r="Z253" i="15"/>
  <c r="AB253" i="15"/>
  <c r="AC253" i="15"/>
  <c r="AF253" i="15"/>
  <c r="AG253" i="15"/>
  <c r="AH253" i="15"/>
  <c r="AJ253" i="15"/>
  <c r="AL253" i="15"/>
  <c r="AO253" i="15"/>
  <c r="AW253" i="15" s="1"/>
  <c r="AP253" i="15"/>
  <c r="J253" i="15" s="1"/>
  <c r="BD253" i="15"/>
  <c r="BF253" i="15"/>
  <c r="BJ253" i="15"/>
  <c r="K254" i="15"/>
  <c r="Z254" i="15"/>
  <c r="AB254" i="15"/>
  <c r="AC254" i="15"/>
  <c r="AF254" i="15"/>
  <c r="AG254" i="15"/>
  <c r="AH254" i="15"/>
  <c r="AJ254" i="15"/>
  <c r="AK254" i="15"/>
  <c r="AL254" i="15"/>
  <c r="AO254" i="15"/>
  <c r="I254" i="15" s="1"/>
  <c r="AP254" i="15"/>
  <c r="J254" i="15" s="1"/>
  <c r="BD254" i="15"/>
  <c r="BF254" i="15"/>
  <c r="BJ254" i="15"/>
  <c r="K255" i="15"/>
  <c r="Z255" i="15"/>
  <c r="AB255" i="15"/>
  <c r="AC255" i="15"/>
  <c r="AF255" i="15"/>
  <c r="AG255" i="15"/>
  <c r="AH255" i="15"/>
  <c r="AJ255" i="15"/>
  <c r="AK255" i="15"/>
  <c r="AL255" i="15"/>
  <c r="AO255" i="15"/>
  <c r="BH255" i="15" s="1"/>
  <c r="AD255" i="15" s="1"/>
  <c r="AP255" i="15"/>
  <c r="BI255" i="15" s="1"/>
  <c r="AE255" i="15" s="1"/>
  <c r="BD255" i="15"/>
  <c r="BF255" i="15"/>
  <c r="BJ255" i="15"/>
  <c r="K256" i="15"/>
  <c r="AK256" i="15" s="1"/>
  <c r="Z256" i="15"/>
  <c r="AB256" i="15"/>
  <c r="AC256" i="15"/>
  <c r="AF256" i="15"/>
  <c r="AG256" i="15"/>
  <c r="AH256" i="15"/>
  <c r="AJ256" i="15"/>
  <c r="AL256" i="15"/>
  <c r="AO256" i="15"/>
  <c r="AP256" i="15"/>
  <c r="BD256" i="15"/>
  <c r="BF256" i="15"/>
  <c r="BJ256" i="15"/>
  <c r="K257" i="15"/>
  <c r="AK257" i="15" s="1"/>
  <c r="Z257" i="15"/>
  <c r="AB257" i="15"/>
  <c r="AC257" i="15"/>
  <c r="AF257" i="15"/>
  <c r="AG257" i="15"/>
  <c r="AH257" i="15"/>
  <c r="AJ257" i="15"/>
  <c r="AL257" i="15"/>
  <c r="AO257" i="15"/>
  <c r="AP257" i="15"/>
  <c r="BD257" i="15"/>
  <c r="BF257" i="15"/>
  <c r="BJ257" i="15"/>
  <c r="K258" i="15"/>
  <c r="Z258" i="15"/>
  <c r="AB258" i="15"/>
  <c r="AC258" i="15"/>
  <c r="AF258" i="15"/>
  <c r="AG258" i="15"/>
  <c r="AH258" i="15"/>
  <c r="AJ258" i="15"/>
  <c r="AK258" i="15"/>
  <c r="AL258" i="15"/>
  <c r="AO258" i="15"/>
  <c r="AP258" i="15"/>
  <c r="AX258" i="15" s="1"/>
  <c r="BD258" i="15"/>
  <c r="BF258" i="15"/>
  <c r="BJ258" i="15"/>
  <c r="K259" i="15"/>
  <c r="Z259" i="15"/>
  <c r="AB259" i="15"/>
  <c r="AC259" i="15"/>
  <c r="AF259" i="15"/>
  <c r="AG259" i="15"/>
  <c r="AH259" i="15"/>
  <c r="AJ259" i="15"/>
  <c r="AK259" i="15"/>
  <c r="AL259" i="15"/>
  <c r="AO259" i="15"/>
  <c r="BH259" i="15" s="1"/>
  <c r="AD259" i="15" s="1"/>
  <c r="AP259" i="15"/>
  <c r="BD259" i="15"/>
  <c r="BF259" i="15"/>
  <c r="BJ259" i="15"/>
  <c r="K260" i="15"/>
  <c r="AK260" i="15" s="1"/>
  <c r="Z260" i="15"/>
  <c r="AB260" i="15"/>
  <c r="AC260" i="15"/>
  <c r="AF260" i="15"/>
  <c r="AG260" i="15"/>
  <c r="AH260" i="15"/>
  <c r="AJ260" i="15"/>
  <c r="AL260" i="15"/>
  <c r="AO260" i="15"/>
  <c r="AP260" i="15"/>
  <c r="AX260" i="15" s="1"/>
  <c r="BD260" i="15"/>
  <c r="BF260" i="15"/>
  <c r="BH260" i="15"/>
  <c r="AD260" i="15" s="1"/>
  <c r="BJ260" i="15"/>
  <c r="K261" i="15"/>
  <c r="AK261" i="15" s="1"/>
  <c r="Z261" i="15"/>
  <c r="AB261" i="15"/>
  <c r="AC261" i="15"/>
  <c r="AF261" i="15"/>
  <c r="AG261" i="15"/>
  <c r="AH261" i="15"/>
  <c r="AJ261" i="15"/>
  <c r="AL261" i="15"/>
  <c r="AO261" i="15"/>
  <c r="AP261" i="15"/>
  <c r="BI261" i="15" s="1"/>
  <c r="AE261" i="15" s="1"/>
  <c r="BD261" i="15"/>
  <c r="BF261" i="15"/>
  <c r="BJ261" i="15"/>
  <c r="K262" i="15"/>
  <c r="Z262" i="15"/>
  <c r="AB262" i="15"/>
  <c r="AC262" i="15"/>
  <c r="AF262" i="15"/>
  <c r="AG262" i="15"/>
  <c r="AH262" i="15"/>
  <c r="AJ262" i="15"/>
  <c r="AK262" i="15"/>
  <c r="AL262" i="15"/>
  <c r="AO262" i="15"/>
  <c r="AP262" i="15"/>
  <c r="J262" i="15" s="1"/>
  <c r="BD262" i="15"/>
  <c r="BF262" i="15"/>
  <c r="BJ262" i="15"/>
  <c r="K263" i="15"/>
  <c r="Z263" i="15"/>
  <c r="AB263" i="15"/>
  <c r="AC263" i="15"/>
  <c r="AF263" i="15"/>
  <c r="AG263" i="15"/>
  <c r="AH263" i="15"/>
  <c r="AJ263" i="15"/>
  <c r="AK263" i="15"/>
  <c r="AL263" i="15"/>
  <c r="AO263" i="15"/>
  <c r="AP263" i="15"/>
  <c r="BD263" i="15"/>
  <c r="BF263" i="15"/>
  <c r="BJ263" i="15"/>
  <c r="K264" i="15"/>
  <c r="AK264" i="15" s="1"/>
  <c r="Z264" i="15"/>
  <c r="AB264" i="15"/>
  <c r="AC264" i="15"/>
  <c r="AF264" i="15"/>
  <c r="AG264" i="15"/>
  <c r="AH264" i="15"/>
  <c r="AJ264" i="15"/>
  <c r="AL264" i="15"/>
  <c r="AO264" i="15"/>
  <c r="AP264" i="15"/>
  <c r="BD264" i="15"/>
  <c r="BF264" i="15"/>
  <c r="BH264" i="15"/>
  <c r="AD264" i="15" s="1"/>
  <c r="BJ264" i="15"/>
  <c r="K265" i="15"/>
  <c r="AK265" i="15" s="1"/>
  <c r="Z265" i="15"/>
  <c r="AB265" i="15"/>
  <c r="AC265" i="15"/>
  <c r="AF265" i="15"/>
  <c r="AG265" i="15"/>
  <c r="AH265" i="15"/>
  <c r="AJ265" i="15"/>
  <c r="AL265" i="15"/>
  <c r="AO265" i="15"/>
  <c r="AP265" i="15"/>
  <c r="BD265" i="15"/>
  <c r="BF265" i="15"/>
  <c r="BJ265" i="15"/>
  <c r="K266" i="15"/>
  <c r="Z266" i="15"/>
  <c r="AB266" i="15"/>
  <c r="AC266" i="15"/>
  <c r="AF266" i="15"/>
  <c r="AG266" i="15"/>
  <c r="AH266" i="15"/>
  <c r="AJ266" i="15"/>
  <c r="AK266" i="15"/>
  <c r="AL266" i="15"/>
  <c r="AO266" i="15"/>
  <c r="I266" i="15" s="1"/>
  <c r="AP266" i="15"/>
  <c r="BD266" i="15"/>
  <c r="BF266" i="15"/>
  <c r="BJ266" i="15"/>
  <c r="K267" i="15"/>
  <c r="Z267" i="15"/>
  <c r="AB267" i="15"/>
  <c r="AC267" i="15"/>
  <c r="AF267" i="15"/>
  <c r="AG267" i="15"/>
  <c r="AH267" i="15"/>
  <c r="AJ267" i="15"/>
  <c r="AK267" i="15"/>
  <c r="AL267" i="15"/>
  <c r="AO267" i="15"/>
  <c r="AP267" i="15"/>
  <c r="BD267" i="15"/>
  <c r="BF267" i="15"/>
  <c r="BJ267" i="15"/>
  <c r="K268" i="15"/>
  <c r="AK268" i="15" s="1"/>
  <c r="Z268" i="15"/>
  <c r="AB268" i="15"/>
  <c r="AC268" i="15"/>
  <c r="AF268" i="15"/>
  <c r="AG268" i="15"/>
  <c r="AH268" i="15"/>
  <c r="AJ268" i="15"/>
  <c r="AL268" i="15"/>
  <c r="AO268" i="15"/>
  <c r="AP268" i="15"/>
  <c r="AX268" i="15" s="1"/>
  <c r="BD268" i="15"/>
  <c r="BF268" i="15"/>
  <c r="BH268" i="15"/>
  <c r="AD268" i="15" s="1"/>
  <c r="BJ268" i="15"/>
  <c r="K269" i="15"/>
  <c r="AK269" i="15" s="1"/>
  <c r="Z269" i="15"/>
  <c r="AB269" i="15"/>
  <c r="AC269" i="15"/>
  <c r="AF269" i="15"/>
  <c r="AG269" i="15"/>
  <c r="AH269" i="15"/>
  <c r="AJ269" i="15"/>
  <c r="AL269" i="15"/>
  <c r="AO269" i="15"/>
  <c r="AP269" i="15"/>
  <c r="BD269" i="15"/>
  <c r="BF269" i="15"/>
  <c r="BH269" i="15"/>
  <c r="AD269" i="15" s="1"/>
  <c r="BJ269" i="15"/>
  <c r="K270" i="15"/>
  <c r="Z270" i="15"/>
  <c r="AB270" i="15"/>
  <c r="AC270" i="15"/>
  <c r="AF270" i="15"/>
  <c r="AG270" i="15"/>
  <c r="AH270" i="15"/>
  <c r="AJ270" i="15"/>
  <c r="AK270" i="15"/>
  <c r="AL270" i="15"/>
  <c r="AO270" i="15"/>
  <c r="AW270" i="15" s="1"/>
  <c r="AP270" i="15"/>
  <c r="BD270" i="15"/>
  <c r="BF270" i="15"/>
  <c r="BJ270" i="15"/>
  <c r="K271" i="15"/>
  <c r="Z271" i="15"/>
  <c r="AB271" i="15"/>
  <c r="AC271" i="15"/>
  <c r="AF271" i="15"/>
  <c r="AG271" i="15"/>
  <c r="AH271" i="15"/>
  <c r="AJ271" i="15"/>
  <c r="AK271" i="15"/>
  <c r="AL271" i="15"/>
  <c r="AO271" i="15"/>
  <c r="I271" i="15" s="1"/>
  <c r="AP271" i="15"/>
  <c r="BI271" i="15" s="1"/>
  <c r="AE271" i="15" s="1"/>
  <c r="BD271" i="15"/>
  <c r="BF271" i="15"/>
  <c r="BJ271" i="15"/>
  <c r="K272" i="15"/>
  <c r="AK272" i="15" s="1"/>
  <c r="Z272" i="15"/>
  <c r="AB272" i="15"/>
  <c r="AC272" i="15"/>
  <c r="AF272" i="15"/>
  <c r="AG272" i="15"/>
  <c r="AH272" i="15"/>
  <c r="AJ272" i="15"/>
  <c r="AL272" i="15"/>
  <c r="AO272" i="15"/>
  <c r="AP272" i="15"/>
  <c r="BD272" i="15"/>
  <c r="BF272" i="15"/>
  <c r="BH272" i="15"/>
  <c r="AD272" i="15" s="1"/>
  <c r="BJ272" i="15"/>
  <c r="K273" i="15"/>
  <c r="AK273" i="15" s="1"/>
  <c r="Z273" i="15"/>
  <c r="AB273" i="15"/>
  <c r="AC273" i="15"/>
  <c r="AF273" i="15"/>
  <c r="AG273" i="15"/>
  <c r="AH273" i="15"/>
  <c r="AJ273" i="15"/>
  <c r="AL273" i="15"/>
  <c r="AO273" i="15"/>
  <c r="AP273" i="15"/>
  <c r="BD273" i="15"/>
  <c r="BF273" i="15"/>
  <c r="BJ273" i="15"/>
  <c r="K274" i="15"/>
  <c r="Z274" i="15"/>
  <c r="AB274" i="15"/>
  <c r="AC274" i="15"/>
  <c r="AF274" i="15"/>
  <c r="AG274" i="15"/>
  <c r="AH274" i="15"/>
  <c r="AJ274" i="15"/>
  <c r="AK274" i="15"/>
  <c r="AL274" i="15"/>
  <c r="AO274" i="15"/>
  <c r="AP274" i="15"/>
  <c r="BD274" i="15"/>
  <c r="BF274" i="15"/>
  <c r="BJ274" i="15"/>
  <c r="K275" i="15"/>
  <c r="Z275" i="15"/>
  <c r="AB275" i="15"/>
  <c r="AC275" i="15"/>
  <c r="AF275" i="15"/>
  <c r="AG275" i="15"/>
  <c r="AH275" i="15"/>
  <c r="AJ275" i="15"/>
  <c r="AK275" i="15"/>
  <c r="AL275" i="15"/>
  <c r="AO275" i="15"/>
  <c r="AW275" i="15" s="1"/>
  <c r="AP275" i="15"/>
  <c r="BD275" i="15"/>
  <c r="BF275" i="15"/>
  <c r="BJ275" i="15"/>
  <c r="K276" i="15"/>
  <c r="AK276" i="15" s="1"/>
  <c r="Z276" i="15"/>
  <c r="AB276" i="15"/>
  <c r="AC276" i="15"/>
  <c r="AF276" i="15"/>
  <c r="AG276" i="15"/>
  <c r="AH276" i="15"/>
  <c r="AJ276" i="15"/>
  <c r="AL276" i="15"/>
  <c r="AO276" i="15"/>
  <c r="AP276" i="15"/>
  <c r="BD276" i="15"/>
  <c r="BF276" i="15"/>
  <c r="BJ276" i="15"/>
  <c r="K277" i="15"/>
  <c r="AK277" i="15" s="1"/>
  <c r="Z277" i="15"/>
  <c r="AB277" i="15"/>
  <c r="AC277" i="15"/>
  <c r="AF277" i="15"/>
  <c r="AG277" i="15"/>
  <c r="AH277" i="15"/>
  <c r="AJ277" i="15"/>
  <c r="AL277" i="15"/>
  <c r="AO277" i="15"/>
  <c r="AP277" i="15"/>
  <c r="BI277" i="15" s="1"/>
  <c r="AE277" i="15" s="1"/>
  <c r="BD277" i="15"/>
  <c r="BF277" i="15"/>
  <c r="BJ277" i="15"/>
  <c r="K278" i="15"/>
  <c r="Z278" i="15"/>
  <c r="AB278" i="15"/>
  <c r="AC278" i="15"/>
  <c r="AF278" i="15"/>
  <c r="AG278" i="15"/>
  <c r="AH278" i="15"/>
  <c r="AJ278" i="15"/>
  <c r="AK278" i="15"/>
  <c r="AL278" i="15"/>
  <c r="AO278" i="15"/>
  <c r="I278" i="15" s="1"/>
  <c r="AP278" i="15"/>
  <c r="AX278" i="15" s="1"/>
  <c r="BD278" i="15"/>
  <c r="BF278" i="15"/>
  <c r="BJ278" i="15"/>
  <c r="K279" i="15"/>
  <c r="Z279" i="15"/>
  <c r="AB279" i="15"/>
  <c r="AC279" i="15"/>
  <c r="AF279" i="15"/>
  <c r="AG279" i="15"/>
  <c r="AH279" i="15"/>
  <c r="AJ279" i="15"/>
  <c r="AK279" i="15"/>
  <c r="AL279" i="15"/>
  <c r="AO279" i="15"/>
  <c r="AW279" i="15" s="1"/>
  <c r="AP279" i="15"/>
  <c r="BI279" i="15" s="1"/>
  <c r="AE279" i="15" s="1"/>
  <c r="BD279" i="15"/>
  <c r="BF279" i="15"/>
  <c r="BH279" i="15"/>
  <c r="AD279" i="15" s="1"/>
  <c r="BJ279" i="15"/>
  <c r="K280" i="15"/>
  <c r="AK280" i="15" s="1"/>
  <c r="Z280" i="15"/>
  <c r="AB280" i="15"/>
  <c r="AC280" i="15"/>
  <c r="AF280" i="15"/>
  <c r="AG280" i="15"/>
  <c r="AH280" i="15"/>
  <c r="AJ280" i="15"/>
  <c r="AL280" i="15"/>
  <c r="AO280" i="15"/>
  <c r="BH280" i="15" s="1"/>
  <c r="AD280" i="15" s="1"/>
  <c r="AP280" i="15"/>
  <c r="J280" i="15" s="1"/>
  <c r="BD280" i="15"/>
  <c r="BF280" i="15"/>
  <c r="BJ280" i="15"/>
  <c r="K281" i="15"/>
  <c r="AK281" i="15" s="1"/>
  <c r="Z281" i="15"/>
  <c r="AB281" i="15"/>
  <c r="AC281" i="15"/>
  <c r="AF281" i="15"/>
  <c r="AG281" i="15"/>
  <c r="AH281" i="15"/>
  <c r="AJ281" i="15"/>
  <c r="AL281" i="15"/>
  <c r="AO281" i="15"/>
  <c r="AP281" i="15"/>
  <c r="BD281" i="15"/>
  <c r="BF281" i="15"/>
  <c r="BJ281" i="15"/>
  <c r="K282" i="15"/>
  <c r="Z282" i="15"/>
  <c r="AB282" i="15"/>
  <c r="AC282" i="15"/>
  <c r="AF282" i="15"/>
  <c r="AG282" i="15"/>
  <c r="AH282" i="15"/>
  <c r="AJ282" i="15"/>
  <c r="AK282" i="15"/>
  <c r="AL282" i="15"/>
  <c r="AO282" i="15"/>
  <c r="I282" i="15" s="1"/>
  <c r="AP282" i="15"/>
  <c r="BD282" i="15"/>
  <c r="BF282" i="15"/>
  <c r="BJ282" i="15"/>
  <c r="K283" i="15"/>
  <c r="Z283" i="15"/>
  <c r="AB283" i="15"/>
  <c r="AC283" i="15"/>
  <c r="AF283" i="15"/>
  <c r="AG283" i="15"/>
  <c r="AH283" i="15"/>
  <c r="AJ283" i="15"/>
  <c r="AK283" i="15"/>
  <c r="AL283" i="15"/>
  <c r="AO283" i="15"/>
  <c r="AP283" i="15"/>
  <c r="BI283" i="15" s="1"/>
  <c r="AE283" i="15" s="1"/>
  <c r="BD283" i="15"/>
  <c r="BF283" i="15"/>
  <c r="BH283" i="15"/>
  <c r="AD283" i="15" s="1"/>
  <c r="BJ283" i="15"/>
  <c r="K284" i="15"/>
  <c r="AK284" i="15" s="1"/>
  <c r="Z284" i="15"/>
  <c r="AB284" i="15"/>
  <c r="AC284" i="15"/>
  <c r="AF284" i="15"/>
  <c r="AG284" i="15"/>
  <c r="AH284" i="15"/>
  <c r="AJ284" i="15"/>
  <c r="AL284" i="15"/>
  <c r="AO284" i="15"/>
  <c r="AP284" i="15"/>
  <c r="BD284" i="15"/>
  <c r="BF284" i="15"/>
  <c r="BH284" i="15"/>
  <c r="AD284" i="15" s="1"/>
  <c r="BJ284" i="15"/>
  <c r="K285" i="15"/>
  <c r="AK285" i="15" s="1"/>
  <c r="Z285" i="15"/>
  <c r="AB285" i="15"/>
  <c r="AC285" i="15"/>
  <c r="AF285" i="15"/>
  <c r="AG285" i="15"/>
  <c r="AH285" i="15"/>
  <c r="AJ285" i="15"/>
  <c r="AL285" i="15"/>
  <c r="AO285" i="15"/>
  <c r="I285" i="15" s="1"/>
  <c r="AP285" i="15"/>
  <c r="J285" i="15" s="1"/>
  <c r="BD285" i="15"/>
  <c r="BF285" i="15"/>
  <c r="BJ285" i="15"/>
  <c r="K286" i="15"/>
  <c r="Z286" i="15"/>
  <c r="AB286" i="15"/>
  <c r="AC286" i="15"/>
  <c r="AF286" i="15"/>
  <c r="AG286" i="15"/>
  <c r="AH286" i="15"/>
  <c r="AJ286" i="15"/>
  <c r="AK286" i="15"/>
  <c r="AL286" i="15"/>
  <c r="AO286" i="15"/>
  <c r="AW286" i="15" s="1"/>
  <c r="AP286" i="15"/>
  <c r="BD286" i="15"/>
  <c r="BF286" i="15"/>
  <c r="BH286" i="15"/>
  <c r="AD286" i="15" s="1"/>
  <c r="BJ286" i="15"/>
  <c r="K287" i="15"/>
  <c r="Z287" i="15"/>
  <c r="AB287" i="15"/>
  <c r="AC287" i="15"/>
  <c r="AF287" i="15"/>
  <c r="AG287" i="15"/>
  <c r="AH287" i="15"/>
  <c r="AJ287" i="15"/>
  <c r="AK287" i="15"/>
  <c r="AL287" i="15"/>
  <c r="AO287" i="15"/>
  <c r="AP287" i="15"/>
  <c r="BD287" i="15"/>
  <c r="BF287" i="15"/>
  <c r="BH287" i="15"/>
  <c r="AD287" i="15" s="1"/>
  <c r="BJ287" i="15"/>
  <c r="K288" i="15"/>
  <c r="AK288" i="15" s="1"/>
  <c r="Z288" i="15"/>
  <c r="AB288" i="15"/>
  <c r="AC288" i="15"/>
  <c r="AF288" i="15"/>
  <c r="AG288" i="15"/>
  <c r="AH288" i="15"/>
  <c r="AJ288" i="15"/>
  <c r="AL288" i="15"/>
  <c r="AO288" i="15"/>
  <c r="AP288" i="15"/>
  <c r="BI288" i="15" s="1"/>
  <c r="AE288" i="15" s="1"/>
  <c r="BD288" i="15"/>
  <c r="BF288" i="15"/>
  <c r="BJ288" i="15"/>
  <c r="K289" i="15"/>
  <c r="AK289" i="15" s="1"/>
  <c r="Z289" i="15"/>
  <c r="AB289" i="15"/>
  <c r="AC289" i="15"/>
  <c r="AF289" i="15"/>
  <c r="AG289" i="15"/>
  <c r="AH289" i="15"/>
  <c r="AJ289" i="15"/>
  <c r="AL289" i="15"/>
  <c r="AO289" i="15"/>
  <c r="AP289" i="15"/>
  <c r="BD289" i="15"/>
  <c r="BF289" i="15"/>
  <c r="BJ289" i="15"/>
  <c r="K290" i="15"/>
  <c r="Z290" i="15"/>
  <c r="AB290" i="15"/>
  <c r="AC290" i="15"/>
  <c r="AF290" i="15"/>
  <c r="AG290" i="15"/>
  <c r="AH290" i="15"/>
  <c r="AJ290" i="15"/>
  <c r="AK290" i="15"/>
  <c r="AL290" i="15"/>
  <c r="AO290" i="15"/>
  <c r="AP290" i="15"/>
  <c r="BI290" i="15" s="1"/>
  <c r="AE290" i="15" s="1"/>
  <c r="BD290" i="15"/>
  <c r="BF290" i="15"/>
  <c r="BJ290" i="15"/>
  <c r="K291" i="15"/>
  <c r="Z291" i="15"/>
  <c r="AB291" i="15"/>
  <c r="AC291" i="15"/>
  <c r="AF291" i="15"/>
  <c r="AG291" i="15"/>
  <c r="AH291" i="15"/>
  <c r="AJ291" i="15"/>
  <c r="AK291" i="15"/>
  <c r="AL291" i="15"/>
  <c r="AO291" i="15"/>
  <c r="AP291" i="15"/>
  <c r="BD291" i="15"/>
  <c r="BF291" i="15"/>
  <c r="BH291" i="15"/>
  <c r="AD291" i="15" s="1"/>
  <c r="BJ291" i="15"/>
  <c r="K292" i="15"/>
  <c r="AK292" i="15" s="1"/>
  <c r="Z292" i="15"/>
  <c r="AB292" i="15"/>
  <c r="AC292" i="15"/>
  <c r="AF292" i="15"/>
  <c r="AG292" i="15"/>
  <c r="AH292" i="15"/>
  <c r="AJ292" i="15"/>
  <c r="AL292" i="15"/>
  <c r="AO292" i="15"/>
  <c r="AP292" i="15"/>
  <c r="BD292" i="15"/>
  <c r="BF292" i="15"/>
  <c r="BJ292" i="15"/>
  <c r="K293" i="15"/>
  <c r="AK293" i="15" s="1"/>
  <c r="Z293" i="15"/>
  <c r="AB293" i="15"/>
  <c r="AC293" i="15"/>
  <c r="AF293" i="15"/>
  <c r="AG293" i="15"/>
  <c r="AH293" i="15"/>
  <c r="AJ293" i="15"/>
  <c r="AL293" i="15"/>
  <c r="AO293" i="15"/>
  <c r="AP293" i="15"/>
  <c r="J293" i="15" s="1"/>
  <c r="BD293" i="15"/>
  <c r="BF293" i="15"/>
  <c r="BJ293" i="15"/>
  <c r="K294" i="15"/>
  <c r="Z294" i="15"/>
  <c r="AB294" i="15"/>
  <c r="AC294" i="15"/>
  <c r="AF294" i="15"/>
  <c r="AG294" i="15"/>
  <c r="AH294" i="15"/>
  <c r="AJ294" i="15"/>
  <c r="AK294" i="15"/>
  <c r="AL294" i="15"/>
  <c r="AO294" i="15"/>
  <c r="AP294" i="15"/>
  <c r="BD294" i="15"/>
  <c r="BF294" i="15"/>
  <c r="BJ294" i="15"/>
  <c r="K295" i="15"/>
  <c r="Z295" i="15"/>
  <c r="AB295" i="15"/>
  <c r="AC295" i="15"/>
  <c r="AF295" i="15"/>
  <c r="AG295" i="15"/>
  <c r="AH295" i="15"/>
  <c r="AJ295" i="15"/>
  <c r="AK295" i="15"/>
  <c r="AL295" i="15"/>
  <c r="AO295" i="15"/>
  <c r="AP295" i="15"/>
  <c r="BD295" i="15"/>
  <c r="BF295" i="15"/>
  <c r="BJ295" i="15"/>
  <c r="K296" i="15"/>
  <c r="AK296" i="15" s="1"/>
  <c r="Z296" i="15"/>
  <c r="AB296" i="15"/>
  <c r="AC296" i="15"/>
  <c r="AF296" i="15"/>
  <c r="AG296" i="15"/>
  <c r="AH296" i="15"/>
  <c r="AJ296" i="15"/>
  <c r="AL296" i="15"/>
  <c r="AO296" i="15"/>
  <c r="AP296" i="15"/>
  <c r="BD296" i="15"/>
  <c r="BF296" i="15"/>
  <c r="BJ296" i="15"/>
  <c r="K297" i="15"/>
  <c r="AK297" i="15" s="1"/>
  <c r="Z297" i="15"/>
  <c r="AB297" i="15"/>
  <c r="AC297" i="15"/>
  <c r="AF297" i="15"/>
  <c r="AG297" i="15"/>
  <c r="AH297" i="15"/>
  <c r="AJ297" i="15"/>
  <c r="AL297" i="15"/>
  <c r="AO297" i="15"/>
  <c r="AP297" i="15"/>
  <c r="BI297" i="15" s="1"/>
  <c r="AE297" i="15" s="1"/>
  <c r="BD297" i="15"/>
  <c r="BF297" i="15"/>
  <c r="BJ297" i="15"/>
  <c r="K298" i="15"/>
  <c r="Z298" i="15"/>
  <c r="AB298" i="15"/>
  <c r="AC298" i="15"/>
  <c r="AF298" i="15"/>
  <c r="AG298" i="15"/>
  <c r="AH298" i="15"/>
  <c r="AJ298" i="15"/>
  <c r="AK298" i="15"/>
  <c r="AL298" i="15"/>
  <c r="AO298" i="15"/>
  <c r="I298" i="15" s="1"/>
  <c r="AP298" i="15"/>
  <c r="AX298" i="15" s="1"/>
  <c r="BD298" i="15"/>
  <c r="BF298" i="15"/>
  <c r="BJ298" i="15"/>
  <c r="K299" i="15"/>
  <c r="Z299" i="15"/>
  <c r="AB299" i="15"/>
  <c r="AC299" i="15"/>
  <c r="AF299" i="15"/>
  <c r="AG299" i="15"/>
  <c r="AH299" i="15"/>
  <c r="AJ299" i="15"/>
  <c r="AK299" i="15"/>
  <c r="AL299" i="15"/>
  <c r="AO299" i="15"/>
  <c r="AP299" i="15"/>
  <c r="BD299" i="15"/>
  <c r="BF299" i="15"/>
  <c r="BJ299" i="15"/>
  <c r="K300" i="15"/>
  <c r="AK300" i="15" s="1"/>
  <c r="Z300" i="15"/>
  <c r="AB300" i="15"/>
  <c r="AC300" i="15"/>
  <c r="AF300" i="15"/>
  <c r="AG300" i="15"/>
  <c r="AH300" i="15"/>
  <c r="AJ300" i="15"/>
  <c r="AL300" i="15"/>
  <c r="AO300" i="15"/>
  <c r="BH300" i="15" s="1"/>
  <c r="AD300" i="15" s="1"/>
  <c r="AP300" i="15"/>
  <c r="AX300" i="15" s="1"/>
  <c r="BD300" i="15"/>
  <c r="BF300" i="15"/>
  <c r="BJ300" i="15"/>
  <c r="K301" i="15"/>
  <c r="AK301" i="15" s="1"/>
  <c r="Z301" i="15"/>
  <c r="AB301" i="15"/>
  <c r="AC301" i="15"/>
  <c r="AF301" i="15"/>
  <c r="AG301" i="15"/>
  <c r="AH301" i="15"/>
  <c r="AJ301" i="15"/>
  <c r="AL301" i="15"/>
  <c r="AO301" i="15"/>
  <c r="AP301" i="15"/>
  <c r="J301" i="15" s="1"/>
  <c r="BD301" i="15"/>
  <c r="BF301" i="15"/>
  <c r="BJ301" i="15"/>
  <c r="K302" i="15"/>
  <c r="Z302" i="15"/>
  <c r="AB302" i="15"/>
  <c r="AC302" i="15"/>
  <c r="AF302" i="15"/>
  <c r="AG302" i="15"/>
  <c r="AH302" i="15"/>
  <c r="AJ302" i="15"/>
  <c r="AK302" i="15"/>
  <c r="AL302" i="15"/>
  <c r="AO302" i="15"/>
  <c r="AP302" i="15"/>
  <c r="AX302" i="15" s="1"/>
  <c r="BD302" i="15"/>
  <c r="BF302" i="15"/>
  <c r="BJ302" i="15"/>
  <c r="K303" i="15"/>
  <c r="Z303" i="15"/>
  <c r="AB303" i="15"/>
  <c r="AC303" i="15"/>
  <c r="AF303" i="15"/>
  <c r="AG303" i="15"/>
  <c r="AH303" i="15"/>
  <c r="AJ303" i="15"/>
  <c r="AK303" i="15"/>
  <c r="AL303" i="15"/>
  <c r="AO303" i="15"/>
  <c r="AW303" i="15" s="1"/>
  <c r="AP303" i="15"/>
  <c r="BD303" i="15"/>
  <c r="BF303" i="15"/>
  <c r="BH303" i="15"/>
  <c r="AD303" i="15" s="1"/>
  <c r="BJ303" i="15"/>
  <c r="K304" i="15"/>
  <c r="AK304" i="15" s="1"/>
  <c r="Z304" i="15"/>
  <c r="AB304" i="15"/>
  <c r="AC304" i="15"/>
  <c r="AF304" i="15"/>
  <c r="AG304" i="15"/>
  <c r="AH304" i="15"/>
  <c r="AJ304" i="15"/>
  <c r="AL304" i="15"/>
  <c r="AO304" i="15"/>
  <c r="AP304" i="15"/>
  <c r="BD304" i="15"/>
  <c r="BF304" i="15"/>
  <c r="BH304" i="15"/>
  <c r="AD304" i="15" s="1"/>
  <c r="BJ304" i="15"/>
  <c r="K305" i="15"/>
  <c r="AK305" i="15" s="1"/>
  <c r="Z305" i="15"/>
  <c r="AB305" i="15"/>
  <c r="AC305" i="15"/>
  <c r="AF305" i="15"/>
  <c r="AG305" i="15"/>
  <c r="AH305" i="15"/>
  <c r="AJ305" i="15"/>
  <c r="AL305" i="15"/>
  <c r="AO305" i="15"/>
  <c r="AP305" i="15"/>
  <c r="BD305" i="15"/>
  <c r="BF305" i="15"/>
  <c r="BJ305" i="15"/>
  <c r="K306" i="15"/>
  <c r="Z306" i="15"/>
  <c r="AB306" i="15"/>
  <c r="AC306" i="15"/>
  <c r="AF306" i="15"/>
  <c r="AG306" i="15"/>
  <c r="AH306" i="15"/>
  <c r="AJ306" i="15"/>
  <c r="AK306" i="15"/>
  <c r="AL306" i="15"/>
  <c r="AO306" i="15"/>
  <c r="AP306" i="15"/>
  <c r="BD306" i="15"/>
  <c r="BF306" i="15"/>
  <c r="BJ306" i="15"/>
  <c r="K307" i="15"/>
  <c r="Z307" i="15"/>
  <c r="AB307" i="15"/>
  <c r="AC307" i="15"/>
  <c r="AF307" i="15"/>
  <c r="AG307" i="15"/>
  <c r="AH307" i="15"/>
  <c r="AJ307" i="15"/>
  <c r="AK307" i="15"/>
  <c r="AL307" i="15"/>
  <c r="AO307" i="15"/>
  <c r="AP307" i="15"/>
  <c r="BD307" i="15"/>
  <c r="BF307" i="15"/>
  <c r="BH307" i="15"/>
  <c r="AD307" i="15" s="1"/>
  <c r="BI307" i="15"/>
  <c r="AE307" i="15" s="1"/>
  <c r="BJ307" i="15"/>
  <c r="K308" i="15"/>
  <c r="AK308" i="15" s="1"/>
  <c r="Z308" i="15"/>
  <c r="AB308" i="15"/>
  <c r="AC308" i="15"/>
  <c r="AF308" i="15"/>
  <c r="AG308" i="15"/>
  <c r="AH308" i="15"/>
  <c r="AJ308" i="15"/>
  <c r="AL308" i="15"/>
  <c r="AO308" i="15"/>
  <c r="BH308" i="15" s="1"/>
  <c r="AD308" i="15" s="1"/>
  <c r="AP308" i="15"/>
  <c r="BD308" i="15"/>
  <c r="BF308" i="15"/>
  <c r="BJ308" i="15"/>
  <c r="K309" i="15"/>
  <c r="AK309" i="15" s="1"/>
  <c r="Z309" i="15"/>
  <c r="AB309" i="15"/>
  <c r="AC309" i="15"/>
  <c r="AF309" i="15"/>
  <c r="AG309" i="15"/>
  <c r="AH309" i="15"/>
  <c r="AJ309" i="15"/>
  <c r="AL309" i="15"/>
  <c r="AO309" i="15"/>
  <c r="AP309" i="15"/>
  <c r="J309" i="15" s="1"/>
  <c r="BD309" i="15"/>
  <c r="BF309" i="15"/>
  <c r="BJ309" i="15"/>
  <c r="K310" i="15"/>
  <c r="Z310" i="15"/>
  <c r="AB310" i="15"/>
  <c r="AC310" i="15"/>
  <c r="AF310" i="15"/>
  <c r="AG310" i="15"/>
  <c r="AH310" i="15"/>
  <c r="AJ310" i="15"/>
  <c r="AK310" i="15"/>
  <c r="AL310" i="15"/>
  <c r="AO310" i="15"/>
  <c r="AP310" i="15"/>
  <c r="BD310" i="15"/>
  <c r="BF310" i="15"/>
  <c r="BH310" i="15"/>
  <c r="AD310" i="15" s="1"/>
  <c r="BJ310" i="15"/>
  <c r="K311" i="15"/>
  <c r="Z311" i="15"/>
  <c r="AB311" i="15"/>
  <c r="AC311" i="15"/>
  <c r="AF311" i="15"/>
  <c r="AG311" i="15"/>
  <c r="AH311" i="15"/>
  <c r="AJ311" i="15"/>
  <c r="AK311" i="15"/>
  <c r="AL311" i="15"/>
  <c r="AO311" i="15"/>
  <c r="AW311" i="15" s="1"/>
  <c r="AP311" i="15"/>
  <c r="BD311" i="15"/>
  <c r="BF311" i="15"/>
  <c r="BH311" i="15"/>
  <c r="AD311" i="15" s="1"/>
  <c r="BJ311" i="15"/>
  <c r="K312" i="15"/>
  <c r="AK312" i="15" s="1"/>
  <c r="Z312" i="15"/>
  <c r="AB312" i="15"/>
  <c r="AC312" i="15"/>
  <c r="AF312" i="15"/>
  <c r="AG312" i="15"/>
  <c r="AH312" i="15"/>
  <c r="AJ312" i="15"/>
  <c r="AL312" i="15"/>
  <c r="AO312" i="15"/>
  <c r="AP312" i="15"/>
  <c r="J312" i="15" s="1"/>
  <c r="BD312" i="15"/>
  <c r="BF312" i="15"/>
  <c r="BJ312" i="15"/>
  <c r="K313" i="15"/>
  <c r="AK313" i="15" s="1"/>
  <c r="Z313" i="15"/>
  <c r="AB313" i="15"/>
  <c r="AC313" i="15"/>
  <c r="AF313" i="15"/>
  <c r="AG313" i="15"/>
  <c r="AH313" i="15"/>
  <c r="AJ313" i="15"/>
  <c r="AL313" i="15"/>
  <c r="AO313" i="15"/>
  <c r="AP313" i="15"/>
  <c r="BI313" i="15" s="1"/>
  <c r="AE313" i="15" s="1"/>
  <c r="BD313" i="15"/>
  <c r="BF313" i="15"/>
  <c r="BJ313" i="15"/>
  <c r="K314" i="15"/>
  <c r="Z314" i="15"/>
  <c r="AB314" i="15"/>
  <c r="AC314" i="15"/>
  <c r="AF314" i="15"/>
  <c r="AG314" i="15"/>
  <c r="AH314" i="15"/>
  <c r="AJ314" i="15"/>
  <c r="AK314" i="15"/>
  <c r="AL314" i="15"/>
  <c r="AO314" i="15"/>
  <c r="I314" i="15" s="1"/>
  <c r="AP314" i="15"/>
  <c r="AX314" i="15" s="1"/>
  <c r="BD314" i="15"/>
  <c r="BF314" i="15"/>
  <c r="BJ314" i="15"/>
  <c r="K315" i="15"/>
  <c r="Z315" i="15"/>
  <c r="AB315" i="15"/>
  <c r="AC315" i="15"/>
  <c r="AF315" i="15"/>
  <c r="AG315" i="15"/>
  <c r="AH315" i="15"/>
  <c r="AJ315" i="15"/>
  <c r="AK315" i="15"/>
  <c r="AL315" i="15"/>
  <c r="AO315" i="15"/>
  <c r="AW315" i="15" s="1"/>
  <c r="AP315" i="15"/>
  <c r="BD315" i="15"/>
  <c r="BF315" i="15"/>
  <c r="BH315" i="15"/>
  <c r="AD315" i="15" s="1"/>
  <c r="BJ315" i="15"/>
  <c r="K316" i="15"/>
  <c r="AK316" i="15" s="1"/>
  <c r="Z316" i="15"/>
  <c r="AB316" i="15"/>
  <c r="AC316" i="15"/>
  <c r="AF316" i="15"/>
  <c r="AG316" i="15"/>
  <c r="AH316" i="15"/>
  <c r="AJ316" i="15"/>
  <c r="AL316" i="15"/>
  <c r="AO316" i="15"/>
  <c r="AP316" i="15"/>
  <c r="AX316" i="15" s="1"/>
  <c r="BD316" i="15"/>
  <c r="BF316" i="15"/>
  <c r="BH316" i="15"/>
  <c r="AD316" i="15" s="1"/>
  <c r="BJ316" i="15"/>
  <c r="K317" i="15"/>
  <c r="AK317" i="15" s="1"/>
  <c r="Z317" i="15"/>
  <c r="AB317" i="15"/>
  <c r="AC317" i="15"/>
  <c r="AF317" i="15"/>
  <c r="AG317" i="15"/>
  <c r="AH317" i="15"/>
  <c r="AJ317" i="15"/>
  <c r="AL317" i="15"/>
  <c r="AO317" i="15"/>
  <c r="AP317" i="15"/>
  <c r="J317" i="15" s="1"/>
  <c r="BD317" i="15"/>
  <c r="BF317" i="15"/>
  <c r="BJ317" i="15"/>
  <c r="K318" i="15"/>
  <c r="Z318" i="15"/>
  <c r="AB318" i="15"/>
  <c r="AC318" i="15"/>
  <c r="AF318" i="15"/>
  <c r="AG318" i="15"/>
  <c r="AH318" i="15"/>
  <c r="AJ318" i="15"/>
  <c r="AK318" i="15"/>
  <c r="AL318" i="15"/>
  <c r="AO318" i="15"/>
  <c r="I318" i="15" s="1"/>
  <c r="AP318" i="15"/>
  <c r="AX318" i="15" s="1"/>
  <c r="BD318" i="15"/>
  <c r="BF318" i="15"/>
  <c r="BH318" i="15"/>
  <c r="AD318" i="15" s="1"/>
  <c r="BJ318" i="15"/>
  <c r="K319" i="15"/>
  <c r="Z319" i="15"/>
  <c r="AB319" i="15"/>
  <c r="AC319" i="15"/>
  <c r="AF319" i="15"/>
  <c r="AG319" i="15"/>
  <c r="AH319" i="15"/>
  <c r="AJ319" i="15"/>
  <c r="AK319" i="15"/>
  <c r="AL319" i="15"/>
  <c r="AO319" i="15"/>
  <c r="AP319" i="15"/>
  <c r="BD319" i="15"/>
  <c r="BF319" i="15"/>
  <c r="BH319" i="15"/>
  <c r="AD319" i="15" s="1"/>
  <c r="BI319" i="15"/>
  <c r="AE319" i="15" s="1"/>
  <c r="BJ319" i="15"/>
  <c r="K320" i="15"/>
  <c r="AK320" i="15" s="1"/>
  <c r="Z320" i="15"/>
  <c r="AB320" i="15"/>
  <c r="AC320" i="15"/>
  <c r="AF320" i="15"/>
  <c r="AG320" i="15"/>
  <c r="AH320" i="15"/>
  <c r="AJ320" i="15"/>
  <c r="AL320" i="15"/>
  <c r="AO320" i="15"/>
  <c r="AP320" i="15"/>
  <c r="BI320" i="15" s="1"/>
  <c r="AE320" i="15" s="1"/>
  <c r="BD320" i="15"/>
  <c r="BF320" i="15"/>
  <c r="BJ320" i="15"/>
  <c r="K322" i="15"/>
  <c r="Z322" i="15"/>
  <c r="AB322" i="15"/>
  <c r="AC322" i="15"/>
  <c r="AF322" i="15"/>
  <c r="AG322" i="15"/>
  <c r="AH322" i="15"/>
  <c r="AJ322" i="15"/>
  <c r="AK322" i="15"/>
  <c r="AL322" i="15"/>
  <c r="AO322" i="15"/>
  <c r="AP322" i="15"/>
  <c r="BI322" i="15" s="1"/>
  <c r="AE322" i="15" s="1"/>
  <c r="BD322" i="15"/>
  <c r="BF322" i="15"/>
  <c r="BH322" i="15"/>
  <c r="AD322" i="15" s="1"/>
  <c r="BJ322" i="15"/>
  <c r="K323" i="15"/>
  <c r="AK323" i="15" s="1"/>
  <c r="Z323" i="15"/>
  <c r="AB323" i="15"/>
  <c r="AC323" i="15"/>
  <c r="AF323" i="15"/>
  <c r="AG323" i="15"/>
  <c r="AH323" i="15"/>
  <c r="AJ323" i="15"/>
  <c r="AL323" i="15"/>
  <c r="AO323" i="15"/>
  <c r="BH323" i="15" s="1"/>
  <c r="AD323" i="15" s="1"/>
  <c r="AP323" i="15"/>
  <c r="BI323" i="15" s="1"/>
  <c r="AE323" i="15" s="1"/>
  <c r="BD323" i="15"/>
  <c r="BF323" i="15"/>
  <c r="BJ323" i="15"/>
  <c r="K324" i="15"/>
  <c r="Z324" i="15"/>
  <c r="AB324" i="15"/>
  <c r="AC324" i="15"/>
  <c r="AF324" i="15"/>
  <c r="AG324" i="15"/>
  <c r="AH324" i="15"/>
  <c r="AJ324" i="15"/>
  <c r="AL324" i="15"/>
  <c r="AO324" i="15"/>
  <c r="I324" i="15" s="1"/>
  <c r="AP324" i="15"/>
  <c r="BI324" i="15" s="1"/>
  <c r="AE324" i="15" s="1"/>
  <c r="BD324" i="15"/>
  <c r="BF324" i="15"/>
  <c r="BJ324" i="15"/>
  <c r="K325" i="15"/>
  <c r="Z325" i="15"/>
  <c r="AB325" i="15"/>
  <c r="AC325" i="15"/>
  <c r="AF325" i="15"/>
  <c r="AG325" i="15"/>
  <c r="AH325" i="15"/>
  <c r="AJ325" i="15"/>
  <c r="AK325" i="15"/>
  <c r="AL325" i="15"/>
  <c r="AO325" i="15"/>
  <c r="AW325" i="15" s="1"/>
  <c r="AP325" i="15"/>
  <c r="BD325" i="15"/>
  <c r="BF325" i="15"/>
  <c r="BJ325" i="15"/>
  <c r="K326" i="15"/>
  <c r="Z326" i="15"/>
  <c r="AB326" i="15"/>
  <c r="AC326" i="15"/>
  <c r="AF326" i="15"/>
  <c r="AG326" i="15"/>
  <c r="AH326" i="15"/>
  <c r="AJ326" i="15"/>
  <c r="AK326" i="15"/>
  <c r="AL326" i="15"/>
  <c r="AO326" i="15"/>
  <c r="BH326" i="15" s="1"/>
  <c r="AD326" i="15" s="1"/>
  <c r="AP326" i="15"/>
  <c r="BD326" i="15"/>
  <c r="BF326" i="15"/>
  <c r="BJ326" i="15"/>
  <c r="K327" i="15"/>
  <c r="AK327" i="15" s="1"/>
  <c r="Z327" i="15"/>
  <c r="AB327" i="15"/>
  <c r="AC327" i="15"/>
  <c r="AF327" i="15"/>
  <c r="AG327" i="15"/>
  <c r="AH327" i="15"/>
  <c r="AJ327" i="15"/>
  <c r="AL327" i="15"/>
  <c r="AO327" i="15"/>
  <c r="BH327" i="15" s="1"/>
  <c r="AD327" i="15" s="1"/>
  <c r="AP327" i="15"/>
  <c r="BD327" i="15"/>
  <c r="BF327" i="15"/>
  <c r="BJ327" i="15"/>
  <c r="K328" i="15"/>
  <c r="AK328" i="15" s="1"/>
  <c r="Z328" i="15"/>
  <c r="AB328" i="15"/>
  <c r="AC328" i="15"/>
  <c r="AF328" i="15"/>
  <c r="AG328" i="15"/>
  <c r="AH328" i="15"/>
  <c r="AJ328" i="15"/>
  <c r="AL328" i="15"/>
  <c r="AO328" i="15"/>
  <c r="AP328" i="15"/>
  <c r="J328" i="15" s="1"/>
  <c r="BD328" i="15"/>
  <c r="BF328" i="15"/>
  <c r="BJ328" i="15"/>
  <c r="K329" i="15"/>
  <c r="Z329" i="15"/>
  <c r="AB329" i="15"/>
  <c r="AC329" i="15"/>
  <c r="AF329" i="15"/>
  <c r="AG329" i="15"/>
  <c r="AH329" i="15"/>
  <c r="AJ329" i="15"/>
  <c r="AK329" i="15"/>
  <c r="AL329" i="15"/>
  <c r="AO329" i="15"/>
  <c r="AW329" i="15" s="1"/>
  <c r="AP329" i="15"/>
  <c r="BD329" i="15"/>
  <c r="BF329" i="15"/>
  <c r="BJ329" i="15"/>
  <c r="K330" i="15"/>
  <c r="Z330" i="15"/>
  <c r="AB330" i="15"/>
  <c r="AC330" i="15"/>
  <c r="AF330" i="15"/>
  <c r="AG330" i="15"/>
  <c r="AH330" i="15"/>
  <c r="AJ330" i="15"/>
  <c r="AK330" i="15"/>
  <c r="AL330" i="15"/>
  <c r="AO330" i="15"/>
  <c r="BH330" i="15" s="1"/>
  <c r="AD330" i="15" s="1"/>
  <c r="AP330" i="15"/>
  <c r="BI330" i="15" s="1"/>
  <c r="AE330" i="15" s="1"/>
  <c r="BD330" i="15"/>
  <c r="BF330" i="15"/>
  <c r="BJ330" i="15"/>
  <c r="K331" i="15"/>
  <c r="AK331" i="15" s="1"/>
  <c r="Z331" i="15"/>
  <c r="AB331" i="15"/>
  <c r="AC331" i="15"/>
  <c r="AF331" i="15"/>
  <c r="AG331" i="15"/>
  <c r="AH331" i="15"/>
  <c r="AJ331" i="15"/>
  <c r="AL331" i="15"/>
  <c r="AO331" i="15"/>
  <c r="BH331" i="15" s="1"/>
  <c r="AD331" i="15" s="1"/>
  <c r="AP331" i="15"/>
  <c r="BI331" i="15" s="1"/>
  <c r="AE331" i="15" s="1"/>
  <c r="BD331" i="15"/>
  <c r="BF331" i="15"/>
  <c r="BJ331" i="15"/>
  <c r="K332" i="15"/>
  <c r="AK332" i="15" s="1"/>
  <c r="Z332" i="15"/>
  <c r="AB332" i="15"/>
  <c r="AC332" i="15"/>
  <c r="AF332" i="15"/>
  <c r="AG332" i="15"/>
  <c r="AH332" i="15"/>
  <c r="AJ332" i="15"/>
  <c r="AL332" i="15"/>
  <c r="AO332" i="15"/>
  <c r="I332" i="15" s="1"/>
  <c r="AP332" i="15"/>
  <c r="BI332" i="15" s="1"/>
  <c r="AE332" i="15" s="1"/>
  <c r="BD332" i="15"/>
  <c r="BF332" i="15"/>
  <c r="BJ332" i="15"/>
  <c r="K333" i="15"/>
  <c r="Z333" i="15"/>
  <c r="AB333" i="15"/>
  <c r="AC333" i="15"/>
  <c r="AF333" i="15"/>
  <c r="AG333" i="15"/>
  <c r="AH333" i="15"/>
  <c r="AJ333" i="15"/>
  <c r="AK333" i="15"/>
  <c r="AL333" i="15"/>
  <c r="AO333" i="15"/>
  <c r="AP333" i="15"/>
  <c r="AX333" i="15" s="1"/>
  <c r="BD333" i="15"/>
  <c r="BF333" i="15"/>
  <c r="BJ333" i="15"/>
  <c r="K334" i="15"/>
  <c r="Z334" i="15"/>
  <c r="AB334" i="15"/>
  <c r="AC334" i="15"/>
  <c r="AF334" i="15"/>
  <c r="AG334" i="15"/>
  <c r="AH334" i="15"/>
  <c r="AJ334" i="15"/>
  <c r="AK334" i="15"/>
  <c r="AL334" i="15"/>
  <c r="AO334" i="15"/>
  <c r="AW334" i="15" s="1"/>
  <c r="AP334" i="15"/>
  <c r="BI334" i="15" s="1"/>
  <c r="AE334" i="15" s="1"/>
  <c r="BD334" i="15"/>
  <c r="BF334" i="15"/>
  <c r="BH334" i="15"/>
  <c r="AD334" i="15" s="1"/>
  <c r="BJ334" i="15"/>
  <c r="K335" i="15"/>
  <c r="AK335" i="15" s="1"/>
  <c r="Z335" i="15"/>
  <c r="AB335" i="15"/>
  <c r="AC335" i="15"/>
  <c r="AF335" i="15"/>
  <c r="AG335" i="15"/>
  <c r="AH335" i="15"/>
  <c r="AJ335" i="15"/>
  <c r="AL335" i="15"/>
  <c r="AO335" i="15"/>
  <c r="BH335" i="15" s="1"/>
  <c r="AD335" i="15" s="1"/>
  <c r="AP335" i="15"/>
  <c r="J335" i="15" s="1"/>
  <c r="BD335" i="15"/>
  <c r="BF335" i="15"/>
  <c r="BJ335" i="15"/>
  <c r="K336" i="15"/>
  <c r="AK336" i="15" s="1"/>
  <c r="Z336" i="15"/>
  <c r="AB336" i="15"/>
  <c r="AC336" i="15"/>
  <c r="AF336" i="15"/>
  <c r="AG336" i="15"/>
  <c r="AH336" i="15"/>
  <c r="AJ336" i="15"/>
  <c r="AL336" i="15"/>
  <c r="AO336" i="15"/>
  <c r="I336" i="15" s="1"/>
  <c r="AP336" i="15"/>
  <c r="J336" i="15" s="1"/>
  <c r="BD336" i="15"/>
  <c r="BF336" i="15"/>
  <c r="BJ336" i="15"/>
  <c r="K337" i="15"/>
  <c r="AK337" i="15" s="1"/>
  <c r="Z337" i="15"/>
  <c r="AB337" i="15"/>
  <c r="AC337" i="15"/>
  <c r="AF337" i="15"/>
  <c r="AG337" i="15"/>
  <c r="AH337" i="15"/>
  <c r="AJ337" i="15"/>
  <c r="AL337" i="15"/>
  <c r="AO337" i="15"/>
  <c r="AP337" i="15"/>
  <c r="BD337" i="15"/>
  <c r="BF337" i="15"/>
  <c r="BJ337" i="15"/>
  <c r="K338" i="15"/>
  <c r="Z338" i="15"/>
  <c r="AB338" i="15"/>
  <c r="AC338" i="15"/>
  <c r="AF338" i="15"/>
  <c r="AG338" i="15"/>
  <c r="AH338" i="15"/>
  <c r="AJ338" i="15"/>
  <c r="AK338" i="15"/>
  <c r="AL338" i="15"/>
  <c r="AO338" i="15"/>
  <c r="AW338" i="15" s="1"/>
  <c r="AP338" i="15"/>
  <c r="BI338" i="15" s="1"/>
  <c r="AE338" i="15" s="1"/>
  <c r="BD338" i="15"/>
  <c r="BF338" i="15"/>
  <c r="BJ338" i="15"/>
  <c r="K340" i="15"/>
  <c r="AK340" i="15" s="1"/>
  <c r="Z340" i="15"/>
  <c r="AB340" i="15"/>
  <c r="AC340" i="15"/>
  <c r="AF340" i="15"/>
  <c r="AG340" i="15"/>
  <c r="AH340" i="15"/>
  <c r="AJ340" i="15"/>
  <c r="AL340" i="15"/>
  <c r="AO340" i="15"/>
  <c r="AP340" i="15"/>
  <c r="J340" i="15" s="1"/>
  <c r="BD340" i="15"/>
  <c r="BF340" i="15"/>
  <c r="BJ340" i="15"/>
  <c r="K341" i="15"/>
  <c r="Z341" i="15"/>
  <c r="AB341" i="15"/>
  <c r="AC341" i="15"/>
  <c r="AF341" i="15"/>
  <c r="AG341" i="15"/>
  <c r="AH341" i="15"/>
  <c r="AJ341" i="15"/>
  <c r="AK341" i="15"/>
  <c r="AL341" i="15"/>
  <c r="AO341" i="15"/>
  <c r="AP341" i="15"/>
  <c r="BD341" i="15"/>
  <c r="BF341" i="15"/>
  <c r="BJ341" i="15"/>
  <c r="K342" i="15"/>
  <c r="Z342" i="15"/>
  <c r="AB342" i="15"/>
  <c r="AC342" i="15"/>
  <c r="AF342" i="15"/>
  <c r="AG342" i="15"/>
  <c r="AH342" i="15"/>
  <c r="AJ342" i="15"/>
  <c r="AL342" i="15"/>
  <c r="AO342" i="15"/>
  <c r="AP342" i="15"/>
  <c r="BD342" i="15"/>
  <c r="BF342" i="15"/>
  <c r="BH342" i="15"/>
  <c r="AD342" i="15" s="1"/>
  <c r="BJ342" i="15"/>
  <c r="K343" i="15"/>
  <c r="AK343" i="15" s="1"/>
  <c r="Z343" i="15"/>
  <c r="AB343" i="15"/>
  <c r="AC343" i="15"/>
  <c r="AF343" i="15"/>
  <c r="AG343" i="15"/>
  <c r="AH343" i="15"/>
  <c r="AJ343" i="15"/>
  <c r="AL343" i="15"/>
  <c r="AO343" i="15"/>
  <c r="AP343" i="15"/>
  <c r="BD343" i="15"/>
  <c r="BF343" i="15"/>
  <c r="BH343" i="15"/>
  <c r="AD343" i="15" s="1"/>
  <c r="BJ343" i="15"/>
  <c r="K344" i="15"/>
  <c r="AK344" i="15" s="1"/>
  <c r="Z344" i="15"/>
  <c r="AB344" i="15"/>
  <c r="AC344" i="15"/>
  <c r="AF344" i="15"/>
  <c r="AG344" i="15"/>
  <c r="AH344" i="15"/>
  <c r="AJ344" i="15"/>
  <c r="AL344" i="15"/>
  <c r="AO344" i="15"/>
  <c r="AP344" i="15"/>
  <c r="BD344" i="15"/>
  <c r="BF344" i="15"/>
  <c r="BJ344" i="15"/>
  <c r="K345" i="15"/>
  <c r="AK345" i="15" s="1"/>
  <c r="Z345" i="15"/>
  <c r="AB345" i="15"/>
  <c r="AC345" i="15"/>
  <c r="AF345" i="15"/>
  <c r="AG345" i="15"/>
  <c r="AH345" i="15"/>
  <c r="AJ345" i="15"/>
  <c r="AL345" i="15"/>
  <c r="AO345" i="15"/>
  <c r="AP345" i="15"/>
  <c r="BD345" i="15"/>
  <c r="BF345" i="15"/>
  <c r="BJ345" i="15"/>
  <c r="K346" i="15"/>
  <c r="AK346" i="15" s="1"/>
  <c r="Z346" i="15"/>
  <c r="AB346" i="15"/>
  <c r="AC346" i="15"/>
  <c r="AF346" i="15"/>
  <c r="AG346" i="15"/>
  <c r="AH346" i="15"/>
  <c r="AJ346" i="15"/>
  <c r="AL346" i="15"/>
  <c r="AO346" i="15"/>
  <c r="AP346" i="15"/>
  <c r="BD346" i="15"/>
  <c r="BF346" i="15"/>
  <c r="BH346" i="15"/>
  <c r="AD346" i="15" s="1"/>
  <c r="BJ346" i="15"/>
  <c r="K347" i="15"/>
  <c r="AK347" i="15" s="1"/>
  <c r="Z347" i="15"/>
  <c r="AB347" i="15"/>
  <c r="AC347" i="15"/>
  <c r="AF347" i="15"/>
  <c r="AG347" i="15"/>
  <c r="AH347" i="15"/>
  <c r="AJ347" i="15"/>
  <c r="AL347" i="15"/>
  <c r="AO347" i="15"/>
  <c r="AP347" i="15"/>
  <c r="BD347" i="15"/>
  <c r="BF347" i="15"/>
  <c r="BJ347" i="15"/>
  <c r="K348" i="15"/>
  <c r="Z348" i="15"/>
  <c r="AB348" i="15"/>
  <c r="AC348" i="15"/>
  <c r="AF348" i="15"/>
  <c r="AG348" i="15"/>
  <c r="AH348" i="15"/>
  <c r="AJ348" i="15"/>
  <c r="AK348" i="15"/>
  <c r="AL348" i="15"/>
  <c r="AO348" i="15"/>
  <c r="I348" i="15" s="1"/>
  <c r="AP348" i="15"/>
  <c r="J348" i="15" s="1"/>
  <c r="BD348" i="15"/>
  <c r="BF348" i="15"/>
  <c r="BJ348" i="15"/>
  <c r="K349" i="15"/>
  <c r="Z349" i="15"/>
  <c r="AB349" i="15"/>
  <c r="AC349" i="15"/>
  <c r="AF349" i="15"/>
  <c r="AG349" i="15"/>
  <c r="AH349" i="15"/>
  <c r="AJ349" i="15"/>
  <c r="AK349" i="15"/>
  <c r="AL349" i="15"/>
  <c r="AO349" i="15"/>
  <c r="AW349" i="15" s="1"/>
  <c r="AP349" i="15"/>
  <c r="BD349" i="15"/>
  <c r="BF349" i="15"/>
  <c r="BJ349" i="15"/>
  <c r="K350" i="15"/>
  <c r="AK350" i="15" s="1"/>
  <c r="Z350" i="15"/>
  <c r="AB350" i="15"/>
  <c r="AC350" i="15"/>
  <c r="AF350" i="15"/>
  <c r="AG350" i="15"/>
  <c r="AH350" i="15"/>
  <c r="AJ350" i="15"/>
  <c r="AL350" i="15"/>
  <c r="AO350" i="15"/>
  <c r="AP350" i="15"/>
  <c r="BD350" i="15"/>
  <c r="BF350" i="15"/>
  <c r="BH350" i="15"/>
  <c r="AD350" i="15" s="1"/>
  <c r="BJ350" i="15"/>
  <c r="K351" i="15"/>
  <c r="AK351" i="15" s="1"/>
  <c r="Z351" i="15"/>
  <c r="AB351" i="15"/>
  <c r="AC351" i="15"/>
  <c r="AF351" i="15"/>
  <c r="AG351" i="15"/>
  <c r="AH351" i="15"/>
  <c r="AJ351" i="15"/>
  <c r="AL351" i="15"/>
  <c r="AO351" i="15"/>
  <c r="I351" i="15" s="1"/>
  <c r="AP351" i="15"/>
  <c r="BD351" i="15"/>
  <c r="BF351" i="15"/>
  <c r="BH351" i="15"/>
  <c r="AD351" i="15" s="1"/>
  <c r="BJ351" i="15"/>
  <c r="K352" i="15"/>
  <c r="Z352" i="15"/>
  <c r="AB352" i="15"/>
  <c r="AC352" i="15"/>
  <c r="AF352" i="15"/>
  <c r="AG352" i="15"/>
  <c r="AH352" i="15"/>
  <c r="AJ352" i="15"/>
  <c r="AK352" i="15"/>
  <c r="AL352" i="15"/>
  <c r="AO352" i="15"/>
  <c r="AW352" i="15" s="1"/>
  <c r="AP352" i="15"/>
  <c r="BD352" i="15"/>
  <c r="BF352" i="15"/>
  <c r="BJ352" i="15"/>
  <c r="K353" i="15"/>
  <c r="Z353" i="15"/>
  <c r="AB353" i="15"/>
  <c r="AC353" i="15"/>
  <c r="AF353" i="15"/>
  <c r="AG353" i="15"/>
  <c r="AH353" i="15"/>
  <c r="AJ353" i="15"/>
  <c r="AK353" i="15"/>
  <c r="AL353" i="15"/>
  <c r="AO353" i="15"/>
  <c r="AP353" i="15"/>
  <c r="BI353" i="15" s="1"/>
  <c r="AE353" i="15" s="1"/>
  <c r="BD353" i="15"/>
  <c r="BF353" i="15"/>
  <c r="BH353" i="15"/>
  <c r="AD353" i="15" s="1"/>
  <c r="BJ353" i="15"/>
  <c r="K354" i="15"/>
  <c r="AK354" i="15" s="1"/>
  <c r="Z354" i="15"/>
  <c r="AB354" i="15"/>
  <c r="AC354" i="15"/>
  <c r="AF354" i="15"/>
  <c r="AG354" i="15"/>
  <c r="AH354" i="15"/>
  <c r="AJ354" i="15"/>
  <c r="AL354" i="15"/>
  <c r="AO354" i="15"/>
  <c r="BH354" i="15" s="1"/>
  <c r="AD354" i="15" s="1"/>
  <c r="AP354" i="15"/>
  <c r="BD354" i="15"/>
  <c r="BF354" i="15"/>
  <c r="BJ354" i="15"/>
  <c r="K355" i="15"/>
  <c r="AK355" i="15" s="1"/>
  <c r="Z355" i="15"/>
  <c r="AB355" i="15"/>
  <c r="AC355" i="15"/>
  <c r="AF355" i="15"/>
  <c r="AG355" i="15"/>
  <c r="AH355" i="15"/>
  <c r="AJ355" i="15"/>
  <c r="AL355" i="15"/>
  <c r="AO355" i="15"/>
  <c r="AP355" i="15"/>
  <c r="BD355" i="15"/>
  <c r="BF355" i="15"/>
  <c r="BJ355" i="15"/>
  <c r="K356" i="15"/>
  <c r="Z356" i="15"/>
  <c r="AB356" i="15"/>
  <c r="AC356" i="15"/>
  <c r="AF356" i="15"/>
  <c r="AG356" i="15"/>
  <c r="AH356" i="15"/>
  <c r="AJ356" i="15"/>
  <c r="AK356" i="15"/>
  <c r="AL356" i="15"/>
  <c r="AO356" i="15"/>
  <c r="AP356" i="15"/>
  <c r="AX356" i="15" s="1"/>
  <c r="BD356" i="15"/>
  <c r="BF356" i="15"/>
  <c r="BJ356" i="15"/>
  <c r="K357" i="15"/>
  <c r="Z357" i="15"/>
  <c r="AB357" i="15"/>
  <c r="AC357" i="15"/>
  <c r="AF357" i="15"/>
  <c r="AG357" i="15"/>
  <c r="AH357" i="15"/>
  <c r="AJ357" i="15"/>
  <c r="AK357" i="15"/>
  <c r="AL357" i="15"/>
  <c r="AO357" i="15"/>
  <c r="BH357" i="15" s="1"/>
  <c r="AD357" i="15" s="1"/>
  <c r="AP357" i="15"/>
  <c r="BD357" i="15"/>
  <c r="BF357" i="15"/>
  <c r="BJ357" i="15"/>
  <c r="K358" i="15"/>
  <c r="AK358" i="15" s="1"/>
  <c r="Z358" i="15"/>
  <c r="AB358" i="15"/>
  <c r="AC358" i="15"/>
  <c r="AF358" i="15"/>
  <c r="AG358" i="15"/>
  <c r="AH358" i="15"/>
  <c r="AJ358" i="15"/>
  <c r="AL358" i="15"/>
  <c r="AO358" i="15"/>
  <c r="BH358" i="15" s="1"/>
  <c r="AD358" i="15" s="1"/>
  <c r="AP358" i="15"/>
  <c r="AX358" i="15" s="1"/>
  <c r="BD358" i="15"/>
  <c r="BF358" i="15"/>
  <c r="BJ358" i="15"/>
  <c r="K359" i="15"/>
  <c r="AK359" i="15" s="1"/>
  <c r="Z359" i="15"/>
  <c r="AB359" i="15"/>
  <c r="AC359" i="15"/>
  <c r="AF359" i="15"/>
  <c r="AG359" i="15"/>
  <c r="AH359" i="15"/>
  <c r="AJ359" i="15"/>
  <c r="AL359" i="15"/>
  <c r="AO359" i="15"/>
  <c r="AP359" i="15"/>
  <c r="BD359" i="15"/>
  <c r="BF359" i="15"/>
  <c r="BJ359" i="15"/>
  <c r="K360" i="15"/>
  <c r="Z360" i="15"/>
  <c r="AB360" i="15"/>
  <c r="AC360" i="15"/>
  <c r="AF360" i="15"/>
  <c r="AG360" i="15"/>
  <c r="AH360" i="15"/>
  <c r="AJ360" i="15"/>
  <c r="AK360" i="15"/>
  <c r="AL360" i="15"/>
  <c r="AO360" i="15"/>
  <c r="I360" i="15" s="1"/>
  <c r="AP360" i="15"/>
  <c r="BD360" i="15"/>
  <c r="BF360" i="15"/>
  <c r="BJ360" i="15"/>
  <c r="K361" i="15"/>
  <c r="Z361" i="15"/>
  <c r="AB361" i="15"/>
  <c r="AC361" i="15"/>
  <c r="AF361" i="15"/>
  <c r="AG361" i="15"/>
  <c r="AH361" i="15"/>
  <c r="AJ361" i="15"/>
  <c r="AK361" i="15"/>
  <c r="AL361" i="15"/>
  <c r="AO361" i="15"/>
  <c r="BH361" i="15" s="1"/>
  <c r="AD361" i="15" s="1"/>
  <c r="AP361" i="15"/>
  <c r="BI361" i="15" s="1"/>
  <c r="AE361" i="15" s="1"/>
  <c r="BD361" i="15"/>
  <c r="BF361" i="15"/>
  <c r="BJ361" i="15"/>
  <c r="K362" i="15"/>
  <c r="AK362" i="15" s="1"/>
  <c r="Z362" i="15"/>
  <c r="AB362" i="15"/>
  <c r="AC362" i="15"/>
  <c r="AF362" i="15"/>
  <c r="AG362" i="15"/>
  <c r="AH362" i="15"/>
  <c r="AJ362" i="15"/>
  <c r="AL362" i="15"/>
  <c r="AO362" i="15"/>
  <c r="AP362" i="15"/>
  <c r="BD362" i="15"/>
  <c r="BF362" i="15"/>
  <c r="BH362" i="15"/>
  <c r="AD362" i="15" s="1"/>
  <c r="BJ362" i="15"/>
  <c r="K364" i="15"/>
  <c r="Z364" i="15"/>
  <c r="AB364" i="15"/>
  <c r="AC364" i="15"/>
  <c r="AF364" i="15"/>
  <c r="AG364" i="15"/>
  <c r="AH364" i="15"/>
  <c r="AJ364" i="15"/>
  <c r="AK364" i="15"/>
  <c r="AL364" i="15"/>
  <c r="AO364" i="15"/>
  <c r="BH364" i="15" s="1"/>
  <c r="AD364" i="15" s="1"/>
  <c r="AP364" i="15"/>
  <c r="BI364" i="15" s="1"/>
  <c r="AE364" i="15" s="1"/>
  <c r="BD364" i="15"/>
  <c r="BF364" i="15"/>
  <c r="BJ364" i="15"/>
  <c r="K365" i="15"/>
  <c r="AK365" i="15" s="1"/>
  <c r="Z365" i="15"/>
  <c r="AB365" i="15"/>
  <c r="AC365" i="15"/>
  <c r="AF365" i="15"/>
  <c r="AG365" i="15"/>
  <c r="AH365" i="15"/>
  <c r="AJ365" i="15"/>
  <c r="AL365" i="15"/>
  <c r="AO365" i="15"/>
  <c r="AP365" i="15"/>
  <c r="J365" i="15" s="1"/>
  <c r="BD365" i="15"/>
  <c r="BF365" i="15"/>
  <c r="BH365" i="15"/>
  <c r="AD365" i="15" s="1"/>
  <c r="BJ365" i="15"/>
  <c r="K366" i="15"/>
  <c r="AK366" i="15" s="1"/>
  <c r="Z366" i="15"/>
  <c r="AB366" i="15"/>
  <c r="AC366" i="15"/>
  <c r="AF366" i="15"/>
  <c r="AG366" i="15"/>
  <c r="AH366" i="15"/>
  <c r="AJ366" i="15"/>
  <c r="AL366" i="15"/>
  <c r="AO366" i="15"/>
  <c r="AP366" i="15"/>
  <c r="BI366" i="15" s="1"/>
  <c r="AE366" i="15" s="1"/>
  <c r="BD366" i="15"/>
  <c r="BF366" i="15"/>
  <c r="BJ366" i="15"/>
  <c r="K367" i="15"/>
  <c r="AK367" i="15" s="1"/>
  <c r="Z367" i="15"/>
  <c r="AB367" i="15"/>
  <c r="AC367" i="15"/>
  <c r="AF367" i="15"/>
  <c r="AG367" i="15"/>
  <c r="AH367" i="15"/>
  <c r="AJ367" i="15"/>
  <c r="AL367" i="15"/>
  <c r="AO367" i="15"/>
  <c r="AP367" i="15"/>
  <c r="AX367" i="15" s="1"/>
  <c r="BD367" i="15"/>
  <c r="BF367" i="15"/>
  <c r="BJ367" i="15"/>
  <c r="K368" i="15"/>
  <c r="Z368" i="15"/>
  <c r="AB368" i="15"/>
  <c r="AC368" i="15"/>
  <c r="AF368" i="15"/>
  <c r="AG368" i="15"/>
  <c r="AH368" i="15"/>
  <c r="AJ368" i="15"/>
  <c r="AK368" i="15"/>
  <c r="AL368" i="15"/>
  <c r="AO368" i="15"/>
  <c r="AP368" i="15"/>
  <c r="BI368" i="15" s="1"/>
  <c r="AE368" i="15" s="1"/>
  <c r="BD368" i="15"/>
  <c r="BF368" i="15"/>
  <c r="BJ368" i="15"/>
  <c r="K369" i="15"/>
  <c r="AK369" i="15" s="1"/>
  <c r="Z369" i="15"/>
  <c r="AB369" i="15"/>
  <c r="AC369" i="15"/>
  <c r="AF369" i="15"/>
  <c r="AG369" i="15"/>
  <c r="AH369" i="15"/>
  <c r="AJ369" i="15"/>
  <c r="AL369" i="15"/>
  <c r="AO369" i="15"/>
  <c r="AP369" i="15"/>
  <c r="J369" i="15" s="1"/>
  <c r="BD369" i="15"/>
  <c r="BF369" i="15"/>
  <c r="BJ369" i="15"/>
  <c r="K370" i="15"/>
  <c r="AK370" i="15" s="1"/>
  <c r="Z370" i="15"/>
  <c r="AB370" i="15"/>
  <c r="AC370" i="15"/>
  <c r="AF370" i="15"/>
  <c r="AG370" i="15"/>
  <c r="AH370" i="15"/>
  <c r="AJ370" i="15"/>
  <c r="AL370" i="15"/>
  <c r="AO370" i="15"/>
  <c r="AP370" i="15"/>
  <c r="BI370" i="15" s="1"/>
  <c r="AE370" i="15" s="1"/>
  <c r="BD370" i="15"/>
  <c r="BF370" i="15"/>
  <c r="BJ370" i="15"/>
  <c r="K371" i="15"/>
  <c r="Z371" i="15"/>
  <c r="AB371" i="15"/>
  <c r="AC371" i="15"/>
  <c r="AF371" i="15"/>
  <c r="AG371" i="15"/>
  <c r="AH371" i="15"/>
  <c r="AJ371" i="15"/>
  <c r="AK371" i="15"/>
  <c r="AL371" i="15"/>
  <c r="AO371" i="15"/>
  <c r="AP371" i="15"/>
  <c r="BD371" i="15"/>
  <c r="BF371" i="15"/>
  <c r="BJ371" i="15"/>
  <c r="K372" i="15"/>
  <c r="Z372" i="15"/>
  <c r="AB372" i="15"/>
  <c r="AC372" i="15"/>
  <c r="AF372" i="15"/>
  <c r="AG372" i="15"/>
  <c r="AH372" i="15"/>
  <c r="AJ372" i="15"/>
  <c r="AK372" i="15"/>
  <c r="AL372" i="15"/>
  <c r="AO372" i="15"/>
  <c r="I372" i="15" s="1"/>
  <c r="AP372" i="15"/>
  <c r="BI372" i="15" s="1"/>
  <c r="AE372" i="15" s="1"/>
  <c r="BD372" i="15"/>
  <c r="BF372" i="15"/>
  <c r="BJ372" i="15"/>
  <c r="K373" i="15"/>
  <c r="AK373" i="15" s="1"/>
  <c r="Z373" i="15"/>
  <c r="AB373" i="15"/>
  <c r="AC373" i="15"/>
  <c r="AF373" i="15"/>
  <c r="AG373" i="15"/>
  <c r="AH373" i="15"/>
  <c r="AJ373" i="15"/>
  <c r="AL373" i="15"/>
  <c r="AO373" i="15"/>
  <c r="AP373" i="15"/>
  <c r="BI373" i="15" s="1"/>
  <c r="AE373" i="15" s="1"/>
  <c r="BD373" i="15"/>
  <c r="BF373" i="15"/>
  <c r="BJ373" i="15"/>
  <c r="K374" i="15"/>
  <c r="AK374" i="15" s="1"/>
  <c r="Z374" i="15"/>
  <c r="AB374" i="15"/>
  <c r="AC374" i="15"/>
  <c r="AF374" i="15"/>
  <c r="AG374" i="15"/>
  <c r="AH374" i="15"/>
  <c r="AJ374" i="15"/>
  <c r="AL374" i="15"/>
  <c r="AO374" i="15"/>
  <c r="AP374" i="15"/>
  <c r="J374" i="15" s="1"/>
  <c r="BD374" i="15"/>
  <c r="BF374" i="15"/>
  <c r="BJ374" i="15"/>
  <c r="K375" i="15"/>
  <c r="Z375" i="15"/>
  <c r="AB375" i="15"/>
  <c r="AC375" i="15"/>
  <c r="AF375" i="15"/>
  <c r="AG375" i="15"/>
  <c r="AH375" i="15"/>
  <c r="AJ375" i="15"/>
  <c r="AK375" i="15"/>
  <c r="AL375" i="15"/>
  <c r="AO375" i="15"/>
  <c r="AP375" i="15"/>
  <c r="J375" i="15" s="1"/>
  <c r="BD375" i="15"/>
  <c r="BF375" i="15"/>
  <c r="BJ375" i="15"/>
  <c r="K376" i="15"/>
  <c r="Z376" i="15"/>
  <c r="AB376" i="15"/>
  <c r="AC376" i="15"/>
  <c r="AF376" i="15"/>
  <c r="AG376" i="15"/>
  <c r="AH376" i="15"/>
  <c r="AJ376" i="15"/>
  <c r="AK376" i="15"/>
  <c r="AL376" i="15"/>
  <c r="AO376" i="15"/>
  <c r="BH376" i="15" s="1"/>
  <c r="AD376" i="15" s="1"/>
  <c r="AP376" i="15"/>
  <c r="BD376" i="15"/>
  <c r="BF376" i="15"/>
  <c r="BJ376" i="15"/>
  <c r="K377" i="15"/>
  <c r="AK377" i="15" s="1"/>
  <c r="Z377" i="15"/>
  <c r="AB377" i="15"/>
  <c r="AC377" i="15"/>
  <c r="AF377" i="15"/>
  <c r="AG377" i="15"/>
  <c r="AH377" i="15"/>
  <c r="AJ377" i="15"/>
  <c r="AL377" i="15"/>
  <c r="AO377" i="15"/>
  <c r="AP377" i="15"/>
  <c r="BD377" i="15"/>
  <c r="BF377" i="15"/>
  <c r="BJ377" i="15"/>
  <c r="K378" i="15"/>
  <c r="AK378" i="15" s="1"/>
  <c r="Z378" i="15"/>
  <c r="AB378" i="15"/>
  <c r="AC378" i="15"/>
  <c r="AF378" i="15"/>
  <c r="AG378" i="15"/>
  <c r="AH378" i="15"/>
  <c r="AJ378" i="15"/>
  <c r="AL378" i="15"/>
  <c r="AO378" i="15"/>
  <c r="AP378" i="15"/>
  <c r="BI378" i="15" s="1"/>
  <c r="AE378" i="15" s="1"/>
  <c r="BD378" i="15"/>
  <c r="BF378" i="15"/>
  <c r="BJ378" i="15"/>
  <c r="K379" i="15"/>
  <c r="Z379" i="15"/>
  <c r="AB379" i="15"/>
  <c r="AC379" i="15"/>
  <c r="AF379" i="15"/>
  <c r="AG379" i="15"/>
  <c r="AH379" i="15"/>
  <c r="AJ379" i="15"/>
  <c r="AK379" i="15"/>
  <c r="AL379" i="15"/>
  <c r="AO379" i="15"/>
  <c r="AP379" i="15"/>
  <c r="BD379" i="15"/>
  <c r="BF379" i="15"/>
  <c r="BJ379" i="15"/>
  <c r="K380" i="15"/>
  <c r="Z380" i="15"/>
  <c r="AB380" i="15"/>
  <c r="AC380" i="15"/>
  <c r="AF380" i="15"/>
  <c r="AG380" i="15"/>
  <c r="AH380" i="15"/>
  <c r="AJ380" i="15"/>
  <c r="AK380" i="15"/>
  <c r="AL380" i="15"/>
  <c r="AO380" i="15"/>
  <c r="AP380" i="15"/>
  <c r="BI380" i="15" s="1"/>
  <c r="AE380" i="15" s="1"/>
  <c r="BD380" i="15"/>
  <c r="BF380" i="15"/>
  <c r="BH380" i="15"/>
  <c r="AD380" i="15" s="1"/>
  <c r="BJ380" i="15"/>
  <c r="K381" i="15"/>
  <c r="AK381" i="15" s="1"/>
  <c r="Z381" i="15"/>
  <c r="AB381" i="15"/>
  <c r="AC381" i="15"/>
  <c r="AF381" i="15"/>
  <c r="AG381" i="15"/>
  <c r="AH381" i="15"/>
  <c r="AJ381" i="15"/>
  <c r="AL381" i="15"/>
  <c r="AO381" i="15"/>
  <c r="AP381" i="15"/>
  <c r="BD381" i="15"/>
  <c r="BF381" i="15"/>
  <c r="BH381" i="15"/>
  <c r="AD381" i="15" s="1"/>
  <c r="BJ381" i="15"/>
  <c r="K382" i="15"/>
  <c r="AK382" i="15" s="1"/>
  <c r="Z382" i="15"/>
  <c r="AB382" i="15"/>
  <c r="AC382" i="15"/>
  <c r="AF382" i="15"/>
  <c r="AG382" i="15"/>
  <c r="AH382" i="15"/>
  <c r="AJ382" i="15"/>
  <c r="AL382" i="15"/>
  <c r="AO382" i="15"/>
  <c r="AP382" i="15"/>
  <c r="BD382" i="15"/>
  <c r="BF382" i="15"/>
  <c r="BJ382" i="15"/>
  <c r="K383" i="15"/>
  <c r="Z383" i="15"/>
  <c r="AB383" i="15"/>
  <c r="AC383" i="15"/>
  <c r="AF383" i="15"/>
  <c r="AG383" i="15"/>
  <c r="AH383" i="15"/>
  <c r="AJ383" i="15"/>
  <c r="AK383" i="15"/>
  <c r="AL383" i="15"/>
  <c r="AO383" i="15"/>
  <c r="AW383" i="15" s="1"/>
  <c r="AP383" i="15"/>
  <c r="BD383" i="15"/>
  <c r="BF383" i="15"/>
  <c r="BH383" i="15"/>
  <c r="AD383" i="15" s="1"/>
  <c r="BJ383" i="15"/>
  <c r="K384" i="15"/>
  <c r="Z384" i="15"/>
  <c r="AB384" i="15"/>
  <c r="AC384" i="15"/>
  <c r="AF384" i="15"/>
  <c r="AG384" i="15"/>
  <c r="AH384" i="15"/>
  <c r="AJ384" i="15"/>
  <c r="AK384" i="15"/>
  <c r="AL384" i="15"/>
  <c r="AO384" i="15"/>
  <c r="AW384" i="15" s="1"/>
  <c r="AP384" i="15"/>
  <c r="BD384" i="15"/>
  <c r="BF384" i="15"/>
  <c r="BH384" i="15"/>
  <c r="AD384" i="15" s="1"/>
  <c r="BJ384" i="15"/>
  <c r="K385" i="15"/>
  <c r="AK385" i="15" s="1"/>
  <c r="Z385" i="15"/>
  <c r="AB385" i="15"/>
  <c r="AC385" i="15"/>
  <c r="AF385" i="15"/>
  <c r="AG385" i="15"/>
  <c r="AH385" i="15"/>
  <c r="AJ385" i="15"/>
  <c r="AL385" i="15"/>
  <c r="AO385" i="15"/>
  <c r="AP385" i="15"/>
  <c r="BD385" i="15"/>
  <c r="BF385" i="15"/>
  <c r="BJ385" i="15"/>
  <c r="K386" i="15"/>
  <c r="AK386" i="15" s="1"/>
  <c r="Z386" i="15"/>
  <c r="AB386" i="15"/>
  <c r="AC386" i="15"/>
  <c r="AF386" i="15"/>
  <c r="AG386" i="15"/>
  <c r="AH386" i="15"/>
  <c r="AJ386" i="15"/>
  <c r="AL386" i="15"/>
  <c r="AO386" i="15"/>
  <c r="AP386" i="15"/>
  <c r="BD386" i="15"/>
  <c r="BF386" i="15"/>
  <c r="BJ386" i="15"/>
  <c r="K387" i="15"/>
  <c r="AK387" i="15" s="1"/>
  <c r="Z387" i="15"/>
  <c r="AB387" i="15"/>
  <c r="AC387" i="15"/>
  <c r="AF387" i="15"/>
  <c r="AG387" i="15"/>
  <c r="AH387" i="15"/>
  <c r="AJ387" i="15"/>
  <c r="AL387" i="15"/>
  <c r="AO387" i="15"/>
  <c r="AP387" i="15"/>
  <c r="BD387" i="15"/>
  <c r="BF387" i="15"/>
  <c r="BH387" i="15"/>
  <c r="AD387" i="15" s="1"/>
  <c r="BJ387" i="15"/>
  <c r="K388" i="15"/>
  <c r="Z388" i="15"/>
  <c r="AB388" i="15"/>
  <c r="AC388" i="15"/>
  <c r="AF388" i="15"/>
  <c r="AG388" i="15"/>
  <c r="AH388" i="15"/>
  <c r="AJ388" i="15"/>
  <c r="AK388" i="15"/>
  <c r="AL388" i="15"/>
  <c r="AO388" i="15"/>
  <c r="I388" i="15" s="1"/>
  <c r="AP388" i="15"/>
  <c r="BD388" i="15"/>
  <c r="BF388" i="15"/>
  <c r="BJ388" i="15"/>
  <c r="K389" i="15"/>
  <c r="AK389" i="15" s="1"/>
  <c r="Z389" i="15"/>
  <c r="AB389" i="15"/>
  <c r="AC389" i="15"/>
  <c r="AF389" i="15"/>
  <c r="AG389" i="15"/>
  <c r="AH389" i="15"/>
  <c r="AJ389" i="15"/>
  <c r="AL389" i="15"/>
  <c r="AO389" i="15"/>
  <c r="AP389" i="15"/>
  <c r="BD389" i="15"/>
  <c r="BF389" i="15"/>
  <c r="BJ389" i="15"/>
  <c r="K390" i="15"/>
  <c r="AK390" i="15" s="1"/>
  <c r="Z390" i="15"/>
  <c r="AB390" i="15"/>
  <c r="AC390" i="15"/>
  <c r="AF390" i="15"/>
  <c r="AG390" i="15"/>
  <c r="AH390" i="15"/>
  <c r="AJ390" i="15"/>
  <c r="AL390" i="15"/>
  <c r="AO390" i="15"/>
  <c r="AP390" i="15"/>
  <c r="BD390" i="15"/>
  <c r="BF390" i="15"/>
  <c r="BJ390" i="15"/>
  <c r="K391" i="15"/>
  <c r="Z391" i="15"/>
  <c r="AB391" i="15"/>
  <c r="AC391" i="15"/>
  <c r="AF391" i="15"/>
  <c r="AG391" i="15"/>
  <c r="AH391" i="15"/>
  <c r="AJ391" i="15"/>
  <c r="AK391" i="15"/>
  <c r="AL391" i="15"/>
  <c r="AO391" i="15"/>
  <c r="I391" i="15" s="1"/>
  <c r="AP391" i="15"/>
  <c r="BD391" i="15"/>
  <c r="BF391" i="15"/>
  <c r="BJ391" i="15"/>
  <c r="K393" i="15"/>
  <c r="Z393" i="15"/>
  <c r="AB393" i="15"/>
  <c r="AC393" i="15"/>
  <c r="AF393" i="15"/>
  <c r="AG393" i="15"/>
  <c r="AH393" i="15"/>
  <c r="AJ393" i="15"/>
  <c r="AL393" i="15"/>
  <c r="AO393" i="15"/>
  <c r="I393" i="15" s="1"/>
  <c r="AP393" i="15"/>
  <c r="BI393" i="15" s="1"/>
  <c r="AE393" i="15" s="1"/>
  <c r="BD393" i="15"/>
  <c r="BF393" i="15"/>
  <c r="BJ393" i="15"/>
  <c r="K394" i="15"/>
  <c r="Z394" i="15"/>
  <c r="AB394" i="15"/>
  <c r="AC394" i="15"/>
  <c r="AF394" i="15"/>
  <c r="AG394" i="15"/>
  <c r="AH394" i="15"/>
  <c r="AJ394" i="15"/>
  <c r="AK394" i="15"/>
  <c r="AL394" i="15"/>
  <c r="AO394" i="15"/>
  <c r="AP394" i="15"/>
  <c r="BI394" i="15" s="1"/>
  <c r="AE394" i="15" s="1"/>
  <c r="BD394" i="15"/>
  <c r="BF394" i="15"/>
  <c r="BJ394" i="15"/>
  <c r="K395" i="15"/>
  <c r="Z395" i="15"/>
  <c r="AB395" i="15"/>
  <c r="AC395" i="15"/>
  <c r="AF395" i="15"/>
  <c r="AG395" i="15"/>
  <c r="AH395" i="15"/>
  <c r="AJ395" i="15"/>
  <c r="AK395" i="15"/>
  <c r="AL395" i="15"/>
  <c r="AO395" i="15"/>
  <c r="AP395" i="15"/>
  <c r="BI395" i="15" s="1"/>
  <c r="AE395" i="15" s="1"/>
  <c r="BD395" i="15"/>
  <c r="BF395" i="15"/>
  <c r="BH395" i="15"/>
  <c r="AD395" i="15" s="1"/>
  <c r="BJ395" i="15"/>
  <c r="K396" i="15"/>
  <c r="AK396" i="15" s="1"/>
  <c r="Z396" i="15"/>
  <c r="AB396" i="15"/>
  <c r="AC396" i="15"/>
  <c r="AF396" i="15"/>
  <c r="AG396" i="15"/>
  <c r="AH396" i="15"/>
  <c r="AJ396" i="15"/>
  <c r="AL396" i="15"/>
  <c r="AO396" i="15"/>
  <c r="AP396" i="15"/>
  <c r="BD396" i="15"/>
  <c r="BF396" i="15"/>
  <c r="BJ396" i="15"/>
  <c r="K397" i="15"/>
  <c r="AK397" i="15" s="1"/>
  <c r="Z397" i="15"/>
  <c r="AB397" i="15"/>
  <c r="AC397" i="15"/>
  <c r="AF397" i="15"/>
  <c r="AG397" i="15"/>
  <c r="AH397" i="15"/>
  <c r="AJ397" i="15"/>
  <c r="AL397" i="15"/>
  <c r="AO397" i="15"/>
  <c r="AP397" i="15"/>
  <c r="BI397" i="15" s="1"/>
  <c r="AE397" i="15" s="1"/>
  <c r="BD397" i="15"/>
  <c r="BF397" i="15"/>
  <c r="BJ397" i="15"/>
  <c r="K398" i="15"/>
  <c r="Z398" i="15"/>
  <c r="AB398" i="15"/>
  <c r="AC398" i="15"/>
  <c r="AF398" i="15"/>
  <c r="AG398" i="15"/>
  <c r="AH398" i="15"/>
  <c r="AJ398" i="15"/>
  <c r="AK398" i="15"/>
  <c r="AL398" i="15"/>
  <c r="AO398" i="15"/>
  <c r="AP398" i="15"/>
  <c r="J398" i="15" s="1"/>
  <c r="BD398" i="15"/>
  <c r="BF398" i="15"/>
  <c r="BJ398" i="15"/>
  <c r="K399" i="15"/>
  <c r="Z399" i="15"/>
  <c r="AB399" i="15"/>
  <c r="AC399" i="15"/>
  <c r="AF399" i="15"/>
  <c r="AG399" i="15"/>
  <c r="AH399" i="15"/>
  <c r="AJ399" i="15"/>
  <c r="AK399" i="15"/>
  <c r="AL399" i="15"/>
  <c r="AO399" i="15"/>
  <c r="AW399" i="15" s="1"/>
  <c r="AP399" i="15"/>
  <c r="BD399" i="15"/>
  <c r="BF399" i="15"/>
  <c r="BJ399" i="15"/>
  <c r="K400" i="15"/>
  <c r="AK400" i="15" s="1"/>
  <c r="Z400" i="15"/>
  <c r="AB400" i="15"/>
  <c r="AC400" i="15"/>
  <c r="AF400" i="15"/>
  <c r="AG400" i="15"/>
  <c r="AH400" i="15"/>
  <c r="AJ400" i="15"/>
  <c r="AL400" i="15"/>
  <c r="AO400" i="15"/>
  <c r="AP400" i="15"/>
  <c r="BD400" i="15"/>
  <c r="BF400" i="15"/>
  <c r="BH400" i="15"/>
  <c r="AD400" i="15" s="1"/>
  <c r="BJ400" i="15"/>
  <c r="K401" i="15"/>
  <c r="AK401" i="15" s="1"/>
  <c r="Z401" i="15"/>
  <c r="AB401" i="15"/>
  <c r="AC401" i="15"/>
  <c r="AF401" i="15"/>
  <c r="AG401" i="15"/>
  <c r="AH401" i="15"/>
  <c r="AJ401" i="15"/>
  <c r="AL401" i="15"/>
  <c r="AO401" i="15"/>
  <c r="AP401" i="15"/>
  <c r="J401" i="15" s="1"/>
  <c r="BD401" i="15"/>
  <c r="BF401" i="15"/>
  <c r="BJ401" i="15"/>
  <c r="K402" i="15"/>
  <c r="Z402" i="15"/>
  <c r="AB402" i="15"/>
  <c r="AC402" i="15"/>
  <c r="AF402" i="15"/>
  <c r="AG402" i="15"/>
  <c r="AH402" i="15"/>
  <c r="AJ402" i="15"/>
  <c r="AK402" i="15"/>
  <c r="AL402" i="15"/>
  <c r="AO402" i="15"/>
  <c r="AP402" i="15"/>
  <c r="AX402" i="15" s="1"/>
  <c r="BD402" i="15"/>
  <c r="BF402" i="15"/>
  <c r="BJ402" i="15"/>
  <c r="K403" i="15"/>
  <c r="Z403" i="15"/>
  <c r="AB403" i="15"/>
  <c r="AC403" i="15"/>
  <c r="AF403" i="15"/>
  <c r="AG403" i="15"/>
  <c r="AH403" i="15"/>
  <c r="AJ403" i="15"/>
  <c r="AK403" i="15"/>
  <c r="AL403" i="15"/>
  <c r="AO403" i="15"/>
  <c r="AW403" i="15" s="1"/>
  <c r="AP403" i="15"/>
  <c r="BD403" i="15"/>
  <c r="BF403" i="15"/>
  <c r="BH403" i="15"/>
  <c r="AD403" i="15" s="1"/>
  <c r="BI403" i="15"/>
  <c r="AE403" i="15" s="1"/>
  <c r="BJ403" i="15"/>
  <c r="K404" i="15"/>
  <c r="AK404" i="15" s="1"/>
  <c r="Z404" i="15"/>
  <c r="AB404" i="15"/>
  <c r="AC404" i="15"/>
  <c r="AF404" i="15"/>
  <c r="AG404" i="15"/>
  <c r="AH404" i="15"/>
  <c r="AJ404" i="15"/>
  <c r="AL404" i="15"/>
  <c r="AO404" i="15"/>
  <c r="BH404" i="15" s="1"/>
  <c r="AD404" i="15" s="1"/>
  <c r="AP404" i="15"/>
  <c r="BI404" i="15" s="1"/>
  <c r="AE404" i="15" s="1"/>
  <c r="BD404" i="15"/>
  <c r="BF404" i="15"/>
  <c r="BJ404" i="15"/>
  <c r="K405" i="15"/>
  <c r="AK405" i="15" s="1"/>
  <c r="Z405" i="15"/>
  <c r="AB405" i="15"/>
  <c r="AC405" i="15"/>
  <c r="AF405" i="15"/>
  <c r="AG405" i="15"/>
  <c r="AH405" i="15"/>
  <c r="AJ405" i="15"/>
  <c r="AL405" i="15"/>
  <c r="AO405" i="15"/>
  <c r="BH405" i="15" s="1"/>
  <c r="AD405" i="15" s="1"/>
  <c r="AP405" i="15"/>
  <c r="BD405" i="15"/>
  <c r="BF405" i="15"/>
  <c r="BJ405" i="15"/>
  <c r="K406" i="15"/>
  <c r="Z406" i="15"/>
  <c r="AB406" i="15"/>
  <c r="AC406" i="15"/>
  <c r="AF406" i="15"/>
  <c r="AG406" i="15"/>
  <c r="AH406" i="15"/>
  <c r="AJ406" i="15"/>
  <c r="AK406" i="15"/>
  <c r="AL406" i="15"/>
  <c r="AO406" i="15"/>
  <c r="AP406" i="15"/>
  <c r="BI406" i="15" s="1"/>
  <c r="AE406" i="15" s="1"/>
  <c r="BD406" i="15"/>
  <c r="BF406" i="15"/>
  <c r="BJ406" i="15"/>
  <c r="K407" i="15"/>
  <c r="Z407" i="15"/>
  <c r="AB407" i="15"/>
  <c r="AC407" i="15"/>
  <c r="AF407" i="15"/>
  <c r="AG407" i="15"/>
  <c r="AH407" i="15"/>
  <c r="AJ407" i="15"/>
  <c r="AK407" i="15"/>
  <c r="AL407" i="15"/>
  <c r="AO407" i="15"/>
  <c r="BH407" i="15" s="1"/>
  <c r="AD407" i="15" s="1"/>
  <c r="AP407" i="15"/>
  <c r="BI407" i="15" s="1"/>
  <c r="AE407" i="15" s="1"/>
  <c r="BD407" i="15"/>
  <c r="BF407" i="15"/>
  <c r="BJ407" i="15"/>
  <c r="K408" i="15"/>
  <c r="AK408" i="15" s="1"/>
  <c r="Z408" i="15"/>
  <c r="AB408" i="15"/>
  <c r="AC408" i="15"/>
  <c r="AF408" i="15"/>
  <c r="AG408" i="15"/>
  <c r="AH408" i="15"/>
  <c r="AJ408" i="15"/>
  <c r="AL408" i="15"/>
  <c r="AO408" i="15"/>
  <c r="BH408" i="15" s="1"/>
  <c r="AD408" i="15" s="1"/>
  <c r="AP408" i="15"/>
  <c r="BD408" i="15"/>
  <c r="BF408" i="15"/>
  <c r="BJ408" i="15"/>
  <c r="K409" i="15"/>
  <c r="AK409" i="15" s="1"/>
  <c r="Z409" i="15"/>
  <c r="AB409" i="15"/>
  <c r="AC409" i="15"/>
  <c r="AF409" i="15"/>
  <c r="AG409" i="15"/>
  <c r="AH409" i="15"/>
  <c r="AJ409" i="15"/>
  <c r="AL409" i="15"/>
  <c r="AO409" i="15"/>
  <c r="I409" i="15" s="1"/>
  <c r="AP409" i="15"/>
  <c r="BI409" i="15" s="1"/>
  <c r="AE409" i="15" s="1"/>
  <c r="BD409" i="15"/>
  <c r="BF409" i="15"/>
  <c r="BJ409" i="15"/>
  <c r="K410" i="15"/>
  <c r="Z410" i="15"/>
  <c r="AB410" i="15"/>
  <c r="AC410" i="15"/>
  <c r="AF410" i="15"/>
  <c r="AG410" i="15"/>
  <c r="AH410" i="15"/>
  <c r="AJ410" i="15"/>
  <c r="AK410" i="15"/>
  <c r="AL410" i="15"/>
  <c r="AO410" i="15"/>
  <c r="AP410" i="15"/>
  <c r="BI410" i="15" s="1"/>
  <c r="AE410" i="15" s="1"/>
  <c r="BD410" i="15"/>
  <c r="BF410" i="15"/>
  <c r="BJ410" i="15"/>
  <c r="K411" i="15"/>
  <c r="Z411" i="15"/>
  <c r="AB411" i="15"/>
  <c r="AC411" i="15"/>
  <c r="AF411" i="15"/>
  <c r="AG411" i="15"/>
  <c r="AH411" i="15"/>
  <c r="AJ411" i="15"/>
  <c r="AK411" i="15"/>
  <c r="AL411" i="15"/>
  <c r="AO411" i="15"/>
  <c r="AP411" i="15"/>
  <c r="BI411" i="15" s="1"/>
  <c r="AE411" i="15" s="1"/>
  <c r="BD411" i="15"/>
  <c r="BF411" i="15"/>
  <c r="BH411" i="15"/>
  <c r="AD411" i="15" s="1"/>
  <c r="BJ411" i="15"/>
  <c r="K412" i="15"/>
  <c r="AK412" i="15" s="1"/>
  <c r="Z412" i="15"/>
  <c r="AB412" i="15"/>
  <c r="AC412" i="15"/>
  <c r="AF412" i="15"/>
  <c r="AG412" i="15"/>
  <c r="AH412" i="15"/>
  <c r="AJ412" i="15"/>
  <c r="AL412" i="15"/>
  <c r="AO412" i="15"/>
  <c r="BH412" i="15" s="1"/>
  <c r="AD412" i="15" s="1"/>
  <c r="AP412" i="15"/>
  <c r="J412" i="15" s="1"/>
  <c r="BD412" i="15"/>
  <c r="BF412" i="15"/>
  <c r="BJ412" i="15"/>
  <c r="K413" i="15"/>
  <c r="AK413" i="15" s="1"/>
  <c r="Z413" i="15"/>
  <c r="AB413" i="15"/>
  <c r="AC413" i="15"/>
  <c r="AF413" i="15"/>
  <c r="AG413" i="15"/>
  <c r="AH413" i="15"/>
  <c r="AJ413" i="15"/>
  <c r="AL413" i="15"/>
  <c r="AO413" i="15"/>
  <c r="I413" i="15" s="1"/>
  <c r="AP413" i="15"/>
  <c r="BD413" i="15"/>
  <c r="BF413" i="15"/>
  <c r="BJ413" i="15"/>
  <c r="K414" i="15"/>
  <c r="Z414" i="15"/>
  <c r="AB414" i="15"/>
  <c r="AC414" i="15"/>
  <c r="AF414" i="15"/>
  <c r="AG414" i="15"/>
  <c r="AH414" i="15"/>
  <c r="AJ414" i="15"/>
  <c r="AK414" i="15"/>
  <c r="AL414" i="15"/>
  <c r="AO414" i="15"/>
  <c r="BH414" i="15" s="1"/>
  <c r="AD414" i="15" s="1"/>
  <c r="AP414" i="15"/>
  <c r="AX414" i="15" s="1"/>
  <c r="BD414" i="15"/>
  <c r="BF414" i="15"/>
  <c r="BJ414" i="15"/>
  <c r="K415" i="15"/>
  <c r="AK415" i="15" s="1"/>
  <c r="Z415" i="15"/>
  <c r="AB415" i="15"/>
  <c r="AC415" i="15"/>
  <c r="AF415" i="15"/>
  <c r="AG415" i="15"/>
  <c r="AH415" i="15"/>
  <c r="AJ415" i="15"/>
  <c r="AL415" i="15"/>
  <c r="AO415" i="15"/>
  <c r="BH415" i="15" s="1"/>
  <c r="AD415" i="15" s="1"/>
  <c r="AP415" i="15"/>
  <c r="BD415" i="15"/>
  <c r="BF415" i="15"/>
  <c r="BJ415" i="15"/>
  <c r="K416" i="15"/>
  <c r="AK416" i="15" s="1"/>
  <c r="Z416" i="15"/>
  <c r="AB416" i="15"/>
  <c r="AC416" i="15"/>
  <c r="AF416" i="15"/>
  <c r="AG416" i="15"/>
  <c r="AH416" i="15"/>
  <c r="AJ416" i="15"/>
  <c r="AL416" i="15"/>
  <c r="AO416" i="15"/>
  <c r="BH416" i="15" s="1"/>
  <c r="AD416" i="15" s="1"/>
  <c r="AP416" i="15"/>
  <c r="BD416" i="15"/>
  <c r="BF416" i="15"/>
  <c r="BJ416" i="15"/>
  <c r="K417" i="15"/>
  <c r="AK417" i="15" s="1"/>
  <c r="Z417" i="15"/>
  <c r="AB417" i="15"/>
  <c r="AC417" i="15"/>
  <c r="AF417" i="15"/>
  <c r="AG417" i="15"/>
  <c r="AH417" i="15"/>
  <c r="AJ417" i="15"/>
  <c r="AL417" i="15"/>
  <c r="AO417" i="15"/>
  <c r="AP417" i="15"/>
  <c r="J417" i="15" s="1"/>
  <c r="BD417" i="15"/>
  <c r="BF417" i="15"/>
  <c r="BJ417" i="15"/>
  <c r="K418" i="15"/>
  <c r="Z418" i="15"/>
  <c r="AB418" i="15"/>
  <c r="AC418" i="15"/>
  <c r="AF418" i="15"/>
  <c r="AG418" i="15"/>
  <c r="AH418" i="15"/>
  <c r="AJ418" i="15"/>
  <c r="AK418" i="15"/>
  <c r="AL418" i="15"/>
  <c r="AO418" i="15"/>
  <c r="AP418" i="15"/>
  <c r="BI418" i="15" s="1"/>
  <c r="AE418" i="15" s="1"/>
  <c r="BD418" i="15"/>
  <c r="BF418" i="15"/>
  <c r="BJ418" i="15"/>
  <c r="K419" i="15"/>
  <c r="Z419" i="15"/>
  <c r="AB419" i="15"/>
  <c r="AC419" i="15"/>
  <c r="AF419" i="15"/>
  <c r="AG419" i="15"/>
  <c r="AH419" i="15"/>
  <c r="AJ419" i="15"/>
  <c r="AK419" i="15"/>
  <c r="AL419" i="15"/>
  <c r="AO419" i="15"/>
  <c r="AW419" i="15" s="1"/>
  <c r="AP419" i="15"/>
  <c r="BI419" i="15" s="1"/>
  <c r="AE419" i="15" s="1"/>
  <c r="BD419" i="15"/>
  <c r="BF419" i="15"/>
  <c r="BH419" i="15"/>
  <c r="AD419" i="15" s="1"/>
  <c r="BJ419" i="15"/>
  <c r="K420" i="15"/>
  <c r="AK420" i="15" s="1"/>
  <c r="Z420" i="15"/>
  <c r="AB420" i="15"/>
  <c r="AC420" i="15"/>
  <c r="AF420" i="15"/>
  <c r="AG420" i="15"/>
  <c r="AH420" i="15"/>
  <c r="AJ420" i="15"/>
  <c r="AL420" i="15"/>
  <c r="AO420" i="15"/>
  <c r="BH420" i="15" s="1"/>
  <c r="AD420" i="15" s="1"/>
  <c r="AP420" i="15"/>
  <c r="J420" i="15" s="1"/>
  <c r="BD420" i="15"/>
  <c r="BF420" i="15"/>
  <c r="BJ420" i="15"/>
  <c r="K421" i="15"/>
  <c r="AK421" i="15" s="1"/>
  <c r="Z421" i="15"/>
  <c r="AB421" i="15"/>
  <c r="AC421" i="15"/>
  <c r="AF421" i="15"/>
  <c r="AG421" i="15"/>
  <c r="AH421" i="15"/>
  <c r="AJ421" i="15"/>
  <c r="AL421" i="15"/>
  <c r="AO421" i="15"/>
  <c r="AP421" i="15"/>
  <c r="J421" i="15" s="1"/>
  <c r="BD421" i="15"/>
  <c r="BF421" i="15"/>
  <c r="BJ421" i="15"/>
  <c r="K422" i="15"/>
  <c r="Z422" i="15"/>
  <c r="AB422" i="15"/>
  <c r="AC422" i="15"/>
  <c r="AF422" i="15"/>
  <c r="AG422" i="15"/>
  <c r="AH422" i="15"/>
  <c r="AJ422" i="15"/>
  <c r="AK422" i="15"/>
  <c r="AL422" i="15"/>
  <c r="AO422" i="15"/>
  <c r="I422" i="15" s="1"/>
  <c r="AP422" i="15"/>
  <c r="BD422" i="15"/>
  <c r="BF422" i="15"/>
  <c r="BJ422" i="15"/>
  <c r="K423" i="15"/>
  <c r="Z423" i="15"/>
  <c r="AB423" i="15"/>
  <c r="AC423" i="15"/>
  <c r="AF423" i="15"/>
  <c r="AG423" i="15"/>
  <c r="AH423" i="15"/>
  <c r="AJ423" i="15"/>
  <c r="AK423" i="15"/>
  <c r="AL423" i="15"/>
  <c r="AO423" i="15"/>
  <c r="AW423" i="15" s="1"/>
  <c r="AP423" i="15"/>
  <c r="BD423" i="15"/>
  <c r="BF423" i="15"/>
  <c r="BH423" i="15"/>
  <c r="AD423" i="15" s="1"/>
  <c r="BI423" i="15"/>
  <c r="AE423" i="15" s="1"/>
  <c r="BJ423" i="15"/>
  <c r="K424" i="15"/>
  <c r="AK424" i="15" s="1"/>
  <c r="Z424" i="15"/>
  <c r="AB424" i="15"/>
  <c r="AC424" i="15"/>
  <c r="AF424" i="15"/>
  <c r="AG424" i="15"/>
  <c r="AH424" i="15"/>
  <c r="AJ424" i="15"/>
  <c r="AL424" i="15"/>
  <c r="AO424" i="15"/>
  <c r="BH424" i="15" s="1"/>
  <c r="AD424" i="15" s="1"/>
  <c r="AP424" i="15"/>
  <c r="BD424" i="15"/>
  <c r="BF424" i="15"/>
  <c r="BJ424" i="15"/>
  <c r="K425" i="15"/>
  <c r="AK425" i="15" s="1"/>
  <c r="Z425" i="15"/>
  <c r="AB425" i="15"/>
  <c r="AC425" i="15"/>
  <c r="AF425" i="15"/>
  <c r="AG425" i="15"/>
  <c r="AH425" i="15"/>
  <c r="AJ425" i="15"/>
  <c r="AL425" i="15"/>
  <c r="AO425" i="15"/>
  <c r="I425" i="15" s="1"/>
  <c r="AP425" i="15"/>
  <c r="BD425" i="15"/>
  <c r="BF425" i="15"/>
  <c r="BJ425" i="15"/>
  <c r="K426" i="15"/>
  <c r="Z426" i="15"/>
  <c r="AB426" i="15"/>
  <c r="AC426" i="15"/>
  <c r="AF426" i="15"/>
  <c r="AG426" i="15"/>
  <c r="AH426" i="15"/>
  <c r="AJ426" i="15"/>
  <c r="AK426" i="15"/>
  <c r="AL426" i="15"/>
  <c r="AO426" i="15"/>
  <c r="AW426" i="15" s="1"/>
  <c r="AP426" i="15"/>
  <c r="BD426" i="15"/>
  <c r="BF426" i="15"/>
  <c r="BJ426" i="15"/>
  <c r="K428" i="15"/>
  <c r="Z428" i="15"/>
  <c r="AB428" i="15"/>
  <c r="AC428" i="15"/>
  <c r="AF428" i="15"/>
  <c r="AG428" i="15"/>
  <c r="AH428" i="15"/>
  <c r="AJ428" i="15"/>
  <c r="AL428" i="15"/>
  <c r="AO428" i="15"/>
  <c r="AP428" i="15"/>
  <c r="BD428" i="15"/>
  <c r="BF428" i="15"/>
  <c r="BJ428" i="15"/>
  <c r="K429" i="15"/>
  <c r="Z429" i="15"/>
  <c r="AB429" i="15"/>
  <c r="AC429" i="15"/>
  <c r="AF429" i="15"/>
  <c r="AG429" i="15"/>
  <c r="AH429" i="15"/>
  <c r="AJ429" i="15"/>
  <c r="AK429" i="15"/>
  <c r="AL429" i="15"/>
  <c r="AO429" i="15"/>
  <c r="I429" i="15" s="1"/>
  <c r="AP429" i="15"/>
  <c r="AX429" i="15" s="1"/>
  <c r="BD429" i="15"/>
  <c r="BF429" i="15"/>
  <c r="BJ429" i="15"/>
  <c r="K430" i="15"/>
  <c r="AK430" i="15" s="1"/>
  <c r="Z430" i="15"/>
  <c r="AB430" i="15"/>
  <c r="AC430" i="15"/>
  <c r="AF430" i="15"/>
  <c r="AG430" i="15"/>
  <c r="AH430" i="15"/>
  <c r="AJ430" i="15"/>
  <c r="AL430" i="15"/>
  <c r="AO430" i="15"/>
  <c r="BH430" i="15" s="1"/>
  <c r="AD430" i="15" s="1"/>
  <c r="AP430" i="15"/>
  <c r="J430" i="15" s="1"/>
  <c r="BD430" i="15"/>
  <c r="BF430" i="15"/>
  <c r="BJ430" i="15"/>
  <c r="K431" i="15"/>
  <c r="Z431" i="15"/>
  <c r="AB431" i="15"/>
  <c r="AC431" i="15"/>
  <c r="AF431" i="15"/>
  <c r="AG431" i="15"/>
  <c r="AH431" i="15"/>
  <c r="AJ431" i="15"/>
  <c r="AK431" i="15"/>
  <c r="AL431" i="15"/>
  <c r="AO431" i="15"/>
  <c r="AP431" i="15"/>
  <c r="BD431" i="15"/>
  <c r="BF431" i="15"/>
  <c r="BJ431" i="15"/>
  <c r="K432" i="15"/>
  <c r="AK432" i="15" s="1"/>
  <c r="Z432" i="15"/>
  <c r="AB432" i="15"/>
  <c r="AC432" i="15"/>
  <c r="AF432" i="15"/>
  <c r="AG432" i="15"/>
  <c r="AH432" i="15"/>
  <c r="AJ432" i="15"/>
  <c r="AL432" i="15"/>
  <c r="AO432" i="15"/>
  <c r="AW432" i="15" s="1"/>
  <c r="AP432" i="15"/>
  <c r="BD432" i="15"/>
  <c r="BF432" i="15"/>
  <c r="BH432" i="15"/>
  <c r="AD432" i="15" s="1"/>
  <c r="BJ432" i="15"/>
  <c r="K433" i="15"/>
  <c r="Z433" i="15"/>
  <c r="AB433" i="15"/>
  <c r="AC433" i="15"/>
  <c r="AF433" i="15"/>
  <c r="AG433" i="15"/>
  <c r="AH433" i="15"/>
  <c r="AJ433" i="15"/>
  <c r="AK433" i="15"/>
  <c r="AL433" i="15"/>
  <c r="AO433" i="15"/>
  <c r="BH433" i="15" s="1"/>
  <c r="AD433" i="15" s="1"/>
  <c r="AP433" i="15"/>
  <c r="BI433" i="15" s="1"/>
  <c r="AE433" i="15" s="1"/>
  <c r="BD433" i="15"/>
  <c r="BF433" i="15"/>
  <c r="BJ433" i="15"/>
  <c r="K434" i="15"/>
  <c r="AK434" i="15" s="1"/>
  <c r="Z434" i="15"/>
  <c r="AB434" i="15"/>
  <c r="AC434" i="15"/>
  <c r="AF434" i="15"/>
  <c r="AG434" i="15"/>
  <c r="AH434" i="15"/>
  <c r="AJ434" i="15"/>
  <c r="AL434" i="15"/>
  <c r="AO434" i="15"/>
  <c r="BH434" i="15" s="1"/>
  <c r="AD434" i="15" s="1"/>
  <c r="AP434" i="15"/>
  <c r="J434" i="15" s="1"/>
  <c r="BD434" i="15"/>
  <c r="BF434" i="15"/>
  <c r="BJ434" i="15"/>
  <c r="K435" i="15"/>
  <c r="Z435" i="15"/>
  <c r="AB435" i="15"/>
  <c r="AC435" i="15"/>
  <c r="AF435" i="15"/>
  <c r="AG435" i="15"/>
  <c r="AH435" i="15"/>
  <c r="AJ435" i="15"/>
  <c r="AK435" i="15"/>
  <c r="AL435" i="15"/>
  <c r="AO435" i="15"/>
  <c r="AP435" i="15"/>
  <c r="BD435" i="15"/>
  <c r="BF435" i="15"/>
  <c r="BH435" i="15"/>
  <c r="AD435" i="15" s="1"/>
  <c r="BJ435" i="15"/>
  <c r="K436" i="15"/>
  <c r="Z436" i="15"/>
  <c r="AB436" i="15"/>
  <c r="AC436" i="15"/>
  <c r="AF436" i="15"/>
  <c r="AG436" i="15"/>
  <c r="AH436" i="15"/>
  <c r="AJ436" i="15"/>
  <c r="AK436" i="15"/>
  <c r="AL436" i="15"/>
  <c r="AO436" i="15"/>
  <c r="AW436" i="15" s="1"/>
  <c r="AP436" i="15"/>
  <c r="BD436" i="15"/>
  <c r="BF436" i="15"/>
  <c r="BJ436" i="15"/>
  <c r="K437" i="15"/>
  <c r="Z437" i="15"/>
  <c r="AB437" i="15"/>
  <c r="AC437" i="15"/>
  <c r="AF437" i="15"/>
  <c r="AG437" i="15"/>
  <c r="AH437" i="15"/>
  <c r="AJ437" i="15"/>
  <c r="AK437" i="15"/>
  <c r="AL437" i="15"/>
  <c r="AO437" i="15"/>
  <c r="AP437" i="15"/>
  <c r="BI437" i="15" s="1"/>
  <c r="AE437" i="15" s="1"/>
  <c r="BD437" i="15"/>
  <c r="BF437" i="15"/>
  <c r="BJ437" i="15"/>
  <c r="K438" i="15"/>
  <c r="AK438" i="15" s="1"/>
  <c r="Z438" i="15"/>
  <c r="AB438" i="15"/>
  <c r="AC438" i="15"/>
  <c r="AF438" i="15"/>
  <c r="AG438" i="15"/>
  <c r="AH438" i="15"/>
  <c r="AJ438" i="15"/>
  <c r="AL438" i="15"/>
  <c r="AO438" i="15"/>
  <c r="AP438" i="15"/>
  <c r="BD438" i="15"/>
  <c r="BF438" i="15"/>
  <c r="BH438" i="15"/>
  <c r="AD438" i="15" s="1"/>
  <c r="BJ438" i="15"/>
  <c r="K439" i="15"/>
  <c r="AK439" i="15" s="1"/>
  <c r="AB439" i="15"/>
  <c r="AC439" i="15"/>
  <c r="AD439" i="15"/>
  <c r="AE439" i="15"/>
  <c r="AF439" i="15"/>
  <c r="AG439" i="15"/>
  <c r="AH439" i="15"/>
  <c r="AJ439" i="15"/>
  <c r="AL439" i="15"/>
  <c r="AO439" i="15"/>
  <c r="AP439" i="15"/>
  <c r="BI439" i="15" s="1"/>
  <c r="BD439" i="15"/>
  <c r="BF439" i="15"/>
  <c r="BJ439" i="15"/>
  <c r="Z439" i="15" s="1"/>
  <c r="K441" i="15"/>
  <c r="Z441" i="15"/>
  <c r="AB441" i="15"/>
  <c r="AC441" i="15"/>
  <c r="AF441" i="15"/>
  <c r="AG441" i="15"/>
  <c r="AH441" i="15"/>
  <c r="AJ441" i="15"/>
  <c r="AL441" i="15"/>
  <c r="AO441" i="15"/>
  <c r="BH441" i="15" s="1"/>
  <c r="AD441" i="15" s="1"/>
  <c r="AP441" i="15"/>
  <c r="BD441" i="15"/>
  <c r="BF441" i="15"/>
  <c r="BJ441" i="15"/>
  <c r="K442" i="15"/>
  <c r="Z442" i="15"/>
  <c r="AB442" i="15"/>
  <c r="AC442" i="15"/>
  <c r="AF442" i="15"/>
  <c r="AG442" i="15"/>
  <c r="AH442" i="15"/>
  <c r="AJ442" i="15"/>
  <c r="AK442" i="15"/>
  <c r="AL442" i="15"/>
  <c r="AO442" i="15"/>
  <c r="I442" i="15" s="1"/>
  <c r="AP442" i="15"/>
  <c r="AX442" i="15" s="1"/>
  <c r="BD442" i="15"/>
  <c r="BF442" i="15"/>
  <c r="BJ442" i="15"/>
  <c r="K443" i="15"/>
  <c r="Z443" i="15"/>
  <c r="AB443" i="15"/>
  <c r="AC443" i="15"/>
  <c r="AF443" i="15"/>
  <c r="AG443" i="15"/>
  <c r="AH443" i="15"/>
  <c r="AJ443" i="15"/>
  <c r="AK443" i="15"/>
  <c r="AL443" i="15"/>
  <c r="AO443" i="15"/>
  <c r="AP443" i="15"/>
  <c r="J443" i="15" s="1"/>
  <c r="BD443" i="15"/>
  <c r="BF443" i="15"/>
  <c r="BH443" i="15"/>
  <c r="AD443" i="15" s="1"/>
  <c r="BI443" i="15"/>
  <c r="AE443" i="15" s="1"/>
  <c r="BJ443" i="15"/>
  <c r="K444" i="15"/>
  <c r="Z444" i="15"/>
  <c r="AB444" i="15"/>
  <c r="AC444" i="15"/>
  <c r="AF444" i="15"/>
  <c r="AG444" i="15"/>
  <c r="AH444" i="15"/>
  <c r="AJ444" i="15"/>
  <c r="AK444" i="15"/>
  <c r="AL444" i="15"/>
  <c r="AO444" i="15"/>
  <c r="AP444" i="15"/>
  <c r="BI444" i="15" s="1"/>
  <c r="AE444" i="15" s="1"/>
  <c r="BD444" i="15"/>
  <c r="BF444" i="15"/>
  <c r="BJ444" i="15"/>
  <c r="K445" i="15"/>
  <c r="AK445" i="15" s="1"/>
  <c r="Z445" i="15"/>
  <c r="AB445" i="15"/>
  <c r="AC445" i="15"/>
  <c r="AF445" i="15"/>
  <c r="AG445" i="15"/>
  <c r="AH445" i="15"/>
  <c r="AJ445" i="15"/>
  <c r="AL445" i="15"/>
  <c r="AO445" i="15"/>
  <c r="BH445" i="15" s="1"/>
  <c r="AD445" i="15" s="1"/>
  <c r="AP445" i="15"/>
  <c r="J445" i="15" s="1"/>
  <c r="BD445" i="15"/>
  <c r="BF445" i="15"/>
  <c r="BJ445" i="15"/>
  <c r="K446" i="15"/>
  <c r="Z446" i="15"/>
  <c r="AB446" i="15"/>
  <c r="AC446" i="15"/>
  <c r="AF446" i="15"/>
  <c r="AG446" i="15"/>
  <c r="AH446" i="15"/>
  <c r="AJ446" i="15"/>
  <c r="AK446" i="15"/>
  <c r="AL446" i="15"/>
  <c r="AO446" i="15"/>
  <c r="AP446" i="15"/>
  <c r="BD446" i="15"/>
  <c r="BF446" i="15"/>
  <c r="BJ446" i="15"/>
  <c r="K447" i="15"/>
  <c r="Z447" i="15"/>
  <c r="AB447" i="15"/>
  <c r="AC447" i="15"/>
  <c r="AF447" i="15"/>
  <c r="AG447" i="15"/>
  <c r="AH447" i="15"/>
  <c r="AJ447" i="15"/>
  <c r="AK447" i="15"/>
  <c r="AL447" i="15"/>
  <c r="AO447" i="15"/>
  <c r="AW447" i="15" s="1"/>
  <c r="AP447" i="15"/>
  <c r="BD447" i="15"/>
  <c r="BF447" i="15"/>
  <c r="BJ447" i="15"/>
  <c r="K448" i="15"/>
  <c r="Z448" i="15"/>
  <c r="AB448" i="15"/>
  <c r="AC448" i="15"/>
  <c r="AF448" i="15"/>
  <c r="AG448" i="15"/>
  <c r="AH448" i="15"/>
  <c r="AJ448" i="15"/>
  <c r="AK448" i="15"/>
  <c r="AL448" i="15"/>
  <c r="AO448" i="15"/>
  <c r="I448" i="15" s="1"/>
  <c r="AP448" i="15"/>
  <c r="BI448" i="15" s="1"/>
  <c r="AE448" i="15" s="1"/>
  <c r="BD448" i="15"/>
  <c r="BF448" i="15"/>
  <c r="BJ448" i="15"/>
  <c r="K449" i="15"/>
  <c r="AK449" i="15" s="1"/>
  <c r="Z449" i="15"/>
  <c r="AB449" i="15"/>
  <c r="AC449" i="15"/>
  <c r="AF449" i="15"/>
  <c r="AG449" i="15"/>
  <c r="AH449" i="15"/>
  <c r="AJ449" i="15"/>
  <c r="AL449" i="15"/>
  <c r="AO449" i="15"/>
  <c r="BH449" i="15" s="1"/>
  <c r="AD449" i="15" s="1"/>
  <c r="AP449" i="15"/>
  <c r="BD449" i="15"/>
  <c r="BF449" i="15"/>
  <c r="BJ449" i="15"/>
  <c r="K450" i="15"/>
  <c r="Z450" i="15"/>
  <c r="AB450" i="15"/>
  <c r="AC450" i="15"/>
  <c r="AF450" i="15"/>
  <c r="AG450" i="15"/>
  <c r="AH450" i="15"/>
  <c r="AJ450" i="15"/>
  <c r="AK450" i="15"/>
  <c r="AL450" i="15"/>
  <c r="AO450" i="15"/>
  <c r="AP450" i="15"/>
  <c r="J450" i="15" s="1"/>
  <c r="BD450" i="15"/>
  <c r="BF450" i="15"/>
  <c r="BJ450" i="15"/>
  <c r="K451" i="15"/>
  <c r="Z451" i="15"/>
  <c r="AB451" i="15"/>
  <c r="AC451" i="15"/>
  <c r="AF451" i="15"/>
  <c r="AG451" i="15"/>
  <c r="AH451" i="15"/>
  <c r="AJ451" i="15"/>
  <c r="AK451" i="15"/>
  <c r="AL451" i="15"/>
  <c r="AO451" i="15"/>
  <c r="AP451" i="15"/>
  <c r="BD451" i="15"/>
  <c r="BF451" i="15"/>
  <c r="BJ451" i="15"/>
  <c r="K452" i="15"/>
  <c r="Z452" i="15"/>
  <c r="AB452" i="15"/>
  <c r="AC452" i="15"/>
  <c r="AF452" i="15"/>
  <c r="AG452" i="15"/>
  <c r="AH452" i="15"/>
  <c r="AJ452" i="15"/>
  <c r="AK452" i="15"/>
  <c r="AL452" i="15"/>
  <c r="AO452" i="15"/>
  <c r="BH452" i="15" s="1"/>
  <c r="AD452" i="15" s="1"/>
  <c r="AP452" i="15"/>
  <c r="BD452" i="15"/>
  <c r="BF452" i="15"/>
  <c r="BJ452" i="15"/>
  <c r="K453" i="15"/>
  <c r="AK453" i="15" s="1"/>
  <c r="Z453" i="15"/>
  <c r="AB453" i="15"/>
  <c r="AC453" i="15"/>
  <c r="AF453" i="15"/>
  <c r="AG453" i="15"/>
  <c r="AH453" i="15"/>
  <c r="AJ453" i="15"/>
  <c r="AL453" i="15"/>
  <c r="AO453" i="15"/>
  <c r="AP453" i="15"/>
  <c r="BD453" i="15"/>
  <c r="BF453" i="15"/>
  <c r="BH453" i="15"/>
  <c r="AD453" i="15" s="1"/>
  <c r="BJ453" i="15"/>
  <c r="K454" i="15"/>
  <c r="Z454" i="15"/>
  <c r="AB454" i="15"/>
  <c r="AC454" i="15"/>
  <c r="AF454" i="15"/>
  <c r="AG454" i="15"/>
  <c r="AH454" i="15"/>
  <c r="AJ454" i="15"/>
  <c r="AK454" i="15"/>
  <c r="AL454" i="15"/>
  <c r="AO454" i="15"/>
  <c r="AP454" i="15"/>
  <c r="BD454" i="15"/>
  <c r="BF454" i="15"/>
  <c r="BH454" i="15"/>
  <c r="AD454" i="15" s="1"/>
  <c r="BJ454" i="15"/>
  <c r="K455" i="15"/>
  <c r="Z455" i="15"/>
  <c r="AB455" i="15"/>
  <c r="AC455" i="15"/>
  <c r="AF455" i="15"/>
  <c r="AG455" i="15"/>
  <c r="AH455" i="15"/>
  <c r="AJ455" i="15"/>
  <c r="AK455" i="15"/>
  <c r="AL455" i="15"/>
  <c r="AO455" i="15"/>
  <c r="AP455" i="15"/>
  <c r="J455" i="15" s="1"/>
  <c r="BD455" i="15"/>
  <c r="BF455" i="15"/>
  <c r="BH455" i="15"/>
  <c r="AD455" i="15" s="1"/>
  <c r="BJ455" i="15"/>
  <c r="K456" i="15"/>
  <c r="Z456" i="15"/>
  <c r="AB456" i="15"/>
  <c r="AC456" i="15"/>
  <c r="AF456" i="15"/>
  <c r="AG456" i="15"/>
  <c r="AH456" i="15"/>
  <c r="AJ456" i="15"/>
  <c r="AK456" i="15"/>
  <c r="AL456" i="15"/>
  <c r="AO456" i="15"/>
  <c r="BH456" i="15" s="1"/>
  <c r="AD456" i="15" s="1"/>
  <c r="AP456" i="15"/>
  <c r="BI456" i="15" s="1"/>
  <c r="AE456" i="15" s="1"/>
  <c r="BD456" i="15"/>
  <c r="BF456" i="15"/>
  <c r="BJ456" i="15"/>
  <c r="K457" i="15"/>
  <c r="AK457" i="15" s="1"/>
  <c r="Z457" i="15"/>
  <c r="AB457" i="15"/>
  <c r="AC457" i="15"/>
  <c r="AF457" i="15"/>
  <c r="AG457" i="15"/>
  <c r="AH457" i="15"/>
  <c r="AJ457" i="15"/>
  <c r="AL457" i="15"/>
  <c r="AO457" i="15"/>
  <c r="BH457" i="15" s="1"/>
  <c r="AD457" i="15" s="1"/>
  <c r="AP457" i="15"/>
  <c r="BI457" i="15" s="1"/>
  <c r="AE457" i="15" s="1"/>
  <c r="BD457" i="15"/>
  <c r="BF457" i="15"/>
  <c r="BJ457" i="15"/>
  <c r="K458" i="15"/>
  <c r="Z458" i="15"/>
  <c r="AB458" i="15"/>
  <c r="AC458" i="15"/>
  <c r="AF458" i="15"/>
  <c r="AG458" i="15"/>
  <c r="AH458" i="15"/>
  <c r="AJ458" i="15"/>
  <c r="AK458" i="15"/>
  <c r="AL458" i="15"/>
  <c r="AO458" i="15"/>
  <c r="AP458" i="15"/>
  <c r="BD458" i="15"/>
  <c r="BF458" i="15"/>
  <c r="BH458" i="15"/>
  <c r="AD458" i="15" s="1"/>
  <c r="BJ458" i="15"/>
  <c r="K459" i="15"/>
  <c r="Z459" i="15"/>
  <c r="AB459" i="15"/>
  <c r="AC459" i="15"/>
  <c r="AF459" i="15"/>
  <c r="AG459" i="15"/>
  <c r="AH459" i="15"/>
  <c r="AJ459" i="15"/>
  <c r="AK459" i="15"/>
  <c r="AL459" i="15"/>
  <c r="AO459" i="15"/>
  <c r="AP459" i="15"/>
  <c r="J459" i="15" s="1"/>
  <c r="BD459" i="15"/>
  <c r="BF459" i="15"/>
  <c r="BJ459" i="15"/>
  <c r="K460" i="15"/>
  <c r="AK460" i="15" s="1"/>
  <c r="AB460" i="15"/>
  <c r="AC460" i="15"/>
  <c r="AD460" i="15"/>
  <c r="AE460" i="15"/>
  <c r="AF460" i="15"/>
  <c r="AG460" i="15"/>
  <c r="AH460" i="15"/>
  <c r="AJ460" i="15"/>
  <c r="AL460" i="15"/>
  <c r="AO460" i="15"/>
  <c r="AP460" i="15"/>
  <c r="BI460" i="15" s="1"/>
  <c r="BD460" i="15"/>
  <c r="BF460" i="15"/>
  <c r="BJ460" i="15"/>
  <c r="Z460" i="15" s="1"/>
  <c r="K462" i="15"/>
  <c r="AK462" i="15" s="1"/>
  <c r="Z462" i="15"/>
  <c r="AB462" i="15"/>
  <c r="AC462" i="15"/>
  <c r="AF462" i="15"/>
  <c r="AG462" i="15"/>
  <c r="AH462" i="15"/>
  <c r="AJ462" i="15"/>
  <c r="AL462" i="15"/>
  <c r="AO462" i="15"/>
  <c r="AP462" i="15"/>
  <c r="J462" i="15" s="1"/>
  <c r="BD462" i="15"/>
  <c r="BF462" i="15"/>
  <c r="BH462" i="15"/>
  <c r="AD462" i="15" s="1"/>
  <c r="BJ462" i="15"/>
  <c r="K463" i="15"/>
  <c r="Z463" i="15"/>
  <c r="AB463" i="15"/>
  <c r="AC463" i="15"/>
  <c r="AF463" i="15"/>
  <c r="AG463" i="15"/>
  <c r="AH463" i="15"/>
  <c r="AJ463" i="15"/>
  <c r="AK463" i="15"/>
  <c r="AL463" i="15"/>
  <c r="AO463" i="15"/>
  <c r="AP463" i="15"/>
  <c r="BD463" i="15"/>
  <c r="BF463" i="15"/>
  <c r="BH463" i="15"/>
  <c r="AD463" i="15" s="1"/>
  <c r="BJ463" i="15"/>
  <c r="K464" i="15"/>
  <c r="AK464" i="15" s="1"/>
  <c r="Z464" i="15"/>
  <c r="AB464" i="15"/>
  <c r="AC464" i="15"/>
  <c r="AF464" i="15"/>
  <c r="AG464" i="15"/>
  <c r="AH464" i="15"/>
  <c r="AJ464" i="15"/>
  <c r="AL464" i="15"/>
  <c r="AO464" i="15"/>
  <c r="AP464" i="15"/>
  <c r="BD464" i="15"/>
  <c r="BF464" i="15"/>
  <c r="BH464" i="15"/>
  <c r="AD464" i="15" s="1"/>
  <c r="BJ464" i="15"/>
  <c r="K465" i="15"/>
  <c r="Z465" i="15"/>
  <c r="AB465" i="15"/>
  <c r="AC465" i="15"/>
  <c r="AF465" i="15"/>
  <c r="AG465" i="15"/>
  <c r="AH465" i="15"/>
  <c r="AJ465" i="15"/>
  <c r="AK465" i="15"/>
  <c r="AL465" i="15"/>
  <c r="AO465" i="15"/>
  <c r="AW465" i="15" s="1"/>
  <c r="AP465" i="15"/>
  <c r="AX465" i="15" s="1"/>
  <c r="BD465" i="15"/>
  <c r="BF465" i="15"/>
  <c r="BJ465" i="15"/>
  <c r="K466" i="15"/>
  <c r="Z466" i="15"/>
  <c r="AB466" i="15"/>
  <c r="AC466" i="15"/>
  <c r="AF466" i="15"/>
  <c r="AG466" i="15"/>
  <c r="AH466" i="15"/>
  <c r="AJ466" i="15"/>
  <c r="AK466" i="15"/>
  <c r="AL466" i="15"/>
  <c r="AO466" i="15"/>
  <c r="AP466" i="15"/>
  <c r="J466" i="15" s="1"/>
  <c r="BD466" i="15"/>
  <c r="BF466" i="15"/>
  <c r="BH466" i="15"/>
  <c r="AD466" i="15" s="1"/>
  <c r="BI466" i="15"/>
  <c r="AE466" i="15" s="1"/>
  <c r="BJ466" i="15"/>
  <c r="K467" i="15"/>
  <c r="Z467" i="15"/>
  <c r="AB467" i="15"/>
  <c r="AC467" i="15"/>
  <c r="AF467" i="15"/>
  <c r="AG467" i="15"/>
  <c r="AH467" i="15"/>
  <c r="AJ467" i="15"/>
  <c r="AK467" i="15"/>
  <c r="AL467" i="15"/>
  <c r="AO467" i="15"/>
  <c r="AP467" i="15"/>
  <c r="BD467" i="15"/>
  <c r="BF467" i="15"/>
  <c r="BJ467" i="15"/>
  <c r="K468" i="15"/>
  <c r="AK468" i="15" s="1"/>
  <c r="Z468" i="15"/>
  <c r="AB468" i="15"/>
  <c r="AC468" i="15"/>
  <c r="AF468" i="15"/>
  <c r="AG468" i="15"/>
  <c r="AH468" i="15"/>
  <c r="AJ468" i="15"/>
  <c r="AL468" i="15"/>
  <c r="AO468" i="15"/>
  <c r="BH468" i="15" s="1"/>
  <c r="AD468" i="15" s="1"/>
  <c r="AP468" i="15"/>
  <c r="BI468" i="15" s="1"/>
  <c r="AE468" i="15" s="1"/>
  <c r="BD468" i="15"/>
  <c r="BF468" i="15"/>
  <c r="BJ468" i="15"/>
  <c r="K469" i="15"/>
  <c r="Z469" i="15"/>
  <c r="AB469" i="15"/>
  <c r="AC469" i="15"/>
  <c r="AF469" i="15"/>
  <c r="AG469" i="15"/>
  <c r="AH469" i="15"/>
  <c r="AJ469" i="15"/>
  <c r="AK469" i="15"/>
  <c r="AL469" i="15"/>
  <c r="AO469" i="15"/>
  <c r="AW469" i="15" s="1"/>
  <c r="AP469" i="15"/>
  <c r="BD469" i="15"/>
  <c r="BF469" i="15"/>
  <c r="BJ469" i="15"/>
  <c r="K470" i="15"/>
  <c r="AK470" i="15" s="1"/>
  <c r="AB470" i="15"/>
  <c r="AC470" i="15"/>
  <c r="AD470" i="15"/>
  <c r="AE470" i="15"/>
  <c r="AF470" i="15"/>
  <c r="AG470" i="15"/>
  <c r="AH470" i="15"/>
  <c r="AJ470" i="15"/>
  <c r="AL470" i="15"/>
  <c r="AO470" i="15"/>
  <c r="AW470" i="15" s="1"/>
  <c r="AP470" i="15"/>
  <c r="J470" i="15" s="1"/>
  <c r="BD470" i="15"/>
  <c r="BF470" i="15"/>
  <c r="BJ470" i="15"/>
  <c r="Z470" i="15" s="1"/>
  <c r="K472" i="15"/>
  <c r="Z472" i="15"/>
  <c r="AB472" i="15"/>
  <c r="AC472" i="15"/>
  <c r="AF472" i="15"/>
  <c r="AG472" i="15"/>
  <c r="AH472" i="15"/>
  <c r="AJ472" i="15"/>
  <c r="AK472" i="15"/>
  <c r="AL472" i="15"/>
  <c r="AO472" i="15"/>
  <c r="AP472" i="15"/>
  <c r="BD472" i="15"/>
  <c r="BF472" i="15"/>
  <c r="BH472" i="15"/>
  <c r="AD472" i="15" s="1"/>
  <c r="BJ472" i="15"/>
  <c r="K473" i="15"/>
  <c r="Z473" i="15"/>
  <c r="AB473" i="15"/>
  <c r="AC473" i="15"/>
  <c r="AF473" i="15"/>
  <c r="AG473" i="15"/>
  <c r="AH473" i="15"/>
  <c r="AJ473" i="15"/>
  <c r="AK473" i="15"/>
  <c r="AL473" i="15"/>
  <c r="AO473" i="15"/>
  <c r="AW473" i="15" s="1"/>
  <c r="AP473" i="15"/>
  <c r="BD473" i="15"/>
  <c r="BF473" i="15"/>
  <c r="BJ473" i="15"/>
  <c r="K474" i="15"/>
  <c r="AK474" i="15" s="1"/>
  <c r="Z474" i="15"/>
  <c r="AB474" i="15"/>
  <c r="AC474" i="15"/>
  <c r="AF474" i="15"/>
  <c r="AG474" i="15"/>
  <c r="AH474" i="15"/>
  <c r="AJ474" i="15"/>
  <c r="AL474" i="15"/>
  <c r="AO474" i="15"/>
  <c r="AP474" i="15"/>
  <c r="BD474" i="15"/>
  <c r="BF474" i="15"/>
  <c r="BH474" i="15"/>
  <c r="AD474" i="15" s="1"/>
  <c r="BJ474" i="15"/>
  <c r="K475" i="15"/>
  <c r="AK475" i="15" s="1"/>
  <c r="Z475" i="15"/>
  <c r="AB475" i="15"/>
  <c r="AC475" i="15"/>
  <c r="AF475" i="15"/>
  <c r="AG475" i="15"/>
  <c r="AH475" i="15"/>
  <c r="AJ475" i="15"/>
  <c r="AL475" i="15"/>
  <c r="AO475" i="15"/>
  <c r="AP475" i="15"/>
  <c r="BD475" i="15"/>
  <c r="BF475" i="15"/>
  <c r="BH475" i="15"/>
  <c r="AD475" i="15" s="1"/>
  <c r="BJ475" i="15"/>
  <c r="K476" i="15"/>
  <c r="Z476" i="15"/>
  <c r="AB476" i="15"/>
  <c r="AC476" i="15"/>
  <c r="AF476" i="15"/>
  <c r="AG476" i="15"/>
  <c r="AH476" i="15"/>
  <c r="AJ476" i="15"/>
  <c r="AK476" i="15"/>
  <c r="AL476" i="15"/>
  <c r="AO476" i="15"/>
  <c r="AP476" i="15"/>
  <c r="AX476" i="15" s="1"/>
  <c r="BD476" i="15"/>
  <c r="BF476" i="15"/>
  <c r="BH476" i="15"/>
  <c r="AD476" i="15" s="1"/>
  <c r="BJ476" i="15"/>
  <c r="I477" i="15"/>
  <c r="K477" i="15"/>
  <c r="Z477" i="15"/>
  <c r="AB477" i="15"/>
  <c r="AC477" i="15"/>
  <c r="AF477" i="15"/>
  <c r="AG477" i="15"/>
  <c r="AH477" i="15"/>
  <c r="AJ477" i="15"/>
  <c r="AK477" i="15"/>
  <c r="AL477" i="15"/>
  <c r="AO477" i="15"/>
  <c r="AW477" i="15" s="1"/>
  <c r="AP477" i="15"/>
  <c r="J477" i="15" s="1"/>
  <c r="BD477" i="15"/>
  <c r="BF477" i="15"/>
  <c r="BJ477" i="15"/>
  <c r="K478" i="15"/>
  <c r="Z478" i="15"/>
  <c r="AB478" i="15"/>
  <c r="AC478" i="15"/>
  <c r="AF478" i="15"/>
  <c r="AG478" i="15"/>
  <c r="AH478" i="15"/>
  <c r="AJ478" i="15"/>
  <c r="AK478" i="15"/>
  <c r="AL478" i="15"/>
  <c r="AO478" i="15"/>
  <c r="AP478" i="15"/>
  <c r="BD478" i="15"/>
  <c r="BF478" i="15"/>
  <c r="BH478" i="15"/>
  <c r="AD478" i="15" s="1"/>
  <c r="BJ478" i="15"/>
  <c r="K479" i="15"/>
  <c r="AK479" i="15" s="1"/>
  <c r="Z479" i="15"/>
  <c r="AB479" i="15"/>
  <c r="AC479" i="15"/>
  <c r="AF479" i="15"/>
  <c r="AG479" i="15"/>
  <c r="AH479" i="15"/>
  <c r="AJ479" i="15"/>
  <c r="AL479" i="15"/>
  <c r="AO479" i="15"/>
  <c r="BH479" i="15" s="1"/>
  <c r="AD479" i="15" s="1"/>
  <c r="AP479" i="15"/>
  <c r="BD479" i="15"/>
  <c r="BF479" i="15"/>
  <c r="BJ479" i="15"/>
  <c r="K480" i="15"/>
  <c r="Z480" i="15"/>
  <c r="AB480" i="15"/>
  <c r="AC480" i="15"/>
  <c r="AF480" i="15"/>
  <c r="AG480" i="15"/>
  <c r="AH480" i="15"/>
  <c r="AJ480" i="15"/>
  <c r="AK480" i="15"/>
  <c r="AL480" i="15"/>
  <c r="AO480" i="15"/>
  <c r="AW480" i="15" s="1"/>
  <c r="AP480" i="15"/>
  <c r="BD480" i="15"/>
  <c r="BF480" i="15"/>
  <c r="BJ480" i="15"/>
  <c r="K481" i="15"/>
  <c r="Z481" i="15"/>
  <c r="AB481" i="15"/>
  <c r="AC481" i="15"/>
  <c r="AF481" i="15"/>
  <c r="AG481" i="15"/>
  <c r="AH481" i="15"/>
  <c r="AJ481" i="15"/>
  <c r="AK481" i="15"/>
  <c r="AL481" i="15"/>
  <c r="AO481" i="15"/>
  <c r="BH481" i="15" s="1"/>
  <c r="AD481" i="15" s="1"/>
  <c r="AP481" i="15"/>
  <c r="BD481" i="15"/>
  <c r="BF481" i="15"/>
  <c r="BJ481" i="15"/>
  <c r="K482" i="15"/>
  <c r="AK482" i="15" s="1"/>
  <c r="Z482" i="15"/>
  <c r="AB482" i="15"/>
  <c r="AC482" i="15"/>
  <c r="AF482" i="15"/>
  <c r="AG482" i="15"/>
  <c r="AH482" i="15"/>
  <c r="AJ482" i="15"/>
  <c r="AL482" i="15"/>
  <c r="AO482" i="15"/>
  <c r="AP482" i="15"/>
  <c r="BD482" i="15"/>
  <c r="BF482" i="15"/>
  <c r="BH482" i="15"/>
  <c r="AD482" i="15" s="1"/>
  <c r="BJ482" i="15"/>
  <c r="K483" i="15"/>
  <c r="AK483" i="15" s="1"/>
  <c r="Z483" i="15"/>
  <c r="AB483" i="15"/>
  <c r="AC483" i="15"/>
  <c r="AF483" i="15"/>
  <c r="AG483" i="15"/>
  <c r="AH483" i="15"/>
  <c r="AJ483" i="15"/>
  <c r="AL483" i="15"/>
  <c r="AO483" i="15"/>
  <c r="AP483" i="15"/>
  <c r="BI483" i="15" s="1"/>
  <c r="AE483" i="15" s="1"/>
  <c r="BD483" i="15"/>
  <c r="BF483" i="15"/>
  <c r="BJ483" i="15"/>
  <c r="K484" i="15"/>
  <c r="AK484" i="15" s="1"/>
  <c r="AB484" i="15"/>
  <c r="AC484" i="15"/>
  <c r="AD484" i="15"/>
  <c r="AE484" i="15"/>
  <c r="AF484" i="15"/>
  <c r="AG484" i="15"/>
  <c r="AH484" i="15"/>
  <c r="AJ484" i="15"/>
  <c r="AL484" i="15"/>
  <c r="AO484" i="15"/>
  <c r="BH484" i="15" s="1"/>
  <c r="AP484" i="15"/>
  <c r="BD484" i="15"/>
  <c r="BF484" i="15"/>
  <c r="BJ484" i="15"/>
  <c r="Z484" i="15" s="1"/>
  <c r="K486" i="15"/>
  <c r="Z486" i="15"/>
  <c r="AB486" i="15"/>
  <c r="AC486" i="15"/>
  <c r="AF486" i="15"/>
  <c r="AG486" i="15"/>
  <c r="AH486" i="15"/>
  <c r="AJ486" i="15"/>
  <c r="AL486" i="15"/>
  <c r="AO486" i="15"/>
  <c r="I486" i="15" s="1"/>
  <c r="AP486" i="15"/>
  <c r="BD486" i="15"/>
  <c r="BF486" i="15"/>
  <c r="BH486" i="15"/>
  <c r="AD486" i="15" s="1"/>
  <c r="BJ486" i="15"/>
  <c r="K487" i="15"/>
  <c r="Z487" i="15"/>
  <c r="AB487" i="15"/>
  <c r="AC487" i="15"/>
  <c r="AF487" i="15"/>
  <c r="AG487" i="15"/>
  <c r="AH487" i="15"/>
  <c r="AJ487" i="15"/>
  <c r="AK487" i="15"/>
  <c r="AL487" i="15"/>
  <c r="AO487" i="15"/>
  <c r="BH487" i="15" s="1"/>
  <c r="AD487" i="15" s="1"/>
  <c r="AP487" i="15"/>
  <c r="BD487" i="15"/>
  <c r="BF487" i="15"/>
  <c r="BJ487" i="15"/>
  <c r="K488" i="15"/>
  <c r="Z488" i="15"/>
  <c r="AB488" i="15"/>
  <c r="AC488" i="15"/>
  <c r="AF488" i="15"/>
  <c r="AG488" i="15"/>
  <c r="AH488" i="15"/>
  <c r="AJ488" i="15"/>
  <c r="AK488" i="15"/>
  <c r="AL488" i="15"/>
  <c r="AO488" i="15"/>
  <c r="AP488" i="15"/>
  <c r="BI488" i="15" s="1"/>
  <c r="AE488" i="15" s="1"/>
  <c r="BD488" i="15"/>
  <c r="BF488" i="15"/>
  <c r="BJ488" i="15"/>
  <c r="K489" i="15"/>
  <c r="AK489" i="15" s="1"/>
  <c r="Z489" i="15"/>
  <c r="AB489" i="15"/>
  <c r="AC489" i="15"/>
  <c r="AF489" i="15"/>
  <c r="AG489" i="15"/>
  <c r="AH489" i="15"/>
  <c r="AJ489" i="15"/>
  <c r="AL489" i="15"/>
  <c r="AO489" i="15"/>
  <c r="AP489" i="15"/>
  <c r="BD489" i="15"/>
  <c r="BF489" i="15"/>
  <c r="BH489" i="15"/>
  <c r="AD489" i="15" s="1"/>
  <c r="BJ489" i="15"/>
  <c r="K490" i="15"/>
  <c r="AK490" i="15" s="1"/>
  <c r="Z490" i="15"/>
  <c r="AB490" i="15"/>
  <c r="AC490" i="15"/>
  <c r="AF490" i="15"/>
  <c r="AG490" i="15"/>
  <c r="AH490" i="15"/>
  <c r="AJ490" i="15"/>
  <c r="AL490" i="15"/>
  <c r="AO490" i="15"/>
  <c r="I490" i="15" s="1"/>
  <c r="AP490" i="15"/>
  <c r="BD490" i="15"/>
  <c r="BF490" i="15"/>
  <c r="BH490" i="15"/>
  <c r="AD490" i="15" s="1"/>
  <c r="BJ490" i="15"/>
  <c r="K491" i="15"/>
  <c r="Z491" i="15"/>
  <c r="AB491" i="15"/>
  <c r="AC491" i="15"/>
  <c r="AF491" i="15"/>
  <c r="AG491" i="15"/>
  <c r="AH491" i="15"/>
  <c r="AJ491" i="15"/>
  <c r="AK491" i="15"/>
  <c r="AL491" i="15"/>
  <c r="AO491" i="15"/>
  <c r="BH491" i="15" s="1"/>
  <c r="AD491" i="15" s="1"/>
  <c r="AP491" i="15"/>
  <c r="BD491" i="15"/>
  <c r="BF491" i="15"/>
  <c r="BJ491" i="15"/>
  <c r="K492" i="15"/>
  <c r="AK492" i="15" s="1"/>
  <c r="AB492" i="15"/>
  <c r="AC492" i="15"/>
  <c r="AD492" i="15"/>
  <c r="AE492" i="15"/>
  <c r="AF492" i="15"/>
  <c r="AG492" i="15"/>
  <c r="AH492" i="15"/>
  <c r="AJ492" i="15"/>
  <c r="AL492" i="15"/>
  <c r="AO492" i="15"/>
  <c r="BH492" i="15" s="1"/>
  <c r="AP492" i="15"/>
  <c r="BD492" i="15"/>
  <c r="BF492" i="15"/>
  <c r="BJ492" i="15"/>
  <c r="Z492" i="15" s="1"/>
  <c r="K494" i="15"/>
  <c r="AK494" i="15" s="1"/>
  <c r="Z494" i="15"/>
  <c r="AB494" i="15"/>
  <c r="AC494" i="15"/>
  <c r="AF494" i="15"/>
  <c r="AG494" i="15"/>
  <c r="AH494" i="15"/>
  <c r="AJ494" i="15"/>
  <c r="AL494" i="15"/>
  <c r="AO494" i="15"/>
  <c r="AW494" i="15" s="1"/>
  <c r="AP494" i="15"/>
  <c r="BD494" i="15"/>
  <c r="BF494" i="15"/>
  <c r="BH494" i="15"/>
  <c r="AD494" i="15" s="1"/>
  <c r="BJ494" i="15"/>
  <c r="K495" i="15"/>
  <c r="Z495" i="15"/>
  <c r="AB495" i="15"/>
  <c r="AC495" i="15"/>
  <c r="AF495" i="15"/>
  <c r="AG495" i="15"/>
  <c r="AH495" i="15"/>
  <c r="AJ495" i="15"/>
  <c r="AK495" i="15"/>
  <c r="AL495" i="15"/>
  <c r="AO495" i="15"/>
  <c r="AW495" i="15" s="1"/>
  <c r="AP495" i="15"/>
  <c r="BD495" i="15"/>
  <c r="BF495" i="15"/>
  <c r="BH495" i="15"/>
  <c r="AD495" i="15" s="1"/>
  <c r="BJ495" i="15"/>
  <c r="K496" i="15"/>
  <c r="AK496" i="15" s="1"/>
  <c r="Z496" i="15"/>
  <c r="AB496" i="15"/>
  <c r="AC496" i="15"/>
  <c r="AF496" i="15"/>
  <c r="AG496" i="15"/>
  <c r="AH496" i="15"/>
  <c r="AJ496" i="15"/>
  <c r="AL496" i="15"/>
  <c r="AO496" i="15"/>
  <c r="AP496" i="15"/>
  <c r="BD496" i="15"/>
  <c r="BF496" i="15"/>
  <c r="BH496" i="15"/>
  <c r="AD496" i="15" s="1"/>
  <c r="BJ496" i="15"/>
  <c r="K497" i="15"/>
  <c r="AK497" i="15" s="1"/>
  <c r="Z497" i="15"/>
  <c r="AB497" i="15"/>
  <c r="AC497" i="15"/>
  <c r="AF497" i="15"/>
  <c r="AG497" i="15"/>
  <c r="AH497" i="15"/>
  <c r="AJ497" i="15"/>
  <c r="AL497" i="15"/>
  <c r="AO497" i="15"/>
  <c r="I497" i="15" s="1"/>
  <c r="AP497" i="15"/>
  <c r="BD497" i="15"/>
  <c r="BF497" i="15"/>
  <c r="BJ497" i="15"/>
  <c r="K498" i="15"/>
  <c r="Z498" i="15"/>
  <c r="AB498" i="15"/>
  <c r="AC498" i="15"/>
  <c r="AF498" i="15"/>
  <c r="AG498" i="15"/>
  <c r="AH498" i="15"/>
  <c r="AJ498" i="15"/>
  <c r="AK498" i="15"/>
  <c r="AL498" i="15"/>
  <c r="AO498" i="15"/>
  <c r="BH498" i="15" s="1"/>
  <c r="AD498" i="15" s="1"/>
  <c r="AP498" i="15"/>
  <c r="AX498" i="15" s="1"/>
  <c r="BD498" i="15"/>
  <c r="BF498" i="15"/>
  <c r="BJ498" i="15"/>
  <c r="K500" i="15"/>
  <c r="Z500" i="15"/>
  <c r="AB500" i="15"/>
  <c r="AC500" i="15"/>
  <c r="AD500" i="15"/>
  <c r="AE500" i="15"/>
  <c r="AH500" i="15"/>
  <c r="AJ500" i="15"/>
  <c r="AL500" i="15"/>
  <c r="AO500" i="15"/>
  <c r="AP500" i="15"/>
  <c r="J500" i="15" s="1"/>
  <c r="BD500" i="15"/>
  <c r="BF500" i="15"/>
  <c r="BJ500" i="15"/>
  <c r="K501" i="15"/>
  <c r="AK501" i="15" s="1"/>
  <c r="Z501" i="15"/>
  <c r="AB501" i="15"/>
  <c r="AC501" i="15"/>
  <c r="AD501" i="15"/>
  <c r="AE501" i="15"/>
  <c r="AH501" i="15"/>
  <c r="AJ501" i="15"/>
  <c r="AL501" i="15"/>
  <c r="AO501" i="15"/>
  <c r="AP501" i="15"/>
  <c r="BD501" i="15"/>
  <c r="BF501" i="15"/>
  <c r="BH501" i="15"/>
  <c r="AF501" i="15" s="1"/>
  <c r="BJ501" i="15"/>
  <c r="K502" i="15"/>
  <c r="Z502" i="15"/>
  <c r="AB502" i="15"/>
  <c r="AC502" i="15"/>
  <c r="AD502" i="15"/>
  <c r="AE502" i="15"/>
  <c r="AH502" i="15"/>
  <c r="AJ502" i="15"/>
  <c r="AK502" i="15"/>
  <c r="AL502" i="15"/>
  <c r="AO502" i="15"/>
  <c r="AW502" i="15" s="1"/>
  <c r="AP502" i="15"/>
  <c r="J502" i="15" s="1"/>
  <c r="BD502" i="15"/>
  <c r="BF502" i="15"/>
  <c r="BJ502" i="15"/>
  <c r="K503" i="15"/>
  <c r="AK503" i="15" s="1"/>
  <c r="Z503" i="15"/>
  <c r="AB503" i="15"/>
  <c r="AC503" i="15"/>
  <c r="AD503" i="15"/>
  <c r="AE503" i="15"/>
  <c r="AH503" i="15"/>
  <c r="AJ503" i="15"/>
  <c r="AL503" i="15"/>
  <c r="AO503" i="15"/>
  <c r="AP503" i="15"/>
  <c r="BD503" i="15"/>
  <c r="BF503" i="15"/>
  <c r="BH503" i="15"/>
  <c r="AF503" i="15" s="1"/>
  <c r="BJ503" i="15"/>
  <c r="K504" i="15"/>
  <c r="AK504" i="15" s="1"/>
  <c r="Z504" i="15"/>
  <c r="AD504" i="15"/>
  <c r="AE504" i="15"/>
  <c r="AF504" i="15"/>
  <c r="AG504" i="15"/>
  <c r="AH504" i="15"/>
  <c r="AJ504" i="15"/>
  <c r="AL504" i="15"/>
  <c r="AO504" i="15"/>
  <c r="AP504" i="15"/>
  <c r="BI504" i="15" s="1"/>
  <c r="AC504" i="15" s="1"/>
  <c r="BD504" i="15"/>
  <c r="BF504" i="15"/>
  <c r="BJ504" i="15"/>
  <c r="K505" i="15"/>
  <c r="AK505" i="15" s="1"/>
  <c r="Z505" i="15"/>
  <c r="AD505" i="15"/>
  <c r="AE505" i="15"/>
  <c r="AF505" i="15"/>
  <c r="AG505" i="15"/>
  <c r="AH505" i="15"/>
  <c r="AJ505" i="15"/>
  <c r="AL505" i="15"/>
  <c r="AO505" i="15"/>
  <c r="AP505" i="15"/>
  <c r="AX505" i="15" s="1"/>
  <c r="BD505" i="15"/>
  <c r="BF505" i="15"/>
  <c r="BJ505" i="15"/>
  <c r="K506" i="15"/>
  <c r="Z506" i="15"/>
  <c r="AD506" i="15"/>
  <c r="AE506" i="15"/>
  <c r="AF506" i="15"/>
  <c r="AG506" i="15"/>
  <c r="AH506" i="15"/>
  <c r="AJ506" i="15"/>
  <c r="AK506" i="15"/>
  <c r="AL506" i="15"/>
  <c r="AO506" i="15"/>
  <c r="AP506" i="15"/>
  <c r="BI506" i="15" s="1"/>
  <c r="AC506" i="15" s="1"/>
  <c r="BD506" i="15"/>
  <c r="BF506" i="15"/>
  <c r="BJ506" i="15"/>
  <c r="K507" i="15"/>
  <c r="AK507" i="15" s="1"/>
  <c r="Z507" i="15"/>
  <c r="AD507" i="15"/>
  <c r="AE507" i="15"/>
  <c r="AF507" i="15"/>
  <c r="AG507" i="15"/>
  <c r="AH507" i="15"/>
  <c r="AJ507" i="15"/>
  <c r="AL507" i="15"/>
  <c r="AO507" i="15"/>
  <c r="AP507" i="15"/>
  <c r="J507" i="15" s="1"/>
  <c r="BD507" i="15"/>
  <c r="BF507" i="15"/>
  <c r="BH507" i="15"/>
  <c r="AB507" i="15" s="1"/>
  <c r="BJ507" i="15"/>
  <c r="K508" i="15"/>
  <c r="AK508" i="15" s="1"/>
  <c r="Z508" i="15"/>
  <c r="AD508" i="15"/>
  <c r="AE508" i="15"/>
  <c r="AF508" i="15"/>
  <c r="AG508" i="15"/>
  <c r="AH508" i="15"/>
  <c r="AJ508" i="15"/>
  <c r="AL508" i="15"/>
  <c r="AO508" i="15"/>
  <c r="AP508" i="15"/>
  <c r="BI508" i="15" s="1"/>
  <c r="AC508" i="15" s="1"/>
  <c r="BD508" i="15"/>
  <c r="BF508" i="15"/>
  <c r="BJ508" i="15"/>
  <c r="K509" i="15"/>
  <c r="Z509" i="15"/>
  <c r="AD509" i="15"/>
  <c r="AE509" i="15"/>
  <c r="AF509" i="15"/>
  <c r="AG509" i="15"/>
  <c r="AH509" i="15"/>
  <c r="AJ509" i="15"/>
  <c r="AK509" i="15"/>
  <c r="AL509" i="15"/>
  <c r="AO509" i="15"/>
  <c r="AP509" i="15"/>
  <c r="BI509" i="15" s="1"/>
  <c r="AC509" i="15" s="1"/>
  <c r="BD509" i="15"/>
  <c r="BF509" i="15"/>
  <c r="BJ509" i="15"/>
  <c r="K510" i="15"/>
  <c r="Z510" i="15"/>
  <c r="AD510" i="15"/>
  <c r="AE510" i="15"/>
  <c r="AF510" i="15"/>
  <c r="AG510" i="15"/>
  <c r="AH510" i="15"/>
  <c r="AJ510" i="15"/>
  <c r="AK510" i="15"/>
  <c r="AL510" i="15"/>
  <c r="AO510" i="15"/>
  <c r="BH510" i="15" s="1"/>
  <c r="AB510" i="15" s="1"/>
  <c r="AP510" i="15"/>
  <c r="BD510" i="15"/>
  <c r="BF510" i="15"/>
  <c r="BJ510" i="15"/>
  <c r="K511" i="15"/>
  <c r="AK511" i="15" s="1"/>
  <c r="Z511" i="15"/>
  <c r="AD511" i="15"/>
  <c r="AE511" i="15"/>
  <c r="AF511" i="15"/>
  <c r="AG511" i="15"/>
  <c r="AH511" i="15"/>
  <c r="AJ511" i="15"/>
  <c r="AL511" i="15"/>
  <c r="AO511" i="15"/>
  <c r="BH511" i="15" s="1"/>
  <c r="AB511" i="15" s="1"/>
  <c r="AP511" i="15"/>
  <c r="J511" i="15" s="1"/>
  <c r="BD511" i="15"/>
  <c r="BF511" i="15"/>
  <c r="BJ511" i="15"/>
  <c r="K512" i="15"/>
  <c r="AK512" i="15" s="1"/>
  <c r="Z512" i="15"/>
  <c r="AD512" i="15"/>
  <c r="AE512" i="15"/>
  <c r="AF512" i="15"/>
  <c r="AG512" i="15"/>
  <c r="AH512" i="15"/>
  <c r="AJ512" i="15"/>
  <c r="AL512" i="15"/>
  <c r="AO512" i="15"/>
  <c r="I512" i="15" s="1"/>
  <c r="AP512" i="15"/>
  <c r="J512" i="15" s="1"/>
  <c r="BD512" i="15"/>
  <c r="BF512" i="15"/>
  <c r="BJ512" i="15"/>
  <c r="K513" i="15"/>
  <c r="AK513" i="15" s="1"/>
  <c r="Z513" i="15"/>
  <c r="AD513" i="15"/>
  <c r="AE513" i="15"/>
  <c r="AF513" i="15"/>
  <c r="AG513" i="15"/>
  <c r="AH513" i="15"/>
  <c r="AJ513" i="15"/>
  <c r="AL513" i="15"/>
  <c r="AO513" i="15"/>
  <c r="BH513" i="15" s="1"/>
  <c r="AB513" i="15" s="1"/>
  <c r="AP513" i="15"/>
  <c r="J513" i="15" s="1"/>
  <c r="BD513" i="15"/>
  <c r="BF513" i="15"/>
  <c r="BJ513" i="15"/>
  <c r="K514" i="15"/>
  <c r="AK514" i="15" s="1"/>
  <c r="Z514" i="15"/>
  <c r="AD514" i="15"/>
  <c r="AE514" i="15"/>
  <c r="AF514" i="15"/>
  <c r="AG514" i="15"/>
  <c r="AH514" i="15"/>
  <c r="AJ514" i="15"/>
  <c r="AL514" i="15"/>
  <c r="AO514" i="15"/>
  <c r="AP514" i="15"/>
  <c r="BD514" i="15"/>
  <c r="BF514" i="15"/>
  <c r="BH514" i="15"/>
  <c r="AB514" i="15" s="1"/>
  <c r="BJ514" i="15"/>
  <c r="K515" i="15"/>
  <c r="AK515" i="15" s="1"/>
  <c r="Z515" i="15"/>
  <c r="AD515" i="15"/>
  <c r="AE515" i="15"/>
  <c r="AF515" i="15"/>
  <c r="AG515" i="15"/>
  <c r="AH515" i="15"/>
  <c r="AJ515" i="15"/>
  <c r="AL515" i="15"/>
  <c r="AO515" i="15"/>
  <c r="AW515" i="15" s="1"/>
  <c r="AP515" i="15"/>
  <c r="J515" i="15" s="1"/>
  <c r="BD515" i="15"/>
  <c r="BF515" i="15"/>
  <c r="BJ515" i="15"/>
  <c r="K516" i="15"/>
  <c r="AK516" i="15" s="1"/>
  <c r="Z516" i="15"/>
  <c r="AD516" i="15"/>
  <c r="AE516" i="15"/>
  <c r="AF516" i="15"/>
  <c r="AG516" i="15"/>
  <c r="AH516" i="15"/>
  <c r="AJ516" i="15"/>
  <c r="AL516" i="15"/>
  <c r="AO516" i="15"/>
  <c r="I516" i="15" s="1"/>
  <c r="AP516" i="15"/>
  <c r="BD516" i="15"/>
  <c r="BF516" i="15"/>
  <c r="BH516" i="15"/>
  <c r="AB516" i="15" s="1"/>
  <c r="BJ516" i="15"/>
  <c r="K517" i="15"/>
  <c r="Z517" i="15"/>
  <c r="AD517" i="15"/>
  <c r="AE517" i="15"/>
  <c r="AF517" i="15"/>
  <c r="AG517" i="15"/>
  <c r="AH517" i="15"/>
  <c r="AJ517" i="15"/>
  <c r="AK517" i="15"/>
  <c r="AL517" i="15"/>
  <c r="AO517" i="15"/>
  <c r="AW517" i="15" s="1"/>
  <c r="AP517" i="15"/>
  <c r="AX517" i="15" s="1"/>
  <c r="BD517" i="15"/>
  <c r="BF517" i="15"/>
  <c r="BJ517" i="15"/>
  <c r="K518" i="15"/>
  <c r="AK518" i="15" s="1"/>
  <c r="Z518" i="15"/>
  <c r="AD518" i="15"/>
  <c r="AE518" i="15"/>
  <c r="AF518" i="15"/>
  <c r="AG518" i="15"/>
  <c r="AH518" i="15"/>
  <c r="AJ518" i="15"/>
  <c r="AL518" i="15"/>
  <c r="AO518" i="15"/>
  <c r="AW518" i="15" s="1"/>
  <c r="AP518" i="15"/>
  <c r="BD518" i="15"/>
  <c r="BF518" i="15"/>
  <c r="BJ518" i="15"/>
  <c r="K519" i="15"/>
  <c r="AK519" i="15" s="1"/>
  <c r="Z519" i="15"/>
  <c r="AD519" i="15"/>
  <c r="AE519" i="15"/>
  <c r="AF519" i="15"/>
  <c r="AG519" i="15"/>
  <c r="AH519" i="15"/>
  <c r="AJ519" i="15"/>
  <c r="AL519" i="15"/>
  <c r="AO519" i="15"/>
  <c r="AP519" i="15"/>
  <c r="J519" i="15" s="1"/>
  <c r="BD519" i="15"/>
  <c r="BF519" i="15"/>
  <c r="BJ519" i="15"/>
  <c r="K520" i="15"/>
  <c r="AK520" i="15" s="1"/>
  <c r="Z520" i="15"/>
  <c r="AD520" i="15"/>
  <c r="AE520" i="15"/>
  <c r="AF520" i="15"/>
  <c r="AG520" i="15"/>
  <c r="AH520" i="15"/>
  <c r="AJ520" i="15"/>
  <c r="AL520" i="15"/>
  <c r="AO520" i="15"/>
  <c r="I520" i="15" s="1"/>
  <c r="AP520" i="15"/>
  <c r="J520" i="15" s="1"/>
  <c r="BD520" i="15"/>
  <c r="BF520" i="15"/>
  <c r="BJ520" i="15"/>
  <c r="K521" i="15"/>
  <c r="AK521" i="15" s="1"/>
  <c r="Z521" i="15"/>
  <c r="AD521" i="15"/>
  <c r="AE521" i="15"/>
  <c r="AF521" i="15"/>
  <c r="AG521" i="15"/>
  <c r="AH521" i="15"/>
  <c r="AJ521" i="15"/>
  <c r="AL521" i="15"/>
  <c r="AO521" i="15"/>
  <c r="BH521" i="15" s="1"/>
  <c r="AB521" i="15" s="1"/>
  <c r="AP521" i="15"/>
  <c r="BD521" i="15"/>
  <c r="BF521" i="15"/>
  <c r="BJ521" i="15"/>
  <c r="K522" i="15"/>
  <c r="AK522" i="15" s="1"/>
  <c r="Z522" i="15"/>
  <c r="AD522" i="15"/>
  <c r="AE522" i="15"/>
  <c r="AF522" i="15"/>
  <c r="AG522" i="15"/>
  <c r="AH522" i="15"/>
  <c r="AJ522" i="15"/>
  <c r="AL522" i="15"/>
  <c r="AO522" i="15"/>
  <c r="AP522" i="15"/>
  <c r="BD522" i="15"/>
  <c r="BF522" i="15"/>
  <c r="BH522" i="15"/>
  <c r="AB522" i="15" s="1"/>
  <c r="BJ522" i="15"/>
  <c r="K523" i="15"/>
  <c r="AK523" i="15" s="1"/>
  <c r="Z523" i="15"/>
  <c r="AD523" i="15"/>
  <c r="AE523" i="15"/>
  <c r="AF523" i="15"/>
  <c r="AG523" i="15"/>
  <c r="AH523" i="15"/>
  <c r="AJ523" i="15"/>
  <c r="AL523" i="15"/>
  <c r="AO523" i="15"/>
  <c r="AW523" i="15" s="1"/>
  <c r="AP523" i="15"/>
  <c r="J523" i="15" s="1"/>
  <c r="BD523" i="15"/>
  <c r="BF523" i="15"/>
  <c r="BJ523" i="15"/>
  <c r="K524" i="15"/>
  <c r="AK524" i="15" s="1"/>
  <c r="Z524" i="15"/>
  <c r="AD524" i="15"/>
  <c r="AE524" i="15"/>
  <c r="AF524" i="15"/>
  <c r="AG524" i="15"/>
  <c r="AH524" i="15"/>
  <c r="AJ524" i="15"/>
  <c r="AL524" i="15"/>
  <c r="AO524" i="15"/>
  <c r="I524" i="15" s="1"/>
  <c r="AP524" i="15"/>
  <c r="BD524" i="15"/>
  <c r="BF524" i="15"/>
  <c r="BJ524" i="15"/>
  <c r="K525" i="15"/>
  <c r="Z525" i="15"/>
  <c r="AD525" i="15"/>
  <c r="AE525" i="15"/>
  <c r="AF525" i="15"/>
  <c r="AG525" i="15"/>
  <c r="AH525" i="15"/>
  <c r="AJ525" i="15"/>
  <c r="AK525" i="15"/>
  <c r="AL525" i="15"/>
  <c r="AO525" i="15"/>
  <c r="AW525" i="15" s="1"/>
  <c r="AP525" i="15"/>
  <c r="BD525" i="15"/>
  <c r="BF525" i="15"/>
  <c r="BH525" i="15"/>
  <c r="AB525" i="15" s="1"/>
  <c r="BJ525" i="15"/>
  <c r="K526" i="15"/>
  <c r="Z526" i="15"/>
  <c r="AD526" i="15"/>
  <c r="AE526" i="15"/>
  <c r="AF526" i="15"/>
  <c r="AG526" i="15"/>
  <c r="AH526" i="15"/>
  <c r="AJ526" i="15"/>
  <c r="AK526" i="15"/>
  <c r="AL526" i="15"/>
  <c r="AO526" i="15"/>
  <c r="AW526" i="15" s="1"/>
  <c r="AP526" i="15"/>
  <c r="J526" i="15" s="1"/>
  <c r="BD526" i="15"/>
  <c r="BF526" i="15"/>
  <c r="BJ526" i="15"/>
  <c r="K527" i="15"/>
  <c r="AK527" i="15" s="1"/>
  <c r="Z527" i="15"/>
  <c r="AD527" i="15"/>
  <c r="AE527" i="15"/>
  <c r="AF527" i="15"/>
  <c r="AG527" i="15"/>
  <c r="AH527" i="15"/>
  <c r="AJ527" i="15"/>
  <c r="AL527" i="15"/>
  <c r="AO527" i="15"/>
  <c r="AP527" i="15"/>
  <c r="BI527" i="15" s="1"/>
  <c r="AC527" i="15" s="1"/>
  <c r="BD527" i="15"/>
  <c r="BF527" i="15"/>
  <c r="BH527" i="15"/>
  <c r="AB527" i="15" s="1"/>
  <c r="BJ527" i="15"/>
  <c r="K528" i="15"/>
  <c r="AK528" i="15" s="1"/>
  <c r="Z528" i="15"/>
  <c r="AD528" i="15"/>
  <c r="AE528" i="15"/>
  <c r="AF528" i="15"/>
  <c r="AG528" i="15"/>
  <c r="AH528" i="15"/>
  <c r="AJ528" i="15"/>
  <c r="AL528" i="15"/>
  <c r="AO528" i="15"/>
  <c r="AP528" i="15"/>
  <c r="BI528" i="15" s="1"/>
  <c r="AC528" i="15" s="1"/>
  <c r="BD528" i="15"/>
  <c r="BF528" i="15"/>
  <c r="BJ528" i="15"/>
  <c r="K530" i="15"/>
  <c r="Z530" i="15"/>
  <c r="AD530" i="15"/>
  <c r="AE530" i="15"/>
  <c r="AF530" i="15"/>
  <c r="AG530" i="15"/>
  <c r="AH530" i="15"/>
  <c r="AJ530" i="15"/>
  <c r="AL530" i="15"/>
  <c r="AO530" i="15"/>
  <c r="AP530" i="15"/>
  <c r="J530" i="15" s="1"/>
  <c r="BD530" i="15"/>
  <c r="BF530" i="15"/>
  <c r="BH530" i="15"/>
  <c r="AB530" i="15" s="1"/>
  <c r="BJ530" i="15"/>
  <c r="K531" i="15"/>
  <c r="AK531" i="15" s="1"/>
  <c r="Z531" i="15"/>
  <c r="AD531" i="15"/>
  <c r="AE531" i="15"/>
  <c r="AF531" i="15"/>
  <c r="AG531" i="15"/>
  <c r="AH531" i="15"/>
  <c r="AJ531" i="15"/>
  <c r="AL531" i="15"/>
  <c r="AO531" i="15"/>
  <c r="AP531" i="15"/>
  <c r="BD531" i="15"/>
  <c r="BF531" i="15"/>
  <c r="BJ531" i="15"/>
  <c r="K532" i="15"/>
  <c r="Z532" i="15"/>
  <c r="AD532" i="15"/>
  <c r="AE532" i="15"/>
  <c r="AF532" i="15"/>
  <c r="AG532" i="15"/>
  <c r="AH532" i="15"/>
  <c r="AJ532" i="15"/>
  <c r="AK532" i="15"/>
  <c r="AL532" i="15"/>
  <c r="AO532" i="15"/>
  <c r="I532" i="15" s="1"/>
  <c r="AP532" i="15"/>
  <c r="BI532" i="15" s="1"/>
  <c r="AC532" i="15" s="1"/>
  <c r="BD532" i="15"/>
  <c r="BF532" i="15"/>
  <c r="BJ532" i="15"/>
  <c r="K533" i="15"/>
  <c r="Z533" i="15"/>
  <c r="AD533" i="15"/>
  <c r="AE533" i="15"/>
  <c r="AF533" i="15"/>
  <c r="AG533" i="15"/>
  <c r="AH533" i="15"/>
  <c r="AJ533" i="15"/>
  <c r="AK533" i="15"/>
  <c r="AL533" i="15"/>
  <c r="AO533" i="15"/>
  <c r="AP533" i="15"/>
  <c r="J533" i="15" s="1"/>
  <c r="BD533" i="15"/>
  <c r="BF533" i="15"/>
  <c r="BJ533" i="15"/>
  <c r="K534" i="15"/>
  <c r="AK534" i="15" s="1"/>
  <c r="Z534" i="15"/>
  <c r="AD534" i="15"/>
  <c r="AE534" i="15"/>
  <c r="AF534" i="15"/>
  <c r="AG534" i="15"/>
  <c r="AH534" i="15"/>
  <c r="AJ534" i="15"/>
  <c r="AL534" i="15"/>
  <c r="AO534" i="15"/>
  <c r="BH534" i="15" s="1"/>
  <c r="AB534" i="15" s="1"/>
  <c r="AP534" i="15"/>
  <c r="BD534" i="15"/>
  <c r="BF534" i="15"/>
  <c r="BJ534" i="15"/>
  <c r="K535" i="15"/>
  <c r="AK535" i="15" s="1"/>
  <c r="Z535" i="15"/>
  <c r="AD535" i="15"/>
  <c r="AE535" i="15"/>
  <c r="AF535" i="15"/>
  <c r="AG535" i="15"/>
  <c r="AH535" i="15"/>
  <c r="AJ535" i="15"/>
  <c r="AL535" i="15"/>
  <c r="AO535" i="15"/>
  <c r="I535" i="15" s="1"/>
  <c r="AP535" i="15"/>
  <c r="BD535" i="15"/>
  <c r="BF535" i="15"/>
  <c r="BJ535" i="15"/>
  <c r="K536" i="15"/>
  <c r="AK536" i="15" s="1"/>
  <c r="Z536" i="15"/>
  <c r="AD536" i="15"/>
  <c r="AE536" i="15"/>
  <c r="AF536" i="15"/>
  <c r="AG536" i="15"/>
  <c r="AH536" i="15"/>
  <c r="AJ536" i="15"/>
  <c r="AL536" i="15"/>
  <c r="AO536" i="15"/>
  <c r="AP536" i="15"/>
  <c r="AX536" i="15" s="1"/>
  <c r="BD536" i="15"/>
  <c r="BF536" i="15"/>
  <c r="BJ536" i="15"/>
  <c r="K537" i="15"/>
  <c r="Z537" i="15"/>
  <c r="AD537" i="15"/>
  <c r="AE537" i="15"/>
  <c r="AF537" i="15"/>
  <c r="AG537" i="15"/>
  <c r="AH537" i="15"/>
  <c r="AJ537" i="15"/>
  <c r="AK537" i="15"/>
  <c r="AL537" i="15"/>
  <c r="AO537" i="15"/>
  <c r="I537" i="15" s="1"/>
  <c r="AP537" i="15"/>
  <c r="J537" i="15" s="1"/>
  <c r="BD537" i="15"/>
  <c r="BF537" i="15"/>
  <c r="BJ537" i="15"/>
  <c r="K538" i="15"/>
  <c r="AK538" i="15" s="1"/>
  <c r="Z538" i="15"/>
  <c r="AD538" i="15"/>
  <c r="AE538" i="15"/>
  <c r="AF538" i="15"/>
  <c r="AG538" i="15"/>
  <c r="AH538" i="15"/>
  <c r="AJ538" i="15"/>
  <c r="AL538" i="15"/>
  <c r="AO538" i="15"/>
  <c r="I538" i="15" s="1"/>
  <c r="AP538" i="15"/>
  <c r="BD538" i="15"/>
  <c r="BF538" i="15"/>
  <c r="BH538" i="15"/>
  <c r="AB538" i="15" s="1"/>
  <c r="BJ538" i="15"/>
  <c r="K539" i="15"/>
  <c r="AK539" i="15" s="1"/>
  <c r="Z539" i="15"/>
  <c r="AD539" i="15"/>
  <c r="AE539" i="15"/>
  <c r="AF539" i="15"/>
  <c r="AG539" i="15"/>
  <c r="AH539" i="15"/>
  <c r="AJ539" i="15"/>
  <c r="AL539" i="15"/>
  <c r="AO539" i="15"/>
  <c r="AP539" i="15"/>
  <c r="BD539" i="15"/>
  <c r="BF539" i="15"/>
  <c r="BJ539" i="15"/>
  <c r="K540" i="15"/>
  <c r="AK540" i="15" s="1"/>
  <c r="Z540" i="15"/>
  <c r="AD540" i="15"/>
  <c r="AE540" i="15"/>
  <c r="AF540" i="15"/>
  <c r="AG540" i="15"/>
  <c r="AH540" i="15"/>
  <c r="AJ540" i="15"/>
  <c r="AL540" i="15"/>
  <c r="AO540" i="15"/>
  <c r="I540" i="15" s="1"/>
  <c r="AP540" i="15"/>
  <c r="BI540" i="15" s="1"/>
  <c r="AC540" i="15" s="1"/>
  <c r="BD540" i="15"/>
  <c r="BF540" i="15"/>
  <c r="BJ540" i="15"/>
  <c r="K541" i="15"/>
  <c r="Z541" i="15"/>
  <c r="AD541" i="15"/>
  <c r="AE541" i="15"/>
  <c r="AF541" i="15"/>
  <c r="AG541" i="15"/>
  <c r="AH541" i="15"/>
  <c r="AJ541" i="15"/>
  <c r="AK541" i="15"/>
  <c r="AL541" i="15"/>
  <c r="AO541" i="15"/>
  <c r="AW541" i="15" s="1"/>
  <c r="AP541" i="15"/>
  <c r="BD541" i="15"/>
  <c r="BF541" i="15"/>
  <c r="BJ541" i="15"/>
  <c r="K542" i="15"/>
  <c r="AK542" i="15" s="1"/>
  <c r="Z542" i="15"/>
  <c r="AD542" i="15"/>
  <c r="AE542" i="15"/>
  <c r="AF542" i="15"/>
  <c r="AG542" i="15"/>
  <c r="AH542" i="15"/>
  <c r="AJ542" i="15"/>
  <c r="AL542" i="15"/>
  <c r="AO542" i="15"/>
  <c r="BH542" i="15" s="1"/>
  <c r="AB542" i="15" s="1"/>
  <c r="AP542" i="15"/>
  <c r="BD542" i="15"/>
  <c r="BF542" i="15"/>
  <c r="BJ542" i="15"/>
  <c r="K543" i="15"/>
  <c r="AK543" i="15" s="1"/>
  <c r="Z543" i="15"/>
  <c r="AD543" i="15"/>
  <c r="AE543" i="15"/>
  <c r="AF543" i="15"/>
  <c r="AG543" i="15"/>
  <c r="AH543" i="15"/>
  <c r="AJ543" i="15"/>
  <c r="AL543" i="15"/>
  <c r="AO543" i="15"/>
  <c r="I543" i="15" s="1"/>
  <c r="AP543" i="15"/>
  <c r="J543" i="15" s="1"/>
  <c r="BD543" i="15"/>
  <c r="BF543" i="15"/>
  <c r="BJ543" i="15"/>
  <c r="K544" i="15"/>
  <c r="AK544" i="15" s="1"/>
  <c r="Z544" i="15"/>
  <c r="AD544" i="15"/>
  <c r="AE544" i="15"/>
  <c r="AF544" i="15"/>
  <c r="AG544" i="15"/>
  <c r="AH544" i="15"/>
  <c r="AJ544" i="15"/>
  <c r="AL544" i="15"/>
  <c r="AO544" i="15"/>
  <c r="AP544" i="15"/>
  <c r="BD544" i="15"/>
  <c r="BF544" i="15"/>
  <c r="BJ544" i="15"/>
  <c r="K545" i="15"/>
  <c r="Z545" i="15"/>
  <c r="AD545" i="15"/>
  <c r="AE545" i="15"/>
  <c r="AF545" i="15"/>
  <c r="AG545" i="15"/>
  <c r="AH545" i="15"/>
  <c r="AJ545" i="15"/>
  <c r="AK545" i="15"/>
  <c r="AL545" i="15"/>
  <c r="AO545" i="15"/>
  <c r="AP545" i="15"/>
  <c r="J545" i="15" s="1"/>
  <c r="BD545" i="15"/>
  <c r="BF545" i="15"/>
  <c r="BJ545" i="15"/>
  <c r="K547" i="15"/>
  <c r="AK547" i="15" s="1"/>
  <c r="Z547" i="15"/>
  <c r="AB547" i="15"/>
  <c r="AC547" i="15"/>
  <c r="AD547" i="15"/>
  <c r="AE547" i="15"/>
  <c r="AH547" i="15"/>
  <c r="AJ547" i="15"/>
  <c r="AL547" i="15"/>
  <c r="AO547" i="15"/>
  <c r="BH547" i="15" s="1"/>
  <c r="AF547" i="15" s="1"/>
  <c r="AP547" i="15"/>
  <c r="BD547" i="15"/>
  <c r="BF547" i="15"/>
  <c r="BJ547" i="15"/>
  <c r="K548" i="15"/>
  <c r="Z548" i="15"/>
  <c r="AB548" i="15"/>
  <c r="AC548" i="15"/>
  <c r="AD548" i="15"/>
  <c r="AE548" i="15"/>
  <c r="AH548" i="15"/>
  <c r="AJ548" i="15"/>
  <c r="AL548" i="15"/>
  <c r="AO548" i="15"/>
  <c r="BH548" i="15" s="1"/>
  <c r="AF548" i="15" s="1"/>
  <c r="AP548" i="15"/>
  <c r="BD548" i="15"/>
  <c r="BF548" i="15"/>
  <c r="BJ548" i="15"/>
  <c r="K550" i="15"/>
  <c r="AK550" i="15" s="1"/>
  <c r="Z550" i="15"/>
  <c r="AD550" i="15"/>
  <c r="AE550" i="15"/>
  <c r="AF550" i="15"/>
  <c r="AG550" i="15"/>
  <c r="AH550" i="15"/>
  <c r="AJ550" i="15"/>
  <c r="AL550" i="15"/>
  <c r="AO550" i="15"/>
  <c r="AP550" i="15"/>
  <c r="BI550" i="15" s="1"/>
  <c r="AC550" i="15" s="1"/>
  <c r="BD550" i="15"/>
  <c r="BF550" i="15"/>
  <c r="BH550" i="15"/>
  <c r="AB550" i="15" s="1"/>
  <c r="BJ550" i="15"/>
  <c r="K551" i="15"/>
  <c r="Z551" i="15"/>
  <c r="AD551" i="15"/>
  <c r="AE551" i="15"/>
  <c r="AF551" i="15"/>
  <c r="AG551" i="15"/>
  <c r="AH551" i="15"/>
  <c r="AJ551" i="15"/>
  <c r="AK551" i="15"/>
  <c r="AL551" i="15"/>
  <c r="AO551" i="15"/>
  <c r="AW551" i="15" s="1"/>
  <c r="AP551" i="15"/>
  <c r="J551" i="15" s="1"/>
  <c r="BD551" i="15"/>
  <c r="BF551" i="15"/>
  <c r="BH551" i="15"/>
  <c r="AB551" i="15" s="1"/>
  <c r="BJ551" i="15"/>
  <c r="K552" i="15"/>
  <c r="AK552" i="15" s="1"/>
  <c r="Z552" i="15"/>
  <c r="AD552" i="15"/>
  <c r="AE552" i="15"/>
  <c r="AF552" i="15"/>
  <c r="AG552" i="15"/>
  <c r="AH552" i="15"/>
  <c r="AJ552" i="15"/>
  <c r="AL552" i="15"/>
  <c r="AO552" i="15"/>
  <c r="BH552" i="15" s="1"/>
  <c r="AB552" i="15" s="1"/>
  <c r="AP552" i="15"/>
  <c r="BI552" i="15" s="1"/>
  <c r="AC552" i="15" s="1"/>
  <c r="BD552" i="15"/>
  <c r="BF552" i="15"/>
  <c r="BJ552" i="15"/>
  <c r="K553" i="15"/>
  <c r="AK553" i="15" s="1"/>
  <c r="Z553" i="15"/>
  <c r="AD553" i="15"/>
  <c r="AE553" i="15"/>
  <c r="AF553" i="15"/>
  <c r="AG553" i="15"/>
  <c r="AH553" i="15"/>
  <c r="AJ553" i="15"/>
  <c r="AL553" i="15"/>
  <c r="AO553" i="15"/>
  <c r="AP553" i="15"/>
  <c r="BI553" i="15" s="1"/>
  <c r="AC553" i="15" s="1"/>
  <c r="BD553" i="15"/>
  <c r="BF553" i="15"/>
  <c r="BJ553" i="15"/>
  <c r="K554" i="15"/>
  <c r="Z554" i="15"/>
  <c r="AD554" i="15"/>
  <c r="AE554" i="15"/>
  <c r="AF554" i="15"/>
  <c r="AG554" i="15"/>
  <c r="AH554" i="15"/>
  <c r="AJ554" i="15"/>
  <c r="AK554" i="15"/>
  <c r="AL554" i="15"/>
  <c r="AO554" i="15"/>
  <c r="AP554" i="15"/>
  <c r="BI554" i="15" s="1"/>
  <c r="AC554" i="15" s="1"/>
  <c r="BD554" i="15"/>
  <c r="BF554" i="15"/>
  <c r="BJ554" i="15"/>
  <c r="K555" i="15"/>
  <c r="Z555" i="15"/>
  <c r="AD555" i="15"/>
  <c r="AE555" i="15"/>
  <c r="AF555" i="15"/>
  <c r="AG555" i="15"/>
  <c r="AH555" i="15"/>
  <c r="AJ555" i="15"/>
  <c r="AK555" i="15"/>
  <c r="AL555" i="15"/>
  <c r="AO555" i="15"/>
  <c r="AW555" i="15" s="1"/>
  <c r="AP555" i="15"/>
  <c r="J555" i="15" s="1"/>
  <c r="BD555" i="15"/>
  <c r="BF555" i="15"/>
  <c r="BJ555" i="15"/>
  <c r="K556" i="15"/>
  <c r="AK556" i="15" s="1"/>
  <c r="Z556" i="15"/>
  <c r="AD556" i="15"/>
  <c r="AE556" i="15"/>
  <c r="AF556" i="15"/>
  <c r="AG556" i="15"/>
  <c r="AH556" i="15"/>
  <c r="AJ556" i="15"/>
  <c r="AL556" i="15"/>
  <c r="AO556" i="15"/>
  <c r="AP556" i="15"/>
  <c r="BD556" i="15"/>
  <c r="BF556" i="15"/>
  <c r="BH556" i="15"/>
  <c r="AB556" i="15" s="1"/>
  <c r="BJ556" i="15"/>
  <c r="K557" i="15"/>
  <c r="AK557" i="15" s="1"/>
  <c r="Z557" i="15"/>
  <c r="AD557" i="15"/>
  <c r="AE557" i="15"/>
  <c r="AF557" i="15"/>
  <c r="AG557" i="15"/>
  <c r="AH557" i="15"/>
  <c r="AJ557" i="15"/>
  <c r="AL557" i="15"/>
  <c r="AO557" i="15"/>
  <c r="I557" i="15" s="1"/>
  <c r="AP557" i="15"/>
  <c r="BD557" i="15"/>
  <c r="BF557" i="15"/>
  <c r="BJ557" i="15"/>
  <c r="K558" i="15"/>
  <c r="Z558" i="15"/>
  <c r="AD558" i="15"/>
  <c r="AE558" i="15"/>
  <c r="AF558" i="15"/>
  <c r="AG558" i="15"/>
  <c r="AH558" i="15"/>
  <c r="AJ558" i="15"/>
  <c r="AK558" i="15"/>
  <c r="AL558" i="15"/>
  <c r="AO558" i="15"/>
  <c r="BH558" i="15" s="1"/>
  <c r="AB558" i="15" s="1"/>
  <c r="AP558" i="15"/>
  <c r="AX558" i="15" s="1"/>
  <c r="BD558" i="15"/>
  <c r="BF558" i="15"/>
  <c r="BJ558" i="15"/>
  <c r="K559" i="15"/>
  <c r="Z559" i="15"/>
  <c r="AD559" i="15"/>
  <c r="AE559" i="15"/>
  <c r="AF559" i="15"/>
  <c r="AG559" i="15"/>
  <c r="AH559" i="15"/>
  <c r="AJ559" i="15"/>
  <c r="AK559" i="15"/>
  <c r="AL559" i="15"/>
  <c r="AO559" i="15"/>
  <c r="AP559" i="15"/>
  <c r="BD559" i="15"/>
  <c r="BF559" i="15"/>
  <c r="BJ559" i="15"/>
  <c r="K560" i="15"/>
  <c r="AK560" i="15" s="1"/>
  <c r="Z560" i="15"/>
  <c r="AD560" i="15"/>
  <c r="AE560" i="15"/>
  <c r="AF560" i="15"/>
  <c r="AG560" i="15"/>
  <c r="AH560" i="15"/>
  <c r="AJ560" i="15"/>
  <c r="AL560" i="15"/>
  <c r="AO560" i="15"/>
  <c r="I560" i="15" s="1"/>
  <c r="AP560" i="15"/>
  <c r="J560" i="15" s="1"/>
  <c r="BD560" i="15"/>
  <c r="BF560" i="15"/>
  <c r="BJ560" i="15"/>
  <c r="K561" i="15"/>
  <c r="AK561" i="15" s="1"/>
  <c r="Z561" i="15"/>
  <c r="AD561" i="15"/>
  <c r="AE561" i="15"/>
  <c r="AF561" i="15"/>
  <c r="AG561" i="15"/>
  <c r="AH561" i="15"/>
  <c r="AJ561" i="15"/>
  <c r="AL561" i="15"/>
  <c r="AO561" i="15"/>
  <c r="I561" i="15" s="1"/>
  <c r="AP561" i="15"/>
  <c r="J561" i="15" s="1"/>
  <c r="BD561" i="15"/>
  <c r="BF561" i="15"/>
  <c r="BJ561" i="15"/>
  <c r="K562" i="15"/>
  <c r="AK562" i="15" s="1"/>
  <c r="Z562" i="15"/>
  <c r="AD562" i="15"/>
  <c r="AE562" i="15"/>
  <c r="AF562" i="15"/>
  <c r="AG562" i="15"/>
  <c r="AH562" i="15"/>
  <c r="AJ562" i="15"/>
  <c r="AL562" i="15"/>
  <c r="AO562" i="15"/>
  <c r="AP562" i="15"/>
  <c r="BD562" i="15"/>
  <c r="BF562" i="15"/>
  <c r="BJ562" i="15"/>
  <c r="K563" i="15"/>
  <c r="AK563" i="15" s="1"/>
  <c r="Z563" i="15"/>
  <c r="AD563" i="15"/>
  <c r="AE563" i="15"/>
  <c r="AF563" i="15"/>
  <c r="AG563" i="15"/>
  <c r="AH563" i="15"/>
  <c r="AJ563" i="15"/>
  <c r="AL563" i="15"/>
  <c r="AO563" i="15"/>
  <c r="I563" i="15" s="1"/>
  <c r="AP563" i="15"/>
  <c r="J563" i="15" s="1"/>
  <c r="BD563" i="15"/>
  <c r="BF563" i="15"/>
  <c r="BJ563" i="15"/>
  <c r="K564" i="15"/>
  <c r="AK564" i="15" s="1"/>
  <c r="Z564" i="15"/>
  <c r="AD564" i="15"/>
  <c r="AE564" i="15"/>
  <c r="AF564" i="15"/>
  <c r="AG564" i="15"/>
  <c r="AH564" i="15"/>
  <c r="AJ564" i="15"/>
  <c r="AL564" i="15"/>
  <c r="AO564" i="15"/>
  <c r="AP564" i="15"/>
  <c r="J564" i="15" s="1"/>
  <c r="BD564" i="15"/>
  <c r="BF564" i="15"/>
  <c r="BJ564" i="15"/>
  <c r="K565" i="15"/>
  <c r="AK565" i="15" s="1"/>
  <c r="Z565" i="15"/>
  <c r="AD565" i="15"/>
  <c r="AE565" i="15"/>
  <c r="AF565" i="15"/>
  <c r="AG565" i="15"/>
  <c r="AH565" i="15"/>
  <c r="AJ565" i="15"/>
  <c r="AL565" i="15"/>
  <c r="AO565" i="15"/>
  <c r="AP565" i="15"/>
  <c r="J565" i="15" s="1"/>
  <c r="BD565" i="15"/>
  <c r="BF565" i="15"/>
  <c r="BJ565" i="15"/>
  <c r="K566" i="15"/>
  <c r="Z566" i="15"/>
  <c r="AD566" i="15"/>
  <c r="AE566" i="15"/>
  <c r="AF566" i="15"/>
  <c r="AG566" i="15"/>
  <c r="AH566" i="15"/>
  <c r="AJ566" i="15"/>
  <c r="AK566" i="15"/>
  <c r="AL566" i="15"/>
  <c r="AO566" i="15"/>
  <c r="BH566" i="15" s="1"/>
  <c r="AB566" i="15" s="1"/>
  <c r="AP566" i="15"/>
  <c r="BI566" i="15" s="1"/>
  <c r="AC566" i="15" s="1"/>
  <c r="BD566" i="15"/>
  <c r="BF566" i="15"/>
  <c r="BJ566" i="15"/>
  <c r="K567" i="15"/>
  <c r="Z567" i="15"/>
  <c r="AD567" i="15"/>
  <c r="AE567" i="15"/>
  <c r="AF567" i="15"/>
  <c r="AG567" i="15"/>
  <c r="AH567" i="15"/>
  <c r="AJ567" i="15"/>
  <c r="AK567" i="15"/>
  <c r="AL567" i="15"/>
  <c r="AO567" i="15"/>
  <c r="AW567" i="15" s="1"/>
  <c r="AP567" i="15"/>
  <c r="J567" i="15" s="1"/>
  <c r="BD567" i="15"/>
  <c r="BF567" i="15"/>
  <c r="BH567" i="15"/>
  <c r="AB567" i="15" s="1"/>
  <c r="BJ567" i="15"/>
  <c r="K568" i="15"/>
  <c r="AK568" i="15" s="1"/>
  <c r="Z568" i="15"/>
  <c r="AD568" i="15"/>
  <c r="AE568" i="15"/>
  <c r="AF568" i="15"/>
  <c r="AG568" i="15"/>
  <c r="AH568" i="15"/>
  <c r="AJ568" i="15"/>
  <c r="AL568" i="15"/>
  <c r="AO568" i="15"/>
  <c r="BH568" i="15" s="1"/>
  <c r="AB568" i="15" s="1"/>
  <c r="AP568" i="15"/>
  <c r="BI568" i="15" s="1"/>
  <c r="AC568" i="15" s="1"/>
  <c r="BD568" i="15"/>
  <c r="BF568" i="15"/>
  <c r="BJ568" i="15"/>
  <c r="K569" i="15"/>
  <c r="AK569" i="15" s="1"/>
  <c r="Z569" i="15"/>
  <c r="AD569" i="15"/>
  <c r="AE569" i="15"/>
  <c r="AF569" i="15"/>
  <c r="AG569" i="15"/>
  <c r="AH569" i="15"/>
  <c r="AJ569" i="15"/>
  <c r="AL569" i="15"/>
  <c r="AO569" i="15"/>
  <c r="I569" i="15" s="1"/>
  <c r="AP569" i="15"/>
  <c r="BD569" i="15"/>
  <c r="BF569" i="15"/>
  <c r="BJ569" i="15"/>
  <c r="K570" i="15"/>
  <c r="AK570" i="15" s="1"/>
  <c r="Z570" i="15"/>
  <c r="AD570" i="15"/>
  <c r="AE570" i="15"/>
  <c r="AF570" i="15"/>
  <c r="AG570" i="15"/>
  <c r="AH570" i="15"/>
  <c r="AJ570" i="15"/>
  <c r="AL570" i="15"/>
  <c r="AO570" i="15"/>
  <c r="BH570" i="15" s="1"/>
  <c r="AB570" i="15" s="1"/>
  <c r="AP570" i="15"/>
  <c r="BD570" i="15"/>
  <c r="BF570" i="15"/>
  <c r="BJ570" i="15"/>
  <c r="K571" i="15"/>
  <c r="AK571" i="15" s="1"/>
  <c r="Z571" i="15"/>
  <c r="AD571" i="15"/>
  <c r="AE571" i="15"/>
  <c r="AF571" i="15"/>
  <c r="AG571" i="15"/>
  <c r="AH571" i="15"/>
  <c r="AJ571" i="15"/>
  <c r="AL571" i="15"/>
  <c r="AO571" i="15"/>
  <c r="AP571" i="15"/>
  <c r="BD571" i="15"/>
  <c r="BF571" i="15"/>
  <c r="BH571" i="15"/>
  <c r="AB571" i="15" s="1"/>
  <c r="BJ571" i="15"/>
  <c r="K572" i="15"/>
  <c r="AK572" i="15" s="1"/>
  <c r="Z572" i="15"/>
  <c r="AD572" i="15"/>
  <c r="AE572" i="15"/>
  <c r="AF572" i="15"/>
  <c r="AG572" i="15"/>
  <c r="AH572" i="15"/>
  <c r="AJ572" i="15"/>
  <c r="AL572" i="15"/>
  <c r="AO572" i="15"/>
  <c r="AP572" i="15"/>
  <c r="J572" i="15" s="1"/>
  <c r="BD572" i="15"/>
  <c r="BF572" i="15"/>
  <c r="BJ572" i="15"/>
  <c r="K573" i="15"/>
  <c r="AK573" i="15" s="1"/>
  <c r="Z573" i="15"/>
  <c r="AD573" i="15"/>
  <c r="AE573" i="15"/>
  <c r="AF573" i="15"/>
  <c r="AG573" i="15"/>
  <c r="AH573" i="15"/>
  <c r="AJ573" i="15"/>
  <c r="AL573" i="15"/>
  <c r="AO573" i="15"/>
  <c r="I573" i="15" s="1"/>
  <c r="AP573" i="15"/>
  <c r="BD573" i="15"/>
  <c r="BF573" i="15"/>
  <c r="BJ573" i="15"/>
  <c r="K574" i="15"/>
  <c r="AK574" i="15" s="1"/>
  <c r="Z574" i="15"/>
  <c r="AD574" i="15"/>
  <c r="AE574" i="15"/>
  <c r="AF574" i="15"/>
  <c r="AG574" i="15"/>
  <c r="AH574" i="15"/>
  <c r="AJ574" i="15"/>
  <c r="AL574" i="15"/>
  <c r="AO574" i="15"/>
  <c r="BH574" i="15" s="1"/>
  <c r="AB574" i="15" s="1"/>
  <c r="AP574" i="15"/>
  <c r="AX574" i="15" s="1"/>
  <c r="BD574" i="15"/>
  <c r="BF574" i="15"/>
  <c r="BJ574" i="15"/>
  <c r="K575" i="15"/>
  <c r="Z575" i="15"/>
  <c r="AD575" i="15"/>
  <c r="AE575" i="15"/>
  <c r="AF575" i="15"/>
  <c r="AG575" i="15"/>
  <c r="AH575" i="15"/>
  <c r="AJ575" i="15"/>
  <c r="AK575" i="15"/>
  <c r="AL575" i="15"/>
  <c r="AO575" i="15"/>
  <c r="AW575" i="15" s="1"/>
  <c r="AP575" i="15"/>
  <c r="BD575" i="15"/>
  <c r="BF575" i="15"/>
  <c r="BJ575" i="15"/>
  <c r="K576" i="15"/>
  <c r="AK576" i="15" s="1"/>
  <c r="Z576" i="15"/>
  <c r="AD576" i="15"/>
  <c r="AE576" i="15"/>
  <c r="AF576" i="15"/>
  <c r="AG576" i="15"/>
  <c r="AH576" i="15"/>
  <c r="AJ576" i="15"/>
  <c r="AL576" i="15"/>
  <c r="AO576" i="15"/>
  <c r="BH576" i="15" s="1"/>
  <c r="AB576" i="15" s="1"/>
  <c r="AP576" i="15"/>
  <c r="J576" i="15" s="1"/>
  <c r="BD576" i="15"/>
  <c r="BF576" i="15"/>
  <c r="BJ576" i="15"/>
  <c r="K577" i="15"/>
  <c r="AK577" i="15" s="1"/>
  <c r="Z577" i="15"/>
  <c r="AD577" i="15"/>
  <c r="AE577" i="15"/>
  <c r="AF577" i="15"/>
  <c r="AG577" i="15"/>
  <c r="AH577" i="15"/>
  <c r="AJ577" i="15"/>
  <c r="AL577" i="15"/>
  <c r="AO577" i="15"/>
  <c r="I577" i="15" s="1"/>
  <c r="AP577" i="15"/>
  <c r="BI577" i="15" s="1"/>
  <c r="AC577" i="15" s="1"/>
  <c r="BD577" i="15"/>
  <c r="BF577" i="15"/>
  <c r="BJ577" i="15"/>
  <c r="K578" i="15"/>
  <c r="AK578" i="15" s="1"/>
  <c r="Z578" i="15"/>
  <c r="AD578" i="15"/>
  <c r="AE578" i="15"/>
  <c r="AF578" i="15"/>
  <c r="AG578" i="15"/>
  <c r="AH578" i="15"/>
  <c r="AJ578" i="15"/>
  <c r="AL578" i="15"/>
  <c r="AO578" i="15"/>
  <c r="AP578" i="15"/>
  <c r="BD578" i="15"/>
  <c r="BF578" i="15"/>
  <c r="BH578" i="15"/>
  <c r="AB578" i="15" s="1"/>
  <c r="BJ578" i="15"/>
  <c r="K579" i="15"/>
  <c r="AK579" i="15" s="1"/>
  <c r="Z579" i="15"/>
  <c r="AD579" i="15"/>
  <c r="AE579" i="15"/>
  <c r="AF579" i="15"/>
  <c r="AG579" i="15"/>
  <c r="AH579" i="15"/>
  <c r="AJ579" i="15"/>
  <c r="AL579" i="15"/>
  <c r="AO579" i="15"/>
  <c r="AW579" i="15" s="1"/>
  <c r="AP579" i="15"/>
  <c r="BD579" i="15"/>
  <c r="BF579" i="15"/>
  <c r="BH579" i="15"/>
  <c r="AB579" i="15" s="1"/>
  <c r="BJ579" i="15"/>
  <c r="K580" i="15"/>
  <c r="AK580" i="15" s="1"/>
  <c r="Z580" i="15"/>
  <c r="AD580" i="15"/>
  <c r="AE580" i="15"/>
  <c r="AF580" i="15"/>
  <c r="AG580" i="15"/>
  <c r="AH580" i="15"/>
  <c r="AJ580" i="15"/>
  <c r="AL580" i="15"/>
  <c r="AO580" i="15"/>
  <c r="AP580" i="15"/>
  <c r="J580" i="15" s="1"/>
  <c r="BD580" i="15"/>
  <c r="BF580" i="15"/>
  <c r="BJ580" i="15"/>
  <c r="K581" i="15"/>
  <c r="AK581" i="15" s="1"/>
  <c r="Z581" i="15"/>
  <c r="AD581" i="15"/>
  <c r="AE581" i="15"/>
  <c r="AF581" i="15"/>
  <c r="AG581" i="15"/>
  <c r="AH581" i="15"/>
  <c r="AJ581" i="15"/>
  <c r="AL581" i="15"/>
  <c r="AO581" i="15"/>
  <c r="I581" i="15" s="1"/>
  <c r="AP581" i="15"/>
  <c r="BD581" i="15"/>
  <c r="BF581" i="15"/>
  <c r="BH581" i="15"/>
  <c r="AB581" i="15" s="1"/>
  <c r="BJ581" i="15"/>
  <c r="K582" i="15"/>
  <c r="Z582" i="15"/>
  <c r="AD582" i="15"/>
  <c r="AE582" i="15"/>
  <c r="AF582" i="15"/>
  <c r="AG582" i="15"/>
  <c r="AH582" i="15"/>
  <c r="AJ582" i="15"/>
  <c r="AK582" i="15"/>
  <c r="AL582" i="15"/>
  <c r="AO582" i="15"/>
  <c r="AP582" i="15"/>
  <c r="AX582" i="15" s="1"/>
  <c r="BD582" i="15"/>
  <c r="BF582" i="15"/>
  <c r="BJ582" i="15"/>
  <c r="K583" i="15"/>
  <c r="Z583" i="15"/>
  <c r="AD583" i="15"/>
  <c r="AE583" i="15"/>
  <c r="AF583" i="15"/>
  <c r="AG583" i="15"/>
  <c r="AH583" i="15"/>
  <c r="AJ583" i="15"/>
  <c r="AK583" i="15"/>
  <c r="AL583" i="15"/>
  <c r="AO583" i="15"/>
  <c r="AW583" i="15" s="1"/>
  <c r="AP583" i="15"/>
  <c r="BI583" i="15" s="1"/>
  <c r="AC583" i="15" s="1"/>
  <c r="BD583" i="15"/>
  <c r="BF583" i="15"/>
  <c r="BJ583" i="15"/>
  <c r="K584" i="15"/>
  <c r="AK584" i="15" s="1"/>
  <c r="Z584" i="15"/>
  <c r="AD584" i="15"/>
  <c r="AE584" i="15"/>
  <c r="AF584" i="15"/>
  <c r="AG584" i="15"/>
  <c r="AH584" i="15"/>
  <c r="AJ584" i="15"/>
  <c r="AL584" i="15"/>
  <c r="AO584" i="15"/>
  <c r="AP584" i="15"/>
  <c r="BI584" i="15" s="1"/>
  <c r="AC584" i="15" s="1"/>
  <c r="BD584" i="15"/>
  <c r="BF584" i="15"/>
  <c r="BJ584" i="15"/>
  <c r="K585" i="15"/>
  <c r="AK585" i="15" s="1"/>
  <c r="Z585" i="15"/>
  <c r="AD585" i="15"/>
  <c r="AE585" i="15"/>
  <c r="AF585" i="15"/>
  <c r="AG585" i="15"/>
  <c r="AH585" i="15"/>
  <c r="AJ585" i="15"/>
  <c r="AL585" i="15"/>
  <c r="AO585" i="15"/>
  <c r="AP585" i="15"/>
  <c r="J585" i="15" s="1"/>
  <c r="BD585" i="15"/>
  <c r="BF585" i="15"/>
  <c r="BJ585" i="15"/>
  <c r="K586" i="15"/>
  <c r="Z586" i="15"/>
  <c r="AD586" i="15"/>
  <c r="AE586" i="15"/>
  <c r="AF586" i="15"/>
  <c r="AG586" i="15"/>
  <c r="AH586" i="15"/>
  <c r="AJ586" i="15"/>
  <c r="AK586" i="15"/>
  <c r="AL586" i="15"/>
  <c r="AO586" i="15"/>
  <c r="AW586" i="15" s="1"/>
  <c r="AP586" i="15"/>
  <c r="BI586" i="15" s="1"/>
  <c r="AC586" i="15" s="1"/>
  <c r="BD586" i="15"/>
  <c r="BF586" i="15"/>
  <c r="BJ586" i="15"/>
  <c r="K587" i="15"/>
  <c r="Z587" i="15"/>
  <c r="AD587" i="15"/>
  <c r="AE587" i="15"/>
  <c r="AF587" i="15"/>
  <c r="AG587" i="15"/>
  <c r="AH587" i="15"/>
  <c r="AJ587" i="15"/>
  <c r="AK587" i="15"/>
  <c r="AL587" i="15"/>
  <c r="AO587" i="15"/>
  <c r="AP587" i="15"/>
  <c r="J587" i="15" s="1"/>
  <c r="BD587" i="15"/>
  <c r="BF587" i="15"/>
  <c r="BJ587" i="15"/>
  <c r="K588" i="15"/>
  <c r="AK588" i="15" s="1"/>
  <c r="Z588" i="15"/>
  <c r="AD588" i="15"/>
  <c r="AE588" i="15"/>
  <c r="AF588" i="15"/>
  <c r="AG588" i="15"/>
  <c r="AH588" i="15"/>
  <c r="AJ588" i="15"/>
  <c r="AL588" i="15"/>
  <c r="AO588" i="15"/>
  <c r="AP588" i="15"/>
  <c r="BD588" i="15"/>
  <c r="BF588" i="15"/>
  <c r="BH588" i="15"/>
  <c r="AB588" i="15" s="1"/>
  <c r="BJ588" i="15"/>
  <c r="K589" i="15"/>
  <c r="AK589" i="15" s="1"/>
  <c r="Z589" i="15"/>
  <c r="AD589" i="15"/>
  <c r="AE589" i="15"/>
  <c r="AF589" i="15"/>
  <c r="AG589" i="15"/>
  <c r="AH589" i="15"/>
  <c r="AJ589" i="15"/>
  <c r="AL589" i="15"/>
  <c r="AO589" i="15"/>
  <c r="I589" i="15" s="1"/>
  <c r="AP589" i="15"/>
  <c r="J589" i="15" s="1"/>
  <c r="BD589" i="15"/>
  <c r="BF589" i="15"/>
  <c r="BH589" i="15"/>
  <c r="AB589" i="15" s="1"/>
  <c r="BJ589" i="15"/>
  <c r="K590" i="15"/>
  <c r="AK590" i="15" s="1"/>
  <c r="Z590" i="15"/>
  <c r="AD590" i="15"/>
  <c r="AE590" i="15"/>
  <c r="AF590" i="15"/>
  <c r="AG590" i="15"/>
  <c r="AH590" i="15"/>
  <c r="AJ590" i="15"/>
  <c r="AL590" i="15"/>
  <c r="AO590" i="15"/>
  <c r="AP590" i="15"/>
  <c r="AX590" i="15" s="1"/>
  <c r="BD590" i="15"/>
  <c r="BF590" i="15"/>
  <c r="BJ590" i="15"/>
  <c r="K591" i="15"/>
  <c r="AK591" i="15" s="1"/>
  <c r="Z591" i="15"/>
  <c r="AD591" i="15"/>
  <c r="AE591" i="15"/>
  <c r="AF591" i="15"/>
  <c r="AG591" i="15"/>
  <c r="AH591" i="15"/>
  <c r="AJ591" i="15"/>
  <c r="AL591" i="15"/>
  <c r="AO591" i="15"/>
  <c r="I591" i="15" s="1"/>
  <c r="AP591" i="15"/>
  <c r="J591" i="15" s="1"/>
  <c r="BD591" i="15"/>
  <c r="BF591" i="15"/>
  <c r="BJ591" i="15"/>
  <c r="K592" i="15"/>
  <c r="AK592" i="15" s="1"/>
  <c r="Z592" i="15"/>
  <c r="AD592" i="15"/>
  <c r="AE592" i="15"/>
  <c r="AF592" i="15"/>
  <c r="AG592" i="15"/>
  <c r="AH592" i="15"/>
  <c r="AJ592" i="15"/>
  <c r="AL592" i="15"/>
  <c r="AO592" i="15"/>
  <c r="AP592" i="15"/>
  <c r="J592" i="15" s="1"/>
  <c r="BD592" i="15"/>
  <c r="BF592" i="15"/>
  <c r="BJ592" i="15"/>
  <c r="K593" i="15"/>
  <c r="AK593" i="15" s="1"/>
  <c r="Z593" i="15"/>
  <c r="AD593" i="15"/>
  <c r="AE593" i="15"/>
  <c r="AF593" i="15"/>
  <c r="AG593" i="15"/>
  <c r="AH593" i="15"/>
  <c r="AJ593" i="15"/>
  <c r="AL593" i="15"/>
  <c r="AO593" i="15"/>
  <c r="AP593" i="15"/>
  <c r="J593" i="15" s="1"/>
  <c r="BD593" i="15"/>
  <c r="BF593" i="15"/>
  <c r="BJ593" i="15"/>
  <c r="K594" i="15"/>
  <c r="Z594" i="15"/>
  <c r="AD594" i="15"/>
  <c r="AE594" i="15"/>
  <c r="AF594" i="15"/>
  <c r="AG594" i="15"/>
  <c r="AH594" i="15"/>
  <c r="AJ594" i="15"/>
  <c r="AK594" i="15"/>
  <c r="AL594" i="15"/>
  <c r="AO594" i="15"/>
  <c r="AP594" i="15"/>
  <c r="BI594" i="15" s="1"/>
  <c r="AC594" i="15" s="1"/>
  <c r="BD594" i="15"/>
  <c r="BF594" i="15"/>
  <c r="BJ594" i="15"/>
  <c r="K595" i="15"/>
  <c r="Z595" i="15"/>
  <c r="AD595" i="15"/>
  <c r="AE595" i="15"/>
  <c r="AF595" i="15"/>
  <c r="AG595" i="15"/>
  <c r="AH595" i="15"/>
  <c r="AJ595" i="15"/>
  <c r="AK595" i="15"/>
  <c r="AL595" i="15"/>
  <c r="AO595" i="15"/>
  <c r="AW595" i="15" s="1"/>
  <c r="AP595" i="15"/>
  <c r="J595" i="15" s="1"/>
  <c r="BD595" i="15"/>
  <c r="BF595" i="15"/>
  <c r="BJ595" i="15"/>
  <c r="K596" i="15"/>
  <c r="AK596" i="15" s="1"/>
  <c r="Z596" i="15"/>
  <c r="AD596" i="15"/>
  <c r="AE596" i="15"/>
  <c r="AF596" i="15"/>
  <c r="AG596" i="15"/>
  <c r="AH596" i="15"/>
  <c r="AJ596" i="15"/>
  <c r="AL596" i="15"/>
  <c r="AO596" i="15"/>
  <c r="AP596" i="15"/>
  <c r="BD596" i="15"/>
  <c r="BF596" i="15"/>
  <c r="BH596" i="15"/>
  <c r="AB596" i="15" s="1"/>
  <c r="BJ596" i="15"/>
  <c r="K597" i="15"/>
  <c r="AK597" i="15" s="1"/>
  <c r="Z597" i="15"/>
  <c r="AD597" i="15"/>
  <c r="AE597" i="15"/>
  <c r="AF597" i="15"/>
  <c r="AG597" i="15"/>
  <c r="AH597" i="15"/>
  <c r="AJ597" i="15"/>
  <c r="AL597" i="15"/>
  <c r="AO597" i="15"/>
  <c r="I597" i="15" s="1"/>
  <c r="AP597" i="15"/>
  <c r="J597" i="15" s="1"/>
  <c r="BD597" i="15"/>
  <c r="BF597" i="15"/>
  <c r="BH597" i="15"/>
  <c r="AB597" i="15" s="1"/>
  <c r="BJ597" i="15"/>
  <c r="K598" i="15"/>
  <c r="AK598" i="15" s="1"/>
  <c r="Z598" i="15"/>
  <c r="AD598" i="15"/>
  <c r="AE598" i="15"/>
  <c r="AF598" i="15"/>
  <c r="AG598" i="15"/>
  <c r="AH598" i="15"/>
  <c r="AJ598" i="15"/>
  <c r="AL598" i="15"/>
  <c r="AO598" i="15"/>
  <c r="AP598" i="15"/>
  <c r="AX598" i="15" s="1"/>
  <c r="BD598" i="15"/>
  <c r="BF598" i="15"/>
  <c r="BJ598" i="15"/>
  <c r="K599" i="15"/>
  <c r="AK599" i="15" s="1"/>
  <c r="Z599" i="15"/>
  <c r="AD599" i="15"/>
  <c r="AE599" i="15"/>
  <c r="AF599" i="15"/>
  <c r="AG599" i="15"/>
  <c r="AH599" i="15"/>
  <c r="AJ599" i="15"/>
  <c r="AL599" i="15"/>
  <c r="AO599" i="15"/>
  <c r="AP599" i="15"/>
  <c r="J599" i="15" s="1"/>
  <c r="BD599" i="15"/>
  <c r="BF599" i="15"/>
  <c r="BJ599" i="15"/>
  <c r="K600" i="15"/>
  <c r="AK600" i="15" s="1"/>
  <c r="Z600" i="15"/>
  <c r="AD600" i="15"/>
  <c r="AE600" i="15"/>
  <c r="AF600" i="15"/>
  <c r="AG600" i="15"/>
  <c r="AH600" i="15"/>
  <c r="AJ600" i="15"/>
  <c r="AL600" i="15"/>
  <c r="AO600" i="15"/>
  <c r="AP600" i="15"/>
  <c r="J600" i="15" s="1"/>
  <c r="BD600" i="15"/>
  <c r="BF600" i="15"/>
  <c r="BJ600" i="15"/>
  <c r="K601" i="15"/>
  <c r="AK601" i="15" s="1"/>
  <c r="Z601" i="15"/>
  <c r="AD601" i="15"/>
  <c r="AE601" i="15"/>
  <c r="AF601" i="15"/>
  <c r="AG601" i="15"/>
  <c r="AH601" i="15"/>
  <c r="AJ601" i="15"/>
  <c r="AL601" i="15"/>
  <c r="AO601" i="15"/>
  <c r="AP601" i="15"/>
  <c r="J601" i="15" s="1"/>
  <c r="BD601" i="15"/>
  <c r="BF601" i="15"/>
  <c r="BJ601" i="15"/>
  <c r="K602" i="15"/>
  <c r="Z602" i="15"/>
  <c r="AD602" i="15"/>
  <c r="AE602" i="15"/>
  <c r="AF602" i="15"/>
  <c r="AG602" i="15"/>
  <c r="AH602" i="15"/>
  <c r="AJ602" i="15"/>
  <c r="AK602" i="15"/>
  <c r="AL602" i="15"/>
  <c r="AO602" i="15"/>
  <c r="BH602" i="15" s="1"/>
  <c r="AB602" i="15" s="1"/>
  <c r="AP602" i="15"/>
  <c r="BI602" i="15" s="1"/>
  <c r="AC602" i="15" s="1"/>
  <c r="BD602" i="15"/>
  <c r="BF602" i="15"/>
  <c r="BJ602" i="15"/>
  <c r="K603" i="15"/>
  <c r="Z603" i="15"/>
  <c r="AD603" i="15"/>
  <c r="AE603" i="15"/>
  <c r="AF603" i="15"/>
  <c r="AG603" i="15"/>
  <c r="AH603" i="15"/>
  <c r="AJ603" i="15"/>
  <c r="AK603" i="15"/>
  <c r="AL603" i="15"/>
  <c r="AO603" i="15"/>
  <c r="AW603" i="15" s="1"/>
  <c r="AP603" i="15"/>
  <c r="BD603" i="15"/>
  <c r="BF603" i="15"/>
  <c r="BJ603" i="15"/>
  <c r="K604" i="15"/>
  <c r="AK604" i="15" s="1"/>
  <c r="Z604" i="15"/>
  <c r="AD604" i="15"/>
  <c r="AE604" i="15"/>
  <c r="AF604" i="15"/>
  <c r="AG604" i="15"/>
  <c r="AH604" i="15"/>
  <c r="AJ604" i="15"/>
  <c r="AL604" i="15"/>
  <c r="AO604" i="15"/>
  <c r="AP604" i="15"/>
  <c r="BI604" i="15" s="1"/>
  <c r="AC604" i="15" s="1"/>
  <c r="BD604" i="15"/>
  <c r="BF604" i="15"/>
  <c r="BH604" i="15"/>
  <c r="AB604" i="15" s="1"/>
  <c r="BJ604" i="15"/>
  <c r="K605" i="15"/>
  <c r="AK605" i="15" s="1"/>
  <c r="Z605" i="15"/>
  <c r="AD605" i="15"/>
  <c r="AE605" i="15"/>
  <c r="AF605" i="15"/>
  <c r="AG605" i="15"/>
  <c r="AH605" i="15"/>
  <c r="AJ605" i="15"/>
  <c r="AL605" i="15"/>
  <c r="AO605" i="15"/>
  <c r="I605" i="15" s="1"/>
  <c r="AP605" i="15"/>
  <c r="BI605" i="15" s="1"/>
  <c r="AC605" i="15" s="1"/>
  <c r="BD605" i="15"/>
  <c r="BF605" i="15"/>
  <c r="BJ605" i="15"/>
  <c r="K606" i="15"/>
  <c r="AK606" i="15" s="1"/>
  <c r="Z606" i="15"/>
  <c r="AD606" i="15"/>
  <c r="AE606" i="15"/>
  <c r="AF606" i="15"/>
  <c r="AG606" i="15"/>
  <c r="AH606" i="15"/>
  <c r="AJ606" i="15"/>
  <c r="AL606" i="15"/>
  <c r="AO606" i="15"/>
  <c r="BH606" i="15" s="1"/>
  <c r="AB606" i="15" s="1"/>
  <c r="AP606" i="15"/>
  <c r="BD606" i="15"/>
  <c r="BF606" i="15"/>
  <c r="BJ606" i="15"/>
  <c r="K607" i="15"/>
  <c r="AK607" i="15" s="1"/>
  <c r="Z607" i="15"/>
  <c r="AD607" i="15"/>
  <c r="AE607" i="15"/>
  <c r="AF607" i="15"/>
  <c r="AG607" i="15"/>
  <c r="AH607" i="15"/>
  <c r="AJ607" i="15"/>
  <c r="AL607" i="15"/>
  <c r="AO607" i="15"/>
  <c r="AP607" i="15"/>
  <c r="BD607" i="15"/>
  <c r="BF607" i="15"/>
  <c r="BH607" i="15"/>
  <c r="AB607" i="15" s="1"/>
  <c r="BJ607" i="15"/>
  <c r="K608" i="15"/>
  <c r="AK608" i="15" s="1"/>
  <c r="Z608" i="15"/>
  <c r="AD608" i="15"/>
  <c r="AE608" i="15"/>
  <c r="AF608" i="15"/>
  <c r="AG608" i="15"/>
  <c r="AH608" i="15"/>
  <c r="AJ608" i="15"/>
  <c r="AL608" i="15"/>
  <c r="AO608" i="15"/>
  <c r="AP608" i="15"/>
  <c r="J608" i="15" s="1"/>
  <c r="BD608" i="15"/>
  <c r="BF608" i="15"/>
  <c r="BJ608" i="15"/>
  <c r="K609" i="15"/>
  <c r="AK609" i="15" s="1"/>
  <c r="Z609" i="15"/>
  <c r="AD609" i="15"/>
  <c r="AE609" i="15"/>
  <c r="AF609" i="15"/>
  <c r="AG609" i="15"/>
  <c r="AH609" i="15"/>
  <c r="AJ609" i="15"/>
  <c r="AL609" i="15"/>
  <c r="AO609" i="15"/>
  <c r="I609" i="15" s="1"/>
  <c r="AP609" i="15"/>
  <c r="BD609" i="15"/>
  <c r="BF609" i="15"/>
  <c r="BJ609" i="15"/>
  <c r="K610" i="15"/>
  <c r="AK610" i="15" s="1"/>
  <c r="Z610" i="15"/>
  <c r="AD610" i="15"/>
  <c r="AE610" i="15"/>
  <c r="AF610" i="15"/>
  <c r="AG610" i="15"/>
  <c r="AH610" i="15"/>
  <c r="AJ610" i="15"/>
  <c r="AL610" i="15"/>
  <c r="AO610" i="15"/>
  <c r="AP610" i="15"/>
  <c r="AX610" i="15" s="1"/>
  <c r="BD610" i="15"/>
  <c r="BF610" i="15"/>
  <c r="BJ610" i="15"/>
  <c r="K611" i="15"/>
  <c r="Z611" i="15"/>
  <c r="AD611" i="15"/>
  <c r="AE611" i="15"/>
  <c r="AF611" i="15"/>
  <c r="AG611" i="15"/>
  <c r="AH611" i="15"/>
  <c r="AJ611" i="15"/>
  <c r="AK611" i="15"/>
  <c r="AL611" i="15"/>
  <c r="AO611" i="15"/>
  <c r="AW611" i="15" s="1"/>
  <c r="AP611" i="15"/>
  <c r="BI611" i="15" s="1"/>
  <c r="AC611" i="15" s="1"/>
  <c r="BD611" i="15"/>
  <c r="BF611" i="15"/>
  <c r="BJ611" i="15"/>
  <c r="K612" i="15"/>
  <c r="AK612" i="15" s="1"/>
  <c r="Z612" i="15"/>
  <c r="AD612" i="15"/>
  <c r="AE612" i="15"/>
  <c r="AF612" i="15"/>
  <c r="AG612" i="15"/>
  <c r="AH612" i="15"/>
  <c r="AJ612" i="15"/>
  <c r="AL612" i="15"/>
  <c r="AO612" i="15"/>
  <c r="AW612" i="15" s="1"/>
  <c r="AP612" i="15"/>
  <c r="J612" i="15" s="1"/>
  <c r="BD612" i="15"/>
  <c r="BF612" i="15"/>
  <c r="BJ612" i="15"/>
  <c r="K613" i="15"/>
  <c r="AK613" i="15" s="1"/>
  <c r="Z613" i="15"/>
  <c r="AD613" i="15"/>
  <c r="AE613" i="15"/>
  <c r="AF613" i="15"/>
  <c r="AG613" i="15"/>
  <c r="AH613" i="15"/>
  <c r="AJ613" i="15"/>
  <c r="AL613" i="15"/>
  <c r="AO613" i="15"/>
  <c r="I613" i="15" s="1"/>
  <c r="AP613" i="15"/>
  <c r="J613" i="15" s="1"/>
  <c r="BD613" i="15"/>
  <c r="BF613" i="15"/>
  <c r="BJ613" i="15"/>
  <c r="K614" i="15"/>
  <c r="AK614" i="15" s="1"/>
  <c r="Z614" i="15"/>
  <c r="AD614" i="15"/>
  <c r="AE614" i="15"/>
  <c r="AF614" i="15"/>
  <c r="AG614" i="15"/>
  <c r="AH614" i="15"/>
  <c r="AJ614" i="15"/>
  <c r="AL614" i="15"/>
  <c r="AO614" i="15"/>
  <c r="BH614" i="15" s="1"/>
  <c r="AB614" i="15" s="1"/>
  <c r="AP614" i="15"/>
  <c r="BD614" i="15"/>
  <c r="BF614" i="15"/>
  <c r="BJ614" i="15"/>
  <c r="K615" i="15"/>
  <c r="AK615" i="15" s="1"/>
  <c r="Z615" i="15"/>
  <c r="AD615" i="15"/>
  <c r="AE615" i="15"/>
  <c r="AF615" i="15"/>
  <c r="AG615" i="15"/>
  <c r="AH615" i="15"/>
  <c r="AJ615" i="15"/>
  <c r="AL615" i="15"/>
  <c r="AO615" i="15"/>
  <c r="AW615" i="15" s="1"/>
  <c r="AP615" i="15"/>
  <c r="BD615" i="15"/>
  <c r="BF615" i="15"/>
  <c r="BH615" i="15"/>
  <c r="AB615" i="15" s="1"/>
  <c r="BJ615" i="15"/>
  <c r="K616" i="15"/>
  <c r="AK616" i="15" s="1"/>
  <c r="Z616" i="15"/>
  <c r="AD616" i="15"/>
  <c r="AE616" i="15"/>
  <c r="AF616" i="15"/>
  <c r="AG616" i="15"/>
  <c r="AH616" i="15"/>
  <c r="AJ616" i="15"/>
  <c r="AL616" i="15"/>
  <c r="AO616" i="15"/>
  <c r="AP616" i="15"/>
  <c r="J616" i="15" s="1"/>
  <c r="BD616" i="15"/>
  <c r="BF616" i="15"/>
  <c r="BJ616" i="15"/>
  <c r="K617" i="15"/>
  <c r="AK617" i="15" s="1"/>
  <c r="Z617" i="15"/>
  <c r="AD617" i="15"/>
  <c r="AE617" i="15"/>
  <c r="AF617" i="15"/>
  <c r="AG617" i="15"/>
  <c r="AH617" i="15"/>
  <c r="AJ617" i="15"/>
  <c r="AL617" i="15"/>
  <c r="AO617" i="15"/>
  <c r="I617" i="15" s="1"/>
  <c r="AP617" i="15"/>
  <c r="BD617" i="15"/>
  <c r="BF617" i="15"/>
  <c r="BH617" i="15"/>
  <c r="AB617" i="15" s="1"/>
  <c r="BJ617" i="15"/>
  <c r="K618" i="15"/>
  <c r="AK618" i="15" s="1"/>
  <c r="Z618" i="15"/>
  <c r="AD618" i="15"/>
  <c r="AE618" i="15"/>
  <c r="AF618" i="15"/>
  <c r="AG618" i="15"/>
  <c r="AH618" i="15"/>
  <c r="AJ618" i="15"/>
  <c r="AL618" i="15"/>
  <c r="AO618" i="15"/>
  <c r="BH618" i="15" s="1"/>
  <c r="AB618" i="15" s="1"/>
  <c r="AP618" i="15"/>
  <c r="BD618" i="15"/>
  <c r="BF618" i="15"/>
  <c r="BJ618" i="15"/>
  <c r="K619" i="15"/>
  <c r="AK619" i="15" s="1"/>
  <c r="Z619" i="15"/>
  <c r="AD619" i="15"/>
  <c r="AE619" i="15"/>
  <c r="AF619" i="15"/>
  <c r="AG619" i="15"/>
  <c r="AH619" i="15"/>
  <c r="AJ619" i="15"/>
  <c r="AL619" i="15"/>
  <c r="AO619" i="15"/>
  <c r="I619" i="15" s="1"/>
  <c r="AP619" i="15"/>
  <c r="J619" i="15" s="1"/>
  <c r="BD619" i="15"/>
  <c r="BF619" i="15"/>
  <c r="BJ619" i="15"/>
  <c r="K620" i="15"/>
  <c r="AK620" i="15" s="1"/>
  <c r="Z620" i="15"/>
  <c r="AD620" i="15"/>
  <c r="AE620" i="15"/>
  <c r="AF620" i="15"/>
  <c r="AG620" i="15"/>
  <c r="AH620" i="15"/>
  <c r="AJ620" i="15"/>
  <c r="AL620" i="15"/>
  <c r="AO620" i="15"/>
  <c r="I620" i="15" s="1"/>
  <c r="AP620" i="15"/>
  <c r="BI620" i="15" s="1"/>
  <c r="AC620" i="15" s="1"/>
  <c r="BD620" i="15"/>
  <c r="BF620" i="15"/>
  <c r="BJ620" i="15"/>
  <c r="K621" i="15"/>
  <c r="AK621" i="15" s="1"/>
  <c r="Z621" i="15"/>
  <c r="AD621" i="15"/>
  <c r="AE621" i="15"/>
  <c r="AF621" i="15"/>
  <c r="AG621" i="15"/>
  <c r="AH621" i="15"/>
  <c r="AJ621" i="15"/>
  <c r="AL621" i="15"/>
  <c r="AO621" i="15"/>
  <c r="I621" i="15" s="1"/>
  <c r="AP621" i="15"/>
  <c r="BD621" i="15"/>
  <c r="BF621" i="15"/>
  <c r="BH621" i="15"/>
  <c r="AB621" i="15" s="1"/>
  <c r="BJ621" i="15"/>
  <c r="K622" i="15"/>
  <c r="AK622" i="15" s="1"/>
  <c r="Z622" i="15"/>
  <c r="AD622" i="15"/>
  <c r="AE622" i="15"/>
  <c r="AF622" i="15"/>
  <c r="AG622" i="15"/>
  <c r="AH622" i="15"/>
  <c r="AJ622" i="15"/>
  <c r="AL622" i="15"/>
  <c r="AO622" i="15"/>
  <c r="AP622" i="15"/>
  <c r="AX622" i="15" s="1"/>
  <c r="BD622" i="15"/>
  <c r="BF622" i="15"/>
  <c r="BJ622" i="15"/>
  <c r="K623" i="15"/>
  <c r="Z623" i="15"/>
  <c r="AD623" i="15"/>
  <c r="AE623" i="15"/>
  <c r="AF623" i="15"/>
  <c r="AG623" i="15"/>
  <c r="AH623" i="15"/>
  <c r="AJ623" i="15"/>
  <c r="AK623" i="15"/>
  <c r="AL623" i="15"/>
  <c r="AO623" i="15"/>
  <c r="AW623" i="15" s="1"/>
  <c r="AP623" i="15"/>
  <c r="BD623" i="15"/>
  <c r="BF623" i="15"/>
  <c r="BJ623" i="15"/>
  <c r="K624" i="15"/>
  <c r="AK624" i="15" s="1"/>
  <c r="Z624" i="15"/>
  <c r="AD624" i="15"/>
  <c r="AE624" i="15"/>
  <c r="AF624" i="15"/>
  <c r="AG624" i="15"/>
  <c r="AH624" i="15"/>
  <c r="AJ624" i="15"/>
  <c r="AL624" i="15"/>
  <c r="AO624" i="15"/>
  <c r="AW624" i="15" s="1"/>
  <c r="AP624" i="15"/>
  <c r="J624" i="15" s="1"/>
  <c r="BD624" i="15"/>
  <c r="BF624" i="15"/>
  <c r="BJ624" i="15"/>
  <c r="K626" i="15"/>
  <c r="Z626" i="15"/>
  <c r="AD626" i="15"/>
  <c r="AE626" i="15"/>
  <c r="AF626" i="15"/>
  <c r="AG626" i="15"/>
  <c r="AH626" i="15"/>
  <c r="AJ626" i="15"/>
  <c r="AK626" i="15"/>
  <c r="AL626" i="15"/>
  <c r="AO626" i="15"/>
  <c r="AW626" i="15" s="1"/>
  <c r="AP626" i="15"/>
  <c r="BD626" i="15"/>
  <c r="BF626" i="15"/>
  <c r="BJ626" i="15"/>
  <c r="K627" i="15"/>
  <c r="AK627" i="15" s="1"/>
  <c r="Z627" i="15"/>
  <c r="AD627" i="15"/>
  <c r="AE627" i="15"/>
  <c r="AF627" i="15"/>
  <c r="AG627" i="15"/>
  <c r="AH627" i="15"/>
  <c r="AJ627" i="15"/>
  <c r="AL627" i="15"/>
  <c r="AO627" i="15"/>
  <c r="I627" i="15" s="1"/>
  <c r="AP627" i="15"/>
  <c r="J627" i="15" s="1"/>
  <c r="BD627" i="15"/>
  <c r="BF627" i="15"/>
  <c r="BJ627" i="15"/>
  <c r="K628" i="15"/>
  <c r="Z628" i="15"/>
  <c r="AD628" i="15"/>
  <c r="AE628" i="15"/>
  <c r="AF628" i="15"/>
  <c r="AG628" i="15"/>
  <c r="AH628" i="15"/>
  <c r="AJ628" i="15"/>
  <c r="AL628" i="15"/>
  <c r="AO628" i="15"/>
  <c r="I628" i="15" s="1"/>
  <c r="AP628" i="15"/>
  <c r="J628" i="15" s="1"/>
  <c r="BD628" i="15"/>
  <c r="BF628" i="15"/>
  <c r="BJ628" i="15"/>
  <c r="K629" i="15"/>
  <c r="Z629" i="15"/>
  <c r="AD629" i="15"/>
  <c r="AE629" i="15"/>
  <c r="AF629" i="15"/>
  <c r="AG629" i="15"/>
  <c r="AH629" i="15"/>
  <c r="AJ629" i="15"/>
  <c r="AK629" i="15"/>
  <c r="AL629" i="15"/>
  <c r="AO629" i="15"/>
  <c r="I629" i="15" s="1"/>
  <c r="AP629" i="15"/>
  <c r="AX629" i="15" s="1"/>
  <c r="BD629" i="15"/>
  <c r="BF629" i="15"/>
  <c r="BI629" i="15"/>
  <c r="AC629" i="15" s="1"/>
  <c r="BJ629" i="15"/>
  <c r="K630" i="15"/>
  <c r="AK630" i="15" s="1"/>
  <c r="Z630" i="15"/>
  <c r="AD630" i="15"/>
  <c r="AE630" i="15"/>
  <c r="AF630" i="15"/>
  <c r="AG630" i="15"/>
  <c r="AH630" i="15"/>
  <c r="AJ630" i="15"/>
  <c r="AL630" i="15"/>
  <c r="AO630" i="15"/>
  <c r="AW630" i="15" s="1"/>
  <c r="AP630" i="15"/>
  <c r="J630" i="15" s="1"/>
  <c r="BD630" i="15"/>
  <c r="BF630" i="15"/>
  <c r="BJ630" i="15"/>
  <c r="K631" i="15"/>
  <c r="AK631" i="15" s="1"/>
  <c r="Z631" i="15"/>
  <c r="AD631" i="15"/>
  <c r="AE631" i="15"/>
  <c r="AF631" i="15"/>
  <c r="AG631" i="15"/>
  <c r="AH631" i="15"/>
  <c r="AJ631" i="15"/>
  <c r="AL631" i="15"/>
  <c r="AO631" i="15"/>
  <c r="I631" i="15" s="1"/>
  <c r="AP631" i="15"/>
  <c r="J631" i="15" s="1"/>
  <c r="AW631" i="15"/>
  <c r="BD631" i="15"/>
  <c r="BF631" i="15"/>
  <c r="BJ631" i="15"/>
  <c r="K632" i="15"/>
  <c r="AK632" i="15" s="1"/>
  <c r="Z632" i="15"/>
  <c r="AD632" i="15"/>
  <c r="AE632" i="15"/>
  <c r="AF632" i="15"/>
  <c r="AG632" i="15"/>
  <c r="AH632" i="15"/>
  <c r="AJ632" i="15"/>
  <c r="AL632" i="15"/>
  <c r="AO632" i="15"/>
  <c r="I632" i="15" s="1"/>
  <c r="AP632" i="15"/>
  <c r="J632" i="15" s="1"/>
  <c r="BD632" i="15"/>
  <c r="BF632" i="15"/>
  <c r="BJ632" i="15"/>
  <c r="B2" i="14"/>
  <c r="E2" i="14"/>
  <c r="B4" i="14"/>
  <c r="E4" i="14"/>
  <c r="B6" i="14"/>
  <c r="E6" i="14"/>
  <c r="B8" i="14"/>
  <c r="C2" i="13"/>
  <c r="F2" i="13"/>
  <c r="C4" i="13"/>
  <c r="F4" i="13"/>
  <c r="C6" i="13"/>
  <c r="F6" i="13"/>
  <c r="C10" i="13"/>
  <c r="F10" i="13"/>
  <c r="F22" i="13"/>
  <c r="I22" i="13"/>
  <c r="C2" i="12"/>
  <c r="F2" i="12"/>
  <c r="C4" i="12"/>
  <c r="F4" i="12"/>
  <c r="C6" i="12"/>
  <c r="F6" i="12"/>
  <c r="C8" i="12"/>
  <c r="K13" i="11"/>
  <c r="AK13" i="11" s="1"/>
  <c r="Z13" i="11"/>
  <c r="AD13" i="11"/>
  <c r="AE13" i="11"/>
  <c r="AF13" i="11"/>
  <c r="AG13" i="11"/>
  <c r="AH13" i="11"/>
  <c r="AJ13" i="11"/>
  <c r="AL13" i="11"/>
  <c r="AO13" i="11"/>
  <c r="AP13" i="11"/>
  <c r="AX13" i="11" s="1"/>
  <c r="BD13" i="11"/>
  <c r="BF13" i="11"/>
  <c r="BJ13" i="11"/>
  <c r="K14" i="11"/>
  <c r="AK14" i="11" s="1"/>
  <c r="Z14" i="11"/>
  <c r="AD14" i="11"/>
  <c r="AE14" i="11"/>
  <c r="AF14" i="11"/>
  <c r="AG14" i="11"/>
  <c r="AH14" i="11"/>
  <c r="AJ14" i="11"/>
  <c r="AL14" i="11"/>
  <c r="AO14" i="11"/>
  <c r="AP14" i="11"/>
  <c r="BD14" i="11"/>
  <c r="BF14" i="11"/>
  <c r="BJ14" i="11"/>
  <c r="K15" i="11"/>
  <c r="Z15" i="11"/>
  <c r="AD15" i="11"/>
  <c r="AE15" i="11"/>
  <c r="AF15" i="11"/>
  <c r="AG15" i="11"/>
  <c r="AH15" i="11"/>
  <c r="AJ15" i="11"/>
  <c r="AL15" i="11"/>
  <c r="AO15" i="11"/>
  <c r="AP15" i="11"/>
  <c r="J15" i="11" s="1"/>
  <c r="BD15" i="11"/>
  <c r="BF15" i="11"/>
  <c r="BH15" i="11"/>
  <c r="AB15" i="11" s="1"/>
  <c r="BJ15" i="11"/>
  <c r="K16" i="11"/>
  <c r="AK16" i="11" s="1"/>
  <c r="Z16" i="11"/>
  <c r="AD16" i="11"/>
  <c r="AE16" i="11"/>
  <c r="AF16" i="11"/>
  <c r="AG16" i="11"/>
  <c r="AH16" i="11"/>
  <c r="AJ16" i="11"/>
  <c r="AL16" i="11"/>
  <c r="AO16" i="11"/>
  <c r="AP16" i="11"/>
  <c r="J16" i="11" s="1"/>
  <c r="BD16" i="11"/>
  <c r="BF16" i="11"/>
  <c r="BI16" i="11"/>
  <c r="AC16" i="11" s="1"/>
  <c r="BJ16" i="11"/>
  <c r="K17" i="11"/>
  <c r="Z17" i="11"/>
  <c r="AD17" i="11"/>
  <c r="AE17" i="11"/>
  <c r="AF17" i="11"/>
  <c r="AG17" i="11"/>
  <c r="AH17" i="11"/>
  <c r="AJ17" i="11"/>
  <c r="AK17" i="11"/>
  <c r="AL17" i="11"/>
  <c r="AO17" i="11"/>
  <c r="I17" i="11" s="1"/>
  <c r="AP17" i="11"/>
  <c r="BD17" i="11"/>
  <c r="BF17" i="11"/>
  <c r="BJ17" i="11"/>
  <c r="K18" i="11"/>
  <c r="Z18" i="11"/>
  <c r="AD18" i="11"/>
  <c r="AE18" i="11"/>
  <c r="AF18" i="11"/>
  <c r="AG18" i="11"/>
  <c r="AH18" i="11"/>
  <c r="AJ18" i="11"/>
  <c r="AK18" i="11"/>
  <c r="AL18" i="11"/>
  <c r="AO18" i="11"/>
  <c r="I18" i="11" s="1"/>
  <c r="AP18" i="11"/>
  <c r="BD18" i="11"/>
  <c r="BF18" i="11"/>
  <c r="BJ18" i="11"/>
  <c r="K20" i="11"/>
  <c r="AK20" i="11" s="1"/>
  <c r="AT19" i="11" s="1"/>
  <c r="Z20" i="11"/>
  <c r="AD20" i="11"/>
  <c r="AE20" i="11"/>
  <c r="AF20" i="11"/>
  <c r="AG20" i="11"/>
  <c r="AH20" i="11"/>
  <c r="AJ20" i="11"/>
  <c r="AS19" i="11" s="1"/>
  <c r="AL20" i="11"/>
  <c r="AU19" i="11" s="1"/>
  <c r="AO20" i="11"/>
  <c r="I20" i="11" s="1"/>
  <c r="I19" i="11" s="1"/>
  <c r="AP20" i="11"/>
  <c r="BD20" i="11"/>
  <c r="BF20" i="11"/>
  <c r="BJ20" i="11"/>
  <c r="K22" i="11"/>
  <c r="Z22" i="11"/>
  <c r="AD22" i="11"/>
  <c r="AE22" i="11"/>
  <c r="AF22" i="11"/>
  <c r="AG22" i="11"/>
  <c r="AH22" i="11"/>
  <c r="AJ22" i="11"/>
  <c r="AL22" i="11"/>
  <c r="AO22" i="11"/>
  <c r="AP22" i="11"/>
  <c r="J22" i="11" s="1"/>
  <c r="BD22" i="11"/>
  <c r="BF22" i="11"/>
  <c r="BI22" i="11"/>
  <c r="AC22" i="11" s="1"/>
  <c r="BJ22" i="11"/>
  <c r="K23" i="11"/>
  <c r="Z23" i="11"/>
  <c r="AD23" i="11"/>
  <c r="AE23" i="11"/>
  <c r="AF23" i="11"/>
  <c r="AG23" i="11"/>
  <c r="AH23" i="11"/>
  <c r="AJ23" i="11"/>
  <c r="AK23" i="11"/>
  <c r="AL23" i="11"/>
  <c r="AO23" i="11"/>
  <c r="I23" i="11" s="1"/>
  <c r="AP23" i="11"/>
  <c r="AX23" i="11" s="1"/>
  <c r="BD23" i="11"/>
  <c r="BF23" i="11"/>
  <c r="BI23" i="11"/>
  <c r="AC23" i="11" s="1"/>
  <c r="BJ23" i="11"/>
  <c r="K24" i="11"/>
  <c r="Z24" i="11"/>
  <c r="AD24" i="11"/>
  <c r="AE24" i="11"/>
  <c r="AF24" i="11"/>
  <c r="AG24" i="11"/>
  <c r="AH24" i="11"/>
  <c r="AJ24" i="11"/>
  <c r="AK24" i="11"/>
  <c r="AL24" i="11"/>
  <c r="AO24" i="11"/>
  <c r="I24" i="11" s="1"/>
  <c r="AP24" i="11"/>
  <c r="BI24" i="11" s="1"/>
  <c r="AC24" i="11" s="1"/>
  <c r="BD24" i="11"/>
  <c r="BF24" i="11"/>
  <c r="BJ24" i="11"/>
  <c r="K25" i="11"/>
  <c r="AK25" i="11" s="1"/>
  <c r="Z25" i="11"/>
  <c r="AD25" i="11"/>
  <c r="AE25" i="11"/>
  <c r="AF25" i="11"/>
  <c r="AG25" i="11"/>
  <c r="AH25" i="11"/>
  <c r="AJ25" i="11"/>
  <c r="AL25" i="11"/>
  <c r="AO25" i="11"/>
  <c r="AP25" i="11"/>
  <c r="BD25" i="11"/>
  <c r="BF25" i="11"/>
  <c r="BJ25" i="11"/>
  <c r="K27" i="11"/>
  <c r="Z27" i="11"/>
  <c r="AD27" i="11"/>
  <c r="AE27" i="11"/>
  <c r="AF27" i="11"/>
  <c r="AG27" i="11"/>
  <c r="AH27" i="11"/>
  <c r="AJ27" i="11"/>
  <c r="AK27" i="11"/>
  <c r="AL27" i="11"/>
  <c r="AO27" i="11"/>
  <c r="AP27" i="11"/>
  <c r="BI27" i="11" s="1"/>
  <c r="AC27" i="11" s="1"/>
  <c r="BD27" i="11"/>
  <c r="BF27" i="11"/>
  <c r="BJ27" i="11"/>
  <c r="K28" i="11"/>
  <c r="AK28" i="11" s="1"/>
  <c r="Z28" i="11"/>
  <c r="AD28" i="11"/>
  <c r="AE28" i="11"/>
  <c r="AF28" i="11"/>
  <c r="AG28" i="11"/>
  <c r="AH28" i="11"/>
  <c r="AJ28" i="11"/>
  <c r="AL28" i="11"/>
  <c r="AO28" i="11"/>
  <c r="BH28" i="11" s="1"/>
  <c r="AB28" i="11" s="1"/>
  <c r="AP28" i="11"/>
  <c r="BD28" i="11"/>
  <c r="BF28" i="11"/>
  <c r="BJ28" i="11"/>
  <c r="K29" i="11"/>
  <c r="AK29" i="11" s="1"/>
  <c r="Z29" i="11"/>
  <c r="AD29" i="11"/>
  <c r="AE29" i="11"/>
  <c r="AF29" i="11"/>
  <c r="AG29" i="11"/>
  <c r="AH29" i="11"/>
  <c r="AJ29" i="11"/>
  <c r="AL29" i="11"/>
  <c r="AO29" i="11"/>
  <c r="I29" i="11" s="1"/>
  <c r="AP29" i="11"/>
  <c r="AX29" i="11" s="1"/>
  <c r="BD29" i="11"/>
  <c r="BF29" i="11"/>
  <c r="BJ29" i="11"/>
  <c r="K31" i="11"/>
  <c r="Z31" i="11"/>
  <c r="AD31" i="11"/>
  <c r="AE31" i="11"/>
  <c r="AF31" i="11"/>
  <c r="AG31" i="11"/>
  <c r="AH31" i="11"/>
  <c r="AJ31" i="11"/>
  <c r="AL31" i="11"/>
  <c r="AO31" i="11"/>
  <c r="AP31" i="11"/>
  <c r="BI31" i="11" s="1"/>
  <c r="AC31" i="11" s="1"/>
  <c r="BD31" i="11"/>
  <c r="BF31" i="11"/>
  <c r="BJ31" i="11"/>
  <c r="K32" i="11"/>
  <c r="AK32" i="11" s="1"/>
  <c r="Z32" i="11"/>
  <c r="AD32" i="11"/>
  <c r="AE32" i="11"/>
  <c r="AF32" i="11"/>
  <c r="AG32" i="11"/>
  <c r="AH32" i="11"/>
  <c r="AJ32" i="11"/>
  <c r="AL32" i="11"/>
  <c r="AO32" i="11"/>
  <c r="AP32" i="11"/>
  <c r="BI32" i="11" s="1"/>
  <c r="AC32" i="11" s="1"/>
  <c r="BD32" i="11"/>
  <c r="BF32" i="11"/>
  <c r="BJ32" i="11"/>
  <c r="K33" i="11"/>
  <c r="Z33" i="11"/>
  <c r="AD33" i="11"/>
  <c r="AE33" i="11"/>
  <c r="AF33" i="11"/>
  <c r="AG33" i="11"/>
  <c r="AH33" i="11"/>
  <c r="AJ33" i="11"/>
  <c r="AK33" i="11"/>
  <c r="AL33" i="11"/>
  <c r="AO33" i="11"/>
  <c r="AP33" i="11"/>
  <c r="BD33" i="11"/>
  <c r="BF33" i="11"/>
  <c r="BJ33" i="11"/>
  <c r="K34" i="11"/>
  <c r="AK34" i="11" s="1"/>
  <c r="Z34" i="11"/>
  <c r="AD34" i="11"/>
  <c r="AE34" i="11"/>
  <c r="AF34" i="11"/>
  <c r="AG34" i="11"/>
  <c r="AH34" i="11"/>
  <c r="AJ34" i="11"/>
  <c r="AL34" i="11"/>
  <c r="AO34" i="11"/>
  <c r="AP34" i="11"/>
  <c r="BD34" i="11"/>
  <c r="BF34" i="11"/>
  <c r="BJ34" i="11"/>
  <c r="K36" i="11"/>
  <c r="K35" i="11" s="1"/>
  <c r="G16" i="10" s="1"/>
  <c r="I16" i="10" s="1"/>
  <c r="Z36" i="11"/>
  <c r="AD36" i="11"/>
  <c r="AE36" i="11"/>
  <c r="AF36" i="11"/>
  <c r="AG36" i="11"/>
  <c r="AH36" i="11"/>
  <c r="AJ36" i="11"/>
  <c r="AS35" i="11" s="1"/>
  <c r="AK36" i="11"/>
  <c r="AT35" i="11" s="1"/>
  <c r="AL36" i="11"/>
  <c r="AU35" i="11" s="1"/>
  <c r="AO36" i="11"/>
  <c r="I36" i="11" s="1"/>
  <c r="I35" i="11" s="1"/>
  <c r="E16" i="10" s="1"/>
  <c r="AP36" i="11"/>
  <c r="BD36" i="11"/>
  <c r="BF36" i="11"/>
  <c r="BJ36" i="11"/>
  <c r="K38" i="11"/>
  <c r="Z38" i="11"/>
  <c r="AD38" i="11"/>
  <c r="AE38" i="11"/>
  <c r="AF38" i="11"/>
  <c r="AG38" i="11"/>
  <c r="AH38" i="11"/>
  <c r="AJ38" i="11"/>
  <c r="AL38" i="11"/>
  <c r="AO38" i="11"/>
  <c r="AP38" i="11"/>
  <c r="BD38" i="11"/>
  <c r="BF38" i="11"/>
  <c r="BJ38" i="11"/>
  <c r="K39" i="11"/>
  <c r="AK39" i="11" s="1"/>
  <c r="Z39" i="11"/>
  <c r="AD39" i="11"/>
  <c r="AE39" i="11"/>
  <c r="AF39" i="11"/>
  <c r="AG39" i="11"/>
  <c r="AH39" i="11"/>
  <c r="AJ39" i="11"/>
  <c r="AL39" i="11"/>
  <c r="AO39" i="11"/>
  <c r="I39" i="11" s="1"/>
  <c r="AP39" i="11"/>
  <c r="AW39" i="11"/>
  <c r="BD39" i="11"/>
  <c r="BF39" i="11"/>
  <c r="BJ39" i="11"/>
  <c r="K41" i="11"/>
  <c r="Z41" i="11"/>
  <c r="AD41" i="11"/>
  <c r="AE41" i="11"/>
  <c r="AF41" i="11"/>
  <c r="AG41" i="11"/>
  <c r="AH41" i="11"/>
  <c r="AJ41" i="11"/>
  <c r="AL41" i="11"/>
  <c r="AO41" i="11"/>
  <c r="I41" i="11" s="1"/>
  <c r="AP41" i="11"/>
  <c r="J41" i="11" s="1"/>
  <c r="BD41" i="11"/>
  <c r="BF41" i="11"/>
  <c r="BJ41" i="11"/>
  <c r="K42" i="11"/>
  <c r="Z42" i="11"/>
  <c r="AD42" i="11"/>
  <c r="AE42" i="11"/>
  <c r="AF42" i="11"/>
  <c r="AG42" i="11"/>
  <c r="AH42" i="11"/>
  <c r="AJ42" i="11"/>
  <c r="AK42" i="11"/>
  <c r="AL42" i="11"/>
  <c r="AO42" i="11"/>
  <c r="I42" i="11" s="1"/>
  <c r="AP42" i="11"/>
  <c r="AX42" i="11" s="1"/>
  <c r="BD42" i="11"/>
  <c r="BF42" i="11"/>
  <c r="BH42" i="11"/>
  <c r="AB42" i="11" s="1"/>
  <c r="BJ42" i="11"/>
  <c r="K44" i="11"/>
  <c r="Z44" i="11"/>
  <c r="AD44" i="11"/>
  <c r="AE44" i="11"/>
  <c r="AF44" i="11"/>
  <c r="AG44" i="11"/>
  <c r="AH44" i="11"/>
  <c r="AJ44" i="11"/>
  <c r="AL44" i="11"/>
  <c r="AO44" i="11"/>
  <c r="AP44" i="11"/>
  <c r="BI44" i="11" s="1"/>
  <c r="AC44" i="11" s="1"/>
  <c r="BD44" i="11"/>
  <c r="BF44" i="11"/>
  <c r="BJ44" i="11"/>
  <c r="K45" i="11"/>
  <c r="Z45" i="11"/>
  <c r="AD45" i="11"/>
  <c r="AE45" i="11"/>
  <c r="AF45" i="11"/>
  <c r="AG45" i="11"/>
  <c r="AH45" i="11"/>
  <c r="AJ45" i="11"/>
  <c r="AK45" i="11"/>
  <c r="AL45" i="11"/>
  <c r="AO45" i="11"/>
  <c r="AP45" i="11"/>
  <c r="AX45" i="11" s="1"/>
  <c r="BD45" i="11"/>
  <c r="BF45" i="11"/>
  <c r="BJ45" i="11"/>
  <c r="K46" i="11"/>
  <c r="Z46" i="11"/>
  <c r="AD46" i="11"/>
  <c r="AE46" i="11"/>
  <c r="AF46" i="11"/>
  <c r="AG46" i="11"/>
  <c r="AH46" i="11"/>
  <c r="AJ46" i="11"/>
  <c r="AK46" i="11"/>
  <c r="AL46" i="11"/>
  <c r="AO46" i="11"/>
  <c r="AP46" i="11"/>
  <c r="BI46" i="11" s="1"/>
  <c r="AC46" i="11" s="1"/>
  <c r="BD46" i="11"/>
  <c r="BF46" i="11"/>
  <c r="BJ46" i="11"/>
  <c r="K47" i="11"/>
  <c r="AK47" i="11" s="1"/>
  <c r="Z47" i="11"/>
  <c r="AD47" i="11"/>
  <c r="AE47" i="11"/>
  <c r="AF47" i="11"/>
  <c r="AG47" i="11"/>
  <c r="AH47" i="11"/>
  <c r="AJ47" i="11"/>
  <c r="AL47" i="11"/>
  <c r="AO47" i="11"/>
  <c r="AP47" i="11"/>
  <c r="AX47" i="11" s="1"/>
  <c r="BD47" i="11"/>
  <c r="BF47" i="11"/>
  <c r="BH47" i="11"/>
  <c r="AB47" i="11" s="1"/>
  <c r="BJ47" i="11"/>
  <c r="K49" i="11"/>
  <c r="Z49" i="11"/>
  <c r="AD49" i="11"/>
  <c r="AE49" i="11"/>
  <c r="AF49" i="11"/>
  <c r="AG49" i="11"/>
  <c r="AH49" i="11"/>
  <c r="AJ49" i="11"/>
  <c r="AK49" i="11"/>
  <c r="AL49" i="11"/>
  <c r="AO49" i="11"/>
  <c r="I49" i="11" s="1"/>
  <c r="AP49" i="11"/>
  <c r="BD49" i="11"/>
  <c r="BF49" i="11"/>
  <c r="BH49" i="11"/>
  <c r="AB49" i="11" s="1"/>
  <c r="BJ49" i="11"/>
  <c r="K50" i="11"/>
  <c r="Z50" i="11"/>
  <c r="AD50" i="11"/>
  <c r="AE50" i="11"/>
  <c r="AF50" i="11"/>
  <c r="AG50" i="11"/>
  <c r="AH50" i="11"/>
  <c r="AJ50" i="11"/>
  <c r="AL50" i="11"/>
  <c r="AO50" i="11"/>
  <c r="AP50" i="11"/>
  <c r="J50" i="11" s="1"/>
  <c r="BD50" i="11"/>
  <c r="BF50" i="11"/>
  <c r="BH50" i="11"/>
  <c r="AB50" i="11" s="1"/>
  <c r="BJ50" i="11"/>
  <c r="K51" i="11"/>
  <c r="AK51" i="11" s="1"/>
  <c r="Z51" i="11"/>
  <c r="AD51" i="11"/>
  <c r="AE51" i="11"/>
  <c r="AF51" i="11"/>
  <c r="AG51" i="11"/>
  <c r="AH51" i="11"/>
  <c r="AJ51" i="11"/>
  <c r="AL51" i="11"/>
  <c r="AO51" i="11"/>
  <c r="I51" i="11" s="1"/>
  <c r="AP51" i="11"/>
  <c r="J51" i="11" s="1"/>
  <c r="AX51" i="11"/>
  <c r="BD51" i="11"/>
  <c r="BF51" i="11"/>
  <c r="BI51" i="11"/>
  <c r="AC51" i="11" s="1"/>
  <c r="BJ51" i="11"/>
  <c r="K53" i="11"/>
  <c r="Z53" i="11"/>
  <c r="AD53" i="11"/>
  <c r="AE53" i="11"/>
  <c r="AF53" i="11"/>
  <c r="AG53" i="11"/>
  <c r="AH53" i="11"/>
  <c r="AJ53" i="11"/>
  <c r="AS52" i="11" s="1"/>
  <c r="AL53" i="11"/>
  <c r="AU52" i="11" s="1"/>
  <c r="AO53" i="11"/>
  <c r="AP53" i="11"/>
  <c r="BD53" i="11"/>
  <c r="BF53" i="11"/>
  <c r="BJ53" i="11"/>
  <c r="K55" i="11"/>
  <c r="Z55" i="11"/>
  <c r="AD55" i="11"/>
  <c r="AE55" i="11"/>
  <c r="AF55" i="11"/>
  <c r="AG55" i="11"/>
  <c r="AH55" i="11"/>
  <c r="AJ55" i="11"/>
  <c r="AK55" i="11"/>
  <c r="AL55" i="11"/>
  <c r="AO55" i="11"/>
  <c r="I55" i="11" s="1"/>
  <c r="AP55" i="11"/>
  <c r="BI55" i="11" s="1"/>
  <c r="AC55" i="11" s="1"/>
  <c r="AW55" i="11"/>
  <c r="BD55" i="11"/>
  <c r="BF55" i="11"/>
  <c r="BH55" i="11"/>
  <c r="AB55" i="11" s="1"/>
  <c r="BJ55" i="11"/>
  <c r="K56" i="11"/>
  <c r="AK56" i="11" s="1"/>
  <c r="Z56" i="11"/>
  <c r="AD56" i="11"/>
  <c r="AE56" i="11"/>
  <c r="AF56" i="11"/>
  <c r="AG56" i="11"/>
  <c r="AH56" i="11"/>
  <c r="AJ56" i="11"/>
  <c r="AL56" i="11"/>
  <c r="AO56" i="11"/>
  <c r="AP56" i="11"/>
  <c r="BD56" i="11"/>
  <c r="BF56" i="11"/>
  <c r="BJ56" i="11"/>
  <c r="K58" i="11"/>
  <c r="AK58" i="11" s="1"/>
  <c r="Z58" i="11"/>
  <c r="AD58" i="11"/>
  <c r="AE58" i="11"/>
  <c r="AF58" i="11"/>
  <c r="AG58" i="11"/>
  <c r="AH58" i="11"/>
  <c r="AJ58" i="11"/>
  <c r="AL58" i="11"/>
  <c r="AO58" i="11"/>
  <c r="I58" i="11" s="1"/>
  <c r="AP58" i="11"/>
  <c r="BI58" i="11" s="1"/>
  <c r="AC58" i="11" s="1"/>
  <c r="BD58" i="11"/>
  <c r="BF58" i="11"/>
  <c r="BJ58" i="11"/>
  <c r="K59" i="11"/>
  <c r="AK59" i="11" s="1"/>
  <c r="Z59" i="11"/>
  <c r="AD59" i="11"/>
  <c r="AE59" i="11"/>
  <c r="AF59" i="11"/>
  <c r="AG59" i="11"/>
  <c r="AH59" i="11"/>
  <c r="AJ59" i="11"/>
  <c r="AL59" i="11"/>
  <c r="AO59" i="11"/>
  <c r="AP59" i="11"/>
  <c r="BD59" i="11"/>
  <c r="BF59" i="11"/>
  <c r="BH59" i="11"/>
  <c r="AB59" i="11" s="1"/>
  <c r="BJ59" i="11"/>
  <c r="K60" i="11"/>
  <c r="AK60" i="11" s="1"/>
  <c r="Z60" i="11"/>
  <c r="AD60" i="11"/>
  <c r="AE60" i="11"/>
  <c r="AF60" i="11"/>
  <c r="AG60" i="11"/>
  <c r="AH60" i="11"/>
  <c r="AJ60" i="11"/>
  <c r="AL60" i="11"/>
  <c r="AO60" i="11"/>
  <c r="AP60" i="11"/>
  <c r="J60" i="11" s="1"/>
  <c r="BD60" i="11"/>
  <c r="BF60" i="11"/>
  <c r="BJ60" i="11"/>
  <c r="K61" i="11"/>
  <c r="Z61" i="11"/>
  <c r="AD61" i="11"/>
  <c r="AE61" i="11"/>
  <c r="AF61" i="11"/>
  <c r="AG61" i="11"/>
  <c r="AH61" i="11"/>
  <c r="AJ61" i="11"/>
  <c r="AK61" i="11"/>
  <c r="AL61" i="11"/>
  <c r="AO61" i="11"/>
  <c r="BH61" i="11" s="1"/>
  <c r="AB61" i="11" s="1"/>
  <c r="AP61" i="11"/>
  <c r="BD61" i="11"/>
  <c r="BF61" i="11"/>
  <c r="BJ61" i="11"/>
  <c r="K63" i="11"/>
  <c r="Z63" i="11"/>
  <c r="AD63" i="11"/>
  <c r="AE63" i="11"/>
  <c r="AF63" i="11"/>
  <c r="AG63" i="11"/>
  <c r="AH63" i="11"/>
  <c r="AJ63" i="11"/>
  <c r="AL63" i="11"/>
  <c r="AO63" i="11"/>
  <c r="AP63" i="11"/>
  <c r="J63" i="11" s="1"/>
  <c r="BD63" i="11"/>
  <c r="BF63" i="11"/>
  <c r="BJ63" i="11"/>
  <c r="K64" i="11"/>
  <c r="AK64" i="11" s="1"/>
  <c r="Z64" i="11"/>
  <c r="AD64" i="11"/>
  <c r="AE64" i="11"/>
  <c r="AF64" i="11"/>
  <c r="AG64" i="11"/>
  <c r="AH64" i="11"/>
  <c r="AJ64" i="11"/>
  <c r="AL64" i="11"/>
  <c r="AO64" i="11"/>
  <c r="AP64" i="11"/>
  <c r="BD64" i="11"/>
  <c r="BF64" i="11"/>
  <c r="BJ64" i="11"/>
  <c r="K65" i="11"/>
  <c r="Z65" i="11"/>
  <c r="AD65" i="11"/>
  <c r="AE65" i="11"/>
  <c r="AF65" i="11"/>
  <c r="AG65" i="11"/>
  <c r="AH65" i="11"/>
  <c r="AJ65" i="11"/>
  <c r="AK65" i="11"/>
  <c r="AL65" i="11"/>
  <c r="AO65" i="11"/>
  <c r="AW65" i="11" s="1"/>
  <c r="AP65" i="11"/>
  <c r="BD65" i="11"/>
  <c r="BF65" i="11"/>
  <c r="BH65" i="11"/>
  <c r="AB65" i="11" s="1"/>
  <c r="BI65" i="11"/>
  <c r="AC65" i="11" s="1"/>
  <c r="BJ65" i="11"/>
  <c r="K66" i="11"/>
  <c r="AK66" i="11" s="1"/>
  <c r="Z66" i="11"/>
  <c r="AD66" i="11"/>
  <c r="AE66" i="11"/>
  <c r="AF66" i="11"/>
  <c r="AG66" i="11"/>
  <c r="AH66" i="11"/>
  <c r="AJ66" i="11"/>
  <c r="AL66" i="11"/>
  <c r="AO66" i="11"/>
  <c r="AP66" i="11"/>
  <c r="AX66" i="11" s="1"/>
  <c r="BD66" i="11"/>
  <c r="BF66" i="11"/>
  <c r="BH66" i="11"/>
  <c r="AB66" i="11" s="1"/>
  <c r="BJ66" i="11"/>
  <c r="K67" i="11"/>
  <c r="AK67" i="11" s="1"/>
  <c r="Z67" i="11"/>
  <c r="AD67" i="11"/>
  <c r="AE67" i="11"/>
  <c r="AF67" i="11"/>
  <c r="AG67" i="11"/>
  <c r="AH67" i="11"/>
  <c r="AJ67" i="11"/>
  <c r="AL67" i="11"/>
  <c r="AO67" i="11"/>
  <c r="I67" i="11" s="1"/>
  <c r="AP67" i="11"/>
  <c r="J67" i="11" s="1"/>
  <c r="BD67" i="11"/>
  <c r="BF67" i="11"/>
  <c r="BH67" i="11"/>
  <c r="AB67" i="11" s="1"/>
  <c r="BJ67" i="11"/>
  <c r="K68" i="11"/>
  <c r="Z68" i="11"/>
  <c r="AD68" i="11"/>
  <c r="AE68" i="11"/>
  <c r="AF68" i="11"/>
  <c r="AG68" i="11"/>
  <c r="AH68" i="11"/>
  <c r="AJ68" i="11"/>
  <c r="AK68" i="11"/>
  <c r="AL68" i="11"/>
  <c r="AO68" i="11"/>
  <c r="I68" i="11" s="1"/>
  <c r="AP68" i="11"/>
  <c r="BD68" i="11"/>
  <c r="BF68" i="11"/>
  <c r="BJ68" i="11"/>
  <c r="K69" i="11"/>
  <c r="Z69" i="11"/>
  <c r="AD69" i="11"/>
  <c r="AE69" i="11"/>
  <c r="AF69" i="11"/>
  <c r="AG69" i="11"/>
  <c r="AH69" i="11"/>
  <c r="AJ69" i="11"/>
  <c r="AK69" i="11"/>
  <c r="AL69" i="11"/>
  <c r="AO69" i="11"/>
  <c r="I69" i="11" s="1"/>
  <c r="AP69" i="11"/>
  <c r="AW69" i="11"/>
  <c r="BD69" i="11"/>
  <c r="BF69" i="11"/>
  <c r="BH69" i="11"/>
  <c r="AB69" i="11" s="1"/>
  <c r="BJ69" i="11"/>
  <c r="K71" i="11"/>
  <c r="AK71" i="11" s="1"/>
  <c r="Z71" i="11"/>
  <c r="AD71" i="11"/>
  <c r="AE71" i="11"/>
  <c r="AF71" i="11"/>
  <c r="AG71" i="11"/>
  <c r="AH71" i="11"/>
  <c r="AJ71" i="11"/>
  <c r="AL71" i="11"/>
  <c r="AO71" i="11"/>
  <c r="AP71" i="11"/>
  <c r="J71" i="11" s="1"/>
  <c r="BD71" i="11"/>
  <c r="BF71" i="11"/>
  <c r="BH71" i="11"/>
  <c r="AB71" i="11" s="1"/>
  <c r="BI71" i="11"/>
  <c r="AC71" i="11" s="1"/>
  <c r="BJ71" i="11"/>
  <c r="K73" i="11"/>
  <c r="AK73" i="11" s="1"/>
  <c r="Z73" i="11"/>
  <c r="AD73" i="11"/>
  <c r="AE73" i="11"/>
  <c r="AF73" i="11"/>
  <c r="AG73" i="11"/>
  <c r="AH73" i="11"/>
  <c r="AJ73" i="11"/>
  <c r="AL73" i="11"/>
  <c r="AO73" i="11"/>
  <c r="I73" i="11" s="1"/>
  <c r="AP73" i="11"/>
  <c r="BD73" i="11"/>
  <c r="BF73" i="11"/>
  <c r="BH73" i="11"/>
  <c r="AB73" i="11" s="1"/>
  <c r="BJ73" i="11"/>
  <c r="K75" i="11"/>
  <c r="AK75" i="11" s="1"/>
  <c r="Z75" i="11"/>
  <c r="AD75" i="11"/>
  <c r="AE75" i="11"/>
  <c r="AF75" i="11"/>
  <c r="AG75" i="11"/>
  <c r="AH75" i="11"/>
  <c r="AJ75" i="11"/>
  <c r="AL75" i="11"/>
  <c r="AO75" i="11"/>
  <c r="AP75" i="11"/>
  <c r="AX75" i="11" s="1"/>
  <c r="BD75" i="11"/>
  <c r="BF75" i="11"/>
  <c r="BJ75" i="11"/>
  <c r="K77" i="11"/>
  <c r="AK77" i="11" s="1"/>
  <c r="Z77" i="11"/>
  <c r="AD77" i="11"/>
  <c r="AE77" i="11"/>
  <c r="AF77" i="11"/>
  <c r="AG77" i="11"/>
  <c r="AH77" i="11"/>
  <c r="AJ77" i="11"/>
  <c r="AL77" i="11"/>
  <c r="AO77" i="11"/>
  <c r="I77" i="11" s="1"/>
  <c r="AP77" i="11"/>
  <c r="BI77" i="11" s="1"/>
  <c r="AC77" i="11" s="1"/>
  <c r="BD77" i="11"/>
  <c r="BF77" i="11"/>
  <c r="BJ77" i="11"/>
  <c r="K78" i="11"/>
  <c r="AK78" i="11" s="1"/>
  <c r="Z78" i="11"/>
  <c r="AD78" i="11"/>
  <c r="AE78" i="11"/>
  <c r="AF78" i="11"/>
  <c r="AG78" i="11"/>
  <c r="AH78" i="11"/>
  <c r="AJ78" i="11"/>
  <c r="AL78" i="11"/>
  <c r="AO78" i="11"/>
  <c r="AP78" i="11"/>
  <c r="J78" i="11" s="1"/>
  <c r="BD78" i="11"/>
  <c r="BF78" i="11"/>
  <c r="BJ78" i="11"/>
  <c r="K79" i="11"/>
  <c r="AK79" i="11" s="1"/>
  <c r="Z79" i="11"/>
  <c r="AD79" i="11"/>
  <c r="AE79" i="11"/>
  <c r="AF79" i="11"/>
  <c r="AG79" i="11"/>
  <c r="AH79" i="11"/>
  <c r="AJ79" i="11"/>
  <c r="AL79" i="11"/>
  <c r="AO79" i="11"/>
  <c r="AP79" i="11"/>
  <c r="J79" i="11" s="1"/>
  <c r="BD79" i="11"/>
  <c r="BF79" i="11"/>
  <c r="BJ79" i="11"/>
  <c r="K80" i="11"/>
  <c r="Z80" i="11"/>
  <c r="AD80" i="11"/>
  <c r="AE80" i="11"/>
  <c r="AF80" i="11"/>
  <c r="AG80" i="11"/>
  <c r="AH80" i="11"/>
  <c r="AJ80" i="11"/>
  <c r="AK80" i="11"/>
  <c r="AL80" i="11"/>
  <c r="AO80" i="11"/>
  <c r="I80" i="11" s="1"/>
  <c r="AP80" i="11"/>
  <c r="BD80" i="11"/>
  <c r="BF80" i="11"/>
  <c r="BJ80" i="11"/>
  <c r="K81" i="11"/>
  <c r="Z81" i="11"/>
  <c r="AD81" i="11"/>
  <c r="AE81" i="11"/>
  <c r="AF81" i="11"/>
  <c r="AG81" i="11"/>
  <c r="AH81" i="11"/>
  <c r="AJ81" i="11"/>
  <c r="AK81" i="11"/>
  <c r="AL81" i="11"/>
  <c r="AO81" i="11"/>
  <c r="AP81" i="11"/>
  <c r="BD81" i="11"/>
  <c r="BF81" i="11"/>
  <c r="BI81" i="11"/>
  <c r="AC81" i="11" s="1"/>
  <c r="BJ81" i="11"/>
  <c r="K82" i="11"/>
  <c r="AK82" i="11" s="1"/>
  <c r="Z82" i="11"/>
  <c r="AD82" i="11"/>
  <c r="AE82" i="11"/>
  <c r="AF82" i="11"/>
  <c r="AG82" i="11"/>
  <c r="AH82" i="11"/>
  <c r="AJ82" i="11"/>
  <c r="AL82" i="11"/>
  <c r="AO82" i="11"/>
  <c r="AP82" i="11"/>
  <c r="J82" i="11" s="1"/>
  <c r="BD82" i="11"/>
  <c r="BF82" i="11"/>
  <c r="BJ82" i="11"/>
  <c r="K83" i="11"/>
  <c r="AK83" i="11" s="1"/>
  <c r="Z83" i="11"/>
  <c r="AD83" i="11"/>
  <c r="AE83" i="11"/>
  <c r="AF83" i="11"/>
  <c r="AG83" i="11"/>
  <c r="AH83" i="11"/>
  <c r="AJ83" i="11"/>
  <c r="AL83" i="11"/>
  <c r="AO83" i="11"/>
  <c r="AP83" i="11"/>
  <c r="J83" i="11" s="1"/>
  <c r="BD83" i="11"/>
  <c r="BF83" i="11"/>
  <c r="BJ83" i="11"/>
  <c r="K85" i="11"/>
  <c r="AK85" i="11" s="1"/>
  <c r="Z85" i="11"/>
  <c r="AD85" i="11"/>
  <c r="AE85" i="11"/>
  <c r="AF85" i="11"/>
  <c r="AG85" i="11"/>
  <c r="AH85" i="11"/>
  <c r="AJ85" i="11"/>
  <c r="AL85" i="11"/>
  <c r="AO85" i="11"/>
  <c r="AP85" i="11"/>
  <c r="AX85" i="11" s="1"/>
  <c r="BD85" i="11"/>
  <c r="BF85" i="11"/>
  <c r="BJ85" i="11"/>
  <c r="K87" i="11"/>
  <c r="Z87" i="11"/>
  <c r="AD87" i="11"/>
  <c r="AE87" i="11"/>
  <c r="AF87" i="11"/>
  <c r="AG87" i="11"/>
  <c r="AH87" i="11"/>
  <c r="AJ87" i="11"/>
  <c r="AK87" i="11"/>
  <c r="AL87" i="11"/>
  <c r="AO87" i="11"/>
  <c r="AP87" i="11"/>
  <c r="BD87" i="11"/>
  <c r="BF87" i="11"/>
  <c r="BJ87" i="11"/>
  <c r="K88" i="11"/>
  <c r="Z88" i="11"/>
  <c r="AD88" i="11"/>
  <c r="AE88" i="11"/>
  <c r="AF88" i="11"/>
  <c r="AG88" i="11"/>
  <c r="AH88" i="11"/>
  <c r="AJ88" i="11"/>
  <c r="AK88" i="11"/>
  <c r="AL88" i="11"/>
  <c r="AO88" i="11"/>
  <c r="I88" i="11" s="1"/>
  <c r="AP88" i="11"/>
  <c r="BD88" i="11"/>
  <c r="BF88" i="11"/>
  <c r="BJ88" i="11"/>
  <c r="K89" i="11"/>
  <c r="AK89" i="11" s="1"/>
  <c r="Z89" i="11"/>
  <c r="AD89" i="11"/>
  <c r="AE89" i="11"/>
  <c r="AF89" i="11"/>
  <c r="AG89" i="11"/>
  <c r="AH89" i="11"/>
  <c r="AJ89" i="11"/>
  <c r="AL89" i="11"/>
  <c r="AO89" i="11"/>
  <c r="AP89" i="11"/>
  <c r="J89" i="11" s="1"/>
  <c r="BD89" i="11"/>
  <c r="BF89" i="11"/>
  <c r="BJ89" i="11"/>
  <c r="K90" i="11"/>
  <c r="AK90" i="11" s="1"/>
  <c r="Z90" i="11"/>
  <c r="AD90" i="11"/>
  <c r="AE90" i="11"/>
  <c r="AF90" i="11"/>
  <c r="AG90" i="11"/>
  <c r="AH90" i="11"/>
  <c r="AJ90" i="11"/>
  <c r="AL90" i="11"/>
  <c r="AO90" i="11"/>
  <c r="AP90" i="11"/>
  <c r="J90" i="11" s="1"/>
  <c r="BD90" i="11"/>
  <c r="BF90" i="11"/>
  <c r="BJ90" i="11"/>
  <c r="K91" i="11"/>
  <c r="Z91" i="11"/>
  <c r="AD91" i="11"/>
  <c r="AE91" i="11"/>
  <c r="AF91" i="11"/>
  <c r="AG91" i="11"/>
  <c r="AH91" i="11"/>
  <c r="AJ91" i="11"/>
  <c r="AK91" i="11"/>
  <c r="AL91" i="11"/>
  <c r="AO91" i="11"/>
  <c r="AP91" i="11"/>
  <c r="AX91" i="11" s="1"/>
  <c r="BD91" i="11"/>
  <c r="BF91" i="11"/>
  <c r="BI91" i="11"/>
  <c r="AC91" i="11" s="1"/>
  <c r="BJ91" i="11"/>
  <c r="K92" i="11"/>
  <c r="Z92" i="11"/>
  <c r="AD92" i="11"/>
  <c r="AE92" i="11"/>
  <c r="AF92" i="11"/>
  <c r="AG92" i="11"/>
  <c r="AH92" i="11"/>
  <c r="AJ92" i="11"/>
  <c r="AK92" i="11"/>
  <c r="AL92" i="11"/>
  <c r="AO92" i="11"/>
  <c r="AP92" i="11"/>
  <c r="BD92" i="11"/>
  <c r="BF92" i="11"/>
  <c r="BI92" i="11"/>
  <c r="AC92" i="11" s="1"/>
  <c r="BJ92" i="11"/>
  <c r="K93" i="11"/>
  <c r="AK93" i="11" s="1"/>
  <c r="Z93" i="11"/>
  <c r="AD93" i="11"/>
  <c r="AE93" i="11"/>
  <c r="AF93" i="11"/>
  <c r="AG93" i="11"/>
  <c r="AH93" i="11"/>
  <c r="AJ93" i="11"/>
  <c r="AL93" i="11"/>
  <c r="AO93" i="11"/>
  <c r="AP93" i="11"/>
  <c r="BD93" i="11"/>
  <c r="BF93" i="11"/>
  <c r="BJ93" i="11"/>
  <c r="K94" i="11"/>
  <c r="AK94" i="11" s="1"/>
  <c r="Z94" i="11"/>
  <c r="AD94" i="11"/>
  <c r="AE94" i="11"/>
  <c r="AF94" i="11"/>
  <c r="AG94" i="11"/>
  <c r="AH94" i="11"/>
  <c r="AJ94" i="11"/>
  <c r="AL94" i="11"/>
  <c r="AO94" i="11"/>
  <c r="AP94" i="11"/>
  <c r="BD94" i="11"/>
  <c r="BF94" i="11"/>
  <c r="BJ94" i="11"/>
  <c r="K95" i="11"/>
  <c r="AK95" i="11" s="1"/>
  <c r="Z95" i="11"/>
  <c r="AD95" i="11"/>
  <c r="AE95" i="11"/>
  <c r="AF95" i="11"/>
  <c r="AG95" i="11"/>
  <c r="AH95" i="11"/>
  <c r="AJ95" i="11"/>
  <c r="AL95" i="11"/>
  <c r="AO95" i="11"/>
  <c r="I95" i="11" s="1"/>
  <c r="AP95" i="11"/>
  <c r="BD95" i="11"/>
  <c r="BF95" i="11"/>
  <c r="BJ95" i="11"/>
  <c r="K97" i="11"/>
  <c r="Z97" i="11"/>
  <c r="AD97" i="11"/>
  <c r="AE97" i="11"/>
  <c r="AF97" i="11"/>
  <c r="AG97" i="11"/>
  <c r="AH97" i="11"/>
  <c r="AJ97" i="11"/>
  <c r="AS96" i="11" s="1"/>
  <c r="AL97" i="11"/>
  <c r="AU96" i="11" s="1"/>
  <c r="AO97" i="11"/>
  <c r="AP97" i="11"/>
  <c r="BD97" i="11"/>
  <c r="BF97" i="11"/>
  <c r="BJ97" i="11"/>
  <c r="K99" i="11"/>
  <c r="Z99" i="11"/>
  <c r="AD99" i="11"/>
  <c r="AE99" i="11"/>
  <c r="AF99" i="11"/>
  <c r="AG99" i="11"/>
  <c r="AH99" i="11"/>
  <c r="AJ99" i="11"/>
  <c r="AL99" i="11"/>
  <c r="AO99" i="11"/>
  <c r="AP99" i="11"/>
  <c r="BD99" i="11"/>
  <c r="BF99" i="11"/>
  <c r="BJ99" i="11"/>
  <c r="K100" i="11"/>
  <c r="AK100" i="11" s="1"/>
  <c r="Z100" i="11"/>
  <c r="AD100" i="11"/>
  <c r="AE100" i="11"/>
  <c r="AF100" i="11"/>
  <c r="AG100" i="11"/>
  <c r="AH100" i="11"/>
  <c r="AJ100" i="11"/>
  <c r="AL100" i="11"/>
  <c r="AO100" i="11"/>
  <c r="AP100" i="11"/>
  <c r="BD100" i="11"/>
  <c r="BF100" i="11"/>
  <c r="BJ100" i="11"/>
  <c r="K102" i="11"/>
  <c r="Z102" i="11"/>
  <c r="AD102" i="11"/>
  <c r="AE102" i="11"/>
  <c r="AF102" i="11"/>
  <c r="AG102" i="11"/>
  <c r="AH102" i="11"/>
  <c r="AJ102" i="11"/>
  <c r="AL102" i="11"/>
  <c r="AO102" i="11"/>
  <c r="AP102" i="11"/>
  <c r="BD102" i="11"/>
  <c r="BF102" i="11"/>
  <c r="BH102" i="11"/>
  <c r="AB102" i="11" s="1"/>
  <c r="BJ102" i="11"/>
  <c r="K103" i="11"/>
  <c r="AK103" i="11" s="1"/>
  <c r="Z103" i="11"/>
  <c r="AD103" i="11"/>
  <c r="AE103" i="11"/>
  <c r="AF103" i="11"/>
  <c r="AG103" i="11"/>
  <c r="AH103" i="11"/>
  <c r="AJ103" i="11"/>
  <c r="AL103" i="11"/>
  <c r="AO103" i="11"/>
  <c r="AP103" i="11"/>
  <c r="J103" i="11" s="1"/>
  <c r="BD103" i="11"/>
  <c r="BF103" i="11"/>
  <c r="BJ103" i="11"/>
  <c r="K105" i="11"/>
  <c r="Z105" i="11"/>
  <c r="AD105" i="11"/>
  <c r="AE105" i="11"/>
  <c r="AF105" i="11"/>
  <c r="AG105" i="11"/>
  <c r="AH105" i="11"/>
  <c r="AJ105" i="11"/>
  <c r="AL105" i="11"/>
  <c r="AO105" i="11"/>
  <c r="AP105" i="11"/>
  <c r="BD105" i="11"/>
  <c r="BF105" i="11"/>
  <c r="BJ105" i="11"/>
  <c r="K106" i="11"/>
  <c r="AK106" i="11" s="1"/>
  <c r="Z106" i="11"/>
  <c r="AD106" i="11"/>
  <c r="AE106" i="11"/>
  <c r="AF106" i="11"/>
  <c r="AG106" i="11"/>
  <c r="AH106" i="11"/>
  <c r="AJ106" i="11"/>
  <c r="AL106" i="11"/>
  <c r="AO106" i="11"/>
  <c r="AP106" i="11"/>
  <c r="J106" i="11" s="1"/>
  <c r="BD106" i="11"/>
  <c r="BF106" i="11"/>
  <c r="BJ106" i="11"/>
  <c r="K107" i="11"/>
  <c r="Z107" i="11"/>
  <c r="AD107" i="11"/>
  <c r="AE107" i="11"/>
  <c r="AF107" i="11"/>
  <c r="AG107" i="11"/>
  <c r="AH107" i="11"/>
  <c r="AJ107" i="11"/>
  <c r="AK107" i="11"/>
  <c r="AL107" i="11"/>
  <c r="AO107" i="11"/>
  <c r="I107" i="11" s="1"/>
  <c r="AP107" i="11"/>
  <c r="BD107" i="11"/>
  <c r="BF107" i="11"/>
  <c r="BH107" i="11"/>
  <c r="AB107" i="11" s="1"/>
  <c r="BJ107" i="11"/>
  <c r="K109" i="11"/>
  <c r="Z109" i="11"/>
  <c r="AD109" i="11"/>
  <c r="AE109" i="11"/>
  <c r="AF109" i="11"/>
  <c r="AG109" i="11"/>
  <c r="AH109" i="11"/>
  <c r="AJ109" i="11"/>
  <c r="AL109" i="11"/>
  <c r="AO109" i="11"/>
  <c r="AP109" i="11"/>
  <c r="J109" i="11" s="1"/>
  <c r="BD109" i="11"/>
  <c r="BF109" i="11"/>
  <c r="BJ109" i="11"/>
  <c r="K110" i="11"/>
  <c r="AK110" i="11" s="1"/>
  <c r="Z110" i="11"/>
  <c r="AD110" i="11"/>
  <c r="AE110" i="11"/>
  <c r="AF110" i="11"/>
  <c r="AG110" i="11"/>
  <c r="AH110" i="11"/>
  <c r="AJ110" i="11"/>
  <c r="AL110" i="11"/>
  <c r="AO110" i="11"/>
  <c r="I110" i="11" s="1"/>
  <c r="AP110" i="11"/>
  <c r="BD110" i="11"/>
  <c r="BF110" i="11"/>
  <c r="BH110" i="11"/>
  <c r="AB110" i="11" s="1"/>
  <c r="BJ110" i="11"/>
  <c r="K111" i="11"/>
  <c r="AK111" i="11" s="1"/>
  <c r="Z111" i="11"/>
  <c r="AD111" i="11"/>
  <c r="AE111" i="11"/>
  <c r="AF111" i="11"/>
  <c r="AG111" i="11"/>
  <c r="AH111" i="11"/>
  <c r="AJ111" i="11"/>
  <c r="AL111" i="11"/>
  <c r="AO111" i="11"/>
  <c r="I111" i="11" s="1"/>
  <c r="AP111" i="11"/>
  <c r="BD111" i="11"/>
  <c r="BF111" i="11"/>
  <c r="BH111" i="11"/>
  <c r="AB111" i="11" s="1"/>
  <c r="BJ111" i="11"/>
  <c r="K112" i="11"/>
  <c r="AK112" i="11" s="1"/>
  <c r="Z112" i="11"/>
  <c r="AD112" i="11"/>
  <c r="AE112" i="11"/>
  <c r="AF112" i="11"/>
  <c r="AG112" i="11"/>
  <c r="AH112" i="11"/>
  <c r="AJ112" i="11"/>
  <c r="AL112" i="11"/>
  <c r="AO112" i="11"/>
  <c r="AP112" i="11"/>
  <c r="J112" i="11" s="1"/>
  <c r="BD112" i="11"/>
  <c r="BF112" i="11"/>
  <c r="BJ112" i="11"/>
  <c r="K113" i="11"/>
  <c r="AK113" i="11" s="1"/>
  <c r="Z113" i="11"/>
  <c r="AD113" i="11"/>
  <c r="AE113" i="11"/>
  <c r="AF113" i="11"/>
  <c r="AG113" i="11"/>
  <c r="AH113" i="11"/>
  <c r="AJ113" i="11"/>
  <c r="AL113" i="11"/>
  <c r="AO113" i="11"/>
  <c r="AP113" i="11"/>
  <c r="BD113" i="11"/>
  <c r="BF113" i="11"/>
  <c r="BJ113" i="11"/>
  <c r="K114" i="11"/>
  <c r="Z114" i="11"/>
  <c r="AD114" i="11"/>
  <c r="AE114" i="11"/>
  <c r="AF114" i="11"/>
  <c r="AG114" i="11"/>
  <c r="AH114" i="11"/>
  <c r="AJ114" i="11"/>
  <c r="AK114" i="11"/>
  <c r="AL114" i="11"/>
  <c r="AO114" i="11"/>
  <c r="AP114" i="11"/>
  <c r="AX114" i="11" s="1"/>
  <c r="BD114" i="11"/>
  <c r="BF114" i="11"/>
  <c r="BI114" i="11"/>
  <c r="AC114" i="11" s="1"/>
  <c r="BJ114" i="11"/>
  <c r="K115" i="11"/>
  <c r="Z115" i="11"/>
  <c r="AD115" i="11"/>
  <c r="AE115" i="11"/>
  <c r="AF115" i="11"/>
  <c r="AG115" i="11"/>
  <c r="AH115" i="11"/>
  <c r="AJ115" i="11"/>
  <c r="AK115" i="11"/>
  <c r="AL115" i="11"/>
  <c r="AO115" i="11"/>
  <c r="AW115" i="11" s="1"/>
  <c r="AP115" i="11"/>
  <c r="BD115" i="11"/>
  <c r="BF115" i="11"/>
  <c r="BH115" i="11"/>
  <c r="AB115" i="11" s="1"/>
  <c r="BI115" i="11"/>
  <c r="AC115" i="11" s="1"/>
  <c r="BJ115" i="11"/>
  <c r="K117" i="11"/>
  <c r="AK117" i="11" s="1"/>
  <c r="Z117" i="11"/>
  <c r="AD117" i="11"/>
  <c r="AE117" i="11"/>
  <c r="AF117" i="11"/>
  <c r="AG117" i="11"/>
  <c r="AH117" i="11"/>
  <c r="AJ117" i="11"/>
  <c r="AL117" i="11"/>
  <c r="AO117" i="11"/>
  <c r="AP117" i="11"/>
  <c r="BD117" i="11"/>
  <c r="BF117" i="11"/>
  <c r="BJ117" i="11"/>
  <c r="K118" i="11"/>
  <c r="Z118" i="11"/>
  <c r="AD118" i="11"/>
  <c r="AE118" i="11"/>
  <c r="AF118" i="11"/>
  <c r="AG118" i="11"/>
  <c r="AH118" i="11"/>
  <c r="AJ118" i="11"/>
  <c r="AK118" i="11"/>
  <c r="AL118" i="11"/>
  <c r="AO118" i="11"/>
  <c r="AP118" i="11"/>
  <c r="BD118" i="11"/>
  <c r="BF118" i="11"/>
  <c r="BJ118" i="11"/>
  <c r="K119" i="11"/>
  <c r="Z119" i="11"/>
  <c r="AD119" i="11"/>
  <c r="AE119" i="11"/>
  <c r="AF119" i="11"/>
  <c r="AG119" i="11"/>
  <c r="AH119" i="11"/>
  <c r="AJ119" i="11"/>
  <c r="AL119" i="11"/>
  <c r="AO119" i="11"/>
  <c r="BH119" i="11" s="1"/>
  <c r="AB119" i="11" s="1"/>
  <c r="AP119" i="11"/>
  <c r="J119" i="11" s="1"/>
  <c r="BD119" i="11"/>
  <c r="BF119" i="11"/>
  <c r="BJ119" i="11"/>
  <c r="K120" i="11"/>
  <c r="AK120" i="11" s="1"/>
  <c r="Z120" i="11"/>
  <c r="AD120" i="11"/>
  <c r="AE120" i="11"/>
  <c r="AF120" i="11"/>
  <c r="AG120" i="11"/>
  <c r="AH120" i="11"/>
  <c r="AJ120" i="11"/>
  <c r="AL120" i="11"/>
  <c r="AO120" i="11"/>
  <c r="AP120" i="11"/>
  <c r="BD120" i="11"/>
  <c r="BF120" i="11"/>
  <c r="BJ120" i="11"/>
  <c r="K121" i="11"/>
  <c r="Z121" i="11"/>
  <c r="AD121" i="11"/>
  <c r="AE121" i="11"/>
  <c r="AF121" i="11"/>
  <c r="AG121" i="11"/>
  <c r="AH121" i="11"/>
  <c r="AJ121" i="11"/>
  <c r="AK121" i="11"/>
  <c r="AL121" i="11"/>
  <c r="AO121" i="11"/>
  <c r="I121" i="11" s="1"/>
  <c r="AP121" i="11"/>
  <c r="BD121" i="11"/>
  <c r="BF121" i="11"/>
  <c r="BH121" i="11"/>
  <c r="AB121" i="11" s="1"/>
  <c r="BJ121" i="11"/>
  <c r="K122" i="11"/>
  <c r="Z122" i="11"/>
  <c r="AD122" i="11"/>
  <c r="AE122" i="11"/>
  <c r="AF122" i="11"/>
  <c r="AG122" i="11"/>
  <c r="AH122" i="11"/>
  <c r="AJ122" i="11"/>
  <c r="AK122" i="11"/>
  <c r="AL122" i="11"/>
  <c r="AO122" i="11"/>
  <c r="I122" i="11" s="1"/>
  <c r="AP122" i="11"/>
  <c r="BD122" i="11"/>
  <c r="BF122" i="11"/>
  <c r="BH122" i="11"/>
  <c r="AB122" i="11" s="1"/>
  <c r="BJ122" i="11"/>
  <c r="K123" i="11"/>
  <c r="AK123" i="11" s="1"/>
  <c r="Z123" i="11"/>
  <c r="AD123" i="11"/>
  <c r="AE123" i="11"/>
  <c r="AF123" i="11"/>
  <c r="AG123" i="11"/>
  <c r="AH123" i="11"/>
  <c r="AJ123" i="11"/>
  <c r="AL123" i="11"/>
  <c r="AO123" i="11"/>
  <c r="AP123" i="11"/>
  <c r="BD123" i="11"/>
  <c r="BF123" i="11"/>
  <c r="BJ123" i="11"/>
  <c r="K124" i="11"/>
  <c r="AK124" i="11" s="1"/>
  <c r="Z124" i="11"/>
  <c r="AD124" i="11"/>
  <c r="AE124" i="11"/>
  <c r="AF124" i="11"/>
  <c r="AG124" i="11"/>
  <c r="AH124" i="11"/>
  <c r="AJ124" i="11"/>
  <c r="AL124" i="11"/>
  <c r="AO124" i="11"/>
  <c r="AP124" i="11"/>
  <c r="BD124" i="11"/>
  <c r="BF124" i="11"/>
  <c r="BJ124" i="11"/>
  <c r="K125" i="11"/>
  <c r="Z125" i="11"/>
  <c r="AD125" i="11"/>
  <c r="AE125" i="11"/>
  <c r="AF125" i="11"/>
  <c r="AG125" i="11"/>
  <c r="AH125" i="11"/>
  <c r="AJ125" i="11"/>
  <c r="AK125" i="11"/>
  <c r="AL125" i="11"/>
  <c r="AO125" i="11"/>
  <c r="I125" i="11" s="1"/>
  <c r="AP125" i="11"/>
  <c r="AX125" i="11" s="1"/>
  <c r="BD125" i="11"/>
  <c r="BF125" i="11"/>
  <c r="BJ125" i="11"/>
  <c r="K127" i="11"/>
  <c r="Z127" i="11"/>
  <c r="AD127" i="11"/>
  <c r="AE127" i="11"/>
  <c r="AF127" i="11"/>
  <c r="AG127" i="11"/>
  <c r="AH127" i="11"/>
  <c r="AJ127" i="11"/>
  <c r="AL127" i="11"/>
  <c r="AO127" i="11"/>
  <c r="AP127" i="11"/>
  <c r="J127" i="11" s="1"/>
  <c r="BD127" i="11"/>
  <c r="BF127" i="11"/>
  <c r="BI127" i="11"/>
  <c r="AC127" i="11" s="1"/>
  <c r="BJ127" i="11"/>
  <c r="K128" i="11"/>
  <c r="AK128" i="11" s="1"/>
  <c r="Z128" i="11"/>
  <c r="AD128" i="11"/>
  <c r="AE128" i="11"/>
  <c r="AF128" i="11"/>
  <c r="AG128" i="11"/>
  <c r="AH128" i="11"/>
  <c r="AJ128" i="11"/>
  <c r="AL128" i="11"/>
  <c r="AO128" i="11"/>
  <c r="AP128" i="11"/>
  <c r="BD128" i="11"/>
  <c r="BF128" i="11"/>
  <c r="BJ128" i="11"/>
  <c r="K129" i="11"/>
  <c r="Z129" i="11"/>
  <c r="AD129" i="11"/>
  <c r="AE129" i="11"/>
  <c r="AF129" i="11"/>
  <c r="AG129" i="11"/>
  <c r="AH129" i="11"/>
  <c r="AJ129" i="11"/>
  <c r="AK129" i="11"/>
  <c r="AL129" i="11"/>
  <c r="AO129" i="11"/>
  <c r="AP129" i="11"/>
  <c r="BD129" i="11"/>
  <c r="BF129" i="11"/>
  <c r="BJ129" i="11"/>
  <c r="K130" i="11"/>
  <c r="AK130" i="11" s="1"/>
  <c r="Z130" i="11"/>
  <c r="AD130" i="11"/>
  <c r="AE130" i="11"/>
  <c r="AF130" i="11"/>
  <c r="AG130" i="11"/>
  <c r="AH130" i="11"/>
  <c r="AJ130" i="11"/>
  <c r="AL130" i="11"/>
  <c r="AO130" i="11"/>
  <c r="BH130" i="11" s="1"/>
  <c r="AB130" i="11" s="1"/>
  <c r="AP130" i="11"/>
  <c r="J130" i="11" s="1"/>
  <c r="BD130" i="11"/>
  <c r="BF130" i="11"/>
  <c r="BI130" i="11"/>
  <c r="AC130" i="11" s="1"/>
  <c r="BJ130" i="11"/>
  <c r="K131" i="11"/>
  <c r="AK131" i="11" s="1"/>
  <c r="Z131" i="11"/>
  <c r="AD131" i="11"/>
  <c r="AE131" i="11"/>
  <c r="AF131" i="11"/>
  <c r="AG131" i="11"/>
  <c r="AH131" i="11"/>
  <c r="AJ131" i="11"/>
  <c r="AL131" i="11"/>
  <c r="AO131" i="11"/>
  <c r="AP131" i="11"/>
  <c r="BD131" i="11"/>
  <c r="BF131" i="11"/>
  <c r="BJ131" i="11"/>
  <c r="K132" i="11"/>
  <c r="Z132" i="11"/>
  <c r="AD132" i="11"/>
  <c r="AE132" i="11"/>
  <c r="AF132" i="11"/>
  <c r="AG132" i="11"/>
  <c r="AH132" i="11"/>
  <c r="AJ132" i="11"/>
  <c r="AK132" i="11"/>
  <c r="AL132" i="11"/>
  <c r="AO132" i="11"/>
  <c r="I132" i="11" s="1"/>
  <c r="AP132" i="11"/>
  <c r="BI132" i="11" s="1"/>
  <c r="AC132" i="11" s="1"/>
  <c r="BD132" i="11"/>
  <c r="BF132" i="11"/>
  <c r="BJ132" i="11"/>
  <c r="K133" i="11"/>
  <c r="Z133" i="11"/>
  <c r="AD133" i="11"/>
  <c r="AE133" i="11"/>
  <c r="AF133" i="11"/>
  <c r="AG133" i="11"/>
  <c r="AH133" i="11"/>
  <c r="AJ133" i="11"/>
  <c r="AK133" i="11"/>
  <c r="AL133" i="11"/>
  <c r="AO133" i="11"/>
  <c r="I133" i="11" s="1"/>
  <c r="AP133" i="11"/>
  <c r="AW133" i="11"/>
  <c r="BD133" i="11"/>
  <c r="BF133" i="11"/>
  <c r="BH133" i="11"/>
  <c r="AB133" i="11" s="1"/>
  <c r="BJ133" i="11"/>
  <c r="K134" i="11"/>
  <c r="AK134" i="11" s="1"/>
  <c r="Z134" i="11"/>
  <c r="AD134" i="11"/>
  <c r="AE134" i="11"/>
  <c r="AF134" i="11"/>
  <c r="AG134" i="11"/>
  <c r="AH134" i="11"/>
  <c r="AJ134" i="11"/>
  <c r="AL134" i="11"/>
  <c r="AO134" i="11"/>
  <c r="AP134" i="11"/>
  <c r="BD134" i="11"/>
  <c r="BF134" i="11"/>
  <c r="BJ134" i="11"/>
  <c r="K135" i="11"/>
  <c r="AK135" i="11" s="1"/>
  <c r="Z135" i="11"/>
  <c r="AD135" i="11"/>
  <c r="AE135" i="11"/>
  <c r="AF135" i="11"/>
  <c r="AG135" i="11"/>
  <c r="AH135" i="11"/>
  <c r="AJ135" i="11"/>
  <c r="AL135" i="11"/>
  <c r="AO135" i="11"/>
  <c r="AP135" i="11"/>
  <c r="J135" i="11" s="1"/>
  <c r="BD135" i="11"/>
  <c r="BF135" i="11"/>
  <c r="BJ135" i="11"/>
  <c r="K136" i="11"/>
  <c r="AK136" i="11" s="1"/>
  <c r="Z136" i="11"/>
  <c r="AD136" i="11"/>
  <c r="AE136" i="11"/>
  <c r="AF136" i="11"/>
  <c r="AG136" i="11"/>
  <c r="AH136" i="11"/>
  <c r="AJ136" i="11"/>
  <c r="AL136" i="11"/>
  <c r="AO136" i="11"/>
  <c r="BH136" i="11" s="1"/>
  <c r="AB136" i="11" s="1"/>
  <c r="AP136" i="11"/>
  <c r="AX136" i="11" s="1"/>
  <c r="BD136" i="11"/>
  <c r="BF136" i="11"/>
  <c r="BJ136" i="11"/>
  <c r="K137" i="11"/>
  <c r="Z137" i="11"/>
  <c r="AD137" i="11"/>
  <c r="AE137" i="11"/>
  <c r="AF137" i="11"/>
  <c r="AG137" i="11"/>
  <c r="AH137" i="11"/>
  <c r="AJ137" i="11"/>
  <c r="AK137" i="11"/>
  <c r="AL137" i="11"/>
  <c r="AO137" i="11"/>
  <c r="I137" i="11" s="1"/>
  <c r="AP137" i="11"/>
  <c r="BD137" i="11"/>
  <c r="BF137" i="11"/>
  <c r="BI137" i="11"/>
  <c r="AC137" i="11" s="1"/>
  <c r="BJ137" i="11"/>
  <c r="K138" i="11"/>
  <c r="AK138" i="11" s="1"/>
  <c r="Z138" i="11"/>
  <c r="AD138" i="11"/>
  <c r="AE138" i="11"/>
  <c r="AF138" i="11"/>
  <c r="AG138" i="11"/>
  <c r="AH138" i="11"/>
  <c r="AJ138" i="11"/>
  <c r="AL138" i="11"/>
  <c r="AO138" i="11"/>
  <c r="AP138" i="11"/>
  <c r="BD138" i="11"/>
  <c r="BF138" i="11"/>
  <c r="BJ138" i="11"/>
  <c r="K139" i="11"/>
  <c r="AK139" i="11" s="1"/>
  <c r="Z139" i="11"/>
  <c r="AD139" i="11"/>
  <c r="AE139" i="11"/>
  <c r="AF139" i="11"/>
  <c r="AG139" i="11"/>
  <c r="AH139" i="11"/>
  <c r="AJ139" i="11"/>
  <c r="AL139" i="11"/>
  <c r="AO139" i="11"/>
  <c r="AP139" i="11"/>
  <c r="J139" i="11" s="1"/>
  <c r="BD139" i="11"/>
  <c r="BF139" i="11"/>
  <c r="BJ139" i="11"/>
  <c r="K140" i="11"/>
  <c r="AK140" i="11" s="1"/>
  <c r="Z140" i="11"/>
  <c r="AD140" i="11"/>
  <c r="AE140" i="11"/>
  <c r="AF140" i="11"/>
  <c r="AG140" i="11"/>
  <c r="AH140" i="11"/>
  <c r="AJ140" i="11"/>
  <c r="AL140" i="11"/>
  <c r="AO140" i="11"/>
  <c r="AP140" i="11"/>
  <c r="BD140" i="11"/>
  <c r="BF140" i="11"/>
  <c r="BH140" i="11"/>
  <c r="AB140" i="11" s="1"/>
  <c r="BJ140" i="11"/>
  <c r="K141" i="11"/>
  <c r="AK141" i="11" s="1"/>
  <c r="Z141" i="11"/>
  <c r="AD141" i="11"/>
  <c r="AE141" i="11"/>
  <c r="AF141" i="11"/>
  <c r="AG141" i="11"/>
  <c r="AH141" i="11"/>
  <c r="AJ141" i="11"/>
  <c r="AL141" i="11"/>
  <c r="AO141" i="11"/>
  <c r="AW141" i="11" s="1"/>
  <c r="AP141" i="11"/>
  <c r="BI141" i="11" s="1"/>
  <c r="AC141" i="11" s="1"/>
  <c r="BD141" i="11"/>
  <c r="BF141" i="11"/>
  <c r="BH141" i="11"/>
  <c r="AB141" i="11" s="1"/>
  <c r="BJ141" i="11"/>
  <c r="K142" i="11"/>
  <c r="AK142" i="11" s="1"/>
  <c r="Z142" i="11"/>
  <c r="AD142" i="11"/>
  <c r="AE142" i="11"/>
  <c r="AF142" i="11"/>
  <c r="AG142" i="11"/>
  <c r="AH142" i="11"/>
  <c r="AJ142" i="11"/>
  <c r="AL142" i="11"/>
  <c r="AO142" i="11"/>
  <c r="AP142" i="11"/>
  <c r="BD142" i="11"/>
  <c r="BF142" i="11"/>
  <c r="BH142" i="11"/>
  <c r="AB142" i="11" s="1"/>
  <c r="BJ142" i="11"/>
  <c r="K144" i="11"/>
  <c r="Z144" i="11"/>
  <c r="AD144" i="11"/>
  <c r="AE144" i="11"/>
  <c r="AF144" i="11"/>
  <c r="AG144" i="11"/>
  <c r="AH144" i="11"/>
  <c r="AJ144" i="11"/>
  <c r="AK144" i="11"/>
  <c r="AL144" i="11"/>
  <c r="AO144" i="11"/>
  <c r="I144" i="11" s="1"/>
  <c r="AP144" i="11"/>
  <c r="BD144" i="11"/>
  <c r="BF144" i="11"/>
  <c r="BH144" i="11"/>
  <c r="AB144" i="11" s="1"/>
  <c r="BJ144" i="11"/>
  <c r="K145" i="11"/>
  <c r="Z145" i="11"/>
  <c r="AD145" i="11"/>
  <c r="AE145" i="11"/>
  <c r="AF145" i="11"/>
  <c r="AG145" i="11"/>
  <c r="AH145" i="11"/>
  <c r="AJ145" i="11"/>
  <c r="AL145" i="11"/>
  <c r="AO145" i="11"/>
  <c r="AP145" i="11"/>
  <c r="J145" i="11" s="1"/>
  <c r="BD145" i="11"/>
  <c r="BF145" i="11"/>
  <c r="BH145" i="11"/>
  <c r="AB145" i="11" s="1"/>
  <c r="BJ145" i="11"/>
  <c r="K146" i="11"/>
  <c r="AK146" i="11" s="1"/>
  <c r="Z146" i="11"/>
  <c r="AD146" i="11"/>
  <c r="AE146" i="11"/>
  <c r="AF146" i="11"/>
  <c r="AG146" i="11"/>
  <c r="AH146" i="11"/>
  <c r="AJ146" i="11"/>
  <c r="AL146" i="11"/>
  <c r="AO146" i="11"/>
  <c r="AP146" i="11"/>
  <c r="J146" i="11" s="1"/>
  <c r="AX146" i="11"/>
  <c r="BD146" i="11"/>
  <c r="BF146" i="11"/>
  <c r="BI146" i="11"/>
  <c r="AC146" i="11" s="1"/>
  <c r="BJ146" i="11"/>
  <c r="K147" i="11"/>
  <c r="AK147" i="11" s="1"/>
  <c r="Z147" i="11"/>
  <c r="AD147" i="11"/>
  <c r="AE147" i="11"/>
  <c r="AF147" i="11"/>
  <c r="AG147" i="11"/>
  <c r="AH147" i="11"/>
  <c r="AJ147" i="11"/>
  <c r="AL147" i="11"/>
  <c r="AO147" i="11"/>
  <c r="AP147" i="11"/>
  <c r="AX147" i="11" s="1"/>
  <c r="BD147" i="11"/>
  <c r="BF147" i="11"/>
  <c r="BJ147" i="11"/>
  <c r="K148" i="11"/>
  <c r="AK148" i="11" s="1"/>
  <c r="Z148" i="11"/>
  <c r="AD148" i="11"/>
  <c r="AE148" i="11"/>
  <c r="AF148" i="11"/>
  <c r="AG148" i="11"/>
  <c r="AH148" i="11"/>
  <c r="AJ148" i="11"/>
  <c r="AL148" i="11"/>
  <c r="AO148" i="11"/>
  <c r="I148" i="11" s="1"/>
  <c r="AP148" i="11"/>
  <c r="BD148" i="11"/>
  <c r="BF148" i="11"/>
  <c r="BJ148" i="11"/>
  <c r="K149" i="11"/>
  <c r="Z149" i="11"/>
  <c r="AD149" i="11"/>
  <c r="AE149" i="11"/>
  <c r="AF149" i="11"/>
  <c r="AG149" i="11"/>
  <c r="AH149" i="11"/>
  <c r="AJ149" i="11"/>
  <c r="AK149" i="11"/>
  <c r="AL149" i="11"/>
  <c r="AO149" i="11"/>
  <c r="I149" i="11" s="1"/>
  <c r="AP149" i="11"/>
  <c r="BI149" i="11" s="1"/>
  <c r="AC149" i="11" s="1"/>
  <c r="BD149" i="11"/>
  <c r="BF149" i="11"/>
  <c r="BJ149" i="11"/>
  <c r="K150" i="11"/>
  <c r="AK150" i="11" s="1"/>
  <c r="Z150" i="11"/>
  <c r="AD150" i="11"/>
  <c r="AE150" i="11"/>
  <c r="AF150" i="11"/>
  <c r="AG150" i="11"/>
  <c r="AH150" i="11"/>
  <c r="AJ150" i="11"/>
  <c r="AL150" i="11"/>
  <c r="AO150" i="11"/>
  <c r="AP150" i="11"/>
  <c r="BD150" i="11"/>
  <c r="BF150" i="11"/>
  <c r="BJ150" i="11"/>
  <c r="K151" i="11"/>
  <c r="AK151" i="11" s="1"/>
  <c r="Z151" i="11"/>
  <c r="AD151" i="11"/>
  <c r="AE151" i="11"/>
  <c r="AF151" i="11"/>
  <c r="AG151" i="11"/>
  <c r="AH151" i="11"/>
  <c r="AJ151" i="11"/>
  <c r="AL151" i="11"/>
  <c r="AO151" i="11"/>
  <c r="AP151" i="11"/>
  <c r="J151" i="11" s="1"/>
  <c r="BD151" i="11"/>
  <c r="BF151" i="11"/>
  <c r="BJ151" i="11"/>
  <c r="K152" i="11"/>
  <c r="Z152" i="11"/>
  <c r="AD152" i="11"/>
  <c r="AE152" i="11"/>
  <c r="AF152" i="11"/>
  <c r="AG152" i="11"/>
  <c r="AH152" i="11"/>
  <c r="AJ152" i="11"/>
  <c r="AK152" i="11"/>
  <c r="AL152" i="11"/>
  <c r="AO152" i="11"/>
  <c r="BH152" i="11" s="1"/>
  <c r="AB152" i="11" s="1"/>
  <c r="AP152" i="11"/>
  <c r="BD152" i="11"/>
  <c r="BF152" i="11"/>
  <c r="BJ152" i="11"/>
  <c r="K153" i="11"/>
  <c r="AK153" i="11" s="1"/>
  <c r="Z153" i="11"/>
  <c r="AD153" i="11"/>
  <c r="AE153" i="11"/>
  <c r="AF153" i="11"/>
  <c r="AG153" i="11"/>
  <c r="AH153" i="11"/>
  <c r="AJ153" i="11"/>
  <c r="AL153" i="11"/>
  <c r="AO153" i="11"/>
  <c r="AP153" i="11"/>
  <c r="BD153" i="11"/>
  <c r="BF153" i="11"/>
  <c r="BH153" i="11"/>
  <c r="AB153" i="11" s="1"/>
  <c r="BJ153" i="11"/>
  <c r="K154" i="11"/>
  <c r="AK154" i="11" s="1"/>
  <c r="Z154" i="11"/>
  <c r="AD154" i="11"/>
  <c r="AE154" i="11"/>
  <c r="AF154" i="11"/>
  <c r="AG154" i="11"/>
  <c r="AH154" i="11"/>
  <c r="AJ154" i="11"/>
  <c r="AL154" i="11"/>
  <c r="AO154" i="11"/>
  <c r="AP154" i="11"/>
  <c r="BD154" i="11"/>
  <c r="BF154" i="11"/>
  <c r="BH154" i="11"/>
  <c r="AB154" i="11" s="1"/>
  <c r="BJ154" i="11"/>
  <c r="K155" i="11"/>
  <c r="AK155" i="11" s="1"/>
  <c r="Z155" i="11"/>
  <c r="AD155" i="11"/>
  <c r="AE155" i="11"/>
  <c r="AF155" i="11"/>
  <c r="AG155" i="11"/>
  <c r="AH155" i="11"/>
  <c r="AJ155" i="11"/>
  <c r="AL155" i="11"/>
  <c r="AO155" i="11"/>
  <c r="AP155" i="11"/>
  <c r="J155" i="11" s="1"/>
  <c r="BD155" i="11"/>
  <c r="BF155" i="11"/>
  <c r="BJ155" i="11"/>
  <c r="K156" i="11"/>
  <c r="AK156" i="11" s="1"/>
  <c r="Z156" i="11"/>
  <c r="AD156" i="11"/>
  <c r="AE156" i="11"/>
  <c r="AF156" i="11"/>
  <c r="AG156" i="11"/>
  <c r="AH156" i="11"/>
  <c r="AJ156" i="11"/>
  <c r="AL156" i="11"/>
  <c r="AO156" i="11"/>
  <c r="AP156" i="11"/>
  <c r="BD156" i="11"/>
  <c r="BF156" i="11"/>
  <c r="BJ156" i="11"/>
  <c r="K157" i="11"/>
  <c r="AK157" i="11" s="1"/>
  <c r="Z157" i="11"/>
  <c r="AD157" i="11"/>
  <c r="AE157" i="11"/>
  <c r="AF157" i="11"/>
  <c r="AG157" i="11"/>
  <c r="AH157" i="11"/>
  <c r="AJ157" i="11"/>
  <c r="AL157" i="11"/>
  <c r="AO157" i="11"/>
  <c r="BH157" i="11" s="1"/>
  <c r="AB157" i="11" s="1"/>
  <c r="AP157" i="11"/>
  <c r="BI157" i="11" s="1"/>
  <c r="AC157" i="11" s="1"/>
  <c r="BD157" i="11"/>
  <c r="BF157" i="11"/>
  <c r="BJ157" i="11"/>
  <c r="K158" i="11"/>
  <c r="AK158" i="11" s="1"/>
  <c r="Z158" i="11"/>
  <c r="AD158" i="11"/>
  <c r="AE158" i="11"/>
  <c r="AF158" i="11"/>
  <c r="AG158" i="11"/>
  <c r="AH158" i="11"/>
  <c r="AJ158" i="11"/>
  <c r="AL158" i="11"/>
  <c r="AO158" i="11"/>
  <c r="AP158" i="11"/>
  <c r="BD158" i="11"/>
  <c r="BF158" i="11"/>
  <c r="BJ158" i="11"/>
  <c r="K159" i="11"/>
  <c r="AK159" i="11" s="1"/>
  <c r="Z159" i="11"/>
  <c r="AD159" i="11"/>
  <c r="AE159" i="11"/>
  <c r="AF159" i="11"/>
  <c r="AG159" i="11"/>
  <c r="AH159" i="11"/>
  <c r="AJ159" i="11"/>
  <c r="AL159" i="11"/>
  <c r="AO159" i="11"/>
  <c r="AP159" i="11"/>
  <c r="J159" i="11" s="1"/>
  <c r="BD159" i="11"/>
  <c r="BF159" i="11"/>
  <c r="BJ159" i="11"/>
  <c r="K160" i="11"/>
  <c r="AK160" i="11" s="1"/>
  <c r="Z160" i="11"/>
  <c r="AD160" i="11"/>
  <c r="AE160" i="11"/>
  <c r="AF160" i="11"/>
  <c r="AG160" i="11"/>
  <c r="AH160" i="11"/>
  <c r="AJ160" i="11"/>
  <c r="AL160" i="11"/>
  <c r="AO160" i="11"/>
  <c r="AP160" i="11"/>
  <c r="BD160" i="11"/>
  <c r="BF160" i="11"/>
  <c r="BH160" i="11"/>
  <c r="AB160" i="11" s="1"/>
  <c r="BJ160" i="11"/>
  <c r="K161" i="11"/>
  <c r="AK161" i="11" s="1"/>
  <c r="Z161" i="11"/>
  <c r="AD161" i="11"/>
  <c r="AE161" i="11"/>
  <c r="AF161" i="11"/>
  <c r="AG161" i="11"/>
  <c r="AH161" i="11"/>
  <c r="AJ161" i="11"/>
  <c r="AL161" i="11"/>
  <c r="AO161" i="11"/>
  <c r="AW161" i="11" s="1"/>
  <c r="AP161" i="11"/>
  <c r="BI161" i="11" s="1"/>
  <c r="AC161" i="11" s="1"/>
  <c r="BD161" i="11"/>
  <c r="BF161" i="11"/>
  <c r="BJ161" i="11"/>
  <c r="K162" i="11"/>
  <c r="AK162" i="11" s="1"/>
  <c r="Z162" i="11"/>
  <c r="AD162" i="11"/>
  <c r="AE162" i="11"/>
  <c r="AF162" i="11"/>
  <c r="AG162" i="11"/>
  <c r="AH162" i="11"/>
  <c r="AJ162" i="11"/>
  <c r="AL162" i="11"/>
  <c r="AO162" i="11"/>
  <c r="AP162" i="11"/>
  <c r="BD162" i="11"/>
  <c r="BF162" i="11"/>
  <c r="BJ162" i="11"/>
  <c r="K163" i="11"/>
  <c r="AK163" i="11" s="1"/>
  <c r="Z163" i="11"/>
  <c r="AD163" i="11"/>
  <c r="AE163" i="11"/>
  <c r="AF163" i="11"/>
  <c r="AG163" i="11"/>
  <c r="AH163" i="11"/>
  <c r="AJ163" i="11"/>
  <c r="AL163" i="11"/>
  <c r="AO163" i="11"/>
  <c r="AP163" i="11"/>
  <c r="BD163" i="11"/>
  <c r="BF163" i="11"/>
  <c r="BJ163" i="11"/>
  <c r="K164" i="11"/>
  <c r="Z164" i="11"/>
  <c r="AD164" i="11"/>
  <c r="AE164" i="11"/>
  <c r="AF164" i="11"/>
  <c r="AG164" i="11"/>
  <c r="AH164" i="11"/>
  <c r="AJ164" i="11"/>
  <c r="AK164" i="11"/>
  <c r="AL164" i="11"/>
  <c r="AO164" i="11"/>
  <c r="AP164" i="11"/>
  <c r="BI164" i="11" s="1"/>
  <c r="AC164" i="11" s="1"/>
  <c r="BD164" i="11"/>
  <c r="BF164" i="11"/>
  <c r="BJ164" i="11"/>
  <c r="K165" i="11"/>
  <c r="Z165" i="11"/>
  <c r="AD165" i="11"/>
  <c r="AE165" i="11"/>
  <c r="AF165" i="11"/>
  <c r="AG165" i="11"/>
  <c r="AH165" i="11"/>
  <c r="AJ165" i="11"/>
  <c r="AK165" i="11"/>
  <c r="AL165" i="11"/>
  <c r="AO165" i="11"/>
  <c r="AP165" i="11"/>
  <c r="BI165" i="11" s="1"/>
  <c r="AC165" i="11" s="1"/>
  <c r="BD165" i="11"/>
  <c r="BF165" i="11"/>
  <c r="BJ165" i="11"/>
  <c r="K167" i="11"/>
  <c r="AK167" i="11" s="1"/>
  <c r="AB167" i="11"/>
  <c r="AC167" i="11"/>
  <c r="AD167" i="11"/>
  <c r="AE167" i="11"/>
  <c r="AF167" i="11"/>
  <c r="AG167" i="11"/>
  <c r="AH167" i="11"/>
  <c r="AJ167" i="11"/>
  <c r="AL167" i="11"/>
  <c r="AO167" i="11"/>
  <c r="I167" i="11" s="1"/>
  <c r="AP167" i="11"/>
  <c r="BI167" i="11" s="1"/>
  <c r="BD167" i="11"/>
  <c r="BF167" i="11"/>
  <c r="BJ167" i="11"/>
  <c r="Z167" i="11" s="1"/>
  <c r="K168" i="11"/>
  <c r="AK168" i="11" s="1"/>
  <c r="AB168" i="11"/>
  <c r="AC168" i="11"/>
  <c r="AD168" i="11"/>
  <c r="AE168" i="11"/>
  <c r="AF168" i="11"/>
  <c r="AG168" i="11"/>
  <c r="AH168" i="11"/>
  <c r="AJ168" i="11"/>
  <c r="AL168" i="11"/>
  <c r="AO168" i="11"/>
  <c r="AP168" i="11"/>
  <c r="BD168" i="11"/>
  <c r="BF168" i="11"/>
  <c r="BH168" i="11"/>
  <c r="BJ168" i="11"/>
  <c r="Z168" i="11" s="1"/>
  <c r="K169" i="11"/>
  <c r="AB169" i="11"/>
  <c r="AC169" i="11"/>
  <c r="AD169" i="11"/>
  <c r="AE169" i="11"/>
  <c r="AF169" i="11"/>
  <c r="AG169" i="11"/>
  <c r="AH169" i="11"/>
  <c r="AJ169" i="11"/>
  <c r="AL169" i="11"/>
  <c r="AO169" i="11"/>
  <c r="BH169" i="11" s="1"/>
  <c r="AP169" i="11"/>
  <c r="AX169" i="11" s="1"/>
  <c r="BD169" i="11"/>
  <c r="BF169" i="11"/>
  <c r="BJ169" i="11"/>
  <c r="Z169" i="11" s="1"/>
  <c r="K170" i="11"/>
  <c r="AK170" i="11" s="1"/>
  <c r="AB170" i="11"/>
  <c r="AC170" i="11"/>
  <c r="AD170" i="11"/>
  <c r="AE170" i="11"/>
  <c r="AF170" i="11"/>
  <c r="AG170" i="11"/>
  <c r="AH170" i="11"/>
  <c r="AJ170" i="11"/>
  <c r="AL170" i="11"/>
  <c r="AO170" i="11"/>
  <c r="AP170" i="11"/>
  <c r="BD170" i="11"/>
  <c r="BF170" i="11"/>
  <c r="BH170" i="11"/>
  <c r="BJ170" i="11"/>
  <c r="Z170" i="11" s="1"/>
  <c r="K171" i="11"/>
  <c r="AK171" i="11" s="1"/>
  <c r="AB171" i="11"/>
  <c r="AC171" i="11"/>
  <c r="AD171" i="11"/>
  <c r="AE171" i="11"/>
  <c r="AF171" i="11"/>
  <c r="AG171" i="11"/>
  <c r="AH171" i="11"/>
  <c r="AJ171" i="11"/>
  <c r="AL171" i="11"/>
  <c r="AO171" i="11"/>
  <c r="AP171" i="11"/>
  <c r="AX171" i="11" s="1"/>
  <c r="BD171" i="11"/>
  <c r="BF171" i="11"/>
  <c r="BJ171" i="11"/>
  <c r="Z171" i="11" s="1"/>
  <c r="K172" i="11"/>
  <c r="AB172" i="11"/>
  <c r="AC172" i="11"/>
  <c r="AD172" i="11"/>
  <c r="AE172" i="11"/>
  <c r="AF172" i="11"/>
  <c r="AG172" i="11"/>
  <c r="AH172" i="11"/>
  <c r="AJ172" i="11"/>
  <c r="AK172" i="11"/>
  <c r="AL172" i="11"/>
  <c r="AO172" i="11"/>
  <c r="BH172" i="11" s="1"/>
  <c r="AP172" i="11"/>
  <c r="BD172" i="11"/>
  <c r="BF172" i="11"/>
  <c r="BJ172" i="11"/>
  <c r="Z172" i="11" s="1"/>
  <c r="K173" i="11"/>
  <c r="AK173" i="11" s="1"/>
  <c r="AB173" i="11"/>
  <c r="AC173" i="11"/>
  <c r="AD173" i="11"/>
  <c r="AE173" i="11"/>
  <c r="AF173" i="11"/>
  <c r="AG173" i="11"/>
  <c r="AH173" i="11"/>
  <c r="AJ173" i="11"/>
  <c r="AL173" i="11"/>
  <c r="AO173" i="11"/>
  <c r="AP173" i="11"/>
  <c r="BD173" i="11"/>
  <c r="BF173" i="11"/>
  <c r="BJ173" i="11"/>
  <c r="Z173" i="11" s="1"/>
  <c r="K174" i="11"/>
  <c r="AK174" i="11" s="1"/>
  <c r="AB174" i="11"/>
  <c r="AC174" i="11"/>
  <c r="AD174" i="11"/>
  <c r="AE174" i="11"/>
  <c r="AF174" i="11"/>
  <c r="AG174" i="11"/>
  <c r="AH174" i="11"/>
  <c r="AJ174" i="11"/>
  <c r="AL174" i="11"/>
  <c r="AO174" i="11"/>
  <c r="AP174" i="11"/>
  <c r="AX174" i="11" s="1"/>
  <c r="BD174" i="11"/>
  <c r="BF174" i="11"/>
  <c r="BJ174" i="11"/>
  <c r="Z174" i="11" s="1"/>
  <c r="K175" i="11"/>
  <c r="AK175" i="11" s="1"/>
  <c r="AB175" i="11"/>
  <c r="AC175" i="11"/>
  <c r="AD175" i="11"/>
  <c r="AE175" i="11"/>
  <c r="AF175" i="11"/>
  <c r="AG175" i="11"/>
  <c r="AH175" i="11"/>
  <c r="AJ175" i="11"/>
  <c r="AL175" i="11"/>
  <c r="AO175" i="11"/>
  <c r="AP175" i="11"/>
  <c r="BD175" i="11"/>
  <c r="BF175" i="11"/>
  <c r="BJ175" i="11"/>
  <c r="Z175" i="11" s="1"/>
  <c r="K176" i="11"/>
  <c r="AK176" i="11" s="1"/>
  <c r="AB176" i="11"/>
  <c r="AC176" i="11"/>
  <c r="AD176" i="11"/>
  <c r="AE176" i="11"/>
  <c r="AF176" i="11"/>
  <c r="AG176" i="11"/>
  <c r="AH176" i="11"/>
  <c r="AJ176" i="11"/>
  <c r="AL176" i="11"/>
  <c r="AO176" i="11"/>
  <c r="AW176" i="11" s="1"/>
  <c r="AP176" i="11"/>
  <c r="BD176" i="11"/>
  <c r="BF176" i="11"/>
  <c r="BH176" i="11"/>
  <c r="BJ176" i="11"/>
  <c r="Z176" i="11" s="1"/>
  <c r="K177" i="11"/>
  <c r="AK177" i="11" s="1"/>
  <c r="AB177" i="11"/>
  <c r="AC177" i="11"/>
  <c r="AD177" i="11"/>
  <c r="AE177" i="11"/>
  <c r="AF177" i="11"/>
  <c r="AG177" i="11"/>
  <c r="AH177" i="11"/>
  <c r="AJ177" i="11"/>
  <c r="AL177" i="11"/>
  <c r="AO177" i="11"/>
  <c r="AP177" i="11"/>
  <c r="BD177" i="11"/>
  <c r="BF177" i="11"/>
  <c r="BJ177" i="11"/>
  <c r="Z177" i="11" s="1"/>
  <c r="K178" i="11"/>
  <c r="AK178" i="11" s="1"/>
  <c r="AB178" i="11"/>
  <c r="AC178" i="11"/>
  <c r="AD178" i="11"/>
  <c r="AE178" i="11"/>
  <c r="AF178" i="11"/>
  <c r="AG178" i="11"/>
  <c r="AH178" i="11"/>
  <c r="AJ178" i="11"/>
  <c r="AL178" i="11"/>
  <c r="AO178" i="11"/>
  <c r="AP178" i="11"/>
  <c r="BI178" i="11" s="1"/>
  <c r="BD178" i="11"/>
  <c r="BF178" i="11"/>
  <c r="BJ178" i="11"/>
  <c r="Z178" i="11" s="1"/>
  <c r="K179" i="11"/>
  <c r="AK179" i="11" s="1"/>
  <c r="AB179" i="11"/>
  <c r="AC179" i="11"/>
  <c r="AD179" i="11"/>
  <c r="AE179" i="11"/>
  <c r="AF179" i="11"/>
  <c r="AG179" i="11"/>
  <c r="AH179" i="11"/>
  <c r="AJ179" i="11"/>
  <c r="AL179" i="11"/>
  <c r="AO179" i="11"/>
  <c r="AP179" i="11"/>
  <c r="BD179" i="11"/>
  <c r="BF179" i="11"/>
  <c r="BJ179" i="11"/>
  <c r="Z179" i="11" s="1"/>
  <c r="K180" i="11"/>
  <c r="AK180" i="11" s="1"/>
  <c r="AB180" i="11"/>
  <c r="AC180" i="11"/>
  <c r="AD180" i="11"/>
  <c r="AE180" i="11"/>
  <c r="AF180" i="11"/>
  <c r="AG180" i="11"/>
  <c r="AH180" i="11"/>
  <c r="AJ180" i="11"/>
  <c r="AL180" i="11"/>
  <c r="AO180" i="11"/>
  <c r="AW180" i="11" s="1"/>
  <c r="AP180" i="11"/>
  <c r="BD180" i="11"/>
  <c r="BF180" i="11"/>
  <c r="BH180" i="11"/>
  <c r="BJ180" i="11"/>
  <c r="Z180" i="11" s="1"/>
  <c r="K181" i="11"/>
  <c r="AK181" i="11" s="1"/>
  <c r="AB181" i="11"/>
  <c r="AC181" i="11"/>
  <c r="AD181" i="11"/>
  <c r="AE181" i="11"/>
  <c r="AF181" i="11"/>
  <c r="AG181" i="11"/>
  <c r="AH181" i="11"/>
  <c r="AJ181" i="11"/>
  <c r="AL181" i="11"/>
  <c r="AO181" i="11"/>
  <c r="AP181" i="11"/>
  <c r="BD181" i="11"/>
  <c r="BF181" i="11"/>
  <c r="BJ181" i="11"/>
  <c r="Z181" i="11" s="1"/>
  <c r="K183" i="11"/>
  <c r="K182" i="11" s="1"/>
  <c r="AB183" i="11"/>
  <c r="AC183" i="11"/>
  <c r="AD183" i="11"/>
  <c r="AE183" i="11"/>
  <c r="AF183" i="11"/>
  <c r="AG183" i="11"/>
  <c r="AH183" i="11"/>
  <c r="AJ183" i="11"/>
  <c r="AS182" i="11" s="1"/>
  <c r="AL183" i="11"/>
  <c r="AU182" i="11" s="1"/>
  <c r="AO183" i="11"/>
  <c r="AW183" i="11" s="1"/>
  <c r="AP183" i="11"/>
  <c r="BD183" i="11"/>
  <c r="BF183" i="11"/>
  <c r="BH183" i="11"/>
  <c r="BI183" i="11"/>
  <c r="BJ183" i="11"/>
  <c r="Z183" i="11" s="1"/>
  <c r="K185" i="11"/>
  <c r="Z185" i="11"/>
  <c r="AB185" i="11"/>
  <c r="AC185" i="11"/>
  <c r="AF185" i="11"/>
  <c r="AG185" i="11"/>
  <c r="AH185" i="11"/>
  <c r="AJ185" i="11"/>
  <c r="AK185" i="11"/>
  <c r="AL185" i="11"/>
  <c r="AO185" i="11"/>
  <c r="AW185" i="11" s="1"/>
  <c r="AP185" i="11"/>
  <c r="BD185" i="11"/>
  <c r="BF185" i="11"/>
  <c r="BH185" i="11"/>
  <c r="AD185" i="11" s="1"/>
  <c r="BJ185" i="11"/>
  <c r="K186" i="11"/>
  <c r="Z186" i="11"/>
  <c r="AB186" i="11"/>
  <c r="AC186" i="11"/>
  <c r="AF186" i="11"/>
  <c r="AG186" i="11"/>
  <c r="AH186" i="11"/>
  <c r="AJ186" i="11"/>
  <c r="AK186" i="11"/>
  <c r="AL186" i="11"/>
  <c r="AO186" i="11"/>
  <c r="AP186" i="11"/>
  <c r="BD186" i="11"/>
  <c r="BF186" i="11"/>
  <c r="BH186" i="11"/>
  <c r="AD186" i="11" s="1"/>
  <c r="BI186" i="11"/>
  <c r="AE186" i="11" s="1"/>
  <c r="BJ186" i="11"/>
  <c r="K187" i="11"/>
  <c r="AK187" i="11" s="1"/>
  <c r="Z187" i="11"/>
  <c r="AB187" i="11"/>
  <c r="AC187" i="11"/>
  <c r="AF187" i="11"/>
  <c r="AG187" i="11"/>
  <c r="AH187" i="11"/>
  <c r="AJ187" i="11"/>
  <c r="AL187" i="11"/>
  <c r="AO187" i="11"/>
  <c r="BH187" i="11" s="1"/>
  <c r="AD187" i="11" s="1"/>
  <c r="AP187" i="11"/>
  <c r="J187" i="11" s="1"/>
  <c r="BD187" i="11"/>
  <c r="BF187" i="11"/>
  <c r="BI187" i="11"/>
  <c r="AE187" i="11" s="1"/>
  <c r="BJ187" i="11"/>
  <c r="K188" i="11"/>
  <c r="AK188" i="11" s="1"/>
  <c r="Z188" i="11"/>
  <c r="AB188" i="11"/>
  <c r="AC188" i="11"/>
  <c r="AF188" i="11"/>
  <c r="AG188" i="11"/>
  <c r="AH188" i="11"/>
  <c r="AJ188" i="11"/>
  <c r="AL188" i="11"/>
  <c r="AO188" i="11"/>
  <c r="AP188" i="11"/>
  <c r="J188" i="11" s="1"/>
  <c r="BD188" i="11"/>
  <c r="BF188" i="11"/>
  <c r="BJ188" i="11"/>
  <c r="K189" i="11"/>
  <c r="Z189" i="11"/>
  <c r="AB189" i="11"/>
  <c r="AC189" i="11"/>
  <c r="AF189" i="11"/>
  <c r="AG189" i="11"/>
  <c r="AH189" i="11"/>
  <c r="AJ189" i="11"/>
  <c r="AK189" i="11"/>
  <c r="AL189" i="11"/>
  <c r="AO189" i="11"/>
  <c r="AP189" i="11"/>
  <c r="BD189" i="11"/>
  <c r="BF189" i="11"/>
  <c r="BJ189" i="11"/>
  <c r="K190" i="11"/>
  <c r="Z190" i="11"/>
  <c r="AB190" i="11"/>
  <c r="AC190" i="11"/>
  <c r="AF190" i="11"/>
  <c r="AG190" i="11"/>
  <c r="AH190" i="11"/>
  <c r="AJ190" i="11"/>
  <c r="AK190" i="11"/>
  <c r="AL190" i="11"/>
  <c r="AO190" i="11"/>
  <c r="AW190" i="11" s="1"/>
  <c r="AP190" i="11"/>
  <c r="BI190" i="11" s="1"/>
  <c r="AE190" i="11" s="1"/>
  <c r="BD190" i="11"/>
  <c r="BF190" i="11"/>
  <c r="BH190" i="11"/>
  <c r="AD190" i="11" s="1"/>
  <c r="BJ190" i="11"/>
  <c r="K191" i="11"/>
  <c r="AK191" i="11" s="1"/>
  <c r="AB191" i="11"/>
  <c r="AC191" i="11"/>
  <c r="AD191" i="11"/>
  <c r="AE191" i="11"/>
  <c r="AF191" i="11"/>
  <c r="AG191" i="11"/>
  <c r="AH191" i="11"/>
  <c r="AJ191" i="11"/>
  <c r="AL191" i="11"/>
  <c r="AO191" i="11"/>
  <c r="BH191" i="11" s="1"/>
  <c r="AP191" i="11"/>
  <c r="J191" i="11" s="1"/>
  <c r="BD191" i="11"/>
  <c r="BF191" i="11"/>
  <c r="BJ191" i="11"/>
  <c r="Z191" i="11" s="1"/>
  <c r="K193" i="11"/>
  <c r="Z193" i="11"/>
  <c r="AB193" i="11"/>
  <c r="AC193" i="11"/>
  <c r="AF193" i="11"/>
  <c r="AG193" i="11"/>
  <c r="AH193" i="11"/>
  <c r="AJ193" i="11"/>
  <c r="AK193" i="11"/>
  <c r="AL193" i="11"/>
  <c r="AO193" i="11"/>
  <c r="AP193" i="11"/>
  <c r="BD193" i="11"/>
  <c r="BF193" i="11"/>
  <c r="BJ193" i="11"/>
  <c r="K194" i="11"/>
  <c r="Z194" i="11"/>
  <c r="AB194" i="11"/>
  <c r="AC194" i="11"/>
  <c r="AF194" i="11"/>
  <c r="AG194" i="11"/>
  <c r="AH194" i="11"/>
  <c r="AJ194" i="11"/>
  <c r="AL194" i="11"/>
  <c r="AO194" i="11"/>
  <c r="AP194" i="11"/>
  <c r="BD194" i="11"/>
  <c r="BF194" i="11"/>
  <c r="BH194" i="11"/>
  <c r="AD194" i="11" s="1"/>
  <c r="BJ194" i="11"/>
  <c r="K195" i="11"/>
  <c r="AK195" i="11" s="1"/>
  <c r="Z195" i="11"/>
  <c r="AB195" i="11"/>
  <c r="AC195" i="11"/>
  <c r="AF195" i="11"/>
  <c r="AG195" i="11"/>
  <c r="AH195" i="11"/>
  <c r="AJ195" i="11"/>
  <c r="AL195" i="11"/>
  <c r="AO195" i="11"/>
  <c r="I195" i="11" s="1"/>
  <c r="AP195" i="11"/>
  <c r="J195" i="11" s="1"/>
  <c r="BD195" i="11"/>
  <c r="BF195" i="11"/>
  <c r="BH195" i="11"/>
  <c r="AD195" i="11" s="1"/>
  <c r="BJ195" i="11"/>
  <c r="K196" i="11"/>
  <c r="Z196" i="11"/>
  <c r="AB196" i="11"/>
  <c r="AC196" i="11"/>
  <c r="AF196" i="11"/>
  <c r="AG196" i="11"/>
  <c r="AH196" i="11"/>
  <c r="AJ196" i="11"/>
  <c r="AK196" i="11"/>
  <c r="AL196" i="11"/>
  <c r="AO196" i="11"/>
  <c r="AW196" i="11" s="1"/>
  <c r="AP196" i="11"/>
  <c r="BD196" i="11"/>
  <c r="BF196" i="11"/>
  <c r="BH196" i="11"/>
  <c r="AD196" i="11" s="1"/>
  <c r="BJ196" i="11"/>
  <c r="K197" i="11"/>
  <c r="Z197" i="11"/>
  <c r="AB197" i="11"/>
  <c r="AC197" i="11"/>
  <c r="AF197" i="11"/>
  <c r="AG197" i="11"/>
  <c r="AH197" i="11"/>
  <c r="AJ197" i="11"/>
  <c r="AK197" i="11"/>
  <c r="AL197" i="11"/>
  <c r="AO197" i="11"/>
  <c r="AP197" i="11"/>
  <c r="BD197" i="11"/>
  <c r="BF197" i="11"/>
  <c r="BH197" i="11"/>
  <c r="AD197" i="11" s="1"/>
  <c r="BI197" i="11"/>
  <c r="AE197" i="11" s="1"/>
  <c r="BJ197" i="11"/>
  <c r="K198" i="11"/>
  <c r="AK198" i="11" s="1"/>
  <c r="Z198" i="11"/>
  <c r="AB198" i="11"/>
  <c r="AC198" i="11"/>
  <c r="AF198" i="11"/>
  <c r="AG198" i="11"/>
  <c r="AH198" i="11"/>
  <c r="AJ198" i="11"/>
  <c r="AL198" i="11"/>
  <c r="AO198" i="11"/>
  <c r="AP198" i="11"/>
  <c r="J198" i="11" s="1"/>
  <c r="BD198" i="11"/>
  <c r="BF198" i="11"/>
  <c r="BJ198" i="11"/>
  <c r="K199" i="11"/>
  <c r="AK199" i="11" s="1"/>
  <c r="Z199" i="11"/>
  <c r="AB199" i="11"/>
  <c r="AC199" i="11"/>
  <c r="AF199" i="11"/>
  <c r="AG199" i="11"/>
  <c r="AH199" i="11"/>
  <c r="AJ199" i="11"/>
  <c r="AL199" i="11"/>
  <c r="AO199" i="11"/>
  <c r="AP199" i="11"/>
  <c r="BI199" i="11" s="1"/>
  <c r="AE199" i="11" s="1"/>
  <c r="BD199" i="11"/>
  <c r="BF199" i="11"/>
  <c r="BJ199" i="11"/>
  <c r="K200" i="11"/>
  <c r="AK200" i="11" s="1"/>
  <c r="AB200" i="11"/>
  <c r="AC200" i="11"/>
  <c r="AD200" i="11"/>
  <c r="AE200" i="11"/>
  <c r="AF200" i="11"/>
  <c r="AG200" i="11"/>
  <c r="AH200" i="11"/>
  <c r="AJ200" i="11"/>
  <c r="AL200" i="11"/>
  <c r="AO200" i="11"/>
  <c r="AP200" i="11"/>
  <c r="BD200" i="11"/>
  <c r="BF200" i="11"/>
  <c r="BJ200" i="11"/>
  <c r="Z200" i="11" s="1"/>
  <c r="K202" i="11"/>
  <c r="Z202" i="11"/>
  <c r="AB202" i="11"/>
  <c r="AC202" i="11"/>
  <c r="AF202" i="11"/>
  <c r="AG202" i="11"/>
  <c r="AH202" i="11"/>
  <c r="AJ202" i="11"/>
  <c r="AL202" i="11"/>
  <c r="AO202" i="11"/>
  <c r="AP202" i="11"/>
  <c r="BD202" i="11"/>
  <c r="BF202" i="11"/>
  <c r="BH202" i="11"/>
  <c r="AD202" i="11" s="1"/>
  <c r="BJ202" i="11"/>
  <c r="K203" i="11"/>
  <c r="Z203" i="11"/>
  <c r="AB203" i="11"/>
  <c r="AC203" i="11"/>
  <c r="AF203" i="11"/>
  <c r="AG203" i="11"/>
  <c r="AH203" i="11"/>
  <c r="AJ203" i="11"/>
  <c r="AK203" i="11"/>
  <c r="AL203" i="11"/>
  <c r="AO203" i="11"/>
  <c r="AP203" i="11"/>
  <c r="BD203" i="11"/>
  <c r="BF203" i="11"/>
  <c r="BJ203" i="11"/>
  <c r="K204" i="11"/>
  <c r="Z204" i="11"/>
  <c r="AB204" i="11"/>
  <c r="AC204" i="11"/>
  <c r="AF204" i="11"/>
  <c r="AG204" i="11"/>
  <c r="AH204" i="11"/>
  <c r="AJ204" i="11"/>
  <c r="AK204" i="11"/>
  <c r="AL204" i="11"/>
  <c r="AO204" i="11"/>
  <c r="AW204" i="11" s="1"/>
  <c r="AP204" i="11"/>
  <c r="BD204" i="11"/>
  <c r="BF204" i="11"/>
  <c r="BH204" i="11"/>
  <c r="AD204" i="11" s="1"/>
  <c r="BJ204" i="11"/>
  <c r="K205" i="11"/>
  <c r="AK205" i="11" s="1"/>
  <c r="Z205" i="11"/>
  <c r="AB205" i="11"/>
  <c r="AC205" i="11"/>
  <c r="AF205" i="11"/>
  <c r="AG205" i="11"/>
  <c r="AH205" i="11"/>
  <c r="AJ205" i="11"/>
  <c r="AL205" i="11"/>
  <c r="AO205" i="11"/>
  <c r="AP205" i="11"/>
  <c r="AX205" i="11" s="1"/>
  <c r="BD205" i="11"/>
  <c r="BF205" i="11"/>
  <c r="BH205" i="11"/>
  <c r="AD205" i="11" s="1"/>
  <c r="BJ205" i="11"/>
  <c r="K206" i="11"/>
  <c r="AK206" i="11" s="1"/>
  <c r="Z206" i="11"/>
  <c r="AB206" i="11"/>
  <c r="AC206" i="11"/>
  <c r="AF206" i="11"/>
  <c r="AG206" i="11"/>
  <c r="AH206" i="11"/>
  <c r="AJ206" i="11"/>
  <c r="AL206" i="11"/>
  <c r="AO206" i="11"/>
  <c r="AP206" i="11"/>
  <c r="BD206" i="11"/>
  <c r="BF206" i="11"/>
  <c r="BJ206" i="11"/>
  <c r="K207" i="11"/>
  <c r="Z207" i="11"/>
  <c r="AB207" i="11"/>
  <c r="AC207" i="11"/>
  <c r="AF207" i="11"/>
  <c r="AG207" i="11"/>
  <c r="AH207" i="11"/>
  <c r="AJ207" i="11"/>
  <c r="AK207" i="11"/>
  <c r="AL207" i="11"/>
  <c r="AO207" i="11"/>
  <c r="AW207" i="11" s="1"/>
  <c r="AP207" i="11"/>
  <c r="BD207" i="11"/>
  <c r="BF207" i="11"/>
  <c r="BH207" i="11"/>
  <c r="AD207" i="11" s="1"/>
  <c r="BJ207" i="11"/>
  <c r="K208" i="11"/>
  <c r="Z208" i="11"/>
  <c r="AB208" i="11"/>
  <c r="AC208" i="11"/>
  <c r="AF208" i="11"/>
  <c r="AG208" i="11"/>
  <c r="AH208" i="11"/>
  <c r="AJ208" i="11"/>
  <c r="AK208" i="11"/>
  <c r="AL208" i="11"/>
  <c r="AO208" i="11"/>
  <c r="AP208" i="11"/>
  <c r="BD208" i="11"/>
  <c r="BF208" i="11"/>
  <c r="BH208" i="11"/>
  <c r="AD208" i="11" s="1"/>
  <c r="BJ208" i="11"/>
  <c r="K209" i="11"/>
  <c r="AK209" i="11" s="1"/>
  <c r="Z209" i="11"/>
  <c r="AB209" i="11"/>
  <c r="AC209" i="11"/>
  <c r="AF209" i="11"/>
  <c r="AG209" i="11"/>
  <c r="AH209" i="11"/>
  <c r="AJ209" i="11"/>
  <c r="AL209" i="11"/>
  <c r="AO209" i="11"/>
  <c r="BH209" i="11" s="1"/>
  <c r="AD209" i="11" s="1"/>
  <c r="AP209" i="11"/>
  <c r="BD209" i="11"/>
  <c r="BF209" i="11"/>
  <c r="BJ209" i="11"/>
  <c r="K210" i="11"/>
  <c r="AK210" i="11" s="1"/>
  <c r="Z210" i="11"/>
  <c r="AB210" i="11"/>
  <c r="AC210" i="11"/>
  <c r="AF210" i="11"/>
  <c r="AG210" i="11"/>
  <c r="AH210" i="11"/>
  <c r="AJ210" i="11"/>
  <c r="AL210" i="11"/>
  <c r="AO210" i="11"/>
  <c r="AP210" i="11"/>
  <c r="J210" i="11" s="1"/>
  <c r="BD210" i="11"/>
  <c r="BF210" i="11"/>
  <c r="BJ210" i="11"/>
  <c r="K211" i="11"/>
  <c r="Z211" i="11"/>
  <c r="AB211" i="11"/>
  <c r="AC211" i="11"/>
  <c r="AF211" i="11"/>
  <c r="AG211" i="11"/>
  <c r="AH211" i="11"/>
  <c r="AJ211" i="11"/>
  <c r="AK211" i="11"/>
  <c r="AL211" i="11"/>
  <c r="AO211" i="11"/>
  <c r="AW211" i="11" s="1"/>
  <c r="AP211" i="11"/>
  <c r="BD211" i="11"/>
  <c r="BF211" i="11"/>
  <c r="BH211" i="11"/>
  <c r="AD211" i="11" s="1"/>
  <c r="BJ211" i="11"/>
  <c r="K212" i="11"/>
  <c r="Z212" i="11"/>
  <c r="AB212" i="11"/>
  <c r="AC212" i="11"/>
  <c r="AF212" i="11"/>
  <c r="AG212" i="11"/>
  <c r="AH212" i="11"/>
  <c r="AJ212" i="11"/>
  <c r="AK212" i="11"/>
  <c r="AL212" i="11"/>
  <c r="AO212" i="11"/>
  <c r="AP212" i="11"/>
  <c r="BD212" i="11"/>
  <c r="BF212" i="11"/>
  <c r="BH212" i="11"/>
  <c r="AD212" i="11" s="1"/>
  <c r="BI212" i="11"/>
  <c r="AE212" i="11" s="1"/>
  <c r="BJ212" i="11"/>
  <c r="K213" i="11"/>
  <c r="AK213" i="11" s="1"/>
  <c r="Z213" i="11"/>
  <c r="AB213" i="11"/>
  <c r="AC213" i="11"/>
  <c r="AF213" i="11"/>
  <c r="AG213" i="11"/>
  <c r="AH213" i="11"/>
  <c r="AJ213" i="11"/>
  <c r="AL213" i="11"/>
  <c r="AO213" i="11"/>
  <c r="AP213" i="11"/>
  <c r="J213" i="11" s="1"/>
  <c r="BD213" i="11"/>
  <c r="BF213" i="11"/>
  <c r="BJ213" i="11"/>
  <c r="K214" i="11"/>
  <c r="AK214" i="11" s="1"/>
  <c r="Z214" i="11"/>
  <c r="AB214" i="11"/>
  <c r="AC214" i="11"/>
  <c r="AF214" i="11"/>
  <c r="AG214" i="11"/>
  <c r="AH214" i="11"/>
  <c r="AJ214" i="11"/>
  <c r="AL214" i="11"/>
  <c r="AO214" i="11"/>
  <c r="AP214" i="11"/>
  <c r="BD214" i="11"/>
  <c r="BF214" i="11"/>
  <c r="BJ214" i="11"/>
  <c r="K215" i="11"/>
  <c r="Z215" i="11"/>
  <c r="AB215" i="11"/>
  <c r="AC215" i="11"/>
  <c r="AF215" i="11"/>
  <c r="AG215" i="11"/>
  <c r="AH215" i="11"/>
  <c r="AJ215" i="11"/>
  <c r="AK215" i="11"/>
  <c r="AL215" i="11"/>
  <c r="AO215" i="11"/>
  <c r="I215" i="11" s="1"/>
  <c r="AP215" i="11"/>
  <c r="AX215" i="11" s="1"/>
  <c r="BD215" i="11"/>
  <c r="BF215" i="11"/>
  <c r="BJ215" i="11"/>
  <c r="K216" i="11"/>
  <c r="Z216" i="11"/>
  <c r="AB216" i="11"/>
  <c r="AC216" i="11"/>
  <c r="AF216" i="11"/>
  <c r="AG216" i="11"/>
  <c r="AH216" i="11"/>
  <c r="AJ216" i="11"/>
  <c r="AK216" i="11"/>
  <c r="AL216" i="11"/>
  <c r="AO216" i="11"/>
  <c r="AP216" i="11"/>
  <c r="BD216" i="11"/>
  <c r="BF216" i="11"/>
  <c r="BJ216" i="11"/>
  <c r="K217" i="11"/>
  <c r="AK217" i="11" s="1"/>
  <c r="Z217" i="11"/>
  <c r="AB217" i="11"/>
  <c r="AC217" i="11"/>
  <c r="AF217" i="11"/>
  <c r="AG217" i="11"/>
  <c r="AH217" i="11"/>
  <c r="AJ217" i="11"/>
  <c r="AL217" i="11"/>
  <c r="AO217" i="11"/>
  <c r="AP217" i="11"/>
  <c r="BD217" i="11"/>
  <c r="BF217" i="11"/>
  <c r="BJ217" i="11"/>
  <c r="K218" i="11"/>
  <c r="AK218" i="11" s="1"/>
  <c r="Z218" i="11"/>
  <c r="AB218" i="11"/>
  <c r="AC218" i="11"/>
  <c r="AF218" i="11"/>
  <c r="AG218" i="11"/>
  <c r="AH218" i="11"/>
  <c r="AJ218" i="11"/>
  <c r="AL218" i="11"/>
  <c r="AO218" i="11"/>
  <c r="I218" i="11" s="1"/>
  <c r="AP218" i="11"/>
  <c r="BI218" i="11" s="1"/>
  <c r="AE218" i="11" s="1"/>
  <c r="BD218" i="11"/>
  <c r="BF218" i="11"/>
  <c r="BJ218" i="11"/>
  <c r="K219" i="11"/>
  <c r="Z219" i="11"/>
  <c r="AB219" i="11"/>
  <c r="AC219" i="11"/>
  <c r="AF219" i="11"/>
  <c r="AG219" i="11"/>
  <c r="AH219" i="11"/>
  <c r="AJ219" i="11"/>
  <c r="AK219" i="11"/>
  <c r="AL219" i="11"/>
  <c r="AO219" i="11"/>
  <c r="BH219" i="11" s="1"/>
  <c r="AD219" i="11" s="1"/>
  <c r="AP219" i="11"/>
  <c r="BD219" i="11"/>
  <c r="BF219" i="11"/>
  <c r="BJ219" i="11"/>
  <c r="K220" i="11"/>
  <c r="Z220" i="11"/>
  <c r="AB220" i="11"/>
  <c r="AC220" i="11"/>
  <c r="AF220" i="11"/>
  <c r="AG220" i="11"/>
  <c r="AH220" i="11"/>
  <c r="AJ220" i="11"/>
  <c r="AK220" i="11"/>
  <c r="AL220" i="11"/>
  <c r="AO220" i="11"/>
  <c r="I220" i="11" s="1"/>
  <c r="AP220" i="11"/>
  <c r="BI220" i="11" s="1"/>
  <c r="AE220" i="11" s="1"/>
  <c r="BD220" i="11"/>
  <c r="BF220" i="11"/>
  <c r="BJ220" i="11"/>
  <c r="K221" i="11"/>
  <c r="AK221" i="11" s="1"/>
  <c r="Z221" i="11"/>
  <c r="AB221" i="11"/>
  <c r="AC221" i="11"/>
  <c r="AF221" i="11"/>
  <c r="AG221" i="11"/>
  <c r="AH221" i="11"/>
  <c r="AJ221" i="11"/>
  <c r="AL221" i="11"/>
  <c r="AO221" i="11"/>
  <c r="AP221" i="11"/>
  <c r="BD221" i="11"/>
  <c r="BF221" i="11"/>
  <c r="BH221" i="11"/>
  <c r="AD221" i="11" s="1"/>
  <c r="BJ221" i="11"/>
  <c r="K222" i="11"/>
  <c r="AK222" i="11" s="1"/>
  <c r="Z222" i="11"/>
  <c r="AB222" i="11"/>
  <c r="AC222" i="11"/>
  <c r="AF222" i="11"/>
  <c r="AG222" i="11"/>
  <c r="AH222" i="11"/>
  <c r="AJ222" i="11"/>
  <c r="AL222" i="11"/>
  <c r="AO222" i="11"/>
  <c r="AP222" i="11"/>
  <c r="BD222" i="11"/>
  <c r="BF222" i="11"/>
  <c r="BJ222" i="11"/>
  <c r="K223" i="11"/>
  <c r="Z223" i="11"/>
  <c r="AB223" i="11"/>
  <c r="AC223" i="11"/>
  <c r="AF223" i="11"/>
  <c r="AG223" i="11"/>
  <c r="AH223" i="11"/>
  <c r="AJ223" i="11"/>
  <c r="AK223" i="11"/>
  <c r="AL223" i="11"/>
  <c r="AO223" i="11"/>
  <c r="AP223" i="11"/>
  <c r="J223" i="11" s="1"/>
  <c r="AX223" i="11"/>
  <c r="BD223" i="11"/>
  <c r="BF223" i="11"/>
  <c r="BI223" i="11"/>
  <c r="AE223" i="11" s="1"/>
  <c r="BJ223" i="11"/>
  <c r="K224" i="11"/>
  <c r="Z224" i="11"/>
  <c r="AB224" i="11"/>
  <c r="AC224" i="11"/>
  <c r="AF224" i="11"/>
  <c r="AG224" i="11"/>
  <c r="AH224" i="11"/>
  <c r="AJ224" i="11"/>
  <c r="AK224" i="11"/>
  <c r="AL224" i="11"/>
  <c r="AO224" i="11"/>
  <c r="AP224" i="11"/>
  <c r="BI224" i="11" s="1"/>
  <c r="AE224" i="11" s="1"/>
  <c r="BD224" i="11"/>
  <c r="BF224" i="11"/>
  <c r="BJ224" i="11"/>
  <c r="K226" i="11"/>
  <c r="Z226" i="11"/>
  <c r="AB226" i="11"/>
  <c r="AC226" i="11"/>
  <c r="AF226" i="11"/>
  <c r="AG226" i="11"/>
  <c r="AH226" i="11"/>
  <c r="AJ226" i="11"/>
  <c r="AK226" i="11"/>
  <c r="AL226" i="11"/>
  <c r="AO226" i="11"/>
  <c r="I226" i="11" s="1"/>
  <c r="AP226" i="11"/>
  <c r="BD226" i="11"/>
  <c r="BF226" i="11"/>
  <c r="BJ226" i="11"/>
  <c r="K227" i="11"/>
  <c r="Z227" i="11"/>
  <c r="AB227" i="11"/>
  <c r="AC227" i="11"/>
  <c r="AF227" i="11"/>
  <c r="AG227" i="11"/>
  <c r="AH227" i="11"/>
  <c r="AJ227" i="11"/>
  <c r="AK227" i="11"/>
  <c r="AL227" i="11"/>
  <c r="AO227" i="11"/>
  <c r="AP227" i="11"/>
  <c r="BD227" i="11"/>
  <c r="BF227" i="11"/>
  <c r="BJ227" i="11"/>
  <c r="K228" i="11"/>
  <c r="AK228" i="11" s="1"/>
  <c r="Z228" i="11"/>
  <c r="AB228" i="11"/>
  <c r="AC228" i="11"/>
  <c r="AF228" i="11"/>
  <c r="AG228" i="11"/>
  <c r="AH228" i="11"/>
  <c r="AJ228" i="11"/>
  <c r="AL228" i="11"/>
  <c r="AO228" i="11"/>
  <c r="AP228" i="11"/>
  <c r="J228" i="11" s="1"/>
  <c r="BD228" i="11"/>
  <c r="BF228" i="11"/>
  <c r="BJ228" i="11"/>
  <c r="K229" i="11"/>
  <c r="AK229" i="11" s="1"/>
  <c r="Z229" i="11"/>
  <c r="AB229" i="11"/>
  <c r="AC229" i="11"/>
  <c r="AF229" i="11"/>
  <c r="AG229" i="11"/>
  <c r="AH229" i="11"/>
  <c r="AJ229" i="11"/>
  <c r="AL229" i="11"/>
  <c r="AO229" i="11"/>
  <c r="AP229" i="11"/>
  <c r="J229" i="11" s="1"/>
  <c r="BD229" i="11"/>
  <c r="BF229" i="11"/>
  <c r="BJ229" i="11"/>
  <c r="K230" i="11"/>
  <c r="Z230" i="11"/>
  <c r="AB230" i="11"/>
  <c r="AC230" i="11"/>
  <c r="AF230" i="11"/>
  <c r="AG230" i="11"/>
  <c r="AH230" i="11"/>
  <c r="AJ230" i="11"/>
  <c r="AK230" i="11"/>
  <c r="AL230" i="11"/>
  <c r="AO230" i="11"/>
  <c r="AP230" i="11"/>
  <c r="BI230" i="11" s="1"/>
  <c r="AE230" i="11" s="1"/>
  <c r="BD230" i="11"/>
  <c r="BF230" i="11"/>
  <c r="BJ230" i="11"/>
  <c r="K231" i="11"/>
  <c r="Z231" i="11"/>
  <c r="AB231" i="11"/>
  <c r="AC231" i="11"/>
  <c r="AF231" i="11"/>
  <c r="AG231" i="11"/>
  <c r="AH231" i="11"/>
  <c r="AJ231" i="11"/>
  <c r="AK231" i="11"/>
  <c r="AL231" i="11"/>
  <c r="AO231" i="11"/>
  <c r="AP231" i="11"/>
  <c r="BD231" i="11"/>
  <c r="BF231" i="11"/>
  <c r="BJ231" i="11"/>
  <c r="K232" i="11"/>
  <c r="AK232" i="11" s="1"/>
  <c r="Z232" i="11"/>
  <c r="AB232" i="11"/>
  <c r="AC232" i="11"/>
  <c r="AF232" i="11"/>
  <c r="AG232" i="11"/>
  <c r="AH232" i="11"/>
  <c r="AJ232" i="11"/>
  <c r="AL232" i="11"/>
  <c r="AO232" i="11"/>
  <c r="AP232" i="11"/>
  <c r="BD232" i="11"/>
  <c r="BF232" i="11"/>
  <c r="BJ232" i="11"/>
  <c r="K233" i="11"/>
  <c r="AK233" i="11" s="1"/>
  <c r="Z233" i="11"/>
  <c r="AB233" i="11"/>
  <c r="AC233" i="11"/>
  <c r="AF233" i="11"/>
  <c r="AG233" i="11"/>
  <c r="AH233" i="11"/>
  <c r="AJ233" i="11"/>
  <c r="AL233" i="11"/>
  <c r="AO233" i="11"/>
  <c r="AP233" i="11"/>
  <c r="J233" i="11" s="1"/>
  <c r="BD233" i="11"/>
  <c r="BF233" i="11"/>
  <c r="BJ233" i="11"/>
  <c r="K234" i="11"/>
  <c r="Z234" i="11"/>
  <c r="AB234" i="11"/>
  <c r="AC234" i="11"/>
  <c r="AF234" i="11"/>
  <c r="AG234" i="11"/>
  <c r="AH234" i="11"/>
  <c r="AJ234" i="11"/>
  <c r="AK234" i="11"/>
  <c r="AL234" i="11"/>
  <c r="AO234" i="11"/>
  <c r="AP234" i="11"/>
  <c r="J234" i="11" s="1"/>
  <c r="BD234" i="11"/>
  <c r="BF234" i="11"/>
  <c r="BJ234" i="11"/>
  <c r="K235" i="11"/>
  <c r="Z235" i="11"/>
  <c r="AB235" i="11"/>
  <c r="AC235" i="11"/>
  <c r="AF235" i="11"/>
  <c r="AG235" i="11"/>
  <c r="AH235" i="11"/>
  <c r="AJ235" i="11"/>
  <c r="AK235" i="11"/>
  <c r="AL235" i="11"/>
  <c r="AO235" i="11"/>
  <c r="AW235" i="11" s="1"/>
  <c r="AP235" i="11"/>
  <c r="BD235" i="11"/>
  <c r="BF235" i="11"/>
  <c r="BJ235" i="11"/>
  <c r="K236" i="11"/>
  <c r="AK236" i="11" s="1"/>
  <c r="Z236" i="11"/>
  <c r="AB236" i="11"/>
  <c r="AC236" i="11"/>
  <c r="AF236" i="11"/>
  <c r="AG236" i="11"/>
  <c r="AH236" i="11"/>
  <c r="AJ236" i="11"/>
  <c r="AL236" i="11"/>
  <c r="AO236" i="11"/>
  <c r="AP236" i="11"/>
  <c r="J236" i="11" s="1"/>
  <c r="BD236" i="11"/>
  <c r="BF236" i="11"/>
  <c r="BJ236" i="11"/>
  <c r="K237" i="11"/>
  <c r="AK237" i="11" s="1"/>
  <c r="Z237" i="11"/>
  <c r="AB237" i="11"/>
  <c r="AC237" i="11"/>
  <c r="AF237" i="11"/>
  <c r="AG237" i="11"/>
  <c r="AH237" i="11"/>
  <c r="AJ237" i="11"/>
  <c r="AL237" i="11"/>
  <c r="AO237" i="11"/>
  <c r="AP237" i="11"/>
  <c r="J237" i="11" s="1"/>
  <c r="BD237" i="11"/>
  <c r="BF237" i="11"/>
  <c r="BJ237" i="11"/>
  <c r="K238" i="11"/>
  <c r="Z238" i="11"/>
  <c r="AB238" i="11"/>
  <c r="AC238" i="11"/>
  <c r="AF238" i="11"/>
  <c r="AG238" i="11"/>
  <c r="AH238" i="11"/>
  <c r="AJ238" i="11"/>
  <c r="AK238" i="11"/>
  <c r="AL238" i="11"/>
  <c r="AO238" i="11"/>
  <c r="I238" i="11" s="1"/>
  <c r="AP238" i="11"/>
  <c r="BD238" i="11"/>
  <c r="BF238" i="11"/>
  <c r="BJ238" i="11"/>
  <c r="K239" i="11"/>
  <c r="Z239" i="11"/>
  <c r="AB239" i="11"/>
  <c r="AC239" i="11"/>
  <c r="AF239" i="11"/>
  <c r="AG239" i="11"/>
  <c r="AH239" i="11"/>
  <c r="AJ239" i="11"/>
  <c r="AK239" i="11"/>
  <c r="AL239" i="11"/>
  <c r="AO239" i="11"/>
  <c r="BH239" i="11" s="1"/>
  <c r="AD239" i="11" s="1"/>
  <c r="AP239" i="11"/>
  <c r="BD239" i="11"/>
  <c r="BF239" i="11"/>
  <c r="BJ239" i="11"/>
  <c r="K240" i="11"/>
  <c r="AK240" i="11" s="1"/>
  <c r="Z240" i="11"/>
  <c r="AB240" i="11"/>
  <c r="AC240" i="11"/>
  <c r="AF240" i="11"/>
  <c r="AG240" i="11"/>
  <c r="AH240" i="11"/>
  <c r="AJ240" i="11"/>
  <c r="AL240" i="11"/>
  <c r="AO240" i="11"/>
  <c r="AP240" i="11"/>
  <c r="BD240" i="11"/>
  <c r="BF240" i="11"/>
  <c r="BJ240" i="11"/>
  <c r="K242" i="11"/>
  <c r="Z242" i="11"/>
  <c r="AB242" i="11"/>
  <c r="AC242" i="11"/>
  <c r="AF242" i="11"/>
  <c r="AG242" i="11"/>
  <c r="AH242" i="11"/>
  <c r="AJ242" i="11"/>
  <c r="AK242" i="11"/>
  <c r="AL242" i="11"/>
  <c r="AO242" i="11"/>
  <c r="AP242" i="11"/>
  <c r="AW242" i="11"/>
  <c r="BD242" i="11"/>
  <c r="BF242" i="11"/>
  <c r="BI242" i="11"/>
  <c r="AE242" i="11" s="1"/>
  <c r="BJ242" i="11"/>
  <c r="K243" i="11"/>
  <c r="AK243" i="11" s="1"/>
  <c r="Z243" i="11"/>
  <c r="AB243" i="11"/>
  <c r="AC243" i="11"/>
  <c r="AF243" i="11"/>
  <c r="AG243" i="11"/>
  <c r="AH243" i="11"/>
  <c r="AJ243" i="11"/>
  <c r="AL243" i="11"/>
  <c r="AO243" i="11"/>
  <c r="AP243" i="11"/>
  <c r="J243" i="11" s="1"/>
  <c r="AX243" i="11"/>
  <c r="BD243" i="11"/>
  <c r="BF243" i="11"/>
  <c r="BH243" i="11"/>
  <c r="AD243" i="11" s="1"/>
  <c r="BI243" i="11"/>
  <c r="AE243" i="11" s="1"/>
  <c r="BJ243" i="11"/>
  <c r="K244" i="11"/>
  <c r="AK244" i="11" s="1"/>
  <c r="Z244" i="11"/>
  <c r="AB244" i="11"/>
  <c r="AC244" i="11"/>
  <c r="AF244" i="11"/>
  <c r="AG244" i="11"/>
  <c r="AH244" i="11"/>
  <c r="AJ244" i="11"/>
  <c r="AL244" i="11"/>
  <c r="AO244" i="11"/>
  <c r="AP244" i="11"/>
  <c r="BD244" i="11"/>
  <c r="BF244" i="11"/>
  <c r="BJ244" i="11"/>
  <c r="K245" i="11"/>
  <c r="Z245" i="11"/>
  <c r="AB245" i="11"/>
  <c r="AC245" i="11"/>
  <c r="AF245" i="11"/>
  <c r="AG245" i="11"/>
  <c r="AH245" i="11"/>
  <c r="AJ245" i="11"/>
  <c r="AK245" i="11"/>
  <c r="AL245" i="11"/>
  <c r="AO245" i="11"/>
  <c r="AP245" i="11"/>
  <c r="AX245" i="11" s="1"/>
  <c r="BD245" i="11"/>
  <c r="BF245" i="11"/>
  <c r="BJ245" i="11"/>
  <c r="K246" i="11"/>
  <c r="Z246" i="11"/>
  <c r="AB246" i="11"/>
  <c r="AC246" i="11"/>
  <c r="AF246" i="11"/>
  <c r="AG246" i="11"/>
  <c r="AH246" i="11"/>
  <c r="AJ246" i="11"/>
  <c r="AK246" i="11"/>
  <c r="AL246" i="11"/>
  <c r="AO246" i="11"/>
  <c r="AP246" i="11"/>
  <c r="BI246" i="11" s="1"/>
  <c r="AE246" i="11" s="1"/>
  <c r="BD246" i="11"/>
  <c r="BF246" i="11"/>
  <c r="BJ246" i="11"/>
  <c r="K247" i="11"/>
  <c r="AK247" i="11" s="1"/>
  <c r="Z247" i="11"/>
  <c r="AB247" i="11"/>
  <c r="AC247" i="11"/>
  <c r="AF247" i="11"/>
  <c r="AG247" i="11"/>
  <c r="AH247" i="11"/>
  <c r="AJ247" i="11"/>
  <c r="AL247" i="11"/>
  <c r="AO247" i="11"/>
  <c r="BH247" i="11" s="1"/>
  <c r="AD247" i="11" s="1"/>
  <c r="AP247" i="11"/>
  <c r="BD247" i="11"/>
  <c r="BF247" i="11"/>
  <c r="BJ247" i="11"/>
  <c r="K248" i="11"/>
  <c r="AK248" i="11" s="1"/>
  <c r="Z248" i="11"/>
  <c r="AB248" i="11"/>
  <c r="AC248" i="11"/>
  <c r="AF248" i="11"/>
  <c r="AG248" i="11"/>
  <c r="AH248" i="11"/>
  <c r="AJ248" i="11"/>
  <c r="AL248" i="11"/>
  <c r="AO248" i="11"/>
  <c r="AP248" i="11"/>
  <c r="BD248" i="11"/>
  <c r="BF248" i="11"/>
  <c r="BJ248" i="11"/>
  <c r="K249" i="11"/>
  <c r="Z249" i="11"/>
  <c r="AB249" i="11"/>
  <c r="AC249" i="11"/>
  <c r="AF249" i="11"/>
  <c r="AG249" i="11"/>
  <c r="AH249" i="11"/>
  <c r="AJ249" i="11"/>
  <c r="AK249" i="11"/>
  <c r="AL249" i="11"/>
  <c r="AO249" i="11"/>
  <c r="AW249" i="11" s="1"/>
  <c r="AP249" i="11"/>
  <c r="J249" i="11" s="1"/>
  <c r="BD249" i="11"/>
  <c r="BF249" i="11"/>
  <c r="BJ249" i="11"/>
  <c r="K250" i="11"/>
  <c r="Z250" i="11"/>
  <c r="AB250" i="11"/>
  <c r="AC250" i="11"/>
  <c r="AF250" i="11"/>
  <c r="AG250" i="11"/>
  <c r="AH250" i="11"/>
  <c r="AJ250" i="11"/>
  <c r="AK250" i="11"/>
  <c r="AL250" i="11"/>
  <c r="AO250" i="11"/>
  <c r="AW250" i="11" s="1"/>
  <c r="AP250" i="11"/>
  <c r="BI250" i="11" s="1"/>
  <c r="AE250" i="11" s="1"/>
  <c r="BD250" i="11"/>
  <c r="BF250" i="11"/>
  <c r="BH250" i="11"/>
  <c r="AD250" i="11" s="1"/>
  <c r="BJ250" i="11"/>
  <c r="K251" i="11"/>
  <c r="AK251" i="11" s="1"/>
  <c r="Z251" i="11"/>
  <c r="AB251" i="11"/>
  <c r="AC251" i="11"/>
  <c r="AF251" i="11"/>
  <c r="AG251" i="11"/>
  <c r="AH251" i="11"/>
  <c r="AJ251" i="11"/>
  <c r="AL251" i="11"/>
  <c r="AO251" i="11"/>
  <c r="BH251" i="11" s="1"/>
  <c r="AD251" i="11" s="1"/>
  <c r="AP251" i="11"/>
  <c r="J251" i="11" s="1"/>
  <c r="BD251" i="11"/>
  <c r="BF251" i="11"/>
  <c r="BJ251" i="11"/>
  <c r="K252" i="11"/>
  <c r="AK252" i="11" s="1"/>
  <c r="Z252" i="11"/>
  <c r="AB252" i="11"/>
  <c r="AC252" i="11"/>
  <c r="AF252" i="11"/>
  <c r="AG252" i="11"/>
  <c r="AH252" i="11"/>
  <c r="AJ252" i="11"/>
  <c r="AL252" i="11"/>
  <c r="AO252" i="11"/>
  <c r="AP252" i="11"/>
  <c r="BD252" i="11"/>
  <c r="BF252" i="11"/>
  <c r="BH252" i="11"/>
  <c r="AD252" i="11" s="1"/>
  <c r="BJ252" i="11"/>
  <c r="K253" i="11"/>
  <c r="Z253" i="11"/>
  <c r="AB253" i="11"/>
  <c r="AC253" i="11"/>
  <c r="AF253" i="11"/>
  <c r="AG253" i="11"/>
  <c r="AH253" i="11"/>
  <c r="AJ253" i="11"/>
  <c r="AK253" i="11"/>
  <c r="AL253" i="11"/>
  <c r="AO253" i="11"/>
  <c r="AP253" i="11"/>
  <c r="BD253" i="11"/>
  <c r="BF253" i="11"/>
  <c r="BJ253" i="11"/>
  <c r="K254" i="11"/>
  <c r="Z254" i="11"/>
  <c r="AB254" i="11"/>
  <c r="AC254" i="11"/>
  <c r="AF254" i="11"/>
  <c r="AG254" i="11"/>
  <c r="AH254" i="11"/>
  <c r="AJ254" i="11"/>
  <c r="AK254" i="11"/>
  <c r="AL254" i="11"/>
  <c r="AO254" i="11"/>
  <c r="AP254" i="11"/>
  <c r="BD254" i="11"/>
  <c r="BF254" i="11"/>
  <c r="BH254" i="11"/>
  <c r="AD254" i="11" s="1"/>
  <c r="BI254" i="11"/>
  <c r="AE254" i="11" s="1"/>
  <c r="BJ254" i="11"/>
  <c r="K255" i="11"/>
  <c r="AK255" i="11" s="1"/>
  <c r="Z255" i="11"/>
  <c r="AB255" i="11"/>
  <c r="AC255" i="11"/>
  <c r="AF255" i="11"/>
  <c r="AG255" i="11"/>
  <c r="AH255" i="11"/>
  <c r="AJ255" i="11"/>
  <c r="AL255" i="11"/>
  <c r="AO255" i="11"/>
  <c r="AP255" i="11"/>
  <c r="J255" i="11" s="1"/>
  <c r="BD255" i="11"/>
  <c r="BF255" i="11"/>
  <c r="BJ255" i="11"/>
  <c r="K256" i="11"/>
  <c r="AK256" i="11" s="1"/>
  <c r="Z256" i="11"/>
  <c r="AB256" i="11"/>
  <c r="AC256" i="11"/>
  <c r="AF256" i="11"/>
  <c r="AG256" i="11"/>
  <c r="AH256" i="11"/>
  <c r="AJ256" i="11"/>
  <c r="AL256" i="11"/>
  <c r="AO256" i="11"/>
  <c r="AP256" i="11"/>
  <c r="J256" i="11" s="1"/>
  <c r="AX256" i="11"/>
  <c r="BD256" i="11"/>
  <c r="BF256" i="11"/>
  <c r="BI256" i="11"/>
  <c r="AE256" i="11" s="1"/>
  <c r="BJ256" i="11"/>
  <c r="K257" i="11"/>
  <c r="Z257" i="11"/>
  <c r="AB257" i="11"/>
  <c r="AC257" i="11"/>
  <c r="AF257" i="11"/>
  <c r="AG257" i="11"/>
  <c r="AH257" i="11"/>
  <c r="AJ257" i="11"/>
  <c r="AK257" i="11"/>
  <c r="AL257" i="11"/>
  <c r="AO257" i="11"/>
  <c r="AW257" i="11" s="1"/>
  <c r="AP257" i="11"/>
  <c r="BD257" i="11"/>
  <c r="BF257" i="11"/>
  <c r="BH257" i="11"/>
  <c r="AD257" i="11" s="1"/>
  <c r="BJ257" i="11"/>
  <c r="K258" i="11"/>
  <c r="Z258" i="11"/>
  <c r="AB258" i="11"/>
  <c r="AC258" i="11"/>
  <c r="AF258" i="11"/>
  <c r="AG258" i="11"/>
  <c r="AH258" i="11"/>
  <c r="AJ258" i="11"/>
  <c r="AK258" i="11"/>
  <c r="AL258" i="11"/>
  <c r="AO258" i="11"/>
  <c r="AP258" i="11"/>
  <c r="BD258" i="11"/>
  <c r="BF258" i="11"/>
  <c r="BH258" i="11"/>
  <c r="AD258" i="11" s="1"/>
  <c r="BJ258" i="11"/>
  <c r="K259" i="11"/>
  <c r="AK259" i="11" s="1"/>
  <c r="Z259" i="11"/>
  <c r="AB259" i="11"/>
  <c r="AC259" i="11"/>
  <c r="AF259" i="11"/>
  <c r="AG259" i="11"/>
  <c r="AH259" i="11"/>
  <c r="AJ259" i="11"/>
  <c r="AL259" i="11"/>
  <c r="AO259" i="11"/>
  <c r="BH259" i="11" s="1"/>
  <c r="AD259" i="11" s="1"/>
  <c r="AP259" i="11"/>
  <c r="BD259" i="11"/>
  <c r="BF259" i="11"/>
  <c r="BJ259" i="11"/>
  <c r="K260" i="11"/>
  <c r="AK260" i="11" s="1"/>
  <c r="Z260" i="11"/>
  <c r="AB260" i="11"/>
  <c r="AC260" i="11"/>
  <c r="AF260" i="11"/>
  <c r="AG260" i="11"/>
  <c r="AH260" i="11"/>
  <c r="AJ260" i="11"/>
  <c r="AL260" i="11"/>
  <c r="AO260" i="11"/>
  <c r="I260" i="11" s="1"/>
  <c r="AP260" i="11"/>
  <c r="BD260" i="11"/>
  <c r="BF260" i="11"/>
  <c r="BJ260" i="11"/>
  <c r="K261" i="11"/>
  <c r="Z261" i="11"/>
  <c r="AB261" i="11"/>
  <c r="AC261" i="11"/>
  <c r="AF261" i="11"/>
  <c r="AG261" i="11"/>
  <c r="AH261" i="11"/>
  <c r="AJ261" i="11"/>
  <c r="AK261" i="11"/>
  <c r="AL261" i="11"/>
  <c r="AO261" i="11"/>
  <c r="I261" i="11" s="1"/>
  <c r="AP261" i="11"/>
  <c r="BI261" i="11" s="1"/>
  <c r="AE261" i="11" s="1"/>
  <c r="BD261" i="11"/>
  <c r="BF261" i="11"/>
  <c r="BJ261" i="11"/>
  <c r="K262" i="11"/>
  <c r="Z262" i="11"/>
  <c r="AB262" i="11"/>
  <c r="AC262" i="11"/>
  <c r="AF262" i="11"/>
  <c r="AG262" i="11"/>
  <c r="AH262" i="11"/>
  <c r="AJ262" i="11"/>
  <c r="AK262" i="11"/>
  <c r="AL262" i="11"/>
  <c r="AO262" i="11"/>
  <c r="AP262" i="11"/>
  <c r="BD262" i="11"/>
  <c r="BF262" i="11"/>
  <c r="BJ262" i="11"/>
  <c r="K263" i="11"/>
  <c r="AK263" i="11" s="1"/>
  <c r="Z263" i="11"/>
  <c r="AB263" i="11"/>
  <c r="AC263" i="11"/>
  <c r="AF263" i="11"/>
  <c r="AG263" i="11"/>
  <c r="AH263" i="11"/>
  <c r="AJ263" i="11"/>
  <c r="AL263" i="11"/>
  <c r="AO263" i="11"/>
  <c r="AP263" i="11"/>
  <c r="BD263" i="11"/>
  <c r="BF263" i="11"/>
  <c r="BH263" i="11"/>
  <c r="AD263" i="11" s="1"/>
  <c r="BJ263" i="11"/>
  <c r="K264" i="11"/>
  <c r="AK264" i="11" s="1"/>
  <c r="Z264" i="11"/>
  <c r="AB264" i="11"/>
  <c r="AC264" i="11"/>
  <c r="AF264" i="11"/>
  <c r="AG264" i="11"/>
  <c r="AH264" i="11"/>
  <c r="AJ264" i="11"/>
  <c r="AL264" i="11"/>
  <c r="AO264" i="11"/>
  <c r="I264" i="11" s="1"/>
  <c r="AP264" i="11"/>
  <c r="BD264" i="11"/>
  <c r="BF264" i="11"/>
  <c r="BH264" i="11"/>
  <c r="AD264" i="11" s="1"/>
  <c r="BJ264" i="11"/>
  <c r="K265" i="11"/>
  <c r="Z265" i="11"/>
  <c r="AB265" i="11"/>
  <c r="AC265" i="11"/>
  <c r="AF265" i="11"/>
  <c r="AG265" i="11"/>
  <c r="AH265" i="11"/>
  <c r="AJ265" i="11"/>
  <c r="AK265" i="11"/>
  <c r="AL265" i="11"/>
  <c r="AO265" i="11"/>
  <c r="I265" i="11" s="1"/>
  <c r="AP265" i="11"/>
  <c r="AX265" i="11" s="1"/>
  <c r="BD265" i="11"/>
  <c r="BF265" i="11"/>
  <c r="BJ265" i="11"/>
  <c r="K266" i="11"/>
  <c r="Z266" i="11"/>
  <c r="AB266" i="11"/>
  <c r="AC266" i="11"/>
  <c r="AF266" i="11"/>
  <c r="AG266" i="11"/>
  <c r="AH266" i="11"/>
  <c r="AJ266" i="11"/>
  <c r="AK266" i="11"/>
  <c r="AL266" i="11"/>
  <c r="AO266" i="11"/>
  <c r="AP266" i="11"/>
  <c r="BD266" i="11"/>
  <c r="BF266" i="11"/>
  <c r="BJ266" i="11"/>
  <c r="K267" i="11"/>
  <c r="AK267" i="11" s="1"/>
  <c r="Z267" i="11"/>
  <c r="AB267" i="11"/>
  <c r="AC267" i="11"/>
  <c r="AF267" i="11"/>
  <c r="AG267" i="11"/>
  <c r="AH267" i="11"/>
  <c r="AJ267" i="11"/>
  <c r="AL267" i="11"/>
  <c r="AO267" i="11"/>
  <c r="AP267" i="11"/>
  <c r="BD267" i="11"/>
  <c r="BF267" i="11"/>
  <c r="BH267" i="11"/>
  <c r="AD267" i="11" s="1"/>
  <c r="BJ267" i="11"/>
  <c r="K268" i="11"/>
  <c r="AK268" i="11" s="1"/>
  <c r="Z268" i="11"/>
  <c r="AB268" i="11"/>
  <c r="AC268" i="11"/>
  <c r="AF268" i="11"/>
  <c r="AG268" i="11"/>
  <c r="AH268" i="11"/>
  <c r="AJ268" i="11"/>
  <c r="AL268" i="11"/>
  <c r="AO268" i="11"/>
  <c r="I268" i="11" s="1"/>
  <c r="AP268" i="11"/>
  <c r="BD268" i="11"/>
  <c r="BF268" i="11"/>
  <c r="BH268" i="11"/>
  <c r="AD268" i="11" s="1"/>
  <c r="BJ268" i="11"/>
  <c r="K269" i="11"/>
  <c r="Z269" i="11"/>
  <c r="AB269" i="11"/>
  <c r="AC269" i="11"/>
  <c r="AF269" i="11"/>
  <c r="AG269" i="11"/>
  <c r="AH269" i="11"/>
  <c r="AJ269" i="11"/>
  <c r="AK269" i="11"/>
  <c r="AL269" i="11"/>
  <c r="AO269" i="11"/>
  <c r="AP269" i="11"/>
  <c r="J269" i="11" s="1"/>
  <c r="BD269" i="11"/>
  <c r="BF269" i="11"/>
  <c r="BJ269" i="11"/>
  <c r="K270" i="11"/>
  <c r="Z270" i="11"/>
  <c r="AB270" i="11"/>
  <c r="AC270" i="11"/>
  <c r="AF270" i="11"/>
  <c r="AG270" i="11"/>
  <c r="AH270" i="11"/>
  <c r="AJ270" i="11"/>
  <c r="AK270" i="11"/>
  <c r="AL270" i="11"/>
  <c r="AO270" i="11"/>
  <c r="AP270" i="11"/>
  <c r="BD270" i="11"/>
  <c r="BF270" i="11"/>
  <c r="BJ270" i="11"/>
  <c r="K271" i="11"/>
  <c r="AK271" i="11" s="1"/>
  <c r="Z271" i="11"/>
  <c r="AB271" i="11"/>
  <c r="AC271" i="11"/>
  <c r="AF271" i="11"/>
  <c r="AG271" i="11"/>
  <c r="AH271" i="11"/>
  <c r="AJ271" i="11"/>
  <c r="AL271" i="11"/>
  <c r="AO271" i="11"/>
  <c r="BH271" i="11" s="1"/>
  <c r="AD271" i="11" s="1"/>
  <c r="AP271" i="11"/>
  <c r="BD271" i="11"/>
  <c r="BF271" i="11"/>
  <c r="BJ271" i="11"/>
  <c r="K272" i="11"/>
  <c r="AK272" i="11" s="1"/>
  <c r="Z272" i="11"/>
  <c r="AB272" i="11"/>
  <c r="AC272" i="11"/>
  <c r="AF272" i="11"/>
  <c r="AG272" i="11"/>
  <c r="AH272" i="11"/>
  <c r="AJ272" i="11"/>
  <c r="AL272" i="11"/>
  <c r="AO272" i="11"/>
  <c r="I272" i="11" s="1"/>
  <c r="AP272" i="11"/>
  <c r="J272" i="11" s="1"/>
  <c r="BD272" i="11"/>
  <c r="BF272" i="11"/>
  <c r="BJ272" i="11"/>
  <c r="K273" i="11"/>
  <c r="Z273" i="11"/>
  <c r="AB273" i="11"/>
  <c r="AC273" i="11"/>
  <c r="AF273" i="11"/>
  <c r="AG273" i="11"/>
  <c r="AH273" i="11"/>
  <c r="AJ273" i="11"/>
  <c r="AK273" i="11"/>
  <c r="AL273" i="11"/>
  <c r="AO273" i="11"/>
  <c r="AP273" i="11"/>
  <c r="BD273" i="11"/>
  <c r="BF273" i="11"/>
  <c r="BJ273" i="11"/>
  <c r="K274" i="11"/>
  <c r="Z274" i="11"/>
  <c r="AB274" i="11"/>
  <c r="AC274" i="11"/>
  <c r="AF274" i="11"/>
  <c r="AG274" i="11"/>
  <c r="AH274" i="11"/>
  <c r="AJ274" i="11"/>
  <c r="AK274" i="11"/>
  <c r="AL274" i="11"/>
  <c r="AO274" i="11"/>
  <c r="I274" i="11" s="1"/>
  <c r="AP274" i="11"/>
  <c r="AW274" i="11"/>
  <c r="BD274" i="11"/>
  <c r="BF274" i="11"/>
  <c r="BH274" i="11"/>
  <c r="AD274" i="11" s="1"/>
  <c r="BJ274" i="11"/>
  <c r="K275" i="11"/>
  <c r="AK275" i="11" s="1"/>
  <c r="Z275" i="11"/>
  <c r="AB275" i="11"/>
  <c r="AC275" i="11"/>
  <c r="AF275" i="11"/>
  <c r="AG275" i="11"/>
  <c r="AH275" i="11"/>
  <c r="AJ275" i="11"/>
  <c r="AL275" i="11"/>
  <c r="AO275" i="11"/>
  <c r="AP275" i="11"/>
  <c r="BD275" i="11"/>
  <c r="BF275" i="11"/>
  <c r="BH275" i="11"/>
  <c r="AD275" i="11" s="1"/>
  <c r="BJ275" i="11"/>
  <c r="K276" i="11"/>
  <c r="AK276" i="11" s="1"/>
  <c r="Z276" i="11"/>
  <c r="AB276" i="11"/>
  <c r="AC276" i="11"/>
  <c r="AF276" i="11"/>
  <c r="AG276" i="11"/>
  <c r="AH276" i="11"/>
  <c r="AJ276" i="11"/>
  <c r="AL276" i="11"/>
  <c r="AO276" i="11"/>
  <c r="I276" i="11" s="1"/>
  <c r="AP276" i="11"/>
  <c r="BD276" i="11"/>
  <c r="BF276" i="11"/>
  <c r="BJ276" i="11"/>
  <c r="K277" i="11"/>
  <c r="Z277" i="11"/>
  <c r="AB277" i="11"/>
  <c r="AC277" i="11"/>
  <c r="AF277" i="11"/>
  <c r="AG277" i="11"/>
  <c r="AH277" i="11"/>
  <c r="AJ277" i="11"/>
  <c r="AK277" i="11"/>
  <c r="AL277" i="11"/>
  <c r="AO277" i="11"/>
  <c r="I277" i="11" s="1"/>
  <c r="AP277" i="11"/>
  <c r="J277" i="11" s="1"/>
  <c r="BD277" i="11"/>
  <c r="BF277" i="11"/>
  <c r="BJ277" i="11"/>
  <c r="K278" i="11"/>
  <c r="Z278" i="11"/>
  <c r="AB278" i="11"/>
  <c r="AC278" i="11"/>
  <c r="AF278" i="11"/>
  <c r="AG278" i="11"/>
  <c r="AH278" i="11"/>
  <c r="AJ278" i="11"/>
  <c r="AK278" i="11"/>
  <c r="AL278" i="11"/>
  <c r="AO278" i="11"/>
  <c r="AP278" i="11"/>
  <c r="BD278" i="11"/>
  <c r="BF278" i="11"/>
  <c r="BJ278" i="11"/>
  <c r="K279" i="11"/>
  <c r="AK279" i="11" s="1"/>
  <c r="Z279" i="11"/>
  <c r="AB279" i="11"/>
  <c r="AC279" i="11"/>
  <c r="AF279" i="11"/>
  <c r="AG279" i="11"/>
  <c r="AH279" i="11"/>
  <c r="AJ279" i="11"/>
  <c r="AL279" i="11"/>
  <c r="AO279" i="11"/>
  <c r="AP279" i="11"/>
  <c r="BD279" i="11"/>
  <c r="BF279" i="11"/>
  <c r="BH279" i="11"/>
  <c r="AD279" i="11" s="1"/>
  <c r="BJ279" i="11"/>
  <c r="K280" i="11"/>
  <c r="AK280" i="11" s="1"/>
  <c r="Z280" i="11"/>
  <c r="AB280" i="11"/>
  <c r="AC280" i="11"/>
  <c r="AF280" i="11"/>
  <c r="AG280" i="11"/>
  <c r="AH280" i="11"/>
  <c r="AJ280" i="11"/>
  <c r="AL280" i="11"/>
  <c r="AO280" i="11"/>
  <c r="I280" i="11" s="1"/>
  <c r="AP280" i="11"/>
  <c r="BD280" i="11"/>
  <c r="BF280" i="11"/>
  <c r="BH280" i="11"/>
  <c r="AD280" i="11" s="1"/>
  <c r="BJ280" i="11"/>
  <c r="K281" i="11"/>
  <c r="Z281" i="11"/>
  <c r="AB281" i="11"/>
  <c r="AC281" i="11"/>
  <c r="AF281" i="11"/>
  <c r="AG281" i="11"/>
  <c r="AH281" i="11"/>
  <c r="AJ281" i="11"/>
  <c r="AK281" i="11"/>
  <c r="AL281" i="11"/>
  <c r="AO281" i="11"/>
  <c r="I281" i="11" s="1"/>
  <c r="AP281" i="11"/>
  <c r="AW281" i="11"/>
  <c r="BD281" i="11"/>
  <c r="BF281" i="11"/>
  <c r="BH281" i="11"/>
  <c r="AD281" i="11" s="1"/>
  <c r="BJ281" i="11"/>
  <c r="K282" i="11"/>
  <c r="Z282" i="11"/>
  <c r="AB282" i="11"/>
  <c r="AC282" i="11"/>
  <c r="AF282" i="11"/>
  <c r="AG282" i="11"/>
  <c r="AH282" i="11"/>
  <c r="AJ282" i="11"/>
  <c r="AK282" i="11"/>
  <c r="AL282" i="11"/>
  <c r="AO282" i="11"/>
  <c r="AP282" i="11"/>
  <c r="BD282" i="11"/>
  <c r="BF282" i="11"/>
  <c r="BJ282" i="11"/>
  <c r="K283" i="11"/>
  <c r="AK283" i="11" s="1"/>
  <c r="Z283" i="11"/>
  <c r="AB283" i="11"/>
  <c r="AC283" i="11"/>
  <c r="AF283" i="11"/>
  <c r="AG283" i="11"/>
  <c r="AH283" i="11"/>
  <c r="AJ283" i="11"/>
  <c r="AL283" i="11"/>
  <c r="AO283" i="11"/>
  <c r="AP283" i="11"/>
  <c r="BD283" i="11"/>
  <c r="BF283" i="11"/>
  <c r="BH283" i="11"/>
  <c r="AD283" i="11" s="1"/>
  <c r="BJ283" i="11"/>
  <c r="K284" i="11"/>
  <c r="AK284" i="11" s="1"/>
  <c r="Z284" i="11"/>
  <c r="AB284" i="11"/>
  <c r="AC284" i="11"/>
  <c r="AF284" i="11"/>
  <c r="AG284" i="11"/>
  <c r="AH284" i="11"/>
  <c r="AJ284" i="11"/>
  <c r="AL284" i="11"/>
  <c r="AO284" i="11"/>
  <c r="AP284" i="11"/>
  <c r="BD284" i="11"/>
  <c r="BF284" i="11"/>
  <c r="BJ284" i="11"/>
  <c r="K285" i="11"/>
  <c r="Z285" i="11"/>
  <c r="AB285" i="11"/>
  <c r="AC285" i="11"/>
  <c r="AF285" i="11"/>
  <c r="AG285" i="11"/>
  <c r="AH285" i="11"/>
  <c r="AJ285" i="11"/>
  <c r="AK285" i="11"/>
  <c r="AL285" i="11"/>
  <c r="AO285" i="11"/>
  <c r="I285" i="11" s="1"/>
  <c r="AP285" i="11"/>
  <c r="AX285" i="11" s="1"/>
  <c r="BD285" i="11"/>
  <c r="BF285" i="11"/>
  <c r="BJ285" i="11"/>
  <c r="K286" i="11"/>
  <c r="Z286" i="11"/>
  <c r="AB286" i="11"/>
  <c r="AC286" i="11"/>
  <c r="AF286" i="11"/>
  <c r="AG286" i="11"/>
  <c r="AH286" i="11"/>
  <c r="AJ286" i="11"/>
  <c r="AK286" i="11"/>
  <c r="AL286" i="11"/>
  <c r="AO286" i="11"/>
  <c r="AW286" i="11" s="1"/>
  <c r="AP286" i="11"/>
  <c r="BI286" i="11" s="1"/>
  <c r="AE286" i="11" s="1"/>
  <c r="BD286" i="11"/>
  <c r="BF286" i="11"/>
  <c r="BJ286" i="11"/>
  <c r="K287" i="11"/>
  <c r="AK287" i="11" s="1"/>
  <c r="Z287" i="11"/>
  <c r="AB287" i="11"/>
  <c r="AC287" i="11"/>
  <c r="AF287" i="11"/>
  <c r="AG287" i="11"/>
  <c r="AH287" i="11"/>
  <c r="AJ287" i="11"/>
  <c r="AL287" i="11"/>
  <c r="AO287" i="11"/>
  <c r="BH287" i="11" s="1"/>
  <c r="AD287" i="11" s="1"/>
  <c r="AP287" i="11"/>
  <c r="BI287" i="11" s="1"/>
  <c r="AE287" i="11" s="1"/>
  <c r="BD287" i="11"/>
  <c r="BF287" i="11"/>
  <c r="BJ287" i="11"/>
  <c r="K288" i="11"/>
  <c r="AK288" i="11" s="1"/>
  <c r="Z288" i="11"/>
  <c r="AB288" i="11"/>
  <c r="AC288" i="11"/>
  <c r="AF288" i="11"/>
  <c r="AG288" i="11"/>
  <c r="AH288" i="11"/>
  <c r="AJ288" i="11"/>
  <c r="AL288" i="11"/>
  <c r="AO288" i="11"/>
  <c r="I288" i="11" s="1"/>
  <c r="AP288" i="11"/>
  <c r="J288" i="11" s="1"/>
  <c r="BD288" i="11"/>
  <c r="BF288" i="11"/>
  <c r="BJ288" i="11"/>
  <c r="K289" i="11"/>
  <c r="Z289" i="11"/>
  <c r="AB289" i="11"/>
  <c r="AC289" i="11"/>
  <c r="AF289" i="11"/>
  <c r="AG289" i="11"/>
  <c r="AH289" i="11"/>
  <c r="AJ289" i="11"/>
  <c r="AK289" i="11"/>
  <c r="AL289" i="11"/>
  <c r="AO289" i="11"/>
  <c r="AW289" i="11" s="1"/>
  <c r="AP289" i="11"/>
  <c r="BD289" i="11"/>
  <c r="BF289" i="11"/>
  <c r="BJ289" i="11"/>
  <c r="K290" i="11"/>
  <c r="Z290" i="11"/>
  <c r="AB290" i="11"/>
  <c r="AC290" i="11"/>
  <c r="AF290" i="11"/>
  <c r="AG290" i="11"/>
  <c r="AH290" i="11"/>
  <c r="AJ290" i="11"/>
  <c r="AK290" i="11"/>
  <c r="AL290" i="11"/>
  <c r="AO290" i="11"/>
  <c r="AP290" i="11"/>
  <c r="BD290" i="11"/>
  <c r="BF290" i="11"/>
  <c r="BJ290" i="11"/>
  <c r="K291" i="11"/>
  <c r="AK291" i="11" s="1"/>
  <c r="Z291" i="11"/>
  <c r="AB291" i="11"/>
  <c r="AC291" i="11"/>
  <c r="AF291" i="11"/>
  <c r="AG291" i="11"/>
  <c r="AH291" i="11"/>
  <c r="AJ291" i="11"/>
  <c r="AL291" i="11"/>
  <c r="AO291" i="11"/>
  <c r="AP291" i="11"/>
  <c r="J291" i="11" s="1"/>
  <c r="BD291" i="11"/>
  <c r="BF291" i="11"/>
  <c r="BJ291" i="11"/>
  <c r="K292" i="11"/>
  <c r="AK292" i="11" s="1"/>
  <c r="Z292" i="11"/>
  <c r="AB292" i="11"/>
  <c r="AC292" i="11"/>
  <c r="AF292" i="11"/>
  <c r="AG292" i="11"/>
  <c r="AH292" i="11"/>
  <c r="AJ292" i="11"/>
  <c r="AL292" i="11"/>
  <c r="AO292" i="11"/>
  <c r="AP292" i="11"/>
  <c r="J292" i="11" s="1"/>
  <c r="BD292" i="11"/>
  <c r="BF292" i="11"/>
  <c r="BI292" i="11"/>
  <c r="AE292" i="11" s="1"/>
  <c r="BJ292" i="11"/>
  <c r="K293" i="11"/>
  <c r="Z293" i="11"/>
  <c r="AB293" i="11"/>
  <c r="AC293" i="11"/>
  <c r="AF293" i="11"/>
  <c r="AG293" i="11"/>
  <c r="AH293" i="11"/>
  <c r="AJ293" i="11"/>
  <c r="AK293" i="11"/>
  <c r="AL293" i="11"/>
  <c r="AO293" i="11"/>
  <c r="I293" i="11" s="1"/>
  <c r="AP293" i="11"/>
  <c r="J293" i="11" s="1"/>
  <c r="AX293" i="11"/>
  <c r="BD293" i="11"/>
  <c r="BF293" i="11"/>
  <c r="BI293" i="11"/>
  <c r="AE293" i="11" s="1"/>
  <c r="BJ293" i="11"/>
  <c r="K294" i="11"/>
  <c r="Z294" i="11"/>
  <c r="AB294" i="11"/>
  <c r="AC294" i="11"/>
  <c r="AF294" i="11"/>
  <c r="AG294" i="11"/>
  <c r="AH294" i="11"/>
  <c r="AJ294" i="11"/>
  <c r="AK294" i="11"/>
  <c r="AL294" i="11"/>
  <c r="AO294" i="11"/>
  <c r="I294" i="11" s="1"/>
  <c r="AP294" i="11"/>
  <c r="BI294" i="11" s="1"/>
  <c r="AE294" i="11" s="1"/>
  <c r="BD294" i="11"/>
  <c r="BF294" i="11"/>
  <c r="BJ294" i="11"/>
  <c r="K295" i="11"/>
  <c r="AK295" i="11" s="1"/>
  <c r="Z295" i="11"/>
  <c r="AB295" i="11"/>
  <c r="AC295" i="11"/>
  <c r="AF295" i="11"/>
  <c r="AG295" i="11"/>
  <c r="AH295" i="11"/>
  <c r="AJ295" i="11"/>
  <c r="AL295" i="11"/>
  <c r="AO295" i="11"/>
  <c r="AP295" i="11"/>
  <c r="BI295" i="11" s="1"/>
  <c r="AE295" i="11" s="1"/>
  <c r="BD295" i="11"/>
  <c r="BF295" i="11"/>
  <c r="BJ295" i="11"/>
  <c r="K296" i="11"/>
  <c r="AK296" i="11" s="1"/>
  <c r="Z296" i="11"/>
  <c r="AB296" i="11"/>
  <c r="AC296" i="11"/>
  <c r="AF296" i="11"/>
  <c r="AG296" i="11"/>
  <c r="AH296" i="11"/>
  <c r="AJ296" i="11"/>
  <c r="AL296" i="11"/>
  <c r="AO296" i="11"/>
  <c r="AP296" i="11"/>
  <c r="BD296" i="11"/>
  <c r="BF296" i="11"/>
  <c r="BJ296" i="11"/>
  <c r="K297" i="11"/>
  <c r="Z297" i="11"/>
  <c r="AB297" i="11"/>
  <c r="AC297" i="11"/>
  <c r="AF297" i="11"/>
  <c r="AG297" i="11"/>
  <c r="AH297" i="11"/>
  <c r="AJ297" i="11"/>
  <c r="AK297" i="11"/>
  <c r="AL297" i="11"/>
  <c r="AO297" i="11"/>
  <c r="I297" i="11" s="1"/>
  <c r="AP297" i="11"/>
  <c r="AX297" i="11" s="1"/>
  <c r="BD297" i="11"/>
  <c r="BF297" i="11"/>
  <c r="BI297" i="11"/>
  <c r="AE297" i="11" s="1"/>
  <c r="BJ297" i="11"/>
  <c r="K298" i="11"/>
  <c r="Z298" i="11"/>
  <c r="AB298" i="11"/>
  <c r="AC298" i="11"/>
  <c r="AF298" i="11"/>
  <c r="AG298" i="11"/>
  <c r="AH298" i="11"/>
  <c r="AJ298" i="11"/>
  <c r="AK298" i="11"/>
  <c r="AL298" i="11"/>
  <c r="AO298" i="11"/>
  <c r="BH298" i="11" s="1"/>
  <c r="AD298" i="11" s="1"/>
  <c r="AP298" i="11"/>
  <c r="BI298" i="11" s="1"/>
  <c r="AE298" i="11" s="1"/>
  <c r="BD298" i="11"/>
  <c r="BF298" i="11"/>
  <c r="BJ298" i="11"/>
  <c r="K299" i="11"/>
  <c r="AK299" i="11" s="1"/>
  <c r="Z299" i="11"/>
  <c r="AB299" i="11"/>
  <c r="AC299" i="11"/>
  <c r="AF299" i="11"/>
  <c r="AG299" i="11"/>
  <c r="AH299" i="11"/>
  <c r="AJ299" i="11"/>
  <c r="AL299" i="11"/>
  <c r="AO299" i="11"/>
  <c r="BH299" i="11" s="1"/>
  <c r="AD299" i="11" s="1"/>
  <c r="AP299" i="11"/>
  <c r="J299" i="11" s="1"/>
  <c r="BD299" i="11"/>
  <c r="BF299" i="11"/>
  <c r="BJ299" i="11"/>
  <c r="K300" i="11"/>
  <c r="AK300" i="11" s="1"/>
  <c r="Z300" i="11"/>
  <c r="AB300" i="11"/>
  <c r="AC300" i="11"/>
  <c r="AF300" i="11"/>
  <c r="AG300" i="11"/>
  <c r="AH300" i="11"/>
  <c r="AJ300" i="11"/>
  <c r="AL300" i="11"/>
  <c r="AO300" i="11"/>
  <c r="I300" i="11" s="1"/>
  <c r="AP300" i="11"/>
  <c r="BD300" i="11"/>
  <c r="BF300" i="11"/>
  <c r="BH300" i="11"/>
  <c r="AD300" i="11" s="1"/>
  <c r="BJ300" i="11"/>
  <c r="K301" i="11"/>
  <c r="Z301" i="11"/>
  <c r="AB301" i="11"/>
  <c r="AC301" i="11"/>
  <c r="AF301" i="11"/>
  <c r="AG301" i="11"/>
  <c r="AH301" i="11"/>
  <c r="AJ301" i="11"/>
  <c r="AK301" i="11"/>
  <c r="AL301" i="11"/>
  <c r="AO301" i="11"/>
  <c r="AW301" i="11" s="1"/>
  <c r="AP301" i="11"/>
  <c r="BD301" i="11"/>
  <c r="BF301" i="11"/>
  <c r="BJ301" i="11"/>
  <c r="I302" i="11"/>
  <c r="K302" i="11"/>
  <c r="Z302" i="11"/>
  <c r="AB302" i="11"/>
  <c r="AC302" i="11"/>
  <c r="AF302" i="11"/>
  <c r="AG302" i="11"/>
  <c r="AH302" i="11"/>
  <c r="AJ302" i="11"/>
  <c r="AK302" i="11"/>
  <c r="AL302" i="11"/>
  <c r="AO302" i="11"/>
  <c r="AW302" i="11" s="1"/>
  <c r="AP302" i="11"/>
  <c r="BD302" i="11"/>
  <c r="BF302" i="11"/>
  <c r="BH302" i="11"/>
  <c r="AD302" i="11" s="1"/>
  <c r="BJ302" i="11"/>
  <c r="K303" i="11"/>
  <c r="AK303" i="11" s="1"/>
  <c r="Z303" i="11"/>
  <c r="AB303" i="11"/>
  <c r="AC303" i="11"/>
  <c r="AF303" i="11"/>
  <c r="AG303" i="11"/>
  <c r="AH303" i="11"/>
  <c r="AJ303" i="11"/>
  <c r="AL303" i="11"/>
  <c r="AO303" i="11"/>
  <c r="AP303" i="11"/>
  <c r="BI303" i="11" s="1"/>
  <c r="AE303" i="11" s="1"/>
  <c r="BD303" i="11"/>
  <c r="BF303" i="11"/>
  <c r="BJ303" i="11"/>
  <c r="K304" i="11"/>
  <c r="AK304" i="11" s="1"/>
  <c r="Z304" i="11"/>
  <c r="AB304" i="11"/>
  <c r="AC304" i="11"/>
  <c r="AF304" i="11"/>
  <c r="AG304" i="11"/>
  <c r="AH304" i="11"/>
  <c r="AJ304" i="11"/>
  <c r="AL304" i="11"/>
  <c r="AO304" i="11"/>
  <c r="AP304" i="11"/>
  <c r="BD304" i="11"/>
  <c r="BF304" i="11"/>
  <c r="BJ304" i="11"/>
  <c r="K305" i="11"/>
  <c r="Z305" i="11"/>
  <c r="AB305" i="11"/>
  <c r="AC305" i="11"/>
  <c r="AF305" i="11"/>
  <c r="AG305" i="11"/>
  <c r="AH305" i="11"/>
  <c r="AJ305" i="11"/>
  <c r="AK305" i="11"/>
  <c r="AL305" i="11"/>
  <c r="AO305" i="11"/>
  <c r="AP305" i="11"/>
  <c r="J305" i="11" s="1"/>
  <c r="AX305" i="11"/>
  <c r="BD305" i="11"/>
  <c r="BF305" i="11"/>
  <c r="BJ305" i="11"/>
  <c r="K306" i="11"/>
  <c r="Z306" i="11"/>
  <c r="AB306" i="11"/>
  <c r="AC306" i="11"/>
  <c r="AF306" i="11"/>
  <c r="AG306" i="11"/>
  <c r="AH306" i="11"/>
  <c r="AJ306" i="11"/>
  <c r="AK306" i="11"/>
  <c r="AL306" i="11"/>
  <c r="AO306" i="11"/>
  <c r="AP306" i="11"/>
  <c r="BD306" i="11"/>
  <c r="BF306" i="11"/>
  <c r="BJ306" i="11"/>
  <c r="K307" i="11"/>
  <c r="AK307" i="11" s="1"/>
  <c r="Z307" i="11"/>
  <c r="AB307" i="11"/>
  <c r="AC307" i="11"/>
  <c r="AF307" i="11"/>
  <c r="AG307" i="11"/>
  <c r="AH307" i="11"/>
  <c r="AJ307" i="11"/>
  <c r="AL307" i="11"/>
  <c r="AO307" i="11"/>
  <c r="AP307" i="11"/>
  <c r="BD307" i="11"/>
  <c r="BF307" i="11"/>
  <c r="BJ307" i="11"/>
  <c r="K308" i="11"/>
  <c r="AK308" i="11" s="1"/>
  <c r="Z308" i="11"/>
  <c r="AB308" i="11"/>
  <c r="AC308" i="11"/>
  <c r="AF308" i="11"/>
  <c r="AG308" i="11"/>
  <c r="AH308" i="11"/>
  <c r="AJ308" i="11"/>
  <c r="AL308" i="11"/>
  <c r="AO308" i="11"/>
  <c r="AP308" i="11"/>
  <c r="J308" i="11" s="1"/>
  <c r="BD308" i="11"/>
  <c r="BF308" i="11"/>
  <c r="BJ308" i="11"/>
  <c r="K309" i="11"/>
  <c r="Z309" i="11"/>
  <c r="AB309" i="11"/>
  <c r="AC309" i="11"/>
  <c r="AF309" i="11"/>
  <c r="AG309" i="11"/>
  <c r="AH309" i="11"/>
  <c r="AJ309" i="11"/>
  <c r="AK309" i="11"/>
  <c r="AL309" i="11"/>
  <c r="AO309" i="11"/>
  <c r="AW309" i="11" s="1"/>
  <c r="AP309" i="11"/>
  <c r="BD309" i="11"/>
  <c r="BF309" i="11"/>
  <c r="BJ309" i="11"/>
  <c r="K310" i="11"/>
  <c r="Z310" i="11"/>
  <c r="AB310" i="11"/>
  <c r="AC310" i="11"/>
  <c r="AF310" i="11"/>
  <c r="AG310" i="11"/>
  <c r="AH310" i="11"/>
  <c r="AJ310" i="11"/>
  <c r="AK310" i="11"/>
  <c r="AL310" i="11"/>
  <c r="AO310" i="11"/>
  <c r="AP310" i="11"/>
  <c r="BI310" i="11" s="1"/>
  <c r="AE310" i="11" s="1"/>
  <c r="BD310" i="11"/>
  <c r="BF310" i="11"/>
  <c r="BJ310" i="11"/>
  <c r="K311" i="11"/>
  <c r="AK311" i="11" s="1"/>
  <c r="Z311" i="11"/>
  <c r="AB311" i="11"/>
  <c r="AC311" i="11"/>
  <c r="AF311" i="11"/>
  <c r="AG311" i="11"/>
  <c r="AH311" i="11"/>
  <c r="AJ311" i="11"/>
  <c r="AL311" i="11"/>
  <c r="AO311" i="11"/>
  <c r="BH311" i="11" s="1"/>
  <c r="AD311" i="11" s="1"/>
  <c r="AP311" i="11"/>
  <c r="J311" i="11" s="1"/>
  <c r="AX311" i="11"/>
  <c r="BD311" i="11"/>
  <c r="BF311" i="11"/>
  <c r="BI311" i="11"/>
  <c r="AE311" i="11" s="1"/>
  <c r="BJ311" i="11"/>
  <c r="K312" i="11"/>
  <c r="AK312" i="11" s="1"/>
  <c r="Z312" i="11"/>
  <c r="AB312" i="11"/>
  <c r="AC312" i="11"/>
  <c r="AF312" i="11"/>
  <c r="AG312" i="11"/>
  <c r="AH312" i="11"/>
  <c r="AJ312" i="11"/>
  <c r="AL312" i="11"/>
  <c r="AO312" i="11"/>
  <c r="AP312" i="11"/>
  <c r="J312" i="11" s="1"/>
  <c r="AX312" i="11"/>
  <c r="BD312" i="11"/>
  <c r="BF312" i="11"/>
  <c r="BI312" i="11"/>
  <c r="AE312" i="11" s="1"/>
  <c r="BJ312" i="11"/>
  <c r="K313" i="11"/>
  <c r="Z313" i="11"/>
  <c r="AB313" i="11"/>
  <c r="AC313" i="11"/>
  <c r="AF313" i="11"/>
  <c r="AG313" i="11"/>
  <c r="AH313" i="11"/>
  <c r="AJ313" i="11"/>
  <c r="AK313" i="11"/>
  <c r="AL313" i="11"/>
  <c r="AO313" i="11"/>
  <c r="AP313" i="11"/>
  <c r="BD313" i="11"/>
  <c r="BF313" i="11"/>
  <c r="BJ313" i="11"/>
  <c r="I314" i="11"/>
  <c r="K314" i="11"/>
  <c r="Z314" i="11"/>
  <c r="AB314" i="11"/>
  <c r="AC314" i="11"/>
  <c r="AF314" i="11"/>
  <c r="AG314" i="11"/>
  <c r="AH314" i="11"/>
  <c r="AJ314" i="11"/>
  <c r="AK314" i="11"/>
  <c r="AL314" i="11"/>
  <c r="AO314" i="11"/>
  <c r="AW314" i="11" s="1"/>
  <c r="AP314" i="11"/>
  <c r="BI314" i="11" s="1"/>
  <c r="AE314" i="11" s="1"/>
  <c r="BD314" i="11"/>
  <c r="BF314" i="11"/>
  <c r="BH314" i="11"/>
  <c r="AD314" i="11" s="1"/>
  <c r="BJ314" i="11"/>
  <c r="K315" i="11"/>
  <c r="AK315" i="11" s="1"/>
  <c r="Z315" i="11"/>
  <c r="AB315" i="11"/>
  <c r="AC315" i="11"/>
  <c r="AF315" i="11"/>
  <c r="AG315" i="11"/>
  <c r="AH315" i="11"/>
  <c r="AJ315" i="11"/>
  <c r="AL315" i="11"/>
  <c r="AO315" i="11"/>
  <c r="BH315" i="11" s="1"/>
  <c r="AD315" i="11" s="1"/>
  <c r="AP315" i="11"/>
  <c r="BD315" i="11"/>
  <c r="BF315" i="11"/>
  <c r="BJ315" i="11"/>
  <c r="K316" i="11"/>
  <c r="AK316" i="11" s="1"/>
  <c r="Z316" i="11"/>
  <c r="AB316" i="11"/>
  <c r="AC316" i="11"/>
  <c r="AF316" i="11"/>
  <c r="AG316" i="11"/>
  <c r="AH316" i="11"/>
  <c r="AJ316" i="11"/>
  <c r="AL316" i="11"/>
  <c r="AO316" i="11"/>
  <c r="AP316" i="11"/>
  <c r="BI316" i="11" s="1"/>
  <c r="AE316" i="11" s="1"/>
  <c r="BD316" i="11"/>
  <c r="BF316" i="11"/>
  <c r="BJ316" i="11"/>
  <c r="K318" i="11"/>
  <c r="Z318" i="11"/>
  <c r="AB318" i="11"/>
  <c r="AC318" i="11"/>
  <c r="AF318" i="11"/>
  <c r="AG318" i="11"/>
  <c r="AH318" i="11"/>
  <c r="AJ318" i="11"/>
  <c r="AL318" i="11"/>
  <c r="AO318" i="11"/>
  <c r="BH318" i="11" s="1"/>
  <c r="AD318" i="11" s="1"/>
  <c r="AP318" i="11"/>
  <c r="BD318" i="11"/>
  <c r="BF318" i="11"/>
  <c r="BJ318" i="11"/>
  <c r="K319" i="11"/>
  <c r="AK319" i="11" s="1"/>
  <c r="Z319" i="11"/>
  <c r="AB319" i="11"/>
  <c r="AC319" i="11"/>
  <c r="AF319" i="11"/>
  <c r="AG319" i="11"/>
  <c r="AH319" i="11"/>
  <c r="AJ319" i="11"/>
  <c r="AL319" i="11"/>
  <c r="AO319" i="11"/>
  <c r="I319" i="11" s="1"/>
  <c r="AP319" i="11"/>
  <c r="BD319" i="11"/>
  <c r="BF319" i="11"/>
  <c r="BJ319" i="11"/>
  <c r="K320" i="11"/>
  <c r="Z320" i="11"/>
  <c r="AB320" i="11"/>
  <c r="AC320" i="11"/>
  <c r="AF320" i="11"/>
  <c r="AG320" i="11"/>
  <c r="AH320" i="11"/>
  <c r="AJ320" i="11"/>
  <c r="AK320" i="11"/>
  <c r="AL320" i="11"/>
  <c r="AO320" i="11"/>
  <c r="I320" i="11" s="1"/>
  <c r="AP320" i="11"/>
  <c r="BI320" i="11" s="1"/>
  <c r="AE320" i="11" s="1"/>
  <c r="BD320" i="11"/>
  <c r="BF320" i="11"/>
  <c r="BJ320" i="11"/>
  <c r="K321" i="11"/>
  <c r="Z321" i="11"/>
  <c r="AB321" i="11"/>
  <c r="AC321" i="11"/>
  <c r="AF321" i="11"/>
  <c r="AG321" i="11"/>
  <c r="AH321" i="11"/>
  <c r="AJ321" i="11"/>
  <c r="AK321" i="11"/>
  <c r="AL321" i="11"/>
  <c r="AO321" i="11"/>
  <c r="AW321" i="11" s="1"/>
  <c r="AP321" i="11"/>
  <c r="BD321" i="11"/>
  <c r="BF321" i="11"/>
  <c r="BH321" i="11"/>
  <c r="AD321" i="11" s="1"/>
  <c r="BI321" i="11"/>
  <c r="AE321" i="11" s="1"/>
  <c r="BJ321" i="11"/>
  <c r="K322" i="11"/>
  <c r="AK322" i="11" s="1"/>
  <c r="Z322" i="11"/>
  <c r="AB322" i="11"/>
  <c r="AC322" i="11"/>
  <c r="AF322" i="11"/>
  <c r="AG322" i="11"/>
  <c r="AH322" i="11"/>
  <c r="AJ322" i="11"/>
  <c r="AL322" i="11"/>
  <c r="AO322" i="11"/>
  <c r="BH322" i="11" s="1"/>
  <c r="AD322" i="11" s="1"/>
  <c r="AP322" i="11"/>
  <c r="BI322" i="11" s="1"/>
  <c r="AE322" i="11" s="1"/>
  <c r="BD322" i="11"/>
  <c r="BF322" i="11"/>
  <c r="BJ322" i="11"/>
  <c r="K323" i="11"/>
  <c r="AK323" i="11" s="1"/>
  <c r="Z323" i="11"/>
  <c r="AB323" i="11"/>
  <c r="AC323" i="11"/>
  <c r="AF323" i="11"/>
  <c r="AG323" i="11"/>
  <c r="AH323" i="11"/>
  <c r="AJ323" i="11"/>
  <c r="AL323" i="11"/>
  <c r="AO323" i="11"/>
  <c r="I323" i="11" s="1"/>
  <c r="AP323" i="11"/>
  <c r="BD323" i="11"/>
  <c r="BF323" i="11"/>
  <c r="BJ323" i="11"/>
  <c r="K324" i="11"/>
  <c r="Z324" i="11"/>
  <c r="AB324" i="11"/>
  <c r="AC324" i="11"/>
  <c r="AF324" i="11"/>
  <c r="AG324" i="11"/>
  <c r="AH324" i="11"/>
  <c r="AJ324" i="11"/>
  <c r="AK324" i="11"/>
  <c r="AL324" i="11"/>
  <c r="AO324" i="11"/>
  <c r="AP324" i="11"/>
  <c r="BD324" i="11"/>
  <c r="BF324" i="11"/>
  <c r="BJ324" i="11"/>
  <c r="K325" i="11"/>
  <c r="Z325" i="11"/>
  <c r="AB325" i="11"/>
  <c r="AC325" i="11"/>
  <c r="AF325" i="11"/>
  <c r="AG325" i="11"/>
  <c r="AH325" i="11"/>
  <c r="AJ325" i="11"/>
  <c r="AK325" i="11"/>
  <c r="AL325" i="11"/>
  <c r="AO325" i="11"/>
  <c r="I325" i="11" s="1"/>
  <c r="AP325" i="11"/>
  <c r="BI325" i="11" s="1"/>
  <c r="AE325" i="11" s="1"/>
  <c r="BD325" i="11"/>
  <c r="BF325" i="11"/>
  <c r="BJ325" i="11"/>
  <c r="K326" i="11"/>
  <c r="AK326" i="11" s="1"/>
  <c r="Z326" i="11"/>
  <c r="AB326" i="11"/>
  <c r="AC326" i="11"/>
  <c r="AF326" i="11"/>
  <c r="AG326" i="11"/>
  <c r="AH326" i="11"/>
  <c r="AJ326" i="11"/>
  <c r="AL326" i="11"/>
  <c r="AO326" i="11"/>
  <c r="BH326" i="11" s="1"/>
  <c r="AD326" i="11" s="1"/>
  <c r="AP326" i="11"/>
  <c r="J326" i="11" s="1"/>
  <c r="AX326" i="11"/>
  <c r="BD326" i="11"/>
  <c r="BF326" i="11"/>
  <c r="BI326" i="11"/>
  <c r="AE326" i="11" s="1"/>
  <c r="BJ326" i="11"/>
  <c r="K327" i="11"/>
  <c r="AK327" i="11" s="1"/>
  <c r="Z327" i="11"/>
  <c r="AB327" i="11"/>
  <c r="AC327" i="11"/>
  <c r="AF327" i="11"/>
  <c r="AG327" i="11"/>
  <c r="AH327" i="11"/>
  <c r="AJ327" i="11"/>
  <c r="AL327" i="11"/>
  <c r="AO327" i="11"/>
  <c r="AP327" i="11"/>
  <c r="J327" i="11" s="1"/>
  <c r="AX327" i="11"/>
  <c r="BD327" i="11"/>
  <c r="BF327" i="11"/>
  <c r="BI327" i="11"/>
  <c r="AE327" i="11" s="1"/>
  <c r="BJ327" i="11"/>
  <c r="K328" i="11"/>
  <c r="Z328" i="11"/>
  <c r="AB328" i="11"/>
  <c r="AC328" i="11"/>
  <c r="AF328" i="11"/>
  <c r="AG328" i="11"/>
  <c r="AH328" i="11"/>
  <c r="AJ328" i="11"/>
  <c r="AK328" i="11"/>
  <c r="AL328" i="11"/>
  <c r="AO328" i="11"/>
  <c r="I328" i="11" s="1"/>
  <c r="AP328" i="11"/>
  <c r="BD328" i="11"/>
  <c r="BF328" i="11"/>
  <c r="BH328" i="11"/>
  <c r="AD328" i="11" s="1"/>
  <c r="BJ328" i="11"/>
  <c r="I329" i="11"/>
  <c r="K329" i="11"/>
  <c r="Z329" i="11"/>
  <c r="AB329" i="11"/>
  <c r="AC329" i="11"/>
  <c r="AF329" i="11"/>
  <c r="AG329" i="11"/>
  <c r="AH329" i="11"/>
  <c r="AJ329" i="11"/>
  <c r="AK329" i="11"/>
  <c r="AL329" i="11"/>
  <c r="AO329" i="11"/>
  <c r="AW329" i="11" s="1"/>
  <c r="AP329" i="11"/>
  <c r="BI329" i="11" s="1"/>
  <c r="AE329" i="11" s="1"/>
  <c r="BD329" i="11"/>
  <c r="BF329" i="11"/>
  <c r="BJ329" i="11"/>
  <c r="K330" i="11"/>
  <c r="AK330" i="11" s="1"/>
  <c r="Z330" i="11"/>
  <c r="AB330" i="11"/>
  <c r="AC330" i="11"/>
  <c r="AF330" i="11"/>
  <c r="AG330" i="11"/>
  <c r="AH330" i="11"/>
  <c r="AJ330" i="11"/>
  <c r="AL330" i="11"/>
  <c r="AO330" i="11"/>
  <c r="AP330" i="11"/>
  <c r="BD330" i="11"/>
  <c r="BF330" i="11"/>
  <c r="BH330" i="11"/>
  <c r="AD330" i="11" s="1"/>
  <c r="BJ330" i="11"/>
  <c r="K331" i="11"/>
  <c r="AK331" i="11" s="1"/>
  <c r="Z331" i="11"/>
  <c r="AB331" i="11"/>
  <c r="AC331" i="11"/>
  <c r="AF331" i="11"/>
  <c r="AG331" i="11"/>
  <c r="AH331" i="11"/>
  <c r="AJ331" i="11"/>
  <c r="AL331" i="11"/>
  <c r="AO331" i="11"/>
  <c r="AP331" i="11"/>
  <c r="BD331" i="11"/>
  <c r="BF331" i="11"/>
  <c r="BH331" i="11"/>
  <c r="AD331" i="11" s="1"/>
  <c r="BJ331" i="11"/>
  <c r="K332" i="11"/>
  <c r="Z332" i="11"/>
  <c r="AB332" i="11"/>
  <c r="AC332" i="11"/>
  <c r="AF332" i="11"/>
  <c r="AG332" i="11"/>
  <c r="AH332" i="11"/>
  <c r="AJ332" i="11"/>
  <c r="AK332" i="11"/>
  <c r="AL332" i="11"/>
  <c r="AO332" i="11"/>
  <c r="AP332" i="11"/>
  <c r="J332" i="11" s="1"/>
  <c r="BD332" i="11"/>
  <c r="BF332" i="11"/>
  <c r="BJ332" i="11"/>
  <c r="K333" i="11"/>
  <c r="AK333" i="11" s="1"/>
  <c r="Z333" i="11"/>
  <c r="AB333" i="11"/>
  <c r="AC333" i="11"/>
  <c r="AF333" i="11"/>
  <c r="AG333" i="11"/>
  <c r="AH333" i="11"/>
  <c r="AJ333" i="11"/>
  <c r="AL333" i="11"/>
  <c r="AO333" i="11"/>
  <c r="I333" i="11" s="1"/>
  <c r="AP333" i="11"/>
  <c r="BD333" i="11"/>
  <c r="BF333" i="11"/>
  <c r="BJ333" i="11"/>
  <c r="K334" i="11"/>
  <c r="AK334" i="11" s="1"/>
  <c r="Z334" i="11"/>
  <c r="AB334" i="11"/>
  <c r="AC334" i="11"/>
  <c r="AF334" i="11"/>
  <c r="AG334" i="11"/>
  <c r="AH334" i="11"/>
  <c r="AJ334" i="11"/>
  <c r="AL334" i="11"/>
  <c r="AO334" i="11"/>
  <c r="AP334" i="11"/>
  <c r="J334" i="11" s="1"/>
  <c r="BD334" i="11"/>
  <c r="BF334" i="11"/>
  <c r="BH334" i="11"/>
  <c r="AD334" i="11" s="1"/>
  <c r="BJ334" i="11"/>
  <c r="K335" i="11"/>
  <c r="Z335" i="11"/>
  <c r="AB335" i="11"/>
  <c r="AC335" i="11"/>
  <c r="AF335" i="11"/>
  <c r="AG335" i="11"/>
  <c r="AH335" i="11"/>
  <c r="AJ335" i="11"/>
  <c r="AK335" i="11"/>
  <c r="AL335" i="11"/>
  <c r="AO335" i="11"/>
  <c r="AW335" i="11" s="1"/>
  <c r="AP335" i="11"/>
  <c r="BD335" i="11"/>
  <c r="BF335" i="11"/>
  <c r="BJ335" i="11"/>
  <c r="K336" i="11"/>
  <c r="AK336" i="11" s="1"/>
  <c r="Z336" i="11"/>
  <c r="AB336" i="11"/>
  <c r="AC336" i="11"/>
  <c r="AF336" i="11"/>
  <c r="AG336" i="11"/>
  <c r="AH336" i="11"/>
  <c r="AJ336" i="11"/>
  <c r="AL336" i="11"/>
  <c r="AO336" i="11"/>
  <c r="AP336" i="11"/>
  <c r="BD336" i="11"/>
  <c r="BF336" i="11"/>
  <c r="BH336" i="11"/>
  <c r="AD336" i="11" s="1"/>
  <c r="BJ336" i="11"/>
  <c r="K337" i="11"/>
  <c r="AK337" i="11" s="1"/>
  <c r="Z337" i="11"/>
  <c r="AB337" i="11"/>
  <c r="AC337" i="11"/>
  <c r="AF337" i="11"/>
  <c r="AG337" i="11"/>
  <c r="AH337" i="11"/>
  <c r="AJ337" i="11"/>
  <c r="AL337" i="11"/>
  <c r="AO337" i="11"/>
  <c r="I337" i="11" s="1"/>
  <c r="AP337" i="11"/>
  <c r="BD337" i="11"/>
  <c r="BF337" i="11"/>
  <c r="BH337" i="11"/>
  <c r="AD337" i="11" s="1"/>
  <c r="BI337" i="11"/>
  <c r="AE337" i="11" s="1"/>
  <c r="BJ337" i="11"/>
  <c r="K338" i="11"/>
  <c r="AK338" i="11" s="1"/>
  <c r="Z338" i="11"/>
  <c r="AB338" i="11"/>
  <c r="AC338" i="11"/>
  <c r="AF338" i="11"/>
  <c r="AG338" i="11"/>
  <c r="AH338" i="11"/>
  <c r="AJ338" i="11"/>
  <c r="AL338" i="11"/>
  <c r="AO338" i="11"/>
  <c r="AP338" i="11"/>
  <c r="J338" i="11" s="1"/>
  <c r="BD338" i="11"/>
  <c r="BF338" i="11"/>
  <c r="BI338" i="11"/>
  <c r="AE338" i="11" s="1"/>
  <c r="BJ338" i="11"/>
  <c r="K339" i="11"/>
  <c r="Z339" i="11"/>
  <c r="AB339" i="11"/>
  <c r="AC339" i="11"/>
  <c r="AF339" i="11"/>
  <c r="AG339" i="11"/>
  <c r="AH339" i="11"/>
  <c r="AJ339" i="11"/>
  <c r="AK339" i="11"/>
  <c r="AL339" i="11"/>
  <c r="AO339" i="11"/>
  <c r="I339" i="11" s="1"/>
  <c r="AP339" i="11"/>
  <c r="J339" i="11" s="1"/>
  <c r="BD339" i="11"/>
  <c r="BF339" i="11"/>
  <c r="BI339" i="11"/>
  <c r="AE339" i="11" s="1"/>
  <c r="BJ339" i="11"/>
  <c r="K340" i="11"/>
  <c r="Z340" i="11"/>
  <c r="AB340" i="11"/>
  <c r="AC340" i="11"/>
  <c r="AF340" i="11"/>
  <c r="AG340" i="11"/>
  <c r="AH340" i="11"/>
  <c r="AJ340" i="11"/>
  <c r="AK340" i="11"/>
  <c r="AL340" i="11"/>
  <c r="AO340" i="11"/>
  <c r="AP340" i="11"/>
  <c r="J340" i="11" s="1"/>
  <c r="BD340" i="11"/>
  <c r="BF340" i="11"/>
  <c r="BI340" i="11"/>
  <c r="AE340" i="11" s="1"/>
  <c r="BJ340" i="11"/>
  <c r="K342" i="11"/>
  <c r="Z342" i="11"/>
  <c r="AB342" i="11"/>
  <c r="AC342" i="11"/>
  <c r="AF342" i="11"/>
  <c r="AG342" i="11"/>
  <c r="AH342" i="11"/>
  <c r="AJ342" i="11"/>
  <c r="AK342" i="11"/>
  <c r="AL342" i="11"/>
  <c r="AO342" i="11"/>
  <c r="I342" i="11" s="1"/>
  <c r="AP342" i="11"/>
  <c r="BD342" i="11"/>
  <c r="BF342" i="11"/>
  <c r="BJ342" i="11"/>
  <c r="K343" i="11"/>
  <c r="Z343" i="11"/>
  <c r="AB343" i="11"/>
  <c r="AC343" i="11"/>
  <c r="AF343" i="11"/>
  <c r="AG343" i="11"/>
  <c r="AH343" i="11"/>
  <c r="AJ343" i="11"/>
  <c r="AK343" i="11"/>
  <c r="AL343" i="11"/>
  <c r="AO343" i="11"/>
  <c r="AW343" i="11" s="1"/>
  <c r="AP343" i="11"/>
  <c r="J343" i="11" s="1"/>
  <c r="BD343" i="11"/>
  <c r="BF343" i="11"/>
  <c r="BH343" i="11"/>
  <c r="AD343" i="11" s="1"/>
  <c r="BJ343" i="11"/>
  <c r="K344" i="11"/>
  <c r="Z344" i="11"/>
  <c r="AB344" i="11"/>
  <c r="AC344" i="11"/>
  <c r="AF344" i="11"/>
  <c r="AG344" i="11"/>
  <c r="AH344" i="11"/>
  <c r="AJ344" i="11"/>
  <c r="AK344" i="11"/>
  <c r="AL344" i="11"/>
  <c r="AO344" i="11"/>
  <c r="I344" i="11" s="1"/>
  <c r="AP344" i="11"/>
  <c r="BD344" i="11"/>
  <c r="BF344" i="11"/>
  <c r="BH344" i="11"/>
  <c r="AD344" i="11" s="1"/>
  <c r="BI344" i="11"/>
  <c r="AE344" i="11" s="1"/>
  <c r="BJ344" i="11"/>
  <c r="K345" i="11"/>
  <c r="AK345" i="11" s="1"/>
  <c r="Z345" i="11"/>
  <c r="AB345" i="11"/>
  <c r="AC345" i="11"/>
  <c r="AF345" i="11"/>
  <c r="AG345" i="11"/>
  <c r="AH345" i="11"/>
  <c r="AJ345" i="11"/>
  <c r="AL345" i="11"/>
  <c r="AO345" i="11"/>
  <c r="AP345" i="11"/>
  <c r="J345" i="11" s="1"/>
  <c r="BD345" i="11"/>
  <c r="BF345" i="11"/>
  <c r="BH345" i="11"/>
  <c r="AD345" i="11" s="1"/>
  <c r="BJ345" i="11"/>
  <c r="K346" i="11"/>
  <c r="Z346" i="11"/>
  <c r="AB346" i="11"/>
  <c r="AC346" i="11"/>
  <c r="AF346" i="11"/>
  <c r="AG346" i="11"/>
  <c r="AH346" i="11"/>
  <c r="AJ346" i="11"/>
  <c r="AK346" i="11"/>
  <c r="AL346" i="11"/>
  <c r="AO346" i="11"/>
  <c r="AP346" i="11"/>
  <c r="BI346" i="11" s="1"/>
  <c r="AE346" i="11" s="1"/>
  <c r="BD346" i="11"/>
  <c r="BF346" i="11"/>
  <c r="BJ346" i="11"/>
  <c r="K347" i="11"/>
  <c r="Z347" i="11"/>
  <c r="AB347" i="11"/>
  <c r="AC347" i="11"/>
  <c r="AF347" i="11"/>
  <c r="AG347" i="11"/>
  <c r="AH347" i="11"/>
  <c r="AJ347" i="11"/>
  <c r="AK347" i="11"/>
  <c r="AL347" i="11"/>
  <c r="AO347" i="11"/>
  <c r="AP347" i="11"/>
  <c r="J347" i="11" s="1"/>
  <c r="BD347" i="11"/>
  <c r="BF347" i="11"/>
  <c r="BJ347" i="11"/>
  <c r="K348" i="11"/>
  <c r="Z348" i="11"/>
  <c r="AB348" i="11"/>
  <c r="AC348" i="11"/>
  <c r="AF348" i="11"/>
  <c r="AG348" i="11"/>
  <c r="AH348" i="11"/>
  <c r="AJ348" i="11"/>
  <c r="AK348" i="11"/>
  <c r="AL348" i="11"/>
  <c r="AO348" i="11"/>
  <c r="I348" i="11" s="1"/>
  <c r="AP348" i="11"/>
  <c r="BI348" i="11" s="1"/>
  <c r="AE348" i="11" s="1"/>
  <c r="BD348" i="11"/>
  <c r="BF348" i="11"/>
  <c r="BJ348" i="11"/>
  <c r="K349" i="11"/>
  <c r="AK349" i="11" s="1"/>
  <c r="Z349" i="11"/>
  <c r="AB349" i="11"/>
  <c r="AC349" i="11"/>
  <c r="AF349" i="11"/>
  <c r="AG349" i="11"/>
  <c r="AH349" i="11"/>
  <c r="AJ349" i="11"/>
  <c r="AL349" i="11"/>
  <c r="AO349" i="11"/>
  <c r="BH349" i="11" s="1"/>
  <c r="AD349" i="11" s="1"/>
  <c r="AP349" i="11"/>
  <c r="J349" i="11" s="1"/>
  <c r="BD349" i="11"/>
  <c r="BF349" i="11"/>
  <c r="BJ349" i="11"/>
  <c r="K350" i="11"/>
  <c r="Z350" i="11"/>
  <c r="AB350" i="11"/>
  <c r="AC350" i="11"/>
  <c r="AF350" i="11"/>
  <c r="AG350" i="11"/>
  <c r="AH350" i="11"/>
  <c r="AJ350" i="11"/>
  <c r="AK350" i="11"/>
  <c r="AL350" i="11"/>
  <c r="AO350" i="11"/>
  <c r="I350" i="11" s="1"/>
  <c r="AP350" i="11"/>
  <c r="BD350" i="11"/>
  <c r="BF350" i="11"/>
  <c r="BJ350" i="11"/>
  <c r="K351" i="11"/>
  <c r="Z351" i="11"/>
  <c r="AB351" i="11"/>
  <c r="AC351" i="11"/>
  <c r="AF351" i="11"/>
  <c r="AG351" i="11"/>
  <c r="AH351" i="11"/>
  <c r="AJ351" i="11"/>
  <c r="AK351" i="11"/>
  <c r="AL351" i="11"/>
  <c r="AO351" i="11"/>
  <c r="AW351" i="11" s="1"/>
  <c r="AP351" i="11"/>
  <c r="J351" i="11" s="1"/>
  <c r="AX351" i="11"/>
  <c r="BD351" i="11"/>
  <c r="BF351" i="11"/>
  <c r="BI351" i="11"/>
  <c r="AE351" i="11" s="1"/>
  <c r="BJ351" i="11"/>
  <c r="K352" i="11"/>
  <c r="Z352" i="11"/>
  <c r="AB352" i="11"/>
  <c r="AC352" i="11"/>
  <c r="AF352" i="11"/>
  <c r="AG352" i="11"/>
  <c r="AH352" i="11"/>
  <c r="AJ352" i="11"/>
  <c r="AK352" i="11"/>
  <c r="AL352" i="11"/>
  <c r="AO352" i="11"/>
  <c r="AP352" i="11"/>
  <c r="BD352" i="11"/>
  <c r="BF352" i="11"/>
  <c r="BJ352" i="11"/>
  <c r="K353" i="11"/>
  <c r="AK353" i="11" s="1"/>
  <c r="Z353" i="11"/>
  <c r="AB353" i="11"/>
  <c r="AC353" i="11"/>
  <c r="AF353" i="11"/>
  <c r="AG353" i="11"/>
  <c r="AH353" i="11"/>
  <c r="AJ353" i="11"/>
  <c r="AL353" i="11"/>
  <c r="AO353" i="11"/>
  <c r="BH353" i="11" s="1"/>
  <c r="AD353" i="11" s="1"/>
  <c r="AP353" i="11"/>
  <c r="J353" i="11" s="1"/>
  <c r="BD353" i="11"/>
  <c r="BF353" i="11"/>
  <c r="BJ353" i="11"/>
  <c r="K354" i="11"/>
  <c r="Z354" i="11"/>
  <c r="AB354" i="11"/>
  <c r="AC354" i="11"/>
  <c r="AF354" i="11"/>
  <c r="AG354" i="11"/>
  <c r="AH354" i="11"/>
  <c r="AJ354" i="11"/>
  <c r="AK354" i="11"/>
  <c r="AL354" i="11"/>
  <c r="AO354" i="11"/>
  <c r="AP354" i="11"/>
  <c r="BD354" i="11"/>
  <c r="BF354" i="11"/>
  <c r="BJ354" i="11"/>
  <c r="K355" i="11"/>
  <c r="Z355" i="11"/>
  <c r="AB355" i="11"/>
  <c r="AC355" i="11"/>
  <c r="AF355" i="11"/>
  <c r="AG355" i="11"/>
  <c r="AH355" i="11"/>
  <c r="AJ355" i="11"/>
  <c r="AK355" i="11"/>
  <c r="AL355" i="11"/>
  <c r="AO355" i="11"/>
  <c r="AW355" i="11" s="1"/>
  <c r="AP355" i="11"/>
  <c r="BD355" i="11"/>
  <c r="BF355" i="11"/>
  <c r="BH355" i="11"/>
  <c r="AD355" i="11" s="1"/>
  <c r="BJ355" i="11"/>
  <c r="K356" i="11"/>
  <c r="AK356" i="11" s="1"/>
  <c r="Z356" i="11"/>
  <c r="AB356" i="11"/>
  <c r="AC356" i="11"/>
  <c r="AF356" i="11"/>
  <c r="AG356" i="11"/>
  <c r="AH356" i="11"/>
  <c r="AJ356" i="11"/>
  <c r="AL356" i="11"/>
  <c r="AO356" i="11"/>
  <c r="AP356" i="11"/>
  <c r="BD356" i="11"/>
  <c r="BF356" i="11"/>
  <c r="BJ356" i="11"/>
  <c r="K357" i="11"/>
  <c r="AK357" i="11" s="1"/>
  <c r="Z357" i="11"/>
  <c r="AB357" i="11"/>
  <c r="AC357" i="11"/>
  <c r="AF357" i="11"/>
  <c r="AG357" i="11"/>
  <c r="AH357" i="11"/>
  <c r="AJ357" i="11"/>
  <c r="AL357" i="11"/>
  <c r="AO357" i="11"/>
  <c r="AP357" i="11"/>
  <c r="BD357" i="11"/>
  <c r="BF357" i="11"/>
  <c r="BH357" i="11"/>
  <c r="AD357" i="11" s="1"/>
  <c r="BJ357" i="11"/>
  <c r="K358" i="11"/>
  <c r="Z358" i="11"/>
  <c r="AB358" i="11"/>
  <c r="AC358" i="11"/>
  <c r="AF358" i="11"/>
  <c r="AG358" i="11"/>
  <c r="AH358" i="11"/>
  <c r="AJ358" i="11"/>
  <c r="AK358" i="11"/>
  <c r="AL358" i="11"/>
  <c r="AO358" i="11"/>
  <c r="AP358" i="11"/>
  <c r="BD358" i="11"/>
  <c r="BF358" i="11"/>
  <c r="BJ358" i="11"/>
  <c r="K359" i="11"/>
  <c r="AK359" i="11" s="1"/>
  <c r="Z359" i="11"/>
  <c r="AB359" i="11"/>
  <c r="AC359" i="11"/>
  <c r="AF359" i="11"/>
  <c r="AG359" i="11"/>
  <c r="AH359" i="11"/>
  <c r="AJ359" i="11"/>
  <c r="AL359" i="11"/>
  <c r="AO359" i="11"/>
  <c r="AP359" i="11"/>
  <c r="BD359" i="11"/>
  <c r="BF359" i="11"/>
  <c r="BJ359" i="11"/>
  <c r="K360" i="11"/>
  <c r="AK360" i="11" s="1"/>
  <c r="Z360" i="11"/>
  <c r="AB360" i="11"/>
  <c r="AC360" i="11"/>
  <c r="AF360" i="11"/>
  <c r="AG360" i="11"/>
  <c r="AH360" i="11"/>
  <c r="AJ360" i="11"/>
  <c r="AL360" i="11"/>
  <c r="AO360" i="11"/>
  <c r="AP360" i="11"/>
  <c r="BD360" i="11"/>
  <c r="BF360" i="11"/>
  <c r="BJ360" i="11"/>
  <c r="K361" i="11"/>
  <c r="AK361" i="11" s="1"/>
  <c r="Z361" i="11"/>
  <c r="AB361" i="11"/>
  <c r="AC361" i="11"/>
  <c r="AF361" i="11"/>
  <c r="AG361" i="11"/>
  <c r="AH361" i="11"/>
  <c r="AJ361" i="11"/>
  <c r="AL361" i="11"/>
  <c r="AO361" i="11"/>
  <c r="BH361" i="11" s="1"/>
  <c r="AD361" i="11" s="1"/>
  <c r="AP361" i="11"/>
  <c r="J361" i="11" s="1"/>
  <c r="BD361" i="11"/>
  <c r="BF361" i="11"/>
  <c r="BJ361" i="11"/>
  <c r="K362" i="11"/>
  <c r="Z362" i="11"/>
  <c r="AB362" i="11"/>
  <c r="AC362" i="11"/>
  <c r="AF362" i="11"/>
  <c r="AG362" i="11"/>
  <c r="AH362" i="11"/>
  <c r="AJ362" i="11"/>
  <c r="AK362" i="11"/>
  <c r="AL362" i="11"/>
  <c r="AO362" i="11"/>
  <c r="AP362" i="11"/>
  <c r="AX362" i="11" s="1"/>
  <c r="BD362" i="11"/>
  <c r="BF362" i="11"/>
  <c r="BJ362" i="11"/>
  <c r="K363" i="11"/>
  <c r="Z363" i="11"/>
  <c r="AB363" i="11"/>
  <c r="AC363" i="11"/>
  <c r="AF363" i="11"/>
  <c r="AG363" i="11"/>
  <c r="AH363" i="11"/>
  <c r="AJ363" i="11"/>
  <c r="AK363" i="11"/>
  <c r="AL363" i="11"/>
  <c r="AO363" i="11"/>
  <c r="AW363" i="11" s="1"/>
  <c r="AP363" i="11"/>
  <c r="BD363" i="11"/>
  <c r="BF363" i="11"/>
  <c r="BH363" i="11"/>
  <c r="AD363" i="11" s="1"/>
  <c r="BJ363" i="11"/>
  <c r="K364" i="11"/>
  <c r="AK364" i="11" s="1"/>
  <c r="Z364" i="11"/>
  <c r="AB364" i="11"/>
  <c r="AC364" i="11"/>
  <c r="AF364" i="11"/>
  <c r="AG364" i="11"/>
  <c r="AH364" i="11"/>
  <c r="AJ364" i="11"/>
  <c r="AL364" i="11"/>
  <c r="AO364" i="11"/>
  <c r="I364" i="11" s="1"/>
  <c r="AP364" i="11"/>
  <c r="BD364" i="11"/>
  <c r="BF364" i="11"/>
  <c r="BH364" i="11"/>
  <c r="AD364" i="11" s="1"/>
  <c r="BI364" i="11"/>
  <c r="AE364" i="11" s="1"/>
  <c r="BJ364" i="11"/>
  <c r="K366" i="11"/>
  <c r="Z366" i="11"/>
  <c r="AB366" i="11"/>
  <c r="AC366" i="11"/>
  <c r="AF366" i="11"/>
  <c r="AG366" i="11"/>
  <c r="AH366" i="11"/>
  <c r="AJ366" i="11"/>
  <c r="AK366" i="11"/>
  <c r="AL366" i="11"/>
  <c r="AO366" i="11"/>
  <c r="AP366" i="11"/>
  <c r="J366" i="11" s="1"/>
  <c r="BD366" i="11"/>
  <c r="BF366" i="11"/>
  <c r="BH366" i="11"/>
  <c r="AD366" i="11" s="1"/>
  <c r="BJ366" i="11"/>
  <c r="K367" i="11"/>
  <c r="Z367" i="11"/>
  <c r="AB367" i="11"/>
  <c r="AC367" i="11"/>
  <c r="AF367" i="11"/>
  <c r="AG367" i="11"/>
  <c r="AH367" i="11"/>
  <c r="AJ367" i="11"/>
  <c r="AK367" i="11"/>
  <c r="AL367" i="11"/>
  <c r="AO367" i="11"/>
  <c r="AW367" i="11" s="1"/>
  <c r="AP367" i="11"/>
  <c r="BD367" i="11"/>
  <c r="BF367" i="11"/>
  <c r="BJ367" i="11"/>
  <c r="K368" i="11"/>
  <c r="AK368" i="11" s="1"/>
  <c r="Z368" i="11"/>
  <c r="AB368" i="11"/>
  <c r="AC368" i="11"/>
  <c r="AF368" i="11"/>
  <c r="AG368" i="11"/>
  <c r="AH368" i="11"/>
  <c r="AJ368" i="11"/>
  <c r="AL368" i="11"/>
  <c r="AO368" i="11"/>
  <c r="BH368" i="11" s="1"/>
  <c r="AD368" i="11" s="1"/>
  <c r="AP368" i="11"/>
  <c r="J368" i="11" s="1"/>
  <c r="AX368" i="11"/>
  <c r="BD368" i="11"/>
  <c r="BF368" i="11"/>
  <c r="BI368" i="11"/>
  <c r="AE368" i="11" s="1"/>
  <c r="BJ368" i="11"/>
  <c r="K369" i="11"/>
  <c r="Z369" i="11"/>
  <c r="AB369" i="11"/>
  <c r="AC369" i="11"/>
  <c r="AF369" i="11"/>
  <c r="AG369" i="11"/>
  <c r="AH369" i="11"/>
  <c r="AJ369" i="11"/>
  <c r="AK369" i="11"/>
  <c r="AL369" i="11"/>
  <c r="AO369" i="11"/>
  <c r="AP369" i="11"/>
  <c r="BD369" i="11"/>
  <c r="BF369" i="11"/>
  <c r="BH369" i="11"/>
  <c r="AD369" i="11" s="1"/>
  <c r="BJ369" i="11"/>
  <c r="K370" i="11"/>
  <c r="Z370" i="11"/>
  <c r="AB370" i="11"/>
  <c r="AC370" i="11"/>
  <c r="AF370" i="11"/>
  <c r="AG370" i="11"/>
  <c r="AH370" i="11"/>
  <c r="AJ370" i="11"/>
  <c r="AK370" i="11"/>
  <c r="AL370" i="11"/>
  <c r="AO370" i="11"/>
  <c r="AP370" i="11"/>
  <c r="J370" i="11" s="1"/>
  <c r="BD370" i="11"/>
  <c r="BF370" i="11"/>
  <c r="BH370" i="11"/>
  <c r="AD370" i="11" s="1"/>
  <c r="BJ370" i="11"/>
  <c r="K371" i="11"/>
  <c r="AK371" i="11" s="1"/>
  <c r="Z371" i="11"/>
  <c r="AB371" i="11"/>
  <c r="AC371" i="11"/>
  <c r="AF371" i="11"/>
  <c r="AG371" i="11"/>
  <c r="AH371" i="11"/>
  <c r="AJ371" i="11"/>
  <c r="AL371" i="11"/>
  <c r="AO371" i="11"/>
  <c r="I371" i="11" s="1"/>
  <c r="AP371" i="11"/>
  <c r="BD371" i="11"/>
  <c r="BF371" i="11"/>
  <c r="BH371" i="11"/>
  <c r="AD371" i="11" s="1"/>
  <c r="BI371" i="11"/>
  <c r="AE371" i="11" s="1"/>
  <c r="BJ371" i="11"/>
  <c r="K372" i="11"/>
  <c r="AK372" i="11" s="1"/>
  <c r="Z372" i="11"/>
  <c r="AB372" i="11"/>
  <c r="AC372" i="11"/>
  <c r="AF372" i="11"/>
  <c r="AG372" i="11"/>
  <c r="AH372" i="11"/>
  <c r="AJ372" i="11"/>
  <c r="AL372" i="11"/>
  <c r="AO372" i="11"/>
  <c r="BH372" i="11" s="1"/>
  <c r="AD372" i="11" s="1"/>
  <c r="AP372" i="11"/>
  <c r="BI372" i="11" s="1"/>
  <c r="AE372" i="11" s="1"/>
  <c r="BD372" i="11"/>
  <c r="BF372" i="11"/>
  <c r="BJ372" i="11"/>
  <c r="K373" i="11"/>
  <c r="Z373" i="11"/>
  <c r="AB373" i="11"/>
  <c r="AC373" i="11"/>
  <c r="AF373" i="11"/>
  <c r="AG373" i="11"/>
  <c r="AH373" i="11"/>
  <c r="AJ373" i="11"/>
  <c r="AK373" i="11"/>
  <c r="AL373" i="11"/>
  <c r="AO373" i="11"/>
  <c r="I373" i="11" s="1"/>
  <c r="AP373" i="11"/>
  <c r="BD373" i="11"/>
  <c r="BF373" i="11"/>
  <c r="BH373" i="11"/>
  <c r="AD373" i="11" s="1"/>
  <c r="BJ373" i="11"/>
  <c r="K374" i="11"/>
  <c r="Z374" i="11"/>
  <c r="AB374" i="11"/>
  <c r="AC374" i="11"/>
  <c r="AF374" i="11"/>
  <c r="AG374" i="11"/>
  <c r="AH374" i="11"/>
  <c r="AJ374" i="11"/>
  <c r="AK374" i="11"/>
  <c r="AL374" i="11"/>
  <c r="AO374" i="11"/>
  <c r="AW374" i="11" s="1"/>
  <c r="AP374" i="11"/>
  <c r="J374" i="11" s="1"/>
  <c r="BD374" i="11"/>
  <c r="BF374" i="11"/>
  <c r="BJ374" i="11"/>
  <c r="K375" i="11"/>
  <c r="Z375" i="11"/>
  <c r="AB375" i="11"/>
  <c r="AC375" i="11"/>
  <c r="AF375" i="11"/>
  <c r="AG375" i="11"/>
  <c r="AH375" i="11"/>
  <c r="AJ375" i="11"/>
  <c r="AK375" i="11"/>
  <c r="AL375" i="11"/>
  <c r="AO375" i="11"/>
  <c r="AP375" i="11"/>
  <c r="BD375" i="11"/>
  <c r="BF375" i="11"/>
  <c r="BH375" i="11"/>
  <c r="AD375" i="11" s="1"/>
  <c r="BJ375" i="11"/>
  <c r="K376" i="11"/>
  <c r="AK376" i="11" s="1"/>
  <c r="Z376" i="11"/>
  <c r="AB376" i="11"/>
  <c r="AC376" i="11"/>
  <c r="AF376" i="11"/>
  <c r="AG376" i="11"/>
  <c r="AH376" i="11"/>
  <c r="AJ376" i="11"/>
  <c r="AL376" i="11"/>
  <c r="AO376" i="11"/>
  <c r="AP376" i="11"/>
  <c r="BD376" i="11"/>
  <c r="BF376" i="11"/>
  <c r="BH376" i="11"/>
  <c r="AD376" i="11" s="1"/>
  <c r="BJ376" i="11"/>
  <c r="K377" i="11"/>
  <c r="Z377" i="11"/>
  <c r="AB377" i="11"/>
  <c r="AC377" i="11"/>
  <c r="AF377" i="11"/>
  <c r="AG377" i="11"/>
  <c r="AH377" i="11"/>
  <c r="AJ377" i="11"/>
  <c r="AK377" i="11"/>
  <c r="AL377" i="11"/>
  <c r="AO377" i="11"/>
  <c r="AP377" i="11"/>
  <c r="AX377" i="11" s="1"/>
  <c r="BD377" i="11"/>
  <c r="BF377" i="11"/>
  <c r="BH377" i="11"/>
  <c r="AD377" i="11" s="1"/>
  <c r="BJ377" i="11"/>
  <c r="K378" i="11"/>
  <c r="Z378" i="11"/>
  <c r="AB378" i="11"/>
  <c r="AC378" i="11"/>
  <c r="AF378" i="11"/>
  <c r="AG378" i="11"/>
  <c r="AH378" i="11"/>
  <c r="AJ378" i="11"/>
  <c r="AK378" i="11"/>
  <c r="AL378" i="11"/>
  <c r="AO378" i="11"/>
  <c r="AW378" i="11" s="1"/>
  <c r="AP378" i="11"/>
  <c r="J378" i="11" s="1"/>
  <c r="BD378" i="11"/>
  <c r="BF378" i="11"/>
  <c r="BH378" i="11"/>
  <c r="AD378" i="11" s="1"/>
  <c r="BJ378" i="11"/>
  <c r="K379" i="11"/>
  <c r="Z379" i="11"/>
  <c r="AB379" i="11"/>
  <c r="AC379" i="11"/>
  <c r="AF379" i="11"/>
  <c r="AG379" i="11"/>
  <c r="AH379" i="11"/>
  <c r="AJ379" i="11"/>
  <c r="AK379" i="11"/>
  <c r="AL379" i="11"/>
  <c r="AO379" i="11"/>
  <c r="AW379" i="11" s="1"/>
  <c r="AP379" i="11"/>
  <c r="BI379" i="11" s="1"/>
  <c r="AE379" i="11" s="1"/>
  <c r="BD379" i="11"/>
  <c r="BF379" i="11"/>
  <c r="BJ379" i="11"/>
  <c r="K380" i="11"/>
  <c r="AK380" i="11" s="1"/>
  <c r="Z380" i="11"/>
  <c r="AB380" i="11"/>
  <c r="AC380" i="11"/>
  <c r="AF380" i="11"/>
  <c r="AG380" i="11"/>
  <c r="AH380" i="11"/>
  <c r="AJ380" i="11"/>
  <c r="AL380" i="11"/>
  <c r="AO380" i="11"/>
  <c r="AP380" i="11"/>
  <c r="BD380" i="11"/>
  <c r="BF380" i="11"/>
  <c r="BJ380" i="11"/>
  <c r="K381" i="11"/>
  <c r="Z381" i="11"/>
  <c r="AB381" i="11"/>
  <c r="AC381" i="11"/>
  <c r="AF381" i="11"/>
  <c r="AG381" i="11"/>
  <c r="AH381" i="11"/>
  <c r="AJ381" i="11"/>
  <c r="AK381" i="11"/>
  <c r="AL381" i="11"/>
  <c r="AO381" i="11"/>
  <c r="AP381" i="11"/>
  <c r="J381" i="11" s="1"/>
  <c r="AX381" i="11"/>
  <c r="BD381" i="11"/>
  <c r="BF381" i="11"/>
  <c r="BI381" i="11"/>
  <c r="AE381" i="11" s="1"/>
  <c r="BJ381" i="11"/>
  <c r="K382" i="11"/>
  <c r="Z382" i="11"/>
  <c r="AB382" i="11"/>
  <c r="AC382" i="11"/>
  <c r="AF382" i="11"/>
  <c r="AG382" i="11"/>
  <c r="AH382" i="11"/>
  <c r="AJ382" i="11"/>
  <c r="AK382" i="11"/>
  <c r="AL382" i="11"/>
  <c r="AO382" i="11"/>
  <c r="AP382" i="11"/>
  <c r="BI382" i="11" s="1"/>
  <c r="AE382" i="11" s="1"/>
  <c r="BD382" i="11"/>
  <c r="BF382" i="11"/>
  <c r="BJ382" i="11"/>
  <c r="K383" i="11"/>
  <c r="Z383" i="11"/>
  <c r="AB383" i="11"/>
  <c r="AC383" i="11"/>
  <c r="AF383" i="11"/>
  <c r="AG383" i="11"/>
  <c r="AH383" i="11"/>
  <c r="AJ383" i="11"/>
  <c r="AK383" i="11"/>
  <c r="AL383" i="11"/>
  <c r="AO383" i="11"/>
  <c r="AP383" i="11"/>
  <c r="BI383" i="11" s="1"/>
  <c r="AE383" i="11" s="1"/>
  <c r="BD383" i="11"/>
  <c r="BF383" i="11"/>
  <c r="BJ383" i="11"/>
  <c r="K384" i="11"/>
  <c r="AK384" i="11" s="1"/>
  <c r="Z384" i="11"/>
  <c r="AB384" i="11"/>
  <c r="AC384" i="11"/>
  <c r="AF384" i="11"/>
  <c r="AG384" i="11"/>
  <c r="AH384" i="11"/>
  <c r="AJ384" i="11"/>
  <c r="AL384" i="11"/>
  <c r="AO384" i="11"/>
  <c r="BH384" i="11" s="1"/>
  <c r="AD384" i="11" s="1"/>
  <c r="AP384" i="11"/>
  <c r="J384" i="11" s="1"/>
  <c r="BD384" i="11"/>
  <c r="BF384" i="11"/>
  <c r="BJ384" i="11"/>
  <c r="K385" i="11"/>
  <c r="Z385" i="11"/>
  <c r="AB385" i="11"/>
  <c r="AC385" i="11"/>
  <c r="AF385" i="11"/>
  <c r="AG385" i="11"/>
  <c r="AH385" i="11"/>
  <c r="AJ385" i="11"/>
  <c r="AK385" i="11"/>
  <c r="AL385" i="11"/>
  <c r="AO385" i="11"/>
  <c r="I385" i="11" s="1"/>
  <c r="AP385" i="11"/>
  <c r="J385" i="11" s="1"/>
  <c r="AX385" i="11"/>
  <c r="BD385" i="11"/>
  <c r="BF385" i="11"/>
  <c r="BJ385" i="11"/>
  <c r="K386" i="11"/>
  <c r="Z386" i="11"/>
  <c r="AB386" i="11"/>
  <c r="AC386" i="11"/>
  <c r="AF386" i="11"/>
  <c r="AG386" i="11"/>
  <c r="AH386" i="11"/>
  <c r="AJ386" i="11"/>
  <c r="AK386" i="11"/>
  <c r="AL386" i="11"/>
  <c r="AO386" i="11"/>
  <c r="AP386" i="11"/>
  <c r="BD386" i="11"/>
  <c r="BF386" i="11"/>
  <c r="BJ386" i="11"/>
  <c r="K387" i="11"/>
  <c r="Z387" i="11"/>
  <c r="AB387" i="11"/>
  <c r="AC387" i="11"/>
  <c r="AF387" i="11"/>
  <c r="AG387" i="11"/>
  <c r="AH387" i="11"/>
  <c r="AJ387" i="11"/>
  <c r="AK387" i="11"/>
  <c r="AL387" i="11"/>
  <c r="AO387" i="11"/>
  <c r="I387" i="11" s="1"/>
  <c r="AP387" i="11"/>
  <c r="BI387" i="11" s="1"/>
  <c r="AE387" i="11" s="1"/>
  <c r="BD387" i="11"/>
  <c r="BF387" i="11"/>
  <c r="BJ387" i="11"/>
  <c r="K388" i="11"/>
  <c r="AK388" i="11" s="1"/>
  <c r="Z388" i="11"/>
  <c r="AB388" i="11"/>
  <c r="AC388" i="11"/>
  <c r="AF388" i="11"/>
  <c r="AG388" i="11"/>
  <c r="AH388" i="11"/>
  <c r="AJ388" i="11"/>
  <c r="AL388" i="11"/>
  <c r="AO388" i="11"/>
  <c r="AP388" i="11"/>
  <c r="BD388" i="11"/>
  <c r="BF388" i="11"/>
  <c r="BH388" i="11"/>
  <c r="AD388" i="11" s="1"/>
  <c r="BJ388" i="11"/>
  <c r="K389" i="11"/>
  <c r="Z389" i="11"/>
  <c r="AB389" i="11"/>
  <c r="AC389" i="11"/>
  <c r="AF389" i="11"/>
  <c r="AG389" i="11"/>
  <c r="AH389" i="11"/>
  <c r="AJ389" i="11"/>
  <c r="AK389" i="11"/>
  <c r="AL389" i="11"/>
  <c r="AO389" i="11"/>
  <c r="I389" i="11" s="1"/>
  <c r="AP389" i="11"/>
  <c r="AX389" i="11" s="1"/>
  <c r="BD389" i="11"/>
  <c r="BF389" i="11"/>
  <c r="BH389" i="11"/>
  <c r="AD389" i="11" s="1"/>
  <c r="BJ389" i="11"/>
  <c r="K390" i="11"/>
  <c r="Z390" i="11"/>
  <c r="AB390" i="11"/>
  <c r="AC390" i="11"/>
  <c r="AF390" i="11"/>
  <c r="AG390" i="11"/>
  <c r="AH390" i="11"/>
  <c r="AJ390" i="11"/>
  <c r="AK390" i="11"/>
  <c r="AL390" i="11"/>
  <c r="AO390" i="11"/>
  <c r="AW390" i="11" s="1"/>
  <c r="AP390" i="11"/>
  <c r="J390" i="11" s="1"/>
  <c r="BD390" i="11"/>
  <c r="BF390" i="11"/>
  <c r="BJ390" i="11"/>
  <c r="K391" i="11"/>
  <c r="Z391" i="11"/>
  <c r="AB391" i="11"/>
  <c r="AC391" i="11"/>
  <c r="AF391" i="11"/>
  <c r="AG391" i="11"/>
  <c r="AH391" i="11"/>
  <c r="AJ391" i="11"/>
  <c r="AK391" i="11"/>
  <c r="AL391" i="11"/>
  <c r="AO391" i="11"/>
  <c r="I391" i="11" s="1"/>
  <c r="AP391" i="11"/>
  <c r="BI391" i="11" s="1"/>
  <c r="AE391" i="11" s="1"/>
  <c r="BD391" i="11"/>
  <c r="BF391" i="11"/>
  <c r="BH391" i="11"/>
  <c r="AD391" i="11" s="1"/>
  <c r="BJ391" i="11"/>
  <c r="K392" i="11"/>
  <c r="AK392" i="11" s="1"/>
  <c r="Z392" i="11"/>
  <c r="AB392" i="11"/>
  <c r="AC392" i="11"/>
  <c r="AF392" i="11"/>
  <c r="AG392" i="11"/>
  <c r="AH392" i="11"/>
  <c r="AJ392" i="11"/>
  <c r="AL392" i="11"/>
  <c r="AO392" i="11"/>
  <c r="BH392" i="11" s="1"/>
  <c r="AD392" i="11" s="1"/>
  <c r="AP392" i="11"/>
  <c r="J392" i="11" s="1"/>
  <c r="BD392" i="11"/>
  <c r="BF392" i="11"/>
  <c r="BJ392" i="11"/>
  <c r="K393" i="11"/>
  <c r="Z393" i="11"/>
  <c r="AB393" i="11"/>
  <c r="AC393" i="11"/>
  <c r="AF393" i="11"/>
  <c r="AG393" i="11"/>
  <c r="AH393" i="11"/>
  <c r="AJ393" i="11"/>
  <c r="AK393" i="11"/>
  <c r="AL393" i="11"/>
  <c r="AO393" i="11"/>
  <c r="I393" i="11" s="1"/>
  <c r="AP393" i="11"/>
  <c r="BD393" i="11"/>
  <c r="BF393" i="11"/>
  <c r="BJ393" i="11"/>
  <c r="K395" i="11"/>
  <c r="Z395" i="11"/>
  <c r="AB395" i="11"/>
  <c r="AC395" i="11"/>
  <c r="AF395" i="11"/>
  <c r="AG395" i="11"/>
  <c r="AH395" i="11"/>
  <c r="AJ395" i="11"/>
  <c r="AL395" i="11"/>
  <c r="AO395" i="11"/>
  <c r="AP395" i="11"/>
  <c r="J395" i="11" s="1"/>
  <c r="BD395" i="11"/>
  <c r="BF395" i="11"/>
  <c r="BH395" i="11"/>
  <c r="AD395" i="11" s="1"/>
  <c r="BJ395" i="11"/>
  <c r="K396" i="11"/>
  <c r="Z396" i="11"/>
  <c r="AB396" i="11"/>
  <c r="AC396" i="11"/>
  <c r="AF396" i="11"/>
  <c r="AG396" i="11"/>
  <c r="AH396" i="11"/>
  <c r="AJ396" i="11"/>
  <c r="AK396" i="11"/>
  <c r="AL396" i="11"/>
  <c r="AO396" i="11"/>
  <c r="AP396" i="11"/>
  <c r="BI396" i="11" s="1"/>
  <c r="AE396" i="11" s="1"/>
  <c r="BD396" i="11"/>
  <c r="BF396" i="11"/>
  <c r="BJ396" i="11"/>
  <c r="K397" i="11"/>
  <c r="Z397" i="11"/>
  <c r="AB397" i="11"/>
  <c r="AC397" i="11"/>
  <c r="AF397" i="11"/>
  <c r="AG397" i="11"/>
  <c r="AH397" i="11"/>
  <c r="AJ397" i="11"/>
  <c r="AK397" i="11"/>
  <c r="AL397" i="11"/>
  <c r="AO397" i="11"/>
  <c r="AP397" i="11"/>
  <c r="BI397" i="11" s="1"/>
  <c r="AE397" i="11" s="1"/>
  <c r="BD397" i="11"/>
  <c r="BF397" i="11"/>
  <c r="BJ397" i="11"/>
  <c r="K398" i="11"/>
  <c r="Z398" i="11"/>
  <c r="AB398" i="11"/>
  <c r="AC398" i="11"/>
  <c r="AF398" i="11"/>
  <c r="AG398" i="11"/>
  <c r="AH398" i="11"/>
  <c r="AJ398" i="11"/>
  <c r="AK398" i="11"/>
  <c r="AL398" i="11"/>
  <c r="AO398" i="11"/>
  <c r="I398" i="11" s="1"/>
  <c r="AP398" i="11"/>
  <c r="BI398" i="11" s="1"/>
  <c r="AE398" i="11" s="1"/>
  <c r="BD398" i="11"/>
  <c r="BF398" i="11"/>
  <c r="BH398" i="11"/>
  <c r="AD398" i="11" s="1"/>
  <c r="BJ398" i="11"/>
  <c r="K399" i="11"/>
  <c r="AK399" i="11" s="1"/>
  <c r="Z399" i="11"/>
  <c r="AB399" i="11"/>
  <c r="AC399" i="11"/>
  <c r="AF399" i="11"/>
  <c r="AG399" i="11"/>
  <c r="AH399" i="11"/>
  <c r="AJ399" i="11"/>
  <c r="AL399" i="11"/>
  <c r="AO399" i="11"/>
  <c r="AP399" i="11"/>
  <c r="J399" i="11" s="1"/>
  <c r="BD399" i="11"/>
  <c r="BF399" i="11"/>
  <c r="BI399" i="11"/>
  <c r="AE399" i="11" s="1"/>
  <c r="BJ399" i="11"/>
  <c r="K400" i="11"/>
  <c r="Z400" i="11"/>
  <c r="AB400" i="11"/>
  <c r="AC400" i="11"/>
  <c r="AF400" i="11"/>
  <c r="AG400" i="11"/>
  <c r="AH400" i="11"/>
  <c r="AJ400" i="11"/>
  <c r="AK400" i="11"/>
  <c r="AL400" i="11"/>
  <c r="AO400" i="11"/>
  <c r="AW400" i="11" s="1"/>
  <c r="AP400" i="11"/>
  <c r="BD400" i="11"/>
  <c r="BF400" i="11"/>
  <c r="BH400" i="11"/>
  <c r="AD400" i="11" s="1"/>
  <c r="BJ400" i="11"/>
  <c r="K401" i="11"/>
  <c r="Z401" i="11"/>
  <c r="AB401" i="11"/>
  <c r="AC401" i="11"/>
  <c r="AF401" i="11"/>
  <c r="AG401" i="11"/>
  <c r="AH401" i="11"/>
  <c r="AJ401" i="11"/>
  <c r="AK401" i="11"/>
  <c r="AL401" i="11"/>
  <c r="AO401" i="11"/>
  <c r="AW401" i="11" s="1"/>
  <c r="AP401" i="11"/>
  <c r="J401" i="11" s="1"/>
  <c r="BD401" i="11"/>
  <c r="BF401" i="11"/>
  <c r="BH401" i="11"/>
  <c r="AD401" i="11" s="1"/>
  <c r="BI401" i="11"/>
  <c r="AE401" i="11" s="1"/>
  <c r="BJ401" i="11"/>
  <c r="K402" i="11"/>
  <c r="AK402" i="11" s="1"/>
  <c r="Z402" i="11"/>
  <c r="AB402" i="11"/>
  <c r="AC402" i="11"/>
  <c r="AF402" i="11"/>
  <c r="AG402" i="11"/>
  <c r="AH402" i="11"/>
  <c r="AJ402" i="11"/>
  <c r="AL402" i="11"/>
  <c r="AO402" i="11"/>
  <c r="I402" i="11" s="1"/>
  <c r="AP402" i="11"/>
  <c r="BI402" i="11" s="1"/>
  <c r="AE402" i="11" s="1"/>
  <c r="BD402" i="11"/>
  <c r="BF402" i="11"/>
  <c r="BJ402" i="11"/>
  <c r="K403" i="11"/>
  <c r="AK403" i="11" s="1"/>
  <c r="Z403" i="11"/>
  <c r="AB403" i="11"/>
  <c r="AC403" i="11"/>
  <c r="AF403" i="11"/>
  <c r="AG403" i="11"/>
  <c r="AH403" i="11"/>
  <c r="AJ403" i="11"/>
  <c r="AL403" i="11"/>
  <c r="AO403" i="11"/>
  <c r="AP403" i="11"/>
  <c r="BI403" i="11" s="1"/>
  <c r="AE403" i="11" s="1"/>
  <c r="BD403" i="11"/>
  <c r="BF403" i="11"/>
  <c r="BJ403" i="11"/>
  <c r="K404" i="11"/>
  <c r="Z404" i="11"/>
  <c r="AB404" i="11"/>
  <c r="AC404" i="11"/>
  <c r="AF404" i="11"/>
  <c r="AG404" i="11"/>
  <c r="AH404" i="11"/>
  <c r="AJ404" i="11"/>
  <c r="AK404" i="11"/>
  <c r="AL404" i="11"/>
  <c r="AO404" i="11"/>
  <c r="AP404" i="11"/>
  <c r="AX404" i="11" s="1"/>
  <c r="BD404" i="11"/>
  <c r="BF404" i="11"/>
  <c r="BJ404" i="11"/>
  <c r="K405" i="11"/>
  <c r="Z405" i="11"/>
  <c r="AB405" i="11"/>
  <c r="AC405" i="11"/>
  <c r="AF405" i="11"/>
  <c r="AG405" i="11"/>
  <c r="AH405" i="11"/>
  <c r="AJ405" i="11"/>
  <c r="AK405" i="11"/>
  <c r="AL405" i="11"/>
  <c r="AO405" i="11"/>
  <c r="AP405" i="11"/>
  <c r="J405" i="11" s="1"/>
  <c r="BD405" i="11"/>
  <c r="BF405" i="11"/>
  <c r="BH405" i="11"/>
  <c r="AD405" i="11" s="1"/>
  <c r="BJ405" i="11"/>
  <c r="K406" i="11"/>
  <c r="AK406" i="11" s="1"/>
  <c r="Z406" i="11"/>
  <c r="AB406" i="11"/>
  <c r="AC406" i="11"/>
  <c r="AF406" i="11"/>
  <c r="AG406" i="11"/>
  <c r="AH406" i="11"/>
  <c r="AJ406" i="11"/>
  <c r="AL406" i="11"/>
  <c r="AO406" i="11"/>
  <c r="I406" i="11" s="1"/>
  <c r="AP406" i="11"/>
  <c r="BI406" i="11" s="1"/>
  <c r="AE406" i="11" s="1"/>
  <c r="BD406" i="11"/>
  <c r="BF406" i="11"/>
  <c r="BH406" i="11"/>
  <c r="AD406" i="11" s="1"/>
  <c r="BJ406" i="11"/>
  <c r="K407" i="11"/>
  <c r="AK407" i="11" s="1"/>
  <c r="Z407" i="11"/>
  <c r="AB407" i="11"/>
  <c r="AC407" i="11"/>
  <c r="AF407" i="11"/>
  <c r="AG407" i="11"/>
  <c r="AH407" i="11"/>
  <c r="AJ407" i="11"/>
  <c r="AL407" i="11"/>
  <c r="AO407" i="11"/>
  <c r="AP407" i="11"/>
  <c r="J407" i="11" s="1"/>
  <c r="BD407" i="11"/>
  <c r="BF407" i="11"/>
  <c r="BJ407" i="11"/>
  <c r="K408" i="11"/>
  <c r="Z408" i="11"/>
  <c r="AB408" i="11"/>
  <c r="AC408" i="11"/>
  <c r="AF408" i="11"/>
  <c r="AG408" i="11"/>
  <c r="AH408" i="11"/>
  <c r="AJ408" i="11"/>
  <c r="AK408" i="11"/>
  <c r="AL408" i="11"/>
  <c r="AO408" i="11"/>
  <c r="BH408" i="11" s="1"/>
  <c r="AD408" i="11" s="1"/>
  <c r="AP408" i="11"/>
  <c r="BD408" i="11"/>
  <c r="BF408" i="11"/>
  <c r="BJ408" i="11"/>
  <c r="K409" i="11"/>
  <c r="Z409" i="11"/>
  <c r="AB409" i="11"/>
  <c r="AC409" i="11"/>
  <c r="AF409" i="11"/>
  <c r="AG409" i="11"/>
  <c r="AH409" i="11"/>
  <c r="AJ409" i="11"/>
  <c r="AK409" i="11"/>
  <c r="AL409" i="11"/>
  <c r="AO409" i="11"/>
  <c r="BH409" i="11" s="1"/>
  <c r="AD409" i="11" s="1"/>
  <c r="AP409" i="11"/>
  <c r="J409" i="11" s="1"/>
  <c r="BD409" i="11"/>
  <c r="BF409" i="11"/>
  <c r="BJ409" i="11"/>
  <c r="K410" i="11"/>
  <c r="AK410" i="11" s="1"/>
  <c r="Z410" i="11"/>
  <c r="AB410" i="11"/>
  <c r="AC410" i="11"/>
  <c r="AF410" i="11"/>
  <c r="AG410" i="11"/>
  <c r="AH410" i="11"/>
  <c r="AJ410" i="11"/>
  <c r="AL410" i="11"/>
  <c r="AO410" i="11"/>
  <c r="I410" i="11" s="1"/>
  <c r="AP410" i="11"/>
  <c r="BI410" i="11" s="1"/>
  <c r="AE410" i="11" s="1"/>
  <c r="BD410" i="11"/>
  <c r="BF410" i="11"/>
  <c r="BJ410" i="11"/>
  <c r="K411" i="11"/>
  <c r="AK411" i="11" s="1"/>
  <c r="Z411" i="11"/>
  <c r="AB411" i="11"/>
  <c r="AC411" i="11"/>
  <c r="AF411" i="11"/>
  <c r="AG411" i="11"/>
  <c r="AH411" i="11"/>
  <c r="AJ411" i="11"/>
  <c r="AL411" i="11"/>
  <c r="AO411" i="11"/>
  <c r="AP411" i="11"/>
  <c r="BI411" i="11" s="1"/>
  <c r="AE411" i="11" s="1"/>
  <c r="BD411" i="11"/>
  <c r="BF411" i="11"/>
  <c r="BJ411" i="11"/>
  <c r="K412" i="11"/>
  <c r="Z412" i="11"/>
  <c r="AB412" i="11"/>
  <c r="AC412" i="11"/>
  <c r="AF412" i="11"/>
  <c r="AG412" i="11"/>
  <c r="AH412" i="11"/>
  <c r="AJ412" i="11"/>
  <c r="AK412" i="11"/>
  <c r="AL412" i="11"/>
  <c r="AO412" i="11"/>
  <c r="AP412" i="11"/>
  <c r="BD412" i="11"/>
  <c r="BF412" i="11"/>
  <c r="BJ412" i="11"/>
  <c r="K413" i="11"/>
  <c r="Z413" i="11"/>
  <c r="AB413" i="11"/>
  <c r="AC413" i="11"/>
  <c r="AF413" i="11"/>
  <c r="AG413" i="11"/>
  <c r="AH413" i="11"/>
  <c r="AJ413" i="11"/>
  <c r="AK413" i="11"/>
  <c r="AL413" i="11"/>
  <c r="AO413" i="11"/>
  <c r="I413" i="11" s="1"/>
  <c r="AP413" i="11"/>
  <c r="J413" i="11" s="1"/>
  <c r="BD413" i="11"/>
  <c r="BF413" i="11"/>
  <c r="BI413" i="11"/>
  <c r="AE413" i="11" s="1"/>
  <c r="BJ413" i="11"/>
  <c r="K414" i="11"/>
  <c r="AK414" i="11" s="1"/>
  <c r="Z414" i="11"/>
  <c r="AB414" i="11"/>
  <c r="AC414" i="11"/>
  <c r="AF414" i="11"/>
  <c r="AG414" i="11"/>
  <c r="AH414" i="11"/>
  <c r="AJ414" i="11"/>
  <c r="AL414" i="11"/>
  <c r="AO414" i="11"/>
  <c r="I414" i="11" s="1"/>
  <c r="AP414" i="11"/>
  <c r="BD414" i="11"/>
  <c r="BF414" i="11"/>
  <c r="BH414" i="11"/>
  <c r="AD414" i="11" s="1"/>
  <c r="BJ414" i="11"/>
  <c r="K415" i="11"/>
  <c r="AK415" i="11" s="1"/>
  <c r="Z415" i="11"/>
  <c r="AB415" i="11"/>
  <c r="AC415" i="11"/>
  <c r="AF415" i="11"/>
  <c r="AG415" i="11"/>
  <c r="AH415" i="11"/>
  <c r="AJ415" i="11"/>
  <c r="AL415" i="11"/>
  <c r="AO415" i="11"/>
  <c r="BH415" i="11" s="1"/>
  <c r="AD415" i="11" s="1"/>
  <c r="AP415" i="11"/>
  <c r="BI415" i="11" s="1"/>
  <c r="AE415" i="11" s="1"/>
  <c r="BD415" i="11"/>
  <c r="BF415" i="11"/>
  <c r="BJ415" i="11"/>
  <c r="K416" i="11"/>
  <c r="Z416" i="11"/>
  <c r="AB416" i="11"/>
  <c r="AC416" i="11"/>
  <c r="AF416" i="11"/>
  <c r="AG416" i="11"/>
  <c r="AH416" i="11"/>
  <c r="AJ416" i="11"/>
  <c r="AK416" i="11"/>
  <c r="AL416" i="11"/>
  <c r="AO416" i="11"/>
  <c r="AP416" i="11"/>
  <c r="J416" i="11" s="1"/>
  <c r="BD416" i="11"/>
  <c r="BF416" i="11"/>
  <c r="BJ416" i="11"/>
  <c r="K417" i="11"/>
  <c r="Z417" i="11"/>
  <c r="AB417" i="11"/>
  <c r="AC417" i="11"/>
  <c r="AF417" i="11"/>
  <c r="AG417" i="11"/>
  <c r="AH417" i="11"/>
  <c r="AJ417" i="11"/>
  <c r="AK417" i="11"/>
  <c r="AL417" i="11"/>
  <c r="AO417" i="11"/>
  <c r="AP417" i="11"/>
  <c r="J417" i="11" s="1"/>
  <c r="BD417" i="11"/>
  <c r="BF417" i="11"/>
  <c r="BJ417" i="11"/>
  <c r="K418" i="11"/>
  <c r="AK418" i="11" s="1"/>
  <c r="Z418" i="11"/>
  <c r="AB418" i="11"/>
  <c r="AC418" i="11"/>
  <c r="AF418" i="11"/>
  <c r="AG418" i="11"/>
  <c r="AH418" i="11"/>
  <c r="AJ418" i="11"/>
  <c r="AL418" i="11"/>
  <c r="AO418" i="11"/>
  <c r="I418" i="11" s="1"/>
  <c r="AP418" i="11"/>
  <c r="BI418" i="11" s="1"/>
  <c r="AE418" i="11" s="1"/>
  <c r="BD418" i="11"/>
  <c r="BF418" i="11"/>
  <c r="BH418" i="11"/>
  <c r="AD418" i="11" s="1"/>
  <c r="BJ418" i="11"/>
  <c r="K419" i="11"/>
  <c r="AK419" i="11" s="1"/>
  <c r="Z419" i="11"/>
  <c r="AB419" i="11"/>
  <c r="AC419" i="11"/>
  <c r="AF419" i="11"/>
  <c r="AG419" i="11"/>
  <c r="AH419" i="11"/>
  <c r="AJ419" i="11"/>
  <c r="AL419" i="11"/>
  <c r="AO419" i="11"/>
  <c r="AP419" i="11"/>
  <c r="BI419" i="11" s="1"/>
  <c r="AE419" i="11" s="1"/>
  <c r="BD419" i="11"/>
  <c r="BF419" i="11"/>
  <c r="BJ419" i="11"/>
  <c r="K420" i="11"/>
  <c r="Z420" i="11"/>
  <c r="AB420" i="11"/>
  <c r="AC420" i="11"/>
  <c r="AF420" i="11"/>
  <c r="AG420" i="11"/>
  <c r="AH420" i="11"/>
  <c r="AJ420" i="11"/>
  <c r="AK420" i="11"/>
  <c r="AL420" i="11"/>
  <c r="AO420" i="11"/>
  <c r="I420" i="11" s="1"/>
  <c r="AP420" i="11"/>
  <c r="BD420" i="11"/>
  <c r="BF420" i="11"/>
  <c r="BJ420" i="11"/>
  <c r="K421" i="11"/>
  <c r="Z421" i="11"/>
  <c r="AB421" i="11"/>
  <c r="AC421" i="11"/>
  <c r="AF421" i="11"/>
  <c r="AG421" i="11"/>
  <c r="AH421" i="11"/>
  <c r="AJ421" i="11"/>
  <c r="AK421" i="11"/>
  <c r="AL421" i="11"/>
  <c r="AO421" i="11"/>
  <c r="AP421" i="11"/>
  <c r="J421" i="11" s="1"/>
  <c r="BD421" i="11"/>
  <c r="BF421" i="11"/>
  <c r="BJ421" i="11"/>
  <c r="K422" i="11"/>
  <c r="AK422" i="11" s="1"/>
  <c r="Z422" i="11"/>
  <c r="AB422" i="11"/>
  <c r="AC422" i="11"/>
  <c r="AF422" i="11"/>
  <c r="AG422" i="11"/>
  <c r="AH422" i="11"/>
  <c r="AJ422" i="11"/>
  <c r="AL422" i="11"/>
  <c r="AO422" i="11"/>
  <c r="I422" i="11" s="1"/>
  <c r="AP422" i="11"/>
  <c r="BD422" i="11"/>
  <c r="BF422" i="11"/>
  <c r="BJ422" i="11"/>
  <c r="K423" i="11"/>
  <c r="AK423" i="11" s="1"/>
  <c r="Z423" i="11"/>
  <c r="AB423" i="11"/>
  <c r="AC423" i="11"/>
  <c r="AF423" i="11"/>
  <c r="AG423" i="11"/>
  <c r="AH423" i="11"/>
  <c r="AJ423" i="11"/>
  <c r="AL423" i="11"/>
  <c r="AO423" i="11"/>
  <c r="BH423" i="11" s="1"/>
  <c r="AD423" i="11" s="1"/>
  <c r="AP423" i="11"/>
  <c r="BI423" i="11" s="1"/>
  <c r="AE423" i="11" s="1"/>
  <c r="BD423" i="11"/>
  <c r="BF423" i="11"/>
  <c r="BJ423" i="11"/>
  <c r="K424" i="11"/>
  <c r="Z424" i="11"/>
  <c r="AB424" i="11"/>
  <c r="AC424" i="11"/>
  <c r="AF424" i="11"/>
  <c r="AG424" i="11"/>
  <c r="AH424" i="11"/>
  <c r="AJ424" i="11"/>
  <c r="AK424" i="11"/>
  <c r="AL424" i="11"/>
  <c r="AO424" i="11"/>
  <c r="I424" i="11" s="1"/>
  <c r="AP424" i="11"/>
  <c r="BD424" i="11"/>
  <c r="BF424" i="11"/>
  <c r="BJ424" i="11"/>
  <c r="K425" i="11"/>
  <c r="Z425" i="11"/>
  <c r="AB425" i="11"/>
  <c r="AC425" i="11"/>
  <c r="AF425" i="11"/>
  <c r="AG425" i="11"/>
  <c r="AH425" i="11"/>
  <c r="AJ425" i="11"/>
  <c r="AK425" i="11"/>
  <c r="AL425" i="11"/>
  <c r="AO425" i="11"/>
  <c r="AW425" i="11" s="1"/>
  <c r="AP425" i="11"/>
  <c r="J425" i="11" s="1"/>
  <c r="BD425" i="11"/>
  <c r="BF425" i="11"/>
  <c r="BJ425" i="11"/>
  <c r="K426" i="11"/>
  <c r="AK426" i="11" s="1"/>
  <c r="Z426" i="11"/>
  <c r="AB426" i="11"/>
  <c r="AC426" i="11"/>
  <c r="AF426" i="11"/>
  <c r="AG426" i="11"/>
  <c r="AH426" i="11"/>
  <c r="AJ426" i="11"/>
  <c r="AL426" i="11"/>
  <c r="AO426" i="11"/>
  <c r="I426" i="11" s="1"/>
  <c r="AP426" i="11"/>
  <c r="BD426" i="11"/>
  <c r="BF426" i="11"/>
  <c r="BH426" i="11"/>
  <c r="AD426" i="11" s="1"/>
  <c r="BJ426" i="11"/>
  <c r="K427" i="11"/>
  <c r="AK427" i="11" s="1"/>
  <c r="Z427" i="11"/>
  <c r="AB427" i="11"/>
  <c r="AC427" i="11"/>
  <c r="AF427" i="11"/>
  <c r="AG427" i="11"/>
  <c r="AH427" i="11"/>
  <c r="AJ427" i="11"/>
  <c r="AL427" i="11"/>
  <c r="AO427" i="11"/>
  <c r="BH427" i="11" s="1"/>
  <c r="AD427" i="11" s="1"/>
  <c r="AP427" i="11"/>
  <c r="BD427" i="11"/>
  <c r="BF427" i="11"/>
  <c r="BJ427" i="11"/>
  <c r="K428" i="11"/>
  <c r="Z428" i="11"/>
  <c r="AB428" i="11"/>
  <c r="AC428" i="11"/>
  <c r="AF428" i="11"/>
  <c r="AG428" i="11"/>
  <c r="AH428" i="11"/>
  <c r="AJ428" i="11"/>
  <c r="AK428" i="11"/>
  <c r="AL428" i="11"/>
  <c r="AO428" i="11"/>
  <c r="AP428" i="11"/>
  <c r="J428" i="11" s="1"/>
  <c r="BD428" i="11"/>
  <c r="BF428" i="11"/>
  <c r="BJ428" i="11"/>
  <c r="K429" i="11"/>
  <c r="Z429" i="11"/>
  <c r="AB429" i="11"/>
  <c r="AC429" i="11"/>
  <c r="AF429" i="11"/>
  <c r="AG429" i="11"/>
  <c r="AH429" i="11"/>
  <c r="AJ429" i="11"/>
  <c r="AK429" i="11"/>
  <c r="AL429" i="11"/>
  <c r="AO429" i="11"/>
  <c r="AP429" i="11"/>
  <c r="J429" i="11" s="1"/>
  <c r="BD429" i="11"/>
  <c r="BF429" i="11"/>
  <c r="BJ429" i="11"/>
  <c r="K430" i="11"/>
  <c r="AK430" i="11" s="1"/>
  <c r="Z430" i="11"/>
  <c r="AB430" i="11"/>
  <c r="AC430" i="11"/>
  <c r="AF430" i="11"/>
  <c r="AG430" i="11"/>
  <c r="AH430" i="11"/>
  <c r="AJ430" i="11"/>
  <c r="AL430" i="11"/>
  <c r="AO430" i="11"/>
  <c r="I430" i="11" s="1"/>
  <c r="AP430" i="11"/>
  <c r="BI430" i="11" s="1"/>
  <c r="AE430" i="11" s="1"/>
  <c r="BD430" i="11"/>
  <c r="BF430" i="11"/>
  <c r="BH430" i="11"/>
  <c r="AD430" i="11" s="1"/>
  <c r="BJ430" i="11"/>
  <c r="K432" i="11"/>
  <c r="Z432" i="11"/>
  <c r="AB432" i="11"/>
  <c r="AC432" i="11"/>
  <c r="AF432" i="11"/>
  <c r="AG432" i="11"/>
  <c r="AH432" i="11"/>
  <c r="AJ432" i="11"/>
  <c r="AK432" i="11"/>
  <c r="AL432" i="11"/>
  <c r="AO432" i="11"/>
  <c r="AP432" i="11"/>
  <c r="J432" i="11" s="1"/>
  <c r="BD432" i="11"/>
  <c r="BF432" i="11"/>
  <c r="BJ432" i="11"/>
  <c r="K433" i="11"/>
  <c r="AK433" i="11" s="1"/>
  <c r="Z433" i="11"/>
  <c r="AB433" i="11"/>
  <c r="AC433" i="11"/>
  <c r="AF433" i="11"/>
  <c r="AG433" i="11"/>
  <c r="AH433" i="11"/>
  <c r="AJ433" i="11"/>
  <c r="AL433" i="11"/>
  <c r="AO433" i="11"/>
  <c r="I433" i="11" s="1"/>
  <c r="AP433" i="11"/>
  <c r="BI433" i="11" s="1"/>
  <c r="AE433" i="11" s="1"/>
  <c r="BD433" i="11"/>
  <c r="BF433" i="11"/>
  <c r="BJ433" i="11"/>
  <c r="K434" i="11"/>
  <c r="AK434" i="11" s="1"/>
  <c r="Z434" i="11"/>
  <c r="AB434" i="11"/>
  <c r="AC434" i="11"/>
  <c r="AF434" i="11"/>
  <c r="AG434" i="11"/>
  <c r="AH434" i="11"/>
  <c r="AJ434" i="11"/>
  <c r="AL434" i="11"/>
  <c r="AO434" i="11"/>
  <c r="BH434" i="11" s="1"/>
  <c r="AD434" i="11" s="1"/>
  <c r="AP434" i="11"/>
  <c r="BI434" i="11" s="1"/>
  <c r="AE434" i="11" s="1"/>
  <c r="BD434" i="11"/>
  <c r="BF434" i="11"/>
  <c r="BJ434" i="11"/>
  <c r="K435" i="11"/>
  <c r="Z435" i="11"/>
  <c r="AB435" i="11"/>
  <c r="AC435" i="11"/>
  <c r="AF435" i="11"/>
  <c r="AG435" i="11"/>
  <c r="AH435" i="11"/>
  <c r="AJ435" i="11"/>
  <c r="AK435" i="11"/>
  <c r="AL435" i="11"/>
  <c r="AO435" i="11"/>
  <c r="AP435" i="11"/>
  <c r="J435" i="11" s="1"/>
  <c r="BD435" i="11"/>
  <c r="BF435" i="11"/>
  <c r="BJ435" i="11"/>
  <c r="K436" i="11"/>
  <c r="Z436" i="11"/>
  <c r="AB436" i="11"/>
  <c r="AC436" i="11"/>
  <c r="AF436" i="11"/>
  <c r="AG436" i="11"/>
  <c r="AH436" i="11"/>
  <c r="AJ436" i="11"/>
  <c r="AK436" i="11"/>
  <c r="AL436" i="11"/>
  <c r="AO436" i="11"/>
  <c r="AP436" i="11"/>
  <c r="BD436" i="11"/>
  <c r="BF436" i="11"/>
  <c r="BJ436" i="11"/>
  <c r="K437" i="11"/>
  <c r="AK437" i="11" s="1"/>
  <c r="Z437" i="11"/>
  <c r="AB437" i="11"/>
  <c r="AC437" i="11"/>
  <c r="AF437" i="11"/>
  <c r="AG437" i="11"/>
  <c r="AH437" i="11"/>
  <c r="AJ437" i="11"/>
  <c r="AL437" i="11"/>
  <c r="AO437" i="11"/>
  <c r="I437" i="11" s="1"/>
  <c r="AP437" i="11"/>
  <c r="BI437" i="11" s="1"/>
  <c r="AE437" i="11" s="1"/>
  <c r="BD437" i="11"/>
  <c r="BF437" i="11"/>
  <c r="BJ437" i="11"/>
  <c r="K438" i="11"/>
  <c r="AK438" i="11" s="1"/>
  <c r="Z438" i="11"/>
  <c r="AB438" i="11"/>
  <c r="AC438" i="11"/>
  <c r="AF438" i="11"/>
  <c r="AG438" i="11"/>
  <c r="AH438" i="11"/>
  <c r="AJ438" i="11"/>
  <c r="AL438" i="11"/>
  <c r="AO438" i="11"/>
  <c r="BH438" i="11" s="1"/>
  <c r="AD438" i="11" s="1"/>
  <c r="AP438" i="11"/>
  <c r="J438" i="11" s="1"/>
  <c r="AX438" i="11"/>
  <c r="BD438" i="11"/>
  <c r="BF438" i="11"/>
  <c r="BI438" i="11"/>
  <c r="AE438" i="11" s="1"/>
  <c r="BJ438" i="11"/>
  <c r="K439" i="11"/>
  <c r="Z439" i="11"/>
  <c r="AB439" i="11"/>
  <c r="AC439" i="11"/>
  <c r="AF439" i="11"/>
  <c r="AG439" i="11"/>
  <c r="AH439" i="11"/>
  <c r="AJ439" i="11"/>
  <c r="AK439" i="11"/>
  <c r="AL439" i="11"/>
  <c r="AO439" i="11"/>
  <c r="AP439" i="11"/>
  <c r="AX439" i="11" s="1"/>
  <c r="BD439" i="11"/>
  <c r="BF439" i="11"/>
  <c r="BH439" i="11"/>
  <c r="AD439" i="11" s="1"/>
  <c r="BJ439" i="11"/>
  <c r="K440" i="11"/>
  <c r="Z440" i="11"/>
  <c r="AB440" i="11"/>
  <c r="AC440" i="11"/>
  <c r="AF440" i="11"/>
  <c r="AG440" i="11"/>
  <c r="AH440" i="11"/>
  <c r="AJ440" i="11"/>
  <c r="AK440" i="11"/>
  <c r="AL440" i="11"/>
  <c r="AO440" i="11"/>
  <c r="AW440" i="11" s="1"/>
  <c r="AP440" i="11"/>
  <c r="J440" i="11" s="1"/>
  <c r="BD440" i="11"/>
  <c r="BF440" i="11"/>
  <c r="BH440" i="11"/>
  <c r="AD440" i="11" s="1"/>
  <c r="BJ440" i="11"/>
  <c r="K441" i="11"/>
  <c r="AK441" i="11" s="1"/>
  <c r="Z441" i="11"/>
  <c r="AB441" i="11"/>
  <c r="AC441" i="11"/>
  <c r="AF441" i="11"/>
  <c r="AG441" i="11"/>
  <c r="AH441" i="11"/>
  <c r="AJ441" i="11"/>
  <c r="AL441" i="11"/>
  <c r="AO441" i="11"/>
  <c r="I441" i="11" s="1"/>
  <c r="AP441" i="11"/>
  <c r="BD441" i="11"/>
  <c r="BF441" i="11"/>
  <c r="BH441" i="11"/>
  <c r="AD441" i="11" s="1"/>
  <c r="BJ441" i="11"/>
  <c r="K442" i="11"/>
  <c r="AK442" i="11" s="1"/>
  <c r="Z442" i="11"/>
  <c r="AB442" i="11"/>
  <c r="AC442" i="11"/>
  <c r="AF442" i="11"/>
  <c r="AG442" i="11"/>
  <c r="AH442" i="11"/>
  <c r="AJ442" i="11"/>
  <c r="AL442" i="11"/>
  <c r="AO442" i="11"/>
  <c r="BH442" i="11" s="1"/>
  <c r="AD442" i="11" s="1"/>
  <c r="AP442" i="11"/>
  <c r="J442" i="11" s="1"/>
  <c r="BD442" i="11"/>
  <c r="BF442" i="11"/>
  <c r="BI442" i="11"/>
  <c r="AE442" i="11" s="1"/>
  <c r="BJ442" i="11"/>
  <c r="K443" i="11"/>
  <c r="Z443" i="11"/>
  <c r="AB443" i="11"/>
  <c r="AC443" i="11"/>
  <c r="AF443" i="11"/>
  <c r="AG443" i="11"/>
  <c r="AH443" i="11"/>
  <c r="AJ443" i="11"/>
  <c r="AK443" i="11"/>
  <c r="AL443" i="11"/>
  <c r="AO443" i="11"/>
  <c r="BH443" i="11" s="1"/>
  <c r="AD443" i="11" s="1"/>
  <c r="AP443" i="11"/>
  <c r="AX443" i="11" s="1"/>
  <c r="BD443" i="11"/>
  <c r="BF443" i="11"/>
  <c r="BJ443" i="11"/>
  <c r="K444" i="11"/>
  <c r="Z444" i="11"/>
  <c r="AB444" i="11"/>
  <c r="AC444" i="11"/>
  <c r="AF444" i="11"/>
  <c r="AG444" i="11"/>
  <c r="AH444" i="11"/>
  <c r="AJ444" i="11"/>
  <c r="AK444" i="11"/>
  <c r="AL444" i="11"/>
  <c r="AO444" i="11"/>
  <c r="AP444" i="11"/>
  <c r="J444" i="11" s="1"/>
  <c r="BD444" i="11"/>
  <c r="BF444" i="11"/>
  <c r="BJ444" i="11"/>
  <c r="K445" i="11"/>
  <c r="AK445" i="11" s="1"/>
  <c r="Z445" i="11"/>
  <c r="AB445" i="11"/>
  <c r="AC445" i="11"/>
  <c r="AF445" i="11"/>
  <c r="AG445" i="11"/>
  <c r="AH445" i="11"/>
  <c r="AJ445" i="11"/>
  <c r="AL445" i="11"/>
  <c r="AO445" i="11"/>
  <c r="I445" i="11" s="1"/>
  <c r="AP445" i="11"/>
  <c r="BI445" i="11" s="1"/>
  <c r="AE445" i="11" s="1"/>
  <c r="BD445" i="11"/>
  <c r="BF445" i="11"/>
  <c r="BJ445" i="11"/>
  <c r="K446" i="11"/>
  <c r="AK446" i="11" s="1"/>
  <c r="AB446" i="11"/>
  <c r="AC446" i="11"/>
  <c r="AD446" i="11"/>
  <c r="AE446" i="11"/>
  <c r="AF446" i="11"/>
  <c r="AG446" i="11"/>
  <c r="AH446" i="11"/>
  <c r="AJ446" i="11"/>
  <c r="AL446" i="11"/>
  <c r="AO446" i="11"/>
  <c r="AP446" i="11"/>
  <c r="BD446" i="11"/>
  <c r="BF446" i="11"/>
  <c r="BH446" i="11"/>
  <c r="BJ446" i="11"/>
  <c r="Z446" i="11" s="1"/>
  <c r="K448" i="11"/>
  <c r="Z448" i="11"/>
  <c r="AB448" i="11"/>
  <c r="AC448" i="11"/>
  <c r="AF448" i="11"/>
  <c r="AG448" i="11"/>
  <c r="AH448" i="11"/>
  <c r="AJ448" i="11"/>
  <c r="AL448" i="11"/>
  <c r="AO448" i="11"/>
  <c r="I448" i="11" s="1"/>
  <c r="AP448" i="11"/>
  <c r="BD448" i="11"/>
  <c r="BF448" i="11"/>
  <c r="BH448" i="11"/>
  <c r="AD448" i="11" s="1"/>
  <c r="BJ448" i="11"/>
  <c r="K449" i="11"/>
  <c r="AK449" i="11" s="1"/>
  <c r="Z449" i="11"/>
  <c r="AB449" i="11"/>
  <c r="AC449" i="11"/>
  <c r="AF449" i="11"/>
  <c r="AG449" i="11"/>
  <c r="AH449" i="11"/>
  <c r="AJ449" i="11"/>
  <c r="AL449" i="11"/>
  <c r="AO449" i="11"/>
  <c r="BH449" i="11" s="1"/>
  <c r="AD449" i="11" s="1"/>
  <c r="AP449" i="11"/>
  <c r="J449" i="11" s="1"/>
  <c r="BD449" i="11"/>
  <c r="BF449" i="11"/>
  <c r="BJ449" i="11"/>
  <c r="K450" i="11"/>
  <c r="Z450" i="11"/>
  <c r="AB450" i="11"/>
  <c r="AC450" i="11"/>
  <c r="AF450" i="11"/>
  <c r="AG450" i="11"/>
  <c r="AH450" i="11"/>
  <c r="AJ450" i="11"/>
  <c r="AK450" i="11"/>
  <c r="AL450" i="11"/>
  <c r="AO450" i="11"/>
  <c r="AW450" i="11" s="1"/>
  <c r="AP450" i="11"/>
  <c r="BD450" i="11"/>
  <c r="BF450" i="11"/>
  <c r="BH450" i="11"/>
  <c r="AD450" i="11" s="1"/>
  <c r="BJ450" i="11"/>
  <c r="K451" i="11"/>
  <c r="Z451" i="11"/>
  <c r="AB451" i="11"/>
  <c r="AC451" i="11"/>
  <c r="AF451" i="11"/>
  <c r="AG451" i="11"/>
  <c r="AH451" i="11"/>
  <c r="AJ451" i="11"/>
  <c r="AK451" i="11"/>
  <c r="AL451" i="11"/>
  <c r="AO451" i="11"/>
  <c r="AP451" i="11"/>
  <c r="BD451" i="11"/>
  <c r="BF451" i="11"/>
  <c r="BH451" i="11"/>
  <c r="AD451" i="11" s="1"/>
  <c r="BJ451" i="11"/>
  <c r="K452" i="11"/>
  <c r="AK452" i="11" s="1"/>
  <c r="Z452" i="11"/>
  <c r="AB452" i="11"/>
  <c r="AC452" i="11"/>
  <c r="AF452" i="11"/>
  <c r="AG452" i="11"/>
  <c r="AH452" i="11"/>
  <c r="AJ452" i="11"/>
  <c r="AL452" i="11"/>
  <c r="AO452" i="11"/>
  <c r="I452" i="11" s="1"/>
  <c r="AP452" i="11"/>
  <c r="BI452" i="11" s="1"/>
  <c r="AE452" i="11" s="1"/>
  <c r="BD452" i="11"/>
  <c r="BF452" i="11"/>
  <c r="BJ452" i="11"/>
  <c r="K453" i="11"/>
  <c r="AK453" i="11" s="1"/>
  <c r="Z453" i="11"/>
  <c r="AB453" i="11"/>
  <c r="AC453" i="11"/>
  <c r="AF453" i="11"/>
  <c r="AG453" i="11"/>
  <c r="AH453" i="11"/>
  <c r="AJ453" i="11"/>
  <c r="AL453" i="11"/>
  <c r="AO453" i="11"/>
  <c r="AP453" i="11"/>
  <c r="J453" i="11" s="1"/>
  <c r="BD453" i="11"/>
  <c r="BF453" i="11"/>
  <c r="BJ453" i="11"/>
  <c r="K454" i="11"/>
  <c r="Z454" i="11"/>
  <c r="AB454" i="11"/>
  <c r="AC454" i="11"/>
  <c r="AF454" i="11"/>
  <c r="AG454" i="11"/>
  <c r="AH454" i="11"/>
  <c r="AJ454" i="11"/>
  <c r="AK454" i="11"/>
  <c r="AL454" i="11"/>
  <c r="AO454" i="11"/>
  <c r="AW454" i="11" s="1"/>
  <c r="AP454" i="11"/>
  <c r="BD454" i="11"/>
  <c r="BF454" i="11"/>
  <c r="BJ454" i="11"/>
  <c r="K455" i="11"/>
  <c r="Z455" i="11"/>
  <c r="AB455" i="11"/>
  <c r="AC455" i="11"/>
  <c r="AF455" i="11"/>
  <c r="AG455" i="11"/>
  <c r="AH455" i="11"/>
  <c r="AJ455" i="11"/>
  <c r="AK455" i="11"/>
  <c r="AL455" i="11"/>
  <c r="AO455" i="11"/>
  <c r="AW455" i="11" s="1"/>
  <c r="AP455" i="11"/>
  <c r="BD455" i="11"/>
  <c r="BF455" i="11"/>
  <c r="BH455" i="11"/>
  <c r="AD455" i="11" s="1"/>
  <c r="BJ455" i="11"/>
  <c r="K456" i="11"/>
  <c r="AK456" i="11" s="1"/>
  <c r="Z456" i="11"/>
  <c r="AB456" i="11"/>
  <c r="AC456" i="11"/>
  <c r="AF456" i="11"/>
  <c r="AG456" i="11"/>
  <c r="AH456" i="11"/>
  <c r="AJ456" i="11"/>
  <c r="AL456" i="11"/>
  <c r="AO456" i="11"/>
  <c r="I456" i="11" s="1"/>
  <c r="AP456" i="11"/>
  <c r="BD456" i="11"/>
  <c r="BF456" i="11"/>
  <c r="BH456" i="11"/>
  <c r="AD456" i="11" s="1"/>
  <c r="BJ456" i="11"/>
  <c r="K457" i="11"/>
  <c r="AK457" i="11" s="1"/>
  <c r="Z457" i="11"/>
  <c r="AB457" i="11"/>
  <c r="AC457" i="11"/>
  <c r="AF457" i="11"/>
  <c r="AG457" i="11"/>
  <c r="AH457" i="11"/>
  <c r="AJ457" i="11"/>
  <c r="AL457" i="11"/>
  <c r="AO457" i="11"/>
  <c r="BH457" i="11" s="1"/>
  <c r="AD457" i="11" s="1"/>
  <c r="AP457" i="11"/>
  <c r="J457" i="11" s="1"/>
  <c r="BD457" i="11"/>
  <c r="BF457" i="11"/>
  <c r="BJ457" i="11"/>
  <c r="K458" i="11"/>
  <c r="Z458" i="11"/>
  <c r="AB458" i="11"/>
  <c r="AC458" i="11"/>
  <c r="AF458" i="11"/>
  <c r="AG458" i="11"/>
  <c r="AH458" i="11"/>
  <c r="AJ458" i="11"/>
  <c r="AK458" i="11"/>
  <c r="AL458" i="11"/>
  <c r="AO458" i="11"/>
  <c r="AW458" i="11" s="1"/>
  <c r="AP458" i="11"/>
  <c r="BD458" i="11"/>
  <c r="BF458" i="11"/>
  <c r="BJ458" i="11"/>
  <c r="K459" i="11"/>
  <c r="Z459" i="11"/>
  <c r="AB459" i="11"/>
  <c r="AC459" i="11"/>
  <c r="AF459" i="11"/>
  <c r="AG459" i="11"/>
  <c r="AH459" i="11"/>
  <c r="AJ459" i="11"/>
  <c r="AK459" i="11"/>
  <c r="AL459" i="11"/>
  <c r="AO459" i="11"/>
  <c r="AP459" i="11"/>
  <c r="BD459" i="11"/>
  <c r="BF459" i="11"/>
  <c r="BH459" i="11"/>
  <c r="AD459" i="11" s="1"/>
  <c r="BJ459" i="11"/>
  <c r="K460" i="11"/>
  <c r="AK460" i="11" s="1"/>
  <c r="Z460" i="11"/>
  <c r="AB460" i="11"/>
  <c r="AC460" i="11"/>
  <c r="AF460" i="11"/>
  <c r="AG460" i="11"/>
  <c r="AH460" i="11"/>
  <c r="AJ460" i="11"/>
  <c r="AL460" i="11"/>
  <c r="AO460" i="11"/>
  <c r="I460" i="11" s="1"/>
  <c r="AP460" i="11"/>
  <c r="BI460" i="11" s="1"/>
  <c r="AE460" i="11" s="1"/>
  <c r="BD460" i="11"/>
  <c r="BF460" i="11"/>
  <c r="BH460" i="11"/>
  <c r="AD460" i="11" s="1"/>
  <c r="BJ460" i="11"/>
  <c r="K461" i="11"/>
  <c r="AK461" i="11" s="1"/>
  <c r="Z461" i="11"/>
  <c r="AB461" i="11"/>
  <c r="AC461" i="11"/>
  <c r="AF461" i="11"/>
  <c r="AG461" i="11"/>
  <c r="AH461" i="11"/>
  <c r="AJ461" i="11"/>
  <c r="AL461" i="11"/>
  <c r="AO461" i="11"/>
  <c r="AP461" i="11"/>
  <c r="J461" i="11" s="1"/>
  <c r="BD461" i="11"/>
  <c r="BF461" i="11"/>
  <c r="BJ461" i="11"/>
  <c r="K462" i="11"/>
  <c r="Z462" i="11"/>
  <c r="AB462" i="11"/>
  <c r="AC462" i="11"/>
  <c r="AF462" i="11"/>
  <c r="AG462" i="11"/>
  <c r="AH462" i="11"/>
  <c r="AJ462" i="11"/>
  <c r="AK462" i="11"/>
  <c r="AL462" i="11"/>
  <c r="AO462" i="11"/>
  <c r="AW462" i="11" s="1"/>
  <c r="AP462" i="11"/>
  <c r="BD462" i="11"/>
  <c r="BF462" i="11"/>
  <c r="BJ462" i="11"/>
  <c r="K463" i="11"/>
  <c r="Z463" i="11"/>
  <c r="AB463" i="11"/>
  <c r="AC463" i="11"/>
  <c r="AF463" i="11"/>
  <c r="AG463" i="11"/>
  <c r="AH463" i="11"/>
  <c r="AJ463" i="11"/>
  <c r="AK463" i="11"/>
  <c r="AL463" i="11"/>
  <c r="AO463" i="11"/>
  <c r="AW463" i="11" s="1"/>
  <c r="AP463" i="11"/>
  <c r="BD463" i="11"/>
  <c r="BF463" i="11"/>
  <c r="BH463" i="11"/>
  <c r="AD463" i="11" s="1"/>
  <c r="BJ463" i="11"/>
  <c r="K464" i="11"/>
  <c r="AK464" i="11" s="1"/>
  <c r="Z464" i="11"/>
  <c r="AB464" i="11"/>
  <c r="AC464" i="11"/>
  <c r="AF464" i="11"/>
  <c r="AG464" i="11"/>
  <c r="AH464" i="11"/>
  <c r="AJ464" i="11"/>
  <c r="AL464" i="11"/>
  <c r="AO464" i="11"/>
  <c r="I464" i="11" s="1"/>
  <c r="AP464" i="11"/>
  <c r="BI464" i="11" s="1"/>
  <c r="AE464" i="11" s="1"/>
  <c r="BD464" i="11"/>
  <c r="BF464" i="11"/>
  <c r="BH464" i="11"/>
  <c r="AD464" i="11" s="1"/>
  <c r="BJ464" i="11"/>
  <c r="K465" i="11"/>
  <c r="AK465" i="11" s="1"/>
  <c r="Z465" i="11"/>
  <c r="AB465" i="11"/>
  <c r="AC465" i="11"/>
  <c r="AF465" i="11"/>
  <c r="AG465" i="11"/>
  <c r="AH465" i="11"/>
  <c r="AJ465" i="11"/>
  <c r="AL465" i="11"/>
  <c r="AO465" i="11"/>
  <c r="BH465" i="11" s="1"/>
  <c r="AD465" i="11" s="1"/>
  <c r="AP465" i="11"/>
  <c r="J465" i="11" s="1"/>
  <c r="BD465" i="11"/>
  <c r="BF465" i="11"/>
  <c r="BJ465" i="11"/>
  <c r="K466" i="11"/>
  <c r="Z466" i="11"/>
  <c r="AB466" i="11"/>
  <c r="AC466" i="11"/>
  <c r="AF466" i="11"/>
  <c r="AG466" i="11"/>
  <c r="AH466" i="11"/>
  <c r="AJ466" i="11"/>
  <c r="AK466" i="11"/>
  <c r="AL466" i="11"/>
  <c r="AO466" i="11"/>
  <c r="I466" i="11" s="1"/>
  <c r="AP466" i="11"/>
  <c r="BI466" i="11" s="1"/>
  <c r="AE466" i="11" s="1"/>
  <c r="BD466" i="11"/>
  <c r="BF466" i="11"/>
  <c r="BJ466" i="11"/>
  <c r="K467" i="11"/>
  <c r="Z467" i="11"/>
  <c r="AB467" i="11"/>
  <c r="AC467" i="11"/>
  <c r="AF467" i="11"/>
  <c r="AG467" i="11"/>
  <c r="AH467" i="11"/>
  <c r="AJ467" i="11"/>
  <c r="AK467" i="11"/>
  <c r="AL467" i="11"/>
  <c r="AO467" i="11"/>
  <c r="AP467" i="11"/>
  <c r="J467" i="11" s="1"/>
  <c r="BD467" i="11"/>
  <c r="BF467" i="11"/>
  <c r="BJ467" i="11"/>
  <c r="K468" i="11"/>
  <c r="AK468" i="11" s="1"/>
  <c r="Z468" i="11"/>
  <c r="AB468" i="11"/>
  <c r="AC468" i="11"/>
  <c r="AF468" i="11"/>
  <c r="AG468" i="11"/>
  <c r="AH468" i="11"/>
  <c r="AJ468" i="11"/>
  <c r="AL468" i="11"/>
  <c r="AO468" i="11"/>
  <c r="I468" i="11" s="1"/>
  <c r="AP468" i="11"/>
  <c r="BI468" i="11" s="1"/>
  <c r="AE468" i="11" s="1"/>
  <c r="BD468" i="11"/>
  <c r="BF468" i="11"/>
  <c r="BH468" i="11"/>
  <c r="AD468" i="11" s="1"/>
  <c r="BJ468" i="11"/>
  <c r="K469" i="11"/>
  <c r="AK469" i="11" s="1"/>
  <c r="Z469" i="11"/>
  <c r="AB469" i="11"/>
  <c r="AC469" i="11"/>
  <c r="AF469" i="11"/>
  <c r="AG469" i="11"/>
  <c r="AH469" i="11"/>
  <c r="AJ469" i="11"/>
  <c r="AL469" i="11"/>
  <c r="AO469" i="11"/>
  <c r="AP469" i="11"/>
  <c r="BD469" i="11"/>
  <c r="BF469" i="11"/>
  <c r="BH469" i="11"/>
  <c r="AD469" i="11" s="1"/>
  <c r="BJ469" i="11"/>
  <c r="K470" i="11"/>
  <c r="Z470" i="11"/>
  <c r="AB470" i="11"/>
  <c r="AC470" i="11"/>
  <c r="AF470" i="11"/>
  <c r="AG470" i="11"/>
  <c r="AH470" i="11"/>
  <c r="AJ470" i="11"/>
  <c r="AK470" i="11"/>
  <c r="AL470" i="11"/>
  <c r="AO470" i="11"/>
  <c r="AP470" i="11"/>
  <c r="AX470" i="11" s="1"/>
  <c r="BD470" i="11"/>
  <c r="BF470" i="11"/>
  <c r="BJ470" i="11"/>
  <c r="K471" i="11"/>
  <c r="Z471" i="11"/>
  <c r="AB471" i="11"/>
  <c r="AC471" i="11"/>
  <c r="AF471" i="11"/>
  <c r="AG471" i="11"/>
  <c r="AH471" i="11"/>
  <c r="AJ471" i="11"/>
  <c r="AK471" i="11"/>
  <c r="AL471" i="11"/>
  <c r="AO471" i="11"/>
  <c r="AW471" i="11" s="1"/>
  <c r="AP471" i="11"/>
  <c r="J471" i="11" s="1"/>
  <c r="BD471" i="11"/>
  <c r="BF471" i="11"/>
  <c r="BH471" i="11"/>
  <c r="AD471" i="11" s="1"/>
  <c r="BJ471" i="11"/>
  <c r="K472" i="11"/>
  <c r="AK472" i="11" s="1"/>
  <c r="AB472" i="11"/>
  <c r="AC472" i="11"/>
  <c r="AD472" i="11"/>
  <c r="AE472" i="11"/>
  <c r="AF472" i="11"/>
  <c r="AG472" i="11"/>
  <c r="AH472" i="11"/>
  <c r="AJ472" i="11"/>
  <c r="AL472" i="11"/>
  <c r="AO472" i="11"/>
  <c r="I472" i="11" s="1"/>
  <c r="AP472" i="11"/>
  <c r="BI472" i="11" s="1"/>
  <c r="BD472" i="11"/>
  <c r="BF472" i="11"/>
  <c r="BJ472" i="11"/>
  <c r="Z472" i="11" s="1"/>
  <c r="K474" i="11"/>
  <c r="Z474" i="11"/>
  <c r="AB474" i="11"/>
  <c r="AC474" i="11"/>
  <c r="AF474" i="11"/>
  <c r="AG474" i="11"/>
  <c r="AH474" i="11"/>
  <c r="AJ474" i="11"/>
  <c r="AK474" i="11"/>
  <c r="AL474" i="11"/>
  <c r="AO474" i="11"/>
  <c r="AP474" i="11"/>
  <c r="J474" i="11" s="1"/>
  <c r="BD474" i="11"/>
  <c r="BF474" i="11"/>
  <c r="BJ474" i="11"/>
  <c r="K475" i="11"/>
  <c r="AK475" i="11" s="1"/>
  <c r="Z475" i="11"/>
  <c r="AB475" i="11"/>
  <c r="AC475" i="11"/>
  <c r="AF475" i="11"/>
  <c r="AG475" i="11"/>
  <c r="AH475" i="11"/>
  <c r="AJ475" i="11"/>
  <c r="AL475" i="11"/>
  <c r="AO475" i="11"/>
  <c r="I475" i="11" s="1"/>
  <c r="AP475" i="11"/>
  <c r="BI475" i="11" s="1"/>
  <c r="AE475" i="11" s="1"/>
  <c r="BD475" i="11"/>
  <c r="BF475" i="11"/>
  <c r="BJ475" i="11"/>
  <c r="K476" i="11"/>
  <c r="AK476" i="11" s="1"/>
  <c r="Z476" i="11"/>
  <c r="AB476" i="11"/>
  <c r="AC476" i="11"/>
  <c r="AF476" i="11"/>
  <c r="AG476" i="11"/>
  <c r="AH476" i="11"/>
  <c r="AJ476" i="11"/>
  <c r="AL476" i="11"/>
  <c r="AO476" i="11"/>
  <c r="BH476" i="11" s="1"/>
  <c r="AD476" i="11" s="1"/>
  <c r="AP476" i="11"/>
  <c r="BD476" i="11"/>
  <c r="BF476" i="11"/>
  <c r="BJ476" i="11"/>
  <c r="K477" i="11"/>
  <c r="Z477" i="11"/>
  <c r="AB477" i="11"/>
  <c r="AC477" i="11"/>
  <c r="AF477" i="11"/>
  <c r="AG477" i="11"/>
  <c r="AH477" i="11"/>
  <c r="AJ477" i="11"/>
  <c r="AK477" i="11"/>
  <c r="AL477" i="11"/>
  <c r="AO477" i="11"/>
  <c r="BH477" i="11" s="1"/>
  <c r="AD477" i="11" s="1"/>
  <c r="AP477" i="11"/>
  <c r="AX477" i="11" s="1"/>
  <c r="BD477" i="11"/>
  <c r="BF477" i="11"/>
  <c r="BJ477" i="11"/>
  <c r="K478" i="11"/>
  <c r="AB478" i="11"/>
  <c r="AC478" i="11"/>
  <c r="AD478" i="11"/>
  <c r="AE478" i="11"/>
  <c r="AF478" i="11"/>
  <c r="AG478" i="11"/>
  <c r="AH478" i="11"/>
  <c r="AJ478" i="11"/>
  <c r="AK478" i="11"/>
  <c r="AL478" i="11"/>
  <c r="AO478" i="11"/>
  <c r="AP478" i="11"/>
  <c r="J478" i="11" s="1"/>
  <c r="BD478" i="11"/>
  <c r="BF478" i="11"/>
  <c r="BJ478" i="11"/>
  <c r="Z478" i="11" s="1"/>
  <c r="K480" i="11"/>
  <c r="Z480" i="11"/>
  <c r="AB480" i="11"/>
  <c r="AC480" i="11"/>
  <c r="AF480" i="11"/>
  <c r="AG480" i="11"/>
  <c r="AH480" i="11"/>
  <c r="AJ480" i="11"/>
  <c r="AK480" i="11"/>
  <c r="AL480" i="11"/>
  <c r="AO480" i="11"/>
  <c r="AW480" i="11" s="1"/>
  <c r="AP480" i="11"/>
  <c r="BD480" i="11"/>
  <c r="BF480" i="11"/>
  <c r="BH480" i="11"/>
  <c r="AD480" i="11" s="1"/>
  <c r="BJ480" i="11"/>
  <c r="K481" i="11"/>
  <c r="Z481" i="11"/>
  <c r="AB481" i="11"/>
  <c r="AC481" i="11"/>
  <c r="AF481" i="11"/>
  <c r="AG481" i="11"/>
  <c r="AH481" i="11"/>
  <c r="AJ481" i="11"/>
  <c r="AK481" i="11"/>
  <c r="AL481" i="11"/>
  <c r="AO481" i="11"/>
  <c r="I481" i="11" s="1"/>
  <c r="AP481" i="11"/>
  <c r="J481" i="11" s="1"/>
  <c r="BD481" i="11"/>
  <c r="BF481" i="11"/>
  <c r="BJ481" i="11"/>
  <c r="K482" i="11"/>
  <c r="AK482" i="11" s="1"/>
  <c r="Z482" i="11"/>
  <c r="AB482" i="11"/>
  <c r="AC482" i="11"/>
  <c r="AF482" i="11"/>
  <c r="AG482" i="11"/>
  <c r="AH482" i="11"/>
  <c r="AJ482" i="11"/>
  <c r="AL482" i="11"/>
  <c r="AO482" i="11"/>
  <c r="I482" i="11" s="1"/>
  <c r="AP482" i="11"/>
  <c r="BD482" i="11"/>
  <c r="BF482" i="11"/>
  <c r="BH482" i="11"/>
  <c r="AD482" i="11" s="1"/>
  <c r="BJ482" i="11"/>
  <c r="K483" i="11"/>
  <c r="AK483" i="11" s="1"/>
  <c r="Z483" i="11"/>
  <c r="AB483" i="11"/>
  <c r="AC483" i="11"/>
  <c r="AF483" i="11"/>
  <c r="AG483" i="11"/>
  <c r="AH483" i="11"/>
  <c r="AJ483" i="11"/>
  <c r="AL483" i="11"/>
  <c r="AO483" i="11"/>
  <c r="BH483" i="11" s="1"/>
  <c r="AD483" i="11" s="1"/>
  <c r="AP483" i="11"/>
  <c r="BI483" i="11" s="1"/>
  <c r="AE483" i="11" s="1"/>
  <c r="BD483" i="11"/>
  <c r="BF483" i="11"/>
  <c r="BJ483" i="11"/>
  <c r="K484" i="11"/>
  <c r="Z484" i="11"/>
  <c r="AB484" i="11"/>
  <c r="AC484" i="11"/>
  <c r="AF484" i="11"/>
  <c r="AG484" i="11"/>
  <c r="AH484" i="11"/>
  <c r="AJ484" i="11"/>
  <c r="AK484" i="11"/>
  <c r="AL484" i="11"/>
  <c r="AO484" i="11"/>
  <c r="I484" i="11" s="1"/>
  <c r="AP484" i="11"/>
  <c r="AX484" i="11" s="1"/>
  <c r="BD484" i="11"/>
  <c r="BF484" i="11"/>
  <c r="BJ484" i="11"/>
  <c r="K485" i="11"/>
  <c r="Z485" i="11"/>
  <c r="AB485" i="11"/>
  <c r="AC485" i="11"/>
  <c r="AF485" i="11"/>
  <c r="AG485" i="11"/>
  <c r="AH485" i="11"/>
  <c r="AJ485" i="11"/>
  <c r="AK485" i="11"/>
  <c r="AL485" i="11"/>
  <c r="AO485" i="11"/>
  <c r="AP485" i="11"/>
  <c r="BD485" i="11"/>
  <c r="BF485" i="11"/>
  <c r="BH485" i="11"/>
  <c r="AD485" i="11" s="1"/>
  <c r="BJ485" i="11"/>
  <c r="K486" i="11"/>
  <c r="AK486" i="11" s="1"/>
  <c r="Z486" i="11"/>
  <c r="AB486" i="11"/>
  <c r="AC486" i="11"/>
  <c r="AF486" i="11"/>
  <c r="AG486" i="11"/>
  <c r="AH486" i="11"/>
  <c r="AJ486" i="11"/>
  <c r="AL486" i="11"/>
  <c r="AO486" i="11"/>
  <c r="I486" i="11" s="1"/>
  <c r="AP486" i="11"/>
  <c r="BI486" i="11" s="1"/>
  <c r="AE486" i="11" s="1"/>
  <c r="BD486" i="11"/>
  <c r="BF486" i="11"/>
  <c r="BH486" i="11"/>
  <c r="AD486" i="11" s="1"/>
  <c r="BJ486" i="11"/>
  <c r="K487" i="11"/>
  <c r="AK487" i="11" s="1"/>
  <c r="Z487" i="11"/>
  <c r="AB487" i="11"/>
  <c r="AC487" i="11"/>
  <c r="AF487" i="11"/>
  <c r="AG487" i="11"/>
  <c r="AH487" i="11"/>
  <c r="AJ487" i="11"/>
  <c r="AL487" i="11"/>
  <c r="AO487" i="11"/>
  <c r="AP487" i="11"/>
  <c r="BD487" i="11"/>
  <c r="BF487" i="11"/>
  <c r="BJ487" i="11"/>
  <c r="K488" i="11"/>
  <c r="Z488" i="11"/>
  <c r="AB488" i="11"/>
  <c r="AC488" i="11"/>
  <c r="AF488" i="11"/>
  <c r="AG488" i="11"/>
  <c r="AH488" i="11"/>
  <c r="AJ488" i="11"/>
  <c r="AK488" i="11"/>
  <c r="AL488" i="11"/>
  <c r="AO488" i="11"/>
  <c r="AP488" i="11"/>
  <c r="AX488" i="11" s="1"/>
  <c r="BD488" i="11"/>
  <c r="BF488" i="11"/>
  <c r="BH488" i="11"/>
  <c r="AD488" i="11" s="1"/>
  <c r="BJ488" i="11"/>
  <c r="K489" i="11"/>
  <c r="Z489" i="11"/>
  <c r="AB489" i="11"/>
  <c r="AC489" i="11"/>
  <c r="AF489" i="11"/>
  <c r="AG489" i="11"/>
  <c r="AH489" i="11"/>
  <c r="AJ489" i="11"/>
  <c r="AK489" i="11"/>
  <c r="AL489" i="11"/>
  <c r="AO489" i="11"/>
  <c r="AP489" i="11"/>
  <c r="BD489" i="11"/>
  <c r="BF489" i="11"/>
  <c r="BH489" i="11"/>
  <c r="AD489" i="11" s="1"/>
  <c r="BJ489" i="11"/>
  <c r="K490" i="11"/>
  <c r="AK490" i="11" s="1"/>
  <c r="Z490" i="11"/>
  <c r="AB490" i="11"/>
  <c r="AC490" i="11"/>
  <c r="AF490" i="11"/>
  <c r="AG490" i="11"/>
  <c r="AH490" i="11"/>
  <c r="AJ490" i="11"/>
  <c r="AL490" i="11"/>
  <c r="AO490" i="11"/>
  <c r="I490" i="11" s="1"/>
  <c r="AP490" i="11"/>
  <c r="BD490" i="11"/>
  <c r="BF490" i="11"/>
  <c r="BH490" i="11"/>
  <c r="AD490" i="11" s="1"/>
  <c r="BJ490" i="11"/>
  <c r="K491" i="11"/>
  <c r="AK491" i="11" s="1"/>
  <c r="Z491" i="11"/>
  <c r="AB491" i="11"/>
  <c r="AC491" i="11"/>
  <c r="AF491" i="11"/>
  <c r="AG491" i="11"/>
  <c r="AH491" i="11"/>
  <c r="AJ491" i="11"/>
  <c r="AL491" i="11"/>
  <c r="AO491" i="11"/>
  <c r="BH491" i="11" s="1"/>
  <c r="AD491" i="11" s="1"/>
  <c r="AP491" i="11"/>
  <c r="BI491" i="11" s="1"/>
  <c r="AE491" i="11" s="1"/>
  <c r="BD491" i="11"/>
  <c r="BF491" i="11"/>
  <c r="BJ491" i="11"/>
  <c r="K492" i="11"/>
  <c r="AK492" i="11" s="1"/>
  <c r="AB492" i="11"/>
  <c r="AC492" i="11"/>
  <c r="AD492" i="11"/>
  <c r="AE492" i="11"/>
  <c r="AF492" i="11"/>
  <c r="AG492" i="11"/>
  <c r="AH492" i="11"/>
  <c r="AJ492" i="11"/>
  <c r="AL492" i="11"/>
  <c r="AO492" i="11"/>
  <c r="AW492" i="11" s="1"/>
  <c r="AP492" i="11"/>
  <c r="BD492" i="11"/>
  <c r="BF492" i="11"/>
  <c r="BH492" i="11"/>
  <c r="BJ492" i="11"/>
  <c r="Z492" i="11" s="1"/>
  <c r="K494" i="11"/>
  <c r="Z494" i="11"/>
  <c r="AB494" i="11"/>
  <c r="AC494" i="11"/>
  <c r="AF494" i="11"/>
  <c r="AG494" i="11"/>
  <c r="AH494" i="11"/>
  <c r="AJ494" i="11"/>
  <c r="AL494" i="11"/>
  <c r="AO494" i="11"/>
  <c r="AP494" i="11"/>
  <c r="BD494" i="11"/>
  <c r="BF494" i="11"/>
  <c r="BJ494" i="11"/>
  <c r="K495" i="11"/>
  <c r="Z495" i="11"/>
  <c r="AB495" i="11"/>
  <c r="AC495" i="11"/>
  <c r="AF495" i="11"/>
  <c r="AG495" i="11"/>
  <c r="AH495" i="11"/>
  <c r="AJ495" i="11"/>
  <c r="AK495" i="11"/>
  <c r="AL495" i="11"/>
  <c r="AO495" i="11"/>
  <c r="I495" i="11" s="1"/>
  <c r="AP495" i="11"/>
  <c r="AX495" i="11" s="1"/>
  <c r="BD495" i="11"/>
  <c r="BF495" i="11"/>
  <c r="BJ495" i="11"/>
  <c r="K496" i="11"/>
  <c r="Z496" i="11"/>
  <c r="AB496" i="11"/>
  <c r="AC496" i="11"/>
  <c r="AF496" i="11"/>
  <c r="AG496" i="11"/>
  <c r="AH496" i="11"/>
  <c r="AJ496" i="11"/>
  <c r="AK496" i="11"/>
  <c r="AL496" i="11"/>
  <c r="AO496" i="11"/>
  <c r="AW496" i="11" s="1"/>
  <c r="AP496" i="11"/>
  <c r="BD496" i="11"/>
  <c r="BF496" i="11"/>
  <c r="BH496" i="11"/>
  <c r="AD496" i="11" s="1"/>
  <c r="BJ496" i="11"/>
  <c r="K497" i="11"/>
  <c r="AK497" i="11" s="1"/>
  <c r="Z497" i="11"/>
  <c r="AB497" i="11"/>
  <c r="AC497" i="11"/>
  <c r="AF497" i="11"/>
  <c r="AG497" i="11"/>
  <c r="AH497" i="11"/>
  <c r="AJ497" i="11"/>
  <c r="AL497" i="11"/>
  <c r="AO497" i="11"/>
  <c r="I497" i="11" s="1"/>
  <c r="AP497" i="11"/>
  <c r="BI497" i="11" s="1"/>
  <c r="AE497" i="11" s="1"/>
  <c r="BD497" i="11"/>
  <c r="BF497" i="11"/>
  <c r="BH497" i="11"/>
  <c r="AD497" i="11" s="1"/>
  <c r="BJ497" i="11"/>
  <c r="K498" i="11"/>
  <c r="AK498" i="11" s="1"/>
  <c r="Z498" i="11"/>
  <c r="AB498" i="11"/>
  <c r="AC498" i="11"/>
  <c r="AF498" i="11"/>
  <c r="AG498" i="11"/>
  <c r="AH498" i="11"/>
  <c r="AJ498" i="11"/>
  <c r="AL498" i="11"/>
  <c r="AO498" i="11"/>
  <c r="AP498" i="11"/>
  <c r="J498" i="11" s="1"/>
  <c r="BD498" i="11"/>
  <c r="BF498" i="11"/>
  <c r="BH498" i="11"/>
  <c r="AD498" i="11" s="1"/>
  <c r="BJ498" i="11"/>
  <c r="K499" i="11"/>
  <c r="Z499" i="11"/>
  <c r="AB499" i="11"/>
  <c r="AC499" i="11"/>
  <c r="AF499" i="11"/>
  <c r="AG499" i="11"/>
  <c r="AH499" i="11"/>
  <c r="AJ499" i="11"/>
  <c r="AK499" i="11"/>
  <c r="AL499" i="11"/>
  <c r="AO499" i="11"/>
  <c r="I499" i="11" s="1"/>
  <c r="AP499" i="11"/>
  <c r="AX499" i="11" s="1"/>
  <c r="BD499" i="11"/>
  <c r="BF499" i="11"/>
  <c r="BH499" i="11"/>
  <c r="AD499" i="11" s="1"/>
  <c r="BJ499" i="11"/>
  <c r="K500" i="11"/>
  <c r="AK500" i="11" s="1"/>
  <c r="AB500" i="11"/>
  <c r="AC500" i="11"/>
  <c r="AD500" i="11"/>
  <c r="AE500" i="11"/>
  <c r="AF500" i="11"/>
  <c r="AG500" i="11"/>
  <c r="AH500" i="11"/>
  <c r="AJ500" i="11"/>
  <c r="AL500" i="11"/>
  <c r="AO500" i="11"/>
  <c r="AW500" i="11" s="1"/>
  <c r="AP500" i="11"/>
  <c r="J500" i="11" s="1"/>
  <c r="BD500" i="11"/>
  <c r="BF500" i="11"/>
  <c r="BH500" i="11"/>
  <c r="BI500" i="11"/>
  <c r="BJ500" i="11"/>
  <c r="Z500" i="11" s="1"/>
  <c r="K502" i="11"/>
  <c r="Z502" i="11"/>
  <c r="AB502" i="11"/>
  <c r="AC502" i="11"/>
  <c r="AF502" i="11"/>
  <c r="AG502" i="11"/>
  <c r="AH502" i="11"/>
  <c r="AJ502" i="11"/>
  <c r="AK502" i="11"/>
  <c r="AL502" i="11"/>
  <c r="AO502" i="11"/>
  <c r="I502" i="11" s="1"/>
  <c r="AP502" i="11"/>
  <c r="BD502" i="11"/>
  <c r="BF502" i="11"/>
  <c r="BH502" i="11"/>
  <c r="AD502" i="11" s="1"/>
  <c r="BJ502" i="11"/>
  <c r="K503" i="11"/>
  <c r="Z503" i="11"/>
  <c r="AB503" i="11"/>
  <c r="AC503" i="11"/>
  <c r="AF503" i="11"/>
  <c r="AG503" i="11"/>
  <c r="AH503" i="11"/>
  <c r="AJ503" i="11"/>
  <c r="AK503" i="11"/>
  <c r="AL503" i="11"/>
  <c r="AO503" i="11"/>
  <c r="AP503" i="11"/>
  <c r="J503" i="11" s="1"/>
  <c r="BD503" i="11"/>
  <c r="BF503" i="11"/>
  <c r="BJ503" i="11"/>
  <c r="K504" i="11"/>
  <c r="AK504" i="11" s="1"/>
  <c r="Z504" i="11"/>
  <c r="AB504" i="11"/>
  <c r="AC504" i="11"/>
  <c r="AF504" i="11"/>
  <c r="AG504" i="11"/>
  <c r="AH504" i="11"/>
  <c r="AJ504" i="11"/>
  <c r="AL504" i="11"/>
  <c r="AO504" i="11"/>
  <c r="I504" i="11" s="1"/>
  <c r="AP504" i="11"/>
  <c r="BI504" i="11" s="1"/>
  <c r="AE504" i="11" s="1"/>
  <c r="BD504" i="11"/>
  <c r="BF504" i="11"/>
  <c r="BH504" i="11"/>
  <c r="AD504" i="11" s="1"/>
  <c r="BJ504" i="11"/>
  <c r="K505" i="11"/>
  <c r="AK505" i="11" s="1"/>
  <c r="Z505" i="11"/>
  <c r="AB505" i="11"/>
  <c r="AC505" i="11"/>
  <c r="AF505" i="11"/>
  <c r="AG505" i="11"/>
  <c r="AH505" i="11"/>
  <c r="AJ505" i="11"/>
  <c r="AL505" i="11"/>
  <c r="AO505" i="11"/>
  <c r="AP505" i="11"/>
  <c r="BI505" i="11" s="1"/>
  <c r="AE505" i="11" s="1"/>
  <c r="BD505" i="11"/>
  <c r="BF505" i="11"/>
  <c r="BJ505" i="11"/>
  <c r="K506" i="11"/>
  <c r="Z506" i="11"/>
  <c r="AB506" i="11"/>
  <c r="AC506" i="11"/>
  <c r="AF506" i="11"/>
  <c r="AG506" i="11"/>
  <c r="AH506" i="11"/>
  <c r="AJ506" i="11"/>
  <c r="AK506" i="11"/>
  <c r="AL506" i="11"/>
  <c r="AO506" i="11"/>
  <c r="AP506" i="11"/>
  <c r="AX506" i="11" s="1"/>
  <c r="BD506" i="11"/>
  <c r="BF506" i="11"/>
  <c r="BJ506" i="11"/>
  <c r="K508" i="11"/>
  <c r="Z508" i="11"/>
  <c r="AB508" i="11"/>
  <c r="AC508" i="11"/>
  <c r="AD508" i="11"/>
  <c r="AE508" i="11"/>
  <c r="AH508" i="11"/>
  <c r="AJ508" i="11"/>
  <c r="AL508" i="11"/>
  <c r="AO508" i="11"/>
  <c r="BH508" i="11" s="1"/>
  <c r="AF508" i="11" s="1"/>
  <c r="AP508" i="11"/>
  <c r="BI508" i="11" s="1"/>
  <c r="AG508" i="11" s="1"/>
  <c r="BD508" i="11"/>
  <c r="BF508" i="11"/>
  <c r="BJ508" i="11"/>
  <c r="K509" i="11"/>
  <c r="Z509" i="11"/>
  <c r="AB509" i="11"/>
  <c r="AC509" i="11"/>
  <c r="AD509" i="11"/>
  <c r="AE509" i="11"/>
  <c r="AH509" i="11"/>
  <c r="AJ509" i="11"/>
  <c r="AK509" i="11"/>
  <c r="AL509" i="11"/>
  <c r="AO509" i="11"/>
  <c r="AP509" i="11"/>
  <c r="J509" i="11" s="1"/>
  <c r="BD509" i="11"/>
  <c r="BF509" i="11"/>
  <c r="BJ509" i="11"/>
  <c r="K510" i="11"/>
  <c r="AK510" i="11" s="1"/>
  <c r="Z510" i="11"/>
  <c r="AB510" i="11"/>
  <c r="AC510" i="11"/>
  <c r="AD510" i="11"/>
  <c r="AE510" i="11"/>
  <c r="AH510" i="11"/>
  <c r="AJ510" i="11"/>
  <c r="AL510" i="11"/>
  <c r="AO510" i="11"/>
  <c r="AW510" i="11" s="1"/>
  <c r="AP510" i="11"/>
  <c r="BD510" i="11"/>
  <c r="BF510" i="11"/>
  <c r="BH510" i="11"/>
  <c r="AF510" i="11" s="1"/>
  <c r="BJ510" i="11"/>
  <c r="K511" i="11"/>
  <c r="AK511" i="11" s="1"/>
  <c r="Z511" i="11"/>
  <c r="AB511" i="11"/>
  <c r="AC511" i="11"/>
  <c r="AD511" i="11"/>
  <c r="AE511" i="11"/>
  <c r="AH511" i="11"/>
  <c r="AJ511" i="11"/>
  <c r="AL511" i="11"/>
  <c r="AO511" i="11"/>
  <c r="I511" i="11" s="1"/>
  <c r="AP511" i="11"/>
  <c r="BD511" i="11"/>
  <c r="BF511" i="11"/>
  <c r="BH511" i="11"/>
  <c r="AF511" i="11" s="1"/>
  <c r="BI511" i="11"/>
  <c r="AG511" i="11" s="1"/>
  <c r="BJ511" i="11"/>
  <c r="K512" i="11"/>
  <c r="AK512" i="11" s="1"/>
  <c r="Z512" i="11"/>
  <c r="AB512" i="11"/>
  <c r="AC512" i="11"/>
  <c r="AD512" i="11"/>
  <c r="AE512" i="11"/>
  <c r="AH512" i="11"/>
  <c r="AJ512" i="11"/>
  <c r="AL512" i="11"/>
  <c r="AO512" i="11"/>
  <c r="BH512" i="11" s="1"/>
  <c r="AF512" i="11" s="1"/>
  <c r="AP512" i="11"/>
  <c r="BD512" i="11"/>
  <c r="BF512" i="11"/>
  <c r="BJ512" i="11"/>
  <c r="K513" i="11"/>
  <c r="AK513" i="11" s="1"/>
  <c r="Z513" i="11"/>
  <c r="AD513" i="11"/>
  <c r="AE513" i="11"/>
  <c r="AF513" i="11"/>
  <c r="AG513" i="11"/>
  <c r="AH513" i="11"/>
  <c r="AJ513" i="11"/>
  <c r="AL513" i="11"/>
  <c r="AO513" i="11"/>
  <c r="AP513" i="11"/>
  <c r="BD513" i="11"/>
  <c r="BF513" i="11"/>
  <c r="BJ513" i="11"/>
  <c r="K514" i="11"/>
  <c r="Z514" i="11"/>
  <c r="AD514" i="11"/>
  <c r="AE514" i="11"/>
  <c r="AF514" i="11"/>
  <c r="AG514" i="11"/>
  <c r="AH514" i="11"/>
  <c r="AJ514" i="11"/>
  <c r="AK514" i="11"/>
  <c r="AL514" i="11"/>
  <c r="AO514" i="11"/>
  <c r="I514" i="11" s="1"/>
  <c r="AP514" i="11"/>
  <c r="J514" i="11" s="1"/>
  <c r="BD514" i="11"/>
  <c r="BF514" i="11"/>
  <c r="BJ514" i="11"/>
  <c r="K515" i="11"/>
  <c r="AK515" i="11" s="1"/>
  <c r="Z515" i="11"/>
  <c r="AD515" i="11"/>
  <c r="AE515" i="11"/>
  <c r="AF515" i="11"/>
  <c r="AG515" i="11"/>
  <c r="AH515" i="11"/>
  <c r="AJ515" i="11"/>
  <c r="AL515" i="11"/>
  <c r="AO515" i="11"/>
  <c r="I515" i="11" s="1"/>
  <c r="AP515" i="11"/>
  <c r="BI515" i="11" s="1"/>
  <c r="AC515" i="11" s="1"/>
  <c r="BD515" i="11"/>
  <c r="BF515" i="11"/>
  <c r="BH515" i="11"/>
  <c r="AB515" i="11" s="1"/>
  <c r="BJ515" i="11"/>
  <c r="K516" i="11"/>
  <c r="AK516" i="11" s="1"/>
  <c r="Z516" i="11"/>
  <c r="AD516" i="11"/>
  <c r="AE516" i="11"/>
  <c r="AF516" i="11"/>
  <c r="AG516" i="11"/>
  <c r="AH516" i="11"/>
  <c r="AJ516" i="11"/>
  <c r="AL516" i="11"/>
  <c r="AO516" i="11"/>
  <c r="BH516" i="11" s="1"/>
  <c r="AB516" i="11" s="1"/>
  <c r="AP516" i="11"/>
  <c r="J516" i="11" s="1"/>
  <c r="BD516" i="11"/>
  <c r="BF516" i="11"/>
  <c r="BJ516" i="11"/>
  <c r="K517" i="11"/>
  <c r="AK517" i="11" s="1"/>
  <c r="Z517" i="11"/>
  <c r="AD517" i="11"/>
  <c r="AE517" i="11"/>
  <c r="AF517" i="11"/>
  <c r="AG517" i="11"/>
  <c r="AH517" i="11"/>
  <c r="AJ517" i="11"/>
  <c r="AL517" i="11"/>
  <c r="AO517" i="11"/>
  <c r="AW517" i="11" s="1"/>
  <c r="AP517" i="11"/>
  <c r="J517" i="11" s="1"/>
  <c r="BD517" i="11"/>
  <c r="BF517" i="11"/>
  <c r="BJ517" i="11"/>
  <c r="K518" i="11"/>
  <c r="AK518" i="11" s="1"/>
  <c r="Z518" i="11"/>
  <c r="AD518" i="11"/>
  <c r="AE518" i="11"/>
  <c r="AF518" i="11"/>
  <c r="AG518" i="11"/>
  <c r="AH518" i="11"/>
  <c r="AJ518" i="11"/>
  <c r="AL518" i="11"/>
  <c r="AO518" i="11"/>
  <c r="AW518" i="11" s="1"/>
  <c r="AP518" i="11"/>
  <c r="BD518" i="11"/>
  <c r="BF518" i="11"/>
  <c r="BH518" i="11"/>
  <c r="AB518" i="11" s="1"/>
  <c r="BJ518" i="11"/>
  <c r="K519" i="11"/>
  <c r="AK519" i="11" s="1"/>
  <c r="Z519" i="11"/>
  <c r="AD519" i="11"/>
  <c r="AE519" i="11"/>
  <c r="AF519" i="11"/>
  <c r="AG519" i="11"/>
  <c r="AH519" i="11"/>
  <c r="AJ519" i="11"/>
  <c r="AL519" i="11"/>
  <c r="AO519" i="11"/>
  <c r="I519" i="11" s="1"/>
  <c r="AP519" i="11"/>
  <c r="BD519" i="11"/>
  <c r="BF519" i="11"/>
  <c r="BH519" i="11"/>
  <c r="AB519" i="11" s="1"/>
  <c r="BI519" i="11"/>
  <c r="AC519" i="11" s="1"/>
  <c r="BJ519" i="11"/>
  <c r="K520" i="11"/>
  <c r="AK520" i="11" s="1"/>
  <c r="Z520" i="11"/>
  <c r="AD520" i="11"/>
  <c r="AE520" i="11"/>
  <c r="AF520" i="11"/>
  <c r="AG520" i="11"/>
  <c r="AH520" i="11"/>
  <c r="AJ520" i="11"/>
  <c r="AL520" i="11"/>
  <c r="AO520" i="11"/>
  <c r="BH520" i="11" s="1"/>
  <c r="AB520" i="11" s="1"/>
  <c r="AP520" i="11"/>
  <c r="BI520" i="11" s="1"/>
  <c r="AC520" i="11" s="1"/>
  <c r="BD520" i="11"/>
  <c r="BF520" i="11"/>
  <c r="BJ520" i="11"/>
  <c r="K521" i="11"/>
  <c r="AK521" i="11" s="1"/>
  <c r="Z521" i="11"/>
  <c r="AD521" i="11"/>
  <c r="AE521" i="11"/>
  <c r="AF521" i="11"/>
  <c r="AG521" i="11"/>
  <c r="AH521" i="11"/>
  <c r="AJ521" i="11"/>
  <c r="AL521" i="11"/>
  <c r="AO521" i="11"/>
  <c r="AP521" i="11"/>
  <c r="AX521" i="11" s="1"/>
  <c r="BD521" i="11"/>
  <c r="BF521" i="11"/>
  <c r="BJ521" i="11"/>
  <c r="K522" i="11"/>
  <c r="Z522" i="11"/>
  <c r="AD522" i="11"/>
  <c r="AE522" i="11"/>
  <c r="AF522" i="11"/>
  <c r="AG522" i="11"/>
  <c r="AH522" i="11"/>
  <c r="AJ522" i="11"/>
  <c r="AK522" i="11"/>
  <c r="AL522" i="11"/>
  <c r="AO522" i="11"/>
  <c r="I522" i="11" s="1"/>
  <c r="AP522" i="11"/>
  <c r="BI522" i="11" s="1"/>
  <c r="AC522" i="11" s="1"/>
  <c r="BD522" i="11"/>
  <c r="BF522" i="11"/>
  <c r="BJ522" i="11"/>
  <c r="K523" i="11"/>
  <c r="AK523" i="11" s="1"/>
  <c r="Z523" i="11"/>
  <c r="AD523" i="11"/>
  <c r="AE523" i="11"/>
  <c r="AF523" i="11"/>
  <c r="AG523" i="11"/>
  <c r="AH523" i="11"/>
  <c r="AJ523" i="11"/>
  <c r="AL523" i="11"/>
  <c r="AO523" i="11"/>
  <c r="AP523" i="11"/>
  <c r="J523" i="11" s="1"/>
  <c r="BD523" i="11"/>
  <c r="BF523" i="11"/>
  <c r="BH523" i="11"/>
  <c r="AB523" i="11" s="1"/>
  <c r="BJ523" i="11"/>
  <c r="K524" i="11"/>
  <c r="AK524" i="11" s="1"/>
  <c r="Z524" i="11"/>
  <c r="AD524" i="11"/>
  <c r="AE524" i="11"/>
  <c r="AF524" i="11"/>
  <c r="AG524" i="11"/>
  <c r="AH524" i="11"/>
  <c r="AJ524" i="11"/>
  <c r="AL524" i="11"/>
  <c r="AO524" i="11"/>
  <c r="I524" i="11" s="1"/>
  <c r="AP524" i="11"/>
  <c r="AX524" i="11" s="1"/>
  <c r="BD524" i="11"/>
  <c r="BF524" i="11"/>
  <c r="BH524" i="11"/>
  <c r="AB524" i="11" s="1"/>
  <c r="BJ524" i="11"/>
  <c r="K525" i="11"/>
  <c r="Z525" i="11"/>
  <c r="AD525" i="11"/>
  <c r="AE525" i="11"/>
  <c r="AF525" i="11"/>
  <c r="AG525" i="11"/>
  <c r="AH525" i="11"/>
  <c r="AJ525" i="11"/>
  <c r="AK525" i="11"/>
  <c r="AL525" i="11"/>
  <c r="AO525" i="11"/>
  <c r="BH525" i="11" s="1"/>
  <c r="AB525" i="11" s="1"/>
  <c r="AP525" i="11"/>
  <c r="AX525" i="11" s="1"/>
  <c r="BD525" i="11"/>
  <c r="BF525" i="11"/>
  <c r="BJ525" i="11"/>
  <c r="K526" i="11"/>
  <c r="AK526" i="11" s="1"/>
  <c r="Z526" i="11"/>
  <c r="AD526" i="11"/>
  <c r="AE526" i="11"/>
  <c r="AF526" i="11"/>
  <c r="AG526" i="11"/>
  <c r="AH526" i="11"/>
  <c r="AJ526" i="11"/>
  <c r="AL526" i="11"/>
  <c r="AO526" i="11"/>
  <c r="AW526" i="11" s="1"/>
  <c r="AP526" i="11"/>
  <c r="BI526" i="11" s="1"/>
  <c r="AC526" i="11" s="1"/>
  <c r="BD526" i="11"/>
  <c r="BF526" i="11"/>
  <c r="BH526" i="11"/>
  <c r="AB526" i="11" s="1"/>
  <c r="BJ526" i="11"/>
  <c r="K527" i="11"/>
  <c r="AK527" i="11" s="1"/>
  <c r="Z527" i="11"/>
  <c r="AD527" i="11"/>
  <c r="AE527" i="11"/>
  <c r="AF527" i="11"/>
  <c r="AG527" i="11"/>
  <c r="AH527" i="11"/>
  <c r="AJ527" i="11"/>
  <c r="AL527" i="11"/>
  <c r="AO527" i="11"/>
  <c r="AP527" i="11"/>
  <c r="J527" i="11" s="1"/>
  <c r="BD527" i="11"/>
  <c r="BF527" i="11"/>
  <c r="BH527" i="11"/>
  <c r="AB527" i="11" s="1"/>
  <c r="BJ527" i="11"/>
  <c r="K528" i="11"/>
  <c r="AK528" i="11" s="1"/>
  <c r="Z528" i="11"/>
  <c r="AD528" i="11"/>
  <c r="AE528" i="11"/>
  <c r="AF528" i="11"/>
  <c r="AG528" i="11"/>
  <c r="AH528" i="11"/>
  <c r="AJ528" i="11"/>
  <c r="AL528" i="11"/>
  <c r="AO528" i="11"/>
  <c r="AP528" i="11"/>
  <c r="J528" i="11" s="1"/>
  <c r="BD528" i="11"/>
  <c r="BF528" i="11"/>
  <c r="BH528" i="11"/>
  <c r="AB528" i="11" s="1"/>
  <c r="BJ528" i="11"/>
  <c r="K529" i="11"/>
  <c r="AK529" i="11" s="1"/>
  <c r="Z529" i="11"/>
  <c r="AD529" i="11"/>
  <c r="AE529" i="11"/>
  <c r="AF529" i="11"/>
  <c r="AG529" i="11"/>
  <c r="AH529" i="11"/>
  <c r="AJ529" i="11"/>
  <c r="AL529" i="11"/>
  <c r="AO529" i="11"/>
  <c r="AP529" i="11"/>
  <c r="AX529" i="11" s="1"/>
  <c r="BD529" i="11"/>
  <c r="BF529" i="11"/>
  <c r="BJ529" i="11"/>
  <c r="K530" i="11"/>
  <c r="Z530" i="11"/>
  <c r="AD530" i="11"/>
  <c r="AE530" i="11"/>
  <c r="AF530" i="11"/>
  <c r="AG530" i="11"/>
  <c r="AH530" i="11"/>
  <c r="AJ530" i="11"/>
  <c r="AK530" i="11"/>
  <c r="AL530" i="11"/>
  <c r="AO530" i="11"/>
  <c r="AW530" i="11" s="1"/>
  <c r="AP530" i="11"/>
  <c r="BI530" i="11" s="1"/>
  <c r="AC530" i="11" s="1"/>
  <c r="BD530" i="11"/>
  <c r="BF530" i="11"/>
  <c r="BJ530" i="11"/>
  <c r="K531" i="11"/>
  <c r="AK531" i="11" s="1"/>
  <c r="Z531" i="11"/>
  <c r="AD531" i="11"/>
  <c r="AE531" i="11"/>
  <c r="AF531" i="11"/>
  <c r="AG531" i="11"/>
  <c r="AH531" i="11"/>
  <c r="AJ531" i="11"/>
  <c r="AL531" i="11"/>
  <c r="AO531" i="11"/>
  <c r="AP531" i="11"/>
  <c r="J531" i="11" s="1"/>
  <c r="BD531" i="11"/>
  <c r="BF531" i="11"/>
  <c r="BH531" i="11"/>
  <c r="AB531" i="11" s="1"/>
  <c r="BJ531" i="11"/>
  <c r="K532" i="11"/>
  <c r="AK532" i="11" s="1"/>
  <c r="Z532" i="11"/>
  <c r="AD532" i="11"/>
  <c r="AE532" i="11"/>
  <c r="AF532" i="11"/>
  <c r="AG532" i="11"/>
  <c r="AH532" i="11"/>
  <c r="AJ532" i="11"/>
  <c r="AL532" i="11"/>
  <c r="AO532" i="11"/>
  <c r="AP532" i="11"/>
  <c r="J532" i="11" s="1"/>
  <c r="BD532" i="11"/>
  <c r="BF532" i="11"/>
  <c r="BJ532" i="11"/>
  <c r="K533" i="11"/>
  <c r="Z533" i="11"/>
  <c r="AD533" i="11"/>
  <c r="AE533" i="11"/>
  <c r="AF533" i="11"/>
  <c r="AG533" i="11"/>
  <c r="AH533" i="11"/>
  <c r="AJ533" i="11"/>
  <c r="AK533" i="11"/>
  <c r="AL533" i="11"/>
  <c r="AO533" i="11"/>
  <c r="AP533" i="11"/>
  <c r="BD533" i="11"/>
  <c r="BF533" i="11"/>
  <c r="BH533" i="11"/>
  <c r="AB533" i="11" s="1"/>
  <c r="BJ533" i="11"/>
  <c r="K534" i="11"/>
  <c r="Z534" i="11"/>
  <c r="AD534" i="11"/>
  <c r="AE534" i="11"/>
  <c r="AF534" i="11"/>
  <c r="AG534" i="11"/>
  <c r="AH534" i="11"/>
  <c r="AJ534" i="11"/>
  <c r="AK534" i="11"/>
  <c r="AL534" i="11"/>
  <c r="AO534" i="11"/>
  <c r="I534" i="11" s="1"/>
  <c r="AP534" i="11"/>
  <c r="BI534" i="11" s="1"/>
  <c r="AC534" i="11" s="1"/>
  <c r="BD534" i="11"/>
  <c r="BF534" i="11"/>
  <c r="BJ534" i="11"/>
  <c r="K535" i="11"/>
  <c r="AK535" i="11" s="1"/>
  <c r="Z535" i="11"/>
  <c r="AD535" i="11"/>
  <c r="AE535" i="11"/>
  <c r="AF535" i="11"/>
  <c r="AG535" i="11"/>
  <c r="AH535" i="11"/>
  <c r="AJ535" i="11"/>
  <c r="AL535" i="11"/>
  <c r="AO535" i="11"/>
  <c r="BH535" i="11" s="1"/>
  <c r="AB535" i="11" s="1"/>
  <c r="AP535" i="11"/>
  <c r="J535" i="11" s="1"/>
  <c r="BD535" i="11"/>
  <c r="BF535" i="11"/>
  <c r="BJ535" i="11"/>
  <c r="K536" i="11"/>
  <c r="AK536" i="11" s="1"/>
  <c r="Z536" i="11"/>
  <c r="AD536" i="11"/>
  <c r="AE536" i="11"/>
  <c r="AF536" i="11"/>
  <c r="AG536" i="11"/>
  <c r="AH536" i="11"/>
  <c r="AJ536" i="11"/>
  <c r="AL536" i="11"/>
  <c r="AO536" i="11"/>
  <c r="I536" i="11" s="1"/>
  <c r="AP536" i="11"/>
  <c r="J536" i="11" s="1"/>
  <c r="BD536" i="11"/>
  <c r="BF536" i="11"/>
  <c r="BH536" i="11"/>
  <c r="AB536" i="11" s="1"/>
  <c r="BJ536" i="11"/>
  <c r="K537" i="11"/>
  <c r="Z537" i="11"/>
  <c r="AD537" i="11"/>
  <c r="AE537" i="11"/>
  <c r="AF537" i="11"/>
  <c r="AG537" i="11"/>
  <c r="AH537" i="11"/>
  <c r="AJ537" i="11"/>
  <c r="AK537" i="11"/>
  <c r="AL537" i="11"/>
  <c r="AO537" i="11"/>
  <c r="I537" i="11" s="1"/>
  <c r="AP537" i="11"/>
  <c r="AX537" i="11" s="1"/>
  <c r="BD537" i="11"/>
  <c r="BF537" i="11"/>
  <c r="BJ537" i="11"/>
  <c r="K539" i="11"/>
  <c r="Z539" i="11"/>
  <c r="AB539" i="11"/>
  <c r="AC539" i="11"/>
  <c r="AD539" i="11"/>
  <c r="AE539" i="11"/>
  <c r="AH539" i="11"/>
  <c r="AJ539" i="11"/>
  <c r="AL539" i="11"/>
  <c r="AO539" i="11"/>
  <c r="I539" i="11" s="1"/>
  <c r="AP539" i="11"/>
  <c r="J539" i="11" s="1"/>
  <c r="AX539" i="11"/>
  <c r="BD539" i="11"/>
  <c r="BF539" i="11"/>
  <c r="BI539" i="11"/>
  <c r="AG539" i="11" s="1"/>
  <c r="BJ539" i="11"/>
  <c r="K540" i="11"/>
  <c r="Z540" i="11"/>
  <c r="AB540" i="11"/>
  <c r="AC540" i="11"/>
  <c r="AD540" i="11"/>
  <c r="AE540" i="11"/>
  <c r="AH540" i="11"/>
  <c r="AJ540" i="11"/>
  <c r="AK540" i="11"/>
  <c r="AL540" i="11"/>
  <c r="AO540" i="11"/>
  <c r="AP540" i="11"/>
  <c r="BD540" i="11"/>
  <c r="BF540" i="11"/>
  <c r="BH540" i="11"/>
  <c r="AF540" i="11" s="1"/>
  <c r="BJ540" i="11"/>
  <c r="K542" i="11"/>
  <c r="Z542" i="11"/>
  <c r="AD542" i="11"/>
  <c r="AE542" i="11"/>
  <c r="AF542" i="11"/>
  <c r="AG542" i="11"/>
  <c r="AH542" i="11"/>
  <c r="AJ542" i="11"/>
  <c r="AL542" i="11"/>
  <c r="AO542" i="11"/>
  <c r="AP542" i="11"/>
  <c r="J542" i="11" s="1"/>
  <c r="AX542" i="11"/>
  <c r="BD542" i="11"/>
  <c r="BF542" i="11"/>
  <c r="BJ542" i="11"/>
  <c r="K543" i="11"/>
  <c r="Z543" i="11"/>
  <c r="AD543" i="11"/>
  <c r="AE543" i="11"/>
  <c r="AF543" i="11"/>
  <c r="AG543" i="11"/>
  <c r="AH543" i="11"/>
  <c r="AJ543" i="11"/>
  <c r="AK543" i="11"/>
  <c r="AL543" i="11"/>
  <c r="AO543" i="11"/>
  <c r="I543" i="11" s="1"/>
  <c r="AP543" i="11"/>
  <c r="AX543" i="11" s="1"/>
  <c r="BD543" i="11"/>
  <c r="BF543" i="11"/>
  <c r="BJ543" i="11"/>
  <c r="K544" i="11"/>
  <c r="Z544" i="11"/>
  <c r="AD544" i="11"/>
  <c r="AE544" i="11"/>
  <c r="AF544" i="11"/>
  <c r="AG544" i="11"/>
  <c r="AH544" i="11"/>
  <c r="AJ544" i="11"/>
  <c r="AK544" i="11"/>
  <c r="AL544" i="11"/>
  <c r="AO544" i="11"/>
  <c r="AW544" i="11" s="1"/>
  <c r="AP544" i="11"/>
  <c r="BI544" i="11" s="1"/>
  <c r="AC544" i="11" s="1"/>
  <c r="BD544" i="11"/>
  <c r="BF544" i="11"/>
  <c r="BJ544" i="11"/>
  <c r="K545" i="11"/>
  <c r="AK545" i="11" s="1"/>
  <c r="Z545" i="11"/>
  <c r="AD545" i="11"/>
  <c r="AE545" i="11"/>
  <c r="AF545" i="11"/>
  <c r="AG545" i="11"/>
  <c r="AH545" i="11"/>
  <c r="AJ545" i="11"/>
  <c r="AL545" i="11"/>
  <c r="AO545" i="11"/>
  <c r="BH545" i="11" s="1"/>
  <c r="AB545" i="11" s="1"/>
  <c r="AP545" i="11"/>
  <c r="J545" i="11" s="1"/>
  <c r="BD545" i="11"/>
  <c r="BF545" i="11"/>
  <c r="BJ545" i="11"/>
  <c r="K546" i="11"/>
  <c r="AK546" i="11" s="1"/>
  <c r="Z546" i="11"/>
  <c r="AD546" i="11"/>
  <c r="AE546" i="11"/>
  <c r="AF546" i="11"/>
  <c r="AG546" i="11"/>
  <c r="AH546" i="11"/>
  <c r="AJ546" i="11"/>
  <c r="AL546" i="11"/>
  <c r="AO546" i="11"/>
  <c r="I546" i="11" s="1"/>
  <c r="AP546" i="11"/>
  <c r="AX546" i="11" s="1"/>
  <c r="BD546" i="11"/>
  <c r="BF546" i="11"/>
  <c r="BJ546" i="11"/>
  <c r="K547" i="11"/>
  <c r="AK547" i="11" s="1"/>
  <c r="Z547" i="11"/>
  <c r="AD547" i="11"/>
  <c r="AE547" i="11"/>
  <c r="AF547" i="11"/>
  <c r="AG547" i="11"/>
  <c r="AH547" i="11"/>
  <c r="AJ547" i="11"/>
  <c r="AL547" i="11"/>
  <c r="AO547" i="11"/>
  <c r="AP547" i="11"/>
  <c r="AX547" i="11" s="1"/>
  <c r="BD547" i="11"/>
  <c r="BF547" i="11"/>
  <c r="BJ547" i="11"/>
  <c r="K548" i="11"/>
  <c r="AK548" i="11" s="1"/>
  <c r="Z548" i="11"/>
  <c r="AD548" i="11"/>
  <c r="AE548" i="11"/>
  <c r="AF548" i="11"/>
  <c r="AG548" i="11"/>
  <c r="AH548" i="11"/>
  <c r="AJ548" i="11"/>
  <c r="AL548" i="11"/>
  <c r="AO548" i="11"/>
  <c r="I548" i="11" s="1"/>
  <c r="AP548" i="11"/>
  <c r="BD548" i="11"/>
  <c r="BF548" i="11"/>
  <c r="BH548" i="11"/>
  <c r="AB548" i="11" s="1"/>
  <c r="BJ548" i="11"/>
  <c r="K549" i="11"/>
  <c r="AK549" i="11" s="1"/>
  <c r="Z549" i="11"/>
  <c r="AD549" i="11"/>
  <c r="AE549" i="11"/>
  <c r="AF549" i="11"/>
  <c r="AG549" i="11"/>
  <c r="AH549" i="11"/>
  <c r="AJ549" i="11"/>
  <c r="AL549" i="11"/>
  <c r="AO549" i="11"/>
  <c r="BH549" i="11" s="1"/>
  <c r="AB549" i="11" s="1"/>
  <c r="AP549" i="11"/>
  <c r="J549" i="11" s="1"/>
  <c r="BD549" i="11"/>
  <c r="BF549" i="11"/>
  <c r="BJ549" i="11"/>
  <c r="K550" i="11"/>
  <c r="AK550" i="11" s="1"/>
  <c r="Z550" i="11"/>
  <c r="AD550" i="11"/>
  <c r="AE550" i="11"/>
  <c r="AF550" i="11"/>
  <c r="AG550" i="11"/>
  <c r="AH550" i="11"/>
  <c r="AJ550" i="11"/>
  <c r="AL550" i="11"/>
  <c r="AO550" i="11"/>
  <c r="I550" i="11" s="1"/>
  <c r="AP550" i="11"/>
  <c r="J550" i="11" s="1"/>
  <c r="BD550" i="11"/>
  <c r="BF550" i="11"/>
  <c r="BJ550" i="11"/>
  <c r="K551" i="11"/>
  <c r="Z551" i="11"/>
  <c r="AD551" i="11"/>
  <c r="AE551" i="11"/>
  <c r="AF551" i="11"/>
  <c r="AG551" i="11"/>
  <c r="AH551" i="11"/>
  <c r="AJ551" i="11"/>
  <c r="AK551" i="11"/>
  <c r="AL551" i="11"/>
  <c r="AO551" i="11"/>
  <c r="AP551" i="11"/>
  <c r="BD551" i="11"/>
  <c r="BF551" i="11"/>
  <c r="BJ551" i="11"/>
  <c r="K552" i="11"/>
  <c r="AK552" i="11" s="1"/>
  <c r="Z552" i="11"/>
  <c r="AD552" i="11"/>
  <c r="AE552" i="11"/>
  <c r="AF552" i="11"/>
  <c r="AG552" i="11"/>
  <c r="AH552" i="11"/>
  <c r="AJ552" i="11"/>
  <c r="AL552" i="11"/>
  <c r="AO552" i="11"/>
  <c r="I552" i="11" s="1"/>
  <c r="AP552" i="11"/>
  <c r="BI552" i="11" s="1"/>
  <c r="AC552" i="11" s="1"/>
  <c r="BD552" i="11"/>
  <c r="BF552" i="11"/>
  <c r="BJ552" i="11"/>
  <c r="K553" i="11"/>
  <c r="AK553" i="11" s="1"/>
  <c r="Z553" i="11"/>
  <c r="AD553" i="11"/>
  <c r="AE553" i="11"/>
  <c r="AF553" i="11"/>
  <c r="AG553" i="11"/>
  <c r="AH553" i="11"/>
  <c r="AJ553" i="11"/>
  <c r="AL553" i="11"/>
  <c r="AO553" i="11"/>
  <c r="AP553" i="11"/>
  <c r="J553" i="11" s="1"/>
  <c r="BD553" i="11"/>
  <c r="BF553" i="11"/>
  <c r="BH553" i="11"/>
  <c r="AB553" i="11" s="1"/>
  <c r="BJ553" i="11"/>
  <c r="K554" i="11"/>
  <c r="AK554" i="11" s="1"/>
  <c r="Z554" i="11"/>
  <c r="AD554" i="11"/>
  <c r="AE554" i="11"/>
  <c r="AF554" i="11"/>
  <c r="AG554" i="11"/>
  <c r="AH554" i="11"/>
  <c r="AJ554" i="11"/>
  <c r="AL554" i="11"/>
  <c r="AO554" i="11"/>
  <c r="I554" i="11" s="1"/>
  <c r="AP554" i="11"/>
  <c r="J554" i="11" s="1"/>
  <c r="BD554" i="11"/>
  <c r="BF554" i="11"/>
  <c r="BJ554" i="11"/>
  <c r="K555" i="11"/>
  <c r="AK555" i="11" s="1"/>
  <c r="Z555" i="11"/>
  <c r="AD555" i="11"/>
  <c r="AE555" i="11"/>
  <c r="AF555" i="11"/>
  <c r="AG555" i="11"/>
  <c r="AH555" i="11"/>
  <c r="AJ555" i="11"/>
  <c r="AL555" i="11"/>
  <c r="AO555" i="11"/>
  <c r="AP555" i="11"/>
  <c r="AX555" i="11" s="1"/>
  <c r="BD555" i="11"/>
  <c r="BF555" i="11"/>
  <c r="BJ555" i="11"/>
  <c r="K556" i="11"/>
  <c r="AK556" i="11" s="1"/>
  <c r="Z556" i="11"/>
  <c r="AD556" i="11"/>
  <c r="AE556" i="11"/>
  <c r="AF556" i="11"/>
  <c r="AG556" i="11"/>
  <c r="AH556" i="11"/>
  <c r="AJ556" i="11"/>
  <c r="AL556" i="11"/>
  <c r="AO556" i="11"/>
  <c r="I556" i="11" s="1"/>
  <c r="AP556" i="11"/>
  <c r="BI556" i="11" s="1"/>
  <c r="AC556" i="11" s="1"/>
  <c r="BD556" i="11"/>
  <c r="BF556" i="11"/>
  <c r="BH556" i="11"/>
  <c r="AB556" i="11" s="1"/>
  <c r="BJ556" i="11"/>
  <c r="K557" i="11"/>
  <c r="AK557" i="11" s="1"/>
  <c r="Z557" i="11"/>
  <c r="AD557" i="11"/>
  <c r="AE557" i="11"/>
  <c r="AF557" i="11"/>
  <c r="AG557" i="11"/>
  <c r="AH557" i="11"/>
  <c r="AJ557" i="11"/>
  <c r="AL557" i="11"/>
  <c r="AO557" i="11"/>
  <c r="AP557" i="11"/>
  <c r="J557" i="11" s="1"/>
  <c r="BD557" i="11"/>
  <c r="BF557" i="11"/>
  <c r="BH557" i="11"/>
  <c r="AB557" i="11" s="1"/>
  <c r="BJ557" i="11"/>
  <c r="K558" i="11"/>
  <c r="AK558" i="11" s="1"/>
  <c r="Z558" i="11"/>
  <c r="AD558" i="11"/>
  <c r="AE558" i="11"/>
  <c r="AF558" i="11"/>
  <c r="AG558" i="11"/>
  <c r="AH558" i="11"/>
  <c r="AJ558" i="11"/>
  <c r="AL558" i="11"/>
  <c r="AO558" i="11"/>
  <c r="AP558" i="11"/>
  <c r="J558" i="11" s="1"/>
  <c r="BD558" i="11"/>
  <c r="BF558" i="11"/>
  <c r="BJ558" i="11"/>
  <c r="K559" i="11"/>
  <c r="AK559" i="11" s="1"/>
  <c r="Z559" i="11"/>
  <c r="AD559" i="11"/>
  <c r="AE559" i="11"/>
  <c r="AF559" i="11"/>
  <c r="AG559" i="11"/>
  <c r="AH559" i="11"/>
  <c r="AJ559" i="11"/>
  <c r="AL559" i="11"/>
  <c r="AO559" i="11"/>
  <c r="AP559" i="11"/>
  <c r="AX559" i="11" s="1"/>
  <c r="BD559" i="11"/>
  <c r="BF559" i="11"/>
  <c r="BJ559" i="11"/>
  <c r="K560" i="11"/>
  <c r="Z560" i="11"/>
  <c r="AD560" i="11"/>
  <c r="AE560" i="11"/>
  <c r="AF560" i="11"/>
  <c r="AG560" i="11"/>
  <c r="AH560" i="11"/>
  <c r="AJ560" i="11"/>
  <c r="AK560" i="11"/>
  <c r="AL560" i="11"/>
  <c r="AO560" i="11"/>
  <c r="AP560" i="11"/>
  <c r="BD560" i="11"/>
  <c r="BF560" i="11"/>
  <c r="BJ560" i="11"/>
  <c r="K561" i="11"/>
  <c r="Z561" i="11"/>
  <c r="AD561" i="11"/>
  <c r="AE561" i="11"/>
  <c r="AF561" i="11"/>
  <c r="AG561" i="11"/>
  <c r="AH561" i="11"/>
  <c r="AJ561" i="11"/>
  <c r="AK561" i="11"/>
  <c r="AL561" i="11"/>
  <c r="AO561" i="11"/>
  <c r="AP561" i="11"/>
  <c r="J561" i="11" s="1"/>
  <c r="BD561" i="11"/>
  <c r="BF561" i="11"/>
  <c r="BJ561" i="11"/>
  <c r="K562" i="11"/>
  <c r="AK562" i="11" s="1"/>
  <c r="Z562" i="11"/>
  <c r="AD562" i="11"/>
  <c r="AE562" i="11"/>
  <c r="AF562" i="11"/>
  <c r="AG562" i="11"/>
  <c r="AH562" i="11"/>
  <c r="AJ562" i="11"/>
  <c r="AL562" i="11"/>
  <c r="AO562" i="11"/>
  <c r="I562" i="11" s="1"/>
  <c r="AP562" i="11"/>
  <c r="BD562" i="11"/>
  <c r="BF562" i="11"/>
  <c r="BJ562" i="11"/>
  <c r="K563" i="11"/>
  <c r="AK563" i="11" s="1"/>
  <c r="Z563" i="11"/>
  <c r="AD563" i="11"/>
  <c r="AE563" i="11"/>
  <c r="AF563" i="11"/>
  <c r="AG563" i="11"/>
  <c r="AH563" i="11"/>
  <c r="AJ563" i="11"/>
  <c r="AL563" i="11"/>
  <c r="AO563" i="11"/>
  <c r="I563" i="11" s="1"/>
  <c r="AP563" i="11"/>
  <c r="AX563" i="11" s="1"/>
  <c r="BD563" i="11"/>
  <c r="BF563" i="11"/>
  <c r="BJ563" i="11"/>
  <c r="K564" i="11"/>
  <c r="AK564" i="11" s="1"/>
  <c r="Z564" i="11"/>
  <c r="AD564" i="11"/>
  <c r="AE564" i="11"/>
  <c r="AF564" i="11"/>
  <c r="AG564" i="11"/>
  <c r="AH564" i="11"/>
  <c r="AJ564" i="11"/>
  <c r="AL564" i="11"/>
  <c r="AO564" i="11"/>
  <c r="AP564" i="11"/>
  <c r="J564" i="11" s="1"/>
  <c r="BD564" i="11"/>
  <c r="BF564" i="11"/>
  <c r="BJ564" i="11"/>
  <c r="K565" i="11"/>
  <c r="Z565" i="11"/>
  <c r="AD565" i="11"/>
  <c r="AE565" i="11"/>
  <c r="AF565" i="11"/>
  <c r="AG565" i="11"/>
  <c r="AH565" i="11"/>
  <c r="AJ565" i="11"/>
  <c r="AK565" i="11"/>
  <c r="AL565" i="11"/>
  <c r="AO565" i="11"/>
  <c r="I565" i="11" s="1"/>
  <c r="AP565" i="11"/>
  <c r="J565" i="11" s="1"/>
  <c r="BD565" i="11"/>
  <c r="BF565" i="11"/>
  <c r="BJ565" i="11"/>
  <c r="K566" i="11"/>
  <c r="AK566" i="11" s="1"/>
  <c r="Z566" i="11"/>
  <c r="AD566" i="11"/>
  <c r="AE566" i="11"/>
  <c r="AF566" i="11"/>
  <c r="AG566" i="11"/>
  <c r="AH566" i="11"/>
  <c r="AJ566" i="11"/>
  <c r="AL566" i="11"/>
  <c r="AO566" i="11"/>
  <c r="I566" i="11" s="1"/>
  <c r="AP566" i="11"/>
  <c r="J566" i="11" s="1"/>
  <c r="BD566" i="11"/>
  <c r="BF566" i="11"/>
  <c r="BH566" i="11"/>
  <c r="AB566" i="11" s="1"/>
  <c r="BJ566" i="11"/>
  <c r="K567" i="11"/>
  <c r="AK567" i="11" s="1"/>
  <c r="Z567" i="11"/>
  <c r="AD567" i="11"/>
  <c r="AE567" i="11"/>
  <c r="AF567" i="11"/>
  <c r="AG567" i="11"/>
  <c r="AH567" i="11"/>
  <c r="AJ567" i="11"/>
  <c r="AL567" i="11"/>
  <c r="AO567" i="11"/>
  <c r="AP567" i="11"/>
  <c r="AX567" i="11" s="1"/>
  <c r="BD567" i="11"/>
  <c r="BF567" i="11"/>
  <c r="BJ567" i="11"/>
  <c r="K568" i="11"/>
  <c r="Z568" i="11"/>
  <c r="AD568" i="11"/>
  <c r="AE568" i="11"/>
  <c r="AF568" i="11"/>
  <c r="AG568" i="11"/>
  <c r="AH568" i="11"/>
  <c r="AJ568" i="11"/>
  <c r="AK568" i="11"/>
  <c r="AL568" i="11"/>
  <c r="AO568" i="11"/>
  <c r="AP568" i="11"/>
  <c r="J568" i="11" s="1"/>
  <c r="BD568" i="11"/>
  <c r="BF568" i="11"/>
  <c r="BJ568" i="11"/>
  <c r="K569" i="11"/>
  <c r="Z569" i="11"/>
  <c r="AD569" i="11"/>
  <c r="AE569" i="11"/>
  <c r="AF569" i="11"/>
  <c r="AG569" i="11"/>
  <c r="AH569" i="11"/>
  <c r="AJ569" i="11"/>
  <c r="AK569" i="11"/>
  <c r="AL569" i="11"/>
  <c r="AO569" i="11"/>
  <c r="I569" i="11" s="1"/>
  <c r="AP569" i="11"/>
  <c r="J569" i="11" s="1"/>
  <c r="BD569" i="11"/>
  <c r="BF569" i="11"/>
  <c r="BJ569" i="11"/>
  <c r="K570" i="11"/>
  <c r="AK570" i="11" s="1"/>
  <c r="Z570" i="11"/>
  <c r="AD570" i="11"/>
  <c r="AE570" i="11"/>
  <c r="AF570" i="11"/>
  <c r="AG570" i="11"/>
  <c r="AH570" i="11"/>
  <c r="AJ570" i="11"/>
  <c r="AL570" i="11"/>
  <c r="AO570" i="11"/>
  <c r="I570" i="11" s="1"/>
  <c r="AP570" i="11"/>
  <c r="BD570" i="11"/>
  <c r="BF570" i="11"/>
  <c r="BJ570" i="11"/>
  <c r="K571" i="11"/>
  <c r="AK571" i="11" s="1"/>
  <c r="Z571" i="11"/>
  <c r="AD571" i="11"/>
  <c r="AE571" i="11"/>
  <c r="AF571" i="11"/>
  <c r="AG571" i="11"/>
  <c r="AH571" i="11"/>
  <c r="AJ571" i="11"/>
  <c r="AL571" i="11"/>
  <c r="AO571" i="11"/>
  <c r="AP571" i="11"/>
  <c r="AX571" i="11" s="1"/>
  <c r="BD571" i="11"/>
  <c r="BF571" i="11"/>
  <c r="BJ571" i="11"/>
  <c r="K572" i="11"/>
  <c r="Z572" i="11"/>
  <c r="AD572" i="11"/>
  <c r="AE572" i="11"/>
  <c r="AF572" i="11"/>
  <c r="AG572" i="11"/>
  <c r="AH572" i="11"/>
  <c r="AJ572" i="11"/>
  <c r="AK572" i="11"/>
  <c r="AL572" i="11"/>
  <c r="AO572" i="11"/>
  <c r="AW572" i="11" s="1"/>
  <c r="AP572" i="11"/>
  <c r="J572" i="11" s="1"/>
  <c r="BD572" i="11"/>
  <c r="BF572" i="11"/>
  <c r="BJ572" i="11"/>
  <c r="K573" i="11"/>
  <c r="Z573" i="11"/>
  <c r="AD573" i="11"/>
  <c r="AE573" i="11"/>
  <c r="AF573" i="11"/>
  <c r="AG573" i="11"/>
  <c r="AH573" i="11"/>
  <c r="AJ573" i="11"/>
  <c r="AK573" i="11"/>
  <c r="AL573" i="11"/>
  <c r="AO573" i="11"/>
  <c r="I573" i="11" s="1"/>
  <c r="AP573" i="11"/>
  <c r="J573" i="11" s="1"/>
  <c r="BD573" i="11"/>
  <c r="BF573" i="11"/>
  <c r="BJ573" i="11"/>
  <c r="K574" i="11"/>
  <c r="AK574" i="11" s="1"/>
  <c r="Z574" i="11"/>
  <c r="AD574" i="11"/>
  <c r="AE574" i="11"/>
  <c r="AF574" i="11"/>
  <c r="AG574" i="11"/>
  <c r="AH574" i="11"/>
  <c r="AJ574" i="11"/>
  <c r="AL574" i="11"/>
  <c r="AO574" i="11"/>
  <c r="I574" i="11" s="1"/>
  <c r="AP574" i="11"/>
  <c r="BD574" i="11"/>
  <c r="BF574" i="11"/>
  <c r="BH574" i="11"/>
  <c r="AB574" i="11" s="1"/>
  <c r="BJ574" i="11"/>
  <c r="K575" i="11"/>
  <c r="AK575" i="11" s="1"/>
  <c r="Z575" i="11"/>
  <c r="AD575" i="11"/>
  <c r="AE575" i="11"/>
  <c r="AF575" i="11"/>
  <c r="AG575" i="11"/>
  <c r="AH575" i="11"/>
  <c r="AJ575" i="11"/>
  <c r="AL575" i="11"/>
  <c r="AO575" i="11"/>
  <c r="I575" i="11" s="1"/>
  <c r="AP575" i="11"/>
  <c r="BD575" i="11"/>
  <c r="BF575" i="11"/>
  <c r="BJ575" i="11"/>
  <c r="K576" i="11"/>
  <c r="Z576" i="11"/>
  <c r="AD576" i="11"/>
  <c r="AE576" i="11"/>
  <c r="AF576" i="11"/>
  <c r="AG576" i="11"/>
  <c r="AH576" i="11"/>
  <c r="AJ576" i="11"/>
  <c r="AK576" i="11"/>
  <c r="AL576" i="11"/>
  <c r="AO576" i="11"/>
  <c r="AW576" i="11" s="1"/>
  <c r="AP576" i="11"/>
  <c r="J576" i="11" s="1"/>
  <c r="AX576" i="11"/>
  <c r="BD576" i="11"/>
  <c r="BF576" i="11"/>
  <c r="BJ576" i="11"/>
  <c r="K577" i="11"/>
  <c r="Z577" i="11"/>
  <c r="AD577" i="11"/>
  <c r="AE577" i="11"/>
  <c r="AF577" i="11"/>
  <c r="AG577" i="11"/>
  <c r="AH577" i="11"/>
  <c r="AJ577" i="11"/>
  <c r="AK577" i="11"/>
  <c r="AL577" i="11"/>
  <c r="AO577" i="11"/>
  <c r="AP577" i="11"/>
  <c r="J577" i="11" s="1"/>
  <c r="BD577" i="11"/>
  <c r="BF577" i="11"/>
  <c r="BJ577" i="11"/>
  <c r="K578" i="11"/>
  <c r="AK578" i="11" s="1"/>
  <c r="Z578" i="11"/>
  <c r="AD578" i="11"/>
  <c r="AE578" i="11"/>
  <c r="AF578" i="11"/>
  <c r="AG578" i="11"/>
  <c r="AH578" i="11"/>
  <c r="AJ578" i="11"/>
  <c r="AL578" i="11"/>
  <c r="AO578" i="11"/>
  <c r="I578" i="11" s="1"/>
  <c r="AP578" i="11"/>
  <c r="J578" i="11" s="1"/>
  <c r="BD578" i="11"/>
  <c r="BF578" i="11"/>
  <c r="BH578" i="11"/>
  <c r="AB578" i="11" s="1"/>
  <c r="BI578" i="11"/>
  <c r="AC578" i="11" s="1"/>
  <c r="BJ578" i="11"/>
  <c r="K579" i="11"/>
  <c r="AK579" i="11" s="1"/>
  <c r="Z579" i="11"/>
  <c r="AD579" i="11"/>
  <c r="AE579" i="11"/>
  <c r="AF579" i="11"/>
  <c r="AG579" i="11"/>
  <c r="AH579" i="11"/>
  <c r="AJ579" i="11"/>
  <c r="AL579" i="11"/>
  <c r="AO579" i="11"/>
  <c r="AP579" i="11"/>
  <c r="AX579" i="11" s="1"/>
  <c r="BD579" i="11"/>
  <c r="BF579" i="11"/>
  <c r="BI579" i="11"/>
  <c r="AC579" i="11" s="1"/>
  <c r="BJ579" i="11"/>
  <c r="K580" i="11"/>
  <c r="Z580" i="11"/>
  <c r="AD580" i="11"/>
  <c r="AE580" i="11"/>
  <c r="AF580" i="11"/>
  <c r="AG580" i="11"/>
  <c r="AH580" i="11"/>
  <c r="AJ580" i="11"/>
  <c r="AK580" i="11"/>
  <c r="AL580" i="11"/>
  <c r="AO580" i="11"/>
  <c r="AW580" i="11" s="1"/>
  <c r="AP580" i="11"/>
  <c r="J580" i="11" s="1"/>
  <c r="AX580" i="11"/>
  <c r="BD580" i="11"/>
  <c r="BF580" i="11"/>
  <c r="BI580" i="11"/>
  <c r="AC580" i="11" s="1"/>
  <c r="BJ580" i="11"/>
  <c r="K581" i="11"/>
  <c r="Z581" i="11"/>
  <c r="AD581" i="11"/>
  <c r="AE581" i="11"/>
  <c r="AF581" i="11"/>
  <c r="AG581" i="11"/>
  <c r="AH581" i="11"/>
  <c r="AJ581" i="11"/>
  <c r="AK581" i="11"/>
  <c r="AL581" i="11"/>
  <c r="AO581" i="11"/>
  <c r="I581" i="11" s="1"/>
  <c r="AP581" i="11"/>
  <c r="BD581" i="11"/>
  <c r="BF581" i="11"/>
  <c r="BJ581" i="11"/>
  <c r="K582" i="11"/>
  <c r="AK582" i="11" s="1"/>
  <c r="Z582" i="11"/>
  <c r="AD582" i="11"/>
  <c r="AE582" i="11"/>
  <c r="AF582" i="11"/>
  <c r="AG582" i="11"/>
  <c r="AH582" i="11"/>
  <c r="AJ582" i="11"/>
  <c r="AL582" i="11"/>
  <c r="AO582" i="11"/>
  <c r="AP582" i="11"/>
  <c r="J582" i="11" s="1"/>
  <c r="BD582" i="11"/>
  <c r="BF582" i="11"/>
  <c r="BJ582" i="11"/>
  <c r="K583" i="11"/>
  <c r="AK583" i="11" s="1"/>
  <c r="Z583" i="11"/>
  <c r="AD583" i="11"/>
  <c r="AE583" i="11"/>
  <c r="AF583" i="11"/>
  <c r="AG583" i="11"/>
  <c r="AH583" i="11"/>
  <c r="AJ583" i="11"/>
  <c r="AL583" i="11"/>
  <c r="AO583" i="11"/>
  <c r="AP583" i="11"/>
  <c r="AX583" i="11" s="1"/>
  <c r="BD583" i="11"/>
  <c r="BF583" i="11"/>
  <c r="BJ583" i="11"/>
  <c r="K584" i="11"/>
  <c r="AK584" i="11" s="1"/>
  <c r="Z584" i="11"/>
  <c r="AD584" i="11"/>
  <c r="AE584" i="11"/>
  <c r="AF584" i="11"/>
  <c r="AG584" i="11"/>
  <c r="AH584" i="11"/>
  <c r="AJ584" i="11"/>
  <c r="AL584" i="11"/>
  <c r="AO584" i="11"/>
  <c r="I584" i="11" s="1"/>
  <c r="AP584" i="11"/>
  <c r="J584" i="11" s="1"/>
  <c r="BD584" i="11"/>
  <c r="BF584" i="11"/>
  <c r="BJ584" i="11"/>
  <c r="K585" i="11"/>
  <c r="Z585" i="11"/>
  <c r="AD585" i="11"/>
  <c r="AE585" i="11"/>
  <c r="AF585" i="11"/>
  <c r="AG585" i="11"/>
  <c r="AH585" i="11"/>
  <c r="AJ585" i="11"/>
  <c r="AK585" i="11"/>
  <c r="AL585" i="11"/>
  <c r="AO585" i="11"/>
  <c r="I585" i="11" s="1"/>
  <c r="AP585" i="11"/>
  <c r="J585" i="11" s="1"/>
  <c r="BD585" i="11"/>
  <c r="BF585" i="11"/>
  <c r="BJ585" i="11"/>
  <c r="K586" i="11"/>
  <c r="AK586" i="11" s="1"/>
  <c r="Z586" i="11"/>
  <c r="AD586" i="11"/>
  <c r="AE586" i="11"/>
  <c r="AF586" i="11"/>
  <c r="AG586" i="11"/>
  <c r="AH586" i="11"/>
  <c r="AJ586" i="11"/>
  <c r="AL586" i="11"/>
  <c r="AO586" i="11"/>
  <c r="I586" i="11" s="1"/>
  <c r="AP586" i="11"/>
  <c r="BD586" i="11"/>
  <c r="BF586" i="11"/>
  <c r="BJ586" i="11"/>
  <c r="K587" i="11"/>
  <c r="Z587" i="11"/>
  <c r="AD587" i="11"/>
  <c r="AE587" i="11"/>
  <c r="AF587" i="11"/>
  <c r="AG587" i="11"/>
  <c r="AH587" i="11"/>
  <c r="AJ587" i="11"/>
  <c r="AK587" i="11"/>
  <c r="AL587" i="11"/>
  <c r="AO587" i="11"/>
  <c r="I587" i="11" s="1"/>
  <c r="AP587" i="11"/>
  <c r="AX587" i="11" s="1"/>
  <c r="BD587" i="11"/>
  <c r="BF587" i="11"/>
  <c r="BH587" i="11"/>
  <c r="AB587" i="11" s="1"/>
  <c r="BJ587" i="11"/>
  <c r="K588" i="11"/>
  <c r="Z588" i="11"/>
  <c r="AD588" i="11"/>
  <c r="AE588" i="11"/>
  <c r="AF588" i="11"/>
  <c r="AG588" i="11"/>
  <c r="AH588" i="11"/>
  <c r="AJ588" i="11"/>
  <c r="AK588" i="11"/>
  <c r="AL588" i="11"/>
  <c r="AO588" i="11"/>
  <c r="I588" i="11" s="1"/>
  <c r="AP588" i="11"/>
  <c r="J588" i="11" s="1"/>
  <c r="BD588" i="11"/>
  <c r="BF588" i="11"/>
  <c r="BJ588" i="11"/>
  <c r="K589" i="11"/>
  <c r="Z589" i="11"/>
  <c r="AD589" i="11"/>
  <c r="AE589" i="11"/>
  <c r="AF589" i="11"/>
  <c r="AG589" i="11"/>
  <c r="AH589" i="11"/>
  <c r="AJ589" i="11"/>
  <c r="AK589" i="11"/>
  <c r="AL589" i="11"/>
  <c r="AO589" i="11"/>
  <c r="I589" i="11" s="1"/>
  <c r="AP589" i="11"/>
  <c r="J589" i="11" s="1"/>
  <c r="AW589" i="11"/>
  <c r="BD589" i="11"/>
  <c r="BF589" i="11"/>
  <c r="BH589" i="11"/>
  <c r="AB589" i="11" s="1"/>
  <c r="BJ589" i="11"/>
  <c r="K590" i="11"/>
  <c r="AK590" i="11" s="1"/>
  <c r="Z590" i="11"/>
  <c r="AD590" i="11"/>
  <c r="AE590" i="11"/>
  <c r="AF590" i="11"/>
  <c r="AG590" i="11"/>
  <c r="AH590" i="11"/>
  <c r="AJ590" i="11"/>
  <c r="AL590" i="11"/>
  <c r="AO590" i="11"/>
  <c r="I590" i="11" s="1"/>
  <c r="AP590" i="11"/>
  <c r="BD590" i="11"/>
  <c r="BF590" i="11"/>
  <c r="BH590" i="11"/>
  <c r="AB590" i="11" s="1"/>
  <c r="BJ590" i="11"/>
  <c r="K591" i="11"/>
  <c r="AK591" i="11" s="1"/>
  <c r="Z591" i="11"/>
  <c r="AD591" i="11"/>
  <c r="AE591" i="11"/>
  <c r="AF591" i="11"/>
  <c r="AG591" i="11"/>
  <c r="AH591" i="11"/>
  <c r="AJ591" i="11"/>
  <c r="AL591" i="11"/>
  <c r="AO591" i="11"/>
  <c r="AP591" i="11"/>
  <c r="BD591" i="11"/>
  <c r="BF591" i="11"/>
  <c r="BH591" i="11"/>
  <c r="AB591" i="11" s="1"/>
  <c r="BJ591" i="11"/>
  <c r="K592" i="11"/>
  <c r="Z592" i="11"/>
  <c r="AD592" i="11"/>
  <c r="AE592" i="11"/>
  <c r="AF592" i="11"/>
  <c r="AG592" i="11"/>
  <c r="AH592" i="11"/>
  <c r="AJ592" i="11"/>
  <c r="AK592" i="11"/>
  <c r="AL592" i="11"/>
  <c r="AO592" i="11"/>
  <c r="I592" i="11" s="1"/>
  <c r="AP592" i="11"/>
  <c r="J592" i="11" s="1"/>
  <c r="BD592" i="11"/>
  <c r="BF592" i="11"/>
  <c r="BJ592" i="11"/>
  <c r="K593" i="11"/>
  <c r="Z593" i="11"/>
  <c r="AD593" i="11"/>
  <c r="AE593" i="11"/>
  <c r="AF593" i="11"/>
  <c r="AG593" i="11"/>
  <c r="AH593" i="11"/>
  <c r="AJ593" i="11"/>
  <c r="AK593" i="11"/>
  <c r="AL593" i="11"/>
  <c r="AO593" i="11"/>
  <c r="I593" i="11" s="1"/>
  <c r="AP593" i="11"/>
  <c r="J593" i="11" s="1"/>
  <c r="BD593" i="11"/>
  <c r="BF593" i="11"/>
  <c r="BJ593" i="11"/>
  <c r="K594" i="11"/>
  <c r="AK594" i="11" s="1"/>
  <c r="Z594" i="11"/>
  <c r="AD594" i="11"/>
  <c r="AE594" i="11"/>
  <c r="AF594" i="11"/>
  <c r="AG594" i="11"/>
  <c r="AH594" i="11"/>
  <c r="AJ594" i="11"/>
  <c r="AL594" i="11"/>
  <c r="AO594" i="11"/>
  <c r="I594" i="11" s="1"/>
  <c r="AP594" i="11"/>
  <c r="J594" i="11" s="1"/>
  <c r="BD594" i="11"/>
  <c r="BF594" i="11"/>
  <c r="BJ594" i="11"/>
  <c r="K595" i="11"/>
  <c r="Z595" i="11"/>
  <c r="AD595" i="11"/>
  <c r="AE595" i="11"/>
  <c r="AF595" i="11"/>
  <c r="AG595" i="11"/>
  <c r="AH595" i="11"/>
  <c r="AJ595" i="11"/>
  <c r="AK595" i="11"/>
  <c r="AL595" i="11"/>
  <c r="AO595" i="11"/>
  <c r="I595" i="11" s="1"/>
  <c r="AP595" i="11"/>
  <c r="J595" i="11" s="1"/>
  <c r="BD595" i="11"/>
  <c r="BF595" i="11"/>
  <c r="BJ595" i="11"/>
  <c r="K596" i="11"/>
  <c r="AK596" i="11" s="1"/>
  <c r="Z596" i="11"/>
  <c r="AD596" i="11"/>
  <c r="AE596" i="11"/>
  <c r="AF596" i="11"/>
  <c r="AG596" i="11"/>
  <c r="AH596" i="11"/>
  <c r="AJ596" i="11"/>
  <c r="AL596" i="11"/>
  <c r="AO596" i="11"/>
  <c r="I596" i="11" s="1"/>
  <c r="AP596" i="11"/>
  <c r="J596" i="11" s="1"/>
  <c r="BD596" i="11"/>
  <c r="BF596" i="11"/>
  <c r="BJ596" i="11"/>
  <c r="K597" i="11"/>
  <c r="Z597" i="11"/>
  <c r="AD597" i="11"/>
  <c r="AE597" i="11"/>
  <c r="AF597" i="11"/>
  <c r="AG597" i="11"/>
  <c r="AH597" i="11"/>
  <c r="AJ597" i="11"/>
  <c r="AK597" i="11"/>
  <c r="AL597" i="11"/>
  <c r="AO597" i="11"/>
  <c r="I597" i="11" s="1"/>
  <c r="AP597" i="11"/>
  <c r="J597" i="11" s="1"/>
  <c r="BD597" i="11"/>
  <c r="BF597" i="11"/>
  <c r="BH597" i="11"/>
  <c r="AB597" i="11" s="1"/>
  <c r="BI597" i="11"/>
  <c r="AC597" i="11" s="1"/>
  <c r="BJ597" i="11"/>
  <c r="K598" i="11"/>
  <c r="AK598" i="11" s="1"/>
  <c r="Z598" i="11"/>
  <c r="AD598" i="11"/>
  <c r="AE598" i="11"/>
  <c r="AF598" i="11"/>
  <c r="AG598" i="11"/>
  <c r="AH598" i="11"/>
  <c r="AJ598" i="11"/>
  <c r="AL598" i="11"/>
  <c r="AO598" i="11"/>
  <c r="I598" i="11" s="1"/>
  <c r="AP598" i="11"/>
  <c r="J598" i="11" s="1"/>
  <c r="BD598" i="11"/>
  <c r="BF598" i="11"/>
  <c r="BJ598" i="11"/>
  <c r="K599" i="11"/>
  <c r="AK599" i="11" s="1"/>
  <c r="Z599" i="11"/>
  <c r="AD599" i="11"/>
  <c r="AE599" i="11"/>
  <c r="AF599" i="11"/>
  <c r="AG599" i="11"/>
  <c r="AH599" i="11"/>
  <c r="AJ599" i="11"/>
  <c r="AL599" i="11"/>
  <c r="AO599" i="11"/>
  <c r="I599" i="11" s="1"/>
  <c r="AP599" i="11"/>
  <c r="AX599" i="11" s="1"/>
  <c r="BD599" i="11"/>
  <c r="BF599" i="11"/>
  <c r="BJ599" i="11"/>
  <c r="K600" i="11"/>
  <c r="Z600" i="11"/>
  <c r="AD600" i="11"/>
  <c r="AE600" i="11"/>
  <c r="AF600" i="11"/>
  <c r="AG600" i="11"/>
  <c r="AH600" i="11"/>
  <c r="AJ600" i="11"/>
  <c r="AK600" i="11"/>
  <c r="AL600" i="11"/>
  <c r="AO600" i="11"/>
  <c r="I600" i="11" s="1"/>
  <c r="AP600" i="11"/>
  <c r="J600" i="11" s="1"/>
  <c r="BD600" i="11"/>
  <c r="BF600" i="11"/>
  <c r="BJ600" i="11"/>
  <c r="K601" i="11"/>
  <c r="Z601" i="11"/>
  <c r="AD601" i="11"/>
  <c r="AE601" i="11"/>
  <c r="AF601" i="11"/>
  <c r="AG601" i="11"/>
  <c r="AH601" i="11"/>
  <c r="AJ601" i="11"/>
  <c r="AK601" i="11"/>
  <c r="AL601" i="11"/>
  <c r="AO601" i="11"/>
  <c r="I601" i="11" s="1"/>
  <c r="AP601" i="11"/>
  <c r="BI601" i="11" s="1"/>
  <c r="AC601" i="11" s="1"/>
  <c r="BD601" i="11"/>
  <c r="BF601" i="11"/>
  <c r="BH601" i="11"/>
  <c r="AB601" i="11" s="1"/>
  <c r="BJ601" i="11"/>
  <c r="K602" i="11"/>
  <c r="AK602" i="11" s="1"/>
  <c r="Z602" i="11"/>
  <c r="AD602" i="11"/>
  <c r="AE602" i="11"/>
  <c r="AF602" i="11"/>
  <c r="AG602" i="11"/>
  <c r="AH602" i="11"/>
  <c r="AJ602" i="11"/>
  <c r="AL602" i="11"/>
  <c r="AO602" i="11"/>
  <c r="I602" i="11" s="1"/>
  <c r="AP602" i="11"/>
  <c r="J602" i="11" s="1"/>
  <c r="BD602" i="11"/>
  <c r="BF602" i="11"/>
  <c r="BJ602" i="11"/>
  <c r="K603" i="11"/>
  <c r="AK603" i="11" s="1"/>
  <c r="Z603" i="11"/>
  <c r="AD603" i="11"/>
  <c r="AE603" i="11"/>
  <c r="AF603" i="11"/>
  <c r="AG603" i="11"/>
  <c r="AH603" i="11"/>
  <c r="AJ603" i="11"/>
  <c r="AL603" i="11"/>
  <c r="AO603" i="11"/>
  <c r="I603" i="11" s="1"/>
  <c r="AP603" i="11"/>
  <c r="AX603" i="11" s="1"/>
  <c r="BD603" i="11"/>
  <c r="BF603" i="11"/>
  <c r="BH603" i="11"/>
  <c r="AB603" i="11" s="1"/>
  <c r="BJ603" i="11"/>
  <c r="K604" i="11"/>
  <c r="AK604" i="11" s="1"/>
  <c r="Z604" i="11"/>
  <c r="AD604" i="11"/>
  <c r="AE604" i="11"/>
  <c r="AF604" i="11"/>
  <c r="AG604" i="11"/>
  <c r="AH604" i="11"/>
  <c r="AJ604" i="11"/>
  <c r="AL604" i="11"/>
  <c r="AO604" i="11"/>
  <c r="AW604" i="11" s="1"/>
  <c r="AP604" i="11"/>
  <c r="J604" i="11" s="1"/>
  <c r="BD604" i="11"/>
  <c r="BF604" i="11"/>
  <c r="BH604" i="11"/>
  <c r="AB604" i="11" s="1"/>
  <c r="BJ604" i="11"/>
  <c r="K605" i="11"/>
  <c r="Z605" i="11"/>
  <c r="AD605" i="11"/>
  <c r="AE605" i="11"/>
  <c r="AF605" i="11"/>
  <c r="AG605" i="11"/>
  <c r="AH605" i="11"/>
  <c r="AJ605" i="11"/>
  <c r="AK605" i="11"/>
  <c r="AL605" i="11"/>
  <c r="AO605" i="11"/>
  <c r="I605" i="11" s="1"/>
  <c r="AP605" i="11"/>
  <c r="J605" i="11" s="1"/>
  <c r="BD605" i="11"/>
  <c r="BF605" i="11"/>
  <c r="BJ605" i="11"/>
  <c r="K606" i="11"/>
  <c r="AK606" i="11" s="1"/>
  <c r="Z606" i="11"/>
  <c r="AD606" i="11"/>
  <c r="AE606" i="11"/>
  <c r="AF606" i="11"/>
  <c r="AG606" i="11"/>
  <c r="AH606" i="11"/>
  <c r="AJ606" i="11"/>
  <c r="AL606" i="11"/>
  <c r="AO606" i="11"/>
  <c r="I606" i="11" s="1"/>
  <c r="AP606" i="11"/>
  <c r="J606" i="11" s="1"/>
  <c r="BD606" i="11"/>
  <c r="BF606" i="11"/>
  <c r="BJ606" i="11"/>
  <c r="K607" i="11"/>
  <c r="Z607" i="11"/>
  <c r="AD607" i="11"/>
  <c r="AE607" i="11"/>
  <c r="AF607" i="11"/>
  <c r="AG607" i="11"/>
  <c r="AH607" i="11"/>
  <c r="AJ607" i="11"/>
  <c r="AK607" i="11"/>
  <c r="AL607" i="11"/>
  <c r="AO607" i="11"/>
  <c r="I607" i="11" s="1"/>
  <c r="AP607" i="11"/>
  <c r="AX607" i="11" s="1"/>
  <c r="BD607" i="11"/>
  <c r="BF607" i="11"/>
  <c r="BI607" i="11"/>
  <c r="AC607" i="11" s="1"/>
  <c r="BJ607" i="11"/>
  <c r="K608" i="11"/>
  <c r="Z608" i="11"/>
  <c r="AD608" i="11"/>
  <c r="AE608" i="11"/>
  <c r="AF608" i="11"/>
  <c r="AG608" i="11"/>
  <c r="AH608" i="11"/>
  <c r="AJ608" i="11"/>
  <c r="AK608" i="11"/>
  <c r="AL608" i="11"/>
  <c r="AO608" i="11"/>
  <c r="I608" i="11" s="1"/>
  <c r="AP608" i="11"/>
  <c r="J608" i="11" s="1"/>
  <c r="BD608" i="11"/>
  <c r="BF608" i="11"/>
  <c r="BJ608" i="11"/>
  <c r="K609" i="11"/>
  <c r="Z609" i="11"/>
  <c r="AD609" i="11"/>
  <c r="AE609" i="11"/>
  <c r="AF609" i="11"/>
  <c r="AG609" i="11"/>
  <c r="AH609" i="11"/>
  <c r="AJ609" i="11"/>
  <c r="AK609" i="11"/>
  <c r="AL609" i="11"/>
  <c r="AO609" i="11"/>
  <c r="I609" i="11" s="1"/>
  <c r="AP609" i="11"/>
  <c r="J609" i="11" s="1"/>
  <c r="BD609" i="11"/>
  <c r="BF609" i="11"/>
  <c r="BH609" i="11"/>
  <c r="AB609" i="11" s="1"/>
  <c r="BJ609" i="11"/>
  <c r="K610" i="11"/>
  <c r="AK610" i="11" s="1"/>
  <c r="Z610" i="11"/>
  <c r="AD610" i="11"/>
  <c r="AE610" i="11"/>
  <c r="AF610" i="11"/>
  <c r="AG610" i="11"/>
  <c r="AH610" i="11"/>
  <c r="AJ610" i="11"/>
  <c r="AL610" i="11"/>
  <c r="AO610" i="11"/>
  <c r="I610" i="11" s="1"/>
  <c r="AP610" i="11"/>
  <c r="J610" i="11" s="1"/>
  <c r="BD610" i="11"/>
  <c r="BF610" i="11"/>
  <c r="BJ610" i="11"/>
  <c r="K611" i="11"/>
  <c r="Z611" i="11"/>
  <c r="AD611" i="11"/>
  <c r="AE611" i="11"/>
  <c r="AF611" i="11"/>
  <c r="AG611" i="11"/>
  <c r="AH611" i="11"/>
  <c r="AJ611" i="11"/>
  <c r="AK611" i="11"/>
  <c r="AL611" i="11"/>
  <c r="AO611" i="11"/>
  <c r="I611" i="11" s="1"/>
  <c r="AP611" i="11"/>
  <c r="AX611" i="11" s="1"/>
  <c r="BD611" i="11"/>
  <c r="BF611" i="11"/>
  <c r="BH611" i="11"/>
  <c r="AB611" i="11" s="1"/>
  <c r="BJ611" i="11"/>
  <c r="K612" i="11"/>
  <c r="Z612" i="11"/>
  <c r="AD612" i="11"/>
  <c r="AE612" i="11"/>
  <c r="AF612" i="11"/>
  <c r="AG612" i="11"/>
  <c r="AH612" i="11"/>
  <c r="AJ612" i="11"/>
  <c r="AK612" i="11"/>
  <c r="AL612" i="11"/>
  <c r="AO612" i="11"/>
  <c r="AP612" i="11"/>
  <c r="J612" i="11" s="1"/>
  <c r="BD612" i="11"/>
  <c r="BF612" i="11"/>
  <c r="BJ612" i="11"/>
  <c r="K613" i="11"/>
  <c r="Z613" i="11"/>
  <c r="AD613" i="11"/>
  <c r="AE613" i="11"/>
  <c r="AF613" i="11"/>
  <c r="AG613" i="11"/>
  <c r="AH613" i="11"/>
  <c r="AJ613" i="11"/>
  <c r="AK613" i="11"/>
  <c r="AL613" i="11"/>
  <c r="AO613" i="11"/>
  <c r="I613" i="11" s="1"/>
  <c r="AP613" i="11"/>
  <c r="J613" i="11" s="1"/>
  <c r="BD613" i="11"/>
  <c r="BF613" i="11"/>
  <c r="BJ613" i="11"/>
  <c r="K614" i="11"/>
  <c r="AK614" i="11" s="1"/>
  <c r="Z614" i="11"/>
  <c r="AD614" i="11"/>
  <c r="AE614" i="11"/>
  <c r="AF614" i="11"/>
  <c r="AG614" i="11"/>
  <c r="AH614" i="11"/>
  <c r="AJ614" i="11"/>
  <c r="AL614" i="11"/>
  <c r="AO614" i="11"/>
  <c r="I614" i="11" s="1"/>
  <c r="AP614" i="11"/>
  <c r="J614" i="11" s="1"/>
  <c r="BD614" i="11"/>
  <c r="BF614" i="11"/>
  <c r="BJ614" i="11"/>
  <c r="K615" i="11"/>
  <c r="Z615" i="11"/>
  <c r="AD615" i="11"/>
  <c r="AE615" i="11"/>
  <c r="AF615" i="11"/>
  <c r="AG615" i="11"/>
  <c r="AH615" i="11"/>
  <c r="AJ615" i="11"/>
  <c r="AK615" i="11"/>
  <c r="AL615" i="11"/>
  <c r="AO615" i="11"/>
  <c r="I615" i="11" s="1"/>
  <c r="AP615" i="11"/>
  <c r="BD615" i="11"/>
  <c r="BF615" i="11"/>
  <c r="BJ615" i="11"/>
  <c r="K616" i="11"/>
  <c r="Z616" i="11"/>
  <c r="AD616" i="11"/>
  <c r="AE616" i="11"/>
  <c r="AF616" i="11"/>
  <c r="AG616" i="11"/>
  <c r="AH616" i="11"/>
  <c r="AJ616" i="11"/>
  <c r="AK616" i="11"/>
  <c r="AL616" i="11"/>
  <c r="AO616" i="11"/>
  <c r="I616" i="11" s="1"/>
  <c r="AP616" i="11"/>
  <c r="BD616" i="11"/>
  <c r="BF616" i="11"/>
  <c r="BJ616" i="11"/>
  <c r="K618" i="11"/>
  <c r="AK618" i="11" s="1"/>
  <c r="Z618" i="11"/>
  <c r="AD618" i="11"/>
  <c r="AE618" i="11"/>
  <c r="AF618" i="11"/>
  <c r="AG618" i="11"/>
  <c r="AH618" i="11"/>
  <c r="AJ618" i="11"/>
  <c r="AL618" i="11"/>
  <c r="AO618" i="11"/>
  <c r="I618" i="11" s="1"/>
  <c r="AP618" i="11"/>
  <c r="AX618" i="11" s="1"/>
  <c r="BD618" i="11"/>
  <c r="BF618" i="11"/>
  <c r="BH618" i="11"/>
  <c r="AB618" i="11" s="1"/>
  <c r="BJ618" i="11"/>
  <c r="K619" i="11"/>
  <c r="Z619" i="11"/>
  <c r="AD619" i="11"/>
  <c r="AE619" i="11"/>
  <c r="AF619" i="11"/>
  <c r="AG619" i="11"/>
  <c r="AH619" i="11"/>
  <c r="AJ619" i="11"/>
  <c r="AK619" i="11"/>
  <c r="AL619" i="11"/>
  <c r="AO619" i="11"/>
  <c r="I619" i="11" s="1"/>
  <c r="AP619" i="11"/>
  <c r="J619" i="11" s="1"/>
  <c r="BD619" i="11"/>
  <c r="BF619" i="11"/>
  <c r="BJ619" i="11"/>
  <c r="K620" i="11"/>
  <c r="AK620" i="11" s="1"/>
  <c r="Z620" i="11"/>
  <c r="AD620" i="11"/>
  <c r="AE620" i="11"/>
  <c r="AF620" i="11"/>
  <c r="AG620" i="11"/>
  <c r="AH620" i="11"/>
  <c r="AJ620" i="11"/>
  <c r="AL620" i="11"/>
  <c r="AO620" i="11"/>
  <c r="I620" i="11" s="1"/>
  <c r="AP620" i="11"/>
  <c r="J620" i="11" s="1"/>
  <c r="BD620" i="11"/>
  <c r="BF620" i="11"/>
  <c r="BH620" i="11"/>
  <c r="AB620" i="11" s="1"/>
  <c r="BJ620" i="11"/>
  <c r="K621" i="11"/>
  <c r="AK621" i="11" s="1"/>
  <c r="Z621" i="11"/>
  <c r="AD621" i="11"/>
  <c r="AE621" i="11"/>
  <c r="AF621" i="11"/>
  <c r="AG621" i="11"/>
  <c r="AH621" i="11"/>
  <c r="AJ621" i="11"/>
  <c r="AL621" i="11"/>
  <c r="AO621" i="11"/>
  <c r="I621" i="11" s="1"/>
  <c r="AP621" i="11"/>
  <c r="J621" i="11" s="1"/>
  <c r="BD621" i="11"/>
  <c r="BF621" i="11"/>
  <c r="BJ621" i="11"/>
  <c r="K622" i="11"/>
  <c r="Z622" i="11"/>
  <c r="AD622" i="11"/>
  <c r="AE622" i="11"/>
  <c r="AF622" i="11"/>
  <c r="AG622" i="11"/>
  <c r="AH622" i="11"/>
  <c r="AJ622" i="11"/>
  <c r="AK622" i="11"/>
  <c r="AL622" i="11"/>
  <c r="AO622" i="11"/>
  <c r="AP622" i="11"/>
  <c r="AX622" i="11" s="1"/>
  <c r="BD622" i="11"/>
  <c r="BF622" i="11"/>
  <c r="BH622" i="11"/>
  <c r="AB622" i="11" s="1"/>
  <c r="BJ622" i="11"/>
  <c r="K623" i="11"/>
  <c r="Z623" i="11"/>
  <c r="AD623" i="11"/>
  <c r="AE623" i="11"/>
  <c r="AF623" i="11"/>
  <c r="AG623" i="11"/>
  <c r="AH623" i="11"/>
  <c r="AJ623" i="11"/>
  <c r="AK623" i="11"/>
  <c r="AL623" i="11"/>
  <c r="AO623" i="11"/>
  <c r="AW623" i="11" s="1"/>
  <c r="AP623" i="11"/>
  <c r="J623" i="11" s="1"/>
  <c r="BD623" i="11"/>
  <c r="BF623" i="11"/>
  <c r="BH623" i="11"/>
  <c r="AB623" i="11" s="1"/>
  <c r="BI623" i="11"/>
  <c r="AC623" i="11" s="1"/>
  <c r="BJ623" i="11"/>
  <c r="K624" i="11"/>
  <c r="Z624" i="11"/>
  <c r="AD624" i="11"/>
  <c r="AE624" i="11"/>
  <c r="AF624" i="11"/>
  <c r="AG624" i="11"/>
  <c r="AH624" i="11"/>
  <c r="AJ624" i="11"/>
  <c r="AK624" i="11"/>
  <c r="AL624" i="11"/>
  <c r="AO624" i="11"/>
  <c r="I624" i="11" s="1"/>
  <c r="AP624" i="11"/>
  <c r="J624" i="11" s="1"/>
  <c r="BD624" i="11"/>
  <c r="BF624" i="11"/>
  <c r="BH624" i="11"/>
  <c r="AB624" i="11" s="1"/>
  <c r="BJ624" i="11"/>
  <c r="B2" i="10"/>
  <c r="E2" i="10"/>
  <c r="B4" i="10"/>
  <c r="E4" i="10"/>
  <c r="B6" i="10"/>
  <c r="E6" i="10"/>
  <c r="B8" i="10"/>
  <c r="E12" i="10"/>
  <c r="G34" i="10"/>
  <c r="I34" i="10" s="1"/>
  <c r="C2" i="9"/>
  <c r="F2" i="9"/>
  <c r="C4" i="9"/>
  <c r="F4" i="9"/>
  <c r="C6" i="9"/>
  <c r="F6" i="9"/>
  <c r="C10" i="9"/>
  <c r="F10" i="9"/>
  <c r="F22" i="9"/>
  <c r="I22" i="9"/>
  <c r="C2" i="8"/>
  <c r="F2" i="8"/>
  <c r="C4" i="8"/>
  <c r="F4" i="8"/>
  <c r="C6" i="8"/>
  <c r="F6" i="8"/>
  <c r="C8" i="8"/>
  <c r="K13" i="7"/>
  <c r="AK13" i="7" s="1"/>
  <c r="Z13" i="7"/>
  <c r="AD13" i="7"/>
  <c r="AE13" i="7"/>
  <c r="AF13" i="7"/>
  <c r="AG13" i="7"/>
  <c r="AH13" i="7"/>
  <c r="AJ13" i="7"/>
  <c r="AL13" i="7"/>
  <c r="AO13" i="7"/>
  <c r="AP13" i="7"/>
  <c r="J13" i="7" s="1"/>
  <c r="BD13" i="7"/>
  <c r="BF13" i="7"/>
  <c r="BI13" i="7"/>
  <c r="AC13" i="7" s="1"/>
  <c r="BJ13" i="7"/>
  <c r="K14" i="7"/>
  <c r="Z14" i="7"/>
  <c r="AD14" i="7"/>
  <c r="AE14" i="7"/>
  <c r="AF14" i="7"/>
  <c r="AG14" i="7"/>
  <c r="AH14" i="7"/>
  <c r="AJ14" i="7"/>
  <c r="AK14" i="7"/>
  <c r="AL14" i="7"/>
  <c r="AO14" i="7"/>
  <c r="I14" i="7" s="1"/>
  <c r="AP14" i="7"/>
  <c r="AW14" i="7"/>
  <c r="BD14" i="7"/>
  <c r="BF14" i="7"/>
  <c r="BH14" i="7"/>
  <c r="AB14" i="7" s="1"/>
  <c r="BI14" i="7"/>
  <c r="AC14" i="7" s="1"/>
  <c r="BJ14" i="7"/>
  <c r="K15" i="7"/>
  <c r="AK15" i="7" s="1"/>
  <c r="Z15" i="7"/>
  <c r="AD15" i="7"/>
  <c r="AE15" i="7"/>
  <c r="AF15" i="7"/>
  <c r="AG15" i="7"/>
  <c r="AH15" i="7"/>
  <c r="AJ15" i="7"/>
  <c r="AL15" i="7"/>
  <c r="AO15" i="7"/>
  <c r="AP15" i="7"/>
  <c r="BD15" i="7"/>
  <c r="BF15" i="7"/>
  <c r="BH15" i="7"/>
  <c r="AB15" i="7" s="1"/>
  <c r="BJ15" i="7"/>
  <c r="K16" i="7"/>
  <c r="AK16" i="7" s="1"/>
  <c r="Z16" i="7"/>
  <c r="AD16" i="7"/>
  <c r="AE16" i="7"/>
  <c r="AF16" i="7"/>
  <c r="AG16" i="7"/>
  <c r="AH16" i="7"/>
  <c r="AJ16" i="7"/>
  <c r="AL16" i="7"/>
  <c r="AO16" i="7"/>
  <c r="AP16" i="7"/>
  <c r="BD16" i="7"/>
  <c r="BF16" i="7"/>
  <c r="BJ16" i="7"/>
  <c r="K17" i="7"/>
  <c r="Z17" i="7"/>
  <c r="AD17" i="7"/>
  <c r="AE17" i="7"/>
  <c r="AF17" i="7"/>
  <c r="AG17" i="7"/>
  <c r="AH17" i="7"/>
  <c r="AJ17" i="7"/>
  <c r="AK17" i="7"/>
  <c r="AL17" i="7"/>
  <c r="AO17" i="7"/>
  <c r="AP17" i="7"/>
  <c r="BD17" i="7"/>
  <c r="BF17" i="7"/>
  <c r="BJ17" i="7"/>
  <c r="K18" i="7"/>
  <c r="Z18" i="7"/>
  <c r="AD18" i="7"/>
  <c r="AE18" i="7"/>
  <c r="AF18" i="7"/>
  <c r="AG18" i="7"/>
  <c r="AH18" i="7"/>
  <c r="AJ18" i="7"/>
  <c r="AK18" i="7"/>
  <c r="AL18" i="7"/>
  <c r="AO18" i="7"/>
  <c r="I18" i="7" s="1"/>
  <c r="AP18" i="7"/>
  <c r="BD18" i="7"/>
  <c r="BF18" i="7"/>
  <c r="BJ18" i="7"/>
  <c r="K19" i="7"/>
  <c r="AK19" i="7" s="1"/>
  <c r="Z19" i="7"/>
  <c r="AD19" i="7"/>
  <c r="AE19" i="7"/>
  <c r="AF19" i="7"/>
  <c r="AG19" i="7"/>
  <c r="AH19" i="7"/>
  <c r="AJ19" i="7"/>
  <c r="AL19" i="7"/>
  <c r="AO19" i="7"/>
  <c r="BH19" i="7" s="1"/>
  <c r="AB19" i="7" s="1"/>
  <c r="AP19" i="7"/>
  <c r="AX19" i="7" s="1"/>
  <c r="BD19" i="7"/>
  <c r="BF19" i="7"/>
  <c r="BJ19" i="7"/>
  <c r="K21" i="7"/>
  <c r="Z21" i="7"/>
  <c r="AD21" i="7"/>
  <c r="AE21" i="7"/>
  <c r="AF21" i="7"/>
  <c r="AG21" i="7"/>
  <c r="AH21" i="7"/>
  <c r="AJ21" i="7"/>
  <c r="AS20" i="7" s="1"/>
  <c r="AL21" i="7"/>
  <c r="AU20" i="7" s="1"/>
  <c r="AO21" i="7"/>
  <c r="I21" i="7" s="1"/>
  <c r="I20" i="7" s="1"/>
  <c r="E12" i="6" s="1"/>
  <c r="AP21" i="7"/>
  <c r="AW21" i="7"/>
  <c r="BD21" i="7"/>
  <c r="BF21" i="7"/>
  <c r="BH21" i="7"/>
  <c r="AB21" i="7" s="1"/>
  <c r="BJ21" i="7"/>
  <c r="K23" i="7"/>
  <c r="AK23" i="7" s="1"/>
  <c r="Z23" i="7"/>
  <c r="AD23" i="7"/>
  <c r="AE23" i="7"/>
  <c r="AF23" i="7"/>
  <c r="AG23" i="7"/>
  <c r="AH23" i="7"/>
  <c r="AJ23" i="7"/>
  <c r="AL23" i="7"/>
  <c r="AO23" i="7"/>
  <c r="I23" i="7" s="1"/>
  <c r="AP23" i="7"/>
  <c r="BD23" i="7"/>
  <c r="BF23" i="7"/>
  <c r="BH23" i="7"/>
  <c r="AB23" i="7" s="1"/>
  <c r="BJ23" i="7"/>
  <c r="K24" i="7"/>
  <c r="AK24" i="7" s="1"/>
  <c r="Z24" i="7"/>
  <c r="AD24" i="7"/>
  <c r="AE24" i="7"/>
  <c r="AF24" i="7"/>
  <c r="AG24" i="7"/>
  <c r="AH24" i="7"/>
  <c r="AJ24" i="7"/>
  <c r="AL24" i="7"/>
  <c r="AO24" i="7"/>
  <c r="AW24" i="7" s="1"/>
  <c r="AP24" i="7"/>
  <c r="BD24" i="7"/>
  <c r="BF24" i="7"/>
  <c r="BH24" i="7"/>
  <c r="AB24" i="7" s="1"/>
  <c r="BJ24" i="7"/>
  <c r="K25" i="7"/>
  <c r="AK25" i="7" s="1"/>
  <c r="Z25" i="7"/>
  <c r="AD25" i="7"/>
  <c r="AE25" i="7"/>
  <c r="AF25" i="7"/>
  <c r="AG25" i="7"/>
  <c r="AH25" i="7"/>
  <c r="AJ25" i="7"/>
  <c r="AL25" i="7"/>
  <c r="AO25" i="7"/>
  <c r="AP25" i="7"/>
  <c r="BD25" i="7"/>
  <c r="BF25" i="7"/>
  <c r="BJ25" i="7"/>
  <c r="K26" i="7"/>
  <c r="AK26" i="7" s="1"/>
  <c r="Z26" i="7"/>
  <c r="AD26" i="7"/>
  <c r="AE26" i="7"/>
  <c r="AF26" i="7"/>
  <c r="AG26" i="7"/>
  <c r="AH26" i="7"/>
  <c r="AJ26" i="7"/>
  <c r="AL26" i="7"/>
  <c r="AO26" i="7"/>
  <c r="AP26" i="7"/>
  <c r="BD26" i="7"/>
  <c r="BF26" i="7"/>
  <c r="BJ26" i="7"/>
  <c r="K28" i="7"/>
  <c r="Z28" i="7"/>
  <c r="AD28" i="7"/>
  <c r="AE28" i="7"/>
  <c r="AF28" i="7"/>
  <c r="AG28" i="7"/>
  <c r="AH28" i="7"/>
  <c r="AJ28" i="7"/>
  <c r="AL28" i="7"/>
  <c r="AO28" i="7"/>
  <c r="AP28" i="7"/>
  <c r="BD28" i="7"/>
  <c r="BF28" i="7"/>
  <c r="BH28" i="7"/>
  <c r="AB28" i="7" s="1"/>
  <c r="BJ28" i="7"/>
  <c r="K30" i="7"/>
  <c r="AK30" i="7" s="1"/>
  <c r="Z30" i="7"/>
  <c r="AD30" i="7"/>
  <c r="AE30" i="7"/>
  <c r="AF30" i="7"/>
  <c r="AG30" i="7"/>
  <c r="AH30" i="7"/>
  <c r="AJ30" i="7"/>
  <c r="AL30" i="7"/>
  <c r="AO30" i="7"/>
  <c r="AP30" i="7"/>
  <c r="AX30" i="7" s="1"/>
  <c r="BD30" i="7"/>
  <c r="BF30" i="7"/>
  <c r="BH30" i="7"/>
  <c r="AB30" i="7" s="1"/>
  <c r="BJ30" i="7"/>
  <c r="K31" i="7"/>
  <c r="Z31" i="7"/>
  <c r="AD31" i="7"/>
  <c r="AE31" i="7"/>
  <c r="AF31" i="7"/>
  <c r="AG31" i="7"/>
  <c r="AH31" i="7"/>
  <c r="AJ31" i="7"/>
  <c r="AK31" i="7"/>
  <c r="AL31" i="7"/>
  <c r="AO31" i="7"/>
  <c r="I31" i="7" s="1"/>
  <c r="AP31" i="7"/>
  <c r="AX31" i="7" s="1"/>
  <c r="AW31" i="7"/>
  <c r="BD31" i="7"/>
  <c r="BF31" i="7"/>
  <c r="BJ31" i="7"/>
  <c r="K33" i="7"/>
  <c r="Z33" i="7"/>
  <c r="AD33" i="7"/>
  <c r="AE33" i="7"/>
  <c r="AF33" i="7"/>
  <c r="AG33" i="7"/>
  <c r="AH33" i="7"/>
  <c r="AJ33" i="7"/>
  <c r="AL33" i="7"/>
  <c r="AO33" i="7"/>
  <c r="AP33" i="7"/>
  <c r="J33" i="7" s="1"/>
  <c r="AX33" i="7"/>
  <c r="BD33" i="7"/>
  <c r="BF33" i="7"/>
  <c r="BI33" i="7"/>
  <c r="AC33" i="7" s="1"/>
  <c r="BJ33" i="7"/>
  <c r="K34" i="7"/>
  <c r="Z34" i="7"/>
  <c r="AD34" i="7"/>
  <c r="AE34" i="7"/>
  <c r="AF34" i="7"/>
  <c r="AG34" i="7"/>
  <c r="AH34" i="7"/>
  <c r="AJ34" i="7"/>
  <c r="AK34" i="7"/>
  <c r="AL34" i="7"/>
  <c r="AO34" i="7"/>
  <c r="AP34" i="7"/>
  <c r="AX34" i="7" s="1"/>
  <c r="BD34" i="7"/>
  <c r="BF34" i="7"/>
  <c r="BJ34" i="7"/>
  <c r="K35" i="7"/>
  <c r="Z35" i="7"/>
  <c r="AD35" i="7"/>
  <c r="AE35" i="7"/>
  <c r="AF35" i="7"/>
  <c r="AG35" i="7"/>
  <c r="AH35" i="7"/>
  <c r="AJ35" i="7"/>
  <c r="AK35" i="7"/>
  <c r="AL35" i="7"/>
  <c r="AO35" i="7"/>
  <c r="I35" i="7" s="1"/>
  <c r="AP35" i="7"/>
  <c r="AW35" i="7"/>
  <c r="BD35" i="7"/>
  <c r="BF35" i="7"/>
  <c r="BH35" i="7"/>
  <c r="AB35" i="7" s="1"/>
  <c r="BI35" i="7"/>
  <c r="AC35" i="7" s="1"/>
  <c r="BJ35" i="7"/>
  <c r="K36" i="7"/>
  <c r="AK36" i="7" s="1"/>
  <c r="Z36" i="7"/>
  <c r="AD36" i="7"/>
  <c r="AE36" i="7"/>
  <c r="AF36" i="7"/>
  <c r="AG36" i="7"/>
  <c r="AH36" i="7"/>
  <c r="AJ36" i="7"/>
  <c r="AL36" i="7"/>
  <c r="AO36" i="7"/>
  <c r="AP36" i="7"/>
  <c r="BD36" i="7"/>
  <c r="BF36" i="7"/>
  <c r="BJ36" i="7"/>
  <c r="K38" i="7"/>
  <c r="AK38" i="7" s="1"/>
  <c r="Z38" i="7"/>
  <c r="AD38" i="7"/>
  <c r="AE38" i="7"/>
  <c r="AF38" i="7"/>
  <c r="AG38" i="7"/>
  <c r="AH38" i="7"/>
  <c r="AJ38" i="7"/>
  <c r="AL38" i="7"/>
  <c r="AO38" i="7"/>
  <c r="AP38" i="7"/>
  <c r="BI38" i="7" s="1"/>
  <c r="AC38" i="7" s="1"/>
  <c r="BD38" i="7"/>
  <c r="BF38" i="7"/>
  <c r="BH38" i="7"/>
  <c r="AB38" i="7" s="1"/>
  <c r="BJ38" i="7"/>
  <c r="K39" i="7"/>
  <c r="AK39" i="7" s="1"/>
  <c r="Z39" i="7"/>
  <c r="AD39" i="7"/>
  <c r="AE39" i="7"/>
  <c r="AF39" i="7"/>
  <c r="AG39" i="7"/>
  <c r="AH39" i="7"/>
  <c r="AJ39" i="7"/>
  <c r="AL39" i="7"/>
  <c r="AO39" i="7"/>
  <c r="AP39" i="7"/>
  <c r="BD39" i="7"/>
  <c r="BF39" i="7"/>
  <c r="BH39" i="7"/>
  <c r="AB39" i="7" s="1"/>
  <c r="BJ39" i="7"/>
  <c r="K41" i="7"/>
  <c r="Z41" i="7"/>
  <c r="AD41" i="7"/>
  <c r="AE41" i="7"/>
  <c r="AF41" i="7"/>
  <c r="AG41" i="7"/>
  <c r="AH41" i="7"/>
  <c r="AJ41" i="7"/>
  <c r="AK41" i="7"/>
  <c r="AL41" i="7"/>
  <c r="AO41" i="7"/>
  <c r="AP41" i="7"/>
  <c r="BD41" i="7"/>
  <c r="BF41" i="7"/>
  <c r="BJ41" i="7"/>
  <c r="K42" i="7"/>
  <c r="Z42" i="7"/>
  <c r="AD42" i="7"/>
  <c r="AE42" i="7"/>
  <c r="AF42" i="7"/>
  <c r="AG42" i="7"/>
  <c r="AH42" i="7"/>
  <c r="AJ42" i="7"/>
  <c r="AL42" i="7"/>
  <c r="AU40" i="7" s="1"/>
  <c r="AO42" i="7"/>
  <c r="AP42" i="7"/>
  <c r="J42" i="7" s="1"/>
  <c r="BD42" i="7"/>
  <c r="BF42" i="7"/>
  <c r="BH42" i="7"/>
  <c r="AB42" i="7" s="1"/>
  <c r="BI42" i="7"/>
  <c r="AC42" i="7" s="1"/>
  <c r="BJ42" i="7"/>
  <c r="K44" i="7"/>
  <c r="Z44" i="7"/>
  <c r="AD44" i="7"/>
  <c r="AE44" i="7"/>
  <c r="AF44" i="7"/>
  <c r="AG44" i="7"/>
  <c r="AH44" i="7"/>
  <c r="AJ44" i="7"/>
  <c r="AK44" i="7"/>
  <c r="AL44" i="7"/>
  <c r="AO44" i="7"/>
  <c r="I44" i="7" s="1"/>
  <c r="AP44" i="7"/>
  <c r="AW44" i="7"/>
  <c r="BD44" i="7"/>
  <c r="BF44" i="7"/>
  <c r="BH44" i="7"/>
  <c r="AB44" i="7" s="1"/>
  <c r="BJ44" i="7"/>
  <c r="K45" i="7"/>
  <c r="Z45" i="7"/>
  <c r="AD45" i="7"/>
  <c r="AE45" i="7"/>
  <c r="AF45" i="7"/>
  <c r="AG45" i="7"/>
  <c r="AH45" i="7"/>
  <c r="AJ45" i="7"/>
  <c r="AL45" i="7"/>
  <c r="AO45" i="7"/>
  <c r="AP45" i="7"/>
  <c r="J45" i="7" s="1"/>
  <c r="BD45" i="7"/>
  <c r="BF45" i="7"/>
  <c r="BI45" i="7"/>
  <c r="AC45" i="7" s="1"/>
  <c r="BJ45" i="7"/>
  <c r="K47" i="7"/>
  <c r="Z47" i="7"/>
  <c r="AD47" i="7"/>
  <c r="AE47" i="7"/>
  <c r="AF47" i="7"/>
  <c r="AG47" i="7"/>
  <c r="AH47" i="7"/>
  <c r="AJ47" i="7"/>
  <c r="AK47" i="7"/>
  <c r="AL47" i="7"/>
  <c r="AO47" i="7"/>
  <c r="AP47" i="7"/>
  <c r="BI47" i="7" s="1"/>
  <c r="AC47" i="7" s="1"/>
  <c r="BD47" i="7"/>
  <c r="BF47" i="7"/>
  <c r="BH47" i="7"/>
  <c r="AB47" i="7" s="1"/>
  <c r="BJ47" i="7"/>
  <c r="K48" i="7"/>
  <c r="AK48" i="7" s="1"/>
  <c r="Z48" i="7"/>
  <c r="AD48" i="7"/>
  <c r="AE48" i="7"/>
  <c r="AF48" i="7"/>
  <c r="AG48" i="7"/>
  <c r="AH48" i="7"/>
  <c r="AJ48" i="7"/>
  <c r="AL48" i="7"/>
  <c r="AO48" i="7"/>
  <c r="AP48" i="7"/>
  <c r="BD48" i="7"/>
  <c r="BF48" i="7"/>
  <c r="BJ48" i="7"/>
  <c r="K49" i="7"/>
  <c r="AK49" i="7" s="1"/>
  <c r="Z49" i="7"/>
  <c r="AD49" i="7"/>
  <c r="AE49" i="7"/>
  <c r="AF49" i="7"/>
  <c r="AG49" i="7"/>
  <c r="AH49" i="7"/>
  <c r="AJ49" i="7"/>
  <c r="AL49" i="7"/>
  <c r="AO49" i="7"/>
  <c r="AP49" i="7"/>
  <c r="J49" i="7" s="1"/>
  <c r="BD49" i="7"/>
  <c r="BF49" i="7"/>
  <c r="BJ49" i="7"/>
  <c r="K50" i="7"/>
  <c r="AK50" i="7" s="1"/>
  <c r="Z50" i="7"/>
  <c r="AD50" i="7"/>
  <c r="AE50" i="7"/>
  <c r="AF50" i="7"/>
  <c r="AG50" i="7"/>
  <c r="AH50" i="7"/>
  <c r="AJ50" i="7"/>
  <c r="AL50" i="7"/>
  <c r="AO50" i="7"/>
  <c r="AP50" i="7"/>
  <c r="AX50" i="7" s="1"/>
  <c r="BD50" i="7"/>
  <c r="BF50" i="7"/>
  <c r="BJ50" i="7"/>
  <c r="K52" i="7"/>
  <c r="Z52" i="7"/>
  <c r="AD52" i="7"/>
  <c r="AE52" i="7"/>
  <c r="AF52" i="7"/>
  <c r="AG52" i="7"/>
  <c r="AH52" i="7"/>
  <c r="AJ52" i="7"/>
  <c r="AL52" i="7"/>
  <c r="AO52" i="7"/>
  <c r="AP52" i="7"/>
  <c r="BD52" i="7"/>
  <c r="BF52" i="7"/>
  <c r="BJ52" i="7"/>
  <c r="K53" i="7"/>
  <c r="Z53" i="7"/>
  <c r="AD53" i="7"/>
  <c r="AE53" i="7"/>
  <c r="AF53" i="7"/>
  <c r="AG53" i="7"/>
  <c r="AH53" i="7"/>
  <c r="AJ53" i="7"/>
  <c r="AK53" i="7"/>
  <c r="AL53" i="7"/>
  <c r="AO53" i="7"/>
  <c r="I53" i="7" s="1"/>
  <c r="AP53" i="7"/>
  <c r="AX53" i="7" s="1"/>
  <c r="BD53" i="7"/>
  <c r="BF53" i="7"/>
  <c r="BH53" i="7"/>
  <c r="AB53" i="7" s="1"/>
  <c r="BJ53" i="7"/>
  <c r="K54" i="7"/>
  <c r="Z54" i="7"/>
  <c r="AD54" i="7"/>
  <c r="AE54" i="7"/>
  <c r="AF54" i="7"/>
  <c r="AG54" i="7"/>
  <c r="AH54" i="7"/>
  <c r="AJ54" i="7"/>
  <c r="AK54" i="7"/>
  <c r="AL54" i="7"/>
  <c r="AO54" i="7"/>
  <c r="AP54" i="7"/>
  <c r="BD54" i="7"/>
  <c r="BF54" i="7"/>
  <c r="BH54" i="7"/>
  <c r="AB54" i="7" s="1"/>
  <c r="BI54" i="7"/>
  <c r="AC54" i="7" s="1"/>
  <c r="BJ54" i="7"/>
  <c r="K56" i="7"/>
  <c r="K55" i="7" s="1"/>
  <c r="Z56" i="7"/>
  <c r="AD56" i="7"/>
  <c r="AE56" i="7"/>
  <c r="AF56" i="7"/>
  <c r="AG56" i="7"/>
  <c r="AH56" i="7"/>
  <c r="AJ56" i="7"/>
  <c r="AS55" i="7" s="1"/>
  <c r="AK56" i="7"/>
  <c r="AT55" i="7" s="1"/>
  <c r="AL56" i="7"/>
  <c r="AU55" i="7" s="1"/>
  <c r="AO56" i="7"/>
  <c r="AP56" i="7"/>
  <c r="BD56" i="7"/>
  <c r="BF56" i="7"/>
  <c r="BJ56" i="7"/>
  <c r="K58" i="7"/>
  <c r="Z58" i="7"/>
  <c r="AD58" i="7"/>
  <c r="AE58" i="7"/>
  <c r="AF58" i="7"/>
  <c r="AG58" i="7"/>
  <c r="AH58" i="7"/>
  <c r="AJ58" i="7"/>
  <c r="AS57" i="7" s="1"/>
  <c r="AL58" i="7"/>
  <c r="AU57" i="7" s="1"/>
  <c r="AO58" i="7"/>
  <c r="AP58" i="7"/>
  <c r="J58" i="7" s="1"/>
  <c r="J57" i="7" s="1"/>
  <c r="BD58" i="7"/>
  <c r="BF58" i="7"/>
  <c r="BJ58" i="7"/>
  <c r="K60" i="7"/>
  <c r="Z60" i="7"/>
  <c r="AD60" i="7"/>
  <c r="AE60" i="7"/>
  <c r="AF60" i="7"/>
  <c r="AG60" i="7"/>
  <c r="AH60" i="7"/>
  <c r="AJ60" i="7"/>
  <c r="AL60" i="7"/>
  <c r="AO60" i="7"/>
  <c r="AP60" i="7"/>
  <c r="BD60" i="7"/>
  <c r="BF60" i="7"/>
  <c r="BJ60" i="7"/>
  <c r="K61" i="7"/>
  <c r="AK61" i="7" s="1"/>
  <c r="Z61" i="7"/>
  <c r="AD61" i="7"/>
  <c r="AE61" i="7"/>
  <c r="AF61" i="7"/>
  <c r="AG61" i="7"/>
  <c r="AH61" i="7"/>
  <c r="AJ61" i="7"/>
  <c r="AL61" i="7"/>
  <c r="AO61" i="7"/>
  <c r="AP61" i="7"/>
  <c r="BI61" i="7" s="1"/>
  <c r="AC61" i="7" s="1"/>
  <c r="BD61" i="7"/>
  <c r="BF61" i="7"/>
  <c r="BJ61" i="7"/>
  <c r="K62" i="7"/>
  <c r="AK62" i="7" s="1"/>
  <c r="Z62" i="7"/>
  <c r="AD62" i="7"/>
  <c r="AE62" i="7"/>
  <c r="AF62" i="7"/>
  <c r="AG62" i="7"/>
  <c r="AH62" i="7"/>
  <c r="AJ62" i="7"/>
  <c r="AL62" i="7"/>
  <c r="AO62" i="7"/>
  <c r="AP62" i="7"/>
  <c r="AX62" i="7" s="1"/>
  <c r="BD62" i="7"/>
  <c r="BF62" i="7"/>
  <c r="BJ62" i="7"/>
  <c r="K63" i="7"/>
  <c r="Z63" i="7"/>
  <c r="AD63" i="7"/>
  <c r="AE63" i="7"/>
  <c r="AF63" i="7"/>
  <c r="AG63" i="7"/>
  <c r="AH63" i="7"/>
  <c r="AJ63" i="7"/>
  <c r="AK63" i="7"/>
  <c r="AL63" i="7"/>
  <c r="AO63" i="7"/>
  <c r="AP63" i="7"/>
  <c r="BD63" i="7"/>
  <c r="BF63" i="7"/>
  <c r="BH63" i="7"/>
  <c r="AB63" i="7" s="1"/>
  <c r="BI63" i="7"/>
  <c r="AC63" i="7" s="1"/>
  <c r="BJ63" i="7"/>
  <c r="K64" i="7"/>
  <c r="AK64" i="7" s="1"/>
  <c r="Z64" i="7"/>
  <c r="AD64" i="7"/>
  <c r="AE64" i="7"/>
  <c r="AF64" i="7"/>
  <c r="AG64" i="7"/>
  <c r="AH64" i="7"/>
  <c r="AJ64" i="7"/>
  <c r="AL64" i="7"/>
  <c r="AO64" i="7"/>
  <c r="BH64" i="7" s="1"/>
  <c r="AB64" i="7" s="1"/>
  <c r="AP64" i="7"/>
  <c r="AX64" i="7" s="1"/>
  <c r="BD64" i="7"/>
  <c r="BF64" i="7"/>
  <c r="BJ64" i="7"/>
  <c r="K65" i="7"/>
  <c r="AK65" i="7" s="1"/>
  <c r="Z65" i="7"/>
  <c r="AD65" i="7"/>
  <c r="AE65" i="7"/>
  <c r="AF65" i="7"/>
  <c r="AG65" i="7"/>
  <c r="AH65" i="7"/>
  <c r="AJ65" i="7"/>
  <c r="AL65" i="7"/>
  <c r="AO65" i="7"/>
  <c r="AP65" i="7"/>
  <c r="BD65" i="7"/>
  <c r="BF65" i="7"/>
  <c r="BJ65" i="7"/>
  <c r="K67" i="7"/>
  <c r="Z67" i="7"/>
  <c r="AD67" i="7"/>
  <c r="AE67" i="7"/>
  <c r="AF67" i="7"/>
  <c r="AG67" i="7"/>
  <c r="AH67" i="7"/>
  <c r="AJ67" i="7"/>
  <c r="AL67" i="7"/>
  <c r="AO67" i="7"/>
  <c r="AP67" i="7"/>
  <c r="J67" i="7" s="1"/>
  <c r="BD67" i="7"/>
  <c r="BF67" i="7"/>
  <c r="BJ67" i="7"/>
  <c r="K68" i="7"/>
  <c r="AK68" i="7" s="1"/>
  <c r="Z68" i="7"/>
  <c r="AD68" i="7"/>
  <c r="AE68" i="7"/>
  <c r="AF68" i="7"/>
  <c r="AG68" i="7"/>
  <c r="AH68" i="7"/>
  <c r="AJ68" i="7"/>
  <c r="AL68" i="7"/>
  <c r="AO68" i="7"/>
  <c r="AP68" i="7"/>
  <c r="J68" i="7" s="1"/>
  <c r="BD68" i="7"/>
  <c r="BF68" i="7"/>
  <c r="BI68" i="7"/>
  <c r="AC68" i="7" s="1"/>
  <c r="BJ68" i="7"/>
  <c r="K69" i="7"/>
  <c r="AK69" i="7" s="1"/>
  <c r="Z69" i="7"/>
  <c r="AD69" i="7"/>
  <c r="AE69" i="7"/>
  <c r="AF69" i="7"/>
  <c r="AG69" i="7"/>
  <c r="AH69" i="7"/>
  <c r="AJ69" i="7"/>
  <c r="AL69" i="7"/>
  <c r="AO69" i="7"/>
  <c r="AP69" i="7"/>
  <c r="AX69" i="7" s="1"/>
  <c r="BD69" i="7"/>
  <c r="BF69" i="7"/>
  <c r="BI69" i="7"/>
  <c r="AC69" i="7" s="1"/>
  <c r="BJ69" i="7"/>
  <c r="K70" i="7"/>
  <c r="Z70" i="7"/>
  <c r="AD70" i="7"/>
  <c r="AE70" i="7"/>
  <c r="AF70" i="7"/>
  <c r="AG70" i="7"/>
  <c r="AH70" i="7"/>
  <c r="AJ70" i="7"/>
  <c r="AK70" i="7"/>
  <c r="AL70" i="7"/>
  <c r="AO70" i="7"/>
  <c r="AP70" i="7"/>
  <c r="BD70" i="7"/>
  <c r="BF70" i="7"/>
  <c r="BI70" i="7"/>
  <c r="AC70" i="7" s="1"/>
  <c r="BJ70" i="7"/>
  <c r="K71" i="7"/>
  <c r="AK71" i="7" s="1"/>
  <c r="Z71" i="7"/>
  <c r="AD71" i="7"/>
  <c r="AE71" i="7"/>
  <c r="AF71" i="7"/>
  <c r="AG71" i="7"/>
  <c r="AH71" i="7"/>
  <c r="AJ71" i="7"/>
  <c r="AL71" i="7"/>
  <c r="AO71" i="7"/>
  <c r="AP71" i="7"/>
  <c r="BD71" i="7"/>
  <c r="BF71" i="7"/>
  <c r="BJ71" i="7"/>
  <c r="K72" i="7"/>
  <c r="AK72" i="7" s="1"/>
  <c r="Z72" i="7"/>
  <c r="AD72" i="7"/>
  <c r="AE72" i="7"/>
  <c r="AF72" i="7"/>
  <c r="AG72" i="7"/>
  <c r="AH72" i="7"/>
  <c r="AJ72" i="7"/>
  <c r="AL72" i="7"/>
  <c r="AO72" i="7"/>
  <c r="AP72" i="7"/>
  <c r="BD72" i="7"/>
  <c r="BF72" i="7"/>
  <c r="BJ72" i="7"/>
  <c r="K74" i="7"/>
  <c r="AK74" i="7" s="1"/>
  <c r="Z74" i="7"/>
  <c r="AD74" i="7"/>
  <c r="AE74" i="7"/>
  <c r="AF74" i="7"/>
  <c r="AG74" i="7"/>
  <c r="AH74" i="7"/>
  <c r="AJ74" i="7"/>
  <c r="AL74" i="7"/>
  <c r="AO74" i="7"/>
  <c r="AP74" i="7"/>
  <c r="AX74" i="7" s="1"/>
  <c r="BD74" i="7"/>
  <c r="BF74" i="7"/>
  <c r="BJ74" i="7"/>
  <c r="K76" i="7"/>
  <c r="Z76" i="7"/>
  <c r="AD76" i="7"/>
  <c r="AE76" i="7"/>
  <c r="AF76" i="7"/>
  <c r="AG76" i="7"/>
  <c r="AH76" i="7"/>
  <c r="AJ76" i="7"/>
  <c r="AK76" i="7"/>
  <c r="AL76" i="7"/>
  <c r="AO76" i="7"/>
  <c r="I76" i="7" s="1"/>
  <c r="AP76" i="7"/>
  <c r="BD76" i="7"/>
  <c r="BF76" i="7"/>
  <c r="BJ76" i="7"/>
  <c r="K78" i="7"/>
  <c r="AK78" i="7" s="1"/>
  <c r="Z78" i="7"/>
  <c r="AD78" i="7"/>
  <c r="AE78" i="7"/>
  <c r="AF78" i="7"/>
  <c r="AG78" i="7"/>
  <c r="AH78" i="7"/>
  <c r="AJ78" i="7"/>
  <c r="AL78" i="7"/>
  <c r="AO78" i="7"/>
  <c r="AP78" i="7"/>
  <c r="AX78" i="7" s="1"/>
  <c r="BD78" i="7"/>
  <c r="BF78" i="7"/>
  <c r="BH78" i="7"/>
  <c r="AB78" i="7" s="1"/>
  <c r="BJ78" i="7"/>
  <c r="K80" i="7"/>
  <c r="AK80" i="7" s="1"/>
  <c r="Z80" i="7"/>
  <c r="AD80" i="7"/>
  <c r="AE80" i="7"/>
  <c r="AF80" i="7"/>
  <c r="AG80" i="7"/>
  <c r="AH80" i="7"/>
  <c r="AJ80" i="7"/>
  <c r="AL80" i="7"/>
  <c r="AO80" i="7"/>
  <c r="I80" i="7" s="1"/>
  <c r="AP80" i="7"/>
  <c r="J80" i="7" s="1"/>
  <c r="AW80" i="7"/>
  <c r="BD80" i="7"/>
  <c r="BF80" i="7"/>
  <c r="BH80" i="7"/>
  <c r="AB80" i="7" s="1"/>
  <c r="BJ80" i="7"/>
  <c r="K81" i="7"/>
  <c r="Z81" i="7"/>
  <c r="AD81" i="7"/>
  <c r="AE81" i="7"/>
  <c r="AF81" i="7"/>
  <c r="AG81" i="7"/>
  <c r="AH81" i="7"/>
  <c r="AJ81" i="7"/>
  <c r="AK81" i="7"/>
  <c r="AL81" i="7"/>
  <c r="AO81" i="7"/>
  <c r="AP81" i="7"/>
  <c r="AX81" i="7" s="1"/>
  <c r="BD81" i="7"/>
  <c r="BF81" i="7"/>
  <c r="BI81" i="7"/>
  <c r="AC81" i="7" s="1"/>
  <c r="BJ81" i="7"/>
  <c r="K82" i="7"/>
  <c r="AK82" i="7" s="1"/>
  <c r="Z82" i="7"/>
  <c r="AD82" i="7"/>
  <c r="AE82" i="7"/>
  <c r="AF82" i="7"/>
  <c r="AG82" i="7"/>
  <c r="AH82" i="7"/>
  <c r="AJ82" i="7"/>
  <c r="AL82" i="7"/>
  <c r="AO82" i="7"/>
  <c r="AW82" i="7" s="1"/>
  <c r="AP82" i="7"/>
  <c r="BD82" i="7"/>
  <c r="BF82" i="7"/>
  <c r="BH82" i="7"/>
  <c r="AB82" i="7" s="1"/>
  <c r="BJ82" i="7"/>
  <c r="K83" i="7"/>
  <c r="AK83" i="7" s="1"/>
  <c r="Z83" i="7"/>
  <c r="AD83" i="7"/>
  <c r="AE83" i="7"/>
  <c r="AF83" i="7"/>
  <c r="AG83" i="7"/>
  <c r="AH83" i="7"/>
  <c r="AJ83" i="7"/>
  <c r="AL83" i="7"/>
  <c r="AO83" i="7"/>
  <c r="AP83" i="7"/>
  <c r="BD83" i="7"/>
  <c r="BF83" i="7"/>
  <c r="BJ83" i="7"/>
  <c r="K84" i="7"/>
  <c r="AK84" i="7" s="1"/>
  <c r="Z84" i="7"/>
  <c r="AD84" i="7"/>
  <c r="AE84" i="7"/>
  <c r="AF84" i="7"/>
  <c r="AG84" i="7"/>
  <c r="AH84" i="7"/>
  <c r="AJ84" i="7"/>
  <c r="AL84" i="7"/>
  <c r="AO84" i="7"/>
  <c r="AP84" i="7"/>
  <c r="J84" i="7" s="1"/>
  <c r="BD84" i="7"/>
  <c r="BF84" i="7"/>
  <c r="BJ84" i="7"/>
  <c r="K85" i="7"/>
  <c r="AK85" i="7" s="1"/>
  <c r="Z85" i="7"/>
  <c r="AD85" i="7"/>
  <c r="AE85" i="7"/>
  <c r="AF85" i="7"/>
  <c r="AG85" i="7"/>
  <c r="AH85" i="7"/>
  <c r="AJ85" i="7"/>
  <c r="AL85" i="7"/>
  <c r="AO85" i="7"/>
  <c r="AP85" i="7"/>
  <c r="BD85" i="7"/>
  <c r="BF85" i="7"/>
  <c r="BJ85" i="7"/>
  <c r="K86" i="7"/>
  <c r="AK86" i="7" s="1"/>
  <c r="Z86" i="7"/>
  <c r="AD86" i="7"/>
  <c r="AE86" i="7"/>
  <c r="AF86" i="7"/>
  <c r="AG86" i="7"/>
  <c r="AH86" i="7"/>
  <c r="AJ86" i="7"/>
  <c r="AL86" i="7"/>
  <c r="AO86" i="7"/>
  <c r="AP86" i="7"/>
  <c r="BD86" i="7"/>
  <c r="BF86" i="7"/>
  <c r="BJ86" i="7"/>
  <c r="I87" i="7"/>
  <c r="K87" i="7"/>
  <c r="Z87" i="7"/>
  <c r="AD87" i="7"/>
  <c r="AE87" i="7"/>
  <c r="AF87" i="7"/>
  <c r="AG87" i="7"/>
  <c r="AH87" i="7"/>
  <c r="AJ87" i="7"/>
  <c r="AK87" i="7"/>
  <c r="AL87" i="7"/>
  <c r="AO87" i="7"/>
  <c r="AP87" i="7"/>
  <c r="BD87" i="7"/>
  <c r="BF87" i="7"/>
  <c r="BJ87" i="7"/>
  <c r="K88" i="7"/>
  <c r="AK88" i="7" s="1"/>
  <c r="Z88" i="7"/>
  <c r="AD88" i="7"/>
  <c r="AE88" i="7"/>
  <c r="AF88" i="7"/>
  <c r="AG88" i="7"/>
  <c r="AH88" i="7"/>
  <c r="AJ88" i="7"/>
  <c r="AL88" i="7"/>
  <c r="AO88" i="7"/>
  <c r="I88" i="7" s="1"/>
  <c r="AP88" i="7"/>
  <c r="BD88" i="7"/>
  <c r="BF88" i="7"/>
  <c r="BJ88" i="7"/>
  <c r="K89" i="7"/>
  <c r="AK89" i="7" s="1"/>
  <c r="Z89" i="7"/>
  <c r="AD89" i="7"/>
  <c r="AE89" i="7"/>
  <c r="AF89" i="7"/>
  <c r="AG89" i="7"/>
  <c r="AH89" i="7"/>
  <c r="AJ89" i="7"/>
  <c r="AL89" i="7"/>
  <c r="AO89" i="7"/>
  <c r="AP89" i="7"/>
  <c r="BD89" i="7"/>
  <c r="BF89" i="7"/>
  <c r="BI89" i="7"/>
  <c r="AC89" i="7" s="1"/>
  <c r="BJ89" i="7"/>
  <c r="K91" i="7"/>
  <c r="K90" i="7" s="1"/>
  <c r="Z91" i="7"/>
  <c r="AD91" i="7"/>
  <c r="AE91" i="7"/>
  <c r="AF91" i="7"/>
  <c r="AG91" i="7"/>
  <c r="AH91" i="7"/>
  <c r="AJ91" i="7"/>
  <c r="AS90" i="7" s="1"/>
  <c r="AK91" i="7"/>
  <c r="AT90" i="7" s="1"/>
  <c r="AL91" i="7"/>
  <c r="AU90" i="7" s="1"/>
  <c r="AO91" i="7"/>
  <c r="I91" i="7" s="1"/>
  <c r="I90" i="7" s="1"/>
  <c r="E25" i="6" s="1"/>
  <c r="AP91" i="7"/>
  <c r="BD91" i="7"/>
  <c r="BF91" i="7"/>
  <c r="BI91" i="7"/>
  <c r="AC91" i="7" s="1"/>
  <c r="BJ91" i="7"/>
  <c r="K93" i="7"/>
  <c r="AK93" i="7" s="1"/>
  <c r="Z93" i="7"/>
  <c r="AD93" i="7"/>
  <c r="AE93" i="7"/>
  <c r="AF93" i="7"/>
  <c r="AG93" i="7"/>
  <c r="AH93" i="7"/>
  <c r="AJ93" i="7"/>
  <c r="AL93" i="7"/>
  <c r="AO93" i="7"/>
  <c r="AP93" i="7"/>
  <c r="BD93" i="7"/>
  <c r="BF93" i="7"/>
  <c r="BI93" i="7"/>
  <c r="AC93" i="7" s="1"/>
  <c r="BJ93" i="7"/>
  <c r="K94" i="7"/>
  <c r="K92" i="7" s="1"/>
  <c r="Z94" i="7"/>
  <c r="AD94" i="7"/>
  <c r="AE94" i="7"/>
  <c r="AF94" i="7"/>
  <c r="AG94" i="7"/>
  <c r="AH94" i="7"/>
  <c r="AJ94" i="7"/>
  <c r="AK94" i="7"/>
  <c r="AL94" i="7"/>
  <c r="AO94" i="7"/>
  <c r="AP94" i="7"/>
  <c r="BD94" i="7"/>
  <c r="BF94" i="7"/>
  <c r="BI94" i="7"/>
  <c r="AC94" i="7" s="1"/>
  <c r="BJ94" i="7"/>
  <c r="K96" i="7"/>
  <c r="AK96" i="7" s="1"/>
  <c r="Z96" i="7"/>
  <c r="AD96" i="7"/>
  <c r="AE96" i="7"/>
  <c r="AF96" i="7"/>
  <c r="AG96" i="7"/>
  <c r="AH96" i="7"/>
  <c r="AJ96" i="7"/>
  <c r="AL96" i="7"/>
  <c r="AO96" i="7"/>
  <c r="AP96" i="7"/>
  <c r="J96" i="7" s="1"/>
  <c r="BD96" i="7"/>
  <c r="BF96" i="7"/>
  <c r="BJ96" i="7"/>
  <c r="K97" i="7"/>
  <c r="AK97" i="7" s="1"/>
  <c r="Z97" i="7"/>
  <c r="AD97" i="7"/>
  <c r="AE97" i="7"/>
  <c r="AF97" i="7"/>
  <c r="AG97" i="7"/>
  <c r="AH97" i="7"/>
  <c r="AJ97" i="7"/>
  <c r="AL97" i="7"/>
  <c r="AO97" i="7"/>
  <c r="AP97" i="7"/>
  <c r="BI97" i="7" s="1"/>
  <c r="AC97" i="7" s="1"/>
  <c r="BD97" i="7"/>
  <c r="BF97" i="7"/>
  <c r="BJ97" i="7"/>
  <c r="K99" i="7"/>
  <c r="Z99" i="7"/>
  <c r="AD99" i="7"/>
  <c r="AE99" i="7"/>
  <c r="AF99" i="7"/>
  <c r="AG99" i="7"/>
  <c r="AH99" i="7"/>
  <c r="AJ99" i="7"/>
  <c r="AS98" i="7" s="1"/>
  <c r="AK99" i="7"/>
  <c r="AL99" i="7"/>
  <c r="AO99" i="7"/>
  <c r="AP99" i="7"/>
  <c r="BD99" i="7"/>
  <c r="BF99" i="7"/>
  <c r="BJ99" i="7"/>
  <c r="K100" i="7"/>
  <c r="AK100" i="7" s="1"/>
  <c r="Z100" i="7"/>
  <c r="AD100" i="7"/>
  <c r="AE100" i="7"/>
  <c r="AF100" i="7"/>
  <c r="AG100" i="7"/>
  <c r="AH100" i="7"/>
  <c r="AJ100" i="7"/>
  <c r="AL100" i="7"/>
  <c r="AO100" i="7"/>
  <c r="I100" i="7" s="1"/>
  <c r="AP100" i="7"/>
  <c r="BI100" i="7" s="1"/>
  <c r="AC100" i="7" s="1"/>
  <c r="BD100" i="7"/>
  <c r="BF100" i="7"/>
  <c r="BJ100" i="7"/>
  <c r="K101" i="7"/>
  <c r="AK101" i="7" s="1"/>
  <c r="Z101" i="7"/>
  <c r="AD101" i="7"/>
  <c r="AE101" i="7"/>
  <c r="AF101" i="7"/>
  <c r="AG101" i="7"/>
  <c r="AH101" i="7"/>
  <c r="AJ101" i="7"/>
  <c r="AL101" i="7"/>
  <c r="AO101" i="7"/>
  <c r="AP101" i="7"/>
  <c r="BD101" i="7"/>
  <c r="BF101" i="7"/>
  <c r="BJ101" i="7"/>
  <c r="K103" i="7"/>
  <c r="AK103" i="7" s="1"/>
  <c r="Z103" i="7"/>
  <c r="AD103" i="7"/>
  <c r="AE103" i="7"/>
  <c r="AF103" i="7"/>
  <c r="AG103" i="7"/>
  <c r="AH103" i="7"/>
  <c r="AJ103" i="7"/>
  <c r="AL103" i="7"/>
  <c r="AO103" i="7"/>
  <c r="AP103" i="7"/>
  <c r="BD103" i="7"/>
  <c r="BF103" i="7"/>
  <c r="BJ103" i="7"/>
  <c r="K104" i="7"/>
  <c r="AK104" i="7" s="1"/>
  <c r="Z104" i="7"/>
  <c r="AD104" i="7"/>
  <c r="AE104" i="7"/>
  <c r="AF104" i="7"/>
  <c r="AG104" i="7"/>
  <c r="AH104" i="7"/>
  <c r="AJ104" i="7"/>
  <c r="AL104" i="7"/>
  <c r="AO104" i="7"/>
  <c r="AP104" i="7"/>
  <c r="AX104" i="7" s="1"/>
  <c r="BD104" i="7"/>
  <c r="BF104" i="7"/>
  <c r="BH104" i="7"/>
  <c r="AB104" i="7" s="1"/>
  <c r="BJ104" i="7"/>
  <c r="K105" i="7"/>
  <c r="AK105" i="7" s="1"/>
  <c r="Z105" i="7"/>
  <c r="AD105" i="7"/>
  <c r="AE105" i="7"/>
  <c r="AF105" i="7"/>
  <c r="AG105" i="7"/>
  <c r="AH105" i="7"/>
  <c r="AJ105" i="7"/>
  <c r="AL105" i="7"/>
  <c r="AO105" i="7"/>
  <c r="AP105" i="7"/>
  <c r="J105" i="7" s="1"/>
  <c r="BD105" i="7"/>
  <c r="BF105" i="7"/>
  <c r="BJ105" i="7"/>
  <c r="K106" i="7"/>
  <c r="Z106" i="7"/>
  <c r="AD106" i="7"/>
  <c r="AE106" i="7"/>
  <c r="AF106" i="7"/>
  <c r="AG106" i="7"/>
  <c r="AH106" i="7"/>
  <c r="AJ106" i="7"/>
  <c r="AK106" i="7"/>
  <c r="AL106" i="7"/>
  <c r="AO106" i="7"/>
  <c r="AW106" i="7" s="1"/>
  <c r="AP106" i="7"/>
  <c r="BD106" i="7"/>
  <c r="BF106" i="7"/>
  <c r="BH106" i="7"/>
  <c r="AB106" i="7" s="1"/>
  <c r="BJ106" i="7"/>
  <c r="K107" i="7"/>
  <c r="Z107" i="7"/>
  <c r="AD107" i="7"/>
  <c r="AE107" i="7"/>
  <c r="AF107" i="7"/>
  <c r="AG107" i="7"/>
  <c r="AH107" i="7"/>
  <c r="AJ107" i="7"/>
  <c r="AK107" i="7"/>
  <c r="AL107" i="7"/>
  <c r="AO107" i="7"/>
  <c r="I107" i="7" s="1"/>
  <c r="AP107" i="7"/>
  <c r="BD107" i="7"/>
  <c r="BF107" i="7"/>
  <c r="BH107" i="7"/>
  <c r="AB107" i="7" s="1"/>
  <c r="BJ107" i="7"/>
  <c r="K108" i="7"/>
  <c r="AK108" i="7" s="1"/>
  <c r="Z108" i="7"/>
  <c r="AD108" i="7"/>
  <c r="AE108" i="7"/>
  <c r="AF108" i="7"/>
  <c r="AG108" i="7"/>
  <c r="AH108" i="7"/>
  <c r="AJ108" i="7"/>
  <c r="AL108" i="7"/>
  <c r="AO108" i="7"/>
  <c r="AP108" i="7"/>
  <c r="AX108" i="7" s="1"/>
  <c r="BD108" i="7"/>
  <c r="BF108" i="7"/>
  <c r="BH108" i="7"/>
  <c r="AB108" i="7" s="1"/>
  <c r="BJ108" i="7"/>
  <c r="K109" i="7"/>
  <c r="AK109" i="7" s="1"/>
  <c r="Z109" i="7"/>
  <c r="AD109" i="7"/>
  <c r="AE109" i="7"/>
  <c r="AF109" i="7"/>
  <c r="AG109" i="7"/>
  <c r="AH109" i="7"/>
  <c r="AJ109" i="7"/>
  <c r="AL109" i="7"/>
  <c r="AO109" i="7"/>
  <c r="AP109" i="7"/>
  <c r="J109" i="7" s="1"/>
  <c r="BD109" i="7"/>
  <c r="BF109" i="7"/>
  <c r="BJ109" i="7"/>
  <c r="K111" i="7"/>
  <c r="Z111" i="7"/>
  <c r="AD111" i="7"/>
  <c r="AE111" i="7"/>
  <c r="AF111" i="7"/>
  <c r="AG111" i="7"/>
  <c r="AH111" i="7"/>
  <c r="AJ111" i="7"/>
  <c r="AL111" i="7"/>
  <c r="AO111" i="7"/>
  <c r="AP111" i="7"/>
  <c r="J111" i="7" s="1"/>
  <c r="BD111" i="7"/>
  <c r="BF111" i="7"/>
  <c r="BI111" i="7"/>
  <c r="AC111" i="7" s="1"/>
  <c r="BJ111" i="7"/>
  <c r="K112" i="7"/>
  <c r="AK112" i="7" s="1"/>
  <c r="Z112" i="7"/>
  <c r="AD112" i="7"/>
  <c r="AE112" i="7"/>
  <c r="AF112" i="7"/>
  <c r="AG112" i="7"/>
  <c r="AH112" i="7"/>
  <c r="AJ112" i="7"/>
  <c r="AL112" i="7"/>
  <c r="AO112" i="7"/>
  <c r="AP112" i="7"/>
  <c r="BD112" i="7"/>
  <c r="BF112" i="7"/>
  <c r="BJ112" i="7"/>
  <c r="K113" i="7"/>
  <c r="Z113" i="7"/>
  <c r="AD113" i="7"/>
  <c r="AE113" i="7"/>
  <c r="AF113" i="7"/>
  <c r="AG113" i="7"/>
  <c r="AH113" i="7"/>
  <c r="AJ113" i="7"/>
  <c r="AK113" i="7"/>
  <c r="AL113" i="7"/>
  <c r="AO113" i="7"/>
  <c r="AP113" i="7"/>
  <c r="BD113" i="7"/>
  <c r="BF113" i="7"/>
  <c r="BJ113" i="7"/>
  <c r="K114" i="7"/>
  <c r="AK114" i="7" s="1"/>
  <c r="Z114" i="7"/>
  <c r="AD114" i="7"/>
  <c r="AE114" i="7"/>
  <c r="AF114" i="7"/>
  <c r="AG114" i="7"/>
  <c r="AH114" i="7"/>
  <c r="AJ114" i="7"/>
  <c r="AL114" i="7"/>
  <c r="AO114" i="7"/>
  <c r="AP114" i="7"/>
  <c r="BI114" i="7" s="1"/>
  <c r="AC114" i="7" s="1"/>
  <c r="BD114" i="7"/>
  <c r="BF114" i="7"/>
  <c r="BJ114" i="7"/>
  <c r="K115" i="7"/>
  <c r="AK115" i="7" s="1"/>
  <c r="Z115" i="7"/>
  <c r="AD115" i="7"/>
  <c r="AE115" i="7"/>
  <c r="AF115" i="7"/>
  <c r="AG115" i="7"/>
  <c r="AH115" i="7"/>
  <c r="AJ115" i="7"/>
  <c r="AL115" i="7"/>
  <c r="AO115" i="7"/>
  <c r="AP115" i="7"/>
  <c r="BD115" i="7"/>
  <c r="BF115" i="7"/>
  <c r="BJ115" i="7"/>
  <c r="K116" i="7"/>
  <c r="AK116" i="7" s="1"/>
  <c r="Z116" i="7"/>
  <c r="AD116" i="7"/>
  <c r="AE116" i="7"/>
  <c r="AF116" i="7"/>
  <c r="AG116" i="7"/>
  <c r="AH116" i="7"/>
  <c r="AJ116" i="7"/>
  <c r="AL116" i="7"/>
  <c r="AO116" i="7"/>
  <c r="AP116" i="7"/>
  <c r="BD116" i="7"/>
  <c r="BF116" i="7"/>
  <c r="BJ116" i="7"/>
  <c r="K117" i="7"/>
  <c r="Z117" i="7"/>
  <c r="AD117" i="7"/>
  <c r="AE117" i="7"/>
  <c r="AF117" i="7"/>
  <c r="AG117" i="7"/>
  <c r="AH117" i="7"/>
  <c r="AJ117" i="7"/>
  <c r="AK117" i="7"/>
  <c r="AL117" i="7"/>
  <c r="AO117" i="7"/>
  <c r="I117" i="7" s="1"/>
  <c r="AP117" i="7"/>
  <c r="AW117" i="7"/>
  <c r="BD117" i="7"/>
  <c r="BF117" i="7"/>
  <c r="BI117" i="7"/>
  <c r="AC117" i="7" s="1"/>
  <c r="BJ117" i="7"/>
  <c r="K118" i="7"/>
  <c r="Z118" i="7"/>
  <c r="AD118" i="7"/>
  <c r="AE118" i="7"/>
  <c r="AF118" i="7"/>
  <c r="AG118" i="7"/>
  <c r="AH118" i="7"/>
  <c r="AJ118" i="7"/>
  <c r="AK118" i="7"/>
  <c r="AL118" i="7"/>
  <c r="AO118" i="7"/>
  <c r="AP118" i="7"/>
  <c r="BD118" i="7"/>
  <c r="BF118" i="7"/>
  <c r="BJ118" i="7"/>
  <c r="K119" i="7"/>
  <c r="AK119" i="7" s="1"/>
  <c r="Z119" i="7"/>
  <c r="AD119" i="7"/>
  <c r="AE119" i="7"/>
  <c r="AF119" i="7"/>
  <c r="AG119" i="7"/>
  <c r="AH119" i="7"/>
  <c r="AJ119" i="7"/>
  <c r="AL119" i="7"/>
  <c r="AO119" i="7"/>
  <c r="AP119" i="7"/>
  <c r="AX119" i="7" s="1"/>
  <c r="BD119" i="7"/>
  <c r="BF119" i="7"/>
  <c r="BH119" i="7"/>
  <c r="AB119" i="7" s="1"/>
  <c r="BJ119" i="7"/>
  <c r="K120" i="7"/>
  <c r="AK120" i="7" s="1"/>
  <c r="Z120" i="7"/>
  <c r="AD120" i="7"/>
  <c r="AE120" i="7"/>
  <c r="AF120" i="7"/>
  <c r="AG120" i="7"/>
  <c r="AH120" i="7"/>
  <c r="AJ120" i="7"/>
  <c r="AL120" i="7"/>
  <c r="AO120" i="7"/>
  <c r="AP120" i="7"/>
  <c r="J120" i="7" s="1"/>
  <c r="BD120" i="7"/>
  <c r="BF120" i="7"/>
  <c r="BJ120" i="7"/>
  <c r="K122" i="7"/>
  <c r="Z122" i="7"/>
  <c r="AD122" i="7"/>
  <c r="AE122" i="7"/>
  <c r="AF122" i="7"/>
  <c r="AG122" i="7"/>
  <c r="AH122" i="7"/>
  <c r="AJ122" i="7"/>
  <c r="AL122" i="7"/>
  <c r="AO122" i="7"/>
  <c r="AP122" i="7"/>
  <c r="BD122" i="7"/>
  <c r="BF122" i="7"/>
  <c r="BJ122" i="7"/>
  <c r="K123" i="7"/>
  <c r="AK123" i="7" s="1"/>
  <c r="Z123" i="7"/>
  <c r="AD123" i="7"/>
  <c r="AE123" i="7"/>
  <c r="AF123" i="7"/>
  <c r="AG123" i="7"/>
  <c r="AH123" i="7"/>
  <c r="AJ123" i="7"/>
  <c r="AL123" i="7"/>
  <c r="AO123" i="7"/>
  <c r="AP123" i="7"/>
  <c r="BD123" i="7"/>
  <c r="BF123" i="7"/>
  <c r="BJ123" i="7"/>
  <c r="K124" i="7"/>
  <c r="Z124" i="7"/>
  <c r="AD124" i="7"/>
  <c r="AE124" i="7"/>
  <c r="AF124" i="7"/>
  <c r="AG124" i="7"/>
  <c r="AH124" i="7"/>
  <c r="AJ124" i="7"/>
  <c r="AK124" i="7"/>
  <c r="AL124" i="7"/>
  <c r="AO124" i="7"/>
  <c r="I124" i="7" s="1"/>
  <c r="AP124" i="7"/>
  <c r="AX124" i="7" s="1"/>
  <c r="AW124" i="7"/>
  <c r="BD124" i="7"/>
  <c r="BF124" i="7"/>
  <c r="BJ124" i="7"/>
  <c r="K125" i="7"/>
  <c r="AK125" i="7" s="1"/>
  <c r="Z125" i="7"/>
  <c r="AD125" i="7"/>
  <c r="AE125" i="7"/>
  <c r="AF125" i="7"/>
  <c r="AG125" i="7"/>
  <c r="AH125" i="7"/>
  <c r="AJ125" i="7"/>
  <c r="AL125" i="7"/>
  <c r="AO125" i="7"/>
  <c r="AW125" i="7" s="1"/>
  <c r="AP125" i="7"/>
  <c r="BI125" i="7" s="1"/>
  <c r="AC125" i="7" s="1"/>
  <c r="BD125" i="7"/>
  <c r="BF125" i="7"/>
  <c r="BH125" i="7"/>
  <c r="AB125" i="7" s="1"/>
  <c r="BJ125" i="7"/>
  <c r="K126" i="7"/>
  <c r="AK126" i="7" s="1"/>
  <c r="Z126" i="7"/>
  <c r="AD126" i="7"/>
  <c r="AE126" i="7"/>
  <c r="AF126" i="7"/>
  <c r="AG126" i="7"/>
  <c r="AH126" i="7"/>
  <c r="AJ126" i="7"/>
  <c r="AL126" i="7"/>
  <c r="AO126" i="7"/>
  <c r="AP126" i="7"/>
  <c r="J126" i="7" s="1"/>
  <c r="BD126" i="7"/>
  <c r="BF126" i="7"/>
  <c r="BI126" i="7"/>
  <c r="AC126" i="7" s="1"/>
  <c r="BJ126" i="7"/>
  <c r="K127" i="7"/>
  <c r="AK127" i="7" s="1"/>
  <c r="Z127" i="7"/>
  <c r="AD127" i="7"/>
  <c r="AE127" i="7"/>
  <c r="AF127" i="7"/>
  <c r="AG127" i="7"/>
  <c r="AH127" i="7"/>
  <c r="AJ127" i="7"/>
  <c r="AL127" i="7"/>
  <c r="AO127" i="7"/>
  <c r="AP127" i="7"/>
  <c r="BD127" i="7"/>
  <c r="BF127" i="7"/>
  <c r="BJ127" i="7"/>
  <c r="K128" i="7"/>
  <c r="Z128" i="7"/>
  <c r="AD128" i="7"/>
  <c r="AE128" i="7"/>
  <c r="AF128" i="7"/>
  <c r="AG128" i="7"/>
  <c r="AH128" i="7"/>
  <c r="AJ128" i="7"/>
  <c r="AK128" i="7"/>
  <c r="AL128" i="7"/>
  <c r="AO128" i="7"/>
  <c r="AP128" i="7"/>
  <c r="BI128" i="7" s="1"/>
  <c r="AC128" i="7" s="1"/>
  <c r="BD128" i="7"/>
  <c r="BF128" i="7"/>
  <c r="BJ128" i="7"/>
  <c r="K129" i="7"/>
  <c r="Z129" i="7"/>
  <c r="AD129" i="7"/>
  <c r="AE129" i="7"/>
  <c r="AF129" i="7"/>
  <c r="AG129" i="7"/>
  <c r="AH129" i="7"/>
  <c r="AJ129" i="7"/>
  <c r="AK129" i="7"/>
  <c r="AL129" i="7"/>
  <c r="AO129" i="7"/>
  <c r="AP129" i="7"/>
  <c r="BD129" i="7"/>
  <c r="BF129" i="7"/>
  <c r="BI129" i="7"/>
  <c r="AC129" i="7" s="1"/>
  <c r="BJ129" i="7"/>
  <c r="K130" i="7"/>
  <c r="AK130" i="7" s="1"/>
  <c r="Z130" i="7"/>
  <c r="AD130" i="7"/>
  <c r="AE130" i="7"/>
  <c r="AF130" i="7"/>
  <c r="AG130" i="7"/>
  <c r="AH130" i="7"/>
  <c r="AJ130" i="7"/>
  <c r="AL130" i="7"/>
  <c r="AO130" i="7"/>
  <c r="AP130" i="7"/>
  <c r="BD130" i="7"/>
  <c r="BF130" i="7"/>
  <c r="BJ130" i="7"/>
  <c r="K131" i="7"/>
  <c r="AK131" i="7" s="1"/>
  <c r="Z131" i="7"/>
  <c r="AD131" i="7"/>
  <c r="AE131" i="7"/>
  <c r="AF131" i="7"/>
  <c r="AG131" i="7"/>
  <c r="AH131" i="7"/>
  <c r="AJ131" i="7"/>
  <c r="AL131" i="7"/>
  <c r="AO131" i="7"/>
  <c r="AP131" i="7"/>
  <c r="AX131" i="7" s="1"/>
  <c r="BD131" i="7"/>
  <c r="BF131" i="7"/>
  <c r="BJ131" i="7"/>
  <c r="K132" i="7"/>
  <c r="AK132" i="7" s="1"/>
  <c r="Z132" i="7"/>
  <c r="AD132" i="7"/>
  <c r="AE132" i="7"/>
  <c r="AF132" i="7"/>
  <c r="AG132" i="7"/>
  <c r="AH132" i="7"/>
  <c r="AJ132" i="7"/>
  <c r="AL132" i="7"/>
  <c r="AO132" i="7"/>
  <c r="AP132" i="7"/>
  <c r="BD132" i="7"/>
  <c r="BF132" i="7"/>
  <c r="BJ132" i="7"/>
  <c r="K133" i="7"/>
  <c r="Z133" i="7"/>
  <c r="AD133" i="7"/>
  <c r="AE133" i="7"/>
  <c r="AF133" i="7"/>
  <c r="AG133" i="7"/>
  <c r="AH133" i="7"/>
  <c r="AJ133" i="7"/>
  <c r="AK133" i="7"/>
  <c r="AL133" i="7"/>
  <c r="AO133" i="7"/>
  <c r="I133" i="7" s="1"/>
  <c r="AP133" i="7"/>
  <c r="BI133" i="7" s="1"/>
  <c r="AC133" i="7" s="1"/>
  <c r="AW133" i="7"/>
  <c r="BD133" i="7"/>
  <c r="BF133" i="7"/>
  <c r="BH133" i="7"/>
  <c r="AB133" i="7" s="1"/>
  <c r="BJ133" i="7"/>
  <c r="K134" i="7"/>
  <c r="AK134" i="7" s="1"/>
  <c r="Z134" i="7"/>
  <c r="AD134" i="7"/>
  <c r="AE134" i="7"/>
  <c r="AF134" i="7"/>
  <c r="AG134" i="7"/>
  <c r="AH134" i="7"/>
  <c r="AJ134" i="7"/>
  <c r="AL134" i="7"/>
  <c r="AO134" i="7"/>
  <c r="AP134" i="7"/>
  <c r="BD134" i="7"/>
  <c r="BF134" i="7"/>
  <c r="BJ134" i="7"/>
  <c r="K135" i="7"/>
  <c r="AK135" i="7" s="1"/>
  <c r="Z135" i="7"/>
  <c r="AD135" i="7"/>
  <c r="AE135" i="7"/>
  <c r="AF135" i="7"/>
  <c r="AG135" i="7"/>
  <c r="AH135" i="7"/>
  <c r="AJ135" i="7"/>
  <c r="AL135" i="7"/>
  <c r="AO135" i="7"/>
  <c r="AP135" i="7"/>
  <c r="J135" i="7" s="1"/>
  <c r="BD135" i="7"/>
  <c r="BF135" i="7"/>
  <c r="BJ135" i="7"/>
  <c r="J136" i="7"/>
  <c r="K136" i="7"/>
  <c r="AK136" i="7" s="1"/>
  <c r="Z136" i="7"/>
  <c r="AD136" i="7"/>
  <c r="AE136" i="7"/>
  <c r="AF136" i="7"/>
  <c r="AG136" i="7"/>
  <c r="AH136" i="7"/>
  <c r="AJ136" i="7"/>
  <c r="AL136" i="7"/>
  <c r="AO136" i="7"/>
  <c r="AP136" i="7"/>
  <c r="BD136" i="7"/>
  <c r="BF136" i="7"/>
  <c r="BJ136" i="7"/>
  <c r="K137" i="7"/>
  <c r="AK137" i="7" s="1"/>
  <c r="Z137" i="7"/>
  <c r="AD137" i="7"/>
  <c r="AE137" i="7"/>
  <c r="AF137" i="7"/>
  <c r="AG137" i="7"/>
  <c r="AH137" i="7"/>
  <c r="AJ137" i="7"/>
  <c r="AL137" i="7"/>
  <c r="AO137" i="7"/>
  <c r="AW137" i="7" s="1"/>
  <c r="AP137" i="7"/>
  <c r="BD137" i="7"/>
  <c r="BF137" i="7"/>
  <c r="BH137" i="7"/>
  <c r="AB137" i="7" s="1"/>
  <c r="BJ137" i="7"/>
  <c r="K138" i="7"/>
  <c r="AK138" i="7" s="1"/>
  <c r="Z138" i="7"/>
  <c r="AD138" i="7"/>
  <c r="AE138" i="7"/>
  <c r="AF138" i="7"/>
  <c r="AG138" i="7"/>
  <c r="AH138" i="7"/>
  <c r="AJ138" i="7"/>
  <c r="AL138" i="7"/>
  <c r="AO138" i="7"/>
  <c r="AP138" i="7"/>
  <c r="BD138" i="7"/>
  <c r="BF138" i="7"/>
  <c r="BH138" i="7"/>
  <c r="AB138" i="7" s="1"/>
  <c r="BJ138" i="7"/>
  <c r="K140" i="7"/>
  <c r="AK140" i="7" s="1"/>
  <c r="Z140" i="7"/>
  <c r="AD140" i="7"/>
  <c r="AE140" i="7"/>
  <c r="AF140" i="7"/>
  <c r="AG140" i="7"/>
  <c r="AH140" i="7"/>
  <c r="AJ140" i="7"/>
  <c r="AL140" i="7"/>
  <c r="AO140" i="7"/>
  <c r="AP140" i="7"/>
  <c r="BI140" i="7" s="1"/>
  <c r="AC140" i="7" s="1"/>
  <c r="BD140" i="7"/>
  <c r="BF140" i="7"/>
  <c r="BH140" i="7"/>
  <c r="AB140" i="7" s="1"/>
  <c r="BJ140" i="7"/>
  <c r="K141" i="7"/>
  <c r="Z141" i="7"/>
  <c r="AD141" i="7"/>
  <c r="AE141" i="7"/>
  <c r="AF141" i="7"/>
  <c r="AG141" i="7"/>
  <c r="AH141" i="7"/>
  <c r="AJ141" i="7"/>
  <c r="AL141" i="7"/>
  <c r="AO141" i="7"/>
  <c r="AP141" i="7"/>
  <c r="J141" i="7" s="1"/>
  <c r="BD141" i="7"/>
  <c r="BF141" i="7"/>
  <c r="BJ141" i="7"/>
  <c r="K142" i="7"/>
  <c r="AK142" i="7" s="1"/>
  <c r="Z142" i="7"/>
  <c r="AD142" i="7"/>
  <c r="AE142" i="7"/>
  <c r="AF142" i="7"/>
  <c r="AG142" i="7"/>
  <c r="AH142" i="7"/>
  <c r="AJ142" i="7"/>
  <c r="AL142" i="7"/>
  <c r="AO142" i="7"/>
  <c r="AP142" i="7"/>
  <c r="BD142" i="7"/>
  <c r="BF142" i="7"/>
  <c r="BJ142" i="7"/>
  <c r="K143" i="7"/>
  <c r="Z143" i="7"/>
  <c r="AD143" i="7"/>
  <c r="AE143" i="7"/>
  <c r="AF143" i="7"/>
  <c r="AG143" i="7"/>
  <c r="AH143" i="7"/>
  <c r="AJ143" i="7"/>
  <c r="AK143" i="7"/>
  <c r="AL143" i="7"/>
  <c r="AO143" i="7"/>
  <c r="AW143" i="7" s="1"/>
  <c r="AP143" i="7"/>
  <c r="BD143" i="7"/>
  <c r="BF143" i="7"/>
  <c r="BJ143" i="7"/>
  <c r="K144" i="7"/>
  <c r="Z144" i="7"/>
  <c r="AD144" i="7"/>
  <c r="AE144" i="7"/>
  <c r="AF144" i="7"/>
  <c r="AG144" i="7"/>
  <c r="AH144" i="7"/>
  <c r="AJ144" i="7"/>
  <c r="AK144" i="7"/>
  <c r="AL144" i="7"/>
  <c r="AO144" i="7"/>
  <c r="I144" i="7" s="1"/>
  <c r="AP144" i="7"/>
  <c r="BI144" i="7" s="1"/>
  <c r="AC144" i="7" s="1"/>
  <c r="BD144" i="7"/>
  <c r="BF144" i="7"/>
  <c r="BJ144" i="7"/>
  <c r="K145" i="7"/>
  <c r="AK145" i="7" s="1"/>
  <c r="Z145" i="7"/>
  <c r="AD145" i="7"/>
  <c r="AE145" i="7"/>
  <c r="AF145" i="7"/>
  <c r="AG145" i="7"/>
  <c r="AH145" i="7"/>
  <c r="AJ145" i="7"/>
  <c r="AL145" i="7"/>
  <c r="AO145" i="7"/>
  <c r="AP145" i="7"/>
  <c r="BD145" i="7"/>
  <c r="BF145" i="7"/>
  <c r="BH145" i="7"/>
  <c r="AB145" i="7" s="1"/>
  <c r="BJ145" i="7"/>
  <c r="K146" i="7"/>
  <c r="AK146" i="7" s="1"/>
  <c r="Z146" i="7"/>
  <c r="AD146" i="7"/>
  <c r="AE146" i="7"/>
  <c r="AF146" i="7"/>
  <c r="AG146" i="7"/>
  <c r="AH146" i="7"/>
  <c r="AJ146" i="7"/>
  <c r="AL146" i="7"/>
  <c r="AO146" i="7"/>
  <c r="AP146" i="7"/>
  <c r="BD146" i="7"/>
  <c r="BF146" i="7"/>
  <c r="BH146" i="7"/>
  <c r="AB146" i="7" s="1"/>
  <c r="BJ146" i="7"/>
  <c r="K147" i="7"/>
  <c r="AK147" i="7" s="1"/>
  <c r="Z147" i="7"/>
  <c r="AD147" i="7"/>
  <c r="AE147" i="7"/>
  <c r="AF147" i="7"/>
  <c r="AG147" i="7"/>
  <c r="AH147" i="7"/>
  <c r="AJ147" i="7"/>
  <c r="AL147" i="7"/>
  <c r="AO147" i="7"/>
  <c r="AP147" i="7"/>
  <c r="J147" i="7" s="1"/>
  <c r="BD147" i="7"/>
  <c r="BF147" i="7"/>
  <c r="BH147" i="7"/>
  <c r="AB147" i="7" s="1"/>
  <c r="BJ147" i="7"/>
  <c r="J148" i="7"/>
  <c r="K148" i="7"/>
  <c r="AK148" i="7" s="1"/>
  <c r="Z148" i="7"/>
  <c r="AD148" i="7"/>
  <c r="AE148" i="7"/>
  <c r="AF148" i="7"/>
  <c r="AG148" i="7"/>
  <c r="AH148" i="7"/>
  <c r="AJ148" i="7"/>
  <c r="AL148" i="7"/>
  <c r="AO148" i="7"/>
  <c r="AP148" i="7"/>
  <c r="BD148" i="7"/>
  <c r="BF148" i="7"/>
  <c r="BJ148" i="7"/>
  <c r="K149" i="7"/>
  <c r="Z149" i="7"/>
  <c r="AD149" i="7"/>
  <c r="AE149" i="7"/>
  <c r="AF149" i="7"/>
  <c r="AG149" i="7"/>
  <c r="AH149" i="7"/>
  <c r="AJ149" i="7"/>
  <c r="AK149" i="7"/>
  <c r="AL149" i="7"/>
  <c r="AO149" i="7"/>
  <c r="I149" i="7" s="1"/>
  <c r="AP149" i="7"/>
  <c r="AW149" i="7"/>
  <c r="BD149" i="7"/>
  <c r="BF149" i="7"/>
  <c r="BH149" i="7"/>
  <c r="AB149" i="7" s="1"/>
  <c r="BJ149" i="7"/>
  <c r="K150" i="7"/>
  <c r="AK150" i="7" s="1"/>
  <c r="Z150" i="7"/>
  <c r="AD150" i="7"/>
  <c r="AE150" i="7"/>
  <c r="AF150" i="7"/>
  <c r="AG150" i="7"/>
  <c r="AH150" i="7"/>
  <c r="AJ150" i="7"/>
  <c r="AL150" i="7"/>
  <c r="AO150" i="7"/>
  <c r="AP150" i="7"/>
  <c r="J150" i="7" s="1"/>
  <c r="BD150" i="7"/>
  <c r="BF150" i="7"/>
  <c r="BH150" i="7"/>
  <c r="AB150" i="7" s="1"/>
  <c r="BJ150" i="7"/>
  <c r="K151" i="7"/>
  <c r="AK151" i="7" s="1"/>
  <c r="Z151" i="7"/>
  <c r="AD151" i="7"/>
  <c r="AE151" i="7"/>
  <c r="AF151" i="7"/>
  <c r="AG151" i="7"/>
  <c r="AH151" i="7"/>
  <c r="AJ151" i="7"/>
  <c r="AL151" i="7"/>
  <c r="AO151" i="7"/>
  <c r="AP151" i="7"/>
  <c r="BD151" i="7"/>
  <c r="BF151" i="7"/>
  <c r="BJ151" i="7"/>
  <c r="K152" i="7"/>
  <c r="AK152" i="7" s="1"/>
  <c r="Z152" i="7"/>
  <c r="AD152" i="7"/>
  <c r="AE152" i="7"/>
  <c r="AF152" i="7"/>
  <c r="AG152" i="7"/>
  <c r="AH152" i="7"/>
  <c r="AJ152" i="7"/>
  <c r="AL152" i="7"/>
  <c r="AO152" i="7"/>
  <c r="AP152" i="7"/>
  <c r="J152" i="7" s="1"/>
  <c r="BD152" i="7"/>
  <c r="BF152" i="7"/>
  <c r="BI152" i="7"/>
  <c r="AC152" i="7" s="1"/>
  <c r="BJ152" i="7"/>
  <c r="K153" i="7"/>
  <c r="Z153" i="7"/>
  <c r="AD153" i="7"/>
  <c r="AE153" i="7"/>
  <c r="AF153" i="7"/>
  <c r="AG153" i="7"/>
  <c r="AH153" i="7"/>
  <c r="AJ153" i="7"/>
  <c r="AK153" i="7"/>
  <c r="AL153" i="7"/>
  <c r="AO153" i="7"/>
  <c r="AP153" i="7"/>
  <c r="BD153" i="7"/>
  <c r="BF153" i="7"/>
  <c r="BJ153" i="7"/>
  <c r="K154" i="7"/>
  <c r="AK154" i="7" s="1"/>
  <c r="Z154" i="7"/>
  <c r="AD154" i="7"/>
  <c r="AE154" i="7"/>
  <c r="AF154" i="7"/>
  <c r="AG154" i="7"/>
  <c r="AH154" i="7"/>
  <c r="AJ154" i="7"/>
  <c r="AL154" i="7"/>
  <c r="AO154" i="7"/>
  <c r="BH154" i="7" s="1"/>
  <c r="AB154" i="7" s="1"/>
  <c r="AP154" i="7"/>
  <c r="J154" i="7" s="1"/>
  <c r="BD154" i="7"/>
  <c r="BF154" i="7"/>
  <c r="BI154" i="7"/>
  <c r="AC154" i="7" s="1"/>
  <c r="BJ154" i="7"/>
  <c r="K156" i="7"/>
  <c r="AK156" i="7" s="1"/>
  <c r="AB156" i="7"/>
  <c r="AC156" i="7"/>
  <c r="AD156" i="7"/>
  <c r="AE156" i="7"/>
  <c r="AF156" i="7"/>
  <c r="AG156" i="7"/>
  <c r="AH156" i="7"/>
  <c r="AJ156" i="7"/>
  <c r="AL156" i="7"/>
  <c r="AO156" i="7"/>
  <c r="AP156" i="7"/>
  <c r="BD156" i="7"/>
  <c r="BF156" i="7"/>
  <c r="BH156" i="7"/>
  <c r="BJ156" i="7"/>
  <c r="Z156" i="7" s="1"/>
  <c r="K157" i="7"/>
  <c r="AK157" i="7" s="1"/>
  <c r="AB157" i="7"/>
  <c r="AC157" i="7"/>
  <c r="AD157" i="7"/>
  <c r="AE157" i="7"/>
  <c r="AF157" i="7"/>
  <c r="AG157" i="7"/>
  <c r="AH157" i="7"/>
  <c r="AJ157" i="7"/>
  <c r="AL157" i="7"/>
  <c r="AO157" i="7"/>
  <c r="AP157" i="7"/>
  <c r="BD157" i="7"/>
  <c r="BF157" i="7"/>
  <c r="BJ157" i="7"/>
  <c r="Z157" i="7" s="1"/>
  <c r="K158" i="7"/>
  <c r="AK158" i="7" s="1"/>
  <c r="AB158" i="7"/>
  <c r="AC158" i="7"/>
  <c r="AD158" i="7"/>
  <c r="AE158" i="7"/>
  <c r="AF158" i="7"/>
  <c r="AG158" i="7"/>
  <c r="AH158" i="7"/>
  <c r="AJ158" i="7"/>
  <c r="AL158" i="7"/>
  <c r="AO158" i="7"/>
  <c r="AP158" i="7"/>
  <c r="BD158" i="7"/>
  <c r="BF158" i="7"/>
  <c r="BI158" i="7"/>
  <c r="BJ158" i="7"/>
  <c r="Z158" i="7" s="1"/>
  <c r="K159" i="7"/>
  <c r="AB159" i="7"/>
  <c r="AC159" i="7"/>
  <c r="AD159" i="7"/>
  <c r="AE159" i="7"/>
  <c r="AF159" i="7"/>
  <c r="AG159" i="7"/>
  <c r="AH159" i="7"/>
  <c r="AJ159" i="7"/>
  <c r="AK159" i="7"/>
  <c r="AL159" i="7"/>
  <c r="AO159" i="7"/>
  <c r="I159" i="7" s="1"/>
  <c r="AP159" i="7"/>
  <c r="J159" i="7" s="1"/>
  <c r="AX159" i="7"/>
  <c r="BD159" i="7"/>
  <c r="BF159" i="7"/>
  <c r="BI159" i="7"/>
  <c r="BJ159" i="7"/>
  <c r="Z159" i="7" s="1"/>
  <c r="K160" i="7"/>
  <c r="AB160" i="7"/>
  <c r="AC160" i="7"/>
  <c r="AD160" i="7"/>
  <c r="AE160" i="7"/>
  <c r="AF160" i="7"/>
  <c r="AG160" i="7"/>
  <c r="AH160" i="7"/>
  <c r="AJ160" i="7"/>
  <c r="AK160" i="7"/>
  <c r="AL160" i="7"/>
  <c r="AO160" i="7"/>
  <c r="AP160" i="7"/>
  <c r="BD160" i="7"/>
  <c r="BF160" i="7"/>
  <c r="BI160" i="7"/>
  <c r="BJ160" i="7"/>
  <c r="Z160" i="7" s="1"/>
  <c r="K161" i="7"/>
  <c r="AB161" i="7"/>
  <c r="AC161" i="7"/>
  <c r="AD161" i="7"/>
  <c r="AE161" i="7"/>
  <c r="AF161" i="7"/>
  <c r="AG161" i="7"/>
  <c r="AH161" i="7"/>
  <c r="AJ161" i="7"/>
  <c r="AL161" i="7"/>
  <c r="AO161" i="7"/>
  <c r="AP161" i="7"/>
  <c r="BD161" i="7"/>
  <c r="BF161" i="7"/>
  <c r="BH161" i="7"/>
  <c r="BJ161" i="7"/>
  <c r="Z161" i="7" s="1"/>
  <c r="K162" i="7"/>
  <c r="AK162" i="7" s="1"/>
  <c r="AB162" i="7"/>
  <c r="AC162" i="7"/>
  <c r="AD162" i="7"/>
  <c r="AE162" i="7"/>
  <c r="AF162" i="7"/>
  <c r="AG162" i="7"/>
  <c r="AH162" i="7"/>
  <c r="AJ162" i="7"/>
  <c r="AL162" i="7"/>
  <c r="AO162" i="7"/>
  <c r="AP162" i="7"/>
  <c r="AX162" i="7" s="1"/>
  <c r="BD162" i="7"/>
  <c r="BF162" i="7"/>
  <c r="BJ162" i="7"/>
  <c r="Z162" i="7" s="1"/>
  <c r="K163" i="7"/>
  <c r="AK163" i="7" s="1"/>
  <c r="AB163" i="7"/>
  <c r="AC163" i="7"/>
  <c r="AD163" i="7"/>
  <c r="AE163" i="7"/>
  <c r="AF163" i="7"/>
  <c r="AG163" i="7"/>
  <c r="AH163" i="7"/>
  <c r="AJ163" i="7"/>
  <c r="AL163" i="7"/>
  <c r="AO163" i="7"/>
  <c r="AP163" i="7"/>
  <c r="J163" i="7" s="1"/>
  <c r="AX163" i="7"/>
  <c r="BD163" i="7"/>
  <c r="BF163" i="7"/>
  <c r="BI163" i="7"/>
  <c r="BJ163" i="7"/>
  <c r="Z163" i="7" s="1"/>
  <c r="K164" i="7"/>
  <c r="AK164" i="7" s="1"/>
  <c r="AB164" i="7"/>
  <c r="AC164" i="7"/>
  <c r="AD164" i="7"/>
  <c r="AE164" i="7"/>
  <c r="AF164" i="7"/>
  <c r="AG164" i="7"/>
  <c r="AH164" i="7"/>
  <c r="AJ164" i="7"/>
  <c r="AL164" i="7"/>
  <c r="AO164" i="7"/>
  <c r="AP164" i="7"/>
  <c r="BI164" i="7" s="1"/>
  <c r="BD164" i="7"/>
  <c r="BF164" i="7"/>
  <c r="BH164" i="7"/>
  <c r="BJ164" i="7"/>
  <c r="Z164" i="7" s="1"/>
  <c r="K165" i="7"/>
  <c r="AK165" i="7" s="1"/>
  <c r="AB165" i="7"/>
  <c r="AC165" i="7"/>
  <c r="AD165" i="7"/>
  <c r="AE165" i="7"/>
  <c r="AF165" i="7"/>
  <c r="AG165" i="7"/>
  <c r="AH165" i="7"/>
  <c r="AJ165" i="7"/>
  <c r="AL165" i="7"/>
  <c r="AO165" i="7"/>
  <c r="BH165" i="7" s="1"/>
  <c r="AP165" i="7"/>
  <c r="BI165" i="7" s="1"/>
  <c r="BD165" i="7"/>
  <c r="BF165" i="7"/>
  <c r="BJ165" i="7"/>
  <c r="Z165" i="7" s="1"/>
  <c r="K166" i="7"/>
  <c r="AK166" i="7" s="1"/>
  <c r="AB166" i="7"/>
  <c r="AC166" i="7"/>
  <c r="AD166" i="7"/>
  <c r="AE166" i="7"/>
  <c r="AF166" i="7"/>
  <c r="AG166" i="7"/>
  <c r="AH166" i="7"/>
  <c r="AJ166" i="7"/>
  <c r="AL166" i="7"/>
  <c r="AO166" i="7"/>
  <c r="AP166" i="7"/>
  <c r="BD166" i="7"/>
  <c r="BF166" i="7"/>
  <c r="BJ166" i="7"/>
  <c r="Z166" i="7" s="1"/>
  <c r="K167" i="7"/>
  <c r="AB167" i="7"/>
  <c r="AC167" i="7"/>
  <c r="AD167" i="7"/>
  <c r="AE167" i="7"/>
  <c r="AF167" i="7"/>
  <c r="AG167" i="7"/>
  <c r="AH167" i="7"/>
  <c r="AJ167" i="7"/>
  <c r="AK167" i="7"/>
  <c r="AL167" i="7"/>
  <c r="AO167" i="7"/>
  <c r="AP167" i="7"/>
  <c r="BD167" i="7"/>
  <c r="BF167" i="7"/>
  <c r="BJ167" i="7"/>
  <c r="Z167" i="7" s="1"/>
  <c r="K168" i="7"/>
  <c r="AK168" i="7" s="1"/>
  <c r="AB168" i="7"/>
  <c r="AC168" i="7"/>
  <c r="AD168" i="7"/>
  <c r="AE168" i="7"/>
  <c r="AF168" i="7"/>
  <c r="AG168" i="7"/>
  <c r="AH168" i="7"/>
  <c r="AJ168" i="7"/>
  <c r="AL168" i="7"/>
  <c r="AO168" i="7"/>
  <c r="AP168" i="7"/>
  <c r="BI168" i="7" s="1"/>
  <c r="BD168" i="7"/>
  <c r="BF168" i="7"/>
  <c r="BJ168" i="7"/>
  <c r="Z168" i="7" s="1"/>
  <c r="K169" i="7"/>
  <c r="AK169" i="7" s="1"/>
  <c r="AB169" i="7"/>
  <c r="AC169" i="7"/>
  <c r="AD169" i="7"/>
  <c r="AE169" i="7"/>
  <c r="AF169" i="7"/>
  <c r="AG169" i="7"/>
  <c r="AH169" i="7"/>
  <c r="AJ169" i="7"/>
  <c r="AL169" i="7"/>
  <c r="AO169" i="7"/>
  <c r="AP169" i="7"/>
  <c r="BD169" i="7"/>
  <c r="BF169" i="7"/>
  <c r="BJ169" i="7"/>
  <c r="Z169" i="7" s="1"/>
  <c r="K170" i="7"/>
  <c r="AK170" i="7" s="1"/>
  <c r="AB170" i="7"/>
  <c r="AC170" i="7"/>
  <c r="AD170" i="7"/>
  <c r="AE170" i="7"/>
  <c r="AF170" i="7"/>
  <c r="AG170" i="7"/>
  <c r="AH170" i="7"/>
  <c r="AJ170" i="7"/>
  <c r="AL170" i="7"/>
  <c r="AO170" i="7"/>
  <c r="AP170" i="7"/>
  <c r="BD170" i="7"/>
  <c r="BF170" i="7"/>
  <c r="BJ170" i="7"/>
  <c r="Z170" i="7" s="1"/>
  <c r="J171" i="7"/>
  <c r="K171" i="7"/>
  <c r="AK171" i="7" s="1"/>
  <c r="AB171" i="7"/>
  <c r="AC171" i="7"/>
  <c r="AD171" i="7"/>
  <c r="AE171" i="7"/>
  <c r="AF171" i="7"/>
  <c r="AG171" i="7"/>
  <c r="AH171" i="7"/>
  <c r="AJ171" i="7"/>
  <c r="AL171" i="7"/>
  <c r="AO171" i="7"/>
  <c r="AP171" i="7"/>
  <c r="AX171" i="7" s="1"/>
  <c r="BD171" i="7"/>
  <c r="BF171" i="7"/>
  <c r="BI171" i="7"/>
  <c r="BJ171" i="7"/>
  <c r="Z171" i="7" s="1"/>
  <c r="AS172" i="7"/>
  <c r="K173" i="7"/>
  <c r="AB173" i="7"/>
  <c r="AC173" i="7"/>
  <c r="AD173" i="7"/>
  <c r="AE173" i="7"/>
  <c r="AF173" i="7"/>
  <c r="AG173" i="7"/>
  <c r="AH173" i="7"/>
  <c r="AJ173" i="7"/>
  <c r="AL173" i="7"/>
  <c r="AU172" i="7" s="1"/>
  <c r="AO173" i="7"/>
  <c r="AP173" i="7"/>
  <c r="BD173" i="7"/>
  <c r="BF173" i="7"/>
  <c r="BJ173" i="7"/>
  <c r="Z173" i="7" s="1"/>
  <c r="K175" i="7"/>
  <c r="Z175" i="7"/>
  <c r="AB175" i="7"/>
  <c r="AC175" i="7"/>
  <c r="AF175" i="7"/>
  <c r="AG175" i="7"/>
  <c r="AH175" i="7"/>
  <c r="AJ175" i="7"/>
  <c r="AL175" i="7"/>
  <c r="AO175" i="7"/>
  <c r="BH175" i="7" s="1"/>
  <c r="AD175" i="7" s="1"/>
  <c r="AP175" i="7"/>
  <c r="AX175" i="7" s="1"/>
  <c r="BD175" i="7"/>
  <c r="BF175" i="7"/>
  <c r="BJ175" i="7"/>
  <c r="K176" i="7"/>
  <c r="AK176" i="7" s="1"/>
  <c r="Z176" i="7"/>
  <c r="AB176" i="7"/>
  <c r="AC176" i="7"/>
  <c r="AF176" i="7"/>
  <c r="AG176" i="7"/>
  <c r="AH176" i="7"/>
  <c r="AJ176" i="7"/>
  <c r="AL176" i="7"/>
  <c r="AO176" i="7"/>
  <c r="AP176" i="7"/>
  <c r="BD176" i="7"/>
  <c r="BF176" i="7"/>
  <c r="BJ176" i="7"/>
  <c r="K177" i="7"/>
  <c r="Z177" i="7"/>
  <c r="AB177" i="7"/>
  <c r="AC177" i="7"/>
  <c r="AF177" i="7"/>
  <c r="AG177" i="7"/>
  <c r="AH177" i="7"/>
  <c r="AJ177" i="7"/>
  <c r="AK177" i="7"/>
  <c r="AL177" i="7"/>
  <c r="AO177" i="7"/>
  <c r="AP177" i="7"/>
  <c r="J177" i="7" s="1"/>
  <c r="BD177" i="7"/>
  <c r="BF177" i="7"/>
  <c r="BI177" i="7"/>
  <c r="AE177" i="7" s="1"/>
  <c r="BJ177" i="7"/>
  <c r="K178" i="7"/>
  <c r="AK178" i="7" s="1"/>
  <c r="AB178" i="7"/>
  <c r="AC178" i="7"/>
  <c r="AD178" i="7"/>
  <c r="AE178" i="7"/>
  <c r="AF178" i="7"/>
  <c r="AG178" i="7"/>
  <c r="AH178" i="7"/>
  <c r="AJ178" i="7"/>
  <c r="AL178" i="7"/>
  <c r="AO178" i="7"/>
  <c r="AP178" i="7"/>
  <c r="BD178" i="7"/>
  <c r="BF178" i="7"/>
  <c r="BJ178" i="7"/>
  <c r="Z178" i="7" s="1"/>
  <c r="K180" i="7"/>
  <c r="Z180" i="7"/>
  <c r="AB180" i="7"/>
  <c r="AC180" i="7"/>
  <c r="AF180" i="7"/>
  <c r="AG180" i="7"/>
  <c r="AH180" i="7"/>
  <c r="AJ180" i="7"/>
  <c r="AK180" i="7"/>
  <c r="AL180" i="7"/>
  <c r="AO180" i="7"/>
  <c r="AP180" i="7"/>
  <c r="AX180" i="7" s="1"/>
  <c r="BD180" i="7"/>
  <c r="BF180" i="7"/>
  <c r="BJ180" i="7"/>
  <c r="K181" i="7"/>
  <c r="Z181" i="7"/>
  <c r="AB181" i="7"/>
  <c r="AC181" i="7"/>
  <c r="AF181" i="7"/>
  <c r="AG181" i="7"/>
  <c r="AH181" i="7"/>
  <c r="AJ181" i="7"/>
  <c r="AK181" i="7"/>
  <c r="AL181" i="7"/>
  <c r="AO181" i="7"/>
  <c r="AP181" i="7"/>
  <c r="BI181" i="7" s="1"/>
  <c r="AE181" i="7" s="1"/>
  <c r="BD181" i="7"/>
  <c r="BF181" i="7"/>
  <c r="BJ181" i="7"/>
  <c r="K182" i="7"/>
  <c r="AK182" i="7" s="1"/>
  <c r="Z182" i="7"/>
  <c r="AB182" i="7"/>
  <c r="AC182" i="7"/>
  <c r="AF182" i="7"/>
  <c r="AG182" i="7"/>
  <c r="AH182" i="7"/>
  <c r="AJ182" i="7"/>
  <c r="AL182" i="7"/>
  <c r="AO182" i="7"/>
  <c r="AP182" i="7"/>
  <c r="BD182" i="7"/>
  <c r="BF182" i="7"/>
  <c r="BH182" i="7"/>
  <c r="AD182" i="7" s="1"/>
  <c r="BJ182" i="7"/>
  <c r="K183" i="7"/>
  <c r="AK183" i="7" s="1"/>
  <c r="Z183" i="7"/>
  <c r="AB183" i="7"/>
  <c r="AC183" i="7"/>
  <c r="AF183" i="7"/>
  <c r="AG183" i="7"/>
  <c r="AH183" i="7"/>
  <c r="AJ183" i="7"/>
  <c r="AL183" i="7"/>
  <c r="AO183" i="7"/>
  <c r="AP183" i="7"/>
  <c r="J183" i="7" s="1"/>
  <c r="BD183" i="7"/>
  <c r="BF183" i="7"/>
  <c r="BJ183" i="7"/>
  <c r="K184" i="7"/>
  <c r="Z184" i="7"/>
  <c r="AB184" i="7"/>
  <c r="AC184" i="7"/>
  <c r="AF184" i="7"/>
  <c r="AG184" i="7"/>
  <c r="AH184" i="7"/>
  <c r="AJ184" i="7"/>
  <c r="AK184" i="7"/>
  <c r="AL184" i="7"/>
  <c r="AO184" i="7"/>
  <c r="AP184" i="7"/>
  <c r="BD184" i="7"/>
  <c r="BF184" i="7"/>
  <c r="BJ184" i="7"/>
  <c r="K185" i="7"/>
  <c r="Z185" i="7"/>
  <c r="AB185" i="7"/>
  <c r="AC185" i="7"/>
  <c r="AF185" i="7"/>
  <c r="AG185" i="7"/>
  <c r="AH185" i="7"/>
  <c r="AJ185" i="7"/>
  <c r="AK185" i="7"/>
  <c r="AL185" i="7"/>
  <c r="AO185" i="7"/>
  <c r="AW185" i="7" s="1"/>
  <c r="AP185" i="7"/>
  <c r="BI185" i="7" s="1"/>
  <c r="AE185" i="7" s="1"/>
  <c r="BD185" i="7"/>
  <c r="BF185" i="7"/>
  <c r="BH185" i="7"/>
  <c r="AD185" i="7" s="1"/>
  <c r="BJ185" i="7"/>
  <c r="K186" i="7"/>
  <c r="AK186" i="7" s="1"/>
  <c r="Z186" i="7"/>
  <c r="AB186" i="7"/>
  <c r="AC186" i="7"/>
  <c r="AF186" i="7"/>
  <c r="AG186" i="7"/>
  <c r="AH186" i="7"/>
  <c r="AJ186" i="7"/>
  <c r="AL186" i="7"/>
  <c r="AO186" i="7"/>
  <c r="BH186" i="7" s="1"/>
  <c r="AD186" i="7" s="1"/>
  <c r="AP186" i="7"/>
  <c r="BD186" i="7"/>
  <c r="BF186" i="7"/>
  <c r="BJ186" i="7"/>
  <c r="K187" i="7"/>
  <c r="AK187" i="7" s="1"/>
  <c r="AB187" i="7"/>
  <c r="AC187" i="7"/>
  <c r="AD187" i="7"/>
  <c r="AE187" i="7"/>
  <c r="AF187" i="7"/>
  <c r="AG187" i="7"/>
  <c r="AH187" i="7"/>
  <c r="AJ187" i="7"/>
  <c r="AL187" i="7"/>
  <c r="AO187" i="7"/>
  <c r="AP187" i="7"/>
  <c r="BD187" i="7"/>
  <c r="BF187" i="7"/>
  <c r="BH187" i="7"/>
  <c r="BJ187" i="7"/>
  <c r="Z187" i="7" s="1"/>
  <c r="K189" i="7"/>
  <c r="Z189" i="7"/>
  <c r="AB189" i="7"/>
  <c r="AC189" i="7"/>
  <c r="AF189" i="7"/>
  <c r="AG189" i="7"/>
  <c r="AH189" i="7"/>
  <c r="AJ189" i="7"/>
  <c r="AL189" i="7"/>
  <c r="AO189" i="7"/>
  <c r="BH189" i="7" s="1"/>
  <c r="AD189" i="7" s="1"/>
  <c r="AP189" i="7"/>
  <c r="J189" i="7" s="1"/>
  <c r="BD189" i="7"/>
  <c r="BF189" i="7"/>
  <c r="BI189" i="7"/>
  <c r="AE189" i="7" s="1"/>
  <c r="BJ189" i="7"/>
  <c r="K190" i="7"/>
  <c r="AK190" i="7" s="1"/>
  <c r="Z190" i="7"/>
  <c r="AB190" i="7"/>
  <c r="AC190" i="7"/>
  <c r="AF190" i="7"/>
  <c r="AG190" i="7"/>
  <c r="AH190" i="7"/>
  <c r="AJ190" i="7"/>
  <c r="AL190" i="7"/>
  <c r="AO190" i="7"/>
  <c r="AP190" i="7"/>
  <c r="J190" i="7" s="1"/>
  <c r="BD190" i="7"/>
  <c r="BF190" i="7"/>
  <c r="BJ190" i="7"/>
  <c r="K191" i="7"/>
  <c r="Z191" i="7"/>
  <c r="AB191" i="7"/>
  <c r="AC191" i="7"/>
  <c r="AF191" i="7"/>
  <c r="AG191" i="7"/>
  <c r="AH191" i="7"/>
  <c r="AJ191" i="7"/>
  <c r="AK191" i="7"/>
  <c r="AL191" i="7"/>
  <c r="AO191" i="7"/>
  <c r="AP191" i="7"/>
  <c r="AX191" i="7" s="1"/>
  <c r="BD191" i="7"/>
  <c r="BF191" i="7"/>
  <c r="BI191" i="7"/>
  <c r="AE191" i="7" s="1"/>
  <c r="BJ191" i="7"/>
  <c r="K192" i="7"/>
  <c r="Z192" i="7"/>
  <c r="AB192" i="7"/>
  <c r="AC192" i="7"/>
  <c r="AF192" i="7"/>
  <c r="AG192" i="7"/>
  <c r="AH192" i="7"/>
  <c r="AJ192" i="7"/>
  <c r="AK192" i="7"/>
  <c r="AL192" i="7"/>
  <c r="AO192" i="7"/>
  <c r="AP192" i="7"/>
  <c r="BD192" i="7"/>
  <c r="BF192" i="7"/>
  <c r="BI192" i="7"/>
  <c r="AE192" i="7" s="1"/>
  <c r="BJ192" i="7"/>
  <c r="K193" i="7"/>
  <c r="AK193" i="7" s="1"/>
  <c r="Z193" i="7"/>
  <c r="AB193" i="7"/>
  <c r="AC193" i="7"/>
  <c r="AF193" i="7"/>
  <c r="AG193" i="7"/>
  <c r="AH193" i="7"/>
  <c r="AJ193" i="7"/>
  <c r="AL193" i="7"/>
  <c r="AO193" i="7"/>
  <c r="AP193" i="7"/>
  <c r="J193" i="7" s="1"/>
  <c r="BD193" i="7"/>
  <c r="BF193" i="7"/>
  <c r="BH193" i="7"/>
  <c r="AD193" i="7" s="1"/>
  <c r="BJ193" i="7"/>
  <c r="K194" i="7"/>
  <c r="AK194" i="7" s="1"/>
  <c r="Z194" i="7"/>
  <c r="AB194" i="7"/>
  <c r="AC194" i="7"/>
  <c r="AF194" i="7"/>
  <c r="AG194" i="7"/>
  <c r="AH194" i="7"/>
  <c r="AJ194" i="7"/>
  <c r="AL194" i="7"/>
  <c r="AO194" i="7"/>
  <c r="AP194" i="7"/>
  <c r="J194" i="7" s="1"/>
  <c r="BD194" i="7"/>
  <c r="BF194" i="7"/>
  <c r="BI194" i="7"/>
  <c r="AE194" i="7" s="1"/>
  <c r="BJ194" i="7"/>
  <c r="K195" i="7"/>
  <c r="Z195" i="7"/>
  <c r="AB195" i="7"/>
  <c r="AC195" i="7"/>
  <c r="AF195" i="7"/>
  <c r="AG195" i="7"/>
  <c r="AH195" i="7"/>
  <c r="AJ195" i="7"/>
  <c r="AK195" i="7"/>
  <c r="AL195" i="7"/>
  <c r="AO195" i="7"/>
  <c r="I195" i="7" s="1"/>
  <c r="AP195" i="7"/>
  <c r="AX195" i="7" s="1"/>
  <c r="AW195" i="7"/>
  <c r="BD195" i="7"/>
  <c r="BF195" i="7"/>
  <c r="BJ195" i="7"/>
  <c r="K196" i="7"/>
  <c r="Z196" i="7"/>
  <c r="AB196" i="7"/>
  <c r="AC196" i="7"/>
  <c r="AF196" i="7"/>
  <c r="AG196" i="7"/>
  <c r="AH196" i="7"/>
  <c r="AJ196" i="7"/>
  <c r="AK196" i="7"/>
  <c r="AL196" i="7"/>
  <c r="AO196" i="7"/>
  <c r="AP196" i="7"/>
  <c r="BI196" i="7" s="1"/>
  <c r="AE196" i="7" s="1"/>
  <c r="BD196" i="7"/>
  <c r="BF196" i="7"/>
  <c r="BH196" i="7"/>
  <c r="AD196" i="7" s="1"/>
  <c r="BJ196" i="7"/>
  <c r="K197" i="7"/>
  <c r="AK197" i="7" s="1"/>
  <c r="Z197" i="7"/>
  <c r="AB197" i="7"/>
  <c r="AC197" i="7"/>
  <c r="AF197" i="7"/>
  <c r="AG197" i="7"/>
  <c r="AH197" i="7"/>
  <c r="AJ197" i="7"/>
  <c r="AL197" i="7"/>
  <c r="AO197" i="7"/>
  <c r="AP197" i="7"/>
  <c r="BD197" i="7"/>
  <c r="BF197" i="7"/>
  <c r="BH197" i="7"/>
  <c r="AD197" i="7" s="1"/>
  <c r="BJ197" i="7"/>
  <c r="K198" i="7"/>
  <c r="AK198" i="7" s="1"/>
  <c r="Z198" i="7"/>
  <c r="AB198" i="7"/>
  <c r="AC198" i="7"/>
  <c r="AF198" i="7"/>
  <c r="AG198" i="7"/>
  <c r="AH198" i="7"/>
  <c r="AJ198" i="7"/>
  <c r="AL198" i="7"/>
  <c r="AO198" i="7"/>
  <c r="AP198" i="7"/>
  <c r="J198" i="7" s="1"/>
  <c r="AX198" i="7"/>
  <c r="BD198" i="7"/>
  <c r="BF198" i="7"/>
  <c r="BI198" i="7"/>
  <c r="AE198" i="7" s="1"/>
  <c r="BJ198" i="7"/>
  <c r="K199" i="7"/>
  <c r="Z199" i="7"/>
  <c r="AB199" i="7"/>
  <c r="AC199" i="7"/>
  <c r="AF199" i="7"/>
  <c r="AG199" i="7"/>
  <c r="AH199" i="7"/>
  <c r="AJ199" i="7"/>
  <c r="AK199" i="7"/>
  <c r="AL199" i="7"/>
  <c r="AO199" i="7"/>
  <c r="AW199" i="7" s="1"/>
  <c r="AP199" i="7"/>
  <c r="J199" i="7" s="1"/>
  <c r="BD199" i="7"/>
  <c r="BF199" i="7"/>
  <c r="BJ199" i="7"/>
  <c r="K200" i="7"/>
  <c r="Z200" i="7"/>
  <c r="AB200" i="7"/>
  <c r="AC200" i="7"/>
  <c r="AF200" i="7"/>
  <c r="AG200" i="7"/>
  <c r="AH200" i="7"/>
  <c r="AJ200" i="7"/>
  <c r="AK200" i="7"/>
  <c r="AL200" i="7"/>
  <c r="AO200" i="7"/>
  <c r="AP200" i="7"/>
  <c r="BI200" i="7" s="1"/>
  <c r="AE200" i="7" s="1"/>
  <c r="BD200" i="7"/>
  <c r="BF200" i="7"/>
  <c r="BH200" i="7"/>
  <c r="AD200" i="7" s="1"/>
  <c r="BJ200" i="7"/>
  <c r="K201" i="7"/>
  <c r="AK201" i="7" s="1"/>
  <c r="Z201" i="7"/>
  <c r="AB201" i="7"/>
  <c r="AC201" i="7"/>
  <c r="AF201" i="7"/>
  <c r="AG201" i="7"/>
  <c r="AH201" i="7"/>
  <c r="AJ201" i="7"/>
  <c r="AL201" i="7"/>
  <c r="AO201" i="7"/>
  <c r="BH201" i="7" s="1"/>
  <c r="AD201" i="7" s="1"/>
  <c r="AP201" i="7"/>
  <c r="BI201" i="7" s="1"/>
  <c r="AE201" i="7" s="1"/>
  <c r="BD201" i="7"/>
  <c r="BF201" i="7"/>
  <c r="BJ201" i="7"/>
  <c r="K202" i="7"/>
  <c r="AK202" i="7" s="1"/>
  <c r="Z202" i="7"/>
  <c r="AB202" i="7"/>
  <c r="AC202" i="7"/>
  <c r="AF202" i="7"/>
  <c r="AG202" i="7"/>
  <c r="AH202" i="7"/>
  <c r="AJ202" i="7"/>
  <c r="AL202" i="7"/>
  <c r="AO202" i="7"/>
  <c r="I202" i="7" s="1"/>
  <c r="AP202" i="7"/>
  <c r="J202" i="7" s="1"/>
  <c r="AW202" i="7"/>
  <c r="BD202" i="7"/>
  <c r="BF202" i="7"/>
  <c r="BH202" i="7"/>
  <c r="AD202" i="7" s="1"/>
  <c r="BJ202" i="7"/>
  <c r="K203" i="7"/>
  <c r="Z203" i="7"/>
  <c r="AB203" i="7"/>
  <c r="AC203" i="7"/>
  <c r="AF203" i="7"/>
  <c r="AG203" i="7"/>
  <c r="AH203" i="7"/>
  <c r="AJ203" i="7"/>
  <c r="AK203" i="7"/>
  <c r="AL203" i="7"/>
  <c r="AO203" i="7"/>
  <c r="AP203" i="7"/>
  <c r="BD203" i="7"/>
  <c r="BF203" i="7"/>
  <c r="BJ203" i="7"/>
  <c r="K204" i="7"/>
  <c r="Z204" i="7"/>
  <c r="AB204" i="7"/>
  <c r="AC204" i="7"/>
  <c r="AF204" i="7"/>
  <c r="AG204" i="7"/>
  <c r="AH204" i="7"/>
  <c r="AJ204" i="7"/>
  <c r="AK204" i="7"/>
  <c r="AL204" i="7"/>
  <c r="AO204" i="7"/>
  <c r="AP204" i="7"/>
  <c r="BI204" i="7" s="1"/>
  <c r="AE204" i="7" s="1"/>
  <c r="BD204" i="7"/>
  <c r="BF204" i="7"/>
  <c r="BJ204" i="7"/>
  <c r="K205" i="7"/>
  <c r="AK205" i="7" s="1"/>
  <c r="Z205" i="7"/>
  <c r="AB205" i="7"/>
  <c r="AC205" i="7"/>
  <c r="AF205" i="7"/>
  <c r="AG205" i="7"/>
  <c r="AH205" i="7"/>
  <c r="AJ205" i="7"/>
  <c r="AL205" i="7"/>
  <c r="AO205" i="7"/>
  <c r="AP205" i="7"/>
  <c r="J205" i="7" s="1"/>
  <c r="BD205" i="7"/>
  <c r="BF205" i="7"/>
  <c r="BH205" i="7"/>
  <c r="AD205" i="7" s="1"/>
  <c r="BJ205" i="7"/>
  <c r="K206" i="7"/>
  <c r="AK206" i="7" s="1"/>
  <c r="Z206" i="7"/>
  <c r="AB206" i="7"/>
  <c r="AC206" i="7"/>
  <c r="AF206" i="7"/>
  <c r="AG206" i="7"/>
  <c r="AH206" i="7"/>
  <c r="AJ206" i="7"/>
  <c r="AL206" i="7"/>
  <c r="AO206" i="7"/>
  <c r="AP206" i="7"/>
  <c r="BD206" i="7"/>
  <c r="BF206" i="7"/>
  <c r="BJ206" i="7"/>
  <c r="K207" i="7"/>
  <c r="Z207" i="7"/>
  <c r="AB207" i="7"/>
  <c r="AC207" i="7"/>
  <c r="AF207" i="7"/>
  <c r="AG207" i="7"/>
  <c r="AH207" i="7"/>
  <c r="AJ207" i="7"/>
  <c r="AK207" i="7"/>
  <c r="AL207" i="7"/>
  <c r="AO207" i="7"/>
  <c r="AP207" i="7"/>
  <c r="J207" i="7" s="1"/>
  <c r="BD207" i="7"/>
  <c r="BF207" i="7"/>
  <c r="BI207" i="7"/>
  <c r="AE207" i="7" s="1"/>
  <c r="BJ207" i="7"/>
  <c r="I208" i="7"/>
  <c r="K208" i="7"/>
  <c r="Z208" i="7"/>
  <c r="AB208" i="7"/>
  <c r="AC208" i="7"/>
  <c r="AF208" i="7"/>
  <c r="AG208" i="7"/>
  <c r="AH208" i="7"/>
  <c r="AJ208" i="7"/>
  <c r="AK208" i="7"/>
  <c r="AL208" i="7"/>
  <c r="AO208" i="7"/>
  <c r="AW208" i="7" s="1"/>
  <c r="AP208" i="7"/>
  <c r="BI208" i="7" s="1"/>
  <c r="AE208" i="7" s="1"/>
  <c r="BD208" i="7"/>
  <c r="BF208" i="7"/>
  <c r="BH208" i="7"/>
  <c r="AD208" i="7" s="1"/>
  <c r="BJ208" i="7"/>
  <c r="K209" i="7"/>
  <c r="AK209" i="7" s="1"/>
  <c r="Z209" i="7"/>
  <c r="AB209" i="7"/>
  <c r="AC209" i="7"/>
  <c r="AF209" i="7"/>
  <c r="AG209" i="7"/>
  <c r="AH209" i="7"/>
  <c r="AJ209" i="7"/>
  <c r="AL209" i="7"/>
  <c r="AO209" i="7"/>
  <c r="BH209" i="7" s="1"/>
  <c r="AD209" i="7" s="1"/>
  <c r="AP209" i="7"/>
  <c r="BD209" i="7"/>
  <c r="BF209" i="7"/>
  <c r="BJ209" i="7"/>
  <c r="K210" i="7"/>
  <c r="AK210" i="7" s="1"/>
  <c r="Z210" i="7"/>
  <c r="AB210" i="7"/>
  <c r="AC210" i="7"/>
  <c r="AF210" i="7"/>
  <c r="AG210" i="7"/>
  <c r="AH210" i="7"/>
  <c r="AJ210" i="7"/>
  <c r="AL210" i="7"/>
  <c r="AO210" i="7"/>
  <c r="AP210" i="7"/>
  <c r="J210" i="7" s="1"/>
  <c r="BD210" i="7"/>
  <c r="BF210" i="7"/>
  <c r="BI210" i="7"/>
  <c r="AE210" i="7" s="1"/>
  <c r="BJ210" i="7"/>
  <c r="K211" i="7"/>
  <c r="Z211" i="7"/>
  <c r="AB211" i="7"/>
  <c r="AC211" i="7"/>
  <c r="AF211" i="7"/>
  <c r="AG211" i="7"/>
  <c r="AH211" i="7"/>
  <c r="AJ211" i="7"/>
  <c r="AK211" i="7"/>
  <c r="AL211" i="7"/>
  <c r="AO211" i="7"/>
  <c r="AW211" i="7" s="1"/>
  <c r="AP211" i="7"/>
  <c r="BD211" i="7"/>
  <c r="BF211" i="7"/>
  <c r="BJ211" i="7"/>
  <c r="K212" i="7"/>
  <c r="Z212" i="7"/>
  <c r="AB212" i="7"/>
  <c r="AC212" i="7"/>
  <c r="AF212" i="7"/>
  <c r="AG212" i="7"/>
  <c r="AH212" i="7"/>
  <c r="AJ212" i="7"/>
  <c r="AK212" i="7"/>
  <c r="AL212" i="7"/>
  <c r="AO212" i="7"/>
  <c r="AW212" i="7" s="1"/>
  <c r="AP212" i="7"/>
  <c r="BI212" i="7" s="1"/>
  <c r="AE212" i="7" s="1"/>
  <c r="BD212" i="7"/>
  <c r="BF212" i="7"/>
  <c r="BH212" i="7"/>
  <c r="AD212" i="7" s="1"/>
  <c r="BJ212" i="7"/>
  <c r="K213" i="7"/>
  <c r="AK213" i="7" s="1"/>
  <c r="Z213" i="7"/>
  <c r="AB213" i="7"/>
  <c r="AC213" i="7"/>
  <c r="AF213" i="7"/>
  <c r="AG213" i="7"/>
  <c r="AH213" i="7"/>
  <c r="AJ213" i="7"/>
  <c r="AL213" i="7"/>
  <c r="AO213" i="7"/>
  <c r="BH213" i="7" s="1"/>
  <c r="AD213" i="7" s="1"/>
  <c r="AP213" i="7"/>
  <c r="J213" i="7" s="1"/>
  <c r="BD213" i="7"/>
  <c r="BF213" i="7"/>
  <c r="BI213" i="7"/>
  <c r="AE213" i="7" s="1"/>
  <c r="BJ213" i="7"/>
  <c r="K215" i="7"/>
  <c r="Z215" i="7"/>
  <c r="AB215" i="7"/>
  <c r="AC215" i="7"/>
  <c r="AF215" i="7"/>
  <c r="AG215" i="7"/>
  <c r="AH215" i="7"/>
  <c r="AJ215" i="7"/>
  <c r="AK215" i="7"/>
  <c r="AL215" i="7"/>
  <c r="AO215" i="7"/>
  <c r="AP215" i="7"/>
  <c r="BD215" i="7"/>
  <c r="BF215" i="7"/>
  <c r="BH215" i="7"/>
  <c r="AD215" i="7" s="1"/>
  <c r="BJ215" i="7"/>
  <c r="K216" i="7"/>
  <c r="Z216" i="7"/>
  <c r="AB216" i="7"/>
  <c r="AC216" i="7"/>
  <c r="AF216" i="7"/>
  <c r="AG216" i="7"/>
  <c r="AH216" i="7"/>
  <c r="AJ216" i="7"/>
  <c r="AL216" i="7"/>
  <c r="AO216" i="7"/>
  <c r="AP216" i="7"/>
  <c r="BD216" i="7"/>
  <c r="BF216" i="7"/>
  <c r="BJ216" i="7"/>
  <c r="K217" i="7"/>
  <c r="AK217" i="7" s="1"/>
  <c r="Z217" i="7"/>
  <c r="AB217" i="7"/>
  <c r="AC217" i="7"/>
  <c r="AF217" i="7"/>
  <c r="AG217" i="7"/>
  <c r="AH217" i="7"/>
  <c r="AJ217" i="7"/>
  <c r="AL217" i="7"/>
  <c r="AO217" i="7"/>
  <c r="AP217" i="7"/>
  <c r="BD217" i="7"/>
  <c r="BF217" i="7"/>
  <c r="BJ217" i="7"/>
  <c r="K218" i="7"/>
  <c r="Z218" i="7"/>
  <c r="AB218" i="7"/>
  <c r="AC218" i="7"/>
  <c r="AF218" i="7"/>
  <c r="AG218" i="7"/>
  <c r="AH218" i="7"/>
  <c r="AJ218" i="7"/>
  <c r="AK218" i="7"/>
  <c r="AL218" i="7"/>
  <c r="AO218" i="7"/>
  <c r="AP218" i="7"/>
  <c r="J218" i="7" s="1"/>
  <c r="BD218" i="7"/>
  <c r="BF218" i="7"/>
  <c r="BH218" i="7"/>
  <c r="AD218" i="7" s="1"/>
  <c r="BJ218" i="7"/>
  <c r="I219" i="7"/>
  <c r="K219" i="7"/>
  <c r="Z219" i="7"/>
  <c r="AB219" i="7"/>
  <c r="AC219" i="7"/>
  <c r="AF219" i="7"/>
  <c r="AG219" i="7"/>
  <c r="AH219" i="7"/>
  <c r="AJ219" i="7"/>
  <c r="AK219" i="7"/>
  <c r="AL219" i="7"/>
  <c r="AO219" i="7"/>
  <c r="AW219" i="7" s="1"/>
  <c r="AP219" i="7"/>
  <c r="BD219" i="7"/>
  <c r="BF219" i="7"/>
  <c r="BH219" i="7"/>
  <c r="AD219" i="7" s="1"/>
  <c r="BJ219" i="7"/>
  <c r="K220" i="7"/>
  <c r="AK220" i="7" s="1"/>
  <c r="Z220" i="7"/>
  <c r="AB220" i="7"/>
  <c r="AC220" i="7"/>
  <c r="AF220" i="7"/>
  <c r="AG220" i="7"/>
  <c r="AH220" i="7"/>
  <c r="AJ220" i="7"/>
  <c r="AL220" i="7"/>
  <c r="AO220" i="7"/>
  <c r="AP220" i="7"/>
  <c r="BD220" i="7"/>
  <c r="BF220" i="7"/>
  <c r="BJ220" i="7"/>
  <c r="J221" i="7"/>
  <c r="K221" i="7"/>
  <c r="AK221" i="7" s="1"/>
  <c r="Z221" i="7"/>
  <c r="AB221" i="7"/>
  <c r="AC221" i="7"/>
  <c r="AF221" i="7"/>
  <c r="AG221" i="7"/>
  <c r="AH221" i="7"/>
  <c r="AJ221" i="7"/>
  <c r="AL221" i="7"/>
  <c r="AO221" i="7"/>
  <c r="AP221" i="7"/>
  <c r="AX221" i="7"/>
  <c r="BD221" i="7"/>
  <c r="BF221" i="7"/>
  <c r="BI221" i="7"/>
  <c r="AE221" i="7" s="1"/>
  <c r="BJ221" i="7"/>
  <c r="K222" i="7"/>
  <c r="Z222" i="7"/>
  <c r="AB222" i="7"/>
  <c r="AC222" i="7"/>
  <c r="AF222" i="7"/>
  <c r="AG222" i="7"/>
  <c r="AH222" i="7"/>
  <c r="AJ222" i="7"/>
  <c r="AK222" i="7"/>
  <c r="AL222" i="7"/>
  <c r="AO222" i="7"/>
  <c r="AP222" i="7"/>
  <c r="BD222" i="7"/>
  <c r="BF222" i="7"/>
  <c r="BI222" i="7"/>
  <c r="AE222" i="7" s="1"/>
  <c r="BJ222" i="7"/>
  <c r="K223" i="7"/>
  <c r="Z223" i="7"/>
  <c r="AB223" i="7"/>
  <c r="AC223" i="7"/>
  <c r="AF223" i="7"/>
  <c r="AG223" i="7"/>
  <c r="AH223" i="7"/>
  <c r="AJ223" i="7"/>
  <c r="AK223" i="7"/>
  <c r="AL223" i="7"/>
  <c r="AO223" i="7"/>
  <c r="AW223" i="7" s="1"/>
  <c r="AP223" i="7"/>
  <c r="BD223" i="7"/>
  <c r="BF223" i="7"/>
  <c r="BJ223" i="7"/>
  <c r="K224" i="7"/>
  <c r="AK224" i="7" s="1"/>
  <c r="Z224" i="7"/>
  <c r="AB224" i="7"/>
  <c r="AC224" i="7"/>
  <c r="AF224" i="7"/>
  <c r="AG224" i="7"/>
  <c r="AH224" i="7"/>
  <c r="AJ224" i="7"/>
  <c r="AL224" i="7"/>
  <c r="AO224" i="7"/>
  <c r="AP224" i="7"/>
  <c r="BD224" i="7"/>
  <c r="BF224" i="7"/>
  <c r="BJ224" i="7"/>
  <c r="K225" i="7"/>
  <c r="AK225" i="7" s="1"/>
  <c r="Z225" i="7"/>
  <c r="AB225" i="7"/>
  <c r="AC225" i="7"/>
  <c r="AF225" i="7"/>
  <c r="AG225" i="7"/>
  <c r="AH225" i="7"/>
  <c r="AJ225" i="7"/>
  <c r="AL225" i="7"/>
  <c r="AO225" i="7"/>
  <c r="AP225" i="7"/>
  <c r="J225" i="7" s="1"/>
  <c r="AX225" i="7"/>
  <c r="BD225" i="7"/>
  <c r="BF225" i="7"/>
  <c r="BI225" i="7"/>
  <c r="AE225" i="7" s="1"/>
  <c r="BJ225" i="7"/>
  <c r="K226" i="7"/>
  <c r="Z226" i="7"/>
  <c r="AB226" i="7"/>
  <c r="AC226" i="7"/>
  <c r="AF226" i="7"/>
  <c r="AG226" i="7"/>
  <c r="AH226" i="7"/>
  <c r="AJ226" i="7"/>
  <c r="AK226" i="7"/>
  <c r="AL226" i="7"/>
  <c r="AO226" i="7"/>
  <c r="I226" i="7" s="1"/>
  <c r="AP226" i="7"/>
  <c r="AW226" i="7"/>
  <c r="BD226" i="7"/>
  <c r="BF226" i="7"/>
  <c r="BJ226" i="7"/>
  <c r="K227" i="7"/>
  <c r="Z227" i="7"/>
  <c r="AB227" i="7"/>
  <c r="AC227" i="7"/>
  <c r="AF227" i="7"/>
  <c r="AG227" i="7"/>
  <c r="AH227" i="7"/>
  <c r="AJ227" i="7"/>
  <c r="AK227" i="7"/>
  <c r="AL227" i="7"/>
  <c r="AO227" i="7"/>
  <c r="AP227" i="7"/>
  <c r="BD227" i="7"/>
  <c r="BF227" i="7"/>
  <c r="BJ227" i="7"/>
  <c r="K228" i="7"/>
  <c r="AK228" i="7" s="1"/>
  <c r="Z228" i="7"/>
  <c r="AB228" i="7"/>
  <c r="AC228" i="7"/>
  <c r="AF228" i="7"/>
  <c r="AG228" i="7"/>
  <c r="AH228" i="7"/>
  <c r="AJ228" i="7"/>
  <c r="AL228" i="7"/>
  <c r="AO228" i="7"/>
  <c r="AP228" i="7"/>
  <c r="BD228" i="7"/>
  <c r="BF228" i="7"/>
  <c r="BJ228" i="7"/>
  <c r="K229" i="7"/>
  <c r="AK229" i="7" s="1"/>
  <c r="Z229" i="7"/>
  <c r="AB229" i="7"/>
  <c r="AC229" i="7"/>
  <c r="AF229" i="7"/>
  <c r="AG229" i="7"/>
  <c r="AH229" i="7"/>
  <c r="AJ229" i="7"/>
  <c r="AL229" i="7"/>
  <c r="AO229" i="7"/>
  <c r="AP229" i="7"/>
  <c r="BI229" i="7" s="1"/>
  <c r="AE229" i="7" s="1"/>
  <c r="BD229" i="7"/>
  <c r="BF229" i="7"/>
  <c r="BJ229" i="7"/>
  <c r="K231" i="7"/>
  <c r="Z231" i="7"/>
  <c r="AB231" i="7"/>
  <c r="AC231" i="7"/>
  <c r="AF231" i="7"/>
  <c r="AG231" i="7"/>
  <c r="AH231" i="7"/>
  <c r="AJ231" i="7"/>
  <c r="AL231" i="7"/>
  <c r="AO231" i="7"/>
  <c r="AP231" i="7"/>
  <c r="BD231" i="7"/>
  <c r="BF231" i="7"/>
  <c r="BJ231" i="7"/>
  <c r="K232" i="7"/>
  <c r="AK232" i="7" s="1"/>
  <c r="Z232" i="7"/>
  <c r="AB232" i="7"/>
  <c r="AC232" i="7"/>
  <c r="AF232" i="7"/>
  <c r="AG232" i="7"/>
  <c r="AH232" i="7"/>
  <c r="AJ232" i="7"/>
  <c r="AL232" i="7"/>
  <c r="AO232" i="7"/>
  <c r="AP232" i="7"/>
  <c r="BI232" i="7" s="1"/>
  <c r="AE232" i="7" s="1"/>
  <c r="BD232" i="7"/>
  <c r="BF232" i="7"/>
  <c r="BJ232" i="7"/>
  <c r="K233" i="7"/>
  <c r="Z233" i="7"/>
  <c r="AB233" i="7"/>
  <c r="AC233" i="7"/>
  <c r="AF233" i="7"/>
  <c r="AG233" i="7"/>
  <c r="AH233" i="7"/>
  <c r="AJ233" i="7"/>
  <c r="AK233" i="7"/>
  <c r="AL233" i="7"/>
  <c r="AO233" i="7"/>
  <c r="I233" i="7" s="1"/>
  <c r="AP233" i="7"/>
  <c r="J233" i="7" s="1"/>
  <c r="AW233" i="7"/>
  <c r="BD233" i="7"/>
  <c r="BF233" i="7"/>
  <c r="BH233" i="7"/>
  <c r="AD233" i="7" s="1"/>
  <c r="BJ233" i="7"/>
  <c r="K234" i="7"/>
  <c r="Z234" i="7"/>
  <c r="AB234" i="7"/>
  <c r="AC234" i="7"/>
  <c r="AF234" i="7"/>
  <c r="AG234" i="7"/>
  <c r="AH234" i="7"/>
  <c r="AJ234" i="7"/>
  <c r="AK234" i="7"/>
  <c r="AL234" i="7"/>
  <c r="AO234" i="7"/>
  <c r="AP234" i="7"/>
  <c r="BD234" i="7"/>
  <c r="BF234" i="7"/>
  <c r="BJ234" i="7"/>
  <c r="K235" i="7"/>
  <c r="AK235" i="7" s="1"/>
  <c r="Z235" i="7"/>
  <c r="AB235" i="7"/>
  <c r="AC235" i="7"/>
  <c r="AF235" i="7"/>
  <c r="AG235" i="7"/>
  <c r="AH235" i="7"/>
  <c r="AJ235" i="7"/>
  <c r="AL235" i="7"/>
  <c r="AO235" i="7"/>
  <c r="AP235" i="7"/>
  <c r="BD235" i="7"/>
  <c r="BF235" i="7"/>
  <c r="BJ235" i="7"/>
  <c r="K236" i="7"/>
  <c r="AK236" i="7" s="1"/>
  <c r="Z236" i="7"/>
  <c r="AB236" i="7"/>
  <c r="AC236" i="7"/>
  <c r="AF236" i="7"/>
  <c r="AG236" i="7"/>
  <c r="AH236" i="7"/>
  <c r="AJ236" i="7"/>
  <c r="AL236" i="7"/>
  <c r="AO236" i="7"/>
  <c r="AP236" i="7"/>
  <c r="BI236" i="7" s="1"/>
  <c r="AE236" i="7" s="1"/>
  <c r="BD236" i="7"/>
  <c r="BF236" i="7"/>
  <c r="BJ236" i="7"/>
  <c r="K237" i="7"/>
  <c r="Z237" i="7"/>
  <c r="AB237" i="7"/>
  <c r="AC237" i="7"/>
  <c r="AF237" i="7"/>
  <c r="AG237" i="7"/>
  <c r="AH237" i="7"/>
  <c r="AJ237" i="7"/>
  <c r="AK237" i="7"/>
  <c r="AL237" i="7"/>
  <c r="AO237" i="7"/>
  <c r="I237" i="7" s="1"/>
  <c r="AP237" i="7"/>
  <c r="AW237" i="7"/>
  <c r="BD237" i="7"/>
  <c r="BF237" i="7"/>
  <c r="BH237" i="7"/>
  <c r="AD237" i="7" s="1"/>
  <c r="BJ237" i="7"/>
  <c r="K238" i="7"/>
  <c r="Z238" i="7"/>
  <c r="AB238" i="7"/>
  <c r="AC238" i="7"/>
  <c r="AF238" i="7"/>
  <c r="AG238" i="7"/>
  <c r="AH238" i="7"/>
  <c r="AJ238" i="7"/>
  <c r="AK238" i="7"/>
  <c r="AL238" i="7"/>
  <c r="AO238" i="7"/>
  <c r="AP238" i="7"/>
  <c r="BD238" i="7"/>
  <c r="BF238" i="7"/>
  <c r="BJ238" i="7"/>
  <c r="K239" i="7"/>
  <c r="AK239" i="7" s="1"/>
  <c r="Z239" i="7"/>
  <c r="AB239" i="7"/>
  <c r="AC239" i="7"/>
  <c r="AF239" i="7"/>
  <c r="AG239" i="7"/>
  <c r="AH239" i="7"/>
  <c r="AJ239" i="7"/>
  <c r="AL239" i="7"/>
  <c r="AO239" i="7"/>
  <c r="AP239" i="7"/>
  <c r="BD239" i="7"/>
  <c r="BF239" i="7"/>
  <c r="BJ239" i="7"/>
  <c r="K240" i="7"/>
  <c r="AK240" i="7" s="1"/>
  <c r="Z240" i="7"/>
  <c r="AB240" i="7"/>
  <c r="AC240" i="7"/>
  <c r="AF240" i="7"/>
  <c r="AG240" i="7"/>
  <c r="AH240" i="7"/>
  <c r="AJ240" i="7"/>
  <c r="AL240" i="7"/>
  <c r="AO240" i="7"/>
  <c r="AP240" i="7"/>
  <c r="BI240" i="7" s="1"/>
  <c r="AE240" i="7" s="1"/>
  <c r="BD240" i="7"/>
  <c r="BF240" i="7"/>
  <c r="BJ240" i="7"/>
  <c r="K241" i="7"/>
  <c r="Z241" i="7"/>
  <c r="AB241" i="7"/>
  <c r="AC241" i="7"/>
  <c r="AF241" i="7"/>
  <c r="AG241" i="7"/>
  <c r="AH241" i="7"/>
  <c r="AJ241" i="7"/>
  <c r="AK241" i="7"/>
  <c r="AL241" i="7"/>
  <c r="AO241" i="7"/>
  <c r="AW241" i="7" s="1"/>
  <c r="AP241" i="7"/>
  <c r="BD241" i="7"/>
  <c r="BF241" i="7"/>
  <c r="BH241" i="7"/>
  <c r="AD241" i="7" s="1"/>
  <c r="BJ241" i="7"/>
  <c r="K242" i="7"/>
  <c r="Z242" i="7"/>
  <c r="AB242" i="7"/>
  <c r="AC242" i="7"/>
  <c r="AF242" i="7"/>
  <c r="AG242" i="7"/>
  <c r="AH242" i="7"/>
  <c r="AJ242" i="7"/>
  <c r="AK242" i="7"/>
  <c r="AL242" i="7"/>
  <c r="AO242" i="7"/>
  <c r="I242" i="7" s="1"/>
  <c r="AP242" i="7"/>
  <c r="AW242" i="7"/>
  <c r="BD242" i="7"/>
  <c r="BF242" i="7"/>
  <c r="BJ242" i="7"/>
  <c r="K243" i="7"/>
  <c r="AK243" i="7" s="1"/>
  <c r="Z243" i="7"/>
  <c r="AB243" i="7"/>
  <c r="AC243" i="7"/>
  <c r="AF243" i="7"/>
  <c r="AG243" i="7"/>
  <c r="AH243" i="7"/>
  <c r="AJ243" i="7"/>
  <c r="AL243" i="7"/>
  <c r="AO243" i="7"/>
  <c r="AP243" i="7"/>
  <c r="BD243" i="7"/>
  <c r="BF243" i="7"/>
  <c r="BJ243" i="7"/>
  <c r="K244" i="7"/>
  <c r="AK244" i="7" s="1"/>
  <c r="Z244" i="7"/>
  <c r="AB244" i="7"/>
  <c r="AC244" i="7"/>
  <c r="AF244" i="7"/>
  <c r="AG244" i="7"/>
  <c r="AH244" i="7"/>
  <c r="AJ244" i="7"/>
  <c r="AL244" i="7"/>
  <c r="AO244" i="7"/>
  <c r="AP244" i="7"/>
  <c r="J244" i="7" s="1"/>
  <c r="AX244" i="7"/>
  <c r="BD244" i="7"/>
  <c r="BF244" i="7"/>
  <c r="BI244" i="7"/>
  <c r="AE244" i="7" s="1"/>
  <c r="BJ244" i="7"/>
  <c r="K245" i="7"/>
  <c r="Z245" i="7"/>
  <c r="AB245" i="7"/>
  <c r="AC245" i="7"/>
  <c r="AF245" i="7"/>
  <c r="AG245" i="7"/>
  <c r="AH245" i="7"/>
  <c r="AJ245" i="7"/>
  <c r="AK245" i="7"/>
  <c r="AL245" i="7"/>
  <c r="AO245" i="7"/>
  <c r="AW245" i="7" s="1"/>
  <c r="AP245" i="7"/>
  <c r="AX245" i="7" s="1"/>
  <c r="BD245" i="7"/>
  <c r="BF245" i="7"/>
  <c r="BI245" i="7"/>
  <c r="AE245" i="7" s="1"/>
  <c r="BJ245" i="7"/>
  <c r="K246" i="7"/>
  <c r="Z246" i="7"/>
  <c r="AB246" i="7"/>
  <c r="AC246" i="7"/>
  <c r="AF246" i="7"/>
  <c r="AG246" i="7"/>
  <c r="AH246" i="7"/>
  <c r="AJ246" i="7"/>
  <c r="AK246" i="7"/>
  <c r="AL246" i="7"/>
  <c r="AO246" i="7"/>
  <c r="AP246" i="7"/>
  <c r="BD246" i="7"/>
  <c r="BF246" i="7"/>
  <c r="BH246" i="7"/>
  <c r="AD246" i="7" s="1"/>
  <c r="BJ246" i="7"/>
  <c r="K247" i="7"/>
  <c r="AK247" i="7" s="1"/>
  <c r="Z247" i="7"/>
  <c r="AB247" i="7"/>
  <c r="AC247" i="7"/>
  <c r="AF247" i="7"/>
  <c r="AG247" i="7"/>
  <c r="AH247" i="7"/>
  <c r="AJ247" i="7"/>
  <c r="AL247" i="7"/>
  <c r="AO247" i="7"/>
  <c r="AP247" i="7"/>
  <c r="AX247" i="7" s="1"/>
  <c r="BD247" i="7"/>
  <c r="BF247" i="7"/>
  <c r="BH247" i="7"/>
  <c r="AD247" i="7" s="1"/>
  <c r="BJ247" i="7"/>
  <c r="K248" i="7"/>
  <c r="AK248" i="7" s="1"/>
  <c r="Z248" i="7"/>
  <c r="AB248" i="7"/>
  <c r="AC248" i="7"/>
  <c r="AF248" i="7"/>
  <c r="AG248" i="7"/>
  <c r="AH248" i="7"/>
  <c r="AJ248" i="7"/>
  <c r="AL248" i="7"/>
  <c r="AO248" i="7"/>
  <c r="AP248" i="7"/>
  <c r="J248" i="7" s="1"/>
  <c r="BD248" i="7"/>
  <c r="BF248" i="7"/>
  <c r="BI248" i="7"/>
  <c r="AE248" i="7" s="1"/>
  <c r="BJ248" i="7"/>
  <c r="K249" i="7"/>
  <c r="Z249" i="7"/>
  <c r="AB249" i="7"/>
  <c r="AC249" i="7"/>
  <c r="AF249" i="7"/>
  <c r="AG249" i="7"/>
  <c r="AH249" i="7"/>
  <c r="AJ249" i="7"/>
  <c r="AK249" i="7"/>
  <c r="AL249" i="7"/>
  <c r="AO249" i="7"/>
  <c r="I249" i="7" s="1"/>
  <c r="AP249" i="7"/>
  <c r="AW249" i="7"/>
  <c r="BD249" i="7"/>
  <c r="BF249" i="7"/>
  <c r="BJ249" i="7"/>
  <c r="K250" i="7"/>
  <c r="Z250" i="7"/>
  <c r="AB250" i="7"/>
  <c r="AC250" i="7"/>
  <c r="AF250" i="7"/>
  <c r="AG250" i="7"/>
  <c r="AH250" i="7"/>
  <c r="AJ250" i="7"/>
  <c r="AK250" i="7"/>
  <c r="AL250" i="7"/>
  <c r="AO250" i="7"/>
  <c r="BH250" i="7" s="1"/>
  <c r="AD250" i="7" s="1"/>
  <c r="AP250" i="7"/>
  <c r="BI250" i="7" s="1"/>
  <c r="AE250" i="7" s="1"/>
  <c r="BD250" i="7"/>
  <c r="BF250" i="7"/>
  <c r="BJ250" i="7"/>
  <c r="K251" i="7"/>
  <c r="AK251" i="7" s="1"/>
  <c r="Z251" i="7"/>
  <c r="AB251" i="7"/>
  <c r="AC251" i="7"/>
  <c r="AF251" i="7"/>
  <c r="AG251" i="7"/>
  <c r="AH251" i="7"/>
  <c r="AJ251" i="7"/>
  <c r="AL251" i="7"/>
  <c r="AO251" i="7"/>
  <c r="AP251" i="7"/>
  <c r="BD251" i="7"/>
  <c r="BF251" i="7"/>
  <c r="BI251" i="7"/>
  <c r="AE251" i="7" s="1"/>
  <c r="BJ251" i="7"/>
  <c r="J252" i="7"/>
  <c r="K252" i="7"/>
  <c r="AK252" i="7" s="1"/>
  <c r="Z252" i="7"/>
  <c r="AB252" i="7"/>
  <c r="AC252" i="7"/>
  <c r="AF252" i="7"/>
  <c r="AG252" i="7"/>
  <c r="AH252" i="7"/>
  <c r="AJ252" i="7"/>
  <c r="AL252" i="7"/>
  <c r="AO252" i="7"/>
  <c r="AP252" i="7"/>
  <c r="AX252" i="7"/>
  <c r="BD252" i="7"/>
  <c r="BF252" i="7"/>
  <c r="BI252" i="7"/>
  <c r="AE252" i="7" s="1"/>
  <c r="BJ252" i="7"/>
  <c r="K253" i="7"/>
  <c r="Z253" i="7"/>
  <c r="AB253" i="7"/>
  <c r="AC253" i="7"/>
  <c r="AF253" i="7"/>
  <c r="AG253" i="7"/>
  <c r="AH253" i="7"/>
  <c r="AJ253" i="7"/>
  <c r="AK253" i="7"/>
  <c r="AL253" i="7"/>
  <c r="AO253" i="7"/>
  <c r="I253" i="7" s="1"/>
  <c r="AP253" i="7"/>
  <c r="BD253" i="7"/>
  <c r="BF253" i="7"/>
  <c r="BJ253" i="7"/>
  <c r="K254" i="7"/>
  <c r="Z254" i="7"/>
  <c r="AB254" i="7"/>
  <c r="AC254" i="7"/>
  <c r="AF254" i="7"/>
  <c r="AG254" i="7"/>
  <c r="AH254" i="7"/>
  <c r="AJ254" i="7"/>
  <c r="AK254" i="7"/>
  <c r="AL254" i="7"/>
  <c r="AO254" i="7"/>
  <c r="AW254" i="7" s="1"/>
  <c r="AP254" i="7"/>
  <c r="BI254" i="7" s="1"/>
  <c r="AE254" i="7" s="1"/>
  <c r="BD254" i="7"/>
  <c r="BF254" i="7"/>
  <c r="BH254" i="7"/>
  <c r="AD254" i="7" s="1"/>
  <c r="BJ254" i="7"/>
  <c r="K255" i="7"/>
  <c r="AK255" i="7" s="1"/>
  <c r="Z255" i="7"/>
  <c r="AB255" i="7"/>
  <c r="AC255" i="7"/>
  <c r="AF255" i="7"/>
  <c r="AG255" i="7"/>
  <c r="AH255" i="7"/>
  <c r="AJ255" i="7"/>
  <c r="AL255" i="7"/>
  <c r="AO255" i="7"/>
  <c r="AP255" i="7"/>
  <c r="J255" i="7" s="1"/>
  <c r="BD255" i="7"/>
  <c r="BF255" i="7"/>
  <c r="BI255" i="7"/>
  <c r="AE255" i="7" s="1"/>
  <c r="BJ255" i="7"/>
  <c r="K256" i="7"/>
  <c r="AK256" i="7" s="1"/>
  <c r="Z256" i="7"/>
  <c r="AB256" i="7"/>
  <c r="AC256" i="7"/>
  <c r="AF256" i="7"/>
  <c r="AG256" i="7"/>
  <c r="AH256" i="7"/>
  <c r="AJ256" i="7"/>
  <c r="AL256" i="7"/>
  <c r="AO256" i="7"/>
  <c r="AP256" i="7"/>
  <c r="BD256" i="7"/>
  <c r="BF256" i="7"/>
  <c r="BJ256" i="7"/>
  <c r="K257" i="7"/>
  <c r="Z257" i="7"/>
  <c r="AB257" i="7"/>
  <c r="AC257" i="7"/>
  <c r="AF257" i="7"/>
  <c r="AG257" i="7"/>
  <c r="AH257" i="7"/>
  <c r="AJ257" i="7"/>
  <c r="AK257" i="7"/>
  <c r="AL257" i="7"/>
  <c r="AO257" i="7"/>
  <c r="I257" i="7" s="1"/>
  <c r="AP257" i="7"/>
  <c r="BD257" i="7"/>
  <c r="BF257" i="7"/>
  <c r="BJ257" i="7"/>
  <c r="K258" i="7"/>
  <c r="Z258" i="7"/>
  <c r="AB258" i="7"/>
  <c r="AC258" i="7"/>
  <c r="AF258" i="7"/>
  <c r="AG258" i="7"/>
  <c r="AH258" i="7"/>
  <c r="AJ258" i="7"/>
  <c r="AK258" i="7"/>
  <c r="AL258" i="7"/>
  <c r="AO258" i="7"/>
  <c r="AP258" i="7"/>
  <c r="BI258" i="7" s="1"/>
  <c r="AE258" i="7" s="1"/>
  <c r="BD258" i="7"/>
  <c r="BF258" i="7"/>
  <c r="BH258" i="7"/>
  <c r="AD258" i="7" s="1"/>
  <c r="BJ258" i="7"/>
  <c r="K259" i="7"/>
  <c r="AK259" i="7" s="1"/>
  <c r="Z259" i="7"/>
  <c r="AB259" i="7"/>
  <c r="AC259" i="7"/>
  <c r="AF259" i="7"/>
  <c r="AG259" i="7"/>
  <c r="AH259" i="7"/>
  <c r="AJ259" i="7"/>
  <c r="AL259" i="7"/>
  <c r="AO259" i="7"/>
  <c r="AP259" i="7"/>
  <c r="BI259" i="7" s="1"/>
  <c r="AE259" i="7" s="1"/>
  <c r="BD259" i="7"/>
  <c r="BF259" i="7"/>
  <c r="BJ259" i="7"/>
  <c r="K260" i="7"/>
  <c r="AK260" i="7" s="1"/>
  <c r="Z260" i="7"/>
  <c r="AB260" i="7"/>
  <c r="AC260" i="7"/>
  <c r="AF260" i="7"/>
  <c r="AG260" i="7"/>
  <c r="AH260" i="7"/>
  <c r="AJ260" i="7"/>
  <c r="AL260" i="7"/>
  <c r="AO260" i="7"/>
  <c r="AP260" i="7"/>
  <c r="BI260" i="7" s="1"/>
  <c r="AE260" i="7" s="1"/>
  <c r="BD260" i="7"/>
  <c r="BF260" i="7"/>
  <c r="BJ260" i="7"/>
  <c r="K261" i="7"/>
  <c r="Z261" i="7"/>
  <c r="AB261" i="7"/>
  <c r="AC261" i="7"/>
  <c r="AF261" i="7"/>
  <c r="AG261" i="7"/>
  <c r="AH261" i="7"/>
  <c r="AJ261" i="7"/>
  <c r="AK261" i="7"/>
  <c r="AL261" i="7"/>
  <c r="AO261" i="7"/>
  <c r="AP261" i="7"/>
  <c r="AX261" i="7" s="1"/>
  <c r="BD261" i="7"/>
  <c r="BF261" i="7"/>
  <c r="BJ261" i="7"/>
  <c r="K262" i="7"/>
  <c r="Z262" i="7"/>
  <c r="AB262" i="7"/>
  <c r="AC262" i="7"/>
  <c r="AF262" i="7"/>
  <c r="AG262" i="7"/>
  <c r="AH262" i="7"/>
  <c r="AJ262" i="7"/>
  <c r="AK262" i="7"/>
  <c r="AL262" i="7"/>
  <c r="AO262" i="7"/>
  <c r="AW262" i="7" s="1"/>
  <c r="AP262" i="7"/>
  <c r="BD262" i="7"/>
  <c r="BF262" i="7"/>
  <c r="BH262" i="7"/>
  <c r="AD262" i="7" s="1"/>
  <c r="BJ262" i="7"/>
  <c r="K263" i="7"/>
  <c r="AK263" i="7" s="1"/>
  <c r="Z263" i="7"/>
  <c r="AB263" i="7"/>
  <c r="AC263" i="7"/>
  <c r="AF263" i="7"/>
  <c r="AG263" i="7"/>
  <c r="AH263" i="7"/>
  <c r="AJ263" i="7"/>
  <c r="AL263" i="7"/>
  <c r="AO263" i="7"/>
  <c r="AP263" i="7"/>
  <c r="BD263" i="7"/>
  <c r="BF263" i="7"/>
  <c r="BJ263" i="7"/>
  <c r="K264" i="7"/>
  <c r="AK264" i="7" s="1"/>
  <c r="Z264" i="7"/>
  <c r="AB264" i="7"/>
  <c r="AC264" i="7"/>
  <c r="AF264" i="7"/>
  <c r="AG264" i="7"/>
  <c r="AH264" i="7"/>
  <c r="AJ264" i="7"/>
  <c r="AL264" i="7"/>
  <c r="AO264" i="7"/>
  <c r="AP264" i="7"/>
  <c r="J264" i="7" s="1"/>
  <c r="BD264" i="7"/>
  <c r="BF264" i="7"/>
  <c r="BI264" i="7"/>
  <c r="AE264" i="7" s="1"/>
  <c r="BJ264" i="7"/>
  <c r="K265" i="7"/>
  <c r="Z265" i="7"/>
  <c r="AB265" i="7"/>
  <c r="AC265" i="7"/>
  <c r="AF265" i="7"/>
  <c r="AG265" i="7"/>
  <c r="AH265" i="7"/>
  <c r="AJ265" i="7"/>
  <c r="AK265" i="7"/>
  <c r="AL265" i="7"/>
  <c r="AO265" i="7"/>
  <c r="AP265" i="7"/>
  <c r="BD265" i="7"/>
  <c r="BF265" i="7"/>
  <c r="BH265" i="7"/>
  <c r="AD265" i="7" s="1"/>
  <c r="BJ265" i="7"/>
  <c r="K266" i="7"/>
  <c r="AK266" i="7" s="1"/>
  <c r="Z266" i="7"/>
  <c r="AB266" i="7"/>
  <c r="AC266" i="7"/>
  <c r="AF266" i="7"/>
  <c r="AG266" i="7"/>
  <c r="AH266" i="7"/>
  <c r="AJ266" i="7"/>
  <c r="AL266" i="7"/>
  <c r="AO266" i="7"/>
  <c r="AW266" i="7" s="1"/>
  <c r="AP266" i="7"/>
  <c r="BD266" i="7"/>
  <c r="BF266" i="7"/>
  <c r="BJ266" i="7"/>
  <c r="K267" i="7"/>
  <c r="AK267" i="7" s="1"/>
  <c r="Z267" i="7"/>
  <c r="AB267" i="7"/>
  <c r="AC267" i="7"/>
  <c r="AF267" i="7"/>
  <c r="AG267" i="7"/>
  <c r="AH267" i="7"/>
  <c r="AJ267" i="7"/>
  <c r="AL267" i="7"/>
  <c r="AO267" i="7"/>
  <c r="AP267" i="7"/>
  <c r="BD267" i="7"/>
  <c r="BF267" i="7"/>
  <c r="BH267" i="7"/>
  <c r="AD267" i="7" s="1"/>
  <c r="BJ267" i="7"/>
  <c r="J268" i="7"/>
  <c r="K268" i="7"/>
  <c r="AK268" i="7" s="1"/>
  <c r="Z268" i="7"/>
  <c r="AB268" i="7"/>
  <c r="AC268" i="7"/>
  <c r="AF268" i="7"/>
  <c r="AG268" i="7"/>
  <c r="AH268" i="7"/>
  <c r="AJ268" i="7"/>
  <c r="AL268" i="7"/>
  <c r="AO268" i="7"/>
  <c r="AP268" i="7"/>
  <c r="AX268" i="7"/>
  <c r="BD268" i="7"/>
  <c r="BF268" i="7"/>
  <c r="BI268" i="7"/>
  <c r="AE268" i="7" s="1"/>
  <c r="BJ268" i="7"/>
  <c r="K269" i="7"/>
  <c r="Z269" i="7"/>
  <c r="AB269" i="7"/>
  <c r="AC269" i="7"/>
  <c r="AF269" i="7"/>
  <c r="AG269" i="7"/>
  <c r="AH269" i="7"/>
  <c r="AJ269" i="7"/>
  <c r="AK269" i="7"/>
  <c r="AL269" i="7"/>
  <c r="AO269" i="7"/>
  <c r="AP269" i="7"/>
  <c r="BD269" i="7"/>
  <c r="BF269" i="7"/>
  <c r="BH269" i="7"/>
  <c r="AD269" i="7" s="1"/>
  <c r="BJ269" i="7"/>
  <c r="K270" i="7"/>
  <c r="Z270" i="7"/>
  <c r="AB270" i="7"/>
  <c r="AC270" i="7"/>
  <c r="AF270" i="7"/>
  <c r="AG270" i="7"/>
  <c r="AH270" i="7"/>
  <c r="AJ270" i="7"/>
  <c r="AK270" i="7"/>
  <c r="AL270" i="7"/>
  <c r="AO270" i="7"/>
  <c r="AP270" i="7"/>
  <c r="BD270" i="7"/>
  <c r="BF270" i="7"/>
  <c r="BH270" i="7"/>
  <c r="AD270" i="7" s="1"/>
  <c r="BI270" i="7"/>
  <c r="AE270" i="7" s="1"/>
  <c r="BJ270" i="7"/>
  <c r="K271" i="7"/>
  <c r="AK271" i="7" s="1"/>
  <c r="Z271" i="7"/>
  <c r="AB271" i="7"/>
  <c r="AC271" i="7"/>
  <c r="AF271" i="7"/>
  <c r="AG271" i="7"/>
  <c r="AH271" i="7"/>
  <c r="AJ271" i="7"/>
  <c r="AL271" i="7"/>
  <c r="AO271" i="7"/>
  <c r="BH271" i="7" s="1"/>
  <c r="AD271" i="7" s="1"/>
  <c r="AP271" i="7"/>
  <c r="J271" i="7" s="1"/>
  <c r="AX271" i="7"/>
  <c r="BD271" i="7"/>
  <c r="BF271" i="7"/>
  <c r="BI271" i="7"/>
  <c r="AE271" i="7" s="1"/>
  <c r="BJ271" i="7"/>
  <c r="J272" i="7"/>
  <c r="K272" i="7"/>
  <c r="AK272" i="7" s="1"/>
  <c r="Z272" i="7"/>
  <c r="AB272" i="7"/>
  <c r="AC272" i="7"/>
  <c r="AF272" i="7"/>
  <c r="AG272" i="7"/>
  <c r="AH272" i="7"/>
  <c r="AJ272" i="7"/>
  <c r="AL272" i="7"/>
  <c r="AO272" i="7"/>
  <c r="I272" i="7" s="1"/>
  <c r="AP272" i="7"/>
  <c r="AX272" i="7" s="1"/>
  <c r="AW272" i="7"/>
  <c r="BD272" i="7"/>
  <c r="BF272" i="7"/>
  <c r="BH272" i="7"/>
  <c r="AD272" i="7" s="1"/>
  <c r="BJ272" i="7"/>
  <c r="K273" i="7"/>
  <c r="Z273" i="7"/>
  <c r="AB273" i="7"/>
  <c r="AC273" i="7"/>
  <c r="AF273" i="7"/>
  <c r="AG273" i="7"/>
  <c r="AH273" i="7"/>
  <c r="AJ273" i="7"/>
  <c r="AK273" i="7"/>
  <c r="AL273" i="7"/>
  <c r="AO273" i="7"/>
  <c r="AP273" i="7"/>
  <c r="BD273" i="7"/>
  <c r="BF273" i="7"/>
  <c r="BJ273" i="7"/>
  <c r="K274" i="7"/>
  <c r="Z274" i="7"/>
  <c r="AB274" i="7"/>
  <c r="AC274" i="7"/>
  <c r="AF274" i="7"/>
  <c r="AG274" i="7"/>
  <c r="AH274" i="7"/>
  <c r="AJ274" i="7"/>
  <c r="AK274" i="7"/>
  <c r="AL274" i="7"/>
  <c r="AO274" i="7"/>
  <c r="AP274" i="7"/>
  <c r="BD274" i="7"/>
  <c r="BF274" i="7"/>
  <c r="BI274" i="7"/>
  <c r="AE274" i="7" s="1"/>
  <c r="BJ274" i="7"/>
  <c r="K275" i="7"/>
  <c r="AK275" i="7" s="1"/>
  <c r="Z275" i="7"/>
  <c r="AB275" i="7"/>
  <c r="AC275" i="7"/>
  <c r="AF275" i="7"/>
  <c r="AG275" i="7"/>
  <c r="AH275" i="7"/>
  <c r="AJ275" i="7"/>
  <c r="AL275" i="7"/>
  <c r="AO275" i="7"/>
  <c r="BH275" i="7" s="1"/>
  <c r="AD275" i="7" s="1"/>
  <c r="AP275" i="7"/>
  <c r="J275" i="7" s="1"/>
  <c r="BD275" i="7"/>
  <c r="BF275" i="7"/>
  <c r="BJ275" i="7"/>
  <c r="K276" i="7"/>
  <c r="AK276" i="7" s="1"/>
  <c r="Z276" i="7"/>
  <c r="AB276" i="7"/>
  <c r="AC276" i="7"/>
  <c r="AF276" i="7"/>
  <c r="AG276" i="7"/>
  <c r="AH276" i="7"/>
  <c r="AJ276" i="7"/>
  <c r="AL276" i="7"/>
  <c r="AO276" i="7"/>
  <c r="AP276" i="7"/>
  <c r="J276" i="7" s="1"/>
  <c r="BD276" i="7"/>
  <c r="BF276" i="7"/>
  <c r="BJ276" i="7"/>
  <c r="K277" i="7"/>
  <c r="Z277" i="7"/>
  <c r="AB277" i="7"/>
  <c r="AC277" i="7"/>
  <c r="AF277" i="7"/>
  <c r="AG277" i="7"/>
  <c r="AH277" i="7"/>
  <c r="AJ277" i="7"/>
  <c r="AK277" i="7"/>
  <c r="AL277" i="7"/>
  <c r="AO277" i="7"/>
  <c r="AP277" i="7"/>
  <c r="J277" i="7" s="1"/>
  <c r="BD277" i="7"/>
  <c r="BF277" i="7"/>
  <c r="BJ277" i="7"/>
  <c r="K278" i="7"/>
  <c r="Z278" i="7"/>
  <c r="AB278" i="7"/>
  <c r="AC278" i="7"/>
  <c r="AF278" i="7"/>
  <c r="AG278" i="7"/>
  <c r="AH278" i="7"/>
  <c r="AJ278" i="7"/>
  <c r="AK278" i="7"/>
  <c r="AL278" i="7"/>
  <c r="AO278" i="7"/>
  <c r="AW278" i="7" s="1"/>
  <c r="AP278" i="7"/>
  <c r="BD278" i="7"/>
  <c r="BF278" i="7"/>
  <c r="BI278" i="7"/>
  <c r="AE278" i="7" s="1"/>
  <c r="BJ278" i="7"/>
  <c r="K279" i="7"/>
  <c r="AK279" i="7" s="1"/>
  <c r="Z279" i="7"/>
  <c r="AB279" i="7"/>
  <c r="AC279" i="7"/>
  <c r="AF279" i="7"/>
  <c r="AG279" i="7"/>
  <c r="AH279" i="7"/>
  <c r="AJ279" i="7"/>
  <c r="AL279" i="7"/>
  <c r="AO279" i="7"/>
  <c r="AP279" i="7"/>
  <c r="BD279" i="7"/>
  <c r="BF279" i="7"/>
  <c r="BH279" i="7"/>
  <c r="AD279" i="7" s="1"/>
  <c r="BJ279" i="7"/>
  <c r="K280" i="7"/>
  <c r="AK280" i="7" s="1"/>
  <c r="Z280" i="7"/>
  <c r="AB280" i="7"/>
  <c r="AC280" i="7"/>
  <c r="AF280" i="7"/>
  <c r="AG280" i="7"/>
  <c r="AH280" i="7"/>
  <c r="AJ280" i="7"/>
  <c r="AL280" i="7"/>
  <c r="AO280" i="7"/>
  <c r="AP280" i="7"/>
  <c r="J280" i="7" s="1"/>
  <c r="AX280" i="7"/>
  <c r="BD280" i="7"/>
  <c r="BF280" i="7"/>
  <c r="BI280" i="7"/>
  <c r="AE280" i="7" s="1"/>
  <c r="BJ280" i="7"/>
  <c r="K281" i="7"/>
  <c r="Z281" i="7"/>
  <c r="AB281" i="7"/>
  <c r="AC281" i="7"/>
  <c r="AF281" i="7"/>
  <c r="AG281" i="7"/>
  <c r="AH281" i="7"/>
  <c r="AJ281" i="7"/>
  <c r="AK281" i="7"/>
  <c r="AL281" i="7"/>
  <c r="AO281" i="7"/>
  <c r="AP281" i="7"/>
  <c r="BD281" i="7"/>
  <c r="BF281" i="7"/>
  <c r="BH281" i="7"/>
  <c r="AD281" i="7" s="1"/>
  <c r="BJ281" i="7"/>
  <c r="K282" i="7"/>
  <c r="Z282" i="7"/>
  <c r="AB282" i="7"/>
  <c r="AC282" i="7"/>
  <c r="AF282" i="7"/>
  <c r="AG282" i="7"/>
  <c r="AH282" i="7"/>
  <c r="AJ282" i="7"/>
  <c r="AK282" i="7"/>
  <c r="AL282" i="7"/>
  <c r="AO282" i="7"/>
  <c r="AP282" i="7"/>
  <c r="BI282" i="7" s="1"/>
  <c r="AE282" i="7" s="1"/>
  <c r="BD282" i="7"/>
  <c r="BF282" i="7"/>
  <c r="BJ282" i="7"/>
  <c r="K283" i="7"/>
  <c r="AK283" i="7" s="1"/>
  <c r="Z283" i="7"/>
  <c r="AB283" i="7"/>
  <c r="AC283" i="7"/>
  <c r="AF283" i="7"/>
  <c r="AG283" i="7"/>
  <c r="AH283" i="7"/>
  <c r="AJ283" i="7"/>
  <c r="AL283" i="7"/>
  <c r="AO283" i="7"/>
  <c r="AP283" i="7"/>
  <c r="BI283" i="7" s="1"/>
  <c r="AE283" i="7" s="1"/>
  <c r="BD283" i="7"/>
  <c r="BF283" i="7"/>
  <c r="BJ283" i="7"/>
  <c r="K284" i="7"/>
  <c r="AK284" i="7" s="1"/>
  <c r="Z284" i="7"/>
  <c r="AB284" i="7"/>
  <c r="AC284" i="7"/>
  <c r="AF284" i="7"/>
  <c r="AG284" i="7"/>
  <c r="AH284" i="7"/>
  <c r="AJ284" i="7"/>
  <c r="AL284" i="7"/>
  <c r="AO284" i="7"/>
  <c r="AP284" i="7"/>
  <c r="J284" i="7" s="1"/>
  <c r="BD284" i="7"/>
  <c r="BF284" i="7"/>
  <c r="BJ284" i="7"/>
  <c r="K285" i="7"/>
  <c r="Z285" i="7"/>
  <c r="AB285" i="7"/>
  <c r="AC285" i="7"/>
  <c r="AF285" i="7"/>
  <c r="AG285" i="7"/>
  <c r="AH285" i="7"/>
  <c r="AJ285" i="7"/>
  <c r="AK285" i="7"/>
  <c r="AL285" i="7"/>
  <c r="AO285" i="7"/>
  <c r="AP285" i="7"/>
  <c r="BD285" i="7"/>
  <c r="BF285" i="7"/>
  <c r="BH285" i="7"/>
  <c r="AD285" i="7" s="1"/>
  <c r="BJ285" i="7"/>
  <c r="K286" i="7"/>
  <c r="Z286" i="7"/>
  <c r="AB286" i="7"/>
  <c r="AC286" i="7"/>
  <c r="AF286" i="7"/>
  <c r="AG286" i="7"/>
  <c r="AH286" i="7"/>
  <c r="AJ286" i="7"/>
  <c r="AK286" i="7"/>
  <c r="AL286" i="7"/>
  <c r="AO286" i="7"/>
  <c r="AP286" i="7"/>
  <c r="BD286" i="7"/>
  <c r="BF286" i="7"/>
  <c r="BH286" i="7"/>
  <c r="AD286" i="7" s="1"/>
  <c r="BJ286" i="7"/>
  <c r="K287" i="7"/>
  <c r="AK287" i="7" s="1"/>
  <c r="Z287" i="7"/>
  <c r="AB287" i="7"/>
  <c r="AC287" i="7"/>
  <c r="AF287" i="7"/>
  <c r="AG287" i="7"/>
  <c r="AH287" i="7"/>
  <c r="AJ287" i="7"/>
  <c r="AL287" i="7"/>
  <c r="AO287" i="7"/>
  <c r="AP287" i="7"/>
  <c r="BD287" i="7"/>
  <c r="BF287" i="7"/>
  <c r="BH287" i="7"/>
  <c r="AD287" i="7" s="1"/>
  <c r="BJ287" i="7"/>
  <c r="K288" i="7"/>
  <c r="AK288" i="7" s="1"/>
  <c r="Z288" i="7"/>
  <c r="AB288" i="7"/>
  <c r="AC288" i="7"/>
  <c r="AF288" i="7"/>
  <c r="AG288" i="7"/>
  <c r="AH288" i="7"/>
  <c r="AJ288" i="7"/>
  <c r="AL288" i="7"/>
  <c r="AO288" i="7"/>
  <c r="AP288" i="7"/>
  <c r="BI288" i="7" s="1"/>
  <c r="AE288" i="7" s="1"/>
  <c r="BD288" i="7"/>
  <c r="BF288" i="7"/>
  <c r="BJ288" i="7"/>
  <c r="K289" i="7"/>
  <c r="Z289" i="7"/>
  <c r="AB289" i="7"/>
  <c r="AC289" i="7"/>
  <c r="AF289" i="7"/>
  <c r="AG289" i="7"/>
  <c r="AH289" i="7"/>
  <c r="AJ289" i="7"/>
  <c r="AK289" i="7"/>
  <c r="AL289" i="7"/>
  <c r="AO289" i="7"/>
  <c r="AP289" i="7"/>
  <c r="BD289" i="7"/>
  <c r="BF289" i="7"/>
  <c r="BJ289" i="7"/>
  <c r="K290" i="7"/>
  <c r="Z290" i="7"/>
  <c r="AB290" i="7"/>
  <c r="AC290" i="7"/>
  <c r="AF290" i="7"/>
  <c r="AG290" i="7"/>
  <c r="AH290" i="7"/>
  <c r="AJ290" i="7"/>
  <c r="AK290" i="7"/>
  <c r="AL290" i="7"/>
  <c r="AO290" i="7"/>
  <c r="AW290" i="7" s="1"/>
  <c r="AP290" i="7"/>
  <c r="BI290" i="7" s="1"/>
  <c r="AE290" i="7" s="1"/>
  <c r="BD290" i="7"/>
  <c r="BF290" i="7"/>
  <c r="BH290" i="7"/>
  <c r="AD290" i="7" s="1"/>
  <c r="BJ290" i="7"/>
  <c r="K291" i="7"/>
  <c r="AK291" i="7" s="1"/>
  <c r="Z291" i="7"/>
  <c r="AB291" i="7"/>
  <c r="AC291" i="7"/>
  <c r="AF291" i="7"/>
  <c r="AG291" i="7"/>
  <c r="AH291" i="7"/>
  <c r="AJ291" i="7"/>
  <c r="AL291" i="7"/>
  <c r="AO291" i="7"/>
  <c r="BH291" i="7" s="1"/>
  <c r="AD291" i="7" s="1"/>
  <c r="AP291" i="7"/>
  <c r="J291" i="7" s="1"/>
  <c r="AX291" i="7"/>
  <c r="BD291" i="7"/>
  <c r="BF291" i="7"/>
  <c r="BI291" i="7"/>
  <c r="AE291" i="7" s="1"/>
  <c r="BJ291" i="7"/>
  <c r="K292" i="7"/>
  <c r="AK292" i="7" s="1"/>
  <c r="Z292" i="7"/>
  <c r="AB292" i="7"/>
  <c r="AC292" i="7"/>
  <c r="AF292" i="7"/>
  <c r="AG292" i="7"/>
  <c r="AH292" i="7"/>
  <c r="AJ292" i="7"/>
  <c r="AL292" i="7"/>
  <c r="AO292" i="7"/>
  <c r="I292" i="7" s="1"/>
  <c r="AP292" i="7"/>
  <c r="J292" i="7" s="1"/>
  <c r="BD292" i="7"/>
  <c r="BF292" i="7"/>
  <c r="BH292" i="7"/>
  <c r="AD292" i="7" s="1"/>
  <c r="BJ292" i="7"/>
  <c r="K293" i="7"/>
  <c r="Z293" i="7"/>
  <c r="AB293" i="7"/>
  <c r="AC293" i="7"/>
  <c r="AF293" i="7"/>
  <c r="AG293" i="7"/>
  <c r="AH293" i="7"/>
  <c r="AJ293" i="7"/>
  <c r="AK293" i="7"/>
  <c r="AL293" i="7"/>
  <c r="AO293" i="7"/>
  <c r="AP293" i="7"/>
  <c r="BD293" i="7"/>
  <c r="BF293" i="7"/>
  <c r="BJ293" i="7"/>
  <c r="K294" i="7"/>
  <c r="Z294" i="7"/>
  <c r="AB294" i="7"/>
  <c r="AC294" i="7"/>
  <c r="AF294" i="7"/>
  <c r="AG294" i="7"/>
  <c r="AH294" i="7"/>
  <c r="AJ294" i="7"/>
  <c r="AK294" i="7"/>
  <c r="AL294" i="7"/>
  <c r="AO294" i="7"/>
  <c r="AP294" i="7"/>
  <c r="BD294" i="7"/>
  <c r="BF294" i="7"/>
  <c r="BI294" i="7"/>
  <c r="AE294" i="7" s="1"/>
  <c r="BJ294" i="7"/>
  <c r="K295" i="7"/>
  <c r="AK295" i="7" s="1"/>
  <c r="Z295" i="7"/>
  <c r="AB295" i="7"/>
  <c r="AC295" i="7"/>
  <c r="AF295" i="7"/>
  <c r="AG295" i="7"/>
  <c r="AH295" i="7"/>
  <c r="AJ295" i="7"/>
  <c r="AL295" i="7"/>
  <c r="AO295" i="7"/>
  <c r="BH295" i="7" s="1"/>
  <c r="AD295" i="7" s="1"/>
  <c r="AP295" i="7"/>
  <c r="J295" i="7" s="1"/>
  <c r="BD295" i="7"/>
  <c r="BF295" i="7"/>
  <c r="BJ295" i="7"/>
  <c r="K296" i="7"/>
  <c r="AK296" i="7" s="1"/>
  <c r="Z296" i="7"/>
  <c r="AB296" i="7"/>
  <c r="AC296" i="7"/>
  <c r="AF296" i="7"/>
  <c r="AG296" i="7"/>
  <c r="AH296" i="7"/>
  <c r="AJ296" i="7"/>
  <c r="AL296" i="7"/>
  <c r="AO296" i="7"/>
  <c r="AP296" i="7"/>
  <c r="J296" i="7" s="1"/>
  <c r="AX296" i="7"/>
  <c r="BD296" i="7"/>
  <c r="BF296" i="7"/>
  <c r="BI296" i="7"/>
  <c r="AE296" i="7" s="1"/>
  <c r="BJ296" i="7"/>
  <c r="K297" i="7"/>
  <c r="Z297" i="7"/>
  <c r="AB297" i="7"/>
  <c r="AC297" i="7"/>
  <c r="AF297" i="7"/>
  <c r="AG297" i="7"/>
  <c r="AH297" i="7"/>
  <c r="AJ297" i="7"/>
  <c r="AK297" i="7"/>
  <c r="AL297" i="7"/>
  <c r="AO297" i="7"/>
  <c r="I297" i="7" s="1"/>
  <c r="AP297" i="7"/>
  <c r="BD297" i="7"/>
  <c r="BF297" i="7"/>
  <c r="BJ297" i="7"/>
  <c r="K298" i="7"/>
  <c r="Z298" i="7"/>
  <c r="AB298" i="7"/>
  <c r="AC298" i="7"/>
  <c r="AF298" i="7"/>
  <c r="AG298" i="7"/>
  <c r="AH298" i="7"/>
  <c r="AJ298" i="7"/>
  <c r="AK298" i="7"/>
  <c r="AL298" i="7"/>
  <c r="AO298" i="7"/>
  <c r="AP298" i="7"/>
  <c r="BI298" i="7" s="1"/>
  <c r="AE298" i="7" s="1"/>
  <c r="BD298" i="7"/>
  <c r="BF298" i="7"/>
  <c r="BJ298" i="7"/>
  <c r="K299" i="7"/>
  <c r="AK299" i="7" s="1"/>
  <c r="Z299" i="7"/>
  <c r="AB299" i="7"/>
  <c r="AC299" i="7"/>
  <c r="AF299" i="7"/>
  <c r="AG299" i="7"/>
  <c r="AH299" i="7"/>
  <c r="AJ299" i="7"/>
  <c r="AL299" i="7"/>
  <c r="AO299" i="7"/>
  <c r="AP299" i="7"/>
  <c r="BD299" i="7"/>
  <c r="BF299" i="7"/>
  <c r="BH299" i="7"/>
  <c r="AD299" i="7" s="1"/>
  <c r="BJ299" i="7"/>
  <c r="K300" i="7"/>
  <c r="AK300" i="7" s="1"/>
  <c r="Z300" i="7"/>
  <c r="AB300" i="7"/>
  <c r="AC300" i="7"/>
  <c r="AF300" i="7"/>
  <c r="AG300" i="7"/>
  <c r="AH300" i="7"/>
  <c r="AJ300" i="7"/>
  <c r="AL300" i="7"/>
  <c r="AO300" i="7"/>
  <c r="I300" i="7" s="1"/>
  <c r="AP300" i="7"/>
  <c r="J300" i="7" s="1"/>
  <c r="AX300" i="7"/>
  <c r="BD300" i="7"/>
  <c r="BF300" i="7"/>
  <c r="BI300" i="7"/>
  <c r="AE300" i="7" s="1"/>
  <c r="BJ300" i="7"/>
  <c r="K301" i="7"/>
  <c r="Z301" i="7"/>
  <c r="AB301" i="7"/>
  <c r="AC301" i="7"/>
  <c r="AF301" i="7"/>
  <c r="AG301" i="7"/>
  <c r="AH301" i="7"/>
  <c r="AJ301" i="7"/>
  <c r="AK301" i="7"/>
  <c r="AL301" i="7"/>
  <c r="AO301" i="7"/>
  <c r="AP301" i="7"/>
  <c r="AX301" i="7" s="1"/>
  <c r="BD301" i="7"/>
  <c r="BF301" i="7"/>
  <c r="BI301" i="7"/>
  <c r="AE301" i="7" s="1"/>
  <c r="BJ301" i="7"/>
  <c r="K302" i="7"/>
  <c r="Z302" i="7"/>
  <c r="AB302" i="7"/>
  <c r="AC302" i="7"/>
  <c r="AF302" i="7"/>
  <c r="AG302" i="7"/>
  <c r="AH302" i="7"/>
  <c r="AJ302" i="7"/>
  <c r="AK302" i="7"/>
  <c r="AL302" i="7"/>
  <c r="AO302" i="7"/>
  <c r="AW302" i="7" s="1"/>
  <c r="AP302" i="7"/>
  <c r="BI302" i="7" s="1"/>
  <c r="AE302" i="7" s="1"/>
  <c r="BD302" i="7"/>
  <c r="BF302" i="7"/>
  <c r="BH302" i="7"/>
  <c r="AD302" i="7" s="1"/>
  <c r="BJ302" i="7"/>
  <c r="K303" i="7"/>
  <c r="AK303" i="7" s="1"/>
  <c r="Z303" i="7"/>
  <c r="AB303" i="7"/>
  <c r="AC303" i="7"/>
  <c r="AF303" i="7"/>
  <c r="AG303" i="7"/>
  <c r="AH303" i="7"/>
  <c r="AJ303" i="7"/>
  <c r="AL303" i="7"/>
  <c r="AO303" i="7"/>
  <c r="BH303" i="7" s="1"/>
  <c r="AD303" i="7" s="1"/>
  <c r="AP303" i="7"/>
  <c r="J303" i="7" s="1"/>
  <c r="BD303" i="7"/>
  <c r="BF303" i="7"/>
  <c r="BJ303" i="7"/>
  <c r="K304" i="7"/>
  <c r="AK304" i="7" s="1"/>
  <c r="Z304" i="7"/>
  <c r="AB304" i="7"/>
  <c r="AC304" i="7"/>
  <c r="AF304" i="7"/>
  <c r="AG304" i="7"/>
  <c r="AH304" i="7"/>
  <c r="AJ304" i="7"/>
  <c r="AL304" i="7"/>
  <c r="AO304" i="7"/>
  <c r="AP304" i="7"/>
  <c r="J304" i="7" s="1"/>
  <c r="BD304" i="7"/>
  <c r="BF304" i="7"/>
  <c r="BI304" i="7"/>
  <c r="AE304" i="7" s="1"/>
  <c r="BJ304" i="7"/>
  <c r="K305" i="7"/>
  <c r="Z305" i="7"/>
  <c r="AB305" i="7"/>
  <c r="AC305" i="7"/>
  <c r="AF305" i="7"/>
  <c r="AG305" i="7"/>
  <c r="AH305" i="7"/>
  <c r="AJ305" i="7"/>
  <c r="AK305" i="7"/>
  <c r="AL305" i="7"/>
  <c r="AO305" i="7"/>
  <c r="AP305" i="7"/>
  <c r="BD305" i="7"/>
  <c r="BF305" i="7"/>
  <c r="BJ305" i="7"/>
  <c r="K307" i="7"/>
  <c r="Z307" i="7"/>
  <c r="AB307" i="7"/>
  <c r="AC307" i="7"/>
  <c r="AF307" i="7"/>
  <c r="AG307" i="7"/>
  <c r="AH307" i="7"/>
  <c r="AJ307" i="7"/>
  <c r="AL307" i="7"/>
  <c r="AO307" i="7"/>
  <c r="AP307" i="7"/>
  <c r="J307" i="7" s="1"/>
  <c r="BD307" i="7"/>
  <c r="BF307" i="7"/>
  <c r="BJ307" i="7"/>
  <c r="K308" i="7"/>
  <c r="Z308" i="7"/>
  <c r="AB308" i="7"/>
  <c r="AC308" i="7"/>
  <c r="AF308" i="7"/>
  <c r="AG308" i="7"/>
  <c r="AH308" i="7"/>
  <c r="AJ308" i="7"/>
  <c r="AK308" i="7"/>
  <c r="AL308" i="7"/>
  <c r="AO308" i="7"/>
  <c r="I308" i="7" s="1"/>
  <c r="AP308" i="7"/>
  <c r="J308" i="7" s="1"/>
  <c r="BD308" i="7"/>
  <c r="BF308" i="7"/>
  <c r="BJ308" i="7"/>
  <c r="K309" i="7"/>
  <c r="Z309" i="7"/>
  <c r="AB309" i="7"/>
  <c r="AC309" i="7"/>
  <c r="AF309" i="7"/>
  <c r="AG309" i="7"/>
  <c r="AH309" i="7"/>
  <c r="AJ309" i="7"/>
  <c r="AK309" i="7"/>
  <c r="AL309" i="7"/>
  <c r="AO309" i="7"/>
  <c r="AP309" i="7"/>
  <c r="BI309" i="7" s="1"/>
  <c r="AE309" i="7" s="1"/>
  <c r="BD309" i="7"/>
  <c r="BF309" i="7"/>
  <c r="BJ309" i="7"/>
  <c r="K310" i="7"/>
  <c r="AK310" i="7" s="1"/>
  <c r="Z310" i="7"/>
  <c r="AB310" i="7"/>
  <c r="AC310" i="7"/>
  <c r="AF310" i="7"/>
  <c r="AG310" i="7"/>
  <c r="AH310" i="7"/>
  <c r="AJ310" i="7"/>
  <c r="AL310" i="7"/>
  <c r="AO310" i="7"/>
  <c r="BH310" i="7" s="1"/>
  <c r="AD310" i="7" s="1"/>
  <c r="AP310" i="7"/>
  <c r="J310" i="7" s="1"/>
  <c r="BD310" i="7"/>
  <c r="BF310" i="7"/>
  <c r="BI310" i="7"/>
  <c r="AE310" i="7" s="1"/>
  <c r="BJ310" i="7"/>
  <c r="J311" i="7"/>
  <c r="K311" i="7"/>
  <c r="AK311" i="7" s="1"/>
  <c r="Z311" i="7"/>
  <c r="AB311" i="7"/>
  <c r="AC311" i="7"/>
  <c r="AF311" i="7"/>
  <c r="AG311" i="7"/>
  <c r="AH311" i="7"/>
  <c r="AJ311" i="7"/>
  <c r="AL311" i="7"/>
  <c r="AO311" i="7"/>
  <c r="AP311" i="7"/>
  <c r="AX311" i="7" s="1"/>
  <c r="BD311" i="7"/>
  <c r="BF311" i="7"/>
  <c r="BJ311" i="7"/>
  <c r="K312" i="7"/>
  <c r="Z312" i="7"/>
  <c r="AB312" i="7"/>
  <c r="AC312" i="7"/>
  <c r="AF312" i="7"/>
  <c r="AG312" i="7"/>
  <c r="AH312" i="7"/>
  <c r="AJ312" i="7"/>
  <c r="AK312" i="7"/>
  <c r="AL312" i="7"/>
  <c r="AO312" i="7"/>
  <c r="AP312" i="7"/>
  <c r="AX312" i="7" s="1"/>
  <c r="BD312" i="7"/>
  <c r="BF312" i="7"/>
  <c r="BJ312" i="7"/>
  <c r="K313" i="7"/>
  <c r="Z313" i="7"/>
  <c r="AB313" i="7"/>
  <c r="AC313" i="7"/>
  <c r="AF313" i="7"/>
  <c r="AG313" i="7"/>
  <c r="AH313" i="7"/>
  <c r="AJ313" i="7"/>
  <c r="AK313" i="7"/>
  <c r="AL313" i="7"/>
  <c r="AO313" i="7"/>
  <c r="AP313" i="7"/>
  <c r="BI313" i="7" s="1"/>
  <c r="AE313" i="7" s="1"/>
  <c r="BD313" i="7"/>
  <c r="BF313" i="7"/>
  <c r="BJ313" i="7"/>
  <c r="K314" i="7"/>
  <c r="AK314" i="7" s="1"/>
  <c r="Z314" i="7"/>
  <c r="AB314" i="7"/>
  <c r="AC314" i="7"/>
  <c r="AF314" i="7"/>
  <c r="AG314" i="7"/>
  <c r="AH314" i="7"/>
  <c r="AJ314" i="7"/>
  <c r="AL314" i="7"/>
  <c r="AO314" i="7"/>
  <c r="AP314" i="7"/>
  <c r="J314" i="7" s="1"/>
  <c r="AX314" i="7"/>
  <c r="BD314" i="7"/>
  <c r="BF314" i="7"/>
  <c r="BI314" i="7"/>
  <c r="AE314" i="7" s="1"/>
  <c r="BJ314" i="7"/>
  <c r="K315" i="7"/>
  <c r="AK315" i="7" s="1"/>
  <c r="Z315" i="7"/>
  <c r="AB315" i="7"/>
  <c r="AC315" i="7"/>
  <c r="AF315" i="7"/>
  <c r="AG315" i="7"/>
  <c r="AH315" i="7"/>
  <c r="AJ315" i="7"/>
  <c r="AL315" i="7"/>
  <c r="AO315" i="7"/>
  <c r="AP315" i="7"/>
  <c r="J315" i="7" s="1"/>
  <c r="BD315" i="7"/>
  <c r="BF315" i="7"/>
  <c r="BI315" i="7"/>
  <c r="AE315" i="7" s="1"/>
  <c r="BJ315" i="7"/>
  <c r="K316" i="7"/>
  <c r="Z316" i="7"/>
  <c r="AB316" i="7"/>
  <c r="AC316" i="7"/>
  <c r="AF316" i="7"/>
  <c r="AG316" i="7"/>
  <c r="AH316" i="7"/>
  <c r="AJ316" i="7"/>
  <c r="AK316" i="7"/>
  <c r="AL316" i="7"/>
  <c r="AO316" i="7"/>
  <c r="AP316" i="7"/>
  <c r="BD316" i="7"/>
  <c r="BF316" i="7"/>
  <c r="BH316" i="7"/>
  <c r="AD316" i="7" s="1"/>
  <c r="BJ316" i="7"/>
  <c r="K317" i="7"/>
  <c r="Z317" i="7"/>
  <c r="AB317" i="7"/>
  <c r="AC317" i="7"/>
  <c r="AF317" i="7"/>
  <c r="AG317" i="7"/>
  <c r="AH317" i="7"/>
  <c r="AJ317" i="7"/>
  <c r="AK317" i="7"/>
  <c r="AL317" i="7"/>
  <c r="AO317" i="7"/>
  <c r="AP317" i="7"/>
  <c r="BD317" i="7"/>
  <c r="BF317" i="7"/>
  <c r="BJ317" i="7"/>
  <c r="K318" i="7"/>
  <c r="AK318" i="7" s="1"/>
  <c r="Z318" i="7"/>
  <c r="AB318" i="7"/>
  <c r="AC318" i="7"/>
  <c r="AF318" i="7"/>
  <c r="AG318" i="7"/>
  <c r="AH318" i="7"/>
  <c r="AJ318" i="7"/>
  <c r="AL318" i="7"/>
  <c r="AO318" i="7"/>
  <c r="AP318" i="7"/>
  <c r="BI318" i="7" s="1"/>
  <c r="AE318" i="7" s="1"/>
  <c r="BD318" i="7"/>
  <c r="BF318" i="7"/>
  <c r="BJ318" i="7"/>
  <c r="K319" i="7"/>
  <c r="AK319" i="7" s="1"/>
  <c r="Z319" i="7"/>
  <c r="AB319" i="7"/>
  <c r="AC319" i="7"/>
  <c r="AF319" i="7"/>
  <c r="AG319" i="7"/>
  <c r="AH319" i="7"/>
  <c r="AJ319" i="7"/>
  <c r="AL319" i="7"/>
  <c r="AO319" i="7"/>
  <c r="AP319" i="7"/>
  <c r="BI319" i="7" s="1"/>
  <c r="AE319" i="7" s="1"/>
  <c r="BD319" i="7"/>
  <c r="BF319" i="7"/>
  <c r="BJ319" i="7"/>
  <c r="K320" i="7"/>
  <c r="Z320" i="7"/>
  <c r="AB320" i="7"/>
  <c r="AC320" i="7"/>
  <c r="AF320" i="7"/>
  <c r="AG320" i="7"/>
  <c r="AH320" i="7"/>
  <c r="AJ320" i="7"/>
  <c r="AK320" i="7"/>
  <c r="AL320" i="7"/>
  <c r="AO320" i="7"/>
  <c r="AP320" i="7"/>
  <c r="BD320" i="7"/>
  <c r="BF320" i="7"/>
  <c r="BJ320" i="7"/>
  <c r="K321" i="7"/>
  <c r="Z321" i="7"/>
  <c r="AB321" i="7"/>
  <c r="AC321" i="7"/>
  <c r="AF321" i="7"/>
  <c r="AG321" i="7"/>
  <c r="AH321" i="7"/>
  <c r="AJ321" i="7"/>
  <c r="AK321" i="7"/>
  <c r="AL321" i="7"/>
  <c r="AO321" i="7"/>
  <c r="AP321" i="7"/>
  <c r="BD321" i="7"/>
  <c r="BF321" i="7"/>
  <c r="BJ321" i="7"/>
  <c r="K322" i="7"/>
  <c r="AK322" i="7" s="1"/>
  <c r="Z322" i="7"/>
  <c r="AB322" i="7"/>
  <c r="AC322" i="7"/>
  <c r="AF322" i="7"/>
  <c r="AG322" i="7"/>
  <c r="AH322" i="7"/>
  <c r="AJ322" i="7"/>
  <c r="AL322" i="7"/>
  <c r="AO322" i="7"/>
  <c r="AP322" i="7"/>
  <c r="BD322" i="7"/>
  <c r="BF322" i="7"/>
  <c r="BJ322" i="7"/>
  <c r="K323" i="7"/>
  <c r="AK323" i="7" s="1"/>
  <c r="Z323" i="7"/>
  <c r="AB323" i="7"/>
  <c r="AC323" i="7"/>
  <c r="AF323" i="7"/>
  <c r="AG323" i="7"/>
  <c r="AH323" i="7"/>
  <c r="AJ323" i="7"/>
  <c r="AL323" i="7"/>
  <c r="AO323" i="7"/>
  <c r="AP323" i="7"/>
  <c r="BD323" i="7"/>
  <c r="BF323" i="7"/>
  <c r="BI323" i="7"/>
  <c r="AE323" i="7" s="1"/>
  <c r="BJ323" i="7"/>
  <c r="K324" i="7"/>
  <c r="Z324" i="7"/>
  <c r="AB324" i="7"/>
  <c r="AC324" i="7"/>
  <c r="AF324" i="7"/>
  <c r="AG324" i="7"/>
  <c r="AH324" i="7"/>
  <c r="AJ324" i="7"/>
  <c r="AK324" i="7"/>
  <c r="AL324" i="7"/>
  <c r="AO324" i="7"/>
  <c r="AP324" i="7"/>
  <c r="BD324" i="7"/>
  <c r="BF324" i="7"/>
  <c r="BJ324" i="7"/>
  <c r="K325" i="7"/>
  <c r="Z325" i="7"/>
  <c r="AB325" i="7"/>
  <c r="AC325" i="7"/>
  <c r="AF325" i="7"/>
  <c r="AG325" i="7"/>
  <c r="AH325" i="7"/>
  <c r="AJ325" i="7"/>
  <c r="AK325" i="7"/>
  <c r="AL325" i="7"/>
  <c r="AO325" i="7"/>
  <c r="AP325" i="7"/>
  <c r="BI325" i="7" s="1"/>
  <c r="AE325" i="7" s="1"/>
  <c r="BD325" i="7"/>
  <c r="BF325" i="7"/>
  <c r="BJ325" i="7"/>
  <c r="K326" i="7"/>
  <c r="AK326" i="7" s="1"/>
  <c r="Z326" i="7"/>
  <c r="AB326" i="7"/>
  <c r="AC326" i="7"/>
  <c r="AF326" i="7"/>
  <c r="AG326" i="7"/>
  <c r="AH326" i="7"/>
  <c r="AJ326" i="7"/>
  <c r="AL326" i="7"/>
  <c r="AO326" i="7"/>
  <c r="AP326" i="7"/>
  <c r="BD326" i="7"/>
  <c r="BF326" i="7"/>
  <c r="BJ326" i="7"/>
  <c r="K327" i="7"/>
  <c r="AK327" i="7" s="1"/>
  <c r="Z327" i="7"/>
  <c r="AB327" i="7"/>
  <c r="AC327" i="7"/>
  <c r="AF327" i="7"/>
  <c r="AG327" i="7"/>
  <c r="AH327" i="7"/>
  <c r="AJ327" i="7"/>
  <c r="AL327" i="7"/>
  <c r="AO327" i="7"/>
  <c r="AP327" i="7"/>
  <c r="BI327" i="7" s="1"/>
  <c r="AE327" i="7" s="1"/>
  <c r="BD327" i="7"/>
  <c r="BF327" i="7"/>
  <c r="BJ327" i="7"/>
  <c r="K328" i="7"/>
  <c r="Z328" i="7"/>
  <c r="AB328" i="7"/>
  <c r="AC328" i="7"/>
  <c r="AF328" i="7"/>
  <c r="AG328" i="7"/>
  <c r="AH328" i="7"/>
  <c r="AJ328" i="7"/>
  <c r="AK328" i="7"/>
  <c r="AL328" i="7"/>
  <c r="AO328" i="7"/>
  <c r="AP328" i="7"/>
  <c r="AX328" i="7" s="1"/>
  <c r="BD328" i="7"/>
  <c r="BF328" i="7"/>
  <c r="BJ328" i="7"/>
  <c r="K329" i="7"/>
  <c r="Z329" i="7"/>
  <c r="AB329" i="7"/>
  <c r="AC329" i="7"/>
  <c r="AF329" i="7"/>
  <c r="AG329" i="7"/>
  <c r="AH329" i="7"/>
  <c r="AJ329" i="7"/>
  <c r="AK329" i="7"/>
  <c r="AL329" i="7"/>
  <c r="AO329" i="7"/>
  <c r="AW329" i="7" s="1"/>
  <c r="AP329" i="7"/>
  <c r="BD329" i="7"/>
  <c r="BF329" i="7"/>
  <c r="BH329" i="7"/>
  <c r="AD329" i="7" s="1"/>
  <c r="BJ329" i="7"/>
  <c r="K331" i="7"/>
  <c r="Z331" i="7"/>
  <c r="AB331" i="7"/>
  <c r="AC331" i="7"/>
  <c r="AF331" i="7"/>
  <c r="AG331" i="7"/>
  <c r="AH331" i="7"/>
  <c r="AJ331" i="7"/>
  <c r="AK331" i="7"/>
  <c r="AL331" i="7"/>
  <c r="AO331" i="7"/>
  <c r="I331" i="7" s="1"/>
  <c r="AP331" i="7"/>
  <c r="AW331" i="7"/>
  <c r="BD331" i="7"/>
  <c r="BF331" i="7"/>
  <c r="BJ331" i="7"/>
  <c r="K332" i="7"/>
  <c r="Z332" i="7"/>
  <c r="AB332" i="7"/>
  <c r="AC332" i="7"/>
  <c r="AF332" i="7"/>
  <c r="AG332" i="7"/>
  <c r="AH332" i="7"/>
  <c r="AJ332" i="7"/>
  <c r="AK332" i="7"/>
  <c r="AL332" i="7"/>
  <c r="AO332" i="7"/>
  <c r="AW332" i="7" s="1"/>
  <c r="AP332" i="7"/>
  <c r="BD332" i="7"/>
  <c r="BF332" i="7"/>
  <c r="BJ332" i="7"/>
  <c r="K333" i="7"/>
  <c r="AK333" i="7" s="1"/>
  <c r="Z333" i="7"/>
  <c r="AB333" i="7"/>
  <c r="AC333" i="7"/>
  <c r="AF333" i="7"/>
  <c r="AG333" i="7"/>
  <c r="AH333" i="7"/>
  <c r="AJ333" i="7"/>
  <c r="AL333" i="7"/>
  <c r="AO333" i="7"/>
  <c r="AP333" i="7"/>
  <c r="BI333" i="7" s="1"/>
  <c r="AE333" i="7" s="1"/>
  <c r="BD333" i="7"/>
  <c r="BF333" i="7"/>
  <c r="BJ333" i="7"/>
  <c r="K334" i="7"/>
  <c r="AK334" i="7" s="1"/>
  <c r="Z334" i="7"/>
  <c r="AB334" i="7"/>
  <c r="AC334" i="7"/>
  <c r="AF334" i="7"/>
  <c r="AG334" i="7"/>
  <c r="AH334" i="7"/>
  <c r="AJ334" i="7"/>
  <c r="AL334" i="7"/>
  <c r="AO334" i="7"/>
  <c r="AP334" i="7"/>
  <c r="BD334" i="7"/>
  <c r="BF334" i="7"/>
  <c r="BJ334" i="7"/>
  <c r="K335" i="7"/>
  <c r="Z335" i="7"/>
  <c r="AB335" i="7"/>
  <c r="AC335" i="7"/>
  <c r="AF335" i="7"/>
  <c r="AG335" i="7"/>
  <c r="AH335" i="7"/>
  <c r="AJ335" i="7"/>
  <c r="AK335" i="7"/>
  <c r="AL335" i="7"/>
  <c r="AO335" i="7"/>
  <c r="AP335" i="7"/>
  <c r="BD335" i="7"/>
  <c r="BF335" i="7"/>
  <c r="BJ335" i="7"/>
  <c r="K336" i="7"/>
  <c r="Z336" i="7"/>
  <c r="AB336" i="7"/>
  <c r="AC336" i="7"/>
  <c r="AF336" i="7"/>
  <c r="AG336" i="7"/>
  <c r="AH336" i="7"/>
  <c r="AJ336" i="7"/>
  <c r="AK336" i="7"/>
  <c r="AL336" i="7"/>
  <c r="AO336" i="7"/>
  <c r="AP336" i="7"/>
  <c r="BD336" i="7"/>
  <c r="BF336" i="7"/>
  <c r="BI336" i="7"/>
  <c r="AE336" i="7" s="1"/>
  <c r="BJ336" i="7"/>
  <c r="K337" i="7"/>
  <c r="AK337" i="7" s="1"/>
  <c r="Z337" i="7"/>
  <c r="AB337" i="7"/>
  <c r="AC337" i="7"/>
  <c r="AF337" i="7"/>
  <c r="AG337" i="7"/>
  <c r="AH337" i="7"/>
  <c r="AJ337" i="7"/>
  <c r="AL337" i="7"/>
  <c r="AO337" i="7"/>
  <c r="AP337" i="7"/>
  <c r="BD337" i="7"/>
  <c r="BF337" i="7"/>
  <c r="BJ337" i="7"/>
  <c r="J338" i="7"/>
  <c r="K338" i="7"/>
  <c r="AK338" i="7" s="1"/>
  <c r="Z338" i="7"/>
  <c r="AB338" i="7"/>
  <c r="AC338" i="7"/>
  <c r="AF338" i="7"/>
  <c r="AG338" i="7"/>
  <c r="AH338" i="7"/>
  <c r="AJ338" i="7"/>
  <c r="AL338" i="7"/>
  <c r="AO338" i="7"/>
  <c r="AP338" i="7"/>
  <c r="BI338" i="7" s="1"/>
  <c r="AE338" i="7" s="1"/>
  <c r="AX338" i="7"/>
  <c r="BD338" i="7"/>
  <c r="BF338" i="7"/>
  <c r="BJ338" i="7"/>
  <c r="K339" i="7"/>
  <c r="Z339" i="7"/>
  <c r="AB339" i="7"/>
  <c r="AC339" i="7"/>
  <c r="AF339" i="7"/>
  <c r="AG339" i="7"/>
  <c r="AH339" i="7"/>
  <c r="AJ339" i="7"/>
  <c r="AK339" i="7"/>
  <c r="AL339" i="7"/>
  <c r="AO339" i="7"/>
  <c r="AP339" i="7"/>
  <c r="BD339" i="7"/>
  <c r="BF339" i="7"/>
  <c r="BJ339" i="7"/>
  <c r="K340" i="7"/>
  <c r="Z340" i="7"/>
  <c r="AB340" i="7"/>
  <c r="AC340" i="7"/>
  <c r="AF340" i="7"/>
  <c r="AG340" i="7"/>
  <c r="AH340" i="7"/>
  <c r="AJ340" i="7"/>
  <c r="AK340" i="7"/>
  <c r="AL340" i="7"/>
  <c r="AO340" i="7"/>
  <c r="I340" i="7" s="1"/>
  <c r="AP340" i="7"/>
  <c r="AW340" i="7"/>
  <c r="BD340" i="7"/>
  <c r="BF340" i="7"/>
  <c r="BH340" i="7"/>
  <c r="AD340" i="7" s="1"/>
  <c r="BJ340" i="7"/>
  <c r="K341" i="7"/>
  <c r="Z341" i="7"/>
  <c r="AB341" i="7"/>
  <c r="AC341" i="7"/>
  <c r="AF341" i="7"/>
  <c r="AG341" i="7"/>
  <c r="AH341" i="7"/>
  <c r="AJ341" i="7"/>
  <c r="AK341" i="7"/>
  <c r="AL341" i="7"/>
  <c r="AO341" i="7"/>
  <c r="AP341" i="7"/>
  <c r="BD341" i="7"/>
  <c r="BF341" i="7"/>
  <c r="BH341" i="7"/>
  <c r="AD341" i="7" s="1"/>
  <c r="BJ341" i="7"/>
  <c r="K342" i="7"/>
  <c r="AK342" i="7" s="1"/>
  <c r="Z342" i="7"/>
  <c r="AB342" i="7"/>
  <c r="AC342" i="7"/>
  <c r="AF342" i="7"/>
  <c r="AG342" i="7"/>
  <c r="AH342" i="7"/>
  <c r="AJ342" i="7"/>
  <c r="AL342" i="7"/>
  <c r="AO342" i="7"/>
  <c r="AP342" i="7"/>
  <c r="BD342" i="7"/>
  <c r="BF342" i="7"/>
  <c r="BH342" i="7"/>
  <c r="AD342" i="7" s="1"/>
  <c r="BJ342" i="7"/>
  <c r="K343" i="7"/>
  <c r="AK343" i="7" s="1"/>
  <c r="Z343" i="7"/>
  <c r="AB343" i="7"/>
  <c r="AC343" i="7"/>
  <c r="AF343" i="7"/>
  <c r="AG343" i="7"/>
  <c r="AH343" i="7"/>
  <c r="AJ343" i="7"/>
  <c r="AL343" i="7"/>
  <c r="AO343" i="7"/>
  <c r="AP343" i="7"/>
  <c r="BD343" i="7"/>
  <c r="BF343" i="7"/>
  <c r="BJ343" i="7"/>
  <c r="K344" i="7"/>
  <c r="Z344" i="7"/>
  <c r="AB344" i="7"/>
  <c r="AC344" i="7"/>
  <c r="AF344" i="7"/>
  <c r="AG344" i="7"/>
  <c r="AH344" i="7"/>
  <c r="AJ344" i="7"/>
  <c r="AK344" i="7"/>
  <c r="AL344" i="7"/>
  <c r="AO344" i="7"/>
  <c r="I344" i="7" s="1"/>
  <c r="AP344" i="7"/>
  <c r="AX344" i="7" s="1"/>
  <c r="AW344" i="7"/>
  <c r="BD344" i="7"/>
  <c r="BF344" i="7"/>
  <c r="BH344" i="7"/>
  <c r="AD344" i="7" s="1"/>
  <c r="BI344" i="7"/>
  <c r="AE344" i="7" s="1"/>
  <c r="BJ344" i="7"/>
  <c r="K345" i="7"/>
  <c r="Z345" i="7"/>
  <c r="AB345" i="7"/>
  <c r="AC345" i="7"/>
  <c r="AF345" i="7"/>
  <c r="AG345" i="7"/>
  <c r="AH345" i="7"/>
  <c r="AJ345" i="7"/>
  <c r="AK345" i="7"/>
  <c r="AL345" i="7"/>
  <c r="AO345" i="7"/>
  <c r="AP345" i="7"/>
  <c r="BD345" i="7"/>
  <c r="BF345" i="7"/>
  <c r="BH345" i="7"/>
  <c r="AD345" i="7" s="1"/>
  <c r="BI345" i="7"/>
  <c r="AE345" i="7" s="1"/>
  <c r="BJ345" i="7"/>
  <c r="K346" i="7"/>
  <c r="AK346" i="7" s="1"/>
  <c r="Z346" i="7"/>
  <c r="AB346" i="7"/>
  <c r="AC346" i="7"/>
  <c r="AF346" i="7"/>
  <c r="AG346" i="7"/>
  <c r="AH346" i="7"/>
  <c r="AJ346" i="7"/>
  <c r="AL346" i="7"/>
  <c r="AO346" i="7"/>
  <c r="AP346" i="7"/>
  <c r="J346" i="7" s="1"/>
  <c r="BD346" i="7"/>
  <c r="BF346" i="7"/>
  <c r="BI346" i="7"/>
  <c r="AE346" i="7" s="1"/>
  <c r="BJ346" i="7"/>
  <c r="K347" i="7"/>
  <c r="AK347" i="7" s="1"/>
  <c r="Z347" i="7"/>
  <c r="AB347" i="7"/>
  <c r="AC347" i="7"/>
  <c r="AF347" i="7"/>
  <c r="AG347" i="7"/>
  <c r="AH347" i="7"/>
  <c r="AJ347" i="7"/>
  <c r="AL347" i="7"/>
  <c r="AO347" i="7"/>
  <c r="AP347" i="7"/>
  <c r="BD347" i="7"/>
  <c r="BF347" i="7"/>
  <c r="BJ347" i="7"/>
  <c r="K348" i="7"/>
  <c r="Z348" i="7"/>
  <c r="AB348" i="7"/>
  <c r="AC348" i="7"/>
  <c r="AF348" i="7"/>
  <c r="AG348" i="7"/>
  <c r="AH348" i="7"/>
  <c r="AJ348" i="7"/>
  <c r="AK348" i="7"/>
  <c r="AL348" i="7"/>
  <c r="AO348" i="7"/>
  <c r="AW348" i="7" s="1"/>
  <c r="AP348" i="7"/>
  <c r="BD348" i="7"/>
  <c r="BF348" i="7"/>
  <c r="BH348" i="7"/>
  <c r="AD348" i="7" s="1"/>
  <c r="BJ348" i="7"/>
  <c r="K349" i="7"/>
  <c r="Z349" i="7"/>
  <c r="AB349" i="7"/>
  <c r="AC349" i="7"/>
  <c r="AF349" i="7"/>
  <c r="AG349" i="7"/>
  <c r="AH349" i="7"/>
  <c r="AJ349" i="7"/>
  <c r="AK349" i="7"/>
  <c r="AL349" i="7"/>
  <c r="AO349" i="7"/>
  <c r="AP349" i="7"/>
  <c r="BD349" i="7"/>
  <c r="BF349" i="7"/>
  <c r="BJ349" i="7"/>
  <c r="K350" i="7"/>
  <c r="AK350" i="7" s="1"/>
  <c r="Z350" i="7"/>
  <c r="AB350" i="7"/>
  <c r="AC350" i="7"/>
  <c r="AF350" i="7"/>
  <c r="AG350" i="7"/>
  <c r="AH350" i="7"/>
  <c r="AJ350" i="7"/>
  <c r="AL350" i="7"/>
  <c r="AO350" i="7"/>
  <c r="AP350" i="7"/>
  <c r="BD350" i="7"/>
  <c r="BF350" i="7"/>
  <c r="BJ350" i="7"/>
  <c r="K351" i="7"/>
  <c r="AK351" i="7" s="1"/>
  <c r="Z351" i="7"/>
  <c r="AB351" i="7"/>
  <c r="AC351" i="7"/>
  <c r="AF351" i="7"/>
  <c r="AG351" i="7"/>
  <c r="AH351" i="7"/>
  <c r="AJ351" i="7"/>
  <c r="AL351" i="7"/>
  <c r="AO351" i="7"/>
  <c r="AP351" i="7"/>
  <c r="J351" i="7" s="1"/>
  <c r="BD351" i="7"/>
  <c r="BF351" i="7"/>
  <c r="BJ351" i="7"/>
  <c r="K352" i="7"/>
  <c r="Z352" i="7"/>
  <c r="AB352" i="7"/>
  <c r="AC352" i="7"/>
  <c r="AF352" i="7"/>
  <c r="AG352" i="7"/>
  <c r="AH352" i="7"/>
  <c r="AJ352" i="7"/>
  <c r="AK352" i="7"/>
  <c r="AL352" i="7"/>
  <c r="AO352" i="7"/>
  <c r="AP352" i="7"/>
  <c r="AX352" i="7" s="1"/>
  <c r="BD352" i="7"/>
  <c r="BF352" i="7"/>
  <c r="BJ352" i="7"/>
  <c r="K353" i="7"/>
  <c r="Z353" i="7"/>
  <c r="AB353" i="7"/>
  <c r="AC353" i="7"/>
  <c r="AF353" i="7"/>
  <c r="AG353" i="7"/>
  <c r="AH353" i="7"/>
  <c r="AJ353" i="7"/>
  <c r="AK353" i="7"/>
  <c r="AL353" i="7"/>
  <c r="AO353" i="7"/>
  <c r="AP353" i="7"/>
  <c r="BD353" i="7"/>
  <c r="BF353" i="7"/>
  <c r="BJ353" i="7"/>
  <c r="K355" i="7"/>
  <c r="Z355" i="7"/>
  <c r="AB355" i="7"/>
  <c r="AC355" i="7"/>
  <c r="AF355" i="7"/>
  <c r="AG355" i="7"/>
  <c r="AH355" i="7"/>
  <c r="AJ355" i="7"/>
  <c r="AK355" i="7"/>
  <c r="AL355" i="7"/>
  <c r="AO355" i="7"/>
  <c r="AP355" i="7"/>
  <c r="BD355" i="7"/>
  <c r="BF355" i="7"/>
  <c r="BJ355" i="7"/>
  <c r="K356" i="7"/>
  <c r="Z356" i="7"/>
  <c r="AB356" i="7"/>
  <c r="AC356" i="7"/>
  <c r="AF356" i="7"/>
  <c r="AG356" i="7"/>
  <c r="AH356" i="7"/>
  <c r="AJ356" i="7"/>
  <c r="AK356" i="7"/>
  <c r="AL356" i="7"/>
  <c r="AO356" i="7"/>
  <c r="AW356" i="7" s="1"/>
  <c r="AP356" i="7"/>
  <c r="BD356" i="7"/>
  <c r="BF356" i="7"/>
  <c r="BH356" i="7"/>
  <c r="AD356" i="7" s="1"/>
  <c r="BJ356" i="7"/>
  <c r="K357" i="7"/>
  <c r="AK357" i="7" s="1"/>
  <c r="Z357" i="7"/>
  <c r="AB357" i="7"/>
  <c r="AC357" i="7"/>
  <c r="AF357" i="7"/>
  <c r="AG357" i="7"/>
  <c r="AH357" i="7"/>
  <c r="AJ357" i="7"/>
  <c r="AL357" i="7"/>
  <c r="AO357" i="7"/>
  <c r="AP357" i="7"/>
  <c r="J357" i="7" s="1"/>
  <c r="BD357" i="7"/>
  <c r="BF357" i="7"/>
  <c r="BJ357" i="7"/>
  <c r="K358" i="7"/>
  <c r="AK358" i="7" s="1"/>
  <c r="Z358" i="7"/>
  <c r="AB358" i="7"/>
  <c r="AC358" i="7"/>
  <c r="AF358" i="7"/>
  <c r="AG358" i="7"/>
  <c r="AH358" i="7"/>
  <c r="AJ358" i="7"/>
  <c r="AL358" i="7"/>
  <c r="AO358" i="7"/>
  <c r="AP358" i="7"/>
  <c r="BD358" i="7"/>
  <c r="BF358" i="7"/>
  <c r="BJ358" i="7"/>
  <c r="K359" i="7"/>
  <c r="Z359" i="7"/>
  <c r="AB359" i="7"/>
  <c r="AC359" i="7"/>
  <c r="AF359" i="7"/>
  <c r="AG359" i="7"/>
  <c r="AH359" i="7"/>
  <c r="AJ359" i="7"/>
  <c r="AK359" i="7"/>
  <c r="AL359" i="7"/>
  <c r="AO359" i="7"/>
  <c r="AP359" i="7"/>
  <c r="BD359" i="7"/>
  <c r="BF359" i="7"/>
  <c r="BJ359" i="7"/>
  <c r="K360" i="7"/>
  <c r="Z360" i="7"/>
  <c r="AB360" i="7"/>
  <c r="AC360" i="7"/>
  <c r="AF360" i="7"/>
  <c r="AG360" i="7"/>
  <c r="AH360" i="7"/>
  <c r="AJ360" i="7"/>
  <c r="AK360" i="7"/>
  <c r="AL360" i="7"/>
  <c r="AO360" i="7"/>
  <c r="AP360" i="7"/>
  <c r="BD360" i="7"/>
  <c r="BF360" i="7"/>
  <c r="BJ360" i="7"/>
  <c r="K361" i="7"/>
  <c r="AK361" i="7" s="1"/>
  <c r="Z361" i="7"/>
  <c r="AB361" i="7"/>
  <c r="AC361" i="7"/>
  <c r="AF361" i="7"/>
  <c r="AG361" i="7"/>
  <c r="AH361" i="7"/>
  <c r="AJ361" i="7"/>
  <c r="AL361" i="7"/>
  <c r="AO361" i="7"/>
  <c r="AP361" i="7"/>
  <c r="BD361" i="7"/>
  <c r="BF361" i="7"/>
  <c r="BJ361" i="7"/>
  <c r="K362" i="7"/>
  <c r="AK362" i="7" s="1"/>
  <c r="Z362" i="7"/>
  <c r="AB362" i="7"/>
  <c r="AC362" i="7"/>
  <c r="AF362" i="7"/>
  <c r="AG362" i="7"/>
  <c r="AH362" i="7"/>
  <c r="AJ362" i="7"/>
  <c r="AL362" i="7"/>
  <c r="AO362" i="7"/>
  <c r="AP362" i="7"/>
  <c r="J362" i="7" s="1"/>
  <c r="BD362" i="7"/>
  <c r="BF362" i="7"/>
  <c r="BJ362" i="7"/>
  <c r="K363" i="7"/>
  <c r="Z363" i="7"/>
  <c r="AB363" i="7"/>
  <c r="AC363" i="7"/>
  <c r="AF363" i="7"/>
  <c r="AG363" i="7"/>
  <c r="AH363" i="7"/>
  <c r="AJ363" i="7"/>
  <c r="AK363" i="7"/>
  <c r="AL363" i="7"/>
  <c r="AO363" i="7"/>
  <c r="AP363" i="7"/>
  <c r="J363" i="7" s="1"/>
  <c r="AX363" i="7"/>
  <c r="BD363" i="7"/>
  <c r="BF363" i="7"/>
  <c r="BI363" i="7"/>
  <c r="AE363" i="7" s="1"/>
  <c r="BJ363" i="7"/>
  <c r="K364" i="7"/>
  <c r="Z364" i="7"/>
  <c r="AB364" i="7"/>
  <c r="AC364" i="7"/>
  <c r="AF364" i="7"/>
  <c r="AG364" i="7"/>
  <c r="AH364" i="7"/>
  <c r="AJ364" i="7"/>
  <c r="AK364" i="7"/>
  <c r="AL364" i="7"/>
  <c r="AO364" i="7"/>
  <c r="I364" i="7" s="1"/>
  <c r="AP364" i="7"/>
  <c r="BD364" i="7"/>
  <c r="BF364" i="7"/>
  <c r="BJ364" i="7"/>
  <c r="K365" i="7"/>
  <c r="AK365" i="7" s="1"/>
  <c r="Z365" i="7"/>
  <c r="AB365" i="7"/>
  <c r="AC365" i="7"/>
  <c r="AF365" i="7"/>
  <c r="AG365" i="7"/>
  <c r="AH365" i="7"/>
  <c r="AJ365" i="7"/>
  <c r="AL365" i="7"/>
  <c r="AO365" i="7"/>
  <c r="AP365" i="7"/>
  <c r="J365" i="7" s="1"/>
  <c r="BD365" i="7"/>
  <c r="BF365" i="7"/>
  <c r="BJ365" i="7"/>
  <c r="K366" i="7"/>
  <c r="AK366" i="7" s="1"/>
  <c r="Z366" i="7"/>
  <c r="AB366" i="7"/>
  <c r="AC366" i="7"/>
  <c r="AF366" i="7"/>
  <c r="AG366" i="7"/>
  <c r="AH366" i="7"/>
  <c r="AJ366" i="7"/>
  <c r="AL366" i="7"/>
  <c r="AO366" i="7"/>
  <c r="AP366" i="7"/>
  <c r="J366" i="7" s="1"/>
  <c r="BD366" i="7"/>
  <c r="BF366" i="7"/>
  <c r="BI366" i="7"/>
  <c r="AE366" i="7" s="1"/>
  <c r="BJ366" i="7"/>
  <c r="K367" i="7"/>
  <c r="Z367" i="7"/>
  <c r="AB367" i="7"/>
  <c r="AC367" i="7"/>
  <c r="AF367" i="7"/>
  <c r="AG367" i="7"/>
  <c r="AH367" i="7"/>
  <c r="AJ367" i="7"/>
  <c r="AK367" i="7"/>
  <c r="AL367" i="7"/>
  <c r="AO367" i="7"/>
  <c r="I367" i="7" s="1"/>
  <c r="AP367" i="7"/>
  <c r="BD367" i="7"/>
  <c r="BF367" i="7"/>
  <c r="BJ367" i="7"/>
  <c r="K368" i="7"/>
  <c r="Z368" i="7"/>
  <c r="AB368" i="7"/>
  <c r="AC368" i="7"/>
  <c r="AF368" i="7"/>
  <c r="AG368" i="7"/>
  <c r="AH368" i="7"/>
  <c r="AJ368" i="7"/>
  <c r="AK368" i="7"/>
  <c r="AL368" i="7"/>
  <c r="AO368" i="7"/>
  <c r="AW368" i="7" s="1"/>
  <c r="AP368" i="7"/>
  <c r="BD368" i="7"/>
  <c r="BF368" i="7"/>
  <c r="BH368" i="7"/>
  <c r="AD368" i="7" s="1"/>
  <c r="BJ368" i="7"/>
  <c r="K369" i="7"/>
  <c r="AK369" i="7" s="1"/>
  <c r="Z369" i="7"/>
  <c r="AB369" i="7"/>
  <c r="AC369" i="7"/>
  <c r="AF369" i="7"/>
  <c r="AG369" i="7"/>
  <c r="AH369" i="7"/>
  <c r="AJ369" i="7"/>
  <c r="AL369" i="7"/>
  <c r="AO369" i="7"/>
  <c r="AP369" i="7"/>
  <c r="J369" i="7" s="1"/>
  <c r="BD369" i="7"/>
  <c r="BF369" i="7"/>
  <c r="BH369" i="7"/>
  <c r="AD369" i="7" s="1"/>
  <c r="BJ369" i="7"/>
  <c r="K370" i="7"/>
  <c r="AK370" i="7" s="1"/>
  <c r="Z370" i="7"/>
  <c r="AB370" i="7"/>
  <c r="AC370" i="7"/>
  <c r="AF370" i="7"/>
  <c r="AG370" i="7"/>
  <c r="AH370" i="7"/>
  <c r="AJ370" i="7"/>
  <c r="AL370" i="7"/>
  <c r="AO370" i="7"/>
  <c r="AP370" i="7"/>
  <c r="BD370" i="7"/>
  <c r="BF370" i="7"/>
  <c r="BJ370" i="7"/>
  <c r="K371" i="7"/>
  <c r="Z371" i="7"/>
  <c r="AB371" i="7"/>
  <c r="AC371" i="7"/>
  <c r="AF371" i="7"/>
  <c r="AG371" i="7"/>
  <c r="AH371" i="7"/>
  <c r="AJ371" i="7"/>
  <c r="AK371" i="7"/>
  <c r="AL371" i="7"/>
  <c r="AO371" i="7"/>
  <c r="AP371" i="7"/>
  <c r="J371" i="7" s="1"/>
  <c r="BD371" i="7"/>
  <c r="BF371" i="7"/>
  <c r="BI371" i="7"/>
  <c r="AE371" i="7" s="1"/>
  <c r="BJ371" i="7"/>
  <c r="K372" i="7"/>
  <c r="Z372" i="7"/>
  <c r="AB372" i="7"/>
  <c r="AC372" i="7"/>
  <c r="AF372" i="7"/>
  <c r="AG372" i="7"/>
  <c r="AH372" i="7"/>
  <c r="AJ372" i="7"/>
  <c r="AK372" i="7"/>
  <c r="AL372" i="7"/>
  <c r="AO372" i="7"/>
  <c r="AP372" i="7"/>
  <c r="BI372" i="7" s="1"/>
  <c r="AE372" i="7" s="1"/>
  <c r="BD372" i="7"/>
  <c r="BF372" i="7"/>
  <c r="BJ372" i="7"/>
  <c r="K373" i="7"/>
  <c r="AK373" i="7" s="1"/>
  <c r="Z373" i="7"/>
  <c r="AB373" i="7"/>
  <c r="AC373" i="7"/>
  <c r="AF373" i="7"/>
  <c r="AG373" i="7"/>
  <c r="AH373" i="7"/>
  <c r="AJ373" i="7"/>
  <c r="AL373" i="7"/>
  <c r="AO373" i="7"/>
  <c r="BH373" i="7" s="1"/>
  <c r="AD373" i="7" s="1"/>
  <c r="AP373" i="7"/>
  <c r="J373" i="7" s="1"/>
  <c r="AX373" i="7"/>
  <c r="BD373" i="7"/>
  <c r="BF373" i="7"/>
  <c r="BJ373" i="7"/>
  <c r="K374" i="7"/>
  <c r="Z374" i="7"/>
  <c r="AB374" i="7"/>
  <c r="AC374" i="7"/>
  <c r="AF374" i="7"/>
  <c r="AG374" i="7"/>
  <c r="AH374" i="7"/>
  <c r="AJ374" i="7"/>
  <c r="AL374" i="7"/>
  <c r="AO374" i="7"/>
  <c r="AP374" i="7"/>
  <c r="BD374" i="7"/>
  <c r="BF374" i="7"/>
  <c r="BJ374" i="7"/>
  <c r="K375" i="7"/>
  <c r="Z375" i="7"/>
  <c r="AB375" i="7"/>
  <c r="AC375" i="7"/>
  <c r="AF375" i="7"/>
  <c r="AG375" i="7"/>
  <c r="AH375" i="7"/>
  <c r="AJ375" i="7"/>
  <c r="AK375" i="7"/>
  <c r="AL375" i="7"/>
  <c r="AO375" i="7"/>
  <c r="I375" i="7" s="1"/>
  <c r="AP375" i="7"/>
  <c r="BD375" i="7"/>
  <c r="BF375" i="7"/>
  <c r="BJ375" i="7"/>
  <c r="K376" i="7"/>
  <c r="Z376" i="7"/>
  <c r="AB376" i="7"/>
  <c r="AC376" i="7"/>
  <c r="AF376" i="7"/>
  <c r="AG376" i="7"/>
  <c r="AH376" i="7"/>
  <c r="AJ376" i="7"/>
  <c r="AK376" i="7"/>
  <c r="AL376" i="7"/>
  <c r="AO376" i="7"/>
  <c r="AW376" i="7" s="1"/>
  <c r="AP376" i="7"/>
  <c r="BI376" i="7" s="1"/>
  <c r="AE376" i="7" s="1"/>
  <c r="BD376" i="7"/>
  <c r="BF376" i="7"/>
  <c r="BH376" i="7"/>
  <c r="AD376" i="7" s="1"/>
  <c r="BJ376" i="7"/>
  <c r="K377" i="7"/>
  <c r="AK377" i="7" s="1"/>
  <c r="Z377" i="7"/>
  <c r="AB377" i="7"/>
  <c r="AC377" i="7"/>
  <c r="AF377" i="7"/>
  <c r="AG377" i="7"/>
  <c r="AH377" i="7"/>
  <c r="AJ377" i="7"/>
  <c r="AL377" i="7"/>
  <c r="AO377" i="7"/>
  <c r="BH377" i="7" s="1"/>
  <c r="AD377" i="7" s="1"/>
  <c r="AP377" i="7"/>
  <c r="J377" i="7" s="1"/>
  <c r="AX377" i="7"/>
  <c r="BD377" i="7"/>
  <c r="BF377" i="7"/>
  <c r="BI377" i="7"/>
  <c r="AE377" i="7" s="1"/>
  <c r="BJ377" i="7"/>
  <c r="K378" i="7"/>
  <c r="AK378" i="7" s="1"/>
  <c r="Z378" i="7"/>
  <c r="AB378" i="7"/>
  <c r="AC378" i="7"/>
  <c r="AF378" i="7"/>
  <c r="AG378" i="7"/>
  <c r="AH378" i="7"/>
  <c r="AJ378" i="7"/>
  <c r="AL378" i="7"/>
  <c r="AO378" i="7"/>
  <c r="AP378" i="7"/>
  <c r="BD378" i="7"/>
  <c r="BF378" i="7"/>
  <c r="BJ378" i="7"/>
  <c r="K379" i="7"/>
  <c r="Z379" i="7"/>
  <c r="AB379" i="7"/>
  <c r="AC379" i="7"/>
  <c r="AF379" i="7"/>
  <c r="AG379" i="7"/>
  <c r="AH379" i="7"/>
  <c r="AJ379" i="7"/>
  <c r="AK379" i="7"/>
  <c r="AL379" i="7"/>
  <c r="AO379" i="7"/>
  <c r="AP379" i="7"/>
  <c r="J379" i="7" s="1"/>
  <c r="AX379" i="7"/>
  <c r="BD379" i="7"/>
  <c r="BF379" i="7"/>
  <c r="BI379" i="7"/>
  <c r="AE379" i="7" s="1"/>
  <c r="BJ379" i="7"/>
  <c r="K380" i="7"/>
  <c r="Z380" i="7"/>
  <c r="AB380" i="7"/>
  <c r="AC380" i="7"/>
  <c r="AF380" i="7"/>
  <c r="AG380" i="7"/>
  <c r="AH380" i="7"/>
  <c r="AJ380" i="7"/>
  <c r="AK380" i="7"/>
  <c r="AL380" i="7"/>
  <c r="AO380" i="7"/>
  <c r="AP380" i="7"/>
  <c r="BI380" i="7" s="1"/>
  <c r="AE380" i="7" s="1"/>
  <c r="BD380" i="7"/>
  <c r="BF380" i="7"/>
  <c r="BJ380" i="7"/>
  <c r="K381" i="7"/>
  <c r="AK381" i="7" s="1"/>
  <c r="Z381" i="7"/>
  <c r="AB381" i="7"/>
  <c r="AC381" i="7"/>
  <c r="AF381" i="7"/>
  <c r="AG381" i="7"/>
  <c r="AH381" i="7"/>
  <c r="AJ381" i="7"/>
  <c r="AL381" i="7"/>
  <c r="AO381" i="7"/>
  <c r="BH381" i="7" s="1"/>
  <c r="AD381" i="7" s="1"/>
  <c r="AP381" i="7"/>
  <c r="J381" i="7" s="1"/>
  <c r="BD381" i="7"/>
  <c r="BF381" i="7"/>
  <c r="BI381" i="7"/>
  <c r="AE381" i="7" s="1"/>
  <c r="BJ381" i="7"/>
  <c r="K382" i="7"/>
  <c r="AK382" i="7" s="1"/>
  <c r="Z382" i="7"/>
  <c r="AB382" i="7"/>
  <c r="AC382" i="7"/>
  <c r="AF382" i="7"/>
  <c r="AG382" i="7"/>
  <c r="AH382" i="7"/>
  <c r="AJ382" i="7"/>
  <c r="AL382" i="7"/>
  <c r="AO382" i="7"/>
  <c r="AP382" i="7"/>
  <c r="BD382" i="7"/>
  <c r="BF382" i="7"/>
  <c r="BJ382" i="7"/>
  <c r="K384" i="7"/>
  <c r="Z384" i="7"/>
  <c r="AB384" i="7"/>
  <c r="AC384" i="7"/>
  <c r="AF384" i="7"/>
  <c r="AG384" i="7"/>
  <c r="AH384" i="7"/>
  <c r="AJ384" i="7"/>
  <c r="AL384" i="7"/>
  <c r="AO384" i="7"/>
  <c r="BH384" i="7" s="1"/>
  <c r="AD384" i="7" s="1"/>
  <c r="AP384" i="7"/>
  <c r="BD384" i="7"/>
  <c r="BF384" i="7"/>
  <c r="BJ384" i="7"/>
  <c r="K385" i="7"/>
  <c r="AK385" i="7" s="1"/>
  <c r="Z385" i="7"/>
  <c r="AB385" i="7"/>
  <c r="AC385" i="7"/>
  <c r="AF385" i="7"/>
  <c r="AG385" i="7"/>
  <c r="AH385" i="7"/>
  <c r="AJ385" i="7"/>
  <c r="AL385" i="7"/>
  <c r="AO385" i="7"/>
  <c r="AP385" i="7"/>
  <c r="BD385" i="7"/>
  <c r="BF385" i="7"/>
  <c r="BJ385" i="7"/>
  <c r="K386" i="7"/>
  <c r="Z386" i="7"/>
  <c r="AB386" i="7"/>
  <c r="AC386" i="7"/>
  <c r="AF386" i="7"/>
  <c r="AG386" i="7"/>
  <c r="AH386" i="7"/>
  <c r="AJ386" i="7"/>
  <c r="AK386" i="7"/>
  <c r="AL386" i="7"/>
  <c r="AO386" i="7"/>
  <c r="AP386" i="7"/>
  <c r="BD386" i="7"/>
  <c r="BF386" i="7"/>
  <c r="BJ386" i="7"/>
  <c r="K387" i="7"/>
  <c r="Z387" i="7"/>
  <c r="AB387" i="7"/>
  <c r="AC387" i="7"/>
  <c r="AF387" i="7"/>
  <c r="AG387" i="7"/>
  <c r="AH387" i="7"/>
  <c r="AJ387" i="7"/>
  <c r="AK387" i="7"/>
  <c r="AL387" i="7"/>
  <c r="AO387" i="7"/>
  <c r="AP387" i="7"/>
  <c r="BI387" i="7" s="1"/>
  <c r="AE387" i="7" s="1"/>
  <c r="BD387" i="7"/>
  <c r="BF387" i="7"/>
  <c r="BJ387" i="7"/>
  <c r="K388" i="7"/>
  <c r="AK388" i="7" s="1"/>
  <c r="Z388" i="7"/>
  <c r="AB388" i="7"/>
  <c r="AC388" i="7"/>
  <c r="AF388" i="7"/>
  <c r="AG388" i="7"/>
  <c r="AH388" i="7"/>
  <c r="AJ388" i="7"/>
  <c r="AL388" i="7"/>
  <c r="AO388" i="7"/>
  <c r="AP388" i="7"/>
  <c r="J388" i="7" s="1"/>
  <c r="BD388" i="7"/>
  <c r="BF388" i="7"/>
  <c r="BJ388" i="7"/>
  <c r="K389" i="7"/>
  <c r="AK389" i="7" s="1"/>
  <c r="Z389" i="7"/>
  <c r="AB389" i="7"/>
  <c r="AC389" i="7"/>
  <c r="AF389" i="7"/>
  <c r="AG389" i="7"/>
  <c r="AH389" i="7"/>
  <c r="AJ389" i="7"/>
  <c r="AL389" i="7"/>
  <c r="AO389" i="7"/>
  <c r="AP389" i="7"/>
  <c r="BI389" i="7" s="1"/>
  <c r="AE389" i="7" s="1"/>
  <c r="BD389" i="7"/>
  <c r="BF389" i="7"/>
  <c r="BJ389" i="7"/>
  <c r="K390" i="7"/>
  <c r="Z390" i="7"/>
  <c r="AB390" i="7"/>
  <c r="AC390" i="7"/>
  <c r="AF390" i="7"/>
  <c r="AG390" i="7"/>
  <c r="AH390" i="7"/>
  <c r="AJ390" i="7"/>
  <c r="AK390" i="7"/>
  <c r="AL390" i="7"/>
  <c r="AO390" i="7"/>
  <c r="AP390" i="7"/>
  <c r="J390" i="7" s="1"/>
  <c r="AX390" i="7"/>
  <c r="BD390" i="7"/>
  <c r="BF390" i="7"/>
  <c r="BI390" i="7"/>
  <c r="AE390" i="7" s="1"/>
  <c r="BJ390" i="7"/>
  <c r="K391" i="7"/>
  <c r="Z391" i="7"/>
  <c r="AB391" i="7"/>
  <c r="AC391" i="7"/>
  <c r="AF391" i="7"/>
  <c r="AG391" i="7"/>
  <c r="AH391" i="7"/>
  <c r="AJ391" i="7"/>
  <c r="AK391" i="7"/>
  <c r="AL391" i="7"/>
  <c r="AO391" i="7"/>
  <c r="AP391" i="7"/>
  <c r="BI391" i="7" s="1"/>
  <c r="AE391" i="7" s="1"/>
  <c r="BD391" i="7"/>
  <c r="BF391" i="7"/>
  <c r="BJ391" i="7"/>
  <c r="K392" i="7"/>
  <c r="AK392" i="7" s="1"/>
  <c r="Z392" i="7"/>
  <c r="AB392" i="7"/>
  <c r="AC392" i="7"/>
  <c r="AF392" i="7"/>
  <c r="AG392" i="7"/>
  <c r="AH392" i="7"/>
  <c r="AJ392" i="7"/>
  <c r="AL392" i="7"/>
  <c r="AO392" i="7"/>
  <c r="AP392" i="7"/>
  <c r="J392" i="7" s="1"/>
  <c r="BD392" i="7"/>
  <c r="BF392" i="7"/>
  <c r="BI392" i="7"/>
  <c r="AE392" i="7" s="1"/>
  <c r="BJ392" i="7"/>
  <c r="K393" i="7"/>
  <c r="AK393" i="7" s="1"/>
  <c r="Z393" i="7"/>
  <c r="AB393" i="7"/>
  <c r="AC393" i="7"/>
  <c r="AF393" i="7"/>
  <c r="AG393" i="7"/>
  <c r="AH393" i="7"/>
  <c r="AJ393" i="7"/>
  <c r="AL393" i="7"/>
  <c r="AO393" i="7"/>
  <c r="AP393" i="7"/>
  <c r="BD393" i="7"/>
  <c r="BF393" i="7"/>
  <c r="BJ393" i="7"/>
  <c r="K394" i="7"/>
  <c r="Z394" i="7"/>
  <c r="AB394" i="7"/>
  <c r="AC394" i="7"/>
  <c r="AF394" i="7"/>
  <c r="AG394" i="7"/>
  <c r="AH394" i="7"/>
  <c r="AJ394" i="7"/>
  <c r="AK394" i="7"/>
  <c r="AL394" i="7"/>
  <c r="AO394" i="7"/>
  <c r="AP394" i="7"/>
  <c r="BD394" i="7"/>
  <c r="BF394" i="7"/>
  <c r="BJ394" i="7"/>
  <c r="K395" i="7"/>
  <c r="Z395" i="7"/>
  <c r="AB395" i="7"/>
  <c r="AC395" i="7"/>
  <c r="AF395" i="7"/>
  <c r="AG395" i="7"/>
  <c r="AH395" i="7"/>
  <c r="AJ395" i="7"/>
  <c r="AK395" i="7"/>
  <c r="AL395" i="7"/>
  <c r="AO395" i="7"/>
  <c r="AP395" i="7"/>
  <c r="BI395" i="7" s="1"/>
  <c r="AE395" i="7" s="1"/>
  <c r="BD395" i="7"/>
  <c r="BF395" i="7"/>
  <c r="BJ395" i="7"/>
  <c r="K396" i="7"/>
  <c r="AK396" i="7" s="1"/>
  <c r="Z396" i="7"/>
  <c r="AB396" i="7"/>
  <c r="AC396" i="7"/>
  <c r="AF396" i="7"/>
  <c r="AG396" i="7"/>
  <c r="AH396" i="7"/>
  <c r="AJ396" i="7"/>
  <c r="AL396" i="7"/>
  <c r="AO396" i="7"/>
  <c r="AP396" i="7"/>
  <c r="J396" i="7" s="1"/>
  <c r="BD396" i="7"/>
  <c r="BF396" i="7"/>
  <c r="BI396" i="7"/>
  <c r="AE396" i="7" s="1"/>
  <c r="BJ396" i="7"/>
  <c r="K397" i="7"/>
  <c r="AK397" i="7" s="1"/>
  <c r="Z397" i="7"/>
  <c r="AB397" i="7"/>
  <c r="AC397" i="7"/>
  <c r="AF397" i="7"/>
  <c r="AG397" i="7"/>
  <c r="AH397" i="7"/>
  <c r="AJ397" i="7"/>
  <c r="AL397" i="7"/>
  <c r="AO397" i="7"/>
  <c r="AP397" i="7"/>
  <c r="BD397" i="7"/>
  <c r="BF397" i="7"/>
  <c r="BI397" i="7"/>
  <c r="AE397" i="7" s="1"/>
  <c r="BJ397" i="7"/>
  <c r="K398" i="7"/>
  <c r="Z398" i="7"/>
  <c r="AB398" i="7"/>
  <c r="AC398" i="7"/>
  <c r="AF398" i="7"/>
  <c r="AG398" i="7"/>
  <c r="AH398" i="7"/>
  <c r="AJ398" i="7"/>
  <c r="AK398" i="7"/>
  <c r="AL398" i="7"/>
  <c r="AO398" i="7"/>
  <c r="AP398" i="7"/>
  <c r="J398" i="7" s="1"/>
  <c r="BD398" i="7"/>
  <c r="BF398" i="7"/>
  <c r="BI398" i="7"/>
  <c r="AE398" i="7" s="1"/>
  <c r="BJ398" i="7"/>
  <c r="K399" i="7"/>
  <c r="Z399" i="7"/>
  <c r="AB399" i="7"/>
  <c r="AC399" i="7"/>
  <c r="AF399" i="7"/>
  <c r="AG399" i="7"/>
  <c r="AH399" i="7"/>
  <c r="AJ399" i="7"/>
  <c r="AK399" i="7"/>
  <c r="AL399" i="7"/>
  <c r="AO399" i="7"/>
  <c r="AP399" i="7"/>
  <c r="BI399" i="7" s="1"/>
  <c r="AE399" i="7" s="1"/>
  <c r="BD399" i="7"/>
  <c r="BF399" i="7"/>
  <c r="BJ399" i="7"/>
  <c r="K400" i="7"/>
  <c r="AK400" i="7" s="1"/>
  <c r="Z400" i="7"/>
  <c r="AB400" i="7"/>
  <c r="AC400" i="7"/>
  <c r="AF400" i="7"/>
  <c r="AG400" i="7"/>
  <c r="AH400" i="7"/>
  <c r="AJ400" i="7"/>
  <c r="AL400" i="7"/>
  <c r="AO400" i="7"/>
  <c r="AP400" i="7"/>
  <c r="J400" i="7" s="1"/>
  <c r="BD400" i="7"/>
  <c r="BF400" i="7"/>
  <c r="BJ400" i="7"/>
  <c r="K401" i="7"/>
  <c r="AK401" i="7" s="1"/>
  <c r="Z401" i="7"/>
  <c r="AB401" i="7"/>
  <c r="AC401" i="7"/>
  <c r="AF401" i="7"/>
  <c r="AG401" i="7"/>
  <c r="AH401" i="7"/>
  <c r="AJ401" i="7"/>
  <c r="AL401" i="7"/>
  <c r="AO401" i="7"/>
  <c r="AP401" i="7"/>
  <c r="BD401" i="7"/>
  <c r="BF401" i="7"/>
  <c r="BI401" i="7"/>
  <c r="AE401" i="7" s="1"/>
  <c r="BJ401" i="7"/>
  <c r="K402" i="7"/>
  <c r="Z402" i="7"/>
  <c r="AB402" i="7"/>
  <c r="AC402" i="7"/>
  <c r="AF402" i="7"/>
  <c r="AG402" i="7"/>
  <c r="AH402" i="7"/>
  <c r="AJ402" i="7"/>
  <c r="AK402" i="7"/>
  <c r="AL402" i="7"/>
  <c r="AO402" i="7"/>
  <c r="AP402" i="7"/>
  <c r="J402" i="7" s="1"/>
  <c r="BD402" i="7"/>
  <c r="BF402" i="7"/>
  <c r="BI402" i="7"/>
  <c r="AE402" i="7" s="1"/>
  <c r="BJ402" i="7"/>
  <c r="K403" i="7"/>
  <c r="Z403" i="7"/>
  <c r="AB403" i="7"/>
  <c r="AC403" i="7"/>
  <c r="AF403" i="7"/>
  <c r="AG403" i="7"/>
  <c r="AH403" i="7"/>
  <c r="AJ403" i="7"/>
  <c r="AK403" i="7"/>
  <c r="AL403" i="7"/>
  <c r="AO403" i="7"/>
  <c r="AP403" i="7"/>
  <c r="BI403" i="7" s="1"/>
  <c r="AE403" i="7" s="1"/>
  <c r="BD403" i="7"/>
  <c r="BF403" i="7"/>
  <c r="BJ403" i="7"/>
  <c r="K404" i="7"/>
  <c r="AK404" i="7" s="1"/>
  <c r="Z404" i="7"/>
  <c r="AB404" i="7"/>
  <c r="AC404" i="7"/>
  <c r="AF404" i="7"/>
  <c r="AG404" i="7"/>
  <c r="AH404" i="7"/>
  <c r="AJ404" i="7"/>
  <c r="AL404" i="7"/>
  <c r="AO404" i="7"/>
  <c r="AP404" i="7"/>
  <c r="J404" i="7" s="1"/>
  <c r="BD404" i="7"/>
  <c r="BF404" i="7"/>
  <c r="BJ404" i="7"/>
  <c r="K405" i="7"/>
  <c r="AK405" i="7" s="1"/>
  <c r="Z405" i="7"/>
  <c r="AB405" i="7"/>
  <c r="AC405" i="7"/>
  <c r="AF405" i="7"/>
  <c r="AG405" i="7"/>
  <c r="AH405" i="7"/>
  <c r="AJ405" i="7"/>
  <c r="AL405" i="7"/>
  <c r="AO405" i="7"/>
  <c r="AP405" i="7"/>
  <c r="BD405" i="7"/>
  <c r="BF405" i="7"/>
  <c r="BJ405" i="7"/>
  <c r="K406" i="7"/>
  <c r="Z406" i="7"/>
  <c r="AB406" i="7"/>
  <c r="AC406" i="7"/>
  <c r="AF406" i="7"/>
  <c r="AG406" i="7"/>
  <c r="AH406" i="7"/>
  <c r="AJ406" i="7"/>
  <c r="AK406" i="7"/>
  <c r="AL406" i="7"/>
  <c r="AO406" i="7"/>
  <c r="AP406" i="7"/>
  <c r="BD406" i="7"/>
  <c r="BF406" i="7"/>
  <c r="BJ406" i="7"/>
  <c r="K407" i="7"/>
  <c r="Z407" i="7"/>
  <c r="AB407" i="7"/>
  <c r="AC407" i="7"/>
  <c r="AF407" i="7"/>
  <c r="AG407" i="7"/>
  <c r="AH407" i="7"/>
  <c r="AJ407" i="7"/>
  <c r="AK407" i="7"/>
  <c r="AL407" i="7"/>
  <c r="AO407" i="7"/>
  <c r="AP407" i="7"/>
  <c r="BI407" i="7" s="1"/>
  <c r="AE407" i="7" s="1"/>
  <c r="BD407" i="7"/>
  <c r="BF407" i="7"/>
  <c r="BJ407" i="7"/>
  <c r="K408" i="7"/>
  <c r="AK408" i="7" s="1"/>
  <c r="Z408" i="7"/>
  <c r="AB408" i="7"/>
  <c r="AC408" i="7"/>
  <c r="AF408" i="7"/>
  <c r="AG408" i="7"/>
  <c r="AH408" i="7"/>
  <c r="AJ408" i="7"/>
  <c r="AL408" i="7"/>
  <c r="AO408" i="7"/>
  <c r="AP408" i="7"/>
  <c r="J408" i="7" s="1"/>
  <c r="BD408" i="7"/>
  <c r="BF408" i="7"/>
  <c r="BI408" i="7"/>
  <c r="AE408" i="7" s="1"/>
  <c r="BJ408" i="7"/>
  <c r="K409" i="7"/>
  <c r="AK409" i="7" s="1"/>
  <c r="Z409" i="7"/>
  <c r="AB409" i="7"/>
  <c r="AC409" i="7"/>
  <c r="AF409" i="7"/>
  <c r="AG409" i="7"/>
  <c r="AH409" i="7"/>
  <c r="AJ409" i="7"/>
  <c r="AL409" i="7"/>
  <c r="AO409" i="7"/>
  <c r="AP409" i="7"/>
  <c r="BI409" i="7" s="1"/>
  <c r="AE409" i="7" s="1"/>
  <c r="BD409" i="7"/>
  <c r="BF409" i="7"/>
  <c r="BJ409" i="7"/>
  <c r="K410" i="7"/>
  <c r="Z410" i="7"/>
  <c r="AB410" i="7"/>
  <c r="AC410" i="7"/>
  <c r="AF410" i="7"/>
  <c r="AG410" i="7"/>
  <c r="AH410" i="7"/>
  <c r="AJ410" i="7"/>
  <c r="AK410" i="7"/>
  <c r="AL410" i="7"/>
  <c r="AO410" i="7"/>
  <c r="AP410" i="7"/>
  <c r="BD410" i="7"/>
  <c r="BF410" i="7"/>
  <c r="BJ410" i="7"/>
  <c r="K411" i="7"/>
  <c r="Z411" i="7"/>
  <c r="AB411" i="7"/>
  <c r="AC411" i="7"/>
  <c r="AF411" i="7"/>
  <c r="AG411" i="7"/>
  <c r="AH411" i="7"/>
  <c r="AJ411" i="7"/>
  <c r="AK411" i="7"/>
  <c r="AL411" i="7"/>
  <c r="AO411" i="7"/>
  <c r="AP411" i="7"/>
  <c r="BD411" i="7"/>
  <c r="BF411" i="7"/>
  <c r="BH411" i="7"/>
  <c r="AD411" i="7" s="1"/>
  <c r="BJ411" i="7"/>
  <c r="K412" i="7"/>
  <c r="AK412" i="7" s="1"/>
  <c r="Z412" i="7"/>
  <c r="AB412" i="7"/>
  <c r="AC412" i="7"/>
  <c r="AF412" i="7"/>
  <c r="AG412" i="7"/>
  <c r="AH412" i="7"/>
  <c r="AJ412" i="7"/>
  <c r="AL412" i="7"/>
  <c r="AO412" i="7"/>
  <c r="AP412" i="7"/>
  <c r="BD412" i="7"/>
  <c r="BF412" i="7"/>
  <c r="BJ412" i="7"/>
  <c r="K413" i="7"/>
  <c r="AK413" i="7" s="1"/>
  <c r="Z413" i="7"/>
  <c r="AB413" i="7"/>
  <c r="AC413" i="7"/>
  <c r="AF413" i="7"/>
  <c r="AG413" i="7"/>
  <c r="AH413" i="7"/>
  <c r="AJ413" i="7"/>
  <c r="AL413" i="7"/>
  <c r="AO413" i="7"/>
  <c r="AP413" i="7"/>
  <c r="BD413" i="7"/>
  <c r="BF413" i="7"/>
  <c r="BI413" i="7"/>
  <c r="AE413" i="7" s="1"/>
  <c r="BJ413" i="7"/>
  <c r="K414" i="7"/>
  <c r="Z414" i="7"/>
  <c r="AB414" i="7"/>
  <c r="AC414" i="7"/>
  <c r="AF414" i="7"/>
  <c r="AG414" i="7"/>
  <c r="AH414" i="7"/>
  <c r="AJ414" i="7"/>
  <c r="AK414" i="7"/>
  <c r="AL414" i="7"/>
  <c r="AO414" i="7"/>
  <c r="AP414" i="7"/>
  <c r="J414" i="7" s="1"/>
  <c r="BD414" i="7"/>
  <c r="BF414" i="7"/>
  <c r="BI414" i="7"/>
  <c r="AE414" i="7" s="1"/>
  <c r="BJ414" i="7"/>
  <c r="K415" i="7"/>
  <c r="Z415" i="7"/>
  <c r="AB415" i="7"/>
  <c r="AC415" i="7"/>
  <c r="AF415" i="7"/>
  <c r="AG415" i="7"/>
  <c r="AH415" i="7"/>
  <c r="AJ415" i="7"/>
  <c r="AK415" i="7"/>
  <c r="AL415" i="7"/>
  <c r="AO415" i="7"/>
  <c r="AP415" i="7"/>
  <c r="BD415" i="7"/>
  <c r="BF415" i="7"/>
  <c r="BJ415" i="7"/>
  <c r="K416" i="7"/>
  <c r="AK416" i="7" s="1"/>
  <c r="Z416" i="7"/>
  <c r="AB416" i="7"/>
  <c r="AC416" i="7"/>
  <c r="AF416" i="7"/>
  <c r="AG416" i="7"/>
  <c r="AH416" i="7"/>
  <c r="AJ416" i="7"/>
  <c r="AL416" i="7"/>
  <c r="AO416" i="7"/>
  <c r="AP416" i="7"/>
  <c r="BD416" i="7"/>
  <c r="BF416" i="7"/>
  <c r="BJ416" i="7"/>
  <c r="K417" i="7"/>
  <c r="AK417" i="7" s="1"/>
  <c r="Z417" i="7"/>
  <c r="AB417" i="7"/>
  <c r="AC417" i="7"/>
  <c r="AF417" i="7"/>
  <c r="AG417" i="7"/>
  <c r="AH417" i="7"/>
  <c r="AJ417" i="7"/>
  <c r="AL417" i="7"/>
  <c r="AO417" i="7"/>
  <c r="AP417" i="7"/>
  <c r="BD417" i="7"/>
  <c r="BF417" i="7"/>
  <c r="BI417" i="7"/>
  <c r="AE417" i="7" s="1"/>
  <c r="BJ417" i="7"/>
  <c r="K418" i="7"/>
  <c r="Z418" i="7"/>
  <c r="AB418" i="7"/>
  <c r="AC418" i="7"/>
  <c r="AF418" i="7"/>
  <c r="AG418" i="7"/>
  <c r="AH418" i="7"/>
  <c r="AJ418" i="7"/>
  <c r="AK418" i="7"/>
  <c r="AL418" i="7"/>
  <c r="AO418" i="7"/>
  <c r="AW418" i="7" s="1"/>
  <c r="AP418" i="7"/>
  <c r="BD418" i="7"/>
  <c r="BF418" i="7"/>
  <c r="BJ418" i="7"/>
  <c r="K419" i="7"/>
  <c r="Z419" i="7"/>
  <c r="AB419" i="7"/>
  <c r="AC419" i="7"/>
  <c r="AF419" i="7"/>
  <c r="AG419" i="7"/>
  <c r="AH419" i="7"/>
  <c r="AJ419" i="7"/>
  <c r="AK419" i="7"/>
  <c r="AL419" i="7"/>
  <c r="AO419" i="7"/>
  <c r="AP419" i="7"/>
  <c r="BI419" i="7" s="1"/>
  <c r="AE419" i="7" s="1"/>
  <c r="BD419" i="7"/>
  <c r="BF419" i="7"/>
  <c r="BJ419" i="7"/>
  <c r="K420" i="7"/>
  <c r="AK420" i="7" s="1"/>
  <c r="Z420" i="7"/>
  <c r="AB420" i="7"/>
  <c r="AC420" i="7"/>
  <c r="AF420" i="7"/>
  <c r="AG420" i="7"/>
  <c r="AH420" i="7"/>
  <c r="AJ420" i="7"/>
  <c r="AL420" i="7"/>
  <c r="AO420" i="7"/>
  <c r="AP420" i="7"/>
  <c r="AX420" i="7" s="1"/>
  <c r="BD420" i="7"/>
  <c r="BF420" i="7"/>
  <c r="BH420" i="7"/>
  <c r="AD420" i="7" s="1"/>
  <c r="BJ420" i="7"/>
  <c r="I422" i="7"/>
  <c r="K422" i="7"/>
  <c r="Z422" i="7"/>
  <c r="AB422" i="7"/>
  <c r="AC422" i="7"/>
  <c r="AF422" i="7"/>
  <c r="AG422" i="7"/>
  <c r="AH422" i="7"/>
  <c r="AJ422" i="7"/>
  <c r="AK422" i="7"/>
  <c r="AL422" i="7"/>
  <c r="AO422" i="7"/>
  <c r="AP422" i="7"/>
  <c r="AW422" i="7"/>
  <c r="BD422" i="7"/>
  <c r="BF422" i="7"/>
  <c r="BH422" i="7"/>
  <c r="AD422" i="7" s="1"/>
  <c r="BJ422" i="7"/>
  <c r="K423" i="7"/>
  <c r="AK423" i="7" s="1"/>
  <c r="Z423" i="7"/>
  <c r="AB423" i="7"/>
  <c r="AC423" i="7"/>
  <c r="AF423" i="7"/>
  <c r="AG423" i="7"/>
  <c r="AH423" i="7"/>
  <c r="AJ423" i="7"/>
  <c r="AL423" i="7"/>
  <c r="AO423" i="7"/>
  <c r="AP423" i="7"/>
  <c r="BD423" i="7"/>
  <c r="BF423" i="7"/>
  <c r="BJ423" i="7"/>
  <c r="J424" i="7"/>
  <c r="K424" i="7"/>
  <c r="AK424" i="7" s="1"/>
  <c r="Z424" i="7"/>
  <c r="AB424" i="7"/>
  <c r="AC424" i="7"/>
  <c r="AF424" i="7"/>
  <c r="AG424" i="7"/>
  <c r="AH424" i="7"/>
  <c r="AJ424" i="7"/>
  <c r="AL424" i="7"/>
  <c r="AO424" i="7"/>
  <c r="AP424" i="7"/>
  <c r="AX424" i="7"/>
  <c r="BD424" i="7"/>
  <c r="BF424" i="7"/>
  <c r="BI424" i="7"/>
  <c r="AE424" i="7" s="1"/>
  <c r="BJ424" i="7"/>
  <c r="K425" i="7"/>
  <c r="Z425" i="7"/>
  <c r="AB425" i="7"/>
  <c r="AC425" i="7"/>
  <c r="AF425" i="7"/>
  <c r="AG425" i="7"/>
  <c r="AH425" i="7"/>
  <c r="AJ425" i="7"/>
  <c r="AK425" i="7"/>
  <c r="AL425" i="7"/>
  <c r="AO425" i="7"/>
  <c r="AP425" i="7"/>
  <c r="BD425" i="7"/>
  <c r="BF425" i="7"/>
  <c r="BJ425" i="7"/>
  <c r="I426" i="7"/>
  <c r="K426" i="7"/>
  <c r="Z426" i="7"/>
  <c r="AB426" i="7"/>
  <c r="AC426" i="7"/>
  <c r="AF426" i="7"/>
  <c r="AG426" i="7"/>
  <c r="AH426" i="7"/>
  <c r="AJ426" i="7"/>
  <c r="AK426" i="7"/>
  <c r="AL426" i="7"/>
  <c r="AO426" i="7"/>
  <c r="AW426" i="7" s="1"/>
  <c r="AP426" i="7"/>
  <c r="BD426" i="7"/>
  <c r="BF426" i="7"/>
  <c r="BH426" i="7"/>
  <c r="AD426" i="7" s="1"/>
  <c r="BJ426" i="7"/>
  <c r="K427" i="7"/>
  <c r="Z427" i="7"/>
  <c r="AB427" i="7"/>
  <c r="AC427" i="7"/>
  <c r="AF427" i="7"/>
  <c r="AG427" i="7"/>
  <c r="AH427" i="7"/>
  <c r="AJ427" i="7"/>
  <c r="AL427" i="7"/>
  <c r="AO427" i="7"/>
  <c r="AP427" i="7"/>
  <c r="BD427" i="7"/>
  <c r="BF427" i="7"/>
  <c r="BJ427" i="7"/>
  <c r="K428" i="7"/>
  <c r="AK428" i="7" s="1"/>
  <c r="Z428" i="7"/>
  <c r="AB428" i="7"/>
  <c r="AC428" i="7"/>
  <c r="AF428" i="7"/>
  <c r="AG428" i="7"/>
  <c r="AH428" i="7"/>
  <c r="AJ428" i="7"/>
  <c r="AL428" i="7"/>
  <c r="AO428" i="7"/>
  <c r="AP428" i="7"/>
  <c r="J428" i="7" s="1"/>
  <c r="BD428" i="7"/>
  <c r="BF428" i="7"/>
  <c r="BI428" i="7"/>
  <c r="AE428" i="7" s="1"/>
  <c r="BJ428" i="7"/>
  <c r="K429" i="7"/>
  <c r="Z429" i="7"/>
  <c r="AB429" i="7"/>
  <c r="AC429" i="7"/>
  <c r="AF429" i="7"/>
  <c r="AG429" i="7"/>
  <c r="AH429" i="7"/>
  <c r="AJ429" i="7"/>
  <c r="AK429" i="7"/>
  <c r="AL429" i="7"/>
  <c r="AO429" i="7"/>
  <c r="AP429" i="7"/>
  <c r="BD429" i="7"/>
  <c r="BF429" i="7"/>
  <c r="BJ429" i="7"/>
  <c r="K430" i="7"/>
  <c r="Z430" i="7"/>
  <c r="AB430" i="7"/>
  <c r="AC430" i="7"/>
  <c r="AF430" i="7"/>
  <c r="AG430" i="7"/>
  <c r="AH430" i="7"/>
  <c r="AJ430" i="7"/>
  <c r="AK430" i="7"/>
  <c r="AL430" i="7"/>
  <c r="AO430" i="7"/>
  <c r="AW430" i="7" s="1"/>
  <c r="AP430" i="7"/>
  <c r="BD430" i="7"/>
  <c r="BF430" i="7"/>
  <c r="BH430" i="7"/>
  <c r="AD430" i="7" s="1"/>
  <c r="BJ430" i="7"/>
  <c r="K431" i="7"/>
  <c r="AK431" i="7" s="1"/>
  <c r="Z431" i="7"/>
  <c r="AB431" i="7"/>
  <c r="AC431" i="7"/>
  <c r="AF431" i="7"/>
  <c r="AG431" i="7"/>
  <c r="AH431" i="7"/>
  <c r="AJ431" i="7"/>
  <c r="AL431" i="7"/>
  <c r="AO431" i="7"/>
  <c r="AP431" i="7"/>
  <c r="BD431" i="7"/>
  <c r="BF431" i="7"/>
  <c r="BJ431" i="7"/>
  <c r="K432" i="7"/>
  <c r="AK432" i="7" s="1"/>
  <c r="Z432" i="7"/>
  <c r="AB432" i="7"/>
  <c r="AC432" i="7"/>
  <c r="AF432" i="7"/>
  <c r="AG432" i="7"/>
  <c r="AH432" i="7"/>
  <c r="AJ432" i="7"/>
  <c r="AL432" i="7"/>
  <c r="AO432" i="7"/>
  <c r="AP432" i="7"/>
  <c r="J432" i="7" s="1"/>
  <c r="BD432" i="7"/>
  <c r="BF432" i="7"/>
  <c r="BI432" i="7"/>
  <c r="AE432" i="7" s="1"/>
  <c r="BJ432" i="7"/>
  <c r="J433" i="7"/>
  <c r="K433" i="7"/>
  <c r="AB433" i="7"/>
  <c r="AC433" i="7"/>
  <c r="AD433" i="7"/>
  <c r="AE433" i="7"/>
  <c r="AF433" i="7"/>
  <c r="AG433" i="7"/>
  <c r="AH433" i="7"/>
  <c r="AJ433" i="7"/>
  <c r="AK433" i="7"/>
  <c r="AL433" i="7"/>
  <c r="AO433" i="7"/>
  <c r="AW433" i="7" s="1"/>
  <c r="AP433" i="7"/>
  <c r="AX433" i="7"/>
  <c r="BD433" i="7"/>
  <c r="BF433" i="7"/>
  <c r="BI433" i="7"/>
  <c r="BJ433" i="7"/>
  <c r="Z433" i="7" s="1"/>
  <c r="K435" i="7"/>
  <c r="Z435" i="7"/>
  <c r="AB435" i="7"/>
  <c r="AC435" i="7"/>
  <c r="AF435" i="7"/>
  <c r="AG435" i="7"/>
  <c r="AH435" i="7"/>
  <c r="AJ435" i="7"/>
  <c r="AL435" i="7"/>
  <c r="AO435" i="7"/>
  <c r="AP435" i="7"/>
  <c r="J435" i="7" s="1"/>
  <c r="BD435" i="7"/>
  <c r="BF435" i="7"/>
  <c r="BI435" i="7"/>
  <c r="AE435" i="7" s="1"/>
  <c r="BJ435" i="7"/>
  <c r="K436" i="7"/>
  <c r="Z436" i="7"/>
  <c r="AB436" i="7"/>
  <c r="AC436" i="7"/>
  <c r="AF436" i="7"/>
  <c r="AG436" i="7"/>
  <c r="AH436" i="7"/>
  <c r="AJ436" i="7"/>
  <c r="AK436" i="7"/>
  <c r="AL436" i="7"/>
  <c r="AO436" i="7"/>
  <c r="I436" i="7" s="1"/>
  <c r="AP436" i="7"/>
  <c r="AX436" i="7" s="1"/>
  <c r="BD436" i="7"/>
  <c r="BF436" i="7"/>
  <c r="BH436" i="7"/>
  <c r="AD436" i="7" s="1"/>
  <c r="BJ436" i="7"/>
  <c r="K437" i="7"/>
  <c r="Z437" i="7"/>
  <c r="AB437" i="7"/>
  <c r="AC437" i="7"/>
  <c r="AF437" i="7"/>
  <c r="AG437" i="7"/>
  <c r="AH437" i="7"/>
  <c r="AJ437" i="7"/>
  <c r="AK437" i="7"/>
  <c r="AL437" i="7"/>
  <c r="AO437" i="7"/>
  <c r="AP437" i="7"/>
  <c r="BD437" i="7"/>
  <c r="BF437" i="7"/>
  <c r="BI437" i="7"/>
  <c r="AE437" i="7" s="1"/>
  <c r="BJ437" i="7"/>
  <c r="K438" i="7"/>
  <c r="AK438" i="7" s="1"/>
  <c r="Z438" i="7"/>
  <c r="AB438" i="7"/>
  <c r="AC438" i="7"/>
  <c r="AF438" i="7"/>
  <c r="AG438" i="7"/>
  <c r="AH438" i="7"/>
  <c r="AJ438" i="7"/>
  <c r="AL438" i="7"/>
  <c r="AO438" i="7"/>
  <c r="BH438" i="7" s="1"/>
  <c r="AD438" i="7" s="1"/>
  <c r="AP438" i="7"/>
  <c r="J438" i="7" s="1"/>
  <c r="BD438" i="7"/>
  <c r="BF438" i="7"/>
  <c r="BJ438" i="7"/>
  <c r="K439" i="7"/>
  <c r="AK439" i="7" s="1"/>
  <c r="Z439" i="7"/>
  <c r="AB439" i="7"/>
  <c r="AC439" i="7"/>
  <c r="AF439" i="7"/>
  <c r="AG439" i="7"/>
  <c r="AH439" i="7"/>
  <c r="AJ439" i="7"/>
  <c r="AL439" i="7"/>
  <c r="AO439" i="7"/>
  <c r="I439" i="7" s="1"/>
  <c r="AP439" i="7"/>
  <c r="J439" i="7" s="1"/>
  <c r="BD439" i="7"/>
  <c r="BF439" i="7"/>
  <c r="BJ439" i="7"/>
  <c r="K440" i="7"/>
  <c r="Z440" i="7"/>
  <c r="AB440" i="7"/>
  <c r="AC440" i="7"/>
  <c r="AF440" i="7"/>
  <c r="AG440" i="7"/>
  <c r="AH440" i="7"/>
  <c r="AJ440" i="7"/>
  <c r="AK440" i="7"/>
  <c r="AL440" i="7"/>
  <c r="AO440" i="7"/>
  <c r="AP440" i="7"/>
  <c r="AX440" i="7" s="1"/>
  <c r="BD440" i="7"/>
  <c r="BF440" i="7"/>
  <c r="BJ440" i="7"/>
  <c r="K441" i="7"/>
  <c r="Z441" i="7"/>
  <c r="AB441" i="7"/>
  <c r="AC441" i="7"/>
  <c r="AF441" i="7"/>
  <c r="AG441" i="7"/>
  <c r="AH441" i="7"/>
  <c r="AJ441" i="7"/>
  <c r="AK441" i="7"/>
  <c r="AL441" i="7"/>
  <c r="AO441" i="7"/>
  <c r="AP441" i="7"/>
  <c r="BI441" i="7" s="1"/>
  <c r="AE441" i="7" s="1"/>
  <c r="BD441" i="7"/>
  <c r="BF441" i="7"/>
  <c r="BJ441" i="7"/>
  <c r="K442" i="7"/>
  <c r="AK442" i="7" s="1"/>
  <c r="Z442" i="7"/>
  <c r="AB442" i="7"/>
  <c r="AC442" i="7"/>
  <c r="AF442" i="7"/>
  <c r="AG442" i="7"/>
  <c r="AH442" i="7"/>
  <c r="AJ442" i="7"/>
  <c r="AL442" i="7"/>
  <c r="AO442" i="7"/>
  <c r="BH442" i="7" s="1"/>
  <c r="AD442" i="7" s="1"/>
  <c r="AP442" i="7"/>
  <c r="J442" i="7" s="1"/>
  <c r="AX442" i="7"/>
  <c r="BD442" i="7"/>
  <c r="BF442" i="7"/>
  <c r="BI442" i="7"/>
  <c r="AE442" i="7" s="1"/>
  <c r="BJ442" i="7"/>
  <c r="K443" i="7"/>
  <c r="AK443" i="7" s="1"/>
  <c r="Z443" i="7"/>
  <c r="AB443" i="7"/>
  <c r="AC443" i="7"/>
  <c r="AF443" i="7"/>
  <c r="AG443" i="7"/>
  <c r="AH443" i="7"/>
  <c r="AJ443" i="7"/>
  <c r="AL443" i="7"/>
  <c r="AO443" i="7"/>
  <c r="AP443" i="7"/>
  <c r="J443" i="7" s="1"/>
  <c r="BD443" i="7"/>
  <c r="BF443" i="7"/>
  <c r="BI443" i="7"/>
  <c r="AE443" i="7" s="1"/>
  <c r="BJ443" i="7"/>
  <c r="K444" i="7"/>
  <c r="Z444" i="7"/>
  <c r="AB444" i="7"/>
  <c r="AC444" i="7"/>
  <c r="AF444" i="7"/>
  <c r="AG444" i="7"/>
  <c r="AH444" i="7"/>
  <c r="AJ444" i="7"/>
  <c r="AK444" i="7"/>
  <c r="AL444" i="7"/>
  <c r="AO444" i="7"/>
  <c r="I444" i="7" s="1"/>
  <c r="AP444" i="7"/>
  <c r="AX444" i="7" s="1"/>
  <c r="BD444" i="7"/>
  <c r="BF444" i="7"/>
  <c r="BJ444" i="7"/>
  <c r="K445" i="7"/>
  <c r="Z445" i="7"/>
  <c r="AB445" i="7"/>
  <c r="AC445" i="7"/>
  <c r="AF445" i="7"/>
  <c r="AG445" i="7"/>
  <c r="AH445" i="7"/>
  <c r="AJ445" i="7"/>
  <c r="AK445" i="7"/>
  <c r="AL445" i="7"/>
  <c r="AO445" i="7"/>
  <c r="AP445" i="7"/>
  <c r="BD445" i="7"/>
  <c r="BF445" i="7"/>
  <c r="BH445" i="7"/>
  <c r="AD445" i="7" s="1"/>
  <c r="BJ445" i="7"/>
  <c r="K446" i="7"/>
  <c r="AK446" i="7" s="1"/>
  <c r="Z446" i="7"/>
  <c r="AB446" i="7"/>
  <c r="AC446" i="7"/>
  <c r="AF446" i="7"/>
  <c r="AG446" i="7"/>
  <c r="AH446" i="7"/>
  <c r="AJ446" i="7"/>
  <c r="AL446" i="7"/>
  <c r="AO446" i="7"/>
  <c r="AP446" i="7"/>
  <c r="BD446" i="7"/>
  <c r="BF446" i="7"/>
  <c r="BJ446" i="7"/>
  <c r="K447" i="7"/>
  <c r="AK447" i="7" s="1"/>
  <c r="Z447" i="7"/>
  <c r="AB447" i="7"/>
  <c r="AC447" i="7"/>
  <c r="AF447" i="7"/>
  <c r="AG447" i="7"/>
  <c r="AH447" i="7"/>
  <c r="AJ447" i="7"/>
  <c r="AL447" i="7"/>
  <c r="AO447" i="7"/>
  <c r="AP447" i="7"/>
  <c r="J447" i="7" s="1"/>
  <c r="BD447" i="7"/>
  <c r="BF447" i="7"/>
  <c r="BJ447" i="7"/>
  <c r="K448" i="7"/>
  <c r="Z448" i="7"/>
  <c r="AB448" i="7"/>
  <c r="AC448" i="7"/>
  <c r="AF448" i="7"/>
  <c r="AG448" i="7"/>
  <c r="AH448" i="7"/>
  <c r="AJ448" i="7"/>
  <c r="AK448" i="7"/>
  <c r="AL448" i="7"/>
  <c r="AO448" i="7"/>
  <c r="I448" i="7" s="1"/>
  <c r="AP448" i="7"/>
  <c r="AX448" i="7" s="1"/>
  <c r="BD448" i="7"/>
  <c r="BF448" i="7"/>
  <c r="BH448" i="7"/>
  <c r="AD448" i="7" s="1"/>
  <c r="BJ448" i="7"/>
  <c r="K449" i="7"/>
  <c r="Z449" i="7"/>
  <c r="AB449" i="7"/>
  <c r="AC449" i="7"/>
  <c r="AF449" i="7"/>
  <c r="AG449" i="7"/>
  <c r="AH449" i="7"/>
  <c r="AJ449" i="7"/>
  <c r="AK449" i="7"/>
  <c r="AL449" i="7"/>
  <c r="AO449" i="7"/>
  <c r="AP449" i="7"/>
  <c r="BD449" i="7"/>
  <c r="BF449" i="7"/>
  <c r="BH449" i="7"/>
  <c r="AD449" i="7" s="1"/>
  <c r="BI449" i="7"/>
  <c r="AE449" i="7" s="1"/>
  <c r="BJ449" i="7"/>
  <c r="K450" i="7"/>
  <c r="Z450" i="7"/>
  <c r="AB450" i="7"/>
  <c r="AC450" i="7"/>
  <c r="AF450" i="7"/>
  <c r="AG450" i="7"/>
  <c r="AH450" i="7"/>
  <c r="AJ450" i="7"/>
  <c r="AK450" i="7"/>
  <c r="AL450" i="7"/>
  <c r="AO450" i="7"/>
  <c r="AP450" i="7"/>
  <c r="BD450" i="7"/>
  <c r="BF450" i="7"/>
  <c r="BI450" i="7"/>
  <c r="AE450" i="7" s="1"/>
  <c r="BJ450" i="7"/>
  <c r="K451" i="7"/>
  <c r="AK451" i="7" s="1"/>
  <c r="Z451" i="7"/>
  <c r="AB451" i="7"/>
  <c r="AC451" i="7"/>
  <c r="AF451" i="7"/>
  <c r="AG451" i="7"/>
  <c r="AH451" i="7"/>
  <c r="AJ451" i="7"/>
  <c r="AL451" i="7"/>
  <c r="AO451" i="7"/>
  <c r="BH451" i="7" s="1"/>
  <c r="AD451" i="7" s="1"/>
  <c r="AP451" i="7"/>
  <c r="BD451" i="7"/>
  <c r="BF451" i="7"/>
  <c r="BJ451" i="7"/>
  <c r="K452" i="7"/>
  <c r="AK452" i="7" s="1"/>
  <c r="Z452" i="7"/>
  <c r="AB452" i="7"/>
  <c r="AC452" i="7"/>
  <c r="AF452" i="7"/>
  <c r="AG452" i="7"/>
  <c r="AH452" i="7"/>
  <c r="AJ452" i="7"/>
  <c r="AL452" i="7"/>
  <c r="AO452" i="7"/>
  <c r="AP452" i="7"/>
  <c r="BD452" i="7"/>
  <c r="BF452" i="7"/>
  <c r="BJ452" i="7"/>
  <c r="K453" i="7"/>
  <c r="Z453" i="7"/>
  <c r="AB453" i="7"/>
  <c r="AC453" i="7"/>
  <c r="AF453" i="7"/>
  <c r="AG453" i="7"/>
  <c r="AH453" i="7"/>
  <c r="AJ453" i="7"/>
  <c r="AK453" i="7"/>
  <c r="AL453" i="7"/>
  <c r="AO453" i="7"/>
  <c r="AW453" i="7" s="1"/>
  <c r="AP453" i="7"/>
  <c r="J453" i="7" s="1"/>
  <c r="BD453" i="7"/>
  <c r="BF453" i="7"/>
  <c r="BI453" i="7"/>
  <c r="AE453" i="7" s="1"/>
  <c r="BJ453" i="7"/>
  <c r="K454" i="7"/>
  <c r="AK454" i="7" s="1"/>
  <c r="Z454" i="7"/>
  <c r="AB454" i="7"/>
  <c r="AC454" i="7"/>
  <c r="AD454" i="7"/>
  <c r="AE454" i="7"/>
  <c r="AF454" i="7"/>
  <c r="AG454" i="7"/>
  <c r="AH454" i="7"/>
  <c r="AJ454" i="7"/>
  <c r="AL454" i="7"/>
  <c r="AO454" i="7"/>
  <c r="AP454" i="7"/>
  <c r="BD454" i="7"/>
  <c r="BF454" i="7"/>
  <c r="BH454" i="7"/>
  <c r="BJ454" i="7"/>
  <c r="K456" i="7"/>
  <c r="Z456" i="7"/>
  <c r="AB456" i="7"/>
  <c r="AC456" i="7"/>
  <c r="AF456" i="7"/>
  <c r="AG456" i="7"/>
  <c r="AH456" i="7"/>
  <c r="AJ456" i="7"/>
  <c r="AK456" i="7"/>
  <c r="AL456" i="7"/>
  <c r="AO456" i="7"/>
  <c r="AP456" i="7"/>
  <c r="J456" i="7" s="1"/>
  <c r="AX456" i="7"/>
  <c r="BD456" i="7"/>
  <c r="BF456" i="7"/>
  <c r="BJ456" i="7"/>
  <c r="K457" i="7"/>
  <c r="Z457" i="7"/>
  <c r="AB457" i="7"/>
  <c r="AC457" i="7"/>
  <c r="AF457" i="7"/>
  <c r="AG457" i="7"/>
  <c r="AH457" i="7"/>
  <c r="AJ457" i="7"/>
  <c r="AK457" i="7"/>
  <c r="AL457" i="7"/>
  <c r="AO457" i="7"/>
  <c r="AP457" i="7"/>
  <c r="BI457" i="7" s="1"/>
  <c r="AE457" i="7" s="1"/>
  <c r="BD457" i="7"/>
  <c r="BF457" i="7"/>
  <c r="BJ457" i="7"/>
  <c r="K458" i="7"/>
  <c r="AK458" i="7" s="1"/>
  <c r="AB458" i="7"/>
  <c r="AC458" i="7"/>
  <c r="AD458" i="7"/>
  <c r="AE458" i="7"/>
  <c r="AF458" i="7"/>
  <c r="AG458" i="7"/>
  <c r="AH458" i="7"/>
  <c r="AJ458" i="7"/>
  <c r="AL458" i="7"/>
  <c r="AO458" i="7"/>
  <c r="BH458" i="7" s="1"/>
  <c r="AP458" i="7"/>
  <c r="BD458" i="7"/>
  <c r="BF458" i="7"/>
  <c r="BJ458" i="7"/>
  <c r="Z458" i="7" s="1"/>
  <c r="K460" i="7"/>
  <c r="Z460" i="7"/>
  <c r="AB460" i="7"/>
  <c r="AC460" i="7"/>
  <c r="AF460" i="7"/>
  <c r="AG460" i="7"/>
  <c r="AH460" i="7"/>
  <c r="AJ460" i="7"/>
  <c r="AK460" i="7"/>
  <c r="AL460" i="7"/>
  <c r="AO460" i="7"/>
  <c r="AW460" i="7" s="1"/>
  <c r="AP460" i="7"/>
  <c r="BI460" i="7" s="1"/>
  <c r="AE460" i="7" s="1"/>
  <c r="BD460" i="7"/>
  <c r="BF460" i="7"/>
  <c r="BH460" i="7"/>
  <c r="AD460" i="7" s="1"/>
  <c r="BJ460" i="7"/>
  <c r="K461" i="7"/>
  <c r="AK461" i="7" s="1"/>
  <c r="Z461" i="7"/>
  <c r="AB461" i="7"/>
  <c r="AC461" i="7"/>
  <c r="AF461" i="7"/>
  <c r="AG461" i="7"/>
  <c r="AH461" i="7"/>
  <c r="AJ461" i="7"/>
  <c r="AL461" i="7"/>
  <c r="AO461" i="7"/>
  <c r="AP461" i="7"/>
  <c r="BD461" i="7"/>
  <c r="BF461" i="7"/>
  <c r="BH461" i="7"/>
  <c r="AD461" i="7" s="1"/>
  <c r="BJ461" i="7"/>
  <c r="K462" i="7"/>
  <c r="AK462" i="7" s="1"/>
  <c r="Z462" i="7"/>
  <c r="AB462" i="7"/>
  <c r="AC462" i="7"/>
  <c r="AF462" i="7"/>
  <c r="AG462" i="7"/>
  <c r="AH462" i="7"/>
  <c r="AJ462" i="7"/>
  <c r="AL462" i="7"/>
  <c r="AO462" i="7"/>
  <c r="I462" i="7" s="1"/>
  <c r="AP462" i="7"/>
  <c r="J462" i="7" s="1"/>
  <c r="BD462" i="7"/>
  <c r="BF462" i="7"/>
  <c r="BJ462" i="7"/>
  <c r="K463" i="7"/>
  <c r="Z463" i="7"/>
  <c r="AB463" i="7"/>
  <c r="AC463" i="7"/>
  <c r="AF463" i="7"/>
  <c r="AG463" i="7"/>
  <c r="AH463" i="7"/>
  <c r="AJ463" i="7"/>
  <c r="AK463" i="7"/>
  <c r="AL463" i="7"/>
  <c r="AO463" i="7"/>
  <c r="AW463" i="7" s="1"/>
  <c r="AP463" i="7"/>
  <c r="BD463" i="7"/>
  <c r="BF463" i="7"/>
  <c r="BJ463" i="7"/>
  <c r="K464" i="7"/>
  <c r="Z464" i="7"/>
  <c r="AB464" i="7"/>
  <c r="AC464" i="7"/>
  <c r="AF464" i="7"/>
  <c r="AG464" i="7"/>
  <c r="AH464" i="7"/>
  <c r="AJ464" i="7"/>
  <c r="AK464" i="7"/>
  <c r="AL464" i="7"/>
  <c r="AO464" i="7"/>
  <c r="AW464" i="7" s="1"/>
  <c r="AP464" i="7"/>
  <c r="BI464" i="7" s="1"/>
  <c r="AE464" i="7" s="1"/>
  <c r="BD464" i="7"/>
  <c r="BF464" i="7"/>
  <c r="BH464" i="7"/>
  <c r="AD464" i="7" s="1"/>
  <c r="BJ464" i="7"/>
  <c r="K465" i="7"/>
  <c r="AK465" i="7" s="1"/>
  <c r="Z465" i="7"/>
  <c r="AB465" i="7"/>
  <c r="AC465" i="7"/>
  <c r="AF465" i="7"/>
  <c r="AG465" i="7"/>
  <c r="AH465" i="7"/>
  <c r="AJ465" i="7"/>
  <c r="AL465" i="7"/>
  <c r="AO465" i="7"/>
  <c r="AP465" i="7"/>
  <c r="BD465" i="7"/>
  <c r="BF465" i="7"/>
  <c r="BH465" i="7"/>
  <c r="AD465" i="7" s="1"/>
  <c r="BJ465" i="7"/>
  <c r="K466" i="7"/>
  <c r="AK466" i="7" s="1"/>
  <c r="Z466" i="7"/>
  <c r="AB466" i="7"/>
  <c r="AC466" i="7"/>
  <c r="AF466" i="7"/>
  <c r="AG466" i="7"/>
  <c r="AH466" i="7"/>
  <c r="AJ466" i="7"/>
  <c r="AL466" i="7"/>
  <c r="AO466" i="7"/>
  <c r="I466" i="7" s="1"/>
  <c r="AP466" i="7"/>
  <c r="AX466" i="7" s="1"/>
  <c r="BD466" i="7"/>
  <c r="BF466" i="7"/>
  <c r="BJ466" i="7"/>
  <c r="K467" i="7"/>
  <c r="Z467" i="7"/>
  <c r="AB467" i="7"/>
  <c r="AC467" i="7"/>
  <c r="AF467" i="7"/>
  <c r="AG467" i="7"/>
  <c r="AH467" i="7"/>
  <c r="AJ467" i="7"/>
  <c r="AK467" i="7"/>
  <c r="AL467" i="7"/>
  <c r="AO467" i="7"/>
  <c r="AW467" i="7" s="1"/>
  <c r="AP467" i="7"/>
  <c r="BD467" i="7"/>
  <c r="BF467" i="7"/>
  <c r="BJ467" i="7"/>
  <c r="K468" i="7"/>
  <c r="Z468" i="7"/>
  <c r="AB468" i="7"/>
  <c r="AC468" i="7"/>
  <c r="AF468" i="7"/>
  <c r="AG468" i="7"/>
  <c r="AH468" i="7"/>
  <c r="AJ468" i="7"/>
  <c r="AK468" i="7"/>
  <c r="AL468" i="7"/>
  <c r="AO468" i="7"/>
  <c r="AW468" i="7" s="1"/>
  <c r="AP468" i="7"/>
  <c r="BI468" i="7" s="1"/>
  <c r="AE468" i="7" s="1"/>
  <c r="BD468" i="7"/>
  <c r="BF468" i="7"/>
  <c r="BH468" i="7"/>
  <c r="AD468" i="7" s="1"/>
  <c r="BJ468" i="7"/>
  <c r="K469" i="7"/>
  <c r="AK469" i="7" s="1"/>
  <c r="Z469" i="7"/>
  <c r="AB469" i="7"/>
  <c r="AC469" i="7"/>
  <c r="AF469" i="7"/>
  <c r="AG469" i="7"/>
  <c r="AH469" i="7"/>
  <c r="AJ469" i="7"/>
  <c r="AL469" i="7"/>
  <c r="AO469" i="7"/>
  <c r="AP469" i="7"/>
  <c r="BD469" i="7"/>
  <c r="BF469" i="7"/>
  <c r="BH469" i="7"/>
  <c r="AD469" i="7" s="1"/>
  <c r="BJ469" i="7"/>
  <c r="K470" i="7"/>
  <c r="AK470" i="7" s="1"/>
  <c r="AB470" i="7"/>
  <c r="AC470" i="7"/>
  <c r="AD470" i="7"/>
  <c r="AE470" i="7"/>
  <c r="AF470" i="7"/>
  <c r="AG470" i="7"/>
  <c r="AH470" i="7"/>
  <c r="AJ470" i="7"/>
  <c r="AL470" i="7"/>
  <c r="AO470" i="7"/>
  <c r="AP470" i="7"/>
  <c r="AX470" i="7" s="1"/>
  <c r="BD470" i="7"/>
  <c r="BF470" i="7"/>
  <c r="BJ470" i="7"/>
  <c r="Z470" i="7" s="1"/>
  <c r="K472" i="7"/>
  <c r="Z472" i="7"/>
  <c r="AB472" i="7"/>
  <c r="AC472" i="7"/>
  <c r="AF472" i="7"/>
  <c r="AG472" i="7"/>
  <c r="AH472" i="7"/>
  <c r="AJ472" i="7"/>
  <c r="AL472" i="7"/>
  <c r="AO472" i="7"/>
  <c r="AP472" i="7"/>
  <c r="J472" i="7" s="1"/>
  <c r="BD472" i="7"/>
  <c r="BF472" i="7"/>
  <c r="BJ472" i="7"/>
  <c r="J473" i="7"/>
  <c r="K473" i="7"/>
  <c r="AK473" i="7" s="1"/>
  <c r="Z473" i="7"/>
  <c r="AB473" i="7"/>
  <c r="AC473" i="7"/>
  <c r="AF473" i="7"/>
  <c r="AG473" i="7"/>
  <c r="AH473" i="7"/>
  <c r="AJ473" i="7"/>
  <c r="AL473" i="7"/>
  <c r="AO473" i="7"/>
  <c r="AP473" i="7"/>
  <c r="AX473" i="7"/>
  <c r="BD473" i="7"/>
  <c r="BF473" i="7"/>
  <c r="BI473" i="7"/>
  <c r="AE473" i="7" s="1"/>
  <c r="BJ473" i="7"/>
  <c r="K474" i="7"/>
  <c r="Z474" i="7"/>
  <c r="AB474" i="7"/>
  <c r="AC474" i="7"/>
  <c r="AF474" i="7"/>
  <c r="AG474" i="7"/>
  <c r="AH474" i="7"/>
  <c r="AJ474" i="7"/>
  <c r="AK474" i="7"/>
  <c r="AL474" i="7"/>
  <c r="AO474" i="7"/>
  <c r="I474" i="7" s="1"/>
  <c r="AP474" i="7"/>
  <c r="J474" i="7" s="1"/>
  <c r="BD474" i="7"/>
  <c r="BF474" i="7"/>
  <c r="BJ474" i="7"/>
  <c r="I475" i="7"/>
  <c r="K475" i="7"/>
  <c r="Z475" i="7"/>
  <c r="AB475" i="7"/>
  <c r="AC475" i="7"/>
  <c r="AF475" i="7"/>
  <c r="AG475" i="7"/>
  <c r="AH475" i="7"/>
  <c r="AJ475" i="7"/>
  <c r="AK475" i="7"/>
  <c r="AL475" i="7"/>
  <c r="AO475" i="7"/>
  <c r="AW475" i="7" s="1"/>
  <c r="AP475" i="7"/>
  <c r="BD475" i="7"/>
  <c r="BF475" i="7"/>
  <c r="BH475" i="7"/>
  <c r="AD475" i="7" s="1"/>
  <c r="BJ475" i="7"/>
  <c r="K476" i="7"/>
  <c r="AK476" i="7" s="1"/>
  <c r="Z476" i="7"/>
  <c r="AB476" i="7"/>
  <c r="AC476" i="7"/>
  <c r="AF476" i="7"/>
  <c r="AG476" i="7"/>
  <c r="AH476" i="7"/>
  <c r="AJ476" i="7"/>
  <c r="AL476" i="7"/>
  <c r="AO476" i="7"/>
  <c r="AP476" i="7"/>
  <c r="J476" i="7" s="1"/>
  <c r="BD476" i="7"/>
  <c r="BF476" i="7"/>
  <c r="BJ476" i="7"/>
  <c r="K477" i="7"/>
  <c r="AK477" i="7" s="1"/>
  <c r="Z477" i="7"/>
  <c r="AB477" i="7"/>
  <c r="AC477" i="7"/>
  <c r="AF477" i="7"/>
  <c r="AG477" i="7"/>
  <c r="AH477" i="7"/>
  <c r="AJ477" i="7"/>
  <c r="AL477" i="7"/>
  <c r="AO477" i="7"/>
  <c r="AP477" i="7"/>
  <c r="J477" i="7" s="1"/>
  <c r="BD477" i="7"/>
  <c r="BF477" i="7"/>
  <c r="BI477" i="7"/>
  <c r="AE477" i="7" s="1"/>
  <c r="BJ477" i="7"/>
  <c r="I478" i="7"/>
  <c r="K478" i="7"/>
  <c r="AK478" i="7" s="1"/>
  <c r="AB478" i="7"/>
  <c r="AC478" i="7"/>
  <c r="AD478" i="7"/>
  <c r="AE478" i="7"/>
  <c r="AF478" i="7"/>
  <c r="AG478" i="7"/>
  <c r="AH478" i="7"/>
  <c r="AJ478" i="7"/>
  <c r="AL478" i="7"/>
  <c r="AO478" i="7"/>
  <c r="AP478" i="7"/>
  <c r="AX478" i="7" s="1"/>
  <c r="BD478" i="7"/>
  <c r="BF478" i="7"/>
  <c r="BJ478" i="7"/>
  <c r="Z478" i="7" s="1"/>
  <c r="K480" i="7"/>
  <c r="Z480" i="7"/>
  <c r="AB480" i="7"/>
  <c r="AC480" i="7"/>
  <c r="AF480" i="7"/>
  <c r="AG480" i="7"/>
  <c r="AH480" i="7"/>
  <c r="AJ480" i="7"/>
  <c r="AL480" i="7"/>
  <c r="AO480" i="7"/>
  <c r="AP480" i="7"/>
  <c r="J480" i="7" s="1"/>
  <c r="BD480" i="7"/>
  <c r="BF480" i="7"/>
  <c r="BI480" i="7"/>
  <c r="AE480" i="7" s="1"/>
  <c r="BJ480" i="7"/>
  <c r="K481" i="7"/>
  <c r="Z481" i="7"/>
  <c r="AB481" i="7"/>
  <c r="AC481" i="7"/>
  <c r="AF481" i="7"/>
  <c r="AG481" i="7"/>
  <c r="AH481" i="7"/>
  <c r="AJ481" i="7"/>
  <c r="AK481" i="7"/>
  <c r="AL481" i="7"/>
  <c r="AO481" i="7"/>
  <c r="I481" i="7" s="1"/>
  <c r="AP481" i="7"/>
  <c r="AX481" i="7" s="1"/>
  <c r="AW481" i="7"/>
  <c r="BC481" i="7" s="1"/>
  <c r="BD481" i="7"/>
  <c r="BF481" i="7"/>
  <c r="BJ481" i="7"/>
  <c r="K482" i="7"/>
  <c r="Z482" i="7"/>
  <c r="AB482" i="7"/>
  <c r="AC482" i="7"/>
  <c r="AF482" i="7"/>
  <c r="AG482" i="7"/>
  <c r="AH482" i="7"/>
  <c r="AJ482" i="7"/>
  <c r="AK482" i="7"/>
  <c r="AL482" i="7"/>
  <c r="AO482" i="7"/>
  <c r="I482" i="7" s="1"/>
  <c r="AP482" i="7"/>
  <c r="BI482" i="7" s="1"/>
  <c r="AE482" i="7" s="1"/>
  <c r="BD482" i="7"/>
  <c r="BF482" i="7"/>
  <c r="BJ482" i="7"/>
  <c r="K483" i="7"/>
  <c r="AK483" i="7" s="1"/>
  <c r="Z483" i="7"/>
  <c r="AB483" i="7"/>
  <c r="AC483" i="7"/>
  <c r="AF483" i="7"/>
  <c r="AG483" i="7"/>
  <c r="AH483" i="7"/>
  <c r="AJ483" i="7"/>
  <c r="AL483" i="7"/>
  <c r="AO483" i="7"/>
  <c r="BH483" i="7" s="1"/>
  <c r="AD483" i="7" s="1"/>
  <c r="AP483" i="7"/>
  <c r="J483" i="7" s="1"/>
  <c r="BD483" i="7"/>
  <c r="BF483" i="7"/>
  <c r="BI483" i="7"/>
  <c r="AE483" i="7" s="1"/>
  <c r="BJ483" i="7"/>
  <c r="J484" i="7"/>
  <c r="K484" i="7"/>
  <c r="AK484" i="7" s="1"/>
  <c r="Z484" i="7"/>
  <c r="AB484" i="7"/>
  <c r="AC484" i="7"/>
  <c r="AF484" i="7"/>
  <c r="AG484" i="7"/>
  <c r="AH484" i="7"/>
  <c r="AJ484" i="7"/>
  <c r="AL484" i="7"/>
  <c r="AO484" i="7"/>
  <c r="I484" i="7" s="1"/>
  <c r="AP484" i="7"/>
  <c r="AW484" i="7"/>
  <c r="BD484" i="7"/>
  <c r="BF484" i="7"/>
  <c r="BJ484" i="7"/>
  <c r="K486" i="7"/>
  <c r="Z486" i="7"/>
  <c r="AB486" i="7"/>
  <c r="AC486" i="7"/>
  <c r="AD486" i="7"/>
  <c r="AE486" i="7"/>
  <c r="AH486" i="7"/>
  <c r="AJ486" i="7"/>
  <c r="AL486" i="7"/>
  <c r="AO486" i="7"/>
  <c r="AP486" i="7"/>
  <c r="J486" i="7" s="1"/>
  <c r="BD486" i="7"/>
  <c r="BF486" i="7"/>
  <c r="BJ486" i="7"/>
  <c r="K487" i="7"/>
  <c r="AK487" i="7" s="1"/>
  <c r="Z487" i="7"/>
  <c r="AB487" i="7"/>
  <c r="AC487" i="7"/>
  <c r="AD487" i="7"/>
  <c r="AE487" i="7"/>
  <c r="AG487" i="7"/>
  <c r="AH487" i="7"/>
  <c r="AJ487" i="7"/>
  <c r="AL487" i="7"/>
  <c r="AO487" i="7"/>
  <c r="AP487" i="7"/>
  <c r="J487" i="7" s="1"/>
  <c r="BD487" i="7"/>
  <c r="BF487" i="7"/>
  <c r="BI487" i="7"/>
  <c r="BJ487" i="7"/>
  <c r="K488" i="7"/>
  <c r="Z488" i="7"/>
  <c r="AB488" i="7"/>
  <c r="AC488" i="7"/>
  <c r="AD488" i="7"/>
  <c r="AE488" i="7"/>
  <c r="AH488" i="7"/>
  <c r="AJ488" i="7"/>
  <c r="AK488" i="7"/>
  <c r="AL488" i="7"/>
  <c r="AO488" i="7"/>
  <c r="BH488" i="7" s="1"/>
  <c r="AF488" i="7" s="1"/>
  <c r="AP488" i="7"/>
  <c r="AX488" i="7" s="1"/>
  <c r="BD488" i="7"/>
  <c r="BF488" i="7"/>
  <c r="BJ488" i="7"/>
  <c r="K489" i="7"/>
  <c r="AK489" i="7" s="1"/>
  <c r="Z489" i="7"/>
  <c r="AB489" i="7"/>
  <c r="AC489" i="7"/>
  <c r="AD489" i="7"/>
  <c r="AE489" i="7"/>
  <c r="AH489" i="7"/>
  <c r="AJ489" i="7"/>
  <c r="AL489" i="7"/>
  <c r="AO489" i="7"/>
  <c r="AW489" i="7" s="1"/>
  <c r="AP489" i="7"/>
  <c r="BI489" i="7" s="1"/>
  <c r="AG489" i="7" s="1"/>
  <c r="BD489" i="7"/>
  <c r="BF489" i="7"/>
  <c r="BJ489" i="7"/>
  <c r="K490" i="7"/>
  <c r="AK490" i="7" s="1"/>
  <c r="Z490" i="7"/>
  <c r="AD490" i="7"/>
  <c r="AE490" i="7"/>
  <c r="AF490" i="7"/>
  <c r="AG490" i="7"/>
  <c r="AH490" i="7"/>
  <c r="AJ490" i="7"/>
  <c r="AL490" i="7"/>
  <c r="AO490" i="7"/>
  <c r="AP490" i="7"/>
  <c r="J490" i="7" s="1"/>
  <c r="BD490" i="7"/>
  <c r="BF490" i="7"/>
  <c r="BJ490" i="7"/>
  <c r="K491" i="7"/>
  <c r="AK491" i="7" s="1"/>
  <c r="Z491" i="7"/>
  <c r="AD491" i="7"/>
  <c r="AE491" i="7"/>
  <c r="AF491" i="7"/>
  <c r="AG491" i="7"/>
  <c r="AH491" i="7"/>
  <c r="AJ491" i="7"/>
  <c r="AL491" i="7"/>
  <c r="AO491" i="7"/>
  <c r="AP491" i="7"/>
  <c r="BD491" i="7"/>
  <c r="BF491" i="7"/>
  <c r="BJ491" i="7"/>
  <c r="K492" i="7"/>
  <c r="Z492" i="7"/>
  <c r="AD492" i="7"/>
  <c r="AE492" i="7"/>
  <c r="AF492" i="7"/>
  <c r="AG492" i="7"/>
  <c r="AH492" i="7"/>
  <c r="AJ492" i="7"/>
  <c r="AK492" i="7"/>
  <c r="AL492" i="7"/>
  <c r="AO492" i="7"/>
  <c r="AP492" i="7"/>
  <c r="AX492" i="7" s="1"/>
  <c r="BD492" i="7"/>
  <c r="BF492" i="7"/>
  <c r="BJ492" i="7"/>
  <c r="K493" i="7"/>
  <c r="AK493" i="7" s="1"/>
  <c r="Z493" i="7"/>
  <c r="AD493" i="7"/>
  <c r="AE493" i="7"/>
  <c r="AF493" i="7"/>
  <c r="AG493" i="7"/>
  <c r="AH493" i="7"/>
  <c r="AJ493" i="7"/>
  <c r="AL493" i="7"/>
  <c r="AO493" i="7"/>
  <c r="BH493" i="7" s="1"/>
  <c r="AB493" i="7" s="1"/>
  <c r="AP493" i="7"/>
  <c r="BI493" i="7" s="1"/>
  <c r="AC493" i="7" s="1"/>
  <c r="BD493" i="7"/>
  <c r="BF493" i="7"/>
  <c r="BJ493" i="7"/>
  <c r="K494" i="7"/>
  <c r="AK494" i="7" s="1"/>
  <c r="Z494" i="7"/>
  <c r="AD494" i="7"/>
  <c r="AE494" i="7"/>
  <c r="AF494" i="7"/>
  <c r="AG494" i="7"/>
  <c r="AH494" i="7"/>
  <c r="AJ494" i="7"/>
  <c r="AL494" i="7"/>
  <c r="AO494" i="7"/>
  <c r="AP494" i="7"/>
  <c r="J494" i="7" s="1"/>
  <c r="BD494" i="7"/>
  <c r="BF494" i="7"/>
  <c r="BJ494" i="7"/>
  <c r="K495" i="7"/>
  <c r="AK495" i="7" s="1"/>
  <c r="Z495" i="7"/>
  <c r="AD495" i="7"/>
  <c r="AE495" i="7"/>
  <c r="AF495" i="7"/>
  <c r="AG495" i="7"/>
  <c r="AH495" i="7"/>
  <c r="AJ495" i="7"/>
  <c r="AL495" i="7"/>
  <c r="AO495" i="7"/>
  <c r="AP495" i="7"/>
  <c r="J495" i="7" s="1"/>
  <c r="BD495" i="7"/>
  <c r="BF495" i="7"/>
  <c r="BI495" i="7"/>
  <c r="AC495" i="7" s="1"/>
  <c r="BJ495" i="7"/>
  <c r="K496" i="7"/>
  <c r="Z496" i="7"/>
  <c r="AD496" i="7"/>
  <c r="AE496" i="7"/>
  <c r="AF496" i="7"/>
  <c r="AG496" i="7"/>
  <c r="AH496" i="7"/>
  <c r="AJ496" i="7"/>
  <c r="AK496" i="7"/>
  <c r="AL496" i="7"/>
  <c r="AO496" i="7"/>
  <c r="AW496" i="7" s="1"/>
  <c r="BC496" i="7" s="1"/>
  <c r="AP496" i="7"/>
  <c r="AX496" i="7" s="1"/>
  <c r="BD496" i="7"/>
  <c r="BF496" i="7"/>
  <c r="BH496" i="7"/>
  <c r="AB496" i="7" s="1"/>
  <c r="BJ496" i="7"/>
  <c r="K497" i="7"/>
  <c r="AK497" i="7" s="1"/>
  <c r="Z497" i="7"/>
  <c r="AD497" i="7"/>
  <c r="AE497" i="7"/>
  <c r="AF497" i="7"/>
  <c r="AG497" i="7"/>
  <c r="AH497" i="7"/>
  <c r="AJ497" i="7"/>
  <c r="AL497" i="7"/>
  <c r="AO497" i="7"/>
  <c r="AW497" i="7" s="1"/>
  <c r="AP497" i="7"/>
  <c r="BI497" i="7" s="1"/>
  <c r="AC497" i="7" s="1"/>
  <c r="BD497" i="7"/>
  <c r="BF497" i="7"/>
  <c r="BH497" i="7"/>
  <c r="AB497" i="7" s="1"/>
  <c r="BJ497" i="7"/>
  <c r="K498" i="7"/>
  <c r="AK498" i="7" s="1"/>
  <c r="Z498" i="7"/>
  <c r="AD498" i="7"/>
  <c r="AE498" i="7"/>
  <c r="AF498" i="7"/>
  <c r="AG498" i="7"/>
  <c r="AH498" i="7"/>
  <c r="AJ498" i="7"/>
  <c r="AL498" i="7"/>
  <c r="AO498" i="7"/>
  <c r="AP498" i="7"/>
  <c r="J498" i="7" s="1"/>
  <c r="BD498" i="7"/>
  <c r="BF498" i="7"/>
  <c r="BJ498" i="7"/>
  <c r="K499" i="7"/>
  <c r="AK499" i="7" s="1"/>
  <c r="Z499" i="7"/>
  <c r="AD499" i="7"/>
  <c r="AE499" i="7"/>
  <c r="AF499" i="7"/>
  <c r="AG499" i="7"/>
  <c r="AH499" i="7"/>
  <c r="AJ499" i="7"/>
  <c r="AL499" i="7"/>
  <c r="AO499" i="7"/>
  <c r="AP499" i="7"/>
  <c r="J499" i="7" s="1"/>
  <c r="AX499" i="7"/>
  <c r="BD499" i="7"/>
  <c r="BF499" i="7"/>
  <c r="BI499" i="7"/>
  <c r="AC499" i="7" s="1"/>
  <c r="BJ499" i="7"/>
  <c r="K500" i="7"/>
  <c r="Z500" i="7"/>
  <c r="AD500" i="7"/>
  <c r="AE500" i="7"/>
  <c r="AF500" i="7"/>
  <c r="AG500" i="7"/>
  <c r="AH500" i="7"/>
  <c r="AJ500" i="7"/>
  <c r="AK500" i="7"/>
  <c r="AL500" i="7"/>
  <c r="AO500" i="7"/>
  <c r="I500" i="7" s="1"/>
  <c r="AP500" i="7"/>
  <c r="AX500" i="7" s="1"/>
  <c r="AW500" i="7"/>
  <c r="BC500" i="7" s="1"/>
  <c r="BD500" i="7"/>
  <c r="BF500" i="7"/>
  <c r="BJ500" i="7"/>
  <c r="K501" i="7"/>
  <c r="AK501" i="7" s="1"/>
  <c r="Z501" i="7"/>
  <c r="AD501" i="7"/>
  <c r="AE501" i="7"/>
  <c r="AF501" i="7"/>
  <c r="AG501" i="7"/>
  <c r="AH501" i="7"/>
  <c r="AJ501" i="7"/>
  <c r="AL501" i="7"/>
  <c r="AO501" i="7"/>
  <c r="AW501" i="7" s="1"/>
  <c r="AP501" i="7"/>
  <c r="BI501" i="7" s="1"/>
  <c r="AC501" i="7" s="1"/>
  <c r="BD501" i="7"/>
  <c r="BF501" i="7"/>
  <c r="BH501" i="7"/>
  <c r="AB501" i="7" s="1"/>
  <c r="BJ501" i="7"/>
  <c r="K502" i="7"/>
  <c r="AK502" i="7" s="1"/>
  <c r="Z502" i="7"/>
  <c r="AD502" i="7"/>
  <c r="AE502" i="7"/>
  <c r="AF502" i="7"/>
  <c r="AG502" i="7"/>
  <c r="AH502" i="7"/>
  <c r="AJ502" i="7"/>
  <c r="AL502" i="7"/>
  <c r="AO502" i="7"/>
  <c r="AP502" i="7"/>
  <c r="J502" i="7" s="1"/>
  <c r="BD502" i="7"/>
  <c r="BF502" i="7"/>
  <c r="BJ502" i="7"/>
  <c r="K503" i="7"/>
  <c r="AK503" i="7" s="1"/>
  <c r="Z503" i="7"/>
  <c r="AD503" i="7"/>
  <c r="AE503" i="7"/>
  <c r="AF503" i="7"/>
  <c r="AG503" i="7"/>
  <c r="AH503" i="7"/>
  <c r="AJ503" i="7"/>
  <c r="AL503" i="7"/>
  <c r="AO503" i="7"/>
  <c r="AP503" i="7"/>
  <c r="BD503" i="7"/>
  <c r="BF503" i="7"/>
  <c r="BJ503" i="7"/>
  <c r="K504" i="7"/>
  <c r="AK504" i="7" s="1"/>
  <c r="Z504" i="7"/>
  <c r="AD504" i="7"/>
  <c r="AE504" i="7"/>
  <c r="AF504" i="7"/>
  <c r="AG504" i="7"/>
  <c r="AH504" i="7"/>
  <c r="AJ504" i="7"/>
  <c r="AL504" i="7"/>
  <c r="AO504" i="7"/>
  <c r="AW504" i="7" s="1"/>
  <c r="AP504" i="7"/>
  <c r="AX504" i="7" s="1"/>
  <c r="BD504" i="7"/>
  <c r="BF504" i="7"/>
  <c r="BH504" i="7"/>
  <c r="AB504" i="7" s="1"/>
  <c r="BJ504" i="7"/>
  <c r="K505" i="7"/>
  <c r="Z505" i="7"/>
  <c r="AD505" i="7"/>
  <c r="AE505" i="7"/>
  <c r="AF505" i="7"/>
  <c r="AG505" i="7"/>
  <c r="AH505" i="7"/>
  <c r="AJ505" i="7"/>
  <c r="AK505" i="7"/>
  <c r="AL505" i="7"/>
  <c r="AO505" i="7"/>
  <c r="I505" i="7" s="1"/>
  <c r="AP505" i="7"/>
  <c r="AW505" i="7"/>
  <c r="BD505" i="7"/>
  <c r="BF505" i="7"/>
  <c r="BI505" i="7"/>
  <c r="AC505" i="7" s="1"/>
  <c r="BJ505" i="7"/>
  <c r="K506" i="7"/>
  <c r="AK506" i="7" s="1"/>
  <c r="Z506" i="7"/>
  <c r="AD506" i="7"/>
  <c r="AE506" i="7"/>
  <c r="AF506" i="7"/>
  <c r="AG506" i="7"/>
  <c r="AH506" i="7"/>
  <c r="AJ506" i="7"/>
  <c r="AL506" i="7"/>
  <c r="AO506" i="7"/>
  <c r="BH506" i="7" s="1"/>
  <c r="AB506" i="7" s="1"/>
  <c r="AP506" i="7"/>
  <c r="BD506" i="7"/>
  <c r="BF506" i="7"/>
  <c r="BJ506" i="7"/>
  <c r="K507" i="7"/>
  <c r="AK507" i="7" s="1"/>
  <c r="Z507" i="7"/>
  <c r="AD507" i="7"/>
  <c r="AE507" i="7"/>
  <c r="AF507" i="7"/>
  <c r="AG507" i="7"/>
  <c r="AH507" i="7"/>
  <c r="AJ507" i="7"/>
  <c r="AL507" i="7"/>
  <c r="AO507" i="7"/>
  <c r="AP507" i="7"/>
  <c r="BD507" i="7"/>
  <c r="BF507" i="7"/>
  <c r="BJ507" i="7"/>
  <c r="K508" i="7"/>
  <c r="Z508" i="7"/>
  <c r="AD508" i="7"/>
  <c r="AE508" i="7"/>
  <c r="AF508" i="7"/>
  <c r="AG508" i="7"/>
  <c r="AH508" i="7"/>
  <c r="AJ508" i="7"/>
  <c r="AK508" i="7"/>
  <c r="AL508" i="7"/>
  <c r="AO508" i="7"/>
  <c r="AP508" i="7"/>
  <c r="BD508" i="7"/>
  <c r="BF508" i="7"/>
  <c r="BJ508" i="7"/>
  <c r="K509" i="7"/>
  <c r="Z509" i="7"/>
  <c r="AD509" i="7"/>
  <c r="AE509" i="7"/>
  <c r="AF509" i="7"/>
  <c r="AG509" i="7"/>
  <c r="AH509" i="7"/>
  <c r="AJ509" i="7"/>
  <c r="AK509" i="7"/>
  <c r="AL509" i="7"/>
  <c r="AO509" i="7"/>
  <c r="AP509" i="7"/>
  <c r="BI509" i="7" s="1"/>
  <c r="AC509" i="7" s="1"/>
  <c r="BD509" i="7"/>
  <c r="BF509" i="7"/>
  <c r="BJ509" i="7"/>
  <c r="K510" i="7"/>
  <c r="AK510" i="7" s="1"/>
  <c r="Z510" i="7"/>
  <c r="AD510" i="7"/>
  <c r="AE510" i="7"/>
  <c r="AF510" i="7"/>
  <c r="AG510" i="7"/>
  <c r="AH510" i="7"/>
  <c r="AJ510" i="7"/>
  <c r="AL510" i="7"/>
  <c r="AO510" i="7"/>
  <c r="AP510" i="7"/>
  <c r="BD510" i="7"/>
  <c r="BF510" i="7"/>
  <c r="BH510" i="7"/>
  <c r="AB510" i="7" s="1"/>
  <c r="BJ510" i="7"/>
  <c r="K511" i="7"/>
  <c r="AK511" i="7" s="1"/>
  <c r="Z511" i="7"/>
  <c r="AD511" i="7"/>
  <c r="AE511" i="7"/>
  <c r="AF511" i="7"/>
  <c r="AG511" i="7"/>
  <c r="AH511" i="7"/>
  <c r="AJ511" i="7"/>
  <c r="AL511" i="7"/>
  <c r="AO511" i="7"/>
  <c r="I511" i="7" s="1"/>
  <c r="AP511" i="7"/>
  <c r="J511" i="7" s="1"/>
  <c r="BD511" i="7"/>
  <c r="BF511" i="7"/>
  <c r="BJ511" i="7"/>
  <c r="K512" i="7"/>
  <c r="Z512" i="7"/>
  <c r="AD512" i="7"/>
  <c r="AE512" i="7"/>
  <c r="AF512" i="7"/>
  <c r="AG512" i="7"/>
  <c r="AH512" i="7"/>
  <c r="AJ512" i="7"/>
  <c r="AK512" i="7"/>
  <c r="AL512" i="7"/>
  <c r="AO512" i="7"/>
  <c r="BH512" i="7" s="1"/>
  <c r="AB512" i="7" s="1"/>
  <c r="AP512" i="7"/>
  <c r="AX512" i="7" s="1"/>
  <c r="BD512" i="7"/>
  <c r="BF512" i="7"/>
  <c r="BJ512" i="7"/>
  <c r="K513" i="7"/>
  <c r="AK513" i="7" s="1"/>
  <c r="Z513" i="7"/>
  <c r="AD513" i="7"/>
  <c r="AE513" i="7"/>
  <c r="AF513" i="7"/>
  <c r="AG513" i="7"/>
  <c r="AH513" i="7"/>
  <c r="AJ513" i="7"/>
  <c r="AL513" i="7"/>
  <c r="AO513" i="7"/>
  <c r="AW513" i="7" s="1"/>
  <c r="AP513" i="7"/>
  <c r="BI513" i="7" s="1"/>
  <c r="AC513" i="7" s="1"/>
  <c r="BD513" i="7"/>
  <c r="BF513" i="7"/>
  <c r="BJ513" i="7"/>
  <c r="K514" i="7"/>
  <c r="AK514" i="7" s="1"/>
  <c r="Z514" i="7"/>
  <c r="AD514" i="7"/>
  <c r="AE514" i="7"/>
  <c r="AF514" i="7"/>
  <c r="AG514" i="7"/>
  <c r="AH514" i="7"/>
  <c r="AJ514" i="7"/>
  <c r="AL514" i="7"/>
  <c r="AO514" i="7"/>
  <c r="BH514" i="7" s="1"/>
  <c r="AB514" i="7" s="1"/>
  <c r="AP514" i="7"/>
  <c r="BD514" i="7"/>
  <c r="BF514" i="7"/>
  <c r="BJ514" i="7"/>
  <c r="K516" i="7"/>
  <c r="AK516" i="7" s="1"/>
  <c r="Z516" i="7"/>
  <c r="AB516" i="7"/>
  <c r="AC516" i="7"/>
  <c r="AD516" i="7"/>
  <c r="AE516" i="7"/>
  <c r="AH516" i="7"/>
  <c r="AJ516" i="7"/>
  <c r="AL516" i="7"/>
  <c r="AO516" i="7"/>
  <c r="AW516" i="7" s="1"/>
  <c r="AP516" i="7"/>
  <c r="BD516" i="7"/>
  <c r="BF516" i="7"/>
  <c r="BJ516" i="7"/>
  <c r="K517" i="7"/>
  <c r="AK517" i="7" s="1"/>
  <c r="Z517" i="7"/>
  <c r="AB517" i="7"/>
  <c r="AC517" i="7"/>
  <c r="AD517" i="7"/>
  <c r="AE517" i="7"/>
  <c r="AH517" i="7"/>
  <c r="AJ517" i="7"/>
  <c r="AL517" i="7"/>
  <c r="AO517" i="7"/>
  <c r="AP517" i="7"/>
  <c r="BD517" i="7"/>
  <c r="BF517" i="7"/>
  <c r="BH517" i="7"/>
  <c r="AF517" i="7" s="1"/>
  <c r="BJ517" i="7"/>
  <c r="K519" i="7"/>
  <c r="AK519" i="7" s="1"/>
  <c r="Z519" i="7"/>
  <c r="AD519" i="7"/>
  <c r="AE519" i="7"/>
  <c r="AF519" i="7"/>
  <c r="AG519" i="7"/>
  <c r="AH519" i="7"/>
  <c r="AJ519" i="7"/>
  <c r="AL519" i="7"/>
  <c r="AO519" i="7"/>
  <c r="AW519" i="7" s="1"/>
  <c r="AP519" i="7"/>
  <c r="BI519" i="7" s="1"/>
  <c r="AC519" i="7" s="1"/>
  <c r="BD519" i="7"/>
  <c r="BF519" i="7"/>
  <c r="BJ519" i="7"/>
  <c r="K520" i="7"/>
  <c r="AK520" i="7" s="1"/>
  <c r="Z520" i="7"/>
  <c r="AD520" i="7"/>
  <c r="AE520" i="7"/>
  <c r="AF520" i="7"/>
  <c r="AG520" i="7"/>
  <c r="AH520" i="7"/>
  <c r="AJ520" i="7"/>
  <c r="AL520" i="7"/>
  <c r="AO520" i="7"/>
  <c r="BH520" i="7" s="1"/>
  <c r="AB520" i="7" s="1"/>
  <c r="AP520" i="7"/>
  <c r="J520" i="7" s="1"/>
  <c r="BD520" i="7"/>
  <c r="BF520" i="7"/>
  <c r="BJ520" i="7"/>
  <c r="K521" i="7"/>
  <c r="AK521" i="7" s="1"/>
  <c r="Z521" i="7"/>
  <c r="AD521" i="7"/>
  <c r="AE521" i="7"/>
  <c r="AF521" i="7"/>
  <c r="AG521" i="7"/>
  <c r="AH521" i="7"/>
  <c r="AJ521" i="7"/>
  <c r="AL521" i="7"/>
  <c r="AO521" i="7"/>
  <c r="I521" i="7" s="1"/>
  <c r="AP521" i="7"/>
  <c r="J521" i="7" s="1"/>
  <c r="AX521" i="7"/>
  <c r="BD521" i="7"/>
  <c r="BF521" i="7"/>
  <c r="BJ521" i="7"/>
  <c r="I522" i="7"/>
  <c r="K522" i="7"/>
  <c r="Z522" i="7"/>
  <c r="AD522" i="7"/>
  <c r="AE522" i="7"/>
  <c r="AF522" i="7"/>
  <c r="AG522" i="7"/>
  <c r="AH522" i="7"/>
  <c r="AJ522" i="7"/>
  <c r="AK522" i="7"/>
  <c r="AL522" i="7"/>
  <c r="AO522" i="7"/>
  <c r="AP522" i="7"/>
  <c r="AW522" i="7"/>
  <c r="BD522" i="7"/>
  <c r="BF522" i="7"/>
  <c r="BH522" i="7"/>
  <c r="AB522" i="7" s="1"/>
  <c r="BI522" i="7"/>
  <c r="AC522" i="7" s="1"/>
  <c r="BJ522" i="7"/>
  <c r="K523" i="7"/>
  <c r="Z523" i="7"/>
  <c r="AD523" i="7"/>
  <c r="AE523" i="7"/>
  <c r="AF523" i="7"/>
  <c r="AG523" i="7"/>
  <c r="AH523" i="7"/>
  <c r="AJ523" i="7"/>
  <c r="AK523" i="7"/>
  <c r="AL523" i="7"/>
  <c r="AO523" i="7"/>
  <c r="I523" i="7" s="1"/>
  <c r="AP523" i="7"/>
  <c r="BI523" i="7" s="1"/>
  <c r="AC523" i="7" s="1"/>
  <c r="BD523" i="7"/>
  <c r="BF523" i="7"/>
  <c r="BJ523" i="7"/>
  <c r="K524" i="7"/>
  <c r="AK524" i="7" s="1"/>
  <c r="Z524" i="7"/>
  <c r="AD524" i="7"/>
  <c r="AE524" i="7"/>
  <c r="AF524" i="7"/>
  <c r="AG524" i="7"/>
  <c r="AH524" i="7"/>
  <c r="AJ524" i="7"/>
  <c r="AL524" i="7"/>
  <c r="AO524" i="7"/>
  <c r="AP524" i="7"/>
  <c r="J524" i="7" s="1"/>
  <c r="BD524" i="7"/>
  <c r="BF524" i="7"/>
  <c r="BJ524" i="7"/>
  <c r="K525" i="7"/>
  <c r="AK525" i="7" s="1"/>
  <c r="Z525" i="7"/>
  <c r="AD525" i="7"/>
  <c r="AE525" i="7"/>
  <c r="AF525" i="7"/>
  <c r="AG525" i="7"/>
  <c r="AH525" i="7"/>
  <c r="AJ525" i="7"/>
  <c r="AL525" i="7"/>
  <c r="AO525" i="7"/>
  <c r="AP525" i="7"/>
  <c r="AX525" i="7" s="1"/>
  <c r="BD525" i="7"/>
  <c r="BF525" i="7"/>
  <c r="BJ525" i="7"/>
  <c r="K526" i="7"/>
  <c r="AK526" i="7" s="1"/>
  <c r="Z526" i="7"/>
  <c r="AD526" i="7"/>
  <c r="AE526" i="7"/>
  <c r="AF526" i="7"/>
  <c r="AG526" i="7"/>
  <c r="AH526" i="7"/>
  <c r="AJ526" i="7"/>
  <c r="AL526" i="7"/>
  <c r="AO526" i="7"/>
  <c r="AP526" i="7"/>
  <c r="AX526" i="7" s="1"/>
  <c r="BD526" i="7"/>
  <c r="BF526" i="7"/>
  <c r="BJ526" i="7"/>
  <c r="K527" i="7"/>
  <c r="Z527" i="7"/>
  <c r="AD527" i="7"/>
  <c r="AE527" i="7"/>
  <c r="AF527" i="7"/>
  <c r="AG527" i="7"/>
  <c r="AH527" i="7"/>
  <c r="AJ527" i="7"/>
  <c r="AK527" i="7"/>
  <c r="AL527" i="7"/>
  <c r="AO527" i="7"/>
  <c r="I527" i="7" s="1"/>
  <c r="AP527" i="7"/>
  <c r="BI527" i="7" s="1"/>
  <c r="AC527" i="7" s="1"/>
  <c r="BD527" i="7"/>
  <c r="BF527" i="7"/>
  <c r="BJ527" i="7"/>
  <c r="K528" i="7"/>
  <c r="AK528" i="7" s="1"/>
  <c r="Z528" i="7"/>
  <c r="AD528" i="7"/>
  <c r="AE528" i="7"/>
  <c r="AF528" i="7"/>
  <c r="AG528" i="7"/>
  <c r="AH528" i="7"/>
  <c r="AJ528" i="7"/>
  <c r="AL528" i="7"/>
  <c r="AO528" i="7"/>
  <c r="AP528" i="7"/>
  <c r="BD528" i="7"/>
  <c r="BF528" i="7"/>
  <c r="BH528" i="7"/>
  <c r="AB528" i="7" s="1"/>
  <c r="BJ528" i="7"/>
  <c r="K529" i="7"/>
  <c r="AK529" i="7" s="1"/>
  <c r="Z529" i="7"/>
  <c r="AD529" i="7"/>
  <c r="AE529" i="7"/>
  <c r="AF529" i="7"/>
  <c r="AG529" i="7"/>
  <c r="AH529" i="7"/>
  <c r="AJ529" i="7"/>
  <c r="AL529" i="7"/>
  <c r="AO529" i="7"/>
  <c r="I529" i="7" s="1"/>
  <c r="AP529" i="7"/>
  <c r="AW529" i="7"/>
  <c r="BD529" i="7"/>
  <c r="BF529" i="7"/>
  <c r="BJ529" i="7"/>
  <c r="K530" i="7"/>
  <c r="Z530" i="7"/>
  <c r="AD530" i="7"/>
  <c r="AE530" i="7"/>
  <c r="AF530" i="7"/>
  <c r="AG530" i="7"/>
  <c r="AH530" i="7"/>
  <c r="AJ530" i="7"/>
  <c r="AK530" i="7"/>
  <c r="AL530" i="7"/>
  <c r="AO530" i="7"/>
  <c r="BH530" i="7" s="1"/>
  <c r="AB530" i="7" s="1"/>
  <c r="AP530" i="7"/>
  <c r="AX530" i="7" s="1"/>
  <c r="BD530" i="7"/>
  <c r="BF530" i="7"/>
  <c r="BJ530" i="7"/>
  <c r="K531" i="7"/>
  <c r="Z531" i="7"/>
  <c r="AD531" i="7"/>
  <c r="AE531" i="7"/>
  <c r="AF531" i="7"/>
  <c r="AG531" i="7"/>
  <c r="AH531" i="7"/>
  <c r="AJ531" i="7"/>
  <c r="AK531" i="7"/>
  <c r="AL531" i="7"/>
  <c r="AO531" i="7"/>
  <c r="AW531" i="7" s="1"/>
  <c r="AP531" i="7"/>
  <c r="BD531" i="7"/>
  <c r="BF531" i="7"/>
  <c r="BH531" i="7"/>
  <c r="AB531" i="7" s="1"/>
  <c r="BJ531" i="7"/>
  <c r="K532" i="7"/>
  <c r="AK532" i="7" s="1"/>
  <c r="Z532" i="7"/>
  <c r="AD532" i="7"/>
  <c r="AE532" i="7"/>
  <c r="AF532" i="7"/>
  <c r="AG532" i="7"/>
  <c r="AH532" i="7"/>
  <c r="AJ532" i="7"/>
  <c r="AL532" i="7"/>
  <c r="AO532" i="7"/>
  <c r="BH532" i="7" s="1"/>
  <c r="AB532" i="7" s="1"/>
  <c r="AP532" i="7"/>
  <c r="J532" i="7" s="1"/>
  <c r="BD532" i="7"/>
  <c r="BF532" i="7"/>
  <c r="BJ532" i="7"/>
  <c r="K533" i="7"/>
  <c r="AK533" i="7" s="1"/>
  <c r="Z533" i="7"/>
  <c r="AD533" i="7"/>
  <c r="AE533" i="7"/>
  <c r="AF533" i="7"/>
  <c r="AG533" i="7"/>
  <c r="AH533" i="7"/>
  <c r="AJ533" i="7"/>
  <c r="AL533" i="7"/>
  <c r="AO533" i="7"/>
  <c r="I533" i="7" s="1"/>
  <c r="AP533" i="7"/>
  <c r="BD533" i="7"/>
  <c r="BF533" i="7"/>
  <c r="BJ533" i="7"/>
  <c r="K534" i="7"/>
  <c r="AK534" i="7" s="1"/>
  <c r="Z534" i="7"/>
  <c r="AD534" i="7"/>
  <c r="AE534" i="7"/>
  <c r="AF534" i="7"/>
  <c r="AG534" i="7"/>
  <c r="AH534" i="7"/>
  <c r="AJ534" i="7"/>
  <c r="AL534" i="7"/>
  <c r="AO534" i="7"/>
  <c r="AP534" i="7"/>
  <c r="BD534" i="7"/>
  <c r="BF534" i="7"/>
  <c r="BH534" i="7"/>
  <c r="AB534" i="7" s="1"/>
  <c r="BJ534" i="7"/>
  <c r="K535" i="7"/>
  <c r="AK535" i="7" s="1"/>
  <c r="Z535" i="7"/>
  <c r="AD535" i="7"/>
  <c r="AE535" i="7"/>
  <c r="AF535" i="7"/>
  <c r="AG535" i="7"/>
  <c r="AH535" i="7"/>
  <c r="AJ535" i="7"/>
  <c r="AL535" i="7"/>
  <c r="AO535" i="7"/>
  <c r="AW535" i="7" s="1"/>
  <c r="AP535" i="7"/>
  <c r="BI535" i="7" s="1"/>
  <c r="AC535" i="7" s="1"/>
  <c r="BD535" i="7"/>
  <c r="BF535" i="7"/>
  <c r="BH535" i="7"/>
  <c r="AB535" i="7" s="1"/>
  <c r="BJ535" i="7"/>
  <c r="K536" i="7"/>
  <c r="AK536" i="7" s="1"/>
  <c r="Z536" i="7"/>
  <c r="AD536" i="7"/>
  <c r="AE536" i="7"/>
  <c r="AF536" i="7"/>
  <c r="AG536" i="7"/>
  <c r="AH536" i="7"/>
  <c r="AJ536" i="7"/>
  <c r="AL536" i="7"/>
  <c r="AO536" i="7"/>
  <c r="AP536" i="7"/>
  <c r="J536" i="7" s="1"/>
  <c r="BD536" i="7"/>
  <c r="BF536" i="7"/>
  <c r="BJ536" i="7"/>
  <c r="K537" i="7"/>
  <c r="AK537" i="7" s="1"/>
  <c r="Z537" i="7"/>
  <c r="AD537" i="7"/>
  <c r="AE537" i="7"/>
  <c r="AF537" i="7"/>
  <c r="AG537" i="7"/>
  <c r="AH537" i="7"/>
  <c r="AJ537" i="7"/>
  <c r="AL537" i="7"/>
  <c r="AO537" i="7"/>
  <c r="AP537" i="7"/>
  <c r="J537" i="7" s="1"/>
  <c r="AX537" i="7"/>
  <c r="BD537" i="7"/>
  <c r="BF537" i="7"/>
  <c r="BJ537" i="7"/>
  <c r="K538" i="7"/>
  <c r="AK538" i="7" s="1"/>
  <c r="Z538" i="7"/>
  <c r="AD538" i="7"/>
  <c r="AE538" i="7"/>
  <c r="AF538" i="7"/>
  <c r="AG538" i="7"/>
  <c r="AH538" i="7"/>
  <c r="AJ538" i="7"/>
  <c r="AL538" i="7"/>
  <c r="AO538" i="7"/>
  <c r="I538" i="7" s="1"/>
  <c r="AP538" i="7"/>
  <c r="AX538" i="7" s="1"/>
  <c r="BD538" i="7"/>
  <c r="BF538" i="7"/>
  <c r="BH538" i="7"/>
  <c r="AB538" i="7" s="1"/>
  <c r="BJ538" i="7"/>
  <c r="K539" i="7"/>
  <c r="Z539" i="7"/>
  <c r="AD539" i="7"/>
  <c r="AE539" i="7"/>
  <c r="AF539" i="7"/>
  <c r="AG539" i="7"/>
  <c r="AH539" i="7"/>
  <c r="AJ539" i="7"/>
  <c r="AK539" i="7"/>
  <c r="AL539" i="7"/>
  <c r="AO539" i="7"/>
  <c r="AP539" i="7"/>
  <c r="BI539" i="7" s="1"/>
  <c r="AC539" i="7" s="1"/>
  <c r="BD539" i="7"/>
  <c r="BF539" i="7"/>
  <c r="BJ539" i="7"/>
  <c r="K540" i="7"/>
  <c r="AK540" i="7" s="1"/>
  <c r="Z540" i="7"/>
  <c r="AD540" i="7"/>
  <c r="AE540" i="7"/>
  <c r="AF540" i="7"/>
  <c r="AG540" i="7"/>
  <c r="AH540" i="7"/>
  <c r="AJ540" i="7"/>
  <c r="AL540" i="7"/>
  <c r="AO540" i="7"/>
  <c r="AP540" i="7"/>
  <c r="BD540" i="7"/>
  <c r="BF540" i="7"/>
  <c r="BH540" i="7"/>
  <c r="AB540" i="7" s="1"/>
  <c r="BJ540" i="7"/>
  <c r="K541" i="7"/>
  <c r="AK541" i="7" s="1"/>
  <c r="Z541" i="7"/>
  <c r="AD541" i="7"/>
  <c r="AE541" i="7"/>
  <c r="AF541" i="7"/>
  <c r="AG541" i="7"/>
  <c r="AH541" i="7"/>
  <c r="AJ541" i="7"/>
  <c r="AL541" i="7"/>
  <c r="AO541" i="7"/>
  <c r="AP541" i="7"/>
  <c r="BD541" i="7"/>
  <c r="BF541" i="7"/>
  <c r="BJ541" i="7"/>
  <c r="K542" i="7"/>
  <c r="Z542" i="7"/>
  <c r="AD542" i="7"/>
  <c r="AE542" i="7"/>
  <c r="AF542" i="7"/>
  <c r="AG542" i="7"/>
  <c r="AH542" i="7"/>
  <c r="AJ542" i="7"/>
  <c r="AK542" i="7"/>
  <c r="AL542" i="7"/>
  <c r="AO542" i="7"/>
  <c r="AP542" i="7"/>
  <c r="BD542" i="7"/>
  <c r="BF542" i="7"/>
  <c r="BJ542" i="7"/>
  <c r="K543" i="7"/>
  <c r="Z543" i="7"/>
  <c r="AD543" i="7"/>
  <c r="AE543" i="7"/>
  <c r="AF543" i="7"/>
  <c r="AG543" i="7"/>
  <c r="AH543" i="7"/>
  <c r="AJ543" i="7"/>
  <c r="AK543" i="7"/>
  <c r="AL543" i="7"/>
  <c r="AO543" i="7"/>
  <c r="AP543" i="7"/>
  <c r="BI543" i="7" s="1"/>
  <c r="AC543" i="7" s="1"/>
  <c r="BD543" i="7"/>
  <c r="BF543" i="7"/>
  <c r="BJ543" i="7"/>
  <c r="K544" i="7"/>
  <c r="AK544" i="7" s="1"/>
  <c r="Z544" i="7"/>
  <c r="AD544" i="7"/>
  <c r="AE544" i="7"/>
  <c r="AF544" i="7"/>
  <c r="AG544" i="7"/>
  <c r="AH544" i="7"/>
  <c r="AJ544" i="7"/>
  <c r="AL544" i="7"/>
  <c r="AO544" i="7"/>
  <c r="AP544" i="7"/>
  <c r="BD544" i="7"/>
  <c r="BF544" i="7"/>
  <c r="BH544" i="7"/>
  <c r="AB544" i="7" s="1"/>
  <c r="BJ544" i="7"/>
  <c r="K545" i="7"/>
  <c r="AK545" i="7" s="1"/>
  <c r="Z545" i="7"/>
  <c r="AD545" i="7"/>
  <c r="AE545" i="7"/>
  <c r="AF545" i="7"/>
  <c r="AG545" i="7"/>
  <c r="AH545" i="7"/>
  <c r="AJ545" i="7"/>
  <c r="AL545" i="7"/>
  <c r="AO545" i="7"/>
  <c r="I545" i="7" s="1"/>
  <c r="AP545" i="7"/>
  <c r="BD545" i="7"/>
  <c r="BF545" i="7"/>
  <c r="BH545" i="7"/>
  <c r="AB545" i="7" s="1"/>
  <c r="BJ545" i="7"/>
  <c r="K546" i="7"/>
  <c r="Z546" i="7"/>
  <c r="AD546" i="7"/>
  <c r="AE546" i="7"/>
  <c r="AF546" i="7"/>
  <c r="AG546" i="7"/>
  <c r="AH546" i="7"/>
  <c r="AJ546" i="7"/>
  <c r="AK546" i="7"/>
  <c r="AL546" i="7"/>
  <c r="AO546" i="7"/>
  <c r="I546" i="7" s="1"/>
  <c r="AP546" i="7"/>
  <c r="AX546" i="7" s="1"/>
  <c r="AW546" i="7"/>
  <c r="BC546" i="7" s="1"/>
  <c r="BD546" i="7"/>
  <c r="BF546" i="7"/>
  <c r="BI546" i="7"/>
  <c r="AC546" i="7" s="1"/>
  <c r="BJ546" i="7"/>
  <c r="K547" i="7"/>
  <c r="Z547" i="7"/>
  <c r="AD547" i="7"/>
  <c r="AE547" i="7"/>
  <c r="AF547" i="7"/>
  <c r="AG547" i="7"/>
  <c r="AH547" i="7"/>
  <c r="AJ547" i="7"/>
  <c r="AK547" i="7"/>
  <c r="AL547" i="7"/>
  <c r="AO547" i="7"/>
  <c r="I547" i="7" s="1"/>
  <c r="AP547" i="7"/>
  <c r="BD547" i="7"/>
  <c r="BF547" i="7"/>
  <c r="BJ547" i="7"/>
  <c r="K548" i="7"/>
  <c r="AK548" i="7" s="1"/>
  <c r="Z548" i="7"/>
  <c r="AD548" i="7"/>
  <c r="AE548" i="7"/>
  <c r="AF548" i="7"/>
  <c r="AG548" i="7"/>
  <c r="AH548" i="7"/>
  <c r="AJ548" i="7"/>
  <c r="AL548" i="7"/>
  <c r="AO548" i="7"/>
  <c r="AP548" i="7"/>
  <c r="J548" i="7" s="1"/>
  <c r="BD548" i="7"/>
  <c r="BF548" i="7"/>
  <c r="BH548" i="7"/>
  <c r="AB548" i="7" s="1"/>
  <c r="BJ548" i="7"/>
  <c r="K549" i="7"/>
  <c r="AK549" i="7" s="1"/>
  <c r="Z549" i="7"/>
  <c r="AD549" i="7"/>
  <c r="AE549" i="7"/>
  <c r="AF549" i="7"/>
  <c r="AG549" i="7"/>
  <c r="AH549" i="7"/>
  <c r="AJ549" i="7"/>
  <c r="AL549" i="7"/>
  <c r="AO549" i="7"/>
  <c r="I549" i="7" s="1"/>
  <c r="AP549" i="7"/>
  <c r="J549" i="7" s="1"/>
  <c r="BD549" i="7"/>
  <c r="BF549" i="7"/>
  <c r="BJ549" i="7"/>
  <c r="K550" i="7"/>
  <c r="AK550" i="7" s="1"/>
  <c r="Z550" i="7"/>
  <c r="AD550" i="7"/>
  <c r="AE550" i="7"/>
  <c r="AF550" i="7"/>
  <c r="AG550" i="7"/>
  <c r="AH550" i="7"/>
  <c r="AJ550" i="7"/>
  <c r="AL550" i="7"/>
  <c r="AO550" i="7"/>
  <c r="AP550" i="7"/>
  <c r="AX550" i="7" s="1"/>
  <c r="BD550" i="7"/>
  <c r="BF550" i="7"/>
  <c r="BJ550" i="7"/>
  <c r="K551" i="7"/>
  <c r="Z551" i="7"/>
  <c r="AD551" i="7"/>
  <c r="AE551" i="7"/>
  <c r="AF551" i="7"/>
  <c r="AG551" i="7"/>
  <c r="AH551" i="7"/>
  <c r="AJ551" i="7"/>
  <c r="AK551" i="7"/>
  <c r="AL551" i="7"/>
  <c r="AO551" i="7"/>
  <c r="AP551" i="7"/>
  <c r="BI551" i="7" s="1"/>
  <c r="AC551" i="7" s="1"/>
  <c r="BD551" i="7"/>
  <c r="BF551" i="7"/>
  <c r="BJ551" i="7"/>
  <c r="K552" i="7"/>
  <c r="AK552" i="7" s="1"/>
  <c r="Z552" i="7"/>
  <c r="AD552" i="7"/>
  <c r="AE552" i="7"/>
  <c r="AF552" i="7"/>
  <c r="AG552" i="7"/>
  <c r="AH552" i="7"/>
  <c r="AJ552" i="7"/>
  <c r="AL552" i="7"/>
  <c r="AO552" i="7"/>
  <c r="BH552" i="7" s="1"/>
  <c r="AB552" i="7" s="1"/>
  <c r="AP552" i="7"/>
  <c r="J552" i="7" s="1"/>
  <c r="BD552" i="7"/>
  <c r="BF552" i="7"/>
  <c r="BJ552" i="7"/>
  <c r="J553" i="7"/>
  <c r="K553" i="7"/>
  <c r="AK553" i="7" s="1"/>
  <c r="Z553" i="7"/>
  <c r="AD553" i="7"/>
  <c r="AE553" i="7"/>
  <c r="AF553" i="7"/>
  <c r="AG553" i="7"/>
  <c r="AH553" i="7"/>
  <c r="AJ553" i="7"/>
  <c r="AL553" i="7"/>
  <c r="AO553" i="7"/>
  <c r="I553" i="7" s="1"/>
  <c r="AP553" i="7"/>
  <c r="AX553" i="7"/>
  <c r="BD553" i="7"/>
  <c r="BF553" i="7"/>
  <c r="BI553" i="7"/>
  <c r="AC553" i="7" s="1"/>
  <c r="BJ553" i="7"/>
  <c r="K554" i="7"/>
  <c r="AK554" i="7" s="1"/>
  <c r="Z554" i="7"/>
  <c r="AD554" i="7"/>
  <c r="AE554" i="7"/>
  <c r="AF554" i="7"/>
  <c r="AG554" i="7"/>
  <c r="AH554" i="7"/>
  <c r="AJ554" i="7"/>
  <c r="AL554" i="7"/>
  <c r="AO554" i="7"/>
  <c r="AP554" i="7"/>
  <c r="BD554" i="7"/>
  <c r="BF554" i="7"/>
  <c r="BH554" i="7"/>
  <c r="AB554" i="7" s="1"/>
  <c r="BJ554" i="7"/>
  <c r="I555" i="7"/>
  <c r="K555" i="7"/>
  <c r="AK555" i="7" s="1"/>
  <c r="Z555" i="7"/>
  <c r="AD555" i="7"/>
  <c r="AE555" i="7"/>
  <c r="AF555" i="7"/>
  <c r="AG555" i="7"/>
  <c r="AH555" i="7"/>
  <c r="AJ555" i="7"/>
  <c r="AL555" i="7"/>
  <c r="AO555" i="7"/>
  <c r="AW555" i="7" s="1"/>
  <c r="AP555" i="7"/>
  <c r="BD555" i="7"/>
  <c r="BF555" i="7"/>
  <c r="BH555" i="7"/>
  <c r="AB555" i="7" s="1"/>
  <c r="BI555" i="7"/>
  <c r="AC555" i="7" s="1"/>
  <c r="BJ555" i="7"/>
  <c r="K556" i="7"/>
  <c r="AK556" i="7" s="1"/>
  <c r="Z556" i="7"/>
  <c r="AD556" i="7"/>
  <c r="AE556" i="7"/>
  <c r="AF556" i="7"/>
  <c r="AG556" i="7"/>
  <c r="AH556" i="7"/>
  <c r="AJ556" i="7"/>
  <c r="AL556" i="7"/>
  <c r="AO556" i="7"/>
  <c r="AP556" i="7"/>
  <c r="BD556" i="7"/>
  <c r="BF556" i="7"/>
  <c r="BH556" i="7"/>
  <c r="AB556" i="7" s="1"/>
  <c r="BJ556" i="7"/>
  <c r="K557" i="7"/>
  <c r="AK557" i="7" s="1"/>
  <c r="Z557" i="7"/>
  <c r="AD557" i="7"/>
  <c r="AE557" i="7"/>
  <c r="AF557" i="7"/>
  <c r="AG557" i="7"/>
  <c r="AH557" i="7"/>
  <c r="AJ557" i="7"/>
  <c r="AL557" i="7"/>
  <c r="AO557" i="7"/>
  <c r="I557" i="7" s="1"/>
  <c r="AP557" i="7"/>
  <c r="J557" i="7" s="1"/>
  <c r="AX557" i="7"/>
  <c r="BD557" i="7"/>
  <c r="BF557" i="7"/>
  <c r="BI557" i="7"/>
  <c r="AC557" i="7" s="1"/>
  <c r="BJ557" i="7"/>
  <c r="K558" i="7"/>
  <c r="AK558" i="7" s="1"/>
  <c r="Z558" i="7"/>
  <c r="AD558" i="7"/>
  <c r="AE558" i="7"/>
  <c r="AF558" i="7"/>
  <c r="AG558" i="7"/>
  <c r="AH558" i="7"/>
  <c r="AJ558" i="7"/>
  <c r="AL558" i="7"/>
  <c r="AO558" i="7"/>
  <c r="AW558" i="7" s="1"/>
  <c r="AP558" i="7"/>
  <c r="AX558" i="7" s="1"/>
  <c r="BD558" i="7"/>
  <c r="BF558" i="7"/>
  <c r="BI558" i="7"/>
  <c r="AC558" i="7" s="1"/>
  <c r="BJ558" i="7"/>
  <c r="K559" i="7"/>
  <c r="Z559" i="7"/>
  <c r="AD559" i="7"/>
  <c r="AE559" i="7"/>
  <c r="AF559" i="7"/>
  <c r="AG559" i="7"/>
  <c r="AH559" i="7"/>
  <c r="AJ559" i="7"/>
  <c r="AK559" i="7"/>
  <c r="AL559" i="7"/>
  <c r="AO559" i="7"/>
  <c r="BH559" i="7" s="1"/>
  <c r="AB559" i="7" s="1"/>
  <c r="AP559" i="7"/>
  <c r="BD559" i="7"/>
  <c r="BF559" i="7"/>
  <c r="BJ559" i="7"/>
  <c r="K560" i="7"/>
  <c r="AK560" i="7" s="1"/>
  <c r="Z560" i="7"/>
  <c r="AD560" i="7"/>
  <c r="AE560" i="7"/>
  <c r="AF560" i="7"/>
  <c r="AG560" i="7"/>
  <c r="AH560" i="7"/>
  <c r="AJ560" i="7"/>
  <c r="AL560" i="7"/>
  <c r="AO560" i="7"/>
  <c r="BH560" i="7" s="1"/>
  <c r="AB560" i="7" s="1"/>
  <c r="AP560" i="7"/>
  <c r="BI560" i="7" s="1"/>
  <c r="AC560" i="7" s="1"/>
  <c r="BD560" i="7"/>
  <c r="BF560" i="7"/>
  <c r="BJ560" i="7"/>
  <c r="K561" i="7"/>
  <c r="AK561" i="7" s="1"/>
  <c r="Z561" i="7"/>
  <c r="AD561" i="7"/>
  <c r="AE561" i="7"/>
  <c r="AF561" i="7"/>
  <c r="AG561" i="7"/>
  <c r="AH561" i="7"/>
  <c r="AJ561" i="7"/>
  <c r="AL561" i="7"/>
  <c r="AO561" i="7"/>
  <c r="AP561" i="7"/>
  <c r="BD561" i="7"/>
  <c r="BF561" i="7"/>
  <c r="BJ561" i="7"/>
  <c r="K562" i="7"/>
  <c r="Z562" i="7"/>
  <c r="AD562" i="7"/>
  <c r="AE562" i="7"/>
  <c r="AF562" i="7"/>
  <c r="AG562" i="7"/>
  <c r="AH562" i="7"/>
  <c r="AJ562" i="7"/>
  <c r="AK562" i="7"/>
  <c r="AL562" i="7"/>
  <c r="AO562" i="7"/>
  <c r="BH562" i="7" s="1"/>
  <c r="AB562" i="7" s="1"/>
  <c r="AP562" i="7"/>
  <c r="BI562" i="7" s="1"/>
  <c r="AC562" i="7" s="1"/>
  <c r="BD562" i="7"/>
  <c r="BF562" i="7"/>
  <c r="BJ562" i="7"/>
  <c r="K563" i="7"/>
  <c r="Z563" i="7"/>
  <c r="AD563" i="7"/>
  <c r="AE563" i="7"/>
  <c r="AF563" i="7"/>
  <c r="AG563" i="7"/>
  <c r="AH563" i="7"/>
  <c r="AJ563" i="7"/>
  <c r="AK563" i="7"/>
  <c r="AL563" i="7"/>
  <c r="AO563" i="7"/>
  <c r="AP563" i="7"/>
  <c r="BI563" i="7" s="1"/>
  <c r="AC563" i="7" s="1"/>
  <c r="BD563" i="7"/>
  <c r="BF563" i="7"/>
  <c r="BH563" i="7"/>
  <c r="AB563" i="7" s="1"/>
  <c r="BJ563" i="7"/>
  <c r="K564" i="7"/>
  <c r="AK564" i="7" s="1"/>
  <c r="Z564" i="7"/>
  <c r="AD564" i="7"/>
  <c r="AE564" i="7"/>
  <c r="AF564" i="7"/>
  <c r="AG564" i="7"/>
  <c r="AH564" i="7"/>
  <c r="AJ564" i="7"/>
  <c r="AL564" i="7"/>
  <c r="AO564" i="7"/>
  <c r="BH564" i="7" s="1"/>
  <c r="AB564" i="7" s="1"/>
  <c r="AP564" i="7"/>
  <c r="J564" i="7" s="1"/>
  <c r="BD564" i="7"/>
  <c r="BF564" i="7"/>
  <c r="BJ564" i="7"/>
  <c r="K565" i="7"/>
  <c r="AK565" i="7" s="1"/>
  <c r="Z565" i="7"/>
  <c r="AD565" i="7"/>
  <c r="AE565" i="7"/>
  <c r="AF565" i="7"/>
  <c r="AG565" i="7"/>
  <c r="AH565" i="7"/>
  <c r="AJ565" i="7"/>
  <c r="AL565" i="7"/>
  <c r="AO565" i="7"/>
  <c r="I565" i="7" s="1"/>
  <c r="AP565" i="7"/>
  <c r="J565" i="7" s="1"/>
  <c r="AX565" i="7"/>
  <c r="BD565" i="7"/>
  <c r="BF565" i="7"/>
  <c r="BJ565" i="7"/>
  <c r="K566" i="7"/>
  <c r="AK566" i="7" s="1"/>
  <c r="Z566" i="7"/>
  <c r="AD566" i="7"/>
  <c r="AE566" i="7"/>
  <c r="AF566" i="7"/>
  <c r="AG566" i="7"/>
  <c r="AH566" i="7"/>
  <c r="AJ566" i="7"/>
  <c r="AL566" i="7"/>
  <c r="AO566" i="7"/>
  <c r="I566" i="7" s="1"/>
  <c r="AP566" i="7"/>
  <c r="AX566" i="7" s="1"/>
  <c r="BD566" i="7"/>
  <c r="BF566" i="7"/>
  <c r="BJ566" i="7"/>
  <c r="K567" i="7"/>
  <c r="Z567" i="7"/>
  <c r="AB567" i="7"/>
  <c r="AD567" i="7"/>
  <c r="AE567" i="7"/>
  <c r="AF567" i="7"/>
  <c r="AG567" i="7"/>
  <c r="AH567" i="7"/>
  <c r="AJ567" i="7"/>
  <c r="AK567" i="7"/>
  <c r="AL567" i="7"/>
  <c r="AO567" i="7"/>
  <c r="AW567" i="7" s="1"/>
  <c r="AP567" i="7"/>
  <c r="BD567" i="7"/>
  <c r="BF567" i="7"/>
  <c r="BH567" i="7"/>
  <c r="BI567" i="7"/>
  <c r="AC567" i="7" s="1"/>
  <c r="BJ567" i="7"/>
  <c r="K568" i="7"/>
  <c r="AK568" i="7" s="1"/>
  <c r="Z568" i="7"/>
  <c r="AD568" i="7"/>
  <c r="AE568" i="7"/>
  <c r="AF568" i="7"/>
  <c r="AG568" i="7"/>
  <c r="AH568" i="7"/>
  <c r="AJ568" i="7"/>
  <c r="AL568" i="7"/>
  <c r="AO568" i="7"/>
  <c r="AP568" i="7"/>
  <c r="BD568" i="7"/>
  <c r="BF568" i="7"/>
  <c r="BH568" i="7"/>
  <c r="AB568" i="7" s="1"/>
  <c r="BJ568" i="7"/>
  <c r="K569" i="7"/>
  <c r="AK569" i="7" s="1"/>
  <c r="Z569" i="7"/>
  <c r="AD569" i="7"/>
  <c r="AE569" i="7"/>
  <c r="AF569" i="7"/>
  <c r="AG569" i="7"/>
  <c r="AH569" i="7"/>
  <c r="AJ569" i="7"/>
  <c r="AL569" i="7"/>
  <c r="AO569" i="7"/>
  <c r="I569" i="7" s="1"/>
  <c r="AP569" i="7"/>
  <c r="BD569" i="7"/>
  <c r="BF569" i="7"/>
  <c r="BJ569" i="7"/>
  <c r="K570" i="7"/>
  <c r="Z570" i="7"/>
  <c r="AD570" i="7"/>
  <c r="AE570" i="7"/>
  <c r="AF570" i="7"/>
  <c r="AG570" i="7"/>
  <c r="AH570" i="7"/>
  <c r="AJ570" i="7"/>
  <c r="AK570" i="7"/>
  <c r="AL570" i="7"/>
  <c r="AO570" i="7"/>
  <c r="BH570" i="7" s="1"/>
  <c r="AB570" i="7" s="1"/>
  <c r="AP570" i="7"/>
  <c r="AX570" i="7" s="1"/>
  <c r="BD570" i="7"/>
  <c r="BF570" i="7"/>
  <c r="BJ570" i="7"/>
  <c r="K571" i="7"/>
  <c r="AK571" i="7" s="1"/>
  <c r="Z571" i="7"/>
  <c r="AD571" i="7"/>
  <c r="AE571" i="7"/>
  <c r="AF571" i="7"/>
  <c r="AG571" i="7"/>
  <c r="AH571" i="7"/>
  <c r="AJ571" i="7"/>
  <c r="AL571" i="7"/>
  <c r="AO571" i="7"/>
  <c r="AW571" i="7" s="1"/>
  <c r="AP571" i="7"/>
  <c r="BD571" i="7"/>
  <c r="BF571" i="7"/>
  <c r="BJ571" i="7"/>
  <c r="K572" i="7"/>
  <c r="AK572" i="7" s="1"/>
  <c r="Z572" i="7"/>
  <c r="AD572" i="7"/>
  <c r="AE572" i="7"/>
  <c r="AF572" i="7"/>
  <c r="AG572" i="7"/>
  <c r="AH572" i="7"/>
  <c r="AJ572" i="7"/>
  <c r="AL572" i="7"/>
  <c r="AO572" i="7"/>
  <c r="AP572" i="7"/>
  <c r="BD572" i="7"/>
  <c r="BF572" i="7"/>
  <c r="BJ572" i="7"/>
  <c r="K573" i="7"/>
  <c r="AK573" i="7" s="1"/>
  <c r="Z573" i="7"/>
  <c r="AD573" i="7"/>
  <c r="AE573" i="7"/>
  <c r="AF573" i="7"/>
  <c r="AG573" i="7"/>
  <c r="AH573" i="7"/>
  <c r="AJ573" i="7"/>
  <c r="AL573" i="7"/>
  <c r="AO573" i="7"/>
  <c r="AP573" i="7"/>
  <c r="J573" i="7" s="1"/>
  <c r="AX573" i="7"/>
  <c r="BD573" i="7"/>
  <c r="BF573" i="7"/>
  <c r="BI573" i="7"/>
  <c r="AC573" i="7" s="1"/>
  <c r="BJ573" i="7"/>
  <c r="K574" i="7"/>
  <c r="AK574" i="7" s="1"/>
  <c r="Z574" i="7"/>
  <c r="AD574" i="7"/>
  <c r="AE574" i="7"/>
  <c r="AF574" i="7"/>
  <c r="AG574" i="7"/>
  <c r="AH574" i="7"/>
  <c r="AJ574" i="7"/>
  <c r="AL574" i="7"/>
  <c r="AO574" i="7"/>
  <c r="I574" i="7" s="1"/>
  <c r="AP574" i="7"/>
  <c r="AX574" i="7" s="1"/>
  <c r="BD574" i="7"/>
  <c r="BF574" i="7"/>
  <c r="BJ574" i="7"/>
  <c r="K575" i="7"/>
  <c r="AK575" i="7" s="1"/>
  <c r="Z575" i="7"/>
  <c r="AD575" i="7"/>
  <c r="AE575" i="7"/>
  <c r="AF575" i="7"/>
  <c r="AG575" i="7"/>
  <c r="AH575" i="7"/>
  <c r="AJ575" i="7"/>
  <c r="AL575" i="7"/>
  <c r="AO575" i="7"/>
  <c r="I575" i="7" s="1"/>
  <c r="AP575" i="7"/>
  <c r="BI575" i="7" s="1"/>
  <c r="AC575" i="7" s="1"/>
  <c r="BD575" i="7"/>
  <c r="BF575" i="7"/>
  <c r="BJ575" i="7"/>
  <c r="K576" i="7"/>
  <c r="AK576" i="7" s="1"/>
  <c r="Z576" i="7"/>
  <c r="AD576" i="7"/>
  <c r="AE576" i="7"/>
  <c r="AF576" i="7"/>
  <c r="AG576" i="7"/>
  <c r="AH576" i="7"/>
  <c r="AJ576" i="7"/>
  <c r="AL576" i="7"/>
  <c r="AO576" i="7"/>
  <c r="AP576" i="7"/>
  <c r="J576" i="7" s="1"/>
  <c r="BD576" i="7"/>
  <c r="BF576" i="7"/>
  <c r="BI576" i="7"/>
  <c r="AC576" i="7" s="1"/>
  <c r="BJ576" i="7"/>
  <c r="K577" i="7"/>
  <c r="AK577" i="7" s="1"/>
  <c r="Z577" i="7"/>
  <c r="AD577" i="7"/>
  <c r="AE577" i="7"/>
  <c r="AF577" i="7"/>
  <c r="AG577" i="7"/>
  <c r="AH577" i="7"/>
  <c r="AJ577" i="7"/>
  <c r="AL577" i="7"/>
  <c r="AO577" i="7"/>
  <c r="AP577" i="7"/>
  <c r="AX577" i="7" s="1"/>
  <c r="BD577" i="7"/>
  <c r="BF577" i="7"/>
  <c r="BJ577" i="7"/>
  <c r="K578" i="7"/>
  <c r="Z578" i="7"/>
  <c r="AD578" i="7"/>
  <c r="AE578" i="7"/>
  <c r="AF578" i="7"/>
  <c r="AG578" i="7"/>
  <c r="AH578" i="7"/>
  <c r="AJ578" i="7"/>
  <c r="AK578" i="7"/>
  <c r="AL578" i="7"/>
  <c r="AO578" i="7"/>
  <c r="I578" i="7" s="1"/>
  <c r="AP578" i="7"/>
  <c r="J578" i="7" s="1"/>
  <c r="AW578" i="7"/>
  <c r="AX578" i="7"/>
  <c r="BD578" i="7"/>
  <c r="BF578" i="7"/>
  <c r="BH578" i="7"/>
  <c r="AB578" i="7" s="1"/>
  <c r="BI578" i="7"/>
  <c r="AC578" i="7" s="1"/>
  <c r="BJ578" i="7"/>
  <c r="K579" i="7"/>
  <c r="Z579" i="7"/>
  <c r="AD579" i="7"/>
  <c r="AE579" i="7"/>
  <c r="AF579" i="7"/>
  <c r="AG579" i="7"/>
  <c r="AH579" i="7"/>
  <c r="AJ579" i="7"/>
  <c r="AK579" i="7"/>
  <c r="AL579" i="7"/>
  <c r="AO579" i="7"/>
  <c r="I579" i="7" s="1"/>
  <c r="AP579" i="7"/>
  <c r="BD579" i="7"/>
  <c r="BF579" i="7"/>
  <c r="BI579" i="7"/>
  <c r="AC579" i="7" s="1"/>
  <c r="BJ579" i="7"/>
  <c r="K580" i="7"/>
  <c r="AK580" i="7" s="1"/>
  <c r="Z580" i="7"/>
  <c r="AD580" i="7"/>
  <c r="AE580" i="7"/>
  <c r="AF580" i="7"/>
  <c r="AG580" i="7"/>
  <c r="AH580" i="7"/>
  <c r="AJ580" i="7"/>
  <c r="AL580" i="7"/>
  <c r="AO580" i="7"/>
  <c r="AP580" i="7"/>
  <c r="J580" i="7" s="1"/>
  <c r="BD580" i="7"/>
  <c r="BF580" i="7"/>
  <c r="BJ580" i="7"/>
  <c r="K581" i="7"/>
  <c r="AK581" i="7" s="1"/>
  <c r="Z581" i="7"/>
  <c r="AD581" i="7"/>
  <c r="AE581" i="7"/>
  <c r="AF581" i="7"/>
  <c r="AG581" i="7"/>
  <c r="AH581" i="7"/>
  <c r="AJ581" i="7"/>
  <c r="AL581" i="7"/>
  <c r="AO581" i="7"/>
  <c r="AP581" i="7"/>
  <c r="J581" i="7" s="1"/>
  <c r="BD581" i="7"/>
  <c r="BF581" i="7"/>
  <c r="BJ581" i="7"/>
  <c r="K582" i="7"/>
  <c r="Z582" i="7"/>
  <c r="AD582" i="7"/>
  <c r="AE582" i="7"/>
  <c r="AF582" i="7"/>
  <c r="AG582" i="7"/>
  <c r="AH582" i="7"/>
  <c r="AJ582" i="7"/>
  <c r="AK582" i="7"/>
  <c r="AL582" i="7"/>
  <c r="AO582" i="7"/>
  <c r="BH582" i="7" s="1"/>
  <c r="AB582" i="7" s="1"/>
  <c r="AP582" i="7"/>
  <c r="J582" i="7" s="1"/>
  <c r="BD582" i="7"/>
  <c r="BF582" i="7"/>
  <c r="BJ582" i="7"/>
  <c r="K583" i="7"/>
  <c r="AK583" i="7" s="1"/>
  <c r="Z583" i="7"/>
  <c r="AD583" i="7"/>
  <c r="AE583" i="7"/>
  <c r="AF583" i="7"/>
  <c r="AG583" i="7"/>
  <c r="AH583" i="7"/>
  <c r="AJ583" i="7"/>
  <c r="AL583" i="7"/>
  <c r="AO583" i="7"/>
  <c r="AW583" i="7" s="1"/>
  <c r="AP583" i="7"/>
  <c r="BI583" i="7" s="1"/>
  <c r="AC583" i="7" s="1"/>
  <c r="BD583" i="7"/>
  <c r="BF583" i="7"/>
  <c r="BH583" i="7"/>
  <c r="AB583" i="7" s="1"/>
  <c r="BJ583" i="7"/>
  <c r="K584" i="7"/>
  <c r="AK584" i="7" s="1"/>
  <c r="Z584" i="7"/>
  <c r="AD584" i="7"/>
  <c r="AE584" i="7"/>
  <c r="AF584" i="7"/>
  <c r="AG584" i="7"/>
  <c r="AH584" i="7"/>
  <c r="AJ584" i="7"/>
  <c r="AL584" i="7"/>
  <c r="AO584" i="7"/>
  <c r="AW584" i="7" s="1"/>
  <c r="AP584" i="7"/>
  <c r="J584" i="7" s="1"/>
  <c r="BD584" i="7"/>
  <c r="BF584" i="7"/>
  <c r="BJ584" i="7"/>
  <c r="K585" i="7"/>
  <c r="AK585" i="7" s="1"/>
  <c r="Z585" i="7"/>
  <c r="AD585" i="7"/>
  <c r="AE585" i="7"/>
  <c r="AF585" i="7"/>
  <c r="AG585" i="7"/>
  <c r="AH585" i="7"/>
  <c r="AJ585" i="7"/>
  <c r="AL585" i="7"/>
  <c r="AO585" i="7"/>
  <c r="I585" i="7" s="1"/>
  <c r="AP585" i="7"/>
  <c r="J585" i="7" s="1"/>
  <c r="BD585" i="7"/>
  <c r="BF585" i="7"/>
  <c r="BI585" i="7"/>
  <c r="AC585" i="7" s="1"/>
  <c r="BJ585" i="7"/>
  <c r="K586" i="7"/>
  <c r="Z586" i="7"/>
  <c r="AD586" i="7"/>
  <c r="AE586" i="7"/>
  <c r="AF586" i="7"/>
  <c r="AG586" i="7"/>
  <c r="AH586" i="7"/>
  <c r="AJ586" i="7"/>
  <c r="AK586" i="7"/>
  <c r="AL586" i="7"/>
  <c r="AO586" i="7"/>
  <c r="I586" i="7" s="1"/>
  <c r="AP586" i="7"/>
  <c r="BD586" i="7"/>
  <c r="BF586" i="7"/>
  <c r="BJ586" i="7"/>
  <c r="K587" i="7"/>
  <c r="AK587" i="7" s="1"/>
  <c r="Z587" i="7"/>
  <c r="AD587" i="7"/>
  <c r="AE587" i="7"/>
  <c r="AF587" i="7"/>
  <c r="AG587" i="7"/>
  <c r="AH587" i="7"/>
  <c r="AJ587" i="7"/>
  <c r="AL587" i="7"/>
  <c r="AO587" i="7"/>
  <c r="AW587" i="7" s="1"/>
  <c r="AP587" i="7"/>
  <c r="BI587" i="7" s="1"/>
  <c r="AC587" i="7" s="1"/>
  <c r="BD587" i="7"/>
  <c r="BF587" i="7"/>
  <c r="BH587" i="7"/>
  <c r="AB587" i="7" s="1"/>
  <c r="BJ587" i="7"/>
  <c r="K588" i="7"/>
  <c r="AK588" i="7" s="1"/>
  <c r="Z588" i="7"/>
  <c r="AD588" i="7"/>
  <c r="AE588" i="7"/>
  <c r="AF588" i="7"/>
  <c r="AG588" i="7"/>
  <c r="AH588" i="7"/>
  <c r="AJ588" i="7"/>
  <c r="AL588" i="7"/>
  <c r="AO588" i="7"/>
  <c r="AP588" i="7"/>
  <c r="J588" i="7" s="1"/>
  <c r="BD588" i="7"/>
  <c r="BF588" i="7"/>
  <c r="BJ588" i="7"/>
  <c r="K589" i="7"/>
  <c r="AK589" i="7" s="1"/>
  <c r="Z589" i="7"/>
  <c r="AD589" i="7"/>
  <c r="AE589" i="7"/>
  <c r="AF589" i="7"/>
  <c r="AG589" i="7"/>
  <c r="AH589" i="7"/>
  <c r="AJ589" i="7"/>
  <c r="AL589" i="7"/>
  <c r="AO589" i="7"/>
  <c r="I589" i="7" s="1"/>
  <c r="AP589" i="7"/>
  <c r="J589" i="7" s="1"/>
  <c r="AX589" i="7"/>
  <c r="BD589" i="7"/>
  <c r="BF589" i="7"/>
  <c r="BI589" i="7"/>
  <c r="AC589" i="7" s="1"/>
  <c r="BJ589" i="7"/>
  <c r="K590" i="7"/>
  <c r="Z590" i="7"/>
  <c r="AD590" i="7"/>
  <c r="AE590" i="7"/>
  <c r="AF590" i="7"/>
  <c r="AG590" i="7"/>
  <c r="AH590" i="7"/>
  <c r="AJ590" i="7"/>
  <c r="AK590" i="7"/>
  <c r="AL590" i="7"/>
  <c r="AO590" i="7"/>
  <c r="BH590" i="7" s="1"/>
  <c r="AB590" i="7" s="1"/>
  <c r="AP590" i="7"/>
  <c r="J590" i="7" s="1"/>
  <c r="BD590" i="7"/>
  <c r="BF590" i="7"/>
  <c r="BJ590" i="7"/>
  <c r="I591" i="7"/>
  <c r="K591" i="7"/>
  <c r="AK591" i="7" s="1"/>
  <c r="Z591" i="7"/>
  <c r="AD591" i="7"/>
  <c r="AE591" i="7"/>
  <c r="AF591" i="7"/>
  <c r="AG591" i="7"/>
  <c r="AH591" i="7"/>
  <c r="AJ591" i="7"/>
  <c r="AL591" i="7"/>
  <c r="AO591" i="7"/>
  <c r="AW591" i="7" s="1"/>
  <c r="AP591" i="7"/>
  <c r="BI591" i="7" s="1"/>
  <c r="AC591" i="7" s="1"/>
  <c r="BD591" i="7"/>
  <c r="BF591" i="7"/>
  <c r="BH591" i="7"/>
  <c r="AB591" i="7" s="1"/>
  <c r="BJ591" i="7"/>
  <c r="K592" i="7"/>
  <c r="AK592" i="7" s="1"/>
  <c r="Z592" i="7"/>
  <c r="AD592" i="7"/>
  <c r="AE592" i="7"/>
  <c r="AF592" i="7"/>
  <c r="AG592" i="7"/>
  <c r="AH592" i="7"/>
  <c r="AJ592" i="7"/>
  <c r="AL592" i="7"/>
  <c r="AO592" i="7"/>
  <c r="AP592" i="7"/>
  <c r="J592" i="7" s="1"/>
  <c r="BD592" i="7"/>
  <c r="BF592" i="7"/>
  <c r="BJ592" i="7"/>
  <c r="K594" i="7"/>
  <c r="Z594" i="7"/>
  <c r="AD594" i="7"/>
  <c r="AE594" i="7"/>
  <c r="AF594" i="7"/>
  <c r="AG594" i="7"/>
  <c r="AH594" i="7"/>
  <c r="AJ594" i="7"/>
  <c r="AK594" i="7"/>
  <c r="AL594" i="7"/>
  <c r="AO594" i="7"/>
  <c r="I594" i="7" s="1"/>
  <c r="AP594" i="7"/>
  <c r="BD594" i="7"/>
  <c r="BF594" i="7"/>
  <c r="BH594" i="7"/>
  <c r="AB594" i="7" s="1"/>
  <c r="BJ594" i="7"/>
  <c r="K595" i="7"/>
  <c r="Z595" i="7"/>
  <c r="AD595" i="7"/>
  <c r="AE595" i="7"/>
  <c r="AF595" i="7"/>
  <c r="AG595" i="7"/>
  <c r="AH595" i="7"/>
  <c r="AJ595" i="7"/>
  <c r="AK595" i="7"/>
  <c r="AL595" i="7"/>
  <c r="AO595" i="7"/>
  <c r="AP595" i="7"/>
  <c r="J595" i="7" s="1"/>
  <c r="BD595" i="7"/>
  <c r="BF595" i="7"/>
  <c r="BJ595" i="7"/>
  <c r="K596" i="7"/>
  <c r="AK596" i="7" s="1"/>
  <c r="Z596" i="7"/>
  <c r="AD596" i="7"/>
  <c r="AE596" i="7"/>
  <c r="AF596" i="7"/>
  <c r="AG596" i="7"/>
  <c r="AH596" i="7"/>
  <c r="AJ596" i="7"/>
  <c r="AL596" i="7"/>
  <c r="AO596" i="7"/>
  <c r="I596" i="7" s="1"/>
  <c r="AP596" i="7"/>
  <c r="J596" i="7" s="1"/>
  <c r="AX596" i="7"/>
  <c r="BD596" i="7"/>
  <c r="BF596" i="7"/>
  <c r="BJ596" i="7"/>
  <c r="K597" i="7"/>
  <c r="AK597" i="7" s="1"/>
  <c r="Z597" i="7"/>
  <c r="AD597" i="7"/>
  <c r="AE597" i="7"/>
  <c r="AF597" i="7"/>
  <c r="AG597" i="7"/>
  <c r="AH597" i="7"/>
  <c r="AJ597" i="7"/>
  <c r="AL597" i="7"/>
  <c r="AO597" i="7"/>
  <c r="I597" i="7" s="1"/>
  <c r="AP597" i="7"/>
  <c r="J597" i="7" s="1"/>
  <c r="BD597" i="7"/>
  <c r="BF597" i="7"/>
  <c r="BJ597" i="7"/>
  <c r="K598" i="7"/>
  <c r="AK598" i="7" s="1"/>
  <c r="Z598" i="7"/>
  <c r="AD598" i="7"/>
  <c r="AE598" i="7"/>
  <c r="AF598" i="7"/>
  <c r="AG598" i="7"/>
  <c r="AH598" i="7"/>
  <c r="AJ598" i="7"/>
  <c r="AL598" i="7"/>
  <c r="AO598" i="7"/>
  <c r="I598" i="7" s="1"/>
  <c r="AP598" i="7"/>
  <c r="BD598" i="7"/>
  <c r="BF598" i="7"/>
  <c r="BJ598" i="7"/>
  <c r="K599" i="7"/>
  <c r="Z599" i="7"/>
  <c r="AD599" i="7"/>
  <c r="AE599" i="7"/>
  <c r="AF599" i="7"/>
  <c r="AG599" i="7"/>
  <c r="AH599" i="7"/>
  <c r="AJ599" i="7"/>
  <c r="AK599" i="7"/>
  <c r="AL599" i="7"/>
  <c r="AO599" i="7"/>
  <c r="I599" i="7" s="1"/>
  <c r="AP599" i="7"/>
  <c r="J599" i="7" s="1"/>
  <c r="AW599" i="7"/>
  <c r="BD599" i="7"/>
  <c r="BF599" i="7"/>
  <c r="BH599" i="7"/>
  <c r="AB599" i="7" s="1"/>
  <c r="BJ599" i="7"/>
  <c r="K600" i="7"/>
  <c r="Z600" i="7"/>
  <c r="AD600" i="7"/>
  <c r="AE600" i="7"/>
  <c r="AF600" i="7"/>
  <c r="AG600" i="7"/>
  <c r="AH600" i="7"/>
  <c r="AJ600" i="7"/>
  <c r="AK600" i="7"/>
  <c r="AL600" i="7"/>
  <c r="AO600" i="7"/>
  <c r="I600" i="7" s="1"/>
  <c r="AP600" i="7"/>
  <c r="J600" i="7" s="1"/>
  <c r="BD600" i="7"/>
  <c r="BF600" i="7"/>
  <c r="BI600" i="7"/>
  <c r="AC600" i="7" s="1"/>
  <c r="BJ600" i="7"/>
  <c r="B2" i="6"/>
  <c r="E2" i="6"/>
  <c r="B4" i="6"/>
  <c r="E4" i="6"/>
  <c r="B6" i="6"/>
  <c r="E6" i="6"/>
  <c r="B8" i="6"/>
  <c r="G21" i="6"/>
  <c r="I21" i="6" s="1"/>
  <c r="F22" i="6"/>
  <c r="G25" i="6"/>
  <c r="I25" i="6"/>
  <c r="G26" i="6"/>
  <c r="I26" i="6" s="1"/>
  <c r="C2" i="5"/>
  <c r="F2" i="5"/>
  <c r="C4" i="5"/>
  <c r="F4" i="5"/>
  <c r="F6" i="5"/>
  <c r="C10" i="5"/>
  <c r="F10" i="5"/>
  <c r="F22" i="5"/>
  <c r="I22" i="5"/>
  <c r="AW508" i="7" l="1"/>
  <c r="I508" i="7"/>
  <c r="J406" i="7"/>
  <c r="BI406" i="7"/>
  <c r="AE406" i="7" s="1"/>
  <c r="J127" i="7"/>
  <c r="BI127" i="7"/>
  <c r="AC127" i="7" s="1"/>
  <c r="J26" i="7"/>
  <c r="BI26" i="7"/>
  <c r="AC26" i="7" s="1"/>
  <c r="I539" i="7"/>
  <c r="BH539" i="7"/>
  <c r="AB539" i="7" s="1"/>
  <c r="AW539" i="7"/>
  <c r="J222" i="7"/>
  <c r="AX222" i="7"/>
  <c r="I180" i="7"/>
  <c r="BH180" i="7"/>
  <c r="AD180" i="7" s="1"/>
  <c r="AW180" i="7"/>
  <c r="AV180" i="7" s="1"/>
  <c r="I167" i="7"/>
  <c r="BH167" i="7"/>
  <c r="AW167" i="7"/>
  <c r="I160" i="7"/>
  <c r="BH160" i="7"/>
  <c r="AW160" i="7"/>
  <c r="I120" i="7"/>
  <c r="BH120" i="7"/>
  <c r="AB120" i="7" s="1"/>
  <c r="AW120" i="7"/>
  <c r="I96" i="7"/>
  <c r="AW96" i="7"/>
  <c r="BH96" i="7"/>
  <c r="AB96" i="7" s="1"/>
  <c r="BI581" i="7"/>
  <c r="AC581" i="7" s="1"/>
  <c r="BH571" i="7"/>
  <c r="AB571" i="7" s="1"/>
  <c r="BH566" i="7"/>
  <c r="AB566" i="7" s="1"/>
  <c r="AW563" i="7"/>
  <c r="I563" i="7"/>
  <c r="BH519" i="7"/>
  <c r="AB519" i="7" s="1"/>
  <c r="J384" i="7"/>
  <c r="AX384" i="7"/>
  <c r="J322" i="7"/>
  <c r="BI322" i="7"/>
  <c r="AE322" i="7" s="1"/>
  <c r="AX289" i="7"/>
  <c r="BI289" i="7"/>
  <c r="AE289" i="7" s="1"/>
  <c r="J165" i="7"/>
  <c r="AX165" i="7"/>
  <c r="AW542" i="7"/>
  <c r="I542" i="7"/>
  <c r="J533" i="7"/>
  <c r="BI533" i="7"/>
  <c r="AC533" i="7" s="1"/>
  <c r="J491" i="7"/>
  <c r="AX491" i="7"/>
  <c r="BI384" i="7"/>
  <c r="AE384" i="7" s="1"/>
  <c r="AX375" i="7"/>
  <c r="BI375" i="7"/>
  <c r="AE375" i="7" s="1"/>
  <c r="AW586" i="7"/>
  <c r="BC586" i="7" s="1"/>
  <c r="AW579" i="7"/>
  <c r="I571" i="7"/>
  <c r="I570" i="7"/>
  <c r="AW569" i="7"/>
  <c r="AV569" i="7" s="1"/>
  <c r="J561" i="7"/>
  <c r="AX561" i="7"/>
  <c r="J503" i="7"/>
  <c r="BI503" i="7"/>
  <c r="AC503" i="7" s="1"/>
  <c r="BH478" i="7"/>
  <c r="AW478" i="7"/>
  <c r="AX340" i="7"/>
  <c r="BI340" i="7"/>
  <c r="AE340" i="7" s="1"/>
  <c r="I320" i="7"/>
  <c r="BH320" i="7"/>
  <c r="AD320" i="7" s="1"/>
  <c r="AW320" i="7"/>
  <c r="I317" i="7"/>
  <c r="AW317" i="7"/>
  <c r="I311" i="7"/>
  <c r="AW311" i="7"/>
  <c r="BH311" i="7"/>
  <c r="AD311" i="7" s="1"/>
  <c r="I307" i="7"/>
  <c r="BH307" i="7"/>
  <c r="AD307" i="7" s="1"/>
  <c r="AW307" i="7"/>
  <c r="J253" i="7"/>
  <c r="AX253" i="7"/>
  <c r="I128" i="7"/>
  <c r="BH128" i="7"/>
  <c r="AB128" i="7" s="1"/>
  <c r="AW128" i="7"/>
  <c r="BC128" i="7" s="1"/>
  <c r="AK21" i="7"/>
  <c r="AT20" i="7" s="1"/>
  <c r="K20" i="7"/>
  <c r="G12" i="6" s="1"/>
  <c r="I12" i="6" s="1"/>
  <c r="I450" i="7"/>
  <c r="AW450" i="7"/>
  <c r="I336" i="7"/>
  <c r="BH336" i="7"/>
  <c r="AD336" i="7" s="1"/>
  <c r="AW336" i="7"/>
  <c r="J201" i="7"/>
  <c r="AX201" i="7"/>
  <c r="J560" i="7"/>
  <c r="AX560" i="7"/>
  <c r="AW493" i="7"/>
  <c r="I493" i="7"/>
  <c r="J410" i="7"/>
  <c r="BI410" i="7"/>
  <c r="AE410" i="7" s="1"/>
  <c r="J385" i="7"/>
  <c r="BI385" i="7"/>
  <c r="AE385" i="7" s="1"/>
  <c r="I359" i="7"/>
  <c r="BH359" i="7"/>
  <c r="AD359" i="7" s="1"/>
  <c r="AW359" i="7"/>
  <c r="BC359" i="7" s="1"/>
  <c r="I349" i="7"/>
  <c r="BH349" i="7"/>
  <c r="AD349" i="7" s="1"/>
  <c r="AW349" i="7"/>
  <c r="J319" i="7"/>
  <c r="AX319" i="7"/>
  <c r="J297" i="7"/>
  <c r="BI297" i="7"/>
  <c r="AE297" i="7" s="1"/>
  <c r="BI599" i="7"/>
  <c r="AC599" i="7" s="1"/>
  <c r="AX599" i="7"/>
  <c r="BH586" i="7"/>
  <c r="AB586" i="7" s="1"/>
  <c r="I583" i="7"/>
  <c r="AX581" i="7"/>
  <c r="BI561" i="7"/>
  <c r="AC561" i="7" s="1"/>
  <c r="I492" i="7"/>
  <c r="AW492" i="7"/>
  <c r="J394" i="7"/>
  <c r="BI394" i="7"/>
  <c r="AE394" i="7" s="1"/>
  <c r="I363" i="7"/>
  <c r="AW363" i="7"/>
  <c r="BH363" i="7"/>
  <c r="AD363" i="7" s="1"/>
  <c r="J347" i="7"/>
  <c r="BI347" i="7"/>
  <c r="AE347" i="7" s="1"/>
  <c r="I293" i="7"/>
  <c r="BH293" i="7"/>
  <c r="AD293" i="7" s="1"/>
  <c r="AW293" i="7"/>
  <c r="I274" i="7"/>
  <c r="BH274" i="7"/>
  <c r="AD274" i="7" s="1"/>
  <c r="AW274" i="7"/>
  <c r="BI253" i="7"/>
  <c r="AE253" i="7" s="1"/>
  <c r="J186" i="7"/>
  <c r="BI186" i="7"/>
  <c r="AE186" i="7" s="1"/>
  <c r="I176" i="7"/>
  <c r="AW176" i="7"/>
  <c r="J170" i="7"/>
  <c r="BI170" i="7"/>
  <c r="J158" i="7"/>
  <c r="AX158" i="7"/>
  <c r="I81" i="7"/>
  <c r="BH81" i="7"/>
  <c r="AB81" i="7" s="1"/>
  <c r="AW81" i="7"/>
  <c r="I41" i="7"/>
  <c r="BH41" i="7"/>
  <c r="AB41" i="7" s="1"/>
  <c r="AW41" i="7"/>
  <c r="BH546" i="7"/>
  <c r="AB546" i="7" s="1"/>
  <c r="AU515" i="7"/>
  <c r="BH505" i="7"/>
  <c r="AB505" i="7" s="1"/>
  <c r="AX487" i="7"/>
  <c r="BH484" i="7"/>
  <c r="AD484" i="7" s="1"/>
  <c r="AX483" i="7"/>
  <c r="BH481" i="7"/>
  <c r="AD481" i="7" s="1"/>
  <c r="AX480" i="7"/>
  <c r="AX477" i="7"/>
  <c r="AW466" i="7"/>
  <c r="J466" i="7"/>
  <c r="BI448" i="7"/>
  <c r="AE448" i="7" s="1"/>
  <c r="AW448" i="7"/>
  <c r="BC448" i="7" s="1"/>
  <c r="AW439" i="7"/>
  <c r="AX435" i="7"/>
  <c r="AX432" i="7"/>
  <c r="AX371" i="7"/>
  <c r="BC371" i="7" s="1"/>
  <c r="BI311" i="7"/>
  <c r="AE311" i="7" s="1"/>
  <c r="AX304" i="7"/>
  <c r="BH300" i="7"/>
  <c r="AD300" i="7" s="1"/>
  <c r="AW300" i="7"/>
  <c r="BC300" i="7" s="1"/>
  <c r="BH249" i="7"/>
  <c r="AD249" i="7" s="1"/>
  <c r="AX248" i="7"/>
  <c r="BH226" i="7"/>
  <c r="AD226" i="7" s="1"/>
  <c r="AX213" i="7"/>
  <c r="I212" i="7"/>
  <c r="AX210" i="7"/>
  <c r="AX207" i="7"/>
  <c r="BI205" i="7"/>
  <c r="AE205" i="7" s="1"/>
  <c r="AX205" i="7"/>
  <c r="AX152" i="7"/>
  <c r="BI150" i="7"/>
  <c r="AC150" i="7" s="1"/>
  <c r="AX150" i="7"/>
  <c r="I125" i="7"/>
  <c r="BI96" i="7"/>
  <c r="AC96" i="7" s="1"/>
  <c r="AX96" i="7"/>
  <c r="AW88" i="7"/>
  <c r="AX45" i="7"/>
  <c r="AX13" i="7"/>
  <c r="BH466" i="7"/>
  <c r="AD466" i="7" s="1"/>
  <c r="I464" i="7"/>
  <c r="I459" i="7" s="1"/>
  <c r="E47" i="6" s="1"/>
  <c r="AX414" i="7"/>
  <c r="AX381" i="7"/>
  <c r="BI357" i="7"/>
  <c r="AE357" i="7" s="1"/>
  <c r="BI351" i="7"/>
  <c r="AE351" i="7" s="1"/>
  <c r="AX255" i="7"/>
  <c r="I254" i="7"/>
  <c r="AX177" i="7"/>
  <c r="I106" i="7"/>
  <c r="AS32" i="7"/>
  <c r="BI438" i="7"/>
  <c r="AE438" i="7" s="1"/>
  <c r="AW364" i="7"/>
  <c r="BI328" i="7"/>
  <c r="AE328" i="7" s="1"/>
  <c r="BI308" i="7"/>
  <c r="AE308" i="7" s="1"/>
  <c r="AW292" i="7"/>
  <c r="BI275" i="7"/>
  <c r="AE275" i="7" s="1"/>
  <c r="BI272" i="7"/>
  <c r="AE272" i="7" s="1"/>
  <c r="BI141" i="7"/>
  <c r="AC141" i="7" s="1"/>
  <c r="BI50" i="7"/>
  <c r="AC50" i="7" s="1"/>
  <c r="BI34" i="7"/>
  <c r="AC34" i="7" s="1"/>
  <c r="BI597" i="7"/>
  <c r="AC597" i="7" s="1"/>
  <c r="I530" i="7"/>
  <c r="J512" i="7"/>
  <c r="J496" i="7"/>
  <c r="I488" i="7"/>
  <c r="I419" i="7"/>
  <c r="BH419" i="7"/>
  <c r="AD419" i="7" s="1"/>
  <c r="AW419" i="7"/>
  <c r="I273" i="7"/>
  <c r="BH273" i="7"/>
  <c r="AD273" i="7" s="1"/>
  <c r="AW273" i="7"/>
  <c r="I269" i="7"/>
  <c r="AW269" i="7"/>
  <c r="AW258" i="7"/>
  <c r="I258" i="7"/>
  <c r="I227" i="7"/>
  <c r="BH227" i="7"/>
  <c r="AD227" i="7" s="1"/>
  <c r="AW227" i="7"/>
  <c r="J142" i="7"/>
  <c r="AX142" i="7"/>
  <c r="BI142" i="7"/>
  <c r="AC142" i="7" s="1"/>
  <c r="AX132" i="7"/>
  <c r="BI132" i="7"/>
  <c r="AC132" i="7" s="1"/>
  <c r="J123" i="7"/>
  <c r="AX123" i="7"/>
  <c r="J116" i="7"/>
  <c r="AX116" i="7"/>
  <c r="BI116" i="7"/>
  <c r="AC116" i="7" s="1"/>
  <c r="I94" i="7"/>
  <c r="I92" i="7" s="1"/>
  <c r="E26" i="6" s="1"/>
  <c r="AW94" i="7"/>
  <c r="J87" i="7"/>
  <c r="AX87" i="7"/>
  <c r="BI87" i="7"/>
  <c r="AC87" i="7" s="1"/>
  <c r="J86" i="7"/>
  <c r="BI86" i="7"/>
  <c r="AC86" i="7" s="1"/>
  <c r="I65" i="7"/>
  <c r="AW65" i="7"/>
  <c r="BC65" i="7" s="1"/>
  <c r="BH65" i="7"/>
  <c r="AB65" i="7" s="1"/>
  <c r="J60" i="7"/>
  <c r="BI60" i="7"/>
  <c r="AC60" i="7" s="1"/>
  <c r="J16" i="7"/>
  <c r="AX16" i="7"/>
  <c r="I582" i="7"/>
  <c r="I437" i="7"/>
  <c r="BH437" i="7"/>
  <c r="AD437" i="7" s="1"/>
  <c r="I429" i="7"/>
  <c r="AW429" i="7"/>
  <c r="BH429" i="7"/>
  <c r="AD429" i="7" s="1"/>
  <c r="J393" i="7"/>
  <c r="AX393" i="7"/>
  <c r="I386" i="7"/>
  <c r="AW386" i="7"/>
  <c r="I371" i="7"/>
  <c r="AW371" i="7"/>
  <c r="BH371" i="7"/>
  <c r="AD371" i="7" s="1"/>
  <c r="BH598" i="7"/>
  <c r="AB598" i="7" s="1"/>
  <c r="BC578" i="7"/>
  <c r="BI550" i="7"/>
  <c r="AC550" i="7" s="1"/>
  <c r="BI537" i="7"/>
  <c r="AC537" i="7" s="1"/>
  <c r="AW488" i="7"/>
  <c r="AV488" i="7" s="1"/>
  <c r="BI456" i="7"/>
  <c r="AE456" i="7" s="1"/>
  <c r="BI404" i="7"/>
  <c r="AE404" i="7" s="1"/>
  <c r="J343" i="7"/>
  <c r="AX343" i="7"/>
  <c r="BI343" i="7"/>
  <c r="AE343" i="7" s="1"/>
  <c r="I339" i="7"/>
  <c r="AW339" i="7"/>
  <c r="BH339" i="7"/>
  <c r="AD339" i="7" s="1"/>
  <c r="J334" i="7"/>
  <c r="AX334" i="7"/>
  <c r="I324" i="7"/>
  <c r="BH324" i="7"/>
  <c r="AD324" i="7" s="1"/>
  <c r="AW324" i="7"/>
  <c r="AX285" i="7"/>
  <c r="BI285" i="7"/>
  <c r="AE285" i="7" s="1"/>
  <c r="AW196" i="7"/>
  <c r="I196" i="7"/>
  <c r="I183" i="7"/>
  <c r="BH183" i="7"/>
  <c r="AD183" i="7" s="1"/>
  <c r="AW183" i="7"/>
  <c r="I156" i="7"/>
  <c r="AW156" i="7"/>
  <c r="BI123" i="7"/>
  <c r="AC123" i="7" s="1"/>
  <c r="I118" i="7"/>
  <c r="AW118" i="7"/>
  <c r="AX117" i="7"/>
  <c r="J117" i="7"/>
  <c r="I70" i="7"/>
  <c r="AW70" i="7"/>
  <c r="BH69" i="7"/>
  <c r="AB69" i="7" s="1"/>
  <c r="AW69" i="7"/>
  <c r="I69" i="7"/>
  <c r="I52" i="7"/>
  <c r="AW52" i="7"/>
  <c r="BH52" i="7"/>
  <c r="AB52" i="7" s="1"/>
  <c r="I38" i="7"/>
  <c r="AW38" i="7"/>
  <c r="I30" i="7"/>
  <c r="AW30" i="7"/>
  <c r="I17" i="7"/>
  <c r="BH17" i="7"/>
  <c r="AB17" i="7" s="1"/>
  <c r="AW17" i="7"/>
  <c r="BI16" i="7"/>
  <c r="AC16" i="7" s="1"/>
  <c r="I590" i="7"/>
  <c r="J550" i="7"/>
  <c r="J526" i="7"/>
  <c r="I414" i="7"/>
  <c r="AW414" i="7"/>
  <c r="BH414" i="7"/>
  <c r="AD414" i="7" s="1"/>
  <c r="J409" i="7"/>
  <c r="AX409" i="7"/>
  <c r="BH386" i="7"/>
  <c r="AD386" i="7" s="1"/>
  <c r="I360" i="7"/>
  <c r="BH360" i="7"/>
  <c r="AD360" i="7" s="1"/>
  <c r="AW360" i="7"/>
  <c r="J339" i="7"/>
  <c r="AX339" i="7"/>
  <c r="BC339" i="7" s="1"/>
  <c r="BI339" i="7"/>
  <c r="AE339" i="7" s="1"/>
  <c r="BH332" i="7"/>
  <c r="AD332" i="7" s="1"/>
  <c r="J327" i="7"/>
  <c r="AX327" i="7"/>
  <c r="I280" i="7"/>
  <c r="AW280" i="7"/>
  <c r="BH280" i="7"/>
  <c r="AD280" i="7" s="1"/>
  <c r="J259" i="7"/>
  <c r="AX259" i="7"/>
  <c r="BH223" i="7"/>
  <c r="AD223" i="7" s="1"/>
  <c r="AV117" i="7"/>
  <c r="BI596" i="7"/>
  <c r="AC596" i="7" s="1"/>
  <c r="BI565" i="7"/>
  <c r="AC565" i="7" s="1"/>
  <c r="J546" i="7"/>
  <c r="BI526" i="7"/>
  <c r="AC526" i="7" s="1"/>
  <c r="I512" i="7"/>
  <c r="J504" i="7"/>
  <c r="I496" i="7"/>
  <c r="BI491" i="7"/>
  <c r="AC491" i="7" s="1"/>
  <c r="J405" i="7"/>
  <c r="AX405" i="7"/>
  <c r="BI393" i="7"/>
  <c r="AE393" i="7" s="1"/>
  <c r="I268" i="7"/>
  <c r="AW268" i="7"/>
  <c r="AV268" i="7" s="1"/>
  <c r="BH268" i="7"/>
  <c r="AD268" i="7" s="1"/>
  <c r="I210" i="7"/>
  <c r="AW210" i="7"/>
  <c r="BH210" i="7"/>
  <c r="AD210" i="7" s="1"/>
  <c r="AW590" i="7"/>
  <c r="AW582" i="7"/>
  <c r="BH579" i="7"/>
  <c r="AB579" i="7" s="1"/>
  <c r="AW575" i="7"/>
  <c r="AW570" i="7"/>
  <c r="AV570" i="7" s="1"/>
  <c r="BH569" i="7"/>
  <c r="AB569" i="7" s="1"/>
  <c r="J566" i="7"/>
  <c r="BI564" i="7"/>
  <c r="AC564" i="7" s="1"/>
  <c r="BH557" i="7"/>
  <c r="AB557" i="7" s="1"/>
  <c r="AW557" i="7"/>
  <c r="BI549" i="7"/>
  <c r="AC549" i="7" s="1"/>
  <c r="AX549" i="7"/>
  <c r="BC549" i="7" s="1"/>
  <c r="AW547" i="7"/>
  <c r="J538" i="7"/>
  <c r="I535" i="7"/>
  <c r="AX533" i="7"/>
  <c r="BI530" i="7"/>
  <c r="AC530" i="7" s="1"/>
  <c r="AW530" i="7"/>
  <c r="BC530" i="7" s="1"/>
  <c r="BH529" i="7"/>
  <c r="AB529" i="7" s="1"/>
  <c r="AW523" i="7"/>
  <c r="BI520" i="7"/>
  <c r="AC520" i="7" s="1"/>
  <c r="AW512" i="7"/>
  <c r="AV512" i="7" s="1"/>
  <c r="AW511" i="7"/>
  <c r="I504" i="7"/>
  <c r="BH500" i="7"/>
  <c r="AB500" i="7" s="1"/>
  <c r="J500" i="7"/>
  <c r="I497" i="7"/>
  <c r="AX495" i="7"/>
  <c r="BH492" i="7"/>
  <c r="AB492" i="7" s="1"/>
  <c r="J492" i="7"/>
  <c r="AW482" i="7"/>
  <c r="J478" i="7"/>
  <c r="BI474" i="7"/>
  <c r="AE474" i="7" s="1"/>
  <c r="AX474" i="7"/>
  <c r="I468" i="7"/>
  <c r="BI462" i="7"/>
  <c r="AE462" i="7" s="1"/>
  <c r="AX462" i="7"/>
  <c r="AX453" i="7"/>
  <c r="BH450" i="7"/>
  <c r="AD450" i="7" s="1"/>
  <c r="BI444" i="7"/>
  <c r="AE444" i="7" s="1"/>
  <c r="AW444" i="7"/>
  <c r="BI440" i="7"/>
  <c r="AE440" i="7" s="1"/>
  <c r="BH439" i="7"/>
  <c r="AD439" i="7" s="1"/>
  <c r="AX438" i="7"/>
  <c r="AW437" i="7"/>
  <c r="J417" i="7"/>
  <c r="AX417" i="7"/>
  <c r="BI405" i="7"/>
  <c r="AE405" i="7" s="1"/>
  <c r="J401" i="7"/>
  <c r="AX401" i="7"/>
  <c r="BI400" i="7"/>
  <c r="AE400" i="7" s="1"/>
  <c r="J389" i="7"/>
  <c r="AX389" i="7"/>
  <c r="BI388" i="7"/>
  <c r="AE388" i="7" s="1"/>
  <c r="I343" i="7"/>
  <c r="AW343" i="7"/>
  <c r="AV343" i="7" s="1"/>
  <c r="BH343" i="7"/>
  <c r="AD343" i="7" s="1"/>
  <c r="I335" i="7"/>
  <c r="BH335" i="7"/>
  <c r="AD335" i="7" s="1"/>
  <c r="AW335" i="7"/>
  <c r="BC335" i="7" s="1"/>
  <c r="BI334" i="7"/>
  <c r="AE334" i="7" s="1"/>
  <c r="I321" i="7"/>
  <c r="BH321" i="7"/>
  <c r="AD321" i="7" s="1"/>
  <c r="AW321" i="7"/>
  <c r="AX315" i="7"/>
  <c r="I312" i="7"/>
  <c r="BH312" i="7"/>
  <c r="AD312" i="7" s="1"/>
  <c r="AW312" i="7"/>
  <c r="AV312" i="7" s="1"/>
  <c r="AX297" i="7"/>
  <c r="J293" i="7"/>
  <c r="AX293" i="7"/>
  <c r="BI293" i="7"/>
  <c r="AE293" i="7" s="1"/>
  <c r="I285" i="7"/>
  <c r="AW285" i="7"/>
  <c r="BC285" i="7" s="1"/>
  <c r="BI284" i="7"/>
  <c r="AE284" i="7" s="1"/>
  <c r="AX281" i="7"/>
  <c r="BC281" i="7" s="1"/>
  <c r="BI281" i="7"/>
  <c r="AE281" i="7" s="1"/>
  <c r="AX275" i="7"/>
  <c r="AX264" i="7"/>
  <c r="BI261" i="7"/>
  <c r="AE261" i="7" s="1"/>
  <c r="BH261" i="7"/>
  <c r="AD261" i="7" s="1"/>
  <c r="AW261" i="7"/>
  <c r="BC261" i="7" s="1"/>
  <c r="J257" i="7"/>
  <c r="AX257" i="7"/>
  <c r="J217" i="7"/>
  <c r="AX217" i="7"/>
  <c r="AX203" i="7"/>
  <c r="BI203" i="7"/>
  <c r="AE203" i="7" s="1"/>
  <c r="I164" i="7"/>
  <c r="AW164" i="7"/>
  <c r="J112" i="7"/>
  <c r="AX112" i="7"/>
  <c r="I99" i="7"/>
  <c r="BH99" i="7"/>
  <c r="AB99" i="7" s="1"/>
  <c r="AW99" i="7"/>
  <c r="BC96" i="7"/>
  <c r="AV96" i="7"/>
  <c r="AX597" i="7"/>
  <c r="AU593" i="7"/>
  <c r="AW594" i="7"/>
  <c r="I587" i="7"/>
  <c r="AX585" i="7"/>
  <c r="BH575" i="7"/>
  <c r="AB575" i="7" s="1"/>
  <c r="BI566" i="7"/>
  <c r="AC566" i="7" s="1"/>
  <c r="AW566" i="7"/>
  <c r="BH549" i="7"/>
  <c r="AB549" i="7" s="1"/>
  <c r="AW549" i="7"/>
  <c r="BH547" i="7"/>
  <c r="AB547" i="7" s="1"/>
  <c r="AW545" i="7"/>
  <c r="BI538" i="7"/>
  <c r="AC538" i="7" s="1"/>
  <c r="AW538" i="7"/>
  <c r="J530" i="7"/>
  <c r="BH523" i="7"/>
  <c r="AB523" i="7" s="1"/>
  <c r="I519" i="7"/>
  <c r="BH511" i="7"/>
  <c r="AB511" i="7" s="1"/>
  <c r="BI504" i="7"/>
  <c r="AC504" i="7" s="1"/>
  <c r="AX503" i="7"/>
  <c r="J488" i="7"/>
  <c r="BH482" i="7"/>
  <c r="AD482" i="7" s="1"/>
  <c r="BI478" i="7"/>
  <c r="BH474" i="7"/>
  <c r="AD474" i="7" s="1"/>
  <c r="AW474" i="7"/>
  <c r="BI466" i="7"/>
  <c r="AE466" i="7" s="1"/>
  <c r="AU459" i="7"/>
  <c r="BH462" i="7"/>
  <c r="AD462" i="7" s="1"/>
  <c r="AW462" i="7"/>
  <c r="I453" i="7"/>
  <c r="BH444" i="7"/>
  <c r="AD444" i="7" s="1"/>
  <c r="AX443" i="7"/>
  <c r="AW436" i="7"/>
  <c r="I430" i="7"/>
  <c r="J429" i="7"/>
  <c r="AX429" i="7"/>
  <c r="BI429" i="7"/>
  <c r="AE429" i="7" s="1"/>
  <c r="I415" i="7"/>
  <c r="BH415" i="7"/>
  <c r="AD415" i="7" s="1"/>
  <c r="AW415" i="7"/>
  <c r="J413" i="7"/>
  <c r="AX413" i="7"/>
  <c r="J397" i="7"/>
  <c r="AX397" i="7"/>
  <c r="AX386" i="7"/>
  <c r="BI386" i="7"/>
  <c r="AE386" i="7" s="1"/>
  <c r="AX385" i="7"/>
  <c r="BC385" i="7" s="1"/>
  <c r="I378" i="7"/>
  <c r="BH378" i="7"/>
  <c r="AD378" i="7" s="1"/>
  <c r="AW378" i="7"/>
  <c r="I372" i="7"/>
  <c r="BH372" i="7"/>
  <c r="AD372" i="7" s="1"/>
  <c r="AW372" i="7"/>
  <c r="AX367" i="7"/>
  <c r="BI367" i="7"/>
  <c r="AE367" i="7" s="1"/>
  <c r="I352" i="7"/>
  <c r="BH352" i="7"/>
  <c r="AD352" i="7" s="1"/>
  <c r="AW352" i="7"/>
  <c r="I332" i="7"/>
  <c r="I316" i="7"/>
  <c r="AW316" i="7"/>
  <c r="AX305" i="7"/>
  <c r="BI305" i="7"/>
  <c r="AE305" i="7" s="1"/>
  <c r="I298" i="7"/>
  <c r="BH298" i="7"/>
  <c r="AD298" i="7" s="1"/>
  <c r="AW298" i="7"/>
  <c r="J288" i="7"/>
  <c r="AX288" i="7"/>
  <c r="I281" i="7"/>
  <c r="AW281" i="7"/>
  <c r="I265" i="7"/>
  <c r="AW265" i="7"/>
  <c r="J251" i="7"/>
  <c r="AX251" i="7"/>
  <c r="J237" i="7"/>
  <c r="AX237" i="7"/>
  <c r="BI237" i="7"/>
  <c r="AE237" i="7" s="1"/>
  <c r="J229" i="7"/>
  <c r="AX229" i="7"/>
  <c r="I223" i="7"/>
  <c r="I218" i="7"/>
  <c r="AW218" i="7"/>
  <c r="BI217" i="7"/>
  <c r="AE217" i="7" s="1"/>
  <c r="AX170" i="7"/>
  <c r="J169" i="7"/>
  <c r="BI169" i="7"/>
  <c r="AX166" i="7"/>
  <c r="BC166" i="7" s="1"/>
  <c r="BI166" i="7"/>
  <c r="J166" i="7"/>
  <c r="J132" i="7"/>
  <c r="I113" i="7"/>
  <c r="BH113" i="7"/>
  <c r="AB113" i="7" s="1"/>
  <c r="AW113" i="7"/>
  <c r="BI112" i="7"/>
  <c r="AC112" i="7" s="1"/>
  <c r="J83" i="7"/>
  <c r="BI83" i="7"/>
  <c r="AC83" i="7" s="1"/>
  <c r="AX410" i="7"/>
  <c r="AX406" i="7"/>
  <c r="AX402" i="7"/>
  <c r="AX398" i="7"/>
  <c r="AX394" i="7"/>
  <c r="I376" i="7"/>
  <c r="AX366" i="7"/>
  <c r="BH364" i="7"/>
  <c r="AD364" i="7" s="1"/>
  <c r="I356" i="7"/>
  <c r="BI352" i="7"/>
  <c r="AE352" i="7" s="1"/>
  <c r="AX347" i="7"/>
  <c r="BH331" i="7"/>
  <c r="AD331" i="7" s="1"/>
  <c r="I329" i="7"/>
  <c r="AX322" i="7"/>
  <c r="BH317" i="7"/>
  <c r="AD317" i="7" s="1"/>
  <c r="BI312" i="7"/>
  <c r="AE312" i="7" s="1"/>
  <c r="AX310" i="7"/>
  <c r="AX308" i="7"/>
  <c r="BI303" i="7"/>
  <c r="AE303" i="7" s="1"/>
  <c r="AX303" i="7"/>
  <c r="I302" i="7"/>
  <c r="BI295" i="7"/>
  <c r="AE295" i="7" s="1"/>
  <c r="AX295" i="7"/>
  <c r="I290" i="7"/>
  <c r="I198" i="7"/>
  <c r="AW198" i="7"/>
  <c r="BH198" i="7"/>
  <c r="AD198" i="7" s="1"/>
  <c r="I190" i="7"/>
  <c r="BH190" i="7"/>
  <c r="AD190" i="7" s="1"/>
  <c r="AW190" i="7"/>
  <c r="I181" i="7"/>
  <c r="I179" i="7" s="1"/>
  <c r="E36" i="6" s="1"/>
  <c r="BH181" i="7"/>
  <c r="AD181" i="7" s="1"/>
  <c r="AW181" i="7"/>
  <c r="I153" i="7"/>
  <c r="BH153" i="7"/>
  <c r="AB153" i="7" s="1"/>
  <c r="AW153" i="7"/>
  <c r="J151" i="7"/>
  <c r="AX151" i="7"/>
  <c r="BI151" i="7"/>
  <c r="AC151" i="7" s="1"/>
  <c r="AX148" i="7"/>
  <c r="BI148" i="7"/>
  <c r="AC148" i="7" s="1"/>
  <c r="I132" i="7"/>
  <c r="AW132" i="7"/>
  <c r="BC132" i="7" s="1"/>
  <c r="BH132" i="7"/>
  <c r="AB132" i="7" s="1"/>
  <c r="J122" i="7"/>
  <c r="BI122" i="7"/>
  <c r="AC122" i="7" s="1"/>
  <c r="I109" i="7"/>
  <c r="BH109" i="7"/>
  <c r="AB109" i="7" s="1"/>
  <c r="AW109" i="7"/>
  <c r="I103" i="7"/>
  <c r="BH103" i="7"/>
  <c r="AB103" i="7" s="1"/>
  <c r="AW103" i="7"/>
  <c r="AW87" i="7"/>
  <c r="BC87" i="7" s="1"/>
  <c r="BH87" i="7"/>
  <c r="AB87" i="7" s="1"/>
  <c r="AX72" i="7"/>
  <c r="J72" i="7"/>
  <c r="J69" i="7"/>
  <c r="I47" i="7"/>
  <c r="AW47" i="7"/>
  <c r="BH245" i="7"/>
  <c r="AD245" i="7" s="1"/>
  <c r="I245" i="7"/>
  <c r="AW215" i="7"/>
  <c r="I215" i="7"/>
  <c r="I178" i="7"/>
  <c r="BH178" i="7"/>
  <c r="AW178" i="7"/>
  <c r="I151" i="7"/>
  <c r="AW151" i="7"/>
  <c r="BH151" i="7"/>
  <c r="AB151" i="7" s="1"/>
  <c r="AW148" i="7"/>
  <c r="BH148" i="7"/>
  <c r="AB148" i="7" s="1"/>
  <c r="I148" i="7"/>
  <c r="I147" i="7"/>
  <c r="AW147" i="7"/>
  <c r="AX136" i="7"/>
  <c r="BI136" i="7"/>
  <c r="AC136" i="7" s="1"/>
  <c r="I129" i="7"/>
  <c r="BH129" i="7"/>
  <c r="AB129" i="7" s="1"/>
  <c r="AW129" i="7"/>
  <c r="I114" i="7"/>
  <c r="BH114" i="7"/>
  <c r="AB114" i="7" s="1"/>
  <c r="AW114" i="7"/>
  <c r="J93" i="7"/>
  <c r="AX93" i="7"/>
  <c r="J65" i="7"/>
  <c r="AX65" i="7"/>
  <c r="BI65" i="7"/>
  <c r="AC65" i="7" s="1"/>
  <c r="I56" i="7"/>
  <c r="I55" i="7" s="1"/>
  <c r="E21" i="6" s="1"/>
  <c r="BH56" i="7"/>
  <c r="AB56" i="7" s="1"/>
  <c r="AW56" i="7"/>
  <c r="J53" i="7"/>
  <c r="J52" i="7"/>
  <c r="AX52" i="7"/>
  <c r="BI52" i="7"/>
  <c r="AC52" i="7" s="1"/>
  <c r="BH34" i="7"/>
  <c r="AB34" i="7" s="1"/>
  <c r="AW34" i="7"/>
  <c r="I34" i="7"/>
  <c r="AU32" i="7"/>
  <c r="BH195" i="7"/>
  <c r="AD195" i="7" s="1"/>
  <c r="AV195" i="7"/>
  <c r="AX194" i="7"/>
  <c r="AX189" i="7"/>
  <c r="AX186" i="7"/>
  <c r="I185" i="7"/>
  <c r="BH176" i="7"/>
  <c r="AD176" i="7" s="1"/>
  <c r="AX154" i="7"/>
  <c r="I143" i="7"/>
  <c r="AX127" i="7"/>
  <c r="BH124" i="7"/>
  <c r="AB124" i="7" s="1"/>
  <c r="J124" i="7"/>
  <c r="AS102" i="7"/>
  <c r="BH88" i="7"/>
  <c r="AB88" i="7" s="1"/>
  <c r="AU46" i="7"/>
  <c r="AU37" i="7"/>
  <c r="BH31" i="7"/>
  <c r="AB31" i="7" s="1"/>
  <c r="J31" i="7"/>
  <c r="BI162" i="7"/>
  <c r="AS95" i="7"/>
  <c r="K95" i="7"/>
  <c r="G27" i="6" s="1"/>
  <c r="I27" i="6" s="1"/>
  <c r="AS92" i="7"/>
  <c r="BI67" i="7"/>
  <c r="AC67" i="7" s="1"/>
  <c r="BI62" i="7"/>
  <c r="AC62" i="7" s="1"/>
  <c r="AS51" i="7"/>
  <c r="AU43" i="7"/>
  <c r="BC433" i="7"/>
  <c r="AV433" i="7"/>
  <c r="BC453" i="7"/>
  <c r="AV453" i="7"/>
  <c r="I562" i="7"/>
  <c r="I559" i="7"/>
  <c r="BH550" i="7"/>
  <c r="AB550" i="7" s="1"/>
  <c r="AW550" i="7"/>
  <c r="I550" i="7"/>
  <c r="K455" i="7"/>
  <c r="G46" i="6" s="1"/>
  <c r="I46" i="6" s="1"/>
  <c r="I441" i="7"/>
  <c r="BH441" i="7"/>
  <c r="AD441" i="7" s="1"/>
  <c r="AW441" i="7"/>
  <c r="AW406" i="7"/>
  <c r="BH406" i="7"/>
  <c r="AD406" i="7" s="1"/>
  <c r="I406" i="7"/>
  <c r="I385" i="7"/>
  <c r="AW385" i="7"/>
  <c r="BH385" i="7"/>
  <c r="AD385" i="7" s="1"/>
  <c r="BI362" i="7"/>
  <c r="AE362" i="7" s="1"/>
  <c r="AX355" i="7"/>
  <c r="BI355" i="7"/>
  <c r="AE355" i="7" s="1"/>
  <c r="AX226" i="7"/>
  <c r="BC226" i="7" s="1"/>
  <c r="BI226" i="7"/>
  <c r="AE226" i="7" s="1"/>
  <c r="J226" i="7"/>
  <c r="J197" i="7"/>
  <c r="AX197" i="7"/>
  <c r="BI197" i="7"/>
  <c r="AE197" i="7" s="1"/>
  <c r="AW191" i="7"/>
  <c r="BH191" i="7"/>
  <c r="AD191" i="7" s="1"/>
  <c r="AX586" i="7"/>
  <c r="AV586" i="7" s="1"/>
  <c r="BI586" i="7"/>
  <c r="AC586" i="7" s="1"/>
  <c r="BH516" i="7"/>
  <c r="AF516" i="7" s="1"/>
  <c r="AV500" i="7"/>
  <c r="J458" i="7"/>
  <c r="AX458" i="7"/>
  <c r="BI458" i="7"/>
  <c r="AW454" i="7"/>
  <c r="I454" i="7"/>
  <c r="I452" i="7"/>
  <c r="AW452" i="7"/>
  <c r="BH452" i="7"/>
  <c r="AD452" i="7" s="1"/>
  <c r="AW440" i="7"/>
  <c r="BH440" i="7"/>
  <c r="AD440" i="7" s="1"/>
  <c r="I440" i="7"/>
  <c r="AW411" i="7"/>
  <c r="I411" i="7"/>
  <c r="I403" i="7"/>
  <c r="BH403" i="7"/>
  <c r="AD403" i="7" s="1"/>
  <c r="AW403" i="7"/>
  <c r="I395" i="7"/>
  <c r="BH395" i="7"/>
  <c r="AD395" i="7" s="1"/>
  <c r="AW395" i="7"/>
  <c r="I387" i="7"/>
  <c r="BH387" i="7"/>
  <c r="AD387" i="7" s="1"/>
  <c r="AW387" i="7"/>
  <c r="I382" i="7"/>
  <c r="AW382" i="7"/>
  <c r="BH382" i="7"/>
  <c r="AD382" i="7" s="1"/>
  <c r="I380" i="7"/>
  <c r="BH380" i="7"/>
  <c r="AD380" i="7" s="1"/>
  <c r="AW380" i="7"/>
  <c r="J374" i="7"/>
  <c r="AX374" i="7"/>
  <c r="BI374" i="7"/>
  <c r="AE374" i="7" s="1"/>
  <c r="AV371" i="7"/>
  <c r="AX369" i="7"/>
  <c r="I368" i="7"/>
  <c r="AX359" i="7"/>
  <c r="BI359" i="7"/>
  <c r="AE359" i="7" s="1"/>
  <c r="J359" i="7"/>
  <c r="BH355" i="7"/>
  <c r="AD355" i="7" s="1"/>
  <c r="AW355" i="7"/>
  <c r="AV355" i="7" s="1"/>
  <c r="I355" i="7"/>
  <c r="I348" i="7"/>
  <c r="AV344" i="7"/>
  <c r="J344" i="7"/>
  <c r="J342" i="7"/>
  <c r="AX342" i="7"/>
  <c r="AW341" i="7"/>
  <c r="I341" i="7"/>
  <c r="J337" i="7"/>
  <c r="AX337" i="7"/>
  <c r="BI337" i="7"/>
  <c r="AE337" i="7" s="1"/>
  <c r="AX335" i="7"/>
  <c r="BI335" i="7"/>
  <c r="AE335" i="7" s="1"/>
  <c r="J335" i="7"/>
  <c r="AX331" i="7"/>
  <c r="BI331" i="7"/>
  <c r="AE331" i="7" s="1"/>
  <c r="J331" i="7"/>
  <c r="J323" i="7"/>
  <c r="AX323" i="7"/>
  <c r="J318" i="7"/>
  <c r="AX318" i="7"/>
  <c r="AW308" i="7"/>
  <c r="BH308" i="7"/>
  <c r="AD308" i="7" s="1"/>
  <c r="BC293" i="7"/>
  <c r="AV293" i="7"/>
  <c r="BH289" i="7"/>
  <c r="AD289" i="7" s="1"/>
  <c r="I289" i="7"/>
  <c r="AW289" i="7"/>
  <c r="J285" i="7"/>
  <c r="J283" i="7"/>
  <c r="AX283" i="7"/>
  <c r="I282" i="7"/>
  <c r="BH282" i="7"/>
  <c r="AD282" i="7" s="1"/>
  <c r="AW282" i="7"/>
  <c r="J279" i="7"/>
  <c r="AX279" i="7"/>
  <c r="BI279" i="7"/>
  <c r="AE279" i="7" s="1"/>
  <c r="AW277" i="7"/>
  <c r="BH277" i="7"/>
  <c r="AD277" i="7" s="1"/>
  <c r="I277" i="7"/>
  <c r="J260" i="7"/>
  <c r="AX260" i="7"/>
  <c r="J256" i="7"/>
  <c r="AX256" i="7"/>
  <c r="BI256" i="7"/>
  <c r="AE256" i="7" s="1"/>
  <c r="BH253" i="7"/>
  <c r="AD253" i="7" s="1"/>
  <c r="AW253" i="7"/>
  <c r="AX249" i="7"/>
  <c r="BI249" i="7"/>
  <c r="AE249" i="7" s="1"/>
  <c r="J249" i="7"/>
  <c r="I238" i="7"/>
  <c r="BH238" i="7"/>
  <c r="AD238" i="7" s="1"/>
  <c r="AW238" i="7"/>
  <c r="I207" i="7"/>
  <c r="AW207" i="7"/>
  <c r="BH207" i="7"/>
  <c r="AD207" i="7" s="1"/>
  <c r="BI184" i="7"/>
  <c r="AE184" i="7" s="1"/>
  <c r="AX184" i="7"/>
  <c r="J184" i="7"/>
  <c r="I16" i="7"/>
  <c r="AW16" i="7"/>
  <c r="AV16" i="7" s="1"/>
  <c r="BH16" i="7"/>
  <c r="AB16" i="7" s="1"/>
  <c r="I554" i="7"/>
  <c r="AW554" i="7"/>
  <c r="BH543" i="7"/>
  <c r="AB543" i="7" s="1"/>
  <c r="AW543" i="7"/>
  <c r="I543" i="7"/>
  <c r="J470" i="7"/>
  <c r="J452" i="7"/>
  <c r="AX452" i="7"/>
  <c r="BI452" i="7"/>
  <c r="AE452" i="7" s="1"/>
  <c r="BI447" i="7"/>
  <c r="AE447" i="7" s="1"/>
  <c r="J440" i="7"/>
  <c r="BH418" i="7"/>
  <c r="AD418" i="7" s="1"/>
  <c r="AW398" i="7"/>
  <c r="BH398" i="7"/>
  <c r="AD398" i="7" s="1"/>
  <c r="I398" i="7"/>
  <c r="AS383" i="7"/>
  <c r="J382" i="7"/>
  <c r="AX382" i="7"/>
  <c r="BI382" i="7"/>
  <c r="AE382" i="7" s="1"/>
  <c r="J355" i="7"/>
  <c r="I325" i="7"/>
  <c r="BH325" i="7"/>
  <c r="AD325" i="7" s="1"/>
  <c r="AW325" i="7"/>
  <c r="I309" i="7"/>
  <c r="BH309" i="7"/>
  <c r="AD309" i="7" s="1"/>
  <c r="AW309" i="7"/>
  <c r="I294" i="7"/>
  <c r="BH294" i="7"/>
  <c r="AD294" i="7" s="1"/>
  <c r="AW294" i="7"/>
  <c r="I248" i="7"/>
  <c r="AW248" i="7"/>
  <c r="BH248" i="7"/>
  <c r="AD248" i="7" s="1"/>
  <c r="AX233" i="7"/>
  <c r="AV233" i="7" s="1"/>
  <c r="BI233" i="7"/>
  <c r="AE233" i="7" s="1"/>
  <c r="AX218" i="7"/>
  <c r="BI218" i="7"/>
  <c r="AE218" i="7" s="1"/>
  <c r="I204" i="7"/>
  <c r="BH204" i="7"/>
  <c r="AD204" i="7" s="1"/>
  <c r="AW204" i="7"/>
  <c r="I192" i="7"/>
  <c r="BH192" i="7"/>
  <c r="AD192" i="7" s="1"/>
  <c r="AW192" i="7"/>
  <c r="I191" i="7"/>
  <c r="BI580" i="7"/>
  <c r="AC580" i="7" s="1"/>
  <c r="AV578" i="7"/>
  <c r="BC558" i="7"/>
  <c r="AV558" i="7"/>
  <c r="J517" i="7"/>
  <c r="AX517" i="7"/>
  <c r="BI517" i="7"/>
  <c r="AG517" i="7" s="1"/>
  <c r="I507" i="7"/>
  <c r="AW507" i="7"/>
  <c r="BH507" i="7"/>
  <c r="AB507" i="7" s="1"/>
  <c r="AX484" i="7"/>
  <c r="BI484" i="7"/>
  <c r="AE484" i="7" s="1"/>
  <c r="AV481" i="7"/>
  <c r="BC478" i="7"/>
  <c r="AV478" i="7"/>
  <c r="BI470" i="7"/>
  <c r="AX569" i="7"/>
  <c r="BI569" i="7"/>
  <c r="AC569" i="7" s="1"/>
  <c r="J569" i="7"/>
  <c r="AV566" i="7"/>
  <c r="AW562" i="7"/>
  <c r="AW559" i="7"/>
  <c r="J558" i="7"/>
  <c r="BH551" i="7"/>
  <c r="AB551" i="7" s="1"/>
  <c r="AW551" i="7"/>
  <c r="I551" i="7"/>
  <c r="AV546" i="7"/>
  <c r="AX541" i="7"/>
  <c r="BI541" i="7"/>
  <c r="AC541" i="7" s="1"/>
  <c r="J541" i="7"/>
  <c r="AX534" i="7"/>
  <c r="BI534" i="7"/>
  <c r="AC534" i="7" s="1"/>
  <c r="J534" i="7"/>
  <c r="AV530" i="7"/>
  <c r="BH526" i="7"/>
  <c r="AB526" i="7" s="1"/>
  <c r="I526" i="7"/>
  <c r="AW526" i="7"/>
  <c r="J525" i="7"/>
  <c r="I513" i="7"/>
  <c r="AX511" i="7"/>
  <c r="BI511" i="7"/>
  <c r="AC511" i="7" s="1"/>
  <c r="BH509" i="7"/>
  <c r="AB509" i="7" s="1"/>
  <c r="AW509" i="7"/>
  <c r="I509" i="7"/>
  <c r="AV496" i="7"/>
  <c r="BC492" i="7"/>
  <c r="I489" i="7"/>
  <c r="AX467" i="7"/>
  <c r="AV467" i="7" s="1"/>
  <c r="BI467" i="7"/>
  <c r="AE467" i="7" s="1"/>
  <c r="J467" i="7"/>
  <c r="I457" i="7"/>
  <c r="BH457" i="7"/>
  <c r="AD457" i="7" s="1"/>
  <c r="AW457" i="7"/>
  <c r="AW449" i="7"/>
  <c r="I449" i="7"/>
  <c r="I443" i="7"/>
  <c r="AW443" i="7"/>
  <c r="BH443" i="7"/>
  <c r="AD443" i="7" s="1"/>
  <c r="BC436" i="7"/>
  <c r="I435" i="7"/>
  <c r="AW435" i="7"/>
  <c r="BH435" i="7"/>
  <c r="AD435" i="7" s="1"/>
  <c r="I433" i="7"/>
  <c r="AX425" i="7"/>
  <c r="BI425" i="7"/>
  <c r="AE425" i="7" s="1"/>
  <c r="J425" i="7"/>
  <c r="AW410" i="7"/>
  <c r="BH410" i="7"/>
  <c r="AD410" i="7" s="1"/>
  <c r="I410" i="7"/>
  <c r="AW402" i="7"/>
  <c r="BH402" i="7"/>
  <c r="AD402" i="7" s="1"/>
  <c r="I402" i="7"/>
  <c r="AW394" i="7"/>
  <c r="BH394" i="7"/>
  <c r="AD394" i="7" s="1"/>
  <c r="I394" i="7"/>
  <c r="AW379" i="7"/>
  <c r="BH379" i="7"/>
  <c r="AD379" i="7" s="1"/>
  <c r="I379" i="7"/>
  <c r="BH375" i="7"/>
  <c r="AD375" i="7" s="1"/>
  <c r="AW375" i="7"/>
  <c r="I374" i="7"/>
  <c r="AW374" i="7"/>
  <c r="BC374" i="7" s="1"/>
  <c r="BH374" i="7"/>
  <c r="AD374" i="7" s="1"/>
  <c r="J370" i="7"/>
  <c r="AX370" i="7"/>
  <c r="BI370" i="7"/>
  <c r="AE370" i="7" s="1"/>
  <c r="J358" i="7"/>
  <c r="AX358" i="7"/>
  <c r="I353" i="7"/>
  <c r="BH353" i="7"/>
  <c r="AD353" i="7" s="1"/>
  <c r="AW353" i="7"/>
  <c r="I313" i="7"/>
  <c r="BH313" i="7"/>
  <c r="AD313" i="7" s="1"/>
  <c r="AW313" i="7"/>
  <c r="J301" i="7"/>
  <c r="AW297" i="7"/>
  <c r="BH297" i="7"/>
  <c r="AD297" i="7" s="1"/>
  <c r="I276" i="7"/>
  <c r="BH276" i="7"/>
  <c r="AD276" i="7" s="1"/>
  <c r="AW276" i="7"/>
  <c r="AW270" i="7"/>
  <c r="I270" i="7"/>
  <c r="AX269" i="7"/>
  <c r="BI269" i="7"/>
  <c r="AE269" i="7" s="1"/>
  <c r="J269" i="7"/>
  <c r="AW257" i="7"/>
  <c r="BH257" i="7"/>
  <c r="AD257" i="7" s="1"/>
  <c r="AX241" i="7"/>
  <c r="BI241" i="7"/>
  <c r="AE241" i="7" s="1"/>
  <c r="J241" i="7"/>
  <c r="AW200" i="7"/>
  <c r="I200" i="7"/>
  <c r="I187" i="7"/>
  <c r="AW187" i="7"/>
  <c r="BC187" i="7" s="1"/>
  <c r="AW184" i="7"/>
  <c r="BH184" i="7"/>
  <c r="AD184" i="7" s="1"/>
  <c r="I184" i="7"/>
  <c r="I166" i="7"/>
  <c r="AW166" i="7"/>
  <c r="BH166" i="7"/>
  <c r="AU155" i="7"/>
  <c r="AW140" i="7"/>
  <c r="I140" i="7"/>
  <c r="I74" i="7"/>
  <c r="BH74" i="7"/>
  <c r="AB74" i="7" s="1"/>
  <c r="AW74" i="7"/>
  <c r="AV74" i="7" s="1"/>
  <c r="AW63" i="7"/>
  <c r="I63" i="7"/>
  <c r="AX56" i="7"/>
  <c r="AV56" i="7" s="1"/>
  <c r="BI56" i="7"/>
  <c r="AC56" i="7" s="1"/>
  <c r="J56" i="7"/>
  <c r="J55" i="7" s="1"/>
  <c r="F21" i="6" s="1"/>
  <c r="AX49" i="7"/>
  <c r="BI49" i="7"/>
  <c r="AC49" i="7" s="1"/>
  <c r="BH18" i="7"/>
  <c r="AB18" i="7" s="1"/>
  <c r="AW18" i="7"/>
  <c r="J574" i="7"/>
  <c r="AX545" i="7"/>
  <c r="BI545" i="7"/>
  <c r="AC545" i="7" s="1"/>
  <c r="AX529" i="7"/>
  <c r="BI529" i="7"/>
  <c r="AC529" i="7" s="1"/>
  <c r="BH527" i="7"/>
  <c r="AB527" i="7" s="1"/>
  <c r="AW527" i="7"/>
  <c r="BH513" i="7"/>
  <c r="AB513" i="7" s="1"/>
  <c r="BI507" i="7"/>
  <c r="AC507" i="7" s="1"/>
  <c r="AX507" i="7"/>
  <c r="J507" i="7"/>
  <c r="BH489" i="7"/>
  <c r="AF489" i="7" s="1"/>
  <c r="I480" i="7"/>
  <c r="AW480" i="7"/>
  <c r="BH480" i="7"/>
  <c r="AD480" i="7" s="1"/>
  <c r="I418" i="7"/>
  <c r="AW390" i="7"/>
  <c r="BH390" i="7"/>
  <c r="AD390" i="7" s="1"/>
  <c r="I390" i="7"/>
  <c r="AX378" i="7"/>
  <c r="BI378" i="7"/>
  <c r="AE378" i="7" s="1"/>
  <c r="AX348" i="7"/>
  <c r="BI348" i="7"/>
  <c r="AE348" i="7" s="1"/>
  <c r="J348" i="7"/>
  <c r="AW345" i="7"/>
  <c r="I345" i="7"/>
  <c r="BH328" i="7"/>
  <c r="AD328" i="7" s="1"/>
  <c r="AW328" i="7"/>
  <c r="AW286" i="7"/>
  <c r="I286" i="7"/>
  <c r="AX277" i="7"/>
  <c r="BI277" i="7"/>
  <c r="AE277" i="7" s="1"/>
  <c r="AX273" i="7"/>
  <c r="AV273" i="7" s="1"/>
  <c r="BI273" i="7"/>
  <c r="AE273" i="7" s="1"/>
  <c r="J273" i="7"/>
  <c r="I234" i="7"/>
  <c r="BH234" i="7"/>
  <c r="AD234" i="7" s="1"/>
  <c r="AW234" i="7"/>
  <c r="I206" i="7"/>
  <c r="AW206" i="7"/>
  <c r="BH206" i="7"/>
  <c r="AD206" i="7" s="1"/>
  <c r="AW203" i="7"/>
  <c r="BH203" i="7"/>
  <c r="AD203" i="7" s="1"/>
  <c r="I203" i="7"/>
  <c r="AX199" i="7"/>
  <c r="BC199" i="7" s="1"/>
  <c r="BI199" i="7"/>
  <c r="AE199" i="7" s="1"/>
  <c r="AW171" i="7"/>
  <c r="BH171" i="7"/>
  <c r="I171" i="7"/>
  <c r="J542" i="7"/>
  <c r="AX542" i="7"/>
  <c r="AV542" i="7" s="1"/>
  <c r="BI542" i="7"/>
  <c r="AC542" i="7" s="1"/>
  <c r="AX522" i="7"/>
  <c r="AV522" i="7" s="1"/>
  <c r="J522" i="7"/>
  <c r="AW600" i="7"/>
  <c r="BC599" i="7"/>
  <c r="J577" i="7"/>
  <c r="BI574" i="7"/>
  <c r="AC574" i="7" s="1"/>
  <c r="J572" i="7"/>
  <c r="BI572" i="7"/>
  <c r="AC572" i="7" s="1"/>
  <c r="BH600" i="7"/>
  <c r="AB600" i="7" s="1"/>
  <c r="AX598" i="7"/>
  <c r="BI598" i="7"/>
  <c r="AC598" i="7" s="1"/>
  <c r="J598" i="7"/>
  <c r="K593" i="7"/>
  <c r="G53" i="6" s="1"/>
  <c r="I53" i="6" s="1"/>
  <c r="AX590" i="7"/>
  <c r="BC590" i="7" s="1"/>
  <c r="BI590" i="7"/>
  <c r="AC590" i="7" s="1"/>
  <c r="J586" i="7"/>
  <c r="AX582" i="7"/>
  <c r="BC582" i="7" s="1"/>
  <c r="BI582" i="7"/>
  <c r="AC582" i="7" s="1"/>
  <c r="BI577" i="7"/>
  <c r="AC577" i="7" s="1"/>
  <c r="BH574" i="7"/>
  <c r="AB574" i="7" s="1"/>
  <c r="AW574" i="7"/>
  <c r="BI570" i="7"/>
  <c r="AC570" i="7" s="1"/>
  <c r="BC570" i="7"/>
  <c r="J570" i="7"/>
  <c r="AX562" i="7"/>
  <c r="J562" i="7"/>
  <c r="I561" i="7"/>
  <c r="AW561" i="7"/>
  <c r="BC561" i="7" s="1"/>
  <c r="BH561" i="7"/>
  <c r="AB561" i="7" s="1"/>
  <c r="I558" i="7"/>
  <c r="BH558" i="7"/>
  <c r="AB558" i="7" s="1"/>
  <c r="AX554" i="7"/>
  <c r="AV554" i="7" s="1"/>
  <c r="BI554" i="7"/>
  <c r="AC554" i="7" s="1"/>
  <c r="J554" i="7"/>
  <c r="BI548" i="7"/>
  <c r="AC548" i="7" s="1"/>
  <c r="AX548" i="7"/>
  <c r="J545" i="7"/>
  <c r="I541" i="7"/>
  <c r="AW541" i="7"/>
  <c r="BH541" i="7"/>
  <c r="AB541" i="7" s="1"/>
  <c r="I534" i="7"/>
  <c r="AW534" i="7"/>
  <c r="J529" i="7"/>
  <c r="BI525" i="7"/>
  <c r="AC525" i="7" s="1"/>
  <c r="I516" i="7"/>
  <c r="BC512" i="7"/>
  <c r="J508" i="7"/>
  <c r="BI508" i="7"/>
  <c r="AC508" i="7" s="1"/>
  <c r="AX508" i="7"/>
  <c r="BC508" i="7" s="1"/>
  <c r="I501" i="7"/>
  <c r="AV492" i="7"/>
  <c r="BC488" i="7"/>
  <c r="AU485" i="7"/>
  <c r="AU471" i="7"/>
  <c r="BC467" i="7"/>
  <c r="AX463" i="7"/>
  <c r="BC463" i="7" s="1"/>
  <c r="BI463" i="7"/>
  <c r="AE463" i="7" s="1"/>
  <c r="J463" i="7"/>
  <c r="I460" i="7"/>
  <c r="AW456" i="7"/>
  <c r="BH456" i="7"/>
  <c r="AD456" i="7" s="1"/>
  <c r="I456" i="7"/>
  <c r="BH453" i="7"/>
  <c r="AD453" i="7" s="1"/>
  <c r="AX447" i="7"/>
  <c r="AW445" i="7"/>
  <c r="I445" i="7"/>
  <c r="AX439" i="7"/>
  <c r="BI439" i="7"/>
  <c r="AE439" i="7" s="1"/>
  <c r="AV436" i="7"/>
  <c r="AU434" i="7"/>
  <c r="BH433" i="7"/>
  <c r="AX428" i="7"/>
  <c r="AW425" i="7"/>
  <c r="BH425" i="7"/>
  <c r="AD425" i="7" s="1"/>
  <c r="I425" i="7"/>
  <c r="AX418" i="7"/>
  <c r="AV418" i="7" s="1"/>
  <c r="BI418" i="7"/>
  <c r="AE418" i="7" s="1"/>
  <c r="J418" i="7"/>
  <c r="I407" i="7"/>
  <c r="BH407" i="7"/>
  <c r="AD407" i="7" s="1"/>
  <c r="AW407" i="7"/>
  <c r="I399" i="7"/>
  <c r="BH399" i="7"/>
  <c r="AD399" i="7" s="1"/>
  <c r="AW399" i="7"/>
  <c r="I391" i="7"/>
  <c r="BH391" i="7"/>
  <c r="AD391" i="7" s="1"/>
  <c r="AW391" i="7"/>
  <c r="J378" i="7"/>
  <c r="I370" i="7"/>
  <c r="AW370" i="7"/>
  <c r="BH370" i="7"/>
  <c r="AD370" i="7" s="1"/>
  <c r="BH367" i="7"/>
  <c r="AD367" i="7" s="1"/>
  <c r="AW367" i="7"/>
  <c r="AX362" i="7"/>
  <c r="J361" i="7"/>
  <c r="BI361" i="7"/>
  <c r="AE361" i="7" s="1"/>
  <c r="BI358" i="7"/>
  <c r="AE358" i="7" s="1"/>
  <c r="AX351" i="7"/>
  <c r="J350" i="7"/>
  <c r="BI350" i="7"/>
  <c r="AE350" i="7" s="1"/>
  <c r="J333" i="7"/>
  <c r="AX333" i="7"/>
  <c r="I328" i="7"/>
  <c r="AX320" i="7"/>
  <c r="AV320" i="7" s="1"/>
  <c r="BI320" i="7"/>
  <c r="AE320" i="7" s="1"/>
  <c r="J320" i="7"/>
  <c r="AX316" i="7"/>
  <c r="BI316" i="7"/>
  <c r="AE316" i="7" s="1"/>
  <c r="J316" i="7"/>
  <c r="J312" i="7"/>
  <c r="BH305" i="7"/>
  <c r="AD305" i="7" s="1"/>
  <c r="I305" i="7"/>
  <c r="AW305" i="7"/>
  <c r="AX292" i="7"/>
  <c r="BI292" i="7"/>
  <c r="AE292" i="7" s="1"/>
  <c r="AX265" i="7"/>
  <c r="BI265" i="7"/>
  <c r="AE265" i="7" s="1"/>
  <c r="J265" i="7"/>
  <c r="I262" i="7"/>
  <c r="AW246" i="7"/>
  <c r="I246" i="7"/>
  <c r="I241" i="7"/>
  <c r="J236" i="7"/>
  <c r="AX236" i="7"/>
  <c r="J203" i="7"/>
  <c r="J191" i="7"/>
  <c r="AX176" i="7"/>
  <c r="AV176" i="7" s="1"/>
  <c r="BI176" i="7"/>
  <c r="AE176" i="7" s="1"/>
  <c r="J176" i="7"/>
  <c r="BH168" i="7"/>
  <c r="AW168" i="7"/>
  <c r="I168" i="7"/>
  <c r="AV538" i="7"/>
  <c r="I531" i="7"/>
  <c r="BI521" i="7"/>
  <c r="AC521" i="7" s="1"/>
  <c r="AV504" i="7"/>
  <c r="AS479" i="7"/>
  <c r="J481" i="7"/>
  <c r="I467" i="7"/>
  <c r="I463" i="7"/>
  <c r="AU455" i="7"/>
  <c r="J448" i="7"/>
  <c r="AV444" i="7"/>
  <c r="J444" i="7"/>
  <c r="J436" i="7"/>
  <c r="AS421" i="7"/>
  <c r="AV386" i="7"/>
  <c r="J386" i="7"/>
  <c r="J352" i="7"/>
  <c r="J340" i="7"/>
  <c r="J326" i="7"/>
  <c r="AX326" i="7"/>
  <c r="AX324" i="7"/>
  <c r="BI324" i="7"/>
  <c r="AE324" i="7" s="1"/>
  <c r="J324" i="7"/>
  <c r="AX307" i="7"/>
  <c r="BI307" i="7"/>
  <c r="AE307" i="7" s="1"/>
  <c r="I304" i="7"/>
  <c r="AW304" i="7"/>
  <c r="BC304" i="7" s="1"/>
  <c r="BH304" i="7"/>
  <c r="AD304" i="7" s="1"/>
  <c r="AW301" i="7"/>
  <c r="BH301" i="7"/>
  <c r="AD301" i="7" s="1"/>
  <c r="I301" i="7"/>
  <c r="J299" i="7"/>
  <c r="AX299" i="7"/>
  <c r="BI299" i="7"/>
  <c r="AE299" i="7" s="1"/>
  <c r="I288" i="7"/>
  <c r="AW288" i="7"/>
  <c r="BH288" i="7"/>
  <c r="AD288" i="7" s="1"/>
  <c r="AX284" i="7"/>
  <c r="AV281" i="7"/>
  <c r="J281" i="7"/>
  <c r="I278" i="7"/>
  <c r="BH278" i="7"/>
  <c r="AD278" i="7" s="1"/>
  <c r="I261" i="7"/>
  <c r="BI257" i="7"/>
  <c r="AE257" i="7" s="1"/>
  <c r="BH242" i="7"/>
  <c r="AD242" i="7" s="1"/>
  <c r="J240" i="7"/>
  <c r="AX240" i="7"/>
  <c r="AX211" i="7"/>
  <c r="AV211" i="7" s="1"/>
  <c r="BI211" i="7"/>
  <c r="AE211" i="7" s="1"/>
  <c r="J211" i="7"/>
  <c r="J209" i="7"/>
  <c r="AX209" i="7"/>
  <c r="BI209" i="7"/>
  <c r="AE209" i="7" s="1"/>
  <c r="BC195" i="7"/>
  <c r="I194" i="7"/>
  <c r="AW194" i="7"/>
  <c r="BH194" i="7"/>
  <c r="AD194" i="7" s="1"/>
  <c r="BI193" i="7"/>
  <c r="AE193" i="7" s="1"/>
  <c r="AX193" i="7"/>
  <c r="BH144" i="7"/>
  <c r="AB144" i="7" s="1"/>
  <c r="AW144" i="7"/>
  <c r="AX135" i="7"/>
  <c r="BI135" i="7"/>
  <c r="AC135" i="7" s="1"/>
  <c r="AX128" i="7"/>
  <c r="J128" i="7"/>
  <c r="BH97" i="7"/>
  <c r="AB97" i="7" s="1"/>
  <c r="AW97" i="7"/>
  <c r="I97" i="7"/>
  <c r="AX84" i="7"/>
  <c r="BI84" i="7"/>
  <c r="AC84" i="7" s="1"/>
  <c r="AX80" i="7"/>
  <c r="BC80" i="7" s="1"/>
  <c r="BI80" i="7"/>
  <c r="AC80" i="7" s="1"/>
  <c r="I567" i="7"/>
  <c r="BI552" i="7"/>
  <c r="AC552" i="7" s="1"/>
  <c r="BH542" i="7"/>
  <c r="AB542" i="7" s="1"/>
  <c r="BI532" i="7"/>
  <c r="AC532" i="7" s="1"/>
  <c r="AV526" i="7"/>
  <c r="BI512" i="7"/>
  <c r="AC512" i="7" s="1"/>
  <c r="BH508" i="7"/>
  <c r="AB508" i="7" s="1"/>
  <c r="BI500" i="7"/>
  <c r="AC500" i="7" s="1"/>
  <c r="BI496" i="7"/>
  <c r="AC496" i="7" s="1"/>
  <c r="BI492" i="7"/>
  <c r="AC492" i="7" s="1"/>
  <c r="BI488" i="7"/>
  <c r="AG488" i="7" s="1"/>
  <c r="BI481" i="7"/>
  <c r="AE481" i="7" s="1"/>
  <c r="BH467" i="7"/>
  <c r="AD467" i="7" s="1"/>
  <c r="BH463" i="7"/>
  <c r="AD463" i="7" s="1"/>
  <c r="AT455" i="7"/>
  <c r="BI436" i="7"/>
  <c r="AE436" i="7" s="1"/>
  <c r="AV375" i="7"/>
  <c r="J375" i="7"/>
  <c r="J367" i="7"/>
  <c r="BI365" i="7"/>
  <c r="AE365" i="7" s="1"/>
  <c r="J328" i="7"/>
  <c r="BI326" i="7"/>
  <c r="AE326" i="7" s="1"/>
  <c r="BC316" i="7"/>
  <c r="I296" i="7"/>
  <c r="AW296" i="7"/>
  <c r="BH296" i="7"/>
  <c r="AD296" i="7" s="1"/>
  <c r="AX276" i="7"/>
  <c r="BI276" i="7"/>
  <c r="AE276" i="7" s="1"/>
  <c r="I266" i="7"/>
  <c r="BH266" i="7"/>
  <c r="AD266" i="7" s="1"/>
  <c r="AW250" i="7"/>
  <c r="I250" i="7"/>
  <c r="J232" i="7"/>
  <c r="AX232" i="7"/>
  <c r="AW222" i="7"/>
  <c r="BH222" i="7"/>
  <c r="AD222" i="7" s="1"/>
  <c r="I222" i="7"/>
  <c r="BC211" i="7"/>
  <c r="J206" i="7"/>
  <c r="AX206" i="7"/>
  <c r="BI206" i="7"/>
  <c r="AE206" i="7" s="1"/>
  <c r="AX202" i="7"/>
  <c r="BI202" i="7"/>
  <c r="AE202" i="7" s="1"/>
  <c r="AX190" i="7"/>
  <c r="BI190" i="7"/>
  <c r="AE190" i="7" s="1"/>
  <c r="AX187" i="7"/>
  <c r="BI187" i="7"/>
  <c r="J187" i="7"/>
  <c r="AX183" i="7"/>
  <c r="BC183" i="7" s="1"/>
  <c r="BI183" i="7"/>
  <c r="AE183" i="7" s="1"/>
  <c r="J182" i="7"/>
  <c r="AX182" i="7"/>
  <c r="BI182" i="7"/>
  <c r="AE182" i="7" s="1"/>
  <c r="I173" i="7"/>
  <c r="I172" i="7" s="1"/>
  <c r="E34" i="6" s="1"/>
  <c r="AW173" i="7"/>
  <c r="BH173" i="7"/>
  <c r="AW159" i="7"/>
  <c r="BH159" i="7"/>
  <c r="BH136" i="7"/>
  <c r="AB136" i="7" s="1"/>
  <c r="I136" i="7"/>
  <c r="AW136" i="7"/>
  <c r="AV136" i="7" s="1"/>
  <c r="I211" i="7"/>
  <c r="I199" i="7"/>
  <c r="J195" i="7"/>
  <c r="AW177" i="7"/>
  <c r="BH177" i="7"/>
  <c r="AD177" i="7" s="1"/>
  <c r="I177" i="7"/>
  <c r="AX167" i="7"/>
  <c r="BI167" i="7"/>
  <c r="J167" i="7"/>
  <c r="I152" i="7"/>
  <c r="AW152" i="7"/>
  <c r="BH152" i="7"/>
  <c r="AB152" i="7" s="1"/>
  <c r="AX147" i="7"/>
  <c r="BI147" i="7"/>
  <c r="AC147" i="7" s="1"/>
  <c r="J146" i="7"/>
  <c r="AX146" i="7"/>
  <c r="BI146" i="7"/>
  <c r="AC146" i="7" s="1"/>
  <c r="I145" i="7"/>
  <c r="AW145" i="7"/>
  <c r="J143" i="7"/>
  <c r="AX143" i="7"/>
  <c r="AV143" i="7" s="1"/>
  <c r="BI143" i="7"/>
  <c r="AC143" i="7" s="1"/>
  <c r="J131" i="7"/>
  <c r="BC124" i="7"/>
  <c r="J25" i="7"/>
  <c r="AX25" i="7"/>
  <c r="BI25" i="7"/>
  <c r="AC25" i="7" s="1"/>
  <c r="AV305" i="7"/>
  <c r="J305" i="7"/>
  <c r="J289" i="7"/>
  <c r="J261" i="7"/>
  <c r="J245" i="7"/>
  <c r="C21" i="5"/>
  <c r="AU230" i="7"/>
  <c r="AU214" i="7"/>
  <c r="BH211" i="7"/>
  <c r="AD211" i="7" s="1"/>
  <c r="BH199" i="7"/>
  <c r="AD199" i="7" s="1"/>
  <c r="BI195" i="7"/>
  <c r="AE195" i="7" s="1"/>
  <c r="AX173" i="7"/>
  <c r="BC173" i="7" s="1"/>
  <c r="BI173" i="7"/>
  <c r="J173" i="7"/>
  <c r="J172" i="7" s="1"/>
  <c r="F34" i="6" s="1"/>
  <c r="I163" i="7"/>
  <c r="AW163" i="7"/>
  <c r="BH163" i="7"/>
  <c r="J162" i="7"/>
  <c r="BC143" i="7"/>
  <c r="J138" i="7"/>
  <c r="AX138" i="7"/>
  <c r="BI138" i="7"/>
  <c r="AC138" i="7" s="1"/>
  <c r="I137" i="7"/>
  <c r="BI131" i="7"/>
  <c r="AC131" i="7" s="1"/>
  <c r="AV124" i="7"/>
  <c r="AU121" i="7"/>
  <c r="AX113" i="7"/>
  <c r="AV113" i="7" s="1"/>
  <c r="BI113" i="7"/>
  <c r="AC113" i="7" s="1"/>
  <c r="J113" i="7"/>
  <c r="AX109" i="7"/>
  <c r="BI109" i="7"/>
  <c r="AC109" i="7" s="1"/>
  <c r="AX61" i="7"/>
  <c r="J61" i="7"/>
  <c r="J180" i="7"/>
  <c r="J106" i="7"/>
  <c r="AX106" i="7"/>
  <c r="AV106" i="7" s="1"/>
  <c r="BI106" i="7"/>
  <c r="AC106" i="7" s="1"/>
  <c r="I93" i="7"/>
  <c r="AW93" i="7"/>
  <c r="BH93" i="7"/>
  <c r="AB93" i="7" s="1"/>
  <c r="BH91" i="7"/>
  <c r="AB91" i="7" s="1"/>
  <c r="AW91" i="7"/>
  <c r="J85" i="7"/>
  <c r="AX85" i="7"/>
  <c r="BH62" i="7"/>
  <c r="AB62" i="7" s="1"/>
  <c r="I62" i="7"/>
  <c r="AW62" i="7"/>
  <c r="K22" i="7"/>
  <c r="G13" i="6" s="1"/>
  <c r="I13" i="6" s="1"/>
  <c r="J17" i="7"/>
  <c r="AX17" i="7"/>
  <c r="BI17" i="7"/>
  <c r="AC17" i="7" s="1"/>
  <c r="I13" i="7"/>
  <c r="AW13" i="7"/>
  <c r="BH13" i="7"/>
  <c r="AB13" i="7" s="1"/>
  <c r="BI180" i="7"/>
  <c r="AE180" i="7" s="1"/>
  <c r="AU174" i="7"/>
  <c r="BH143" i="7"/>
  <c r="AB143" i="7" s="1"/>
  <c r="BI124" i="7"/>
  <c r="AC124" i="7" s="1"/>
  <c r="AX120" i="7"/>
  <c r="BC120" i="7" s="1"/>
  <c r="BI120" i="7"/>
  <c r="AC120" i="7" s="1"/>
  <c r="I105" i="7"/>
  <c r="AW105" i="7"/>
  <c r="BH105" i="7"/>
  <c r="AB105" i="7" s="1"/>
  <c r="J99" i="7"/>
  <c r="AX99" i="7"/>
  <c r="AV99" i="7" s="1"/>
  <c r="BI99" i="7"/>
  <c r="AC99" i="7" s="1"/>
  <c r="AT95" i="7"/>
  <c r="AT92" i="7"/>
  <c r="J89" i="7"/>
  <c r="AX89" i="7"/>
  <c r="BI85" i="7"/>
  <c r="AC85" i="7" s="1"/>
  <c r="BI72" i="7"/>
  <c r="AC72" i="7" s="1"/>
  <c r="I58" i="7"/>
  <c r="I57" i="7" s="1"/>
  <c r="E22" i="6" s="1"/>
  <c r="AW58" i="7"/>
  <c r="BH58" i="7"/>
  <c r="AB58" i="7" s="1"/>
  <c r="AW54" i="7"/>
  <c r="I54" i="7"/>
  <c r="I50" i="7"/>
  <c r="BH50" i="7"/>
  <c r="AB50" i="7" s="1"/>
  <c r="AW50" i="7"/>
  <c r="AV50" i="7" s="1"/>
  <c r="AU27" i="7"/>
  <c r="AS22" i="7"/>
  <c r="AX23" i="7"/>
  <c r="BC23" i="7" s="1"/>
  <c r="BI23" i="7"/>
  <c r="AC23" i="7" s="1"/>
  <c r="J23" i="7"/>
  <c r="C20" i="5"/>
  <c r="BH118" i="7"/>
  <c r="AB118" i="7" s="1"/>
  <c r="BH117" i="7"/>
  <c r="AB117" i="7" s="1"/>
  <c r="AW107" i="7"/>
  <c r="BI105" i="7"/>
  <c r="AC105" i="7" s="1"/>
  <c r="AX105" i="7"/>
  <c r="BC105" i="7" s="1"/>
  <c r="AW100" i="7"/>
  <c r="BH94" i="7"/>
  <c r="AB94" i="7" s="1"/>
  <c r="AU92" i="7"/>
  <c r="AX86" i="7"/>
  <c r="I82" i="7"/>
  <c r="AW76" i="7"/>
  <c r="BI74" i="7"/>
  <c r="AC74" i="7" s="1"/>
  <c r="J74" i="7"/>
  <c r="BH70" i="7"/>
  <c r="AB70" i="7" s="1"/>
  <c r="AV69" i="7"/>
  <c r="AX68" i="7"/>
  <c r="J62" i="7"/>
  <c r="BI58" i="7"/>
  <c r="AC58" i="7" s="1"/>
  <c r="AX58" i="7"/>
  <c r="BI53" i="7"/>
  <c r="AC53" i="7" s="1"/>
  <c r="AW53" i="7"/>
  <c r="AV53" i="7" s="1"/>
  <c r="J50" i="7"/>
  <c r="AX42" i="7"/>
  <c r="BI31" i="7"/>
  <c r="AC31" i="7" s="1"/>
  <c r="J30" i="7"/>
  <c r="AS27" i="7"/>
  <c r="AX26" i="7"/>
  <c r="I24" i="7"/>
  <c r="BC106" i="7"/>
  <c r="BH100" i="7"/>
  <c r="AB100" i="7" s="1"/>
  <c r="BC99" i="7"/>
  <c r="AU98" i="7"/>
  <c r="BH76" i="7"/>
  <c r="AB76" i="7" s="1"/>
  <c r="AU59" i="7"/>
  <c r="AU22" i="7"/>
  <c r="AU110" i="7"/>
  <c r="AT98" i="7"/>
  <c r="AU95" i="7"/>
  <c r="J81" i="7"/>
  <c r="AV62" i="7"/>
  <c r="AU51" i="7"/>
  <c r="J34" i="7"/>
  <c r="BI30" i="7"/>
  <c r="AC30" i="7" s="1"/>
  <c r="AW23" i="7"/>
  <c r="BI110" i="35"/>
  <c r="AE110" i="35" s="1"/>
  <c r="BH226" i="35"/>
  <c r="AB226" i="35" s="1"/>
  <c r="AW225" i="35"/>
  <c r="AX212" i="35"/>
  <c r="BI210" i="35"/>
  <c r="AC210" i="35" s="1"/>
  <c r="BI206" i="35"/>
  <c r="AC206" i="35" s="1"/>
  <c r="AX197" i="35"/>
  <c r="BH182" i="35"/>
  <c r="AD182" i="35" s="1"/>
  <c r="AW151" i="35"/>
  <c r="I150" i="35"/>
  <c r="BH130" i="35"/>
  <c r="AD130" i="35" s="1"/>
  <c r="AX129" i="35"/>
  <c r="AX128" i="35"/>
  <c r="AX125" i="35"/>
  <c r="I122" i="35"/>
  <c r="BI109" i="35"/>
  <c r="AE109" i="35" s="1"/>
  <c r="BI105" i="35"/>
  <c r="AE105" i="35" s="1"/>
  <c r="I99" i="35"/>
  <c r="K88" i="35"/>
  <c r="G23" i="34" s="1"/>
  <c r="I23" i="34" s="1"/>
  <c r="BI52" i="35"/>
  <c r="AC52" i="35" s="1"/>
  <c r="AX37" i="35"/>
  <c r="AW36" i="35"/>
  <c r="AW22" i="35"/>
  <c r="BI203" i="35"/>
  <c r="AC203" i="35" s="1"/>
  <c r="BI175" i="35"/>
  <c r="AE175" i="35" s="1"/>
  <c r="BI59" i="35"/>
  <c r="AC59" i="35" s="1"/>
  <c r="BH29" i="35"/>
  <c r="AB29" i="35" s="1"/>
  <c r="BH17" i="35"/>
  <c r="AB17" i="35" s="1"/>
  <c r="AW214" i="35"/>
  <c r="AX209" i="35"/>
  <c r="AW158" i="35"/>
  <c r="AW140" i="35"/>
  <c r="BI118" i="35"/>
  <c r="AE118" i="35" s="1"/>
  <c r="BH117" i="35"/>
  <c r="AD117" i="35" s="1"/>
  <c r="AX116" i="35"/>
  <c r="I103" i="35"/>
  <c r="AX97" i="35"/>
  <c r="AX94" i="35"/>
  <c r="BC94" i="35" s="1"/>
  <c r="BI75" i="35"/>
  <c r="AC75" i="35" s="1"/>
  <c r="AX74" i="35"/>
  <c r="AW73" i="35"/>
  <c r="AW31" i="35"/>
  <c r="BC31" i="35" s="1"/>
  <c r="I17" i="35"/>
  <c r="BI156" i="35"/>
  <c r="AE156" i="35" s="1"/>
  <c r="BH214" i="35"/>
  <c r="AB214" i="35" s="1"/>
  <c r="AX213" i="35"/>
  <c r="AV213" i="35" s="1"/>
  <c r="AW205" i="35"/>
  <c r="BI196" i="35"/>
  <c r="AE196" i="35" s="1"/>
  <c r="BI191" i="35"/>
  <c r="AE191" i="35" s="1"/>
  <c r="BI190" i="35"/>
  <c r="AE190" i="35" s="1"/>
  <c r="AX175" i="35"/>
  <c r="AX163" i="35"/>
  <c r="AX156" i="35"/>
  <c r="BI149" i="35"/>
  <c r="AE149" i="35" s="1"/>
  <c r="BI148" i="35"/>
  <c r="AE148" i="35" s="1"/>
  <c r="BH140" i="35"/>
  <c r="AD140" i="35" s="1"/>
  <c r="I139" i="35"/>
  <c r="I131" i="35"/>
  <c r="BI126" i="35"/>
  <c r="AE126" i="35" s="1"/>
  <c r="AX126" i="35"/>
  <c r="BI124" i="35"/>
  <c r="AE124" i="35" s="1"/>
  <c r="AW106" i="35"/>
  <c r="AW102" i="35"/>
  <c r="I92" i="35"/>
  <c r="BH73" i="35"/>
  <c r="AB73" i="35" s="1"/>
  <c r="AX66" i="35"/>
  <c r="AX59" i="35"/>
  <c r="BI50" i="35"/>
  <c r="AC50" i="35" s="1"/>
  <c r="AW50" i="35"/>
  <c r="BC50" i="35" s="1"/>
  <c r="AW43" i="35"/>
  <c r="BC43" i="35" s="1"/>
  <c r="BH31" i="35"/>
  <c r="AB31" i="35" s="1"/>
  <c r="AS26" i="35"/>
  <c r="AS23" i="35"/>
  <c r="K18" i="35"/>
  <c r="G13" i="34" s="1"/>
  <c r="I13" i="34" s="1"/>
  <c r="I86" i="35"/>
  <c r="J50" i="35"/>
  <c r="J31" i="35"/>
  <c r="BI28" i="35"/>
  <c r="AC28" i="35" s="1"/>
  <c r="K12" i="35"/>
  <c r="G11" i="34" s="1"/>
  <c r="I11" i="34" s="1"/>
  <c r="BI218" i="35"/>
  <c r="AC218" i="35" s="1"/>
  <c r="BI215" i="35"/>
  <c r="AC215" i="35" s="1"/>
  <c r="BI207" i="35"/>
  <c r="AC207" i="35" s="1"/>
  <c r="BH192" i="35"/>
  <c r="AD192" i="35" s="1"/>
  <c r="BH132" i="35"/>
  <c r="AD132" i="35" s="1"/>
  <c r="J205" i="35"/>
  <c r="BI193" i="35"/>
  <c r="AE193" i="35" s="1"/>
  <c r="BI177" i="35"/>
  <c r="AE177" i="35" s="1"/>
  <c r="BI172" i="35"/>
  <c r="AE172" i="35" s="1"/>
  <c r="BI169" i="35"/>
  <c r="AE169" i="35" s="1"/>
  <c r="BI165" i="35"/>
  <c r="AE165" i="35" s="1"/>
  <c r="BI145" i="35"/>
  <c r="AE145" i="35" s="1"/>
  <c r="AW185" i="35"/>
  <c r="AW153" i="35"/>
  <c r="AW146" i="35"/>
  <c r="AW138" i="35"/>
  <c r="BI134" i="35"/>
  <c r="AE134" i="35" s="1"/>
  <c r="AX134" i="35"/>
  <c r="BI121" i="35"/>
  <c r="AE121" i="35" s="1"/>
  <c r="AX121" i="35"/>
  <c r="AW118" i="35"/>
  <c r="AW109" i="35"/>
  <c r="AW105" i="35"/>
  <c r="AV105" i="35" s="1"/>
  <c r="BI95" i="35"/>
  <c r="AE95" i="35" s="1"/>
  <c r="AX95" i="35"/>
  <c r="BI87" i="35"/>
  <c r="AX87" i="35"/>
  <c r="BI84" i="35"/>
  <c r="AX84" i="35"/>
  <c r="AW75" i="35"/>
  <c r="BI72" i="35"/>
  <c r="AC72" i="35" s="1"/>
  <c r="BI67" i="35"/>
  <c r="AC67" i="35" s="1"/>
  <c r="AX67" i="35"/>
  <c r="AX52" i="35"/>
  <c r="AW51" i="35"/>
  <c r="BH43" i="35"/>
  <c r="AB43" i="35" s="1"/>
  <c r="J35" i="35"/>
  <c r="BI27" i="35"/>
  <c r="AC27" i="35" s="1"/>
  <c r="AW19" i="35"/>
  <c r="BC19" i="35" s="1"/>
  <c r="AT18" i="35"/>
  <c r="BI201" i="35"/>
  <c r="AC201" i="35" s="1"/>
  <c r="BI63" i="35"/>
  <c r="AC63" i="35" s="1"/>
  <c r="J28" i="35"/>
  <c r="I19" i="35"/>
  <c r="BH166" i="35"/>
  <c r="AD166" i="35" s="1"/>
  <c r="BI144" i="35"/>
  <c r="AE144" i="35" s="1"/>
  <c r="AX224" i="35"/>
  <c r="BI222" i="35"/>
  <c r="AC222" i="35" s="1"/>
  <c r="BI221" i="35"/>
  <c r="AC221" i="35" s="1"/>
  <c r="AX216" i="35"/>
  <c r="AW210" i="35"/>
  <c r="BI205" i="35"/>
  <c r="AC205" i="35" s="1"/>
  <c r="AX201" i="35"/>
  <c r="BI194" i="35"/>
  <c r="J194" i="35"/>
  <c r="BH185" i="35"/>
  <c r="AD185" i="35" s="1"/>
  <c r="AS184" i="35"/>
  <c r="BI179" i="35"/>
  <c r="AE179" i="35" s="1"/>
  <c r="I173" i="35"/>
  <c r="AW162" i="35"/>
  <c r="BH153" i="35"/>
  <c r="AD153" i="35" s="1"/>
  <c r="BH146" i="35"/>
  <c r="AD146" i="35" s="1"/>
  <c r="BH138" i="35"/>
  <c r="AD138" i="35" s="1"/>
  <c r="BI135" i="35"/>
  <c r="AE135" i="35" s="1"/>
  <c r="BH134" i="35"/>
  <c r="AD134" i="35" s="1"/>
  <c r="AW134" i="35"/>
  <c r="BI122" i="35"/>
  <c r="AE122" i="35" s="1"/>
  <c r="BH121" i="35"/>
  <c r="AD121" i="35" s="1"/>
  <c r="AW121" i="35"/>
  <c r="BH118" i="35"/>
  <c r="AD118" i="35" s="1"/>
  <c r="I114" i="35"/>
  <c r="AX112" i="35"/>
  <c r="BH109" i="35"/>
  <c r="AD109" i="35" s="1"/>
  <c r="BI106" i="35"/>
  <c r="AE106" i="35" s="1"/>
  <c r="AX106" i="35"/>
  <c r="BC106" i="35" s="1"/>
  <c r="BH105" i="35"/>
  <c r="AD105" i="35" s="1"/>
  <c r="BI102" i="35"/>
  <c r="AE102" i="35" s="1"/>
  <c r="AX102" i="35"/>
  <c r="AW98" i="35"/>
  <c r="AV98" i="35" s="1"/>
  <c r="BH95" i="35"/>
  <c r="AD95" i="35" s="1"/>
  <c r="AW95" i="35"/>
  <c r="I89" i="35"/>
  <c r="I88" i="35" s="1"/>
  <c r="E23" i="34" s="1"/>
  <c r="BH84" i="35"/>
  <c r="AW84" i="35"/>
  <c r="I79" i="35"/>
  <c r="BH75" i="35"/>
  <c r="AB75" i="35" s="1"/>
  <c r="AW69" i="35"/>
  <c r="BH67" i="35"/>
  <c r="AB67" i="35" s="1"/>
  <c r="AW67" i="35"/>
  <c r="AX63" i="35"/>
  <c r="AW62" i="35"/>
  <c r="AU53" i="35"/>
  <c r="BH51" i="35"/>
  <c r="AB51" i="35" s="1"/>
  <c r="AW49" i="35"/>
  <c r="AW44" i="35"/>
  <c r="I32" i="35"/>
  <c r="K220" i="35"/>
  <c r="G32" i="34" s="1"/>
  <c r="I32" i="34" s="1"/>
  <c r="I191" i="35"/>
  <c r="BH191" i="35"/>
  <c r="AD191" i="35" s="1"/>
  <c r="K187" i="35"/>
  <c r="G29" i="34" s="1"/>
  <c r="I29" i="34" s="1"/>
  <c r="J181" i="35"/>
  <c r="AX181" i="35"/>
  <c r="BI181" i="35"/>
  <c r="AE181" i="35" s="1"/>
  <c r="I172" i="35"/>
  <c r="AW172" i="35"/>
  <c r="BH172" i="35"/>
  <c r="AD172" i="35" s="1"/>
  <c r="J167" i="35"/>
  <c r="AX167" i="35"/>
  <c r="BI167" i="35"/>
  <c r="AE167" i="35" s="1"/>
  <c r="AX157" i="35"/>
  <c r="BI157" i="35"/>
  <c r="AE157" i="35" s="1"/>
  <c r="J157" i="35"/>
  <c r="J153" i="35"/>
  <c r="J150" i="35"/>
  <c r="AX150" i="35"/>
  <c r="BC150" i="35" s="1"/>
  <c r="BI150" i="35"/>
  <c r="AE150" i="35" s="1"/>
  <c r="I145" i="35"/>
  <c r="BH145" i="35"/>
  <c r="AD145" i="35" s="1"/>
  <c r="I142" i="35"/>
  <c r="BH142" i="35"/>
  <c r="AD142" i="35" s="1"/>
  <c r="AW142" i="35"/>
  <c r="AX138" i="35"/>
  <c r="BI138" i="35"/>
  <c r="AE138" i="35" s="1"/>
  <c r="J138" i="35"/>
  <c r="BC126" i="35"/>
  <c r="AV126" i="35"/>
  <c r="J120" i="35"/>
  <c r="AX120" i="35"/>
  <c r="J98" i="35"/>
  <c r="BC95" i="35"/>
  <c r="AV95" i="35"/>
  <c r="BH85" i="35"/>
  <c r="I85" i="35"/>
  <c r="AW85" i="35"/>
  <c r="J61" i="35"/>
  <c r="AX61" i="35"/>
  <c r="AX39" i="35"/>
  <c r="BI39" i="35"/>
  <c r="AC39" i="35" s="1"/>
  <c r="J39" i="35"/>
  <c r="I35" i="35"/>
  <c r="BH35" i="35"/>
  <c r="AB35" i="35" s="1"/>
  <c r="AW35" i="35"/>
  <c r="AS220" i="35"/>
  <c r="I202" i="35"/>
  <c r="AW202" i="35"/>
  <c r="BI198" i="35"/>
  <c r="AE198" i="35" s="1"/>
  <c r="I194" i="35"/>
  <c r="BH194" i="35"/>
  <c r="BC181" i="35"/>
  <c r="I170" i="35"/>
  <c r="AW170" i="35"/>
  <c r="I159" i="35"/>
  <c r="BH159" i="35"/>
  <c r="AD159" i="35" s="1"/>
  <c r="J137" i="35"/>
  <c r="AX137" i="35"/>
  <c r="BI137" i="35"/>
  <c r="AE137" i="35" s="1"/>
  <c r="AX130" i="35"/>
  <c r="BI130" i="35"/>
  <c r="AE130" i="35" s="1"/>
  <c r="BH119" i="35"/>
  <c r="AD119" i="35" s="1"/>
  <c r="AX91" i="35"/>
  <c r="AV91" i="35" s="1"/>
  <c r="BI91" i="35"/>
  <c r="AE91" i="35" s="1"/>
  <c r="I39" i="35"/>
  <c r="AW39" i="35"/>
  <c r="BC39" i="35" s="1"/>
  <c r="I38" i="35"/>
  <c r="AW38" i="35"/>
  <c r="BH38" i="35"/>
  <c r="AB38" i="35" s="1"/>
  <c r="I224" i="35"/>
  <c r="I220" i="35" s="1"/>
  <c r="E32" i="34" s="1"/>
  <c r="AW224" i="35"/>
  <c r="BH224" i="35"/>
  <c r="AB224" i="35" s="1"/>
  <c r="J223" i="35"/>
  <c r="AX223" i="35"/>
  <c r="BI223" i="35"/>
  <c r="AC223" i="35" s="1"/>
  <c r="AW222" i="35"/>
  <c r="AW221" i="35"/>
  <c r="BH221" i="35"/>
  <c r="AB221" i="35" s="1"/>
  <c r="AX217" i="35"/>
  <c r="BC217" i="35" s="1"/>
  <c r="J217" i="35"/>
  <c r="I216" i="35"/>
  <c r="BH216" i="35"/>
  <c r="AB216" i="35" s="1"/>
  <c r="BH213" i="35"/>
  <c r="AB213" i="35" s="1"/>
  <c r="AW213" i="35"/>
  <c r="I209" i="35"/>
  <c r="AW209" i="35"/>
  <c r="BC209" i="35" s="1"/>
  <c r="BH209" i="35"/>
  <c r="AB209" i="35" s="1"/>
  <c r="AX204" i="35"/>
  <c r="BI204" i="35"/>
  <c r="AC204" i="35" s="1"/>
  <c r="J204" i="35"/>
  <c r="BH201" i="35"/>
  <c r="AB201" i="35" s="1"/>
  <c r="AW201" i="35"/>
  <c r="BH198" i="35"/>
  <c r="AD198" i="35" s="1"/>
  <c r="AX198" i="35"/>
  <c r="AV198" i="35" s="1"/>
  <c r="AU195" i="35"/>
  <c r="AX193" i="35"/>
  <c r="AW191" i="35"/>
  <c r="J189" i="35"/>
  <c r="AX189" i="35"/>
  <c r="BI186" i="35"/>
  <c r="AX186" i="35"/>
  <c r="AX179" i="35"/>
  <c r="AW178" i="35"/>
  <c r="AW177" i="35"/>
  <c r="BH177" i="35"/>
  <c r="AD177" i="35" s="1"/>
  <c r="AX176" i="35"/>
  <c r="AV176" i="35" s="1"/>
  <c r="BI176" i="35"/>
  <c r="AE176" i="35" s="1"/>
  <c r="J176" i="35"/>
  <c r="AX172" i="35"/>
  <c r="AW168" i="35"/>
  <c r="BC168" i="35" s="1"/>
  <c r="I165" i="35"/>
  <c r="BH165" i="35"/>
  <c r="AD165" i="35" s="1"/>
  <c r="J161" i="35"/>
  <c r="BI161" i="35"/>
  <c r="AE161" i="35" s="1"/>
  <c r="I161" i="35"/>
  <c r="BH158" i="35"/>
  <c r="AD158" i="35" s="1"/>
  <c r="BI152" i="35"/>
  <c r="AE152" i="35" s="1"/>
  <c r="AX152" i="35"/>
  <c r="AX148" i="35"/>
  <c r="AW145" i="35"/>
  <c r="J139" i="35"/>
  <c r="AX139" i="35"/>
  <c r="AV139" i="35" s="1"/>
  <c r="BI139" i="35"/>
  <c r="AE139" i="35" s="1"/>
  <c r="J133" i="35"/>
  <c r="AX133" i="35"/>
  <c r="BI131" i="35"/>
  <c r="AE131" i="35" s="1"/>
  <c r="AX124" i="35"/>
  <c r="AX113" i="35"/>
  <c r="BI113" i="35"/>
  <c r="AE113" i="35" s="1"/>
  <c r="J113" i="35"/>
  <c r="AW110" i="35"/>
  <c r="I110" i="35"/>
  <c r="I91" i="35"/>
  <c r="AX82" i="35"/>
  <c r="BI82" i="35"/>
  <c r="J82" i="35"/>
  <c r="J55" i="35"/>
  <c r="AX55" i="35"/>
  <c r="AW54" i="35"/>
  <c r="I54" i="35"/>
  <c r="BH47" i="35"/>
  <c r="AB47" i="35" s="1"/>
  <c r="AW47" i="35"/>
  <c r="I47" i="35"/>
  <c r="J41" i="35"/>
  <c r="AX41" i="35"/>
  <c r="BI41" i="35"/>
  <c r="AC41" i="35" s="1"/>
  <c r="AW40" i="35"/>
  <c r="I40" i="35"/>
  <c r="BH28" i="35"/>
  <c r="AB28" i="35" s="1"/>
  <c r="I28" i="35"/>
  <c r="AW28" i="35"/>
  <c r="J27" i="35"/>
  <c r="AX24" i="35"/>
  <c r="BI24" i="35"/>
  <c r="AC24" i="35" s="1"/>
  <c r="J24" i="35"/>
  <c r="BC22" i="35"/>
  <c r="AV22" i="35"/>
  <c r="AK22" i="35"/>
  <c r="AT21" i="35" s="1"/>
  <c r="K21" i="35"/>
  <c r="G14" i="34" s="1"/>
  <c r="I14" i="34" s="1"/>
  <c r="BI209" i="35"/>
  <c r="AC209" i="35" s="1"/>
  <c r="BC205" i="35"/>
  <c r="I199" i="35"/>
  <c r="BH199" i="35"/>
  <c r="AD199" i="35" s="1"/>
  <c r="J190" i="35"/>
  <c r="BH181" i="35"/>
  <c r="AD181" i="35" s="1"/>
  <c r="BH150" i="35"/>
  <c r="AD150" i="35" s="1"/>
  <c r="BI120" i="35"/>
  <c r="AE120" i="35" s="1"/>
  <c r="J91" i="35"/>
  <c r="BI61" i="35"/>
  <c r="AC61" i="35" s="1"/>
  <c r="C19" i="33"/>
  <c r="AX16" i="35"/>
  <c r="BI16" i="35"/>
  <c r="AC16" i="35" s="1"/>
  <c r="J16" i="35"/>
  <c r="AX13" i="35"/>
  <c r="AV13" i="35" s="1"/>
  <c r="BI13" i="35"/>
  <c r="AC13" i="35" s="1"/>
  <c r="J13" i="35"/>
  <c r="J12" i="35" s="1"/>
  <c r="F11" i="34" s="1"/>
  <c r="I225" i="35"/>
  <c r="BH222" i="35"/>
  <c r="AB222" i="35" s="1"/>
  <c r="AX221" i="35"/>
  <c r="I219" i="35"/>
  <c r="AW219" i="35"/>
  <c r="I218" i="35"/>
  <c r="I200" i="35" s="1"/>
  <c r="E31" i="34" s="1"/>
  <c r="I210" i="35"/>
  <c r="BI208" i="35"/>
  <c r="AC208" i="35" s="1"/>
  <c r="AX208" i="35"/>
  <c r="AW199" i="35"/>
  <c r="I197" i="35"/>
  <c r="AW197" i="35"/>
  <c r="BH197" i="35"/>
  <c r="AD197" i="35" s="1"/>
  <c r="AX196" i="35"/>
  <c r="AW194" i="35"/>
  <c r="AU187" i="35"/>
  <c r="BI189" i="35"/>
  <c r="AE189" i="35" s="1"/>
  <c r="I180" i="35"/>
  <c r="BH180" i="35"/>
  <c r="AD180" i="35" s="1"/>
  <c r="BH178" i="35"/>
  <c r="AD178" i="35" s="1"/>
  <c r="AX177" i="35"/>
  <c r="I176" i="35"/>
  <c r="AW176" i="35"/>
  <c r="BH168" i="35"/>
  <c r="AD168" i="35" s="1"/>
  <c r="AX168" i="35"/>
  <c r="BI168" i="35"/>
  <c r="AE168" i="35" s="1"/>
  <c r="J168" i="35"/>
  <c r="AW166" i="35"/>
  <c r="BH164" i="35"/>
  <c r="AD164" i="35" s="1"/>
  <c r="AW164" i="35"/>
  <c r="BC164" i="35" s="1"/>
  <c r="AW159" i="35"/>
  <c r="AW157" i="35"/>
  <c r="AW154" i="35"/>
  <c r="I154" i="35"/>
  <c r="BI153" i="35"/>
  <c r="AE153" i="35" s="1"/>
  <c r="I149" i="35"/>
  <c r="BH149" i="35"/>
  <c r="AD149" i="35" s="1"/>
  <c r="BI146" i="35"/>
  <c r="AE146" i="35" s="1"/>
  <c r="AX146" i="35"/>
  <c r="AX144" i="35"/>
  <c r="I125" i="35"/>
  <c r="AW125" i="35"/>
  <c r="BC125" i="35" s="1"/>
  <c r="BH125" i="35"/>
  <c r="AD125" i="35" s="1"/>
  <c r="AX117" i="35"/>
  <c r="BI117" i="35"/>
  <c r="AE117" i="35" s="1"/>
  <c r="J117" i="35"/>
  <c r="I113" i="35"/>
  <c r="AW113" i="35"/>
  <c r="BH113" i="35"/>
  <c r="AD113" i="35" s="1"/>
  <c r="J108" i="35"/>
  <c r="AX108" i="35"/>
  <c r="BI101" i="35"/>
  <c r="AE101" i="35" s="1"/>
  <c r="AX101" i="35"/>
  <c r="BI98" i="35"/>
  <c r="AE98" i="35" s="1"/>
  <c r="I94" i="35"/>
  <c r="AW94" i="35"/>
  <c r="BH94" i="35"/>
  <c r="AD94" i="35" s="1"/>
  <c r="BI93" i="35"/>
  <c r="AE93" i="35" s="1"/>
  <c r="AX93" i="35"/>
  <c r="AX85" i="35"/>
  <c r="BI85" i="35"/>
  <c r="J85" i="35"/>
  <c r="J83" i="35"/>
  <c r="AX83" i="35"/>
  <c r="I82" i="35"/>
  <c r="AW82" i="35"/>
  <c r="AV82" i="35" s="1"/>
  <c r="BH82" i="35"/>
  <c r="J81" i="35"/>
  <c r="AX81" i="35"/>
  <c r="BI81" i="35"/>
  <c r="J79" i="35"/>
  <c r="AX79" i="35"/>
  <c r="BI79" i="35"/>
  <c r="I71" i="35"/>
  <c r="AW71" i="35"/>
  <c r="BH71" i="35"/>
  <c r="AB71" i="35" s="1"/>
  <c r="I60" i="35"/>
  <c r="AW60" i="35"/>
  <c r="AV60" i="35" s="1"/>
  <c r="BH60" i="35"/>
  <c r="AB60" i="35" s="1"/>
  <c r="AX57" i="35"/>
  <c r="BI57" i="35"/>
  <c r="AC57" i="35" s="1"/>
  <c r="J56" i="35"/>
  <c r="AX56" i="35"/>
  <c r="BI56" i="35"/>
  <c r="AC56" i="35" s="1"/>
  <c r="BI55" i="35"/>
  <c r="AC55" i="35" s="1"/>
  <c r="AK54" i="35"/>
  <c r="AT53" i="35" s="1"/>
  <c r="K53" i="35"/>
  <c r="G19" i="34" s="1"/>
  <c r="I19" i="34" s="1"/>
  <c r="AX49" i="35"/>
  <c r="BI49" i="35"/>
  <c r="AC49" i="35" s="1"/>
  <c r="I24" i="35"/>
  <c r="I23" i="35" s="1"/>
  <c r="E15" i="34" s="1"/>
  <c r="AW24" i="35"/>
  <c r="BH24" i="35"/>
  <c r="AB24" i="35" s="1"/>
  <c r="BH143" i="35"/>
  <c r="AD143" i="35" s="1"/>
  <c r="BC139" i="35"/>
  <c r="J109" i="35"/>
  <c r="J105" i="35"/>
  <c r="AX78" i="35"/>
  <c r="BI78" i="35"/>
  <c r="J78" i="35"/>
  <c r="AU64" i="35"/>
  <c r="J68" i="35"/>
  <c r="AX68" i="35"/>
  <c r="AV68" i="35" s="1"/>
  <c r="BI68" i="35"/>
  <c r="AC68" i="35" s="1"/>
  <c r="I29" i="35"/>
  <c r="J19" i="35"/>
  <c r="AX19" i="35"/>
  <c r="BI19" i="35"/>
  <c r="AC19" i="35" s="1"/>
  <c r="I16" i="35"/>
  <c r="AW16" i="35"/>
  <c r="I13" i="35"/>
  <c r="I12" i="35" s="1"/>
  <c r="E11" i="34" s="1"/>
  <c r="AW13" i="35"/>
  <c r="AU220" i="35"/>
  <c r="J180" i="35"/>
  <c r="J149" i="35"/>
  <c r="J145" i="35"/>
  <c r="C27" i="33"/>
  <c r="BC103" i="35"/>
  <c r="I78" i="35"/>
  <c r="AW78" i="35"/>
  <c r="BH72" i="35"/>
  <c r="AB72" i="35" s="1"/>
  <c r="AW72" i="35"/>
  <c r="I72" i="35"/>
  <c r="AX71" i="35"/>
  <c r="BI71" i="35"/>
  <c r="AC71" i="35" s="1"/>
  <c r="J70" i="35"/>
  <c r="AX70" i="35"/>
  <c r="BI70" i="35"/>
  <c r="AC70" i="35" s="1"/>
  <c r="AX60" i="35"/>
  <c r="BI60" i="35"/>
  <c r="AC60" i="35" s="1"/>
  <c r="J60" i="35"/>
  <c r="AV50" i="35"/>
  <c r="AX43" i="35"/>
  <c r="J43" i="35"/>
  <c r="J25" i="35"/>
  <c r="AX25" i="35"/>
  <c r="AV25" i="35" s="1"/>
  <c r="BI25" i="35"/>
  <c r="AC25" i="35" s="1"/>
  <c r="BH20" i="35"/>
  <c r="AB20" i="35" s="1"/>
  <c r="AW20" i="35"/>
  <c r="I20" i="35"/>
  <c r="I18" i="35" s="1"/>
  <c r="E13" i="34" s="1"/>
  <c r="BH62" i="35"/>
  <c r="AB62" i="35" s="1"/>
  <c r="AU26" i="35"/>
  <c r="BI76" i="35"/>
  <c r="AC76" i="35" s="1"/>
  <c r="AX76" i="35"/>
  <c r="AV76" i="35" s="1"/>
  <c r="J75" i="35"/>
  <c r="AU46" i="35"/>
  <c r="BI31" i="35"/>
  <c r="AC31" i="35" s="1"/>
  <c r="AS18" i="35"/>
  <c r="AU18" i="35"/>
  <c r="AU14" i="35"/>
  <c r="BI169" i="31"/>
  <c r="AE169" i="31" s="1"/>
  <c r="BI161" i="31"/>
  <c r="AE161" i="31" s="1"/>
  <c r="AX132" i="31"/>
  <c r="AW112" i="31"/>
  <c r="BC112" i="31" s="1"/>
  <c r="BH107" i="31"/>
  <c r="AD107" i="31" s="1"/>
  <c r="BI100" i="31"/>
  <c r="AE100" i="31" s="1"/>
  <c r="AW82" i="31"/>
  <c r="AX74" i="31"/>
  <c r="AV74" i="31" s="1"/>
  <c r="AW34" i="31"/>
  <c r="AX15" i="31"/>
  <c r="BI146" i="31"/>
  <c r="AE146" i="31" s="1"/>
  <c r="BI57" i="31"/>
  <c r="AC57" i="31" s="1"/>
  <c r="BI41" i="31"/>
  <c r="AC41" i="31" s="1"/>
  <c r="BI216" i="31"/>
  <c r="AC216" i="31" s="1"/>
  <c r="BI214" i="31"/>
  <c r="AC214" i="31" s="1"/>
  <c r="BH212" i="31"/>
  <c r="AB212" i="31" s="1"/>
  <c r="AW212" i="31"/>
  <c r="AW207" i="31"/>
  <c r="AW203" i="31"/>
  <c r="AV203" i="31" s="1"/>
  <c r="AW199" i="31"/>
  <c r="AV199" i="31" s="1"/>
  <c r="AW197" i="31"/>
  <c r="BH168" i="31"/>
  <c r="AD168" i="31" s="1"/>
  <c r="AW168" i="31"/>
  <c r="BI164" i="31"/>
  <c r="AE164" i="31" s="1"/>
  <c r="AX137" i="31"/>
  <c r="BH82" i="31"/>
  <c r="AX63" i="31"/>
  <c r="AX39" i="31"/>
  <c r="BI19" i="31"/>
  <c r="AC19" i="31" s="1"/>
  <c r="AX19" i="31"/>
  <c r="AU18" i="31"/>
  <c r="AW13" i="31"/>
  <c r="BC13" i="31" s="1"/>
  <c r="BI210" i="31"/>
  <c r="AC210" i="31" s="1"/>
  <c r="BH85" i="31"/>
  <c r="BH70" i="31"/>
  <c r="AB70" i="31" s="1"/>
  <c r="BH207" i="31"/>
  <c r="AB207" i="31" s="1"/>
  <c r="BI205" i="31"/>
  <c r="AC205" i="31" s="1"/>
  <c r="BH203" i="31"/>
  <c r="AB203" i="31" s="1"/>
  <c r="BH197" i="31"/>
  <c r="AB197" i="31" s="1"/>
  <c r="AX188" i="31"/>
  <c r="BC188" i="31" s="1"/>
  <c r="BI185" i="31"/>
  <c r="AE185" i="31" s="1"/>
  <c r="AW185" i="31"/>
  <c r="BI149" i="31"/>
  <c r="AE149" i="31" s="1"/>
  <c r="AW120" i="31"/>
  <c r="AV120" i="31" s="1"/>
  <c r="BI115" i="31"/>
  <c r="AE115" i="31" s="1"/>
  <c r="AX114" i="31"/>
  <c r="AX103" i="31"/>
  <c r="BI98" i="31"/>
  <c r="AE98" i="31" s="1"/>
  <c r="AW98" i="31"/>
  <c r="BH63" i="31"/>
  <c r="AB63" i="31" s="1"/>
  <c r="BI29" i="31"/>
  <c r="AC29" i="31" s="1"/>
  <c r="AX25" i="31"/>
  <c r="AV25" i="31" s="1"/>
  <c r="K21" i="31"/>
  <c r="G14" i="30" s="1"/>
  <c r="I14" i="30" s="1"/>
  <c r="AU21" i="31"/>
  <c r="BH19" i="31"/>
  <c r="AB19" i="31" s="1"/>
  <c r="AW19" i="31"/>
  <c r="BC19" i="31" s="1"/>
  <c r="BH13" i="31"/>
  <c r="AB13" i="31" s="1"/>
  <c r="J204" i="31"/>
  <c r="AX204" i="31"/>
  <c r="J162" i="31"/>
  <c r="AX162" i="31"/>
  <c r="BI162" i="31"/>
  <c r="AE162" i="31" s="1"/>
  <c r="AW147" i="31"/>
  <c r="BH147" i="31"/>
  <c r="AD147" i="31" s="1"/>
  <c r="I137" i="31"/>
  <c r="AW137" i="31"/>
  <c r="AV137" i="31" s="1"/>
  <c r="BH137" i="31"/>
  <c r="AD137" i="31" s="1"/>
  <c r="I78" i="31"/>
  <c r="BH78" i="31"/>
  <c r="AW78" i="31"/>
  <c r="C29" i="29"/>
  <c r="F29" i="29" s="1"/>
  <c r="AS24" i="31"/>
  <c r="BH214" i="31"/>
  <c r="AB214" i="31" s="1"/>
  <c r="BI204" i="31"/>
  <c r="AC204" i="31" s="1"/>
  <c r="J200" i="31"/>
  <c r="AX200" i="31"/>
  <c r="BC200" i="31" s="1"/>
  <c r="BI200" i="31"/>
  <c r="AC200" i="31" s="1"/>
  <c r="I176" i="31"/>
  <c r="BH176" i="31"/>
  <c r="AD176" i="31" s="1"/>
  <c r="BH162" i="31"/>
  <c r="AD162" i="31" s="1"/>
  <c r="I156" i="31"/>
  <c r="AW156" i="31"/>
  <c r="BI154" i="31"/>
  <c r="AE154" i="31" s="1"/>
  <c r="I153" i="31"/>
  <c r="BH153" i="31"/>
  <c r="AD153" i="31" s="1"/>
  <c r="AW153" i="31"/>
  <c r="I141" i="31"/>
  <c r="BH141" i="31"/>
  <c r="AD141" i="31" s="1"/>
  <c r="AW141" i="31"/>
  <c r="BH140" i="31"/>
  <c r="AD140" i="31" s="1"/>
  <c r="J120" i="31"/>
  <c r="AX120" i="31"/>
  <c r="BC120" i="31" s="1"/>
  <c r="BI120" i="31"/>
  <c r="AE120" i="31" s="1"/>
  <c r="J83" i="31"/>
  <c r="AX83" i="31"/>
  <c r="BI83" i="31"/>
  <c r="AU77" i="31"/>
  <c r="BI52" i="31"/>
  <c r="AC52" i="31" s="1"/>
  <c r="J51" i="31"/>
  <c r="AX47" i="31"/>
  <c r="BC47" i="31" s="1"/>
  <c r="BI47" i="31"/>
  <c r="AC47" i="31" s="1"/>
  <c r="AX36" i="31"/>
  <c r="BI36" i="31"/>
  <c r="AC36" i="31" s="1"/>
  <c r="J33" i="31"/>
  <c r="J28" i="31" s="1"/>
  <c r="F16" i="30" s="1"/>
  <c r="BI33" i="31"/>
  <c r="AC33" i="31" s="1"/>
  <c r="J26" i="31"/>
  <c r="BI26" i="31"/>
  <c r="AC26" i="31" s="1"/>
  <c r="AW216" i="31"/>
  <c r="BC216" i="31" s="1"/>
  <c r="AW208" i="31"/>
  <c r="J198" i="31"/>
  <c r="AX198" i="31"/>
  <c r="BI198" i="31"/>
  <c r="AC198" i="31" s="1"/>
  <c r="BI197" i="31"/>
  <c r="AC197" i="31" s="1"/>
  <c r="AV197" i="31"/>
  <c r="BI193" i="31"/>
  <c r="AE193" i="31" s="1"/>
  <c r="AX193" i="31"/>
  <c r="BC193" i="31" s="1"/>
  <c r="I189" i="31"/>
  <c r="BH189" i="31"/>
  <c r="AW189" i="31"/>
  <c r="BI180" i="31"/>
  <c r="AE180" i="31" s="1"/>
  <c r="I172" i="31"/>
  <c r="BH172" i="31"/>
  <c r="AD172" i="31" s="1"/>
  <c r="J166" i="31"/>
  <c r="AX166" i="31"/>
  <c r="AV166" i="31" s="1"/>
  <c r="BI166" i="31"/>
  <c r="AE166" i="31" s="1"/>
  <c r="AX164" i="31"/>
  <c r="I159" i="31"/>
  <c r="BH159" i="31"/>
  <c r="AD159" i="31" s="1"/>
  <c r="AW159" i="31"/>
  <c r="AV152" i="31"/>
  <c r="J138" i="31"/>
  <c r="BI138" i="31"/>
  <c r="AE138" i="31" s="1"/>
  <c r="BI129" i="31"/>
  <c r="AE129" i="31" s="1"/>
  <c r="AX129" i="31"/>
  <c r="BI125" i="31"/>
  <c r="AE125" i="31" s="1"/>
  <c r="AX125" i="31"/>
  <c r="BI122" i="31"/>
  <c r="AE122" i="31" s="1"/>
  <c r="AW114" i="31"/>
  <c r="BH114" i="31"/>
  <c r="AD114" i="31" s="1"/>
  <c r="BI109" i="31"/>
  <c r="AE109" i="31" s="1"/>
  <c r="BI99" i="31"/>
  <c r="AE99" i="31" s="1"/>
  <c r="AX99" i="31"/>
  <c r="I92" i="31"/>
  <c r="AW92" i="31"/>
  <c r="AV92" i="31" s="1"/>
  <c r="K90" i="31"/>
  <c r="G23" i="30" s="1"/>
  <c r="I23" i="30" s="1"/>
  <c r="BI71" i="31"/>
  <c r="AC71" i="31" s="1"/>
  <c r="BC69" i="31"/>
  <c r="AX65" i="31"/>
  <c r="BC65" i="31" s="1"/>
  <c r="BI65" i="31"/>
  <c r="AC65" i="31" s="1"/>
  <c r="BI61" i="31"/>
  <c r="AC61" i="31" s="1"/>
  <c r="AX61" i="31"/>
  <c r="C21" i="29"/>
  <c r="I47" i="31"/>
  <c r="AW47" i="31"/>
  <c r="I36" i="31"/>
  <c r="AW36" i="31"/>
  <c r="BC36" i="31" s="1"/>
  <c r="I33" i="31"/>
  <c r="AW33" i="31"/>
  <c r="I26" i="31"/>
  <c r="AW26" i="31"/>
  <c r="I23" i="31"/>
  <c r="AW23" i="31"/>
  <c r="BI13" i="31"/>
  <c r="AC13" i="31" s="1"/>
  <c r="J219" i="31"/>
  <c r="AX219" i="31"/>
  <c r="I167" i="31"/>
  <c r="BH167" i="31"/>
  <c r="AD167" i="31" s="1"/>
  <c r="AW167" i="31"/>
  <c r="BC167" i="31" s="1"/>
  <c r="J156" i="31"/>
  <c r="BI156" i="31"/>
  <c r="AE156" i="31" s="1"/>
  <c r="BI148" i="31"/>
  <c r="AE148" i="31" s="1"/>
  <c r="AW145" i="31"/>
  <c r="I145" i="31"/>
  <c r="I116" i="31"/>
  <c r="AW116" i="31"/>
  <c r="I97" i="31"/>
  <c r="BH97" i="31"/>
  <c r="AD97" i="31" s="1"/>
  <c r="AW97" i="31"/>
  <c r="I96" i="31"/>
  <c r="AW96" i="31"/>
  <c r="AV96" i="31" s="1"/>
  <c r="BH95" i="31"/>
  <c r="AD95" i="31" s="1"/>
  <c r="I60" i="31"/>
  <c r="AW60" i="31"/>
  <c r="I20" i="31"/>
  <c r="I18" i="31" s="1"/>
  <c r="E13" i="30" s="1"/>
  <c r="BH20" i="31"/>
  <c r="AB20" i="31" s="1"/>
  <c r="AW20" i="31"/>
  <c r="AX16" i="31"/>
  <c r="BI16" i="31"/>
  <c r="AC16" i="31" s="1"/>
  <c r="BI218" i="31"/>
  <c r="AC218" i="31" s="1"/>
  <c r="I205" i="31"/>
  <c r="BH205" i="31"/>
  <c r="AB205" i="31" s="1"/>
  <c r="I187" i="31"/>
  <c r="BH187" i="31"/>
  <c r="AD187" i="31" s="1"/>
  <c r="AW187" i="31"/>
  <c r="AV187" i="31" s="1"/>
  <c r="BH156" i="31"/>
  <c r="AD156" i="31" s="1"/>
  <c r="J110" i="31"/>
  <c r="AX110" i="31"/>
  <c r="BI110" i="31"/>
  <c r="AE110" i="31" s="1"/>
  <c r="AX105" i="31"/>
  <c r="BI105" i="31"/>
  <c r="AE105" i="31" s="1"/>
  <c r="AX92" i="31"/>
  <c r="BI92" i="31"/>
  <c r="AE92" i="31" s="1"/>
  <c r="I86" i="31"/>
  <c r="AW86" i="31"/>
  <c r="J72" i="31"/>
  <c r="AX72" i="31"/>
  <c r="BI72" i="31"/>
  <c r="AC72" i="31" s="1"/>
  <c r="I54" i="31"/>
  <c r="I53" i="31" s="1"/>
  <c r="E18" i="30" s="1"/>
  <c r="AW54" i="31"/>
  <c r="BH54" i="31"/>
  <c r="AB54" i="31" s="1"/>
  <c r="I52" i="31"/>
  <c r="AW52" i="31"/>
  <c r="AS46" i="31"/>
  <c r="I38" i="31"/>
  <c r="AW38" i="31"/>
  <c r="J23" i="31"/>
  <c r="J21" i="31" s="1"/>
  <c r="F14" i="30" s="1"/>
  <c r="BI23" i="31"/>
  <c r="AC23" i="31" s="1"/>
  <c r="BH208" i="31"/>
  <c r="AB208" i="31" s="1"/>
  <c r="J208" i="31"/>
  <c r="AX208" i="31"/>
  <c r="BC208" i="31" s="1"/>
  <c r="BI208" i="31"/>
  <c r="AC208" i="31" s="1"/>
  <c r="AW205" i="31"/>
  <c r="J202" i="31"/>
  <c r="AX202" i="31"/>
  <c r="AV202" i="31" s="1"/>
  <c r="BI202" i="31"/>
  <c r="AC202" i="31" s="1"/>
  <c r="J151" i="31"/>
  <c r="AX151" i="31"/>
  <c r="BI151" i="31"/>
  <c r="AE151" i="31" s="1"/>
  <c r="AX148" i="31"/>
  <c r="I138" i="31"/>
  <c r="AW138" i="31"/>
  <c r="I132" i="31"/>
  <c r="BH132" i="31"/>
  <c r="AD132" i="31" s="1"/>
  <c r="I131" i="31"/>
  <c r="AW131" i="31"/>
  <c r="I111" i="31"/>
  <c r="BH111" i="31"/>
  <c r="AD111" i="31" s="1"/>
  <c r="AW111" i="31"/>
  <c r="AW103" i="31"/>
  <c r="BH103" i="31"/>
  <c r="AD103" i="31" s="1"/>
  <c r="AW101" i="31"/>
  <c r="I101" i="31"/>
  <c r="BI94" i="31"/>
  <c r="AE94" i="31" s="1"/>
  <c r="AV94" i="31"/>
  <c r="BI84" i="31"/>
  <c r="AW74" i="31"/>
  <c r="BH74" i="31"/>
  <c r="AB74" i="31" s="1"/>
  <c r="I65" i="31"/>
  <c r="AW65" i="31"/>
  <c r="J60" i="31"/>
  <c r="BI60" i="31"/>
  <c r="AC60" i="31" s="1"/>
  <c r="J44" i="31"/>
  <c r="J43" i="31"/>
  <c r="BI43" i="31"/>
  <c r="AC43" i="31" s="1"/>
  <c r="I32" i="31"/>
  <c r="AW32" i="31"/>
  <c r="AV32" i="31" s="1"/>
  <c r="BH32" i="31"/>
  <c r="AB32" i="31" s="1"/>
  <c r="BI31" i="31"/>
  <c r="AC31" i="31" s="1"/>
  <c r="AX31" i="31"/>
  <c r="AT24" i="31"/>
  <c r="AW22" i="31"/>
  <c r="BH22" i="31"/>
  <c r="AB22" i="31" s="1"/>
  <c r="I16" i="31"/>
  <c r="BH199" i="31"/>
  <c r="AB199" i="31" s="1"/>
  <c r="BH192" i="31"/>
  <c r="AD192" i="31" s="1"/>
  <c r="BH188" i="31"/>
  <c r="AD188" i="31" s="1"/>
  <c r="BI187" i="31"/>
  <c r="AE187" i="31" s="1"/>
  <c r="AU179" i="31"/>
  <c r="BH178" i="31"/>
  <c r="AD178" i="31" s="1"/>
  <c r="BI176" i="31"/>
  <c r="AE176" i="31" s="1"/>
  <c r="AX176" i="31"/>
  <c r="BI172" i="31"/>
  <c r="AE172" i="31" s="1"/>
  <c r="AX172" i="31"/>
  <c r="BI153" i="31"/>
  <c r="AE153" i="31" s="1"/>
  <c r="BI147" i="31"/>
  <c r="AE147" i="31" s="1"/>
  <c r="AX147" i="31"/>
  <c r="AV147" i="31" s="1"/>
  <c r="AU58" i="31"/>
  <c r="C18" i="29"/>
  <c r="K18" i="31"/>
  <c r="G13" i="30" s="1"/>
  <c r="I13" i="30" s="1"/>
  <c r="BI139" i="31"/>
  <c r="AE139" i="31" s="1"/>
  <c r="J40" i="31"/>
  <c r="AS21" i="31"/>
  <c r="AX220" i="31"/>
  <c r="BI220" i="31"/>
  <c r="AC220" i="31" s="1"/>
  <c r="J211" i="31"/>
  <c r="AX211" i="31"/>
  <c r="BI211" i="31"/>
  <c r="AC211" i="31" s="1"/>
  <c r="AW206" i="31"/>
  <c r="BC206" i="31" s="1"/>
  <c r="BH206" i="31"/>
  <c r="AB206" i="31" s="1"/>
  <c r="J196" i="31"/>
  <c r="AX196" i="31"/>
  <c r="BI196" i="31"/>
  <c r="AC196" i="31" s="1"/>
  <c r="J186" i="31"/>
  <c r="I163" i="31"/>
  <c r="AW163" i="31"/>
  <c r="AV163" i="31" s="1"/>
  <c r="BH163" i="31"/>
  <c r="AD163" i="31" s="1"/>
  <c r="AX159" i="31"/>
  <c r="BI159" i="31"/>
  <c r="AE159" i="31" s="1"/>
  <c r="AW143" i="31"/>
  <c r="BH143" i="31"/>
  <c r="AD143" i="31" s="1"/>
  <c r="J140" i="31"/>
  <c r="AX140" i="31"/>
  <c r="BI140" i="31"/>
  <c r="AE140" i="31" s="1"/>
  <c r="I126" i="31"/>
  <c r="AW126" i="31"/>
  <c r="I123" i="31"/>
  <c r="BH123" i="31"/>
  <c r="AD123" i="31" s="1"/>
  <c r="AX113" i="31"/>
  <c r="BC113" i="31" s="1"/>
  <c r="BI113" i="31"/>
  <c r="AE113" i="31" s="1"/>
  <c r="I220" i="31"/>
  <c r="AW220" i="31"/>
  <c r="BC220" i="31" s="1"/>
  <c r="BC205" i="31"/>
  <c r="J191" i="31"/>
  <c r="AX191" i="31"/>
  <c r="BI191" i="31"/>
  <c r="AE191" i="31" s="1"/>
  <c r="I180" i="31"/>
  <c r="BH180" i="31"/>
  <c r="AD180" i="31" s="1"/>
  <c r="AW180" i="31"/>
  <c r="I169" i="31"/>
  <c r="BH169" i="31"/>
  <c r="AD169" i="31" s="1"/>
  <c r="AW169" i="31"/>
  <c r="AX165" i="31"/>
  <c r="BI165" i="31"/>
  <c r="AE165" i="31" s="1"/>
  <c r="I161" i="31"/>
  <c r="BH161" i="31"/>
  <c r="AD161" i="31" s="1"/>
  <c r="AW161" i="31"/>
  <c r="J158" i="31"/>
  <c r="AX158" i="31"/>
  <c r="BC158" i="31" s="1"/>
  <c r="BI158" i="31"/>
  <c r="AE158" i="31" s="1"/>
  <c r="AU142" i="31"/>
  <c r="J130" i="31"/>
  <c r="AX130" i="31"/>
  <c r="AV130" i="31" s="1"/>
  <c r="BI130" i="31"/>
  <c r="AE130" i="31" s="1"/>
  <c r="I71" i="31"/>
  <c r="BH71" i="31"/>
  <c r="AB71" i="31" s="1"/>
  <c r="AW71" i="31"/>
  <c r="AT215" i="31"/>
  <c r="BC212" i="31"/>
  <c r="AW204" i="31"/>
  <c r="I204" i="31"/>
  <c r="BH204" i="31"/>
  <c r="AB204" i="31" s="1"/>
  <c r="AS195" i="31"/>
  <c r="I196" i="31"/>
  <c r="BI192" i="31"/>
  <c r="AE192" i="31" s="1"/>
  <c r="BI186" i="31"/>
  <c r="AE186" i="31" s="1"/>
  <c r="I184" i="31"/>
  <c r="AW184" i="31"/>
  <c r="BH184" i="31"/>
  <c r="AD184" i="31" s="1"/>
  <c r="J183" i="31"/>
  <c r="AX183" i="31"/>
  <c r="J175" i="31"/>
  <c r="BI175" i="31"/>
  <c r="AE175" i="31" s="1"/>
  <c r="J171" i="31"/>
  <c r="BI171" i="31"/>
  <c r="AE171" i="31" s="1"/>
  <c r="I164" i="31"/>
  <c r="AW164" i="31"/>
  <c r="BH164" i="31"/>
  <c r="AD164" i="31" s="1"/>
  <c r="AV159" i="31"/>
  <c r="I144" i="31"/>
  <c r="AW144" i="31"/>
  <c r="BH144" i="31"/>
  <c r="AD144" i="31" s="1"/>
  <c r="AX141" i="31"/>
  <c r="BI141" i="31"/>
  <c r="AE141" i="31" s="1"/>
  <c r="J141" i="31"/>
  <c r="I134" i="31"/>
  <c r="AW134" i="31"/>
  <c r="BH134" i="31"/>
  <c r="AD134" i="31" s="1"/>
  <c r="J128" i="31"/>
  <c r="BI128" i="31"/>
  <c r="AE128" i="31" s="1"/>
  <c r="I121" i="31"/>
  <c r="BH121" i="31"/>
  <c r="AD121" i="31" s="1"/>
  <c r="J111" i="31"/>
  <c r="AX111" i="31"/>
  <c r="BI111" i="31"/>
  <c r="AE111" i="31" s="1"/>
  <c r="C20" i="29"/>
  <c r="AX194" i="31"/>
  <c r="BI194" i="31"/>
  <c r="AE194" i="31" s="1"/>
  <c r="J192" i="31"/>
  <c r="I183" i="31"/>
  <c r="AW183" i="31"/>
  <c r="BH183" i="31"/>
  <c r="AD183" i="31" s="1"/>
  <c r="I175" i="31"/>
  <c r="AW175" i="31"/>
  <c r="J167" i="31"/>
  <c r="AX167" i="31"/>
  <c r="BI167" i="31"/>
  <c r="AE167" i="31" s="1"/>
  <c r="J159" i="31"/>
  <c r="J116" i="31"/>
  <c r="AX116" i="31"/>
  <c r="BC116" i="31" s="1"/>
  <c r="BI116" i="31"/>
  <c r="AE116" i="31" s="1"/>
  <c r="I194" i="31"/>
  <c r="AW194" i="31"/>
  <c r="AV194" i="31" s="1"/>
  <c r="AU155" i="31"/>
  <c r="J119" i="31"/>
  <c r="AX119" i="31"/>
  <c r="BI119" i="31"/>
  <c r="AE119" i="31" s="1"/>
  <c r="I80" i="31"/>
  <c r="BH80" i="31"/>
  <c r="AW80" i="31"/>
  <c r="J55" i="31"/>
  <c r="BI55" i="31"/>
  <c r="AC55" i="31" s="1"/>
  <c r="C19" i="29"/>
  <c r="J207" i="31"/>
  <c r="AX207" i="31"/>
  <c r="AV207" i="31" s="1"/>
  <c r="BI207" i="31"/>
  <c r="AC207" i="31" s="1"/>
  <c r="J181" i="31"/>
  <c r="AX181" i="31"/>
  <c r="I171" i="31"/>
  <c r="AW171" i="31"/>
  <c r="I149" i="31"/>
  <c r="BH149" i="31"/>
  <c r="AD149" i="31" s="1"/>
  <c r="AW149" i="31"/>
  <c r="I133" i="31"/>
  <c r="AW133" i="31"/>
  <c r="BC133" i="31" s="1"/>
  <c r="BH133" i="31"/>
  <c r="AD133" i="31" s="1"/>
  <c r="I128" i="31"/>
  <c r="AW128" i="31"/>
  <c r="C27" i="29"/>
  <c r="I209" i="31"/>
  <c r="BH209" i="31"/>
  <c r="AB209" i="31" s="1"/>
  <c r="AW209" i="31"/>
  <c r="AX199" i="31"/>
  <c r="J199" i="31"/>
  <c r="BH194" i="31"/>
  <c r="AD194" i="31" s="1"/>
  <c r="I181" i="31"/>
  <c r="AW181" i="31"/>
  <c r="BH181" i="31"/>
  <c r="J177" i="31"/>
  <c r="AX177" i="31"/>
  <c r="BI177" i="31"/>
  <c r="AE177" i="31" s="1"/>
  <c r="AX173" i="31"/>
  <c r="BI173" i="31"/>
  <c r="AE173" i="31" s="1"/>
  <c r="BI157" i="31"/>
  <c r="AE157" i="31" s="1"/>
  <c r="I148" i="31"/>
  <c r="AW148" i="31"/>
  <c r="AV148" i="31" s="1"/>
  <c r="BH148" i="31"/>
  <c r="AD148" i="31" s="1"/>
  <c r="K142" i="31"/>
  <c r="G25" i="30" s="1"/>
  <c r="I25" i="30" s="1"/>
  <c r="BH139" i="31"/>
  <c r="AD139" i="31" s="1"/>
  <c r="I127" i="31"/>
  <c r="AW127" i="31"/>
  <c r="AV127" i="31" s="1"/>
  <c r="BH127" i="31"/>
  <c r="AD127" i="31" s="1"/>
  <c r="I100" i="31"/>
  <c r="BH100" i="31"/>
  <c r="AD100" i="31" s="1"/>
  <c r="AW100" i="31"/>
  <c r="AV100" i="31" s="1"/>
  <c r="I79" i="31"/>
  <c r="BH79" i="31"/>
  <c r="AU215" i="31"/>
  <c r="I213" i="31"/>
  <c r="BH213" i="31"/>
  <c r="AB213" i="31" s="1"/>
  <c r="AW213" i="31"/>
  <c r="BC213" i="31" s="1"/>
  <c r="I201" i="31"/>
  <c r="BH201" i="31"/>
  <c r="AB201" i="31" s="1"/>
  <c r="AW201" i="31"/>
  <c r="AX189" i="31"/>
  <c r="J189" i="31"/>
  <c r="J182" i="31" s="1"/>
  <c r="F28" i="30" s="1"/>
  <c r="J184" i="31"/>
  <c r="AX184" i="31"/>
  <c r="BI184" i="31"/>
  <c r="AE184" i="31" s="1"/>
  <c r="I177" i="31"/>
  <c r="AW177" i="31"/>
  <c r="AV177" i="31" s="1"/>
  <c r="BH177" i="31"/>
  <c r="AD177" i="31" s="1"/>
  <c r="I173" i="31"/>
  <c r="AW173" i="31"/>
  <c r="AV173" i="31" s="1"/>
  <c r="BC168" i="31"/>
  <c r="I165" i="31"/>
  <c r="AW165" i="31"/>
  <c r="AV165" i="31" s="1"/>
  <c r="J145" i="31"/>
  <c r="BI145" i="31"/>
  <c r="AE145" i="31" s="1"/>
  <c r="AX144" i="31"/>
  <c r="BI144" i="31"/>
  <c r="AE144" i="31" s="1"/>
  <c r="J144" i="31"/>
  <c r="AV141" i="31"/>
  <c r="J134" i="31"/>
  <c r="AX134" i="31"/>
  <c r="BI134" i="31"/>
  <c r="AE134" i="31" s="1"/>
  <c r="J131" i="31"/>
  <c r="AX131" i="31"/>
  <c r="BC131" i="31" s="1"/>
  <c r="BI131" i="31"/>
  <c r="AE131" i="31" s="1"/>
  <c r="I130" i="31"/>
  <c r="AW130" i="31"/>
  <c r="BH130" i="31"/>
  <c r="AD130" i="31" s="1"/>
  <c r="BH126" i="31"/>
  <c r="AD126" i="31" s="1"/>
  <c r="J124" i="31"/>
  <c r="AX124" i="31"/>
  <c r="AV124" i="31" s="1"/>
  <c r="BI124" i="31"/>
  <c r="AE124" i="31" s="1"/>
  <c r="J107" i="31"/>
  <c r="AX107" i="31"/>
  <c r="AV107" i="31" s="1"/>
  <c r="BI107" i="31"/>
  <c r="AE107" i="31" s="1"/>
  <c r="I105" i="31"/>
  <c r="BH105" i="31"/>
  <c r="AD105" i="31" s="1"/>
  <c r="AW105" i="31"/>
  <c r="BC105" i="31" s="1"/>
  <c r="I89" i="31"/>
  <c r="I88" i="31" s="1"/>
  <c r="E22" i="30" s="1"/>
  <c r="BH89" i="31"/>
  <c r="AW89" i="31"/>
  <c r="J82" i="31"/>
  <c r="BI82" i="31"/>
  <c r="J75" i="31"/>
  <c r="BI75" i="31"/>
  <c r="AC75" i="31" s="1"/>
  <c r="J50" i="31"/>
  <c r="J46" i="31" s="1"/>
  <c r="F17" i="30" s="1"/>
  <c r="AX50" i="31"/>
  <c r="BH219" i="31"/>
  <c r="AB219" i="31" s="1"/>
  <c r="BH216" i="31"/>
  <c r="AB216" i="31" s="1"/>
  <c r="AS215" i="31"/>
  <c r="BI213" i="31"/>
  <c r="AC213" i="31" s="1"/>
  <c r="BI209" i="31"/>
  <c r="AC209" i="31" s="1"/>
  <c r="BI206" i="31"/>
  <c r="AC206" i="31" s="1"/>
  <c r="AX206" i="31"/>
  <c r="BI201" i="31"/>
  <c r="AC201" i="31" s="1"/>
  <c r="I200" i="31"/>
  <c r="BC197" i="31"/>
  <c r="AU195" i="31"/>
  <c r="I193" i="31"/>
  <c r="AU190" i="31"/>
  <c r="K190" i="31"/>
  <c r="G29" i="30" s="1"/>
  <c r="I29" i="30" s="1"/>
  <c r="BC187" i="31"/>
  <c r="I186" i="31"/>
  <c r="AT179" i="31"/>
  <c r="K179" i="31"/>
  <c r="G27" i="30" s="1"/>
  <c r="I27" i="30" s="1"/>
  <c r="K155" i="31"/>
  <c r="G26" i="30" s="1"/>
  <c r="I26" i="30" s="1"/>
  <c r="AS155" i="31"/>
  <c r="AX143" i="31"/>
  <c r="AS142" i="31"/>
  <c r="J101" i="31"/>
  <c r="AX101" i="31"/>
  <c r="BI101" i="31"/>
  <c r="AE101" i="31" s="1"/>
  <c r="AW93" i="31"/>
  <c r="I93" i="31"/>
  <c r="BH93" i="31"/>
  <c r="AD93" i="31" s="1"/>
  <c r="I73" i="31"/>
  <c r="BH73" i="31"/>
  <c r="AB73" i="31" s="1"/>
  <c r="AW73" i="31"/>
  <c r="BC73" i="31" s="1"/>
  <c r="J70" i="31"/>
  <c r="AX70" i="31"/>
  <c r="BI70" i="31"/>
  <c r="AC70" i="31" s="1"/>
  <c r="AW66" i="31"/>
  <c r="AV66" i="31" s="1"/>
  <c r="BH66" i="31"/>
  <c r="AB66" i="31" s="1"/>
  <c r="BI50" i="31"/>
  <c r="AC50" i="31" s="1"/>
  <c r="AU46" i="31"/>
  <c r="BH45" i="31"/>
  <c r="AB45" i="31" s="1"/>
  <c r="AW45" i="31"/>
  <c r="I44" i="31"/>
  <c r="BH44" i="31"/>
  <c r="AB44" i="31" s="1"/>
  <c r="AW44" i="31"/>
  <c r="BC44" i="31" s="1"/>
  <c r="I30" i="31"/>
  <c r="BH30" i="31"/>
  <c r="AB30" i="31" s="1"/>
  <c r="AW30" i="31"/>
  <c r="K215" i="31"/>
  <c r="G31" i="30" s="1"/>
  <c r="I31" i="30" s="1"/>
  <c r="J203" i="31"/>
  <c r="BC201" i="31"/>
  <c r="K195" i="31"/>
  <c r="G30" i="30" s="1"/>
  <c r="I30" i="30" s="1"/>
  <c r="AS190" i="31"/>
  <c r="BC180" i="31"/>
  <c r="AS179" i="31"/>
  <c r="BC161" i="31"/>
  <c r="AX112" i="31"/>
  <c r="BI112" i="31"/>
  <c r="AE112" i="31" s="1"/>
  <c r="J112" i="31"/>
  <c r="I109" i="31"/>
  <c r="BH109" i="31"/>
  <c r="AD109" i="31" s="1"/>
  <c r="AW109" i="31"/>
  <c r="AX108" i="31"/>
  <c r="AV108" i="31" s="1"/>
  <c r="BI108" i="31"/>
  <c r="AE108" i="31" s="1"/>
  <c r="J108" i="31"/>
  <c r="J95" i="31"/>
  <c r="AX95" i="31"/>
  <c r="BI95" i="31"/>
  <c r="AE95" i="31" s="1"/>
  <c r="K88" i="31"/>
  <c r="G22" i="30" s="1"/>
  <c r="I22" i="30" s="1"/>
  <c r="AK89" i="31"/>
  <c r="AT88" i="31" s="1"/>
  <c r="J81" i="31"/>
  <c r="AX81" i="31"/>
  <c r="BI81" i="31"/>
  <c r="I25" i="31"/>
  <c r="AW25" i="31"/>
  <c r="BH25" i="31"/>
  <c r="AB25" i="31" s="1"/>
  <c r="AX106" i="31"/>
  <c r="AV106" i="31" s="1"/>
  <c r="AW102" i="31"/>
  <c r="BH96" i="31"/>
  <c r="AD96" i="31" s="1"/>
  <c r="J96" i="31"/>
  <c r="BC94" i="31"/>
  <c r="BI86" i="31"/>
  <c r="AX85" i="31"/>
  <c r="AT77" i="31"/>
  <c r="AX68" i="31"/>
  <c r="AS64" i="31"/>
  <c r="AW62" i="31"/>
  <c r="AV62" i="31" s="1"/>
  <c r="AX57" i="31"/>
  <c r="BH52" i="31"/>
  <c r="AB52" i="31" s="1"/>
  <c r="BH51" i="31"/>
  <c r="AB51" i="31" s="1"/>
  <c r="BI48" i="31"/>
  <c r="AC48" i="31" s="1"/>
  <c r="BH38" i="31"/>
  <c r="AB38" i="31" s="1"/>
  <c r="AU24" i="31"/>
  <c r="AT21" i="31"/>
  <c r="I21" i="31"/>
  <c r="E14" i="30" s="1"/>
  <c r="AS14" i="31"/>
  <c r="AU14" i="31"/>
  <c r="BC108" i="31"/>
  <c r="BC102" i="31"/>
  <c r="J100" i="31"/>
  <c r="BC98" i="31"/>
  <c r="J92" i="31"/>
  <c r="AX79" i="31"/>
  <c r="AS77" i="31"/>
  <c r="BI73" i="31"/>
  <c r="AC73" i="31" s="1"/>
  <c r="K64" i="31"/>
  <c r="G20" i="30" s="1"/>
  <c r="I20" i="30" s="1"/>
  <c r="BC62" i="31"/>
  <c r="AS53" i="31"/>
  <c r="K46" i="31"/>
  <c r="G17" i="30" s="1"/>
  <c r="I17" i="30" s="1"/>
  <c r="BI45" i="31"/>
  <c r="AC45" i="31" s="1"/>
  <c r="BI44" i="31"/>
  <c r="AC44" i="31" s="1"/>
  <c r="AX43" i="31"/>
  <c r="BH41" i="31"/>
  <c r="AB41" i="31" s="1"/>
  <c r="BH40" i="31"/>
  <c r="AB40" i="31" s="1"/>
  <c r="AX33" i="31"/>
  <c r="AV33" i="31" s="1"/>
  <c r="K24" i="31"/>
  <c r="G15" i="30" s="1"/>
  <c r="I15" i="30" s="1"/>
  <c r="AX115" i="31"/>
  <c r="AV115" i="31" s="1"/>
  <c r="AV111" i="31"/>
  <c r="BC109" i="31"/>
  <c r="BI97" i="31"/>
  <c r="AE97" i="31" s="1"/>
  <c r="AX97" i="31"/>
  <c r="BC97" i="31" s="1"/>
  <c r="BC89" i="31"/>
  <c r="BC80" i="31"/>
  <c r="K77" i="31"/>
  <c r="G21" i="30" s="1"/>
  <c r="I21" i="30" s="1"/>
  <c r="AW75" i="31"/>
  <c r="AU64" i="31"/>
  <c r="AW59" i="31"/>
  <c r="AU53" i="31"/>
  <c r="J47" i="31"/>
  <c r="AW42" i="31"/>
  <c r="I37" i="31"/>
  <c r="J36" i="31"/>
  <c r="AW27" i="31"/>
  <c r="J16" i="31"/>
  <c r="J13" i="31"/>
  <c r="J12" i="31" s="1"/>
  <c r="F11" i="30" s="1"/>
  <c r="J563" i="27"/>
  <c r="AX563" i="27"/>
  <c r="J501" i="27"/>
  <c r="BI501" i="27"/>
  <c r="J500" i="27"/>
  <c r="AX500" i="27"/>
  <c r="J454" i="27"/>
  <c r="BI454" i="27"/>
  <c r="AE454" i="27" s="1"/>
  <c r="AX430" i="27"/>
  <c r="BI430" i="27"/>
  <c r="AE430" i="27" s="1"/>
  <c r="J412" i="27"/>
  <c r="AX412" i="27"/>
  <c r="I411" i="27"/>
  <c r="AW411" i="27"/>
  <c r="BH411" i="27"/>
  <c r="AD411" i="27" s="1"/>
  <c r="J348" i="27"/>
  <c r="AX348" i="27"/>
  <c r="J302" i="27"/>
  <c r="AX302" i="27"/>
  <c r="BI302" i="27"/>
  <c r="AE302" i="27" s="1"/>
  <c r="J289" i="27"/>
  <c r="AX289" i="27"/>
  <c r="I227" i="27"/>
  <c r="AW227" i="27"/>
  <c r="I218" i="27"/>
  <c r="AW218" i="27"/>
  <c r="I72" i="27"/>
  <c r="BH72" i="27"/>
  <c r="AB72" i="27" s="1"/>
  <c r="AW72" i="27"/>
  <c r="J61" i="27"/>
  <c r="AX61" i="27"/>
  <c r="I58" i="27"/>
  <c r="BH58" i="27"/>
  <c r="AB58" i="27" s="1"/>
  <c r="AW58" i="27"/>
  <c r="J50" i="27"/>
  <c r="AX50" i="27"/>
  <c r="I14" i="27"/>
  <c r="AW14" i="27"/>
  <c r="BI611" i="27"/>
  <c r="AC611" i="27" s="1"/>
  <c r="AV609" i="27"/>
  <c r="AW606" i="27"/>
  <c r="AW605" i="27"/>
  <c r="BH601" i="27"/>
  <c r="AB601" i="27" s="1"/>
  <c r="AW597" i="27"/>
  <c r="AX583" i="27"/>
  <c r="AX576" i="27"/>
  <c r="J576" i="27"/>
  <c r="AW574" i="27"/>
  <c r="J567" i="27"/>
  <c r="AX567" i="27"/>
  <c r="BI563" i="27"/>
  <c r="AC563" i="27" s="1"/>
  <c r="I510" i="27"/>
  <c r="BH510" i="27"/>
  <c r="AF510" i="27" s="1"/>
  <c r="BI500" i="27"/>
  <c r="AE500" i="27" s="1"/>
  <c r="J495" i="27"/>
  <c r="BI495" i="27"/>
  <c r="AE495" i="27" s="1"/>
  <c r="I470" i="27"/>
  <c r="AW470" i="27"/>
  <c r="J462" i="27"/>
  <c r="BI462" i="27"/>
  <c r="AE462" i="27" s="1"/>
  <c r="J431" i="27"/>
  <c r="AX431" i="27"/>
  <c r="J425" i="27"/>
  <c r="AX425" i="27"/>
  <c r="I416" i="27"/>
  <c r="AW416" i="27"/>
  <c r="BH416" i="27"/>
  <c r="AD416" i="27" s="1"/>
  <c r="BI412" i="27"/>
  <c r="AE412" i="27" s="1"/>
  <c r="AX395" i="27"/>
  <c r="BI395" i="27"/>
  <c r="AE395" i="27" s="1"/>
  <c r="J351" i="27"/>
  <c r="BI351" i="27"/>
  <c r="AE351" i="27" s="1"/>
  <c r="BI348" i="27"/>
  <c r="AE348" i="27" s="1"/>
  <c r="J326" i="27"/>
  <c r="BI326" i="27"/>
  <c r="AE326" i="27" s="1"/>
  <c r="BI289" i="27"/>
  <c r="AE289" i="27" s="1"/>
  <c r="J156" i="27"/>
  <c r="BI156" i="27"/>
  <c r="AC156" i="27" s="1"/>
  <c r="J111" i="27"/>
  <c r="BI111" i="27"/>
  <c r="AC111" i="27" s="1"/>
  <c r="I84" i="27"/>
  <c r="BH84" i="27"/>
  <c r="AB84" i="27" s="1"/>
  <c r="AW84" i="27"/>
  <c r="AX74" i="27"/>
  <c r="BI74" i="27"/>
  <c r="AC74" i="27" s="1"/>
  <c r="I65" i="27"/>
  <c r="BH65" i="27"/>
  <c r="AB65" i="27" s="1"/>
  <c r="AW65" i="27"/>
  <c r="BI61" i="27"/>
  <c r="AC61" i="27" s="1"/>
  <c r="I51" i="27"/>
  <c r="AW51" i="27"/>
  <c r="BH51" i="27"/>
  <c r="AB51" i="27" s="1"/>
  <c r="BI50" i="27"/>
  <c r="AC50" i="27" s="1"/>
  <c r="J32" i="27"/>
  <c r="AX32" i="27"/>
  <c r="J15" i="27"/>
  <c r="AX15" i="27"/>
  <c r="BI15" i="27"/>
  <c r="AC15" i="27" s="1"/>
  <c r="I569" i="27"/>
  <c r="AW561" i="27"/>
  <c r="I561" i="27"/>
  <c r="AX544" i="27"/>
  <c r="BI544" i="27"/>
  <c r="AC544" i="27" s="1"/>
  <c r="I520" i="27"/>
  <c r="BH520" i="27"/>
  <c r="AB520" i="27" s="1"/>
  <c r="BH518" i="27"/>
  <c r="AB518" i="27" s="1"/>
  <c r="AW518" i="27"/>
  <c r="AW478" i="27"/>
  <c r="I465" i="27"/>
  <c r="BH465" i="27"/>
  <c r="AD465" i="27" s="1"/>
  <c r="AW465" i="27"/>
  <c r="J386" i="27"/>
  <c r="AX386" i="27"/>
  <c r="J365" i="27"/>
  <c r="AX365" i="27"/>
  <c r="J344" i="27"/>
  <c r="AX344" i="27"/>
  <c r="J293" i="27"/>
  <c r="AX293" i="27"/>
  <c r="I255" i="27"/>
  <c r="BH255" i="27"/>
  <c r="AD255" i="27" s="1"/>
  <c r="AW255" i="27"/>
  <c r="J207" i="27"/>
  <c r="AX207" i="27"/>
  <c r="BI207" i="27"/>
  <c r="AE207" i="27" s="1"/>
  <c r="I59" i="27"/>
  <c r="BH59" i="27"/>
  <c r="AB59" i="27" s="1"/>
  <c r="AW59" i="27"/>
  <c r="BI32" i="27"/>
  <c r="AC32" i="27" s="1"/>
  <c r="AX609" i="27"/>
  <c r="BI587" i="27"/>
  <c r="AC587" i="27" s="1"/>
  <c r="J577" i="27"/>
  <c r="AX577" i="27"/>
  <c r="J575" i="27"/>
  <c r="BI575" i="27"/>
  <c r="AC575" i="27" s="1"/>
  <c r="J555" i="27"/>
  <c r="AX555" i="27"/>
  <c r="AX548" i="27"/>
  <c r="J548" i="27"/>
  <c r="J545" i="27"/>
  <c r="AX545" i="27"/>
  <c r="J540" i="27"/>
  <c r="AX540" i="27"/>
  <c r="I523" i="27"/>
  <c r="BH523" i="27"/>
  <c r="AB523" i="27" s="1"/>
  <c r="J499" i="27"/>
  <c r="BI499" i="27"/>
  <c r="AE499" i="27" s="1"/>
  <c r="J492" i="27"/>
  <c r="AX492" i="27"/>
  <c r="BI492" i="27"/>
  <c r="AE492" i="27" s="1"/>
  <c r="J482" i="27"/>
  <c r="BI482" i="27"/>
  <c r="AE482" i="27" s="1"/>
  <c r="J473" i="27"/>
  <c r="AX473" i="27"/>
  <c r="J446" i="27"/>
  <c r="BI446" i="27"/>
  <c r="AE446" i="27" s="1"/>
  <c r="J429" i="27"/>
  <c r="BI429" i="27"/>
  <c r="AE429" i="27" s="1"/>
  <c r="AW427" i="27"/>
  <c r="I427" i="27"/>
  <c r="I387" i="27"/>
  <c r="BH387" i="27"/>
  <c r="AD387" i="27" s="1"/>
  <c r="AW387" i="27"/>
  <c r="BI386" i="27"/>
  <c r="AE386" i="27" s="1"/>
  <c r="BI365" i="27"/>
  <c r="AE365" i="27" s="1"/>
  <c r="I356" i="27"/>
  <c r="BH356" i="27"/>
  <c r="AD356" i="27" s="1"/>
  <c r="AW356" i="27"/>
  <c r="BI344" i="27"/>
  <c r="AE344" i="27" s="1"/>
  <c r="I339" i="27"/>
  <c r="BH339" i="27"/>
  <c r="AD339" i="27" s="1"/>
  <c r="AW339" i="27"/>
  <c r="AX298" i="27"/>
  <c r="BI298" i="27"/>
  <c r="AE298" i="27" s="1"/>
  <c r="BI293" i="27"/>
  <c r="AE293" i="27" s="1"/>
  <c r="J275" i="27"/>
  <c r="AX275" i="27"/>
  <c r="BI275" i="27"/>
  <c r="AE275" i="27" s="1"/>
  <c r="J226" i="27"/>
  <c r="AX226" i="27"/>
  <c r="J213" i="27"/>
  <c r="AX213" i="27"/>
  <c r="J184" i="27"/>
  <c r="AX184" i="27"/>
  <c r="I115" i="27"/>
  <c r="AW115" i="27"/>
  <c r="BH115" i="27"/>
  <c r="AB115" i="27" s="1"/>
  <c r="J78" i="27"/>
  <c r="AX78" i="27"/>
  <c r="J57" i="27"/>
  <c r="AX57" i="27"/>
  <c r="J35" i="27"/>
  <c r="J34" i="27" s="1"/>
  <c r="F16" i="26" s="1"/>
  <c r="BI35" i="27"/>
  <c r="AC35" i="27" s="1"/>
  <c r="AW570" i="27"/>
  <c r="BI561" i="27"/>
  <c r="AC561" i="27" s="1"/>
  <c r="AX561" i="27"/>
  <c r="AW442" i="27"/>
  <c r="AX416" i="27"/>
  <c r="BI411" i="27"/>
  <c r="AE411" i="27" s="1"/>
  <c r="AX411" i="27"/>
  <c r="AX154" i="27"/>
  <c r="I74" i="27"/>
  <c r="I404" i="27"/>
  <c r="AX383" i="27"/>
  <c r="I346" i="27"/>
  <c r="AX342" i="27"/>
  <c r="AX282" i="27"/>
  <c r="AX271" i="27"/>
  <c r="BI249" i="27"/>
  <c r="AE249" i="27" s="1"/>
  <c r="BH242" i="27"/>
  <c r="AD242" i="27" s="1"/>
  <c r="I233" i="27"/>
  <c r="BI224" i="27"/>
  <c r="AE224" i="27" s="1"/>
  <c r="AX209" i="27"/>
  <c r="BI189" i="27"/>
  <c r="BI167" i="27"/>
  <c r="AC167" i="27" s="1"/>
  <c r="BH166" i="27"/>
  <c r="AB166" i="27" s="1"/>
  <c r="BH126" i="27"/>
  <c r="AB126" i="27" s="1"/>
  <c r="AX125" i="27"/>
  <c r="AS104" i="27"/>
  <c r="J105" i="27"/>
  <c r="AS101" i="27"/>
  <c r="BI93" i="27"/>
  <c r="AC93" i="27" s="1"/>
  <c r="BI86" i="27"/>
  <c r="AC86" i="27" s="1"/>
  <c r="AX85" i="27"/>
  <c r="AX47" i="27"/>
  <c r="BI44" i="27"/>
  <c r="AC44" i="27" s="1"/>
  <c r="AU26" i="27"/>
  <c r="AW524" i="27"/>
  <c r="AW496" i="27"/>
  <c r="BI396" i="27"/>
  <c r="AE396" i="27" s="1"/>
  <c r="AW326" i="27"/>
  <c r="BI307" i="27"/>
  <c r="AE307" i="27" s="1"/>
  <c r="BI306" i="27"/>
  <c r="AE306" i="27" s="1"/>
  <c r="AX306" i="27"/>
  <c r="BH275" i="27"/>
  <c r="AD275" i="27" s="1"/>
  <c r="AW275" i="27"/>
  <c r="AW266" i="27"/>
  <c r="AW264" i="27"/>
  <c r="AW238" i="27"/>
  <c r="AW221" i="27"/>
  <c r="BH207" i="27"/>
  <c r="AD207" i="27" s="1"/>
  <c r="AW207" i="27"/>
  <c r="BI158" i="27"/>
  <c r="AC158" i="27" s="1"/>
  <c r="AW119" i="27"/>
  <c r="AW112" i="27"/>
  <c r="BI105" i="27"/>
  <c r="AC105" i="27" s="1"/>
  <c r="AU41" i="27"/>
  <c r="AW42" i="27"/>
  <c r="AW21" i="27"/>
  <c r="BH332" i="23"/>
  <c r="AD332" i="23" s="1"/>
  <c r="BI320" i="23"/>
  <c r="AE320" i="23" s="1"/>
  <c r="BH197" i="23"/>
  <c r="AD197" i="23" s="1"/>
  <c r="J660" i="23"/>
  <c r="BI641" i="23"/>
  <c r="AC641" i="23" s="1"/>
  <c r="BI623" i="23"/>
  <c r="AC623" i="23" s="1"/>
  <c r="BI600" i="23"/>
  <c r="AC600" i="23" s="1"/>
  <c r="AX600" i="23"/>
  <c r="AV600" i="23" s="1"/>
  <c r="BI591" i="23"/>
  <c r="AC591" i="23" s="1"/>
  <c r="BI590" i="23"/>
  <c r="AC590" i="23" s="1"/>
  <c r="BI549" i="23"/>
  <c r="AE549" i="23" s="1"/>
  <c r="BI546" i="23"/>
  <c r="AE546" i="23" s="1"/>
  <c r="BI545" i="23"/>
  <c r="AE545" i="23" s="1"/>
  <c r="BI515" i="23"/>
  <c r="AE515" i="23" s="1"/>
  <c r="I490" i="23"/>
  <c r="AW487" i="23"/>
  <c r="BH477" i="23"/>
  <c r="AD477" i="23" s="1"/>
  <c r="BH460" i="23"/>
  <c r="AD460" i="23" s="1"/>
  <c r="BI437" i="23"/>
  <c r="AE437" i="23" s="1"/>
  <c r="BC436" i="23"/>
  <c r="AX435" i="23"/>
  <c r="AW387" i="23"/>
  <c r="AW384" i="23"/>
  <c r="BI379" i="23"/>
  <c r="AE379" i="23" s="1"/>
  <c r="BI373" i="23"/>
  <c r="AE373" i="23" s="1"/>
  <c r="BI367" i="23"/>
  <c r="AE367" i="23" s="1"/>
  <c r="BI366" i="23"/>
  <c r="AE366" i="23" s="1"/>
  <c r="BI354" i="23"/>
  <c r="AE354" i="23" s="1"/>
  <c r="BI349" i="23"/>
  <c r="AE349" i="23" s="1"/>
  <c r="BC300" i="23"/>
  <c r="AW277" i="23"/>
  <c r="BI267" i="23"/>
  <c r="AE267" i="23" s="1"/>
  <c r="BI249" i="23"/>
  <c r="AE249" i="23" s="1"/>
  <c r="AX245" i="23"/>
  <c r="AW227" i="23"/>
  <c r="BC227" i="23" s="1"/>
  <c r="BI200" i="23"/>
  <c r="AE200" i="23" s="1"/>
  <c r="BI199" i="23"/>
  <c r="AE199" i="23" s="1"/>
  <c r="AX198" i="23"/>
  <c r="AW195" i="23"/>
  <c r="AX181" i="23"/>
  <c r="BI168" i="23"/>
  <c r="AC168" i="23" s="1"/>
  <c r="AW162" i="23"/>
  <c r="AW160" i="23"/>
  <c r="BI152" i="23"/>
  <c r="AC152" i="23" s="1"/>
  <c r="J145" i="23"/>
  <c r="BH139" i="23"/>
  <c r="AB139" i="23" s="1"/>
  <c r="AW137" i="23"/>
  <c r="AW136" i="23"/>
  <c r="AV136" i="23" s="1"/>
  <c r="I119" i="23"/>
  <c r="AW108" i="23"/>
  <c r="BC108" i="23" s="1"/>
  <c r="AW106" i="23"/>
  <c r="AX82" i="23"/>
  <c r="BI80" i="23"/>
  <c r="AC80" i="23" s="1"/>
  <c r="BI79" i="23"/>
  <c r="AC79" i="23" s="1"/>
  <c r="AX78" i="23"/>
  <c r="AX55" i="23"/>
  <c r="AV55" i="23" s="1"/>
  <c r="AS28" i="23"/>
  <c r="AU28" i="23"/>
  <c r="BI678" i="23"/>
  <c r="AC678" i="23" s="1"/>
  <c r="BI451" i="23"/>
  <c r="AE451" i="23" s="1"/>
  <c r="BI419" i="23"/>
  <c r="AE419" i="23" s="1"/>
  <c r="BI372" i="23"/>
  <c r="AE372" i="23" s="1"/>
  <c r="BI251" i="23"/>
  <c r="AE251" i="23" s="1"/>
  <c r="J168" i="23"/>
  <c r="BI58" i="23"/>
  <c r="AC58" i="23" s="1"/>
  <c r="J679" i="23"/>
  <c r="AX676" i="23"/>
  <c r="BI662" i="23"/>
  <c r="AC662" i="23" s="1"/>
  <c r="BI661" i="23"/>
  <c r="AC661" i="23" s="1"/>
  <c r="BI660" i="23"/>
  <c r="AC660" i="23" s="1"/>
  <c r="AX659" i="23"/>
  <c r="BI657" i="23"/>
  <c r="AC657" i="23" s="1"/>
  <c r="AW657" i="23"/>
  <c r="BH640" i="23"/>
  <c r="AB640" i="23" s="1"/>
  <c r="BI632" i="23"/>
  <c r="AC632" i="23" s="1"/>
  <c r="AW628" i="23"/>
  <c r="BC628" i="23" s="1"/>
  <c r="AX627" i="23"/>
  <c r="I617" i="23"/>
  <c r="J613" i="23"/>
  <c r="BH600" i="23"/>
  <c r="AB600" i="23" s="1"/>
  <c r="AW600" i="23"/>
  <c r="AX599" i="23"/>
  <c r="I594" i="23"/>
  <c r="BI586" i="23"/>
  <c r="AG586" i="23" s="1"/>
  <c r="BI569" i="23"/>
  <c r="AC569" i="23" s="1"/>
  <c r="AX559" i="23"/>
  <c r="AW558" i="23"/>
  <c r="AV558" i="23" s="1"/>
  <c r="I482" i="23"/>
  <c r="BI446" i="23"/>
  <c r="AE446" i="23" s="1"/>
  <c r="AW446" i="23"/>
  <c r="BH435" i="23"/>
  <c r="AD435" i="23" s="1"/>
  <c r="AW398" i="23"/>
  <c r="BH365" i="23"/>
  <c r="AD365" i="23" s="1"/>
  <c r="AW365" i="23"/>
  <c r="BH348" i="23"/>
  <c r="AD348" i="23" s="1"/>
  <c r="AW348" i="23"/>
  <c r="AV348" i="23" s="1"/>
  <c r="AW306" i="23"/>
  <c r="AW305" i="23"/>
  <c r="AX304" i="23"/>
  <c r="AX302" i="23"/>
  <c r="BH300" i="23"/>
  <c r="AD300" i="23" s="1"/>
  <c r="I300" i="23"/>
  <c r="I243" i="23"/>
  <c r="AW240" i="23"/>
  <c r="BH198" i="23"/>
  <c r="AD198" i="23" s="1"/>
  <c r="AW198" i="23"/>
  <c r="AX167" i="23"/>
  <c r="I165" i="23"/>
  <c r="BH162" i="23"/>
  <c r="AB162" i="23" s="1"/>
  <c r="BH160" i="23"/>
  <c r="AB160" i="23" s="1"/>
  <c r="AW145" i="23"/>
  <c r="I145" i="23"/>
  <c r="AW143" i="23"/>
  <c r="BH120" i="23"/>
  <c r="AB120" i="23" s="1"/>
  <c r="BH106" i="23"/>
  <c r="AB106" i="23" s="1"/>
  <c r="BI103" i="23"/>
  <c r="AC103" i="23" s="1"/>
  <c r="AW86" i="23"/>
  <c r="AW84" i="23"/>
  <c r="AW15" i="23"/>
  <c r="BH645" i="23"/>
  <c r="AB645" i="23" s="1"/>
  <c r="BH626" i="23"/>
  <c r="AB626" i="23" s="1"/>
  <c r="BI606" i="23"/>
  <c r="AC606" i="23" s="1"/>
  <c r="BH603" i="23"/>
  <c r="AB603" i="23" s="1"/>
  <c r="BH594" i="23"/>
  <c r="AB594" i="23" s="1"/>
  <c r="BH524" i="23"/>
  <c r="AD524" i="23" s="1"/>
  <c r="BH216" i="23"/>
  <c r="AD216" i="23" s="1"/>
  <c r="BI208" i="23"/>
  <c r="AE208" i="23" s="1"/>
  <c r="BI169" i="23"/>
  <c r="AC169" i="23" s="1"/>
  <c r="J79" i="23"/>
  <c r="AX678" i="23"/>
  <c r="BI668" i="23"/>
  <c r="AC668" i="23" s="1"/>
  <c r="BC668" i="23"/>
  <c r="BH657" i="23"/>
  <c r="AB657" i="23" s="1"/>
  <c r="BI648" i="23"/>
  <c r="AC648" i="23" s="1"/>
  <c r="BC648" i="23"/>
  <c r="BH628" i="23"/>
  <c r="AB628" i="23" s="1"/>
  <c r="AW620" i="23"/>
  <c r="AX619" i="23"/>
  <c r="J605" i="23"/>
  <c r="BH558" i="23"/>
  <c r="AF558" i="23" s="1"/>
  <c r="BI556" i="23"/>
  <c r="AG556" i="23" s="1"/>
  <c r="AV556" i="23"/>
  <c r="BI550" i="23"/>
  <c r="AE550" i="23" s="1"/>
  <c r="AX550" i="23"/>
  <c r="AV550" i="23" s="1"/>
  <c r="BI541" i="23"/>
  <c r="AE541" i="23" s="1"/>
  <c r="AX541" i="23"/>
  <c r="BI530" i="23"/>
  <c r="AE530" i="23" s="1"/>
  <c r="AX530" i="23"/>
  <c r="AW529" i="23"/>
  <c r="I524" i="23"/>
  <c r="AX518" i="23"/>
  <c r="AX516" i="23"/>
  <c r="AV516" i="23" s="1"/>
  <c r="AX484" i="23"/>
  <c r="AX480" i="23"/>
  <c r="AX451" i="23"/>
  <c r="BH446" i="23"/>
  <c r="AD446" i="23" s="1"/>
  <c r="BI441" i="23"/>
  <c r="AE441" i="23" s="1"/>
  <c r="AX441" i="23"/>
  <c r="AX439" i="23"/>
  <c r="BI407" i="23"/>
  <c r="AE407" i="23" s="1"/>
  <c r="AX400" i="23"/>
  <c r="BH398" i="23"/>
  <c r="AD398" i="23" s="1"/>
  <c r="BI392" i="23"/>
  <c r="AE392" i="23" s="1"/>
  <c r="AX390" i="23"/>
  <c r="BC390" i="23" s="1"/>
  <c r="BI362" i="23"/>
  <c r="AE362" i="23" s="1"/>
  <c r="AW362" i="23"/>
  <c r="AX351" i="23"/>
  <c r="BH306" i="23"/>
  <c r="AD306" i="23" s="1"/>
  <c r="AX292" i="23"/>
  <c r="AX251" i="23"/>
  <c r="K171" i="23"/>
  <c r="G32" i="22" s="1"/>
  <c r="I32" i="22" s="1"/>
  <c r="BI170" i="23"/>
  <c r="AC170" i="23" s="1"/>
  <c r="AX169" i="23"/>
  <c r="J152" i="23"/>
  <c r="I149" i="23"/>
  <c r="BH143" i="23"/>
  <c r="AB143" i="23" s="1"/>
  <c r="AW132" i="23"/>
  <c r="AX129" i="23"/>
  <c r="I96" i="23"/>
  <c r="BH86" i="23"/>
  <c r="AB86" i="23" s="1"/>
  <c r="BI45" i="23"/>
  <c r="AC45" i="23" s="1"/>
  <c r="AX19" i="23"/>
  <c r="BH15" i="23"/>
  <c r="AB15" i="23" s="1"/>
  <c r="J23" i="27"/>
  <c r="BH423" i="27"/>
  <c r="AD423" i="27" s="1"/>
  <c r="BI377" i="27"/>
  <c r="AE377" i="27" s="1"/>
  <c r="I283" i="27"/>
  <c r="AW283" i="27"/>
  <c r="J236" i="27"/>
  <c r="AX236" i="27"/>
  <c r="I109" i="27"/>
  <c r="BH109" i="27"/>
  <c r="AB109" i="27" s="1"/>
  <c r="AW109" i="27"/>
  <c r="I103" i="27"/>
  <c r="BH103" i="27"/>
  <c r="AB103" i="27" s="1"/>
  <c r="AW103" i="27"/>
  <c r="BI621" i="27"/>
  <c r="AC621" i="27" s="1"/>
  <c r="AX621" i="27"/>
  <c r="AW620" i="27"/>
  <c r="AW617" i="27"/>
  <c r="I616" i="27"/>
  <c r="BH609" i="27"/>
  <c r="AB609" i="27" s="1"/>
  <c r="BH605" i="27"/>
  <c r="AB605" i="27" s="1"/>
  <c r="AW604" i="27"/>
  <c r="AX603" i="27"/>
  <c r="BI600" i="27"/>
  <c r="AC600" i="27" s="1"/>
  <c r="AX600" i="27"/>
  <c r="AW588" i="27"/>
  <c r="BI581" i="27"/>
  <c r="AC581" i="27" s="1"/>
  <c r="J580" i="27"/>
  <c r="AW578" i="27"/>
  <c r="AX575" i="27"/>
  <c r="AX573" i="27"/>
  <c r="J564" i="27"/>
  <c r="AW562" i="27"/>
  <c r="J556" i="27"/>
  <c r="AX551" i="27"/>
  <c r="BH545" i="27"/>
  <c r="AB545" i="27" s="1"/>
  <c r="AW545" i="27"/>
  <c r="BC545" i="27" s="1"/>
  <c r="AW542" i="27"/>
  <c r="AW539" i="27"/>
  <c r="AX535" i="27"/>
  <c r="BI533" i="27"/>
  <c r="AC533" i="27" s="1"/>
  <c r="AX527" i="27"/>
  <c r="I527" i="27"/>
  <c r="BH524" i="27"/>
  <c r="AB524" i="27" s="1"/>
  <c r="BI521" i="27"/>
  <c r="AC521" i="27" s="1"/>
  <c r="AX521" i="27"/>
  <c r="BH515" i="27"/>
  <c r="AB515" i="27" s="1"/>
  <c r="AX513" i="27"/>
  <c r="BI511" i="27"/>
  <c r="AG511" i="27" s="1"/>
  <c r="BI484" i="27"/>
  <c r="AE484" i="27" s="1"/>
  <c r="BH470" i="27"/>
  <c r="AD470" i="27" s="1"/>
  <c r="BI467" i="27"/>
  <c r="AE467" i="27" s="1"/>
  <c r="AX460" i="27"/>
  <c r="AX458" i="27"/>
  <c r="AX454" i="27"/>
  <c r="BH438" i="27"/>
  <c r="AD438" i="27" s="1"/>
  <c r="BC416" i="27"/>
  <c r="BH412" i="27"/>
  <c r="AD412" i="27" s="1"/>
  <c r="AW412" i="27"/>
  <c r="AX402" i="27"/>
  <c r="I392" i="27"/>
  <c r="I294" i="27"/>
  <c r="AW294" i="27"/>
  <c r="I286" i="27"/>
  <c r="BH286" i="27"/>
  <c r="AD286" i="27" s="1"/>
  <c r="AW286" i="27"/>
  <c r="I271" i="27"/>
  <c r="AW271" i="27"/>
  <c r="BH271" i="27"/>
  <c r="AD271" i="27" s="1"/>
  <c r="AW251" i="27"/>
  <c r="I251" i="27"/>
  <c r="J246" i="27"/>
  <c r="AX246" i="27"/>
  <c r="BI236" i="27"/>
  <c r="AE236" i="27" s="1"/>
  <c r="I167" i="27"/>
  <c r="AW167" i="27"/>
  <c r="I160" i="27"/>
  <c r="BH160" i="27"/>
  <c r="AB160" i="27" s="1"/>
  <c r="AW160" i="27"/>
  <c r="J155" i="27"/>
  <c r="AX155" i="27"/>
  <c r="BI155" i="27"/>
  <c r="AC155" i="27" s="1"/>
  <c r="BC105" i="27"/>
  <c r="AV105" i="27"/>
  <c r="J80" i="27"/>
  <c r="AX80" i="27"/>
  <c r="BI547" i="27"/>
  <c r="AC547" i="27" s="1"/>
  <c r="J514" i="27"/>
  <c r="BI380" i="27"/>
  <c r="AE380" i="27" s="1"/>
  <c r="I329" i="27"/>
  <c r="AW329" i="27"/>
  <c r="BH329" i="27"/>
  <c r="AD329" i="27" s="1"/>
  <c r="J322" i="27"/>
  <c r="AX322" i="27"/>
  <c r="BI322" i="27"/>
  <c r="AE322" i="27" s="1"/>
  <c r="BC275" i="27"/>
  <c r="AV275" i="27"/>
  <c r="I272" i="27"/>
  <c r="AW272" i="27"/>
  <c r="I259" i="27"/>
  <c r="BH259" i="27"/>
  <c r="AD259" i="27" s="1"/>
  <c r="AW259" i="27"/>
  <c r="J190" i="27"/>
  <c r="AX190" i="27"/>
  <c r="BI190" i="27"/>
  <c r="I182" i="27"/>
  <c r="AW182" i="27"/>
  <c r="BH182" i="27"/>
  <c r="J165" i="27"/>
  <c r="AX165" i="27"/>
  <c r="BI151" i="27"/>
  <c r="AC151" i="27" s="1"/>
  <c r="AX151" i="27"/>
  <c r="I121" i="27"/>
  <c r="AW121" i="27"/>
  <c r="BC112" i="27"/>
  <c r="AV112" i="27"/>
  <c r="I50" i="27"/>
  <c r="I49" i="27" s="1"/>
  <c r="E21" i="26" s="1"/>
  <c r="AW50" i="27"/>
  <c r="BH50" i="27"/>
  <c r="AB50" i="27" s="1"/>
  <c r="J19" i="27"/>
  <c r="BI19" i="27"/>
  <c r="AC19" i="27" s="1"/>
  <c r="J612" i="27"/>
  <c r="J608" i="27"/>
  <c r="AW602" i="27"/>
  <c r="BH600" i="27"/>
  <c r="AB600" i="27" s="1"/>
  <c r="AW600" i="27"/>
  <c r="AW598" i="27"/>
  <c r="AW596" i="27"/>
  <c r="AW592" i="27"/>
  <c r="AW589" i="27"/>
  <c r="AW585" i="27"/>
  <c r="AW557" i="27"/>
  <c r="AW554" i="27"/>
  <c r="AW546" i="27"/>
  <c r="AW544" i="27"/>
  <c r="AW519" i="27"/>
  <c r="BI514" i="27"/>
  <c r="AC514" i="27" s="1"/>
  <c r="J510" i="27"/>
  <c r="AW504" i="27"/>
  <c r="AW501" i="27"/>
  <c r="BH500" i="27"/>
  <c r="AD500" i="27" s="1"/>
  <c r="AW500" i="27"/>
  <c r="BI489" i="27"/>
  <c r="AE489" i="27" s="1"/>
  <c r="AX489" i="27"/>
  <c r="AW481" i="27"/>
  <c r="BI477" i="27"/>
  <c r="AE477" i="27" s="1"/>
  <c r="AX477" i="27"/>
  <c r="BH458" i="27"/>
  <c r="AD458" i="27" s="1"/>
  <c r="AW458" i="27"/>
  <c r="AW430" i="27"/>
  <c r="AW424" i="27"/>
  <c r="AW417" i="27"/>
  <c r="AW413" i="27"/>
  <c r="AW405" i="27"/>
  <c r="BI400" i="27"/>
  <c r="AE400" i="27" s="1"/>
  <c r="AW396" i="27"/>
  <c r="AW391" i="27"/>
  <c r="J367" i="27"/>
  <c r="BI367" i="27"/>
  <c r="AE367" i="27" s="1"/>
  <c r="BI364" i="27"/>
  <c r="AE364" i="27" s="1"/>
  <c r="I358" i="27"/>
  <c r="AW358" i="27"/>
  <c r="AW357" i="27"/>
  <c r="I357" i="27"/>
  <c r="I338" i="27"/>
  <c r="BH338" i="27"/>
  <c r="AD338" i="27" s="1"/>
  <c r="AW338" i="27"/>
  <c r="I298" i="27"/>
  <c r="AW298" i="27"/>
  <c r="I247" i="27"/>
  <c r="AW247" i="27"/>
  <c r="BH247" i="27"/>
  <c r="AD247" i="27" s="1"/>
  <c r="J228" i="27"/>
  <c r="AX228" i="27"/>
  <c r="I174" i="27"/>
  <c r="BH174" i="27"/>
  <c r="AB174" i="27" s="1"/>
  <c r="AW174" i="27"/>
  <c r="I152" i="27"/>
  <c r="BH152" i="27"/>
  <c r="AB152" i="27" s="1"/>
  <c r="AW152" i="27"/>
  <c r="J145" i="27"/>
  <c r="AX145" i="27"/>
  <c r="BI145" i="27"/>
  <c r="AC145" i="27" s="1"/>
  <c r="AX126" i="27"/>
  <c r="BI126" i="27"/>
  <c r="AC126" i="27" s="1"/>
  <c r="J126" i="27"/>
  <c r="AT41" i="27"/>
  <c r="AS22" i="27"/>
  <c r="BI607" i="27"/>
  <c r="AC607" i="27" s="1"/>
  <c r="BI531" i="27"/>
  <c r="AC531" i="27" s="1"/>
  <c r="BI407" i="27"/>
  <c r="AE407" i="27" s="1"/>
  <c r="I172" i="27"/>
  <c r="BH172" i="27"/>
  <c r="AB172" i="27" s="1"/>
  <c r="AW172" i="27"/>
  <c r="BI619" i="27"/>
  <c r="AC619" i="27" s="1"/>
  <c r="BI618" i="27"/>
  <c r="AC618" i="27" s="1"/>
  <c r="BI612" i="27"/>
  <c r="AC612" i="27" s="1"/>
  <c r="AX611" i="27"/>
  <c r="BC609" i="27"/>
  <c r="BI608" i="27"/>
  <c r="AC608" i="27" s="1"/>
  <c r="AX607" i="27"/>
  <c r="BH602" i="27"/>
  <c r="AB602" i="27" s="1"/>
  <c r="BH598" i="27"/>
  <c r="AB598" i="27" s="1"/>
  <c r="BH596" i="27"/>
  <c r="AB596" i="27" s="1"/>
  <c r="BI593" i="27"/>
  <c r="AC593" i="27" s="1"/>
  <c r="BH592" i="27"/>
  <c r="AB592" i="27" s="1"/>
  <c r="BH589" i="27"/>
  <c r="AB589" i="27" s="1"/>
  <c r="J584" i="27"/>
  <c r="BI579" i="27"/>
  <c r="AC579" i="27" s="1"/>
  <c r="J572" i="27"/>
  <c r="J568" i="27"/>
  <c r="J560" i="27"/>
  <c r="BH554" i="27"/>
  <c r="AB554" i="27" s="1"/>
  <c r="AX547" i="27"/>
  <c r="AX531" i="27"/>
  <c r="AW522" i="27"/>
  <c r="BH519" i="27"/>
  <c r="AB519" i="27" s="1"/>
  <c r="AX517" i="27"/>
  <c r="AW516" i="27"/>
  <c r="BH514" i="27"/>
  <c r="AB514" i="27" s="1"/>
  <c r="AW514" i="27"/>
  <c r="BI510" i="27"/>
  <c r="AG510" i="27" s="1"/>
  <c r="AX509" i="27"/>
  <c r="BI506" i="27"/>
  <c r="AE506" i="27" s="1"/>
  <c r="BH504" i="27"/>
  <c r="AD504" i="27" s="1"/>
  <c r="BH501" i="27"/>
  <c r="BI496" i="27"/>
  <c r="AE496" i="27" s="1"/>
  <c r="AX496" i="27"/>
  <c r="BH489" i="27"/>
  <c r="AD489" i="27" s="1"/>
  <c r="AW489" i="27"/>
  <c r="BH481" i="27"/>
  <c r="AD481" i="27" s="1"/>
  <c r="AW468" i="27"/>
  <c r="BI465" i="27"/>
  <c r="AE465" i="27" s="1"/>
  <c r="AX465" i="27"/>
  <c r="AX462" i="27"/>
  <c r="AX457" i="27"/>
  <c r="AX446" i="27"/>
  <c r="AX440" i="27"/>
  <c r="AW439" i="27"/>
  <c r="BH430" i="27"/>
  <c r="AD430" i="27" s="1"/>
  <c r="I423" i="27"/>
  <c r="BI415" i="27"/>
  <c r="AE415" i="27" s="1"/>
  <c r="AX415" i="27"/>
  <c r="BI410" i="27"/>
  <c r="AE410" i="27" s="1"/>
  <c r="AX410" i="27"/>
  <c r="AW409" i="27"/>
  <c r="AW407" i="27"/>
  <c r="BH391" i="27"/>
  <c r="AD391" i="27" s="1"/>
  <c r="BI387" i="27"/>
  <c r="AE387" i="27" s="1"/>
  <c r="AX387" i="27"/>
  <c r="AX368" i="27"/>
  <c r="BI368" i="27"/>
  <c r="AE368" i="27" s="1"/>
  <c r="J359" i="27"/>
  <c r="AX359" i="27"/>
  <c r="I353" i="27"/>
  <c r="BH353" i="27"/>
  <c r="AD353" i="27" s="1"/>
  <c r="AW353" i="27"/>
  <c r="BI330" i="27"/>
  <c r="AE330" i="27" s="1"/>
  <c r="J314" i="27"/>
  <c r="AX314" i="27"/>
  <c r="BI314" i="27"/>
  <c r="AE314" i="27" s="1"/>
  <c r="J269" i="27"/>
  <c r="BI269" i="27"/>
  <c r="AE269" i="27" s="1"/>
  <c r="AW248" i="27"/>
  <c r="I248" i="27"/>
  <c r="I244" i="27"/>
  <c r="BH244" i="27"/>
  <c r="AD244" i="27" s="1"/>
  <c r="AW244" i="27"/>
  <c r="J242" i="27"/>
  <c r="AX242" i="27"/>
  <c r="BI242" i="27"/>
  <c r="AE242" i="27" s="1"/>
  <c r="BI228" i="27"/>
  <c r="AE228" i="27" s="1"/>
  <c r="I222" i="27"/>
  <c r="BH222" i="27"/>
  <c r="AD222" i="27" s="1"/>
  <c r="AW222" i="27"/>
  <c r="I206" i="27"/>
  <c r="BH206" i="27"/>
  <c r="AD206" i="27" s="1"/>
  <c r="AW206" i="27"/>
  <c r="J159" i="27"/>
  <c r="BI159" i="27"/>
  <c r="AC159" i="27" s="1"/>
  <c r="BH93" i="27"/>
  <c r="AB93" i="27" s="1"/>
  <c r="AW93" i="27"/>
  <c r="BC93" i="27" s="1"/>
  <c r="I55" i="27"/>
  <c r="BH55" i="27"/>
  <c r="AB55" i="27" s="1"/>
  <c r="AW55" i="27"/>
  <c r="I33" i="27"/>
  <c r="BH33" i="27"/>
  <c r="AB33" i="27" s="1"/>
  <c r="AW33" i="27"/>
  <c r="AV33" i="27" s="1"/>
  <c r="J16" i="27"/>
  <c r="AX16" i="27"/>
  <c r="AX13" i="27"/>
  <c r="BC13" i="27" s="1"/>
  <c r="BI13" i="27"/>
  <c r="AC13" i="27" s="1"/>
  <c r="AX341" i="27"/>
  <c r="BI318" i="27"/>
  <c r="AE318" i="27" s="1"/>
  <c r="AW318" i="27"/>
  <c r="AX310" i="27"/>
  <c r="AW307" i="27"/>
  <c r="AW303" i="27"/>
  <c r="I287" i="27"/>
  <c r="BH282" i="27"/>
  <c r="AD282" i="27" s="1"/>
  <c r="AW282" i="27"/>
  <c r="AW276" i="27"/>
  <c r="AV267" i="27"/>
  <c r="BI247" i="27"/>
  <c r="AE247" i="27" s="1"/>
  <c r="AX247" i="27"/>
  <c r="BH243" i="27"/>
  <c r="AD243" i="27" s="1"/>
  <c r="BH218" i="27"/>
  <c r="AD218" i="27" s="1"/>
  <c r="AV207" i="27"/>
  <c r="I200" i="27"/>
  <c r="AU196" i="27"/>
  <c r="J193" i="27"/>
  <c r="AX189" i="27"/>
  <c r="BI182" i="27"/>
  <c r="AX182" i="27"/>
  <c r="AW176" i="27"/>
  <c r="I175" i="27"/>
  <c r="BH170" i="27"/>
  <c r="AB170" i="27" s="1"/>
  <c r="I153" i="27"/>
  <c r="AW142" i="27"/>
  <c r="AW138" i="27"/>
  <c r="J116" i="27"/>
  <c r="AT104" i="27"/>
  <c r="AW76" i="27"/>
  <c r="J69" i="27"/>
  <c r="AU36" i="27"/>
  <c r="BI33" i="27"/>
  <c r="AC33" i="27" s="1"/>
  <c r="BH14" i="27"/>
  <c r="AB14" i="27" s="1"/>
  <c r="I13" i="27"/>
  <c r="AX277" i="27"/>
  <c r="BI273" i="27"/>
  <c r="AE273" i="27" s="1"/>
  <c r="AX273" i="27"/>
  <c r="BH267" i="27"/>
  <c r="AD267" i="27" s="1"/>
  <c r="BI259" i="27"/>
  <c r="AE259" i="27" s="1"/>
  <c r="AX253" i="27"/>
  <c r="AX249" i="27"/>
  <c r="AX224" i="27"/>
  <c r="BC190" i="27"/>
  <c r="AV142" i="27"/>
  <c r="AX141" i="27"/>
  <c r="AX111" i="27"/>
  <c r="K107" i="27"/>
  <c r="G27" i="26" s="1"/>
  <c r="I27" i="26" s="1"/>
  <c r="J97" i="27"/>
  <c r="AX86" i="27"/>
  <c r="BH76" i="27"/>
  <c r="AB76" i="27" s="1"/>
  <c r="J54" i="27"/>
  <c r="AX48" i="27"/>
  <c r="AX35" i="27"/>
  <c r="BI369" i="27"/>
  <c r="AE369" i="27" s="1"/>
  <c r="AX369" i="27"/>
  <c r="BC369" i="27" s="1"/>
  <c r="AW368" i="27"/>
  <c r="AW364" i="27"/>
  <c r="AW362" i="27"/>
  <c r="AW347" i="27"/>
  <c r="AW330" i="27"/>
  <c r="AX326" i="27"/>
  <c r="AW322" i="27"/>
  <c r="AW319" i="27"/>
  <c r="BI274" i="27"/>
  <c r="AE274" i="27" s="1"/>
  <c r="AX274" i="27"/>
  <c r="AW270" i="27"/>
  <c r="BI266" i="27"/>
  <c r="AE266" i="27" s="1"/>
  <c r="AX266" i="27"/>
  <c r="AX217" i="27"/>
  <c r="BI211" i="27"/>
  <c r="AE211" i="27" s="1"/>
  <c r="AX211" i="27"/>
  <c r="BI202" i="27"/>
  <c r="BI195" i="27"/>
  <c r="AV190" i="27"/>
  <c r="BI143" i="27"/>
  <c r="AC143" i="27" s="1"/>
  <c r="C29" i="25"/>
  <c r="F29" i="25" s="1"/>
  <c r="AV103" i="27"/>
  <c r="J74" i="27"/>
  <c r="AW52" i="27"/>
  <c r="AU30" i="27"/>
  <c r="BC527" i="27"/>
  <c r="AV527" i="27"/>
  <c r="AW507" i="27"/>
  <c r="BH507" i="27"/>
  <c r="AD507" i="27" s="1"/>
  <c r="I507" i="27"/>
  <c r="AX503" i="27"/>
  <c r="BI503" i="27"/>
  <c r="AE503" i="27" s="1"/>
  <c r="J503" i="27"/>
  <c r="AW493" i="27"/>
  <c r="BH493" i="27"/>
  <c r="I493" i="27"/>
  <c r="AW485" i="27"/>
  <c r="BH485" i="27"/>
  <c r="AD485" i="27" s="1"/>
  <c r="I485" i="27"/>
  <c r="AX481" i="27"/>
  <c r="BI481" i="27"/>
  <c r="AE481" i="27" s="1"/>
  <c r="J481" i="27"/>
  <c r="BC465" i="27"/>
  <c r="AV465" i="27"/>
  <c r="I459" i="27"/>
  <c r="BH459" i="27"/>
  <c r="AD459" i="27" s="1"/>
  <c r="AW459" i="27"/>
  <c r="I457" i="27"/>
  <c r="AW457" i="27"/>
  <c r="BH457" i="27"/>
  <c r="AD457" i="27" s="1"/>
  <c r="BC442" i="27"/>
  <c r="AV442" i="27"/>
  <c r="I434" i="27"/>
  <c r="AW434" i="27"/>
  <c r="AX422" i="27"/>
  <c r="BI422" i="27"/>
  <c r="AE422" i="27" s="1"/>
  <c r="J422" i="27"/>
  <c r="AW419" i="27"/>
  <c r="I419" i="27"/>
  <c r="AW400" i="27"/>
  <c r="I400" i="27"/>
  <c r="BH400" i="27"/>
  <c r="AD400" i="27" s="1"/>
  <c r="BH376" i="27"/>
  <c r="AD376" i="27" s="1"/>
  <c r="AW376" i="27"/>
  <c r="I376" i="27"/>
  <c r="I365" i="27"/>
  <c r="AW365" i="27"/>
  <c r="BH365" i="27"/>
  <c r="AD365" i="27" s="1"/>
  <c r="I360" i="27"/>
  <c r="AW360" i="27"/>
  <c r="BH360" i="27"/>
  <c r="AD360" i="27" s="1"/>
  <c r="J357" i="27"/>
  <c r="AX357" i="27"/>
  <c r="AV357" i="27" s="1"/>
  <c r="BI357" i="27"/>
  <c r="AE357" i="27" s="1"/>
  <c r="AX345" i="27"/>
  <c r="BI345" i="27"/>
  <c r="AE345" i="27" s="1"/>
  <c r="J345" i="27"/>
  <c r="J334" i="27"/>
  <c r="AX334" i="27"/>
  <c r="J333" i="27"/>
  <c r="AX333" i="27"/>
  <c r="BI333" i="27"/>
  <c r="AE333" i="27" s="1"/>
  <c r="J313" i="27"/>
  <c r="AX313" i="27"/>
  <c r="AW310" i="27"/>
  <c r="BH310" i="27"/>
  <c r="AD310" i="27" s="1"/>
  <c r="J281" i="27"/>
  <c r="AX281" i="27"/>
  <c r="BI281" i="27"/>
  <c r="AE281" i="27" s="1"/>
  <c r="J265" i="27"/>
  <c r="AX265" i="27"/>
  <c r="BI265" i="27"/>
  <c r="AE265" i="27" s="1"/>
  <c r="J263" i="27"/>
  <c r="AX263" i="27"/>
  <c r="BI263" i="27"/>
  <c r="AE263" i="27" s="1"/>
  <c r="I258" i="27"/>
  <c r="AW258" i="27"/>
  <c r="AX206" i="27"/>
  <c r="BI206" i="27"/>
  <c r="AE206" i="27" s="1"/>
  <c r="J206" i="27"/>
  <c r="J205" i="27"/>
  <c r="AX205" i="27"/>
  <c r="BI205" i="27"/>
  <c r="AE205" i="27" s="1"/>
  <c r="AX199" i="27"/>
  <c r="BI199" i="27"/>
  <c r="AE199" i="27" s="1"/>
  <c r="J199" i="27"/>
  <c r="AX170" i="27"/>
  <c r="J170" i="27"/>
  <c r="BI170" i="27"/>
  <c r="AC170" i="27" s="1"/>
  <c r="BH164" i="27"/>
  <c r="AB164" i="27" s="1"/>
  <c r="AW164" i="27"/>
  <c r="I164" i="27"/>
  <c r="AX160" i="27"/>
  <c r="BI160" i="27"/>
  <c r="AC160" i="27" s="1"/>
  <c r="J160" i="27"/>
  <c r="AX152" i="27"/>
  <c r="AV152" i="27" s="1"/>
  <c r="J152" i="27"/>
  <c r="BI152" i="27"/>
  <c r="AC152" i="27" s="1"/>
  <c r="J150" i="27"/>
  <c r="AX150" i="27"/>
  <c r="BC150" i="27" s="1"/>
  <c r="BI150" i="27"/>
  <c r="AC150" i="27" s="1"/>
  <c r="J144" i="27"/>
  <c r="AX144" i="27"/>
  <c r="BI144" i="27"/>
  <c r="AC144" i="27" s="1"/>
  <c r="AX134" i="27"/>
  <c r="BI134" i="27"/>
  <c r="AC134" i="27" s="1"/>
  <c r="J134" i="27"/>
  <c r="BC123" i="27"/>
  <c r="AV123" i="27"/>
  <c r="J114" i="27"/>
  <c r="AX114" i="27"/>
  <c r="BI114" i="27"/>
  <c r="AC114" i="27" s="1"/>
  <c r="BC109" i="27"/>
  <c r="AV109" i="27"/>
  <c r="I615" i="27"/>
  <c r="AW615" i="27"/>
  <c r="AX604" i="27"/>
  <c r="J604" i="27"/>
  <c r="I572" i="27"/>
  <c r="BH572" i="27"/>
  <c r="AB572" i="27" s="1"/>
  <c r="AW572" i="27"/>
  <c r="BC561" i="27"/>
  <c r="AV561" i="27"/>
  <c r="I534" i="27"/>
  <c r="AW534" i="27"/>
  <c r="BH534" i="27"/>
  <c r="AB534" i="27" s="1"/>
  <c r="I608" i="27"/>
  <c r="BH608" i="27"/>
  <c r="AB608" i="27" s="1"/>
  <c r="J605" i="27"/>
  <c r="AX605" i="27"/>
  <c r="AV605" i="27" s="1"/>
  <c r="BI605" i="27"/>
  <c r="AC605" i="27" s="1"/>
  <c r="J601" i="27"/>
  <c r="AX601" i="27"/>
  <c r="AV601" i="27" s="1"/>
  <c r="BI601" i="27"/>
  <c r="AC601" i="27" s="1"/>
  <c r="AX596" i="27"/>
  <c r="J596" i="27"/>
  <c r="I594" i="27"/>
  <c r="BH594" i="27"/>
  <c r="AB594" i="27" s="1"/>
  <c r="J592" i="27"/>
  <c r="I584" i="27"/>
  <c r="BH584" i="27"/>
  <c r="AB584" i="27" s="1"/>
  <c r="I558" i="27"/>
  <c r="AW558" i="27"/>
  <c r="AV545" i="27"/>
  <c r="I536" i="27"/>
  <c r="BH536" i="27"/>
  <c r="AB536" i="27" s="1"/>
  <c r="AW536" i="27"/>
  <c r="BI599" i="27"/>
  <c r="AC599" i="27" s="1"/>
  <c r="I576" i="27"/>
  <c r="BH576" i="27"/>
  <c r="AB576" i="27" s="1"/>
  <c r="AW576" i="27"/>
  <c r="AX526" i="27"/>
  <c r="BI526" i="27"/>
  <c r="AC526" i="27" s="1"/>
  <c r="I618" i="27"/>
  <c r="AW618" i="27"/>
  <c r="BC618" i="27" s="1"/>
  <c r="BH618" i="27"/>
  <c r="AB618" i="27" s="1"/>
  <c r="I526" i="27"/>
  <c r="AW526" i="27"/>
  <c r="BH526" i="27"/>
  <c r="AB526" i="27" s="1"/>
  <c r="AX522" i="27"/>
  <c r="J522" i="27"/>
  <c r="J519" i="27"/>
  <c r="AX519" i="27"/>
  <c r="AV519" i="27" s="1"/>
  <c r="BI519" i="27"/>
  <c r="AC519" i="27" s="1"/>
  <c r="J515" i="27"/>
  <c r="AX515" i="27"/>
  <c r="AV515" i="27" s="1"/>
  <c r="BI515" i="27"/>
  <c r="AC515" i="27" s="1"/>
  <c r="J488" i="27"/>
  <c r="AX488" i="27"/>
  <c r="J469" i="27"/>
  <c r="AX469" i="27"/>
  <c r="AV469" i="27" s="1"/>
  <c r="BI469" i="27"/>
  <c r="AE469" i="27" s="1"/>
  <c r="I461" i="27"/>
  <c r="AW461" i="27"/>
  <c r="BH461" i="27"/>
  <c r="AD461" i="27" s="1"/>
  <c r="BC458" i="27"/>
  <c r="AV458" i="27"/>
  <c r="J438" i="27"/>
  <c r="AX438" i="27"/>
  <c r="AV438" i="27" s="1"/>
  <c r="BI438" i="27"/>
  <c r="AE438" i="27" s="1"/>
  <c r="J430" i="27"/>
  <c r="J427" i="27"/>
  <c r="BI427" i="27"/>
  <c r="AE427" i="27" s="1"/>
  <c r="I422" i="27"/>
  <c r="AW422" i="27"/>
  <c r="J404" i="27"/>
  <c r="AX404" i="27"/>
  <c r="BC404" i="27" s="1"/>
  <c r="BI404" i="27"/>
  <c r="AE404" i="27" s="1"/>
  <c r="I384" i="27"/>
  <c r="BH384" i="27"/>
  <c r="AD384" i="27" s="1"/>
  <c r="AW384" i="27"/>
  <c r="AW380" i="27"/>
  <c r="I380" i="27"/>
  <c r="AW377" i="27"/>
  <c r="I377" i="27"/>
  <c r="AW361" i="27"/>
  <c r="I361" i="27"/>
  <c r="I345" i="27"/>
  <c r="AW345" i="27"/>
  <c r="I343" i="27"/>
  <c r="BH343" i="27"/>
  <c r="AD343" i="27" s="1"/>
  <c r="AW343" i="27"/>
  <c r="BI334" i="27"/>
  <c r="AE334" i="27" s="1"/>
  <c r="AW334" i="27"/>
  <c r="BH334" i="27"/>
  <c r="AD334" i="27" s="1"/>
  <c r="I333" i="27"/>
  <c r="AW333" i="27"/>
  <c r="BH333" i="27"/>
  <c r="AD333" i="27" s="1"/>
  <c r="I295" i="27"/>
  <c r="BH295" i="27"/>
  <c r="AD295" i="27" s="1"/>
  <c r="AW295" i="27"/>
  <c r="AX286" i="27"/>
  <c r="BI286" i="27"/>
  <c r="AE286" i="27" s="1"/>
  <c r="I262" i="27"/>
  <c r="BH262" i="27"/>
  <c r="AD262" i="27" s="1"/>
  <c r="AW262" i="27"/>
  <c r="I260" i="27"/>
  <c r="BH260" i="27"/>
  <c r="AD260" i="27" s="1"/>
  <c r="AW260" i="27"/>
  <c r="I226" i="27"/>
  <c r="AW226" i="27"/>
  <c r="BH226" i="27"/>
  <c r="AD226" i="27" s="1"/>
  <c r="J220" i="27"/>
  <c r="AX220" i="27"/>
  <c r="BI220" i="27"/>
  <c r="AE220" i="27" s="1"/>
  <c r="I201" i="27"/>
  <c r="AW201" i="27"/>
  <c r="BC182" i="27"/>
  <c r="AV182" i="27"/>
  <c r="BH17" i="27"/>
  <c r="AB17" i="27" s="1"/>
  <c r="I17" i="27"/>
  <c r="AW17" i="27"/>
  <c r="I620" i="27"/>
  <c r="AW619" i="27"/>
  <c r="BH619" i="27"/>
  <c r="AB619" i="27" s="1"/>
  <c r="I619" i="27"/>
  <c r="AS614" i="27"/>
  <c r="J616" i="27"/>
  <c r="BI616" i="27"/>
  <c r="AC616" i="27" s="1"/>
  <c r="I613" i="27"/>
  <c r="I609" i="27"/>
  <c r="J597" i="27"/>
  <c r="AX597" i="27"/>
  <c r="AV597" i="27" s="1"/>
  <c r="BI597" i="27"/>
  <c r="AC597" i="27" s="1"/>
  <c r="J591" i="27"/>
  <c r="AX591" i="27"/>
  <c r="I590" i="27"/>
  <c r="AW590" i="27"/>
  <c r="AX588" i="27"/>
  <c r="J588" i="27"/>
  <c r="I585" i="27"/>
  <c r="BH577" i="27"/>
  <c r="AB577" i="27" s="1"/>
  <c r="AW577" i="27"/>
  <c r="BH573" i="27"/>
  <c r="AB573" i="27" s="1"/>
  <c r="AW573" i="27"/>
  <c r="I568" i="27"/>
  <c r="BH568" i="27"/>
  <c r="AB568" i="27" s="1"/>
  <c r="AW568" i="27"/>
  <c r="BH565" i="27"/>
  <c r="AB565" i="27" s="1"/>
  <c r="AW565" i="27"/>
  <c r="I564" i="27"/>
  <c r="BH564" i="27"/>
  <c r="AB564" i="27" s="1"/>
  <c r="AW564" i="27"/>
  <c r="I560" i="27"/>
  <c r="BH560" i="27"/>
  <c r="AB560" i="27" s="1"/>
  <c r="AW560" i="27"/>
  <c r="BH553" i="27"/>
  <c r="AB553" i="27" s="1"/>
  <c r="AW553" i="27"/>
  <c r="I552" i="27"/>
  <c r="BH552" i="27"/>
  <c r="AB552" i="27" s="1"/>
  <c r="AW552" i="27"/>
  <c r="AW549" i="27"/>
  <c r="BH549" i="27"/>
  <c r="AB549" i="27" s="1"/>
  <c r="I548" i="27"/>
  <c r="BH548" i="27"/>
  <c r="AB548" i="27" s="1"/>
  <c r="AW548" i="27"/>
  <c r="AU541" i="27"/>
  <c r="BH535" i="27"/>
  <c r="AB535" i="27" s="1"/>
  <c r="AW535" i="27"/>
  <c r="I528" i="27"/>
  <c r="BH528" i="27"/>
  <c r="AB528" i="27" s="1"/>
  <c r="AW528" i="27"/>
  <c r="I512" i="27"/>
  <c r="BH512" i="27"/>
  <c r="AF512" i="27" s="1"/>
  <c r="AW512" i="27"/>
  <c r="BI488" i="27"/>
  <c r="AE488" i="27" s="1"/>
  <c r="AW474" i="27"/>
  <c r="BH474" i="27"/>
  <c r="AD474" i="27" s="1"/>
  <c r="I471" i="27"/>
  <c r="BH471" i="27"/>
  <c r="AD471" i="27" s="1"/>
  <c r="AW471" i="27"/>
  <c r="BH462" i="27"/>
  <c r="AD462" i="27" s="1"/>
  <c r="AW462" i="27"/>
  <c r="J456" i="27"/>
  <c r="AX456" i="27"/>
  <c r="I455" i="27"/>
  <c r="AW455" i="27"/>
  <c r="AX453" i="27"/>
  <c r="BI453" i="27"/>
  <c r="AE453" i="27" s="1"/>
  <c r="J453" i="27"/>
  <c r="I451" i="27"/>
  <c r="AW451" i="27"/>
  <c r="AX449" i="27"/>
  <c r="BI449" i="27"/>
  <c r="AE449" i="27" s="1"/>
  <c r="J449" i="27"/>
  <c r="I447" i="27"/>
  <c r="AW447" i="27"/>
  <c r="AX445" i="27"/>
  <c r="BI445" i="27"/>
  <c r="AE445" i="27" s="1"/>
  <c r="J445" i="27"/>
  <c r="AX437" i="27"/>
  <c r="BI437" i="27"/>
  <c r="AE437" i="27" s="1"/>
  <c r="J437" i="27"/>
  <c r="J435" i="27"/>
  <c r="AX435" i="27"/>
  <c r="BI435" i="27"/>
  <c r="I426" i="27"/>
  <c r="BH426" i="27"/>
  <c r="AD426" i="27" s="1"/>
  <c r="AW426" i="27"/>
  <c r="I408" i="27"/>
  <c r="BH408" i="27"/>
  <c r="AD408" i="27" s="1"/>
  <c r="AW408" i="27"/>
  <c r="AX391" i="27"/>
  <c r="BI391" i="27"/>
  <c r="AE391" i="27" s="1"/>
  <c r="J391" i="27"/>
  <c r="J390" i="27"/>
  <c r="AX390" i="27"/>
  <c r="BI390" i="27"/>
  <c r="AE390" i="27" s="1"/>
  <c r="AW383" i="27"/>
  <c r="BH383" i="27"/>
  <c r="AD383" i="27" s="1"/>
  <c r="J355" i="27"/>
  <c r="AX355" i="27"/>
  <c r="BI355" i="27"/>
  <c r="AE355" i="27" s="1"/>
  <c r="AX352" i="27"/>
  <c r="BI352" i="27"/>
  <c r="AE352" i="27" s="1"/>
  <c r="J352" i="27"/>
  <c r="AX349" i="27"/>
  <c r="BI349" i="27"/>
  <c r="AE349" i="27" s="1"/>
  <c r="J349" i="27"/>
  <c r="I342" i="27"/>
  <c r="AW342" i="27"/>
  <c r="BH342" i="27"/>
  <c r="AD342" i="27" s="1"/>
  <c r="AX340" i="27"/>
  <c r="I337" i="27"/>
  <c r="AW337" i="27"/>
  <c r="J317" i="27"/>
  <c r="AX317" i="27"/>
  <c r="BI317" i="27"/>
  <c r="AE317" i="27" s="1"/>
  <c r="J291" i="27"/>
  <c r="AX291" i="27"/>
  <c r="BI291" i="27"/>
  <c r="AE291" i="27" s="1"/>
  <c r="I278" i="27"/>
  <c r="AW278" i="27"/>
  <c r="BH278" i="27"/>
  <c r="AD278" i="27" s="1"/>
  <c r="I246" i="27"/>
  <c r="AW246" i="27"/>
  <c r="BH246" i="27"/>
  <c r="AD246" i="27" s="1"/>
  <c r="J233" i="27"/>
  <c r="BI233" i="27"/>
  <c r="AE233" i="27" s="1"/>
  <c r="AX232" i="27"/>
  <c r="BI232" i="27"/>
  <c r="AE232" i="27" s="1"/>
  <c r="J232" i="27"/>
  <c r="J230" i="27"/>
  <c r="AX230" i="27"/>
  <c r="BI230" i="27"/>
  <c r="AE230" i="27" s="1"/>
  <c r="I215" i="27"/>
  <c r="AW215" i="27"/>
  <c r="I189" i="27"/>
  <c r="AW189" i="27"/>
  <c r="BH189" i="27"/>
  <c r="AW186" i="27"/>
  <c r="I186" i="27"/>
  <c r="I185" i="27"/>
  <c r="AW185" i="27"/>
  <c r="J129" i="27"/>
  <c r="AX129" i="27"/>
  <c r="BI129" i="27"/>
  <c r="AC129" i="27" s="1"/>
  <c r="J108" i="27"/>
  <c r="AX108" i="27"/>
  <c r="J618" i="27"/>
  <c r="I581" i="27"/>
  <c r="BH581" i="27"/>
  <c r="AB581" i="27" s="1"/>
  <c r="AW531" i="27"/>
  <c r="BH531" i="27"/>
  <c r="AB531" i="27" s="1"/>
  <c r="I530" i="27"/>
  <c r="AW530" i="27"/>
  <c r="J525" i="27"/>
  <c r="AX525" i="27"/>
  <c r="BI525" i="27"/>
  <c r="AC525" i="27" s="1"/>
  <c r="I612" i="27"/>
  <c r="BH612" i="27"/>
  <c r="AB612" i="27" s="1"/>
  <c r="AX337" i="27"/>
  <c r="BI337" i="27"/>
  <c r="AE337" i="27" s="1"/>
  <c r="J337" i="27"/>
  <c r="I335" i="27"/>
  <c r="AW335" i="27"/>
  <c r="J318" i="27"/>
  <c r="BI313" i="27"/>
  <c r="AE313" i="27" s="1"/>
  <c r="J297" i="27"/>
  <c r="AX297" i="27"/>
  <c r="BI297" i="27"/>
  <c r="AE297" i="27" s="1"/>
  <c r="J286" i="27"/>
  <c r="AV211" i="27"/>
  <c r="BC211" i="27"/>
  <c r="J124" i="27"/>
  <c r="BI124" i="27"/>
  <c r="AC124" i="27" s="1"/>
  <c r="AX619" i="27"/>
  <c r="AX615" i="27"/>
  <c r="BI615" i="27"/>
  <c r="AC615" i="27" s="1"/>
  <c r="J615" i="27"/>
  <c r="AW612" i="27"/>
  <c r="I610" i="27"/>
  <c r="AW610" i="27"/>
  <c r="AW608" i="27"/>
  <c r="BC605" i="27"/>
  <c r="BI604" i="27"/>
  <c r="AC604" i="27" s="1"/>
  <c r="BC601" i="27"/>
  <c r="AX599" i="27"/>
  <c r="BI595" i="27"/>
  <c r="AC595" i="27" s="1"/>
  <c r="AX595" i="27"/>
  <c r="AW594" i="27"/>
  <c r="BI591" i="27"/>
  <c r="AC591" i="27" s="1"/>
  <c r="AX587" i="27"/>
  <c r="AW586" i="27"/>
  <c r="AW584" i="27"/>
  <c r="AX579" i="27"/>
  <c r="J543" i="27"/>
  <c r="AX543" i="27"/>
  <c r="AX534" i="27"/>
  <c r="BI534" i="27"/>
  <c r="AC534" i="27" s="1"/>
  <c r="I532" i="27"/>
  <c r="AW532" i="27"/>
  <c r="AX530" i="27"/>
  <c r="BI530" i="27"/>
  <c r="AC530" i="27" s="1"/>
  <c r="BH527" i="27"/>
  <c r="AB527" i="27" s="1"/>
  <c r="J526" i="27"/>
  <c r="J523" i="27"/>
  <c r="AX523" i="27"/>
  <c r="AV523" i="27" s="1"/>
  <c r="BI523" i="27"/>
  <c r="AC523" i="27" s="1"/>
  <c r="AX507" i="27"/>
  <c r="BI507" i="27"/>
  <c r="AE507" i="27" s="1"/>
  <c r="J507" i="27"/>
  <c r="AX499" i="27"/>
  <c r="AX495" i="27"/>
  <c r="AX493" i="27"/>
  <c r="BI493" i="27"/>
  <c r="J493" i="27"/>
  <c r="J486" i="27"/>
  <c r="BI486" i="27"/>
  <c r="AE486" i="27" s="1"/>
  <c r="I486" i="27"/>
  <c r="AX485" i="27"/>
  <c r="BI485" i="27"/>
  <c r="AE485" i="27" s="1"/>
  <c r="J485" i="27"/>
  <c r="AX468" i="27"/>
  <c r="BI468" i="27"/>
  <c r="AE468" i="27" s="1"/>
  <c r="J468" i="27"/>
  <c r="I466" i="27"/>
  <c r="BH466" i="27"/>
  <c r="AD466" i="27" s="1"/>
  <c r="AW466" i="27"/>
  <c r="BI456" i="27"/>
  <c r="AE456" i="27" s="1"/>
  <c r="AW454" i="27"/>
  <c r="BH454" i="27"/>
  <c r="AD454" i="27" s="1"/>
  <c r="I453" i="27"/>
  <c r="AW453" i="27"/>
  <c r="BH453" i="27"/>
  <c r="AD453" i="27" s="1"/>
  <c r="AW450" i="27"/>
  <c r="BH450" i="27"/>
  <c r="AD450" i="27" s="1"/>
  <c r="I449" i="27"/>
  <c r="AW449" i="27"/>
  <c r="BH449" i="27"/>
  <c r="AD449" i="27" s="1"/>
  <c r="AW446" i="27"/>
  <c r="BH446" i="27"/>
  <c r="AD446" i="27" s="1"/>
  <c r="I445" i="27"/>
  <c r="AW445" i="27"/>
  <c r="BH445" i="27"/>
  <c r="AD445" i="27" s="1"/>
  <c r="I443" i="27"/>
  <c r="BH443" i="27"/>
  <c r="AD443" i="27" s="1"/>
  <c r="AW443" i="27"/>
  <c r="I441" i="27"/>
  <c r="AW441" i="27"/>
  <c r="BH441" i="27"/>
  <c r="AD441" i="27" s="1"/>
  <c r="AS436" i="27"/>
  <c r="I437" i="27"/>
  <c r="AW437" i="27"/>
  <c r="AW435" i="27"/>
  <c r="BH435" i="27"/>
  <c r="AX434" i="27"/>
  <c r="BI434" i="27"/>
  <c r="AE434" i="27" s="1"/>
  <c r="J434" i="27"/>
  <c r="I432" i="27"/>
  <c r="AW432" i="27"/>
  <c r="J423" i="27"/>
  <c r="AX423" i="27"/>
  <c r="AV423" i="27" s="1"/>
  <c r="BI423" i="27"/>
  <c r="AE423" i="27" s="1"/>
  <c r="AV416" i="27"/>
  <c r="BI406" i="27"/>
  <c r="AE406" i="27" s="1"/>
  <c r="AX406" i="27"/>
  <c r="I403" i="27"/>
  <c r="AW403" i="27"/>
  <c r="BH403" i="27"/>
  <c r="AD403" i="27" s="1"/>
  <c r="I401" i="27"/>
  <c r="AW401" i="27"/>
  <c r="I399" i="27"/>
  <c r="AW399" i="27"/>
  <c r="BH399" i="27"/>
  <c r="AD399" i="27" s="1"/>
  <c r="J395" i="27"/>
  <c r="I341" i="27"/>
  <c r="AW341" i="27"/>
  <c r="BH341" i="27"/>
  <c r="AD341" i="27" s="1"/>
  <c r="J332" i="27"/>
  <c r="AX332" i="27"/>
  <c r="J325" i="27"/>
  <c r="AX325" i="27"/>
  <c r="BI325" i="27"/>
  <c r="AE325" i="27" s="1"/>
  <c r="AS309" i="27"/>
  <c r="I311" i="27"/>
  <c r="BH311" i="27"/>
  <c r="AD311" i="27" s="1"/>
  <c r="AW311" i="27"/>
  <c r="I310" i="27"/>
  <c r="J305" i="27"/>
  <c r="AX305" i="27"/>
  <c r="AW279" i="27"/>
  <c r="I279" i="27"/>
  <c r="I254" i="27"/>
  <c r="AW254" i="27"/>
  <c r="J251" i="27"/>
  <c r="BI251" i="27"/>
  <c r="AE251" i="27" s="1"/>
  <c r="J250" i="27"/>
  <c r="AX250" i="27"/>
  <c r="BI250" i="27"/>
  <c r="AE250" i="27" s="1"/>
  <c r="AV247" i="27"/>
  <c r="I236" i="27"/>
  <c r="AW236" i="27"/>
  <c r="BH236" i="27"/>
  <c r="AD236" i="27" s="1"/>
  <c r="I232" i="27"/>
  <c r="AW232" i="27"/>
  <c r="BH232" i="27"/>
  <c r="AD232" i="27" s="1"/>
  <c r="AW230" i="27"/>
  <c r="BH230" i="27"/>
  <c r="AD230" i="27" s="1"/>
  <c r="I229" i="27"/>
  <c r="BH229" i="27"/>
  <c r="AD229" i="27" s="1"/>
  <c r="AW229" i="27"/>
  <c r="J222" i="27"/>
  <c r="AX222" i="27"/>
  <c r="BI222" i="27"/>
  <c r="AE222" i="27" s="1"/>
  <c r="J200" i="27"/>
  <c r="AX200" i="27"/>
  <c r="AV200" i="27" s="1"/>
  <c r="BI200" i="27"/>
  <c r="AE200" i="27" s="1"/>
  <c r="I191" i="27"/>
  <c r="AW191" i="27"/>
  <c r="BI108" i="27"/>
  <c r="AC108" i="27" s="1"/>
  <c r="BH580" i="27"/>
  <c r="AB580" i="27" s="1"/>
  <c r="BH578" i="27"/>
  <c r="AB578" i="27" s="1"/>
  <c r="BI576" i="27"/>
  <c r="AC576" i="27" s="1"/>
  <c r="BH574" i="27"/>
  <c r="AB574" i="27" s="1"/>
  <c r="BI572" i="27"/>
  <c r="AC572" i="27" s="1"/>
  <c r="BH570" i="27"/>
  <c r="AB570" i="27" s="1"/>
  <c r="BI568" i="27"/>
  <c r="AC568" i="27" s="1"/>
  <c r="BI565" i="27"/>
  <c r="AC565" i="27" s="1"/>
  <c r="BI564" i="27"/>
  <c r="AC564" i="27" s="1"/>
  <c r="BH562" i="27"/>
  <c r="AB562" i="27" s="1"/>
  <c r="BI560" i="27"/>
  <c r="AC560" i="27" s="1"/>
  <c r="BI559" i="27"/>
  <c r="AC559" i="27" s="1"/>
  <c r="AX559" i="27"/>
  <c r="BH557" i="27"/>
  <c r="AB557" i="27" s="1"/>
  <c r="BH556" i="27"/>
  <c r="AB556" i="27" s="1"/>
  <c r="BI553" i="27"/>
  <c r="AC553" i="27" s="1"/>
  <c r="BI552" i="27"/>
  <c r="AC552" i="27" s="1"/>
  <c r="BI549" i="27"/>
  <c r="AC549" i="27" s="1"/>
  <c r="AX549" i="27"/>
  <c r="BI548" i="27"/>
  <c r="AC548" i="27" s="1"/>
  <c r="BH546" i="27"/>
  <c r="AB546" i="27" s="1"/>
  <c r="BH544" i="27"/>
  <c r="AB544" i="27" s="1"/>
  <c r="J544" i="27"/>
  <c r="BH539" i="27"/>
  <c r="AF539" i="27" s="1"/>
  <c r="AS538" i="27"/>
  <c r="AX533" i="27"/>
  <c r="AX529" i="27"/>
  <c r="AX506" i="27"/>
  <c r="BH497" i="27"/>
  <c r="AD497" i="27" s="1"/>
  <c r="BH490" i="27"/>
  <c r="AD490" i="27" s="1"/>
  <c r="AX484" i="27"/>
  <c r="BH478" i="27"/>
  <c r="AD478" i="27" s="1"/>
  <c r="BH475" i="27"/>
  <c r="BI471" i="27"/>
  <c r="AE471" i="27" s="1"/>
  <c r="AX467" i="27"/>
  <c r="BI452" i="27"/>
  <c r="AE452" i="27" s="1"/>
  <c r="AX452" i="27"/>
  <c r="BI448" i="27"/>
  <c r="AE448" i="27" s="1"/>
  <c r="AX448" i="27"/>
  <c r="BI433" i="27"/>
  <c r="AE433" i="27" s="1"/>
  <c r="AX433" i="27"/>
  <c r="BH431" i="27"/>
  <c r="AD431" i="27" s="1"/>
  <c r="I431" i="27"/>
  <c r="AX429" i="27"/>
  <c r="BI426" i="27"/>
  <c r="AE426" i="27" s="1"/>
  <c r="BH424" i="27"/>
  <c r="AD424" i="27" s="1"/>
  <c r="BH417" i="27"/>
  <c r="AD417" i="27" s="1"/>
  <c r="BH413" i="27"/>
  <c r="AD413" i="27" s="1"/>
  <c r="BI408" i="27"/>
  <c r="AE408" i="27" s="1"/>
  <c r="BH407" i="27"/>
  <c r="AD407" i="27" s="1"/>
  <c r="J407" i="27"/>
  <c r="BH405" i="27"/>
  <c r="AD405" i="27" s="1"/>
  <c r="AX403" i="27"/>
  <c r="AX400" i="27"/>
  <c r="J394" i="27"/>
  <c r="AX394" i="27"/>
  <c r="BI394" i="27"/>
  <c r="AE394" i="27" s="1"/>
  <c r="J368" i="27"/>
  <c r="I366" i="27"/>
  <c r="BH366" i="27"/>
  <c r="AD366" i="27" s="1"/>
  <c r="AW366" i="27"/>
  <c r="BI363" i="27"/>
  <c r="AE363" i="27" s="1"/>
  <c r="AX363" i="27"/>
  <c r="I349" i="27"/>
  <c r="AW349" i="27"/>
  <c r="BI321" i="27"/>
  <c r="AE321" i="27" s="1"/>
  <c r="AX321" i="27"/>
  <c r="I299" i="27"/>
  <c r="BH299" i="27"/>
  <c r="AD299" i="27" s="1"/>
  <c r="AW299" i="27"/>
  <c r="AW291" i="27"/>
  <c r="BH291" i="27"/>
  <c r="AD291" i="27" s="1"/>
  <c r="I290" i="27"/>
  <c r="BH290" i="27"/>
  <c r="AD290" i="27" s="1"/>
  <c r="AW290" i="27"/>
  <c r="J285" i="27"/>
  <c r="AX285" i="27"/>
  <c r="BI285" i="27"/>
  <c r="AE285" i="27" s="1"/>
  <c r="BI270" i="27"/>
  <c r="AE270" i="27" s="1"/>
  <c r="J255" i="27"/>
  <c r="AX255" i="27"/>
  <c r="BI255" i="27"/>
  <c r="AE255" i="27" s="1"/>
  <c r="I250" i="27"/>
  <c r="AW250" i="27"/>
  <c r="BH250" i="27"/>
  <c r="AD250" i="27" s="1"/>
  <c r="J245" i="27"/>
  <c r="AX245" i="27"/>
  <c r="AX243" i="27"/>
  <c r="AV243" i="27" s="1"/>
  <c r="BI243" i="27"/>
  <c r="AE243" i="27" s="1"/>
  <c r="J243" i="27"/>
  <c r="J241" i="27"/>
  <c r="AX241" i="27"/>
  <c r="BI241" i="27"/>
  <c r="AE241" i="27" s="1"/>
  <c r="J239" i="27"/>
  <c r="AX239" i="27"/>
  <c r="I225" i="27"/>
  <c r="AW225" i="27"/>
  <c r="BH225" i="27"/>
  <c r="AD225" i="27" s="1"/>
  <c r="I210" i="27"/>
  <c r="BH210" i="27"/>
  <c r="AD210" i="27" s="1"/>
  <c r="AW210" i="27"/>
  <c r="I199" i="27"/>
  <c r="AW199" i="27"/>
  <c r="I141" i="27"/>
  <c r="AW141" i="27"/>
  <c r="BH141" i="27"/>
  <c r="AB141" i="27" s="1"/>
  <c r="BI139" i="27"/>
  <c r="AC139" i="27" s="1"/>
  <c r="AX139" i="27"/>
  <c r="BH127" i="27"/>
  <c r="AB127" i="27" s="1"/>
  <c r="I127" i="27"/>
  <c r="AW127" i="27"/>
  <c r="J122" i="27"/>
  <c r="AX122" i="27"/>
  <c r="AV122" i="27" s="1"/>
  <c r="BI122" i="27"/>
  <c r="AC122" i="27" s="1"/>
  <c r="I114" i="27"/>
  <c r="AW114" i="27"/>
  <c r="BH114" i="27"/>
  <c r="AB114" i="27" s="1"/>
  <c r="I101" i="27"/>
  <c r="E25" i="26" s="1"/>
  <c r="AX68" i="27"/>
  <c r="J68" i="27"/>
  <c r="BH27" i="27"/>
  <c r="AB27" i="27" s="1"/>
  <c r="AW27" i="27"/>
  <c r="I27" i="27"/>
  <c r="C18" i="25"/>
  <c r="BC523" i="27"/>
  <c r="BC519" i="27"/>
  <c r="BC515" i="27"/>
  <c r="AS502" i="27"/>
  <c r="AS476" i="27"/>
  <c r="BC469" i="27"/>
  <c r="BC438" i="27"/>
  <c r="BC431" i="27"/>
  <c r="J426" i="27"/>
  <c r="AX399" i="27"/>
  <c r="BI399" i="27"/>
  <c r="AE399" i="27" s="1"/>
  <c r="J399" i="27"/>
  <c r="I397" i="27"/>
  <c r="AW397" i="27"/>
  <c r="AW373" i="27"/>
  <c r="I373" i="27"/>
  <c r="J371" i="27"/>
  <c r="AX371" i="27"/>
  <c r="J361" i="27"/>
  <c r="AX361" i="27"/>
  <c r="BI361" i="27"/>
  <c r="AE361" i="27" s="1"/>
  <c r="AX360" i="27"/>
  <c r="BI360" i="27"/>
  <c r="AE360" i="27" s="1"/>
  <c r="J360" i="27"/>
  <c r="AX356" i="27"/>
  <c r="BI356" i="27"/>
  <c r="AE356" i="27" s="1"/>
  <c r="J356" i="27"/>
  <c r="J353" i="27"/>
  <c r="AX353" i="27"/>
  <c r="AV353" i="27" s="1"/>
  <c r="BI353" i="27"/>
  <c r="AE353" i="27" s="1"/>
  <c r="J346" i="27"/>
  <c r="AX346" i="27"/>
  <c r="AV346" i="27" s="1"/>
  <c r="BI346" i="27"/>
  <c r="AE346" i="27" s="1"/>
  <c r="J338" i="27"/>
  <c r="AX338" i="27"/>
  <c r="AV338" i="27" s="1"/>
  <c r="BI338" i="27"/>
  <c r="AE338" i="27" s="1"/>
  <c r="J328" i="27"/>
  <c r="AX328" i="27"/>
  <c r="J287" i="27"/>
  <c r="AX287" i="27"/>
  <c r="AV287" i="27" s="1"/>
  <c r="BI287" i="27"/>
  <c r="AE287" i="27" s="1"/>
  <c r="J279" i="27"/>
  <c r="BI279" i="27"/>
  <c r="AE279" i="27" s="1"/>
  <c r="AX278" i="27"/>
  <c r="BI278" i="27"/>
  <c r="AE278" i="27" s="1"/>
  <c r="J278" i="27"/>
  <c r="J270" i="27"/>
  <c r="AX258" i="27"/>
  <c r="BI258" i="27"/>
  <c r="AE258" i="27" s="1"/>
  <c r="J258" i="27"/>
  <c r="AX254" i="27"/>
  <c r="BI254" i="27"/>
  <c r="AE254" i="27" s="1"/>
  <c r="J254" i="27"/>
  <c r="AW237" i="27"/>
  <c r="I237" i="27"/>
  <c r="BH237" i="27"/>
  <c r="AD237" i="27" s="1"/>
  <c r="AX221" i="27"/>
  <c r="BI221" i="27"/>
  <c r="AE221" i="27" s="1"/>
  <c r="J221" i="27"/>
  <c r="AX185" i="27"/>
  <c r="BI185" i="27"/>
  <c r="J185" i="27"/>
  <c r="AV160" i="27"/>
  <c r="BC160" i="27"/>
  <c r="BH146" i="27"/>
  <c r="AB146" i="27" s="1"/>
  <c r="I146" i="27"/>
  <c r="AW146" i="27"/>
  <c r="I140" i="27"/>
  <c r="AW140" i="27"/>
  <c r="AX133" i="27"/>
  <c r="BI133" i="27"/>
  <c r="AC133" i="27" s="1"/>
  <c r="AW120" i="27"/>
  <c r="BH120" i="27"/>
  <c r="AB120" i="27" s="1"/>
  <c r="I100" i="27"/>
  <c r="I99" i="27" s="1"/>
  <c r="E24" i="26" s="1"/>
  <c r="AW100" i="27"/>
  <c r="BH100" i="27"/>
  <c r="AB100" i="27" s="1"/>
  <c r="J88" i="27"/>
  <c r="AX88" i="27"/>
  <c r="BI88" i="27"/>
  <c r="AC88" i="27" s="1"/>
  <c r="I69" i="27"/>
  <c r="BH69" i="27"/>
  <c r="AB69" i="27" s="1"/>
  <c r="AW69" i="27"/>
  <c r="AV69" i="27" s="1"/>
  <c r="BI398" i="27"/>
  <c r="AE398" i="27" s="1"/>
  <c r="AX398" i="27"/>
  <c r="BH396" i="27"/>
  <c r="AD396" i="27" s="1"/>
  <c r="BH388" i="27"/>
  <c r="AD388" i="27" s="1"/>
  <c r="BI384" i="27"/>
  <c r="AE384" i="27" s="1"/>
  <c r="BI376" i="27"/>
  <c r="AE376" i="27" s="1"/>
  <c r="BI375" i="27"/>
  <c r="AE375" i="27" s="1"/>
  <c r="AX375" i="27"/>
  <c r="BH372" i="27"/>
  <c r="AD372" i="27" s="1"/>
  <c r="J372" i="27"/>
  <c r="AX367" i="27"/>
  <c r="BH364" i="27"/>
  <c r="AD364" i="27" s="1"/>
  <c r="J364" i="27"/>
  <c r="BH362" i="27"/>
  <c r="AD362" i="27" s="1"/>
  <c r="BH358" i="27"/>
  <c r="AD358" i="27" s="1"/>
  <c r="BC357" i="27"/>
  <c r="AX351" i="27"/>
  <c r="BH347" i="27"/>
  <c r="AD347" i="27" s="1"/>
  <c r="BI336" i="27"/>
  <c r="AE336" i="27" s="1"/>
  <c r="AX336" i="27"/>
  <c r="BH330" i="27"/>
  <c r="AD330" i="27" s="1"/>
  <c r="BH323" i="27"/>
  <c r="AD323" i="27" s="1"/>
  <c r="BH319" i="27"/>
  <c r="AD319" i="27" s="1"/>
  <c r="BH315" i="27"/>
  <c r="AD315" i="27" s="1"/>
  <c r="BI311" i="27"/>
  <c r="AE311" i="27" s="1"/>
  <c r="BH307" i="27"/>
  <c r="AD307" i="27" s="1"/>
  <c r="BH303" i="27"/>
  <c r="AD303" i="27" s="1"/>
  <c r="BI299" i="27"/>
  <c r="AE299" i="27" s="1"/>
  <c r="BH298" i="27"/>
  <c r="AD298" i="27" s="1"/>
  <c r="J298" i="27"/>
  <c r="BI295" i="27"/>
  <c r="AE295" i="27" s="1"/>
  <c r="BH294" i="27"/>
  <c r="AD294" i="27" s="1"/>
  <c r="J294" i="27"/>
  <c r="BI290" i="27"/>
  <c r="AE290" i="27" s="1"/>
  <c r="BH283" i="27"/>
  <c r="AD283" i="27" s="1"/>
  <c r="BH276" i="27"/>
  <c r="AD276" i="27" s="1"/>
  <c r="BH272" i="27"/>
  <c r="AD272" i="27" s="1"/>
  <c r="AX269" i="27"/>
  <c r="I267" i="27"/>
  <c r="BH264" i="27"/>
  <c r="AD264" i="27" s="1"/>
  <c r="BI262" i="27"/>
  <c r="AE262" i="27" s="1"/>
  <c r="BH240" i="27"/>
  <c r="AD240" i="27" s="1"/>
  <c r="J240" i="27"/>
  <c r="BI237" i="27"/>
  <c r="AE237" i="27" s="1"/>
  <c r="AX237" i="27"/>
  <c r="BI229" i="27"/>
  <c r="AE229" i="27" s="1"/>
  <c r="BH227" i="27"/>
  <c r="AD227" i="27" s="1"/>
  <c r="J218" i="27"/>
  <c r="AX218" i="27"/>
  <c r="BI218" i="27"/>
  <c r="AE218" i="27" s="1"/>
  <c r="AU203" i="27"/>
  <c r="BH204" i="27"/>
  <c r="AD204" i="27" s="1"/>
  <c r="AX202" i="27"/>
  <c r="I197" i="27"/>
  <c r="AW197" i="27"/>
  <c r="AX195" i="27"/>
  <c r="I181" i="27"/>
  <c r="AW181" i="27"/>
  <c r="BH181" i="27"/>
  <c r="AW178" i="27"/>
  <c r="BH178" i="27"/>
  <c r="J175" i="27"/>
  <c r="BI175" i="27"/>
  <c r="AC175" i="27" s="1"/>
  <c r="J171" i="27"/>
  <c r="AX171" i="27"/>
  <c r="AV171" i="27" s="1"/>
  <c r="BI171" i="27"/>
  <c r="AC171" i="27" s="1"/>
  <c r="AX159" i="27"/>
  <c r="AV150" i="27"/>
  <c r="AX137" i="27"/>
  <c r="AW134" i="27"/>
  <c r="BH134" i="27"/>
  <c r="AB134" i="27" s="1"/>
  <c r="I134" i="27"/>
  <c r="I108" i="27"/>
  <c r="I107" i="27" s="1"/>
  <c r="E27" i="26" s="1"/>
  <c r="AW108" i="27"/>
  <c r="BH108" i="27"/>
  <c r="AB108" i="27" s="1"/>
  <c r="BH106" i="27"/>
  <c r="AB106" i="27" s="1"/>
  <c r="AW106" i="27"/>
  <c r="K104" i="27"/>
  <c r="G26" i="26" s="1"/>
  <c r="I26" i="26" s="1"/>
  <c r="AX58" i="27"/>
  <c r="AV58" i="27" s="1"/>
  <c r="BI58" i="27"/>
  <c r="AC58" i="27" s="1"/>
  <c r="J58" i="27"/>
  <c r="I48" i="27"/>
  <c r="AW48" i="27"/>
  <c r="BC48" i="27" s="1"/>
  <c r="BH48" i="27"/>
  <c r="AB48" i="27" s="1"/>
  <c r="J43" i="27"/>
  <c r="BI43" i="27"/>
  <c r="AC43" i="27" s="1"/>
  <c r="AX38" i="27"/>
  <c r="BI38" i="27"/>
  <c r="AC38" i="27" s="1"/>
  <c r="I35" i="27"/>
  <c r="I34" i="27" s="1"/>
  <c r="E16" i="26" s="1"/>
  <c r="AW35" i="27"/>
  <c r="BH35" i="27"/>
  <c r="AB35" i="27" s="1"/>
  <c r="AT22" i="27"/>
  <c r="J376" i="27"/>
  <c r="BC353" i="27"/>
  <c r="BC338" i="27"/>
  <c r="C20" i="25"/>
  <c r="J290" i="27"/>
  <c r="BC267" i="27"/>
  <c r="J262" i="27"/>
  <c r="BC243" i="27"/>
  <c r="J229" i="27"/>
  <c r="AU214" i="27"/>
  <c r="J216" i="27"/>
  <c r="AX216" i="27"/>
  <c r="I208" i="27"/>
  <c r="BH208" i="27"/>
  <c r="AD208" i="27" s="1"/>
  <c r="BC207" i="27"/>
  <c r="I193" i="27"/>
  <c r="BH193" i="27"/>
  <c r="AW193" i="27"/>
  <c r="I187" i="27"/>
  <c r="AW187" i="27"/>
  <c r="J186" i="27"/>
  <c r="BI186" i="27"/>
  <c r="I183" i="27"/>
  <c r="AW183" i="27"/>
  <c r="AX174" i="27"/>
  <c r="BI174" i="27"/>
  <c r="AC174" i="27" s="1"/>
  <c r="J174" i="27"/>
  <c r="J173" i="27"/>
  <c r="AX173" i="27"/>
  <c r="I151" i="27"/>
  <c r="AW151" i="27"/>
  <c r="BH151" i="27"/>
  <c r="AB151" i="27" s="1"/>
  <c r="BH116" i="27"/>
  <c r="AB116" i="27" s="1"/>
  <c r="I116" i="27"/>
  <c r="AW116" i="27"/>
  <c r="J113" i="27"/>
  <c r="AX113" i="27"/>
  <c r="I111" i="27"/>
  <c r="AW111" i="27"/>
  <c r="BH111" i="27"/>
  <c r="AB111" i="27" s="1"/>
  <c r="J102" i="27"/>
  <c r="AX102" i="27"/>
  <c r="BC51" i="27"/>
  <c r="AV51" i="27"/>
  <c r="BH24" i="27"/>
  <c r="AB24" i="27" s="1"/>
  <c r="AW24" i="27"/>
  <c r="I24" i="27"/>
  <c r="BH18" i="27"/>
  <c r="AB18" i="27" s="1"/>
  <c r="AW18" i="27"/>
  <c r="I18" i="27"/>
  <c r="J210" i="27"/>
  <c r="BC200" i="27"/>
  <c r="BI193" i="27"/>
  <c r="BH176" i="27"/>
  <c r="AB176" i="27" s="1"/>
  <c r="BH167" i="27"/>
  <c r="AB167" i="27" s="1"/>
  <c r="BH165" i="27"/>
  <c r="AB165" i="27" s="1"/>
  <c r="AX158" i="27"/>
  <c r="BI146" i="27"/>
  <c r="AC146" i="27" s="1"/>
  <c r="BH138" i="27"/>
  <c r="AB138" i="27" s="1"/>
  <c r="BI127" i="27"/>
  <c r="AC127" i="27" s="1"/>
  <c r="BH125" i="27"/>
  <c r="AB125" i="27" s="1"/>
  <c r="BH121" i="27"/>
  <c r="AB121" i="27" s="1"/>
  <c r="BI120" i="27"/>
  <c r="AC120" i="27" s="1"/>
  <c r="AX120" i="27"/>
  <c r="BI116" i="27"/>
  <c r="AC116" i="27" s="1"/>
  <c r="K110" i="27"/>
  <c r="G28" i="26" s="1"/>
  <c r="I28" i="26" s="1"/>
  <c r="AS110" i="27"/>
  <c r="AS107" i="27"/>
  <c r="BC97" i="27"/>
  <c r="AV97" i="27"/>
  <c r="J95" i="27"/>
  <c r="BI95" i="27"/>
  <c r="AC95" i="27" s="1"/>
  <c r="AX92" i="27"/>
  <c r="BI92" i="27"/>
  <c r="AC92" i="27" s="1"/>
  <c r="BH90" i="27"/>
  <c r="AB90" i="27" s="1"/>
  <c r="AW90" i="27"/>
  <c r="I86" i="27"/>
  <c r="AW86" i="27"/>
  <c r="BH86" i="27"/>
  <c r="AB86" i="27" s="1"/>
  <c r="AX81" i="27"/>
  <c r="BI81" i="27"/>
  <c r="AC81" i="27" s="1"/>
  <c r="J81" i="27"/>
  <c r="I62" i="27"/>
  <c r="AW62" i="27"/>
  <c r="BH62" i="27"/>
  <c r="AB62" i="27" s="1"/>
  <c r="BC50" i="27"/>
  <c r="AV50" i="27"/>
  <c r="AS49" i="27"/>
  <c r="BC171" i="27"/>
  <c r="AU148" i="27"/>
  <c r="BC142" i="27"/>
  <c r="BC122" i="27"/>
  <c r="BC103" i="27"/>
  <c r="I80" i="27"/>
  <c r="AW80" i="27"/>
  <c r="BH80" i="27"/>
  <c r="AB80" i="27" s="1"/>
  <c r="AX65" i="27"/>
  <c r="BI65" i="27"/>
  <c r="AC65" i="27" s="1"/>
  <c r="J65" i="27"/>
  <c r="I64" i="27"/>
  <c r="AW64" i="27"/>
  <c r="BH64" i="27"/>
  <c r="AB64" i="27" s="1"/>
  <c r="AS53" i="27"/>
  <c r="AX29" i="27"/>
  <c r="BI29" i="27"/>
  <c r="AC29" i="27" s="1"/>
  <c r="BH23" i="27"/>
  <c r="AB23" i="27" s="1"/>
  <c r="I23" i="27"/>
  <c r="AW23" i="27"/>
  <c r="AV23" i="27" s="1"/>
  <c r="K99" i="27"/>
  <c r="G24" i="26" s="1"/>
  <c r="I24" i="26" s="1"/>
  <c r="I98" i="27"/>
  <c r="I82" i="27"/>
  <c r="J72" i="27"/>
  <c r="C19" i="25"/>
  <c r="C21" i="25"/>
  <c r="I66" i="27"/>
  <c r="BI64" i="27"/>
  <c r="AC64" i="27" s="1"/>
  <c r="AX64" i="27"/>
  <c r="BI62" i="27"/>
  <c r="AC62" i="27" s="1"/>
  <c r="AX62" i="27"/>
  <c r="BH61" i="27"/>
  <c r="AB61" i="27" s="1"/>
  <c r="AW61" i="27"/>
  <c r="AW54" i="27"/>
  <c r="AV54" i="27" s="1"/>
  <c r="AU45" i="27"/>
  <c r="BH47" i="27"/>
  <c r="AB47" i="27" s="1"/>
  <c r="AW47" i="27"/>
  <c r="AS30" i="27"/>
  <c r="AU22" i="27"/>
  <c r="J17" i="27"/>
  <c r="BH16" i="27"/>
  <c r="AB16" i="27" s="1"/>
  <c r="AW16" i="27"/>
  <c r="AS63" i="27"/>
  <c r="AS45" i="27"/>
  <c r="AX44" i="27"/>
  <c r="BI28" i="27"/>
  <c r="AC28" i="27" s="1"/>
  <c r="AX28" i="27"/>
  <c r="BI23" i="27"/>
  <c r="AC23" i="27" s="1"/>
  <c r="BH21" i="27"/>
  <c r="AB21" i="27" s="1"/>
  <c r="AX19" i="27"/>
  <c r="BI17" i="27"/>
  <c r="AC17" i="27" s="1"/>
  <c r="BI97" i="27"/>
  <c r="AC97" i="27" s="1"/>
  <c r="J93" i="27"/>
  <c r="BH92" i="27"/>
  <c r="AB92" i="27" s="1"/>
  <c r="AW92" i="27"/>
  <c r="BH88" i="27"/>
  <c r="AB88" i="27" s="1"/>
  <c r="AW88" i="27"/>
  <c r="BC88" i="27" s="1"/>
  <c r="AW81" i="27"/>
  <c r="BI72" i="27"/>
  <c r="AC72" i="27" s="1"/>
  <c r="K41" i="27"/>
  <c r="G19" i="26" s="1"/>
  <c r="I19" i="26" s="1"/>
  <c r="AS36" i="27"/>
  <c r="J33" i="27"/>
  <c r="BH29" i="27"/>
  <c r="AB29" i="27" s="1"/>
  <c r="AW29" i="27"/>
  <c r="AS26" i="27"/>
  <c r="J13" i="27"/>
  <c r="C29" i="21"/>
  <c r="F29" i="21" s="1"/>
  <c r="I669" i="23"/>
  <c r="BH669" i="23"/>
  <c r="AB669" i="23" s="1"/>
  <c r="I662" i="23"/>
  <c r="BH662" i="23"/>
  <c r="AB662" i="23" s="1"/>
  <c r="J573" i="23"/>
  <c r="BI573" i="23"/>
  <c r="AC573" i="23" s="1"/>
  <c r="I553" i="23"/>
  <c r="AW553" i="23"/>
  <c r="BH553" i="23"/>
  <c r="AD553" i="23" s="1"/>
  <c r="I531" i="23"/>
  <c r="AW531" i="23"/>
  <c r="I495" i="23"/>
  <c r="AW495" i="23"/>
  <c r="J473" i="23"/>
  <c r="BI473" i="23"/>
  <c r="I456" i="23"/>
  <c r="BH456" i="23"/>
  <c r="AD456" i="23" s="1"/>
  <c r="AW456" i="23"/>
  <c r="AV456" i="23" s="1"/>
  <c r="I448" i="23"/>
  <c r="AW448" i="23"/>
  <c r="BC448" i="23" s="1"/>
  <c r="BH448" i="23"/>
  <c r="AD448" i="23" s="1"/>
  <c r="I408" i="23"/>
  <c r="BH408" i="23"/>
  <c r="AD408" i="23" s="1"/>
  <c r="I360" i="23"/>
  <c r="AW360" i="23"/>
  <c r="BC360" i="23" s="1"/>
  <c r="BH359" i="23"/>
  <c r="AD359" i="23" s="1"/>
  <c r="I326" i="23"/>
  <c r="AW326" i="23"/>
  <c r="BH326" i="23"/>
  <c r="AD326" i="23" s="1"/>
  <c r="I287" i="23"/>
  <c r="AW287" i="23"/>
  <c r="BH287" i="23"/>
  <c r="AD287" i="23" s="1"/>
  <c r="I284" i="23"/>
  <c r="BH284" i="23"/>
  <c r="AD284" i="23" s="1"/>
  <c r="AW284" i="23"/>
  <c r="BH230" i="23"/>
  <c r="AD230" i="23" s="1"/>
  <c r="J192" i="23"/>
  <c r="AX192" i="23"/>
  <c r="BI192" i="23"/>
  <c r="AE192" i="23" s="1"/>
  <c r="I91" i="23"/>
  <c r="AW91" i="23"/>
  <c r="BH90" i="23"/>
  <c r="AB90" i="23" s="1"/>
  <c r="BH33" i="23"/>
  <c r="AB33" i="23" s="1"/>
  <c r="I654" i="23"/>
  <c r="BH654" i="23"/>
  <c r="AB654" i="23" s="1"/>
  <c r="J647" i="23"/>
  <c r="AX647" i="23"/>
  <c r="BI647" i="23"/>
  <c r="AC647" i="23" s="1"/>
  <c r="BH613" i="23"/>
  <c r="AB613" i="23" s="1"/>
  <c r="I613" i="23"/>
  <c r="AW498" i="23"/>
  <c r="I498" i="23"/>
  <c r="BH498" i="23"/>
  <c r="AD498" i="23" s="1"/>
  <c r="AX481" i="23"/>
  <c r="BI481" i="23"/>
  <c r="AE481" i="23" s="1"/>
  <c r="I470" i="23"/>
  <c r="BH470" i="23"/>
  <c r="AD470" i="23" s="1"/>
  <c r="J411" i="23"/>
  <c r="BI411" i="23"/>
  <c r="AE411" i="23" s="1"/>
  <c r="I402" i="23"/>
  <c r="BH402" i="23"/>
  <c r="AD402" i="23" s="1"/>
  <c r="AW402" i="23"/>
  <c r="J388" i="23"/>
  <c r="BI388" i="23"/>
  <c r="AE388" i="23" s="1"/>
  <c r="I379" i="23"/>
  <c r="AW379" i="23"/>
  <c r="BC379" i="23" s="1"/>
  <c r="I375" i="23"/>
  <c r="BH375" i="23"/>
  <c r="AD375" i="23" s="1"/>
  <c r="AW375" i="23"/>
  <c r="BC375" i="23" s="1"/>
  <c r="BC365" i="23"/>
  <c r="J364" i="23"/>
  <c r="AX364" i="23"/>
  <c r="BC348" i="23"/>
  <c r="I331" i="23"/>
  <c r="AW331" i="23"/>
  <c r="AW297" i="23"/>
  <c r="I297" i="23"/>
  <c r="BI293" i="23"/>
  <c r="AE293" i="23" s="1"/>
  <c r="I262" i="23"/>
  <c r="BH262" i="23"/>
  <c r="AD262" i="23" s="1"/>
  <c r="AW262" i="23"/>
  <c r="J218" i="23"/>
  <c r="AX218" i="23"/>
  <c r="I142" i="23"/>
  <c r="BH142" i="23"/>
  <c r="AB142" i="23" s="1"/>
  <c r="AW142" i="23"/>
  <c r="J130" i="23"/>
  <c r="BI130" i="23"/>
  <c r="AC130" i="23" s="1"/>
  <c r="BI111" i="23"/>
  <c r="AC111" i="23" s="1"/>
  <c r="BC111" i="23"/>
  <c r="J53" i="23"/>
  <c r="AX53" i="23"/>
  <c r="I542" i="23"/>
  <c r="AW542" i="23"/>
  <c r="I535" i="23"/>
  <c r="AW535" i="23"/>
  <c r="I506" i="23"/>
  <c r="BH506" i="23"/>
  <c r="AD506" i="23" s="1"/>
  <c r="AW506" i="23"/>
  <c r="I465" i="23"/>
  <c r="BH465" i="23"/>
  <c r="AD465" i="23" s="1"/>
  <c r="AW465" i="23"/>
  <c r="I432" i="23"/>
  <c r="BH432" i="23"/>
  <c r="AD432" i="23" s="1"/>
  <c r="AW432" i="23"/>
  <c r="BC432" i="23" s="1"/>
  <c r="I418" i="23"/>
  <c r="AW418" i="23"/>
  <c r="BI413" i="23"/>
  <c r="AE413" i="23" s="1"/>
  <c r="BI377" i="23"/>
  <c r="AE377" i="23" s="1"/>
  <c r="J374" i="23"/>
  <c r="AX374" i="23"/>
  <c r="BH360" i="23"/>
  <c r="AD360" i="23" s="1"/>
  <c r="BI358" i="23"/>
  <c r="AE358" i="23" s="1"/>
  <c r="J331" i="23"/>
  <c r="BI331" i="23"/>
  <c r="AE331" i="23" s="1"/>
  <c r="BI327" i="23"/>
  <c r="AE327" i="23" s="1"/>
  <c r="J313" i="23"/>
  <c r="AX313" i="23"/>
  <c r="AW232" i="23"/>
  <c r="BH232" i="23"/>
  <c r="AD232" i="23" s="1"/>
  <c r="BH228" i="23"/>
  <c r="AD228" i="23" s="1"/>
  <c r="BH91" i="23"/>
  <c r="AB91" i="23" s="1"/>
  <c r="I21" i="23"/>
  <c r="BH21" i="23"/>
  <c r="AB21" i="23" s="1"/>
  <c r="AW21" i="23"/>
  <c r="J666" i="23"/>
  <c r="BI666" i="23"/>
  <c r="AC666" i="23" s="1"/>
  <c r="BH653" i="23"/>
  <c r="AB653" i="23" s="1"/>
  <c r="BH650" i="23"/>
  <c r="AB650" i="23" s="1"/>
  <c r="BI646" i="23"/>
  <c r="AC646" i="23" s="1"/>
  <c r="I583" i="23"/>
  <c r="BH583" i="23"/>
  <c r="AB583" i="23" s="1"/>
  <c r="AW583" i="23"/>
  <c r="BC583" i="23" s="1"/>
  <c r="AX568" i="23"/>
  <c r="BI568" i="23"/>
  <c r="AC568" i="23" s="1"/>
  <c r="I551" i="23"/>
  <c r="AW551" i="23"/>
  <c r="AV551" i="23" s="1"/>
  <c r="I537" i="23"/>
  <c r="BH537" i="23"/>
  <c r="AD537" i="23" s="1"/>
  <c r="AW537" i="23"/>
  <c r="I473" i="23"/>
  <c r="AW473" i="23"/>
  <c r="AX674" i="23"/>
  <c r="BI671" i="23"/>
  <c r="AC671" i="23" s="1"/>
  <c r="AX671" i="23"/>
  <c r="AW669" i="23"/>
  <c r="I666" i="23"/>
  <c r="AW666" i="23"/>
  <c r="AW662" i="23"/>
  <c r="AX656" i="23"/>
  <c r="BI656" i="23"/>
  <c r="AC656" i="23" s="1"/>
  <c r="BC637" i="23"/>
  <c r="I634" i="23"/>
  <c r="AW634" i="23"/>
  <c r="I631" i="23"/>
  <c r="BH631" i="23"/>
  <c r="AB631" i="23" s="1"/>
  <c r="AX629" i="23"/>
  <c r="BI629" i="23"/>
  <c r="AC629" i="23" s="1"/>
  <c r="I627" i="23"/>
  <c r="BH627" i="23"/>
  <c r="AB627" i="23" s="1"/>
  <c r="BI625" i="23"/>
  <c r="AC625" i="23" s="1"/>
  <c r="AW625" i="23"/>
  <c r="BC625" i="23" s="1"/>
  <c r="AX623" i="23"/>
  <c r="AX621" i="23"/>
  <c r="BI621" i="23"/>
  <c r="AC621" i="23" s="1"/>
  <c r="I619" i="23"/>
  <c r="BH619" i="23"/>
  <c r="AB619" i="23" s="1"/>
  <c r="I612" i="23"/>
  <c r="AW612" i="23"/>
  <c r="BC612" i="23" s="1"/>
  <c r="J607" i="23"/>
  <c r="AX607" i="23"/>
  <c r="BI607" i="23"/>
  <c r="AC607" i="23" s="1"/>
  <c r="BH605" i="23"/>
  <c r="AB605" i="23" s="1"/>
  <c r="I605" i="23"/>
  <c r="AW605" i="23"/>
  <c r="BC605" i="23" s="1"/>
  <c r="I599" i="23"/>
  <c r="BH599" i="23"/>
  <c r="AB599" i="23" s="1"/>
  <c r="BI597" i="23"/>
  <c r="AC597" i="23" s="1"/>
  <c r="BC597" i="23"/>
  <c r="J594" i="23"/>
  <c r="AX594" i="23"/>
  <c r="BC594" i="23" s="1"/>
  <c r="BI594" i="23"/>
  <c r="AC594" i="23" s="1"/>
  <c r="BI577" i="23"/>
  <c r="AC577" i="23" s="1"/>
  <c r="AX575" i="23"/>
  <c r="BI575" i="23"/>
  <c r="AC575" i="23" s="1"/>
  <c r="I568" i="23"/>
  <c r="AW568" i="23"/>
  <c r="AV568" i="23" s="1"/>
  <c r="BI567" i="23"/>
  <c r="AC567" i="23" s="1"/>
  <c r="J563" i="23"/>
  <c r="AX563" i="23"/>
  <c r="I562" i="23"/>
  <c r="AW562" i="23"/>
  <c r="AV562" i="23" s="1"/>
  <c r="J552" i="23"/>
  <c r="AX552" i="23"/>
  <c r="I546" i="23"/>
  <c r="AW546" i="23"/>
  <c r="J526" i="23"/>
  <c r="AX526" i="23"/>
  <c r="J514" i="23"/>
  <c r="AX514" i="23"/>
  <c r="BI490" i="23"/>
  <c r="AE490" i="23" s="1"/>
  <c r="AX490" i="23"/>
  <c r="I486" i="23"/>
  <c r="I467" i="23"/>
  <c r="AW467" i="23"/>
  <c r="AV467" i="23" s="1"/>
  <c r="BH467" i="23"/>
  <c r="AD467" i="23" s="1"/>
  <c r="J461" i="23"/>
  <c r="BI461" i="23"/>
  <c r="AE461" i="23" s="1"/>
  <c r="J449" i="23"/>
  <c r="AX449" i="23"/>
  <c r="J438" i="23"/>
  <c r="BI438" i="23"/>
  <c r="AE438" i="23" s="1"/>
  <c r="J424" i="23"/>
  <c r="AX424" i="23"/>
  <c r="J421" i="23"/>
  <c r="BI421" i="23"/>
  <c r="AE421" i="23" s="1"/>
  <c r="I411" i="23"/>
  <c r="AW411" i="23"/>
  <c r="J394" i="23"/>
  <c r="AX394" i="23"/>
  <c r="I388" i="23"/>
  <c r="AW388" i="23"/>
  <c r="I364" i="23"/>
  <c r="AW364" i="23"/>
  <c r="BH364" i="23"/>
  <c r="AD364" i="23" s="1"/>
  <c r="J356" i="23"/>
  <c r="AX356" i="23"/>
  <c r="BI356" i="23"/>
  <c r="AE356" i="23" s="1"/>
  <c r="AX354" i="23"/>
  <c r="I342" i="23"/>
  <c r="BH342" i="23"/>
  <c r="AD342" i="23" s="1"/>
  <c r="AW342" i="23"/>
  <c r="AX337" i="23"/>
  <c r="AV337" i="23" s="1"/>
  <c r="J336" i="23"/>
  <c r="AX336" i="23"/>
  <c r="BI336" i="23"/>
  <c r="AE336" i="23" s="1"/>
  <c r="AX333" i="23"/>
  <c r="I315" i="23"/>
  <c r="AW315" i="23"/>
  <c r="AX273" i="23"/>
  <c r="J272" i="23"/>
  <c r="AX272" i="23"/>
  <c r="BI272" i="23"/>
  <c r="AE272" i="23" s="1"/>
  <c r="J254" i="23"/>
  <c r="BI254" i="23"/>
  <c r="AE254" i="23" s="1"/>
  <c r="BH219" i="23"/>
  <c r="AD219" i="23" s="1"/>
  <c r="AW219" i="23"/>
  <c r="BC219" i="23" s="1"/>
  <c r="BI218" i="23"/>
  <c r="AE218" i="23" s="1"/>
  <c r="J179" i="23"/>
  <c r="BI179" i="23"/>
  <c r="I133" i="23"/>
  <c r="AW133" i="23"/>
  <c r="I69" i="23"/>
  <c r="BH69" i="23"/>
  <c r="AB69" i="23" s="1"/>
  <c r="AW69" i="23"/>
  <c r="I60" i="23"/>
  <c r="BH60" i="23"/>
  <c r="AB60" i="23" s="1"/>
  <c r="AW60" i="23"/>
  <c r="AW57" i="23"/>
  <c r="I57" i="23"/>
  <c r="BI53" i="23"/>
  <c r="AC53" i="23" s="1"/>
  <c r="I43" i="23"/>
  <c r="BH43" i="23"/>
  <c r="AB43" i="23" s="1"/>
  <c r="AW43" i="23"/>
  <c r="I652" i="23"/>
  <c r="BH652" i="23"/>
  <c r="AB652" i="23" s="1"/>
  <c r="I641" i="23"/>
  <c r="BH641" i="23"/>
  <c r="AB641" i="23" s="1"/>
  <c r="AX617" i="23"/>
  <c r="AV617" i="23" s="1"/>
  <c r="BI617" i="23"/>
  <c r="AC617" i="23" s="1"/>
  <c r="J592" i="23"/>
  <c r="AX592" i="23"/>
  <c r="BI592" i="23"/>
  <c r="AC592" i="23" s="1"/>
  <c r="J524" i="23"/>
  <c r="AX524" i="23"/>
  <c r="BI524" i="23"/>
  <c r="AE524" i="23" s="1"/>
  <c r="J468" i="23"/>
  <c r="AX468" i="23"/>
  <c r="I431" i="23"/>
  <c r="AW431" i="23"/>
  <c r="I406" i="23"/>
  <c r="AW406" i="23"/>
  <c r="I393" i="23"/>
  <c r="AW393" i="23"/>
  <c r="BH393" i="23"/>
  <c r="AD393" i="23" s="1"/>
  <c r="J378" i="23"/>
  <c r="AX378" i="23"/>
  <c r="I367" i="23"/>
  <c r="BH367" i="23"/>
  <c r="AD367" i="23" s="1"/>
  <c r="I323" i="23"/>
  <c r="AW323" i="23"/>
  <c r="BH323" i="23"/>
  <c r="AD323" i="23" s="1"/>
  <c r="I308" i="23"/>
  <c r="BH308" i="23"/>
  <c r="AD308" i="23" s="1"/>
  <c r="AW308" i="23"/>
  <c r="AX288" i="23"/>
  <c r="BI288" i="23"/>
  <c r="AE288" i="23" s="1"/>
  <c r="J243" i="23"/>
  <c r="BI243" i="23"/>
  <c r="AE243" i="23" s="1"/>
  <c r="J238" i="23"/>
  <c r="AX238" i="23"/>
  <c r="BI238" i="23"/>
  <c r="AE238" i="23" s="1"/>
  <c r="BI235" i="23"/>
  <c r="AE235" i="23" s="1"/>
  <c r="J215" i="23"/>
  <c r="BI215" i="23"/>
  <c r="AE215" i="23" s="1"/>
  <c r="J211" i="23"/>
  <c r="BI211" i="23"/>
  <c r="AE211" i="23" s="1"/>
  <c r="I189" i="23"/>
  <c r="I188" i="23" s="1"/>
  <c r="E33" i="22" s="1"/>
  <c r="BH189" i="23"/>
  <c r="AW189" i="23"/>
  <c r="BH187" i="23"/>
  <c r="AW187" i="23"/>
  <c r="J174" i="23"/>
  <c r="J171" i="23" s="1"/>
  <c r="F32" i="22" s="1"/>
  <c r="AX174" i="23"/>
  <c r="J111" i="23"/>
  <c r="J101" i="23"/>
  <c r="AX101" i="23"/>
  <c r="J634" i="23"/>
  <c r="BI634" i="23"/>
  <c r="AC634" i="23" s="1"/>
  <c r="I589" i="23"/>
  <c r="BH589" i="23"/>
  <c r="AB589" i="23" s="1"/>
  <c r="AW589" i="23"/>
  <c r="BC589" i="23" s="1"/>
  <c r="I573" i="23"/>
  <c r="AW573" i="23"/>
  <c r="AX560" i="23"/>
  <c r="BI560" i="23"/>
  <c r="AC560" i="23" s="1"/>
  <c r="I544" i="23"/>
  <c r="AW544" i="23"/>
  <c r="I513" i="23"/>
  <c r="AW513" i="23"/>
  <c r="BH473" i="23"/>
  <c r="BI374" i="23"/>
  <c r="AE374" i="23" s="1"/>
  <c r="I667" i="23"/>
  <c r="BH667" i="23"/>
  <c r="AB667" i="23" s="1"/>
  <c r="I656" i="23"/>
  <c r="AW656" i="23"/>
  <c r="BC656" i="23" s="1"/>
  <c r="BI655" i="23"/>
  <c r="AC655" i="23" s="1"/>
  <c r="AX655" i="23"/>
  <c r="AW654" i="23"/>
  <c r="I635" i="23"/>
  <c r="BH635" i="23"/>
  <c r="AB635" i="23" s="1"/>
  <c r="I633" i="23"/>
  <c r="BH633" i="23"/>
  <c r="AB633" i="23" s="1"/>
  <c r="AX632" i="23"/>
  <c r="AV632" i="23" s="1"/>
  <c r="J630" i="23"/>
  <c r="BI630" i="23"/>
  <c r="AC630" i="23" s="1"/>
  <c r="BI628" i="23"/>
  <c r="AC628" i="23" s="1"/>
  <c r="AX628" i="23"/>
  <c r="BH625" i="23"/>
  <c r="AB625" i="23" s="1"/>
  <c r="BI620" i="23"/>
  <c r="AC620" i="23" s="1"/>
  <c r="AX620" i="23"/>
  <c r="AX615" i="23"/>
  <c r="AW613" i="23"/>
  <c r="BC613" i="23" s="1"/>
  <c r="I604" i="23"/>
  <c r="AW604" i="23"/>
  <c r="J590" i="23"/>
  <c r="I586" i="23"/>
  <c r="BH586" i="23"/>
  <c r="AF586" i="23" s="1"/>
  <c r="AW586" i="23"/>
  <c r="BC586" i="23" s="1"/>
  <c r="I581" i="23"/>
  <c r="BH581" i="23"/>
  <c r="AB581" i="23" s="1"/>
  <c r="AW581" i="23"/>
  <c r="BI580" i="23"/>
  <c r="AC580" i="23" s="1"/>
  <c r="AX580" i="23"/>
  <c r="AV580" i="23" s="1"/>
  <c r="I575" i="23"/>
  <c r="AW575" i="23"/>
  <c r="J565" i="23"/>
  <c r="AX565" i="23"/>
  <c r="AV565" i="23" s="1"/>
  <c r="BI565" i="23"/>
  <c r="AC565" i="23" s="1"/>
  <c r="AX553" i="23"/>
  <c r="BI553" i="23"/>
  <c r="AE553" i="23" s="1"/>
  <c r="I549" i="23"/>
  <c r="BH549" i="23"/>
  <c r="AD549" i="23" s="1"/>
  <c r="AW549" i="23"/>
  <c r="BI547" i="23"/>
  <c r="AX547" i="23"/>
  <c r="AV547" i="23" s="1"/>
  <c r="I515" i="23"/>
  <c r="AW515" i="23"/>
  <c r="J511" i="23"/>
  <c r="AX511" i="23"/>
  <c r="BI509" i="23"/>
  <c r="AE509" i="23" s="1"/>
  <c r="AX509" i="23"/>
  <c r="I461" i="23"/>
  <c r="AW461" i="23"/>
  <c r="I451" i="23"/>
  <c r="BH451" i="23"/>
  <c r="AD451" i="23" s="1"/>
  <c r="I438" i="23"/>
  <c r="AW438" i="23"/>
  <c r="BI429" i="23"/>
  <c r="AE429" i="23" s="1"/>
  <c r="J418" i="23"/>
  <c r="BI418" i="23"/>
  <c r="AE418" i="23" s="1"/>
  <c r="AX413" i="23"/>
  <c r="BI404" i="23"/>
  <c r="AE404" i="23" s="1"/>
  <c r="AX404" i="23"/>
  <c r="I396" i="23"/>
  <c r="BH396" i="23"/>
  <c r="AD396" i="23" s="1"/>
  <c r="I383" i="23"/>
  <c r="BH383" i="23"/>
  <c r="AD383" i="23" s="1"/>
  <c r="AW383" i="23"/>
  <c r="I370" i="23"/>
  <c r="AW370" i="23"/>
  <c r="AX360" i="23"/>
  <c r="BI360" i="23"/>
  <c r="AE360" i="23" s="1"/>
  <c r="J357" i="23"/>
  <c r="BI357" i="23"/>
  <c r="AE357" i="23" s="1"/>
  <c r="I356" i="23"/>
  <c r="AW356" i="23"/>
  <c r="BH356" i="23"/>
  <c r="AD356" i="23" s="1"/>
  <c r="I336" i="23"/>
  <c r="AW336" i="23"/>
  <c r="BH336" i="23"/>
  <c r="AD336" i="23" s="1"/>
  <c r="J328" i="23"/>
  <c r="AX328" i="23"/>
  <c r="AX327" i="23"/>
  <c r="J326" i="23"/>
  <c r="AX326" i="23"/>
  <c r="BC326" i="23" s="1"/>
  <c r="BI326" i="23"/>
  <c r="AE326" i="23" s="1"/>
  <c r="J323" i="23"/>
  <c r="AX323" i="23"/>
  <c r="BI323" i="23"/>
  <c r="AE323" i="23" s="1"/>
  <c r="J277" i="23"/>
  <c r="AX277" i="23"/>
  <c r="BC277" i="23" s="1"/>
  <c r="BI277" i="23"/>
  <c r="AE277" i="23" s="1"/>
  <c r="I272" i="23"/>
  <c r="AW272" i="23"/>
  <c r="BH272" i="23"/>
  <c r="AD272" i="23" s="1"/>
  <c r="J268" i="23"/>
  <c r="AX268" i="23"/>
  <c r="AV268" i="23" s="1"/>
  <c r="BI268" i="23"/>
  <c r="AE268" i="23" s="1"/>
  <c r="J236" i="23"/>
  <c r="AX236" i="23"/>
  <c r="AX235" i="23"/>
  <c r="AV235" i="23" s="1"/>
  <c r="I228" i="23"/>
  <c r="I205" i="23"/>
  <c r="BH205" i="23"/>
  <c r="AD205" i="23" s="1"/>
  <c r="J163" i="23"/>
  <c r="AX163" i="23"/>
  <c r="AX93" i="23"/>
  <c r="BI93" i="23"/>
  <c r="AC93" i="23" s="1"/>
  <c r="I64" i="23"/>
  <c r="BH64" i="23"/>
  <c r="AB64" i="23" s="1"/>
  <c r="AW64" i="23"/>
  <c r="J601" i="23"/>
  <c r="I580" i="23"/>
  <c r="AU539" i="23"/>
  <c r="BI498" i="23"/>
  <c r="AE498" i="23" s="1"/>
  <c r="AX498" i="23"/>
  <c r="I494" i="23"/>
  <c r="AX470" i="23"/>
  <c r="AX396" i="23"/>
  <c r="AX392" i="23"/>
  <c r="AX367" i="23"/>
  <c r="BH352" i="23"/>
  <c r="AD352" i="23" s="1"/>
  <c r="AX349" i="23"/>
  <c r="BH319" i="23"/>
  <c r="AD319" i="23" s="1"/>
  <c r="I310" i="23"/>
  <c r="AW310" i="23"/>
  <c r="BI281" i="23"/>
  <c r="AE281" i="23" s="1"/>
  <c r="I270" i="23"/>
  <c r="BH270" i="23"/>
  <c r="AD270" i="23" s="1"/>
  <c r="AW270" i="23"/>
  <c r="BI264" i="23"/>
  <c r="AE264" i="23" s="1"/>
  <c r="J260" i="23"/>
  <c r="AX260" i="23"/>
  <c r="BI260" i="23"/>
  <c r="AE260" i="23" s="1"/>
  <c r="I254" i="23"/>
  <c r="AW254" i="23"/>
  <c r="AX222" i="23"/>
  <c r="J214" i="23"/>
  <c r="AX214" i="23"/>
  <c r="BI214" i="23"/>
  <c r="AE214" i="23" s="1"/>
  <c r="I213" i="23"/>
  <c r="BH213" i="23"/>
  <c r="AD213" i="23" s="1"/>
  <c r="AU196" i="23"/>
  <c r="J193" i="23"/>
  <c r="BI193" i="23"/>
  <c r="AE193" i="23" s="1"/>
  <c r="I192" i="23"/>
  <c r="AW192" i="23"/>
  <c r="BC192" i="23" s="1"/>
  <c r="BH192" i="23"/>
  <c r="AD192" i="23" s="1"/>
  <c r="I183" i="23"/>
  <c r="AW183" i="23"/>
  <c r="BH168" i="23"/>
  <c r="AB168" i="23" s="1"/>
  <c r="AW168" i="23"/>
  <c r="BC168" i="23" s="1"/>
  <c r="AW164" i="23"/>
  <c r="BC164" i="23" s="1"/>
  <c r="I164" i="23"/>
  <c r="J139" i="23"/>
  <c r="AX139" i="23"/>
  <c r="BI139" i="23"/>
  <c r="AC139" i="23" s="1"/>
  <c r="J115" i="23"/>
  <c r="BI115" i="23"/>
  <c r="AC115" i="23" s="1"/>
  <c r="I103" i="23"/>
  <c r="BH103" i="23"/>
  <c r="AB103" i="23" s="1"/>
  <c r="AW103" i="23"/>
  <c r="J98" i="23"/>
  <c r="J97" i="23" s="1"/>
  <c r="F24" i="22" s="1"/>
  <c r="AX98" i="23"/>
  <c r="BI98" i="23"/>
  <c r="AC98" i="23" s="1"/>
  <c r="J88" i="23"/>
  <c r="AX88" i="23"/>
  <c r="BI88" i="23"/>
  <c r="AC88" i="23" s="1"/>
  <c r="I81" i="23"/>
  <c r="BH81" i="23"/>
  <c r="AB81" i="23" s="1"/>
  <c r="AW81" i="23"/>
  <c r="I38" i="23"/>
  <c r="BH38" i="23"/>
  <c r="AB38" i="23" s="1"/>
  <c r="AW38" i="23"/>
  <c r="BI601" i="23"/>
  <c r="AC601" i="23" s="1"/>
  <c r="BI593" i="23"/>
  <c r="AC593" i="23" s="1"/>
  <c r="I584" i="23"/>
  <c r="E49" i="22" s="1"/>
  <c r="I572" i="23"/>
  <c r="BI555" i="23"/>
  <c r="AG555" i="23" s="1"/>
  <c r="AS548" i="23"/>
  <c r="BC516" i="23"/>
  <c r="BI507" i="23"/>
  <c r="AE507" i="23" s="1"/>
  <c r="BI475" i="23"/>
  <c r="AE475" i="23" s="1"/>
  <c r="BI380" i="23"/>
  <c r="AE380" i="23" s="1"/>
  <c r="J306" i="23"/>
  <c r="AX306" i="23"/>
  <c r="BI306" i="23"/>
  <c r="AE306" i="23" s="1"/>
  <c r="J287" i="23"/>
  <c r="AX287" i="23"/>
  <c r="BI287" i="23"/>
  <c r="AE287" i="23" s="1"/>
  <c r="J283" i="23"/>
  <c r="AX283" i="23"/>
  <c r="AV283" i="23" s="1"/>
  <c r="I256" i="23"/>
  <c r="BH256" i="23"/>
  <c r="AD256" i="23" s="1"/>
  <c r="AW256" i="23"/>
  <c r="J246" i="23"/>
  <c r="BI246" i="23"/>
  <c r="AE246" i="23" s="1"/>
  <c r="BH223" i="23"/>
  <c r="AD223" i="23" s="1"/>
  <c r="I223" i="23"/>
  <c r="AW223" i="23"/>
  <c r="BC223" i="23" s="1"/>
  <c r="I210" i="23"/>
  <c r="AW210" i="23"/>
  <c r="BC210" i="23" s="1"/>
  <c r="BH210" i="23"/>
  <c r="AD210" i="23" s="1"/>
  <c r="J202" i="23"/>
  <c r="J196" i="23" s="1"/>
  <c r="F35" i="22" s="1"/>
  <c r="AX202" i="23"/>
  <c r="I191" i="23"/>
  <c r="AW191" i="23"/>
  <c r="BC191" i="23" s="1"/>
  <c r="BH191" i="23"/>
  <c r="AD191" i="23" s="1"/>
  <c r="AX186" i="23"/>
  <c r="BI186" i="23"/>
  <c r="I182" i="23"/>
  <c r="AW182" i="23"/>
  <c r="BC182" i="23" s="1"/>
  <c r="BH182" i="23"/>
  <c r="BH175" i="23"/>
  <c r="AW175" i="23"/>
  <c r="J150" i="23"/>
  <c r="J148" i="23" s="1"/>
  <c r="F31" i="22" s="1"/>
  <c r="BI150" i="23"/>
  <c r="AC150" i="23" s="1"/>
  <c r="I123" i="23"/>
  <c r="BH123" i="23"/>
  <c r="AB123" i="23" s="1"/>
  <c r="AW123" i="23"/>
  <c r="I122" i="23"/>
  <c r="AW122" i="23"/>
  <c r="BI116" i="23"/>
  <c r="AC116" i="23" s="1"/>
  <c r="AU102" i="23"/>
  <c r="J39" i="23"/>
  <c r="AX39" i="23"/>
  <c r="BI39" i="23"/>
  <c r="AC39" i="23" s="1"/>
  <c r="AU37" i="23"/>
  <c r="J33" i="23"/>
  <c r="J32" i="23" s="1"/>
  <c r="F16" i="22" s="1"/>
  <c r="AX33" i="23"/>
  <c r="BI33" i="23"/>
  <c r="AC33" i="23" s="1"/>
  <c r="BH305" i="23"/>
  <c r="AD305" i="23" s="1"/>
  <c r="BH266" i="23"/>
  <c r="AD266" i="23" s="1"/>
  <c r="AX265" i="23"/>
  <c r="BH258" i="23"/>
  <c r="AD258" i="23" s="1"/>
  <c r="BH251" i="23"/>
  <c r="AD251" i="23" s="1"/>
  <c r="AX249" i="23"/>
  <c r="BH240" i="23"/>
  <c r="AD240" i="23" s="1"/>
  <c r="BI232" i="23"/>
  <c r="AE232" i="23" s="1"/>
  <c r="AX232" i="23"/>
  <c r="BC232" i="23" s="1"/>
  <c r="BI213" i="23"/>
  <c r="AE213" i="23" s="1"/>
  <c r="AX213" i="23"/>
  <c r="BI205" i="23"/>
  <c r="AE205" i="23" s="1"/>
  <c r="AX205" i="23"/>
  <c r="AX199" i="23"/>
  <c r="BH181" i="23"/>
  <c r="AS105" i="23"/>
  <c r="AS102" i="23"/>
  <c r="BH84" i="23"/>
  <c r="AB84" i="23" s="1"/>
  <c r="BI64" i="23"/>
  <c r="AC64" i="23" s="1"/>
  <c r="K42" i="23"/>
  <c r="G19" i="22" s="1"/>
  <c r="I19" i="22" s="1"/>
  <c r="BI38" i="23"/>
  <c r="AC38" i="23" s="1"/>
  <c r="BI140" i="23"/>
  <c r="AC140" i="23" s="1"/>
  <c r="BI127" i="23"/>
  <c r="AC127" i="23" s="1"/>
  <c r="J29" i="23"/>
  <c r="BC676" i="23"/>
  <c r="AV676" i="23"/>
  <c r="C21" i="21"/>
  <c r="I676" i="23"/>
  <c r="BC652" i="23"/>
  <c r="J564" i="23"/>
  <c r="J527" i="23"/>
  <c r="J508" i="23"/>
  <c r="J497" i="23"/>
  <c r="J489" i="23"/>
  <c r="J482" i="23"/>
  <c r="AX482" i="23"/>
  <c r="BC482" i="23" s="1"/>
  <c r="BI482" i="23"/>
  <c r="AE482" i="23" s="1"/>
  <c r="J478" i="23"/>
  <c r="AX478" i="23"/>
  <c r="BI478" i="23"/>
  <c r="AE478" i="23" s="1"/>
  <c r="J431" i="23"/>
  <c r="AX431" i="23"/>
  <c r="BI431" i="23"/>
  <c r="AE431" i="23" s="1"/>
  <c r="I413" i="23"/>
  <c r="AW413" i="23"/>
  <c r="BC413" i="23" s="1"/>
  <c r="BH413" i="23"/>
  <c r="AD413" i="23" s="1"/>
  <c r="I395" i="23"/>
  <c r="AW395" i="23"/>
  <c r="I369" i="23"/>
  <c r="AW369" i="23"/>
  <c r="BH369" i="23"/>
  <c r="AD369" i="23" s="1"/>
  <c r="J368" i="23"/>
  <c r="AX368" i="23"/>
  <c r="I321" i="23"/>
  <c r="BH321" i="23"/>
  <c r="AD321" i="23" s="1"/>
  <c r="J312" i="23"/>
  <c r="BI312" i="23"/>
  <c r="AE312" i="23" s="1"/>
  <c r="I303" i="23"/>
  <c r="AW303" i="23"/>
  <c r="J297" i="23"/>
  <c r="BI297" i="23"/>
  <c r="AE297" i="23" s="1"/>
  <c r="I285" i="23"/>
  <c r="BH285" i="23"/>
  <c r="AD285" i="23" s="1"/>
  <c r="AW285" i="23"/>
  <c r="AW27" i="23"/>
  <c r="BH27" i="23"/>
  <c r="AB27" i="23" s="1"/>
  <c r="I27" i="23"/>
  <c r="I653" i="23"/>
  <c r="I645" i="23"/>
  <c r="J644" i="23"/>
  <c r="I637" i="23"/>
  <c r="AV625" i="23"/>
  <c r="BC620" i="23"/>
  <c r="I610" i="23"/>
  <c r="C27" i="21"/>
  <c r="AV597" i="23"/>
  <c r="J589" i="23"/>
  <c r="J586" i="23"/>
  <c r="J584" i="23" s="1"/>
  <c r="F49" i="22" s="1"/>
  <c r="J568" i="23"/>
  <c r="AU512" i="23"/>
  <c r="J469" i="23"/>
  <c r="BI469" i="23"/>
  <c r="AE469" i="23" s="1"/>
  <c r="I458" i="23"/>
  <c r="I457" i="23" s="1"/>
  <c r="E42" i="22" s="1"/>
  <c r="BH458" i="23"/>
  <c r="AD458" i="23" s="1"/>
  <c r="I450" i="23"/>
  <c r="AW450" i="23"/>
  <c r="AX428" i="23"/>
  <c r="BI428" i="23"/>
  <c r="AE428" i="23" s="1"/>
  <c r="I424" i="23"/>
  <c r="AW424" i="23"/>
  <c r="BC424" i="23" s="1"/>
  <c r="BH424" i="23"/>
  <c r="AD424" i="23" s="1"/>
  <c r="I661" i="23"/>
  <c r="AV637" i="23"/>
  <c r="BC636" i="23"/>
  <c r="J616" i="23"/>
  <c r="BC604" i="23"/>
  <c r="I602" i="23"/>
  <c r="J596" i="23"/>
  <c r="I591" i="23"/>
  <c r="I577" i="23"/>
  <c r="J523" i="23"/>
  <c r="I504" i="23"/>
  <c r="I475" i="23"/>
  <c r="AW475" i="23"/>
  <c r="BH475" i="23"/>
  <c r="AD475" i="23" s="1"/>
  <c r="I471" i="23"/>
  <c r="AW471" i="23"/>
  <c r="BH471" i="23"/>
  <c r="AD471" i="23" s="1"/>
  <c r="I439" i="23"/>
  <c r="AW439" i="23"/>
  <c r="J434" i="23"/>
  <c r="BI434" i="23"/>
  <c r="AE434" i="23" s="1"/>
  <c r="AU420" i="23"/>
  <c r="I409" i="23"/>
  <c r="AW409" i="23"/>
  <c r="BC409" i="23" s="1"/>
  <c r="BH409" i="23"/>
  <c r="AD409" i="23" s="1"/>
  <c r="I392" i="23"/>
  <c r="BH392" i="23"/>
  <c r="AD392" i="23" s="1"/>
  <c r="AW376" i="23"/>
  <c r="I376" i="23"/>
  <c r="BI368" i="23"/>
  <c r="AE368" i="23" s="1"/>
  <c r="I357" i="23"/>
  <c r="BH357" i="23"/>
  <c r="AD357" i="23" s="1"/>
  <c r="AW357" i="23"/>
  <c r="J350" i="23"/>
  <c r="BI350" i="23"/>
  <c r="AE350" i="23" s="1"/>
  <c r="I337" i="23"/>
  <c r="AW337" i="23"/>
  <c r="BH337" i="23"/>
  <c r="AD337" i="23" s="1"/>
  <c r="I327" i="23"/>
  <c r="AW327" i="23"/>
  <c r="J318" i="23"/>
  <c r="AX318" i="23"/>
  <c r="BI318" i="23"/>
  <c r="AE318" i="23" s="1"/>
  <c r="BH303" i="23"/>
  <c r="AD303" i="23" s="1"/>
  <c r="J162" i="23"/>
  <c r="BI162" i="23"/>
  <c r="AC162" i="23" s="1"/>
  <c r="J121" i="23"/>
  <c r="J117" i="23" s="1"/>
  <c r="F29" i="22" s="1"/>
  <c r="AX121" i="23"/>
  <c r="BI121" i="23"/>
  <c r="AC121" i="23" s="1"/>
  <c r="BH676" i="23"/>
  <c r="AB676" i="23" s="1"/>
  <c r="I665" i="23"/>
  <c r="J664" i="23"/>
  <c r="AW679" i="23"/>
  <c r="AW677" i="23"/>
  <c r="BI675" i="23"/>
  <c r="AC675" i="23" s="1"/>
  <c r="AX675" i="23"/>
  <c r="AU672" i="23"/>
  <c r="AW673" i="23"/>
  <c r="AW670" i="23"/>
  <c r="J668" i="23"/>
  <c r="AW661" i="23"/>
  <c r="AW660" i="23"/>
  <c r="AW658" i="23"/>
  <c r="J656" i="23"/>
  <c r="J652" i="23"/>
  <c r="J636" i="23"/>
  <c r="AV633" i="23"/>
  <c r="BH632" i="23"/>
  <c r="AB632" i="23" s="1"/>
  <c r="AW632" i="23"/>
  <c r="AW630" i="23"/>
  <c r="AW629" i="23"/>
  <c r="BC629" i="23" s="1"/>
  <c r="I629" i="23"/>
  <c r="I626" i="23"/>
  <c r="BI624" i="23"/>
  <c r="AC624" i="23" s="1"/>
  <c r="AX624" i="23"/>
  <c r="AV624" i="23" s="1"/>
  <c r="AW621" i="23"/>
  <c r="I621" i="23"/>
  <c r="I618" i="23"/>
  <c r="BI616" i="23"/>
  <c r="AC616" i="23" s="1"/>
  <c r="AV613" i="23"/>
  <c r="J609" i="23"/>
  <c r="BH608" i="23"/>
  <c r="AB608" i="23" s="1"/>
  <c r="AW608" i="23"/>
  <c r="BC608" i="23" s="1"/>
  <c r="AV605" i="23"/>
  <c r="AW601" i="23"/>
  <c r="I601" i="23"/>
  <c r="I598" i="23"/>
  <c r="BI596" i="23"/>
  <c r="AC596" i="23" s="1"/>
  <c r="AW593" i="23"/>
  <c r="AW591" i="23"/>
  <c r="I590" i="23"/>
  <c r="K587" i="23"/>
  <c r="G50" i="22" s="1"/>
  <c r="I50" i="22" s="1"/>
  <c r="K584" i="23"/>
  <c r="G49" i="22" s="1"/>
  <c r="I49" i="22" s="1"/>
  <c r="AW579" i="23"/>
  <c r="AW577" i="23"/>
  <c r="I576" i="23"/>
  <c r="AW571" i="23"/>
  <c r="AX569" i="23"/>
  <c r="AV569" i="23" s="1"/>
  <c r="AX567" i="23"/>
  <c r="AV567" i="23" s="1"/>
  <c r="AW566" i="23"/>
  <c r="AV566" i="23" s="1"/>
  <c r="J562" i="23"/>
  <c r="AW560" i="23"/>
  <c r="AV560" i="23" s="1"/>
  <c r="AV559" i="23"/>
  <c r="J556" i="23"/>
  <c r="K554" i="23"/>
  <c r="G48" i="22" s="1"/>
  <c r="I48" i="22" s="1"/>
  <c r="BH551" i="23"/>
  <c r="AD551" i="23" s="1"/>
  <c r="J551" i="23"/>
  <c r="I550" i="23"/>
  <c r="BH546" i="23"/>
  <c r="AD546" i="23" s="1"/>
  <c r="J546" i="23"/>
  <c r="BI543" i="23"/>
  <c r="AE543" i="23" s="1"/>
  <c r="AX543" i="23"/>
  <c r="BH542" i="23"/>
  <c r="AD542" i="23" s="1"/>
  <c r="J542" i="23"/>
  <c r="BI536" i="23"/>
  <c r="AE536" i="23" s="1"/>
  <c r="AX536" i="23"/>
  <c r="BC536" i="23" s="1"/>
  <c r="BH535" i="23"/>
  <c r="AD535" i="23" s="1"/>
  <c r="J535" i="23"/>
  <c r="BH532" i="23"/>
  <c r="AD532" i="23" s="1"/>
  <c r="AV532" i="23"/>
  <c r="BH531" i="23"/>
  <c r="AD531" i="23" s="1"/>
  <c r="J531" i="23"/>
  <c r="BH529" i="23"/>
  <c r="AD529" i="23" s="1"/>
  <c r="AW525" i="23"/>
  <c r="BC524" i="23"/>
  <c r="BI522" i="23"/>
  <c r="AE522" i="23" s="1"/>
  <c r="AX522" i="23"/>
  <c r="AW521" i="23"/>
  <c r="BI519" i="23"/>
  <c r="AE519" i="23" s="1"/>
  <c r="AW519" i="23"/>
  <c r="BH516" i="23"/>
  <c r="AD516" i="23" s="1"/>
  <c r="BH515" i="23"/>
  <c r="AD515" i="23" s="1"/>
  <c r="J515" i="23"/>
  <c r="BH513" i="23"/>
  <c r="AD513" i="23" s="1"/>
  <c r="BC509" i="23"/>
  <c r="AX507" i="23"/>
  <c r="BI505" i="23"/>
  <c r="AE505" i="23" s="1"/>
  <c r="AX505" i="23"/>
  <c r="BC505" i="23" s="1"/>
  <c r="BI504" i="23"/>
  <c r="AE504" i="23" s="1"/>
  <c r="AW504" i="23"/>
  <c r="AW502" i="23"/>
  <c r="BH499" i="23"/>
  <c r="BC498" i="23"/>
  <c r="BH495" i="23"/>
  <c r="AD495" i="23" s="1"/>
  <c r="BI494" i="23"/>
  <c r="AE494" i="23" s="1"/>
  <c r="AX494" i="23"/>
  <c r="BC494" i="23" s="1"/>
  <c r="BI493" i="23"/>
  <c r="AE493" i="23" s="1"/>
  <c r="AW493" i="23"/>
  <c r="BI492" i="23"/>
  <c r="AE492" i="23" s="1"/>
  <c r="AX492" i="23"/>
  <c r="BC490" i="23"/>
  <c r="BH487" i="23"/>
  <c r="AD487" i="23" s="1"/>
  <c r="BI486" i="23"/>
  <c r="AE486" i="23" s="1"/>
  <c r="AX486" i="23"/>
  <c r="BC486" i="23" s="1"/>
  <c r="BI485" i="23"/>
  <c r="AE485" i="23" s="1"/>
  <c r="AW485" i="23"/>
  <c r="I483" i="23"/>
  <c r="BH483" i="23"/>
  <c r="AD483" i="23" s="1"/>
  <c r="AW483" i="23"/>
  <c r="BH481" i="23"/>
  <c r="AD481" i="23" s="1"/>
  <c r="AW481" i="23"/>
  <c r="J476" i="23"/>
  <c r="BI476" i="23"/>
  <c r="AE476" i="23" s="1"/>
  <c r="AX475" i="23"/>
  <c r="I469" i="23"/>
  <c r="AW469" i="23"/>
  <c r="J464" i="23"/>
  <c r="AX464" i="23"/>
  <c r="BI464" i="23"/>
  <c r="AE464" i="23" s="1"/>
  <c r="I463" i="23"/>
  <c r="AW463" i="23"/>
  <c r="BH463" i="23"/>
  <c r="AD463" i="23" s="1"/>
  <c r="AU457" i="23"/>
  <c r="BC456" i="23"/>
  <c r="I454" i="23"/>
  <c r="AW454" i="23"/>
  <c r="BI453" i="23"/>
  <c r="AE453" i="23" s="1"/>
  <c r="J452" i="23"/>
  <c r="AX452" i="23"/>
  <c r="BI452" i="23"/>
  <c r="AE452" i="23" s="1"/>
  <c r="I449" i="23"/>
  <c r="AW449" i="23"/>
  <c r="BC449" i="23" s="1"/>
  <c r="BH449" i="23"/>
  <c r="AD449" i="23" s="1"/>
  <c r="BH439" i="23"/>
  <c r="AD439" i="23" s="1"/>
  <c r="AW437" i="23"/>
  <c r="BH437" i="23"/>
  <c r="AD437" i="23" s="1"/>
  <c r="BI436" i="23"/>
  <c r="AE436" i="23" s="1"/>
  <c r="AV436" i="23"/>
  <c r="I433" i="23"/>
  <c r="AW433" i="23"/>
  <c r="BC433" i="23" s="1"/>
  <c r="BH433" i="23"/>
  <c r="AD433" i="23" s="1"/>
  <c r="BI432" i="23"/>
  <c r="AE432" i="23" s="1"/>
  <c r="I428" i="23"/>
  <c r="AW428" i="23"/>
  <c r="J417" i="23"/>
  <c r="AX417" i="23"/>
  <c r="BC417" i="23" s="1"/>
  <c r="BI417" i="23"/>
  <c r="AE417" i="23" s="1"/>
  <c r="I416" i="23"/>
  <c r="BH416" i="23"/>
  <c r="AD416" i="23" s="1"/>
  <c r="BI415" i="23"/>
  <c r="AE415" i="23" s="1"/>
  <c r="J414" i="23"/>
  <c r="J391" i="23" s="1"/>
  <c r="F40" i="22" s="1"/>
  <c r="AX414" i="23"/>
  <c r="BI414" i="23"/>
  <c r="AE414" i="23" s="1"/>
  <c r="J410" i="23"/>
  <c r="BI410" i="23"/>
  <c r="AE410" i="23" s="1"/>
  <c r="I407" i="23"/>
  <c r="BH407" i="23"/>
  <c r="AD407" i="23" s="1"/>
  <c r="AW407" i="23"/>
  <c r="BI406" i="23"/>
  <c r="AE406" i="23" s="1"/>
  <c r="J405" i="23"/>
  <c r="AX405" i="23"/>
  <c r="BI405" i="23"/>
  <c r="AE405" i="23" s="1"/>
  <c r="BI402" i="23"/>
  <c r="AE402" i="23" s="1"/>
  <c r="J401" i="23"/>
  <c r="AX401" i="23"/>
  <c r="BI401" i="23"/>
  <c r="AE401" i="23" s="1"/>
  <c r="I397" i="23"/>
  <c r="AW397" i="23"/>
  <c r="BH397" i="23"/>
  <c r="AD397" i="23" s="1"/>
  <c r="BC393" i="23"/>
  <c r="J389" i="23"/>
  <c r="AX389" i="23"/>
  <c r="BI389" i="23"/>
  <c r="AE389" i="23" s="1"/>
  <c r="J386" i="23"/>
  <c r="AX386" i="23"/>
  <c r="BI386" i="23"/>
  <c r="AE386" i="23" s="1"/>
  <c r="BI384" i="23"/>
  <c r="AE384" i="23" s="1"/>
  <c r="I366" i="23"/>
  <c r="BH366" i="23"/>
  <c r="AD366" i="23" s="1"/>
  <c r="AW366" i="23"/>
  <c r="J363" i="23"/>
  <c r="AX363" i="23"/>
  <c r="BI363" i="23"/>
  <c r="AE363" i="23" s="1"/>
  <c r="J359" i="23"/>
  <c r="AX359" i="23"/>
  <c r="BI359" i="23"/>
  <c r="AE359" i="23" s="1"/>
  <c r="I349" i="23"/>
  <c r="AW349" i="23"/>
  <c r="BC349" i="23" s="1"/>
  <c r="BH349" i="23"/>
  <c r="AD349" i="23" s="1"/>
  <c r="BI342" i="23"/>
  <c r="AE342" i="23" s="1"/>
  <c r="J341" i="23"/>
  <c r="AX341" i="23"/>
  <c r="BI341" i="23"/>
  <c r="AE341" i="23" s="1"/>
  <c r="BI340" i="23"/>
  <c r="AE340" i="23" s="1"/>
  <c r="AX340" i="23"/>
  <c r="J334" i="23"/>
  <c r="BI334" i="23"/>
  <c r="AE334" i="23" s="1"/>
  <c r="AS330" i="23"/>
  <c r="I329" i="23"/>
  <c r="BH329" i="23"/>
  <c r="AD329" i="23" s="1"/>
  <c r="BH327" i="23"/>
  <c r="AD327" i="23" s="1"/>
  <c r="J325" i="23"/>
  <c r="AX325" i="23"/>
  <c r="BI325" i="23"/>
  <c r="AE325" i="23" s="1"/>
  <c r="AV323" i="23"/>
  <c r="I311" i="23"/>
  <c r="AW311" i="23"/>
  <c r="BC311" i="23" s="1"/>
  <c r="BH311" i="23"/>
  <c r="AD311" i="23" s="1"/>
  <c r="BI310" i="23"/>
  <c r="AE310" i="23" s="1"/>
  <c r="AV300" i="23"/>
  <c r="I299" i="23"/>
  <c r="AW299" i="23"/>
  <c r="BH299" i="23"/>
  <c r="AD299" i="23" s="1"/>
  <c r="I298" i="23"/>
  <c r="BH298" i="23"/>
  <c r="AD298" i="23" s="1"/>
  <c r="I290" i="23"/>
  <c r="BH290" i="23"/>
  <c r="AD290" i="23" s="1"/>
  <c r="I273" i="23"/>
  <c r="AW273" i="23"/>
  <c r="BC273" i="23" s="1"/>
  <c r="BH273" i="23"/>
  <c r="AD273" i="23" s="1"/>
  <c r="I252" i="23"/>
  <c r="AW252" i="23"/>
  <c r="BH252" i="23"/>
  <c r="AD252" i="23" s="1"/>
  <c r="AX246" i="23"/>
  <c r="I245" i="23"/>
  <c r="BH245" i="23"/>
  <c r="AD245" i="23" s="1"/>
  <c r="J237" i="23"/>
  <c r="BI237" i="23"/>
  <c r="AE237" i="23" s="1"/>
  <c r="I234" i="23"/>
  <c r="BH234" i="23"/>
  <c r="AD234" i="23" s="1"/>
  <c r="AV232" i="23"/>
  <c r="J206" i="23"/>
  <c r="AX206" i="23"/>
  <c r="BC198" i="23"/>
  <c r="AS196" i="23"/>
  <c r="BH179" i="23"/>
  <c r="AW179" i="23"/>
  <c r="I179" i="23"/>
  <c r="AX164" i="23"/>
  <c r="J164" i="23"/>
  <c r="BI164" i="23"/>
  <c r="AC164" i="23" s="1"/>
  <c r="J137" i="23"/>
  <c r="BI137" i="23"/>
  <c r="AC137" i="23" s="1"/>
  <c r="I130" i="23"/>
  <c r="BH130" i="23"/>
  <c r="AB130" i="23" s="1"/>
  <c r="AW130" i="23"/>
  <c r="J110" i="23"/>
  <c r="AX110" i="23"/>
  <c r="BI110" i="23"/>
  <c r="AC110" i="23" s="1"/>
  <c r="I630" i="23"/>
  <c r="I622" i="23"/>
  <c r="C20" i="21"/>
  <c r="J570" i="23"/>
  <c r="BC543" i="23"/>
  <c r="I519" i="23"/>
  <c r="I493" i="23"/>
  <c r="I466" i="23"/>
  <c r="BH466" i="23"/>
  <c r="AD466" i="23" s="1"/>
  <c r="J460" i="23"/>
  <c r="J457" i="23" s="1"/>
  <c r="F42" i="22" s="1"/>
  <c r="AX460" i="23"/>
  <c r="BI460" i="23"/>
  <c r="AE460" i="23" s="1"/>
  <c r="J450" i="23"/>
  <c r="BI450" i="23"/>
  <c r="AE450" i="23" s="1"/>
  <c r="J447" i="23"/>
  <c r="AX447" i="23"/>
  <c r="BI447" i="23"/>
  <c r="AE447" i="23" s="1"/>
  <c r="I442" i="23"/>
  <c r="BH442" i="23"/>
  <c r="AD442" i="23" s="1"/>
  <c r="AW442" i="23"/>
  <c r="I430" i="23"/>
  <c r="AW430" i="23"/>
  <c r="BC430" i="23" s="1"/>
  <c r="BH430" i="23"/>
  <c r="AD430" i="23" s="1"/>
  <c r="I425" i="23"/>
  <c r="AW425" i="23"/>
  <c r="BH373" i="23"/>
  <c r="AD373" i="23" s="1"/>
  <c r="AW372" i="23"/>
  <c r="I372" i="23"/>
  <c r="J361" i="23"/>
  <c r="AX361" i="23"/>
  <c r="AV361" i="23" s="1"/>
  <c r="BI361" i="23"/>
  <c r="AE361" i="23" s="1"/>
  <c r="J352" i="23"/>
  <c r="AX352" i="23"/>
  <c r="BI352" i="23"/>
  <c r="AE352" i="23" s="1"/>
  <c r="I345" i="23"/>
  <c r="AW345" i="23"/>
  <c r="BH345" i="23"/>
  <c r="AD345" i="23" s="1"/>
  <c r="J322" i="23"/>
  <c r="AX322" i="23"/>
  <c r="BI322" i="23"/>
  <c r="AE322" i="23" s="1"/>
  <c r="I314" i="23"/>
  <c r="AW314" i="23"/>
  <c r="BH314" i="23"/>
  <c r="AD314" i="23" s="1"/>
  <c r="I307" i="23"/>
  <c r="BH307" i="23"/>
  <c r="AD307" i="23" s="1"/>
  <c r="AW307" i="23"/>
  <c r="AW292" i="23"/>
  <c r="BH292" i="23"/>
  <c r="AD292" i="23" s="1"/>
  <c r="I265" i="23"/>
  <c r="BH265" i="23"/>
  <c r="AD265" i="23" s="1"/>
  <c r="J259" i="23"/>
  <c r="BI259" i="23"/>
  <c r="AE259" i="23" s="1"/>
  <c r="I255" i="23"/>
  <c r="AW255" i="23"/>
  <c r="BH255" i="23"/>
  <c r="AD255" i="23" s="1"/>
  <c r="BI618" i="23"/>
  <c r="AC618" i="23" s="1"/>
  <c r="J612" i="23"/>
  <c r="J604" i="23"/>
  <c r="J583" i="23"/>
  <c r="J575" i="23"/>
  <c r="BI559" i="23"/>
  <c r="AC559" i="23" s="1"/>
  <c r="J558" i="23"/>
  <c r="J549" i="23"/>
  <c r="I508" i="23"/>
  <c r="I497" i="23"/>
  <c r="I489" i="23"/>
  <c r="I478" i="23"/>
  <c r="AW478" i="23"/>
  <c r="BC478" i="23" s="1"/>
  <c r="BH478" i="23"/>
  <c r="AD478" i="23" s="1"/>
  <c r="J463" i="23"/>
  <c r="AX463" i="23"/>
  <c r="BI463" i="23"/>
  <c r="AE463" i="23" s="1"/>
  <c r="J459" i="23"/>
  <c r="AX459" i="23"/>
  <c r="AV459" i="23" s="1"/>
  <c r="BI459" i="23"/>
  <c r="AE459" i="23" s="1"/>
  <c r="I440" i="23"/>
  <c r="BH440" i="23"/>
  <c r="AD440" i="23" s="1"/>
  <c r="AW440" i="23"/>
  <c r="AV440" i="23" s="1"/>
  <c r="I434" i="23"/>
  <c r="AW434" i="23"/>
  <c r="K420" i="23"/>
  <c r="G41" i="22" s="1"/>
  <c r="I41" i="22" s="1"/>
  <c r="J397" i="23"/>
  <c r="AX397" i="23"/>
  <c r="BI397" i="23"/>
  <c r="AE397" i="23" s="1"/>
  <c r="I394" i="23"/>
  <c r="AW394" i="23"/>
  <c r="BC394" i="23" s="1"/>
  <c r="BH394" i="23"/>
  <c r="AD394" i="23" s="1"/>
  <c r="AU391" i="23"/>
  <c r="AX387" i="23"/>
  <c r="BC387" i="23" s="1"/>
  <c r="BI387" i="23"/>
  <c r="AE387" i="23" s="1"/>
  <c r="J387" i="23"/>
  <c r="AX383" i="23"/>
  <c r="BC383" i="23" s="1"/>
  <c r="BI383" i="23"/>
  <c r="AE383" i="23" s="1"/>
  <c r="J383" i="23"/>
  <c r="I380" i="23"/>
  <c r="BH380" i="23"/>
  <c r="AD380" i="23" s="1"/>
  <c r="AW380" i="23"/>
  <c r="I368" i="23"/>
  <c r="AW368" i="23"/>
  <c r="BH368" i="23"/>
  <c r="AD368" i="23" s="1"/>
  <c r="AV364" i="23"/>
  <c r="BC364" i="23"/>
  <c r="BC356" i="23"/>
  <c r="I350" i="23"/>
  <c r="AW350" i="23"/>
  <c r="BC336" i="23"/>
  <c r="I328" i="23"/>
  <c r="AW328" i="23"/>
  <c r="I318" i="23"/>
  <c r="AW318" i="23"/>
  <c r="BC318" i="23" s="1"/>
  <c r="BH318" i="23"/>
  <c r="AD318" i="23" s="1"/>
  <c r="I312" i="23"/>
  <c r="AW312" i="23"/>
  <c r="BC306" i="23"/>
  <c r="AX299" i="23"/>
  <c r="BI299" i="23"/>
  <c r="AE299" i="23" s="1"/>
  <c r="J299" i="23"/>
  <c r="I295" i="23"/>
  <c r="AW295" i="23"/>
  <c r="BH295" i="23"/>
  <c r="AD295" i="23" s="1"/>
  <c r="J288" i="23"/>
  <c r="J276" i="23"/>
  <c r="AX276" i="23"/>
  <c r="BI276" i="23"/>
  <c r="AE276" i="23" s="1"/>
  <c r="I274" i="23"/>
  <c r="BH274" i="23"/>
  <c r="AD274" i="23" s="1"/>
  <c r="AW274" i="23"/>
  <c r="I267" i="23"/>
  <c r="BH267" i="23"/>
  <c r="AD267" i="23" s="1"/>
  <c r="I199" i="23"/>
  <c r="I196" i="23" s="1"/>
  <c r="E35" i="22" s="1"/>
  <c r="AW199" i="23"/>
  <c r="BC199" i="23" s="1"/>
  <c r="BH199" i="23"/>
  <c r="AD199" i="23" s="1"/>
  <c r="K196" i="23"/>
  <c r="G35" i="22" s="1"/>
  <c r="I35" i="22" s="1"/>
  <c r="I178" i="23"/>
  <c r="BH178" i="23"/>
  <c r="I174" i="23"/>
  <c r="BH174" i="23"/>
  <c r="J165" i="23"/>
  <c r="AX165" i="23"/>
  <c r="BI165" i="23"/>
  <c r="AC165" i="23" s="1"/>
  <c r="AX156" i="23"/>
  <c r="J156" i="23"/>
  <c r="BI156" i="23"/>
  <c r="AC156" i="23" s="1"/>
  <c r="J126" i="23"/>
  <c r="AX126" i="23"/>
  <c r="BI126" i="23"/>
  <c r="AC126" i="23" s="1"/>
  <c r="J114" i="23"/>
  <c r="AX114" i="23"/>
  <c r="BI114" i="23"/>
  <c r="AC114" i="23" s="1"/>
  <c r="I67" i="23"/>
  <c r="AW67" i="23"/>
  <c r="BH67" i="23"/>
  <c r="AB67" i="23" s="1"/>
  <c r="AX60" i="23"/>
  <c r="BI60" i="23"/>
  <c r="AC60" i="23" s="1"/>
  <c r="J60" i="23"/>
  <c r="J59" i="23"/>
  <c r="AX59" i="23"/>
  <c r="BI59" i="23"/>
  <c r="AC59" i="23" s="1"/>
  <c r="AX35" i="23"/>
  <c r="BI35" i="23"/>
  <c r="AC35" i="23" s="1"/>
  <c r="J35" i="23"/>
  <c r="J25" i="23"/>
  <c r="J24" i="23" s="1"/>
  <c r="F14" i="22" s="1"/>
  <c r="AX25" i="23"/>
  <c r="BI25" i="23"/>
  <c r="AC25" i="23" s="1"/>
  <c r="J16" i="23"/>
  <c r="AX16" i="23"/>
  <c r="BI16" i="23"/>
  <c r="AC16" i="23" s="1"/>
  <c r="J14" i="23"/>
  <c r="AX14" i="23"/>
  <c r="BI14" i="23"/>
  <c r="AC14" i="23" s="1"/>
  <c r="I13" i="23"/>
  <c r="AW13" i="23"/>
  <c r="BH679" i="23"/>
  <c r="AB679" i="23" s="1"/>
  <c r="BH678" i="23"/>
  <c r="AB678" i="23" s="1"/>
  <c r="BH677" i="23"/>
  <c r="AB677" i="23" s="1"/>
  <c r="BH675" i="23"/>
  <c r="AB675" i="23" s="1"/>
  <c r="AW675" i="23"/>
  <c r="BC675" i="23" s="1"/>
  <c r="BH674" i="23"/>
  <c r="AB674" i="23" s="1"/>
  <c r="BH673" i="23"/>
  <c r="AB673" i="23" s="1"/>
  <c r="AS672" i="23"/>
  <c r="BH670" i="23"/>
  <c r="AB670" i="23" s="1"/>
  <c r="BI665" i="23"/>
  <c r="AC665" i="23" s="1"/>
  <c r="BI664" i="23"/>
  <c r="AC664" i="23" s="1"/>
  <c r="AW664" i="23"/>
  <c r="BC664" i="23" s="1"/>
  <c r="BI663" i="23"/>
  <c r="AC663" i="23" s="1"/>
  <c r="AX663" i="23"/>
  <c r="BH660" i="23"/>
  <c r="AB660" i="23" s="1"/>
  <c r="BH659" i="23"/>
  <c r="AB659" i="23" s="1"/>
  <c r="BH658" i="23"/>
  <c r="AB658" i="23" s="1"/>
  <c r="BI653" i="23"/>
  <c r="AC653" i="23" s="1"/>
  <c r="BI652" i="23"/>
  <c r="AC652" i="23" s="1"/>
  <c r="J648" i="23"/>
  <c r="BI645" i="23"/>
  <c r="AC645" i="23" s="1"/>
  <c r="BI644" i="23"/>
  <c r="AC644" i="23" s="1"/>
  <c r="AW644" i="23"/>
  <c r="BC644" i="23" s="1"/>
  <c r="BI643" i="23"/>
  <c r="AC643" i="23" s="1"/>
  <c r="AX643" i="23"/>
  <c r="AW642" i="23"/>
  <c r="J640" i="23"/>
  <c r="BI637" i="23"/>
  <c r="AC637" i="23" s="1"/>
  <c r="BI636" i="23"/>
  <c r="AC636" i="23" s="1"/>
  <c r="AV629" i="23"/>
  <c r="J625" i="23"/>
  <c r="BH624" i="23"/>
  <c r="AB624" i="23" s="1"/>
  <c r="AW624" i="23"/>
  <c r="BH623" i="23"/>
  <c r="AB623" i="23" s="1"/>
  <c r="AV621" i="23"/>
  <c r="J617" i="23"/>
  <c r="BH616" i="23"/>
  <c r="AB616" i="23" s="1"/>
  <c r="AW616" i="23"/>
  <c r="BC616" i="23" s="1"/>
  <c r="BH615" i="23"/>
  <c r="AB615" i="23" s="1"/>
  <c r="I614" i="23"/>
  <c r="BI612" i="23"/>
  <c r="AC612" i="23" s="1"/>
  <c r="BI611" i="23"/>
  <c r="AC611" i="23" s="1"/>
  <c r="AX611" i="23"/>
  <c r="BI609" i="23"/>
  <c r="AC609" i="23" s="1"/>
  <c r="AW609" i="23"/>
  <c r="BC609" i="23" s="1"/>
  <c r="I606" i="23"/>
  <c r="BI604" i="23"/>
  <c r="AC604" i="23" s="1"/>
  <c r="BI603" i="23"/>
  <c r="AC603" i="23" s="1"/>
  <c r="AX603" i="23"/>
  <c r="AV601" i="23"/>
  <c r="J597" i="23"/>
  <c r="BH596" i="23"/>
  <c r="AB596" i="23" s="1"/>
  <c r="AW596" i="23"/>
  <c r="BC596" i="23" s="1"/>
  <c r="BH595" i="23"/>
  <c r="AB595" i="23" s="1"/>
  <c r="BH593" i="23"/>
  <c r="AB593" i="23" s="1"/>
  <c r="J593" i="23"/>
  <c r="BH590" i="23"/>
  <c r="AB590" i="23" s="1"/>
  <c r="AU587" i="23"/>
  <c r="BI588" i="23"/>
  <c r="AC588" i="23" s="1"/>
  <c r="AX588" i="23"/>
  <c r="AS587" i="23"/>
  <c r="AU584" i="23"/>
  <c r="BI585" i="23"/>
  <c r="AG585" i="23" s="1"/>
  <c r="AX585" i="23"/>
  <c r="AS584" i="23"/>
  <c r="BI582" i="23"/>
  <c r="AC582" i="23" s="1"/>
  <c r="AX582" i="23"/>
  <c r="BH579" i="23"/>
  <c r="AB579" i="23" s="1"/>
  <c r="J579" i="23"/>
  <c r="BH576" i="23"/>
  <c r="AB576" i="23" s="1"/>
  <c r="BI574" i="23"/>
  <c r="AC574" i="23" s="1"/>
  <c r="AX574" i="23"/>
  <c r="BH571" i="23"/>
  <c r="AB571" i="23" s="1"/>
  <c r="AW570" i="23"/>
  <c r="AV570" i="23" s="1"/>
  <c r="BH569" i="23"/>
  <c r="AB569" i="23" s="1"/>
  <c r="BH566" i="23"/>
  <c r="AB566" i="23" s="1"/>
  <c r="J566" i="23"/>
  <c r="BI564" i="23"/>
  <c r="AC564" i="23" s="1"/>
  <c r="AW564" i="23"/>
  <c r="AV564" i="23" s="1"/>
  <c r="AV563" i="23"/>
  <c r="BH560" i="23"/>
  <c r="AB560" i="23" s="1"/>
  <c r="J560" i="23"/>
  <c r="BI557" i="23"/>
  <c r="AG557" i="23" s="1"/>
  <c r="AX557" i="23"/>
  <c r="AV557" i="23" s="1"/>
  <c r="AX555" i="23"/>
  <c r="AV555" i="23" s="1"/>
  <c r="AV552" i="23"/>
  <c r="I547" i="23"/>
  <c r="AX545" i="23"/>
  <c r="BH543" i="23"/>
  <c r="AD543" i="23" s="1"/>
  <c r="I543" i="23"/>
  <c r="BI538" i="23"/>
  <c r="AX538" i="23"/>
  <c r="BH536" i="23"/>
  <c r="AD536" i="23" s="1"/>
  <c r="I536" i="23"/>
  <c r="AX534" i="23"/>
  <c r="AW533" i="23"/>
  <c r="I532" i="23"/>
  <c r="BI528" i="23"/>
  <c r="AE528" i="23" s="1"/>
  <c r="AX528" i="23"/>
  <c r="AV528" i="23" s="1"/>
  <c r="BI527" i="23"/>
  <c r="AE527" i="23" s="1"/>
  <c r="AW527" i="23"/>
  <c r="BH525" i="23"/>
  <c r="AD525" i="23" s="1"/>
  <c r="BI523" i="23"/>
  <c r="AE523" i="23" s="1"/>
  <c r="AW523" i="23"/>
  <c r="AV523" i="23" s="1"/>
  <c r="BH521" i="23"/>
  <c r="AD521" i="23" s="1"/>
  <c r="BI520" i="23"/>
  <c r="AE520" i="23" s="1"/>
  <c r="AX520" i="23"/>
  <c r="BC520" i="23" s="1"/>
  <c r="J519" i="23"/>
  <c r="AW517" i="23"/>
  <c r="I516" i="23"/>
  <c r="AW510" i="23"/>
  <c r="BI508" i="23"/>
  <c r="AE508" i="23" s="1"/>
  <c r="BH505" i="23"/>
  <c r="AD505" i="23" s="1"/>
  <c r="J504" i="23"/>
  <c r="BH502" i="23"/>
  <c r="AD502" i="23" s="1"/>
  <c r="BI501" i="23"/>
  <c r="AE501" i="23" s="1"/>
  <c r="AX501" i="23"/>
  <c r="BC501" i="23" s="1"/>
  <c r="BI497" i="23"/>
  <c r="AE497" i="23" s="1"/>
  <c r="BI496" i="23"/>
  <c r="AE496" i="23" s="1"/>
  <c r="AX496" i="23"/>
  <c r="BH494" i="23"/>
  <c r="AD494" i="23" s="1"/>
  <c r="J493" i="23"/>
  <c r="AW491" i="23"/>
  <c r="BI489" i="23"/>
  <c r="AE489" i="23" s="1"/>
  <c r="BI488" i="23"/>
  <c r="AE488" i="23" s="1"/>
  <c r="AX488" i="23"/>
  <c r="BH486" i="23"/>
  <c r="AD486" i="23" s="1"/>
  <c r="BH485" i="23"/>
  <c r="AD485" i="23" s="1"/>
  <c r="J485" i="23"/>
  <c r="I476" i="23"/>
  <c r="AW476" i="23"/>
  <c r="BI472" i="23"/>
  <c r="AE472" i="23" s="1"/>
  <c r="J471" i="23"/>
  <c r="AX471" i="23"/>
  <c r="BI471" i="23"/>
  <c r="AE471" i="23" s="1"/>
  <c r="I468" i="23"/>
  <c r="AW468" i="23"/>
  <c r="BC468" i="23" s="1"/>
  <c r="BH468" i="23"/>
  <c r="AD468" i="23" s="1"/>
  <c r="BC460" i="23"/>
  <c r="I455" i="23"/>
  <c r="BH455" i="23"/>
  <c r="AD455" i="23" s="1"/>
  <c r="I452" i="23"/>
  <c r="AW452" i="23"/>
  <c r="BC452" i="23" s="1"/>
  <c r="BH452" i="23"/>
  <c r="AD452" i="23" s="1"/>
  <c r="J445" i="23"/>
  <c r="AX445" i="23"/>
  <c r="BC445" i="23" s="1"/>
  <c r="BI445" i="23"/>
  <c r="AE445" i="23" s="1"/>
  <c r="I444" i="23"/>
  <c r="BH444" i="23"/>
  <c r="AD444" i="23" s="1"/>
  <c r="AW444" i="23"/>
  <c r="AV444" i="23" s="1"/>
  <c r="BI443" i="23"/>
  <c r="AE443" i="23" s="1"/>
  <c r="AX443" i="23"/>
  <c r="AV431" i="23"/>
  <c r="BC431" i="23"/>
  <c r="J430" i="23"/>
  <c r="AX430" i="23"/>
  <c r="BI430" i="23"/>
  <c r="AE430" i="23" s="1"/>
  <c r="J425" i="23"/>
  <c r="BI425" i="23"/>
  <c r="AE425" i="23" s="1"/>
  <c r="I421" i="23"/>
  <c r="BH421" i="23"/>
  <c r="AD421" i="23" s="1"/>
  <c r="AW421" i="23"/>
  <c r="I414" i="23"/>
  <c r="AW414" i="23"/>
  <c r="BC414" i="23" s="1"/>
  <c r="BH414" i="23"/>
  <c r="AD414" i="23" s="1"/>
  <c r="I410" i="23"/>
  <c r="AW410" i="23"/>
  <c r="I405" i="23"/>
  <c r="AW405" i="23"/>
  <c r="BC405" i="23" s="1"/>
  <c r="BH405" i="23"/>
  <c r="AD405" i="23" s="1"/>
  <c r="I401" i="23"/>
  <c r="AW401" i="23"/>
  <c r="BC401" i="23" s="1"/>
  <c r="BH401" i="23"/>
  <c r="AD401" i="23" s="1"/>
  <c r="J395" i="23"/>
  <c r="BI395" i="23"/>
  <c r="AE395" i="23" s="1"/>
  <c r="BI382" i="23"/>
  <c r="AE382" i="23" s="1"/>
  <c r="AX382" i="23"/>
  <c r="BI370" i="23"/>
  <c r="AE370" i="23" s="1"/>
  <c r="J369" i="23"/>
  <c r="AX369" i="23"/>
  <c r="AV369" i="23" s="1"/>
  <c r="BI369" i="23"/>
  <c r="AE369" i="23" s="1"/>
  <c r="J355" i="23"/>
  <c r="AX355" i="23"/>
  <c r="BC355" i="23" s="1"/>
  <c r="BI355" i="23"/>
  <c r="AE355" i="23" s="1"/>
  <c r="BC352" i="23"/>
  <c r="I347" i="23"/>
  <c r="BH347" i="23"/>
  <c r="AD347" i="23" s="1"/>
  <c r="BI346" i="23"/>
  <c r="AE346" i="23" s="1"/>
  <c r="J345" i="23"/>
  <c r="AX345" i="23"/>
  <c r="BI345" i="23"/>
  <c r="AE345" i="23" s="1"/>
  <c r="I341" i="23"/>
  <c r="I330" i="23" s="1"/>
  <c r="E38" i="22" s="1"/>
  <c r="AW341" i="23"/>
  <c r="BC341" i="23" s="1"/>
  <c r="BH341" i="23"/>
  <c r="AD341" i="23" s="1"/>
  <c r="I338" i="23"/>
  <c r="BH338" i="23"/>
  <c r="AD338" i="23" s="1"/>
  <c r="AW338" i="23"/>
  <c r="I334" i="23"/>
  <c r="AW334" i="23"/>
  <c r="BH328" i="23"/>
  <c r="AD328" i="23" s="1"/>
  <c r="BC322" i="23"/>
  <c r="BI315" i="23"/>
  <c r="AE315" i="23" s="1"/>
  <c r="J314" i="23"/>
  <c r="AX314" i="23"/>
  <c r="BI314" i="23"/>
  <c r="AE314" i="23" s="1"/>
  <c r="I309" i="23"/>
  <c r="BH309" i="23"/>
  <c r="AD309" i="23" s="1"/>
  <c r="BI308" i="23"/>
  <c r="AE308" i="23" s="1"/>
  <c r="J305" i="23"/>
  <c r="AX305" i="23"/>
  <c r="BC305" i="23" s="1"/>
  <c r="BI305" i="23"/>
  <c r="AE305" i="23" s="1"/>
  <c r="J303" i="23"/>
  <c r="BI303" i="23"/>
  <c r="AE303" i="23" s="1"/>
  <c r="I301" i="23"/>
  <c r="BH301" i="23"/>
  <c r="AD301" i="23" s="1"/>
  <c r="AW301" i="23"/>
  <c r="BI300" i="23"/>
  <c r="AE300" i="23" s="1"/>
  <c r="J296" i="23"/>
  <c r="AX296" i="23"/>
  <c r="AV296" i="23" s="1"/>
  <c r="BI296" i="23"/>
  <c r="AE296" i="23" s="1"/>
  <c r="J294" i="23"/>
  <c r="AX294" i="23"/>
  <c r="BI294" i="23"/>
  <c r="AE294" i="23" s="1"/>
  <c r="I293" i="23"/>
  <c r="BH293" i="23"/>
  <c r="AD293" i="23" s="1"/>
  <c r="AW293" i="23"/>
  <c r="I292" i="23"/>
  <c r="I283" i="23"/>
  <c r="AW283" i="23"/>
  <c r="BH283" i="23"/>
  <c r="AD283" i="23" s="1"/>
  <c r="BI282" i="23"/>
  <c r="AE282" i="23" s="1"/>
  <c r="AX282" i="23"/>
  <c r="J262" i="23"/>
  <c r="BI262" i="23"/>
  <c r="AE262" i="23" s="1"/>
  <c r="I261" i="23"/>
  <c r="AW261" i="23"/>
  <c r="AV261" i="23" s="1"/>
  <c r="BH261" i="23"/>
  <c r="AD261" i="23" s="1"/>
  <c r="I257" i="23"/>
  <c r="BH257" i="23"/>
  <c r="AD257" i="23" s="1"/>
  <c r="BI256" i="23"/>
  <c r="AE256" i="23" s="1"/>
  <c r="J255" i="23"/>
  <c r="AX255" i="23"/>
  <c r="BI255" i="23"/>
  <c r="AE255" i="23" s="1"/>
  <c r="J250" i="23"/>
  <c r="BI250" i="23"/>
  <c r="AE250" i="23" s="1"/>
  <c r="I248" i="23"/>
  <c r="BH248" i="23"/>
  <c r="AD248" i="23" s="1"/>
  <c r="AW248" i="23"/>
  <c r="AW247" i="23"/>
  <c r="I247" i="23"/>
  <c r="I239" i="23"/>
  <c r="AW239" i="23"/>
  <c r="BH239" i="23"/>
  <c r="AD239" i="23" s="1"/>
  <c r="I237" i="23"/>
  <c r="AW237" i="23"/>
  <c r="J217" i="23"/>
  <c r="J207" i="23" s="1"/>
  <c r="F36" i="22" s="1"/>
  <c r="AX217" i="23"/>
  <c r="BI217" i="23"/>
  <c r="AE217" i="23" s="1"/>
  <c r="I209" i="23"/>
  <c r="BH209" i="23"/>
  <c r="AD209" i="23" s="1"/>
  <c r="BI206" i="23"/>
  <c r="I206" i="23"/>
  <c r="AW206" i="23"/>
  <c r="BC206" i="23" s="1"/>
  <c r="BH206" i="23"/>
  <c r="I167" i="23"/>
  <c r="BH167" i="23"/>
  <c r="AB167" i="23" s="1"/>
  <c r="I166" i="23"/>
  <c r="AW166" i="23"/>
  <c r="I141" i="23"/>
  <c r="BH141" i="23"/>
  <c r="AB141" i="23" s="1"/>
  <c r="AW141" i="23"/>
  <c r="I140" i="23"/>
  <c r="I128" i="23" s="1"/>
  <c r="E30" i="22" s="1"/>
  <c r="BH140" i="23"/>
  <c r="AB140" i="23" s="1"/>
  <c r="AW140" i="23"/>
  <c r="J123" i="23"/>
  <c r="BI123" i="23"/>
  <c r="AC123" i="23" s="1"/>
  <c r="J106" i="23"/>
  <c r="BI106" i="23"/>
  <c r="AC106" i="23" s="1"/>
  <c r="J104" i="23"/>
  <c r="AX104" i="23"/>
  <c r="BI104" i="23"/>
  <c r="AC104" i="23" s="1"/>
  <c r="BI466" i="23"/>
  <c r="AE466" i="23" s="1"/>
  <c r="AX466" i="23"/>
  <c r="BI458" i="23"/>
  <c r="AE458" i="23" s="1"/>
  <c r="AX458" i="23"/>
  <c r="K457" i="23"/>
  <c r="G42" i="22" s="1"/>
  <c r="I42" i="22" s="1"/>
  <c r="AX455" i="23"/>
  <c r="BI444" i="23"/>
  <c r="AE444" i="23" s="1"/>
  <c r="BI442" i="23"/>
  <c r="AE442" i="23" s="1"/>
  <c r="BI440" i="23"/>
  <c r="AE440" i="23" s="1"/>
  <c r="AX437" i="23"/>
  <c r="AT420" i="23"/>
  <c r="BI416" i="23"/>
  <c r="AE416" i="23" s="1"/>
  <c r="AX416" i="23"/>
  <c r="BH400" i="23"/>
  <c r="AD400" i="23" s="1"/>
  <c r="K391" i="23"/>
  <c r="G40" i="22" s="1"/>
  <c r="I40" i="22" s="1"/>
  <c r="BH379" i="23"/>
  <c r="AD379" i="23" s="1"/>
  <c r="J379" i="23"/>
  <c r="BH378" i="23"/>
  <c r="AD378" i="23" s="1"/>
  <c r="J375" i="23"/>
  <c r="BH374" i="23"/>
  <c r="AD374" i="23" s="1"/>
  <c r="BH354" i="23"/>
  <c r="AD354" i="23" s="1"/>
  <c r="BH351" i="23"/>
  <c r="AD351" i="23" s="1"/>
  <c r="BI347" i="23"/>
  <c r="AE347" i="23" s="1"/>
  <c r="AX347" i="23"/>
  <c r="BH344" i="23"/>
  <c r="AD344" i="23" s="1"/>
  <c r="BI338" i="23"/>
  <c r="AE338" i="23" s="1"/>
  <c r="BH333" i="23"/>
  <c r="AD333" i="23" s="1"/>
  <c r="K330" i="23"/>
  <c r="G38" i="22" s="1"/>
  <c r="I38" i="22" s="1"/>
  <c r="BI329" i="23"/>
  <c r="AE329" i="23" s="1"/>
  <c r="AX329" i="23"/>
  <c r="BH324" i="23"/>
  <c r="AD324" i="23" s="1"/>
  <c r="BI321" i="23"/>
  <c r="AE321" i="23" s="1"/>
  <c r="AX321" i="23"/>
  <c r="BH317" i="23"/>
  <c r="AD317" i="23" s="1"/>
  <c r="BH313" i="23"/>
  <c r="AD313" i="23" s="1"/>
  <c r="BI309" i="23"/>
  <c r="AE309" i="23" s="1"/>
  <c r="AX309" i="23"/>
  <c r="BI307" i="23"/>
  <c r="AE307" i="23" s="1"/>
  <c r="BH304" i="23"/>
  <c r="AD304" i="23" s="1"/>
  <c r="BH302" i="23"/>
  <c r="AD302" i="23" s="1"/>
  <c r="BI301" i="23"/>
  <c r="AE301" i="23" s="1"/>
  <c r="BI298" i="23"/>
  <c r="AE298" i="23" s="1"/>
  <c r="AX298" i="23"/>
  <c r="AX295" i="23"/>
  <c r="BH291" i="23"/>
  <c r="AD291" i="23" s="1"/>
  <c r="AX291" i="23"/>
  <c r="BC291" i="23" s="1"/>
  <c r="BI291" i="23"/>
  <c r="AE291" i="23" s="1"/>
  <c r="J289" i="23"/>
  <c r="BI289" i="23"/>
  <c r="AE289" i="23" s="1"/>
  <c r="I289" i="23"/>
  <c r="AW288" i="23"/>
  <c r="BH288" i="23"/>
  <c r="AD288" i="23" s="1"/>
  <c r="I288" i="23"/>
  <c r="J286" i="23"/>
  <c r="AX286" i="23"/>
  <c r="BI286" i="23"/>
  <c r="AE286" i="23" s="1"/>
  <c r="BI285" i="23"/>
  <c r="AE285" i="23" s="1"/>
  <c r="AX284" i="23"/>
  <c r="AV284" i="23" s="1"/>
  <c r="BI284" i="23"/>
  <c r="AE284" i="23" s="1"/>
  <c r="J284" i="23"/>
  <c r="J280" i="23"/>
  <c r="AX280" i="23"/>
  <c r="BI280" i="23"/>
  <c r="AE280" i="23" s="1"/>
  <c r="AV272" i="23"/>
  <c r="I271" i="23"/>
  <c r="BH271" i="23"/>
  <c r="AD271" i="23" s="1"/>
  <c r="BI270" i="23"/>
  <c r="AE270" i="23" s="1"/>
  <c r="I259" i="23"/>
  <c r="AW259" i="23"/>
  <c r="J253" i="23"/>
  <c r="AX253" i="23"/>
  <c r="BI253" i="23"/>
  <c r="AE253" i="23" s="1"/>
  <c r="I250" i="23"/>
  <c r="AW250" i="23"/>
  <c r="I236" i="23"/>
  <c r="AW236" i="23"/>
  <c r="BH236" i="23"/>
  <c r="AD236" i="23" s="1"/>
  <c r="AX231" i="23"/>
  <c r="BI231" i="23"/>
  <c r="AE231" i="23" s="1"/>
  <c r="J231" i="23"/>
  <c r="I222" i="23"/>
  <c r="BH222" i="23"/>
  <c r="AD222" i="23" s="1"/>
  <c r="I220" i="23"/>
  <c r="I218" i="23"/>
  <c r="BH218" i="23"/>
  <c r="AD218" i="23" s="1"/>
  <c r="BC214" i="23"/>
  <c r="J203" i="23"/>
  <c r="I193" i="23"/>
  <c r="BH193" i="23"/>
  <c r="AD193" i="23" s="1"/>
  <c r="AW193" i="23"/>
  <c r="AS190" i="23"/>
  <c r="AK189" i="23"/>
  <c r="AT188" i="23" s="1"/>
  <c r="J186" i="23"/>
  <c r="BI183" i="23"/>
  <c r="AX160" i="23"/>
  <c r="BI160" i="23"/>
  <c r="AC160" i="23" s="1"/>
  <c r="J160" i="23"/>
  <c r="AX155" i="23"/>
  <c r="BI155" i="23"/>
  <c r="AC155" i="23" s="1"/>
  <c r="I150" i="23"/>
  <c r="I148" i="23" s="1"/>
  <c r="E31" i="22" s="1"/>
  <c r="BH150" i="23"/>
  <c r="AB150" i="23" s="1"/>
  <c r="AW150" i="23"/>
  <c r="J143" i="23"/>
  <c r="BI143" i="23"/>
  <c r="AC143" i="23" s="1"/>
  <c r="I134" i="23"/>
  <c r="AW134" i="23"/>
  <c r="BI133" i="23"/>
  <c r="AC133" i="23" s="1"/>
  <c r="I126" i="23"/>
  <c r="I117" i="23" s="1"/>
  <c r="E29" i="22" s="1"/>
  <c r="AW126" i="23"/>
  <c r="BH126" i="23"/>
  <c r="AB126" i="23" s="1"/>
  <c r="I121" i="23"/>
  <c r="AW121" i="23"/>
  <c r="BC121" i="23" s="1"/>
  <c r="J119" i="23"/>
  <c r="BI119" i="23"/>
  <c r="AC119" i="23" s="1"/>
  <c r="I118" i="23"/>
  <c r="BH118" i="23"/>
  <c r="AB118" i="23" s="1"/>
  <c r="AW118" i="23"/>
  <c r="BH116" i="23"/>
  <c r="AB116" i="23" s="1"/>
  <c r="AW116" i="23"/>
  <c r="J108" i="23"/>
  <c r="AX54" i="23"/>
  <c r="BI54" i="23"/>
  <c r="AC54" i="23" s="1"/>
  <c r="J54" i="23"/>
  <c r="I51" i="23"/>
  <c r="AW51" i="23"/>
  <c r="J47" i="23"/>
  <c r="J46" i="23" s="1"/>
  <c r="F20" i="22" s="1"/>
  <c r="AX47" i="23"/>
  <c r="BI47" i="23"/>
  <c r="AC47" i="23" s="1"/>
  <c r="J36" i="23"/>
  <c r="AX36" i="23"/>
  <c r="BI36" i="23"/>
  <c r="AC36" i="23" s="1"/>
  <c r="I35" i="23"/>
  <c r="I34" i="23" s="1"/>
  <c r="E17" i="22" s="1"/>
  <c r="AW35" i="23"/>
  <c r="AX26" i="23"/>
  <c r="BI26" i="23"/>
  <c r="AC26" i="23" s="1"/>
  <c r="J26" i="23"/>
  <c r="AX23" i="23"/>
  <c r="J23" i="23"/>
  <c r="J22" i="23"/>
  <c r="AX22" i="23"/>
  <c r="BI22" i="23"/>
  <c r="AC22" i="23" s="1"/>
  <c r="AS20" i="23"/>
  <c r="AX17" i="23"/>
  <c r="BI17" i="23"/>
  <c r="AC17" i="23" s="1"/>
  <c r="J17" i="23"/>
  <c r="AW14" i="23"/>
  <c r="BH14" i="23"/>
  <c r="AB14" i="23" s="1"/>
  <c r="I14" i="23"/>
  <c r="J481" i="23"/>
  <c r="AW464" i="23"/>
  <c r="AS457" i="23"/>
  <c r="BC444" i="23"/>
  <c r="BC440" i="23"/>
  <c r="AS420" i="23"/>
  <c r="AS391" i="23"/>
  <c r="BI364" i="23"/>
  <c r="AE364" i="23" s="1"/>
  <c r="AU330" i="23"/>
  <c r="I269" i="23"/>
  <c r="BH269" i="23"/>
  <c r="AD269" i="23" s="1"/>
  <c r="BC268" i="23"/>
  <c r="I263" i="23"/>
  <c r="BH263" i="23"/>
  <c r="AD263" i="23" s="1"/>
  <c r="J261" i="23"/>
  <c r="AX261" i="23"/>
  <c r="BI261" i="23"/>
  <c r="AE261" i="23" s="1"/>
  <c r="J252" i="23"/>
  <c r="AX252" i="23"/>
  <c r="J240" i="23"/>
  <c r="AX240" i="23"/>
  <c r="BI240" i="23"/>
  <c r="AE240" i="23" s="1"/>
  <c r="I231" i="23"/>
  <c r="AW231" i="23"/>
  <c r="BC231" i="23" s="1"/>
  <c r="J230" i="23"/>
  <c r="AX230" i="23"/>
  <c r="BI230" i="23"/>
  <c r="AE230" i="23" s="1"/>
  <c r="AW224" i="23"/>
  <c r="I224" i="23"/>
  <c r="I203" i="23"/>
  <c r="AW203" i="23"/>
  <c r="BC203" i="23" s="1"/>
  <c r="BH203" i="23"/>
  <c r="AD203" i="23" s="1"/>
  <c r="I201" i="23"/>
  <c r="BH201" i="23"/>
  <c r="AD201" i="23" s="1"/>
  <c r="I200" i="23"/>
  <c r="BH200" i="23"/>
  <c r="AD200" i="23" s="1"/>
  <c r="AW200" i="23"/>
  <c r="AX189" i="23"/>
  <c r="BC189" i="23" s="1"/>
  <c r="BI189" i="23"/>
  <c r="J189" i="23"/>
  <c r="J188" i="23" s="1"/>
  <c r="F33" i="22" s="1"/>
  <c r="I186" i="23"/>
  <c r="AW186" i="23"/>
  <c r="BC186" i="23" s="1"/>
  <c r="BH186" i="23"/>
  <c r="J185" i="23"/>
  <c r="AX185" i="23"/>
  <c r="BI185" i="23"/>
  <c r="J166" i="23"/>
  <c r="BI166" i="23"/>
  <c r="AC166" i="23" s="1"/>
  <c r="I163" i="23"/>
  <c r="BH163" i="23"/>
  <c r="AB163" i="23" s="1"/>
  <c r="AX159" i="23"/>
  <c r="BI159" i="23"/>
  <c r="AC159" i="23" s="1"/>
  <c r="J159" i="23"/>
  <c r="J142" i="23"/>
  <c r="AX142" i="23"/>
  <c r="AV142" i="23" s="1"/>
  <c r="BI142" i="23"/>
  <c r="AC142" i="23" s="1"/>
  <c r="I138" i="23"/>
  <c r="AW138" i="23"/>
  <c r="I129" i="23"/>
  <c r="AW129" i="23"/>
  <c r="BH129" i="23"/>
  <c r="AB129" i="23" s="1"/>
  <c r="I127" i="23"/>
  <c r="BH127" i="23"/>
  <c r="AB127" i="23" s="1"/>
  <c r="AW127" i="23"/>
  <c r="I125" i="23"/>
  <c r="AW125" i="23"/>
  <c r="BC125" i="23" s="1"/>
  <c r="BH125" i="23"/>
  <c r="AB125" i="23" s="1"/>
  <c r="I115" i="23"/>
  <c r="AW115" i="23"/>
  <c r="BH115" i="23"/>
  <c r="AB115" i="23" s="1"/>
  <c r="J107" i="23"/>
  <c r="AX107" i="23"/>
  <c r="BI107" i="23"/>
  <c r="AC107" i="23" s="1"/>
  <c r="K105" i="23"/>
  <c r="G27" i="22" s="1"/>
  <c r="I27" i="22" s="1"/>
  <c r="I101" i="23"/>
  <c r="BH101" i="23"/>
  <c r="AB101" i="23" s="1"/>
  <c r="AU99" i="23"/>
  <c r="K99" i="23"/>
  <c r="G25" i="22" s="1"/>
  <c r="I25" i="22" s="1"/>
  <c r="AX96" i="23"/>
  <c r="J96" i="23"/>
  <c r="AW94" i="23"/>
  <c r="BC94" i="23" s="1"/>
  <c r="I94" i="23"/>
  <c r="BH94" i="23"/>
  <c r="AB94" i="23" s="1"/>
  <c r="I79" i="23"/>
  <c r="BH79" i="23"/>
  <c r="AB79" i="23" s="1"/>
  <c r="AW79" i="23"/>
  <c r="BH68" i="23"/>
  <c r="AB68" i="23" s="1"/>
  <c r="AW68" i="23"/>
  <c r="I68" i="23"/>
  <c r="AX67" i="23"/>
  <c r="BI67" i="23"/>
  <c r="AC67" i="23" s="1"/>
  <c r="J67" i="23"/>
  <c r="I63" i="23"/>
  <c r="AW63" i="23"/>
  <c r="BC63" i="23" s="1"/>
  <c r="BH63" i="23"/>
  <c r="AB63" i="23" s="1"/>
  <c r="BC60" i="23"/>
  <c r="I56" i="23"/>
  <c r="AW56" i="23"/>
  <c r="BH56" i="23"/>
  <c r="AB56" i="23" s="1"/>
  <c r="I54" i="23"/>
  <c r="AW54" i="23"/>
  <c r="AW36" i="23"/>
  <c r="BH36" i="23"/>
  <c r="AB36" i="23" s="1"/>
  <c r="I36" i="23"/>
  <c r="I29" i="23"/>
  <c r="BH29" i="23"/>
  <c r="AB29" i="23" s="1"/>
  <c r="AW29" i="23"/>
  <c r="J27" i="23"/>
  <c r="AX27" i="23"/>
  <c r="BI27" i="23"/>
  <c r="AC27" i="23" s="1"/>
  <c r="I26" i="23"/>
  <c r="AW26" i="23"/>
  <c r="BC26" i="23" s="1"/>
  <c r="BH278" i="23"/>
  <c r="AD278" i="23" s="1"/>
  <c r="BI274" i="23"/>
  <c r="AE274" i="23" s="1"/>
  <c r="BI271" i="23"/>
  <c r="AE271" i="23" s="1"/>
  <c r="AX271" i="23"/>
  <c r="BI269" i="23"/>
  <c r="AE269" i="23" s="1"/>
  <c r="AX269" i="23"/>
  <c r="AX267" i="23"/>
  <c r="BH249" i="23"/>
  <c r="AD249" i="23" s="1"/>
  <c r="BI248" i="23"/>
  <c r="AE248" i="23" s="1"/>
  <c r="I246" i="23"/>
  <c r="AW246" i="23"/>
  <c r="BC246" i="23" s="1"/>
  <c r="BH246" i="23"/>
  <c r="AD246" i="23" s="1"/>
  <c r="J241" i="23"/>
  <c r="BI241" i="23"/>
  <c r="AE241" i="23" s="1"/>
  <c r="AX239" i="23"/>
  <c r="I238" i="23"/>
  <c r="BH238" i="23"/>
  <c r="AD238" i="23" s="1"/>
  <c r="I235" i="23"/>
  <c r="AW235" i="23"/>
  <c r="BH235" i="23"/>
  <c r="AD235" i="23" s="1"/>
  <c r="J233" i="23"/>
  <c r="BI233" i="23"/>
  <c r="AE233" i="23" s="1"/>
  <c r="I232" i="23"/>
  <c r="BI228" i="23"/>
  <c r="AE228" i="23" s="1"/>
  <c r="BH227" i="23"/>
  <c r="AD227" i="23" s="1"/>
  <c r="J227" i="23"/>
  <c r="I219" i="23"/>
  <c r="BI209" i="23"/>
  <c r="AE209" i="23" s="1"/>
  <c r="AX209" i="23"/>
  <c r="J204" i="23"/>
  <c r="BI204" i="23"/>
  <c r="AE204" i="23" s="1"/>
  <c r="I204" i="23"/>
  <c r="BI201" i="23"/>
  <c r="AE201" i="23" s="1"/>
  <c r="AX201" i="23"/>
  <c r="BH195" i="23"/>
  <c r="J195" i="23"/>
  <c r="AX195" i="23"/>
  <c r="BC195" i="23" s="1"/>
  <c r="BI195" i="23"/>
  <c r="I187" i="23"/>
  <c r="I175" i="23"/>
  <c r="AX151" i="23"/>
  <c r="BI151" i="23"/>
  <c r="AC151" i="23" s="1"/>
  <c r="J151" i="23"/>
  <c r="AU148" i="23"/>
  <c r="J144" i="23"/>
  <c r="AX144" i="23"/>
  <c r="BI144" i="23"/>
  <c r="AC144" i="23" s="1"/>
  <c r="BC139" i="23"/>
  <c r="BH136" i="23"/>
  <c r="AB136" i="23" s="1"/>
  <c r="J136" i="23"/>
  <c r="AX136" i="23"/>
  <c r="BI136" i="23"/>
  <c r="AC136" i="23" s="1"/>
  <c r="J132" i="23"/>
  <c r="AX132" i="23"/>
  <c r="BC132" i="23" s="1"/>
  <c r="BI132" i="23"/>
  <c r="AC132" i="23" s="1"/>
  <c r="K117" i="23"/>
  <c r="G29" i="22" s="1"/>
  <c r="I29" i="22" s="1"/>
  <c r="AX115" i="23"/>
  <c r="I111" i="23"/>
  <c r="BH111" i="23"/>
  <c r="AB111" i="23" s="1"/>
  <c r="AU109" i="23"/>
  <c r="K109" i="23"/>
  <c r="G28" i="22" s="1"/>
  <c r="I28" i="22" s="1"/>
  <c r="J100" i="23"/>
  <c r="BI100" i="23"/>
  <c r="AC100" i="23" s="1"/>
  <c r="I95" i="23"/>
  <c r="BH95" i="23"/>
  <c r="AB95" i="23" s="1"/>
  <c r="J93" i="23"/>
  <c r="I76" i="23"/>
  <c r="AW76" i="23"/>
  <c r="AX72" i="23"/>
  <c r="BI72" i="23"/>
  <c r="AC72" i="23" s="1"/>
  <c r="J70" i="23"/>
  <c r="AX70" i="23"/>
  <c r="BI70" i="23"/>
  <c r="AC70" i="23" s="1"/>
  <c r="AW55" i="23"/>
  <c r="BH55" i="23"/>
  <c r="AB55" i="23" s="1"/>
  <c r="I17" i="23"/>
  <c r="AW17" i="23"/>
  <c r="J247" i="23"/>
  <c r="AX247" i="23"/>
  <c r="BI247" i="23"/>
  <c r="AE247" i="23" s="1"/>
  <c r="I241" i="23"/>
  <c r="AW241" i="23"/>
  <c r="I233" i="23"/>
  <c r="AW233" i="23"/>
  <c r="J226" i="23"/>
  <c r="AX226" i="23"/>
  <c r="BI226" i="23"/>
  <c r="AE226" i="23" s="1"/>
  <c r="I211" i="23"/>
  <c r="BH211" i="23"/>
  <c r="AD211" i="23" s="1"/>
  <c r="I202" i="23"/>
  <c r="AW202" i="23"/>
  <c r="BC202" i="23" s="1"/>
  <c r="BH202" i="23"/>
  <c r="AD202" i="23" s="1"/>
  <c r="AU190" i="23"/>
  <c r="K190" i="23"/>
  <c r="G34" i="22" s="1"/>
  <c r="I34" i="22" s="1"/>
  <c r="AW169" i="23"/>
  <c r="BH169" i="23"/>
  <c r="AB169" i="23" s="1"/>
  <c r="I169" i="23"/>
  <c r="J141" i="23"/>
  <c r="AX141" i="23"/>
  <c r="J138" i="23"/>
  <c r="BI138" i="23"/>
  <c r="AC138" i="23" s="1"/>
  <c r="J134" i="23"/>
  <c r="BI134" i="23"/>
  <c r="AC134" i="23" s="1"/>
  <c r="J122" i="23"/>
  <c r="AX122" i="23"/>
  <c r="BC122" i="23" s="1"/>
  <c r="BI122" i="23"/>
  <c r="AC122" i="23" s="1"/>
  <c r="J118" i="23"/>
  <c r="AX118" i="23"/>
  <c r="AV118" i="23" s="1"/>
  <c r="BI118" i="23"/>
  <c r="AC118" i="23" s="1"/>
  <c r="AS117" i="23"/>
  <c r="I112" i="23"/>
  <c r="I102" i="23"/>
  <c r="E26" i="22" s="1"/>
  <c r="I100" i="23"/>
  <c r="AW100" i="23"/>
  <c r="J90" i="23"/>
  <c r="AX90" i="23"/>
  <c r="AV90" i="23" s="1"/>
  <c r="BI90" i="23"/>
  <c r="AC90" i="23" s="1"/>
  <c r="BH80" i="23"/>
  <c r="AB80" i="23" s="1"/>
  <c r="AW80" i="23"/>
  <c r="J66" i="23"/>
  <c r="AX66" i="23"/>
  <c r="BI66" i="23"/>
  <c r="AC66" i="23" s="1"/>
  <c r="AX57" i="23"/>
  <c r="AV57" i="23" s="1"/>
  <c r="J57" i="23"/>
  <c r="J52" i="23" s="1"/>
  <c r="F22" i="22" s="1"/>
  <c r="AX51" i="23"/>
  <c r="BI51" i="23"/>
  <c r="AC51" i="23" s="1"/>
  <c r="J51" i="23"/>
  <c r="J41" i="23"/>
  <c r="AX41" i="23"/>
  <c r="BI41" i="23"/>
  <c r="AC41" i="23" s="1"/>
  <c r="I40" i="23"/>
  <c r="AW40" i="23"/>
  <c r="AS34" i="23"/>
  <c r="AW30" i="23"/>
  <c r="BH30" i="23"/>
  <c r="AB30" i="23" s="1"/>
  <c r="I30" i="23"/>
  <c r="AX13" i="23"/>
  <c r="BI13" i="23"/>
  <c r="AC13" i="23" s="1"/>
  <c r="J13" i="23"/>
  <c r="J223" i="23"/>
  <c r="J219" i="23"/>
  <c r="AU171" i="23"/>
  <c r="AS171" i="23"/>
  <c r="I161" i="23"/>
  <c r="I157" i="23"/>
  <c r="I153" i="23"/>
  <c r="K148" i="23"/>
  <c r="G31" i="22" s="1"/>
  <c r="I31" i="22" s="1"/>
  <c r="AS148" i="23"/>
  <c r="I146" i="23"/>
  <c r="AU117" i="23"/>
  <c r="AS109" i="23"/>
  <c r="AU105" i="23"/>
  <c r="K102" i="23"/>
  <c r="G26" i="22" s="1"/>
  <c r="I26" i="22" s="1"/>
  <c r="AS99" i="23"/>
  <c r="AX89" i="23"/>
  <c r="J89" i="23"/>
  <c r="AW74" i="23"/>
  <c r="BH74" i="23"/>
  <c r="AB74" i="23" s="1"/>
  <c r="I72" i="23"/>
  <c r="AW72" i="23"/>
  <c r="AV72" i="23" s="1"/>
  <c r="I62" i="23"/>
  <c r="BH62" i="23"/>
  <c r="AB62" i="23" s="1"/>
  <c r="AX56" i="23"/>
  <c r="BI56" i="23"/>
  <c r="AC56" i="23" s="1"/>
  <c r="J56" i="23"/>
  <c r="I49" i="23"/>
  <c r="BH49" i="23"/>
  <c r="AB49" i="23" s="1"/>
  <c r="AW49" i="23"/>
  <c r="AU42" i="23"/>
  <c r="AT42" i="23"/>
  <c r="K34" i="23"/>
  <c r="G17" i="22" s="1"/>
  <c r="I17" i="22" s="1"/>
  <c r="AK35" i="23"/>
  <c r="AT34" i="23" s="1"/>
  <c r="K20" i="23"/>
  <c r="G13" i="22" s="1"/>
  <c r="I13" i="22" s="1"/>
  <c r="AS12" i="23"/>
  <c r="I90" i="23"/>
  <c r="AX62" i="23"/>
  <c r="I58" i="23"/>
  <c r="AU48" i="23"/>
  <c r="AX50" i="23"/>
  <c r="AS42" i="23"/>
  <c r="AU34" i="23"/>
  <c r="BC33" i="23"/>
  <c r="I33" i="23"/>
  <c r="I32" i="23" s="1"/>
  <c r="E16" i="22" s="1"/>
  <c r="BI30" i="23"/>
  <c r="AC30" i="23" s="1"/>
  <c r="AX30" i="23"/>
  <c r="BI29" i="23"/>
  <c r="AC29" i="23" s="1"/>
  <c r="AU12" i="23"/>
  <c r="BI84" i="23"/>
  <c r="AC84" i="23" s="1"/>
  <c r="AX84" i="23"/>
  <c r="BC84" i="23" s="1"/>
  <c r="J83" i="23"/>
  <c r="AS48" i="23"/>
  <c r="J45" i="23"/>
  <c r="BC39" i="23"/>
  <c r="I39" i="23"/>
  <c r="J38" i="23"/>
  <c r="K28" i="23"/>
  <c r="G15" i="22" s="1"/>
  <c r="I15" i="22" s="1"/>
  <c r="AS24" i="23"/>
  <c r="AU20" i="23"/>
  <c r="BI562" i="19"/>
  <c r="AC562" i="19" s="1"/>
  <c r="BH560" i="19"/>
  <c r="AB560" i="19" s="1"/>
  <c r="BH548" i="19"/>
  <c r="AB548" i="19" s="1"/>
  <c r="I520" i="19"/>
  <c r="AW520" i="19"/>
  <c r="J496" i="19"/>
  <c r="BI496" i="19"/>
  <c r="AC496" i="19" s="1"/>
  <c r="J489" i="19"/>
  <c r="BI489" i="19"/>
  <c r="AC489" i="19" s="1"/>
  <c r="I478" i="19"/>
  <c r="BH478" i="19"/>
  <c r="AB478" i="19" s="1"/>
  <c r="AW478" i="19"/>
  <c r="J417" i="19"/>
  <c r="AX417" i="19"/>
  <c r="J395" i="19"/>
  <c r="AX395" i="19"/>
  <c r="J372" i="19"/>
  <c r="BI372" i="19"/>
  <c r="AE372" i="19" s="1"/>
  <c r="I364" i="19"/>
  <c r="BH364" i="19"/>
  <c r="AD364" i="19" s="1"/>
  <c r="AW364" i="19"/>
  <c r="AK171" i="19"/>
  <c r="AT170" i="19" s="1"/>
  <c r="K170" i="19"/>
  <c r="G33" i="18" s="1"/>
  <c r="I33" i="18" s="1"/>
  <c r="J162" i="19"/>
  <c r="AX162" i="19"/>
  <c r="I51" i="19"/>
  <c r="BH51" i="19"/>
  <c r="AB51" i="19" s="1"/>
  <c r="AW51" i="19"/>
  <c r="BH584" i="19"/>
  <c r="AB584" i="19" s="1"/>
  <c r="AX583" i="19"/>
  <c r="AW558" i="19"/>
  <c r="AW546" i="19"/>
  <c r="BI536" i="19"/>
  <c r="AC536" i="19" s="1"/>
  <c r="BH525" i="19"/>
  <c r="AB525" i="19" s="1"/>
  <c r="BI522" i="19"/>
  <c r="AC522" i="19" s="1"/>
  <c r="I433" i="19"/>
  <c r="BH433" i="19"/>
  <c r="AD433" i="19" s="1"/>
  <c r="AW433" i="19"/>
  <c r="BI417" i="19"/>
  <c r="AE417" i="19" s="1"/>
  <c r="I396" i="19"/>
  <c r="BH396" i="19"/>
  <c r="AD396" i="19" s="1"/>
  <c r="AW396" i="19"/>
  <c r="BI395" i="19"/>
  <c r="AE395" i="19" s="1"/>
  <c r="J343" i="19"/>
  <c r="AX343" i="19"/>
  <c r="BI343" i="19"/>
  <c r="AE343" i="19" s="1"/>
  <c r="AW340" i="19"/>
  <c r="I340" i="19"/>
  <c r="I302" i="19"/>
  <c r="BH302" i="19"/>
  <c r="AD302" i="19" s="1"/>
  <c r="AW302" i="19"/>
  <c r="BH290" i="19"/>
  <c r="AD290" i="19" s="1"/>
  <c r="I290" i="19"/>
  <c r="AW276" i="19"/>
  <c r="I276" i="19"/>
  <c r="J229" i="19"/>
  <c r="AX229" i="19"/>
  <c r="AW174" i="19"/>
  <c r="I174" i="19"/>
  <c r="I167" i="19"/>
  <c r="BH167" i="19"/>
  <c r="AW167" i="19"/>
  <c r="BI162" i="19"/>
  <c r="J148" i="19"/>
  <c r="AX148" i="19"/>
  <c r="BI148" i="19"/>
  <c r="AC148" i="19" s="1"/>
  <c r="J138" i="19"/>
  <c r="AX138" i="19"/>
  <c r="BC138" i="19" s="1"/>
  <c r="AW568" i="19"/>
  <c r="AW553" i="19"/>
  <c r="I503" i="19"/>
  <c r="BH503" i="19"/>
  <c r="AB503" i="19" s="1"/>
  <c r="AW503" i="19"/>
  <c r="J491" i="19"/>
  <c r="AX491" i="19"/>
  <c r="I481" i="19"/>
  <c r="AW481" i="19"/>
  <c r="J469" i="19"/>
  <c r="AX469" i="19"/>
  <c r="J405" i="19"/>
  <c r="AX405" i="19"/>
  <c r="I381" i="19"/>
  <c r="BH381" i="19"/>
  <c r="AD381" i="19" s="1"/>
  <c r="AW381" i="19"/>
  <c r="J309" i="19"/>
  <c r="BI309" i="19"/>
  <c r="AE309" i="19" s="1"/>
  <c r="J251" i="19"/>
  <c r="AX251" i="19"/>
  <c r="BC251" i="19" s="1"/>
  <c r="BI251" i="19"/>
  <c r="AE251" i="19" s="1"/>
  <c r="I238" i="19"/>
  <c r="AW238" i="19"/>
  <c r="BH238" i="19"/>
  <c r="AD238" i="19" s="1"/>
  <c r="BI229" i="19"/>
  <c r="AE229" i="19" s="1"/>
  <c r="J214" i="19"/>
  <c r="AX214" i="19"/>
  <c r="BI138" i="19"/>
  <c r="AC138" i="19" s="1"/>
  <c r="I59" i="19"/>
  <c r="BH59" i="19"/>
  <c r="AB59" i="19" s="1"/>
  <c r="AW59" i="19"/>
  <c r="I52" i="19"/>
  <c r="I49" i="19" s="1"/>
  <c r="E22" i="18" s="1"/>
  <c r="BH52" i="19"/>
  <c r="AB52" i="19" s="1"/>
  <c r="AW52" i="19"/>
  <c r="I505" i="19"/>
  <c r="AW505" i="19"/>
  <c r="AX443" i="19"/>
  <c r="BI443" i="19"/>
  <c r="AE443" i="19" s="1"/>
  <c r="BH441" i="19"/>
  <c r="AD441" i="19" s="1"/>
  <c r="I439" i="19"/>
  <c r="AW439" i="19"/>
  <c r="BH439" i="19"/>
  <c r="AD439" i="19" s="1"/>
  <c r="I352" i="19"/>
  <c r="BH352" i="19"/>
  <c r="AD352" i="19" s="1"/>
  <c r="AW352" i="19"/>
  <c r="I326" i="19"/>
  <c r="BH326" i="19"/>
  <c r="AD326" i="19" s="1"/>
  <c r="AW326" i="19"/>
  <c r="J219" i="19"/>
  <c r="AX219" i="19"/>
  <c r="BI219" i="19"/>
  <c r="AE219" i="19" s="1"/>
  <c r="BH199" i="19"/>
  <c r="AD199" i="19" s="1"/>
  <c r="J147" i="19"/>
  <c r="BI147" i="19"/>
  <c r="AC147" i="19" s="1"/>
  <c r="I130" i="19"/>
  <c r="AW130" i="19"/>
  <c r="BC130" i="19" s="1"/>
  <c r="BH130" i="19"/>
  <c r="AB130" i="19" s="1"/>
  <c r="I116" i="19"/>
  <c r="BH116" i="19"/>
  <c r="AB116" i="19" s="1"/>
  <c r="AW116" i="19"/>
  <c r="AW593" i="19"/>
  <c r="BI578" i="19"/>
  <c r="AC578" i="19" s="1"/>
  <c r="BH568" i="19"/>
  <c r="AB568" i="19" s="1"/>
  <c r="BI563" i="19"/>
  <c r="AC563" i="19" s="1"/>
  <c r="AX563" i="19"/>
  <c r="BH553" i="19"/>
  <c r="AB553" i="19" s="1"/>
  <c r="BI551" i="19"/>
  <c r="AC551" i="19" s="1"/>
  <c r="AX551" i="19"/>
  <c r="AX495" i="19"/>
  <c r="BI495" i="19"/>
  <c r="AC495" i="19" s="1"/>
  <c r="J495" i="19"/>
  <c r="BI491" i="19"/>
  <c r="AC491" i="19" s="1"/>
  <c r="AX488" i="19"/>
  <c r="BI488" i="19"/>
  <c r="AC488" i="19" s="1"/>
  <c r="BI469" i="19"/>
  <c r="AC469" i="19" s="1"/>
  <c r="J424" i="19"/>
  <c r="BI424" i="19"/>
  <c r="AX409" i="19"/>
  <c r="BI409" i="19"/>
  <c r="AE409" i="19" s="1"/>
  <c r="I363" i="19"/>
  <c r="AW363" i="19"/>
  <c r="BH363" i="19"/>
  <c r="AD363" i="19" s="1"/>
  <c r="J317" i="19"/>
  <c r="BI317" i="19"/>
  <c r="AE317" i="19" s="1"/>
  <c r="J298" i="19"/>
  <c r="AX298" i="19"/>
  <c r="J274" i="19"/>
  <c r="BI274" i="19"/>
  <c r="AE274" i="19" s="1"/>
  <c r="J271" i="19"/>
  <c r="AX271" i="19"/>
  <c r="BI271" i="19"/>
  <c r="AE271" i="19" s="1"/>
  <c r="BI231" i="19"/>
  <c r="AE231" i="19" s="1"/>
  <c r="J218" i="19"/>
  <c r="BI218" i="19"/>
  <c r="AE218" i="19" s="1"/>
  <c r="BI214" i="19"/>
  <c r="AE214" i="19" s="1"/>
  <c r="I208" i="19"/>
  <c r="BH208" i="19"/>
  <c r="AD208" i="19" s="1"/>
  <c r="AW208" i="19"/>
  <c r="J184" i="19"/>
  <c r="AX184" i="19"/>
  <c r="AV184" i="19" s="1"/>
  <c r="AW152" i="19"/>
  <c r="I152" i="19"/>
  <c r="I108" i="19"/>
  <c r="BH108" i="19"/>
  <c r="AB108" i="19" s="1"/>
  <c r="AW108" i="19"/>
  <c r="J40" i="19"/>
  <c r="BI40" i="19"/>
  <c r="AC40" i="19" s="1"/>
  <c r="AS512" i="19"/>
  <c r="AW473" i="19"/>
  <c r="AX451" i="19"/>
  <c r="BI447" i="19"/>
  <c r="AW447" i="19"/>
  <c r="AV447" i="19" s="1"/>
  <c r="AW445" i="19"/>
  <c r="BI439" i="19"/>
  <c r="AE439" i="19" s="1"/>
  <c r="AX439" i="19"/>
  <c r="AX376" i="19"/>
  <c r="BI363" i="19"/>
  <c r="AE363" i="19" s="1"/>
  <c r="AX363" i="19"/>
  <c r="AW332" i="19"/>
  <c r="AW308" i="19"/>
  <c r="BC308" i="19" s="1"/>
  <c r="AX293" i="19"/>
  <c r="BH286" i="19"/>
  <c r="AD286" i="19" s="1"/>
  <c r="AW286" i="19"/>
  <c r="AW279" i="19"/>
  <c r="BC279" i="19" s="1"/>
  <c r="J144" i="19"/>
  <c r="J112" i="19"/>
  <c r="AX428" i="19"/>
  <c r="I399" i="19"/>
  <c r="AX397" i="19"/>
  <c r="AX390" i="19"/>
  <c r="AX382" i="19"/>
  <c r="BI364" i="19"/>
  <c r="AE364" i="19" s="1"/>
  <c r="AX359" i="19"/>
  <c r="BI347" i="19"/>
  <c r="AE347" i="19" s="1"/>
  <c r="BH332" i="19"/>
  <c r="AD332" i="19" s="1"/>
  <c r="AX323" i="19"/>
  <c r="AX321" i="19"/>
  <c r="BH308" i="19"/>
  <c r="AD308" i="19" s="1"/>
  <c r="AX307" i="19"/>
  <c r="AX288" i="19"/>
  <c r="BH279" i="19"/>
  <c r="AD279" i="19" s="1"/>
  <c r="AX278" i="19"/>
  <c r="AX258" i="19"/>
  <c r="I244" i="19"/>
  <c r="AX237" i="19"/>
  <c r="I236" i="19"/>
  <c r="I200" i="19"/>
  <c r="AX197" i="19"/>
  <c r="I196" i="19"/>
  <c r="BI176" i="19"/>
  <c r="AX143" i="19"/>
  <c r="BI137" i="19"/>
  <c r="AC137" i="19" s="1"/>
  <c r="BI131" i="19"/>
  <c r="AC131" i="19" s="1"/>
  <c r="BI112" i="19"/>
  <c r="AC112" i="19" s="1"/>
  <c r="BI100" i="19"/>
  <c r="AC100" i="19" s="1"/>
  <c r="AX78" i="19"/>
  <c r="BC78" i="19" s="1"/>
  <c r="BI42" i="19"/>
  <c r="AC42" i="19" s="1"/>
  <c r="AU31" i="19"/>
  <c r="BI13" i="19"/>
  <c r="AC13" i="19" s="1"/>
  <c r="K512" i="19"/>
  <c r="G50" i="18" s="1"/>
  <c r="I50" i="18" s="1"/>
  <c r="AW490" i="19"/>
  <c r="BI444" i="19"/>
  <c r="AE444" i="19" s="1"/>
  <c r="BH271" i="19"/>
  <c r="AD271" i="19" s="1"/>
  <c r="AW271" i="19"/>
  <c r="BC271" i="19" s="1"/>
  <c r="BH251" i="19"/>
  <c r="AD251" i="19" s="1"/>
  <c r="AW251" i="19"/>
  <c r="AW231" i="19"/>
  <c r="BH219" i="19"/>
  <c r="AD219" i="19" s="1"/>
  <c r="AW219" i="19"/>
  <c r="AW198" i="19"/>
  <c r="BI158" i="19"/>
  <c r="AX158" i="19"/>
  <c r="AV158" i="19" s="1"/>
  <c r="BI150" i="19"/>
  <c r="AC150" i="19" s="1"/>
  <c r="BH148" i="19"/>
  <c r="AB148" i="19" s="1"/>
  <c r="AW148" i="19"/>
  <c r="BC148" i="19" s="1"/>
  <c r="J104" i="19"/>
  <c r="AW80" i="19"/>
  <c r="BI61" i="19"/>
  <c r="AC61" i="19" s="1"/>
  <c r="J59" i="19"/>
  <c r="AW58" i="19"/>
  <c r="BC58" i="19" s="1"/>
  <c r="BI50" i="19"/>
  <c r="AC50" i="19" s="1"/>
  <c r="BI43" i="19"/>
  <c r="AC43" i="19" s="1"/>
  <c r="I32" i="19"/>
  <c r="J432" i="19"/>
  <c r="AX432" i="19"/>
  <c r="BI432" i="19"/>
  <c r="AE432" i="19" s="1"/>
  <c r="BH411" i="19"/>
  <c r="AD411" i="19" s="1"/>
  <c r="I375" i="19"/>
  <c r="BH375" i="19"/>
  <c r="AD375" i="19" s="1"/>
  <c r="AW375" i="19"/>
  <c r="J346" i="19"/>
  <c r="AX346" i="19"/>
  <c r="BI346" i="19"/>
  <c r="AE346" i="19" s="1"/>
  <c r="I247" i="19"/>
  <c r="BH247" i="19"/>
  <c r="AD247" i="19" s="1"/>
  <c r="AW247" i="19"/>
  <c r="AV247" i="19" s="1"/>
  <c r="AX47" i="19"/>
  <c r="J47" i="19"/>
  <c r="AW23" i="19"/>
  <c r="I23" i="19"/>
  <c r="AW589" i="19"/>
  <c r="AW582" i="19"/>
  <c r="J573" i="19"/>
  <c r="AW569" i="19"/>
  <c r="AW536" i="19"/>
  <c r="BI528" i="19"/>
  <c r="AC528" i="19" s="1"/>
  <c r="J528" i="19"/>
  <c r="BI523" i="19"/>
  <c r="AC523" i="19" s="1"/>
  <c r="AX523" i="19"/>
  <c r="BH520" i="19"/>
  <c r="AB520" i="19" s="1"/>
  <c r="BI511" i="19"/>
  <c r="AC511" i="19" s="1"/>
  <c r="AX511" i="19"/>
  <c r="AV511" i="19" s="1"/>
  <c r="BI506" i="19"/>
  <c r="AC506" i="19" s="1"/>
  <c r="AW506" i="19"/>
  <c r="BC506" i="19" s="1"/>
  <c r="BH505" i="19"/>
  <c r="AB505" i="19" s="1"/>
  <c r="AW504" i="19"/>
  <c r="J487" i="19"/>
  <c r="AX487" i="19"/>
  <c r="I482" i="19"/>
  <c r="BH482" i="19"/>
  <c r="AB482" i="19" s="1"/>
  <c r="AW482" i="19"/>
  <c r="AX480" i="19"/>
  <c r="BI480" i="19"/>
  <c r="AC480" i="19" s="1"/>
  <c r="J472" i="19"/>
  <c r="AX472" i="19"/>
  <c r="J467" i="19"/>
  <c r="AX467" i="19"/>
  <c r="J436" i="19"/>
  <c r="AX436" i="19"/>
  <c r="AV436" i="19" s="1"/>
  <c r="BI436" i="19"/>
  <c r="AE436" i="19" s="1"/>
  <c r="I421" i="19"/>
  <c r="BH421" i="19"/>
  <c r="AD421" i="19" s="1"/>
  <c r="AW421" i="19"/>
  <c r="AX394" i="19"/>
  <c r="BI394" i="19"/>
  <c r="AE394" i="19" s="1"/>
  <c r="J387" i="19"/>
  <c r="AX387" i="19"/>
  <c r="BI387" i="19"/>
  <c r="AE387" i="19" s="1"/>
  <c r="I360" i="19"/>
  <c r="BH360" i="19"/>
  <c r="AD360" i="19" s="1"/>
  <c r="AW360" i="19"/>
  <c r="J358" i="19"/>
  <c r="AX358" i="19"/>
  <c r="I344" i="19"/>
  <c r="AW344" i="19"/>
  <c r="BH344" i="19"/>
  <c r="AD344" i="19" s="1"/>
  <c r="J335" i="19"/>
  <c r="AX335" i="19"/>
  <c r="BC335" i="19" s="1"/>
  <c r="BI335" i="19"/>
  <c r="AE335" i="19" s="1"/>
  <c r="J331" i="19"/>
  <c r="AX331" i="19"/>
  <c r="BI331" i="19"/>
  <c r="AE331" i="19" s="1"/>
  <c r="J315" i="19"/>
  <c r="BI315" i="19"/>
  <c r="AE315" i="19" s="1"/>
  <c r="J300" i="19"/>
  <c r="AX300" i="19"/>
  <c r="AW263" i="19"/>
  <c r="I263" i="19"/>
  <c r="J122" i="19"/>
  <c r="AX122" i="19"/>
  <c r="BI122" i="19"/>
  <c r="AC122" i="19" s="1"/>
  <c r="BH565" i="19"/>
  <c r="AB565" i="19" s="1"/>
  <c r="BH542" i="19"/>
  <c r="AB542" i="19" s="1"/>
  <c r="BI539" i="19"/>
  <c r="AC539" i="19" s="1"/>
  <c r="BI507" i="19"/>
  <c r="AC507" i="19" s="1"/>
  <c r="J420" i="19"/>
  <c r="AX420" i="19"/>
  <c r="AX351" i="19"/>
  <c r="AV351" i="19" s="1"/>
  <c r="BI351" i="19"/>
  <c r="AE351" i="19" s="1"/>
  <c r="J281" i="19"/>
  <c r="AX281" i="19"/>
  <c r="BI281" i="19"/>
  <c r="AE281" i="19" s="1"/>
  <c r="AW144" i="19"/>
  <c r="BC144" i="19" s="1"/>
  <c r="BH144" i="19"/>
  <c r="AB144" i="19" s="1"/>
  <c r="I144" i="19"/>
  <c r="AX588" i="19"/>
  <c r="BH583" i="19"/>
  <c r="AB583" i="19" s="1"/>
  <c r="I573" i="19"/>
  <c r="BH569" i="19"/>
  <c r="AB569" i="19" s="1"/>
  <c r="BI567" i="19"/>
  <c r="AC567" i="19" s="1"/>
  <c r="AX567" i="19"/>
  <c r="AW566" i="19"/>
  <c r="AW564" i="19"/>
  <c r="BI552" i="19"/>
  <c r="AC552" i="19" s="1"/>
  <c r="AW552" i="19"/>
  <c r="J540" i="19"/>
  <c r="BH536" i="19"/>
  <c r="AB536" i="19" s="1"/>
  <c r="BI530" i="19"/>
  <c r="AC530" i="19" s="1"/>
  <c r="AW530" i="19"/>
  <c r="AX527" i="19"/>
  <c r="BI524" i="19"/>
  <c r="AC524" i="19" s="1"/>
  <c r="AW524" i="19"/>
  <c r="BC524" i="19" s="1"/>
  <c r="BH523" i="19"/>
  <c r="AB523" i="19" s="1"/>
  <c r="BI521" i="19"/>
  <c r="AC521" i="19" s="1"/>
  <c r="AW521" i="19"/>
  <c r="BI519" i="19"/>
  <c r="AC519" i="19" s="1"/>
  <c r="AX519" i="19"/>
  <c r="J513" i="19"/>
  <c r="BH511" i="19"/>
  <c r="AB511" i="19" s="1"/>
  <c r="AX509" i="19"/>
  <c r="BH506" i="19"/>
  <c r="AB506" i="19" s="1"/>
  <c r="BH504" i="19"/>
  <c r="AB504" i="19" s="1"/>
  <c r="J503" i="19"/>
  <c r="I497" i="19"/>
  <c r="BH497" i="19"/>
  <c r="AB497" i="19" s="1"/>
  <c r="AW497" i="19"/>
  <c r="BI487" i="19"/>
  <c r="AC487" i="19" s="1"/>
  <c r="I474" i="19"/>
  <c r="AW474" i="19"/>
  <c r="I428" i="19"/>
  <c r="AW428" i="19"/>
  <c r="BH428" i="19"/>
  <c r="AD428" i="19" s="1"/>
  <c r="J418" i="19"/>
  <c r="AX418" i="19"/>
  <c r="BI418" i="19"/>
  <c r="AE418" i="19" s="1"/>
  <c r="I415" i="19"/>
  <c r="BH415" i="19"/>
  <c r="AD415" i="19" s="1"/>
  <c r="AW415" i="19"/>
  <c r="I359" i="19"/>
  <c r="AW359" i="19"/>
  <c r="BC359" i="19" s="1"/>
  <c r="BH359" i="19"/>
  <c r="AD359" i="19" s="1"/>
  <c r="BI358" i="19"/>
  <c r="AE358" i="19" s="1"/>
  <c r="I301" i="19"/>
  <c r="BH301" i="19"/>
  <c r="AD301" i="19" s="1"/>
  <c r="AW301" i="19"/>
  <c r="AX294" i="19"/>
  <c r="BI294" i="19"/>
  <c r="AE294" i="19" s="1"/>
  <c r="J265" i="19"/>
  <c r="AX265" i="19"/>
  <c r="J106" i="19"/>
  <c r="AX106" i="19"/>
  <c r="BI106" i="19"/>
  <c r="AC106" i="19" s="1"/>
  <c r="I74" i="19"/>
  <c r="BH74" i="19"/>
  <c r="AB74" i="19" s="1"/>
  <c r="AW74" i="19"/>
  <c r="BI541" i="19"/>
  <c r="AC541" i="19" s="1"/>
  <c r="BI529" i="19"/>
  <c r="AC529" i="19" s="1"/>
  <c r="I450" i="19"/>
  <c r="BH450" i="19"/>
  <c r="AD450" i="19" s="1"/>
  <c r="AW450" i="19"/>
  <c r="BC450" i="19" s="1"/>
  <c r="I417" i="19"/>
  <c r="AW417" i="19"/>
  <c r="BH417" i="19"/>
  <c r="AD417" i="19" s="1"/>
  <c r="J412" i="19"/>
  <c r="BI412" i="19"/>
  <c r="AE412" i="19" s="1"/>
  <c r="I367" i="19"/>
  <c r="BH367" i="19"/>
  <c r="AD367" i="19" s="1"/>
  <c r="AW367" i="19"/>
  <c r="BC367" i="19" s="1"/>
  <c r="AW268" i="19"/>
  <c r="I268" i="19"/>
  <c r="J146" i="19"/>
  <c r="AX146" i="19"/>
  <c r="BI146" i="19"/>
  <c r="AC146" i="19" s="1"/>
  <c r="J55" i="19"/>
  <c r="AX55" i="19"/>
  <c r="BI55" i="19"/>
  <c r="AC55" i="19" s="1"/>
  <c r="BI47" i="19"/>
  <c r="AC47" i="19" s="1"/>
  <c r="I38" i="19"/>
  <c r="BH38" i="19"/>
  <c r="AB38" i="19" s="1"/>
  <c r="AW38" i="19"/>
  <c r="BI593" i="19"/>
  <c r="AC593" i="19" s="1"/>
  <c r="BH567" i="19"/>
  <c r="AB567" i="19" s="1"/>
  <c r="BH564" i="19"/>
  <c r="AB564" i="19" s="1"/>
  <c r="BI558" i="19"/>
  <c r="AC558" i="19" s="1"/>
  <c r="BH552" i="19"/>
  <c r="AB552" i="19" s="1"/>
  <c r="BI546" i="19"/>
  <c r="AC546" i="19" s="1"/>
  <c r="AX539" i="19"/>
  <c r="BI537" i="19"/>
  <c r="AC537" i="19" s="1"/>
  <c r="BI535" i="19"/>
  <c r="AC535" i="19" s="1"/>
  <c r="AX535" i="19"/>
  <c r="BH530" i="19"/>
  <c r="AB530" i="19" s="1"/>
  <c r="AX529" i="19"/>
  <c r="AV529" i="19" s="1"/>
  <c r="BI525" i="19"/>
  <c r="AC525" i="19" s="1"/>
  <c r="BH524" i="19"/>
  <c r="AB524" i="19" s="1"/>
  <c r="BH521" i="19"/>
  <c r="AB521" i="19" s="1"/>
  <c r="BH519" i="19"/>
  <c r="AB519" i="19" s="1"/>
  <c r="J516" i="19"/>
  <c r="BI513" i="19"/>
  <c r="AG513" i="19" s="1"/>
  <c r="BI510" i="19"/>
  <c r="AC510" i="19" s="1"/>
  <c r="BC510" i="19"/>
  <c r="BI503" i="19"/>
  <c r="AC503" i="19" s="1"/>
  <c r="AX502" i="19"/>
  <c r="J484" i="19"/>
  <c r="AX484" i="19"/>
  <c r="AV484" i="19" s="1"/>
  <c r="BI484" i="19"/>
  <c r="AC484" i="19" s="1"/>
  <c r="J475" i="19"/>
  <c r="AX475" i="19"/>
  <c r="I464" i="19"/>
  <c r="BH464" i="19"/>
  <c r="AF464" i="19" s="1"/>
  <c r="C18" i="17" s="1"/>
  <c r="AW464" i="19"/>
  <c r="J449" i="19"/>
  <c r="AX449" i="19"/>
  <c r="I426" i="19"/>
  <c r="BH426" i="19"/>
  <c r="AD426" i="19" s="1"/>
  <c r="AW426" i="19"/>
  <c r="J384" i="19"/>
  <c r="BI384" i="19"/>
  <c r="AE384" i="19" s="1"/>
  <c r="J374" i="19"/>
  <c r="AX374" i="19"/>
  <c r="J366" i="19"/>
  <c r="AX366" i="19"/>
  <c r="I312" i="19"/>
  <c r="BH312" i="19"/>
  <c r="AD312" i="19" s="1"/>
  <c r="AW312" i="19"/>
  <c r="BC312" i="19" s="1"/>
  <c r="I240" i="19"/>
  <c r="BH240" i="19"/>
  <c r="AD240" i="19" s="1"/>
  <c r="AW240" i="19"/>
  <c r="AW216" i="19"/>
  <c r="I216" i="19"/>
  <c r="J193" i="19"/>
  <c r="BI193" i="19"/>
  <c r="AE193" i="19" s="1"/>
  <c r="J173" i="19"/>
  <c r="J172" i="19" s="1"/>
  <c r="F34" i="18" s="1"/>
  <c r="AX173" i="19"/>
  <c r="BI173" i="19"/>
  <c r="AE173" i="19" s="1"/>
  <c r="J140" i="19"/>
  <c r="BI140" i="19"/>
  <c r="AC140" i="19" s="1"/>
  <c r="AW139" i="19"/>
  <c r="I139" i="19"/>
  <c r="J118" i="19"/>
  <c r="AX118" i="19"/>
  <c r="BI118" i="19"/>
  <c r="AC118" i="19" s="1"/>
  <c r="J499" i="19"/>
  <c r="BH481" i="19"/>
  <c r="AB481" i="19" s="1"/>
  <c r="BI479" i="19"/>
  <c r="AC479" i="19" s="1"/>
  <c r="AX479" i="19"/>
  <c r="AX350" i="19"/>
  <c r="AX347" i="19"/>
  <c r="BC286" i="19"/>
  <c r="J242" i="19"/>
  <c r="AX242" i="19"/>
  <c r="J204" i="19"/>
  <c r="BI204" i="19"/>
  <c r="AE204" i="19" s="1"/>
  <c r="J142" i="19"/>
  <c r="AX142" i="19"/>
  <c r="J123" i="19"/>
  <c r="AX123" i="19"/>
  <c r="J119" i="19"/>
  <c r="AX119" i="19"/>
  <c r="BH112" i="19"/>
  <c r="AB112" i="19" s="1"/>
  <c r="AW112" i="19"/>
  <c r="I112" i="19"/>
  <c r="AX71" i="19"/>
  <c r="J71" i="19"/>
  <c r="BI494" i="19"/>
  <c r="AC494" i="19" s="1"/>
  <c r="J488" i="19"/>
  <c r="J476" i="19"/>
  <c r="J468" i="19"/>
  <c r="BI464" i="19"/>
  <c r="AG464" i="19" s="1"/>
  <c r="BH458" i="19"/>
  <c r="AD458" i="19" s="1"/>
  <c r="I458" i="19"/>
  <c r="BH445" i="19"/>
  <c r="AD445" i="19" s="1"/>
  <c r="AX444" i="19"/>
  <c r="BH440" i="19"/>
  <c r="AD440" i="19" s="1"/>
  <c r="BH434" i="19"/>
  <c r="BH418" i="19"/>
  <c r="AD418" i="19" s="1"/>
  <c r="AW418" i="19"/>
  <c r="BC388" i="19"/>
  <c r="BI336" i="19"/>
  <c r="AE336" i="19" s="1"/>
  <c r="AX336" i="19"/>
  <c r="AX309" i="19"/>
  <c r="BH305" i="19"/>
  <c r="AD305" i="19" s="1"/>
  <c r="AX292" i="19"/>
  <c r="BI290" i="19"/>
  <c r="AE290" i="19" s="1"/>
  <c r="I287" i="19"/>
  <c r="AX285" i="19"/>
  <c r="BH275" i="19"/>
  <c r="AD275" i="19" s="1"/>
  <c r="AX274" i="19"/>
  <c r="BH272" i="19"/>
  <c r="AD272" i="19" s="1"/>
  <c r="BI269" i="19"/>
  <c r="AE269" i="19" s="1"/>
  <c r="AX269" i="19"/>
  <c r="AX263" i="19"/>
  <c r="BC263" i="19" s="1"/>
  <c r="I260" i="19"/>
  <c r="BH254" i="19"/>
  <c r="AD254" i="19" s="1"/>
  <c r="BH252" i="19"/>
  <c r="AD252" i="19" s="1"/>
  <c r="I243" i="19"/>
  <c r="BH243" i="19"/>
  <c r="AD243" i="19" s="1"/>
  <c r="AW243" i="19"/>
  <c r="AV243" i="19" s="1"/>
  <c r="BI242" i="19"/>
  <c r="AE242" i="19" s="1"/>
  <c r="I224" i="19"/>
  <c r="BH224" i="19"/>
  <c r="AD224" i="19" s="1"/>
  <c r="AW224" i="19"/>
  <c r="J208" i="19"/>
  <c r="BI208" i="19"/>
  <c r="AE208" i="19" s="1"/>
  <c r="J194" i="19"/>
  <c r="AX194" i="19"/>
  <c r="AW188" i="19"/>
  <c r="I188" i="19"/>
  <c r="I185" i="19"/>
  <c r="BH185" i="19"/>
  <c r="AW185" i="19"/>
  <c r="AX167" i="19"/>
  <c r="BC167" i="19" s="1"/>
  <c r="BI167" i="19"/>
  <c r="BI142" i="19"/>
  <c r="AC142" i="19" s="1"/>
  <c r="BI123" i="19"/>
  <c r="AC123" i="19" s="1"/>
  <c r="I120" i="19"/>
  <c r="AW120" i="19"/>
  <c r="BI119" i="19"/>
  <c r="AC119" i="19" s="1"/>
  <c r="J96" i="19"/>
  <c r="AX96" i="19"/>
  <c r="BC96" i="19" s="1"/>
  <c r="BI96" i="19"/>
  <c r="AC96" i="19" s="1"/>
  <c r="J54" i="19"/>
  <c r="BI54" i="19"/>
  <c r="AC54" i="19" s="1"/>
  <c r="AW53" i="19"/>
  <c r="I53" i="19"/>
  <c r="BH35" i="19"/>
  <c r="AB35" i="19" s="1"/>
  <c r="AW35" i="19"/>
  <c r="BH20" i="19"/>
  <c r="AB20" i="19" s="1"/>
  <c r="AW20" i="19"/>
  <c r="AW480" i="19"/>
  <c r="BI477" i="19"/>
  <c r="AC477" i="19" s="1"/>
  <c r="BI476" i="19"/>
  <c r="AC476" i="19" s="1"/>
  <c r="BI468" i="19"/>
  <c r="AC468" i="19" s="1"/>
  <c r="AW465" i="19"/>
  <c r="AW457" i="19"/>
  <c r="AT456" i="19"/>
  <c r="K456" i="19"/>
  <c r="G47" i="18" s="1"/>
  <c r="I47" i="18" s="1"/>
  <c r="BH432" i="19"/>
  <c r="AD432" i="19" s="1"/>
  <c r="AW432" i="19"/>
  <c r="AW419" i="19"/>
  <c r="AW414" i="19"/>
  <c r="AS404" i="19"/>
  <c r="AW410" i="19"/>
  <c r="AW394" i="19"/>
  <c r="BC394" i="19" s="1"/>
  <c r="BH387" i="19"/>
  <c r="AD387" i="19" s="1"/>
  <c r="AW387" i="19"/>
  <c r="AW385" i="19"/>
  <c r="AW379" i="19"/>
  <c r="BC379" i="19" s="1"/>
  <c r="AW371" i="19"/>
  <c r="AW345" i="19"/>
  <c r="BI338" i="19"/>
  <c r="AE338" i="19" s="1"/>
  <c r="BH336" i="19"/>
  <c r="AD336" i="19" s="1"/>
  <c r="AW336" i="19"/>
  <c r="BH335" i="19"/>
  <c r="AD335" i="19" s="1"/>
  <c r="AW335" i="19"/>
  <c r="BH331" i="19"/>
  <c r="AD331" i="19" s="1"/>
  <c r="AW331" i="19"/>
  <c r="AW328" i="19"/>
  <c r="AW316" i="19"/>
  <c r="BH281" i="19"/>
  <c r="AD281" i="19" s="1"/>
  <c r="AW281" i="19"/>
  <c r="BC259" i="19"/>
  <c r="J235" i="19"/>
  <c r="AX235" i="19"/>
  <c r="BC235" i="19" s="1"/>
  <c r="BI235" i="19"/>
  <c r="AE235" i="19" s="1"/>
  <c r="I215" i="19"/>
  <c r="AW215" i="19"/>
  <c r="BH215" i="19"/>
  <c r="AD215" i="19" s="1"/>
  <c r="J206" i="19"/>
  <c r="AX206" i="19"/>
  <c r="BI206" i="19"/>
  <c r="AE206" i="19" s="1"/>
  <c r="I202" i="19"/>
  <c r="AW202" i="19"/>
  <c r="BH202" i="19"/>
  <c r="AD202" i="19" s="1"/>
  <c r="BC152" i="19"/>
  <c r="BH105" i="19"/>
  <c r="AB105" i="19" s="1"/>
  <c r="AW105" i="19"/>
  <c r="AX69" i="19"/>
  <c r="BI69" i="19"/>
  <c r="AC69" i="19" s="1"/>
  <c r="I37" i="19"/>
  <c r="AW37" i="19"/>
  <c r="BH37" i="19"/>
  <c r="AB37" i="19" s="1"/>
  <c r="AX250" i="19"/>
  <c r="BH248" i="19"/>
  <c r="AD248" i="19" s="1"/>
  <c r="BI241" i="19"/>
  <c r="AE241" i="19" s="1"/>
  <c r="AX241" i="19"/>
  <c r="BI239" i="19"/>
  <c r="AE239" i="19" s="1"/>
  <c r="AW239" i="19"/>
  <c r="AV239" i="19" s="1"/>
  <c r="I228" i="19"/>
  <c r="AX225" i="19"/>
  <c r="I223" i="19"/>
  <c r="BH220" i="19"/>
  <c r="AD220" i="19" s="1"/>
  <c r="AX218" i="19"/>
  <c r="BI215" i="19"/>
  <c r="AE215" i="19" s="1"/>
  <c r="AX215" i="19"/>
  <c r="I212" i="19"/>
  <c r="AX210" i="19"/>
  <c r="AW207" i="19"/>
  <c r="J198" i="19"/>
  <c r="AX176" i="19"/>
  <c r="AW171" i="19"/>
  <c r="AX166" i="19"/>
  <c r="BH152" i="19"/>
  <c r="AB152" i="19" s="1"/>
  <c r="AX150" i="19"/>
  <c r="AW149" i="19"/>
  <c r="BI144" i="19"/>
  <c r="AC144" i="19" s="1"/>
  <c r="BH138" i="19"/>
  <c r="AB138" i="19" s="1"/>
  <c r="AX131" i="19"/>
  <c r="AW124" i="19"/>
  <c r="AX115" i="19"/>
  <c r="AW113" i="19"/>
  <c r="AW109" i="19"/>
  <c r="BH103" i="19"/>
  <c r="AB103" i="19" s="1"/>
  <c r="BH78" i="19"/>
  <c r="AB78" i="19" s="1"/>
  <c r="AW78" i="19"/>
  <c r="AW72" i="19"/>
  <c r="I65" i="19"/>
  <c r="BH58" i="19"/>
  <c r="AB58" i="19" s="1"/>
  <c r="AW56" i="19"/>
  <c r="AX50" i="19"/>
  <c r="BC50" i="19" s="1"/>
  <c r="J44" i="19"/>
  <c r="BI37" i="19"/>
  <c r="AC37" i="19" s="1"/>
  <c r="AX37" i="19"/>
  <c r="AU26" i="19"/>
  <c r="AU19" i="19"/>
  <c r="AX15" i="19"/>
  <c r="AX107" i="19"/>
  <c r="AU91" i="19"/>
  <c r="AU85" i="19"/>
  <c r="J79" i="19"/>
  <c r="BH72" i="19"/>
  <c r="AB72" i="19" s="1"/>
  <c r="AX62" i="19"/>
  <c r="AS45" i="19"/>
  <c r="I48" i="19"/>
  <c r="AX42" i="19"/>
  <c r="AS41" i="19"/>
  <c r="AX40" i="19"/>
  <c r="AV231" i="19"/>
  <c r="BI191" i="19"/>
  <c r="AE191" i="19" s="1"/>
  <c r="AW180" i="19"/>
  <c r="BC180" i="19" s="1"/>
  <c r="BI111" i="19"/>
  <c r="AC111" i="19" s="1"/>
  <c r="BI110" i="19"/>
  <c r="AC110" i="19" s="1"/>
  <c r="AS91" i="19"/>
  <c r="AU88" i="19"/>
  <c r="AV71" i="19"/>
  <c r="I47" i="19"/>
  <c r="AU41" i="19"/>
  <c r="AU512" i="19"/>
  <c r="I500" i="19"/>
  <c r="I376" i="19"/>
  <c r="AW376" i="19"/>
  <c r="J262" i="19"/>
  <c r="AX262" i="19"/>
  <c r="BI262" i="19"/>
  <c r="AE262" i="19" s="1"/>
  <c r="J222" i="19"/>
  <c r="AX222" i="19"/>
  <c r="BI222" i="19"/>
  <c r="AE222" i="19" s="1"/>
  <c r="I119" i="19"/>
  <c r="AW119" i="19"/>
  <c r="BH119" i="19"/>
  <c r="AB119" i="19" s="1"/>
  <c r="BI596" i="19"/>
  <c r="AC596" i="19" s="1"/>
  <c r="AX596" i="19"/>
  <c r="BC596" i="19" s="1"/>
  <c r="I596" i="19"/>
  <c r="J595" i="19"/>
  <c r="AS591" i="19"/>
  <c r="BI585" i="19"/>
  <c r="AC585" i="19" s="1"/>
  <c r="AX585" i="19"/>
  <c r="BC585" i="19" s="1"/>
  <c r="I585" i="19"/>
  <c r="I581" i="19"/>
  <c r="J580" i="19"/>
  <c r="J572" i="19"/>
  <c r="I565" i="19"/>
  <c r="I561" i="19"/>
  <c r="J560" i="19"/>
  <c r="J556" i="19"/>
  <c r="I549" i="19"/>
  <c r="J548" i="19"/>
  <c r="J544" i="19"/>
  <c r="I533" i="19"/>
  <c r="J532" i="19"/>
  <c r="AS515" i="19"/>
  <c r="AU515" i="19"/>
  <c r="AT512" i="19"/>
  <c r="AU492" i="19"/>
  <c r="I468" i="19"/>
  <c r="BH468" i="19"/>
  <c r="AB468" i="19" s="1"/>
  <c r="AW468" i="19"/>
  <c r="I455" i="19"/>
  <c r="AW444" i="19"/>
  <c r="BC444" i="19" s="1"/>
  <c r="I444" i="19"/>
  <c r="BH444" i="19"/>
  <c r="AD444" i="19" s="1"/>
  <c r="J442" i="19"/>
  <c r="AX442" i="19"/>
  <c r="BI442" i="19"/>
  <c r="AE442" i="19" s="1"/>
  <c r="J427" i="19"/>
  <c r="AX427" i="19"/>
  <c r="J416" i="19"/>
  <c r="AX416" i="19"/>
  <c r="BI416" i="19"/>
  <c r="AE416" i="19" s="1"/>
  <c r="I398" i="19"/>
  <c r="BH398" i="19"/>
  <c r="AD398" i="19" s="1"/>
  <c r="AW398" i="19"/>
  <c r="AU356" i="19"/>
  <c r="AW368" i="19"/>
  <c r="I368" i="19"/>
  <c r="AW354" i="19"/>
  <c r="I354" i="19"/>
  <c r="J334" i="19"/>
  <c r="AX334" i="19"/>
  <c r="BI334" i="19"/>
  <c r="AE334" i="19" s="1"/>
  <c r="J330" i="19"/>
  <c r="AX330" i="19"/>
  <c r="BI330" i="19"/>
  <c r="AE330" i="19" s="1"/>
  <c r="I329" i="19"/>
  <c r="AW329" i="19"/>
  <c r="J325" i="19"/>
  <c r="AX325" i="19"/>
  <c r="BI325" i="19"/>
  <c r="AE325" i="19" s="1"/>
  <c r="I274" i="19"/>
  <c r="AW274" i="19"/>
  <c r="BC274" i="19" s="1"/>
  <c r="BH274" i="19"/>
  <c r="AD274" i="19" s="1"/>
  <c r="BC223" i="19"/>
  <c r="AV223" i="19"/>
  <c r="J58" i="19"/>
  <c r="AX58" i="19"/>
  <c r="BI58" i="19"/>
  <c r="AC58" i="19" s="1"/>
  <c r="AX25" i="19"/>
  <c r="BI25" i="19"/>
  <c r="AC25" i="19" s="1"/>
  <c r="J25" i="19"/>
  <c r="I577" i="19"/>
  <c r="I496" i="19"/>
  <c r="J485" i="19"/>
  <c r="AX485" i="19"/>
  <c r="BC485" i="19" s="1"/>
  <c r="BI485" i="19"/>
  <c r="AC485" i="19" s="1"/>
  <c r="AW469" i="19"/>
  <c r="BH469" i="19"/>
  <c r="AB469" i="19" s="1"/>
  <c r="AX421" i="19"/>
  <c r="BI421" i="19"/>
  <c r="AE421" i="19" s="1"/>
  <c r="J421" i="19"/>
  <c r="I395" i="19"/>
  <c r="AW395" i="19"/>
  <c r="J362" i="19"/>
  <c r="AX362" i="19"/>
  <c r="BH596" i="19"/>
  <c r="AB596" i="19" s="1"/>
  <c r="K591" i="19"/>
  <c r="G52" i="18" s="1"/>
  <c r="I52" i="18" s="1"/>
  <c r="BI592" i="19"/>
  <c r="AC592" i="19" s="1"/>
  <c r="AX592" i="19"/>
  <c r="AV592" i="19" s="1"/>
  <c r="BH589" i="19"/>
  <c r="AB589" i="19" s="1"/>
  <c r="BH588" i="19"/>
  <c r="AB588" i="19" s="1"/>
  <c r="AW588" i="19"/>
  <c r="BC588" i="19" s="1"/>
  <c r="BI587" i="19"/>
  <c r="AC587" i="19" s="1"/>
  <c r="AX587" i="19"/>
  <c r="BH585" i="19"/>
  <c r="AB585" i="19" s="1"/>
  <c r="J584" i="19"/>
  <c r="BH582" i="19"/>
  <c r="AB582" i="19" s="1"/>
  <c r="BI577" i="19"/>
  <c r="AC577" i="19" s="1"/>
  <c r="AW577" i="19"/>
  <c r="BI576" i="19"/>
  <c r="AC576" i="19" s="1"/>
  <c r="AW576" i="19"/>
  <c r="BI575" i="19"/>
  <c r="AC575" i="19" s="1"/>
  <c r="AX575" i="19"/>
  <c r="AV573" i="19"/>
  <c r="BI572" i="19"/>
  <c r="AC572" i="19" s="1"/>
  <c r="AX569" i="19"/>
  <c r="J568" i="19"/>
  <c r="BH566" i="19"/>
  <c r="AB566" i="19" s="1"/>
  <c r="J564" i="19"/>
  <c r="BH562" i="19"/>
  <c r="AB562" i="19" s="1"/>
  <c r="BI557" i="19"/>
  <c r="AC557" i="19" s="1"/>
  <c r="AW557" i="19"/>
  <c r="BI556" i="19"/>
  <c r="AC556" i="19" s="1"/>
  <c r="J552" i="19"/>
  <c r="BH550" i="19"/>
  <c r="AB550" i="19" s="1"/>
  <c r="BI545" i="19"/>
  <c r="AC545" i="19" s="1"/>
  <c r="AW545" i="19"/>
  <c r="BI544" i="19"/>
  <c r="AC544" i="19" s="1"/>
  <c r="BH541" i="19"/>
  <c r="AB541" i="19" s="1"/>
  <c r="BH540" i="19"/>
  <c r="AB540" i="19" s="1"/>
  <c r="BH539" i="19"/>
  <c r="AB539" i="19" s="1"/>
  <c r="BI538" i="19"/>
  <c r="AC538" i="19" s="1"/>
  <c r="AW538" i="19"/>
  <c r="J536" i="19"/>
  <c r="BH534" i="19"/>
  <c r="AB534" i="19" s="1"/>
  <c r="AW528" i="19"/>
  <c r="AW522" i="19"/>
  <c r="J520" i="19"/>
  <c r="J515" i="19" s="1"/>
  <c r="F51" i="18" s="1"/>
  <c r="AW517" i="19"/>
  <c r="AW516" i="19"/>
  <c r="I511" i="19"/>
  <c r="I507" i="19"/>
  <c r="AW500" i="19"/>
  <c r="AW499" i="19"/>
  <c r="AW496" i="19"/>
  <c r="AW495" i="19"/>
  <c r="BC495" i="19" s="1"/>
  <c r="AX494" i="19"/>
  <c r="AW489" i="19"/>
  <c r="AW488" i="19"/>
  <c r="J483" i="19"/>
  <c r="AX483" i="19"/>
  <c r="BC473" i="19"/>
  <c r="AV473" i="19"/>
  <c r="I472" i="19"/>
  <c r="AW472" i="19"/>
  <c r="BH472" i="19"/>
  <c r="AB472" i="19" s="1"/>
  <c r="AV458" i="19"/>
  <c r="I452" i="19"/>
  <c r="BH452" i="19"/>
  <c r="AD452" i="19" s="1"/>
  <c r="AW452" i="19"/>
  <c r="J446" i="19"/>
  <c r="AX446" i="19"/>
  <c r="BI446" i="19"/>
  <c r="AE446" i="19" s="1"/>
  <c r="J431" i="19"/>
  <c r="AX431" i="19"/>
  <c r="BI431" i="19"/>
  <c r="AE431" i="19" s="1"/>
  <c r="BI427" i="19"/>
  <c r="AE427" i="19" s="1"/>
  <c r="J422" i="19"/>
  <c r="AX422" i="19"/>
  <c r="BC422" i="19" s="1"/>
  <c r="J408" i="19"/>
  <c r="AX408" i="19"/>
  <c r="BI408" i="19"/>
  <c r="AE408" i="19" s="1"/>
  <c r="I406" i="19"/>
  <c r="BH406" i="19"/>
  <c r="AD406" i="19" s="1"/>
  <c r="AW406" i="19"/>
  <c r="K391" i="19"/>
  <c r="G42" i="18" s="1"/>
  <c r="I42" i="18" s="1"/>
  <c r="AV388" i="19"/>
  <c r="J386" i="19"/>
  <c r="AX386" i="19"/>
  <c r="BI386" i="19"/>
  <c r="AE386" i="19" s="1"/>
  <c r="I372" i="19"/>
  <c r="BH372" i="19"/>
  <c r="AD372" i="19" s="1"/>
  <c r="AW372" i="19"/>
  <c r="AW348" i="19"/>
  <c r="I348" i="19"/>
  <c r="BH348" i="19"/>
  <c r="AD348" i="19" s="1"/>
  <c r="BC344" i="19"/>
  <c r="AV344" i="19"/>
  <c r="J313" i="19"/>
  <c r="BI313" i="19"/>
  <c r="AE313" i="19" s="1"/>
  <c r="J302" i="19"/>
  <c r="BI302" i="19"/>
  <c r="AE302" i="19" s="1"/>
  <c r="J289" i="19"/>
  <c r="AX289" i="19"/>
  <c r="BC289" i="19" s="1"/>
  <c r="BI289" i="19"/>
  <c r="AE289" i="19" s="1"/>
  <c r="BC275" i="19"/>
  <c r="AV275" i="19"/>
  <c r="I266" i="19"/>
  <c r="AW266" i="19"/>
  <c r="BH266" i="19"/>
  <c r="AD266" i="19" s="1"/>
  <c r="AW255" i="19"/>
  <c r="BH255" i="19"/>
  <c r="AD255" i="19" s="1"/>
  <c r="I226" i="19"/>
  <c r="AW226" i="19"/>
  <c r="BH226" i="19"/>
  <c r="AD226" i="19" s="1"/>
  <c r="J201" i="19"/>
  <c r="AX201" i="19"/>
  <c r="BI201" i="19"/>
  <c r="AE201" i="19" s="1"/>
  <c r="BH128" i="19"/>
  <c r="AB128" i="19" s="1"/>
  <c r="AW128" i="19"/>
  <c r="I128" i="19"/>
  <c r="BC584" i="19"/>
  <c r="BC564" i="19"/>
  <c r="I557" i="19"/>
  <c r="I545" i="19"/>
  <c r="BI542" i="19"/>
  <c r="AC542" i="19" s="1"/>
  <c r="I529" i="19"/>
  <c r="I517" i="19"/>
  <c r="I515" i="19" s="1"/>
  <c r="E51" i="18" s="1"/>
  <c r="I489" i="19"/>
  <c r="I476" i="19"/>
  <c r="BH476" i="19"/>
  <c r="AB476" i="19" s="1"/>
  <c r="AW476" i="19"/>
  <c r="BC476" i="19" s="1"/>
  <c r="BH423" i="19"/>
  <c r="AD423" i="19" s="1"/>
  <c r="BH400" i="19"/>
  <c r="AD400" i="19" s="1"/>
  <c r="BH353" i="19"/>
  <c r="AD353" i="19" s="1"/>
  <c r="AW353" i="19"/>
  <c r="BI598" i="19"/>
  <c r="AC598" i="19" s="1"/>
  <c r="AX598" i="19"/>
  <c r="AW597" i="19"/>
  <c r="BI595" i="19"/>
  <c r="AC595" i="19" s="1"/>
  <c r="AW595" i="19"/>
  <c r="BC595" i="19" s="1"/>
  <c r="BI594" i="19"/>
  <c r="AC594" i="19" s="1"/>
  <c r="AX594" i="19"/>
  <c r="BC592" i="19"/>
  <c r="AU591" i="19"/>
  <c r="AW590" i="19"/>
  <c r="BH587" i="19"/>
  <c r="AB587" i="19" s="1"/>
  <c r="BI586" i="19"/>
  <c r="AC586" i="19" s="1"/>
  <c r="AW586" i="19"/>
  <c r="BI584" i="19"/>
  <c r="AC584" i="19" s="1"/>
  <c r="BI581" i="19"/>
  <c r="AC581" i="19" s="1"/>
  <c r="BI580" i="19"/>
  <c r="AC580" i="19" s="1"/>
  <c r="AW580" i="19"/>
  <c r="BC580" i="19" s="1"/>
  <c r="BI579" i="19"/>
  <c r="AC579" i="19" s="1"/>
  <c r="AX579" i="19"/>
  <c r="BH576" i="19"/>
  <c r="AB576" i="19" s="1"/>
  <c r="BH575" i="19"/>
  <c r="AB575" i="19" s="1"/>
  <c r="BI574" i="19"/>
  <c r="AC574" i="19" s="1"/>
  <c r="AW574" i="19"/>
  <c r="BH572" i="19"/>
  <c r="AB572" i="19" s="1"/>
  <c r="AW572" i="19"/>
  <c r="BC572" i="19" s="1"/>
  <c r="BI571" i="19"/>
  <c r="AC571" i="19" s="1"/>
  <c r="AX571" i="19"/>
  <c r="AW570" i="19"/>
  <c r="BI565" i="19"/>
  <c r="AC565" i="19" s="1"/>
  <c r="BI564" i="19"/>
  <c r="AC564" i="19" s="1"/>
  <c r="BI561" i="19"/>
  <c r="AC561" i="19" s="1"/>
  <c r="BI560" i="19"/>
  <c r="AC560" i="19" s="1"/>
  <c r="AW560" i="19"/>
  <c r="BC560" i="19" s="1"/>
  <c r="BI559" i="19"/>
  <c r="AC559" i="19" s="1"/>
  <c r="AX559" i="19"/>
  <c r="BH556" i="19"/>
  <c r="AB556" i="19" s="1"/>
  <c r="AW556" i="19"/>
  <c r="BC556" i="19" s="1"/>
  <c r="BI555" i="19"/>
  <c r="AC555" i="19" s="1"/>
  <c r="AX555" i="19"/>
  <c r="BI549" i="19"/>
  <c r="AC549" i="19" s="1"/>
  <c r="BI548" i="19"/>
  <c r="AC548" i="19" s="1"/>
  <c r="AW548" i="19"/>
  <c r="BC548" i="19" s="1"/>
  <c r="BI547" i="19"/>
  <c r="AC547" i="19" s="1"/>
  <c r="AX547" i="19"/>
  <c r="BH544" i="19"/>
  <c r="AB544" i="19" s="1"/>
  <c r="AW544" i="19"/>
  <c r="BC544" i="19" s="1"/>
  <c r="BI543" i="19"/>
  <c r="AC543" i="19" s="1"/>
  <c r="AX543" i="19"/>
  <c r="BH538" i="19"/>
  <c r="AB538" i="19" s="1"/>
  <c r="BI533" i="19"/>
  <c r="AC533" i="19" s="1"/>
  <c r="BI532" i="19"/>
  <c r="AC532" i="19" s="1"/>
  <c r="AW532" i="19"/>
  <c r="BC532" i="19" s="1"/>
  <c r="BI531" i="19"/>
  <c r="AC531" i="19" s="1"/>
  <c r="AX531" i="19"/>
  <c r="BH529" i="19"/>
  <c r="AB529" i="19" s="1"/>
  <c r="BH528" i="19"/>
  <c r="AB528" i="19" s="1"/>
  <c r="BH527" i="19"/>
  <c r="AB527" i="19" s="1"/>
  <c r="BI526" i="19"/>
  <c r="AC526" i="19" s="1"/>
  <c r="AW526" i="19"/>
  <c r="J524" i="19"/>
  <c r="BH522" i="19"/>
  <c r="AB522" i="19" s="1"/>
  <c r="BH516" i="19"/>
  <c r="AB516" i="19" s="1"/>
  <c r="K515" i="19"/>
  <c r="G51" i="18" s="1"/>
  <c r="I51" i="18" s="1"/>
  <c r="I514" i="19"/>
  <c r="I512" i="19" s="1"/>
  <c r="E50" i="18" s="1"/>
  <c r="J510" i="19"/>
  <c r="BH509" i="19"/>
  <c r="AB509" i="19" s="1"/>
  <c r="J506" i="19"/>
  <c r="BI504" i="19"/>
  <c r="AC504" i="19" s="1"/>
  <c r="AX504" i="19"/>
  <c r="BH499" i="19"/>
  <c r="AB499" i="19" s="1"/>
  <c r="BI498" i="19"/>
  <c r="AC498" i="19" s="1"/>
  <c r="AX498" i="19"/>
  <c r="BH495" i="19"/>
  <c r="AB495" i="19" s="1"/>
  <c r="AW493" i="19"/>
  <c r="BH488" i="19"/>
  <c r="AB488" i="19" s="1"/>
  <c r="AW486" i="19"/>
  <c r="AV485" i="19"/>
  <c r="BI483" i="19"/>
  <c r="AC483" i="19" s="1"/>
  <c r="BH477" i="19"/>
  <c r="AB477" i="19" s="1"/>
  <c r="AW477" i="19"/>
  <c r="I470" i="19"/>
  <c r="BH470" i="19"/>
  <c r="AB470" i="19" s="1"/>
  <c r="AW470" i="19"/>
  <c r="I469" i="19"/>
  <c r="AX461" i="19"/>
  <c r="BI461" i="19"/>
  <c r="AE461" i="19" s="1"/>
  <c r="J461" i="19"/>
  <c r="I454" i="19"/>
  <c r="BH454" i="19"/>
  <c r="AD454" i="19" s="1"/>
  <c r="AW454" i="19"/>
  <c r="AX450" i="19"/>
  <c r="BI450" i="19"/>
  <c r="AE450" i="19" s="1"/>
  <c r="J450" i="19"/>
  <c r="AU425" i="19"/>
  <c r="AX413" i="19"/>
  <c r="BI413" i="19"/>
  <c r="AE413" i="19" s="1"/>
  <c r="J413" i="19"/>
  <c r="I405" i="19"/>
  <c r="AW405" i="19"/>
  <c r="BH405" i="19"/>
  <c r="AD405" i="19" s="1"/>
  <c r="AW403" i="19"/>
  <c r="BH403" i="19"/>
  <c r="AX402" i="19"/>
  <c r="BI402" i="19"/>
  <c r="AE402" i="19" s="1"/>
  <c r="J402" i="19"/>
  <c r="BH395" i="19"/>
  <c r="AD395" i="19" s="1"/>
  <c r="AU391" i="19"/>
  <c r="I384" i="19"/>
  <c r="BH384" i="19"/>
  <c r="AD384" i="19" s="1"/>
  <c r="AW384" i="19"/>
  <c r="AW380" i="19"/>
  <c r="I380" i="19"/>
  <c r="BH376" i="19"/>
  <c r="AD376" i="19" s="1"/>
  <c r="I353" i="19"/>
  <c r="J305" i="19"/>
  <c r="BI305" i="19"/>
  <c r="AE305" i="19" s="1"/>
  <c r="I291" i="19"/>
  <c r="BH291" i="19"/>
  <c r="AD291" i="19" s="1"/>
  <c r="AW291" i="19"/>
  <c r="I267" i="19"/>
  <c r="AW267" i="19"/>
  <c r="BH267" i="19"/>
  <c r="AD267" i="19" s="1"/>
  <c r="J261" i="19"/>
  <c r="AX261" i="19"/>
  <c r="AW256" i="19"/>
  <c r="I256" i="19"/>
  <c r="I227" i="19"/>
  <c r="AW227" i="19"/>
  <c r="BH227" i="19"/>
  <c r="AD227" i="19" s="1"/>
  <c r="J221" i="19"/>
  <c r="AX221" i="19"/>
  <c r="AW98" i="19"/>
  <c r="I98" i="19"/>
  <c r="I485" i="19"/>
  <c r="BI465" i="19"/>
  <c r="AG465" i="19" s="1"/>
  <c r="BH457" i="19"/>
  <c r="AD457" i="19" s="1"/>
  <c r="J457" i="19"/>
  <c r="BI453" i="19"/>
  <c r="AE453" i="19" s="1"/>
  <c r="AX453" i="19"/>
  <c r="BH451" i="19"/>
  <c r="AD451" i="19" s="1"/>
  <c r="I451" i="19"/>
  <c r="J447" i="19"/>
  <c r="J443" i="19"/>
  <c r="AX429" i="19"/>
  <c r="AV429" i="19" s="1"/>
  <c r="AX424" i="19"/>
  <c r="J409" i="19"/>
  <c r="AS391" i="19"/>
  <c r="I388" i="19"/>
  <c r="BH385" i="19"/>
  <c r="AD385" i="19" s="1"/>
  <c r="BI383" i="19"/>
  <c r="AE383" i="19" s="1"/>
  <c r="BI379" i="19"/>
  <c r="AE379" i="19" s="1"/>
  <c r="BI375" i="19"/>
  <c r="AE375" i="19" s="1"/>
  <c r="BI371" i="19"/>
  <c r="AE371" i="19" s="1"/>
  <c r="BI367" i="19"/>
  <c r="AE367" i="19" s="1"/>
  <c r="I357" i="19"/>
  <c r="I347" i="19"/>
  <c r="AW347" i="19"/>
  <c r="BH347" i="19"/>
  <c r="AD347" i="19" s="1"/>
  <c r="J342" i="19"/>
  <c r="AX342" i="19"/>
  <c r="J340" i="19"/>
  <c r="AX340" i="19"/>
  <c r="AW325" i="19"/>
  <c r="BH325" i="19"/>
  <c r="AD325" i="19" s="1"/>
  <c r="I324" i="19"/>
  <c r="BH324" i="19"/>
  <c r="AD324" i="19" s="1"/>
  <c r="AW324" i="19"/>
  <c r="AX316" i="19"/>
  <c r="BC316" i="19" s="1"/>
  <c r="BI316" i="19"/>
  <c r="AE316" i="19" s="1"/>
  <c r="J316" i="19"/>
  <c r="J308" i="19"/>
  <c r="AX296" i="19"/>
  <c r="I295" i="19"/>
  <c r="I289" i="19"/>
  <c r="AW289" i="19"/>
  <c r="BH289" i="19"/>
  <c r="AD289" i="19" s="1"/>
  <c r="I283" i="19"/>
  <c r="I262" i="19"/>
  <c r="AW262" i="19"/>
  <c r="BH262" i="19"/>
  <c r="AD262" i="19" s="1"/>
  <c r="I258" i="19"/>
  <c r="AW258" i="19"/>
  <c r="AV258" i="19" s="1"/>
  <c r="BH258" i="19"/>
  <c r="AD258" i="19" s="1"/>
  <c r="I222" i="19"/>
  <c r="AW222" i="19"/>
  <c r="BC222" i="19" s="1"/>
  <c r="BH222" i="19"/>
  <c r="AD222" i="19" s="1"/>
  <c r="J212" i="19"/>
  <c r="BI212" i="19"/>
  <c r="AE212" i="19" s="1"/>
  <c r="AX211" i="19"/>
  <c r="AV211" i="19" s="1"/>
  <c r="BI211" i="19"/>
  <c r="AE211" i="19" s="1"/>
  <c r="J211" i="19"/>
  <c r="AX195" i="19"/>
  <c r="BI195" i="19"/>
  <c r="AE195" i="19" s="1"/>
  <c r="J195" i="19"/>
  <c r="J190" i="19"/>
  <c r="AX190" i="19"/>
  <c r="BI190" i="19"/>
  <c r="AE190" i="19" s="1"/>
  <c r="AW187" i="19"/>
  <c r="BH187" i="19"/>
  <c r="AD187" i="19" s="1"/>
  <c r="AW184" i="19"/>
  <c r="BH184" i="19"/>
  <c r="AD184" i="19" s="1"/>
  <c r="AU172" i="19"/>
  <c r="BH164" i="19"/>
  <c r="AW164" i="19"/>
  <c r="I164" i="19"/>
  <c r="I162" i="19"/>
  <c r="AW162" i="19"/>
  <c r="BH162" i="19"/>
  <c r="I101" i="19"/>
  <c r="AW101" i="19"/>
  <c r="BH101" i="19"/>
  <c r="AB101" i="19" s="1"/>
  <c r="BC37" i="19"/>
  <c r="AV37" i="19"/>
  <c r="AS36" i="19"/>
  <c r="AX16" i="19"/>
  <c r="BI16" i="19"/>
  <c r="AC16" i="19" s="1"/>
  <c r="BH485" i="19"/>
  <c r="AB485" i="19" s="1"/>
  <c r="AX481" i="19"/>
  <c r="AV481" i="19" s="1"/>
  <c r="J480" i="19"/>
  <c r="BH474" i="19"/>
  <c r="AB474" i="19" s="1"/>
  <c r="BI471" i="19"/>
  <c r="AC471" i="19" s="1"/>
  <c r="AX471" i="19"/>
  <c r="BI460" i="19"/>
  <c r="AE460" i="19" s="1"/>
  <c r="AX460" i="19"/>
  <c r="BC451" i="19"/>
  <c r="AS448" i="19"/>
  <c r="AX440" i="19"/>
  <c r="AV440" i="19" s="1"/>
  <c r="AX438" i="19"/>
  <c r="I436" i="19"/>
  <c r="I429" i="19"/>
  <c r="BI414" i="19"/>
  <c r="AE414" i="19" s="1"/>
  <c r="AX414" i="19"/>
  <c r="AV414" i="19" s="1"/>
  <c r="AX412" i="19"/>
  <c r="BH410" i="19"/>
  <c r="AD410" i="19" s="1"/>
  <c r="BI406" i="19"/>
  <c r="AE406" i="19" s="1"/>
  <c r="BI403" i="19"/>
  <c r="AX403" i="19"/>
  <c r="BI401" i="19"/>
  <c r="AE401" i="19" s="1"/>
  <c r="AX401" i="19"/>
  <c r="BI398" i="19"/>
  <c r="AE398" i="19" s="1"/>
  <c r="J394" i="19"/>
  <c r="J383" i="19"/>
  <c r="J379" i="19"/>
  <c r="J375" i="19"/>
  <c r="J371" i="19"/>
  <c r="J367" i="19"/>
  <c r="AX352" i="19"/>
  <c r="BI352" i="19"/>
  <c r="AE352" i="19" s="1"/>
  <c r="AW321" i="19"/>
  <c r="I321" i="19"/>
  <c r="BH321" i="19"/>
  <c r="AD321" i="19" s="1"/>
  <c r="J319" i="19"/>
  <c r="AX319" i="19"/>
  <c r="AX312" i="19"/>
  <c r="BI312" i="19"/>
  <c r="AE312" i="19" s="1"/>
  <c r="J312" i="19"/>
  <c r="AX301" i="19"/>
  <c r="BC301" i="19" s="1"/>
  <c r="BI301" i="19"/>
  <c r="AE301" i="19" s="1"/>
  <c r="J301" i="19"/>
  <c r="J297" i="19"/>
  <c r="AX297" i="19"/>
  <c r="AV297" i="19" s="1"/>
  <c r="BI297" i="19"/>
  <c r="AE297" i="19" s="1"/>
  <c r="J284" i="19"/>
  <c r="AX284" i="19"/>
  <c r="AX282" i="19"/>
  <c r="AV282" i="19" s="1"/>
  <c r="BI282" i="19"/>
  <c r="AE282" i="19" s="1"/>
  <c r="J282" i="19"/>
  <c r="I278" i="19"/>
  <c r="AW278" i="19"/>
  <c r="BH278" i="19"/>
  <c r="AD278" i="19" s="1"/>
  <c r="J270" i="19"/>
  <c r="AX270" i="19"/>
  <c r="AV270" i="19" s="1"/>
  <c r="BI270" i="19"/>
  <c r="AE270" i="19" s="1"/>
  <c r="AX254" i="19"/>
  <c r="BI254" i="19"/>
  <c r="AE254" i="19" s="1"/>
  <c r="AX247" i="19"/>
  <c r="BC247" i="19" s="1"/>
  <c r="BI247" i="19"/>
  <c r="AE247" i="19" s="1"/>
  <c r="J247" i="19"/>
  <c r="I242" i="19"/>
  <c r="AW242" i="19"/>
  <c r="BC242" i="19" s="1"/>
  <c r="BH242" i="19"/>
  <c r="AD242" i="19" s="1"/>
  <c r="AW232" i="19"/>
  <c r="I232" i="19"/>
  <c r="J230" i="19"/>
  <c r="AX230" i="19"/>
  <c r="BI230" i="19"/>
  <c r="AE230" i="19" s="1"/>
  <c r="I204" i="19"/>
  <c r="BH204" i="19"/>
  <c r="AD204" i="19" s="1"/>
  <c r="AW204" i="19"/>
  <c r="AX199" i="19"/>
  <c r="AV199" i="19" s="1"/>
  <c r="BI199" i="19"/>
  <c r="AE199" i="19" s="1"/>
  <c r="J199" i="19"/>
  <c r="I192" i="19"/>
  <c r="BH192" i="19"/>
  <c r="AD192" i="19" s="1"/>
  <c r="AW192" i="19"/>
  <c r="BH191" i="19"/>
  <c r="AD191" i="19" s="1"/>
  <c r="AW191" i="19"/>
  <c r="AV191" i="19" s="1"/>
  <c r="J126" i="19"/>
  <c r="AX126" i="19"/>
  <c r="AW466" i="19"/>
  <c r="J464" i="19"/>
  <c r="AS456" i="19"/>
  <c r="BC458" i="19"/>
  <c r="J454" i="19"/>
  <c r="BC436" i="19"/>
  <c r="BC429" i="19"/>
  <c r="AW413" i="19"/>
  <c r="AW411" i="19"/>
  <c r="AW402" i="19"/>
  <c r="J398" i="19"/>
  <c r="AX364" i="19"/>
  <c r="BC364" i="19" s="1"/>
  <c r="J355" i="19"/>
  <c r="AX355" i="19"/>
  <c r="AX353" i="19"/>
  <c r="BI353" i="19"/>
  <c r="AE353" i="19" s="1"/>
  <c r="J353" i="19"/>
  <c r="I351" i="19"/>
  <c r="BH351" i="19"/>
  <c r="AD351" i="19" s="1"/>
  <c r="AW351" i="19"/>
  <c r="AX339" i="19"/>
  <c r="BI339" i="19"/>
  <c r="AE339" i="19" s="1"/>
  <c r="J339" i="19"/>
  <c r="K327" i="19"/>
  <c r="G40" i="18" s="1"/>
  <c r="I40" i="18" s="1"/>
  <c r="BI319" i="19"/>
  <c r="AE319" i="19" s="1"/>
  <c r="J311" i="19"/>
  <c r="AX311" i="19"/>
  <c r="BI311" i="19"/>
  <c r="AE311" i="19" s="1"/>
  <c r="I310" i="19"/>
  <c r="AW310" i="19"/>
  <c r="AW298" i="19"/>
  <c r="BC298" i="19" s="1"/>
  <c r="BH298" i="19"/>
  <c r="AD298" i="19" s="1"/>
  <c r="I297" i="19"/>
  <c r="AW297" i="19"/>
  <c r="BH297" i="19"/>
  <c r="AD297" i="19" s="1"/>
  <c r="BH294" i="19"/>
  <c r="AD294" i="19" s="1"/>
  <c r="AW294" i="19"/>
  <c r="AW290" i="19"/>
  <c r="AV290" i="19" s="1"/>
  <c r="I285" i="19"/>
  <c r="AW285" i="19"/>
  <c r="BH285" i="19"/>
  <c r="AD285" i="19" s="1"/>
  <c r="AV279" i="19"/>
  <c r="I270" i="19"/>
  <c r="AW270" i="19"/>
  <c r="BH270" i="19"/>
  <c r="AD270" i="19" s="1"/>
  <c r="J266" i="19"/>
  <c r="AX266" i="19"/>
  <c r="BI266" i="19"/>
  <c r="AE266" i="19" s="1"/>
  <c r="BH263" i="19"/>
  <c r="AD263" i="19" s="1"/>
  <c r="AX255" i="19"/>
  <c r="AV255" i="19" s="1"/>
  <c r="BI255" i="19"/>
  <c r="AE255" i="19" s="1"/>
  <c r="J255" i="19"/>
  <c r="J246" i="19"/>
  <c r="AX246" i="19"/>
  <c r="J239" i="19"/>
  <c r="I230" i="19"/>
  <c r="AW230" i="19"/>
  <c r="AV230" i="19" s="1"/>
  <c r="BH230" i="19"/>
  <c r="AD230" i="19" s="1"/>
  <c r="J226" i="19"/>
  <c r="AX226" i="19"/>
  <c r="BI226" i="19"/>
  <c r="AE226" i="19" s="1"/>
  <c r="BH223" i="19"/>
  <c r="AD223" i="19" s="1"/>
  <c r="J179" i="19"/>
  <c r="AX179" i="19"/>
  <c r="AX159" i="19"/>
  <c r="AV159" i="19" s="1"/>
  <c r="BI159" i="19"/>
  <c r="J159" i="19"/>
  <c r="I156" i="19"/>
  <c r="AX127" i="19"/>
  <c r="BC127" i="19" s="1"/>
  <c r="J127" i="19"/>
  <c r="BI127" i="19"/>
  <c r="AC127" i="19" s="1"/>
  <c r="BI126" i="19"/>
  <c r="AC126" i="19" s="1"/>
  <c r="AX97" i="19"/>
  <c r="BC97" i="19" s="1"/>
  <c r="BI97" i="19"/>
  <c r="AC97" i="19" s="1"/>
  <c r="J97" i="19"/>
  <c r="I211" i="19"/>
  <c r="J207" i="19"/>
  <c r="I199" i="19"/>
  <c r="I195" i="19"/>
  <c r="J180" i="19"/>
  <c r="I160" i="19"/>
  <c r="I127" i="19"/>
  <c r="BH127" i="19"/>
  <c r="AB127" i="19" s="1"/>
  <c r="AW127" i="19"/>
  <c r="AX84" i="19"/>
  <c r="AV84" i="19" s="1"/>
  <c r="BI84" i="19"/>
  <c r="AC84" i="19" s="1"/>
  <c r="J81" i="19"/>
  <c r="AX81" i="19"/>
  <c r="BI81" i="19"/>
  <c r="AC81" i="19" s="1"/>
  <c r="I79" i="19"/>
  <c r="BH79" i="19"/>
  <c r="AB79" i="19" s="1"/>
  <c r="AW79" i="19"/>
  <c r="BH44" i="19"/>
  <c r="AB44" i="19" s="1"/>
  <c r="I44" i="19"/>
  <c r="AW44" i="19"/>
  <c r="J33" i="19"/>
  <c r="AX33" i="19"/>
  <c r="BI33" i="19"/>
  <c r="AC33" i="19" s="1"/>
  <c r="I25" i="19"/>
  <c r="AW25" i="19"/>
  <c r="J24" i="19"/>
  <c r="AX24" i="19"/>
  <c r="BI24" i="19"/>
  <c r="AC24" i="19" s="1"/>
  <c r="I16" i="19"/>
  <c r="AW16" i="19"/>
  <c r="BC16" i="19" s="1"/>
  <c r="BH16" i="19"/>
  <c r="AB16" i="19" s="1"/>
  <c r="AX338" i="19"/>
  <c r="BH328" i="19"/>
  <c r="AD328" i="19" s="1"/>
  <c r="BI324" i="19"/>
  <c r="AE324" i="19" s="1"/>
  <c r="BH320" i="19"/>
  <c r="AD320" i="19" s="1"/>
  <c r="J320" i="19"/>
  <c r="AX315" i="19"/>
  <c r="BH309" i="19"/>
  <c r="AD309" i="19" s="1"/>
  <c r="I309" i="19"/>
  <c r="I282" i="19"/>
  <c r="J279" i="19"/>
  <c r="J275" i="19"/>
  <c r="J259" i="19"/>
  <c r="J243" i="19"/>
  <c r="C21" i="17"/>
  <c r="C20" i="17"/>
  <c r="AS172" i="19"/>
  <c r="I168" i="19"/>
  <c r="J167" i="19"/>
  <c r="BI163" i="19"/>
  <c r="AX163" i="19"/>
  <c r="I159" i="19"/>
  <c r="BI155" i="19"/>
  <c r="AX155" i="19"/>
  <c r="I135" i="19"/>
  <c r="I115" i="19"/>
  <c r="AW115" i="19"/>
  <c r="BH115" i="19"/>
  <c r="AB115" i="19" s="1"/>
  <c r="AX108" i="19"/>
  <c r="J108" i="19"/>
  <c r="J89" i="19"/>
  <c r="AX89" i="19"/>
  <c r="BI89" i="19"/>
  <c r="AC89" i="19" s="1"/>
  <c r="AX75" i="19"/>
  <c r="AV75" i="19" s="1"/>
  <c r="BI75" i="19"/>
  <c r="AC75" i="19" s="1"/>
  <c r="J75" i="19"/>
  <c r="J30" i="19"/>
  <c r="J29" i="19" s="1"/>
  <c r="F16" i="18" s="1"/>
  <c r="AX30" i="19"/>
  <c r="BI30" i="19"/>
  <c r="AC30" i="19" s="1"/>
  <c r="BH13" i="19"/>
  <c r="AB13" i="19" s="1"/>
  <c r="I13" i="19"/>
  <c r="AW13" i="19"/>
  <c r="BC13" i="19" s="1"/>
  <c r="J351" i="19"/>
  <c r="J324" i="19"/>
  <c r="J294" i="19"/>
  <c r="C27" i="17"/>
  <c r="J290" i="19"/>
  <c r="BH282" i="19"/>
  <c r="AD282" i="19" s="1"/>
  <c r="BI279" i="19"/>
  <c r="AE279" i="19" s="1"/>
  <c r="BI275" i="19"/>
  <c r="AE275" i="19" s="1"/>
  <c r="BI259" i="19"/>
  <c r="AE259" i="19" s="1"/>
  <c r="J231" i="19"/>
  <c r="BH211" i="19"/>
  <c r="AD211" i="19" s="1"/>
  <c r="BI207" i="19"/>
  <c r="AE207" i="19" s="1"/>
  <c r="BI198" i="19"/>
  <c r="AE198" i="19" s="1"/>
  <c r="J191" i="19"/>
  <c r="BH190" i="19"/>
  <c r="AD190" i="19" s="1"/>
  <c r="AW190" i="19"/>
  <c r="BI180" i="19"/>
  <c r="AE180" i="19" s="1"/>
  <c r="AU177" i="19"/>
  <c r="BI169" i="19"/>
  <c r="BH163" i="19"/>
  <c r="AW163" i="19"/>
  <c r="BH155" i="19"/>
  <c r="AW155" i="19"/>
  <c r="BI136" i="19"/>
  <c r="AC136" i="19" s="1"/>
  <c r="I131" i="19"/>
  <c r="AW131" i="19"/>
  <c r="BC131" i="19" s="1"/>
  <c r="BH131" i="19"/>
  <c r="AB131" i="19" s="1"/>
  <c r="I123" i="19"/>
  <c r="AW123" i="19"/>
  <c r="BH123" i="19"/>
  <c r="AB123" i="19" s="1"/>
  <c r="AT114" i="19"/>
  <c r="J103" i="19"/>
  <c r="AX103" i="19"/>
  <c r="BI103" i="19"/>
  <c r="AC103" i="19" s="1"/>
  <c r="J100" i="19"/>
  <c r="I90" i="19"/>
  <c r="BH90" i="19"/>
  <c r="AB90" i="19" s="1"/>
  <c r="AW90" i="19"/>
  <c r="AV90" i="19" s="1"/>
  <c r="I71" i="19"/>
  <c r="BH71" i="19"/>
  <c r="AB71" i="19" s="1"/>
  <c r="BH63" i="19"/>
  <c r="AB63" i="19" s="1"/>
  <c r="AW63" i="19"/>
  <c r="BC63" i="19" s="1"/>
  <c r="I63" i="19"/>
  <c r="I50" i="19"/>
  <c r="AW50" i="19"/>
  <c r="BH50" i="19"/>
  <c r="AB50" i="19" s="1"/>
  <c r="AT36" i="19"/>
  <c r="AX151" i="19"/>
  <c r="AX147" i="19"/>
  <c r="AX137" i="19"/>
  <c r="BH120" i="19"/>
  <c r="AB120" i="19" s="1"/>
  <c r="BH113" i="19"/>
  <c r="AB113" i="19" s="1"/>
  <c r="AV112" i="19"/>
  <c r="AX111" i="19"/>
  <c r="I107" i="19"/>
  <c r="AW107" i="19"/>
  <c r="BH107" i="19"/>
  <c r="AB107" i="19" s="1"/>
  <c r="I97" i="19"/>
  <c r="AW97" i="19"/>
  <c r="AS94" i="19"/>
  <c r="J83" i="19"/>
  <c r="AX83" i="19"/>
  <c r="BI83" i="19"/>
  <c r="AC83" i="19" s="1"/>
  <c r="AS82" i="19"/>
  <c r="I76" i="19"/>
  <c r="AX74" i="19"/>
  <c r="BC74" i="19" s="1"/>
  <c r="BI74" i="19"/>
  <c r="AC74" i="19" s="1"/>
  <c r="J74" i="19"/>
  <c r="AX56" i="19"/>
  <c r="AV56" i="19" s="1"/>
  <c r="J56" i="19"/>
  <c r="J46" i="19"/>
  <c r="J41" i="19"/>
  <c r="F20" i="18" s="1"/>
  <c r="I35" i="19"/>
  <c r="I34" i="19" s="1"/>
  <c r="E18" i="18" s="1"/>
  <c r="I20" i="19"/>
  <c r="I14" i="19"/>
  <c r="AS134" i="19"/>
  <c r="I105" i="19"/>
  <c r="AU94" i="19"/>
  <c r="AX90" i="19"/>
  <c r="BI90" i="19"/>
  <c r="AC90" i="19" s="1"/>
  <c r="J90" i="19"/>
  <c r="AS85" i="19"/>
  <c r="BC75" i="19"/>
  <c r="J69" i="19"/>
  <c r="AX63" i="19"/>
  <c r="J63" i="19"/>
  <c r="J52" i="19"/>
  <c r="AX52" i="19"/>
  <c r="BC52" i="19" s="1"/>
  <c r="BI52" i="19"/>
  <c r="AC52" i="19" s="1"/>
  <c r="AS49" i="19"/>
  <c r="BI46" i="19"/>
  <c r="AC46" i="19" s="1"/>
  <c r="K31" i="19"/>
  <c r="G17" i="18" s="1"/>
  <c r="I17" i="18" s="1"/>
  <c r="AK32" i="19"/>
  <c r="AT31" i="19" s="1"/>
  <c r="AS26" i="19"/>
  <c r="AS88" i="19"/>
  <c r="AU82" i="19"/>
  <c r="I60" i="19"/>
  <c r="AV47" i="19"/>
  <c r="AU22" i="19"/>
  <c r="AS19" i="19"/>
  <c r="BH514" i="11"/>
  <c r="AB514" i="11" s="1"/>
  <c r="BI449" i="11"/>
  <c r="AE449" i="11" s="1"/>
  <c r="BH422" i="11"/>
  <c r="AD422" i="11" s="1"/>
  <c r="BI614" i="11"/>
  <c r="AC614" i="11" s="1"/>
  <c r="BI537" i="11"/>
  <c r="AC537" i="11" s="1"/>
  <c r="BI416" i="11"/>
  <c r="AE416" i="11" s="1"/>
  <c r="BI347" i="11"/>
  <c r="AE347" i="11" s="1"/>
  <c r="BI234" i="11"/>
  <c r="AE234" i="11" s="1"/>
  <c r="BI233" i="11"/>
  <c r="AE233" i="11" s="1"/>
  <c r="BI139" i="11"/>
  <c r="AC139" i="11" s="1"/>
  <c r="BI45" i="11"/>
  <c r="AC45" i="11" s="1"/>
  <c r="BH39" i="11"/>
  <c r="AB39" i="11" s="1"/>
  <c r="BI568" i="11"/>
  <c r="AC568" i="11" s="1"/>
  <c r="BI622" i="11"/>
  <c r="AC622" i="11" s="1"/>
  <c r="BH616" i="11"/>
  <c r="AB616" i="11" s="1"/>
  <c r="AW563" i="11"/>
  <c r="BC563" i="11" s="1"/>
  <c r="I517" i="11"/>
  <c r="BI349" i="11"/>
  <c r="AE349" i="11" s="1"/>
  <c r="AW276" i="11"/>
  <c r="BI251" i="11"/>
  <c r="AE251" i="11" s="1"/>
  <c r="AW226" i="11"/>
  <c r="BI215" i="11"/>
  <c r="AE215" i="11" s="1"/>
  <c r="BH51" i="11"/>
  <c r="AB51" i="11" s="1"/>
  <c r="AW51" i="11"/>
  <c r="BH517" i="11"/>
  <c r="AB517" i="11" s="1"/>
  <c r="BI516" i="11"/>
  <c r="AC516" i="11" s="1"/>
  <c r="BH610" i="11"/>
  <c r="AB610" i="11" s="1"/>
  <c r="AW603" i="11"/>
  <c r="AX568" i="11"/>
  <c r="AX564" i="11"/>
  <c r="BI554" i="11"/>
  <c r="AC554" i="11" s="1"/>
  <c r="AW552" i="11"/>
  <c r="AX516" i="11"/>
  <c r="I455" i="11"/>
  <c r="AX449" i="11"/>
  <c r="BH276" i="11"/>
  <c r="AD276" i="11" s="1"/>
  <c r="AW268" i="11"/>
  <c r="BH226" i="11"/>
  <c r="AD226" i="11" s="1"/>
  <c r="BI191" i="11"/>
  <c r="AX151" i="11"/>
  <c r="BI90" i="11"/>
  <c r="AC90" i="11" s="1"/>
  <c r="BH437" i="11"/>
  <c r="AD437" i="11" s="1"/>
  <c r="BH348" i="11"/>
  <c r="AD348" i="11" s="1"/>
  <c r="BI136" i="11"/>
  <c r="AC136" i="11" s="1"/>
  <c r="BI606" i="11"/>
  <c r="AC606" i="11" s="1"/>
  <c r="BI569" i="11"/>
  <c r="AC569" i="11" s="1"/>
  <c r="BI545" i="11"/>
  <c r="AC545" i="11" s="1"/>
  <c r="BI457" i="11"/>
  <c r="AE457" i="11" s="1"/>
  <c r="BI390" i="11"/>
  <c r="AE390" i="11" s="1"/>
  <c r="BI332" i="11"/>
  <c r="AE332" i="11" s="1"/>
  <c r="BI272" i="11"/>
  <c r="AE272" i="11" s="1"/>
  <c r="BI236" i="11"/>
  <c r="AE236" i="11" s="1"/>
  <c r="BI229" i="11"/>
  <c r="AE229" i="11" s="1"/>
  <c r="BI106" i="11"/>
  <c r="AC106" i="11" s="1"/>
  <c r="BI79" i="11"/>
  <c r="AC79" i="11" s="1"/>
  <c r="AX71" i="11"/>
  <c r="BI63" i="11"/>
  <c r="AC63" i="11" s="1"/>
  <c r="BH472" i="11"/>
  <c r="BI471" i="11"/>
  <c r="AE471" i="11" s="1"/>
  <c r="BI343" i="11"/>
  <c r="AE343" i="11" s="1"/>
  <c r="BH301" i="11"/>
  <c r="AD301" i="11" s="1"/>
  <c r="BI595" i="11"/>
  <c r="AC595" i="11" s="1"/>
  <c r="BH562" i="11"/>
  <c r="AB562" i="11" s="1"/>
  <c r="AW537" i="11"/>
  <c r="BC537" i="11" s="1"/>
  <c r="BH475" i="11"/>
  <c r="AD475" i="11" s="1"/>
  <c r="BI425" i="11"/>
  <c r="AE425" i="11" s="1"/>
  <c r="AV351" i="11"/>
  <c r="AW265" i="11"/>
  <c r="BC265" i="11" s="1"/>
  <c r="AW215" i="11"/>
  <c r="AW172" i="11"/>
  <c r="AW167" i="11"/>
  <c r="BI159" i="11"/>
  <c r="AC159" i="11" s="1"/>
  <c r="AW137" i="11"/>
  <c r="AW125" i="11"/>
  <c r="BI109" i="11"/>
  <c r="AC109" i="11" s="1"/>
  <c r="BI103" i="11"/>
  <c r="AC103" i="11" s="1"/>
  <c r="AW36" i="11"/>
  <c r="AU26" i="11"/>
  <c r="AW23" i="11"/>
  <c r="AW592" i="11"/>
  <c r="AW588" i="11"/>
  <c r="BH585" i="11"/>
  <c r="AB585" i="11" s="1"/>
  <c r="BH570" i="11"/>
  <c r="AB570" i="11" s="1"/>
  <c r="BI564" i="11"/>
  <c r="AC564" i="11" s="1"/>
  <c r="BI563" i="11"/>
  <c r="AC563" i="11" s="1"/>
  <c r="BI521" i="11"/>
  <c r="AC521" i="11" s="1"/>
  <c r="BI440" i="11"/>
  <c r="AE440" i="11" s="1"/>
  <c r="BI435" i="11"/>
  <c r="AE435" i="11" s="1"/>
  <c r="BI429" i="11"/>
  <c r="AE429" i="11" s="1"/>
  <c r="AW413" i="11"/>
  <c r="BI370" i="11"/>
  <c r="AE370" i="11" s="1"/>
  <c r="BI361" i="11"/>
  <c r="AE361" i="11" s="1"/>
  <c r="AW350" i="11"/>
  <c r="BH333" i="11"/>
  <c r="AD333" i="11" s="1"/>
  <c r="AW325" i="11"/>
  <c r="BI305" i="11"/>
  <c r="AE305" i="11" s="1"/>
  <c r="AW297" i="11"/>
  <c r="BH286" i="11"/>
  <c r="AD286" i="11" s="1"/>
  <c r="AW220" i="11"/>
  <c r="BI621" i="11"/>
  <c r="AC621" i="11" s="1"/>
  <c r="AW616" i="11"/>
  <c r="AW609" i="11"/>
  <c r="AW607" i="11"/>
  <c r="BC607" i="11" s="1"/>
  <c r="BH592" i="11"/>
  <c r="AB592" i="11" s="1"/>
  <c r="BH588" i="11"/>
  <c r="AB588" i="11" s="1"/>
  <c r="BI573" i="11"/>
  <c r="AC573" i="11" s="1"/>
  <c r="BI572" i="11"/>
  <c r="AC572" i="11" s="1"/>
  <c r="BI571" i="11"/>
  <c r="AC571" i="11" s="1"/>
  <c r="BI559" i="11"/>
  <c r="AC559" i="11" s="1"/>
  <c r="AW548" i="11"/>
  <c r="J546" i="11"/>
  <c r="BH537" i="11"/>
  <c r="AB537" i="11" s="1"/>
  <c r="AW524" i="11"/>
  <c r="AW502" i="11"/>
  <c r="BI481" i="11"/>
  <c r="AE481" i="11" s="1"/>
  <c r="AX416" i="11"/>
  <c r="BI409" i="11"/>
  <c r="AE409" i="11" s="1"/>
  <c r="BI404" i="11"/>
  <c r="AE404" i="11" s="1"/>
  <c r="BI395" i="11"/>
  <c r="AE395" i="11" s="1"/>
  <c r="AX395" i="11"/>
  <c r="BI384" i="11"/>
  <c r="AE384" i="11" s="1"/>
  <c r="BH351" i="11"/>
  <c r="AD351" i="11" s="1"/>
  <c r="AX338" i="11"/>
  <c r="AW300" i="11"/>
  <c r="BI288" i="11"/>
  <c r="AE288" i="11" s="1"/>
  <c r="BH265" i="11"/>
  <c r="AD265" i="11" s="1"/>
  <c r="AW264" i="11"/>
  <c r="AX233" i="11"/>
  <c r="BH220" i="11"/>
  <c r="AD220" i="11" s="1"/>
  <c r="AW195" i="11"/>
  <c r="AW144" i="11"/>
  <c r="AW136" i="11"/>
  <c r="BH125" i="11"/>
  <c r="AB125" i="11" s="1"/>
  <c r="AW121" i="11"/>
  <c r="BI119" i="11"/>
  <c r="AC119" i="11" s="1"/>
  <c r="BI89" i="11"/>
  <c r="AC89" i="11" s="1"/>
  <c r="BH36" i="11"/>
  <c r="AB36" i="11" s="1"/>
  <c r="BH23" i="11"/>
  <c r="AB23" i="11" s="1"/>
  <c r="AX22" i="11"/>
  <c r="AX16" i="11"/>
  <c r="BH596" i="11"/>
  <c r="AB596" i="11" s="1"/>
  <c r="AX575" i="11"/>
  <c r="BI575" i="11"/>
  <c r="AC575" i="11" s="1"/>
  <c r="AW560" i="11"/>
  <c r="I560" i="11"/>
  <c r="BI532" i="11"/>
  <c r="AC532" i="11" s="1"/>
  <c r="I561" i="11"/>
  <c r="AW561" i="11"/>
  <c r="BI421" i="11"/>
  <c r="AE421" i="11" s="1"/>
  <c r="BI385" i="11"/>
  <c r="AE385" i="11" s="1"/>
  <c r="I377" i="11"/>
  <c r="AW377" i="11"/>
  <c r="I266" i="11"/>
  <c r="AW266" i="11"/>
  <c r="AX179" i="11"/>
  <c r="J179" i="11"/>
  <c r="BI179" i="11"/>
  <c r="BI151" i="11"/>
  <c r="AC151" i="11" s="1"/>
  <c r="I146" i="11"/>
  <c r="AW146" i="11"/>
  <c r="BH146" i="11"/>
  <c r="AB146" i="11" s="1"/>
  <c r="AX68" i="11"/>
  <c r="BI68" i="11"/>
  <c r="AC68" i="11" s="1"/>
  <c r="I533" i="11"/>
  <c r="AW533" i="11"/>
  <c r="J512" i="11"/>
  <c r="AX512" i="11"/>
  <c r="I477" i="11"/>
  <c r="AW477" i="11"/>
  <c r="J386" i="11"/>
  <c r="AX386" i="11"/>
  <c r="AW359" i="11"/>
  <c r="I359" i="11"/>
  <c r="AX300" i="11"/>
  <c r="BI300" i="11"/>
  <c r="AE300" i="11" s="1"/>
  <c r="BH260" i="11"/>
  <c r="AD260" i="11" s="1"/>
  <c r="BH161" i="11"/>
  <c r="AB161" i="11" s="1"/>
  <c r="BH149" i="11"/>
  <c r="AB149" i="11" s="1"/>
  <c r="I87" i="11"/>
  <c r="AW87" i="11"/>
  <c r="BH87" i="11"/>
  <c r="AB87" i="11" s="1"/>
  <c r="J616" i="11"/>
  <c r="AX616" i="11"/>
  <c r="BI616" i="11"/>
  <c r="AC616" i="11" s="1"/>
  <c r="BH602" i="11"/>
  <c r="AB602" i="11" s="1"/>
  <c r="J513" i="11"/>
  <c r="AX513" i="11"/>
  <c r="I470" i="11"/>
  <c r="BH470" i="11"/>
  <c r="AD470" i="11" s="1"/>
  <c r="AW470" i="11"/>
  <c r="I421" i="11"/>
  <c r="AW421" i="11"/>
  <c r="BH420" i="11"/>
  <c r="AD420" i="11" s="1"/>
  <c r="I404" i="11"/>
  <c r="BH404" i="11"/>
  <c r="AD404" i="11" s="1"/>
  <c r="AW404" i="11"/>
  <c r="BH387" i="11"/>
  <c r="AD387" i="11" s="1"/>
  <c r="BI386" i="11"/>
  <c r="AE386" i="11" s="1"/>
  <c r="I383" i="11"/>
  <c r="AW383" i="11"/>
  <c r="BH329" i="11"/>
  <c r="AD329" i="11" s="1"/>
  <c r="I290" i="11"/>
  <c r="AW290" i="11"/>
  <c r="BH289" i="11"/>
  <c r="AD289" i="11" s="1"/>
  <c r="I246" i="11"/>
  <c r="AW246" i="11"/>
  <c r="BI237" i="11"/>
  <c r="AE237" i="11" s="1"/>
  <c r="I152" i="11"/>
  <c r="AW152" i="11"/>
  <c r="BH29" i="11"/>
  <c r="AB29" i="11" s="1"/>
  <c r="BI13" i="11"/>
  <c r="AC13" i="11" s="1"/>
  <c r="AX621" i="11"/>
  <c r="AW612" i="11"/>
  <c r="BH612" i="11"/>
  <c r="AB612" i="11" s="1"/>
  <c r="BI610" i="11"/>
  <c r="AC610" i="11" s="1"/>
  <c r="AX610" i="11"/>
  <c r="AW568" i="11"/>
  <c r="I568" i="11"/>
  <c r="BI567" i="11"/>
  <c r="AC567" i="11" s="1"/>
  <c r="BI529" i="11"/>
  <c r="AC529" i="11" s="1"/>
  <c r="J520" i="11"/>
  <c r="AX520" i="11"/>
  <c r="BI513" i="11"/>
  <c r="AC513" i="11" s="1"/>
  <c r="I509" i="11"/>
  <c r="BH509" i="11"/>
  <c r="AF509" i="11" s="1"/>
  <c r="AW509" i="11"/>
  <c r="J505" i="11"/>
  <c r="AX505" i="11"/>
  <c r="I488" i="11"/>
  <c r="AW488" i="11"/>
  <c r="AX442" i="11"/>
  <c r="I416" i="11"/>
  <c r="AW416" i="11"/>
  <c r="BH416" i="11"/>
  <c r="AD416" i="11" s="1"/>
  <c r="J397" i="11"/>
  <c r="AX397" i="11"/>
  <c r="I381" i="11"/>
  <c r="AW381" i="11"/>
  <c r="BH381" i="11"/>
  <c r="AD381" i="11" s="1"/>
  <c r="J372" i="11"/>
  <c r="AX372" i="11"/>
  <c r="I355" i="11"/>
  <c r="AX354" i="11"/>
  <c r="BI354" i="11"/>
  <c r="AE354" i="11" s="1"/>
  <c r="AW336" i="11"/>
  <c r="I336" i="11"/>
  <c r="BI308" i="11"/>
  <c r="AE308" i="11" s="1"/>
  <c r="AX251" i="11"/>
  <c r="I250" i="11"/>
  <c r="AX249" i="11"/>
  <c r="J248" i="11"/>
  <c r="AX248" i="11"/>
  <c r="BI248" i="11"/>
  <c r="AE248" i="11" s="1"/>
  <c r="J214" i="11"/>
  <c r="BI214" i="11"/>
  <c r="AE214" i="11" s="1"/>
  <c r="BI213" i="11"/>
  <c r="AE213" i="11" s="1"/>
  <c r="BI198" i="11"/>
  <c r="AE198" i="11" s="1"/>
  <c r="J181" i="11"/>
  <c r="BI181" i="11"/>
  <c r="J178" i="11"/>
  <c r="AX178" i="11"/>
  <c r="J97" i="11"/>
  <c r="J96" i="11" s="1"/>
  <c r="F25" i="10" s="1"/>
  <c r="AX97" i="11"/>
  <c r="BI97" i="11"/>
  <c r="AC97" i="11" s="1"/>
  <c r="I64" i="11"/>
  <c r="BH64" i="11"/>
  <c r="AB64" i="11" s="1"/>
  <c r="AW64" i="11"/>
  <c r="AX61" i="11"/>
  <c r="BI61" i="11"/>
  <c r="AC61" i="11" s="1"/>
  <c r="AS37" i="11"/>
  <c r="AX615" i="11"/>
  <c r="BI615" i="11"/>
  <c r="AC615" i="11" s="1"/>
  <c r="J502" i="11"/>
  <c r="AX502" i="11"/>
  <c r="BI502" i="11"/>
  <c r="AE502" i="11" s="1"/>
  <c r="BH462" i="11"/>
  <c r="AD462" i="11" s="1"/>
  <c r="BH425" i="11"/>
  <c r="AD425" i="11" s="1"/>
  <c r="I412" i="11"/>
  <c r="BH412" i="11"/>
  <c r="AD412" i="11" s="1"/>
  <c r="AW412" i="11"/>
  <c r="I408" i="11"/>
  <c r="AW408" i="11"/>
  <c r="J403" i="11"/>
  <c r="AX403" i="11"/>
  <c r="BH402" i="11"/>
  <c r="AD402" i="11" s="1"/>
  <c r="J382" i="11"/>
  <c r="AX382" i="11"/>
  <c r="I375" i="11"/>
  <c r="AW375" i="11"/>
  <c r="BH359" i="11"/>
  <c r="AD359" i="11" s="1"/>
  <c r="I193" i="11"/>
  <c r="AW193" i="11"/>
  <c r="BH164" i="11"/>
  <c r="AB164" i="11" s="1"/>
  <c r="AW164" i="11"/>
  <c r="I92" i="11"/>
  <c r="AW92" i="11"/>
  <c r="I45" i="11"/>
  <c r="AW45" i="11"/>
  <c r="BI576" i="11"/>
  <c r="AC576" i="11" s="1"/>
  <c r="I551" i="11"/>
  <c r="AW551" i="11"/>
  <c r="BI550" i="11"/>
  <c r="AC550" i="11" s="1"/>
  <c r="BI542" i="11"/>
  <c r="AC542" i="11" s="1"/>
  <c r="I528" i="11"/>
  <c r="AW528" i="11"/>
  <c r="BI512" i="11"/>
  <c r="AG512" i="11" s="1"/>
  <c r="I622" i="11"/>
  <c r="AW622" i="11"/>
  <c r="BC622" i="11" s="1"/>
  <c r="BI589" i="11"/>
  <c r="AC589" i="11" s="1"/>
  <c r="J583" i="11"/>
  <c r="I579" i="11"/>
  <c r="AW579" i="11"/>
  <c r="BC579" i="11" s="1"/>
  <c r="I571" i="11"/>
  <c r="AW571" i="11"/>
  <c r="BC571" i="11" s="1"/>
  <c r="AX532" i="11"/>
  <c r="I506" i="11"/>
  <c r="BH506" i="11"/>
  <c r="AD506" i="11" s="1"/>
  <c r="AW506" i="11"/>
  <c r="I443" i="11"/>
  <c r="AW443" i="11"/>
  <c r="I425" i="11"/>
  <c r="AX424" i="11"/>
  <c r="BI424" i="11"/>
  <c r="AE424" i="11" s="1"/>
  <c r="BI345" i="11"/>
  <c r="AE345" i="11" s="1"/>
  <c r="AX345" i="11"/>
  <c r="I332" i="11"/>
  <c r="AW332" i="11"/>
  <c r="I331" i="11"/>
  <c r="AW331" i="11"/>
  <c r="J322" i="11"/>
  <c r="AX322" i="11"/>
  <c r="J300" i="11"/>
  <c r="BC297" i="11"/>
  <c r="J296" i="11"/>
  <c r="BI296" i="11"/>
  <c r="AE296" i="11" s="1"/>
  <c r="J281" i="11"/>
  <c r="AX281" i="11"/>
  <c r="BI281" i="11"/>
  <c r="AE281" i="11" s="1"/>
  <c r="I248" i="11"/>
  <c r="AW248" i="11"/>
  <c r="BH248" i="11"/>
  <c r="AD248" i="11" s="1"/>
  <c r="J230" i="11"/>
  <c r="AX230" i="11"/>
  <c r="AX191" i="11"/>
  <c r="AW186" i="11"/>
  <c r="I186" i="11"/>
  <c r="I160" i="11"/>
  <c r="AW160" i="11"/>
  <c r="BI125" i="11"/>
  <c r="AC125" i="11" s="1"/>
  <c r="AX119" i="11"/>
  <c r="AX109" i="11"/>
  <c r="AX106" i="11"/>
  <c r="I97" i="11"/>
  <c r="I96" i="11" s="1"/>
  <c r="E25" i="10" s="1"/>
  <c r="AW97" i="11"/>
  <c r="BH97" i="11"/>
  <c r="AB97" i="11" s="1"/>
  <c r="J87" i="11"/>
  <c r="AX87" i="11"/>
  <c r="BI87" i="11"/>
  <c r="AC87" i="11" s="1"/>
  <c r="J38" i="11"/>
  <c r="BI38" i="11"/>
  <c r="AC38" i="11" s="1"/>
  <c r="AX614" i="11"/>
  <c r="BI612" i="11"/>
  <c r="AC612" i="11" s="1"/>
  <c r="AX612" i="11"/>
  <c r="BH607" i="11"/>
  <c r="AB607" i="11" s="1"/>
  <c r="AX606" i="11"/>
  <c r="AX595" i="11"/>
  <c r="I463" i="11"/>
  <c r="AX435" i="11"/>
  <c r="AX390" i="11"/>
  <c r="AX384" i="11"/>
  <c r="I378" i="11"/>
  <c r="I363" i="11"/>
  <c r="AX361" i="11"/>
  <c r="BH350" i="11"/>
  <c r="AD350" i="11" s="1"/>
  <c r="AX349" i="11"/>
  <c r="BH167" i="11"/>
  <c r="AX103" i="11"/>
  <c r="AU98" i="11"/>
  <c r="J85" i="11"/>
  <c r="AX79" i="11"/>
  <c r="BI478" i="11"/>
  <c r="BI155" i="11"/>
  <c r="AC155" i="11" s="1"/>
  <c r="I136" i="11"/>
  <c r="J91" i="11"/>
  <c r="BI353" i="11"/>
  <c r="AE353" i="11" s="1"/>
  <c r="AX353" i="11"/>
  <c r="J346" i="11"/>
  <c r="AX346" i="11"/>
  <c r="I343" i="11"/>
  <c r="AX339" i="11"/>
  <c r="AW328" i="11"/>
  <c r="J318" i="11"/>
  <c r="AX318" i="11"/>
  <c r="AW197" i="11"/>
  <c r="I197" i="11"/>
  <c r="I190" i="11"/>
  <c r="J189" i="11"/>
  <c r="AX189" i="11"/>
  <c r="BI189" i="11"/>
  <c r="AE189" i="11" s="1"/>
  <c r="AX188" i="11"/>
  <c r="AX64" i="11"/>
  <c r="BI64" i="11"/>
  <c r="AC64" i="11" s="1"/>
  <c r="J64" i="11"/>
  <c r="AX39" i="11"/>
  <c r="BI39" i="11"/>
  <c r="AC39" i="11" s="1"/>
  <c r="J39" i="11"/>
  <c r="J32" i="11"/>
  <c r="AX32" i="11"/>
  <c r="BH445" i="11"/>
  <c r="AD445" i="11" s="1"/>
  <c r="BH433" i="11"/>
  <c r="AD433" i="11" s="1"/>
  <c r="I382" i="11"/>
  <c r="AW382" i="11"/>
  <c r="BH382" i="11"/>
  <c r="AD382" i="11" s="1"/>
  <c r="AV616" i="11"/>
  <c r="J560" i="11"/>
  <c r="AX560" i="11"/>
  <c r="BI594" i="11"/>
  <c r="AC594" i="11" s="1"/>
  <c r="I503" i="11"/>
  <c r="BH503" i="11"/>
  <c r="AD503" i="11" s="1"/>
  <c r="J494" i="11"/>
  <c r="BI494" i="11"/>
  <c r="AE494" i="11" s="1"/>
  <c r="J469" i="11"/>
  <c r="AX469" i="11"/>
  <c r="BI469" i="11"/>
  <c r="AE469" i="11" s="1"/>
  <c r="AW459" i="11"/>
  <c r="I459" i="11"/>
  <c r="BH452" i="11"/>
  <c r="AD452" i="11" s="1"/>
  <c r="BI405" i="11"/>
  <c r="AE405" i="11" s="1"/>
  <c r="I540" i="11"/>
  <c r="AW540" i="11"/>
  <c r="J525" i="11"/>
  <c r="I489" i="11"/>
  <c r="AW489" i="11"/>
  <c r="I478" i="11"/>
  <c r="BH478" i="11"/>
  <c r="BI453" i="11"/>
  <c r="AE453" i="11" s="1"/>
  <c r="J412" i="11"/>
  <c r="AX412" i="11"/>
  <c r="BI412" i="11"/>
  <c r="AE412" i="11" s="1"/>
  <c r="BH410" i="11"/>
  <c r="AD410" i="11" s="1"/>
  <c r="I282" i="11"/>
  <c r="BH282" i="11"/>
  <c r="AD282" i="11" s="1"/>
  <c r="AW282" i="11"/>
  <c r="AX264" i="11"/>
  <c r="BI264" i="11"/>
  <c r="AE264" i="11" s="1"/>
  <c r="J264" i="11"/>
  <c r="J200" i="11"/>
  <c r="BI200" i="11"/>
  <c r="I189" i="11"/>
  <c r="AW189" i="11"/>
  <c r="BC189" i="11" s="1"/>
  <c r="BH189" i="11"/>
  <c r="AD189" i="11" s="1"/>
  <c r="BI188" i="11"/>
  <c r="AE188" i="11" s="1"/>
  <c r="BH179" i="11"/>
  <c r="AW179" i="11"/>
  <c r="I179" i="11"/>
  <c r="I103" i="11"/>
  <c r="AW103" i="11"/>
  <c r="BH103" i="11"/>
  <c r="AB103" i="11" s="1"/>
  <c r="AX100" i="11"/>
  <c r="J100" i="11"/>
  <c r="I81" i="11"/>
  <c r="AW81" i="11"/>
  <c r="I46" i="11"/>
  <c r="BH46" i="11"/>
  <c r="AB46" i="11" s="1"/>
  <c r="AW46" i="11"/>
  <c r="I33" i="11"/>
  <c r="BH33" i="11"/>
  <c r="AB33" i="11" s="1"/>
  <c r="AW33" i="11"/>
  <c r="AW608" i="11"/>
  <c r="J599" i="11"/>
  <c r="AW573" i="11"/>
  <c r="BI565" i="11"/>
  <c r="AC565" i="11" s="1"/>
  <c r="BI560" i="11"/>
  <c r="AC560" i="11" s="1"/>
  <c r="AX554" i="11"/>
  <c r="BH552" i="11"/>
  <c r="AB552" i="11" s="1"/>
  <c r="BH551" i="11"/>
  <c r="AB551" i="11" s="1"/>
  <c r="AX550" i="11"/>
  <c r="BI547" i="11"/>
  <c r="AC547" i="11" s="1"/>
  <c r="I542" i="11"/>
  <c r="AW542" i="11"/>
  <c r="BH542" i="11"/>
  <c r="AB542" i="11" s="1"/>
  <c r="I530" i="11"/>
  <c r="BH530" i="11"/>
  <c r="AB530" i="11" s="1"/>
  <c r="BI528" i="11"/>
  <c r="AC528" i="11" s="1"/>
  <c r="AX528" i="11"/>
  <c r="I525" i="11"/>
  <c r="AW525" i="11"/>
  <c r="BC525" i="11" s="1"/>
  <c r="BI506" i="11"/>
  <c r="AE506" i="11" s="1"/>
  <c r="AW503" i="11"/>
  <c r="J485" i="11"/>
  <c r="BI485" i="11"/>
  <c r="AE485" i="11" s="1"/>
  <c r="AW484" i="11"/>
  <c r="AW481" i="11"/>
  <c r="BI477" i="11"/>
  <c r="AE477" i="11" s="1"/>
  <c r="J466" i="11"/>
  <c r="AX466" i="11"/>
  <c r="BI461" i="11"/>
  <c r="AE461" i="11" s="1"/>
  <c r="I439" i="11"/>
  <c r="AW439" i="11"/>
  <c r="AV439" i="11" s="1"/>
  <c r="J436" i="11"/>
  <c r="BI436" i="11"/>
  <c r="AE436" i="11" s="1"/>
  <c r="BI407" i="11"/>
  <c r="AE407" i="11" s="1"/>
  <c r="I386" i="11"/>
  <c r="AW386" i="11"/>
  <c r="BH386" i="11"/>
  <c r="AD386" i="11" s="1"/>
  <c r="I379" i="11"/>
  <c r="BH379" i="11"/>
  <c r="AD379" i="11" s="1"/>
  <c r="I367" i="11"/>
  <c r="BH367" i="11"/>
  <c r="AD367" i="11" s="1"/>
  <c r="AW366" i="11"/>
  <c r="I366" i="11"/>
  <c r="J324" i="11"/>
  <c r="AX324" i="11"/>
  <c r="J313" i="11"/>
  <c r="AX313" i="11"/>
  <c r="I306" i="11"/>
  <c r="AW306" i="11"/>
  <c r="J304" i="11"/>
  <c r="AX304" i="11"/>
  <c r="BC281" i="11"/>
  <c r="J273" i="11"/>
  <c r="AX273" i="11"/>
  <c r="BI273" i="11"/>
  <c r="AE273" i="11" s="1"/>
  <c r="AX272" i="11"/>
  <c r="I253" i="11"/>
  <c r="BH253" i="11"/>
  <c r="AD253" i="11" s="1"/>
  <c r="AW253" i="11"/>
  <c r="I252" i="11"/>
  <c r="AW252" i="11"/>
  <c r="BC249" i="11"/>
  <c r="AV249" i="11"/>
  <c r="J244" i="11"/>
  <c r="AX244" i="11"/>
  <c r="J240" i="11"/>
  <c r="BI240" i="11"/>
  <c r="AE240" i="11" s="1"/>
  <c r="AW239" i="11"/>
  <c r="I239" i="11"/>
  <c r="I230" i="11"/>
  <c r="AW230" i="11"/>
  <c r="BC230" i="11" s="1"/>
  <c r="BH230" i="11"/>
  <c r="AD230" i="11" s="1"/>
  <c r="J206" i="11"/>
  <c r="AX206" i="11"/>
  <c r="BI206" i="11"/>
  <c r="AE206" i="11" s="1"/>
  <c r="J163" i="11"/>
  <c r="BI163" i="11"/>
  <c r="AC163" i="11" s="1"/>
  <c r="AX110" i="11"/>
  <c r="J110" i="11"/>
  <c r="J94" i="11"/>
  <c r="AX94" i="11"/>
  <c r="BI94" i="11"/>
  <c r="AC94" i="11" s="1"/>
  <c r="AS21" i="11"/>
  <c r="BH543" i="11"/>
  <c r="AB543" i="11" s="1"/>
  <c r="J489" i="11"/>
  <c r="BI489" i="11"/>
  <c r="AE489" i="11" s="1"/>
  <c r="J463" i="11"/>
  <c r="BI463" i="11"/>
  <c r="AE463" i="11" s="1"/>
  <c r="J420" i="11"/>
  <c r="AX420" i="11"/>
  <c r="BI420" i="11"/>
  <c r="AE420" i="11" s="1"/>
  <c r="I369" i="11"/>
  <c r="AW369" i="11"/>
  <c r="BI600" i="11"/>
  <c r="AC600" i="11" s="1"/>
  <c r="BH581" i="11"/>
  <c r="AB581" i="11" s="1"/>
  <c r="BI561" i="11"/>
  <c r="AC561" i="11" s="1"/>
  <c r="J508" i="11"/>
  <c r="AX508" i="11"/>
  <c r="BI495" i="11"/>
  <c r="AE495" i="11" s="1"/>
  <c r="AX358" i="11"/>
  <c r="BI358" i="11"/>
  <c r="AE358" i="11" s="1"/>
  <c r="J357" i="11"/>
  <c r="AX357" i="11"/>
  <c r="BI357" i="11"/>
  <c r="AE357" i="11" s="1"/>
  <c r="J328" i="11"/>
  <c r="AX328" i="11"/>
  <c r="BI328" i="11"/>
  <c r="AE328" i="11" s="1"/>
  <c r="J320" i="11"/>
  <c r="AX320" i="11"/>
  <c r="I231" i="11"/>
  <c r="BH231" i="11"/>
  <c r="AD231" i="11" s="1"/>
  <c r="AW231" i="11"/>
  <c r="BH91" i="11"/>
  <c r="AB91" i="11" s="1"/>
  <c r="AW91" i="11"/>
  <c r="J73" i="11"/>
  <c r="AX73" i="11"/>
  <c r="BI73" i="11"/>
  <c r="AC73" i="11" s="1"/>
  <c r="J44" i="11"/>
  <c r="AX44" i="11"/>
  <c r="I14" i="11"/>
  <c r="BH14" i="11"/>
  <c r="AB14" i="11" s="1"/>
  <c r="AW14" i="11"/>
  <c r="BH621" i="11"/>
  <c r="AB621" i="11" s="1"/>
  <c r="BI620" i="11"/>
  <c r="AC620" i="11" s="1"/>
  <c r="AW620" i="11"/>
  <c r="AW618" i="11"/>
  <c r="J615" i="11"/>
  <c r="BI611" i="11"/>
  <c r="AC611" i="11" s="1"/>
  <c r="AW611" i="11"/>
  <c r="BC611" i="11" s="1"/>
  <c r="BH608" i="11"/>
  <c r="AB608" i="11" s="1"/>
  <c r="BH606" i="11"/>
  <c r="AB606" i="11" s="1"/>
  <c r="AW601" i="11"/>
  <c r="BI596" i="11"/>
  <c r="AC596" i="11" s="1"/>
  <c r="AW596" i="11"/>
  <c r="AX594" i="11"/>
  <c r="BI592" i="11"/>
  <c r="AC592" i="11" s="1"/>
  <c r="AX592" i="11"/>
  <c r="BC592" i="11" s="1"/>
  <c r="BI587" i="11"/>
  <c r="AC587" i="11" s="1"/>
  <c r="AW587" i="11"/>
  <c r="BC587" i="11" s="1"/>
  <c r="BI585" i="11"/>
  <c r="AC585" i="11" s="1"/>
  <c r="AW585" i="11"/>
  <c r="AW575" i="11"/>
  <c r="BC575" i="11" s="1"/>
  <c r="AX572" i="11"/>
  <c r="AV572" i="11" s="1"/>
  <c r="AW569" i="11"/>
  <c r="I544" i="11"/>
  <c r="BH544" i="11"/>
  <c r="AB544" i="11" s="1"/>
  <c r="J543" i="11"/>
  <c r="BI514" i="11"/>
  <c r="AC514" i="11" s="1"/>
  <c r="AW514" i="11"/>
  <c r="AS501" i="11"/>
  <c r="AW499" i="11"/>
  <c r="BC499" i="11" s="1"/>
  <c r="I496" i="11"/>
  <c r="I485" i="11"/>
  <c r="AW485" i="11"/>
  <c r="BH484" i="11"/>
  <c r="AD484" i="11" s="1"/>
  <c r="BH481" i="11"/>
  <c r="AD481" i="11" s="1"/>
  <c r="AW478" i="11"/>
  <c r="J476" i="11"/>
  <c r="AX476" i="11"/>
  <c r="BI476" i="11"/>
  <c r="AE476" i="11" s="1"/>
  <c r="BI470" i="11"/>
  <c r="AE470" i="11" s="1"/>
  <c r="AW451" i="11"/>
  <c r="I451" i="11"/>
  <c r="BI444" i="11"/>
  <c r="AE444" i="11" s="1"/>
  <c r="BI443" i="11"/>
  <c r="AE443" i="11" s="1"/>
  <c r="J434" i="11"/>
  <c r="AX434" i="11"/>
  <c r="BI432" i="11"/>
  <c r="AE432" i="11" s="1"/>
  <c r="I432" i="11"/>
  <c r="AW432" i="11"/>
  <c r="J427" i="11"/>
  <c r="BI427" i="11"/>
  <c r="AE427" i="11" s="1"/>
  <c r="AW424" i="11"/>
  <c r="AW420" i="11"/>
  <c r="BI417" i="11"/>
  <c r="AE417" i="11" s="1"/>
  <c r="I417" i="11"/>
  <c r="AW417" i="11"/>
  <c r="J396" i="11"/>
  <c r="AX396" i="11"/>
  <c r="BI389" i="11"/>
  <c r="AE389" i="11" s="1"/>
  <c r="AW389" i="11"/>
  <c r="BH385" i="11"/>
  <c r="AD385" i="11" s="1"/>
  <c r="AW385" i="11"/>
  <c r="AV385" i="11" s="1"/>
  <c r="AX369" i="11"/>
  <c r="BI369" i="11"/>
  <c r="AE369" i="11" s="1"/>
  <c r="BI362" i="11"/>
  <c r="AE362" i="11" s="1"/>
  <c r="J350" i="11"/>
  <c r="AX350" i="11"/>
  <c r="BI350" i="11"/>
  <c r="AE350" i="11" s="1"/>
  <c r="J331" i="11"/>
  <c r="AX331" i="11"/>
  <c r="BC331" i="11" s="1"/>
  <c r="BI331" i="11"/>
  <c r="AE331" i="11" s="1"/>
  <c r="BI324" i="11"/>
  <c r="AE324" i="11" s="1"/>
  <c r="J316" i="11"/>
  <c r="AX316" i="11"/>
  <c r="BI313" i="11"/>
  <c r="AE313" i="11" s="1"/>
  <c r="I313" i="11"/>
  <c r="AW313" i="11"/>
  <c r="BH313" i="11"/>
  <c r="AD313" i="11" s="1"/>
  <c r="I305" i="11"/>
  <c r="AW305" i="11"/>
  <c r="BH305" i="11"/>
  <c r="AD305" i="11" s="1"/>
  <c r="BI304" i="11"/>
  <c r="AE304" i="11" s="1"/>
  <c r="I284" i="11"/>
  <c r="BH284" i="11"/>
  <c r="AD284" i="11" s="1"/>
  <c r="AW284" i="11"/>
  <c r="J280" i="11"/>
  <c r="AX280" i="11"/>
  <c r="BI280" i="11"/>
  <c r="AE280" i="11" s="1"/>
  <c r="I273" i="11"/>
  <c r="AW273" i="11"/>
  <c r="BC273" i="11" s="1"/>
  <c r="BH273" i="11"/>
  <c r="AD273" i="11" s="1"/>
  <c r="J261" i="11"/>
  <c r="AX261" i="11"/>
  <c r="AW258" i="11"/>
  <c r="I258" i="11"/>
  <c r="I245" i="11"/>
  <c r="BH245" i="11"/>
  <c r="AD245" i="11" s="1"/>
  <c r="AW245" i="11"/>
  <c r="BC245" i="11" s="1"/>
  <c r="BI244" i="11"/>
  <c r="AE244" i="11" s="1"/>
  <c r="I224" i="11"/>
  <c r="BH224" i="11"/>
  <c r="AD224" i="11" s="1"/>
  <c r="AW224" i="11"/>
  <c r="I219" i="11"/>
  <c r="AW219" i="11"/>
  <c r="AS184" i="11"/>
  <c r="I180" i="11"/>
  <c r="I165" i="11"/>
  <c r="AW165" i="11"/>
  <c r="AX164" i="11"/>
  <c r="J164" i="11"/>
  <c r="AX160" i="11"/>
  <c r="BI160" i="11"/>
  <c r="AC160" i="11" s="1"/>
  <c r="J160" i="11"/>
  <c r="AX156" i="11"/>
  <c r="J156" i="11"/>
  <c r="I155" i="11"/>
  <c r="AW155" i="11"/>
  <c r="BH155" i="11"/>
  <c r="AB155" i="11" s="1"/>
  <c r="J123" i="11"/>
  <c r="BI123" i="11"/>
  <c r="AC123" i="11" s="1"/>
  <c r="I109" i="11"/>
  <c r="AW109" i="11"/>
  <c r="BC109" i="11" s="1"/>
  <c r="BH109" i="11"/>
  <c r="AB109" i="11" s="1"/>
  <c r="AX252" i="11"/>
  <c r="J252" i="11"/>
  <c r="J238" i="11"/>
  <c r="BI238" i="11"/>
  <c r="AE238" i="11" s="1"/>
  <c r="AW234" i="11"/>
  <c r="I234" i="11"/>
  <c r="I223" i="11"/>
  <c r="AW223" i="11"/>
  <c r="BH223" i="11"/>
  <c r="AD223" i="11" s="1"/>
  <c r="I170" i="11"/>
  <c r="AW170" i="11"/>
  <c r="J124" i="11"/>
  <c r="BI124" i="11"/>
  <c r="AC124" i="11" s="1"/>
  <c r="AX107" i="11"/>
  <c r="BI107" i="11"/>
  <c r="AC107" i="11" s="1"/>
  <c r="J107" i="11"/>
  <c r="BH68" i="11"/>
  <c r="AB68" i="11" s="1"/>
  <c r="AW68" i="11"/>
  <c r="I60" i="11"/>
  <c r="AW60" i="11"/>
  <c r="BH60" i="11"/>
  <c r="AB60" i="11" s="1"/>
  <c r="J31" i="11"/>
  <c r="AX31" i="11"/>
  <c r="AX155" i="11"/>
  <c r="AW132" i="11"/>
  <c r="AU101" i="11"/>
  <c r="AX89" i="11"/>
  <c r="AW88" i="11"/>
  <c r="BI60" i="11"/>
  <c r="AC60" i="11" s="1"/>
  <c r="AX60" i="11"/>
  <c r="BI50" i="11"/>
  <c r="AC50" i="11" s="1"/>
  <c r="AX50" i="11"/>
  <c r="AW49" i="11"/>
  <c r="BH45" i="11"/>
  <c r="AB45" i="11" s="1"/>
  <c r="BI42" i="11"/>
  <c r="AC42" i="11" s="1"/>
  <c r="AW42" i="11"/>
  <c r="AW24" i="11"/>
  <c r="AX296" i="11"/>
  <c r="AX292" i="11"/>
  <c r="BH290" i="11"/>
  <c r="AD290" i="11" s="1"/>
  <c r="I286" i="11"/>
  <c r="BI249" i="11"/>
  <c r="AE249" i="11" s="1"/>
  <c r="BH246" i="11"/>
  <c r="AD246" i="11" s="1"/>
  <c r="AX237" i="11"/>
  <c r="AX234" i="11"/>
  <c r="BH215" i="11"/>
  <c r="AD215" i="11" s="1"/>
  <c r="AX214" i="11"/>
  <c r="I172" i="11"/>
  <c r="J171" i="11"/>
  <c r="J147" i="11"/>
  <c r="AX139" i="11"/>
  <c r="BI135" i="11"/>
  <c r="AC135" i="11" s="1"/>
  <c r="BH132" i="11"/>
  <c r="AB132" i="11" s="1"/>
  <c r="AX127" i="11"/>
  <c r="J125" i="11"/>
  <c r="I115" i="11"/>
  <c r="BI112" i="11"/>
  <c r="AC112" i="11" s="1"/>
  <c r="BH88" i="11"/>
  <c r="AB88" i="11" s="1"/>
  <c r="AU54" i="11"/>
  <c r="AU43" i="11"/>
  <c r="AS40" i="11"/>
  <c r="J37" i="11"/>
  <c r="F17" i="10" s="1"/>
  <c r="BH24" i="11"/>
  <c r="AB24" i="11" s="1"/>
  <c r="J23" i="11"/>
  <c r="J13" i="11"/>
  <c r="BI255" i="11"/>
  <c r="AE255" i="11" s="1"/>
  <c r="BI228" i="11"/>
  <c r="AE228" i="11" s="1"/>
  <c r="AU192" i="11"/>
  <c r="BI174" i="11"/>
  <c r="I164" i="11"/>
  <c r="BC160" i="11"/>
  <c r="J136" i="11"/>
  <c r="AW122" i="11"/>
  <c r="AW107" i="11"/>
  <c r="AV107" i="11" s="1"/>
  <c r="BI78" i="11"/>
  <c r="AC78" i="11" s="1"/>
  <c r="J61" i="11"/>
  <c r="AT54" i="11"/>
  <c r="AU48" i="11"/>
  <c r="AV39" i="11"/>
  <c r="AW29" i="11"/>
  <c r="J590" i="11"/>
  <c r="AX590" i="11"/>
  <c r="BI590" i="11"/>
  <c r="AC590" i="11" s="1"/>
  <c r="AW564" i="11"/>
  <c r="BH564" i="11"/>
  <c r="AB564" i="11" s="1"/>
  <c r="I564" i="11"/>
  <c r="AX623" i="11"/>
  <c r="AV623" i="11" s="1"/>
  <c r="I623" i="11"/>
  <c r="J622" i="11"/>
  <c r="AS617" i="11"/>
  <c r="J618" i="11"/>
  <c r="J617" i="11" s="1"/>
  <c r="F53" i="10" s="1"/>
  <c r="AW615" i="11"/>
  <c r="BC615" i="11" s="1"/>
  <c r="BI605" i="11"/>
  <c r="AC605" i="11" s="1"/>
  <c r="AW605" i="11"/>
  <c r="I604" i="11"/>
  <c r="J603" i="11"/>
  <c r="AW600" i="11"/>
  <c r="BI599" i="11"/>
  <c r="AC599" i="11" s="1"/>
  <c r="BH595" i="11"/>
  <c r="AB595" i="11" s="1"/>
  <c r="AW595" i="11"/>
  <c r="BC595" i="11" s="1"/>
  <c r="AW593" i="11"/>
  <c r="AV592" i="11"/>
  <c r="I591" i="11"/>
  <c r="AW591" i="11"/>
  <c r="J586" i="11"/>
  <c r="AX586" i="11"/>
  <c r="I583" i="11"/>
  <c r="BH583" i="11"/>
  <c r="AB583" i="11" s="1"/>
  <c r="AW583" i="11"/>
  <c r="BC583" i="11" s="1"/>
  <c r="I558" i="11"/>
  <c r="AW558" i="11"/>
  <c r="BH558" i="11"/>
  <c r="AB558" i="11" s="1"/>
  <c r="BH534" i="11"/>
  <c r="AB534" i="11" s="1"/>
  <c r="AW534" i="11"/>
  <c r="I529" i="11"/>
  <c r="BH529" i="11"/>
  <c r="AB529" i="11" s="1"/>
  <c r="AW529" i="11"/>
  <c r="J518" i="11"/>
  <c r="BI518" i="11"/>
  <c r="AC518" i="11" s="1"/>
  <c r="I513" i="11"/>
  <c r="AW513" i="11"/>
  <c r="BH513" i="11"/>
  <c r="AB513" i="11" s="1"/>
  <c r="BH495" i="11"/>
  <c r="AD495" i="11" s="1"/>
  <c r="AW495" i="11"/>
  <c r="J487" i="11"/>
  <c r="AX487" i="11"/>
  <c r="J451" i="11"/>
  <c r="BI451" i="11"/>
  <c r="AE451" i="11" s="1"/>
  <c r="I444" i="11"/>
  <c r="BH444" i="11"/>
  <c r="AD444" i="11" s="1"/>
  <c r="AW444" i="11"/>
  <c r="I429" i="11"/>
  <c r="BH429" i="11"/>
  <c r="AD429" i="11" s="1"/>
  <c r="AW429" i="11"/>
  <c r="J423" i="11"/>
  <c r="AX423" i="11"/>
  <c r="J415" i="11"/>
  <c r="AX415" i="11"/>
  <c r="AX400" i="11"/>
  <c r="BC400" i="11" s="1"/>
  <c r="BI400" i="11"/>
  <c r="AE400" i="11" s="1"/>
  <c r="J400" i="11"/>
  <c r="AX309" i="11"/>
  <c r="BI309" i="11"/>
  <c r="AE309" i="11" s="1"/>
  <c r="J309" i="11"/>
  <c r="AW269" i="11"/>
  <c r="BH269" i="11"/>
  <c r="AD269" i="11" s="1"/>
  <c r="I269" i="11"/>
  <c r="I216" i="11"/>
  <c r="BH216" i="11"/>
  <c r="AD216" i="11" s="1"/>
  <c r="AW216" i="11"/>
  <c r="BH171" i="11"/>
  <c r="AW171" i="11"/>
  <c r="I171" i="11"/>
  <c r="AX591" i="11"/>
  <c r="BI591" i="11"/>
  <c r="AC591" i="11" s="1"/>
  <c r="I582" i="11"/>
  <c r="BH582" i="11"/>
  <c r="AB582" i="11" s="1"/>
  <c r="I555" i="11"/>
  <c r="BH555" i="11"/>
  <c r="AB555" i="11" s="1"/>
  <c r="AW555" i="11"/>
  <c r="I532" i="11"/>
  <c r="AW532" i="11"/>
  <c r="BH532" i="11"/>
  <c r="AB532" i="11" s="1"/>
  <c r="AX492" i="11"/>
  <c r="BI492" i="11"/>
  <c r="J492" i="11"/>
  <c r="J491" i="11"/>
  <c r="AX491" i="11"/>
  <c r="AX462" i="11"/>
  <c r="BI462" i="11"/>
  <c r="AE462" i="11" s="1"/>
  <c r="J462" i="11"/>
  <c r="AW435" i="11"/>
  <c r="BH435" i="11"/>
  <c r="AD435" i="11" s="1"/>
  <c r="AW428" i="11"/>
  <c r="BH428" i="11"/>
  <c r="AD428" i="11" s="1"/>
  <c r="J388" i="11"/>
  <c r="AX388" i="11"/>
  <c r="BI388" i="11"/>
  <c r="AE388" i="11" s="1"/>
  <c r="J363" i="11"/>
  <c r="AX363" i="11"/>
  <c r="BI363" i="11"/>
  <c r="AE363" i="11" s="1"/>
  <c r="I356" i="11"/>
  <c r="BH356" i="11"/>
  <c r="AD356" i="11" s="1"/>
  <c r="AW356" i="11"/>
  <c r="I354" i="11"/>
  <c r="BH354" i="11"/>
  <c r="AD354" i="11" s="1"/>
  <c r="AW354" i="11"/>
  <c r="BC354" i="11" s="1"/>
  <c r="I347" i="11"/>
  <c r="BH347" i="11"/>
  <c r="AD347" i="11" s="1"/>
  <c r="AW347" i="11"/>
  <c r="AX342" i="11"/>
  <c r="BI342" i="11"/>
  <c r="AE342" i="11" s="1"/>
  <c r="J342" i="11"/>
  <c r="I262" i="11"/>
  <c r="BH262" i="11"/>
  <c r="AD262" i="11" s="1"/>
  <c r="AW262" i="11"/>
  <c r="AX257" i="11"/>
  <c r="BI257" i="11"/>
  <c r="AE257" i="11" s="1"/>
  <c r="J257" i="11"/>
  <c r="J209" i="11"/>
  <c r="AX209" i="11"/>
  <c r="AW208" i="11"/>
  <c r="I208" i="11"/>
  <c r="BH156" i="11"/>
  <c r="AB156" i="11" s="1"/>
  <c r="I156" i="11"/>
  <c r="AW156" i="11"/>
  <c r="I128" i="11"/>
  <c r="BH128" i="11"/>
  <c r="AB128" i="11" s="1"/>
  <c r="AW128" i="11"/>
  <c r="I127" i="11"/>
  <c r="AW127" i="11"/>
  <c r="BC127" i="11" s="1"/>
  <c r="BH127" i="11"/>
  <c r="AB127" i="11" s="1"/>
  <c r="BH114" i="11"/>
  <c r="AB114" i="11" s="1"/>
  <c r="I114" i="11"/>
  <c r="AW114" i="11"/>
  <c r="BH34" i="11"/>
  <c r="AB34" i="11" s="1"/>
  <c r="AW34" i="11"/>
  <c r="I34" i="11"/>
  <c r="I16" i="11"/>
  <c r="AW16" i="11"/>
  <c r="BH16" i="11"/>
  <c r="AB16" i="11" s="1"/>
  <c r="I13" i="11"/>
  <c r="BH13" i="11"/>
  <c r="AB13" i="11" s="1"/>
  <c r="AW13" i="11"/>
  <c r="BI624" i="11"/>
  <c r="AC624" i="11" s="1"/>
  <c r="AW624" i="11"/>
  <c r="BI619" i="11"/>
  <c r="AC619" i="11" s="1"/>
  <c r="BI618" i="11"/>
  <c r="AC618" i="11" s="1"/>
  <c r="BH615" i="11"/>
  <c r="AB615" i="11" s="1"/>
  <c r="BH614" i="11"/>
  <c r="AB614" i="11" s="1"/>
  <c r="BI613" i="11"/>
  <c r="AC613" i="11" s="1"/>
  <c r="AW613" i="11"/>
  <c r="I612" i="11"/>
  <c r="J611" i="11"/>
  <c r="BI608" i="11"/>
  <c r="AC608" i="11" s="1"/>
  <c r="AX608" i="11"/>
  <c r="AV608" i="11" s="1"/>
  <c r="J607" i="11"/>
  <c r="BH605" i="11"/>
  <c r="AB605" i="11" s="1"/>
  <c r="BH600" i="11"/>
  <c r="AB600" i="11" s="1"/>
  <c r="BH599" i="11"/>
  <c r="AB599" i="11" s="1"/>
  <c r="AW599" i="11"/>
  <c r="BC599" i="11" s="1"/>
  <c r="BI598" i="11"/>
  <c r="AC598" i="11" s="1"/>
  <c r="AX598" i="11"/>
  <c r="BH594" i="11"/>
  <c r="AB594" i="11" s="1"/>
  <c r="BH593" i="11"/>
  <c r="AB593" i="11" s="1"/>
  <c r="BI586" i="11"/>
  <c r="AC586" i="11" s="1"/>
  <c r="AW584" i="11"/>
  <c r="BH584" i="11"/>
  <c r="AB584" i="11" s="1"/>
  <c r="J581" i="11"/>
  <c r="BI581" i="11"/>
  <c r="AC581" i="11" s="1"/>
  <c r="I577" i="11"/>
  <c r="BH577" i="11"/>
  <c r="AB577" i="11" s="1"/>
  <c r="AW577" i="11"/>
  <c r="J574" i="11"/>
  <c r="AX574" i="11"/>
  <c r="BI574" i="11"/>
  <c r="AC574" i="11" s="1"/>
  <c r="BH565" i="11"/>
  <c r="AB565" i="11" s="1"/>
  <c r="AW565" i="11"/>
  <c r="J562" i="11"/>
  <c r="AX562" i="11"/>
  <c r="BI562" i="11"/>
  <c r="AC562" i="11" s="1"/>
  <c r="I559" i="11"/>
  <c r="BH559" i="11"/>
  <c r="AB559" i="11" s="1"/>
  <c r="AW559" i="11"/>
  <c r="BC559" i="11" s="1"/>
  <c r="AX551" i="11"/>
  <c r="BI551" i="11"/>
  <c r="AC551" i="11" s="1"/>
  <c r="J551" i="11"/>
  <c r="BI546" i="11"/>
  <c r="AC546" i="11" s="1"/>
  <c r="J533" i="11"/>
  <c r="AX533" i="11"/>
  <c r="BI533" i="11"/>
  <c r="AC533" i="11" s="1"/>
  <c r="BH522" i="11"/>
  <c r="AB522" i="11" s="1"/>
  <c r="AW522" i="11"/>
  <c r="BI487" i="11"/>
  <c r="AE487" i="11" s="1"/>
  <c r="J483" i="11"/>
  <c r="AX483" i="11"/>
  <c r="AX480" i="11"/>
  <c r="BI480" i="11"/>
  <c r="AE480" i="11" s="1"/>
  <c r="AS479" i="11"/>
  <c r="J480" i="11"/>
  <c r="I474" i="11"/>
  <c r="BH474" i="11"/>
  <c r="AD474" i="11" s="1"/>
  <c r="AW474" i="11"/>
  <c r="I467" i="11"/>
  <c r="BH467" i="11"/>
  <c r="AD467" i="11" s="1"/>
  <c r="AW467" i="11"/>
  <c r="J455" i="11"/>
  <c r="BI455" i="11"/>
  <c r="AE455" i="11" s="1"/>
  <c r="AX454" i="11"/>
  <c r="BI454" i="11"/>
  <c r="AE454" i="11" s="1"/>
  <c r="J454" i="11"/>
  <c r="AX450" i="11"/>
  <c r="BI450" i="11"/>
  <c r="AE450" i="11" s="1"/>
  <c r="J450" i="11"/>
  <c r="J319" i="11"/>
  <c r="AX319" i="11"/>
  <c r="BI319" i="11"/>
  <c r="AE319" i="11" s="1"/>
  <c r="J284" i="11"/>
  <c r="AX284" i="11"/>
  <c r="AV284" i="11" s="1"/>
  <c r="BI284" i="11"/>
  <c r="AE284" i="11" s="1"/>
  <c r="J222" i="11"/>
  <c r="AX222" i="11"/>
  <c r="BI222" i="11"/>
  <c r="AE222" i="11" s="1"/>
  <c r="AX203" i="11"/>
  <c r="BI203" i="11"/>
  <c r="AE203" i="11" s="1"/>
  <c r="J203" i="11"/>
  <c r="AX196" i="11"/>
  <c r="BC196" i="11" s="1"/>
  <c r="BI196" i="11"/>
  <c r="AE196" i="11" s="1"/>
  <c r="J196" i="11"/>
  <c r="BC618" i="11"/>
  <c r="BC616" i="11"/>
  <c r="BH613" i="11"/>
  <c r="AB613" i="11" s="1"/>
  <c r="BC608" i="11"/>
  <c r="BI604" i="11"/>
  <c r="AC604" i="11" s="1"/>
  <c r="AX604" i="11"/>
  <c r="AV604" i="11" s="1"/>
  <c r="BI603" i="11"/>
  <c r="AC603" i="11" s="1"/>
  <c r="BC603" i="11"/>
  <c r="BI602" i="11"/>
  <c r="AC602" i="11" s="1"/>
  <c r="AX602" i="11"/>
  <c r="BH598" i="11"/>
  <c r="AB598" i="11" s="1"/>
  <c r="J591" i="11"/>
  <c r="J570" i="11"/>
  <c r="AX570" i="11"/>
  <c r="BI570" i="11"/>
  <c r="AC570" i="11" s="1"/>
  <c r="I567" i="11"/>
  <c r="BH567" i="11"/>
  <c r="AB567" i="11" s="1"/>
  <c r="AW567" i="11"/>
  <c r="BC567" i="11" s="1"/>
  <c r="I547" i="11"/>
  <c r="BH547" i="11"/>
  <c r="AB547" i="11" s="1"/>
  <c r="AW547" i="11"/>
  <c r="AV547" i="11" s="1"/>
  <c r="AX540" i="11"/>
  <c r="AV540" i="11" s="1"/>
  <c r="BI540" i="11"/>
  <c r="AG540" i="11" s="1"/>
  <c r="J540" i="11"/>
  <c r="AS538" i="11"/>
  <c r="AX536" i="11"/>
  <c r="BI536" i="11"/>
  <c r="AC536" i="11" s="1"/>
  <c r="BH521" i="11"/>
  <c r="AB521" i="11" s="1"/>
  <c r="I521" i="11"/>
  <c r="AW521" i="11"/>
  <c r="J510" i="11"/>
  <c r="BI510" i="11"/>
  <c r="AG510" i="11" s="1"/>
  <c r="AU501" i="11"/>
  <c r="J496" i="11"/>
  <c r="BI496" i="11"/>
  <c r="AE496" i="11" s="1"/>
  <c r="AW466" i="11"/>
  <c r="BC466" i="11" s="1"/>
  <c r="BH466" i="11"/>
  <c r="AD466" i="11" s="1"/>
  <c r="J459" i="11"/>
  <c r="BI459" i="11"/>
  <c r="AE459" i="11" s="1"/>
  <c r="AX458" i="11"/>
  <c r="AV458" i="11" s="1"/>
  <c r="BI458" i="11"/>
  <c r="AE458" i="11" s="1"/>
  <c r="J458" i="11"/>
  <c r="AX446" i="11"/>
  <c r="BI446" i="11"/>
  <c r="J446" i="11"/>
  <c r="I436" i="11"/>
  <c r="BH436" i="11"/>
  <c r="AD436" i="11" s="1"/>
  <c r="AW436" i="11"/>
  <c r="I435" i="11"/>
  <c r="I428" i="11"/>
  <c r="J419" i="11"/>
  <c r="AX419" i="11"/>
  <c r="J411" i="11"/>
  <c r="AX411" i="11"/>
  <c r="J336" i="11"/>
  <c r="BI336" i="11"/>
  <c r="AE336" i="11" s="1"/>
  <c r="AX335" i="11"/>
  <c r="BI335" i="11"/>
  <c r="AE335" i="11" s="1"/>
  <c r="J335" i="11"/>
  <c r="AW324" i="11"/>
  <c r="BH324" i="11"/>
  <c r="AD324" i="11" s="1"/>
  <c r="I324" i="11"/>
  <c r="AX578" i="11"/>
  <c r="BH576" i="11"/>
  <c r="AB576" i="11" s="1"/>
  <c r="BH575" i="11"/>
  <c r="AB575" i="11" s="1"/>
  <c r="J575" i="11"/>
  <c r="BH573" i="11"/>
  <c r="AB573" i="11" s="1"/>
  <c r="BH572" i="11"/>
  <c r="AB572" i="11" s="1"/>
  <c r="BH571" i="11"/>
  <c r="AB571" i="11" s="1"/>
  <c r="J571" i="11"/>
  <c r="BH569" i="11"/>
  <c r="AB569" i="11" s="1"/>
  <c r="BH568" i="11"/>
  <c r="AB568" i="11" s="1"/>
  <c r="BI566" i="11"/>
  <c r="AC566" i="11" s="1"/>
  <c r="AX566" i="11"/>
  <c r="BH563" i="11"/>
  <c r="AB563" i="11" s="1"/>
  <c r="J563" i="11"/>
  <c r="BH561" i="11"/>
  <c r="AB561" i="11" s="1"/>
  <c r="BH560" i="11"/>
  <c r="AB560" i="11" s="1"/>
  <c r="BI558" i="11"/>
  <c r="AC558" i="11" s="1"/>
  <c r="AX558" i="11"/>
  <c r="BI557" i="11"/>
  <c r="AC557" i="11" s="1"/>
  <c r="AX557" i="11"/>
  <c r="AW556" i="11"/>
  <c r="BI555" i="11"/>
  <c r="AC555" i="11" s="1"/>
  <c r="J555" i="11"/>
  <c r="BH554" i="11"/>
  <c r="AB554" i="11" s="1"/>
  <c r="AW554" i="11"/>
  <c r="AX549" i="11"/>
  <c r="J547" i="11"/>
  <c r="BI543" i="11"/>
  <c r="AC543" i="11" s="1"/>
  <c r="AW543" i="11"/>
  <c r="BC543" i="11" s="1"/>
  <c r="BI531" i="11"/>
  <c r="AC531" i="11" s="1"/>
  <c r="AX531" i="11"/>
  <c r="J529" i="11"/>
  <c r="I526" i="11"/>
  <c r="J524" i="11"/>
  <c r="J521" i="11"/>
  <c r="I518" i="11"/>
  <c r="I510" i="11"/>
  <c r="BI503" i="11"/>
  <c r="AE503" i="11" s="1"/>
  <c r="BI499" i="11"/>
  <c r="AE499" i="11" s="1"/>
  <c r="BI498" i="11"/>
  <c r="AE498" i="11" s="1"/>
  <c r="AX498" i="11"/>
  <c r="AX494" i="11"/>
  <c r="J488" i="11"/>
  <c r="J484" i="11"/>
  <c r="I480" i="11"/>
  <c r="J477" i="11"/>
  <c r="J470" i="11"/>
  <c r="AU447" i="11"/>
  <c r="I462" i="11"/>
  <c r="I458" i="11"/>
  <c r="I454" i="11"/>
  <c r="I450" i="11"/>
  <c r="I440" i="11"/>
  <c r="J439" i="11"/>
  <c r="BH432" i="11"/>
  <c r="AD432" i="11" s="1"/>
  <c r="BI428" i="11"/>
  <c r="AE428" i="11" s="1"/>
  <c r="AX428" i="11"/>
  <c r="AX427" i="11"/>
  <c r="BH424" i="11"/>
  <c r="AD424" i="11" s="1"/>
  <c r="J424" i="11"/>
  <c r="BH421" i="11"/>
  <c r="AD421" i="11" s="1"/>
  <c r="BH417" i="11"/>
  <c r="AD417" i="11" s="1"/>
  <c r="BH413" i="11"/>
  <c r="AD413" i="11" s="1"/>
  <c r="AW409" i="11"/>
  <c r="I409" i="11"/>
  <c r="AX408" i="11"/>
  <c r="BC408" i="11" s="1"/>
  <c r="BI408" i="11"/>
  <c r="AE408" i="11" s="1"/>
  <c r="J408" i="11"/>
  <c r="J359" i="11"/>
  <c r="AX359" i="11"/>
  <c r="BC359" i="11" s="1"/>
  <c r="BI359" i="11"/>
  <c r="AE359" i="11" s="1"/>
  <c r="I352" i="11"/>
  <c r="BH352" i="11"/>
  <c r="AD352" i="11" s="1"/>
  <c r="AW352" i="11"/>
  <c r="I346" i="11"/>
  <c r="AW346" i="11"/>
  <c r="BH346" i="11"/>
  <c r="AD346" i="11" s="1"/>
  <c r="AX334" i="11"/>
  <c r="BI334" i="11"/>
  <c r="AE334" i="11" s="1"/>
  <c r="AW320" i="11"/>
  <c r="BH320" i="11"/>
  <c r="AD320" i="11" s="1"/>
  <c r="I316" i="11"/>
  <c r="AW316" i="11"/>
  <c r="BH316" i="11"/>
  <c r="AD316" i="11" s="1"/>
  <c r="BC309" i="11"/>
  <c r="AV309" i="11"/>
  <c r="AX301" i="11"/>
  <c r="BI301" i="11"/>
  <c r="AE301" i="11" s="1"/>
  <c r="J301" i="11"/>
  <c r="AW298" i="11"/>
  <c r="I298" i="11"/>
  <c r="I270" i="11"/>
  <c r="BH270" i="11"/>
  <c r="AD270" i="11" s="1"/>
  <c r="AW270" i="11"/>
  <c r="J268" i="11"/>
  <c r="AX268" i="11"/>
  <c r="BI268" i="11"/>
  <c r="AE268" i="11" s="1"/>
  <c r="AW261" i="11"/>
  <c r="BC261" i="11" s="1"/>
  <c r="BH261" i="11"/>
  <c r="AD261" i="11" s="1"/>
  <c r="J260" i="11"/>
  <c r="AX260" i="11"/>
  <c r="BI260" i="11"/>
  <c r="AE260" i="11" s="1"/>
  <c r="AX211" i="11"/>
  <c r="AV211" i="11" s="1"/>
  <c r="BI211" i="11"/>
  <c r="AE211" i="11" s="1"/>
  <c r="J211" i="11"/>
  <c r="AW157" i="11"/>
  <c r="I157" i="11"/>
  <c r="AX121" i="11"/>
  <c r="J121" i="11"/>
  <c r="BI121" i="11"/>
  <c r="AC121" i="11" s="1"/>
  <c r="BI588" i="11"/>
  <c r="AC588" i="11" s="1"/>
  <c r="AX588" i="11"/>
  <c r="AV588" i="11" s="1"/>
  <c r="J587" i="11"/>
  <c r="BI584" i="11"/>
  <c r="AC584" i="11" s="1"/>
  <c r="AX584" i="11"/>
  <c r="BI583" i="11"/>
  <c r="AC583" i="11" s="1"/>
  <c r="BI582" i="11"/>
  <c r="AC582" i="11" s="1"/>
  <c r="AX582" i="11"/>
  <c r="BH580" i="11"/>
  <c r="AB580" i="11" s="1"/>
  <c r="BH579" i="11"/>
  <c r="AB579" i="11" s="1"/>
  <c r="BI577" i="11"/>
  <c r="AC577" i="11" s="1"/>
  <c r="I576" i="11"/>
  <c r="I572" i="11"/>
  <c r="AS541" i="11"/>
  <c r="I538" i="11"/>
  <c r="E51" i="10" s="1"/>
  <c r="BI535" i="11"/>
  <c r="AC535" i="11" s="1"/>
  <c r="AX535" i="11"/>
  <c r="J506" i="11"/>
  <c r="J499" i="11"/>
  <c r="I492" i="11"/>
  <c r="AU479" i="11"/>
  <c r="BI474" i="11"/>
  <c r="AE474" i="11" s="1"/>
  <c r="I471" i="11"/>
  <c r="BI467" i="11"/>
  <c r="AE467" i="11" s="1"/>
  <c r="BI465" i="11"/>
  <c r="AE465" i="11" s="1"/>
  <c r="AX465" i="11"/>
  <c r="AX461" i="11"/>
  <c r="AX457" i="11"/>
  <c r="AX453" i="11"/>
  <c r="J443" i="11"/>
  <c r="AW405" i="11"/>
  <c r="I405" i="11"/>
  <c r="I397" i="11"/>
  <c r="AW397" i="11"/>
  <c r="BH397" i="11"/>
  <c r="AD397" i="11" s="1"/>
  <c r="AX393" i="11"/>
  <c r="BI393" i="11"/>
  <c r="AE393" i="11" s="1"/>
  <c r="J393" i="11"/>
  <c r="BC386" i="11"/>
  <c r="AV386" i="11"/>
  <c r="BC382" i="11"/>
  <c r="AV382" i="11"/>
  <c r="J380" i="11"/>
  <c r="AX380" i="11"/>
  <c r="AW370" i="11"/>
  <c r="I370" i="11"/>
  <c r="I362" i="11"/>
  <c r="BH362" i="11"/>
  <c r="AD362" i="11" s="1"/>
  <c r="AW362" i="11"/>
  <c r="J355" i="11"/>
  <c r="AX355" i="11"/>
  <c r="BI355" i="11"/>
  <c r="AE355" i="11" s="1"/>
  <c r="I340" i="11"/>
  <c r="BH340" i="11"/>
  <c r="AD340" i="11" s="1"/>
  <c r="AW340" i="11"/>
  <c r="I327" i="11"/>
  <c r="AW327" i="11"/>
  <c r="BH327" i="11"/>
  <c r="AD327" i="11" s="1"/>
  <c r="I312" i="11"/>
  <c r="AW312" i="11"/>
  <c r="BC312" i="11" s="1"/>
  <c r="BH312" i="11"/>
  <c r="AD312" i="11" s="1"/>
  <c r="I310" i="11"/>
  <c r="BH310" i="11"/>
  <c r="AD310" i="11" s="1"/>
  <c r="AW310" i="11"/>
  <c r="AV301" i="11"/>
  <c r="AX289" i="11"/>
  <c r="AV289" i="11" s="1"/>
  <c r="BI289" i="11"/>
  <c r="AE289" i="11" s="1"/>
  <c r="J289" i="11"/>
  <c r="J287" i="11"/>
  <c r="AX287" i="11"/>
  <c r="AW277" i="11"/>
  <c r="BH277" i="11"/>
  <c r="AD277" i="11" s="1"/>
  <c r="J247" i="11"/>
  <c r="AX247" i="11"/>
  <c r="BI247" i="11"/>
  <c r="AE247" i="11" s="1"/>
  <c r="I227" i="11"/>
  <c r="BH227" i="11"/>
  <c r="AD227" i="11" s="1"/>
  <c r="AW227" i="11"/>
  <c r="AX219" i="11"/>
  <c r="BI219" i="11"/>
  <c r="AE219" i="11" s="1"/>
  <c r="J219" i="11"/>
  <c r="AW212" i="11"/>
  <c r="I212" i="11"/>
  <c r="I210" i="11"/>
  <c r="BH210" i="11"/>
  <c r="AD210" i="11" s="1"/>
  <c r="AW210" i="11"/>
  <c r="I185" i="11"/>
  <c r="J154" i="11"/>
  <c r="AX154" i="11"/>
  <c r="BI154" i="11"/>
  <c r="AC154" i="11" s="1"/>
  <c r="AW153" i="11"/>
  <c r="I153" i="11"/>
  <c r="J134" i="11"/>
  <c r="AX134" i="11"/>
  <c r="I131" i="11"/>
  <c r="AW131" i="11"/>
  <c r="BH131" i="11"/>
  <c r="AB131" i="11" s="1"/>
  <c r="AX113" i="11"/>
  <c r="J113" i="11"/>
  <c r="BI113" i="11"/>
  <c r="AC113" i="11" s="1"/>
  <c r="AW581" i="11"/>
  <c r="I580" i="11"/>
  <c r="J579" i="11"/>
  <c r="J567" i="11"/>
  <c r="J559" i="11"/>
  <c r="J537" i="11"/>
  <c r="AW536" i="11"/>
  <c r="BC533" i="11"/>
  <c r="BI525" i="11"/>
  <c r="AC525" i="11" s="1"/>
  <c r="BI524" i="11"/>
  <c r="AC524" i="11" s="1"/>
  <c r="BI517" i="11"/>
  <c r="AC517" i="11" s="1"/>
  <c r="AX517" i="11"/>
  <c r="BC517" i="11" s="1"/>
  <c r="BI509" i="11"/>
  <c r="AG509" i="11" s="1"/>
  <c r="AX509" i="11"/>
  <c r="I500" i="11"/>
  <c r="J495" i="11"/>
  <c r="BI488" i="11"/>
  <c r="AE488" i="11" s="1"/>
  <c r="BI484" i="11"/>
  <c r="AE484" i="11" s="1"/>
  <c r="BH458" i="11"/>
  <c r="AD458" i="11" s="1"/>
  <c r="BH454" i="11"/>
  <c r="AD454" i="11" s="1"/>
  <c r="BI439" i="11"/>
  <c r="AE439" i="11" s="1"/>
  <c r="I396" i="11"/>
  <c r="AW396" i="11"/>
  <c r="BH396" i="11"/>
  <c r="AD396" i="11" s="1"/>
  <c r="BI380" i="11"/>
  <c r="AE380" i="11" s="1"/>
  <c r="J376" i="11"/>
  <c r="AX376" i="11"/>
  <c r="BI376" i="11"/>
  <c r="AE376" i="11" s="1"/>
  <c r="AX373" i="11"/>
  <c r="BI373" i="11"/>
  <c r="AE373" i="11" s="1"/>
  <c r="J373" i="11"/>
  <c r="I360" i="11"/>
  <c r="BH360" i="11"/>
  <c r="AD360" i="11" s="1"/>
  <c r="AW360" i="11"/>
  <c r="I358" i="11"/>
  <c r="BH358" i="11"/>
  <c r="AD358" i="11" s="1"/>
  <c r="AW358" i="11"/>
  <c r="AW339" i="11"/>
  <c r="BH339" i="11"/>
  <c r="AD339" i="11" s="1"/>
  <c r="J330" i="11"/>
  <c r="AX330" i="11"/>
  <c r="BI330" i="11"/>
  <c r="AE330" i="11" s="1"/>
  <c r="BC328" i="11"/>
  <c r="AV328" i="11"/>
  <c r="J323" i="11"/>
  <c r="AX323" i="11"/>
  <c r="BI323" i="11"/>
  <c r="AE323" i="11" s="1"/>
  <c r="AS317" i="11"/>
  <c r="J315" i="11"/>
  <c r="AX315" i="11"/>
  <c r="AV313" i="11"/>
  <c r="BC289" i="11"/>
  <c r="BH285" i="11"/>
  <c r="AD285" i="11" s="1"/>
  <c r="AW285" i="11"/>
  <c r="I278" i="11"/>
  <c r="BH278" i="11"/>
  <c r="AD278" i="11" s="1"/>
  <c r="AW278" i="11"/>
  <c r="J276" i="11"/>
  <c r="AX276" i="11"/>
  <c r="AV276" i="11" s="1"/>
  <c r="BI276" i="11"/>
  <c r="AE276" i="11" s="1"/>
  <c r="AW254" i="11"/>
  <c r="I254" i="11"/>
  <c r="AX253" i="11"/>
  <c r="BI253" i="11"/>
  <c r="AE253" i="11" s="1"/>
  <c r="J253" i="11"/>
  <c r="AV245" i="11"/>
  <c r="AW238" i="11"/>
  <c r="BH238" i="11"/>
  <c r="AD238" i="11" s="1"/>
  <c r="BC223" i="11"/>
  <c r="AV223" i="11"/>
  <c r="J221" i="11"/>
  <c r="AX221" i="11"/>
  <c r="AX207" i="11"/>
  <c r="BI207" i="11"/>
  <c r="AE207" i="11" s="1"/>
  <c r="J207" i="11"/>
  <c r="BI134" i="11"/>
  <c r="AC134" i="11" s="1"/>
  <c r="I401" i="11"/>
  <c r="I400" i="11"/>
  <c r="J389" i="11"/>
  <c r="J377" i="11"/>
  <c r="I374" i="11"/>
  <c r="BC363" i="11"/>
  <c r="BC355" i="11"/>
  <c r="I335" i="11"/>
  <c r="I309" i="11"/>
  <c r="I301" i="11"/>
  <c r="AW294" i="11"/>
  <c r="BH293" i="11"/>
  <c r="AD293" i="11" s="1"/>
  <c r="AW293" i="11"/>
  <c r="BC293" i="11" s="1"/>
  <c r="I289" i="11"/>
  <c r="AW280" i="11"/>
  <c r="BI277" i="11"/>
  <c r="AE277" i="11" s="1"/>
  <c r="AX277" i="11"/>
  <c r="AV277" i="11" s="1"/>
  <c r="BH272" i="11"/>
  <c r="AD272" i="11" s="1"/>
  <c r="AW272" i="11"/>
  <c r="BI269" i="11"/>
  <c r="AE269" i="11" s="1"/>
  <c r="AX269" i="11"/>
  <c r="AV269" i="11" s="1"/>
  <c r="BH266" i="11"/>
  <c r="AD266" i="11" s="1"/>
  <c r="J265" i="11"/>
  <c r="I257" i="11"/>
  <c r="J232" i="11"/>
  <c r="BI232" i="11"/>
  <c r="AE232" i="11" s="1"/>
  <c r="AX226" i="11"/>
  <c r="BI226" i="11"/>
  <c r="AE226" i="11" s="1"/>
  <c r="AS225" i="11"/>
  <c r="J226" i="11"/>
  <c r="I222" i="11"/>
  <c r="AW222" i="11"/>
  <c r="BH222" i="11"/>
  <c r="AD222" i="11" s="1"/>
  <c r="J215" i="11"/>
  <c r="I211" i="11"/>
  <c r="I207" i="11"/>
  <c r="AW203" i="11"/>
  <c r="BC203" i="11" s="1"/>
  <c r="BH203" i="11"/>
  <c r="AD203" i="11" s="1"/>
  <c r="I203" i="11"/>
  <c r="AX200" i="11"/>
  <c r="I196" i="11"/>
  <c r="AX187" i="11"/>
  <c r="I176" i="11"/>
  <c r="AX175" i="11"/>
  <c r="BI175" i="11"/>
  <c r="J175" i="11"/>
  <c r="AX167" i="11"/>
  <c r="J167" i="11"/>
  <c r="AX152" i="11"/>
  <c r="AV152" i="11" s="1"/>
  <c r="J152" i="11"/>
  <c r="BI152" i="11"/>
  <c r="AC152" i="11" s="1"/>
  <c r="I141" i="11"/>
  <c r="AX123" i="11"/>
  <c r="AX120" i="11"/>
  <c r="BI120" i="11"/>
  <c r="AC120" i="11" s="1"/>
  <c r="J120" i="11"/>
  <c r="J80" i="11"/>
  <c r="AX80" i="11"/>
  <c r="BI80" i="11"/>
  <c r="AC80" i="11" s="1"/>
  <c r="AX407" i="11"/>
  <c r="J404" i="11"/>
  <c r="AX399" i="11"/>
  <c r="BI392" i="11"/>
  <c r="AE392" i="11" s="1"/>
  <c r="AX392" i="11"/>
  <c r="BH390" i="11"/>
  <c r="AD390" i="11" s="1"/>
  <c r="I390" i="11"/>
  <c r="BH383" i="11"/>
  <c r="AD383" i="11" s="1"/>
  <c r="BI378" i="11"/>
  <c r="AE378" i="11" s="1"/>
  <c r="AX378" i="11"/>
  <c r="AV378" i="11" s="1"/>
  <c r="BI374" i="11"/>
  <c r="AE374" i="11" s="1"/>
  <c r="AX374" i="11"/>
  <c r="BC374" i="11" s="1"/>
  <c r="J369" i="11"/>
  <c r="I351" i="11"/>
  <c r="AU341" i="11"/>
  <c r="BH332" i="11"/>
  <c r="AD332" i="11" s="1"/>
  <c r="BH325" i="11"/>
  <c r="AD325" i="11" s="1"/>
  <c r="I321" i="11"/>
  <c r="BH309" i="11"/>
  <c r="AD309" i="11" s="1"/>
  <c r="AX308" i="11"/>
  <c r="BH306" i="11"/>
  <c r="AD306" i="11" s="1"/>
  <c r="BI299" i="11"/>
  <c r="AE299" i="11" s="1"/>
  <c r="AX299" i="11"/>
  <c r="BH297" i="11"/>
  <c r="AD297" i="11" s="1"/>
  <c r="J297" i="11"/>
  <c r="BH294" i="11"/>
  <c r="AD294" i="11" s="1"/>
  <c r="AX288" i="11"/>
  <c r="BI285" i="11"/>
  <c r="AE285" i="11" s="1"/>
  <c r="BC253" i="11"/>
  <c r="I249" i="11"/>
  <c r="J245" i="11"/>
  <c r="I244" i="11"/>
  <c r="AW244" i="11"/>
  <c r="BC244" i="11" s="1"/>
  <c r="BH244" i="11"/>
  <c r="AD244" i="11" s="1"/>
  <c r="AX238" i="11"/>
  <c r="I235" i="11"/>
  <c r="BH235" i="11"/>
  <c r="AD235" i="11" s="1"/>
  <c r="AX229" i="11"/>
  <c r="J218" i="11"/>
  <c r="AX218" i="11"/>
  <c r="I204" i="11"/>
  <c r="J202" i="11"/>
  <c r="AX202" i="11"/>
  <c r="BI202" i="11"/>
  <c r="AE202" i="11" s="1"/>
  <c r="AX198" i="11"/>
  <c r="I188" i="11"/>
  <c r="AW188" i="11"/>
  <c r="BH188" i="11"/>
  <c r="AD188" i="11" s="1"/>
  <c r="I183" i="11"/>
  <c r="I182" i="11" s="1"/>
  <c r="E34" i="10" s="1"/>
  <c r="BH175" i="11"/>
  <c r="I175" i="11"/>
  <c r="AW175" i="11"/>
  <c r="J174" i="11"/>
  <c r="AX170" i="11"/>
  <c r="BI170" i="11"/>
  <c r="J170" i="11"/>
  <c r="BI145" i="11"/>
  <c r="AC145" i="11" s="1"/>
  <c r="AX145" i="11"/>
  <c r="AX140" i="11"/>
  <c r="BI140" i="11"/>
  <c r="AC140" i="11" s="1"/>
  <c r="J140" i="11"/>
  <c r="AX132" i="11"/>
  <c r="J132" i="11"/>
  <c r="I120" i="11"/>
  <c r="AW120" i="11"/>
  <c r="BC120" i="11" s="1"/>
  <c r="BH120" i="11"/>
  <c r="AB120" i="11" s="1"/>
  <c r="BH118" i="11"/>
  <c r="AB118" i="11" s="1"/>
  <c r="AW118" i="11"/>
  <c r="I118" i="11"/>
  <c r="AX117" i="11"/>
  <c r="J117" i="11"/>
  <c r="BI117" i="11"/>
  <c r="AC117" i="11" s="1"/>
  <c r="AX41" i="11"/>
  <c r="BI41" i="11"/>
  <c r="AC41" i="11" s="1"/>
  <c r="BH393" i="11"/>
  <c r="AD393" i="11" s="1"/>
  <c r="AW393" i="11"/>
  <c r="AW391" i="11"/>
  <c r="BI377" i="11"/>
  <c r="AE377" i="11" s="1"/>
  <c r="BH374" i="11"/>
  <c r="AD374" i="11" s="1"/>
  <c r="AW373" i="11"/>
  <c r="BI366" i="11"/>
  <c r="AE366" i="11" s="1"/>
  <c r="AX366" i="11"/>
  <c r="AV366" i="11" s="1"/>
  <c r="J362" i="11"/>
  <c r="J358" i="11"/>
  <c r="J354" i="11"/>
  <c r="BC351" i="11"/>
  <c r="BH342" i="11"/>
  <c r="AD342" i="11" s="1"/>
  <c r="AW342" i="11"/>
  <c r="BH335" i="11"/>
  <c r="AD335" i="11" s="1"/>
  <c r="BH323" i="11"/>
  <c r="AD323" i="11" s="1"/>
  <c r="AW323" i="11"/>
  <c r="BH319" i="11"/>
  <c r="AD319" i="11" s="1"/>
  <c r="AW319" i="11"/>
  <c r="BC319" i="11" s="1"/>
  <c r="J285" i="11"/>
  <c r="BI265" i="11"/>
  <c r="AE265" i="11" s="1"/>
  <c r="AW260" i="11"/>
  <c r="AV253" i="11"/>
  <c r="BI252" i="11"/>
  <c r="AE252" i="11" s="1"/>
  <c r="BH249" i="11"/>
  <c r="AD249" i="11" s="1"/>
  <c r="BI245" i="11"/>
  <c r="AE245" i="11" s="1"/>
  <c r="I242" i="11"/>
  <c r="BH242" i="11"/>
  <c r="AD242" i="11" s="1"/>
  <c r="BH234" i="11"/>
  <c r="AD234" i="11" s="1"/>
  <c r="BC219" i="11"/>
  <c r="AX210" i="11"/>
  <c r="BC210" i="11" s="1"/>
  <c r="BI210" i="11"/>
  <c r="AE210" i="11" s="1"/>
  <c r="I202" i="11"/>
  <c r="AW202" i="11"/>
  <c r="I200" i="11"/>
  <c r="AW200" i="11"/>
  <c r="BH200" i="11"/>
  <c r="J199" i="11"/>
  <c r="AX199" i="11"/>
  <c r="AX195" i="11"/>
  <c r="BI195" i="11"/>
  <c r="AE195" i="11" s="1"/>
  <c r="AV189" i="11"/>
  <c r="AX185" i="11"/>
  <c r="AV185" i="11" s="1"/>
  <c r="BI185" i="11"/>
  <c r="AE185" i="11" s="1"/>
  <c r="J185" i="11"/>
  <c r="AW168" i="11"/>
  <c r="I168" i="11"/>
  <c r="I161" i="11"/>
  <c r="AV160" i="11"/>
  <c r="BH148" i="11"/>
  <c r="AB148" i="11" s="1"/>
  <c r="AW148" i="11"/>
  <c r="BH147" i="11"/>
  <c r="AB147" i="11" s="1"/>
  <c r="I147" i="11"/>
  <c r="AW147" i="11"/>
  <c r="I140" i="11"/>
  <c r="AW140" i="11"/>
  <c r="AX131" i="11"/>
  <c r="BI131" i="11"/>
  <c r="AC131" i="11" s="1"/>
  <c r="J131" i="11"/>
  <c r="BH129" i="11"/>
  <c r="AB129" i="11" s="1"/>
  <c r="AW129" i="11"/>
  <c r="I129" i="11"/>
  <c r="AX128" i="11"/>
  <c r="J128" i="11"/>
  <c r="BI128" i="11"/>
  <c r="AC128" i="11" s="1"/>
  <c r="I117" i="11"/>
  <c r="BH117" i="11"/>
  <c r="AB117" i="11" s="1"/>
  <c r="AW117" i="11"/>
  <c r="AX83" i="11"/>
  <c r="BI83" i="11"/>
  <c r="AC83" i="11" s="1"/>
  <c r="J33" i="11"/>
  <c r="AX33" i="11"/>
  <c r="BC33" i="11" s="1"/>
  <c r="BI33" i="11"/>
  <c r="AC33" i="11" s="1"/>
  <c r="BH27" i="11"/>
  <c r="AB27" i="11" s="1"/>
  <c r="AW27" i="11"/>
  <c r="I27" i="11"/>
  <c r="BH193" i="11"/>
  <c r="AD193" i="11" s="1"/>
  <c r="AK183" i="11"/>
  <c r="AT182" i="11" s="1"/>
  <c r="BI171" i="11"/>
  <c r="BH165" i="11"/>
  <c r="AB165" i="11" s="1"/>
  <c r="AV164" i="11"/>
  <c r="AX163" i="11"/>
  <c r="AX159" i="11"/>
  <c r="BI156" i="11"/>
  <c r="AC156" i="11" s="1"/>
  <c r="BI147" i="11"/>
  <c r="AC147" i="11" s="1"/>
  <c r="BH137" i="11"/>
  <c r="AB137" i="11" s="1"/>
  <c r="AX135" i="11"/>
  <c r="AX130" i="11"/>
  <c r="AX124" i="11"/>
  <c r="AU116" i="11"/>
  <c r="AS108" i="11"/>
  <c r="AX95" i="11"/>
  <c r="J95" i="11"/>
  <c r="BI95" i="11"/>
  <c r="AC95" i="11" s="1"/>
  <c r="BH85" i="11"/>
  <c r="AB85" i="11" s="1"/>
  <c r="I85" i="11"/>
  <c r="AW85" i="11"/>
  <c r="BH75" i="11"/>
  <c r="AB75" i="11" s="1"/>
  <c r="I75" i="11"/>
  <c r="AW75" i="11"/>
  <c r="I40" i="11"/>
  <c r="E18" i="10" s="1"/>
  <c r="J17" i="11"/>
  <c r="AX17" i="11"/>
  <c r="BI17" i="11"/>
  <c r="AC17" i="11" s="1"/>
  <c r="AS126" i="11"/>
  <c r="AS116" i="11"/>
  <c r="J102" i="11"/>
  <c r="J101" i="11" s="1"/>
  <c r="F27" i="10" s="1"/>
  <c r="AX102" i="11"/>
  <c r="BI102" i="11"/>
  <c r="AC102" i="11" s="1"/>
  <c r="BI100" i="11"/>
  <c r="AC100" i="11" s="1"/>
  <c r="BH77" i="11"/>
  <c r="AB77" i="11" s="1"/>
  <c r="AW77" i="11"/>
  <c r="AX67" i="11"/>
  <c r="BI67" i="11"/>
  <c r="AC67" i="11" s="1"/>
  <c r="BH58" i="11"/>
  <c r="AB58" i="11" s="1"/>
  <c r="AW58" i="11"/>
  <c r="J36" i="11"/>
  <c r="J35" i="11" s="1"/>
  <c r="F16" i="10" s="1"/>
  <c r="AX36" i="11"/>
  <c r="BC36" i="11" s="1"/>
  <c r="BI36" i="11"/>
  <c r="AC36" i="11" s="1"/>
  <c r="J20" i="11"/>
  <c r="J19" i="11" s="1"/>
  <c r="F12" i="10" s="1"/>
  <c r="AX20" i="11"/>
  <c r="BI20" i="11"/>
  <c r="AC20" i="11" s="1"/>
  <c r="BH18" i="11"/>
  <c r="AB18" i="11" s="1"/>
  <c r="AW18" i="11"/>
  <c r="J114" i="11"/>
  <c r="AX112" i="11"/>
  <c r="AW111" i="11"/>
  <c r="BI110" i="11"/>
  <c r="AC110" i="11" s="1"/>
  <c r="AW110" i="11"/>
  <c r="AU104" i="11"/>
  <c r="I91" i="11"/>
  <c r="BC87" i="11"/>
  <c r="J75" i="11"/>
  <c r="AW73" i="11"/>
  <c r="AW61" i="11"/>
  <c r="AV61" i="11" s="1"/>
  <c r="I61" i="11"/>
  <c r="K54" i="11"/>
  <c r="G22" i="10" s="1"/>
  <c r="I22" i="10" s="1"/>
  <c r="AS48" i="11"/>
  <c r="AV45" i="11"/>
  <c r="AU37" i="11"/>
  <c r="J29" i="11"/>
  <c r="AU21" i="11"/>
  <c r="K19" i="11"/>
  <c r="G12" i="10" s="1"/>
  <c r="I12" i="10" s="1"/>
  <c r="BI15" i="11"/>
  <c r="AC15" i="11" s="1"/>
  <c r="AX15" i="11"/>
  <c r="AS104" i="11"/>
  <c r="AW95" i="11"/>
  <c r="BH92" i="11"/>
  <c r="AB92" i="11" s="1"/>
  <c r="AX90" i="11"/>
  <c r="BI85" i="11"/>
  <c r="AC85" i="11" s="1"/>
  <c r="BI82" i="11"/>
  <c r="AC82" i="11" s="1"/>
  <c r="BH81" i="11"/>
  <c r="AB81" i="11" s="1"/>
  <c r="BH80" i="11"/>
  <c r="AB80" i="11" s="1"/>
  <c r="AW80" i="11"/>
  <c r="BI75" i="11"/>
  <c r="AC75" i="11" s="1"/>
  <c r="AV64" i="11"/>
  <c r="AX63" i="11"/>
  <c r="AX38" i="11"/>
  <c r="AU108" i="11"/>
  <c r="AS101" i="11"/>
  <c r="AS98" i="11"/>
  <c r="BH95" i="11"/>
  <c r="AB95" i="11" s="1"/>
  <c r="AV85" i="11"/>
  <c r="J68" i="11"/>
  <c r="AW67" i="11"/>
  <c r="I65" i="11"/>
  <c r="AU57" i="11"/>
  <c r="AS57" i="11"/>
  <c r="J45" i="11"/>
  <c r="J42" i="11"/>
  <c r="BH41" i="11"/>
  <c r="AB41" i="11" s="1"/>
  <c r="AW41" i="11"/>
  <c r="AU30" i="11"/>
  <c r="BI29" i="11"/>
  <c r="AC29" i="11" s="1"/>
  <c r="AS26" i="11"/>
  <c r="BH20" i="11"/>
  <c r="AB20" i="11" s="1"/>
  <c r="AW20" i="11"/>
  <c r="BH17" i="11"/>
  <c r="AB17" i="11" s="1"/>
  <c r="AW17" i="11"/>
  <c r="BH557" i="15"/>
  <c r="AB557" i="15" s="1"/>
  <c r="BI188" i="15"/>
  <c r="AE188" i="15" s="1"/>
  <c r="BH595" i="15"/>
  <c r="AB595" i="15" s="1"/>
  <c r="BH271" i="15"/>
  <c r="AD271" i="15" s="1"/>
  <c r="BI230" i="15"/>
  <c r="AE230" i="15" s="1"/>
  <c r="BH275" i="15"/>
  <c r="AD275" i="15" s="1"/>
  <c r="BH270" i="15"/>
  <c r="AD270" i="15" s="1"/>
  <c r="BH526" i="15"/>
  <c r="AB526" i="15" s="1"/>
  <c r="BH497" i="15"/>
  <c r="AD497" i="15" s="1"/>
  <c r="BH195" i="15"/>
  <c r="AD195" i="15" s="1"/>
  <c r="BH473" i="15"/>
  <c r="AD473" i="15" s="1"/>
  <c r="BH470" i="15"/>
  <c r="AX230" i="15"/>
  <c r="AW196" i="15"/>
  <c r="AX188" i="15"/>
  <c r="BI158" i="15"/>
  <c r="AC158" i="15" s="1"/>
  <c r="BH329" i="15"/>
  <c r="AD329" i="15" s="1"/>
  <c r="BH626" i="15"/>
  <c r="AB626" i="15" s="1"/>
  <c r="BH520" i="15"/>
  <c r="AB520" i="15" s="1"/>
  <c r="BH512" i="15"/>
  <c r="AB512" i="15" s="1"/>
  <c r="BH399" i="15"/>
  <c r="AD399" i="15" s="1"/>
  <c r="BI107" i="15"/>
  <c r="AC107" i="15" s="1"/>
  <c r="AW532" i="15"/>
  <c r="BH524" i="15"/>
  <c r="AB524" i="15" s="1"/>
  <c r="AW372" i="15"/>
  <c r="BI317" i="15"/>
  <c r="AE317" i="15" s="1"/>
  <c r="BH477" i="15"/>
  <c r="AD477" i="15" s="1"/>
  <c r="BI309" i="15"/>
  <c r="AE309" i="15" s="1"/>
  <c r="BH162" i="15"/>
  <c r="AB162" i="15" s="1"/>
  <c r="BH627" i="15"/>
  <c r="AB627" i="15" s="1"/>
  <c r="BH535" i="15"/>
  <c r="AB535" i="15" s="1"/>
  <c r="BI470" i="15"/>
  <c r="BH425" i="15"/>
  <c r="AD425" i="15" s="1"/>
  <c r="AX309" i="15"/>
  <c r="BI242" i="15"/>
  <c r="AE242" i="15" s="1"/>
  <c r="BI239" i="15"/>
  <c r="AE239" i="15" s="1"/>
  <c r="BI238" i="15"/>
  <c r="AE238" i="15" s="1"/>
  <c r="BI166" i="15"/>
  <c r="AC166" i="15" s="1"/>
  <c r="BI95" i="15"/>
  <c r="AC95" i="15" s="1"/>
  <c r="BH541" i="15"/>
  <c r="AB541" i="15" s="1"/>
  <c r="BH517" i="15"/>
  <c r="AB517" i="15" s="1"/>
  <c r="BI293" i="15"/>
  <c r="AE293" i="15" s="1"/>
  <c r="BH24" i="15"/>
  <c r="AB24" i="15" s="1"/>
  <c r="AX317" i="15"/>
  <c r="BI301" i="15"/>
  <c r="AE301" i="15" s="1"/>
  <c r="BI169" i="15"/>
  <c r="BI163" i="15"/>
  <c r="AC163" i="15" s="1"/>
  <c r="AX158" i="15"/>
  <c r="BI15" i="15"/>
  <c r="AC15" i="15" s="1"/>
  <c r="BH518" i="15"/>
  <c r="AB518" i="15" s="1"/>
  <c r="BI545" i="15"/>
  <c r="AC545" i="15" s="1"/>
  <c r="AW620" i="15"/>
  <c r="BI613" i="15"/>
  <c r="AC613" i="15" s="1"/>
  <c r="BI515" i="15"/>
  <c r="AC515" i="15" s="1"/>
  <c r="BI314" i="15"/>
  <c r="AE314" i="15" s="1"/>
  <c r="BI298" i="15"/>
  <c r="AE298" i="15" s="1"/>
  <c r="AW191" i="15"/>
  <c r="BH630" i="15"/>
  <c r="AB630" i="15" s="1"/>
  <c r="BI632" i="15"/>
  <c r="AC632" i="15" s="1"/>
  <c r="AW629" i="15"/>
  <c r="BC629" i="15" s="1"/>
  <c r="BI558" i="15"/>
  <c r="AC558" i="15" s="1"/>
  <c r="BI543" i="15"/>
  <c r="AC543" i="15" s="1"/>
  <c r="AW538" i="15"/>
  <c r="I525" i="15"/>
  <c r="I432" i="15"/>
  <c r="AW388" i="15"/>
  <c r="BI254" i="15"/>
  <c r="AE254" i="15" s="1"/>
  <c r="BH46" i="15"/>
  <c r="AB46" i="15" s="1"/>
  <c r="BI582" i="15"/>
  <c r="AC582" i="15" s="1"/>
  <c r="AX543" i="15"/>
  <c r="BI421" i="15"/>
  <c r="AE421" i="15" s="1"/>
  <c r="I384" i="15"/>
  <c r="BI262" i="15"/>
  <c r="AE262" i="15" s="1"/>
  <c r="BI208" i="15"/>
  <c r="AE208" i="15" s="1"/>
  <c r="BI207" i="15"/>
  <c r="AE207" i="15" s="1"/>
  <c r="BH196" i="15"/>
  <c r="AD196" i="15" s="1"/>
  <c r="BH191" i="15"/>
  <c r="AX169" i="15"/>
  <c r="AX166" i="15"/>
  <c r="AX107" i="15"/>
  <c r="BI104" i="15"/>
  <c r="AC104" i="15" s="1"/>
  <c r="BI92" i="15"/>
  <c r="AC92" i="15" s="1"/>
  <c r="BI29" i="15"/>
  <c r="AC29" i="15" s="1"/>
  <c r="BI17" i="15"/>
  <c r="AC17" i="15" s="1"/>
  <c r="BH13" i="15"/>
  <c r="AB13" i="15" s="1"/>
  <c r="BH603" i="15"/>
  <c r="AB603" i="15" s="1"/>
  <c r="BI592" i="15"/>
  <c r="AC592" i="15" s="1"/>
  <c r="AW558" i="15"/>
  <c r="BI414" i="15"/>
  <c r="AE414" i="15" s="1"/>
  <c r="BI374" i="15"/>
  <c r="AE374" i="15" s="1"/>
  <c r="BH228" i="15"/>
  <c r="AD228" i="15" s="1"/>
  <c r="I558" i="15"/>
  <c r="BH205" i="15"/>
  <c r="AD205" i="15" s="1"/>
  <c r="BH156" i="15"/>
  <c r="AB156" i="15" s="1"/>
  <c r="BH628" i="15"/>
  <c r="AB628" i="15" s="1"/>
  <c r="AW314" i="15"/>
  <c r="BC314" i="15" s="1"/>
  <c r="AW298" i="15"/>
  <c r="AW282" i="15"/>
  <c r="AW560" i="15"/>
  <c r="BI450" i="15"/>
  <c r="AE450" i="15" s="1"/>
  <c r="I334" i="15"/>
  <c r="BH314" i="15"/>
  <c r="AD314" i="15" s="1"/>
  <c r="I311" i="15"/>
  <c r="AX301" i="15"/>
  <c r="BH298" i="15"/>
  <c r="AD298" i="15" s="1"/>
  <c r="AW271" i="15"/>
  <c r="AX233" i="15"/>
  <c r="BI130" i="15"/>
  <c r="AC130" i="15" s="1"/>
  <c r="AS97" i="15"/>
  <c r="J84" i="15"/>
  <c r="BI63" i="15"/>
  <c r="AC63" i="15" s="1"/>
  <c r="I61" i="15"/>
  <c r="AW60" i="15"/>
  <c r="BI36" i="15"/>
  <c r="AC36" i="15" s="1"/>
  <c r="BH561" i="15"/>
  <c r="AB561" i="15" s="1"/>
  <c r="BH480" i="15"/>
  <c r="AD480" i="15" s="1"/>
  <c r="BH609" i="15"/>
  <c r="AB609" i="15" s="1"/>
  <c r="BH436" i="15"/>
  <c r="AD436" i="15" s="1"/>
  <c r="BH325" i="15"/>
  <c r="AD325" i="15" s="1"/>
  <c r="BI312" i="15"/>
  <c r="AE312" i="15" s="1"/>
  <c r="BI564" i="15"/>
  <c r="AC564" i="15" s="1"/>
  <c r="BI500" i="15"/>
  <c r="AG500" i="15" s="1"/>
  <c r="BI417" i="15"/>
  <c r="AE417" i="15" s="1"/>
  <c r="BI398" i="15"/>
  <c r="AE398" i="15" s="1"/>
  <c r="BI336" i="15"/>
  <c r="AE336" i="15" s="1"/>
  <c r="BI280" i="15"/>
  <c r="AE280" i="15" s="1"/>
  <c r="BI235" i="15"/>
  <c r="AE235" i="15" s="1"/>
  <c r="AW146" i="15"/>
  <c r="AT94" i="15"/>
  <c r="K94" i="15"/>
  <c r="G26" i="14" s="1"/>
  <c r="I26" i="14" s="1"/>
  <c r="I74" i="15"/>
  <c r="AX63" i="15"/>
  <c r="AX29" i="15"/>
  <c r="BH573" i="15"/>
  <c r="AB573" i="15" s="1"/>
  <c r="AX632" i="15"/>
  <c r="BI600" i="15"/>
  <c r="AC600" i="15" s="1"/>
  <c r="BI505" i="15"/>
  <c r="AC505" i="15" s="1"/>
  <c r="BI502" i="15"/>
  <c r="AG502" i="15" s="1"/>
  <c r="BI465" i="15"/>
  <c r="AE465" i="15" s="1"/>
  <c r="AW448" i="15"/>
  <c r="AW422" i="15"/>
  <c r="AW414" i="15"/>
  <c r="AX374" i="15"/>
  <c r="BH372" i="15"/>
  <c r="AD372" i="15" s="1"/>
  <c r="AW360" i="15"/>
  <c r="BI348" i="15"/>
  <c r="AE348" i="15" s="1"/>
  <c r="BI340" i="15"/>
  <c r="AE340" i="15" s="1"/>
  <c r="BI302" i="15"/>
  <c r="AE302" i="15" s="1"/>
  <c r="AW285" i="15"/>
  <c r="BH282" i="15"/>
  <c r="AD282" i="15" s="1"/>
  <c r="AW266" i="15"/>
  <c r="AX254" i="15"/>
  <c r="BI241" i="15"/>
  <c r="AE241" i="15" s="1"/>
  <c r="AX207" i="15"/>
  <c r="I205" i="15"/>
  <c r="BI174" i="15"/>
  <c r="I156" i="15"/>
  <c r="I141" i="15"/>
  <c r="AT97" i="15"/>
  <c r="K97" i="15"/>
  <c r="G27" i="14" s="1"/>
  <c r="I27" i="14" s="1"/>
  <c r="AW58" i="15"/>
  <c r="AW49" i="15"/>
  <c r="BI459" i="15"/>
  <c r="AE459" i="15" s="1"/>
  <c r="BH352" i="15"/>
  <c r="AD352" i="15" s="1"/>
  <c r="AX613" i="15"/>
  <c r="J558" i="15"/>
  <c r="BI477" i="15"/>
  <c r="AE477" i="15" s="1"/>
  <c r="AX477" i="15"/>
  <c r="AX459" i="15"/>
  <c r="AX450" i="15"/>
  <c r="BH448" i="15"/>
  <c r="AD448" i="15" s="1"/>
  <c r="BH422" i="15"/>
  <c r="AD422" i="15" s="1"/>
  <c r="AX421" i="15"/>
  <c r="BH360" i="15"/>
  <c r="AD360" i="15" s="1"/>
  <c r="AW351" i="15"/>
  <c r="BI318" i="15"/>
  <c r="AE318" i="15" s="1"/>
  <c r="AW318" i="15"/>
  <c r="AX312" i="15"/>
  <c r="AX293" i="15"/>
  <c r="BH285" i="15"/>
  <c r="AD285" i="15" s="1"/>
  <c r="I279" i="15"/>
  <c r="BH266" i="15"/>
  <c r="AD266" i="15" s="1"/>
  <c r="AX262" i="15"/>
  <c r="AX238" i="15"/>
  <c r="I171" i="15"/>
  <c r="J159" i="15"/>
  <c r="BI154" i="15"/>
  <c r="AC154" i="15" s="1"/>
  <c r="AX104" i="15"/>
  <c r="I99" i="15"/>
  <c r="AX17" i="15"/>
  <c r="I249" i="15"/>
  <c r="AW249" i="15"/>
  <c r="J245" i="15"/>
  <c r="AX245" i="15"/>
  <c r="I240" i="15"/>
  <c r="BH240" i="15"/>
  <c r="AD240" i="15" s="1"/>
  <c r="AW240" i="15"/>
  <c r="J234" i="15"/>
  <c r="AX234" i="15"/>
  <c r="I223" i="15"/>
  <c r="AW223" i="15"/>
  <c r="J203" i="15"/>
  <c r="AX203" i="15"/>
  <c r="I120" i="15"/>
  <c r="AW120" i="15"/>
  <c r="AW102" i="15"/>
  <c r="I102" i="15"/>
  <c r="I86" i="15"/>
  <c r="AW86" i="15"/>
  <c r="J70" i="15"/>
  <c r="AX70" i="15"/>
  <c r="J44" i="15"/>
  <c r="AX44" i="15"/>
  <c r="I576" i="15"/>
  <c r="AW576" i="15"/>
  <c r="AW492" i="15"/>
  <c r="I492" i="15"/>
  <c r="I444" i="15"/>
  <c r="BH444" i="15"/>
  <c r="AD444" i="15" s="1"/>
  <c r="AW444" i="15"/>
  <c r="J347" i="15"/>
  <c r="AX347" i="15"/>
  <c r="I301" i="15"/>
  <c r="AW301" i="15"/>
  <c r="BH301" i="15"/>
  <c r="AD301" i="15" s="1"/>
  <c r="J623" i="15"/>
  <c r="AX623" i="15"/>
  <c r="I600" i="15"/>
  <c r="AW600" i="15"/>
  <c r="I594" i="15"/>
  <c r="BH594" i="15"/>
  <c r="AB594" i="15" s="1"/>
  <c r="AW594" i="15"/>
  <c r="J583" i="15"/>
  <c r="AX583" i="15"/>
  <c r="J574" i="15"/>
  <c r="AW548" i="15"/>
  <c r="I548" i="15"/>
  <c r="AX502" i="15"/>
  <c r="AX500" i="15"/>
  <c r="AX487" i="15"/>
  <c r="BI487" i="15"/>
  <c r="AE487" i="15" s="1"/>
  <c r="AX431" i="15"/>
  <c r="BI431" i="15"/>
  <c r="AE431" i="15" s="1"/>
  <c r="J386" i="15"/>
  <c r="AX386" i="15"/>
  <c r="J381" i="15"/>
  <c r="AX381" i="15"/>
  <c r="AW380" i="15"/>
  <c r="I380" i="15"/>
  <c r="AW364" i="15"/>
  <c r="I364" i="15"/>
  <c r="BI347" i="15"/>
  <c r="AE347" i="15" s="1"/>
  <c r="I343" i="15"/>
  <c r="AW343" i="15"/>
  <c r="AV314" i="15"/>
  <c r="I299" i="15"/>
  <c r="BH299" i="15"/>
  <c r="AD299" i="15" s="1"/>
  <c r="AW299" i="15"/>
  <c r="BI258" i="15"/>
  <c r="AE258" i="15" s="1"/>
  <c r="I246" i="15"/>
  <c r="BH246" i="15"/>
  <c r="AD246" i="15" s="1"/>
  <c r="AW246" i="15"/>
  <c r="BI245" i="15"/>
  <c r="AE245" i="15" s="1"/>
  <c r="I238" i="15"/>
  <c r="AW238" i="15"/>
  <c r="BH238" i="15"/>
  <c r="AD238" i="15" s="1"/>
  <c r="BI234" i="15"/>
  <c r="AE234" i="15" s="1"/>
  <c r="J222" i="15"/>
  <c r="AX222" i="15"/>
  <c r="AW221" i="15"/>
  <c r="I221" i="15"/>
  <c r="I204" i="15"/>
  <c r="BH204" i="15"/>
  <c r="AD204" i="15" s="1"/>
  <c r="AW204" i="15"/>
  <c r="BI203" i="15"/>
  <c r="AE203" i="15" s="1"/>
  <c r="J177" i="15"/>
  <c r="AX177" i="15"/>
  <c r="AX163" i="15"/>
  <c r="J146" i="15"/>
  <c r="AX146" i="15"/>
  <c r="BI146" i="15"/>
  <c r="AC146" i="15" s="1"/>
  <c r="BH130" i="15"/>
  <c r="AB130" i="15" s="1"/>
  <c r="AW130" i="15"/>
  <c r="I105" i="15"/>
  <c r="AS94" i="15"/>
  <c r="AX95" i="15"/>
  <c r="AX92" i="15"/>
  <c r="BH90" i="15"/>
  <c r="AB90" i="15" s="1"/>
  <c r="I90" i="15"/>
  <c r="I89" i="15" s="1"/>
  <c r="E24" i="14" s="1"/>
  <c r="BI44" i="15"/>
  <c r="AC44" i="15" s="1"/>
  <c r="BI41" i="15"/>
  <c r="AC41" i="15" s="1"/>
  <c r="J577" i="15"/>
  <c r="AX577" i="15"/>
  <c r="BI623" i="15"/>
  <c r="AC623" i="15" s="1"/>
  <c r="BI622" i="15"/>
  <c r="AC622" i="15" s="1"/>
  <c r="J575" i="15"/>
  <c r="AX575" i="15"/>
  <c r="AW550" i="15"/>
  <c r="I550" i="15"/>
  <c r="BH505" i="15"/>
  <c r="AB505" i="15" s="1"/>
  <c r="AW505" i="15"/>
  <c r="I487" i="15"/>
  <c r="AW487" i="15"/>
  <c r="J446" i="15"/>
  <c r="AX446" i="15"/>
  <c r="BI446" i="15"/>
  <c r="AE446" i="15" s="1"/>
  <c r="I439" i="15"/>
  <c r="BH439" i="15"/>
  <c r="AW439" i="15"/>
  <c r="I433" i="15"/>
  <c r="AW433" i="15"/>
  <c r="I428" i="15"/>
  <c r="BH428" i="15"/>
  <c r="AD428" i="15" s="1"/>
  <c r="AW428" i="15"/>
  <c r="BI402" i="15"/>
  <c r="AE402" i="15" s="1"/>
  <c r="BI401" i="15"/>
  <c r="AE401" i="15" s="1"/>
  <c r="BI386" i="15"/>
  <c r="AE386" i="15" s="1"/>
  <c r="I367" i="15"/>
  <c r="BH367" i="15"/>
  <c r="AD367" i="15" s="1"/>
  <c r="AW367" i="15"/>
  <c r="AV367" i="15" s="1"/>
  <c r="I356" i="15"/>
  <c r="BH356" i="15"/>
  <c r="AD356" i="15" s="1"/>
  <c r="AW356" i="15"/>
  <c r="J354" i="15"/>
  <c r="BI354" i="15"/>
  <c r="AE354" i="15" s="1"/>
  <c r="I345" i="15"/>
  <c r="BH345" i="15"/>
  <c r="AD345" i="15" s="1"/>
  <c r="AW345" i="15"/>
  <c r="J323" i="15"/>
  <c r="AX323" i="15"/>
  <c r="I306" i="15"/>
  <c r="BH306" i="15"/>
  <c r="AD306" i="15" s="1"/>
  <c r="AW306" i="15"/>
  <c r="BH274" i="15"/>
  <c r="AD274" i="15" s="1"/>
  <c r="I274" i="15"/>
  <c r="J132" i="15"/>
  <c r="AX132" i="15"/>
  <c r="AX108" i="15"/>
  <c r="BI108" i="15"/>
  <c r="AC108" i="15" s="1"/>
  <c r="AX61" i="15"/>
  <c r="BI537" i="15"/>
  <c r="AC537" i="15" s="1"/>
  <c r="J483" i="15"/>
  <c r="AX483" i="15"/>
  <c r="J394" i="15"/>
  <c r="AX394" i="15"/>
  <c r="AW287" i="15"/>
  <c r="I287" i="15"/>
  <c r="BI628" i="15"/>
  <c r="AC628" i="15" s="1"/>
  <c r="AX628" i="15"/>
  <c r="AW627" i="15"/>
  <c r="J626" i="15"/>
  <c r="AX626" i="15"/>
  <c r="BI626" i="15"/>
  <c r="AC626" i="15" s="1"/>
  <c r="J611" i="15"/>
  <c r="AX611" i="15"/>
  <c r="I602" i="15"/>
  <c r="AW602" i="15"/>
  <c r="I592" i="15"/>
  <c r="AW592" i="15"/>
  <c r="AW587" i="15"/>
  <c r="BH587" i="15"/>
  <c r="AB587" i="15" s="1"/>
  <c r="BI575" i="15"/>
  <c r="AC575" i="15" s="1"/>
  <c r="BI574" i="15"/>
  <c r="AC574" i="15" s="1"/>
  <c r="J559" i="15"/>
  <c r="BI559" i="15"/>
  <c r="AC559" i="15" s="1"/>
  <c r="AX537" i="15"/>
  <c r="BI523" i="15"/>
  <c r="AC523" i="15" s="1"/>
  <c r="AW514" i="15"/>
  <c r="I514" i="15"/>
  <c r="AW481" i="15"/>
  <c r="I481" i="15"/>
  <c r="I446" i="15"/>
  <c r="AW446" i="15"/>
  <c r="BH446" i="15"/>
  <c r="AD446" i="15" s="1"/>
  <c r="J408" i="15"/>
  <c r="BI408" i="15"/>
  <c r="AE408" i="15" s="1"/>
  <c r="J385" i="15"/>
  <c r="AX385" i="15"/>
  <c r="J378" i="15"/>
  <c r="AX378" i="15"/>
  <c r="J331" i="15"/>
  <c r="AX331" i="15"/>
  <c r="AX208" i="15"/>
  <c r="I199" i="15"/>
  <c r="AW199" i="15"/>
  <c r="AV199" i="15" s="1"/>
  <c r="AX154" i="15"/>
  <c r="I135" i="15"/>
  <c r="BI132" i="15"/>
  <c r="AC132" i="15" s="1"/>
  <c r="I115" i="15"/>
  <c r="BH115" i="15"/>
  <c r="AB115" i="15" s="1"/>
  <c r="AW115" i="15"/>
  <c r="AW101" i="15"/>
  <c r="I101" i="15"/>
  <c r="J68" i="15"/>
  <c r="AX68" i="15"/>
  <c r="AX65" i="15"/>
  <c r="BI65" i="15"/>
  <c r="AC65" i="15" s="1"/>
  <c r="J36" i="15"/>
  <c r="J35" i="15" s="1"/>
  <c r="F16" i="14" s="1"/>
  <c r="J20" i="15"/>
  <c r="J19" i="15" s="1"/>
  <c r="F12" i="14" s="1"/>
  <c r="J598" i="15"/>
  <c r="J590" i="15"/>
  <c r="BI587" i="15"/>
  <c r="AC587" i="15" s="1"/>
  <c r="AX587" i="15"/>
  <c r="BH560" i="15"/>
  <c r="AB560" i="15" s="1"/>
  <c r="AX545" i="15"/>
  <c r="I419" i="15"/>
  <c r="BH388" i="15"/>
  <c r="AD388" i="15" s="1"/>
  <c r="BI367" i="15"/>
  <c r="AE367" i="15" s="1"/>
  <c r="AX336" i="15"/>
  <c r="I315" i="15"/>
  <c r="AX241" i="15"/>
  <c r="J45" i="15"/>
  <c r="AS21" i="15"/>
  <c r="AX15" i="15"/>
  <c r="BI159" i="15"/>
  <c r="AC159" i="15" s="1"/>
  <c r="AS40" i="15"/>
  <c r="AX198" i="15"/>
  <c r="BI198" i="15"/>
  <c r="AE198" i="15" s="1"/>
  <c r="J198" i="15"/>
  <c r="J119" i="15"/>
  <c r="AX119" i="15"/>
  <c r="BI119" i="15"/>
  <c r="AC119" i="15" s="1"/>
  <c r="I112" i="15"/>
  <c r="BH112" i="15"/>
  <c r="AB112" i="15" s="1"/>
  <c r="AW112" i="15"/>
  <c r="AW104" i="15"/>
  <c r="BH104" i="15"/>
  <c r="AB104" i="15" s="1"/>
  <c r="J83" i="15"/>
  <c r="AX83" i="15"/>
  <c r="AW42" i="15"/>
  <c r="AV42" i="15" s="1"/>
  <c r="I42" i="15"/>
  <c r="I20" i="15"/>
  <c r="I19" i="15" s="1"/>
  <c r="E12" i="14" s="1"/>
  <c r="AW20" i="15"/>
  <c r="J13" i="15"/>
  <c r="J610" i="15"/>
  <c r="AW607" i="15"/>
  <c r="I607" i="15"/>
  <c r="AW574" i="15"/>
  <c r="BC574" i="15" s="1"/>
  <c r="I574" i="15"/>
  <c r="J569" i="15"/>
  <c r="AX569" i="15"/>
  <c r="I554" i="15"/>
  <c r="BH554" i="15"/>
  <c r="AB554" i="15" s="1"/>
  <c r="J539" i="15"/>
  <c r="AX539" i="15"/>
  <c r="J531" i="15"/>
  <c r="J529" i="15" s="1"/>
  <c r="F51" i="14" s="1"/>
  <c r="AX531" i="15"/>
  <c r="I530" i="15"/>
  <c r="AW530" i="15"/>
  <c r="I517" i="15"/>
  <c r="J505" i="15"/>
  <c r="I489" i="15"/>
  <c r="AW489" i="15"/>
  <c r="J486" i="15"/>
  <c r="AX486" i="15"/>
  <c r="BI486" i="15"/>
  <c r="AE486" i="15" s="1"/>
  <c r="J473" i="15"/>
  <c r="AX473" i="15"/>
  <c r="BI473" i="15"/>
  <c r="AE473" i="15" s="1"/>
  <c r="I473" i="15"/>
  <c r="I458" i="15"/>
  <c r="AW458" i="15"/>
  <c r="BI445" i="15"/>
  <c r="AE445" i="15" s="1"/>
  <c r="AX445" i="15"/>
  <c r="BI442" i="15"/>
  <c r="AE442" i="15" s="1"/>
  <c r="AW442" i="15"/>
  <c r="I426" i="15"/>
  <c r="BH426" i="15"/>
  <c r="AD426" i="15" s="1"/>
  <c r="J413" i="15"/>
  <c r="AX413" i="15"/>
  <c r="BI412" i="15"/>
  <c r="AE412" i="15" s="1"/>
  <c r="J404" i="15"/>
  <c r="AX404" i="15"/>
  <c r="I403" i="15"/>
  <c r="I399" i="15"/>
  <c r="AX379" i="15"/>
  <c r="BI379" i="15"/>
  <c r="AE379" i="15" s="1"/>
  <c r="BI375" i="15"/>
  <c r="AE375" i="15" s="1"/>
  <c r="I371" i="15"/>
  <c r="BH371" i="15"/>
  <c r="AD371" i="15" s="1"/>
  <c r="AW371" i="15"/>
  <c r="BI356" i="15"/>
  <c r="AE356" i="15" s="1"/>
  <c r="AW353" i="15"/>
  <c r="I353" i="15"/>
  <c r="I310" i="15"/>
  <c r="AW310" i="15"/>
  <c r="J308" i="15"/>
  <c r="AX308" i="15"/>
  <c r="J305" i="15"/>
  <c r="AX305" i="15"/>
  <c r="BI305" i="15"/>
  <c r="AE305" i="15" s="1"/>
  <c r="I302" i="15"/>
  <c r="BH302" i="15"/>
  <c r="AD302" i="15" s="1"/>
  <c r="AW302" i="15"/>
  <c r="BC302" i="15" s="1"/>
  <c r="I294" i="15"/>
  <c r="AW294" i="15"/>
  <c r="BH294" i="15"/>
  <c r="AD294" i="15" s="1"/>
  <c r="AX285" i="15"/>
  <c r="BI285" i="15"/>
  <c r="AE285" i="15" s="1"/>
  <c r="I281" i="15"/>
  <c r="AW281" i="15"/>
  <c r="BH281" i="15"/>
  <c r="AD281" i="15" s="1"/>
  <c r="I227" i="15"/>
  <c r="AW227" i="15"/>
  <c r="AW225" i="15"/>
  <c r="I225" i="15"/>
  <c r="BI224" i="15"/>
  <c r="AE224" i="15" s="1"/>
  <c r="I215" i="15"/>
  <c r="BH215" i="15"/>
  <c r="AD215" i="15" s="1"/>
  <c r="AW215" i="15"/>
  <c r="J211" i="15"/>
  <c r="AX211" i="15"/>
  <c r="I198" i="15"/>
  <c r="AW198" i="15"/>
  <c r="I188" i="15"/>
  <c r="AW188" i="15"/>
  <c r="BH188" i="15"/>
  <c r="AD188" i="15" s="1"/>
  <c r="I186" i="15"/>
  <c r="I185" i="15" s="1"/>
  <c r="E34" i="14" s="1"/>
  <c r="AW186" i="15"/>
  <c r="J162" i="15"/>
  <c r="AX162" i="15"/>
  <c r="BI162" i="15"/>
  <c r="AC162" i="15" s="1"/>
  <c r="AX143" i="15"/>
  <c r="BI143" i="15"/>
  <c r="AC143" i="15" s="1"/>
  <c r="AX115" i="15"/>
  <c r="BI115" i="15"/>
  <c r="AC115" i="15" s="1"/>
  <c r="J115" i="15"/>
  <c r="I104" i="15"/>
  <c r="BI83" i="15"/>
  <c r="AC83" i="15" s="1"/>
  <c r="J54" i="15"/>
  <c r="AX54" i="15"/>
  <c r="J28" i="15"/>
  <c r="AX28" i="15"/>
  <c r="I17" i="15"/>
  <c r="AW17" i="15"/>
  <c r="BH17" i="15"/>
  <c r="AB17" i="15" s="1"/>
  <c r="J603" i="15"/>
  <c r="AX603" i="15"/>
  <c r="BI603" i="15"/>
  <c r="AC603" i="15" s="1"/>
  <c r="I584" i="15"/>
  <c r="BH584" i="15"/>
  <c r="AB584" i="15" s="1"/>
  <c r="BH582" i="15"/>
  <c r="AB582" i="15" s="1"/>
  <c r="AW582" i="15"/>
  <c r="BC582" i="15" s="1"/>
  <c r="AW571" i="15"/>
  <c r="I571" i="15"/>
  <c r="I566" i="15"/>
  <c r="I564" i="15"/>
  <c r="AW564" i="15"/>
  <c r="BI555" i="15"/>
  <c r="AC555" i="15" s="1"/>
  <c r="J553" i="15"/>
  <c r="AX553" i="15"/>
  <c r="I552" i="15"/>
  <c r="AW552" i="15"/>
  <c r="AX544" i="15"/>
  <c r="BI544" i="15"/>
  <c r="AC544" i="15" s="1"/>
  <c r="J506" i="15"/>
  <c r="AX506" i="15"/>
  <c r="AW455" i="15"/>
  <c r="I455" i="15"/>
  <c r="I398" i="15"/>
  <c r="AW398" i="15"/>
  <c r="BH398" i="15"/>
  <c r="AD398" i="15" s="1"/>
  <c r="J370" i="15"/>
  <c r="AX370" i="15"/>
  <c r="J294" i="15"/>
  <c r="AX294" i="15"/>
  <c r="BI294" i="15"/>
  <c r="AE294" i="15" s="1"/>
  <c r="I267" i="15"/>
  <c r="BH267" i="15"/>
  <c r="AD267" i="15" s="1"/>
  <c r="AW267" i="15"/>
  <c r="I265" i="15"/>
  <c r="AW265" i="15"/>
  <c r="BH265" i="15"/>
  <c r="AD265" i="15" s="1"/>
  <c r="J252" i="15"/>
  <c r="AX252" i="15"/>
  <c r="J219" i="15"/>
  <c r="AX219" i="15"/>
  <c r="BI219" i="15"/>
  <c r="AE219" i="15" s="1"/>
  <c r="J210" i="15"/>
  <c r="AX210" i="15"/>
  <c r="AK186" i="15"/>
  <c r="AT185" i="15" s="1"/>
  <c r="K185" i="15"/>
  <c r="G34" i="14" s="1"/>
  <c r="I34" i="14" s="1"/>
  <c r="BH174" i="15"/>
  <c r="AW174" i="15"/>
  <c r="AW134" i="15"/>
  <c r="I134" i="15"/>
  <c r="BH631" i="15"/>
  <c r="AB631" i="15" s="1"/>
  <c r="BI630" i="15"/>
  <c r="AC630" i="15" s="1"/>
  <c r="AX630" i="15"/>
  <c r="BH629" i="15"/>
  <c r="AB629" i="15" s="1"/>
  <c r="J629" i="15"/>
  <c r="J622" i="15"/>
  <c r="I612" i="15"/>
  <c r="BH612" i="15"/>
  <c r="AB612" i="15" s="1"/>
  <c r="BI610" i="15"/>
  <c r="AC610" i="15" s="1"/>
  <c r="BH610" i="15"/>
  <c r="AB610" i="15" s="1"/>
  <c r="AW610" i="15"/>
  <c r="BC610" i="15" s="1"/>
  <c r="I610" i="15"/>
  <c r="J605" i="15"/>
  <c r="AX605" i="15"/>
  <c r="I586" i="15"/>
  <c r="BH586" i="15"/>
  <c r="AB586" i="15" s="1"/>
  <c r="AW584" i="15"/>
  <c r="BI569" i="15"/>
  <c r="AC569" i="15" s="1"/>
  <c r="AW566" i="15"/>
  <c r="BI539" i="15"/>
  <c r="AC539" i="15" s="1"/>
  <c r="J536" i="15"/>
  <c r="BI531" i="15"/>
  <c r="AC531" i="15" s="1"/>
  <c r="J508" i="15"/>
  <c r="AX508" i="15"/>
  <c r="I507" i="15"/>
  <c r="AW507" i="15"/>
  <c r="I505" i="15"/>
  <c r="AW491" i="15"/>
  <c r="I491" i="15"/>
  <c r="I483" i="15"/>
  <c r="BH483" i="15"/>
  <c r="AD483" i="15" s="1"/>
  <c r="I447" i="15"/>
  <c r="BH447" i="15"/>
  <c r="AD447" i="15" s="1"/>
  <c r="BH442" i="15"/>
  <c r="AD442" i="15" s="1"/>
  <c r="J436" i="15"/>
  <c r="AX436" i="15"/>
  <c r="BI436" i="15"/>
  <c r="AE436" i="15" s="1"/>
  <c r="I436" i="15"/>
  <c r="BI430" i="15"/>
  <c r="AE430" i="15" s="1"/>
  <c r="AX430" i="15"/>
  <c r="AW429" i="15"/>
  <c r="AV429" i="15" s="1"/>
  <c r="I423" i="15"/>
  <c r="J418" i="15"/>
  <c r="AX418" i="15"/>
  <c r="BI413" i="15"/>
  <c r="AE413" i="15" s="1"/>
  <c r="J406" i="15"/>
  <c r="AX406" i="15"/>
  <c r="AX401" i="15"/>
  <c r="AX398" i="15"/>
  <c r="J391" i="15"/>
  <c r="AX391" i="15"/>
  <c r="BI391" i="15"/>
  <c r="AE391" i="15" s="1"/>
  <c r="I387" i="15"/>
  <c r="AW387" i="15"/>
  <c r="J359" i="15"/>
  <c r="AX359" i="15"/>
  <c r="BI359" i="15"/>
  <c r="AE359" i="15" s="1"/>
  <c r="AX348" i="15"/>
  <c r="AX340" i="15"/>
  <c r="J320" i="15"/>
  <c r="AX320" i="15"/>
  <c r="I309" i="15"/>
  <c r="AW309" i="15"/>
  <c r="BH309" i="15"/>
  <c r="AD309" i="15" s="1"/>
  <c r="BI308" i="15"/>
  <c r="AE308" i="15" s="1"/>
  <c r="I305" i="15"/>
  <c r="AW305" i="15"/>
  <c r="BH305" i="15"/>
  <c r="AD305" i="15" s="1"/>
  <c r="I275" i="15"/>
  <c r="AX274" i="15"/>
  <c r="BI274" i="15"/>
  <c r="AE274" i="15" s="1"/>
  <c r="AX235" i="15"/>
  <c r="I232" i="15"/>
  <c r="BH232" i="15"/>
  <c r="AD232" i="15" s="1"/>
  <c r="AW232" i="15"/>
  <c r="I212" i="15"/>
  <c r="BH212" i="15"/>
  <c r="AD212" i="15" s="1"/>
  <c r="AW212" i="15"/>
  <c r="BI211" i="15"/>
  <c r="AE211" i="15" s="1"/>
  <c r="I182" i="15"/>
  <c r="AX181" i="15"/>
  <c r="BI181" i="15"/>
  <c r="I178" i="15"/>
  <c r="I129" i="15"/>
  <c r="BH129" i="15"/>
  <c r="AB129" i="15" s="1"/>
  <c r="AW129" i="15"/>
  <c r="BH109" i="15"/>
  <c r="AB109" i="15" s="1"/>
  <c r="AW109" i="15"/>
  <c r="BH108" i="15"/>
  <c r="AB108" i="15" s="1"/>
  <c r="AW108" i="15"/>
  <c r="BC108" i="15" s="1"/>
  <c r="AS56" i="15"/>
  <c r="AU48" i="15"/>
  <c r="I32" i="15"/>
  <c r="BH32" i="15"/>
  <c r="AB32" i="15" s="1"/>
  <c r="AW32" i="15"/>
  <c r="BI28" i="15"/>
  <c r="AC28" i="15" s="1"/>
  <c r="I582" i="15"/>
  <c r="J517" i="15"/>
  <c r="AW510" i="15"/>
  <c r="I510" i="15"/>
  <c r="J481" i="15"/>
  <c r="AX481" i="15"/>
  <c r="BI481" i="15"/>
  <c r="AE481" i="15" s="1"/>
  <c r="I476" i="15"/>
  <c r="AW476" i="15"/>
  <c r="I469" i="15"/>
  <c r="BH469" i="15"/>
  <c r="AD469" i="15" s="1"/>
  <c r="BI434" i="15"/>
  <c r="AE434" i="15" s="1"/>
  <c r="J422" i="15"/>
  <c r="AX422" i="15"/>
  <c r="BI422" i="15"/>
  <c r="AE422" i="15" s="1"/>
  <c r="I401" i="15"/>
  <c r="AW401" i="15"/>
  <c r="BH401" i="15"/>
  <c r="AD401" i="15" s="1"/>
  <c r="BI369" i="15"/>
  <c r="AE369" i="15" s="1"/>
  <c r="J281" i="15"/>
  <c r="AX281" i="15"/>
  <c r="BI281" i="15"/>
  <c r="AE281" i="15" s="1"/>
  <c r="I258" i="15"/>
  <c r="BH258" i="15"/>
  <c r="AD258" i="15" s="1"/>
  <c r="AW258" i="15"/>
  <c r="AX249" i="15"/>
  <c r="BI249" i="15"/>
  <c r="AE249" i="15" s="1"/>
  <c r="J150" i="15"/>
  <c r="AX150" i="15"/>
  <c r="BI79" i="15"/>
  <c r="AC79" i="15" s="1"/>
  <c r="AX79" i="15"/>
  <c r="I36" i="15"/>
  <c r="I35" i="15" s="1"/>
  <c r="E16" i="14" s="1"/>
  <c r="AW36" i="15"/>
  <c r="BH36" i="15"/>
  <c r="AB36" i="15" s="1"/>
  <c r="I34" i="15"/>
  <c r="BH34" i="15"/>
  <c r="AB34" i="15" s="1"/>
  <c r="AW34" i="15"/>
  <c r="J22" i="15"/>
  <c r="AX22" i="15"/>
  <c r="I14" i="15"/>
  <c r="BH14" i="15"/>
  <c r="AB14" i="15" s="1"/>
  <c r="AW14" i="15"/>
  <c r="I624" i="15"/>
  <c r="BH624" i="15"/>
  <c r="AB624" i="15" s="1"/>
  <c r="BH622" i="15"/>
  <c r="AB622" i="15" s="1"/>
  <c r="I622" i="15"/>
  <c r="AW622" i="15"/>
  <c r="J582" i="15"/>
  <c r="AX562" i="15"/>
  <c r="J562" i="15"/>
  <c r="BI561" i="15"/>
  <c r="AC561" i="15" s="1"/>
  <c r="AX561" i="15"/>
  <c r="AX559" i="15"/>
  <c r="AX555" i="15"/>
  <c r="AW554" i="15"/>
  <c r="BI551" i="15"/>
  <c r="AC551" i="15" s="1"/>
  <c r="AX551" i="15"/>
  <c r="AU546" i="15"/>
  <c r="J544" i="15"/>
  <c r="BI536" i="15"/>
  <c r="AC536" i="15" s="1"/>
  <c r="J535" i="15"/>
  <c r="AX535" i="15"/>
  <c r="BI535" i="15"/>
  <c r="AC535" i="15" s="1"/>
  <c r="J528" i="15"/>
  <c r="AX528" i="15"/>
  <c r="AW522" i="15"/>
  <c r="I522" i="15"/>
  <c r="J504" i="15"/>
  <c r="AX504" i="15"/>
  <c r="I498" i="15"/>
  <c r="AW498" i="15"/>
  <c r="J488" i="15"/>
  <c r="AX488" i="15"/>
  <c r="J468" i="15"/>
  <c r="AX468" i="15"/>
  <c r="AW466" i="15"/>
  <c r="I466" i="15"/>
  <c r="BI462" i="15"/>
  <c r="AE462" i="15" s="1"/>
  <c r="AX462" i="15"/>
  <c r="AX434" i="15"/>
  <c r="BH429" i="15"/>
  <c r="AD429" i="15" s="1"/>
  <c r="J410" i="15"/>
  <c r="AX410" i="15"/>
  <c r="AW391" i="15"/>
  <c r="BH391" i="15"/>
  <c r="AD391" i="15" s="1"/>
  <c r="AX369" i="15"/>
  <c r="AW361" i="15"/>
  <c r="I361" i="15"/>
  <c r="I359" i="15"/>
  <c r="AW359" i="15"/>
  <c r="BH359" i="15"/>
  <c r="AD359" i="15" s="1"/>
  <c r="I303" i="15"/>
  <c r="J290" i="15"/>
  <c r="AX290" i="15"/>
  <c r="AX280" i="15"/>
  <c r="I273" i="15"/>
  <c r="BH273" i="15"/>
  <c r="AD273" i="15" s="1"/>
  <c r="AW273" i="15"/>
  <c r="I269" i="15"/>
  <c r="AW269" i="15"/>
  <c r="J265" i="15"/>
  <c r="AX265" i="15"/>
  <c r="BI265" i="15"/>
  <c r="AE265" i="15" s="1"/>
  <c r="J250" i="15"/>
  <c r="AX250" i="15"/>
  <c r="J249" i="15"/>
  <c r="I247" i="15"/>
  <c r="BI244" i="15"/>
  <c r="AE244" i="15" s="1"/>
  <c r="AX244" i="15"/>
  <c r="AX242" i="15"/>
  <c r="I239" i="15"/>
  <c r="AW239" i="15"/>
  <c r="AX237" i="15"/>
  <c r="AW217" i="15"/>
  <c r="I217" i="15"/>
  <c r="I213" i="15"/>
  <c r="BH213" i="15"/>
  <c r="AD213" i="15" s="1"/>
  <c r="AW213" i="15"/>
  <c r="I209" i="15"/>
  <c r="I200" i="15"/>
  <c r="BH200" i="15"/>
  <c r="AW200" i="15"/>
  <c r="J110" i="15"/>
  <c r="AX110" i="15"/>
  <c r="I76" i="15"/>
  <c r="BH76" i="15"/>
  <c r="AB76" i="15" s="1"/>
  <c r="AW76" i="15"/>
  <c r="J256" i="15"/>
  <c r="AX256" i="15"/>
  <c r="BI216" i="15"/>
  <c r="AE216" i="15" s="1"/>
  <c r="AX216" i="15"/>
  <c r="J165" i="15"/>
  <c r="AX165" i="15"/>
  <c r="BI165" i="15"/>
  <c r="AC165" i="15" s="1"/>
  <c r="I164" i="15"/>
  <c r="AW164" i="15"/>
  <c r="AW152" i="15"/>
  <c r="I152" i="15"/>
  <c r="I80" i="15"/>
  <c r="BH80" i="15"/>
  <c r="AB80" i="15" s="1"/>
  <c r="I18" i="15"/>
  <c r="BH18" i="15"/>
  <c r="AB18" i="15" s="1"/>
  <c r="BI335" i="15"/>
  <c r="AE335" i="15" s="1"/>
  <c r="BI278" i="15"/>
  <c r="AE278" i="15" s="1"/>
  <c r="BI256" i="15"/>
  <c r="AE256" i="15" s="1"/>
  <c r="I194" i="15"/>
  <c r="AW194" i="15"/>
  <c r="I160" i="15"/>
  <c r="BH160" i="15"/>
  <c r="AB160" i="15" s="1"/>
  <c r="J133" i="15"/>
  <c r="AX133" i="15"/>
  <c r="J130" i="15"/>
  <c r="I116" i="15"/>
  <c r="BH116" i="15"/>
  <c r="AB116" i="15" s="1"/>
  <c r="J78" i="15"/>
  <c r="AX78" i="15"/>
  <c r="AU37" i="15"/>
  <c r="AX33" i="15"/>
  <c r="BC33" i="15" s="1"/>
  <c r="BI33" i="15"/>
  <c r="AC33" i="15" s="1"/>
  <c r="J33" i="15"/>
  <c r="J23" i="15"/>
  <c r="AW162" i="15"/>
  <c r="J144" i="15"/>
  <c r="J108" i="15"/>
  <c r="BH107" i="15"/>
  <c r="AB107" i="15" s="1"/>
  <c r="AW107" i="15"/>
  <c r="AT100" i="15"/>
  <c r="AW93" i="15"/>
  <c r="AS91" i="15"/>
  <c r="AW90" i="15"/>
  <c r="J42" i="15"/>
  <c r="J40" i="15" s="1"/>
  <c r="F18" i="14" s="1"/>
  <c r="AU40" i="15"/>
  <c r="I33" i="15"/>
  <c r="BH158" i="15"/>
  <c r="AB158" i="15" s="1"/>
  <c r="AW158" i="15"/>
  <c r="BC130" i="15"/>
  <c r="I130" i="15"/>
  <c r="I127" i="15"/>
  <c r="K100" i="15"/>
  <c r="G28" i="14" s="1"/>
  <c r="I28" i="14" s="1"/>
  <c r="J81" i="15"/>
  <c r="AW69" i="15"/>
  <c r="J65" i="15"/>
  <c r="BH44" i="15"/>
  <c r="AB44" i="15" s="1"/>
  <c r="AW44" i="15"/>
  <c r="AS37" i="15"/>
  <c r="AW23" i="15"/>
  <c r="BI20" i="15"/>
  <c r="AC20" i="15" s="1"/>
  <c r="K625" i="15"/>
  <c r="G54" i="14" s="1"/>
  <c r="I54" i="14" s="1"/>
  <c r="AX618" i="15"/>
  <c r="BI618" i="15"/>
  <c r="AC618" i="15" s="1"/>
  <c r="AX617" i="15"/>
  <c r="BI617" i="15"/>
  <c r="AC617" i="15" s="1"/>
  <c r="J617" i="15"/>
  <c r="I614" i="15"/>
  <c r="AW614" i="15"/>
  <c r="AW599" i="15"/>
  <c r="BH599" i="15"/>
  <c r="AB599" i="15" s="1"/>
  <c r="BH598" i="15"/>
  <c r="AB598" i="15" s="1"/>
  <c r="I598" i="15"/>
  <c r="AW598" i="15"/>
  <c r="BC598" i="15" s="1"/>
  <c r="J588" i="15"/>
  <c r="BI588" i="15"/>
  <c r="AC588" i="15" s="1"/>
  <c r="I580" i="15"/>
  <c r="BH580" i="15"/>
  <c r="AB580" i="15" s="1"/>
  <c r="AW580" i="15"/>
  <c r="J571" i="15"/>
  <c r="AX571" i="15"/>
  <c r="BI571" i="15"/>
  <c r="AC571" i="15" s="1"/>
  <c r="AX570" i="15"/>
  <c r="BI570" i="15"/>
  <c r="AC570" i="15" s="1"/>
  <c r="J570" i="15"/>
  <c r="I568" i="15"/>
  <c r="AW568" i="15"/>
  <c r="I565" i="15"/>
  <c r="BH565" i="15"/>
  <c r="AB565" i="15" s="1"/>
  <c r="AX557" i="15"/>
  <c r="BI557" i="15"/>
  <c r="AC557" i="15" s="1"/>
  <c r="J557" i="15"/>
  <c r="BH544" i="15"/>
  <c r="AB544" i="15" s="1"/>
  <c r="I544" i="15"/>
  <c r="AW544" i="15"/>
  <c r="I542" i="15"/>
  <c r="AW542" i="15"/>
  <c r="AW533" i="15"/>
  <c r="I533" i="15"/>
  <c r="BH533" i="15"/>
  <c r="AB533" i="15" s="1"/>
  <c r="K529" i="15"/>
  <c r="G51" i="14" s="1"/>
  <c r="I51" i="14" s="1"/>
  <c r="AX525" i="15"/>
  <c r="BI525" i="15"/>
  <c r="AC525" i="15" s="1"/>
  <c r="J525" i="15"/>
  <c r="J514" i="15"/>
  <c r="AX514" i="15"/>
  <c r="BI514" i="15"/>
  <c r="AC514" i="15" s="1"/>
  <c r="I509" i="15"/>
  <c r="BH509" i="15"/>
  <c r="AB509" i="15" s="1"/>
  <c r="AW509" i="15"/>
  <c r="I454" i="15"/>
  <c r="AW454" i="15"/>
  <c r="J453" i="15"/>
  <c r="AX453" i="15"/>
  <c r="BI453" i="15"/>
  <c r="AE453" i="15" s="1"/>
  <c r="I452" i="15"/>
  <c r="AW452" i="15"/>
  <c r="AW443" i="15"/>
  <c r="I443" i="15"/>
  <c r="J438" i="15"/>
  <c r="AX438" i="15"/>
  <c r="BI438" i="15"/>
  <c r="AE438" i="15" s="1"/>
  <c r="I437" i="15"/>
  <c r="BH437" i="15"/>
  <c r="AD437" i="15" s="1"/>
  <c r="AW437" i="15"/>
  <c r="I418" i="15"/>
  <c r="AW418" i="15"/>
  <c r="BH418" i="15"/>
  <c r="AD418" i="15" s="1"/>
  <c r="I368" i="15"/>
  <c r="BH368" i="15"/>
  <c r="AD368" i="15" s="1"/>
  <c r="AW368" i="15"/>
  <c r="AX351" i="15"/>
  <c r="BI351" i="15"/>
  <c r="AE351" i="15" s="1"/>
  <c r="J333" i="15"/>
  <c r="J178" i="15"/>
  <c r="AX178" i="15"/>
  <c r="BI178" i="15"/>
  <c r="AX147" i="15"/>
  <c r="BI147" i="15"/>
  <c r="AC147" i="15" s="1"/>
  <c r="J147" i="15"/>
  <c r="J136" i="15"/>
  <c r="AX136" i="15"/>
  <c r="AU111" i="15"/>
  <c r="BH632" i="15"/>
  <c r="AB632" i="15" s="1"/>
  <c r="AS625" i="15"/>
  <c r="AX621" i="15"/>
  <c r="BI621" i="15"/>
  <c r="AC621" i="15" s="1"/>
  <c r="J621" i="15"/>
  <c r="AW619" i="15"/>
  <c r="BH619" i="15"/>
  <c r="AB619" i="15" s="1"/>
  <c r="I616" i="15"/>
  <c r="BH616" i="15"/>
  <c r="AB616" i="15" s="1"/>
  <c r="AW616" i="15"/>
  <c r="J607" i="15"/>
  <c r="AX607" i="15"/>
  <c r="BI607" i="15"/>
  <c r="AC607" i="15" s="1"/>
  <c r="AX606" i="15"/>
  <c r="BI606" i="15"/>
  <c r="AC606" i="15" s="1"/>
  <c r="J606" i="15"/>
  <c r="I604" i="15"/>
  <c r="AW604" i="15"/>
  <c r="I601" i="15"/>
  <c r="BH601" i="15"/>
  <c r="AB601" i="15" s="1"/>
  <c r="BI597" i="15"/>
  <c r="AC597" i="15" s="1"/>
  <c r="AX597" i="15"/>
  <c r="AX594" i="15"/>
  <c r="J594" i="15"/>
  <c r="I588" i="15"/>
  <c r="AW588" i="15"/>
  <c r="I585" i="15"/>
  <c r="BH585" i="15"/>
  <c r="AB585" i="15" s="1"/>
  <c r="I579" i="15"/>
  <c r="AX573" i="15"/>
  <c r="BI573" i="15"/>
  <c r="AC573" i="15" s="1"/>
  <c r="J573" i="15"/>
  <c r="I570" i="15"/>
  <c r="AW570" i="15"/>
  <c r="J556" i="15"/>
  <c r="BI556" i="15"/>
  <c r="AC556" i="15" s="1"/>
  <c r="I553" i="15"/>
  <c r="BH553" i="15"/>
  <c r="AB553" i="15" s="1"/>
  <c r="AX550" i="15"/>
  <c r="J550" i="15"/>
  <c r="K546" i="15"/>
  <c r="G52" i="14" s="1"/>
  <c r="I52" i="14" s="1"/>
  <c r="AK548" i="15"/>
  <c r="AT546" i="15" s="1"/>
  <c r="J538" i="15"/>
  <c r="BI538" i="15"/>
  <c r="AC538" i="15" s="1"/>
  <c r="AX524" i="15"/>
  <c r="BI524" i="15"/>
  <c r="AC524" i="15" s="1"/>
  <c r="J524" i="15"/>
  <c r="J518" i="15"/>
  <c r="AX518" i="15"/>
  <c r="BI518" i="15"/>
  <c r="AC518" i="15" s="1"/>
  <c r="AX513" i="15"/>
  <c r="BI513" i="15"/>
  <c r="AC513" i="15" s="1"/>
  <c r="I511" i="15"/>
  <c r="AW511" i="15"/>
  <c r="J503" i="15"/>
  <c r="BI503" i="15"/>
  <c r="AG503" i="15" s="1"/>
  <c r="K499" i="15"/>
  <c r="G50" i="14" s="1"/>
  <c r="I50" i="14" s="1"/>
  <c r="J495" i="15"/>
  <c r="AX495" i="15"/>
  <c r="BI495" i="15"/>
  <c r="AE495" i="15" s="1"/>
  <c r="I495" i="15"/>
  <c r="J489" i="15"/>
  <c r="BI489" i="15"/>
  <c r="AE489" i="15" s="1"/>
  <c r="J457" i="15"/>
  <c r="AX457" i="15"/>
  <c r="I456" i="15"/>
  <c r="AW456" i="15"/>
  <c r="BI455" i="15"/>
  <c r="AE455" i="15" s="1"/>
  <c r="AX455" i="15"/>
  <c r="J442" i="15"/>
  <c r="I431" i="15"/>
  <c r="BH431" i="15"/>
  <c r="AD431" i="15" s="1"/>
  <c r="AW431" i="15"/>
  <c r="AX426" i="15"/>
  <c r="AV426" i="15" s="1"/>
  <c r="BI426" i="15"/>
  <c r="AE426" i="15" s="1"/>
  <c r="J426" i="15"/>
  <c r="AX405" i="15"/>
  <c r="BI405" i="15"/>
  <c r="AE405" i="15" s="1"/>
  <c r="J405" i="15"/>
  <c r="AX383" i="15"/>
  <c r="BI383" i="15"/>
  <c r="AE383" i="15" s="1"/>
  <c r="J383" i="15"/>
  <c r="AX375" i="15"/>
  <c r="AX354" i="15"/>
  <c r="I341" i="15"/>
  <c r="BH341" i="15"/>
  <c r="AD341" i="15" s="1"/>
  <c r="AW341" i="15"/>
  <c r="AX337" i="15"/>
  <c r="BI337" i="15"/>
  <c r="AE337" i="15" s="1"/>
  <c r="J337" i="15"/>
  <c r="BI333" i="15"/>
  <c r="AE333" i="15" s="1"/>
  <c r="AX329" i="15"/>
  <c r="AV329" i="15" s="1"/>
  <c r="BI329" i="15"/>
  <c r="AE329" i="15" s="1"/>
  <c r="J329" i="15"/>
  <c r="AW235" i="15"/>
  <c r="BC235" i="15" s="1"/>
  <c r="BH235" i="15"/>
  <c r="AD235" i="15" s="1"/>
  <c r="I235" i="15"/>
  <c r="J149" i="15"/>
  <c r="AX149" i="15"/>
  <c r="BI149" i="15"/>
  <c r="AC149" i="15" s="1"/>
  <c r="AW148" i="15"/>
  <c r="I148" i="15"/>
  <c r="J139" i="15"/>
  <c r="AX139" i="15"/>
  <c r="BI139" i="15"/>
  <c r="AC139" i="15" s="1"/>
  <c r="BI136" i="15"/>
  <c r="AC136" i="15" s="1"/>
  <c r="I98" i="15"/>
  <c r="BH98" i="15"/>
  <c r="AB98" i="15" s="1"/>
  <c r="AW98" i="15"/>
  <c r="I630" i="15"/>
  <c r="BI624" i="15"/>
  <c r="AC624" i="15" s="1"/>
  <c r="I615" i="15"/>
  <c r="AX609" i="15"/>
  <c r="BI609" i="15"/>
  <c r="AC609" i="15" s="1"/>
  <c r="J609" i="15"/>
  <c r="I606" i="15"/>
  <c r="AW606" i="15"/>
  <c r="J596" i="15"/>
  <c r="BI596" i="15"/>
  <c r="AC596" i="15" s="1"/>
  <c r="BI595" i="15"/>
  <c r="AC595" i="15" s="1"/>
  <c r="AX595" i="15"/>
  <c r="AW591" i="15"/>
  <c r="BH591" i="15"/>
  <c r="AB591" i="15" s="1"/>
  <c r="BH590" i="15"/>
  <c r="AB590" i="15" s="1"/>
  <c r="I590" i="15"/>
  <c r="AW590" i="15"/>
  <c r="BC590" i="15" s="1"/>
  <c r="J579" i="15"/>
  <c r="AX579" i="15"/>
  <c r="BI579" i="15"/>
  <c r="AC579" i="15" s="1"/>
  <c r="AX578" i="15"/>
  <c r="BI578" i="15"/>
  <c r="AC578" i="15" s="1"/>
  <c r="J578" i="15"/>
  <c r="BI576" i="15"/>
  <c r="AC576" i="15" s="1"/>
  <c r="I572" i="15"/>
  <c r="BH572" i="15"/>
  <c r="AB572" i="15" s="1"/>
  <c r="AW572" i="15"/>
  <c r="AX566" i="15"/>
  <c r="J566" i="15"/>
  <c r="AW559" i="15"/>
  <c r="BH559" i="15"/>
  <c r="AB559" i="15" s="1"/>
  <c r="I559" i="15"/>
  <c r="AS546" i="15"/>
  <c r="J541" i="15"/>
  <c r="AX541" i="15"/>
  <c r="BI541" i="15"/>
  <c r="AC541" i="15" s="1"/>
  <c r="I541" i="15"/>
  <c r="AW537" i="15"/>
  <c r="BH537" i="15"/>
  <c r="AB537" i="15" s="1"/>
  <c r="BI526" i="15"/>
  <c r="AC526" i="15" s="1"/>
  <c r="AX526" i="15"/>
  <c r="J522" i="15"/>
  <c r="AX522" i="15"/>
  <c r="BI522" i="15"/>
  <c r="AC522" i="15" s="1"/>
  <c r="BI520" i="15"/>
  <c r="AC520" i="15" s="1"/>
  <c r="AX520" i="15"/>
  <c r="AW501" i="15"/>
  <c r="I501" i="15"/>
  <c r="AX494" i="15"/>
  <c r="BI494" i="15"/>
  <c r="AE494" i="15" s="1"/>
  <c r="J494" i="15"/>
  <c r="I480" i="15"/>
  <c r="BI476" i="15"/>
  <c r="AE476" i="15" s="1"/>
  <c r="I472" i="15"/>
  <c r="AW472" i="15"/>
  <c r="K461" i="15"/>
  <c r="G46" i="14" s="1"/>
  <c r="I46" i="14" s="1"/>
  <c r="J449" i="15"/>
  <c r="AX449" i="15"/>
  <c r="BI449" i="15"/>
  <c r="AE449" i="15" s="1"/>
  <c r="I405" i="15"/>
  <c r="AW405" i="15"/>
  <c r="J390" i="15"/>
  <c r="AX390" i="15"/>
  <c r="BI390" i="15"/>
  <c r="AE390" i="15" s="1"/>
  <c r="AX387" i="15"/>
  <c r="BI387" i="15"/>
  <c r="AE387" i="15" s="1"/>
  <c r="J387" i="15"/>
  <c r="I383" i="15"/>
  <c r="AW376" i="15"/>
  <c r="I376" i="15"/>
  <c r="J366" i="15"/>
  <c r="AX366" i="15"/>
  <c r="BI365" i="15"/>
  <c r="AE365" i="15" s="1"/>
  <c r="AX365" i="15"/>
  <c r="AX360" i="15"/>
  <c r="BI360" i="15"/>
  <c r="AE360" i="15" s="1"/>
  <c r="J360" i="15"/>
  <c r="AW357" i="15"/>
  <c r="I357" i="15"/>
  <c r="J355" i="15"/>
  <c r="AX355" i="15"/>
  <c r="BI355" i="15"/>
  <c r="AE355" i="15" s="1"/>
  <c r="BH344" i="15"/>
  <c r="AD344" i="15" s="1"/>
  <c r="AW344" i="15"/>
  <c r="I344" i="15"/>
  <c r="J343" i="15"/>
  <c r="AX343" i="15"/>
  <c r="BI343" i="15"/>
  <c r="AE343" i="15" s="1"/>
  <c r="I340" i="15"/>
  <c r="AW340" i="15"/>
  <c r="BC340" i="15" s="1"/>
  <c r="BH340" i="15"/>
  <c r="AD340" i="15" s="1"/>
  <c r="AW337" i="15"/>
  <c r="BH337" i="15"/>
  <c r="AD337" i="15" s="1"/>
  <c r="I337" i="15"/>
  <c r="AW322" i="15"/>
  <c r="I322" i="15"/>
  <c r="I317" i="15"/>
  <c r="AW317" i="15"/>
  <c r="BH317" i="15"/>
  <c r="AD317" i="15" s="1"/>
  <c r="I295" i="15"/>
  <c r="BH295" i="15"/>
  <c r="AD295" i="15" s="1"/>
  <c r="AW295" i="15"/>
  <c r="AX286" i="15"/>
  <c r="AV286" i="15" s="1"/>
  <c r="BI286" i="15"/>
  <c r="AE286" i="15" s="1"/>
  <c r="J286" i="15"/>
  <c r="AW283" i="15"/>
  <c r="I283" i="15"/>
  <c r="AX227" i="15"/>
  <c r="BI227" i="15"/>
  <c r="AE227" i="15" s="1"/>
  <c r="J227" i="15"/>
  <c r="J218" i="15"/>
  <c r="AX218" i="15"/>
  <c r="BI218" i="15"/>
  <c r="AE218" i="15" s="1"/>
  <c r="AX212" i="15"/>
  <c r="AV212" i="15" s="1"/>
  <c r="BI212" i="15"/>
  <c r="AE212" i="15" s="1"/>
  <c r="J212" i="15"/>
  <c r="BI631" i="15"/>
  <c r="AC631" i="15" s="1"/>
  <c r="BI627" i="15"/>
  <c r="AC627" i="15" s="1"/>
  <c r="J618" i="15"/>
  <c r="J615" i="15"/>
  <c r="AX615" i="15"/>
  <c r="BI615" i="15"/>
  <c r="AC615" i="15" s="1"/>
  <c r="AX614" i="15"/>
  <c r="BI614" i="15"/>
  <c r="AC614" i="15" s="1"/>
  <c r="J614" i="15"/>
  <c r="BI612" i="15"/>
  <c r="AC612" i="15" s="1"/>
  <c r="I608" i="15"/>
  <c r="BH608" i="15"/>
  <c r="AB608" i="15" s="1"/>
  <c r="AW608" i="15"/>
  <c r="AX602" i="15"/>
  <c r="J602" i="15"/>
  <c r="I599" i="15"/>
  <c r="I596" i="15"/>
  <c r="AW596" i="15"/>
  <c r="I593" i="15"/>
  <c r="BH593" i="15"/>
  <c r="AB593" i="15" s="1"/>
  <c r="BI589" i="15"/>
  <c r="AC589" i="15" s="1"/>
  <c r="AX589" i="15"/>
  <c r="AX586" i="15"/>
  <c r="J586" i="15"/>
  <c r="AX581" i="15"/>
  <c r="BI581" i="15"/>
  <c r="AC581" i="15" s="1"/>
  <c r="J581" i="15"/>
  <c r="I578" i="15"/>
  <c r="AW578" i="15"/>
  <c r="BI567" i="15"/>
  <c r="AC567" i="15" s="1"/>
  <c r="AX567" i="15"/>
  <c r="AW563" i="15"/>
  <c r="BH563" i="15"/>
  <c r="AB563" i="15" s="1"/>
  <c r="BH562" i="15"/>
  <c r="AB562" i="15" s="1"/>
  <c r="I562" i="15"/>
  <c r="AW562" i="15"/>
  <c r="BC562" i="15" s="1"/>
  <c r="AX554" i="15"/>
  <c r="BC554" i="15" s="1"/>
  <c r="J554" i="15"/>
  <c r="J548" i="15"/>
  <c r="AX548" i="15"/>
  <c r="BI548" i="15"/>
  <c r="AG548" i="15" s="1"/>
  <c r="BH540" i="15"/>
  <c r="AB540" i="15" s="1"/>
  <c r="AW540" i="15"/>
  <c r="BH536" i="15"/>
  <c r="AB536" i="15" s="1"/>
  <c r="I536" i="15"/>
  <c r="AW536" i="15"/>
  <c r="I528" i="15"/>
  <c r="BH528" i="15"/>
  <c r="AB528" i="15" s="1"/>
  <c r="I527" i="15"/>
  <c r="AW527" i="15"/>
  <c r="I519" i="15"/>
  <c r="BH519" i="15"/>
  <c r="AB519" i="15" s="1"/>
  <c r="AW519" i="15"/>
  <c r="J510" i="15"/>
  <c r="AX510" i="15"/>
  <c r="BI510" i="15"/>
  <c r="AC510" i="15" s="1"/>
  <c r="J497" i="15"/>
  <c r="AX497" i="15"/>
  <c r="BI497" i="15"/>
  <c r="AE497" i="15" s="1"/>
  <c r="I496" i="15"/>
  <c r="AW496" i="15"/>
  <c r="J479" i="15"/>
  <c r="AX479" i="15"/>
  <c r="BI479" i="15"/>
  <c r="AE479" i="15" s="1"/>
  <c r="I478" i="15"/>
  <c r="AW478" i="15"/>
  <c r="J476" i="15"/>
  <c r="I467" i="15"/>
  <c r="BH467" i="15"/>
  <c r="AD467" i="15" s="1"/>
  <c r="AW467" i="15"/>
  <c r="AX454" i="15"/>
  <c r="BI454" i="15"/>
  <c r="AE454" i="15" s="1"/>
  <c r="J454" i="15"/>
  <c r="AW451" i="15"/>
  <c r="BH451" i="15"/>
  <c r="AD451" i="15" s="1"/>
  <c r="I451" i="15"/>
  <c r="AX417" i="15"/>
  <c r="AW415" i="15"/>
  <c r="I415" i="15"/>
  <c r="J414" i="15"/>
  <c r="J396" i="15"/>
  <c r="AX396" i="15"/>
  <c r="AW395" i="15"/>
  <c r="I395" i="15"/>
  <c r="I366" i="15"/>
  <c r="AW366" i="15"/>
  <c r="BH366" i="15"/>
  <c r="AD366" i="15" s="1"/>
  <c r="J351" i="15"/>
  <c r="AX310" i="15"/>
  <c r="AV310" i="15" s="1"/>
  <c r="BI310" i="15"/>
  <c r="AE310" i="15" s="1"/>
  <c r="J310" i="15"/>
  <c r="J289" i="15"/>
  <c r="AX289" i="15"/>
  <c r="BI289" i="15"/>
  <c r="AE289" i="15" s="1"/>
  <c r="AW254" i="15"/>
  <c r="BH254" i="15"/>
  <c r="AD254" i="15" s="1"/>
  <c r="AU625" i="15"/>
  <c r="I626" i="15"/>
  <c r="BH623" i="15"/>
  <c r="AB623" i="15" s="1"/>
  <c r="BH620" i="15"/>
  <c r="AB620" i="15" s="1"/>
  <c r="BI619" i="15"/>
  <c r="AC619" i="15" s="1"/>
  <c r="AX619" i="15"/>
  <c r="BI616" i="15"/>
  <c r="AC616" i="15" s="1"/>
  <c r="BH613" i="15"/>
  <c r="AB613" i="15" s="1"/>
  <c r="BH611" i="15"/>
  <c r="AB611" i="15" s="1"/>
  <c r="BI608" i="15"/>
  <c r="AC608" i="15" s="1"/>
  <c r="BH605" i="15"/>
  <c r="AB605" i="15" s="1"/>
  <c r="I603" i="15"/>
  <c r="BI601" i="15"/>
  <c r="AC601" i="15" s="1"/>
  <c r="AX601" i="15"/>
  <c r="BH600" i="15"/>
  <c r="AB600" i="15" s="1"/>
  <c r="BI599" i="15"/>
  <c r="AC599" i="15" s="1"/>
  <c r="AX599" i="15"/>
  <c r="BI598" i="15"/>
  <c r="AC598" i="15" s="1"/>
  <c r="I595" i="15"/>
  <c r="BI593" i="15"/>
  <c r="AC593" i="15" s="1"/>
  <c r="AX593" i="15"/>
  <c r="BH592" i="15"/>
  <c r="AB592" i="15" s="1"/>
  <c r="BI591" i="15"/>
  <c r="AC591" i="15" s="1"/>
  <c r="AX591" i="15"/>
  <c r="BI590" i="15"/>
  <c r="AC590" i="15" s="1"/>
  <c r="I587" i="15"/>
  <c r="BI585" i="15"/>
  <c r="AC585" i="15" s="1"/>
  <c r="AX585" i="15"/>
  <c r="BH583" i="15"/>
  <c r="AB583" i="15" s="1"/>
  <c r="BI580" i="15"/>
  <c r="AC580" i="15" s="1"/>
  <c r="BH577" i="15"/>
  <c r="AB577" i="15" s="1"/>
  <c r="BH575" i="15"/>
  <c r="AB575" i="15" s="1"/>
  <c r="BI572" i="15"/>
  <c r="AC572" i="15" s="1"/>
  <c r="BH569" i="15"/>
  <c r="AB569" i="15" s="1"/>
  <c r="I567" i="15"/>
  <c r="BI565" i="15"/>
  <c r="AC565" i="15" s="1"/>
  <c r="AX565" i="15"/>
  <c r="BH564" i="15"/>
  <c r="AB564" i="15" s="1"/>
  <c r="BI563" i="15"/>
  <c r="AC563" i="15" s="1"/>
  <c r="AX563" i="15"/>
  <c r="BI562" i="15"/>
  <c r="AC562" i="15" s="1"/>
  <c r="BI560" i="15"/>
  <c r="AC560" i="15" s="1"/>
  <c r="I556" i="15"/>
  <c r="AW556" i="15"/>
  <c r="BH555" i="15"/>
  <c r="AB555" i="15" s="1"/>
  <c r="I555" i="15"/>
  <c r="AX547" i="15"/>
  <c r="BI547" i="15"/>
  <c r="AG547" i="15" s="1"/>
  <c r="J547" i="15"/>
  <c r="AW545" i="15"/>
  <c r="BH545" i="15"/>
  <c r="AB545" i="15" s="1"/>
  <c r="I545" i="15"/>
  <c r="BH543" i="15"/>
  <c r="AB543" i="15" s="1"/>
  <c r="J534" i="15"/>
  <c r="BI534" i="15"/>
  <c r="AC534" i="15" s="1"/>
  <c r="BI533" i="15"/>
  <c r="AC533" i="15" s="1"/>
  <c r="AX533" i="15"/>
  <c r="BH532" i="15"/>
  <c r="AB532" i="15" s="1"/>
  <c r="AX532" i="15"/>
  <c r="BC532" i="15" s="1"/>
  <c r="J532" i="15"/>
  <c r="I531" i="15"/>
  <c r="BH531" i="15"/>
  <c r="AB531" i="15" s="1"/>
  <c r="BI530" i="15"/>
  <c r="AC530" i="15" s="1"/>
  <c r="AS529" i="15"/>
  <c r="AX521" i="15"/>
  <c r="BI521" i="15"/>
  <c r="AC521" i="15" s="1"/>
  <c r="J521" i="15"/>
  <c r="BI519" i="15"/>
  <c r="AC519" i="15" s="1"/>
  <c r="BI517" i="15"/>
  <c r="AC517" i="15" s="1"/>
  <c r="I515" i="15"/>
  <c r="BH515" i="15"/>
  <c r="AB515" i="15" s="1"/>
  <c r="BI512" i="15"/>
  <c r="AC512" i="15" s="1"/>
  <c r="AX512" i="15"/>
  <c r="I508" i="15"/>
  <c r="BH508" i="15"/>
  <c r="AB508" i="15" s="1"/>
  <c r="BI507" i="15"/>
  <c r="AC507" i="15" s="1"/>
  <c r="I504" i="15"/>
  <c r="BH504" i="15"/>
  <c r="AB504" i="15" s="1"/>
  <c r="I503" i="15"/>
  <c r="AW503" i="15"/>
  <c r="BH502" i="15"/>
  <c r="AF502" i="15" s="1"/>
  <c r="I502" i="15"/>
  <c r="AS499" i="15"/>
  <c r="I500" i="15"/>
  <c r="BH500" i="15"/>
  <c r="AF500" i="15" s="1"/>
  <c r="BI498" i="15"/>
  <c r="AE498" i="15" s="1"/>
  <c r="J492" i="15"/>
  <c r="AX492" i="15"/>
  <c r="BI492" i="15"/>
  <c r="AW488" i="15"/>
  <c r="I488" i="15"/>
  <c r="BH488" i="15"/>
  <c r="AD488" i="15" s="1"/>
  <c r="AX484" i="15"/>
  <c r="BI484" i="15"/>
  <c r="J482" i="15"/>
  <c r="BI482" i="15"/>
  <c r="AE482" i="15" s="1"/>
  <c r="J475" i="15"/>
  <c r="AX475" i="15"/>
  <c r="BI475" i="15"/>
  <c r="AE475" i="15" s="1"/>
  <c r="I474" i="15"/>
  <c r="AW474" i="15"/>
  <c r="AX469" i="15"/>
  <c r="BI469" i="15"/>
  <c r="AE469" i="15" s="1"/>
  <c r="J469" i="15"/>
  <c r="J464" i="15"/>
  <c r="AX464" i="15"/>
  <c r="BI464" i="15"/>
  <c r="AE464" i="15" s="1"/>
  <c r="I463" i="15"/>
  <c r="AW463" i="15"/>
  <c r="I460" i="15"/>
  <c r="BH460" i="15"/>
  <c r="AW460" i="15"/>
  <c r="J441" i="15"/>
  <c r="AX441" i="15"/>
  <c r="BI441" i="15"/>
  <c r="AE441" i="15" s="1"/>
  <c r="BC429" i="15"/>
  <c r="J425" i="15"/>
  <c r="AX425" i="15"/>
  <c r="BI425" i="15"/>
  <c r="AE425" i="15" s="1"/>
  <c r="I421" i="15"/>
  <c r="AW421" i="15"/>
  <c r="BH421" i="15"/>
  <c r="AD421" i="15" s="1"/>
  <c r="BI420" i="15"/>
  <c r="AE420" i="15" s="1"/>
  <c r="AX420" i="15"/>
  <c r="AW411" i="15"/>
  <c r="I411" i="15"/>
  <c r="J393" i="15"/>
  <c r="AX393" i="15"/>
  <c r="BH379" i="15"/>
  <c r="AD379" i="15" s="1"/>
  <c r="I379" i="15"/>
  <c r="AW379" i="15"/>
  <c r="BC379" i="15" s="1"/>
  <c r="AX371" i="15"/>
  <c r="BI371" i="15"/>
  <c r="AE371" i="15" s="1"/>
  <c r="J371" i="15"/>
  <c r="J362" i="15"/>
  <c r="AX362" i="15"/>
  <c r="BI362" i="15"/>
  <c r="AE362" i="15" s="1"/>
  <c r="AX352" i="15"/>
  <c r="BI352" i="15"/>
  <c r="AE352" i="15" s="1"/>
  <c r="J352" i="15"/>
  <c r="AW330" i="15"/>
  <c r="I330" i="15"/>
  <c r="I329" i="15"/>
  <c r="AW326" i="15"/>
  <c r="I326" i="15"/>
  <c r="AX325" i="15"/>
  <c r="AV325" i="15" s="1"/>
  <c r="BI325" i="15"/>
  <c r="AE325" i="15" s="1"/>
  <c r="J325" i="15"/>
  <c r="J313" i="15"/>
  <c r="AX313" i="15"/>
  <c r="BH278" i="15"/>
  <c r="AD278" i="15" s="1"/>
  <c r="AW278" i="15"/>
  <c r="J273" i="15"/>
  <c r="AX273" i="15"/>
  <c r="BI273" i="15"/>
  <c r="AE273" i="15" s="1"/>
  <c r="J261" i="15"/>
  <c r="AX261" i="15"/>
  <c r="J214" i="15"/>
  <c r="AX214" i="15"/>
  <c r="BI214" i="15"/>
  <c r="AE214" i="15" s="1"/>
  <c r="I195" i="15"/>
  <c r="I167" i="15"/>
  <c r="AW167" i="15"/>
  <c r="I623" i="15"/>
  <c r="I611" i="15"/>
  <c r="I583" i="15"/>
  <c r="I575" i="15"/>
  <c r="I547" i="15"/>
  <c r="I546" i="15" s="1"/>
  <c r="E52" i="14" s="1"/>
  <c r="AW547" i="15"/>
  <c r="J542" i="15"/>
  <c r="BI542" i="15"/>
  <c r="AC542" i="15" s="1"/>
  <c r="AX540" i="15"/>
  <c r="J540" i="15"/>
  <c r="I539" i="15"/>
  <c r="BH539" i="15"/>
  <c r="AB539" i="15" s="1"/>
  <c r="I534" i="15"/>
  <c r="AW534" i="15"/>
  <c r="I523" i="15"/>
  <c r="BH523" i="15"/>
  <c r="AB523" i="15" s="1"/>
  <c r="I521" i="15"/>
  <c r="AW521" i="15"/>
  <c r="BC521" i="15" s="1"/>
  <c r="AX516" i="15"/>
  <c r="BI516" i="15"/>
  <c r="AC516" i="15" s="1"/>
  <c r="J516" i="15"/>
  <c r="AX509" i="15"/>
  <c r="J509" i="15"/>
  <c r="AX501" i="15"/>
  <c r="J501" i="15"/>
  <c r="BI501" i="15"/>
  <c r="AG501" i="15" s="1"/>
  <c r="AU499" i="15"/>
  <c r="J498" i="15"/>
  <c r="J496" i="15"/>
  <c r="BI496" i="15"/>
  <c r="AE496" i="15" s="1"/>
  <c r="K493" i="15"/>
  <c r="G49" i="14" s="1"/>
  <c r="I49" i="14" s="1"/>
  <c r="AU493" i="15"/>
  <c r="AX491" i="15"/>
  <c r="BC491" i="15" s="1"/>
  <c r="BI491" i="15"/>
  <c r="AE491" i="15" s="1"/>
  <c r="J491" i="15"/>
  <c r="AS485" i="15"/>
  <c r="J487" i="15"/>
  <c r="I484" i="15"/>
  <c r="AW484" i="15"/>
  <c r="J484" i="15"/>
  <c r="I482" i="15"/>
  <c r="AW482" i="15"/>
  <c r="I465" i="15"/>
  <c r="BH465" i="15"/>
  <c r="AD465" i="15" s="1"/>
  <c r="AT461" i="15"/>
  <c r="AX458" i="15"/>
  <c r="BI458" i="15"/>
  <c r="AE458" i="15" s="1"/>
  <c r="J458" i="15"/>
  <c r="J451" i="15"/>
  <c r="AX451" i="15"/>
  <c r="BC451" i="15" s="1"/>
  <c r="BI451" i="15"/>
  <c r="AE451" i="15" s="1"/>
  <c r="AX439" i="15"/>
  <c r="J439" i="15"/>
  <c r="I435" i="15"/>
  <c r="AW435" i="15"/>
  <c r="J432" i="15"/>
  <c r="AX432" i="15"/>
  <c r="BI432" i="15"/>
  <c r="AE432" i="15" s="1"/>
  <c r="BC414" i="15"/>
  <c r="AV414" i="15"/>
  <c r="J409" i="15"/>
  <c r="AX409" i="15"/>
  <c r="AW407" i="15"/>
  <c r="I407" i="15"/>
  <c r="J402" i="15"/>
  <c r="J397" i="15"/>
  <c r="AX397" i="15"/>
  <c r="J389" i="15"/>
  <c r="AX389" i="15"/>
  <c r="J373" i="15"/>
  <c r="AX373" i="15"/>
  <c r="BC360" i="15"/>
  <c r="I352" i="15"/>
  <c r="AW348" i="15"/>
  <c r="BC348" i="15" s="1"/>
  <c r="BH348" i="15"/>
  <c r="AD348" i="15" s="1"/>
  <c r="AU321" i="15"/>
  <c r="I328" i="15"/>
  <c r="BH328" i="15"/>
  <c r="AD328" i="15" s="1"/>
  <c r="AW328" i="15"/>
  <c r="AW307" i="15"/>
  <c r="I307" i="15"/>
  <c r="AX269" i="15"/>
  <c r="BI269" i="15"/>
  <c r="AE269" i="15" s="1"/>
  <c r="J269" i="15"/>
  <c r="I262" i="15"/>
  <c r="AW262" i="15"/>
  <c r="BC262" i="15" s="1"/>
  <c r="BH262" i="15"/>
  <c r="AD262" i="15" s="1"/>
  <c r="AX215" i="15"/>
  <c r="BI215" i="15"/>
  <c r="AE215" i="15" s="1"/>
  <c r="J215" i="15"/>
  <c r="I203" i="15"/>
  <c r="AW203" i="15"/>
  <c r="BH203" i="15"/>
  <c r="AD203" i="15" s="1"/>
  <c r="I181" i="15"/>
  <c r="AW181" i="15"/>
  <c r="BH181" i="15"/>
  <c r="AX173" i="15"/>
  <c r="BI173" i="15"/>
  <c r="J173" i="15"/>
  <c r="AW155" i="15"/>
  <c r="I155" i="15"/>
  <c r="AW140" i="15"/>
  <c r="I140" i="15"/>
  <c r="J121" i="15"/>
  <c r="AX121" i="15"/>
  <c r="BI121" i="15"/>
  <c r="AC121" i="15" s="1"/>
  <c r="AT103" i="15"/>
  <c r="AX306" i="15"/>
  <c r="BC306" i="15" s="1"/>
  <c r="BI306" i="15"/>
  <c r="AE306" i="15" s="1"/>
  <c r="J306" i="15"/>
  <c r="J302" i="15"/>
  <c r="J298" i="15"/>
  <c r="AX270" i="15"/>
  <c r="BI270" i="15"/>
  <c r="AE270" i="15" s="1"/>
  <c r="J270" i="15"/>
  <c r="I263" i="15"/>
  <c r="BH263" i="15"/>
  <c r="AD263" i="15" s="1"/>
  <c r="AW263" i="15"/>
  <c r="I261" i="15"/>
  <c r="AW261" i="15"/>
  <c r="BH261" i="15"/>
  <c r="AD261" i="15" s="1"/>
  <c r="AX223" i="15"/>
  <c r="BI223" i="15"/>
  <c r="AE223" i="15" s="1"/>
  <c r="J216" i="15"/>
  <c r="AW208" i="15"/>
  <c r="BH208" i="15"/>
  <c r="AD208" i="15" s="1"/>
  <c r="J206" i="15"/>
  <c r="AX206" i="15"/>
  <c r="BI206" i="15"/>
  <c r="AE206" i="15" s="1"/>
  <c r="J204" i="15"/>
  <c r="J199" i="15"/>
  <c r="J197" i="15"/>
  <c r="AX197" i="15"/>
  <c r="BI197" i="15"/>
  <c r="AE197" i="15" s="1"/>
  <c r="I189" i="15"/>
  <c r="BH189" i="15"/>
  <c r="AD189" i="15" s="1"/>
  <c r="AX182" i="15"/>
  <c r="J182" i="15"/>
  <c r="I175" i="15"/>
  <c r="AX170" i="15"/>
  <c r="BI170" i="15"/>
  <c r="J170" i="15"/>
  <c r="I159" i="15"/>
  <c r="BH159" i="15"/>
  <c r="AB159" i="15" s="1"/>
  <c r="AW159" i="15"/>
  <c r="I154" i="15"/>
  <c r="AW154" i="15"/>
  <c r="BH154" i="15"/>
  <c r="AB154" i="15" s="1"/>
  <c r="AW151" i="15"/>
  <c r="AW144" i="15"/>
  <c r="AV144" i="15" s="1"/>
  <c r="I144" i="15"/>
  <c r="J143" i="15"/>
  <c r="AX134" i="15"/>
  <c r="J134" i="15"/>
  <c r="BI134" i="15"/>
  <c r="AC134" i="15" s="1"/>
  <c r="AX129" i="15"/>
  <c r="BI129" i="15"/>
  <c r="AC129" i="15" s="1"/>
  <c r="BH123" i="15"/>
  <c r="AB123" i="15" s="1"/>
  <c r="I123" i="15"/>
  <c r="AX118" i="15"/>
  <c r="BI118" i="15"/>
  <c r="AC118" i="15" s="1"/>
  <c r="J117" i="15"/>
  <c r="AX117" i="15"/>
  <c r="AW78" i="15"/>
  <c r="BH78" i="15"/>
  <c r="AB78" i="15" s="1"/>
  <c r="AS64" i="15"/>
  <c r="AX32" i="15"/>
  <c r="BI32" i="15"/>
  <c r="AC32" i="15" s="1"/>
  <c r="J447" i="15"/>
  <c r="AX447" i="15"/>
  <c r="BC447" i="15" s="1"/>
  <c r="BI447" i="15"/>
  <c r="AE447" i="15" s="1"/>
  <c r="BC432" i="15"/>
  <c r="AX428" i="15"/>
  <c r="BI428" i="15"/>
  <c r="AE428" i="15" s="1"/>
  <c r="J428" i="15"/>
  <c r="BC422" i="15"/>
  <c r="I417" i="15"/>
  <c r="AW417" i="15"/>
  <c r="BH417" i="15"/>
  <c r="AD417" i="15" s="1"/>
  <c r="I414" i="15"/>
  <c r="AW406" i="15"/>
  <c r="BC406" i="15" s="1"/>
  <c r="BH406" i="15"/>
  <c r="AD406" i="15" s="1"/>
  <c r="I406" i="15"/>
  <c r="AW402" i="15"/>
  <c r="BH402" i="15"/>
  <c r="AD402" i="15" s="1"/>
  <c r="I402" i="15"/>
  <c r="AS392" i="15"/>
  <c r="J382" i="15"/>
  <c r="AX382" i="15"/>
  <c r="AW375" i="15"/>
  <c r="BH375" i="15"/>
  <c r="AD375" i="15" s="1"/>
  <c r="I375" i="15"/>
  <c r="BC371" i="15"/>
  <c r="J356" i="15"/>
  <c r="I349" i="15"/>
  <c r="BH349" i="15"/>
  <c r="AD349" i="15" s="1"/>
  <c r="I338" i="15"/>
  <c r="BH338" i="15"/>
  <c r="AD338" i="15" s="1"/>
  <c r="AW333" i="15"/>
  <c r="BH333" i="15"/>
  <c r="AD333" i="15" s="1"/>
  <c r="I333" i="15"/>
  <c r="BC325" i="15"/>
  <c r="I325" i="15"/>
  <c r="AW319" i="15"/>
  <c r="I319" i="15"/>
  <c r="J314" i="15"/>
  <c r="AW291" i="15"/>
  <c r="I291" i="15"/>
  <c r="C27" i="13"/>
  <c r="I270" i="15"/>
  <c r="AX266" i="15"/>
  <c r="BC266" i="15" s="1"/>
  <c r="BI266" i="15"/>
  <c r="AE266" i="15" s="1"/>
  <c r="J266" i="15"/>
  <c r="J257" i="15"/>
  <c r="AX257" i="15"/>
  <c r="I253" i="15"/>
  <c r="BH253" i="15"/>
  <c r="AD253" i="15" s="1"/>
  <c r="AW251" i="15"/>
  <c r="I251" i="15"/>
  <c r="BH239" i="15"/>
  <c r="AD239" i="15" s="1"/>
  <c r="J239" i="15"/>
  <c r="I231" i="15"/>
  <c r="AS226" i="15"/>
  <c r="I228" i="15"/>
  <c r="AX224" i="15"/>
  <c r="AX220" i="15"/>
  <c r="BI220" i="15"/>
  <c r="AE220" i="15" s="1"/>
  <c r="J220" i="15"/>
  <c r="AW216" i="15"/>
  <c r="BH216" i="15"/>
  <c r="AD216" i="15" s="1"/>
  <c r="I216" i="15"/>
  <c r="AX194" i="15"/>
  <c r="BI194" i="15"/>
  <c r="AE194" i="15" s="1"/>
  <c r="BC188" i="15"/>
  <c r="AW183" i="15"/>
  <c r="I183" i="15"/>
  <c r="BC178" i="15"/>
  <c r="BC174" i="15"/>
  <c r="AV174" i="15"/>
  <c r="I170" i="15"/>
  <c r="AW170" i="15"/>
  <c r="I166" i="15"/>
  <c r="AW166" i="15"/>
  <c r="BH166" i="15"/>
  <c r="AB166" i="15" s="1"/>
  <c r="AS145" i="15"/>
  <c r="BH131" i="15"/>
  <c r="AB131" i="15" s="1"/>
  <c r="AW131" i="15"/>
  <c r="I131" i="15"/>
  <c r="AW126" i="15"/>
  <c r="BH126" i="15"/>
  <c r="AB126" i="15" s="1"/>
  <c r="J125" i="15"/>
  <c r="AX125" i="15"/>
  <c r="I119" i="15"/>
  <c r="AW119" i="15"/>
  <c r="BC119" i="15" s="1"/>
  <c r="BH119" i="15"/>
  <c r="AB119" i="15" s="1"/>
  <c r="AX51" i="15"/>
  <c r="J51" i="15"/>
  <c r="BI51" i="15"/>
  <c r="AC51" i="15" s="1"/>
  <c r="AX38" i="15"/>
  <c r="BI38" i="15"/>
  <c r="AC38" i="15" s="1"/>
  <c r="I513" i="15"/>
  <c r="AW513" i="15"/>
  <c r="BC513" i="15" s="1"/>
  <c r="AW506" i="15"/>
  <c r="BH506" i="15"/>
  <c r="AB506" i="15" s="1"/>
  <c r="I506" i="15"/>
  <c r="BC494" i="15"/>
  <c r="I494" i="15"/>
  <c r="J490" i="15"/>
  <c r="AX490" i="15"/>
  <c r="BI490" i="15"/>
  <c r="AE490" i="15" s="1"/>
  <c r="AU485" i="15"/>
  <c r="K485" i="15"/>
  <c r="G48" i="14" s="1"/>
  <c r="I48" i="14" s="1"/>
  <c r="AX480" i="15"/>
  <c r="BC480" i="15" s="1"/>
  <c r="BI480" i="15"/>
  <c r="AE480" i="15" s="1"/>
  <c r="J480" i="15"/>
  <c r="BC473" i="15"/>
  <c r="AX472" i="15"/>
  <c r="BI472" i="15"/>
  <c r="AE472" i="15" s="1"/>
  <c r="J472" i="15"/>
  <c r="J465" i="15"/>
  <c r="AW462" i="15"/>
  <c r="I462" i="15"/>
  <c r="AW459" i="15"/>
  <c r="BC459" i="15" s="1"/>
  <c r="I459" i="15"/>
  <c r="BH459" i="15"/>
  <c r="AD459" i="15" s="1"/>
  <c r="I450" i="15"/>
  <c r="AW450" i="15"/>
  <c r="BH450" i="15"/>
  <c r="AD450" i="15" s="1"/>
  <c r="BC436" i="15"/>
  <c r="AX435" i="15"/>
  <c r="BI435" i="15"/>
  <c r="AE435" i="15" s="1"/>
  <c r="J435" i="15"/>
  <c r="BC426" i="15"/>
  <c r="J424" i="15"/>
  <c r="BI424" i="15"/>
  <c r="AE424" i="15" s="1"/>
  <c r="AW410" i="15"/>
  <c r="BH410" i="15"/>
  <c r="AD410" i="15" s="1"/>
  <c r="I410" i="15"/>
  <c r="AW394" i="15"/>
  <c r="BH394" i="15"/>
  <c r="AD394" i="15" s="1"/>
  <c r="I394" i="15"/>
  <c r="BI382" i="15"/>
  <c r="AE382" i="15" s="1"/>
  <c r="AU363" i="15"/>
  <c r="AV371" i="15"/>
  <c r="I347" i="15"/>
  <c r="AW347" i="15"/>
  <c r="BH347" i="15"/>
  <c r="AD347" i="15" s="1"/>
  <c r="AX344" i="15"/>
  <c r="BI344" i="15"/>
  <c r="AE344" i="15" s="1"/>
  <c r="J344" i="15"/>
  <c r="J332" i="15"/>
  <c r="AX332" i="15"/>
  <c r="AX328" i="15"/>
  <c r="BI328" i="15"/>
  <c r="AE328" i="15" s="1"/>
  <c r="J324" i="15"/>
  <c r="AX324" i="15"/>
  <c r="J318" i="15"/>
  <c r="J288" i="15"/>
  <c r="AX288" i="15"/>
  <c r="J278" i="15"/>
  <c r="AW274" i="15"/>
  <c r="AV274" i="15" s="1"/>
  <c r="J272" i="15"/>
  <c r="AX272" i="15"/>
  <c r="BI272" i="15"/>
  <c r="AE272" i="15" s="1"/>
  <c r="AW259" i="15"/>
  <c r="I259" i="15"/>
  <c r="BI257" i="15"/>
  <c r="AE257" i="15" s="1"/>
  <c r="AW255" i="15"/>
  <c r="I255" i="15"/>
  <c r="BH245" i="15"/>
  <c r="AD245" i="15" s="1"/>
  <c r="AW245" i="15"/>
  <c r="BH242" i="15"/>
  <c r="AD242" i="15" s="1"/>
  <c r="AW242" i="15"/>
  <c r="I236" i="15"/>
  <c r="BH236" i="15"/>
  <c r="AD236" i="15" s="1"/>
  <c r="BH211" i="15"/>
  <c r="AD211" i="15" s="1"/>
  <c r="AW211" i="15"/>
  <c r="I207" i="15"/>
  <c r="AW207" i="15"/>
  <c r="BH207" i="15"/>
  <c r="AD207" i="15" s="1"/>
  <c r="BI204" i="15"/>
  <c r="AE204" i="15" s="1"/>
  <c r="J202" i="15"/>
  <c r="AX202" i="15"/>
  <c r="BI200" i="15"/>
  <c r="AX200" i="15"/>
  <c r="BI199" i="15"/>
  <c r="AE199" i="15" s="1"/>
  <c r="AX195" i="15"/>
  <c r="BI195" i="15"/>
  <c r="AE195" i="15" s="1"/>
  <c r="J195" i="15"/>
  <c r="AX191" i="15"/>
  <c r="BI191" i="15"/>
  <c r="J191" i="15"/>
  <c r="AW189" i="15"/>
  <c r="J181" i="15"/>
  <c r="AW179" i="15"/>
  <c r="I179" i="15"/>
  <c r="AV178" i="15"/>
  <c r="J176" i="15"/>
  <c r="AX176" i="15"/>
  <c r="BI176" i="15"/>
  <c r="AW175" i="15"/>
  <c r="J174" i="15"/>
  <c r="AX167" i="15"/>
  <c r="BI167" i="15"/>
  <c r="AC167" i="15" s="1"/>
  <c r="J167" i="15"/>
  <c r="I151" i="15"/>
  <c r="AX140" i="15"/>
  <c r="J140" i="15"/>
  <c r="BI140" i="15"/>
  <c r="AC140" i="15" s="1"/>
  <c r="J138" i="15"/>
  <c r="AX138" i="15"/>
  <c r="I133" i="15"/>
  <c r="AW133" i="15"/>
  <c r="BH133" i="15"/>
  <c r="AB133" i="15" s="1"/>
  <c r="BH96" i="15"/>
  <c r="AB96" i="15" s="1"/>
  <c r="I96" i="15"/>
  <c r="AW96" i="15"/>
  <c r="AW92" i="15"/>
  <c r="BC92" i="15" s="1"/>
  <c r="BH92" i="15"/>
  <c r="AB92" i="15" s="1"/>
  <c r="J80" i="15"/>
  <c r="AX80" i="15"/>
  <c r="BC80" i="15" s="1"/>
  <c r="BI80" i="15"/>
  <c r="AC80" i="15" s="1"/>
  <c r="BI74" i="15"/>
  <c r="AC74" i="15" s="1"/>
  <c r="AX74" i="15"/>
  <c r="AV74" i="15" s="1"/>
  <c r="J74" i="15"/>
  <c r="I72" i="15"/>
  <c r="AW72" i="15"/>
  <c r="I551" i="15"/>
  <c r="AU529" i="15"/>
  <c r="I526" i="15"/>
  <c r="I518" i="15"/>
  <c r="AS493" i="15"/>
  <c r="AT493" i="15"/>
  <c r="BC477" i="15"/>
  <c r="AS471" i="15"/>
  <c r="I470" i="15"/>
  <c r="BC455" i="15"/>
  <c r="J431" i="15"/>
  <c r="J379" i="15"/>
  <c r="J367" i="15"/>
  <c r="J297" i="15"/>
  <c r="AX297" i="15"/>
  <c r="AW290" i="15"/>
  <c r="BH290" i="15"/>
  <c r="AD290" i="15" s="1"/>
  <c r="I290" i="15"/>
  <c r="I286" i="15"/>
  <c r="J284" i="15"/>
  <c r="AX284" i="15"/>
  <c r="BI284" i="15"/>
  <c r="AE284" i="15" s="1"/>
  <c r="AX282" i="15"/>
  <c r="AV282" i="15" s="1"/>
  <c r="BI282" i="15"/>
  <c r="AE282" i="15" s="1"/>
  <c r="J282" i="15"/>
  <c r="J277" i="15"/>
  <c r="AX277" i="15"/>
  <c r="J274" i="15"/>
  <c r="AX253" i="15"/>
  <c r="BI253" i="15"/>
  <c r="AE253" i="15" s="1"/>
  <c r="AW250" i="15"/>
  <c r="BH250" i="15"/>
  <c r="AD250" i="15" s="1"/>
  <c r="I250" i="15"/>
  <c r="J248" i="15"/>
  <c r="AX248" i="15"/>
  <c r="BI248" i="15"/>
  <c r="AE248" i="15" s="1"/>
  <c r="AX246" i="15"/>
  <c r="AV246" i="15" s="1"/>
  <c r="BI246" i="15"/>
  <c r="AE246" i="15" s="1"/>
  <c r="J246" i="15"/>
  <c r="I234" i="15"/>
  <c r="AW234" i="15"/>
  <c r="BH234" i="15"/>
  <c r="AD234" i="15" s="1"/>
  <c r="AX231" i="15"/>
  <c r="BC231" i="15" s="1"/>
  <c r="BI231" i="15"/>
  <c r="AE231" i="15" s="1"/>
  <c r="J231" i="15"/>
  <c r="AW224" i="15"/>
  <c r="BH224" i="15"/>
  <c r="AD224" i="15" s="1"/>
  <c r="I224" i="15"/>
  <c r="I220" i="15"/>
  <c r="BC212" i="15"/>
  <c r="BC204" i="15"/>
  <c r="I174" i="15"/>
  <c r="J161" i="15"/>
  <c r="AX161" i="15"/>
  <c r="BI161" i="15"/>
  <c r="AC161" i="15" s="1"/>
  <c r="J155" i="15"/>
  <c r="AX155" i="15"/>
  <c r="BI155" i="15"/>
  <c r="AC155" i="15" s="1"/>
  <c r="BC115" i="15"/>
  <c r="AX114" i="15"/>
  <c r="BI114" i="15"/>
  <c r="AC114" i="15" s="1"/>
  <c r="J113" i="15"/>
  <c r="AX113" i="15"/>
  <c r="AX101" i="15"/>
  <c r="AV101" i="15" s="1"/>
  <c r="BI101" i="15"/>
  <c r="AC101" i="15" s="1"/>
  <c r="J101" i="15"/>
  <c r="K91" i="15"/>
  <c r="G25" i="14" s="1"/>
  <c r="I25" i="14" s="1"/>
  <c r="AK92" i="15"/>
  <c r="AT91" i="15" s="1"/>
  <c r="AX86" i="15"/>
  <c r="BI86" i="15"/>
  <c r="AC86" i="15" s="1"/>
  <c r="I85" i="15"/>
  <c r="AW85" i="15"/>
  <c r="I84" i="15"/>
  <c r="AW84" i="15"/>
  <c r="AX57" i="15"/>
  <c r="J57" i="15"/>
  <c r="J53" i="15"/>
  <c r="AX53" i="15"/>
  <c r="BI53" i="15"/>
  <c r="AC53" i="15" s="1"/>
  <c r="J258" i="15"/>
  <c r="AU226" i="15"/>
  <c r="I163" i="15"/>
  <c r="AW163" i="15"/>
  <c r="AX151" i="15"/>
  <c r="J151" i="15"/>
  <c r="I147" i="15"/>
  <c r="AW147" i="15"/>
  <c r="AX126" i="15"/>
  <c r="J126" i="15"/>
  <c r="BI126" i="15"/>
  <c r="AC126" i="15" s="1"/>
  <c r="I109" i="15"/>
  <c r="BC101" i="15"/>
  <c r="AU100" i="15"/>
  <c r="J98" i="15"/>
  <c r="AX98" i="15"/>
  <c r="AW70" i="15"/>
  <c r="BH70" i="15"/>
  <c r="AB70" i="15" s="1"/>
  <c r="AW65" i="15"/>
  <c r="BH65" i="15"/>
  <c r="AB65" i="15" s="1"/>
  <c r="I65" i="15"/>
  <c r="AW95" i="15"/>
  <c r="BH95" i="15"/>
  <c r="AB95" i="15" s="1"/>
  <c r="I95" i="15"/>
  <c r="AV61" i="15"/>
  <c r="I39" i="15"/>
  <c r="AW39" i="15"/>
  <c r="BH39" i="15"/>
  <c r="AB39" i="15" s="1"/>
  <c r="AU97" i="15"/>
  <c r="AU94" i="15"/>
  <c r="AU91" i="15"/>
  <c r="I87" i="15"/>
  <c r="BI85" i="15"/>
  <c r="AC85" i="15" s="1"/>
  <c r="AX85" i="15"/>
  <c r="BI84" i="15"/>
  <c r="AC84" i="15" s="1"/>
  <c r="BH79" i="15"/>
  <c r="AB79" i="15" s="1"/>
  <c r="AW79" i="15"/>
  <c r="BC74" i="15"/>
  <c r="BH63" i="15"/>
  <c r="AB63" i="15" s="1"/>
  <c r="AW62" i="15"/>
  <c r="BI61" i="15"/>
  <c r="AC61" i="15" s="1"/>
  <c r="AX59" i="15"/>
  <c r="BH58" i="15"/>
  <c r="AB58" i="15" s="1"/>
  <c r="AW55" i="15"/>
  <c r="BH49" i="15"/>
  <c r="AB49" i="15" s="1"/>
  <c r="BI47" i="15"/>
  <c r="AC47" i="15" s="1"/>
  <c r="AX47" i="15"/>
  <c r="AS43" i="15"/>
  <c r="AW46" i="15"/>
  <c r="BI45" i="15"/>
  <c r="AC45" i="15" s="1"/>
  <c r="AW45" i="15"/>
  <c r="BC45" i="15" s="1"/>
  <c r="AX41" i="15"/>
  <c r="BI39" i="15"/>
  <c r="AC39" i="15" s="1"/>
  <c r="AX39" i="15"/>
  <c r="BH23" i="15"/>
  <c r="AB23" i="15" s="1"/>
  <c r="BI13" i="15"/>
  <c r="AC13" i="15" s="1"/>
  <c r="BC13" i="15"/>
  <c r="AS26" i="15"/>
  <c r="I24" i="15"/>
  <c r="AW81" i="15"/>
  <c r="K64" i="15"/>
  <c r="G23" i="14" s="1"/>
  <c r="I23" i="14" s="1"/>
  <c r="BC61" i="15"/>
  <c r="AU52" i="15"/>
  <c r="AU43" i="15"/>
  <c r="AU30" i="15"/>
  <c r="AU26" i="15"/>
  <c r="I27" i="15"/>
  <c r="BI16" i="15"/>
  <c r="AC16" i="15" s="1"/>
  <c r="AX16" i="15"/>
  <c r="AW16" i="15"/>
  <c r="K549" i="15"/>
  <c r="G53" i="14" s="1"/>
  <c r="I53" i="14" s="1"/>
  <c r="C20" i="13"/>
  <c r="C29" i="13"/>
  <c r="F29" i="13" s="1"/>
  <c r="AW618" i="15"/>
  <c r="BC618" i="15" s="1"/>
  <c r="I618" i="15"/>
  <c r="C18" i="13"/>
  <c r="C21" i="13"/>
  <c r="AS549" i="15"/>
  <c r="AU549" i="15"/>
  <c r="AU21" i="15"/>
  <c r="C20" i="9"/>
  <c r="AW619" i="11"/>
  <c r="BH619" i="11"/>
  <c r="AB619" i="11" s="1"/>
  <c r="AU58" i="35"/>
  <c r="AS58" i="35"/>
  <c r="BH61" i="35"/>
  <c r="AB61" i="35" s="1"/>
  <c r="AW61" i="35"/>
  <c r="C18" i="33"/>
  <c r="C21" i="33"/>
  <c r="C20" i="33"/>
  <c r="AU12" i="38"/>
  <c r="AS12" i="38"/>
  <c r="AU617" i="11"/>
  <c r="AT617" i="11"/>
  <c r="K617" i="11"/>
  <c r="G53" i="10" s="1"/>
  <c r="I53" i="10" s="1"/>
  <c r="C27" i="9"/>
  <c r="C21" i="9"/>
  <c r="J220" i="35"/>
  <c r="F32" i="34" s="1"/>
  <c r="J192" i="35"/>
  <c r="AX192" i="35"/>
  <c r="AS187" i="35"/>
  <c r="J185" i="35"/>
  <c r="J184" i="35" s="1"/>
  <c r="F28" i="34" s="1"/>
  <c r="AX185" i="35"/>
  <c r="K184" i="35"/>
  <c r="G28" i="34" s="1"/>
  <c r="I28" i="34" s="1"/>
  <c r="J166" i="35"/>
  <c r="AX166" i="35"/>
  <c r="J155" i="35"/>
  <c r="AX155" i="35"/>
  <c r="J151" i="35"/>
  <c r="AX151" i="35"/>
  <c r="BC151" i="35" s="1"/>
  <c r="I112" i="35"/>
  <c r="AW112" i="35"/>
  <c r="BH112" i="35"/>
  <c r="AD112" i="35" s="1"/>
  <c r="AX226" i="35"/>
  <c r="BC226" i="35" s="1"/>
  <c r="AV224" i="35"/>
  <c r="AW223" i="35"/>
  <c r="AX222" i="35"/>
  <c r="AX219" i="35"/>
  <c r="AV217" i="35"/>
  <c r="AW216" i="35"/>
  <c r="AX215" i="35"/>
  <c r="AW212" i="35"/>
  <c r="AX211" i="35"/>
  <c r="AW208" i="35"/>
  <c r="AX207" i="35"/>
  <c r="AV205" i="35"/>
  <c r="AW204" i="35"/>
  <c r="AX203" i="35"/>
  <c r="AU200" i="35"/>
  <c r="K200" i="35"/>
  <c r="G31" i="34" s="1"/>
  <c r="I31" i="34" s="1"/>
  <c r="J199" i="35"/>
  <c r="J195" i="35" s="1"/>
  <c r="F30" i="34" s="1"/>
  <c r="AX199" i="35"/>
  <c r="AS195" i="35"/>
  <c r="K195" i="35"/>
  <c r="G30" i="34" s="1"/>
  <c r="I30" i="34" s="1"/>
  <c r="AK196" i="35"/>
  <c r="AT195" i="35" s="1"/>
  <c r="BC194" i="35"/>
  <c r="AV194" i="35"/>
  <c r="J178" i="35"/>
  <c r="AX178" i="35"/>
  <c r="BC178" i="35" s="1"/>
  <c r="I175" i="35"/>
  <c r="AW175" i="35"/>
  <c r="I171" i="35"/>
  <c r="AW171" i="35"/>
  <c r="AV168" i="35"/>
  <c r="AT160" i="35"/>
  <c r="BC153" i="35"/>
  <c r="AV153" i="35"/>
  <c r="J143" i="35"/>
  <c r="AX143" i="35"/>
  <c r="AS141" i="35"/>
  <c r="BC138" i="35"/>
  <c r="AV138" i="35"/>
  <c r="J123" i="35"/>
  <c r="AX123" i="35"/>
  <c r="BI123" i="35"/>
  <c r="AE123" i="35" s="1"/>
  <c r="J107" i="35"/>
  <c r="AX107" i="35"/>
  <c r="BI107" i="35"/>
  <c r="AE107" i="35" s="1"/>
  <c r="AS104" i="35"/>
  <c r="BI219" i="35"/>
  <c r="AC219" i="35" s="1"/>
  <c r="BI211" i="35"/>
  <c r="AC211" i="35" s="1"/>
  <c r="J188" i="35"/>
  <c r="AX188" i="35"/>
  <c r="J182" i="35"/>
  <c r="AX182" i="35"/>
  <c r="BC172" i="35"/>
  <c r="AV172" i="35"/>
  <c r="I163" i="35"/>
  <c r="AW163" i="35"/>
  <c r="AU160" i="35"/>
  <c r="J147" i="35"/>
  <c r="AX147" i="35"/>
  <c r="I144" i="35"/>
  <c r="AW144" i="35"/>
  <c r="AT141" i="35"/>
  <c r="I116" i="35"/>
  <c r="AW116" i="35"/>
  <c r="BH116" i="35"/>
  <c r="AD116" i="35" s="1"/>
  <c r="I97" i="35"/>
  <c r="AW97" i="35"/>
  <c r="BH97" i="35"/>
  <c r="AD97" i="35" s="1"/>
  <c r="AV39" i="35"/>
  <c r="C29" i="33"/>
  <c r="F29" i="33" s="1"/>
  <c r="AX225" i="35"/>
  <c r="AV225" i="35" s="1"/>
  <c r="AK223" i="35"/>
  <c r="AT220" i="35" s="1"/>
  <c r="AX218" i="35"/>
  <c r="BC218" i="35" s="1"/>
  <c r="AW215" i="35"/>
  <c r="AX214" i="35"/>
  <c r="AW211" i="35"/>
  <c r="AX210" i="35"/>
  <c r="AW207" i="35"/>
  <c r="AX206" i="35"/>
  <c r="AW203" i="35"/>
  <c r="AT200" i="35"/>
  <c r="BC197" i="35"/>
  <c r="AV197" i="35"/>
  <c r="BC190" i="35"/>
  <c r="AV190" i="35"/>
  <c r="I186" i="35"/>
  <c r="I184" i="35" s="1"/>
  <c r="E28" i="34" s="1"/>
  <c r="AW186" i="35"/>
  <c r="BI185" i="35"/>
  <c r="AE185" i="35" s="1"/>
  <c r="I183" i="35"/>
  <c r="AW183" i="35"/>
  <c r="BI182" i="35"/>
  <c r="AE182" i="35" s="1"/>
  <c r="BC180" i="35"/>
  <c r="AV180" i="35"/>
  <c r="J174" i="35"/>
  <c r="AX174" i="35"/>
  <c r="I167" i="35"/>
  <c r="AW167" i="35"/>
  <c r="BI166" i="35"/>
  <c r="AE166" i="35" s="1"/>
  <c r="J162" i="35"/>
  <c r="AX162" i="35"/>
  <c r="BC162" i="35" s="1"/>
  <c r="AS160" i="35"/>
  <c r="BC157" i="35"/>
  <c r="AV157" i="35"/>
  <c r="I152" i="35"/>
  <c r="AW152" i="35"/>
  <c r="BI151" i="35"/>
  <c r="AE151" i="35" s="1"/>
  <c r="BC149" i="35"/>
  <c r="AV149" i="35"/>
  <c r="K141" i="35"/>
  <c r="G26" i="34" s="1"/>
  <c r="I26" i="34" s="1"/>
  <c r="J140" i="35"/>
  <c r="AX140" i="35"/>
  <c r="BC140" i="35" s="1"/>
  <c r="I137" i="35"/>
  <c r="AW137" i="35"/>
  <c r="BC134" i="35"/>
  <c r="AV134" i="35"/>
  <c r="I66" i="35"/>
  <c r="AW66" i="35"/>
  <c r="BH66" i="35"/>
  <c r="AB66" i="35" s="1"/>
  <c r="J132" i="35"/>
  <c r="AX132" i="35"/>
  <c r="BC102" i="35"/>
  <c r="AV102" i="35"/>
  <c r="J33" i="35"/>
  <c r="AX33" i="35"/>
  <c r="BI33" i="35"/>
  <c r="AC33" i="35" s="1"/>
  <c r="J202" i="35"/>
  <c r="AX202" i="35"/>
  <c r="BC202" i="35" s="1"/>
  <c r="AS200" i="35"/>
  <c r="BI199" i="35"/>
  <c r="AE199" i="35" s="1"/>
  <c r="I196" i="35"/>
  <c r="AW196" i="35"/>
  <c r="I193" i="35"/>
  <c r="AW193" i="35"/>
  <c r="BI192" i="35"/>
  <c r="AE192" i="35" s="1"/>
  <c r="I189" i="35"/>
  <c r="AW189" i="35"/>
  <c r="BI188" i="35"/>
  <c r="AE188" i="35" s="1"/>
  <c r="AT187" i="35"/>
  <c r="AT184" i="35"/>
  <c r="AV181" i="35"/>
  <c r="I179" i="35"/>
  <c r="AW179" i="35"/>
  <c r="BI178" i="35"/>
  <c r="AE178" i="35" s="1"/>
  <c r="J170" i="35"/>
  <c r="AX170" i="35"/>
  <c r="AV164" i="35"/>
  <c r="BH163" i="35"/>
  <c r="AD163" i="35" s="1"/>
  <c r="K160" i="35"/>
  <c r="G27" i="34" s="1"/>
  <c r="I27" i="34" s="1"/>
  <c r="J159" i="35"/>
  <c r="AX159" i="35"/>
  <c r="BC159" i="35" s="1"/>
  <c r="I156" i="35"/>
  <c r="AW156" i="35"/>
  <c r="BI155" i="35"/>
  <c r="AE155" i="35" s="1"/>
  <c r="AV150" i="35"/>
  <c r="I148" i="35"/>
  <c r="AW148" i="35"/>
  <c r="BI147" i="35"/>
  <c r="AE147" i="35" s="1"/>
  <c r="BC145" i="35"/>
  <c r="AV145" i="35"/>
  <c r="BH144" i="35"/>
  <c r="AD144" i="35" s="1"/>
  <c r="AU141" i="35"/>
  <c r="J136" i="35"/>
  <c r="AX136" i="35"/>
  <c r="I133" i="35"/>
  <c r="AW133" i="35"/>
  <c r="BI132" i="35"/>
  <c r="AE132" i="35" s="1"/>
  <c r="BC130" i="35"/>
  <c r="AV130" i="35"/>
  <c r="I129" i="35"/>
  <c r="AW129" i="35"/>
  <c r="I120" i="35"/>
  <c r="AW120" i="35"/>
  <c r="BH120" i="35"/>
  <c r="AD120" i="35" s="1"/>
  <c r="J89" i="35"/>
  <c r="J88" i="35" s="1"/>
  <c r="F23" i="34" s="1"/>
  <c r="AX89" i="35"/>
  <c r="BC89" i="35" s="1"/>
  <c r="BI89" i="35"/>
  <c r="I128" i="35"/>
  <c r="AW128" i="35"/>
  <c r="J119" i="35"/>
  <c r="AX119" i="35"/>
  <c r="J115" i="35"/>
  <c r="AX115" i="35"/>
  <c r="J111" i="35"/>
  <c r="AX111" i="35"/>
  <c r="I101" i="35"/>
  <c r="AW101" i="35"/>
  <c r="J96" i="35"/>
  <c r="AX96" i="35"/>
  <c r="AV94" i="35"/>
  <c r="I93" i="35"/>
  <c r="AW93" i="35"/>
  <c r="AU90" i="35"/>
  <c r="K90" i="35"/>
  <c r="G24" i="34" s="1"/>
  <c r="I24" i="34" s="1"/>
  <c r="I87" i="35"/>
  <c r="AW87" i="35"/>
  <c r="AS77" i="35"/>
  <c r="BC82" i="35"/>
  <c r="I63" i="35"/>
  <c r="AW63" i="35"/>
  <c r="BH63" i="35"/>
  <c r="AB63" i="35" s="1"/>
  <c r="J48" i="35"/>
  <c r="AX48" i="35"/>
  <c r="BI48" i="35"/>
  <c r="AC48" i="35" s="1"/>
  <c r="I45" i="35"/>
  <c r="AW45" i="35"/>
  <c r="BH45" i="35"/>
  <c r="AB45" i="35" s="1"/>
  <c r="AW192" i="35"/>
  <c r="AX191" i="35"/>
  <c r="AW188" i="35"/>
  <c r="AW174" i="35"/>
  <c r="AX173" i="35"/>
  <c r="AV173" i="35" s="1"/>
  <c r="AX169" i="35"/>
  <c r="AV169" i="35" s="1"/>
  <c r="AX165" i="35"/>
  <c r="AX161" i="35"/>
  <c r="AV161" i="35" s="1"/>
  <c r="AX158" i="35"/>
  <c r="AV158" i="35" s="1"/>
  <c r="AW155" i="35"/>
  <c r="AX154" i="35"/>
  <c r="AV154" i="35" s="1"/>
  <c r="AW147" i="35"/>
  <c r="AW143" i="35"/>
  <c r="AX142" i="35"/>
  <c r="AW136" i="35"/>
  <c r="AX135" i="35"/>
  <c r="AV135" i="35" s="1"/>
  <c r="AW132" i="35"/>
  <c r="AX131" i="35"/>
  <c r="AV131" i="35" s="1"/>
  <c r="J127" i="35"/>
  <c r="AX127" i="35"/>
  <c r="AV125" i="35"/>
  <c r="BC109" i="35"/>
  <c r="AV109" i="35"/>
  <c r="AU104" i="35"/>
  <c r="J100" i="35"/>
  <c r="AX100" i="35"/>
  <c r="J92" i="35"/>
  <c r="AX92" i="35"/>
  <c r="BC92" i="35" s="1"/>
  <c r="AS90" i="35"/>
  <c r="AT90" i="35"/>
  <c r="BC84" i="35"/>
  <c r="AV84" i="35"/>
  <c r="BC79" i="35"/>
  <c r="AV79" i="35"/>
  <c r="J73" i="35"/>
  <c r="AX73" i="35"/>
  <c r="BC73" i="35" s="1"/>
  <c r="BI73" i="35"/>
  <c r="AC73" i="35" s="1"/>
  <c r="I124" i="35"/>
  <c r="AW124" i="35"/>
  <c r="BC121" i="35"/>
  <c r="AV121" i="35"/>
  <c r="BC117" i="35"/>
  <c r="AV117" i="35"/>
  <c r="BC113" i="35"/>
  <c r="AV113" i="35"/>
  <c r="I108" i="35"/>
  <c r="AW108" i="35"/>
  <c r="BC105" i="35"/>
  <c r="AT104" i="35"/>
  <c r="K104" i="35"/>
  <c r="G25" i="34" s="1"/>
  <c r="I25" i="34" s="1"/>
  <c r="BC98" i="35"/>
  <c r="J86" i="35"/>
  <c r="AX86" i="35"/>
  <c r="AV86" i="35" s="1"/>
  <c r="BC85" i="35"/>
  <c r="I83" i="35"/>
  <c r="AW83" i="35"/>
  <c r="BC57" i="35"/>
  <c r="AV57" i="35"/>
  <c r="AU77" i="35"/>
  <c r="BC75" i="35"/>
  <c r="AV75" i="35"/>
  <c r="I70" i="35"/>
  <c r="AW70" i="35"/>
  <c r="K64" i="35"/>
  <c r="G21" i="34" s="1"/>
  <c r="I21" i="34" s="1"/>
  <c r="AK66" i="35"/>
  <c r="AT64" i="35" s="1"/>
  <c r="J65" i="35"/>
  <c r="AX65" i="35"/>
  <c r="AS64" i="35"/>
  <c r="J62" i="35"/>
  <c r="AX62" i="35"/>
  <c r="J58" i="35"/>
  <c r="F20" i="34" s="1"/>
  <c r="I56" i="35"/>
  <c r="AW56" i="35"/>
  <c r="BC13" i="35"/>
  <c r="AW127" i="35"/>
  <c r="AW123" i="35"/>
  <c r="AX122" i="35"/>
  <c r="AW119" i="35"/>
  <c r="AX118" i="35"/>
  <c r="AW115" i="35"/>
  <c r="AX114" i="35"/>
  <c r="AV114" i="35" s="1"/>
  <c r="AW111" i="35"/>
  <c r="AX110" i="35"/>
  <c r="AV110" i="35" s="1"/>
  <c r="AW107" i="35"/>
  <c r="AW100" i="35"/>
  <c r="AX99" i="35"/>
  <c r="AV99" i="35" s="1"/>
  <c r="AW96" i="35"/>
  <c r="I81" i="35"/>
  <c r="AW81" i="35"/>
  <c r="BC78" i="35"/>
  <c r="AV78" i="35"/>
  <c r="AT77" i="35"/>
  <c r="J69" i="35"/>
  <c r="AX69" i="35"/>
  <c r="BC67" i="35"/>
  <c r="AV67" i="35"/>
  <c r="I59" i="35"/>
  <c r="I58" i="35" s="1"/>
  <c r="E20" i="34" s="1"/>
  <c r="AW59" i="35"/>
  <c r="AS30" i="35"/>
  <c r="BC24" i="35"/>
  <c r="AV24" i="35"/>
  <c r="K23" i="35"/>
  <c r="G15" i="34" s="1"/>
  <c r="I15" i="34" s="1"/>
  <c r="AK24" i="35"/>
  <c r="AT23" i="35" s="1"/>
  <c r="J80" i="35"/>
  <c r="AX80" i="35"/>
  <c r="K77" i="35"/>
  <c r="G22" i="34" s="1"/>
  <c r="I22" i="34" s="1"/>
  <c r="I74" i="35"/>
  <c r="AW74" i="35"/>
  <c r="AV73" i="35"/>
  <c r="BC71" i="35"/>
  <c r="AV71" i="35"/>
  <c r="K58" i="35"/>
  <c r="G20" i="34" s="1"/>
  <c r="I20" i="34" s="1"/>
  <c r="AK59" i="35"/>
  <c r="AT58" i="35" s="1"/>
  <c r="J51" i="35"/>
  <c r="AX51" i="35"/>
  <c r="BI51" i="35"/>
  <c r="AC51" i="35" s="1"/>
  <c r="BC38" i="35"/>
  <c r="AV38" i="35"/>
  <c r="J36" i="35"/>
  <c r="AX36" i="35"/>
  <c r="BI36" i="35"/>
  <c r="AC36" i="35" s="1"/>
  <c r="AT30" i="35"/>
  <c r="I15" i="35"/>
  <c r="I14" i="35" s="1"/>
  <c r="E12" i="34" s="1"/>
  <c r="AW15" i="35"/>
  <c r="BH15" i="35"/>
  <c r="AB15" i="35" s="1"/>
  <c r="J54" i="35"/>
  <c r="AX54" i="35"/>
  <c r="AS53" i="35"/>
  <c r="I48" i="35"/>
  <c r="AW48" i="35"/>
  <c r="BI45" i="35"/>
  <c r="AC45" i="35" s="1"/>
  <c r="BH42" i="35"/>
  <c r="AB42" i="35" s="1"/>
  <c r="AW42" i="35"/>
  <c r="J40" i="35"/>
  <c r="AX40" i="35"/>
  <c r="I33" i="35"/>
  <c r="AW33" i="35"/>
  <c r="BC28" i="35"/>
  <c r="BH27" i="35"/>
  <c r="AB27" i="35" s="1"/>
  <c r="AW27" i="35"/>
  <c r="K26" i="35"/>
  <c r="G16" i="34" s="1"/>
  <c r="I16" i="34" s="1"/>
  <c r="AK27" i="35"/>
  <c r="AT26" i="35" s="1"/>
  <c r="J23" i="35"/>
  <c r="F15" i="34" s="1"/>
  <c r="AW80" i="35"/>
  <c r="AX72" i="35"/>
  <c r="BI54" i="35"/>
  <c r="AC54" i="35" s="1"/>
  <c r="I52" i="35"/>
  <c r="AW52" i="35"/>
  <c r="AT46" i="35"/>
  <c r="K46" i="35"/>
  <c r="G18" i="34" s="1"/>
  <c r="I18" i="34" s="1"/>
  <c r="AX45" i="35"/>
  <c r="J44" i="35"/>
  <c r="AX44" i="35"/>
  <c r="AV43" i="35"/>
  <c r="BI40" i="35"/>
  <c r="AC40" i="35" s="1"/>
  <c r="I37" i="35"/>
  <c r="AW37" i="35"/>
  <c r="K30" i="35"/>
  <c r="G17" i="34" s="1"/>
  <c r="I17" i="34" s="1"/>
  <c r="J29" i="35"/>
  <c r="AX29" i="35"/>
  <c r="BC29" i="35" s="1"/>
  <c r="AV28" i="35"/>
  <c r="BC16" i="35"/>
  <c r="K14" i="35"/>
  <c r="AK15" i="35"/>
  <c r="AT14" i="35" s="1"/>
  <c r="I55" i="35"/>
  <c r="I53" i="35" s="1"/>
  <c r="E19" i="34" s="1"/>
  <c r="AW55" i="35"/>
  <c r="BC49" i="35"/>
  <c r="AV49" i="35"/>
  <c r="J47" i="35"/>
  <c r="AX47" i="35"/>
  <c r="AS46" i="35"/>
  <c r="I41" i="35"/>
  <c r="AW41" i="35"/>
  <c r="BC34" i="35"/>
  <c r="AV34" i="35"/>
  <c r="J32" i="35"/>
  <c r="AX32" i="35"/>
  <c r="AU30" i="35"/>
  <c r="AU23" i="35"/>
  <c r="J20" i="35"/>
  <c r="AX20" i="35"/>
  <c r="J17" i="35"/>
  <c r="J14" i="35" s="1"/>
  <c r="F12" i="34" s="1"/>
  <c r="AX17" i="35"/>
  <c r="BC196" i="31"/>
  <c r="AV196" i="31"/>
  <c r="BC191" i="31"/>
  <c r="AV191" i="31"/>
  <c r="C16" i="29"/>
  <c r="AV201" i="31"/>
  <c r="BC198" i="31"/>
  <c r="AV198" i="31"/>
  <c r="BC186" i="31"/>
  <c r="AV186" i="31"/>
  <c r="BC209" i="31"/>
  <c r="AV209" i="31"/>
  <c r="BC202" i="31"/>
  <c r="AV193" i="31"/>
  <c r="AV205" i="31"/>
  <c r="BC204" i="31"/>
  <c r="AV204" i="31"/>
  <c r="AV192" i="31"/>
  <c r="AV189" i="31"/>
  <c r="I221" i="31"/>
  <c r="J220" i="31"/>
  <c r="I217" i="31"/>
  <c r="I215" i="31" s="1"/>
  <c r="E31" i="30" s="1"/>
  <c r="J216" i="31"/>
  <c r="J215" i="31" s="1"/>
  <c r="F31" i="30" s="1"/>
  <c r="I214" i="31"/>
  <c r="J213" i="31"/>
  <c r="I210" i="31"/>
  <c r="J209" i="31"/>
  <c r="I206" i="31"/>
  <c r="J205" i="31"/>
  <c r="BC203" i="31"/>
  <c r="I202" i="31"/>
  <c r="J201" i="31"/>
  <c r="AK198" i="31"/>
  <c r="AT195" i="31" s="1"/>
  <c r="I198" i="31"/>
  <c r="J197" i="31"/>
  <c r="J194" i="31"/>
  <c r="J190" i="31" s="1"/>
  <c r="F29" i="30" s="1"/>
  <c r="BC192" i="31"/>
  <c r="AK191" i="31"/>
  <c r="AT190" i="31" s="1"/>
  <c r="I191" i="31"/>
  <c r="I190" i="31" s="1"/>
  <c r="E29" i="30" s="1"/>
  <c r="BC189" i="31"/>
  <c r="I188" i="31"/>
  <c r="I182" i="31" s="1"/>
  <c r="E28" i="30" s="1"/>
  <c r="J187" i="31"/>
  <c r="BC140" i="31"/>
  <c r="AV140" i="31"/>
  <c r="AV220" i="31"/>
  <c r="AW219" i="31"/>
  <c r="AX218" i="31"/>
  <c r="AV213" i="31"/>
  <c r="AX185" i="31"/>
  <c r="BC185" i="31" s="1"/>
  <c r="AU182" i="31"/>
  <c r="AV180" i="31"/>
  <c r="BC178" i="31"/>
  <c r="AV178" i="31"/>
  <c r="BC169" i="31"/>
  <c r="AV161" i="31"/>
  <c r="BC151" i="31"/>
  <c r="AV151" i="31"/>
  <c r="AX221" i="31"/>
  <c r="BC221" i="31" s="1"/>
  <c r="AW218" i="31"/>
  <c r="AX217" i="31"/>
  <c r="BC217" i="31" s="1"/>
  <c r="AX214" i="31"/>
  <c r="BC214" i="31" s="1"/>
  <c r="AV212" i="31"/>
  <c r="AW211" i="31"/>
  <c r="AX210" i="31"/>
  <c r="BC210" i="31" s="1"/>
  <c r="AT182" i="31"/>
  <c r="K182" i="31"/>
  <c r="G28" i="30" s="1"/>
  <c r="I28" i="30" s="1"/>
  <c r="BC174" i="31"/>
  <c r="AV174" i="31"/>
  <c r="BC166" i="31"/>
  <c r="BC162" i="31"/>
  <c r="AV162" i="31"/>
  <c r="BC147" i="31"/>
  <c r="AS182" i="31"/>
  <c r="I179" i="31"/>
  <c r="E27" i="30" s="1"/>
  <c r="BC143" i="31"/>
  <c r="AV143" i="31"/>
  <c r="AV184" i="31"/>
  <c r="J180" i="31"/>
  <c r="J179" i="31" s="1"/>
  <c r="F27" i="30" s="1"/>
  <c r="I178" i="31"/>
  <c r="I174" i="31"/>
  <c r="J173" i="31"/>
  <c r="I170" i="31"/>
  <c r="J169" i="31"/>
  <c r="I166" i="31"/>
  <c r="J165" i="31"/>
  <c r="BC163" i="31"/>
  <c r="I162" i="31"/>
  <c r="J161" i="31"/>
  <c r="AX160" i="31"/>
  <c r="BC159" i="31"/>
  <c r="AK158" i="31"/>
  <c r="AT155" i="31" s="1"/>
  <c r="I158" i="31"/>
  <c r="AW157" i="31"/>
  <c r="J157" i="31"/>
  <c r="AX156" i="31"/>
  <c r="AW154" i="31"/>
  <c r="J154" i="31"/>
  <c r="AX153" i="31"/>
  <c r="AV153" i="31" s="1"/>
  <c r="BC152" i="31"/>
  <c r="I151" i="31"/>
  <c r="AW150" i="31"/>
  <c r="J150" i="31"/>
  <c r="AX149" i="31"/>
  <c r="BC148" i="31"/>
  <c r="I147" i="31"/>
  <c r="AW146" i="31"/>
  <c r="J146" i="31"/>
  <c r="AX145" i="31"/>
  <c r="BC144" i="31"/>
  <c r="AK143" i="31"/>
  <c r="AT142" i="31" s="1"/>
  <c r="I143" i="31"/>
  <c r="BC141" i="31"/>
  <c r="I140" i="31"/>
  <c r="AW139" i="31"/>
  <c r="J139" i="31"/>
  <c r="AX138" i="31"/>
  <c r="AV138" i="31" s="1"/>
  <c r="BC137" i="31"/>
  <c r="BI136" i="31"/>
  <c r="AE136" i="31" s="1"/>
  <c r="BC117" i="31"/>
  <c r="AV117" i="31"/>
  <c r="AV102" i="31"/>
  <c r="BC101" i="31"/>
  <c r="AV101" i="31"/>
  <c r="AV98" i="31"/>
  <c r="BC95" i="31"/>
  <c r="AV95" i="31"/>
  <c r="AW176" i="31"/>
  <c r="AX175" i="31"/>
  <c r="BC175" i="31" s="1"/>
  <c r="AW172" i="31"/>
  <c r="AX171" i="31"/>
  <c r="BC171" i="31" s="1"/>
  <c r="AV169" i="31"/>
  <c r="AX136" i="31"/>
  <c r="BC110" i="31"/>
  <c r="AV110" i="31"/>
  <c r="AV109" i="31"/>
  <c r="AU104" i="31"/>
  <c r="BC103" i="31"/>
  <c r="AV103" i="31"/>
  <c r="BC99" i="31"/>
  <c r="AV99" i="31"/>
  <c r="AX170" i="31"/>
  <c r="BC170" i="31" s="1"/>
  <c r="AV168" i="31"/>
  <c r="BC114" i="31"/>
  <c r="AV114" i="31"/>
  <c r="BC106" i="31"/>
  <c r="AS104" i="31"/>
  <c r="I136" i="31"/>
  <c r="AW136" i="31"/>
  <c r="AV135" i="31"/>
  <c r="K104" i="31"/>
  <c r="G24" i="30" s="1"/>
  <c r="I24" i="30" s="1"/>
  <c r="BC93" i="31"/>
  <c r="AV93" i="31"/>
  <c r="AT90" i="31"/>
  <c r="AV134" i="31"/>
  <c r="AW129" i="31"/>
  <c r="AX128" i="31"/>
  <c r="BC127" i="31"/>
  <c r="AW125" i="31"/>
  <c r="AW121" i="31"/>
  <c r="I118" i="31"/>
  <c r="J117" i="31"/>
  <c r="BC115" i="31"/>
  <c r="I114" i="31"/>
  <c r="J113" i="31"/>
  <c r="BC111" i="31"/>
  <c r="I110" i="31"/>
  <c r="J109" i="31"/>
  <c r="AK106" i="31"/>
  <c r="AT104" i="31" s="1"/>
  <c r="I106" i="31"/>
  <c r="J105" i="31"/>
  <c r="I103" i="31"/>
  <c r="J102" i="31"/>
  <c r="I99" i="31"/>
  <c r="J98" i="31"/>
  <c r="BC96" i="31"/>
  <c r="I95" i="31"/>
  <c r="J94" i="31"/>
  <c r="BI89" i="31"/>
  <c r="J89" i="31"/>
  <c r="J88" i="31" s="1"/>
  <c r="F22" i="30" s="1"/>
  <c r="BC81" i="31"/>
  <c r="AV81" i="31"/>
  <c r="BC70" i="31"/>
  <c r="AV70" i="31"/>
  <c r="AX135" i="31"/>
  <c r="BC135" i="31" s="1"/>
  <c r="AV133" i="31"/>
  <c r="AW132" i="31"/>
  <c r="AS90" i="31"/>
  <c r="AV89" i="31"/>
  <c r="AV80" i="31"/>
  <c r="BC74" i="31"/>
  <c r="BC63" i="31"/>
  <c r="AV63" i="31"/>
  <c r="AW123" i="31"/>
  <c r="AX122" i="31"/>
  <c r="BC122" i="31" s="1"/>
  <c r="AW119" i="31"/>
  <c r="AX118" i="31"/>
  <c r="BC118" i="31" s="1"/>
  <c r="AV116" i="31"/>
  <c r="J90" i="31"/>
  <c r="F23" i="30" s="1"/>
  <c r="BC85" i="31"/>
  <c r="AV85" i="31"/>
  <c r="AW91" i="31"/>
  <c r="AU90" i="31"/>
  <c r="I87" i="31"/>
  <c r="AW87" i="31"/>
  <c r="BC84" i="31"/>
  <c r="BC66" i="31"/>
  <c r="AT64" i="31"/>
  <c r="I85" i="31"/>
  <c r="J84" i="31"/>
  <c r="I81" i="31"/>
  <c r="J80" i="31"/>
  <c r="I74" i="31"/>
  <c r="J73" i="31"/>
  <c r="I70" i="31"/>
  <c r="J69" i="31"/>
  <c r="I66" i="31"/>
  <c r="J65" i="31"/>
  <c r="I63" i="31"/>
  <c r="J62" i="31"/>
  <c r="J59" i="31"/>
  <c r="AX59" i="31"/>
  <c r="BC59" i="31" s="1"/>
  <c r="AS58" i="31"/>
  <c r="BC54" i="31"/>
  <c r="AV54" i="31"/>
  <c r="AT53" i="31"/>
  <c r="I50" i="31"/>
  <c r="I46" i="31" s="1"/>
  <c r="E17" i="30" s="1"/>
  <c r="AW50" i="31"/>
  <c r="J42" i="31"/>
  <c r="AX42" i="31"/>
  <c r="BC42" i="31" s="1"/>
  <c r="I39" i="31"/>
  <c r="AW39" i="31"/>
  <c r="I35" i="31"/>
  <c r="AW35" i="31"/>
  <c r="J30" i="31"/>
  <c r="AX30" i="31"/>
  <c r="BC25" i="31"/>
  <c r="BC22" i="31"/>
  <c r="AV22" i="31"/>
  <c r="J14" i="31"/>
  <c r="F12" i="30" s="1"/>
  <c r="AX86" i="31"/>
  <c r="AV84" i="31"/>
  <c r="AW83" i="31"/>
  <c r="AX82" i="31"/>
  <c r="BC82" i="31" s="1"/>
  <c r="AW79" i="31"/>
  <c r="AX78" i="31"/>
  <c r="BC78" i="31" s="1"/>
  <c r="AW76" i="31"/>
  <c r="AX75" i="31"/>
  <c r="AW72" i="31"/>
  <c r="AX71" i="31"/>
  <c r="AV71" i="31" s="1"/>
  <c r="AW68" i="31"/>
  <c r="AX67" i="31"/>
  <c r="BC67" i="31" s="1"/>
  <c r="AW61" i="31"/>
  <c r="AX60" i="31"/>
  <c r="BC60" i="31" s="1"/>
  <c r="I58" i="31"/>
  <c r="E19" i="30" s="1"/>
  <c r="I57" i="31"/>
  <c r="AW57" i="31"/>
  <c r="J56" i="31"/>
  <c r="J53" i="31" s="1"/>
  <c r="F18" i="30" s="1"/>
  <c r="AX56" i="31"/>
  <c r="K53" i="31"/>
  <c r="G18" i="30" s="1"/>
  <c r="I18" i="30" s="1"/>
  <c r="J49" i="31"/>
  <c r="AX49" i="31"/>
  <c r="BC49" i="31" s="1"/>
  <c r="J38" i="31"/>
  <c r="AX38" i="31"/>
  <c r="BC38" i="31" s="1"/>
  <c r="J34" i="31"/>
  <c r="AX34" i="31"/>
  <c r="BC34" i="31" s="1"/>
  <c r="BC32" i="31"/>
  <c r="AU28" i="31"/>
  <c r="K28" i="31"/>
  <c r="G16" i="30" s="1"/>
  <c r="I16" i="30" s="1"/>
  <c r="J27" i="31"/>
  <c r="J24" i="31" s="1"/>
  <c r="F15" i="30" s="1"/>
  <c r="AX27" i="31"/>
  <c r="BC27" i="31" s="1"/>
  <c r="AT18" i="31"/>
  <c r="BC16" i="31"/>
  <c r="AV16" i="31"/>
  <c r="I15" i="31"/>
  <c r="I14" i="31" s="1"/>
  <c r="E12" i="30" s="1"/>
  <c r="AW15" i="31"/>
  <c r="BC51" i="31"/>
  <c r="AV51" i="31"/>
  <c r="BC40" i="31"/>
  <c r="AV40" i="31"/>
  <c r="AV36" i="31"/>
  <c r="AT28" i="31"/>
  <c r="I24" i="31"/>
  <c r="E15" i="30" s="1"/>
  <c r="AT58" i="31"/>
  <c r="K58" i="31"/>
  <c r="G19" i="30" s="1"/>
  <c r="I19" i="30" s="1"/>
  <c r="BH50" i="31"/>
  <c r="AB50" i="31" s="1"/>
  <c r="BI49" i="31"/>
  <c r="AC49" i="31" s="1"/>
  <c r="AV47" i="31"/>
  <c r="AT46" i="31"/>
  <c r="I43" i="31"/>
  <c r="AW43" i="31"/>
  <c r="AV42" i="31"/>
  <c r="BH39" i="31"/>
  <c r="AB39" i="31" s="1"/>
  <c r="BI38" i="31"/>
  <c r="AC38" i="31" s="1"/>
  <c r="BH35" i="31"/>
  <c r="AB35" i="31" s="1"/>
  <c r="BI34" i="31"/>
  <c r="AC34" i="31" s="1"/>
  <c r="I31" i="31"/>
  <c r="AW31" i="31"/>
  <c r="AS28" i="31"/>
  <c r="BI27" i="31"/>
  <c r="AC27" i="31" s="1"/>
  <c r="K14" i="31"/>
  <c r="AK15" i="31"/>
  <c r="AW56" i="31"/>
  <c r="AX55" i="31"/>
  <c r="AX52" i="31"/>
  <c r="AX48" i="31"/>
  <c r="AX45" i="31"/>
  <c r="AX41" i="31"/>
  <c r="AX37" i="31"/>
  <c r="AV37" i="31" s="1"/>
  <c r="AX29" i="31"/>
  <c r="AV29" i="31" s="1"/>
  <c r="AX26" i="31"/>
  <c r="AX23" i="31"/>
  <c r="AX20" i="31"/>
  <c r="AX17" i="31"/>
  <c r="I603" i="27"/>
  <c r="AW603" i="27"/>
  <c r="J598" i="27"/>
  <c r="AX598" i="27"/>
  <c r="BC598" i="27" s="1"/>
  <c r="J582" i="27"/>
  <c r="AX582" i="27"/>
  <c r="I543" i="27"/>
  <c r="AW543" i="27"/>
  <c r="I533" i="27"/>
  <c r="AW533" i="27"/>
  <c r="K508" i="27"/>
  <c r="G48" i="26" s="1"/>
  <c r="I48" i="26" s="1"/>
  <c r="AK509" i="27"/>
  <c r="AT508" i="27" s="1"/>
  <c r="BC496" i="27"/>
  <c r="AV496" i="27"/>
  <c r="K494" i="27"/>
  <c r="G46" i="26" s="1"/>
  <c r="I46" i="26" s="1"/>
  <c r="AK495" i="27"/>
  <c r="AT494" i="27" s="1"/>
  <c r="BC474" i="27"/>
  <c r="AV474" i="27"/>
  <c r="I421" i="27"/>
  <c r="AW421" i="27"/>
  <c r="BH421" i="27"/>
  <c r="AD421" i="27" s="1"/>
  <c r="J413" i="27"/>
  <c r="AX413" i="27"/>
  <c r="BC413" i="27" s="1"/>
  <c r="BI413" i="27"/>
  <c r="AE413" i="27" s="1"/>
  <c r="I325" i="27"/>
  <c r="AW325" i="27"/>
  <c r="BH325" i="27"/>
  <c r="AD325" i="27" s="1"/>
  <c r="BC74" i="27"/>
  <c r="AV74" i="27"/>
  <c r="I68" i="27"/>
  <c r="AW68" i="27"/>
  <c r="BH68" i="27"/>
  <c r="AB68" i="27" s="1"/>
  <c r="AW621" i="27"/>
  <c r="AX620" i="27"/>
  <c r="AV618" i="27"/>
  <c r="AU614" i="27"/>
  <c r="I611" i="27"/>
  <c r="AW611" i="27"/>
  <c r="J602" i="27"/>
  <c r="AX602" i="27"/>
  <c r="BC600" i="27"/>
  <c r="AV600" i="27"/>
  <c r="I595" i="27"/>
  <c r="AW595" i="27"/>
  <c r="BC588" i="27"/>
  <c r="AV588" i="27"/>
  <c r="J578" i="27"/>
  <c r="AX578" i="27"/>
  <c r="BC578" i="27" s="1"/>
  <c r="BC576" i="27"/>
  <c r="AV576" i="27"/>
  <c r="I559" i="27"/>
  <c r="AW559" i="27"/>
  <c r="BC552" i="27"/>
  <c r="AV552" i="27"/>
  <c r="AV549" i="27"/>
  <c r="BC548" i="27"/>
  <c r="AV548" i="27"/>
  <c r="K541" i="27"/>
  <c r="G50" i="26" s="1"/>
  <c r="I50" i="26" s="1"/>
  <c r="AK543" i="27"/>
  <c r="AT541" i="27" s="1"/>
  <c r="J542" i="27"/>
  <c r="AX542" i="27"/>
  <c r="BC542" i="27" s="1"/>
  <c r="AS541" i="27"/>
  <c r="I537" i="27"/>
  <c r="AW537" i="27"/>
  <c r="J532" i="27"/>
  <c r="AX532" i="27"/>
  <c r="BC532" i="27" s="1"/>
  <c r="I525" i="27"/>
  <c r="AW525" i="27"/>
  <c r="BC522" i="27"/>
  <c r="AV522" i="27"/>
  <c r="I513" i="27"/>
  <c r="AW513" i="27"/>
  <c r="BC510" i="27"/>
  <c r="AV510" i="27"/>
  <c r="AS508" i="27"/>
  <c r="BC507" i="27"/>
  <c r="AV507" i="27"/>
  <c r="J505" i="27"/>
  <c r="AX505" i="27"/>
  <c r="AS494" i="27"/>
  <c r="I492" i="27"/>
  <c r="AW492" i="27"/>
  <c r="BC489" i="27"/>
  <c r="AV489" i="27"/>
  <c r="BC485" i="27"/>
  <c r="AV485" i="27"/>
  <c r="J483" i="27"/>
  <c r="AX483" i="27"/>
  <c r="I480" i="27"/>
  <c r="AW480" i="27"/>
  <c r="BC477" i="27"/>
  <c r="AV477" i="27"/>
  <c r="AT476" i="27"/>
  <c r="J451" i="27"/>
  <c r="AX451" i="27"/>
  <c r="BI451" i="27"/>
  <c r="AE451" i="27" s="1"/>
  <c r="BC449" i="27"/>
  <c r="AV449" i="27"/>
  <c r="I444" i="27"/>
  <c r="AW444" i="27"/>
  <c r="BH444" i="27"/>
  <c r="AD444" i="27" s="1"/>
  <c r="AS418" i="27"/>
  <c r="J405" i="27"/>
  <c r="AX405" i="27"/>
  <c r="BC405" i="27" s="1"/>
  <c r="BI405" i="27"/>
  <c r="AE405" i="27" s="1"/>
  <c r="BC403" i="27"/>
  <c r="AV403" i="27"/>
  <c r="AU379" i="27"/>
  <c r="J331" i="27"/>
  <c r="AX331" i="27"/>
  <c r="BI331" i="27"/>
  <c r="AE331" i="27" s="1"/>
  <c r="I305" i="27"/>
  <c r="AW305" i="27"/>
  <c r="BH305" i="27"/>
  <c r="AD305" i="27" s="1"/>
  <c r="BC266" i="27"/>
  <c r="AV266" i="27"/>
  <c r="BC263" i="27"/>
  <c r="AV263" i="27"/>
  <c r="BC608" i="27"/>
  <c r="AV608" i="27"/>
  <c r="BC592" i="27"/>
  <c r="AV592" i="27"/>
  <c r="J586" i="27"/>
  <c r="AX586" i="27"/>
  <c r="BC586" i="27" s="1"/>
  <c r="I579" i="27"/>
  <c r="AW579" i="27"/>
  <c r="BC564" i="27"/>
  <c r="AV564" i="27"/>
  <c r="J520" i="27"/>
  <c r="AX520" i="27"/>
  <c r="BC520" i="27" s="1"/>
  <c r="BC518" i="27"/>
  <c r="AV518" i="27"/>
  <c r="AU508" i="27"/>
  <c r="J502" i="27"/>
  <c r="F47" i="26" s="1"/>
  <c r="BC411" i="27"/>
  <c r="AV411" i="27"/>
  <c r="BC361" i="27"/>
  <c r="AV361" i="27"/>
  <c r="BC337" i="27"/>
  <c r="AV337" i="27"/>
  <c r="I67" i="27"/>
  <c r="AW67" i="27"/>
  <c r="BH67" i="27"/>
  <c r="AB67" i="27" s="1"/>
  <c r="C27" i="25"/>
  <c r="BC615" i="27"/>
  <c r="AV615" i="27"/>
  <c r="AT614" i="27"/>
  <c r="J610" i="27"/>
  <c r="AX610" i="27"/>
  <c r="BC610" i="27" s="1"/>
  <c r="I607" i="27"/>
  <c r="AW607" i="27"/>
  <c r="BC604" i="27"/>
  <c r="AV604" i="27"/>
  <c r="BI598" i="27"/>
  <c r="AC598" i="27" s="1"/>
  <c r="J594" i="27"/>
  <c r="AX594" i="27"/>
  <c r="BC594" i="27" s="1"/>
  <c r="I591" i="27"/>
  <c r="AW591" i="27"/>
  <c r="BI586" i="27"/>
  <c r="AC586" i="27" s="1"/>
  <c r="BC584" i="27"/>
  <c r="AV584" i="27"/>
  <c r="BC580" i="27"/>
  <c r="AV580" i="27"/>
  <c r="I571" i="27"/>
  <c r="AW571" i="27"/>
  <c r="I567" i="27"/>
  <c r="AW567" i="27"/>
  <c r="J566" i="27"/>
  <c r="AX566" i="27"/>
  <c r="I563" i="27"/>
  <c r="AW563" i="27"/>
  <c r="J558" i="27"/>
  <c r="AX558" i="27"/>
  <c r="BC558" i="27" s="1"/>
  <c r="I555" i="27"/>
  <c r="AW555" i="27"/>
  <c r="I540" i="27"/>
  <c r="I538" i="27" s="1"/>
  <c r="E49" i="26" s="1"/>
  <c r="AW540" i="27"/>
  <c r="J536" i="27"/>
  <c r="AX536" i="27"/>
  <c r="BC536" i="27" s="1"/>
  <c r="BC534" i="27"/>
  <c r="AV534" i="27"/>
  <c r="I529" i="27"/>
  <c r="AW529" i="27"/>
  <c r="J524" i="27"/>
  <c r="AX524" i="27"/>
  <c r="BC524" i="27" s="1"/>
  <c r="BI520" i="27"/>
  <c r="AC520" i="27" s="1"/>
  <c r="I517" i="27"/>
  <c r="AW517" i="27"/>
  <c r="J512" i="27"/>
  <c r="AX512" i="27"/>
  <c r="BC512" i="27" s="1"/>
  <c r="AU502" i="27"/>
  <c r="BC500" i="27"/>
  <c r="AV500" i="27"/>
  <c r="J498" i="27"/>
  <c r="J494" i="27" s="1"/>
  <c r="F46" i="26" s="1"/>
  <c r="AX498" i="27"/>
  <c r="I495" i="27"/>
  <c r="AW495" i="27"/>
  <c r="BC493" i="27"/>
  <c r="AV493" i="27"/>
  <c r="I488" i="27"/>
  <c r="AW488" i="27"/>
  <c r="I473" i="27"/>
  <c r="AW473" i="27"/>
  <c r="AU464" i="27"/>
  <c r="BC437" i="27"/>
  <c r="AV437" i="27"/>
  <c r="AT436" i="27"/>
  <c r="K436" i="27"/>
  <c r="G43" i="26" s="1"/>
  <c r="I43" i="26" s="1"/>
  <c r="J428" i="27"/>
  <c r="AX428" i="27"/>
  <c r="BI428" i="27"/>
  <c r="AE428" i="27" s="1"/>
  <c r="BC399" i="27"/>
  <c r="AV399" i="27"/>
  <c r="BC322" i="27"/>
  <c r="AV322" i="27"/>
  <c r="J617" i="27"/>
  <c r="J614" i="27" s="1"/>
  <c r="F51" i="26" s="1"/>
  <c r="AX617" i="27"/>
  <c r="I614" i="27"/>
  <c r="E51" i="26" s="1"/>
  <c r="I583" i="27"/>
  <c r="AW583" i="27"/>
  <c r="AV578" i="27"/>
  <c r="J574" i="27"/>
  <c r="AX574" i="27"/>
  <c r="BC574" i="27" s="1"/>
  <c r="BC572" i="27"/>
  <c r="AV572" i="27"/>
  <c r="BC568" i="27"/>
  <c r="AV568" i="27"/>
  <c r="BC556" i="27"/>
  <c r="AV556" i="27"/>
  <c r="J546" i="27"/>
  <c r="AX546" i="27"/>
  <c r="BC546" i="27" s="1"/>
  <c r="BC530" i="27"/>
  <c r="AV530" i="27"/>
  <c r="I499" i="27"/>
  <c r="AW499" i="27"/>
  <c r="AU476" i="27"/>
  <c r="J472" i="27"/>
  <c r="AX472" i="27"/>
  <c r="BC364" i="27"/>
  <c r="AV364" i="27"/>
  <c r="K614" i="27"/>
  <c r="G51" i="26" s="1"/>
  <c r="I51" i="26" s="1"/>
  <c r="BC612" i="27"/>
  <c r="AV612" i="27"/>
  <c r="J606" i="27"/>
  <c r="AX606" i="27"/>
  <c r="BC606" i="27" s="1"/>
  <c r="BH603" i="27"/>
  <c r="AB603" i="27" s="1"/>
  <c r="I599" i="27"/>
  <c r="AW599" i="27"/>
  <c r="AV598" i="27"/>
  <c r="BC596" i="27"/>
  <c r="AV596" i="27"/>
  <c r="J590" i="27"/>
  <c r="AX590" i="27"/>
  <c r="BC590" i="27" s="1"/>
  <c r="I587" i="27"/>
  <c r="AW587" i="27"/>
  <c r="AV586" i="27"/>
  <c r="BH583" i="27"/>
  <c r="AB583" i="27" s="1"/>
  <c r="BI582" i="27"/>
  <c r="AC582" i="27" s="1"/>
  <c r="BH579" i="27"/>
  <c r="AB579" i="27" s="1"/>
  <c r="I575" i="27"/>
  <c r="AW575" i="27"/>
  <c r="J570" i="27"/>
  <c r="AX570" i="27"/>
  <c r="BC570" i="27" s="1"/>
  <c r="J562" i="27"/>
  <c r="AX562" i="27"/>
  <c r="BC562" i="27" s="1"/>
  <c r="BC560" i="27"/>
  <c r="AV560" i="27"/>
  <c r="J554" i="27"/>
  <c r="AX554" i="27"/>
  <c r="BC554" i="27" s="1"/>
  <c r="I551" i="27"/>
  <c r="AW551" i="27"/>
  <c r="J550" i="27"/>
  <c r="AX550" i="27"/>
  <c r="I547" i="27"/>
  <c r="AW547" i="27"/>
  <c r="BC544" i="27"/>
  <c r="AV544" i="27"/>
  <c r="BH543" i="27"/>
  <c r="AB543" i="27" s="1"/>
  <c r="K538" i="27"/>
  <c r="G49" i="26" s="1"/>
  <c r="I49" i="26" s="1"/>
  <c r="AK540" i="27"/>
  <c r="AT538" i="27" s="1"/>
  <c r="J539" i="27"/>
  <c r="J538" i="27" s="1"/>
  <c r="F49" i="26" s="1"/>
  <c r="AX539" i="27"/>
  <c r="BC539" i="27" s="1"/>
  <c r="BH533" i="27"/>
  <c r="AB533" i="27" s="1"/>
  <c r="J528" i="27"/>
  <c r="AX528" i="27"/>
  <c r="BC526" i="27"/>
  <c r="AV526" i="27"/>
  <c r="I521" i="27"/>
  <c r="AW521" i="27"/>
  <c r="J516" i="27"/>
  <c r="AX516" i="27"/>
  <c r="BC516" i="27" s="1"/>
  <c r="BC514" i="27"/>
  <c r="AV514" i="27"/>
  <c r="I509" i="27"/>
  <c r="AW509" i="27"/>
  <c r="I506" i="27"/>
  <c r="I502" i="27" s="1"/>
  <c r="E47" i="26" s="1"/>
  <c r="AW506" i="27"/>
  <c r="BC503" i="27"/>
  <c r="AV503" i="27"/>
  <c r="AT502" i="27"/>
  <c r="BH499" i="27"/>
  <c r="AD499" i="27" s="1"/>
  <c r="AU494" i="27"/>
  <c r="J491" i="27"/>
  <c r="AX491" i="27"/>
  <c r="J487" i="27"/>
  <c r="J476" i="27" s="1"/>
  <c r="F45" i="26" s="1"/>
  <c r="AX487" i="27"/>
  <c r="I484" i="27"/>
  <c r="AW484" i="27"/>
  <c r="BC481" i="27"/>
  <c r="AV481" i="27"/>
  <c r="J479" i="27"/>
  <c r="AX479" i="27"/>
  <c r="I476" i="27"/>
  <c r="E45" i="26" s="1"/>
  <c r="BI472" i="27"/>
  <c r="AE472" i="27" s="1"/>
  <c r="BC461" i="27"/>
  <c r="AV461" i="27"/>
  <c r="J432" i="27"/>
  <c r="AX432" i="27"/>
  <c r="BC432" i="27" s="1"/>
  <c r="BI432" i="27"/>
  <c r="AE432" i="27" s="1"/>
  <c r="K379" i="27"/>
  <c r="G41" i="26" s="1"/>
  <c r="I41" i="26" s="1"/>
  <c r="I371" i="27"/>
  <c r="AW371" i="27"/>
  <c r="BH371" i="27"/>
  <c r="AD371" i="27" s="1"/>
  <c r="BC356" i="27"/>
  <c r="AV356" i="27"/>
  <c r="I351" i="27"/>
  <c r="AW351" i="27"/>
  <c r="BH351" i="27"/>
  <c r="AD351" i="27" s="1"/>
  <c r="I344" i="27"/>
  <c r="AW344" i="27"/>
  <c r="BH344" i="27"/>
  <c r="AD344" i="27" s="1"/>
  <c r="I328" i="27"/>
  <c r="AW328" i="27"/>
  <c r="BH328" i="27"/>
  <c r="AD328" i="27" s="1"/>
  <c r="J280" i="27"/>
  <c r="AX280" i="27"/>
  <c r="BI280" i="27"/>
  <c r="AE280" i="27" s="1"/>
  <c r="I253" i="27"/>
  <c r="AW253" i="27"/>
  <c r="BH253" i="27"/>
  <c r="AD253" i="27" s="1"/>
  <c r="K502" i="27"/>
  <c r="G47" i="26" s="1"/>
  <c r="I47" i="26" s="1"/>
  <c r="K476" i="27"/>
  <c r="G45" i="26" s="1"/>
  <c r="I45" i="26" s="1"/>
  <c r="J466" i="27"/>
  <c r="AX466" i="27"/>
  <c r="BC466" i="27" s="1"/>
  <c r="AT464" i="27"/>
  <c r="I460" i="27"/>
  <c r="AW460" i="27"/>
  <c r="J455" i="27"/>
  <c r="AX455" i="27"/>
  <c r="BC453" i="27"/>
  <c r="AV453" i="27"/>
  <c r="I448" i="27"/>
  <c r="AW448" i="27"/>
  <c r="J439" i="27"/>
  <c r="AX439" i="27"/>
  <c r="BC434" i="27"/>
  <c r="AV434" i="27"/>
  <c r="J424" i="27"/>
  <c r="AX424" i="27"/>
  <c r="BC424" i="27" s="1"/>
  <c r="J420" i="27"/>
  <c r="AX420" i="27"/>
  <c r="K418" i="27"/>
  <c r="G42" i="26" s="1"/>
  <c r="I42" i="26" s="1"/>
  <c r="J417" i="27"/>
  <c r="AX417" i="27"/>
  <c r="BC417" i="27" s="1"/>
  <c r="BC415" i="27"/>
  <c r="AV415" i="27"/>
  <c r="I410" i="27"/>
  <c r="AW410" i="27"/>
  <c r="BC407" i="27"/>
  <c r="AV407" i="27"/>
  <c r="I402" i="27"/>
  <c r="AW402" i="27"/>
  <c r="I398" i="27"/>
  <c r="AW398" i="27"/>
  <c r="BC395" i="27"/>
  <c r="AV395" i="27"/>
  <c r="BC391" i="27"/>
  <c r="AV391" i="27"/>
  <c r="J389" i="27"/>
  <c r="AX389" i="27"/>
  <c r="I386" i="27"/>
  <c r="AW386" i="27"/>
  <c r="BC383" i="27"/>
  <c r="AV383" i="27"/>
  <c r="J381" i="27"/>
  <c r="AX381" i="27"/>
  <c r="I375" i="27"/>
  <c r="AW375" i="27"/>
  <c r="J366" i="27"/>
  <c r="AX366" i="27"/>
  <c r="BC366" i="27" s="1"/>
  <c r="I363" i="27"/>
  <c r="AW363" i="27"/>
  <c r="J358" i="27"/>
  <c r="AX358" i="27"/>
  <c r="BC358" i="27" s="1"/>
  <c r="I355" i="27"/>
  <c r="AW355" i="27"/>
  <c r="AU350" i="27"/>
  <c r="J347" i="27"/>
  <c r="AX347" i="27"/>
  <c r="BC347" i="27" s="1"/>
  <c r="J339" i="27"/>
  <c r="AX339" i="27"/>
  <c r="BC339" i="27" s="1"/>
  <c r="I336" i="27"/>
  <c r="AW336" i="27"/>
  <c r="AU327" i="27"/>
  <c r="J324" i="27"/>
  <c r="AX324" i="27"/>
  <c r="I321" i="27"/>
  <c r="AW321" i="27"/>
  <c r="I317" i="27"/>
  <c r="AW317" i="27"/>
  <c r="BC314" i="27"/>
  <c r="AV314" i="27"/>
  <c r="J312" i="27"/>
  <c r="AX312" i="27"/>
  <c r="J256" i="27"/>
  <c r="AX256" i="27"/>
  <c r="BI256" i="27"/>
  <c r="AE256" i="27" s="1"/>
  <c r="I249" i="27"/>
  <c r="AW249" i="27"/>
  <c r="BH249" i="27"/>
  <c r="AD249" i="27" s="1"/>
  <c r="AS231" i="27"/>
  <c r="I173" i="27"/>
  <c r="AW173" i="27"/>
  <c r="BH173" i="27"/>
  <c r="AB173" i="27" s="1"/>
  <c r="BC155" i="27"/>
  <c r="AV155" i="27"/>
  <c r="AX616" i="27"/>
  <c r="AX613" i="27"/>
  <c r="AV613" i="27" s="1"/>
  <c r="AX593" i="27"/>
  <c r="AV593" i="27" s="1"/>
  <c r="AX589" i="27"/>
  <c r="AV589" i="27" s="1"/>
  <c r="AX585" i="27"/>
  <c r="AW582" i="27"/>
  <c r="AX581" i="27"/>
  <c r="AX569" i="27"/>
  <c r="AV569" i="27" s="1"/>
  <c r="AW566" i="27"/>
  <c r="AX565" i="27"/>
  <c r="AX557" i="27"/>
  <c r="AV557" i="27" s="1"/>
  <c r="AX553" i="27"/>
  <c r="AW550" i="27"/>
  <c r="AX511" i="27"/>
  <c r="AW505" i="27"/>
  <c r="AX504" i="27"/>
  <c r="AX501" i="27"/>
  <c r="AW498" i="27"/>
  <c r="AX497" i="27"/>
  <c r="AW491" i="27"/>
  <c r="AX490" i="27"/>
  <c r="AW487" i="27"/>
  <c r="AX486" i="27"/>
  <c r="AW483" i="27"/>
  <c r="AX482" i="27"/>
  <c r="AW479" i="27"/>
  <c r="AX478" i="27"/>
  <c r="AX475" i="27"/>
  <c r="AW472" i="27"/>
  <c r="AX471" i="27"/>
  <c r="J470" i="27"/>
  <c r="AX470" i="27"/>
  <c r="BC470" i="27" s="1"/>
  <c r="BC468" i="27"/>
  <c r="AV468" i="27"/>
  <c r="AS464" i="27"/>
  <c r="I452" i="27"/>
  <c r="AW452" i="27"/>
  <c r="J443" i="27"/>
  <c r="AX443" i="27"/>
  <c r="BC441" i="27"/>
  <c r="AV441" i="27"/>
  <c r="I433" i="27"/>
  <c r="AW433" i="27"/>
  <c r="BC430" i="27"/>
  <c r="AV430" i="27"/>
  <c r="BC426" i="27"/>
  <c r="AV426" i="27"/>
  <c r="AU418" i="27"/>
  <c r="I414" i="27"/>
  <c r="AW414" i="27"/>
  <c r="I406" i="27"/>
  <c r="AW406" i="27"/>
  <c r="I394" i="27"/>
  <c r="AW394" i="27"/>
  <c r="AT379" i="27"/>
  <c r="J370" i="27"/>
  <c r="AX370" i="27"/>
  <c r="BC370" i="27" s="1"/>
  <c r="BC368" i="27"/>
  <c r="AV368" i="27"/>
  <c r="BC360" i="27"/>
  <c r="AV360" i="27"/>
  <c r="AS350" i="27"/>
  <c r="K350" i="27"/>
  <c r="G40" i="26" s="1"/>
  <c r="I40" i="26" s="1"/>
  <c r="AK351" i="27"/>
  <c r="AT350" i="27" s="1"/>
  <c r="BC349" i="27"/>
  <c r="AV349" i="27"/>
  <c r="J343" i="27"/>
  <c r="AX343" i="27"/>
  <c r="BC343" i="27" s="1"/>
  <c r="BC341" i="27"/>
  <c r="AV341" i="27"/>
  <c r="AS327" i="27"/>
  <c r="K327" i="27"/>
  <c r="G39" i="26" s="1"/>
  <c r="I39" i="26" s="1"/>
  <c r="AK328" i="27"/>
  <c r="AT327" i="27" s="1"/>
  <c r="J320" i="27"/>
  <c r="AX320" i="27"/>
  <c r="AU309" i="27"/>
  <c r="J308" i="27"/>
  <c r="AX308" i="27"/>
  <c r="BI308" i="27"/>
  <c r="AE308" i="27" s="1"/>
  <c r="BC302" i="27"/>
  <c r="AV302" i="27"/>
  <c r="BC298" i="27"/>
  <c r="AV298" i="27"/>
  <c r="BC294" i="27"/>
  <c r="AV294" i="27"/>
  <c r="I269" i="27"/>
  <c r="AW269" i="27"/>
  <c r="BH269" i="27"/>
  <c r="AD269" i="27" s="1"/>
  <c r="J260" i="27"/>
  <c r="AX260" i="27"/>
  <c r="BC260" i="27" s="1"/>
  <c r="BI260" i="27"/>
  <c r="AE260" i="27" s="1"/>
  <c r="BC250" i="27"/>
  <c r="AV250" i="27"/>
  <c r="J208" i="27"/>
  <c r="AX208" i="27"/>
  <c r="BC208" i="27" s="1"/>
  <c r="BI208" i="27"/>
  <c r="AE208" i="27" s="1"/>
  <c r="I192" i="27"/>
  <c r="AW192" i="27"/>
  <c r="BH192" i="27"/>
  <c r="BC189" i="27"/>
  <c r="AV189" i="27"/>
  <c r="I467" i="27"/>
  <c r="AW467" i="27"/>
  <c r="BI466" i="27"/>
  <c r="AE466" i="27" s="1"/>
  <c r="K464" i="27"/>
  <c r="G44" i="26" s="1"/>
  <c r="I44" i="26" s="1"/>
  <c r="J463" i="27"/>
  <c r="AX463" i="27"/>
  <c r="BC463" i="27" s="1"/>
  <c r="J459" i="27"/>
  <c r="AX459" i="27"/>
  <c r="BC457" i="27"/>
  <c r="AV457" i="27"/>
  <c r="I456" i="27"/>
  <c r="AW456" i="27"/>
  <c r="BI455" i="27"/>
  <c r="AE455" i="27" s="1"/>
  <c r="J447" i="27"/>
  <c r="AX447" i="27"/>
  <c r="BC447" i="27" s="1"/>
  <c r="BC445" i="27"/>
  <c r="AV445" i="27"/>
  <c r="I440" i="27"/>
  <c r="AW440" i="27"/>
  <c r="BI439" i="27"/>
  <c r="AE439" i="27" s="1"/>
  <c r="AU436" i="27"/>
  <c r="AV432" i="27"/>
  <c r="AV431" i="27"/>
  <c r="I429" i="27"/>
  <c r="AW429" i="27"/>
  <c r="I425" i="27"/>
  <c r="AW425" i="27"/>
  <c r="BC422" i="27"/>
  <c r="AV422" i="27"/>
  <c r="AT418" i="27"/>
  <c r="AV413" i="27"/>
  <c r="J409" i="27"/>
  <c r="AX409" i="27"/>
  <c r="AV405" i="27"/>
  <c r="J401" i="27"/>
  <c r="AX401" i="27"/>
  <c r="BC401" i="27" s="1"/>
  <c r="J397" i="27"/>
  <c r="AX397" i="27"/>
  <c r="BC397" i="27" s="1"/>
  <c r="J393" i="27"/>
  <c r="AX393" i="27"/>
  <c r="I390" i="27"/>
  <c r="AW390" i="27"/>
  <c r="BC387" i="27"/>
  <c r="AV387" i="27"/>
  <c r="J385" i="27"/>
  <c r="AX385" i="27"/>
  <c r="I382" i="27"/>
  <c r="AW382" i="27"/>
  <c r="AS379" i="27"/>
  <c r="J378" i="27"/>
  <c r="AX378" i="27"/>
  <c r="BC376" i="27"/>
  <c r="AV376" i="27"/>
  <c r="J374" i="27"/>
  <c r="AX374" i="27"/>
  <c r="BC372" i="27"/>
  <c r="AV372" i="27"/>
  <c r="I367" i="27"/>
  <c r="AW367" i="27"/>
  <c r="BI366" i="27"/>
  <c r="AE366" i="27" s="1"/>
  <c r="J362" i="27"/>
  <c r="AX362" i="27"/>
  <c r="BC362" i="27" s="1"/>
  <c r="I359" i="27"/>
  <c r="AW359" i="27"/>
  <c r="BI358" i="27"/>
  <c r="AE358" i="27" s="1"/>
  <c r="J354" i="27"/>
  <c r="AX354" i="27"/>
  <c r="BC354" i="27" s="1"/>
  <c r="BC352" i="27"/>
  <c r="AV352" i="27"/>
  <c r="I348" i="27"/>
  <c r="AW348" i="27"/>
  <c r="BI347" i="27"/>
  <c r="AE347" i="27" s="1"/>
  <c r="BC345" i="27"/>
  <c r="AV345" i="27"/>
  <c r="I340" i="27"/>
  <c r="AW340" i="27"/>
  <c r="BI339" i="27"/>
  <c r="AE339" i="27" s="1"/>
  <c r="J335" i="27"/>
  <c r="AX335" i="27"/>
  <c r="BC335" i="27" s="1"/>
  <c r="BC333" i="27"/>
  <c r="AV333" i="27"/>
  <c r="I332" i="27"/>
  <c r="AW332" i="27"/>
  <c r="BC329" i="27"/>
  <c r="AV329" i="27"/>
  <c r="BC326" i="27"/>
  <c r="AV326" i="27"/>
  <c r="BC318" i="27"/>
  <c r="AV318" i="27"/>
  <c r="J316" i="27"/>
  <c r="AX316" i="27"/>
  <c r="I313" i="27"/>
  <c r="I309" i="27" s="1"/>
  <c r="E38" i="26" s="1"/>
  <c r="AW313" i="27"/>
  <c r="BC310" i="27"/>
  <c r="AV310" i="27"/>
  <c r="AT309" i="27"/>
  <c r="BC290" i="27"/>
  <c r="AV290" i="27"/>
  <c r="J272" i="27"/>
  <c r="AX272" i="27"/>
  <c r="BC272" i="27" s="1"/>
  <c r="BI272" i="27"/>
  <c r="AE272" i="27" s="1"/>
  <c r="K309" i="27"/>
  <c r="G38" i="26" s="1"/>
  <c r="I38" i="26" s="1"/>
  <c r="J304" i="27"/>
  <c r="AX304" i="27"/>
  <c r="I301" i="27"/>
  <c r="AW301" i="27"/>
  <c r="I297" i="27"/>
  <c r="AW297" i="27"/>
  <c r="I293" i="27"/>
  <c r="AW293" i="27"/>
  <c r="I289" i="27"/>
  <c r="AW289" i="27"/>
  <c r="BC286" i="27"/>
  <c r="AV286" i="27"/>
  <c r="J276" i="27"/>
  <c r="AX276" i="27"/>
  <c r="BC276" i="27" s="1"/>
  <c r="BC274" i="27"/>
  <c r="AV274" i="27"/>
  <c r="J268" i="27"/>
  <c r="AX268" i="27"/>
  <c r="I265" i="27"/>
  <c r="AW265" i="27"/>
  <c r="BC262" i="27"/>
  <c r="AV262" i="27"/>
  <c r="J252" i="27"/>
  <c r="AX252" i="27"/>
  <c r="J248" i="27"/>
  <c r="AX248" i="27"/>
  <c r="BC248" i="27" s="1"/>
  <c r="J244" i="27"/>
  <c r="AX244" i="27"/>
  <c r="I198" i="27"/>
  <c r="AW198" i="27"/>
  <c r="BH198" i="27"/>
  <c r="AD198" i="27" s="1"/>
  <c r="J179" i="27"/>
  <c r="AX179" i="27"/>
  <c r="BI179" i="27"/>
  <c r="AT177" i="27"/>
  <c r="AW428" i="27"/>
  <c r="AX427" i="27"/>
  <c r="AW420" i="27"/>
  <c r="AX419" i="27"/>
  <c r="AV419" i="27" s="1"/>
  <c r="AX408" i="27"/>
  <c r="AV408" i="27" s="1"/>
  <c r="AX396" i="27"/>
  <c r="AW393" i="27"/>
  <c r="AX392" i="27"/>
  <c r="AV392" i="27" s="1"/>
  <c r="AW389" i="27"/>
  <c r="AX388" i="27"/>
  <c r="AW385" i="27"/>
  <c r="AX384" i="27"/>
  <c r="AW381" i="27"/>
  <c r="AX380" i="27"/>
  <c r="BC380" i="27" s="1"/>
  <c r="AW378" i="27"/>
  <c r="AX377" i="27"/>
  <c r="AV377" i="27" s="1"/>
  <c r="AW374" i="27"/>
  <c r="AX373" i="27"/>
  <c r="AV373" i="27" s="1"/>
  <c r="AW331" i="27"/>
  <c r="AX330" i="27"/>
  <c r="AW324" i="27"/>
  <c r="AX323" i="27"/>
  <c r="AW320" i="27"/>
  <c r="AX319" i="27"/>
  <c r="AW316" i="27"/>
  <c r="AX315" i="27"/>
  <c r="AW312" i="27"/>
  <c r="AX311" i="27"/>
  <c r="BH308" i="27"/>
  <c r="AD308" i="27" s="1"/>
  <c r="J300" i="27"/>
  <c r="AX300" i="27"/>
  <c r="J296" i="27"/>
  <c r="AX296" i="27"/>
  <c r="J292" i="27"/>
  <c r="AX292" i="27"/>
  <c r="J288" i="27"/>
  <c r="AX288" i="27"/>
  <c r="I285" i="27"/>
  <c r="AW285" i="27"/>
  <c r="BC282" i="27"/>
  <c r="AV282" i="27"/>
  <c r="BC278" i="27"/>
  <c r="AV278" i="27"/>
  <c r="I273" i="27"/>
  <c r="AW273" i="27"/>
  <c r="I261" i="27"/>
  <c r="AW261" i="27"/>
  <c r="BC258" i="27"/>
  <c r="AV258" i="27"/>
  <c r="AV248" i="27"/>
  <c r="BC242" i="27"/>
  <c r="AV242" i="27"/>
  <c r="I241" i="27"/>
  <c r="AW241" i="27"/>
  <c r="I239" i="27"/>
  <c r="AW239" i="27"/>
  <c r="BH239" i="27"/>
  <c r="AD239" i="27" s="1"/>
  <c r="I195" i="27"/>
  <c r="I194" i="27" s="1"/>
  <c r="E33" i="26" s="1"/>
  <c r="AW195" i="27"/>
  <c r="BH195" i="27"/>
  <c r="J187" i="27"/>
  <c r="AX187" i="27"/>
  <c r="BC187" i="27" s="1"/>
  <c r="BI187" i="27"/>
  <c r="BC185" i="27"/>
  <c r="AV185" i="27"/>
  <c r="AW308" i="27"/>
  <c r="BC306" i="27"/>
  <c r="AV306" i="27"/>
  <c r="J284" i="27"/>
  <c r="AX284" i="27"/>
  <c r="I281" i="27"/>
  <c r="AW281" i="27"/>
  <c r="I277" i="27"/>
  <c r="AW277" i="27"/>
  <c r="BI276" i="27"/>
  <c r="AE276" i="27" s="1"/>
  <c r="BC270" i="27"/>
  <c r="AV270" i="27"/>
  <c r="J264" i="27"/>
  <c r="AX264" i="27"/>
  <c r="BC264" i="27" s="1"/>
  <c r="AV260" i="27"/>
  <c r="I257" i="27"/>
  <c r="AW257" i="27"/>
  <c r="BC254" i="27"/>
  <c r="AV254" i="27"/>
  <c r="BC246" i="27"/>
  <c r="AV246" i="27"/>
  <c r="I245" i="27"/>
  <c r="AW245" i="27"/>
  <c r="J223" i="27"/>
  <c r="AX223" i="27"/>
  <c r="BI223" i="27"/>
  <c r="AE223" i="27" s="1"/>
  <c r="I216" i="27"/>
  <c r="AW216" i="27"/>
  <c r="BH216" i="27"/>
  <c r="AD216" i="27" s="1"/>
  <c r="I213" i="27"/>
  <c r="AW213" i="27"/>
  <c r="BH213" i="27"/>
  <c r="I205" i="27"/>
  <c r="AW205" i="27"/>
  <c r="BH205" i="27"/>
  <c r="AD205" i="27" s="1"/>
  <c r="I202" i="27"/>
  <c r="AW202" i="27"/>
  <c r="BH202" i="27"/>
  <c r="BC170" i="27"/>
  <c r="AV170" i="27"/>
  <c r="AV237" i="27"/>
  <c r="BC236" i="27"/>
  <c r="AV236" i="27"/>
  <c r="AU231" i="27"/>
  <c r="J227" i="27"/>
  <c r="AX227" i="27"/>
  <c r="BC227" i="27" s="1"/>
  <c r="BC221" i="27"/>
  <c r="AV221" i="27"/>
  <c r="AT214" i="27"/>
  <c r="J212" i="27"/>
  <c r="AX212" i="27"/>
  <c r="BC210" i="27"/>
  <c r="AV210" i="27"/>
  <c r="AT203" i="27"/>
  <c r="AT196" i="27"/>
  <c r="I184" i="27"/>
  <c r="AW184" i="27"/>
  <c r="BC181" i="27"/>
  <c r="AV181" i="27"/>
  <c r="AS177" i="27"/>
  <c r="J172" i="27"/>
  <c r="AX172" i="27"/>
  <c r="AX162" i="27"/>
  <c r="BI162" i="27"/>
  <c r="AC162" i="27" s="1"/>
  <c r="I158" i="27"/>
  <c r="AW158" i="27"/>
  <c r="BH158" i="27"/>
  <c r="AB158" i="27" s="1"/>
  <c r="BC139" i="27"/>
  <c r="AV139" i="27"/>
  <c r="J131" i="27"/>
  <c r="AX131" i="27"/>
  <c r="BC131" i="27" s="1"/>
  <c r="BI131" i="27"/>
  <c r="AC131" i="27" s="1"/>
  <c r="I104" i="27"/>
  <c r="E26" i="26" s="1"/>
  <c r="AX307" i="27"/>
  <c r="AW304" i="27"/>
  <c r="AX303" i="27"/>
  <c r="AW300" i="27"/>
  <c r="AX299" i="27"/>
  <c r="AW296" i="27"/>
  <c r="AX295" i="27"/>
  <c r="AW292" i="27"/>
  <c r="AW288" i="27"/>
  <c r="AW284" i="27"/>
  <c r="AX283" i="27"/>
  <c r="AW280" i="27"/>
  <c r="AX279" i="27"/>
  <c r="AW268" i="27"/>
  <c r="AX259" i="27"/>
  <c r="AW256" i="27"/>
  <c r="AW252" i="27"/>
  <c r="AX251" i="27"/>
  <c r="AV251" i="27" s="1"/>
  <c r="J238" i="27"/>
  <c r="AX238" i="27"/>
  <c r="BC238" i="27" s="1"/>
  <c r="I235" i="27"/>
  <c r="AW235" i="27"/>
  <c r="BC232" i="27"/>
  <c r="AV232" i="27"/>
  <c r="AT231" i="27"/>
  <c r="K231" i="27"/>
  <c r="G37" i="26" s="1"/>
  <c r="I37" i="26" s="1"/>
  <c r="BC229" i="27"/>
  <c r="AV229" i="27"/>
  <c r="BC225" i="27"/>
  <c r="AV225" i="27"/>
  <c r="I220" i="27"/>
  <c r="AW220" i="27"/>
  <c r="J215" i="27"/>
  <c r="AX215" i="27"/>
  <c r="BC215" i="27" s="1"/>
  <c r="AS214" i="27"/>
  <c r="K214" i="27"/>
  <c r="G36" i="26" s="1"/>
  <c r="I36" i="26" s="1"/>
  <c r="I209" i="27"/>
  <c r="AW209" i="27"/>
  <c r="J204" i="27"/>
  <c r="AX204" i="27"/>
  <c r="BC204" i="27" s="1"/>
  <c r="AS203" i="27"/>
  <c r="K203" i="27"/>
  <c r="G35" i="26" s="1"/>
  <c r="I35" i="26" s="1"/>
  <c r="J201" i="27"/>
  <c r="AX201" i="27"/>
  <c r="BC201" i="27" s="1"/>
  <c r="J197" i="27"/>
  <c r="AX197" i="27"/>
  <c r="BC197" i="27" s="1"/>
  <c r="AS196" i="27"/>
  <c r="K196" i="27"/>
  <c r="G34" i="26" s="1"/>
  <c r="I34" i="26" s="1"/>
  <c r="K194" i="27"/>
  <c r="G33" i="26" s="1"/>
  <c r="I33" i="26" s="1"/>
  <c r="AK195" i="27"/>
  <c r="AT194" i="27" s="1"/>
  <c r="BC193" i="27"/>
  <c r="AV193" i="27"/>
  <c r="J191" i="27"/>
  <c r="AX191" i="27"/>
  <c r="BC191" i="27" s="1"/>
  <c r="I188" i="27"/>
  <c r="AW188" i="27"/>
  <c r="BC174" i="27"/>
  <c r="AV174" i="27"/>
  <c r="I169" i="27"/>
  <c r="AW169" i="27"/>
  <c r="J168" i="27"/>
  <c r="AX168" i="27"/>
  <c r="AV166" i="27"/>
  <c r="BC166" i="27"/>
  <c r="AX164" i="27"/>
  <c r="J164" i="27"/>
  <c r="BI164" i="27"/>
  <c r="AC164" i="27" s="1"/>
  <c r="I159" i="27"/>
  <c r="AW159" i="27"/>
  <c r="BH159" i="27"/>
  <c r="AB159" i="27" s="1"/>
  <c r="AW143" i="27"/>
  <c r="BH143" i="27"/>
  <c r="AB143" i="27" s="1"/>
  <c r="I143" i="27"/>
  <c r="AU118" i="27"/>
  <c r="BC240" i="27"/>
  <c r="AV240" i="27"/>
  <c r="J234" i="27"/>
  <c r="AX234" i="27"/>
  <c r="I228" i="27"/>
  <c r="AW228" i="27"/>
  <c r="I224" i="27"/>
  <c r="AW224" i="27"/>
  <c r="J219" i="27"/>
  <c r="AX219" i="27"/>
  <c r="BC217" i="27"/>
  <c r="AV217" i="27"/>
  <c r="AV208" i="27"/>
  <c r="BC206" i="27"/>
  <c r="AV206" i="27"/>
  <c r="I203" i="27"/>
  <c r="E35" i="26" s="1"/>
  <c r="BC199" i="27"/>
  <c r="AV199" i="27"/>
  <c r="AV187" i="27"/>
  <c r="J183" i="27"/>
  <c r="AX183" i="27"/>
  <c r="BC183" i="27" s="1"/>
  <c r="I180" i="27"/>
  <c r="I177" i="27" s="1"/>
  <c r="E32" i="26" s="1"/>
  <c r="AW180" i="27"/>
  <c r="AU177" i="27"/>
  <c r="K177" i="27"/>
  <c r="G32" i="26" s="1"/>
  <c r="I32" i="26" s="1"/>
  <c r="J176" i="27"/>
  <c r="AX176" i="27"/>
  <c r="BC165" i="27"/>
  <c r="AV165" i="27"/>
  <c r="K148" i="27"/>
  <c r="G31" i="26" s="1"/>
  <c r="I31" i="26" s="1"/>
  <c r="J147" i="27"/>
  <c r="AX147" i="27"/>
  <c r="BC147" i="27" s="1"/>
  <c r="BI147" i="27"/>
  <c r="AC147" i="27" s="1"/>
  <c r="BC146" i="27"/>
  <c r="AV146" i="27"/>
  <c r="BC126" i="27"/>
  <c r="AV126" i="27"/>
  <c r="J166" i="27"/>
  <c r="J157" i="27"/>
  <c r="AX157" i="27"/>
  <c r="I154" i="27"/>
  <c r="AW154" i="27"/>
  <c r="J153" i="27"/>
  <c r="AX153" i="27"/>
  <c r="BC153" i="27" s="1"/>
  <c r="J128" i="27"/>
  <c r="AX128" i="27"/>
  <c r="BC128" i="27" s="1"/>
  <c r="BI128" i="27"/>
  <c r="AC128" i="27" s="1"/>
  <c r="BC127" i="27"/>
  <c r="AV127" i="27"/>
  <c r="AV121" i="27"/>
  <c r="BC121" i="27"/>
  <c r="AX119" i="27"/>
  <c r="J119" i="27"/>
  <c r="BI119" i="27"/>
  <c r="AC119" i="27" s="1"/>
  <c r="AS118" i="27"/>
  <c r="I96" i="27"/>
  <c r="AW96" i="27"/>
  <c r="BH96" i="27"/>
  <c r="AB96" i="27" s="1"/>
  <c r="I83" i="27"/>
  <c r="AW83" i="27"/>
  <c r="BH83" i="27"/>
  <c r="AB83" i="27" s="1"/>
  <c r="BC81" i="27"/>
  <c r="AV81" i="27"/>
  <c r="AW234" i="27"/>
  <c r="AX233" i="27"/>
  <c r="AW223" i="27"/>
  <c r="AW219" i="27"/>
  <c r="AW212" i="27"/>
  <c r="AX186" i="27"/>
  <c r="AW179" i="27"/>
  <c r="AX175" i="27"/>
  <c r="AW168" i="27"/>
  <c r="AX167" i="27"/>
  <c r="BI166" i="27"/>
  <c r="AC166" i="27" s="1"/>
  <c r="BH163" i="27"/>
  <c r="AB163" i="27" s="1"/>
  <c r="AW163" i="27"/>
  <c r="BH162" i="27"/>
  <c r="AB162" i="27" s="1"/>
  <c r="BI161" i="27"/>
  <c r="AC161" i="27" s="1"/>
  <c r="I161" i="27"/>
  <c r="AV151" i="27"/>
  <c r="BC151" i="27"/>
  <c r="AX149" i="27"/>
  <c r="J149" i="27"/>
  <c r="BI149" i="27"/>
  <c r="AC149" i="27" s="1"/>
  <c r="AS148" i="27"/>
  <c r="AX136" i="27"/>
  <c r="BI136" i="27"/>
  <c r="AC136" i="27" s="1"/>
  <c r="I132" i="27"/>
  <c r="AW132" i="27"/>
  <c r="BH132" i="27"/>
  <c r="AB132" i="27" s="1"/>
  <c r="AT130" i="27"/>
  <c r="AV128" i="27"/>
  <c r="AW124" i="27"/>
  <c r="BH124" i="27"/>
  <c r="AB124" i="27" s="1"/>
  <c r="BC120" i="27"/>
  <c r="AV120" i="27"/>
  <c r="BC115" i="27"/>
  <c r="AV115" i="27"/>
  <c r="AT107" i="27"/>
  <c r="I95" i="27"/>
  <c r="AW95" i="27"/>
  <c r="BH95" i="27"/>
  <c r="AB95" i="27" s="1"/>
  <c r="J56" i="27"/>
  <c r="AX56" i="27"/>
  <c r="BI56" i="27"/>
  <c r="AC56" i="27" s="1"/>
  <c r="I165" i="27"/>
  <c r="AW162" i="27"/>
  <c r="AX161" i="27"/>
  <c r="BC152" i="27"/>
  <c r="BC145" i="27"/>
  <c r="AV145" i="27"/>
  <c r="AV140" i="27"/>
  <c r="BC140" i="27"/>
  <c r="AX138" i="27"/>
  <c r="J138" i="27"/>
  <c r="BI138" i="27"/>
  <c r="AC138" i="27" s="1"/>
  <c r="I133" i="27"/>
  <c r="AW133" i="27"/>
  <c r="BH133" i="27"/>
  <c r="AB133" i="27" s="1"/>
  <c r="AU130" i="27"/>
  <c r="AS130" i="27"/>
  <c r="K130" i="27"/>
  <c r="G30" i="26" s="1"/>
  <c r="I30" i="26" s="1"/>
  <c r="I129" i="27"/>
  <c r="AW129" i="27"/>
  <c r="BH129" i="27"/>
  <c r="AB129" i="27" s="1"/>
  <c r="K118" i="27"/>
  <c r="G29" i="26" s="1"/>
  <c r="I29" i="26" s="1"/>
  <c r="J117" i="27"/>
  <c r="AX117" i="27"/>
  <c r="BC117" i="27" s="1"/>
  <c r="BI117" i="27"/>
  <c r="AC117" i="27" s="1"/>
  <c r="BC116" i="27"/>
  <c r="AV116" i="27"/>
  <c r="AW113" i="27"/>
  <c r="BH113" i="27"/>
  <c r="AB113" i="27" s="1"/>
  <c r="BC72" i="27"/>
  <c r="AV72" i="27"/>
  <c r="BC65" i="27"/>
  <c r="AV65" i="27"/>
  <c r="J60" i="27"/>
  <c r="BI60" i="27"/>
  <c r="AC60" i="27" s="1"/>
  <c r="AX60" i="27"/>
  <c r="J151" i="27"/>
  <c r="I147" i="27"/>
  <c r="AW144" i="27"/>
  <c r="AX143" i="27"/>
  <c r="J140" i="27"/>
  <c r="I131" i="27"/>
  <c r="I128" i="27"/>
  <c r="AW125" i="27"/>
  <c r="AX124" i="27"/>
  <c r="J121" i="27"/>
  <c r="I117" i="27"/>
  <c r="I110" i="27" s="1"/>
  <c r="E28" i="26" s="1"/>
  <c r="AV114" i="27"/>
  <c r="BC92" i="27"/>
  <c r="AV92" i="27"/>
  <c r="J90" i="27"/>
  <c r="AX90" i="27"/>
  <c r="BC86" i="27"/>
  <c r="AV86" i="27"/>
  <c r="J84" i="27"/>
  <c r="AX84" i="27"/>
  <c r="J76" i="27"/>
  <c r="AX76" i="27"/>
  <c r="BI76" i="27"/>
  <c r="AC76" i="27" s="1"/>
  <c r="J70" i="27"/>
  <c r="AX70" i="27"/>
  <c r="BC61" i="27"/>
  <c r="AV61" i="27"/>
  <c r="I57" i="27"/>
  <c r="AW57" i="27"/>
  <c r="BH57" i="27"/>
  <c r="AB57" i="27" s="1"/>
  <c r="I56" i="27"/>
  <c r="AW56" i="27"/>
  <c r="BH56" i="27"/>
  <c r="AB56" i="27" s="1"/>
  <c r="BC47" i="27"/>
  <c r="AV47" i="27"/>
  <c r="I43" i="27"/>
  <c r="AW43" i="27"/>
  <c r="BH43" i="27"/>
  <c r="AB43" i="27" s="1"/>
  <c r="AK28" i="27"/>
  <c r="K26" i="27"/>
  <c r="G14" i="26" s="1"/>
  <c r="I14" i="26" s="1"/>
  <c r="AW157" i="27"/>
  <c r="AX156" i="27"/>
  <c r="AV156" i="27" s="1"/>
  <c r="BH147" i="27"/>
  <c r="AB147" i="27" s="1"/>
  <c r="BI142" i="27"/>
  <c r="AC142" i="27" s="1"/>
  <c r="BI140" i="27"/>
  <c r="AC140" i="27" s="1"/>
  <c r="BH137" i="27"/>
  <c r="AB137" i="27" s="1"/>
  <c r="AW137" i="27"/>
  <c r="BH136" i="27"/>
  <c r="AB136" i="27" s="1"/>
  <c r="BI135" i="27"/>
  <c r="AC135" i="27" s="1"/>
  <c r="I135" i="27"/>
  <c r="BH131" i="27"/>
  <c r="AB131" i="27" s="1"/>
  <c r="BH128" i="27"/>
  <c r="AB128" i="27" s="1"/>
  <c r="BI123" i="27"/>
  <c r="AC123" i="27" s="1"/>
  <c r="BI121" i="27"/>
  <c r="AC121" i="27" s="1"/>
  <c r="BH117" i="27"/>
  <c r="AB117" i="27" s="1"/>
  <c r="AK113" i="27"/>
  <c r="AT110" i="27" s="1"/>
  <c r="BI112" i="27"/>
  <c r="AC112" i="27" s="1"/>
  <c r="BI109" i="27"/>
  <c r="AC109" i="27" s="1"/>
  <c r="BI106" i="27"/>
  <c r="AC106" i="27" s="1"/>
  <c r="BI103" i="27"/>
  <c r="AC103" i="27" s="1"/>
  <c r="AU101" i="27"/>
  <c r="J98" i="27"/>
  <c r="AX98" i="27"/>
  <c r="AX95" i="27"/>
  <c r="J94" i="27"/>
  <c r="AX94" i="27"/>
  <c r="AV93" i="27"/>
  <c r="BI90" i="27"/>
  <c r="AC90" i="27" s="1"/>
  <c r="AV88" i="27"/>
  <c r="BI84" i="27"/>
  <c r="AC84" i="27" s="1"/>
  <c r="AU63" i="27"/>
  <c r="AV62" i="27"/>
  <c r="J59" i="27"/>
  <c r="AX59" i="27"/>
  <c r="AV48" i="27"/>
  <c r="I32" i="27"/>
  <c r="AW32" i="27"/>
  <c r="BH32" i="27"/>
  <c r="AB32" i="27" s="1"/>
  <c r="I31" i="27"/>
  <c r="AW31" i="27"/>
  <c r="BH31" i="27"/>
  <c r="AB31" i="27" s="1"/>
  <c r="J25" i="27"/>
  <c r="BI25" i="27"/>
  <c r="AC25" i="27" s="1"/>
  <c r="AK15" i="27"/>
  <c r="K12" i="27"/>
  <c r="I150" i="27"/>
  <c r="I148" i="27" s="1"/>
  <c r="E31" i="26" s="1"/>
  <c r="AT148" i="27"/>
  <c r="J142" i="27"/>
  <c r="I139" i="27"/>
  <c r="AW136" i="27"/>
  <c r="AX135" i="27"/>
  <c r="J123" i="27"/>
  <c r="I120" i="27"/>
  <c r="I118" i="27" s="1"/>
  <c r="E29" i="26" s="1"/>
  <c r="AT118" i="27"/>
  <c r="BC114" i="27"/>
  <c r="J112" i="27"/>
  <c r="J110" i="27" s="1"/>
  <c r="F28" i="26" s="1"/>
  <c r="AU110" i="27"/>
  <c r="J109" i="27"/>
  <c r="J107" i="27" s="1"/>
  <c r="F27" i="26" s="1"/>
  <c r="AU107" i="27"/>
  <c r="J106" i="27"/>
  <c r="AU104" i="27"/>
  <c r="J104" i="27"/>
  <c r="F26" i="26" s="1"/>
  <c r="J103" i="27"/>
  <c r="J101" i="27" s="1"/>
  <c r="F25" i="26" s="1"/>
  <c r="BH102" i="27"/>
  <c r="AB102" i="27" s="1"/>
  <c r="AW102" i="27"/>
  <c r="K101" i="27"/>
  <c r="G25" i="26" s="1"/>
  <c r="I25" i="26" s="1"/>
  <c r="AK102" i="27"/>
  <c r="AT101" i="27" s="1"/>
  <c r="I91" i="27"/>
  <c r="AW91" i="27"/>
  <c r="I85" i="27"/>
  <c r="AW85" i="27"/>
  <c r="BC80" i="27"/>
  <c r="AV80" i="27"/>
  <c r="J71" i="27"/>
  <c r="BI71" i="27"/>
  <c r="AC71" i="27" s="1"/>
  <c r="BI70" i="27"/>
  <c r="AC70" i="27" s="1"/>
  <c r="J67" i="27"/>
  <c r="AX67" i="27"/>
  <c r="BI67" i="27"/>
  <c r="AC67" i="27" s="1"/>
  <c r="BC64" i="27"/>
  <c r="AV64" i="27"/>
  <c r="K63" i="27"/>
  <c r="G23" i="26" s="1"/>
  <c r="I23" i="26" s="1"/>
  <c r="AK64" i="27"/>
  <c r="AT63" i="27" s="1"/>
  <c r="K53" i="27"/>
  <c r="G22" i="26" s="1"/>
  <c r="I22" i="26" s="1"/>
  <c r="I38" i="27"/>
  <c r="AW38" i="27"/>
  <c r="BH38" i="27"/>
  <c r="AB38" i="27" s="1"/>
  <c r="I37" i="27"/>
  <c r="AW37" i="27"/>
  <c r="BH37" i="27"/>
  <c r="AB37" i="27" s="1"/>
  <c r="J27" i="27"/>
  <c r="J26" i="27" s="1"/>
  <c r="F14" i="26" s="1"/>
  <c r="AX27" i="27"/>
  <c r="BI27" i="27"/>
  <c r="AC27" i="27" s="1"/>
  <c r="BC16" i="27"/>
  <c r="AV16" i="27"/>
  <c r="AX83" i="27"/>
  <c r="J82" i="27"/>
  <c r="AX82" i="27"/>
  <c r="I71" i="27"/>
  <c r="AW71" i="27"/>
  <c r="J66" i="27"/>
  <c r="AX66" i="27"/>
  <c r="I60" i="27"/>
  <c r="I53" i="27" s="1"/>
  <c r="E22" i="26" s="1"/>
  <c r="AW60" i="27"/>
  <c r="BC54" i="27"/>
  <c r="AU53" i="27"/>
  <c r="J52" i="27"/>
  <c r="J49" i="27" s="1"/>
  <c r="F21" i="26" s="1"/>
  <c r="AX52" i="27"/>
  <c r="AU49" i="27"/>
  <c r="K49" i="27"/>
  <c r="G21" i="26" s="1"/>
  <c r="I21" i="26" s="1"/>
  <c r="AK50" i="27"/>
  <c r="AT49" i="27" s="1"/>
  <c r="I44" i="27"/>
  <c r="AW44" i="27"/>
  <c r="BH44" i="27"/>
  <c r="AB44" i="27" s="1"/>
  <c r="K39" i="27"/>
  <c r="G18" i="26" s="1"/>
  <c r="I18" i="26" s="1"/>
  <c r="AK40" i="27"/>
  <c r="AT39" i="27" s="1"/>
  <c r="BC29" i="27"/>
  <c r="AV29" i="27"/>
  <c r="BC17" i="27"/>
  <c r="AV17" i="27"/>
  <c r="AU12" i="27"/>
  <c r="I78" i="27"/>
  <c r="AW78" i="27"/>
  <c r="BC69" i="27"/>
  <c r="BC58" i="27"/>
  <c r="J55" i="27"/>
  <c r="J53" i="27" s="1"/>
  <c r="F22" i="26" s="1"/>
  <c r="AX55" i="27"/>
  <c r="AT53" i="27"/>
  <c r="J46" i="27"/>
  <c r="J45" i="27" s="1"/>
  <c r="F20" i="26" s="1"/>
  <c r="BI46" i="27"/>
  <c r="AC46" i="27" s="1"/>
  <c r="J37" i="27"/>
  <c r="J36" i="27" s="1"/>
  <c r="F17" i="26" s="1"/>
  <c r="AX37" i="27"/>
  <c r="BI37" i="27"/>
  <c r="AC37" i="27" s="1"/>
  <c r="BC35" i="27"/>
  <c r="AV35" i="27"/>
  <c r="K34" i="27"/>
  <c r="G16" i="26" s="1"/>
  <c r="I16" i="26" s="1"/>
  <c r="AK35" i="27"/>
  <c r="AT34" i="27" s="1"/>
  <c r="J31" i="27"/>
  <c r="J30" i="27" s="1"/>
  <c r="F15" i="26" s="1"/>
  <c r="AX31" i="27"/>
  <c r="BI31" i="27"/>
  <c r="AC31" i="27" s="1"/>
  <c r="AT26" i="27"/>
  <c r="J24" i="27"/>
  <c r="J22" i="27" s="1"/>
  <c r="F13" i="26" s="1"/>
  <c r="AX24" i="27"/>
  <c r="I19" i="27"/>
  <c r="AW19" i="27"/>
  <c r="BH19" i="27"/>
  <c r="AB19" i="27" s="1"/>
  <c r="J14" i="27"/>
  <c r="AX14" i="27"/>
  <c r="BI14" i="27"/>
  <c r="AC14" i="27" s="1"/>
  <c r="AS12" i="27"/>
  <c r="AV13" i="27"/>
  <c r="AT12" i="27"/>
  <c r="I46" i="27"/>
  <c r="I45" i="27" s="1"/>
  <c r="E20" i="26" s="1"/>
  <c r="AW46" i="27"/>
  <c r="AX43" i="27"/>
  <c r="J42" i="27"/>
  <c r="J41" i="27" s="1"/>
  <c r="F19" i="26" s="1"/>
  <c r="AX42" i="27"/>
  <c r="AS41" i="27"/>
  <c r="K36" i="27"/>
  <c r="G17" i="26" s="1"/>
  <c r="I17" i="26" s="1"/>
  <c r="AK37" i="27"/>
  <c r="AT36" i="27" s="1"/>
  <c r="K30" i="27"/>
  <c r="G15" i="26" s="1"/>
  <c r="I15" i="26" s="1"/>
  <c r="AK31" i="27"/>
  <c r="AT30" i="27" s="1"/>
  <c r="I25" i="27"/>
  <c r="I22" i="27" s="1"/>
  <c r="E13" i="26" s="1"/>
  <c r="AW25" i="27"/>
  <c r="K22" i="27"/>
  <c r="G13" i="26" s="1"/>
  <c r="I13" i="26" s="1"/>
  <c r="J18" i="27"/>
  <c r="AX18" i="27"/>
  <c r="K45" i="27"/>
  <c r="G20" i="26" s="1"/>
  <c r="I20" i="26" s="1"/>
  <c r="AK46" i="27"/>
  <c r="AT45" i="27" s="1"/>
  <c r="I41" i="27"/>
  <c r="E19" i="26" s="1"/>
  <c r="I40" i="27"/>
  <c r="I39" i="27" s="1"/>
  <c r="E18" i="26" s="1"/>
  <c r="AW40" i="27"/>
  <c r="BC33" i="27"/>
  <c r="I28" i="27"/>
  <c r="I26" i="27" s="1"/>
  <c r="E14" i="26" s="1"/>
  <c r="AW28" i="27"/>
  <c r="BC23" i="27"/>
  <c r="J21" i="27"/>
  <c r="J20" i="27" s="1"/>
  <c r="F12" i="26" s="1"/>
  <c r="AX21" i="27"/>
  <c r="BI18" i="27"/>
  <c r="AC18" i="27" s="1"/>
  <c r="I15" i="27"/>
  <c r="I12" i="27" s="1"/>
  <c r="E11" i="26" s="1"/>
  <c r="AW15" i="27"/>
  <c r="I672" i="23"/>
  <c r="E51" i="22" s="1"/>
  <c r="BC665" i="23"/>
  <c r="AV665" i="23"/>
  <c r="BC653" i="23"/>
  <c r="AV653" i="23"/>
  <c r="BC645" i="23"/>
  <c r="AV645" i="23"/>
  <c r="BC590" i="23"/>
  <c r="AV590" i="23"/>
  <c r="BC576" i="23"/>
  <c r="AV576" i="23"/>
  <c r="AV669" i="23"/>
  <c r="BC669" i="23"/>
  <c r="BC657" i="23"/>
  <c r="AV657" i="23"/>
  <c r="J672" i="23"/>
  <c r="F51" i="22" s="1"/>
  <c r="BC661" i="23"/>
  <c r="AV661" i="23"/>
  <c r="BC679" i="23"/>
  <c r="AT672" i="23"/>
  <c r="BC660" i="23"/>
  <c r="AV649" i="23"/>
  <c r="BC649" i="23"/>
  <c r="BC641" i="23"/>
  <c r="AV641" i="23"/>
  <c r="BC621" i="23"/>
  <c r="BC601" i="23"/>
  <c r="BC593" i="23"/>
  <c r="BC580" i="23"/>
  <c r="BC579" i="23"/>
  <c r="BC572" i="23"/>
  <c r="AV572" i="23"/>
  <c r="BI658" i="23"/>
  <c r="AC658" i="23" s="1"/>
  <c r="BI602" i="23"/>
  <c r="AC602" i="23" s="1"/>
  <c r="K672" i="23"/>
  <c r="G51" i="22" s="1"/>
  <c r="I51" i="22" s="1"/>
  <c r="J669" i="23"/>
  <c r="J665" i="23"/>
  <c r="J661" i="23"/>
  <c r="J657" i="23"/>
  <c r="J653" i="23"/>
  <c r="I650" i="23"/>
  <c r="J649" i="23"/>
  <c r="I646" i="23"/>
  <c r="J645" i="23"/>
  <c r="J641" i="23"/>
  <c r="J637" i="23"/>
  <c r="J633" i="23"/>
  <c r="AU554" i="23"/>
  <c r="AW545" i="23"/>
  <c r="I545" i="23"/>
  <c r="AV542" i="23"/>
  <c r="BC542" i="23"/>
  <c r="AX533" i="23"/>
  <c r="J533" i="23"/>
  <c r="AW526" i="23"/>
  <c r="I526" i="23"/>
  <c r="AV519" i="23"/>
  <c r="BC519" i="23"/>
  <c r="AW514" i="23"/>
  <c r="I514" i="23"/>
  <c r="AW511" i="23"/>
  <c r="I511" i="23"/>
  <c r="AV508" i="23"/>
  <c r="BC508" i="23"/>
  <c r="AW503" i="23"/>
  <c r="I503" i="23"/>
  <c r="AX491" i="23"/>
  <c r="BC491" i="23" s="1"/>
  <c r="J491" i="23"/>
  <c r="AX483" i="23"/>
  <c r="BC483" i="23" s="1"/>
  <c r="J483" i="23"/>
  <c r="AV593" i="23"/>
  <c r="AW592" i="23"/>
  <c r="AX591" i="23"/>
  <c r="BC591" i="23" s="1"/>
  <c r="AV589" i="23"/>
  <c r="AW588" i="23"/>
  <c r="AV586" i="23"/>
  <c r="AW585" i="23"/>
  <c r="AV583" i="23"/>
  <c r="AW582" i="23"/>
  <c r="AX581" i="23"/>
  <c r="BC581" i="23" s="1"/>
  <c r="AV579" i="23"/>
  <c r="AW578" i="23"/>
  <c r="AX577" i="23"/>
  <c r="AV575" i="23"/>
  <c r="AW574" i="23"/>
  <c r="AX573" i="23"/>
  <c r="BC573" i="23" s="1"/>
  <c r="BI570" i="23"/>
  <c r="AC570" i="23" s="1"/>
  <c r="BC569" i="23"/>
  <c r="I569" i="23"/>
  <c r="BH567" i="23"/>
  <c r="AB567" i="23" s="1"/>
  <c r="BI566" i="23"/>
  <c r="AC566" i="23" s="1"/>
  <c r="BC566" i="23"/>
  <c r="BC565" i="23"/>
  <c r="I565" i="23"/>
  <c r="BH563" i="23"/>
  <c r="AB563" i="23" s="1"/>
  <c r="BI562" i="23"/>
  <c r="AC562" i="23" s="1"/>
  <c r="BC562" i="23"/>
  <c r="BC561" i="23"/>
  <c r="I561" i="23"/>
  <c r="BH559" i="23"/>
  <c r="AB559" i="23" s="1"/>
  <c r="BI558" i="23"/>
  <c r="AG558" i="23" s="1"/>
  <c r="C19" i="21" s="1"/>
  <c r="BC558" i="23"/>
  <c r="BC557" i="23"/>
  <c r="I557" i="23"/>
  <c r="BH555" i="23"/>
  <c r="AF555" i="23" s="1"/>
  <c r="C18" i="21" s="1"/>
  <c r="AK555" i="23"/>
  <c r="AT554" i="23" s="1"/>
  <c r="AV553" i="23"/>
  <c r="BH552" i="23"/>
  <c r="AD552" i="23" s="1"/>
  <c r="BI551" i="23"/>
  <c r="AE551" i="23" s="1"/>
  <c r="AU548" i="23"/>
  <c r="AV543" i="23"/>
  <c r="AW541" i="23"/>
  <c r="I541" i="23"/>
  <c r="AW538" i="23"/>
  <c r="I538" i="23"/>
  <c r="AV535" i="23"/>
  <c r="BC535" i="23"/>
  <c r="AX529" i="23"/>
  <c r="BC529" i="23" s="1"/>
  <c r="J529" i="23"/>
  <c r="AV524" i="23"/>
  <c r="AW522" i="23"/>
  <c r="I522" i="23"/>
  <c r="AV520" i="23"/>
  <c r="AX517" i="23"/>
  <c r="BC517" i="23" s="1"/>
  <c r="J517" i="23"/>
  <c r="AV509" i="23"/>
  <c r="AX506" i="23"/>
  <c r="BC506" i="23" s="1"/>
  <c r="J506" i="23"/>
  <c r="AU500" i="23"/>
  <c r="AV501" i="23"/>
  <c r="AT500" i="23"/>
  <c r="AV497" i="23"/>
  <c r="BC497" i="23"/>
  <c r="AW492" i="23"/>
  <c r="I492" i="23"/>
  <c r="AV489" i="23"/>
  <c r="BC489" i="23"/>
  <c r="AW484" i="23"/>
  <c r="I484" i="23"/>
  <c r="AV481" i="23"/>
  <c r="BC481" i="23"/>
  <c r="BI677" i="23"/>
  <c r="AC677" i="23" s="1"/>
  <c r="BI650" i="23"/>
  <c r="AC650" i="23" s="1"/>
  <c r="BI642" i="23"/>
  <c r="AC642" i="23" s="1"/>
  <c r="AV679" i="23"/>
  <c r="AW678" i="23"/>
  <c r="AX677" i="23"/>
  <c r="BC677" i="23" s="1"/>
  <c r="AV675" i="23"/>
  <c r="AW674" i="23"/>
  <c r="AX673" i="23"/>
  <c r="AW671" i="23"/>
  <c r="AX670" i="23"/>
  <c r="AV668" i="23"/>
  <c r="AW667" i="23"/>
  <c r="AX666" i="23"/>
  <c r="BC666" i="23" s="1"/>
  <c r="AV664" i="23"/>
  <c r="AW663" i="23"/>
  <c r="AX662" i="23"/>
  <c r="AV660" i="23"/>
  <c r="AW659" i="23"/>
  <c r="AX658" i="23"/>
  <c r="AW655" i="23"/>
  <c r="AX654" i="23"/>
  <c r="BC654" i="23" s="1"/>
  <c r="AV652" i="23"/>
  <c r="AW651" i="23"/>
  <c r="AX650" i="23"/>
  <c r="BC650" i="23" s="1"/>
  <c r="AV648" i="23"/>
  <c r="AW647" i="23"/>
  <c r="AX646" i="23"/>
  <c r="BC646" i="23" s="1"/>
  <c r="AV644" i="23"/>
  <c r="AW643" i="23"/>
  <c r="AX642" i="23"/>
  <c r="AV640" i="23"/>
  <c r="AW639" i="23"/>
  <c r="AX638" i="23"/>
  <c r="AV636" i="23"/>
  <c r="AW635" i="23"/>
  <c r="AX634" i="23"/>
  <c r="AW631" i="23"/>
  <c r="AX630" i="23"/>
  <c r="AV628" i="23"/>
  <c r="AW627" i="23"/>
  <c r="AX626" i="23"/>
  <c r="BC626" i="23" s="1"/>
  <c r="AW623" i="23"/>
  <c r="AX622" i="23"/>
  <c r="BC622" i="23" s="1"/>
  <c r="AV620" i="23"/>
  <c r="AW619" i="23"/>
  <c r="AX618" i="23"/>
  <c r="BC618" i="23" s="1"/>
  <c r="AW615" i="23"/>
  <c r="AX614" i="23"/>
  <c r="BC614" i="23" s="1"/>
  <c r="AV612" i="23"/>
  <c r="AW611" i="23"/>
  <c r="AX610" i="23"/>
  <c r="BC610" i="23" s="1"/>
  <c r="AW607" i="23"/>
  <c r="AX606" i="23"/>
  <c r="BC606" i="23" s="1"/>
  <c r="AV604" i="23"/>
  <c r="AW603" i="23"/>
  <c r="AX602" i="23"/>
  <c r="BC602" i="23" s="1"/>
  <c r="AW599" i="23"/>
  <c r="AX598" i="23"/>
  <c r="AV598" i="23" s="1"/>
  <c r="AV596" i="23"/>
  <c r="AW595" i="23"/>
  <c r="AK588" i="23"/>
  <c r="AT587" i="23" s="1"/>
  <c r="AK585" i="23"/>
  <c r="AT584" i="23" s="1"/>
  <c r="J554" i="23"/>
  <c r="F48" i="22" s="1"/>
  <c r="AS554" i="23"/>
  <c r="J553" i="23"/>
  <c r="AV549" i="23"/>
  <c r="BC549" i="23"/>
  <c r="AT548" i="23"/>
  <c r="K548" i="23"/>
  <c r="G47" i="22" s="1"/>
  <c r="I47" i="22" s="1"/>
  <c r="AX544" i="23"/>
  <c r="J544" i="23"/>
  <c r="AT539" i="23"/>
  <c r="AV536" i="23"/>
  <c r="AW534" i="23"/>
  <c r="I534" i="23"/>
  <c r="BI533" i="23"/>
  <c r="AE533" i="23" s="1"/>
  <c r="AV531" i="23"/>
  <c r="BC531" i="23"/>
  <c r="AX525" i="23"/>
  <c r="BC525" i="23" s="1"/>
  <c r="J525" i="23"/>
  <c r="AW518" i="23"/>
  <c r="I518" i="23"/>
  <c r="AV515" i="23"/>
  <c r="BC515" i="23"/>
  <c r="AS512" i="23"/>
  <c r="K512" i="23"/>
  <c r="G45" i="22" s="1"/>
  <c r="I45" i="22" s="1"/>
  <c r="AW507" i="23"/>
  <c r="I507" i="23"/>
  <c r="AV504" i="23"/>
  <c r="BC504" i="23"/>
  <c r="AS500" i="23"/>
  <c r="AV498" i="23"/>
  <c r="AX495" i="23"/>
  <c r="J495" i="23"/>
  <c r="BI491" i="23"/>
  <c r="AE491" i="23" s="1"/>
  <c r="AV490" i="23"/>
  <c r="AX487" i="23"/>
  <c r="J487" i="23"/>
  <c r="BI483" i="23"/>
  <c r="AE483" i="23" s="1"/>
  <c r="AV482" i="23"/>
  <c r="J479" i="23"/>
  <c r="AX479" i="23"/>
  <c r="BC479" i="23" s="1"/>
  <c r="AS474" i="23"/>
  <c r="BC437" i="23"/>
  <c r="AV437" i="23"/>
  <c r="I391" i="23"/>
  <c r="E40" i="22" s="1"/>
  <c r="BI673" i="23"/>
  <c r="AC673" i="23" s="1"/>
  <c r="BI638" i="23"/>
  <c r="AC638" i="23" s="1"/>
  <c r="BI614" i="23"/>
  <c r="AC614" i="23" s="1"/>
  <c r="AX571" i="23"/>
  <c r="AV571" i="23" s="1"/>
  <c r="BC568" i="23"/>
  <c r="I567" i="23"/>
  <c r="BC564" i="23"/>
  <c r="BC563" i="23"/>
  <c r="I563" i="23"/>
  <c r="BC560" i="23"/>
  <c r="BC559" i="23"/>
  <c r="I559" i="23"/>
  <c r="BC556" i="23"/>
  <c r="BC555" i="23"/>
  <c r="I555" i="23"/>
  <c r="BC552" i="23"/>
  <c r="I552" i="23"/>
  <c r="AV546" i="23"/>
  <c r="BC546" i="23"/>
  <c r="BH545" i="23"/>
  <c r="AD545" i="23" s="1"/>
  <c r="AX540" i="23"/>
  <c r="BC540" i="23" s="1"/>
  <c r="J540" i="23"/>
  <c r="AS539" i="23"/>
  <c r="K539" i="23"/>
  <c r="G46" i="22" s="1"/>
  <c r="I46" i="22" s="1"/>
  <c r="AX537" i="23"/>
  <c r="BC537" i="23" s="1"/>
  <c r="J537" i="23"/>
  <c r="AV533" i="23"/>
  <c r="AW530" i="23"/>
  <c r="I530" i="23"/>
  <c r="AV527" i="23"/>
  <c r="BC527" i="23"/>
  <c r="BH526" i="23"/>
  <c r="AD526" i="23" s="1"/>
  <c r="AX521" i="23"/>
  <c r="BC521" i="23" s="1"/>
  <c r="J521" i="23"/>
  <c r="BH514" i="23"/>
  <c r="AD514" i="23" s="1"/>
  <c r="AX513" i="23"/>
  <c r="BC513" i="23" s="1"/>
  <c r="J513" i="23"/>
  <c r="BH511" i="23"/>
  <c r="AX510" i="23"/>
  <c r="BC510" i="23" s="1"/>
  <c r="J510" i="23"/>
  <c r="BH503" i="23"/>
  <c r="AD503" i="23" s="1"/>
  <c r="AX502" i="23"/>
  <c r="BC502" i="23" s="1"/>
  <c r="J502" i="23"/>
  <c r="K500" i="23"/>
  <c r="G44" i="22" s="1"/>
  <c r="I44" i="22" s="1"/>
  <c r="AX499" i="23"/>
  <c r="BC499" i="23" s="1"/>
  <c r="J499" i="23"/>
  <c r="AW496" i="23"/>
  <c r="I496" i="23"/>
  <c r="AV493" i="23"/>
  <c r="BC493" i="23"/>
  <c r="AV491" i="23"/>
  <c r="AW488" i="23"/>
  <c r="I488" i="23"/>
  <c r="AV485" i="23"/>
  <c r="BC485" i="23"/>
  <c r="AW480" i="23"/>
  <c r="I480" i="23"/>
  <c r="AU474" i="23"/>
  <c r="AT457" i="23"/>
  <c r="BC441" i="23"/>
  <c r="AV441" i="23"/>
  <c r="AT391" i="23"/>
  <c r="AK513" i="23"/>
  <c r="AT512" i="23" s="1"/>
  <c r="AT474" i="23"/>
  <c r="K474" i="23"/>
  <c r="G43" i="22" s="1"/>
  <c r="I43" i="22" s="1"/>
  <c r="AV428" i="23"/>
  <c r="AX462" i="23"/>
  <c r="AV460" i="23"/>
  <c r="J456" i="23"/>
  <c r="AV445" i="23"/>
  <c r="J444" i="23"/>
  <c r="I441" i="23"/>
  <c r="J440" i="23"/>
  <c r="I437" i="23"/>
  <c r="J436" i="23"/>
  <c r="J432" i="23"/>
  <c r="J428" i="23"/>
  <c r="AX427" i="23"/>
  <c r="AX412" i="23"/>
  <c r="AV394" i="23"/>
  <c r="AV387" i="23"/>
  <c r="AW386" i="23"/>
  <c r="AX385" i="23"/>
  <c r="AV383" i="23"/>
  <c r="AW382" i="23"/>
  <c r="AX381" i="23"/>
  <c r="AV379" i="23"/>
  <c r="AW378" i="23"/>
  <c r="AX377" i="23"/>
  <c r="AW374" i="23"/>
  <c r="AX373" i="23"/>
  <c r="AS353" i="23"/>
  <c r="AW477" i="23"/>
  <c r="AX476" i="23"/>
  <c r="AX473" i="23"/>
  <c r="BC473" i="23" s="1"/>
  <c r="AV471" i="23"/>
  <c r="AW470" i="23"/>
  <c r="AX469" i="23"/>
  <c r="AW466" i="23"/>
  <c r="AX465" i="23"/>
  <c r="AV463" i="23"/>
  <c r="AW462" i="23"/>
  <c r="AX461" i="23"/>
  <c r="AW458" i="23"/>
  <c r="AW455" i="23"/>
  <c r="AV452" i="23"/>
  <c r="AW451" i="23"/>
  <c r="AX450" i="23"/>
  <c r="AV448" i="23"/>
  <c r="AW447" i="23"/>
  <c r="AX446" i="23"/>
  <c r="AW443" i="23"/>
  <c r="AX442" i="23"/>
  <c r="BC442" i="23" s="1"/>
  <c r="AX438" i="23"/>
  <c r="AW435" i="23"/>
  <c r="AX434" i="23"/>
  <c r="AW427" i="23"/>
  <c r="AX426" i="23"/>
  <c r="AV424" i="23"/>
  <c r="AW423" i="23"/>
  <c r="AX422" i="23"/>
  <c r="AX419" i="23"/>
  <c r="AV417" i="23"/>
  <c r="AW416" i="23"/>
  <c r="AX415" i="23"/>
  <c r="BC415" i="23" s="1"/>
  <c r="AW412" i="23"/>
  <c r="AX411" i="23"/>
  <c r="BC411" i="23" s="1"/>
  <c r="AV409" i="23"/>
  <c r="AW408" i="23"/>
  <c r="AX407" i="23"/>
  <c r="BC407" i="23" s="1"/>
  <c r="AV405" i="23"/>
  <c r="AW404" i="23"/>
  <c r="AX403" i="23"/>
  <c r="AW400" i="23"/>
  <c r="AX399" i="23"/>
  <c r="AV397" i="23"/>
  <c r="AW396" i="23"/>
  <c r="AX395" i="23"/>
  <c r="AV393" i="23"/>
  <c r="AW392" i="23"/>
  <c r="AW389" i="23"/>
  <c r="AX388" i="23"/>
  <c r="AW385" i="23"/>
  <c r="AX384" i="23"/>
  <c r="AW381" i="23"/>
  <c r="AX380" i="23"/>
  <c r="AW377" i="23"/>
  <c r="AX376" i="23"/>
  <c r="AV376" i="23" s="1"/>
  <c r="AW373" i="23"/>
  <c r="AX372" i="23"/>
  <c r="AV372" i="23" s="1"/>
  <c r="BI371" i="23"/>
  <c r="AE371" i="23" s="1"/>
  <c r="I371" i="23"/>
  <c r="AW371" i="23"/>
  <c r="AX472" i="23"/>
  <c r="BC472" i="23" s="1"/>
  <c r="AX453" i="23"/>
  <c r="BC453" i="23" s="1"/>
  <c r="AX429" i="23"/>
  <c r="BC429" i="23" s="1"/>
  <c r="AW426" i="23"/>
  <c r="AX425" i="23"/>
  <c r="BC425" i="23" s="1"/>
  <c r="AW422" i="23"/>
  <c r="AX421" i="23"/>
  <c r="AV421" i="23" s="1"/>
  <c r="AW419" i="23"/>
  <c r="AX418" i="23"/>
  <c r="AV418" i="23" s="1"/>
  <c r="AX410" i="23"/>
  <c r="AV410" i="23" s="1"/>
  <c r="AX406" i="23"/>
  <c r="BC406" i="23" s="1"/>
  <c r="AW403" i="23"/>
  <c r="AX402" i="23"/>
  <c r="BC402" i="23" s="1"/>
  <c r="AW399" i="23"/>
  <c r="AX398" i="23"/>
  <c r="BH371" i="23"/>
  <c r="AD371" i="23" s="1"/>
  <c r="AX371" i="23"/>
  <c r="AU353" i="23"/>
  <c r="AT330" i="23"/>
  <c r="BC310" i="23"/>
  <c r="BC361" i="23"/>
  <c r="AT353" i="23"/>
  <c r="K353" i="23"/>
  <c r="G39" i="22" s="1"/>
  <c r="I39" i="22" s="1"/>
  <c r="J330" i="23"/>
  <c r="F38" i="22" s="1"/>
  <c r="AV365" i="23"/>
  <c r="I361" i="23"/>
  <c r="J360" i="23"/>
  <c r="J353" i="23" s="1"/>
  <c r="F39" i="22" s="1"/>
  <c r="AW333" i="23"/>
  <c r="AX332" i="23"/>
  <c r="J310" i="23"/>
  <c r="J242" i="23" s="1"/>
  <c r="F37" i="22" s="1"/>
  <c r="AW302" i="23"/>
  <c r="AX301" i="23"/>
  <c r="AV299" i="23"/>
  <c r="AW298" i="23"/>
  <c r="AX297" i="23"/>
  <c r="AV295" i="23"/>
  <c r="AW294" i="23"/>
  <c r="AX293" i="23"/>
  <c r="AW290" i="23"/>
  <c r="AX289" i="23"/>
  <c r="AV287" i="23"/>
  <c r="AW286" i="23"/>
  <c r="AX285" i="23"/>
  <c r="AW282" i="23"/>
  <c r="AX281" i="23"/>
  <c r="AU242" i="23"/>
  <c r="AX370" i="23"/>
  <c r="BC370" i="23" s="1"/>
  <c r="AW367" i="23"/>
  <c r="AX366" i="23"/>
  <c r="BC366" i="23" s="1"/>
  <c r="AW363" i="23"/>
  <c r="AX362" i="23"/>
  <c r="BC362" i="23" s="1"/>
  <c r="AW359" i="23"/>
  <c r="AX358" i="23"/>
  <c r="AV356" i="23"/>
  <c r="AV349" i="23"/>
  <c r="AV345" i="23"/>
  <c r="AW344" i="23"/>
  <c r="AX343" i="23"/>
  <c r="AV341" i="23"/>
  <c r="AW340" i="23"/>
  <c r="AX339" i="23"/>
  <c r="AX335" i="23"/>
  <c r="AW332" i="23"/>
  <c r="AX331" i="23"/>
  <c r="AW329" i="23"/>
  <c r="AW325" i="23"/>
  <c r="AX324" i="23"/>
  <c r="BC324" i="23" s="1"/>
  <c r="AV322" i="23"/>
  <c r="AW321" i="23"/>
  <c r="AX320" i="23"/>
  <c r="AW317" i="23"/>
  <c r="AX316" i="23"/>
  <c r="AV314" i="23"/>
  <c r="AW313" i="23"/>
  <c r="AX312" i="23"/>
  <c r="BC312" i="23" s="1"/>
  <c r="AV310" i="23"/>
  <c r="AW309" i="23"/>
  <c r="AX308" i="23"/>
  <c r="BC308" i="23" s="1"/>
  <c r="AV306" i="23"/>
  <c r="AW358" i="23"/>
  <c r="AX357" i="23"/>
  <c r="AV355" i="23"/>
  <c r="AW354" i="23"/>
  <c r="AV352" i="23"/>
  <c r="AW351" i="23"/>
  <c r="AX350" i="23"/>
  <c r="BC350" i="23" s="1"/>
  <c r="AW347" i="23"/>
  <c r="AX346" i="23"/>
  <c r="BC346" i="23" s="1"/>
  <c r="AW343" i="23"/>
  <c r="AX342" i="23"/>
  <c r="BC342" i="23" s="1"/>
  <c r="AW339" i="23"/>
  <c r="AX338" i="23"/>
  <c r="BC338" i="23" s="1"/>
  <c r="AV336" i="23"/>
  <c r="AW335" i="23"/>
  <c r="AX334" i="23"/>
  <c r="AV334" i="23" s="1"/>
  <c r="AW320" i="23"/>
  <c r="AX319" i="23"/>
  <c r="AV319" i="23" s="1"/>
  <c r="AW316" i="23"/>
  <c r="AX315" i="23"/>
  <c r="AX307" i="23"/>
  <c r="AV305" i="23"/>
  <c r="AW304" i="23"/>
  <c r="AX303" i="23"/>
  <c r="BC303" i="23" s="1"/>
  <c r="AV247" i="23"/>
  <c r="BC247" i="23"/>
  <c r="K242" i="23"/>
  <c r="G37" i="22" s="1"/>
  <c r="I37" i="22" s="1"/>
  <c r="AS242" i="23"/>
  <c r="BC258" i="23"/>
  <c r="AV258" i="23"/>
  <c r="AW269" i="23"/>
  <c r="AW265" i="23"/>
  <c r="AX264" i="23"/>
  <c r="BC264" i="23" s="1"/>
  <c r="I258" i="23"/>
  <c r="AW257" i="23"/>
  <c r="AX256" i="23"/>
  <c r="BC256" i="23" s="1"/>
  <c r="BC255" i="23"/>
  <c r="AW253" i="23"/>
  <c r="AW249" i="23"/>
  <c r="AX248" i="23"/>
  <c r="AV246" i="23"/>
  <c r="AW245" i="23"/>
  <c r="AX244" i="23"/>
  <c r="AX241" i="23"/>
  <c r="BC241" i="23" s="1"/>
  <c r="AV239" i="23"/>
  <c r="AW238" i="23"/>
  <c r="AX237" i="23"/>
  <c r="BC237" i="23" s="1"/>
  <c r="AW234" i="23"/>
  <c r="AX233" i="23"/>
  <c r="AW230" i="23"/>
  <c r="AX229" i="23"/>
  <c r="AV227" i="23"/>
  <c r="AW226" i="23"/>
  <c r="AX225" i="23"/>
  <c r="AV223" i="23"/>
  <c r="AW222" i="23"/>
  <c r="AX221" i="23"/>
  <c r="AV219" i="23"/>
  <c r="AW218" i="23"/>
  <c r="BH217" i="23"/>
  <c r="AD217" i="23" s="1"/>
  <c r="AU207" i="23"/>
  <c r="J190" i="23"/>
  <c r="F34" i="22" s="1"/>
  <c r="AW280" i="23"/>
  <c r="AX279" i="23"/>
  <c r="AV277" i="23"/>
  <c r="AW276" i="23"/>
  <c r="AX275" i="23"/>
  <c r="AV273" i="23"/>
  <c r="AW260" i="23"/>
  <c r="AX259" i="23"/>
  <c r="BC259" i="23" s="1"/>
  <c r="AK245" i="23"/>
  <c r="AT242" i="23" s="1"/>
  <c r="AW244" i="23"/>
  <c r="AX243" i="23"/>
  <c r="AW229" i="23"/>
  <c r="AX228" i="23"/>
  <c r="AW225" i="23"/>
  <c r="AX224" i="23"/>
  <c r="AW221" i="23"/>
  <c r="AX220" i="23"/>
  <c r="AV220" i="23" s="1"/>
  <c r="AW217" i="23"/>
  <c r="J216" i="23"/>
  <c r="AX216" i="23"/>
  <c r="AT207" i="23"/>
  <c r="K207" i="23"/>
  <c r="G36" i="22" s="1"/>
  <c r="I36" i="22" s="1"/>
  <c r="I190" i="23"/>
  <c r="E34" i="22" s="1"/>
  <c r="I171" i="23"/>
  <c r="E32" i="22" s="1"/>
  <c r="AV169" i="23"/>
  <c r="BC169" i="23"/>
  <c r="AW279" i="23"/>
  <c r="AX278" i="23"/>
  <c r="AV278" i="23" s="1"/>
  <c r="AW275" i="23"/>
  <c r="AX274" i="23"/>
  <c r="AV274" i="23" s="1"/>
  <c r="AW271" i="23"/>
  <c r="AX270" i="23"/>
  <c r="AV270" i="23" s="1"/>
  <c r="AW267" i="23"/>
  <c r="AX266" i="23"/>
  <c r="BC266" i="23" s="1"/>
  <c r="AW263" i="23"/>
  <c r="AX262" i="23"/>
  <c r="AX254" i="23"/>
  <c r="AV254" i="23" s="1"/>
  <c r="AW251" i="23"/>
  <c r="AX250" i="23"/>
  <c r="AV250" i="23" s="1"/>
  <c r="AS207" i="23"/>
  <c r="BC160" i="23"/>
  <c r="BC156" i="23"/>
  <c r="BC152" i="23"/>
  <c r="BC145" i="23"/>
  <c r="I207" i="23"/>
  <c r="E36" i="22" s="1"/>
  <c r="AV165" i="23"/>
  <c r="BC165" i="23"/>
  <c r="AW178" i="23"/>
  <c r="AX177" i="23"/>
  <c r="AW174" i="23"/>
  <c r="AX173" i="23"/>
  <c r="AX170" i="23"/>
  <c r="BC170" i="23" s="1"/>
  <c r="AV168" i="23"/>
  <c r="AW167" i="23"/>
  <c r="AX166" i="23"/>
  <c r="AV164" i="23"/>
  <c r="AW163" i="23"/>
  <c r="AX162" i="23"/>
  <c r="BC162" i="23" s="1"/>
  <c r="AV160" i="23"/>
  <c r="AW159" i="23"/>
  <c r="AX158" i="23"/>
  <c r="AV156" i="23"/>
  <c r="AW155" i="23"/>
  <c r="AX154" i="23"/>
  <c r="AV152" i="23"/>
  <c r="AW151" i="23"/>
  <c r="AX150" i="23"/>
  <c r="BC150" i="23" s="1"/>
  <c r="AX147" i="23"/>
  <c r="AV145" i="23"/>
  <c r="AW144" i="23"/>
  <c r="BC140" i="23"/>
  <c r="AV140" i="23"/>
  <c r="K128" i="23"/>
  <c r="G30" i="22" s="1"/>
  <c r="I30" i="22" s="1"/>
  <c r="AT128" i="23"/>
  <c r="I105" i="23"/>
  <c r="E27" i="22" s="1"/>
  <c r="AV214" i="23"/>
  <c r="AW213" i="23"/>
  <c r="AX212" i="23"/>
  <c r="AV210" i="23"/>
  <c r="AW209" i="23"/>
  <c r="AX208" i="23"/>
  <c r="AV203" i="23"/>
  <c r="AV199" i="23"/>
  <c r="AX197" i="23"/>
  <c r="AX194" i="23"/>
  <c r="AV192" i="23"/>
  <c r="AV189" i="23"/>
  <c r="AV186" i="23"/>
  <c r="AW185" i="23"/>
  <c r="AX184" i="23"/>
  <c r="AW181" i="23"/>
  <c r="AX180" i="23"/>
  <c r="AW177" i="23"/>
  <c r="AX176" i="23"/>
  <c r="AW173" i="23"/>
  <c r="AX172" i="23"/>
  <c r="AX161" i="23"/>
  <c r="AV161" i="23" s="1"/>
  <c r="AW158" i="23"/>
  <c r="AX157" i="23"/>
  <c r="BC157" i="23" s="1"/>
  <c r="AW154" i="23"/>
  <c r="AX153" i="23"/>
  <c r="AV153" i="23" s="1"/>
  <c r="AK151" i="23"/>
  <c r="AT148" i="23" s="1"/>
  <c r="AX149" i="23"/>
  <c r="BC149" i="23" s="1"/>
  <c r="AW147" i="23"/>
  <c r="AX146" i="23"/>
  <c r="BC146" i="23" s="1"/>
  <c r="AS128" i="23"/>
  <c r="AT117" i="23"/>
  <c r="J99" i="23"/>
  <c r="F25" i="22" s="1"/>
  <c r="AW216" i="23"/>
  <c r="AX215" i="23"/>
  <c r="AV215" i="23" s="1"/>
  <c r="AW212" i="23"/>
  <c r="AX211" i="23"/>
  <c r="AV211" i="23" s="1"/>
  <c r="AW208" i="23"/>
  <c r="AV206" i="23"/>
  <c r="AW205" i="23"/>
  <c r="AX204" i="23"/>
  <c r="AV202" i="23"/>
  <c r="AW201" i="23"/>
  <c r="AX200" i="23"/>
  <c r="BC200" i="23" s="1"/>
  <c r="AV198" i="23"/>
  <c r="AW197" i="23"/>
  <c r="AV195" i="23"/>
  <c r="AW194" i="23"/>
  <c r="AX193" i="23"/>
  <c r="AV191" i="23"/>
  <c r="AK191" i="23"/>
  <c r="AT190" i="23" s="1"/>
  <c r="AX187" i="23"/>
  <c r="AW184" i="23"/>
  <c r="AX183" i="23"/>
  <c r="AW180" i="23"/>
  <c r="AX179" i="23"/>
  <c r="BC179" i="23" s="1"/>
  <c r="AW176" i="23"/>
  <c r="AX175" i="23"/>
  <c r="AV175" i="23" s="1"/>
  <c r="AK173" i="23"/>
  <c r="AT171" i="23" s="1"/>
  <c r="AW172" i="23"/>
  <c r="I109" i="23"/>
  <c r="E28" i="22" s="1"/>
  <c r="AT105" i="23"/>
  <c r="J102" i="23"/>
  <c r="F26" i="22" s="1"/>
  <c r="I99" i="23"/>
  <c r="E25" i="22" s="1"/>
  <c r="BC96" i="23"/>
  <c r="AK197" i="23"/>
  <c r="AT196" i="23" s="1"/>
  <c r="AU128" i="23"/>
  <c r="AX143" i="23"/>
  <c r="BC143" i="23" s="1"/>
  <c r="BC142" i="23"/>
  <c r="J140" i="23"/>
  <c r="AX135" i="23"/>
  <c r="AX124" i="23"/>
  <c r="AV115" i="23"/>
  <c r="AW114" i="23"/>
  <c r="AX113" i="23"/>
  <c r="AV111" i="23"/>
  <c r="AW110" i="23"/>
  <c r="AV108" i="23"/>
  <c r="AW107" i="23"/>
  <c r="AX106" i="23"/>
  <c r="BC106" i="23" s="1"/>
  <c r="AW104" i="23"/>
  <c r="AX103" i="23"/>
  <c r="BC103" i="23" s="1"/>
  <c r="AW101" i="23"/>
  <c r="AX100" i="23"/>
  <c r="BC100" i="23" s="1"/>
  <c r="AW98" i="23"/>
  <c r="AV96" i="23"/>
  <c r="J95" i="23"/>
  <c r="AX95" i="23"/>
  <c r="AV95" i="23" s="1"/>
  <c r="I92" i="23"/>
  <c r="AW92" i="23"/>
  <c r="J81" i="23"/>
  <c r="AX81" i="23"/>
  <c r="BC81" i="23" s="1"/>
  <c r="I78" i="23"/>
  <c r="AW78" i="23"/>
  <c r="BC72" i="23"/>
  <c r="AX138" i="23"/>
  <c r="AW135" i="23"/>
  <c r="AX134" i="23"/>
  <c r="AV132" i="23"/>
  <c r="AW131" i="23"/>
  <c r="AX130" i="23"/>
  <c r="AX127" i="23"/>
  <c r="AV125" i="23"/>
  <c r="AW124" i="23"/>
  <c r="AX123" i="23"/>
  <c r="AV121" i="23"/>
  <c r="AW120" i="23"/>
  <c r="AX119" i="23"/>
  <c r="AX116" i="23"/>
  <c r="AW113" i="23"/>
  <c r="AX112" i="23"/>
  <c r="AV112" i="23" s="1"/>
  <c r="AK110" i="23"/>
  <c r="AT109" i="23" s="1"/>
  <c r="AK98" i="23"/>
  <c r="AT97" i="23" s="1"/>
  <c r="J91" i="23"/>
  <c r="AX91" i="23"/>
  <c r="I88" i="23"/>
  <c r="AW88" i="23"/>
  <c r="BC83" i="23"/>
  <c r="AV83" i="23"/>
  <c r="J76" i="23"/>
  <c r="AX76" i="23"/>
  <c r="BC55" i="23"/>
  <c r="AV139" i="23"/>
  <c r="AX137" i="23"/>
  <c r="BC137" i="23" s="1"/>
  <c r="AX133" i="23"/>
  <c r="BC133" i="23" s="1"/>
  <c r="AK103" i="23"/>
  <c r="AT102" i="23" s="1"/>
  <c r="AK100" i="23"/>
  <c r="AT99" i="23" s="1"/>
  <c r="BI95" i="23"/>
  <c r="AC95" i="23" s="1"/>
  <c r="AV94" i="23"/>
  <c r="BC93" i="23"/>
  <c r="AV93" i="23"/>
  <c r="J86" i="23"/>
  <c r="AX86" i="23"/>
  <c r="BC86" i="23" s="1"/>
  <c r="BI81" i="23"/>
  <c r="AC81" i="23" s="1"/>
  <c r="BC79" i="23"/>
  <c r="AV79" i="23"/>
  <c r="AU61" i="23"/>
  <c r="K61" i="23"/>
  <c r="G23" i="22" s="1"/>
  <c r="I23" i="22" s="1"/>
  <c r="BC89" i="23"/>
  <c r="AV89" i="23"/>
  <c r="I82" i="23"/>
  <c r="AW82" i="23"/>
  <c r="AS61" i="23"/>
  <c r="I55" i="23"/>
  <c r="I53" i="23"/>
  <c r="I52" i="23" s="1"/>
  <c r="E22" i="22" s="1"/>
  <c r="AW53" i="23"/>
  <c r="J49" i="23"/>
  <c r="J48" i="23" s="1"/>
  <c r="F21" i="22" s="1"/>
  <c r="AX49" i="23"/>
  <c r="I44" i="23"/>
  <c r="I42" i="23" s="1"/>
  <c r="E19" i="22" s="1"/>
  <c r="AW44" i="23"/>
  <c r="J31" i="23"/>
  <c r="J28" i="23" s="1"/>
  <c r="F15" i="22" s="1"/>
  <c r="AX31" i="23"/>
  <c r="BC31" i="23" s="1"/>
  <c r="I28" i="23"/>
  <c r="E15" i="22" s="1"/>
  <c r="BC13" i="23"/>
  <c r="AV13" i="23"/>
  <c r="AT12" i="23"/>
  <c r="AW70" i="23"/>
  <c r="AX69" i="23"/>
  <c r="BC69" i="23" s="1"/>
  <c r="AV67" i="23"/>
  <c r="AW66" i="23"/>
  <c r="AX65" i="23"/>
  <c r="AV63" i="23"/>
  <c r="AW62" i="23"/>
  <c r="AV60" i="23"/>
  <c r="AW59" i="23"/>
  <c r="AX58" i="23"/>
  <c r="BC58" i="23" s="1"/>
  <c r="AV56" i="23"/>
  <c r="AU52" i="23"/>
  <c r="K52" i="23"/>
  <c r="G22" i="22" s="1"/>
  <c r="I22" i="22" s="1"/>
  <c r="AK53" i="23"/>
  <c r="AT52" i="23" s="1"/>
  <c r="BC51" i="23"/>
  <c r="AV51" i="23"/>
  <c r="I47" i="23"/>
  <c r="I46" i="23" s="1"/>
  <c r="E20" i="22" s="1"/>
  <c r="AW47" i="23"/>
  <c r="J43" i="23"/>
  <c r="J42" i="23" s="1"/>
  <c r="F19" i="22" s="1"/>
  <c r="AX43" i="23"/>
  <c r="BC43" i="23" s="1"/>
  <c r="AV39" i="23"/>
  <c r="BC38" i="23"/>
  <c r="AV38" i="23"/>
  <c r="AT37" i="23"/>
  <c r="J34" i="23"/>
  <c r="F17" i="22" s="1"/>
  <c r="AV33" i="23"/>
  <c r="I22" i="23"/>
  <c r="AW22" i="23"/>
  <c r="I16" i="23"/>
  <c r="AW16" i="23"/>
  <c r="K12" i="23"/>
  <c r="AX80" i="23"/>
  <c r="AX68" i="23"/>
  <c r="AW65" i="23"/>
  <c r="AX64" i="23"/>
  <c r="AK62" i="23"/>
  <c r="AT61" i="23" s="1"/>
  <c r="BC54" i="23"/>
  <c r="AV54" i="23"/>
  <c r="AS52" i="23"/>
  <c r="BI49" i="23"/>
  <c r="AC49" i="23" s="1"/>
  <c r="K46" i="23"/>
  <c r="G20" i="22" s="1"/>
  <c r="I20" i="22" s="1"/>
  <c r="AK47" i="23"/>
  <c r="AT46" i="23" s="1"/>
  <c r="BC45" i="23"/>
  <c r="AV45" i="23"/>
  <c r="I41" i="23"/>
  <c r="I37" i="23" s="1"/>
  <c r="E18" i="22" s="1"/>
  <c r="AW41" i="23"/>
  <c r="K37" i="23"/>
  <c r="G18" i="22" s="1"/>
  <c r="I18" i="22" s="1"/>
  <c r="BI31" i="23"/>
  <c r="AC31" i="23" s="1"/>
  <c r="AV30" i="23"/>
  <c r="BC29" i="23"/>
  <c r="AV29" i="23"/>
  <c r="AT28" i="23"/>
  <c r="I25" i="23"/>
  <c r="I24" i="23" s="1"/>
  <c r="E14" i="22" s="1"/>
  <c r="AW25" i="23"/>
  <c r="J21" i="23"/>
  <c r="J20" i="23" s="1"/>
  <c r="F13" i="22" s="1"/>
  <c r="AX21" i="23"/>
  <c r="BC21" i="23" s="1"/>
  <c r="I19" i="23"/>
  <c r="I18" i="23" s="1"/>
  <c r="E12" i="22" s="1"/>
  <c r="AW19" i="23"/>
  <c r="J15" i="23"/>
  <c r="AX15" i="23"/>
  <c r="BC15" i="23" s="1"/>
  <c r="J12" i="23"/>
  <c r="F11" i="22" s="1"/>
  <c r="BH53" i="23"/>
  <c r="AB53" i="23" s="1"/>
  <c r="I50" i="23"/>
  <c r="I48" i="23" s="1"/>
  <c r="E21" i="22" s="1"/>
  <c r="AW50" i="23"/>
  <c r="AT48" i="23"/>
  <c r="K48" i="23"/>
  <c r="G21" i="22" s="1"/>
  <c r="I21" i="22" s="1"/>
  <c r="BH44" i="23"/>
  <c r="AB44" i="23" s="1"/>
  <c r="J40" i="23"/>
  <c r="AX40" i="23"/>
  <c r="BC35" i="23"/>
  <c r="AV35" i="23"/>
  <c r="AV31" i="23"/>
  <c r="AU24" i="23"/>
  <c r="K24" i="23"/>
  <c r="G14" i="22" s="1"/>
  <c r="I14" i="22" s="1"/>
  <c r="AK25" i="23"/>
  <c r="AT24" i="23" s="1"/>
  <c r="BC23" i="23"/>
  <c r="AV23" i="23"/>
  <c r="I20" i="23"/>
  <c r="E13" i="22" s="1"/>
  <c r="K18" i="23"/>
  <c r="G12" i="22" s="1"/>
  <c r="I12" i="22" s="1"/>
  <c r="AK19" i="23"/>
  <c r="AT18" i="23" s="1"/>
  <c r="BC17" i="23"/>
  <c r="AV17" i="23"/>
  <c r="AK21" i="23"/>
  <c r="AT20" i="23" s="1"/>
  <c r="BC568" i="19"/>
  <c r="BC552" i="19"/>
  <c r="BC536" i="19"/>
  <c r="BC520" i="19"/>
  <c r="J512" i="19"/>
  <c r="F50" i="18" s="1"/>
  <c r="BC573" i="19"/>
  <c r="BC540" i="19"/>
  <c r="BC513" i="19"/>
  <c r="I591" i="19"/>
  <c r="E52" i="18" s="1"/>
  <c r="BC576" i="19"/>
  <c r="BC528" i="19"/>
  <c r="BC516" i="19"/>
  <c r="AT515" i="19"/>
  <c r="C19" i="17"/>
  <c r="BI570" i="19"/>
  <c r="AC570" i="19" s="1"/>
  <c r="I475" i="19"/>
  <c r="AW475" i="19"/>
  <c r="J470" i="19"/>
  <c r="AX470" i="19"/>
  <c r="AS462" i="19"/>
  <c r="BC461" i="19"/>
  <c r="AV461" i="19"/>
  <c r="J430" i="19"/>
  <c r="AX430" i="19"/>
  <c r="BC413" i="19"/>
  <c r="AV413" i="19"/>
  <c r="I397" i="19"/>
  <c r="AW397" i="19"/>
  <c r="J377" i="19"/>
  <c r="AX377" i="19"/>
  <c r="AW598" i="19"/>
  <c r="AX597" i="19"/>
  <c r="BC597" i="19" s="1"/>
  <c r="AV595" i="19"/>
  <c r="AW594" i="19"/>
  <c r="AX593" i="19"/>
  <c r="AX590" i="19"/>
  <c r="BC590" i="19" s="1"/>
  <c r="AV588" i="19"/>
  <c r="AW587" i="19"/>
  <c r="AX586" i="19"/>
  <c r="BC586" i="19" s="1"/>
  <c r="AV584" i="19"/>
  <c r="AW583" i="19"/>
  <c r="AX582" i="19"/>
  <c r="BC582" i="19" s="1"/>
  <c r="AV580" i="19"/>
  <c r="AW579" i="19"/>
  <c r="AX578" i="19"/>
  <c r="AV576" i="19"/>
  <c r="AW575" i="19"/>
  <c r="AX574" i="19"/>
  <c r="BC574" i="19" s="1"/>
  <c r="AV572" i="19"/>
  <c r="AW571" i="19"/>
  <c r="AX570" i="19"/>
  <c r="AV568" i="19"/>
  <c r="AW567" i="19"/>
  <c r="AX566" i="19"/>
  <c r="AV564" i="19"/>
  <c r="AW563" i="19"/>
  <c r="AX562" i="19"/>
  <c r="BC562" i="19" s="1"/>
  <c r="AV560" i="19"/>
  <c r="AW559" i="19"/>
  <c r="AX558" i="19"/>
  <c r="AV556" i="19"/>
  <c r="AW555" i="19"/>
  <c r="AX554" i="19"/>
  <c r="AV552" i="19"/>
  <c r="AW551" i="19"/>
  <c r="AX550" i="19"/>
  <c r="AV548" i="19"/>
  <c r="AW547" i="19"/>
  <c r="AX546" i="19"/>
  <c r="BC546" i="19" s="1"/>
  <c r="AV544" i="19"/>
  <c r="AW543" i="19"/>
  <c r="AX542" i="19"/>
  <c r="AV540" i="19"/>
  <c r="AW539" i="19"/>
  <c r="AX538" i="19"/>
  <c r="BC538" i="19" s="1"/>
  <c r="AV536" i="19"/>
  <c r="AW535" i="19"/>
  <c r="AX534" i="19"/>
  <c r="AW531" i="19"/>
  <c r="AX530" i="19"/>
  <c r="BC530" i="19" s="1"/>
  <c r="AV528" i="19"/>
  <c r="AW527" i="19"/>
  <c r="AX526" i="19"/>
  <c r="BC526" i="19" s="1"/>
  <c r="AV524" i="19"/>
  <c r="AW523" i="19"/>
  <c r="AX522" i="19"/>
  <c r="AV520" i="19"/>
  <c r="AW519" i="19"/>
  <c r="AX518" i="19"/>
  <c r="AV516" i="19"/>
  <c r="AV513" i="19"/>
  <c r="AV510" i="19"/>
  <c r="AW509" i="19"/>
  <c r="AX508" i="19"/>
  <c r="BC508" i="19" s="1"/>
  <c r="AV506" i="19"/>
  <c r="BC503" i="19"/>
  <c r="AV503" i="19"/>
  <c r="I498" i="19"/>
  <c r="AW498" i="19"/>
  <c r="J490" i="19"/>
  <c r="AX490" i="19"/>
  <c r="BC490" i="19" s="1"/>
  <c r="I487" i="19"/>
  <c r="AW487" i="19"/>
  <c r="J482" i="19"/>
  <c r="AX482" i="19"/>
  <c r="BC480" i="19"/>
  <c r="AV480" i="19"/>
  <c r="J474" i="19"/>
  <c r="AX474" i="19"/>
  <c r="BC472" i="19"/>
  <c r="AV472" i="19"/>
  <c r="I467" i="19"/>
  <c r="AW467" i="19"/>
  <c r="I460" i="19"/>
  <c r="I456" i="19" s="1"/>
  <c r="E47" i="18" s="1"/>
  <c r="AW460" i="19"/>
  <c r="I453" i="19"/>
  <c r="AW453" i="19"/>
  <c r="I446" i="19"/>
  <c r="AW446" i="19"/>
  <c r="BC443" i="19"/>
  <c r="AV443" i="19"/>
  <c r="I442" i="19"/>
  <c r="AW442" i="19"/>
  <c r="J437" i="19"/>
  <c r="AX437" i="19"/>
  <c r="AS435" i="19"/>
  <c r="AT425" i="19"/>
  <c r="J423" i="19"/>
  <c r="AX423" i="19"/>
  <c r="J419" i="19"/>
  <c r="AX419" i="19"/>
  <c r="J415" i="19"/>
  <c r="AX415" i="19"/>
  <c r="I412" i="19"/>
  <c r="AW412" i="19"/>
  <c r="BC409" i="19"/>
  <c r="AV409" i="19"/>
  <c r="AU404" i="19"/>
  <c r="I401" i="19"/>
  <c r="AW401" i="19"/>
  <c r="I386" i="19"/>
  <c r="AW386" i="19"/>
  <c r="BC383" i="19"/>
  <c r="AV383" i="19"/>
  <c r="AV379" i="19"/>
  <c r="I374" i="19"/>
  <c r="AW374" i="19"/>
  <c r="I370" i="19"/>
  <c r="AW370" i="19"/>
  <c r="I366" i="19"/>
  <c r="AW366" i="19"/>
  <c r="J361" i="19"/>
  <c r="AX361" i="19"/>
  <c r="I358" i="19"/>
  <c r="AW358" i="19"/>
  <c r="I355" i="19"/>
  <c r="AW355" i="19"/>
  <c r="BC347" i="19"/>
  <c r="AV347" i="19"/>
  <c r="BC309" i="19"/>
  <c r="AV309" i="19"/>
  <c r="BC195" i="19"/>
  <c r="AV195" i="19"/>
  <c r="J192" i="19"/>
  <c r="AX192" i="19"/>
  <c r="BI192" i="19"/>
  <c r="AE192" i="19" s="1"/>
  <c r="J174" i="19"/>
  <c r="AX174" i="19"/>
  <c r="AV174" i="19" s="1"/>
  <c r="BI174" i="19"/>
  <c r="AE174" i="19" s="1"/>
  <c r="BC173" i="19"/>
  <c r="AV173" i="19"/>
  <c r="BI590" i="19"/>
  <c r="AC590" i="19" s="1"/>
  <c r="BI554" i="19"/>
  <c r="AC554" i="19" s="1"/>
  <c r="I502" i="19"/>
  <c r="AW502" i="19"/>
  <c r="I491" i="19"/>
  <c r="AW491" i="19"/>
  <c r="J478" i="19"/>
  <c r="AX478" i="19"/>
  <c r="BC464" i="19"/>
  <c r="AV464" i="19"/>
  <c r="BC457" i="19"/>
  <c r="AV457" i="19"/>
  <c r="K448" i="19"/>
  <c r="G46" i="18" s="1"/>
  <c r="I46" i="18" s="1"/>
  <c r="AK449" i="19"/>
  <c r="AT448" i="19" s="1"/>
  <c r="I438" i="19"/>
  <c r="AW438" i="19"/>
  <c r="I427" i="19"/>
  <c r="AW427" i="19"/>
  <c r="BC402" i="19"/>
  <c r="AV402" i="19"/>
  <c r="J392" i="19"/>
  <c r="AX392" i="19"/>
  <c r="J381" i="19"/>
  <c r="AX381" i="19"/>
  <c r="I362" i="19"/>
  <c r="AW362" i="19"/>
  <c r="AV359" i="19"/>
  <c r="K304" i="19"/>
  <c r="G39" i="18" s="1"/>
  <c r="I39" i="18" s="1"/>
  <c r="I218" i="19"/>
  <c r="AW218" i="19"/>
  <c r="BH218" i="19"/>
  <c r="AD218" i="19" s="1"/>
  <c r="J597" i="19"/>
  <c r="AK594" i="19"/>
  <c r="AT591" i="19" s="1"/>
  <c r="AX589" i="19"/>
  <c r="AX581" i="19"/>
  <c r="AX577" i="19"/>
  <c r="AX565" i="19"/>
  <c r="AX561" i="19"/>
  <c r="AX557" i="19"/>
  <c r="AW554" i="19"/>
  <c r="AX553" i="19"/>
  <c r="AX549" i="19"/>
  <c r="AX545" i="19"/>
  <c r="AW542" i="19"/>
  <c r="AX541" i="19"/>
  <c r="AX537" i="19"/>
  <c r="AX533" i="19"/>
  <c r="AX525" i="19"/>
  <c r="AX521" i="19"/>
  <c r="AW518" i="19"/>
  <c r="AX517" i="19"/>
  <c r="AX514" i="19"/>
  <c r="BC514" i="19" s="1"/>
  <c r="J508" i="19"/>
  <c r="AX507" i="19"/>
  <c r="AV507" i="19" s="1"/>
  <c r="J505" i="19"/>
  <c r="AX505" i="19"/>
  <c r="BC499" i="19"/>
  <c r="AV499" i="19"/>
  <c r="J497" i="19"/>
  <c r="AX497" i="19"/>
  <c r="BC497" i="19" s="1"/>
  <c r="I494" i="19"/>
  <c r="AW494" i="19"/>
  <c r="AT492" i="19"/>
  <c r="K492" i="19"/>
  <c r="G49" i="18" s="1"/>
  <c r="I49" i="18" s="1"/>
  <c r="J486" i="19"/>
  <c r="AX486" i="19"/>
  <c r="BC484" i="19"/>
  <c r="BI478" i="19"/>
  <c r="AC478" i="19" s="1"/>
  <c r="AV476" i="19"/>
  <c r="BI470" i="19"/>
  <c r="AC470" i="19" s="1"/>
  <c r="J466" i="19"/>
  <c r="AX466" i="19"/>
  <c r="I463" i="19"/>
  <c r="AW463" i="19"/>
  <c r="J459" i="19"/>
  <c r="J456" i="19" s="1"/>
  <c r="F47" i="18" s="1"/>
  <c r="AX459" i="19"/>
  <c r="AV451" i="19"/>
  <c r="I449" i="19"/>
  <c r="AW449" i="19"/>
  <c r="AV444" i="19"/>
  <c r="J441" i="19"/>
  <c r="AX441" i="19"/>
  <c r="K435" i="19"/>
  <c r="G45" i="18" s="1"/>
  <c r="I45" i="18" s="1"/>
  <c r="J434" i="19"/>
  <c r="AX434" i="19"/>
  <c r="BC434" i="19" s="1"/>
  <c r="BC432" i="19"/>
  <c r="AV432" i="19"/>
  <c r="J426" i="19"/>
  <c r="AX426" i="19"/>
  <c r="BC426" i="19" s="1"/>
  <c r="AS425" i="19"/>
  <c r="K425" i="19"/>
  <c r="G44" i="18" s="1"/>
  <c r="I44" i="18" s="1"/>
  <c r="BC421" i="19"/>
  <c r="AV421" i="19"/>
  <c r="BC417" i="19"/>
  <c r="AV417" i="19"/>
  <c r="I408" i="19"/>
  <c r="AW408" i="19"/>
  <c r="BC405" i="19"/>
  <c r="AV405" i="19"/>
  <c r="AT404" i="19"/>
  <c r="K404" i="19"/>
  <c r="G43" i="18" s="1"/>
  <c r="I43" i="18" s="1"/>
  <c r="J400" i="19"/>
  <c r="AX400" i="19"/>
  <c r="J396" i="19"/>
  <c r="AX396" i="19"/>
  <c r="BC396" i="19" s="1"/>
  <c r="I390" i="19"/>
  <c r="AW390" i="19"/>
  <c r="I382" i="19"/>
  <c r="AW382" i="19"/>
  <c r="BI381" i="19"/>
  <c r="AE381" i="19" s="1"/>
  <c r="I378" i="19"/>
  <c r="AW378" i="19"/>
  <c r="BI377" i="19"/>
  <c r="AE377" i="19" s="1"/>
  <c r="J373" i="19"/>
  <c r="AX373" i="19"/>
  <c r="J365" i="19"/>
  <c r="AX365" i="19"/>
  <c r="J357" i="19"/>
  <c r="AX357" i="19"/>
  <c r="BC357" i="19" s="1"/>
  <c r="AS356" i="19"/>
  <c r="J354" i="19"/>
  <c r="AX354" i="19"/>
  <c r="BC354" i="19" s="1"/>
  <c r="J337" i="19"/>
  <c r="AX337" i="19"/>
  <c r="BI337" i="19"/>
  <c r="AE337" i="19" s="1"/>
  <c r="AV335" i="19"/>
  <c r="J326" i="19"/>
  <c r="AX326" i="19"/>
  <c r="BI326" i="19"/>
  <c r="AE326" i="19" s="1"/>
  <c r="J322" i="19"/>
  <c r="AX322" i="19"/>
  <c r="BI322" i="19"/>
  <c r="AE322" i="19" s="1"/>
  <c r="J318" i="19"/>
  <c r="AX318" i="19"/>
  <c r="BI318" i="19"/>
  <c r="AE318" i="19" s="1"/>
  <c r="BC238" i="19"/>
  <c r="AV238" i="19"/>
  <c r="J501" i="19"/>
  <c r="AX501" i="19"/>
  <c r="I483" i="19"/>
  <c r="AW483" i="19"/>
  <c r="BC454" i="19"/>
  <c r="AV454" i="19"/>
  <c r="BC447" i="19"/>
  <c r="AT435" i="19"/>
  <c r="I424" i="19"/>
  <c r="AW424" i="19"/>
  <c r="BC387" i="19"/>
  <c r="AV387" i="19"/>
  <c r="BC375" i="19"/>
  <c r="AV375" i="19"/>
  <c r="BC371" i="19"/>
  <c r="AV371" i="19"/>
  <c r="AV367" i="19"/>
  <c r="I342" i="19"/>
  <c r="AW342" i="19"/>
  <c r="BH342" i="19"/>
  <c r="AD342" i="19" s="1"/>
  <c r="I315" i="19"/>
  <c r="AW315" i="19"/>
  <c r="BH315" i="19"/>
  <c r="AD315" i="19" s="1"/>
  <c r="I293" i="19"/>
  <c r="AW293" i="19"/>
  <c r="BH293" i="19"/>
  <c r="AD293" i="19" s="1"/>
  <c r="J291" i="19"/>
  <c r="AX291" i="19"/>
  <c r="BI291" i="19"/>
  <c r="AE291" i="19" s="1"/>
  <c r="BI505" i="19"/>
  <c r="AC505" i="19" s="1"/>
  <c r="BH502" i="19"/>
  <c r="AB502" i="19" s="1"/>
  <c r="BI501" i="19"/>
  <c r="AC501" i="19" s="1"/>
  <c r="J493" i="19"/>
  <c r="AX493" i="19"/>
  <c r="BC493" i="19" s="1"/>
  <c r="AS492" i="19"/>
  <c r="BH491" i="19"/>
  <c r="AB491" i="19" s="1"/>
  <c r="BI490" i="19"/>
  <c r="AC490" i="19" s="1"/>
  <c r="BC488" i="19"/>
  <c r="AV488" i="19"/>
  <c r="BH483" i="19"/>
  <c r="AB483" i="19" s="1"/>
  <c r="BI482" i="19"/>
  <c r="AC482" i="19" s="1"/>
  <c r="I479" i="19"/>
  <c r="AW479" i="19"/>
  <c r="BH475" i="19"/>
  <c r="AB475" i="19" s="1"/>
  <c r="BI474" i="19"/>
  <c r="AC474" i="19" s="1"/>
  <c r="I471" i="19"/>
  <c r="AW471" i="19"/>
  <c r="BC468" i="19"/>
  <c r="AV468" i="19"/>
  <c r="AU462" i="19"/>
  <c r="K462" i="19"/>
  <c r="G48" i="18" s="1"/>
  <c r="I48" i="18" s="1"/>
  <c r="AK463" i="19"/>
  <c r="AT462" i="19" s="1"/>
  <c r="AU456" i="19"/>
  <c r="J452" i="19"/>
  <c r="J448" i="19" s="1"/>
  <c r="F46" i="18" s="1"/>
  <c r="AX452" i="19"/>
  <c r="BC452" i="19" s="1"/>
  <c r="AU448" i="19"/>
  <c r="J445" i="19"/>
  <c r="AX445" i="19"/>
  <c r="BC445" i="19" s="1"/>
  <c r="BC439" i="19"/>
  <c r="AV439" i="19"/>
  <c r="BH438" i="19"/>
  <c r="AD438" i="19" s="1"/>
  <c r="AU435" i="19"/>
  <c r="I431" i="19"/>
  <c r="AW431" i="19"/>
  <c r="BI430" i="19"/>
  <c r="AE430" i="19" s="1"/>
  <c r="BC428" i="19"/>
  <c r="AV428" i="19"/>
  <c r="BH427" i="19"/>
  <c r="AD427" i="19" s="1"/>
  <c r="BH424" i="19"/>
  <c r="I420" i="19"/>
  <c r="AW420" i="19"/>
  <c r="BI419" i="19"/>
  <c r="AE419" i="19" s="1"/>
  <c r="I416" i="19"/>
  <c r="AW416" i="19"/>
  <c r="BI415" i="19"/>
  <c r="AE415" i="19" s="1"/>
  <c r="J411" i="19"/>
  <c r="AX411" i="19"/>
  <c r="BC411" i="19" s="1"/>
  <c r="J407" i="19"/>
  <c r="AX407" i="19"/>
  <c r="AV403" i="19"/>
  <c r="BC398" i="19"/>
  <c r="AV398" i="19"/>
  <c r="BH397" i="19"/>
  <c r="AD397" i="19" s="1"/>
  <c r="I393" i="19"/>
  <c r="I391" i="19" s="1"/>
  <c r="E42" i="18" s="1"/>
  <c r="AW393" i="19"/>
  <c r="BI392" i="19"/>
  <c r="AE392" i="19" s="1"/>
  <c r="AT391" i="19"/>
  <c r="J389" i="19"/>
  <c r="AX389" i="19"/>
  <c r="J385" i="19"/>
  <c r="AX385" i="19"/>
  <c r="J369" i="19"/>
  <c r="AX369" i="19"/>
  <c r="BC363" i="19"/>
  <c r="AV363" i="19"/>
  <c r="BH362" i="19"/>
  <c r="AD362" i="19" s="1"/>
  <c r="K356" i="19"/>
  <c r="G41" i="18" s="1"/>
  <c r="I41" i="18" s="1"/>
  <c r="AK358" i="19"/>
  <c r="AT356" i="19" s="1"/>
  <c r="BC352" i="19"/>
  <c r="AV352" i="19"/>
  <c r="I350" i="19"/>
  <c r="AW350" i="19"/>
  <c r="I346" i="19"/>
  <c r="AW346" i="19"/>
  <c r="J341" i="19"/>
  <c r="AX341" i="19"/>
  <c r="I334" i="19"/>
  <c r="AW334" i="19"/>
  <c r="BC331" i="19"/>
  <c r="AV331" i="19"/>
  <c r="I330" i="19"/>
  <c r="I327" i="19" s="1"/>
  <c r="E40" i="18" s="1"/>
  <c r="AW330" i="19"/>
  <c r="AU327" i="19"/>
  <c r="J314" i="19"/>
  <c r="AX314" i="19"/>
  <c r="I311" i="19"/>
  <c r="AW311" i="19"/>
  <c r="AV308" i="19"/>
  <c r="AU304" i="19"/>
  <c r="J299" i="19"/>
  <c r="AX299" i="19"/>
  <c r="BC297" i="19"/>
  <c r="I292" i="19"/>
  <c r="AW292" i="19"/>
  <c r="BH292" i="19"/>
  <c r="AD292" i="19" s="1"/>
  <c r="BC266" i="19"/>
  <c r="AV266" i="19"/>
  <c r="J253" i="19"/>
  <c r="AX253" i="19"/>
  <c r="BI253" i="19"/>
  <c r="AE253" i="19" s="1"/>
  <c r="BC226" i="19"/>
  <c r="AV226" i="19"/>
  <c r="AU203" i="19"/>
  <c r="J175" i="19"/>
  <c r="AX175" i="19"/>
  <c r="BI175" i="19"/>
  <c r="AE175" i="19" s="1"/>
  <c r="BC84" i="19"/>
  <c r="AK84" i="19"/>
  <c r="K82" i="19"/>
  <c r="G24" i="18" s="1"/>
  <c r="I24" i="18" s="1"/>
  <c r="AW501" i="19"/>
  <c r="AX500" i="19"/>
  <c r="AX496" i="19"/>
  <c r="AV496" i="19" s="1"/>
  <c r="AX489" i="19"/>
  <c r="AX477" i="19"/>
  <c r="AV477" i="19" s="1"/>
  <c r="AX465" i="19"/>
  <c r="AV465" i="19" s="1"/>
  <c r="AW459" i="19"/>
  <c r="AX455" i="19"/>
  <c r="AV455" i="19" s="1"/>
  <c r="AW441" i="19"/>
  <c r="AW437" i="19"/>
  <c r="AX433" i="19"/>
  <c r="AW430" i="19"/>
  <c r="AW423" i="19"/>
  <c r="AX410" i="19"/>
  <c r="AW407" i="19"/>
  <c r="AX406" i="19"/>
  <c r="AW400" i="19"/>
  <c r="AX399" i="19"/>
  <c r="AV399" i="19" s="1"/>
  <c r="AW392" i="19"/>
  <c r="AW389" i="19"/>
  <c r="AX384" i="19"/>
  <c r="AX380" i="19"/>
  <c r="AV380" i="19" s="1"/>
  <c r="AW373" i="19"/>
  <c r="AX372" i="19"/>
  <c r="AX368" i="19"/>
  <c r="AV368" i="19" s="1"/>
  <c r="AW365" i="19"/>
  <c r="AW361" i="19"/>
  <c r="AX360" i="19"/>
  <c r="J349" i="19"/>
  <c r="AX349" i="19"/>
  <c r="BC339" i="19"/>
  <c r="AV339" i="19"/>
  <c r="J333" i="19"/>
  <c r="AX333" i="19"/>
  <c r="AT327" i="19"/>
  <c r="BC324" i="19"/>
  <c r="AV324" i="19"/>
  <c r="BC320" i="19"/>
  <c r="AV320" i="19"/>
  <c r="I307" i="19"/>
  <c r="AW307" i="19"/>
  <c r="AT304" i="19"/>
  <c r="BC285" i="19"/>
  <c r="AV285" i="19"/>
  <c r="AS280" i="19"/>
  <c r="J257" i="19"/>
  <c r="AX257" i="19"/>
  <c r="BI257" i="19"/>
  <c r="AE257" i="19" s="1"/>
  <c r="J249" i="19"/>
  <c r="AX249" i="19"/>
  <c r="BI249" i="19"/>
  <c r="AE249" i="19" s="1"/>
  <c r="J245" i="19"/>
  <c r="AX245" i="19"/>
  <c r="BI245" i="19"/>
  <c r="AE245" i="19" s="1"/>
  <c r="J244" i="19"/>
  <c r="AX244" i="19"/>
  <c r="BC244" i="19" s="1"/>
  <c r="BI244" i="19"/>
  <c r="AE244" i="19" s="1"/>
  <c r="J233" i="19"/>
  <c r="AX233" i="19"/>
  <c r="BI233" i="19"/>
  <c r="AE233" i="19" s="1"/>
  <c r="J232" i="19"/>
  <c r="AX232" i="19"/>
  <c r="AV232" i="19" s="1"/>
  <c r="BI232" i="19"/>
  <c r="AE232" i="19" s="1"/>
  <c r="AT203" i="19"/>
  <c r="AS153" i="19"/>
  <c r="J92" i="19"/>
  <c r="J91" i="19" s="1"/>
  <c r="F27" i="18" s="1"/>
  <c r="AX92" i="19"/>
  <c r="BI92" i="19"/>
  <c r="AC92" i="19" s="1"/>
  <c r="J345" i="19"/>
  <c r="AX345" i="19"/>
  <c r="BC345" i="19" s="1"/>
  <c r="BC343" i="19"/>
  <c r="AV343" i="19"/>
  <c r="I338" i="19"/>
  <c r="AW338" i="19"/>
  <c r="J329" i="19"/>
  <c r="J327" i="19" s="1"/>
  <c r="F40" i="18" s="1"/>
  <c r="AX329" i="19"/>
  <c r="AS327" i="19"/>
  <c r="I323" i="19"/>
  <c r="AW323" i="19"/>
  <c r="I319" i="19"/>
  <c r="AW319" i="19"/>
  <c r="AV316" i="19"/>
  <c r="J310" i="19"/>
  <c r="AX310" i="19"/>
  <c r="BC310" i="19" s="1"/>
  <c r="J306" i="19"/>
  <c r="AX306" i="19"/>
  <c r="AS304" i="19"/>
  <c r="J303" i="19"/>
  <c r="AX303" i="19"/>
  <c r="I300" i="19"/>
  <c r="AW300" i="19"/>
  <c r="BC294" i="19"/>
  <c r="AV294" i="19"/>
  <c r="BC281" i="19"/>
  <c r="AV281" i="19"/>
  <c r="K280" i="19"/>
  <c r="G38" i="18" s="1"/>
  <c r="I38" i="18" s="1"/>
  <c r="AK281" i="19"/>
  <c r="AT280" i="19" s="1"/>
  <c r="BC262" i="19"/>
  <c r="AV262" i="19"/>
  <c r="J168" i="19"/>
  <c r="AX168" i="19"/>
  <c r="BI168" i="19"/>
  <c r="AV167" i="19"/>
  <c r="BC107" i="19"/>
  <c r="AV107" i="19"/>
  <c r="J295" i="19"/>
  <c r="AX295" i="19"/>
  <c r="AV295" i="19" s="1"/>
  <c r="BC278" i="19"/>
  <c r="AV278" i="19"/>
  <c r="AX277" i="19"/>
  <c r="BC270" i="19"/>
  <c r="J260" i="19"/>
  <c r="AX260" i="19"/>
  <c r="I257" i="19"/>
  <c r="AW257" i="19"/>
  <c r="J256" i="19"/>
  <c r="AX256" i="19"/>
  <c r="I253" i="19"/>
  <c r="AW253" i="19"/>
  <c r="J252" i="19"/>
  <c r="AX252" i="19"/>
  <c r="I249" i="19"/>
  <c r="AW249" i="19"/>
  <c r="J248" i="19"/>
  <c r="AX248" i="19"/>
  <c r="I245" i="19"/>
  <c r="AW245" i="19"/>
  <c r="J236" i="19"/>
  <c r="AX236" i="19"/>
  <c r="I233" i="19"/>
  <c r="AW233" i="19"/>
  <c r="BC230" i="19"/>
  <c r="I214" i="19"/>
  <c r="AW214" i="19"/>
  <c r="BC211" i="19"/>
  <c r="J209" i="19"/>
  <c r="AX209" i="19"/>
  <c r="I206" i="19"/>
  <c r="AW206" i="19"/>
  <c r="I194" i="19"/>
  <c r="AW194" i="19"/>
  <c r="BH194" i="19"/>
  <c r="AD194" i="19" s="1"/>
  <c r="I193" i="19"/>
  <c r="AW193" i="19"/>
  <c r="BH193" i="19"/>
  <c r="AD193" i="19" s="1"/>
  <c r="K177" i="19"/>
  <c r="G35" i="18" s="1"/>
  <c r="I35" i="18" s="1"/>
  <c r="AK178" i="19"/>
  <c r="AT177" i="19" s="1"/>
  <c r="J165" i="19"/>
  <c r="AX165" i="19"/>
  <c r="BI165" i="19"/>
  <c r="I151" i="19"/>
  <c r="AW151" i="19"/>
  <c r="BH151" i="19"/>
  <c r="AB151" i="19" s="1"/>
  <c r="I147" i="19"/>
  <c r="AW147" i="19"/>
  <c r="BH147" i="19"/>
  <c r="AB147" i="19" s="1"/>
  <c r="I143" i="19"/>
  <c r="AW143" i="19"/>
  <c r="BH143" i="19"/>
  <c r="AB143" i="19" s="1"/>
  <c r="I137" i="19"/>
  <c r="AW137" i="19"/>
  <c r="BH137" i="19"/>
  <c r="AB137" i="19" s="1"/>
  <c r="AT134" i="19"/>
  <c r="J121" i="19"/>
  <c r="AX121" i="19"/>
  <c r="BI121" i="19"/>
  <c r="AC121" i="19" s="1"/>
  <c r="J86" i="19"/>
  <c r="J85" i="19" s="1"/>
  <c r="F25" i="18" s="1"/>
  <c r="AX86" i="19"/>
  <c r="BI86" i="19"/>
  <c r="AC86" i="19" s="1"/>
  <c r="AW349" i="19"/>
  <c r="AW341" i="19"/>
  <c r="AW337" i="19"/>
  <c r="AW333" i="19"/>
  <c r="AX332" i="19"/>
  <c r="AX328" i="19"/>
  <c r="AW322" i="19"/>
  <c r="AW318" i="19"/>
  <c r="AX317" i="19"/>
  <c r="AW314" i="19"/>
  <c r="AX313" i="19"/>
  <c r="AV313" i="19" s="1"/>
  <c r="AW306" i="19"/>
  <c r="AX305" i="19"/>
  <c r="AV305" i="19" s="1"/>
  <c r="AW303" i="19"/>
  <c r="AX302" i="19"/>
  <c r="AW299" i="19"/>
  <c r="I296" i="19"/>
  <c r="AW296" i="19"/>
  <c r="J287" i="19"/>
  <c r="AX287" i="19"/>
  <c r="I284" i="19"/>
  <c r="AW284" i="19"/>
  <c r="J283" i="19"/>
  <c r="AX283" i="19"/>
  <c r="J268" i="19"/>
  <c r="AX268" i="19"/>
  <c r="I265" i="19"/>
  <c r="AW265" i="19"/>
  <c r="J264" i="19"/>
  <c r="AX264" i="19"/>
  <c r="I261" i="19"/>
  <c r="AW261" i="19"/>
  <c r="BI256" i="19"/>
  <c r="AE256" i="19" s="1"/>
  <c r="BI252" i="19"/>
  <c r="AE252" i="19" s="1"/>
  <c r="BI248" i="19"/>
  <c r="AE248" i="19" s="1"/>
  <c r="BC239" i="19"/>
  <c r="I237" i="19"/>
  <c r="AW237" i="19"/>
  <c r="BC232" i="19"/>
  <c r="J228" i="19"/>
  <c r="AX228" i="19"/>
  <c r="I225" i="19"/>
  <c r="AW225" i="19"/>
  <c r="J224" i="19"/>
  <c r="AX224" i="19"/>
  <c r="I221" i="19"/>
  <c r="AW221" i="19"/>
  <c r="J220" i="19"/>
  <c r="AX220" i="19"/>
  <c r="BC219" i="19"/>
  <c r="AV219" i="19"/>
  <c r="J217" i="19"/>
  <c r="AX217" i="19"/>
  <c r="BC198" i="19"/>
  <c r="AV198" i="19"/>
  <c r="AS186" i="19"/>
  <c r="J185" i="19"/>
  <c r="AX185" i="19"/>
  <c r="BI185" i="19"/>
  <c r="J182" i="19"/>
  <c r="AX182" i="19"/>
  <c r="BI182" i="19"/>
  <c r="AE182" i="19" s="1"/>
  <c r="J178" i="19"/>
  <c r="AX178" i="19"/>
  <c r="BI178" i="19"/>
  <c r="AE178" i="19" s="1"/>
  <c r="J132" i="19"/>
  <c r="AX132" i="19"/>
  <c r="BI132" i="19"/>
  <c r="AC132" i="19" s="1"/>
  <c r="I126" i="19"/>
  <c r="AW126" i="19"/>
  <c r="BH126" i="19"/>
  <c r="AB126" i="19" s="1"/>
  <c r="I125" i="19"/>
  <c r="AW125" i="19"/>
  <c r="BH125" i="19"/>
  <c r="AB125" i="19" s="1"/>
  <c r="K94" i="19"/>
  <c r="G28" i="18" s="1"/>
  <c r="I28" i="18" s="1"/>
  <c r="AK95" i="19"/>
  <c r="AT94" i="19" s="1"/>
  <c r="J80" i="19"/>
  <c r="AX80" i="19"/>
  <c r="BI80" i="19"/>
  <c r="AC80" i="19" s="1"/>
  <c r="J72" i="19"/>
  <c r="AX72" i="19"/>
  <c r="BI72" i="19"/>
  <c r="AC72" i="19" s="1"/>
  <c r="J60" i="19"/>
  <c r="AX60" i="19"/>
  <c r="BI60" i="19"/>
  <c r="AC60" i="19" s="1"/>
  <c r="AS57" i="19"/>
  <c r="BI296" i="19"/>
  <c r="AE296" i="19" s="1"/>
  <c r="BI295" i="19"/>
  <c r="AE295" i="19" s="1"/>
  <c r="BC290" i="19"/>
  <c r="I288" i="19"/>
  <c r="AW288" i="19"/>
  <c r="AV286" i="19"/>
  <c r="BI284" i="19"/>
  <c r="AE284" i="19" s="1"/>
  <c r="BI283" i="19"/>
  <c r="AE283" i="19" s="1"/>
  <c r="AU280" i="19"/>
  <c r="I277" i="19"/>
  <c r="AW277" i="19"/>
  <c r="J276" i="19"/>
  <c r="AX276" i="19"/>
  <c r="I273" i="19"/>
  <c r="AW273" i="19"/>
  <c r="J272" i="19"/>
  <c r="AX272" i="19"/>
  <c r="I269" i="19"/>
  <c r="AW269" i="19"/>
  <c r="BI265" i="19"/>
  <c r="AE265" i="19" s="1"/>
  <c r="BI261" i="19"/>
  <c r="AE261" i="19" s="1"/>
  <c r="BC258" i="19"/>
  <c r="BC254" i="19"/>
  <c r="AV254" i="19"/>
  <c r="AW250" i="19"/>
  <c r="BH249" i="19"/>
  <c r="AD249" i="19" s="1"/>
  <c r="BH246" i="19"/>
  <c r="AD246" i="19" s="1"/>
  <c r="AW246" i="19"/>
  <c r="BH245" i="19"/>
  <c r="AD245" i="19" s="1"/>
  <c r="BC243" i="19"/>
  <c r="I241" i="19"/>
  <c r="AW241" i="19"/>
  <c r="J240" i="19"/>
  <c r="AX240" i="19"/>
  <c r="BI237" i="19"/>
  <c r="AE237" i="19" s="1"/>
  <c r="BI236" i="19"/>
  <c r="AE236" i="19" s="1"/>
  <c r="BH234" i="19"/>
  <c r="AD234" i="19" s="1"/>
  <c r="AW234" i="19"/>
  <c r="BH233" i="19"/>
  <c r="AD233" i="19" s="1"/>
  <c r="BC231" i="19"/>
  <c r="I229" i="19"/>
  <c r="AW229" i="19"/>
  <c r="BI225" i="19"/>
  <c r="AE225" i="19" s="1"/>
  <c r="BI221" i="19"/>
  <c r="AE221" i="19" s="1"/>
  <c r="BC215" i="19"/>
  <c r="AV215" i="19"/>
  <c r="J213" i="19"/>
  <c r="AX213" i="19"/>
  <c r="I210" i="19"/>
  <c r="AW210" i="19"/>
  <c r="BC207" i="19"/>
  <c r="AV207" i="19"/>
  <c r="J205" i="19"/>
  <c r="AX205" i="19"/>
  <c r="AK175" i="19"/>
  <c r="K172" i="19"/>
  <c r="G34" i="18" s="1"/>
  <c r="I34" i="18" s="1"/>
  <c r="I169" i="19"/>
  <c r="AW169" i="19"/>
  <c r="BH169" i="19"/>
  <c r="I154" i="19"/>
  <c r="AW154" i="19"/>
  <c r="BH154" i="19"/>
  <c r="I150" i="19"/>
  <c r="AW150" i="19"/>
  <c r="BH150" i="19"/>
  <c r="AB150" i="19" s="1"/>
  <c r="I146" i="19"/>
  <c r="AW146" i="19"/>
  <c r="BH146" i="19"/>
  <c r="AB146" i="19" s="1"/>
  <c r="I142" i="19"/>
  <c r="AW142" i="19"/>
  <c r="BH142" i="19"/>
  <c r="AB142" i="19" s="1"/>
  <c r="AS114" i="19"/>
  <c r="BC90" i="19"/>
  <c r="AS203" i="19"/>
  <c r="BC202" i="19"/>
  <c r="AV202" i="19"/>
  <c r="J196" i="19"/>
  <c r="AX196" i="19"/>
  <c r="BC190" i="19"/>
  <c r="AV190" i="19"/>
  <c r="I182" i="19"/>
  <c r="AW182" i="19"/>
  <c r="J181" i="19"/>
  <c r="AX181" i="19"/>
  <c r="I178" i="19"/>
  <c r="I177" i="19" s="1"/>
  <c r="E35" i="18" s="1"/>
  <c r="AW178" i="19"/>
  <c r="I175" i="19"/>
  <c r="AW175" i="19"/>
  <c r="AT172" i="19"/>
  <c r="I165" i="19"/>
  <c r="AW165" i="19"/>
  <c r="J164" i="19"/>
  <c r="AX164" i="19"/>
  <c r="BC162" i="19"/>
  <c r="AV162" i="19"/>
  <c r="BC158" i="19"/>
  <c r="AU153" i="19"/>
  <c r="I141" i="19"/>
  <c r="AW141" i="19"/>
  <c r="BH141" i="19"/>
  <c r="AB141" i="19" s="1"/>
  <c r="AU134" i="19"/>
  <c r="J135" i="19"/>
  <c r="AX135" i="19"/>
  <c r="BI135" i="19"/>
  <c r="AC135" i="19" s="1"/>
  <c r="J128" i="19"/>
  <c r="AX128" i="19"/>
  <c r="I122" i="19"/>
  <c r="AW122" i="19"/>
  <c r="BH122" i="19"/>
  <c r="AB122" i="19" s="1"/>
  <c r="I121" i="19"/>
  <c r="AW121" i="19"/>
  <c r="BH121" i="19"/>
  <c r="AB121" i="19" s="1"/>
  <c r="J117" i="19"/>
  <c r="AX117" i="19"/>
  <c r="BI117" i="19"/>
  <c r="AC117" i="19" s="1"/>
  <c r="I110" i="19"/>
  <c r="AW110" i="19"/>
  <c r="BH110" i="19"/>
  <c r="AB110" i="19" s="1"/>
  <c r="BC108" i="19"/>
  <c r="AV108" i="19"/>
  <c r="BC103" i="19"/>
  <c r="AV103" i="19"/>
  <c r="K102" i="19"/>
  <c r="G29" i="18" s="1"/>
  <c r="I29" i="18" s="1"/>
  <c r="AK103" i="19"/>
  <c r="AT102" i="19" s="1"/>
  <c r="J99" i="19"/>
  <c r="AX99" i="19"/>
  <c r="BI99" i="19"/>
  <c r="AC99" i="19" s="1"/>
  <c r="I93" i="19"/>
  <c r="AW93" i="19"/>
  <c r="BH93" i="19"/>
  <c r="AB93" i="19" s="1"/>
  <c r="I92" i="19"/>
  <c r="I91" i="19" s="1"/>
  <c r="E27" i="18" s="1"/>
  <c r="AW92" i="19"/>
  <c r="BH92" i="19"/>
  <c r="AB92" i="19" s="1"/>
  <c r="I87" i="19"/>
  <c r="AW87" i="19"/>
  <c r="BH87" i="19"/>
  <c r="AB87" i="19" s="1"/>
  <c r="I86" i="19"/>
  <c r="AW86" i="19"/>
  <c r="BH86" i="19"/>
  <c r="AB86" i="19" s="1"/>
  <c r="J18" i="19"/>
  <c r="J17" i="19" s="1"/>
  <c r="F12" i="18" s="1"/>
  <c r="AX18" i="19"/>
  <c r="BI18" i="19"/>
  <c r="AC18" i="19" s="1"/>
  <c r="AW217" i="19"/>
  <c r="AX216" i="19"/>
  <c r="AW213" i="19"/>
  <c r="AX212" i="19"/>
  <c r="AW209" i="19"/>
  <c r="AX208" i="19"/>
  <c r="AW205" i="19"/>
  <c r="AX204" i="19"/>
  <c r="K203" i="19"/>
  <c r="G37" i="18" s="1"/>
  <c r="I37" i="18" s="1"/>
  <c r="BC199" i="19"/>
  <c r="I197" i="19"/>
  <c r="AW197" i="19"/>
  <c r="AX193" i="19"/>
  <c r="J188" i="19"/>
  <c r="AX188" i="19"/>
  <c r="AU186" i="19"/>
  <c r="BI181" i="19"/>
  <c r="AE181" i="19" s="1"/>
  <c r="AV180" i="19"/>
  <c r="BC174" i="19"/>
  <c r="J171" i="19"/>
  <c r="J170" i="19" s="1"/>
  <c r="F33" i="18" s="1"/>
  <c r="AX171" i="19"/>
  <c r="AX169" i="19"/>
  <c r="BI164" i="19"/>
  <c r="J160" i="19"/>
  <c r="AX160" i="19"/>
  <c r="J156" i="19"/>
  <c r="AX156" i="19"/>
  <c r="J149" i="19"/>
  <c r="AX149" i="19"/>
  <c r="J145" i="19"/>
  <c r="AX145" i="19"/>
  <c r="I136" i="19"/>
  <c r="AW136" i="19"/>
  <c r="BH136" i="19"/>
  <c r="AB136" i="19" s="1"/>
  <c r="J133" i="19"/>
  <c r="BI133" i="19"/>
  <c r="AC133" i="19" s="1"/>
  <c r="I118" i="19"/>
  <c r="AW118" i="19"/>
  <c r="BH118" i="19"/>
  <c r="AB118" i="19" s="1"/>
  <c r="I117" i="19"/>
  <c r="AW117" i="19"/>
  <c r="BH117" i="19"/>
  <c r="AB117" i="19" s="1"/>
  <c r="J105" i="19"/>
  <c r="AX105" i="19"/>
  <c r="BI105" i="19"/>
  <c r="AC105" i="19" s="1"/>
  <c r="AS102" i="19"/>
  <c r="AV104" i="19"/>
  <c r="I100" i="19"/>
  <c r="AW100" i="19"/>
  <c r="BH100" i="19"/>
  <c r="AB100" i="19" s="1"/>
  <c r="I99" i="19"/>
  <c r="AW99" i="19"/>
  <c r="BH99" i="19"/>
  <c r="AB99" i="19" s="1"/>
  <c r="J76" i="19"/>
  <c r="AX76" i="19"/>
  <c r="BI76" i="19"/>
  <c r="AC76" i="19" s="1"/>
  <c r="AV74" i="19"/>
  <c r="I61" i="19"/>
  <c r="AW61" i="19"/>
  <c r="BH61" i="19"/>
  <c r="AB61" i="19" s="1"/>
  <c r="J51" i="19"/>
  <c r="AX51" i="19"/>
  <c r="BI51" i="19"/>
  <c r="AC51" i="19" s="1"/>
  <c r="AV50" i="19"/>
  <c r="BC44" i="19"/>
  <c r="AV44" i="19"/>
  <c r="I33" i="19"/>
  <c r="AW33" i="19"/>
  <c r="BH33" i="19"/>
  <c r="AB33" i="19" s="1"/>
  <c r="I201" i="19"/>
  <c r="AW201" i="19"/>
  <c r="J200" i="19"/>
  <c r="AX200" i="19"/>
  <c r="BI197" i="19"/>
  <c r="AE197" i="19" s="1"/>
  <c r="BI196" i="19"/>
  <c r="AE196" i="19" s="1"/>
  <c r="BC191" i="19"/>
  <c r="I189" i="19"/>
  <c r="AW189" i="19"/>
  <c r="AT186" i="19"/>
  <c r="K186" i="19"/>
  <c r="G36" i="18" s="1"/>
  <c r="I36" i="18" s="1"/>
  <c r="BH183" i="19"/>
  <c r="AD183" i="19" s="1"/>
  <c r="AW183" i="19"/>
  <c r="BH182" i="19"/>
  <c r="AD182" i="19" s="1"/>
  <c r="BH179" i="19"/>
  <c r="AD179" i="19" s="1"/>
  <c r="AW179" i="19"/>
  <c r="BH178" i="19"/>
  <c r="AD178" i="19" s="1"/>
  <c r="AS177" i="19"/>
  <c r="BH176" i="19"/>
  <c r="AW176" i="19"/>
  <c r="BH175" i="19"/>
  <c r="AD175" i="19" s="1"/>
  <c r="I172" i="19"/>
  <c r="E34" i="18" s="1"/>
  <c r="BH166" i="19"/>
  <c r="AW166" i="19"/>
  <c r="BH165" i="19"/>
  <c r="I161" i="19"/>
  <c r="AW161" i="19"/>
  <c r="I157" i="19"/>
  <c r="AW157" i="19"/>
  <c r="K153" i="19"/>
  <c r="G32" i="18" s="1"/>
  <c r="I32" i="18" s="1"/>
  <c r="AK154" i="19"/>
  <c r="AT153" i="19" s="1"/>
  <c r="AV152" i="19"/>
  <c r="BI149" i="19"/>
  <c r="AC149" i="19" s="1"/>
  <c r="AV148" i="19"/>
  <c r="BI145" i="19"/>
  <c r="AC145" i="19" s="1"/>
  <c r="AV144" i="19"/>
  <c r="I140" i="19"/>
  <c r="AW140" i="19"/>
  <c r="BH140" i="19"/>
  <c r="AB140" i="19" s="1"/>
  <c r="K134" i="19"/>
  <c r="G31" i="18" s="1"/>
  <c r="I31" i="18" s="1"/>
  <c r="J129" i="19"/>
  <c r="BI129" i="19"/>
  <c r="AC129" i="19" s="1"/>
  <c r="BI128" i="19"/>
  <c r="AC128" i="19" s="1"/>
  <c r="J125" i="19"/>
  <c r="AX125" i="19"/>
  <c r="BI125" i="19"/>
  <c r="AC125" i="19" s="1"/>
  <c r="I111" i="19"/>
  <c r="AW111" i="19"/>
  <c r="BH111" i="19"/>
  <c r="AB111" i="19" s="1"/>
  <c r="K88" i="19"/>
  <c r="G26" i="18" s="1"/>
  <c r="I26" i="18" s="1"/>
  <c r="AK89" i="19"/>
  <c r="AT88" i="19" s="1"/>
  <c r="I69" i="19"/>
  <c r="AW69" i="19"/>
  <c r="BH69" i="19"/>
  <c r="AB69" i="19" s="1"/>
  <c r="I67" i="19"/>
  <c r="AW67" i="19"/>
  <c r="BH67" i="19"/>
  <c r="AB67" i="19" s="1"/>
  <c r="I54" i="19"/>
  <c r="AW54" i="19"/>
  <c r="BH54" i="19"/>
  <c r="AB54" i="19" s="1"/>
  <c r="AX140" i="19"/>
  <c r="J139" i="19"/>
  <c r="AX139" i="19"/>
  <c r="AX136" i="19"/>
  <c r="I133" i="19"/>
  <c r="AW133" i="19"/>
  <c r="I129" i="19"/>
  <c r="AW129" i="19"/>
  <c r="K114" i="19"/>
  <c r="G30" i="18" s="1"/>
  <c r="I30" i="18" s="1"/>
  <c r="BC112" i="19"/>
  <c r="AX110" i="19"/>
  <c r="J109" i="19"/>
  <c r="AX109" i="19"/>
  <c r="J98" i="19"/>
  <c r="J94" i="19" s="1"/>
  <c r="F28" i="18" s="1"/>
  <c r="AX98" i="19"/>
  <c r="K91" i="19"/>
  <c r="G27" i="18" s="1"/>
  <c r="I27" i="18" s="1"/>
  <c r="AK92" i="19"/>
  <c r="AT91" i="19" s="1"/>
  <c r="K85" i="19"/>
  <c r="G25" i="18" s="1"/>
  <c r="I25" i="18" s="1"/>
  <c r="AK86" i="19"/>
  <c r="AT85" i="19" s="1"/>
  <c r="J82" i="19"/>
  <c r="F24" i="18" s="1"/>
  <c r="J77" i="19"/>
  <c r="BI77" i="19"/>
  <c r="AC77" i="19" s="1"/>
  <c r="I55" i="19"/>
  <c r="AW55" i="19"/>
  <c r="BH55" i="19"/>
  <c r="AB55" i="19" s="1"/>
  <c r="K22" i="19"/>
  <c r="G14" i="18" s="1"/>
  <c r="I14" i="18" s="1"/>
  <c r="AK15" i="19"/>
  <c r="AT12" i="19" s="1"/>
  <c r="K12" i="19"/>
  <c r="J124" i="19"/>
  <c r="AX124" i="19"/>
  <c r="J120" i="19"/>
  <c r="AX120" i="19"/>
  <c r="J116" i="19"/>
  <c r="AX116" i="19"/>
  <c r="AU114" i="19"/>
  <c r="J113" i="19"/>
  <c r="AX113" i="19"/>
  <c r="I106" i="19"/>
  <c r="AW106" i="19"/>
  <c r="AU102" i="19"/>
  <c r="I95" i="19"/>
  <c r="AW95" i="19"/>
  <c r="I89" i="19"/>
  <c r="I88" i="19" s="1"/>
  <c r="E26" i="18" s="1"/>
  <c r="AW89" i="19"/>
  <c r="I83" i="19"/>
  <c r="I82" i="19" s="1"/>
  <c r="E24" i="18" s="1"/>
  <c r="AW83" i="19"/>
  <c r="J73" i="19"/>
  <c r="BI73" i="19"/>
  <c r="AC73" i="19" s="1"/>
  <c r="J67" i="19"/>
  <c r="AX67" i="19"/>
  <c r="BI67" i="19"/>
  <c r="AC67" i="19" s="1"/>
  <c r="I62" i="19"/>
  <c r="AW62" i="19"/>
  <c r="BH62" i="19"/>
  <c r="AB62" i="19" s="1"/>
  <c r="AV58" i="19"/>
  <c r="K57" i="19"/>
  <c r="G23" i="18" s="1"/>
  <c r="I23" i="18" s="1"/>
  <c r="AK58" i="19"/>
  <c r="AT57" i="19" s="1"/>
  <c r="AU49" i="19"/>
  <c r="BC25" i="19"/>
  <c r="AV25" i="19"/>
  <c r="J21" i="19"/>
  <c r="BI21" i="19"/>
  <c r="AC21" i="19" s="1"/>
  <c r="AX21" i="19"/>
  <c r="I77" i="19"/>
  <c r="AW77" i="19"/>
  <c r="I73" i="19"/>
  <c r="AW73" i="19"/>
  <c r="AX61" i="19"/>
  <c r="BC56" i="19"/>
  <c r="AX54" i="19"/>
  <c r="J53" i="19"/>
  <c r="AX53" i="19"/>
  <c r="K49" i="19"/>
  <c r="G22" i="18" s="1"/>
  <c r="I22" i="18" s="1"/>
  <c r="I46" i="19"/>
  <c r="I45" i="19" s="1"/>
  <c r="E21" i="18" s="1"/>
  <c r="AW46" i="19"/>
  <c r="BH46" i="19"/>
  <c r="AB46" i="19" s="1"/>
  <c r="K41" i="19"/>
  <c r="G20" i="18" s="1"/>
  <c r="I20" i="18" s="1"/>
  <c r="AK42" i="19"/>
  <c r="AT41" i="19" s="1"/>
  <c r="J39" i="19"/>
  <c r="AX39" i="19"/>
  <c r="BI39" i="19"/>
  <c r="AC39" i="19" s="1"/>
  <c r="K29" i="19"/>
  <c r="G16" i="18" s="1"/>
  <c r="I16" i="18" s="1"/>
  <c r="AK30" i="19"/>
  <c r="AT29" i="19" s="1"/>
  <c r="J27" i="19"/>
  <c r="J26" i="19" s="1"/>
  <c r="F15" i="18" s="1"/>
  <c r="AX27" i="19"/>
  <c r="BI27" i="19"/>
  <c r="AC27" i="19" s="1"/>
  <c r="AT22" i="19"/>
  <c r="J20" i="19"/>
  <c r="AX20" i="19"/>
  <c r="I18" i="19"/>
  <c r="I17" i="19" s="1"/>
  <c r="E12" i="18" s="1"/>
  <c r="AW18" i="19"/>
  <c r="BH18" i="19"/>
  <c r="AB18" i="19" s="1"/>
  <c r="AU12" i="19"/>
  <c r="AT82" i="19"/>
  <c r="I81" i="19"/>
  <c r="AW81" i="19"/>
  <c r="BC71" i="19"/>
  <c r="J65" i="19"/>
  <c r="AX65" i="19"/>
  <c r="AU57" i="19"/>
  <c r="J48" i="19"/>
  <c r="J45" i="19" s="1"/>
  <c r="F21" i="18" s="1"/>
  <c r="AX48" i="19"/>
  <c r="BC48" i="19" s="1"/>
  <c r="BI48" i="19"/>
  <c r="AC48" i="19" s="1"/>
  <c r="BC43" i="19"/>
  <c r="AV43" i="19"/>
  <c r="I40" i="19"/>
  <c r="AW40" i="19"/>
  <c r="BH40" i="19"/>
  <c r="AB40" i="19" s="1"/>
  <c r="I39" i="19"/>
  <c r="AW39" i="19"/>
  <c r="BH39" i="19"/>
  <c r="AB39" i="19" s="1"/>
  <c r="I28" i="19"/>
  <c r="AW28" i="19"/>
  <c r="BH28" i="19"/>
  <c r="AB28" i="19" s="1"/>
  <c r="I27" i="19"/>
  <c r="AW27" i="19"/>
  <c r="BH27" i="19"/>
  <c r="AB27" i="19" s="1"/>
  <c r="J23" i="19"/>
  <c r="AX23" i="19"/>
  <c r="BI23" i="19"/>
  <c r="AC23" i="19" s="1"/>
  <c r="AS22" i="19"/>
  <c r="J14" i="19"/>
  <c r="J12" i="19" s="1"/>
  <c r="F11" i="18" s="1"/>
  <c r="AX14" i="19"/>
  <c r="BI14" i="19"/>
  <c r="AC14" i="19" s="1"/>
  <c r="AS12" i="19"/>
  <c r="AV13" i="19"/>
  <c r="AT49" i="19"/>
  <c r="AU45" i="19"/>
  <c r="K36" i="19"/>
  <c r="G19" i="18" s="1"/>
  <c r="I19" i="18" s="1"/>
  <c r="J32" i="19"/>
  <c r="J31" i="19" s="1"/>
  <c r="F17" i="18" s="1"/>
  <c r="AX32" i="19"/>
  <c r="AS31" i="19"/>
  <c r="K26" i="19"/>
  <c r="G15" i="18" s="1"/>
  <c r="I15" i="18" s="1"/>
  <c r="AK27" i="19"/>
  <c r="AT26" i="19" s="1"/>
  <c r="I21" i="19"/>
  <c r="AW21" i="19"/>
  <c r="K17" i="19"/>
  <c r="G12" i="18" s="1"/>
  <c r="I12" i="18" s="1"/>
  <c r="AK18" i="19"/>
  <c r="AT17" i="19" s="1"/>
  <c r="BC47" i="19"/>
  <c r="K45" i="19"/>
  <c r="G21" i="18" s="1"/>
  <c r="I21" i="18" s="1"/>
  <c r="AK46" i="19"/>
  <c r="AT45" i="19" s="1"/>
  <c r="I42" i="19"/>
  <c r="I41" i="19" s="1"/>
  <c r="E20" i="18" s="1"/>
  <c r="AW42" i="19"/>
  <c r="J38" i="19"/>
  <c r="J36" i="19" s="1"/>
  <c r="F19" i="18" s="1"/>
  <c r="AX38" i="19"/>
  <c r="AU36" i="19"/>
  <c r="J35" i="19"/>
  <c r="J34" i="19" s="1"/>
  <c r="F18" i="18" s="1"/>
  <c r="AX35" i="19"/>
  <c r="BI32" i="19"/>
  <c r="AC32" i="19" s="1"/>
  <c r="I31" i="19"/>
  <c r="E17" i="18" s="1"/>
  <c r="I30" i="19"/>
  <c r="I29" i="19" s="1"/>
  <c r="E16" i="18" s="1"/>
  <c r="AW30" i="19"/>
  <c r="I24" i="19"/>
  <c r="AW24" i="19"/>
  <c r="AT19" i="19"/>
  <c r="K19" i="19"/>
  <c r="G13" i="18" s="1"/>
  <c r="I13" i="18" s="1"/>
  <c r="I15" i="19"/>
  <c r="I12" i="19" s="1"/>
  <c r="E11" i="18" s="1"/>
  <c r="AW15" i="19"/>
  <c r="BC626" i="15"/>
  <c r="AV626" i="15"/>
  <c r="BC571" i="15"/>
  <c r="AV571" i="15"/>
  <c r="AV551" i="15"/>
  <c r="BC551" i="15"/>
  <c r="I529" i="15"/>
  <c r="E51" i="14" s="1"/>
  <c r="I485" i="15"/>
  <c r="E48" i="14" s="1"/>
  <c r="AV623" i="15"/>
  <c r="BC623" i="15"/>
  <c r="BC603" i="15"/>
  <c r="AV603" i="15"/>
  <c r="BC595" i="15"/>
  <c r="AV595" i="15"/>
  <c r="AV587" i="15"/>
  <c r="BC587" i="15"/>
  <c r="BC567" i="15"/>
  <c r="AV567" i="15"/>
  <c r="BC559" i="15"/>
  <c r="AV559" i="15"/>
  <c r="BC545" i="15"/>
  <c r="AV545" i="15"/>
  <c r="BC537" i="15"/>
  <c r="AV537" i="15"/>
  <c r="AV506" i="15"/>
  <c r="BC506" i="15"/>
  <c r="I499" i="15"/>
  <c r="E50" i="14" s="1"/>
  <c r="J493" i="15"/>
  <c r="F49" i="14" s="1"/>
  <c r="AV488" i="15"/>
  <c r="BC488" i="15"/>
  <c r="BC607" i="15"/>
  <c r="AV607" i="15"/>
  <c r="C19" i="13"/>
  <c r="AV630" i="15"/>
  <c r="BC630" i="15"/>
  <c r="BC619" i="15"/>
  <c r="AV619" i="15"/>
  <c r="BC614" i="15"/>
  <c r="AV611" i="15"/>
  <c r="BC611" i="15"/>
  <c r="BC606" i="15"/>
  <c r="AV583" i="15"/>
  <c r="BC583" i="15"/>
  <c r="BC578" i="15"/>
  <c r="AV575" i="15"/>
  <c r="BC575" i="15"/>
  <c r="BC570" i="15"/>
  <c r="BC550" i="15"/>
  <c r="AT549" i="15"/>
  <c r="I549" i="15"/>
  <c r="E53" i="14" s="1"/>
  <c r="AV548" i="15"/>
  <c r="BC548" i="15"/>
  <c r="BC525" i="15"/>
  <c r="AV522" i="15"/>
  <c r="BC522" i="15"/>
  <c r="BC517" i="15"/>
  <c r="AV514" i="15"/>
  <c r="BC514" i="15"/>
  <c r="BC498" i="15"/>
  <c r="I493" i="15"/>
  <c r="E49" i="14" s="1"/>
  <c r="AV492" i="15"/>
  <c r="BC492" i="15"/>
  <c r="BC487" i="15"/>
  <c r="J485" i="15"/>
  <c r="F48" i="14" s="1"/>
  <c r="I625" i="15"/>
  <c r="E54" i="14" s="1"/>
  <c r="AV615" i="15"/>
  <c r="BC615" i="15"/>
  <c r="AV579" i="15"/>
  <c r="BC579" i="15"/>
  <c r="AV526" i="15"/>
  <c r="BC526" i="15"/>
  <c r="AV518" i="15"/>
  <c r="BC518" i="15"/>
  <c r="J625" i="15"/>
  <c r="F54" i="14" s="1"/>
  <c r="BC622" i="15"/>
  <c r="BC602" i="15"/>
  <c r="AV599" i="15"/>
  <c r="BC599" i="15"/>
  <c r="BC594" i="15"/>
  <c r="AV591" i="15"/>
  <c r="BC591" i="15"/>
  <c r="BC586" i="15"/>
  <c r="BC566" i="15"/>
  <c r="AV563" i="15"/>
  <c r="BC563" i="15"/>
  <c r="BC558" i="15"/>
  <c r="BC555" i="15"/>
  <c r="AV555" i="15"/>
  <c r="J546" i="15"/>
  <c r="F52" i="14" s="1"/>
  <c r="BC544" i="15"/>
  <c r="AV541" i="15"/>
  <c r="BC541" i="15"/>
  <c r="BC536" i="15"/>
  <c r="AV533" i="15"/>
  <c r="BC533" i="15"/>
  <c r="AV510" i="15"/>
  <c r="BC510" i="15"/>
  <c r="BC505" i="15"/>
  <c r="AV502" i="15"/>
  <c r="BC502" i="15"/>
  <c r="AV495" i="15"/>
  <c r="BC495" i="15"/>
  <c r="AV481" i="15"/>
  <c r="BC481" i="15"/>
  <c r="BC428" i="15"/>
  <c r="AV428" i="15"/>
  <c r="K427" i="15"/>
  <c r="G44" i="14" s="1"/>
  <c r="I44" i="14" s="1"/>
  <c r="AK428" i="15"/>
  <c r="AT427" i="15" s="1"/>
  <c r="J384" i="15"/>
  <c r="AX384" i="15"/>
  <c r="BI384" i="15"/>
  <c r="AE384" i="15" s="1"/>
  <c r="AW632" i="15"/>
  <c r="AX631" i="15"/>
  <c r="BC631" i="15" s="1"/>
  <c r="AV629" i="15"/>
  <c r="AW628" i="15"/>
  <c r="AX627" i="15"/>
  <c r="BC627" i="15" s="1"/>
  <c r="AX624" i="15"/>
  <c r="BC624" i="15" s="1"/>
  <c r="AV622" i="15"/>
  <c r="AW621" i="15"/>
  <c r="AX620" i="15"/>
  <c r="BC620" i="15" s="1"/>
  <c r="AW617" i="15"/>
  <c r="AX616" i="15"/>
  <c r="BC616" i="15" s="1"/>
  <c r="AV614" i="15"/>
  <c r="AW613" i="15"/>
  <c r="AX612" i="15"/>
  <c r="BC612" i="15" s="1"/>
  <c r="AV610" i="15"/>
  <c r="AW609" i="15"/>
  <c r="AX608" i="15"/>
  <c r="BC608" i="15" s="1"/>
  <c r="AV606" i="15"/>
  <c r="AW605" i="15"/>
  <c r="AX604" i="15"/>
  <c r="BC604" i="15" s="1"/>
  <c r="AV602" i="15"/>
  <c r="AW601" i="15"/>
  <c r="AX600" i="15"/>
  <c r="BC600" i="15" s="1"/>
  <c r="AV598" i="15"/>
  <c r="AW597" i="15"/>
  <c r="AX596" i="15"/>
  <c r="BC596" i="15" s="1"/>
  <c r="AV594" i="15"/>
  <c r="AW593" i="15"/>
  <c r="AX592" i="15"/>
  <c r="BC592" i="15" s="1"/>
  <c r="AV590" i="15"/>
  <c r="AW589" i="15"/>
  <c r="AX588" i="15"/>
  <c r="BC588" i="15" s="1"/>
  <c r="AV586" i="15"/>
  <c r="AW585" i="15"/>
  <c r="AX584" i="15"/>
  <c r="BC584" i="15" s="1"/>
  <c r="AV582" i="15"/>
  <c r="AW581" i="15"/>
  <c r="AX580" i="15"/>
  <c r="BC580" i="15" s="1"/>
  <c r="AV578" i="15"/>
  <c r="AW577" i="15"/>
  <c r="AX576" i="15"/>
  <c r="BC576" i="15" s="1"/>
  <c r="AV574" i="15"/>
  <c r="AW573" i="15"/>
  <c r="AX572" i="15"/>
  <c r="BC572" i="15" s="1"/>
  <c r="AV570" i="15"/>
  <c r="AW569" i="15"/>
  <c r="AX568" i="15"/>
  <c r="BC568" i="15" s="1"/>
  <c r="AV566" i="15"/>
  <c r="AW565" i="15"/>
  <c r="AX564" i="15"/>
  <c r="BC564" i="15" s="1"/>
  <c r="AV562" i="15"/>
  <c r="AW561" i="15"/>
  <c r="AX560" i="15"/>
  <c r="BC560" i="15" s="1"/>
  <c r="AV558" i="15"/>
  <c r="AW557" i="15"/>
  <c r="AX556" i="15"/>
  <c r="BC556" i="15" s="1"/>
  <c r="AV554" i="15"/>
  <c r="AW553" i="15"/>
  <c r="AX552" i="15"/>
  <c r="BC552" i="15" s="1"/>
  <c r="AV550" i="15"/>
  <c r="AV547" i="15"/>
  <c r="AV544" i="15"/>
  <c r="AW543" i="15"/>
  <c r="AX542" i="15"/>
  <c r="BC542" i="15" s="1"/>
  <c r="AV540" i="15"/>
  <c r="AW539" i="15"/>
  <c r="AX538" i="15"/>
  <c r="BC538" i="15" s="1"/>
  <c r="AV536" i="15"/>
  <c r="AW535" i="15"/>
  <c r="AX534" i="15"/>
  <c r="BC534" i="15" s="1"/>
  <c r="AV532" i="15"/>
  <c r="AW531" i="15"/>
  <c r="AX530" i="15"/>
  <c r="BC530" i="15" s="1"/>
  <c r="AW528" i="15"/>
  <c r="AX527" i="15"/>
  <c r="BC527" i="15" s="1"/>
  <c r="AV525" i="15"/>
  <c r="AW524" i="15"/>
  <c r="AX523" i="15"/>
  <c r="BC523" i="15" s="1"/>
  <c r="AV521" i="15"/>
  <c r="AW520" i="15"/>
  <c r="AX519" i="15"/>
  <c r="BC519" i="15" s="1"/>
  <c r="AV517" i="15"/>
  <c r="AW516" i="15"/>
  <c r="AX515" i="15"/>
  <c r="BC515" i="15" s="1"/>
  <c r="AV513" i="15"/>
  <c r="AW512" i="15"/>
  <c r="AX511" i="15"/>
  <c r="BC511" i="15" s="1"/>
  <c r="AV509" i="15"/>
  <c r="AW508" i="15"/>
  <c r="AX507" i="15"/>
  <c r="BC507" i="15" s="1"/>
  <c r="AV505" i="15"/>
  <c r="AW504" i="15"/>
  <c r="AX503" i="15"/>
  <c r="BC503" i="15" s="1"/>
  <c r="AV501" i="15"/>
  <c r="AW500" i="15"/>
  <c r="AV498" i="15"/>
  <c r="AW497" i="15"/>
  <c r="AX496" i="15"/>
  <c r="BC496" i="15" s="1"/>
  <c r="AV494" i="15"/>
  <c r="AV491" i="15"/>
  <c r="AW490" i="15"/>
  <c r="AX489" i="15"/>
  <c r="BC489" i="15" s="1"/>
  <c r="AV487" i="15"/>
  <c r="AW486" i="15"/>
  <c r="AV484" i="15"/>
  <c r="AW483" i="15"/>
  <c r="AX482" i="15"/>
  <c r="BC482" i="15" s="1"/>
  <c r="AV480" i="15"/>
  <c r="J474" i="15"/>
  <c r="AX474" i="15"/>
  <c r="BC474" i="15" s="1"/>
  <c r="AU471" i="15"/>
  <c r="J467" i="15"/>
  <c r="AX467" i="15"/>
  <c r="BC467" i="15" s="1"/>
  <c r="J463" i="15"/>
  <c r="AX463" i="15"/>
  <c r="BC463" i="15" s="1"/>
  <c r="AS461" i="15"/>
  <c r="BC458" i="15"/>
  <c r="AV458" i="15"/>
  <c r="J452" i="15"/>
  <c r="AX452" i="15"/>
  <c r="BC452" i="15" s="1"/>
  <c r="BC450" i="15"/>
  <c r="AV450" i="15"/>
  <c r="I445" i="15"/>
  <c r="AW445" i="15"/>
  <c r="I441" i="15"/>
  <c r="AW441" i="15"/>
  <c r="I438" i="15"/>
  <c r="AW438" i="15"/>
  <c r="BC435" i="15"/>
  <c r="AV435" i="15"/>
  <c r="AS427" i="15"/>
  <c r="J429" i="15"/>
  <c r="BC421" i="15"/>
  <c r="AV421" i="15"/>
  <c r="J416" i="15"/>
  <c r="AX416" i="15"/>
  <c r="BI416" i="15"/>
  <c r="AE416" i="15" s="1"/>
  <c r="J415" i="15"/>
  <c r="AX415" i="15"/>
  <c r="BI415" i="15"/>
  <c r="AE415" i="15" s="1"/>
  <c r="I390" i="15"/>
  <c r="AW390" i="15"/>
  <c r="BH390" i="15"/>
  <c r="AD390" i="15" s="1"/>
  <c r="I389" i="15"/>
  <c r="AW389" i="15"/>
  <c r="BH389" i="15"/>
  <c r="AD389" i="15" s="1"/>
  <c r="I386" i="15"/>
  <c r="AW386" i="15"/>
  <c r="BH386" i="15"/>
  <c r="AD386" i="15" s="1"/>
  <c r="I385" i="15"/>
  <c r="AW385" i="15"/>
  <c r="BH385" i="15"/>
  <c r="AD385" i="15" s="1"/>
  <c r="I382" i="15"/>
  <c r="AW382" i="15"/>
  <c r="BH382" i="15"/>
  <c r="AD382" i="15" s="1"/>
  <c r="J376" i="15"/>
  <c r="AX376" i="15"/>
  <c r="AV376" i="15" s="1"/>
  <c r="BI376" i="15"/>
  <c r="AE376" i="15" s="1"/>
  <c r="BC375" i="15"/>
  <c r="AV375" i="15"/>
  <c r="J295" i="15"/>
  <c r="AX295" i="15"/>
  <c r="BI295" i="15"/>
  <c r="AE295" i="15" s="1"/>
  <c r="BC294" i="15"/>
  <c r="AV294" i="15"/>
  <c r="I292" i="15"/>
  <c r="AW292" i="15"/>
  <c r="BH292" i="15"/>
  <c r="AD292" i="15" s="1"/>
  <c r="BI511" i="15"/>
  <c r="AC511" i="15" s="1"/>
  <c r="J478" i="15"/>
  <c r="AX478" i="15"/>
  <c r="BC478" i="15" s="1"/>
  <c r="BC446" i="15"/>
  <c r="AV446" i="15"/>
  <c r="BC442" i="15"/>
  <c r="AV442" i="15"/>
  <c r="BC391" i="15"/>
  <c r="AV391" i="15"/>
  <c r="BC387" i="15"/>
  <c r="AV387" i="15"/>
  <c r="I124" i="15"/>
  <c r="AW124" i="15"/>
  <c r="BH124" i="15"/>
  <c r="AB124" i="15" s="1"/>
  <c r="AK628" i="15"/>
  <c r="AT625" i="15" s="1"/>
  <c r="J620" i="15"/>
  <c r="J604" i="15"/>
  <c r="J584" i="15"/>
  <c r="J568" i="15"/>
  <c r="J552" i="15"/>
  <c r="J527" i="15"/>
  <c r="J499" i="15" s="1"/>
  <c r="F50" i="14" s="1"/>
  <c r="AK500" i="15"/>
  <c r="AT499" i="15" s="1"/>
  <c r="AK486" i="15"/>
  <c r="AT485" i="15" s="1"/>
  <c r="I479" i="15"/>
  <c r="AW479" i="15"/>
  <c r="BI478" i="15"/>
  <c r="AE478" i="15" s="1"/>
  <c r="BC476" i="15"/>
  <c r="AV476" i="15"/>
  <c r="BC472" i="15"/>
  <c r="AV472" i="15"/>
  <c r="AT471" i="15"/>
  <c r="BC469" i="15"/>
  <c r="AV469" i="15"/>
  <c r="BC465" i="15"/>
  <c r="AV465" i="15"/>
  <c r="J460" i="15"/>
  <c r="AX460" i="15"/>
  <c r="BC460" i="15" s="1"/>
  <c r="AV459" i="15"/>
  <c r="I457" i="15"/>
  <c r="AW457" i="15"/>
  <c r="BC454" i="15"/>
  <c r="AV454" i="15"/>
  <c r="I449" i="15"/>
  <c r="AW449" i="15"/>
  <c r="AU440" i="15"/>
  <c r="AV436" i="15"/>
  <c r="I434" i="15"/>
  <c r="AW434" i="15"/>
  <c r="BC431" i="15"/>
  <c r="AV431" i="15"/>
  <c r="BC405" i="15"/>
  <c r="AV405" i="15"/>
  <c r="J400" i="15"/>
  <c r="AX400" i="15"/>
  <c r="BI400" i="15"/>
  <c r="AE400" i="15" s="1"/>
  <c r="J399" i="15"/>
  <c r="AX399" i="15"/>
  <c r="BI399" i="15"/>
  <c r="AE399" i="15" s="1"/>
  <c r="BC398" i="15"/>
  <c r="AV398" i="15"/>
  <c r="J377" i="15"/>
  <c r="AX377" i="15"/>
  <c r="BC359" i="15"/>
  <c r="AV359" i="15"/>
  <c r="AS339" i="15"/>
  <c r="AV474" i="15"/>
  <c r="J456" i="15"/>
  <c r="AX456" i="15"/>
  <c r="BC456" i="15" s="1"/>
  <c r="J448" i="15"/>
  <c r="AX448" i="15"/>
  <c r="BC448" i="15" s="1"/>
  <c r="J433" i="15"/>
  <c r="AX433" i="15"/>
  <c r="BC433" i="15" s="1"/>
  <c r="J388" i="15"/>
  <c r="AX388" i="15"/>
  <c r="BI388" i="15"/>
  <c r="AE388" i="15" s="1"/>
  <c r="BC383" i="15"/>
  <c r="AV383" i="15"/>
  <c r="J350" i="15"/>
  <c r="AX350" i="15"/>
  <c r="BI350" i="15"/>
  <c r="AE350" i="15" s="1"/>
  <c r="J287" i="15"/>
  <c r="AX287" i="15"/>
  <c r="BI287" i="15"/>
  <c r="AE287" i="15" s="1"/>
  <c r="I125" i="15"/>
  <c r="AW125" i="15"/>
  <c r="BH125" i="15"/>
  <c r="AB125" i="15" s="1"/>
  <c r="AK530" i="15"/>
  <c r="AT529" i="15" s="1"/>
  <c r="AV477" i="15"/>
  <c r="I475" i="15"/>
  <c r="AW475" i="15"/>
  <c r="BI474" i="15"/>
  <c r="AE474" i="15" s="1"/>
  <c r="AV473" i="15"/>
  <c r="K471" i="15"/>
  <c r="G47" i="14" s="1"/>
  <c r="I47" i="14" s="1"/>
  <c r="I468" i="15"/>
  <c r="AW468" i="15"/>
  <c r="BI467" i="15"/>
  <c r="AE467" i="15" s="1"/>
  <c r="I464" i="15"/>
  <c r="AW464" i="15"/>
  <c r="BI463" i="15"/>
  <c r="AE463" i="15" s="1"/>
  <c r="AU461" i="15"/>
  <c r="AV455" i="15"/>
  <c r="I453" i="15"/>
  <c r="AW453" i="15"/>
  <c r="BI452" i="15"/>
  <c r="AE452" i="15" s="1"/>
  <c r="AV448" i="15"/>
  <c r="J444" i="15"/>
  <c r="AX444" i="15"/>
  <c r="BC444" i="15" s="1"/>
  <c r="AS440" i="15"/>
  <c r="K440" i="15"/>
  <c r="G45" i="14" s="1"/>
  <c r="I45" i="14" s="1"/>
  <c r="AK441" i="15"/>
  <c r="AT440" i="15" s="1"/>
  <c r="BC439" i="15"/>
  <c r="AV439" i="15"/>
  <c r="J437" i="15"/>
  <c r="AX437" i="15"/>
  <c r="BC437" i="15" s="1"/>
  <c r="AV432" i="15"/>
  <c r="I430" i="15"/>
  <c r="I427" i="15" s="1"/>
  <c r="E44" i="14" s="1"/>
  <c r="AW430" i="15"/>
  <c r="BI429" i="15"/>
  <c r="AE429" i="15" s="1"/>
  <c r="I397" i="15"/>
  <c r="AW397" i="15"/>
  <c r="BH397" i="15"/>
  <c r="AD397" i="15" s="1"/>
  <c r="I396" i="15"/>
  <c r="AW396" i="15"/>
  <c r="BH396" i="15"/>
  <c r="AD396" i="15" s="1"/>
  <c r="AU392" i="15"/>
  <c r="I378" i="15"/>
  <c r="AW378" i="15"/>
  <c r="BH378" i="15"/>
  <c r="AD378" i="15" s="1"/>
  <c r="BI377" i="15"/>
  <c r="AE377" i="15" s="1"/>
  <c r="I373" i="15"/>
  <c r="AW373" i="15"/>
  <c r="BH373" i="15"/>
  <c r="AD373" i="15" s="1"/>
  <c r="BC356" i="15"/>
  <c r="AV356" i="15"/>
  <c r="J304" i="15"/>
  <c r="BI304" i="15"/>
  <c r="AE304" i="15" s="1"/>
  <c r="AX304" i="15"/>
  <c r="J259" i="15"/>
  <c r="AX259" i="15"/>
  <c r="AV259" i="15" s="1"/>
  <c r="BI259" i="15"/>
  <c r="AE259" i="15" s="1"/>
  <c r="AW425" i="15"/>
  <c r="AX424" i="15"/>
  <c r="J419" i="15"/>
  <c r="AX419" i="15"/>
  <c r="AV419" i="15" s="1"/>
  <c r="I416" i="15"/>
  <c r="AW416" i="15"/>
  <c r="BH413" i="15"/>
  <c r="AD413" i="15" s="1"/>
  <c r="AW413" i="15"/>
  <c r="AX412" i="15"/>
  <c r="BH409" i="15"/>
  <c r="AD409" i="15" s="1"/>
  <c r="AW409" i="15"/>
  <c r="AX408" i="15"/>
  <c r="J403" i="15"/>
  <c r="AX403" i="15"/>
  <c r="AV403" i="15" s="1"/>
  <c r="I400" i="15"/>
  <c r="AW400" i="15"/>
  <c r="BI396" i="15"/>
  <c r="AE396" i="15" s="1"/>
  <c r="BH393" i="15"/>
  <c r="AD393" i="15" s="1"/>
  <c r="AW393" i="15"/>
  <c r="K392" i="15"/>
  <c r="G43" i="14" s="1"/>
  <c r="I43" i="14" s="1"/>
  <c r="AK393" i="15"/>
  <c r="AT392" i="15" s="1"/>
  <c r="BI389" i="15"/>
  <c r="AE389" i="15" s="1"/>
  <c r="BI385" i="15"/>
  <c r="AE385" i="15" s="1"/>
  <c r="BI381" i="15"/>
  <c r="AE381" i="15" s="1"/>
  <c r="I377" i="15"/>
  <c r="AW377" i="15"/>
  <c r="BH377" i="15"/>
  <c r="AD377" i="15" s="1"/>
  <c r="BC376" i="15"/>
  <c r="J372" i="15"/>
  <c r="AX372" i="15"/>
  <c r="I369" i="15"/>
  <c r="AW369" i="15"/>
  <c r="BH369" i="15"/>
  <c r="AD369" i="15" s="1"/>
  <c r="K363" i="15"/>
  <c r="G42" i="14" s="1"/>
  <c r="I42" i="14" s="1"/>
  <c r="J357" i="15"/>
  <c r="AX357" i="15"/>
  <c r="AV357" i="15" s="1"/>
  <c r="BI357" i="15"/>
  <c r="AE357" i="15" s="1"/>
  <c r="AK342" i="15"/>
  <c r="K339" i="15"/>
  <c r="G41" i="14" s="1"/>
  <c r="I41" i="14" s="1"/>
  <c r="I320" i="15"/>
  <c r="AW320" i="15"/>
  <c r="BH320" i="15"/>
  <c r="AD320" i="15" s="1"/>
  <c r="J311" i="15"/>
  <c r="AX311" i="15"/>
  <c r="BI311" i="15"/>
  <c r="AE311" i="15" s="1"/>
  <c r="J228" i="15"/>
  <c r="AX228" i="15"/>
  <c r="BC228" i="15" s="1"/>
  <c r="BI228" i="15"/>
  <c r="AE228" i="15" s="1"/>
  <c r="BC227" i="15"/>
  <c r="AV227" i="15"/>
  <c r="BC203" i="15"/>
  <c r="AV203" i="15"/>
  <c r="AX470" i="15"/>
  <c r="BC470" i="15" s="1"/>
  <c r="AX466" i="15"/>
  <c r="BC466" i="15" s="1"/>
  <c r="AX443" i="15"/>
  <c r="AV443" i="15" s="1"/>
  <c r="J423" i="15"/>
  <c r="AX423" i="15"/>
  <c r="BC423" i="15" s="1"/>
  <c r="I420" i="15"/>
  <c r="AW420" i="15"/>
  <c r="J407" i="15"/>
  <c r="AX407" i="15"/>
  <c r="BC407" i="15" s="1"/>
  <c r="I404" i="15"/>
  <c r="AW404" i="15"/>
  <c r="I374" i="15"/>
  <c r="AW374" i="15"/>
  <c r="BH374" i="15"/>
  <c r="AD374" i="15" s="1"/>
  <c r="J368" i="15"/>
  <c r="AX368" i="15"/>
  <c r="AT363" i="15"/>
  <c r="I355" i="15"/>
  <c r="AW355" i="15"/>
  <c r="BH355" i="15"/>
  <c r="AD355" i="15" s="1"/>
  <c r="J342" i="15"/>
  <c r="AX342" i="15"/>
  <c r="BI342" i="15"/>
  <c r="AE342" i="15" s="1"/>
  <c r="I297" i="15"/>
  <c r="AW297" i="15"/>
  <c r="BH297" i="15"/>
  <c r="AD297" i="15" s="1"/>
  <c r="BC278" i="15"/>
  <c r="AV278" i="15"/>
  <c r="I276" i="15"/>
  <c r="AW276" i="15"/>
  <c r="BH276" i="15"/>
  <c r="AD276" i="15" s="1"/>
  <c r="J229" i="15"/>
  <c r="AX229" i="15"/>
  <c r="BI229" i="15"/>
  <c r="AE229" i="15" s="1"/>
  <c r="I219" i="15"/>
  <c r="AW219" i="15"/>
  <c r="BH219" i="15"/>
  <c r="AD219" i="15" s="1"/>
  <c r="J193" i="15"/>
  <c r="BI193" i="15"/>
  <c r="AE193" i="15" s="1"/>
  <c r="AX193" i="15"/>
  <c r="J190" i="15"/>
  <c r="BI190" i="15"/>
  <c r="AE190" i="15" s="1"/>
  <c r="AX190" i="15"/>
  <c r="J186" i="15"/>
  <c r="J185" i="15" s="1"/>
  <c r="F34" i="14" s="1"/>
  <c r="AX186" i="15"/>
  <c r="BI186" i="15"/>
  <c r="I169" i="15"/>
  <c r="AW169" i="15"/>
  <c r="BH169" i="15"/>
  <c r="I94" i="15"/>
  <c r="E26" i="14" s="1"/>
  <c r="AU427" i="15"/>
  <c r="I424" i="15"/>
  <c r="AW424" i="15"/>
  <c r="AV422" i="15"/>
  <c r="BC417" i="15"/>
  <c r="AV417" i="15"/>
  <c r="I412" i="15"/>
  <c r="AW412" i="15"/>
  <c r="J411" i="15"/>
  <c r="AX411" i="15"/>
  <c r="I408" i="15"/>
  <c r="AW408" i="15"/>
  <c r="AV406" i="15"/>
  <c r="BC401" i="15"/>
  <c r="AV401" i="15"/>
  <c r="J395" i="15"/>
  <c r="AX395" i="15"/>
  <c r="AV395" i="15" s="1"/>
  <c r="J380" i="15"/>
  <c r="AX380" i="15"/>
  <c r="AV379" i="15"/>
  <c r="I370" i="15"/>
  <c r="AW370" i="15"/>
  <c r="BH370" i="15"/>
  <c r="AD370" i="15" s="1"/>
  <c r="BC366" i="15"/>
  <c r="AV366" i="15"/>
  <c r="J358" i="15"/>
  <c r="BI358" i="15"/>
  <c r="AE358" i="15" s="1"/>
  <c r="J346" i="15"/>
  <c r="AX346" i="15"/>
  <c r="BI346" i="15"/>
  <c r="AE346" i="15" s="1"/>
  <c r="J327" i="15"/>
  <c r="AX327" i="15"/>
  <c r="BI327" i="15"/>
  <c r="AE327" i="15" s="1"/>
  <c r="J326" i="15"/>
  <c r="AX326" i="15"/>
  <c r="BI326" i="15"/>
  <c r="AE326" i="15" s="1"/>
  <c r="J315" i="15"/>
  <c r="AX315" i="15"/>
  <c r="AV315" i="15" s="1"/>
  <c r="BI315" i="15"/>
  <c r="AE315" i="15" s="1"/>
  <c r="BC273" i="15"/>
  <c r="AV273" i="15"/>
  <c r="J264" i="15"/>
  <c r="BI264" i="15"/>
  <c r="AE264" i="15" s="1"/>
  <c r="AX264" i="15"/>
  <c r="J364" i="15"/>
  <c r="AX364" i="15"/>
  <c r="AS363" i="15"/>
  <c r="J361" i="15"/>
  <c r="AX361" i="15"/>
  <c r="I358" i="15"/>
  <c r="AW358" i="15"/>
  <c r="BC352" i="15"/>
  <c r="I350" i="15"/>
  <c r="AW350" i="15"/>
  <c r="J349" i="15"/>
  <c r="AX349" i="15"/>
  <c r="I346" i="15"/>
  <c r="AW346" i="15"/>
  <c r="J345" i="15"/>
  <c r="AX345" i="15"/>
  <c r="I342" i="15"/>
  <c r="AW342" i="15"/>
  <c r="J341" i="15"/>
  <c r="AX341" i="15"/>
  <c r="AU339" i="15"/>
  <c r="BH336" i="15"/>
  <c r="AD336" i="15" s="1"/>
  <c r="AW336" i="15"/>
  <c r="AX335" i="15"/>
  <c r="BH332" i="15"/>
  <c r="AD332" i="15" s="1"/>
  <c r="AW332" i="15"/>
  <c r="BC329" i="15"/>
  <c r="I327" i="15"/>
  <c r="AW327" i="15"/>
  <c r="BH324" i="15"/>
  <c r="AD324" i="15" s="1"/>
  <c r="AW324" i="15"/>
  <c r="K321" i="15"/>
  <c r="G40" i="14" s="1"/>
  <c r="I40" i="14" s="1"/>
  <c r="AK324" i="15"/>
  <c r="I313" i="15"/>
  <c r="AW313" i="15"/>
  <c r="BH313" i="15"/>
  <c r="AD313" i="15" s="1"/>
  <c r="BC309" i="15"/>
  <c r="AV309" i="15"/>
  <c r="BC305" i="15"/>
  <c r="AV305" i="15"/>
  <c r="I293" i="15"/>
  <c r="AW293" i="15"/>
  <c r="BH293" i="15"/>
  <c r="AD293" i="15" s="1"/>
  <c r="I289" i="15"/>
  <c r="AW289" i="15"/>
  <c r="BH289" i="15"/>
  <c r="AD289" i="15" s="1"/>
  <c r="BC285" i="15"/>
  <c r="AV285" i="15"/>
  <c r="I277" i="15"/>
  <c r="AW277" i="15"/>
  <c r="BH277" i="15"/>
  <c r="AD277" i="15" s="1"/>
  <c r="BC265" i="15"/>
  <c r="AV265" i="15"/>
  <c r="BC259" i="15"/>
  <c r="I257" i="15"/>
  <c r="AW257" i="15"/>
  <c r="BH257" i="15"/>
  <c r="AD257" i="15" s="1"/>
  <c r="BC223" i="15"/>
  <c r="AV223" i="15"/>
  <c r="I218" i="15"/>
  <c r="AW218" i="15"/>
  <c r="BH218" i="15"/>
  <c r="AD218" i="15" s="1"/>
  <c r="J160" i="15"/>
  <c r="AX160" i="15"/>
  <c r="BI160" i="15"/>
  <c r="AC160" i="15" s="1"/>
  <c r="I143" i="15"/>
  <c r="AW143" i="15"/>
  <c r="BH143" i="15"/>
  <c r="AB143" i="15" s="1"/>
  <c r="I142" i="15"/>
  <c r="AW142" i="15"/>
  <c r="BH142" i="15"/>
  <c r="AB142" i="15" s="1"/>
  <c r="I381" i="15"/>
  <c r="AW381" i="15"/>
  <c r="BC367" i="15"/>
  <c r="I365" i="15"/>
  <c r="AW365" i="15"/>
  <c r="I362" i="15"/>
  <c r="AW362" i="15"/>
  <c r="AV360" i="15"/>
  <c r="J353" i="15"/>
  <c r="AX353" i="15"/>
  <c r="BC353" i="15" s="1"/>
  <c r="AV352" i="15"/>
  <c r="BI349" i="15"/>
  <c r="AE349" i="15" s="1"/>
  <c r="AV348" i="15"/>
  <c r="BI345" i="15"/>
  <c r="AE345" i="15" s="1"/>
  <c r="AV344" i="15"/>
  <c r="BI341" i="15"/>
  <c r="AE341" i="15" s="1"/>
  <c r="AV340" i="15"/>
  <c r="AT339" i="15"/>
  <c r="J330" i="15"/>
  <c r="AX330" i="15"/>
  <c r="BC330" i="15" s="1"/>
  <c r="J316" i="15"/>
  <c r="BI316" i="15"/>
  <c r="AE316" i="15" s="1"/>
  <c r="J300" i="15"/>
  <c r="BI300" i="15"/>
  <c r="AE300" i="15" s="1"/>
  <c r="J296" i="15"/>
  <c r="AX296" i="15"/>
  <c r="BI296" i="15"/>
  <c r="AE296" i="15" s="1"/>
  <c r="BC281" i="15"/>
  <c r="AV281" i="15"/>
  <c r="J268" i="15"/>
  <c r="BI268" i="15"/>
  <c r="AE268" i="15" s="1"/>
  <c r="J260" i="15"/>
  <c r="BI260" i="15"/>
  <c r="AE260" i="15" s="1"/>
  <c r="I256" i="15"/>
  <c r="AW256" i="15"/>
  <c r="BH256" i="15"/>
  <c r="AD256" i="15" s="1"/>
  <c r="AU201" i="15"/>
  <c r="AS201" i="15"/>
  <c r="BC200" i="15"/>
  <c r="AV200" i="15"/>
  <c r="J172" i="15"/>
  <c r="AX172" i="15"/>
  <c r="BI172" i="15"/>
  <c r="BC154" i="15"/>
  <c r="AV154" i="15"/>
  <c r="BC85" i="15"/>
  <c r="AV85" i="15"/>
  <c r="BC84" i="15"/>
  <c r="AV84" i="15"/>
  <c r="BC70" i="15"/>
  <c r="AV70" i="15"/>
  <c r="I354" i="15"/>
  <c r="AW354" i="15"/>
  <c r="BC351" i="15"/>
  <c r="AV351" i="15"/>
  <c r="BC347" i="15"/>
  <c r="AV347" i="15"/>
  <c r="BC343" i="15"/>
  <c r="AV343" i="15"/>
  <c r="J338" i="15"/>
  <c r="AX338" i="15"/>
  <c r="I335" i="15"/>
  <c r="AW335" i="15"/>
  <c r="J334" i="15"/>
  <c r="AX334" i="15"/>
  <c r="I331" i="15"/>
  <c r="AW331" i="15"/>
  <c r="BC328" i="15"/>
  <c r="AV328" i="15"/>
  <c r="I323" i="15"/>
  <c r="I321" i="15" s="1"/>
  <c r="E40" i="14" s="1"/>
  <c r="AW323" i="15"/>
  <c r="BC317" i="15"/>
  <c r="AV317" i="15"/>
  <c r="I312" i="15"/>
  <c r="AW312" i="15"/>
  <c r="BH312" i="15"/>
  <c r="AD312" i="15" s="1"/>
  <c r="BC301" i="15"/>
  <c r="AV301" i="15"/>
  <c r="BC298" i="15"/>
  <c r="AV298" i="15"/>
  <c r="I296" i="15"/>
  <c r="AW296" i="15"/>
  <c r="BH296" i="15"/>
  <c r="AD296" i="15" s="1"/>
  <c r="J292" i="15"/>
  <c r="AX292" i="15"/>
  <c r="BI292" i="15"/>
  <c r="AE292" i="15" s="1"/>
  <c r="J291" i="15"/>
  <c r="AX291" i="15"/>
  <c r="BC291" i="15" s="1"/>
  <c r="BI291" i="15"/>
  <c r="AE291" i="15" s="1"/>
  <c r="I288" i="15"/>
  <c r="AW288" i="15"/>
  <c r="BH288" i="15"/>
  <c r="AD288" i="15" s="1"/>
  <c r="J276" i="15"/>
  <c r="AX276" i="15"/>
  <c r="BI276" i="15"/>
  <c r="AE276" i="15" s="1"/>
  <c r="J275" i="15"/>
  <c r="AX275" i="15"/>
  <c r="BC275" i="15" s="1"/>
  <c r="BI275" i="15"/>
  <c r="AE275" i="15" s="1"/>
  <c r="BC269" i="15"/>
  <c r="AV269" i="15"/>
  <c r="BC261" i="15"/>
  <c r="AV261" i="15"/>
  <c r="AU243" i="15"/>
  <c r="BC238" i="15"/>
  <c r="AV238" i="15"/>
  <c r="BC234" i="15"/>
  <c r="AV234" i="15"/>
  <c r="AK229" i="15"/>
  <c r="AT226" i="15" s="1"/>
  <c r="K226" i="15"/>
  <c r="G38" i="14" s="1"/>
  <c r="I38" i="14" s="1"/>
  <c r="BC220" i="15"/>
  <c r="AV220" i="15"/>
  <c r="K192" i="15"/>
  <c r="G36" i="14" s="1"/>
  <c r="I36" i="14" s="1"/>
  <c r="AK193" i="15"/>
  <c r="AT192" i="15" s="1"/>
  <c r="AK190" i="15"/>
  <c r="AT187" i="15" s="1"/>
  <c r="K187" i="15"/>
  <c r="G35" i="14" s="1"/>
  <c r="I35" i="14" s="1"/>
  <c r="I177" i="15"/>
  <c r="AW177" i="15"/>
  <c r="BH177" i="15"/>
  <c r="J156" i="15"/>
  <c r="AX156" i="15"/>
  <c r="BI156" i="15"/>
  <c r="AC156" i="15" s="1"/>
  <c r="BC155" i="15"/>
  <c r="AV155" i="15"/>
  <c r="BC147" i="15"/>
  <c r="AV147" i="15"/>
  <c r="I136" i="15"/>
  <c r="AW136" i="15"/>
  <c r="BH136" i="15"/>
  <c r="AB136" i="15" s="1"/>
  <c r="I114" i="15"/>
  <c r="AW114" i="15"/>
  <c r="BH114" i="15"/>
  <c r="AB114" i="15" s="1"/>
  <c r="AK113" i="15"/>
  <c r="AT111" i="15" s="1"/>
  <c r="K111" i="15"/>
  <c r="G30" i="14" s="1"/>
  <c r="I30" i="14" s="1"/>
  <c r="J90" i="15"/>
  <c r="J89" i="15" s="1"/>
  <c r="F24" i="14" s="1"/>
  <c r="AX90" i="15"/>
  <c r="BI90" i="15"/>
  <c r="AC90" i="15" s="1"/>
  <c r="J88" i="15"/>
  <c r="AX88" i="15"/>
  <c r="BI88" i="15"/>
  <c r="AC88" i="15" s="1"/>
  <c r="BC253" i="15"/>
  <c r="AV253" i="15"/>
  <c r="BC249" i="15"/>
  <c r="AV249" i="15"/>
  <c r="BC245" i="15"/>
  <c r="AV245" i="15"/>
  <c r="AS243" i="15"/>
  <c r="BC242" i="15"/>
  <c r="AV242" i="15"/>
  <c r="I229" i="15"/>
  <c r="AW229" i="15"/>
  <c r="J221" i="15"/>
  <c r="AX221" i="15"/>
  <c r="AV221" i="15" s="1"/>
  <c r="BC215" i="15"/>
  <c r="AV215" i="15"/>
  <c r="BC211" i="15"/>
  <c r="AV211" i="15"/>
  <c r="BC207" i="15"/>
  <c r="AV207" i="15"/>
  <c r="K201" i="15"/>
  <c r="G37" i="14" s="1"/>
  <c r="I37" i="14" s="1"/>
  <c r="AK202" i="15"/>
  <c r="AT201" i="15" s="1"/>
  <c r="BC194" i="15"/>
  <c r="AV194" i="15"/>
  <c r="BC191" i="15"/>
  <c r="AV191" i="15"/>
  <c r="J183" i="15"/>
  <c r="AX183" i="15"/>
  <c r="AV183" i="15" s="1"/>
  <c r="BI183" i="15"/>
  <c r="BC182" i="15"/>
  <c r="AV182" i="15"/>
  <c r="I173" i="15"/>
  <c r="AW173" i="15"/>
  <c r="BH173" i="15"/>
  <c r="I172" i="15"/>
  <c r="AW172" i="15"/>
  <c r="BH172" i="15"/>
  <c r="J171" i="15"/>
  <c r="AX171" i="15"/>
  <c r="AV171" i="15" s="1"/>
  <c r="BI171" i="15"/>
  <c r="AS168" i="15"/>
  <c r="BC166" i="15"/>
  <c r="AV166" i="15"/>
  <c r="I149" i="15"/>
  <c r="AW149" i="15"/>
  <c r="BH149" i="15"/>
  <c r="AB149" i="15" s="1"/>
  <c r="J137" i="15"/>
  <c r="AX137" i="15"/>
  <c r="BI137" i="15"/>
  <c r="AC137" i="15" s="1"/>
  <c r="J127" i="15"/>
  <c r="AX127" i="15"/>
  <c r="BI127" i="15"/>
  <c r="AC127" i="15" s="1"/>
  <c r="I117" i="15"/>
  <c r="AW117" i="15"/>
  <c r="BH117" i="15"/>
  <c r="AB117" i="15" s="1"/>
  <c r="J106" i="15"/>
  <c r="BI106" i="15"/>
  <c r="AC106" i="15" s="1"/>
  <c r="I88" i="15"/>
  <c r="AW88" i="15"/>
  <c r="BH88" i="15"/>
  <c r="AB88" i="15" s="1"/>
  <c r="BC86" i="15"/>
  <c r="AV86" i="15"/>
  <c r="AX72" i="15"/>
  <c r="BI72" i="15"/>
  <c r="AC72" i="15" s="1"/>
  <c r="J72" i="15"/>
  <c r="AX55" i="15"/>
  <c r="BC55" i="15" s="1"/>
  <c r="J55" i="15"/>
  <c r="BI55" i="15"/>
  <c r="AC55" i="15" s="1"/>
  <c r="I54" i="15"/>
  <c r="AW54" i="15"/>
  <c r="BH54" i="15"/>
  <c r="AB54" i="15" s="1"/>
  <c r="AT321" i="15"/>
  <c r="BC318" i="15"/>
  <c r="I316" i="15"/>
  <c r="AW316" i="15"/>
  <c r="J307" i="15"/>
  <c r="AX307" i="15"/>
  <c r="I304" i="15"/>
  <c r="AW304" i="15"/>
  <c r="J303" i="15"/>
  <c r="AX303" i="15"/>
  <c r="I300" i="15"/>
  <c r="AW300" i="15"/>
  <c r="J299" i="15"/>
  <c r="AX299" i="15"/>
  <c r="J279" i="15"/>
  <c r="AX279" i="15"/>
  <c r="BC270" i="15"/>
  <c r="I268" i="15"/>
  <c r="AW268" i="15"/>
  <c r="J267" i="15"/>
  <c r="AX267" i="15"/>
  <c r="I264" i="15"/>
  <c r="AW264" i="15"/>
  <c r="J263" i="15"/>
  <c r="AX263" i="15"/>
  <c r="I260" i="15"/>
  <c r="AW260" i="15"/>
  <c r="K243" i="15"/>
  <c r="G39" i="14" s="1"/>
  <c r="I39" i="14" s="1"/>
  <c r="AK244" i="15"/>
  <c r="AT243" i="15" s="1"/>
  <c r="BC239" i="15"/>
  <c r="I237" i="15"/>
  <c r="AW237" i="15"/>
  <c r="J236" i="15"/>
  <c r="AX236" i="15"/>
  <c r="I233" i="15"/>
  <c r="AW233" i="15"/>
  <c r="J232" i="15"/>
  <c r="AX232" i="15"/>
  <c r="AV231" i="15"/>
  <c r="J225" i="15"/>
  <c r="AX225" i="15"/>
  <c r="I222" i="15"/>
  <c r="AW222" i="15"/>
  <c r="J205" i="15"/>
  <c r="AX205" i="15"/>
  <c r="I202" i="15"/>
  <c r="AW202" i="15"/>
  <c r="BC198" i="15"/>
  <c r="AV198" i="15"/>
  <c r="BC183" i="15"/>
  <c r="J180" i="15"/>
  <c r="BI180" i="15"/>
  <c r="J175" i="15"/>
  <c r="AX175" i="15"/>
  <c r="AV170" i="15"/>
  <c r="BC167" i="15"/>
  <c r="AV167" i="15"/>
  <c r="BC162" i="15"/>
  <c r="AV162" i="15"/>
  <c r="J157" i="15"/>
  <c r="BI157" i="15"/>
  <c r="AC157" i="15" s="1"/>
  <c r="I150" i="15"/>
  <c r="AW150" i="15"/>
  <c r="BH150" i="15"/>
  <c r="AB150" i="15" s="1"/>
  <c r="AU145" i="15"/>
  <c r="I138" i="15"/>
  <c r="AW138" i="15"/>
  <c r="BH138" i="15"/>
  <c r="AB138" i="15" s="1"/>
  <c r="AU122" i="15"/>
  <c r="BC129" i="15"/>
  <c r="AV129" i="15"/>
  <c r="J102" i="15"/>
  <c r="J100" i="15" s="1"/>
  <c r="F28" i="14" s="1"/>
  <c r="AX102" i="15"/>
  <c r="BI102" i="15"/>
  <c r="AC102" i="15" s="1"/>
  <c r="AX76" i="15"/>
  <c r="J76" i="15"/>
  <c r="BI76" i="15"/>
  <c r="AC76" i="15" s="1"/>
  <c r="AK57" i="15"/>
  <c r="AT56" i="15" s="1"/>
  <c r="K56" i="15"/>
  <c r="G22" i="14" s="1"/>
  <c r="I22" i="14" s="1"/>
  <c r="I31" i="15"/>
  <c r="I30" i="15" s="1"/>
  <c r="E15" i="14" s="1"/>
  <c r="AW31" i="15"/>
  <c r="BH31" i="15"/>
  <c r="AB31" i="15" s="1"/>
  <c r="J322" i="15"/>
  <c r="AX322" i="15"/>
  <c r="BC322" i="15" s="1"/>
  <c r="AS321" i="15"/>
  <c r="J319" i="15"/>
  <c r="AX319" i="15"/>
  <c r="BC319" i="15" s="1"/>
  <c r="AV318" i="15"/>
  <c r="BC310" i="15"/>
  <c r="I308" i="15"/>
  <c r="AW308" i="15"/>
  <c r="AV306" i="15"/>
  <c r="BI303" i="15"/>
  <c r="AE303" i="15" s="1"/>
  <c r="AV302" i="15"/>
  <c r="BI299" i="15"/>
  <c r="AE299" i="15" s="1"/>
  <c r="BC286" i="15"/>
  <c r="I284" i="15"/>
  <c r="AW284" i="15"/>
  <c r="J283" i="15"/>
  <c r="AX283" i="15"/>
  <c r="I280" i="15"/>
  <c r="AW280" i="15"/>
  <c r="BC274" i="15"/>
  <c r="I272" i="15"/>
  <c r="AW272" i="15"/>
  <c r="J271" i="15"/>
  <c r="AX271" i="15"/>
  <c r="AV270" i="15"/>
  <c r="BI267" i="15"/>
  <c r="AE267" i="15" s="1"/>
  <c r="AV266" i="15"/>
  <c r="BI263" i="15"/>
  <c r="AE263" i="15" s="1"/>
  <c r="AV262" i="15"/>
  <c r="J255" i="15"/>
  <c r="AX255" i="15"/>
  <c r="AV255" i="15" s="1"/>
  <c r="I252" i="15"/>
  <c r="AW252" i="15"/>
  <c r="J251" i="15"/>
  <c r="AX251" i="15"/>
  <c r="I248" i="15"/>
  <c r="AW248" i="15"/>
  <c r="J247" i="15"/>
  <c r="AX247" i="15"/>
  <c r="I244" i="15"/>
  <c r="AW244" i="15"/>
  <c r="I241" i="15"/>
  <c r="AW241" i="15"/>
  <c r="J240" i="15"/>
  <c r="J226" i="15" s="1"/>
  <c r="F38" i="14" s="1"/>
  <c r="AX240" i="15"/>
  <c r="AV239" i="15"/>
  <c r="BI237" i="15"/>
  <c r="AE237" i="15" s="1"/>
  <c r="BI236" i="15"/>
  <c r="AE236" i="15" s="1"/>
  <c r="AV235" i="15"/>
  <c r="BI233" i="15"/>
  <c r="AE233" i="15" s="1"/>
  <c r="BI232" i="15"/>
  <c r="AE232" i="15" s="1"/>
  <c r="BH230" i="15"/>
  <c r="AD230" i="15" s="1"/>
  <c r="AW230" i="15"/>
  <c r="BH229" i="15"/>
  <c r="AD229" i="15" s="1"/>
  <c r="BI225" i="15"/>
  <c r="AE225" i="15" s="1"/>
  <c r="AV224" i="15"/>
  <c r="BI222" i="15"/>
  <c r="AE222" i="15" s="1"/>
  <c r="BI221" i="15"/>
  <c r="AE221" i="15" s="1"/>
  <c r="J217" i="15"/>
  <c r="AX217" i="15"/>
  <c r="BC217" i="15" s="1"/>
  <c r="I214" i="15"/>
  <c r="AW214" i="15"/>
  <c r="J213" i="15"/>
  <c r="AX213" i="15"/>
  <c r="I210" i="15"/>
  <c r="AW210" i="15"/>
  <c r="J209" i="15"/>
  <c r="AX209" i="15"/>
  <c r="I206" i="15"/>
  <c r="AW206" i="15"/>
  <c r="AV204" i="15"/>
  <c r="BI202" i="15"/>
  <c r="AE202" i="15" s="1"/>
  <c r="AU192" i="15"/>
  <c r="AS192" i="15"/>
  <c r="AS187" i="15"/>
  <c r="J184" i="15"/>
  <c r="BI184" i="15"/>
  <c r="BC181" i="15"/>
  <c r="AV181" i="15"/>
  <c r="I176" i="15"/>
  <c r="AW176" i="15"/>
  <c r="BH176" i="15"/>
  <c r="J164" i="15"/>
  <c r="AX164" i="15"/>
  <c r="BI164" i="15"/>
  <c r="AC164" i="15" s="1"/>
  <c r="BC163" i="15"/>
  <c r="AV163" i="15"/>
  <c r="BC158" i="15"/>
  <c r="AV158" i="15"/>
  <c r="J153" i="15"/>
  <c r="BI153" i="15"/>
  <c r="AC153" i="15" s="1"/>
  <c r="BC146" i="15"/>
  <c r="AV146" i="15"/>
  <c r="K145" i="15"/>
  <c r="G32" i="14" s="1"/>
  <c r="I32" i="14" s="1"/>
  <c r="AK146" i="15"/>
  <c r="AT145" i="15" s="1"/>
  <c r="J142" i="15"/>
  <c r="AX142" i="15"/>
  <c r="BI142" i="15"/>
  <c r="AC142" i="15" s="1"/>
  <c r="I139" i="15"/>
  <c r="AW139" i="15"/>
  <c r="BH139" i="15"/>
  <c r="AB139" i="15" s="1"/>
  <c r="BC134" i="15"/>
  <c r="AV134" i="15"/>
  <c r="J131" i="15"/>
  <c r="AX131" i="15"/>
  <c r="BI131" i="15"/>
  <c r="AC131" i="15" s="1"/>
  <c r="AV130" i="15"/>
  <c r="I100" i="15"/>
  <c r="E28" i="14" s="1"/>
  <c r="J96" i="15"/>
  <c r="J94" i="15" s="1"/>
  <c r="F26" i="14" s="1"/>
  <c r="AX96" i="15"/>
  <c r="BI96" i="15"/>
  <c r="AC96" i="15" s="1"/>
  <c r="AW82" i="15"/>
  <c r="BH82" i="15"/>
  <c r="AB82" i="15" s="1"/>
  <c r="I82" i="15"/>
  <c r="AX67" i="15"/>
  <c r="BI67" i="15"/>
  <c r="AC67" i="15" s="1"/>
  <c r="J50" i="15"/>
  <c r="AX50" i="15"/>
  <c r="BI50" i="15"/>
  <c r="AC50" i="15" s="1"/>
  <c r="BC195" i="15"/>
  <c r="I193" i="15"/>
  <c r="AW193" i="15"/>
  <c r="I190" i="15"/>
  <c r="I187" i="15" s="1"/>
  <c r="E35" i="14" s="1"/>
  <c r="AW190" i="15"/>
  <c r="J189" i="15"/>
  <c r="J187" i="15" s="1"/>
  <c r="F35" i="14" s="1"/>
  <c r="AX189" i="15"/>
  <c r="AU187" i="15"/>
  <c r="I184" i="15"/>
  <c r="AW184" i="15"/>
  <c r="I180" i="15"/>
  <c r="AW180" i="15"/>
  <c r="J179" i="15"/>
  <c r="J168" i="15" s="1"/>
  <c r="F33" i="14" s="1"/>
  <c r="AX179" i="15"/>
  <c r="AU168" i="15"/>
  <c r="I157" i="15"/>
  <c r="AW157" i="15"/>
  <c r="I153" i="15"/>
  <c r="AW153" i="15"/>
  <c r="BC151" i="15"/>
  <c r="J148" i="15"/>
  <c r="AX148" i="15"/>
  <c r="BC140" i="15"/>
  <c r="I118" i="15"/>
  <c r="AW118" i="15"/>
  <c r="BH118" i="15"/>
  <c r="AB118" i="15" s="1"/>
  <c r="BC107" i="15"/>
  <c r="AV107" i="15"/>
  <c r="J99" i="15"/>
  <c r="J97" i="15" s="1"/>
  <c r="F27" i="14" s="1"/>
  <c r="AX99" i="15"/>
  <c r="J93" i="15"/>
  <c r="J91" i="15" s="1"/>
  <c r="F25" i="14" s="1"/>
  <c r="AX93" i="15"/>
  <c r="I67" i="15"/>
  <c r="AW67" i="15"/>
  <c r="BH67" i="15"/>
  <c r="AB67" i="15" s="1"/>
  <c r="J66" i="15"/>
  <c r="AX66" i="15"/>
  <c r="BI66" i="15"/>
  <c r="AC66" i="15" s="1"/>
  <c r="AX62" i="15"/>
  <c r="J62" i="15"/>
  <c r="BI62" i="15"/>
  <c r="AC62" i="15" s="1"/>
  <c r="AX60" i="15"/>
  <c r="BC60" i="15" s="1"/>
  <c r="BI60" i="15"/>
  <c r="AC60" i="15" s="1"/>
  <c r="BC59" i="15"/>
  <c r="AV59" i="15"/>
  <c r="K52" i="15"/>
  <c r="G21" i="14" s="1"/>
  <c r="I21" i="14" s="1"/>
  <c r="AK53" i="15"/>
  <c r="AT52" i="15" s="1"/>
  <c r="I28" i="15"/>
  <c r="AW28" i="15"/>
  <c r="BH28" i="15"/>
  <c r="AB28" i="15" s="1"/>
  <c r="I22" i="15"/>
  <c r="AW22" i="15"/>
  <c r="BH22" i="15"/>
  <c r="AB22" i="15" s="1"/>
  <c r="BC199" i="15"/>
  <c r="I197" i="15"/>
  <c r="AW197" i="15"/>
  <c r="J196" i="15"/>
  <c r="AX196" i="15"/>
  <c r="AV195" i="15"/>
  <c r="BI189" i="15"/>
  <c r="AE189" i="15" s="1"/>
  <c r="AV188" i="15"/>
  <c r="BI179" i="15"/>
  <c r="K168" i="15"/>
  <c r="G33" i="14" s="1"/>
  <c r="I33" i="14" s="1"/>
  <c r="AK169" i="15"/>
  <c r="AT168" i="15" s="1"/>
  <c r="I165" i="15"/>
  <c r="AW165" i="15"/>
  <c r="I161" i="15"/>
  <c r="AW161" i="15"/>
  <c r="J152" i="15"/>
  <c r="AX152" i="15"/>
  <c r="AV152" i="15" s="1"/>
  <c r="AV151" i="15"/>
  <c r="BI148" i="15"/>
  <c r="AC148" i="15" s="1"/>
  <c r="BC144" i="15"/>
  <c r="J141" i="15"/>
  <c r="AX141" i="15"/>
  <c r="AV140" i="15"/>
  <c r="BC133" i="15"/>
  <c r="AV133" i="15"/>
  <c r="J128" i="15"/>
  <c r="BI128" i="15"/>
  <c r="AC128" i="15" s="1"/>
  <c r="J124" i="15"/>
  <c r="AX124" i="15"/>
  <c r="BI124" i="15"/>
  <c r="AC124" i="15" s="1"/>
  <c r="I121" i="15"/>
  <c r="AW121" i="15"/>
  <c r="BH121" i="15"/>
  <c r="AB121" i="15" s="1"/>
  <c r="I113" i="15"/>
  <c r="AW113" i="15"/>
  <c r="BH113" i="15"/>
  <c r="AB113" i="15" s="1"/>
  <c r="J109" i="15"/>
  <c r="AX109" i="15"/>
  <c r="BI109" i="15"/>
  <c r="AC109" i="15" s="1"/>
  <c r="AV108" i="15"/>
  <c r="J105" i="15"/>
  <c r="AX105" i="15"/>
  <c r="AS103" i="15"/>
  <c r="AU103" i="15"/>
  <c r="J103" i="15"/>
  <c r="F29" i="14" s="1"/>
  <c r="AV98" i="15"/>
  <c r="I97" i="15"/>
  <c r="E27" i="14" s="1"/>
  <c r="AV92" i="15"/>
  <c r="I91" i="15"/>
  <c r="E25" i="14" s="1"/>
  <c r="AV72" i="15"/>
  <c r="BC72" i="15"/>
  <c r="J25" i="15"/>
  <c r="BI25" i="15"/>
  <c r="AC25" i="15" s="1"/>
  <c r="J135" i="15"/>
  <c r="AX135" i="15"/>
  <c r="I128" i="15"/>
  <c r="AW128" i="15"/>
  <c r="AT122" i="15"/>
  <c r="K122" i="15"/>
  <c r="G31" i="14" s="1"/>
  <c r="I31" i="14" s="1"/>
  <c r="J120" i="15"/>
  <c r="AX120" i="15"/>
  <c r="J116" i="15"/>
  <c r="AX116" i="15"/>
  <c r="J112" i="15"/>
  <c r="AX112" i="15"/>
  <c r="AS111" i="15"/>
  <c r="I106" i="15"/>
  <c r="AW106" i="15"/>
  <c r="J87" i="15"/>
  <c r="AX87" i="15"/>
  <c r="AV79" i="15"/>
  <c r="BC79" i="15"/>
  <c r="AV78" i="15"/>
  <c r="I78" i="15"/>
  <c r="AU64" i="15"/>
  <c r="AV63" i="15"/>
  <c r="I63" i="15"/>
  <c r="I50" i="15"/>
  <c r="AW50" i="15"/>
  <c r="BH50" i="15"/>
  <c r="AB50" i="15" s="1"/>
  <c r="I38" i="15"/>
  <c r="I37" i="15" s="1"/>
  <c r="E17" i="14" s="1"/>
  <c r="AW38" i="15"/>
  <c r="BH38" i="15"/>
  <c r="AB38" i="15" s="1"/>
  <c r="BC36" i="15"/>
  <c r="AV36" i="15"/>
  <c r="BC32" i="15"/>
  <c r="AV32" i="15"/>
  <c r="I29" i="15"/>
  <c r="AW29" i="15"/>
  <c r="BH29" i="15"/>
  <c r="AB29" i="15" s="1"/>
  <c r="J27" i="15"/>
  <c r="J26" i="15" s="1"/>
  <c r="F14" i="14" s="1"/>
  <c r="AX27" i="15"/>
  <c r="BC27" i="15" s="1"/>
  <c r="BI27" i="15"/>
  <c r="AC27" i="15" s="1"/>
  <c r="AK15" i="15"/>
  <c r="K12" i="15"/>
  <c r="AW137" i="15"/>
  <c r="BI135" i="15"/>
  <c r="AC135" i="15" s="1"/>
  <c r="I132" i="15"/>
  <c r="AW132" i="15"/>
  <c r="BC126" i="15"/>
  <c r="J123" i="15"/>
  <c r="AX123" i="15"/>
  <c r="AS122" i="15"/>
  <c r="BI120" i="15"/>
  <c r="AC120" i="15" s="1"/>
  <c r="AV119" i="15"/>
  <c r="BI116" i="15"/>
  <c r="AC116" i="15" s="1"/>
  <c r="AV115" i="15"/>
  <c r="BI112" i="15"/>
  <c r="AC112" i="15" s="1"/>
  <c r="I110" i="15"/>
  <c r="AW110" i="15"/>
  <c r="K103" i="15"/>
  <c r="G29" i="14" s="1"/>
  <c r="I29" i="14" s="1"/>
  <c r="I83" i="15"/>
  <c r="AW83" i="15"/>
  <c r="J82" i="15"/>
  <c r="AX82" i="15"/>
  <c r="BC78" i="15"/>
  <c r="AX69" i="15"/>
  <c r="BC69" i="15" s="1"/>
  <c r="J69" i="15"/>
  <c r="I68" i="15"/>
  <c r="AW68" i="15"/>
  <c r="BH68" i="15"/>
  <c r="AB68" i="15" s="1"/>
  <c r="BC63" i="15"/>
  <c r="AX58" i="15"/>
  <c r="BC58" i="15" s="1"/>
  <c r="J58" i="15"/>
  <c r="I57" i="15"/>
  <c r="AW57" i="15"/>
  <c r="BH57" i="15"/>
  <c r="AB57" i="15" s="1"/>
  <c r="J34" i="15"/>
  <c r="AX34" i="15"/>
  <c r="BI34" i="15"/>
  <c r="AC34" i="15" s="1"/>
  <c r="AV27" i="15"/>
  <c r="BC20" i="15"/>
  <c r="AV20" i="15"/>
  <c r="BC16" i="15"/>
  <c r="AV16" i="15"/>
  <c r="J79" i="15"/>
  <c r="I66" i="15"/>
  <c r="AT64" i="15"/>
  <c r="AU56" i="15"/>
  <c r="AS52" i="15"/>
  <c r="AT48" i="15"/>
  <c r="K48" i="15"/>
  <c r="G20" i="14" s="1"/>
  <c r="I20" i="14" s="1"/>
  <c r="BC44" i="15"/>
  <c r="AV44" i="15"/>
  <c r="K43" i="15"/>
  <c r="G19" i="14" s="1"/>
  <c r="I19" i="14" s="1"/>
  <c r="AK44" i="15"/>
  <c r="AT43" i="15" s="1"/>
  <c r="K37" i="15"/>
  <c r="G17" i="14" s="1"/>
  <c r="I17" i="14" s="1"/>
  <c r="AK38" i="15"/>
  <c r="AT37" i="15" s="1"/>
  <c r="AS30" i="15"/>
  <c r="K26" i="15"/>
  <c r="G14" i="14" s="1"/>
  <c r="I14" i="14" s="1"/>
  <c r="I25" i="15"/>
  <c r="AW25" i="15"/>
  <c r="J18" i="15"/>
  <c r="AX18" i="15"/>
  <c r="BI18" i="15"/>
  <c r="AC18" i="15" s="1"/>
  <c r="BC17" i="15"/>
  <c r="AV17" i="15"/>
  <c r="AU12" i="15"/>
  <c r="BI81" i="15"/>
  <c r="AC81" i="15" s="1"/>
  <c r="BH74" i="15"/>
  <c r="AB74" i="15" s="1"/>
  <c r="BH72" i="15"/>
  <c r="AB72" i="15" s="1"/>
  <c r="BI70" i="15"/>
  <c r="AC70" i="15" s="1"/>
  <c r="I70" i="15"/>
  <c r="BH66" i="15"/>
  <c r="AB66" i="15" s="1"/>
  <c r="BH61" i="15"/>
  <c r="AB61" i="15" s="1"/>
  <c r="BH60" i="15"/>
  <c r="AB60" i="15" s="1"/>
  <c r="BI59" i="15"/>
  <c r="AC59" i="15" s="1"/>
  <c r="I59" i="15"/>
  <c r="J52" i="15"/>
  <c r="F21" i="14" s="1"/>
  <c r="I51" i="15"/>
  <c r="AW51" i="15"/>
  <c r="BH51" i="15"/>
  <c r="AB51" i="15" s="1"/>
  <c r="I47" i="15"/>
  <c r="I43" i="15" s="1"/>
  <c r="E19" i="14" s="1"/>
  <c r="AW47" i="15"/>
  <c r="J46" i="15"/>
  <c r="AX46" i="15"/>
  <c r="BI46" i="15"/>
  <c r="AC46" i="15" s="1"/>
  <c r="AV45" i="15"/>
  <c r="J43" i="15"/>
  <c r="F19" i="14" s="1"/>
  <c r="I41" i="15"/>
  <c r="I40" i="15" s="1"/>
  <c r="E18" i="14" s="1"/>
  <c r="AW41" i="15"/>
  <c r="BH41" i="15"/>
  <c r="AB41" i="15" s="1"/>
  <c r="BC39" i="15"/>
  <c r="AV39" i="15"/>
  <c r="J31" i="15"/>
  <c r="BI31" i="15"/>
  <c r="AC31" i="15" s="1"/>
  <c r="AT26" i="15"/>
  <c r="J14" i="15"/>
  <c r="AX14" i="15"/>
  <c r="BI14" i="15"/>
  <c r="AC14" i="15" s="1"/>
  <c r="AS12" i="15"/>
  <c r="AV13" i="15"/>
  <c r="BC23" i="15"/>
  <c r="K21" i="15"/>
  <c r="G13" i="14" s="1"/>
  <c r="I13" i="14" s="1"/>
  <c r="AK22" i="15"/>
  <c r="AT21" i="15" s="1"/>
  <c r="I53" i="15"/>
  <c r="I52" i="15" s="1"/>
  <c r="E21" i="14" s="1"/>
  <c r="AW53" i="15"/>
  <c r="J49" i="15"/>
  <c r="J48" i="15" s="1"/>
  <c r="F20" i="14" s="1"/>
  <c r="AX49" i="15"/>
  <c r="AS48" i="15"/>
  <c r="BC42" i="15"/>
  <c r="K40" i="15"/>
  <c r="G18" i="14" s="1"/>
  <c r="I18" i="14" s="1"/>
  <c r="AK41" i="15"/>
  <c r="AT40" i="15" s="1"/>
  <c r="J37" i="15"/>
  <c r="F17" i="14" s="1"/>
  <c r="K30" i="15"/>
  <c r="G15" i="14" s="1"/>
  <c r="I15" i="14" s="1"/>
  <c r="AK31" i="15"/>
  <c r="AT30" i="15" s="1"/>
  <c r="J24" i="15"/>
  <c r="J21" i="15" s="1"/>
  <c r="F13" i="14" s="1"/>
  <c r="AX24" i="15"/>
  <c r="BC24" i="15" s="1"/>
  <c r="AV23" i="15"/>
  <c r="I15" i="15"/>
  <c r="I12" i="15" s="1"/>
  <c r="E11" i="14" s="1"/>
  <c r="AW15" i="15"/>
  <c r="I617" i="11"/>
  <c r="E53" i="10" s="1"/>
  <c r="AV576" i="11"/>
  <c r="BC576" i="11"/>
  <c r="AV568" i="11"/>
  <c r="BC568" i="11"/>
  <c r="AV560" i="11"/>
  <c r="BC560" i="11"/>
  <c r="AV564" i="11"/>
  <c r="BC564" i="11"/>
  <c r="BC612" i="11"/>
  <c r="AV612" i="11"/>
  <c r="AV580" i="11"/>
  <c r="BC580" i="11"/>
  <c r="BI609" i="11"/>
  <c r="AC609" i="11" s="1"/>
  <c r="C29" i="9"/>
  <c r="F29" i="9" s="1"/>
  <c r="AX624" i="11"/>
  <c r="AV622" i="11"/>
  <c r="AW621" i="11"/>
  <c r="AX620" i="11"/>
  <c r="BC620" i="11" s="1"/>
  <c r="AV618" i="11"/>
  <c r="AV615" i="11"/>
  <c r="AW614" i="11"/>
  <c r="AX613" i="11"/>
  <c r="BC613" i="11" s="1"/>
  <c r="AV611" i="11"/>
  <c r="AW610" i="11"/>
  <c r="AX609" i="11"/>
  <c r="BC609" i="11" s="1"/>
  <c r="AV607" i="11"/>
  <c r="AW606" i="11"/>
  <c r="AX605" i="11"/>
  <c r="BC605" i="11" s="1"/>
  <c r="AV603" i="11"/>
  <c r="AW602" i="11"/>
  <c r="AX601" i="11"/>
  <c r="AV599" i="11"/>
  <c r="AW598" i="11"/>
  <c r="AX597" i="11"/>
  <c r="AV595" i="11"/>
  <c r="AW594" i="11"/>
  <c r="AX593" i="11"/>
  <c r="BC593" i="11" s="1"/>
  <c r="AV591" i="11"/>
  <c r="AW590" i="11"/>
  <c r="AX589" i="11"/>
  <c r="BC589" i="11" s="1"/>
  <c r="AW586" i="11"/>
  <c r="AX585" i="11"/>
  <c r="BC585" i="11" s="1"/>
  <c r="AV583" i="11"/>
  <c r="AW582" i="11"/>
  <c r="AX581" i="11"/>
  <c r="BC581" i="11" s="1"/>
  <c r="AV579" i="11"/>
  <c r="AW578" i="11"/>
  <c r="AX577" i="11"/>
  <c r="BC577" i="11" s="1"/>
  <c r="AV575" i="11"/>
  <c r="AW574" i="11"/>
  <c r="AX573" i="11"/>
  <c r="AV571" i="11"/>
  <c r="AW570" i="11"/>
  <c r="AX569" i="11"/>
  <c r="BC569" i="11" s="1"/>
  <c r="AW566" i="11"/>
  <c r="AX565" i="11"/>
  <c r="BC565" i="11" s="1"/>
  <c r="AV563" i="11"/>
  <c r="AW562" i="11"/>
  <c r="AX561" i="11"/>
  <c r="BC561" i="11" s="1"/>
  <c r="AV559" i="11"/>
  <c r="I553" i="11"/>
  <c r="AW553" i="11"/>
  <c r="BI549" i="11"/>
  <c r="AC549" i="11" s="1"/>
  <c r="BC547" i="11"/>
  <c r="BH546" i="11"/>
  <c r="AB546" i="11" s="1"/>
  <c r="AW546" i="11"/>
  <c r="AX545" i="11"/>
  <c r="J544" i="11"/>
  <c r="AX544" i="11"/>
  <c r="AV543" i="11"/>
  <c r="AU538" i="11"/>
  <c r="AV537" i="11"/>
  <c r="AV533" i="11"/>
  <c r="I527" i="11"/>
  <c r="AW527" i="11"/>
  <c r="I523" i="11"/>
  <c r="AW523" i="11"/>
  <c r="J519" i="11"/>
  <c r="AX519" i="11"/>
  <c r="J515" i="11"/>
  <c r="AX515" i="11"/>
  <c r="J511" i="11"/>
  <c r="AX511" i="11"/>
  <c r="K507" i="11"/>
  <c r="G50" i="10" s="1"/>
  <c r="I50" i="10" s="1"/>
  <c r="AK508" i="11"/>
  <c r="AT507" i="11" s="1"/>
  <c r="J497" i="11"/>
  <c r="AX497" i="11"/>
  <c r="AU493" i="11"/>
  <c r="BC480" i="11"/>
  <c r="AV480" i="11"/>
  <c r="AT479" i="11"/>
  <c r="I476" i="11"/>
  <c r="AW476" i="11"/>
  <c r="AT473" i="11"/>
  <c r="I469" i="11"/>
  <c r="AW469" i="11"/>
  <c r="J464" i="11"/>
  <c r="AX464" i="11"/>
  <c r="I446" i="11"/>
  <c r="AW446" i="11"/>
  <c r="BC439" i="11"/>
  <c r="J437" i="11"/>
  <c r="AX437" i="11"/>
  <c r="I434" i="11"/>
  <c r="AW434" i="11"/>
  <c r="AT431" i="11"/>
  <c r="BC373" i="11"/>
  <c r="AV373" i="11"/>
  <c r="AS341" i="11"/>
  <c r="I338" i="11"/>
  <c r="AW338" i="11"/>
  <c r="BH338" i="11"/>
  <c r="AD338" i="11" s="1"/>
  <c r="J307" i="11"/>
  <c r="AX307" i="11"/>
  <c r="BI307" i="11"/>
  <c r="AE307" i="11" s="1"/>
  <c r="J306" i="11"/>
  <c r="AX306" i="11"/>
  <c r="BI306" i="11"/>
  <c r="AE306" i="11" s="1"/>
  <c r="BC305" i="11"/>
  <c r="AV305" i="11"/>
  <c r="BI593" i="11"/>
  <c r="AC593" i="11" s="1"/>
  <c r="BH586" i="11"/>
  <c r="AB586" i="11" s="1"/>
  <c r="BC542" i="11"/>
  <c r="AV542" i="11"/>
  <c r="K541" i="11"/>
  <c r="G52" i="10" s="1"/>
  <c r="I52" i="10" s="1"/>
  <c r="AK542" i="11"/>
  <c r="AT541" i="11" s="1"/>
  <c r="AV536" i="11"/>
  <c r="J530" i="11"/>
  <c r="AX530" i="11"/>
  <c r="AU507" i="11"/>
  <c r="I505" i="11"/>
  <c r="I501" i="11" s="1"/>
  <c r="E49" i="10" s="1"/>
  <c r="AW505" i="11"/>
  <c r="BC502" i="11"/>
  <c r="AV502" i="11"/>
  <c r="J490" i="11"/>
  <c r="AX490" i="11"/>
  <c r="I487" i="11"/>
  <c r="AW487" i="11"/>
  <c r="BC484" i="11"/>
  <c r="AV484" i="11"/>
  <c r="J482" i="11"/>
  <c r="AX482" i="11"/>
  <c r="BC458" i="11"/>
  <c r="J448" i="11"/>
  <c r="AX448" i="11"/>
  <c r="BC424" i="11"/>
  <c r="AV424" i="11"/>
  <c r="I407" i="11"/>
  <c r="AW407" i="11"/>
  <c r="I399" i="11"/>
  <c r="AW399" i="11"/>
  <c r="J333" i="11"/>
  <c r="AX333" i="11"/>
  <c r="BI333" i="11"/>
  <c r="AE333" i="11" s="1"/>
  <c r="AX619" i="11"/>
  <c r="J601" i="11"/>
  <c r="AX600" i="11"/>
  <c r="AV600" i="11" s="1"/>
  <c r="AW597" i="11"/>
  <c r="AX596" i="11"/>
  <c r="AV596" i="11" s="1"/>
  <c r="I557" i="11"/>
  <c r="AW557" i="11"/>
  <c r="BI553" i="11"/>
  <c r="AC553" i="11" s="1"/>
  <c r="BC551" i="11"/>
  <c r="BH550" i="11"/>
  <c r="AB550" i="11" s="1"/>
  <c r="AW550" i="11"/>
  <c r="J548" i="11"/>
  <c r="AX548" i="11"/>
  <c r="BC540" i="11"/>
  <c r="BH539" i="11"/>
  <c r="AF539" i="11" s="1"/>
  <c r="C18" i="9" s="1"/>
  <c r="AW539" i="11"/>
  <c r="K538" i="11"/>
  <c r="G51" i="10" s="1"/>
  <c r="I51" i="10" s="1"/>
  <c r="AK539" i="11"/>
  <c r="AT538" i="11" s="1"/>
  <c r="I535" i="11"/>
  <c r="AW535" i="11"/>
  <c r="I531" i="11"/>
  <c r="AW531" i="11"/>
  <c r="BI527" i="11"/>
  <c r="AC527" i="11" s="1"/>
  <c r="BI523" i="11"/>
  <c r="AC523" i="11" s="1"/>
  <c r="BC521" i="11"/>
  <c r="BC506" i="11"/>
  <c r="AV506" i="11"/>
  <c r="J504" i="11"/>
  <c r="J501" i="11" s="1"/>
  <c r="F49" i="10" s="1"/>
  <c r="AX504" i="11"/>
  <c r="BC495" i="11"/>
  <c r="AV495" i="11"/>
  <c r="K493" i="11"/>
  <c r="G48" i="10" s="1"/>
  <c r="I48" i="10" s="1"/>
  <c r="AK494" i="11"/>
  <c r="AT493" i="11" s="1"/>
  <c r="I491" i="11"/>
  <c r="AW491" i="11"/>
  <c r="BC488" i="11"/>
  <c r="AV488" i="11"/>
  <c r="J486" i="11"/>
  <c r="AX486" i="11"/>
  <c r="I483" i="11"/>
  <c r="AW483" i="11"/>
  <c r="J479" i="11"/>
  <c r="F47" i="10" s="1"/>
  <c r="AU473" i="11"/>
  <c r="AS473" i="11"/>
  <c r="I473" i="11"/>
  <c r="E46" i="10" s="1"/>
  <c r="J472" i="11"/>
  <c r="AX472" i="11"/>
  <c r="BC462" i="11"/>
  <c r="AV462" i="11"/>
  <c r="J460" i="11"/>
  <c r="AX460" i="11"/>
  <c r="I457" i="11"/>
  <c r="AW457" i="11"/>
  <c r="BC454" i="11"/>
  <c r="AV454" i="11"/>
  <c r="J452" i="11"/>
  <c r="AX452" i="11"/>
  <c r="I449" i="11"/>
  <c r="AW449" i="11"/>
  <c r="I442" i="11"/>
  <c r="AW442" i="11"/>
  <c r="AU431" i="11"/>
  <c r="AS431" i="11"/>
  <c r="J430" i="11"/>
  <c r="AX430" i="11"/>
  <c r="I427" i="11"/>
  <c r="AW427" i="11"/>
  <c r="I423" i="11"/>
  <c r="AW423" i="11"/>
  <c r="BC420" i="11"/>
  <c r="AV420" i="11"/>
  <c r="J418" i="11"/>
  <c r="AX418" i="11"/>
  <c r="I415" i="11"/>
  <c r="AW415" i="11"/>
  <c r="BC412" i="11"/>
  <c r="AV412" i="11"/>
  <c r="J410" i="11"/>
  <c r="AX410" i="11"/>
  <c r="J406" i="11"/>
  <c r="AX406" i="11"/>
  <c r="BC404" i="11"/>
  <c r="AV404" i="11"/>
  <c r="J402" i="11"/>
  <c r="AX402" i="11"/>
  <c r="J398" i="11"/>
  <c r="AX398" i="11"/>
  <c r="BC385" i="11"/>
  <c r="I380" i="11"/>
  <c r="AW380" i="11"/>
  <c r="BH380" i="11"/>
  <c r="AD380" i="11" s="1"/>
  <c r="AT365" i="11"/>
  <c r="BC335" i="11"/>
  <c r="AV335" i="11"/>
  <c r="I206" i="11"/>
  <c r="AW206" i="11"/>
  <c r="BH206" i="11"/>
  <c r="AD206" i="11" s="1"/>
  <c r="AV558" i="11"/>
  <c r="J556" i="11"/>
  <c r="AX556" i="11"/>
  <c r="I549" i="11"/>
  <c r="AW549" i="11"/>
  <c r="J534" i="11"/>
  <c r="AX534" i="11"/>
  <c r="BC532" i="11"/>
  <c r="AV532" i="11"/>
  <c r="AT501" i="11"/>
  <c r="AS493" i="11"/>
  <c r="I494" i="11"/>
  <c r="AW494" i="11"/>
  <c r="I461" i="11"/>
  <c r="AW461" i="11"/>
  <c r="J456" i="11"/>
  <c r="AX456" i="11"/>
  <c r="I453" i="11"/>
  <c r="AW453" i="11"/>
  <c r="BC450" i="11"/>
  <c r="AV450" i="11"/>
  <c r="BC443" i="11"/>
  <c r="AV443" i="11"/>
  <c r="J441" i="11"/>
  <c r="AX441" i="11"/>
  <c r="BC428" i="11"/>
  <c r="AV428" i="11"/>
  <c r="J426" i="11"/>
  <c r="AX426" i="11"/>
  <c r="J422" i="11"/>
  <c r="AX422" i="11"/>
  <c r="I419" i="11"/>
  <c r="AW419" i="11"/>
  <c r="BC416" i="11"/>
  <c r="AV416" i="11"/>
  <c r="J414" i="11"/>
  <c r="AX414" i="11"/>
  <c r="I411" i="11"/>
  <c r="AW411" i="11"/>
  <c r="I403" i="11"/>
  <c r="AW403" i="11"/>
  <c r="BC390" i="11"/>
  <c r="AV390" i="11"/>
  <c r="AV316" i="11"/>
  <c r="BC554" i="11"/>
  <c r="AV554" i="11"/>
  <c r="AX553" i="11"/>
  <c r="J552" i="11"/>
  <c r="AX552" i="11"/>
  <c r="AV551" i="11"/>
  <c r="BI548" i="11"/>
  <c r="AC548" i="11" s="1"/>
  <c r="I545" i="11"/>
  <c r="I541" i="11" s="1"/>
  <c r="E52" i="10" s="1"/>
  <c r="AW545" i="11"/>
  <c r="AU541" i="11"/>
  <c r="J538" i="11"/>
  <c r="F51" i="10" s="1"/>
  <c r="BC528" i="11"/>
  <c r="AV528" i="11"/>
  <c r="AX527" i="11"/>
  <c r="J526" i="11"/>
  <c r="AX526" i="11"/>
  <c r="BC524" i="11"/>
  <c r="AV524" i="11"/>
  <c r="AX523" i="11"/>
  <c r="J522" i="11"/>
  <c r="AX522" i="11"/>
  <c r="AV521" i="11"/>
  <c r="I520" i="11"/>
  <c r="AW520" i="11"/>
  <c r="I516" i="11"/>
  <c r="AW516" i="11"/>
  <c r="BC513" i="11"/>
  <c r="AV513" i="11"/>
  <c r="I512" i="11"/>
  <c r="AW512" i="11"/>
  <c r="AS507" i="11"/>
  <c r="BC509" i="11"/>
  <c r="AV509" i="11"/>
  <c r="I508" i="11"/>
  <c r="AW508" i="11"/>
  <c r="BH505" i="11"/>
  <c r="AD505" i="11" s="1"/>
  <c r="I498" i="11"/>
  <c r="AW498" i="11"/>
  <c r="BH494" i="11"/>
  <c r="AD494" i="11" s="1"/>
  <c r="BC492" i="11"/>
  <c r="AV492" i="11"/>
  <c r="BI490" i="11"/>
  <c r="AE490" i="11" s="1"/>
  <c r="BH487" i="11"/>
  <c r="AD487" i="11" s="1"/>
  <c r="BI482" i="11"/>
  <c r="AE482" i="11" s="1"/>
  <c r="BC477" i="11"/>
  <c r="AV477" i="11"/>
  <c r="J475" i="11"/>
  <c r="AX475" i="11"/>
  <c r="K473" i="11"/>
  <c r="G46" i="10" s="1"/>
  <c r="I46" i="10" s="1"/>
  <c r="BC470" i="11"/>
  <c r="AV470" i="11"/>
  <c r="J468" i="11"/>
  <c r="AX468" i="11"/>
  <c r="I465" i="11"/>
  <c r="AW465" i="11"/>
  <c r="BH461" i="11"/>
  <c r="AD461" i="11" s="1"/>
  <c r="BI456" i="11"/>
  <c r="AE456" i="11" s="1"/>
  <c r="BH453" i="11"/>
  <c r="AD453" i="11" s="1"/>
  <c r="BI448" i="11"/>
  <c r="AE448" i="11" s="1"/>
  <c r="AS447" i="11"/>
  <c r="K447" i="11"/>
  <c r="G45" i="10" s="1"/>
  <c r="I45" i="10" s="1"/>
  <c r="J445" i="11"/>
  <c r="AX445" i="11"/>
  <c r="BI441" i="11"/>
  <c r="AE441" i="11" s="1"/>
  <c r="I438" i="11"/>
  <c r="AW438" i="11"/>
  <c r="BC435" i="11"/>
  <c r="AV435" i="11"/>
  <c r="J433" i="11"/>
  <c r="AX433" i="11"/>
  <c r="K431" i="11"/>
  <c r="G44" i="10" s="1"/>
  <c r="I44" i="10" s="1"/>
  <c r="BI426" i="11"/>
  <c r="AE426" i="11" s="1"/>
  <c r="BI422" i="11"/>
  <c r="AE422" i="11" s="1"/>
  <c r="BH419" i="11"/>
  <c r="AD419" i="11" s="1"/>
  <c r="BI414" i="11"/>
  <c r="AE414" i="11" s="1"/>
  <c r="BH411" i="11"/>
  <c r="AD411" i="11" s="1"/>
  <c r="BH407" i="11"/>
  <c r="AD407" i="11" s="1"/>
  <c r="BH403" i="11"/>
  <c r="AD403" i="11" s="1"/>
  <c r="BH399" i="11"/>
  <c r="AD399" i="11" s="1"/>
  <c r="BC350" i="11"/>
  <c r="AV350" i="11"/>
  <c r="I295" i="11"/>
  <c r="AW295" i="11"/>
  <c r="BH295" i="11"/>
  <c r="AD295" i="11" s="1"/>
  <c r="K501" i="11"/>
  <c r="G49" i="10" s="1"/>
  <c r="I49" i="10" s="1"/>
  <c r="K479" i="11"/>
  <c r="G47" i="10" s="1"/>
  <c r="I47" i="10" s="1"/>
  <c r="I395" i="11"/>
  <c r="AW395" i="11"/>
  <c r="I392" i="11"/>
  <c r="AW392" i="11"/>
  <c r="BC389" i="11"/>
  <c r="AV389" i="11"/>
  <c r="I384" i="11"/>
  <c r="AW384" i="11"/>
  <c r="J375" i="11"/>
  <c r="AX375" i="11"/>
  <c r="BC375" i="11" s="1"/>
  <c r="I372" i="11"/>
  <c r="AW372" i="11"/>
  <c r="J367" i="11"/>
  <c r="AX367" i="11"/>
  <c r="BC367" i="11" s="1"/>
  <c r="AS365" i="11"/>
  <c r="J364" i="11"/>
  <c r="AX364" i="11"/>
  <c r="J360" i="11"/>
  <c r="AX360" i="11"/>
  <c r="BC360" i="11" s="1"/>
  <c r="J356" i="11"/>
  <c r="AX356" i="11"/>
  <c r="BC356" i="11" s="1"/>
  <c r="J352" i="11"/>
  <c r="AX352" i="11"/>
  <c r="I349" i="11"/>
  <c r="AW349" i="11"/>
  <c r="K341" i="11"/>
  <c r="G41" i="10" s="1"/>
  <c r="I41" i="10" s="1"/>
  <c r="BC342" i="11"/>
  <c r="AT341" i="11"/>
  <c r="AU317" i="11"/>
  <c r="I308" i="11"/>
  <c r="AW308" i="11"/>
  <c r="BH308" i="11"/>
  <c r="AD308" i="11" s="1"/>
  <c r="I292" i="11"/>
  <c r="AW292" i="11"/>
  <c r="BH292" i="11"/>
  <c r="AD292" i="11" s="1"/>
  <c r="I256" i="11"/>
  <c r="AW256" i="11"/>
  <c r="BH256" i="11"/>
  <c r="AD256" i="11" s="1"/>
  <c r="I255" i="11"/>
  <c r="AW255" i="11"/>
  <c r="BH255" i="11"/>
  <c r="AD255" i="11" s="1"/>
  <c r="AU225" i="11"/>
  <c r="BC222" i="11"/>
  <c r="AV222" i="11"/>
  <c r="J162" i="11"/>
  <c r="AX162" i="11"/>
  <c r="BI162" i="11"/>
  <c r="AC162" i="11" s="1"/>
  <c r="J99" i="11"/>
  <c r="J98" i="11" s="1"/>
  <c r="F26" i="10" s="1"/>
  <c r="AX99" i="11"/>
  <c r="BI99" i="11"/>
  <c r="AC99" i="11" s="1"/>
  <c r="AW519" i="11"/>
  <c r="AX518" i="11"/>
  <c r="AW515" i="11"/>
  <c r="AX514" i="11"/>
  <c r="AW511" i="11"/>
  <c r="AX510" i="11"/>
  <c r="AW504" i="11"/>
  <c r="AX503" i="11"/>
  <c r="AX500" i="11"/>
  <c r="AV500" i="11" s="1"/>
  <c r="AW497" i="11"/>
  <c r="AX496" i="11"/>
  <c r="AW490" i="11"/>
  <c r="AX489" i="11"/>
  <c r="AW486" i="11"/>
  <c r="AX485" i="11"/>
  <c r="AW482" i="11"/>
  <c r="AX481" i="11"/>
  <c r="AX478" i="11"/>
  <c r="AW475" i="11"/>
  <c r="AX474" i="11"/>
  <c r="AW472" i="11"/>
  <c r="AX471" i="11"/>
  <c r="AV471" i="11" s="1"/>
  <c r="AW468" i="11"/>
  <c r="AX467" i="11"/>
  <c r="AW464" i="11"/>
  <c r="AX463" i="11"/>
  <c r="AW460" i="11"/>
  <c r="AX459" i="11"/>
  <c r="AW456" i="11"/>
  <c r="AX455" i="11"/>
  <c r="AW452" i="11"/>
  <c r="AX451" i="11"/>
  <c r="AW448" i="11"/>
  <c r="AW445" i="11"/>
  <c r="AX444" i="11"/>
  <c r="AW441" i="11"/>
  <c r="AX440" i="11"/>
  <c r="AV440" i="11" s="1"/>
  <c r="AW437" i="11"/>
  <c r="AX436" i="11"/>
  <c r="AW433" i="11"/>
  <c r="AX432" i="11"/>
  <c r="AW430" i="11"/>
  <c r="AX429" i="11"/>
  <c r="AW426" i="11"/>
  <c r="AX425" i="11"/>
  <c r="AV425" i="11" s="1"/>
  <c r="AW422" i="11"/>
  <c r="AX421" i="11"/>
  <c r="AW418" i="11"/>
  <c r="AX417" i="11"/>
  <c r="AW414" i="11"/>
  <c r="AX413" i="11"/>
  <c r="AW410" i="11"/>
  <c r="AX409" i="11"/>
  <c r="AV409" i="11" s="1"/>
  <c r="AW406" i="11"/>
  <c r="AX405" i="11"/>
  <c r="BC405" i="11" s="1"/>
  <c r="AW402" i="11"/>
  <c r="AX401" i="11"/>
  <c r="BC401" i="11" s="1"/>
  <c r="AW398" i="11"/>
  <c r="AU394" i="11"/>
  <c r="I388" i="11"/>
  <c r="AW388" i="11"/>
  <c r="J379" i="11"/>
  <c r="AX379" i="11"/>
  <c r="BC379" i="11" s="1"/>
  <c r="BC377" i="11"/>
  <c r="AV377" i="11"/>
  <c r="J371" i="11"/>
  <c r="AX371" i="11"/>
  <c r="BC369" i="11"/>
  <c r="AV369" i="11"/>
  <c r="K365" i="11"/>
  <c r="G42" i="10" s="1"/>
  <c r="I42" i="10" s="1"/>
  <c r="BC362" i="11"/>
  <c r="AV362" i="11"/>
  <c r="BC358" i="11"/>
  <c r="AV358" i="11"/>
  <c r="AV354" i="11"/>
  <c r="J348" i="11"/>
  <c r="AX348" i="11"/>
  <c r="I345" i="11"/>
  <c r="AW345" i="11"/>
  <c r="BC339" i="11"/>
  <c r="AV339" i="11"/>
  <c r="J337" i="11"/>
  <c r="AX337" i="11"/>
  <c r="I334" i="11"/>
  <c r="AW334" i="11"/>
  <c r="AV331" i="11"/>
  <c r="AV312" i="11"/>
  <c r="J279" i="11"/>
  <c r="AX279" i="11"/>
  <c r="BI279" i="11"/>
  <c r="AE279" i="11" s="1"/>
  <c r="I199" i="11"/>
  <c r="AW199" i="11"/>
  <c r="BH199" i="11"/>
  <c r="AD199" i="11" s="1"/>
  <c r="J194" i="11"/>
  <c r="BI194" i="11"/>
  <c r="AE194" i="11" s="1"/>
  <c r="AX194" i="11"/>
  <c r="J129" i="11"/>
  <c r="AX129" i="11"/>
  <c r="BI129" i="11"/>
  <c r="AC129" i="11" s="1"/>
  <c r="AK448" i="11"/>
  <c r="AT447" i="11" s="1"/>
  <c r="AS394" i="11"/>
  <c r="K394" i="11"/>
  <c r="G43" i="10" s="1"/>
  <c r="I43" i="10" s="1"/>
  <c r="AK395" i="11"/>
  <c r="AT394" i="11" s="1"/>
  <c r="J391" i="11"/>
  <c r="AX391" i="11"/>
  <c r="J387" i="11"/>
  <c r="AX387" i="11"/>
  <c r="J383" i="11"/>
  <c r="AX383" i="11"/>
  <c r="BC383" i="11" s="1"/>
  <c r="BC381" i="11"/>
  <c r="AV381" i="11"/>
  <c r="I376" i="11"/>
  <c r="AW376" i="11"/>
  <c r="BI375" i="11"/>
  <c r="AE375" i="11" s="1"/>
  <c r="I368" i="11"/>
  <c r="I365" i="11" s="1"/>
  <c r="E42" i="10" s="1"/>
  <c r="AW368" i="11"/>
  <c r="BI367" i="11"/>
  <c r="AE367" i="11" s="1"/>
  <c r="AU365" i="11"/>
  <c r="AV363" i="11"/>
  <c r="I361" i="11"/>
  <c r="AW361" i="11"/>
  <c r="BI360" i="11"/>
  <c r="AE360" i="11" s="1"/>
  <c r="AV359" i="11"/>
  <c r="I357" i="11"/>
  <c r="AW357" i="11"/>
  <c r="BI356" i="11"/>
  <c r="AE356" i="11" s="1"/>
  <c r="AV355" i="11"/>
  <c r="I353" i="11"/>
  <c r="AW353" i="11"/>
  <c r="BI352" i="11"/>
  <c r="AE352" i="11" s="1"/>
  <c r="J344" i="11"/>
  <c r="J341" i="11" s="1"/>
  <c r="F41" i="10" s="1"/>
  <c r="AX344" i="11"/>
  <c r="J302" i="11"/>
  <c r="AX302" i="11"/>
  <c r="BC302" i="11" s="1"/>
  <c r="BI302" i="11"/>
  <c r="AE302" i="11" s="1"/>
  <c r="J263" i="11"/>
  <c r="AX263" i="11"/>
  <c r="BI263" i="11"/>
  <c r="AE263" i="11" s="1"/>
  <c r="BC327" i="11"/>
  <c r="AV327" i="11"/>
  <c r="BC323" i="11"/>
  <c r="AV323" i="11"/>
  <c r="K317" i="11"/>
  <c r="G40" i="10" s="1"/>
  <c r="I40" i="10" s="1"/>
  <c r="AK318" i="11"/>
  <c r="AT317" i="11" s="1"/>
  <c r="I307" i="11"/>
  <c r="AW307" i="11"/>
  <c r="BH307" i="11"/>
  <c r="AD307" i="11" s="1"/>
  <c r="BC300" i="11"/>
  <c r="AV300" i="11"/>
  <c r="J283" i="11"/>
  <c r="AX283" i="11"/>
  <c r="BI283" i="11"/>
  <c r="AE283" i="11" s="1"/>
  <c r="J267" i="11"/>
  <c r="AX267" i="11"/>
  <c r="BI267" i="11"/>
  <c r="AE267" i="11" s="1"/>
  <c r="AU241" i="11"/>
  <c r="J239" i="11"/>
  <c r="AX239" i="11"/>
  <c r="BI239" i="11"/>
  <c r="AE239" i="11" s="1"/>
  <c r="BC238" i="11"/>
  <c r="AV238" i="11"/>
  <c r="J235" i="11"/>
  <c r="AX235" i="11"/>
  <c r="BI235" i="11"/>
  <c r="AE235" i="11" s="1"/>
  <c r="BC234" i="11"/>
  <c r="AV234" i="11"/>
  <c r="J231" i="11"/>
  <c r="AX231" i="11"/>
  <c r="BI231" i="11"/>
  <c r="AE231" i="11" s="1"/>
  <c r="AV230" i="11"/>
  <c r="J227" i="11"/>
  <c r="AX227" i="11"/>
  <c r="BI227" i="11"/>
  <c r="AE227" i="11" s="1"/>
  <c r="BC226" i="11"/>
  <c r="AV226" i="11"/>
  <c r="AS201" i="11"/>
  <c r="BC202" i="11"/>
  <c r="AV202" i="11"/>
  <c r="K201" i="11"/>
  <c r="G37" i="10" s="1"/>
  <c r="I37" i="10" s="1"/>
  <c r="AK202" i="11"/>
  <c r="AT201" i="11" s="1"/>
  <c r="J180" i="11"/>
  <c r="AX180" i="11"/>
  <c r="BI180" i="11"/>
  <c r="BC179" i="11"/>
  <c r="AV179" i="11"/>
  <c r="BC110" i="11"/>
  <c r="AV110" i="11"/>
  <c r="AW387" i="11"/>
  <c r="AW371" i="11"/>
  <c r="AX370" i="11"/>
  <c r="AV370" i="11" s="1"/>
  <c r="AW364" i="11"/>
  <c r="AW348" i="11"/>
  <c r="AX347" i="11"/>
  <c r="AW344" i="11"/>
  <c r="AX343" i="11"/>
  <c r="AV343" i="11" s="1"/>
  <c r="AX340" i="11"/>
  <c r="AW337" i="11"/>
  <c r="AX336" i="11"/>
  <c r="AW333" i="11"/>
  <c r="AX332" i="11"/>
  <c r="J321" i="11"/>
  <c r="AX321" i="11"/>
  <c r="I318" i="11"/>
  <c r="AW318" i="11"/>
  <c r="I315" i="11"/>
  <c r="AW315" i="11"/>
  <c r="J314" i="11"/>
  <c r="AX314" i="11"/>
  <c r="I311" i="11"/>
  <c r="AW311" i="11"/>
  <c r="J310" i="11"/>
  <c r="AX310" i="11"/>
  <c r="I304" i="11"/>
  <c r="AW304" i="11"/>
  <c r="BH304" i="11"/>
  <c r="AD304" i="11" s="1"/>
  <c r="J303" i="11"/>
  <c r="AX303" i="11"/>
  <c r="J298" i="11"/>
  <c r="AX298" i="11"/>
  <c r="AV297" i="11"/>
  <c r="J290" i="11"/>
  <c r="AX290" i="11"/>
  <c r="BI290" i="11"/>
  <c r="AE290" i="11" s="1"/>
  <c r="J271" i="11"/>
  <c r="AX271" i="11"/>
  <c r="BI271" i="11"/>
  <c r="AE271" i="11" s="1"/>
  <c r="I240" i="11"/>
  <c r="AW240" i="11"/>
  <c r="BH240" i="11"/>
  <c r="AD240" i="11" s="1"/>
  <c r="I237" i="11"/>
  <c r="AW237" i="11"/>
  <c r="BH237" i="11"/>
  <c r="AD237" i="11" s="1"/>
  <c r="I236" i="11"/>
  <c r="AW236" i="11"/>
  <c r="BH236" i="11"/>
  <c r="AD236" i="11" s="1"/>
  <c r="I233" i="11"/>
  <c r="AW233" i="11"/>
  <c r="BH233" i="11"/>
  <c r="AD233" i="11" s="1"/>
  <c r="I232" i="11"/>
  <c r="AW232" i="11"/>
  <c r="BH232" i="11"/>
  <c r="AD232" i="11" s="1"/>
  <c r="I229" i="11"/>
  <c r="AW229" i="11"/>
  <c r="BH229" i="11"/>
  <c r="AD229" i="11" s="1"/>
  <c r="I228" i="11"/>
  <c r="AW228" i="11"/>
  <c r="BH228" i="11"/>
  <c r="AD228" i="11" s="1"/>
  <c r="J217" i="11"/>
  <c r="AX217" i="11"/>
  <c r="BI217" i="11"/>
  <c r="AE217" i="11" s="1"/>
  <c r="BC215" i="11"/>
  <c r="AV215" i="11"/>
  <c r="J172" i="11"/>
  <c r="AX172" i="11"/>
  <c r="BI172" i="11"/>
  <c r="BC171" i="11"/>
  <c r="AV171" i="11"/>
  <c r="I151" i="11"/>
  <c r="AW151" i="11"/>
  <c r="BH151" i="11"/>
  <c r="AB151" i="11" s="1"/>
  <c r="I150" i="11"/>
  <c r="AW150" i="11"/>
  <c r="BH150" i="11"/>
  <c r="AB150" i="11" s="1"/>
  <c r="I330" i="11"/>
  <c r="AW330" i="11"/>
  <c r="J329" i="11"/>
  <c r="AX329" i="11"/>
  <c r="I326" i="11"/>
  <c r="AW326" i="11"/>
  <c r="J325" i="11"/>
  <c r="AX325" i="11"/>
  <c r="I322" i="11"/>
  <c r="AW322" i="11"/>
  <c r="BI318" i="11"/>
  <c r="AE318" i="11" s="1"/>
  <c r="BI315" i="11"/>
  <c r="AE315" i="11" s="1"/>
  <c r="I303" i="11"/>
  <c r="AW303" i="11"/>
  <c r="BH303" i="11"/>
  <c r="AD303" i="11" s="1"/>
  <c r="I296" i="11"/>
  <c r="AW296" i="11"/>
  <c r="BH296" i="11"/>
  <c r="AD296" i="11" s="1"/>
  <c r="J295" i="11"/>
  <c r="AX295" i="11"/>
  <c r="J294" i="11"/>
  <c r="AX294" i="11"/>
  <c r="I291" i="11"/>
  <c r="AW291" i="11"/>
  <c r="BH291" i="11"/>
  <c r="AD291" i="11" s="1"/>
  <c r="J275" i="11"/>
  <c r="AX275" i="11"/>
  <c r="BI275" i="11"/>
  <c r="AE275" i="11" s="1"/>
  <c r="J259" i="11"/>
  <c r="AX259" i="11"/>
  <c r="BI259" i="11"/>
  <c r="AE259" i="11" s="1"/>
  <c r="J258" i="11"/>
  <c r="AX258" i="11"/>
  <c r="BI258" i="11"/>
  <c r="AE258" i="11" s="1"/>
  <c r="BC257" i="11"/>
  <c r="AV257" i="11"/>
  <c r="I214" i="11"/>
  <c r="AW214" i="11"/>
  <c r="BH214" i="11"/>
  <c r="AD214" i="11" s="1"/>
  <c r="I213" i="11"/>
  <c r="AW213" i="11"/>
  <c r="BH213" i="11"/>
  <c r="AD213" i="11" s="1"/>
  <c r="BC207" i="11"/>
  <c r="AV207" i="11"/>
  <c r="AK194" i="11"/>
  <c r="K192" i="11"/>
  <c r="G36" i="10" s="1"/>
  <c r="I36" i="10" s="1"/>
  <c r="BC185" i="11"/>
  <c r="J142" i="11"/>
  <c r="BI142" i="11"/>
  <c r="AC142" i="11" s="1"/>
  <c r="AX142" i="11"/>
  <c r="I123" i="11"/>
  <c r="AW123" i="11"/>
  <c r="BH123" i="11"/>
  <c r="AB123" i="11" s="1"/>
  <c r="I94" i="11"/>
  <c r="AW94" i="11"/>
  <c r="BH94" i="11"/>
  <c r="AB94" i="11" s="1"/>
  <c r="I93" i="11"/>
  <c r="AW93" i="11"/>
  <c r="BH93" i="11"/>
  <c r="AB93" i="11" s="1"/>
  <c r="J59" i="11"/>
  <c r="BI59" i="11"/>
  <c r="AC59" i="11" s="1"/>
  <c r="AX59" i="11"/>
  <c r="J56" i="11"/>
  <c r="AX56" i="11"/>
  <c r="BI56" i="11"/>
  <c r="AC56" i="11" s="1"/>
  <c r="BI291" i="11"/>
  <c r="AE291" i="11" s="1"/>
  <c r="BH288" i="11"/>
  <c r="AD288" i="11" s="1"/>
  <c r="AW288" i="11"/>
  <c r="BC285" i="11"/>
  <c r="I283" i="11"/>
  <c r="AW283" i="11"/>
  <c r="J282" i="11"/>
  <c r="AX282" i="11"/>
  <c r="I279" i="11"/>
  <c r="AW279" i="11"/>
  <c r="J278" i="11"/>
  <c r="AX278" i="11"/>
  <c r="I275" i="11"/>
  <c r="AW275" i="11"/>
  <c r="J274" i="11"/>
  <c r="AX274" i="11"/>
  <c r="I271" i="11"/>
  <c r="AW271" i="11"/>
  <c r="J270" i="11"/>
  <c r="AX270" i="11"/>
  <c r="I267" i="11"/>
  <c r="AW267" i="11"/>
  <c r="J266" i="11"/>
  <c r="AX266" i="11"/>
  <c r="I263" i="11"/>
  <c r="AW263" i="11"/>
  <c r="J262" i="11"/>
  <c r="AX262" i="11"/>
  <c r="I259" i="11"/>
  <c r="AW259" i="11"/>
  <c r="BC252" i="11"/>
  <c r="AV252" i="11"/>
  <c r="BC248" i="11"/>
  <c r="AV248" i="11"/>
  <c r="AT225" i="11"/>
  <c r="K225" i="11"/>
  <c r="G38" i="10" s="1"/>
  <c r="I38" i="10" s="1"/>
  <c r="I217" i="11"/>
  <c r="AW217" i="11"/>
  <c r="J216" i="11"/>
  <c r="AX216" i="11"/>
  <c r="J208" i="11"/>
  <c r="AX208" i="11"/>
  <c r="J205" i="11"/>
  <c r="BI205" i="11"/>
  <c r="AE205" i="11" s="1"/>
  <c r="BC195" i="11"/>
  <c r="AV195" i="11"/>
  <c r="I181" i="11"/>
  <c r="AW181" i="11"/>
  <c r="BH181" i="11"/>
  <c r="J173" i="11"/>
  <c r="AX173" i="11"/>
  <c r="BI173" i="11"/>
  <c r="J169" i="11"/>
  <c r="BI169" i="11"/>
  <c r="AK169" i="11"/>
  <c r="AT166" i="11" s="1"/>
  <c r="K166" i="11"/>
  <c r="G33" i="10" s="1"/>
  <c r="I33" i="10" s="1"/>
  <c r="I163" i="11"/>
  <c r="AW163" i="11"/>
  <c r="BH163" i="11"/>
  <c r="AB163" i="11" s="1"/>
  <c r="I162" i="11"/>
  <c r="AW162" i="11"/>
  <c r="BH162" i="11"/>
  <c r="AB162" i="11" s="1"/>
  <c r="J158" i="11"/>
  <c r="AX158" i="11"/>
  <c r="BI158" i="11"/>
  <c r="AC158" i="11" s="1"/>
  <c r="BC155" i="11"/>
  <c r="AV155" i="11"/>
  <c r="J153" i="11"/>
  <c r="AX153" i="11"/>
  <c r="BI153" i="11"/>
  <c r="AC153" i="11" s="1"/>
  <c r="J144" i="11"/>
  <c r="AX144" i="11"/>
  <c r="BI144" i="11"/>
  <c r="AC144" i="11" s="1"/>
  <c r="AS143" i="11"/>
  <c r="I112" i="11"/>
  <c r="AW112" i="11"/>
  <c r="BH112" i="11"/>
  <c r="AB112" i="11" s="1"/>
  <c r="BC67" i="11"/>
  <c r="AV67" i="11"/>
  <c r="I56" i="11"/>
  <c r="I54" i="11" s="1"/>
  <c r="E22" i="10" s="1"/>
  <c r="AW56" i="11"/>
  <c r="BH56" i="11"/>
  <c r="AB56" i="11" s="1"/>
  <c r="AK50" i="11"/>
  <c r="K48" i="11"/>
  <c r="G20" i="10" s="1"/>
  <c r="I20" i="10" s="1"/>
  <c r="J28" i="11"/>
  <c r="BI28" i="11"/>
  <c r="AC28" i="11" s="1"/>
  <c r="AX28" i="11"/>
  <c r="AK15" i="11"/>
  <c r="K12" i="11"/>
  <c r="BC301" i="11"/>
  <c r="I299" i="11"/>
  <c r="AW299" i="11"/>
  <c r="AX291" i="11"/>
  <c r="J286" i="11"/>
  <c r="AX286" i="11"/>
  <c r="BC286" i="11" s="1"/>
  <c r="AV285" i="11"/>
  <c r="BI282" i="11"/>
  <c r="AE282" i="11" s="1"/>
  <c r="AV281" i="11"/>
  <c r="BI278" i="11"/>
  <c r="AE278" i="11" s="1"/>
  <c r="BI274" i="11"/>
  <c r="AE274" i="11" s="1"/>
  <c r="BI270" i="11"/>
  <c r="AE270" i="11" s="1"/>
  <c r="BI266" i="11"/>
  <c r="AE266" i="11" s="1"/>
  <c r="AV265" i="11"/>
  <c r="BI262" i="11"/>
  <c r="AE262" i="11" s="1"/>
  <c r="AX255" i="11"/>
  <c r="AT241" i="11"/>
  <c r="K241" i="11"/>
  <c r="G39" i="10" s="1"/>
  <c r="I39" i="10" s="1"/>
  <c r="AX240" i="11"/>
  <c r="AX236" i="11"/>
  <c r="AX232" i="11"/>
  <c r="AX228" i="11"/>
  <c r="J224" i="11"/>
  <c r="AX224" i="11"/>
  <c r="I221" i="11"/>
  <c r="AW221" i="11"/>
  <c r="J220" i="11"/>
  <c r="AX220" i="11"/>
  <c r="AV219" i="11"/>
  <c r="BI216" i="11"/>
  <c r="AE216" i="11" s="1"/>
  <c r="AX213" i="11"/>
  <c r="BC211" i="11"/>
  <c r="I209" i="11"/>
  <c r="AW209" i="11"/>
  <c r="I198" i="11"/>
  <c r="AW198" i="11"/>
  <c r="BH198" i="11"/>
  <c r="AD198" i="11" s="1"/>
  <c r="AT192" i="11"/>
  <c r="J177" i="11"/>
  <c r="AX177" i="11"/>
  <c r="BI177" i="11"/>
  <c r="I174" i="11"/>
  <c r="AW174" i="11"/>
  <c r="BH174" i="11"/>
  <c r="I173" i="11"/>
  <c r="AW173" i="11"/>
  <c r="BH173" i="11"/>
  <c r="AU166" i="11"/>
  <c r="J165" i="11"/>
  <c r="AX165" i="11"/>
  <c r="I159" i="11"/>
  <c r="AW159" i="11"/>
  <c r="BH159" i="11"/>
  <c r="AB159" i="11" s="1"/>
  <c r="I158" i="11"/>
  <c r="AW158" i="11"/>
  <c r="BH158" i="11"/>
  <c r="AB158" i="11" s="1"/>
  <c r="BC156" i="11"/>
  <c r="AV153" i="11"/>
  <c r="BC153" i="11"/>
  <c r="I134" i="11"/>
  <c r="AW134" i="11"/>
  <c r="BH134" i="11"/>
  <c r="AB134" i="11" s="1"/>
  <c r="K101" i="11"/>
  <c r="G27" i="10" s="1"/>
  <c r="I27" i="10" s="1"/>
  <c r="AK102" i="11"/>
  <c r="AT101" i="11" s="1"/>
  <c r="I82" i="11"/>
  <c r="AW82" i="11"/>
  <c r="BH82" i="11"/>
  <c r="AB82" i="11" s="1"/>
  <c r="BC68" i="11"/>
  <c r="AV68" i="11"/>
  <c r="I287" i="11"/>
  <c r="AW287" i="11"/>
  <c r="BC284" i="11"/>
  <c r="BC280" i="11"/>
  <c r="AV280" i="11"/>
  <c r="BC276" i="11"/>
  <c r="BC272" i="11"/>
  <c r="AV272" i="11"/>
  <c r="BC268" i="11"/>
  <c r="AV268" i="11"/>
  <c r="BC264" i="11"/>
  <c r="AV264" i="11"/>
  <c r="BC260" i="11"/>
  <c r="AV260" i="11"/>
  <c r="J254" i="11"/>
  <c r="AX254" i="11"/>
  <c r="AV254" i="11" s="1"/>
  <c r="I251" i="11"/>
  <c r="AW251" i="11"/>
  <c r="J250" i="11"/>
  <c r="AX250" i="11"/>
  <c r="I247" i="11"/>
  <c r="AW247" i="11"/>
  <c r="J246" i="11"/>
  <c r="AX246" i="11"/>
  <c r="I243" i="11"/>
  <c r="I241" i="11" s="1"/>
  <c r="E39" i="10" s="1"/>
  <c r="AW243" i="11"/>
  <c r="J242" i="11"/>
  <c r="AX242" i="11"/>
  <c r="AS241" i="11"/>
  <c r="BI221" i="11"/>
  <c r="AE221" i="11" s="1"/>
  <c r="BH218" i="11"/>
  <c r="AD218" i="11" s="1"/>
  <c r="AW218" i="11"/>
  <c r="BH217" i="11"/>
  <c r="AD217" i="11" s="1"/>
  <c r="J212" i="11"/>
  <c r="AX212" i="11"/>
  <c r="AV212" i="11" s="1"/>
  <c r="BI209" i="11"/>
  <c r="AE209" i="11" s="1"/>
  <c r="BI208" i="11"/>
  <c r="AE208" i="11" s="1"/>
  <c r="AU184" i="11"/>
  <c r="I178" i="11"/>
  <c r="AW178" i="11"/>
  <c r="BH178" i="11"/>
  <c r="I177" i="11"/>
  <c r="AW177" i="11"/>
  <c r="BH177" i="11"/>
  <c r="J176" i="11"/>
  <c r="AX176" i="11"/>
  <c r="BC176" i="11" s="1"/>
  <c r="BI176" i="11"/>
  <c r="J168" i="11"/>
  <c r="AX168" i="11"/>
  <c r="BI168" i="11"/>
  <c r="AS166" i="11"/>
  <c r="BC167" i="11"/>
  <c r="AV167" i="11"/>
  <c r="J150" i="11"/>
  <c r="AX150" i="11"/>
  <c r="BI150" i="11"/>
  <c r="AC150" i="11" s="1"/>
  <c r="AU143" i="11"/>
  <c r="AK145" i="11"/>
  <c r="AT143" i="11" s="1"/>
  <c r="K143" i="11"/>
  <c r="G32" i="10" s="1"/>
  <c r="I32" i="10" s="1"/>
  <c r="J138" i="11"/>
  <c r="AX138" i="11"/>
  <c r="BI138" i="11"/>
  <c r="AC138" i="11" s="1"/>
  <c r="I135" i="11"/>
  <c r="AW135" i="11"/>
  <c r="BH135" i="11"/>
  <c r="AB135" i="11" s="1"/>
  <c r="BC121" i="11"/>
  <c r="AV121" i="11"/>
  <c r="J118" i="11"/>
  <c r="AX118" i="11"/>
  <c r="BI118" i="11"/>
  <c r="AC118" i="11" s="1"/>
  <c r="I106" i="11"/>
  <c r="AW106" i="11"/>
  <c r="BH106" i="11"/>
  <c r="AB106" i="11" s="1"/>
  <c r="I105" i="11"/>
  <c r="I104" i="11" s="1"/>
  <c r="E28" i="10" s="1"/>
  <c r="AW105" i="11"/>
  <c r="BH105" i="11"/>
  <c r="AB105" i="11" s="1"/>
  <c r="BC97" i="11"/>
  <c r="AV97" i="11"/>
  <c r="K96" i="11"/>
  <c r="G25" i="10" s="1"/>
  <c r="I25" i="10" s="1"/>
  <c r="AK97" i="11"/>
  <c r="AT96" i="11" s="1"/>
  <c r="J93" i="11"/>
  <c r="AX93" i="11"/>
  <c r="BI93" i="11"/>
  <c r="AC93" i="11" s="1"/>
  <c r="I90" i="11"/>
  <c r="AW90" i="11"/>
  <c r="BH90" i="11"/>
  <c r="AB90" i="11" s="1"/>
  <c r="I205" i="11"/>
  <c r="AW205" i="11"/>
  <c r="J204" i="11"/>
  <c r="J201" i="11" s="1"/>
  <c r="F37" i="10" s="1"/>
  <c r="AX204" i="11"/>
  <c r="I194" i="11"/>
  <c r="AW194" i="11"/>
  <c r="J193" i="11"/>
  <c r="AX193" i="11"/>
  <c r="AS192" i="11"/>
  <c r="J186" i="11"/>
  <c r="J184" i="11" s="1"/>
  <c r="F35" i="10" s="1"/>
  <c r="AX186" i="11"/>
  <c r="AT184" i="11"/>
  <c r="K184" i="11"/>
  <c r="G35" i="10" s="1"/>
  <c r="I35" i="10" s="1"/>
  <c r="J183" i="11"/>
  <c r="J182" i="11" s="1"/>
  <c r="F34" i="10" s="1"/>
  <c r="AX183" i="11"/>
  <c r="AX181" i="11"/>
  <c r="I169" i="11"/>
  <c r="AW169" i="11"/>
  <c r="J157" i="11"/>
  <c r="AX157" i="11"/>
  <c r="J149" i="11"/>
  <c r="AX149" i="11"/>
  <c r="BC146" i="11"/>
  <c r="AV146" i="11"/>
  <c r="I139" i="11"/>
  <c r="AW139" i="11"/>
  <c r="BH139" i="11"/>
  <c r="AB139" i="11" s="1"/>
  <c r="I138" i="11"/>
  <c r="AW138" i="11"/>
  <c r="BH138" i="11"/>
  <c r="AB138" i="11" s="1"/>
  <c r="I124" i="11"/>
  <c r="AW124" i="11"/>
  <c r="BH124" i="11"/>
  <c r="AB124" i="11" s="1"/>
  <c r="AK119" i="11"/>
  <c r="AT116" i="11" s="1"/>
  <c r="K116" i="11"/>
  <c r="G30" i="10" s="1"/>
  <c r="I30" i="10" s="1"/>
  <c r="I113" i="11"/>
  <c r="AW113" i="11"/>
  <c r="BH113" i="11"/>
  <c r="AB113" i="11" s="1"/>
  <c r="BC103" i="11"/>
  <c r="AV103" i="11"/>
  <c r="I100" i="11"/>
  <c r="AW100" i="11"/>
  <c r="BH100" i="11"/>
  <c r="AB100" i="11" s="1"/>
  <c r="I99" i="11"/>
  <c r="I98" i="11" s="1"/>
  <c r="E26" i="10" s="1"/>
  <c r="AW99" i="11"/>
  <c r="BH99" i="11"/>
  <c r="AB99" i="11" s="1"/>
  <c r="I78" i="11"/>
  <c r="AW78" i="11"/>
  <c r="BH78" i="11"/>
  <c r="AB78" i="11" s="1"/>
  <c r="BC75" i="11"/>
  <c r="AV75" i="11"/>
  <c r="J69" i="11"/>
  <c r="AX69" i="11"/>
  <c r="BI69" i="11"/>
  <c r="AC69" i="11" s="1"/>
  <c r="BC60" i="11"/>
  <c r="AV60" i="11"/>
  <c r="BI204" i="11"/>
  <c r="AE204" i="11" s="1"/>
  <c r="AU201" i="11"/>
  <c r="J197" i="11"/>
  <c r="AX197" i="11"/>
  <c r="BC197" i="11" s="1"/>
  <c r="BI193" i="11"/>
  <c r="AE193" i="11" s="1"/>
  <c r="I191" i="11"/>
  <c r="AW191" i="11"/>
  <c r="J190" i="11"/>
  <c r="AX190" i="11"/>
  <c r="I187" i="11"/>
  <c r="I184" i="11" s="1"/>
  <c r="E35" i="10" s="1"/>
  <c r="AW187" i="11"/>
  <c r="BC164" i="11"/>
  <c r="J161" i="11"/>
  <c r="AX161" i="11"/>
  <c r="I154" i="11"/>
  <c r="AW154" i="11"/>
  <c r="BC152" i="11"/>
  <c r="BC147" i="11"/>
  <c r="AV147" i="11"/>
  <c r="J141" i="11"/>
  <c r="AX141" i="11"/>
  <c r="BC132" i="11"/>
  <c r="AV132" i="11"/>
  <c r="AV127" i="11"/>
  <c r="K126" i="11"/>
  <c r="G31" i="10" s="1"/>
  <c r="I31" i="10" s="1"/>
  <c r="AK127" i="11"/>
  <c r="AT126" i="11" s="1"/>
  <c r="AV120" i="11"/>
  <c r="K108" i="11"/>
  <c r="G29" i="10" s="1"/>
  <c r="I29" i="10" s="1"/>
  <c r="AK109" i="11"/>
  <c r="AT108" i="11" s="1"/>
  <c r="J105" i="11"/>
  <c r="J104" i="11" s="1"/>
  <c r="F28" i="10" s="1"/>
  <c r="AX105" i="11"/>
  <c r="BI105" i="11"/>
  <c r="AC105" i="11" s="1"/>
  <c r="I89" i="11"/>
  <c r="AW89" i="11"/>
  <c r="BH89" i="11"/>
  <c r="AB89" i="11" s="1"/>
  <c r="AS62" i="11"/>
  <c r="BC61" i="11"/>
  <c r="J148" i="11"/>
  <c r="AX148" i="11"/>
  <c r="I142" i="11"/>
  <c r="AW142" i="11"/>
  <c r="BC136" i="11"/>
  <c r="J133" i="11"/>
  <c r="AX133" i="11"/>
  <c r="BC125" i="11"/>
  <c r="J122" i="11"/>
  <c r="AX122" i="11"/>
  <c r="BC114" i="11"/>
  <c r="J111" i="11"/>
  <c r="AX111" i="11"/>
  <c r="K104" i="11"/>
  <c r="G28" i="10" s="1"/>
  <c r="I28" i="10" s="1"/>
  <c r="AK105" i="11"/>
  <c r="AT104" i="11" s="1"/>
  <c r="K98" i="11"/>
  <c r="G26" i="10" s="1"/>
  <c r="I26" i="10" s="1"/>
  <c r="AK99" i="11"/>
  <c r="AT98" i="11" s="1"/>
  <c r="BC91" i="11"/>
  <c r="J88" i="11"/>
  <c r="AX88" i="11"/>
  <c r="I79" i="11"/>
  <c r="AW79" i="11"/>
  <c r="BH79" i="11"/>
  <c r="AB79" i="11" s="1"/>
  <c r="I63" i="11"/>
  <c r="AW63" i="11"/>
  <c r="BH63" i="11"/>
  <c r="AB63" i="11" s="1"/>
  <c r="J58" i="11"/>
  <c r="J57" i="11" s="1"/>
  <c r="F23" i="10" s="1"/>
  <c r="AX58" i="11"/>
  <c r="J47" i="11"/>
  <c r="BI47" i="11"/>
  <c r="AC47" i="11" s="1"/>
  <c r="J25" i="11"/>
  <c r="AX25" i="11"/>
  <c r="BI25" i="11"/>
  <c r="AC25" i="11" s="1"/>
  <c r="I22" i="11"/>
  <c r="AW22" i="11"/>
  <c r="BH22" i="11"/>
  <c r="AB22" i="11" s="1"/>
  <c r="BC20" i="11"/>
  <c r="AV20" i="11"/>
  <c r="BC16" i="11"/>
  <c r="AV16" i="11"/>
  <c r="AW149" i="11"/>
  <c r="BI148" i="11"/>
  <c r="AC148" i="11" s="1"/>
  <c r="I145" i="11"/>
  <c r="AW145" i="11"/>
  <c r="BC140" i="11"/>
  <c r="J137" i="11"/>
  <c r="AX137" i="11"/>
  <c r="AV136" i="11"/>
  <c r="BI133" i="11"/>
  <c r="AC133" i="11" s="1"/>
  <c r="I130" i="11"/>
  <c r="AW130" i="11"/>
  <c r="AU126" i="11"/>
  <c r="AV125" i="11"/>
  <c r="BI122" i="11"/>
  <c r="AC122" i="11" s="1"/>
  <c r="I119" i="11"/>
  <c r="AW119" i="11"/>
  <c r="J115" i="11"/>
  <c r="AX115" i="11"/>
  <c r="BC115" i="11" s="1"/>
  <c r="AV114" i="11"/>
  <c r="BI111" i="11"/>
  <c r="AC111" i="11" s="1"/>
  <c r="BC107" i="11"/>
  <c r="I102" i="11"/>
  <c r="I101" i="11" s="1"/>
  <c r="E27" i="10" s="1"/>
  <c r="AW102" i="11"/>
  <c r="J92" i="11"/>
  <c r="AX92" i="11"/>
  <c r="AV91" i="11"/>
  <c r="BI88" i="11"/>
  <c r="AC88" i="11" s="1"/>
  <c r="AV87" i="11"/>
  <c r="I83" i="11"/>
  <c r="AW83" i="11"/>
  <c r="BH83" i="11"/>
  <c r="AB83" i="11" s="1"/>
  <c r="BC73" i="11"/>
  <c r="AV73" i="11"/>
  <c r="J66" i="11"/>
  <c r="BI66" i="11"/>
  <c r="AC66" i="11" s="1"/>
  <c r="AU62" i="11"/>
  <c r="J49" i="11"/>
  <c r="J48" i="11" s="1"/>
  <c r="F20" i="10" s="1"/>
  <c r="AX49" i="11"/>
  <c r="BI49" i="11"/>
  <c r="AC49" i="11" s="1"/>
  <c r="BC42" i="11"/>
  <c r="AV42" i="11"/>
  <c r="I38" i="11"/>
  <c r="I37" i="11" s="1"/>
  <c r="E17" i="10" s="1"/>
  <c r="AW38" i="11"/>
  <c r="BH38" i="11"/>
  <c r="AB38" i="11" s="1"/>
  <c r="I32" i="11"/>
  <c r="AW32" i="11"/>
  <c r="BH32" i="11"/>
  <c r="AB32" i="11" s="1"/>
  <c r="K30" i="11"/>
  <c r="G15" i="10" s="1"/>
  <c r="I15" i="10" s="1"/>
  <c r="AK31" i="11"/>
  <c r="AT30" i="11" s="1"/>
  <c r="BC29" i="11"/>
  <c r="AV29" i="11"/>
  <c r="BC85" i="11"/>
  <c r="AX82" i="11"/>
  <c r="J81" i="11"/>
  <c r="AX81" i="11"/>
  <c r="AX78" i="11"/>
  <c r="J77" i="11"/>
  <c r="AX77" i="11"/>
  <c r="I66" i="11"/>
  <c r="AW66" i="11"/>
  <c r="BC64" i="11"/>
  <c r="K62" i="11"/>
  <c r="G24" i="10" s="1"/>
  <c r="I24" i="10" s="1"/>
  <c r="AK63" i="11"/>
  <c r="AT62" i="11" s="1"/>
  <c r="I59" i="11"/>
  <c r="AW59" i="11"/>
  <c r="J53" i="11"/>
  <c r="J52" i="11" s="1"/>
  <c r="F21" i="10" s="1"/>
  <c r="AX53" i="11"/>
  <c r="BI53" i="11"/>
  <c r="AC53" i="11" s="1"/>
  <c r="BC51" i="11"/>
  <c r="AV51" i="11"/>
  <c r="I44" i="11"/>
  <c r="AW44" i="11"/>
  <c r="BH44" i="11"/>
  <c r="AB44" i="11" s="1"/>
  <c r="AU40" i="11"/>
  <c r="J27" i="11"/>
  <c r="J26" i="11" s="1"/>
  <c r="F14" i="10" s="1"/>
  <c r="AX27" i="11"/>
  <c r="I25" i="11"/>
  <c r="AW25" i="11"/>
  <c r="BH25" i="11"/>
  <c r="AB25" i="11" s="1"/>
  <c r="J18" i="11"/>
  <c r="AX18" i="11"/>
  <c r="BI18" i="11"/>
  <c r="AC18" i="11" s="1"/>
  <c r="AU12" i="11"/>
  <c r="I71" i="11"/>
  <c r="AW71" i="11"/>
  <c r="J65" i="11"/>
  <c r="AX65" i="11"/>
  <c r="AV65" i="11" s="1"/>
  <c r="AT57" i="11"/>
  <c r="K57" i="11"/>
  <c r="G23" i="10" s="1"/>
  <c r="I23" i="10" s="1"/>
  <c r="J55" i="11"/>
  <c r="J54" i="11" s="1"/>
  <c r="F22" i="10" s="1"/>
  <c r="AX55" i="11"/>
  <c r="AS54" i="11"/>
  <c r="I53" i="11"/>
  <c r="I52" i="11" s="1"/>
  <c r="E21" i="10" s="1"/>
  <c r="AW53" i="11"/>
  <c r="BH53" i="11"/>
  <c r="AB53" i="11" s="1"/>
  <c r="AT48" i="11"/>
  <c r="J46" i="11"/>
  <c r="AX46" i="11"/>
  <c r="AS43" i="11"/>
  <c r="BC41" i="11"/>
  <c r="K40" i="11"/>
  <c r="G18" i="10" s="1"/>
  <c r="I18" i="10" s="1"/>
  <c r="AK41" i="11"/>
  <c r="AT40" i="11" s="1"/>
  <c r="I31" i="11"/>
  <c r="AW31" i="11"/>
  <c r="BH31" i="11"/>
  <c r="AB31" i="11" s="1"/>
  <c r="J14" i="11"/>
  <c r="J12" i="11" s="1"/>
  <c r="F11" i="10" s="1"/>
  <c r="AX14" i="11"/>
  <c r="BI14" i="11"/>
  <c r="AC14" i="11" s="1"/>
  <c r="AS12" i="11"/>
  <c r="K52" i="11"/>
  <c r="G21" i="10" s="1"/>
  <c r="I21" i="10" s="1"/>
  <c r="AK53" i="11"/>
  <c r="AT52" i="11" s="1"/>
  <c r="I47" i="11"/>
  <c r="AW47" i="11"/>
  <c r="J40" i="11"/>
  <c r="F18" i="10" s="1"/>
  <c r="J34" i="11"/>
  <c r="J30" i="11" s="1"/>
  <c r="F15" i="10" s="1"/>
  <c r="AX34" i="11"/>
  <c r="AS30" i="11"/>
  <c r="I28" i="11"/>
  <c r="I26" i="11" s="1"/>
  <c r="E14" i="10" s="1"/>
  <c r="AW28" i="11"/>
  <c r="BC23" i="11"/>
  <c r="K21" i="11"/>
  <c r="G13" i="10" s="1"/>
  <c r="I13" i="10" s="1"/>
  <c r="AK22" i="11"/>
  <c r="AT21" i="11" s="1"/>
  <c r="I50" i="11"/>
  <c r="I48" i="11" s="1"/>
  <c r="E20" i="10" s="1"/>
  <c r="AW50" i="11"/>
  <c r="BC45" i="11"/>
  <c r="K43" i="11"/>
  <c r="G19" i="10" s="1"/>
  <c r="I19" i="10" s="1"/>
  <c r="AK44" i="11"/>
  <c r="AT43" i="11" s="1"/>
  <c r="BC39" i="11"/>
  <c r="K37" i="11"/>
  <c r="G17" i="10" s="1"/>
  <c r="I17" i="10" s="1"/>
  <c r="AK38" i="11"/>
  <c r="AT37" i="11" s="1"/>
  <c r="AV36" i="11"/>
  <c r="BI34" i="11"/>
  <c r="AC34" i="11" s="1"/>
  <c r="AV33" i="11"/>
  <c r="AT26" i="11"/>
  <c r="K26" i="11"/>
  <c r="G14" i="10" s="1"/>
  <c r="I14" i="10" s="1"/>
  <c r="J24" i="11"/>
  <c r="AX24" i="11"/>
  <c r="AV23" i="11"/>
  <c r="I15" i="11"/>
  <c r="AW15" i="11"/>
  <c r="J594" i="7"/>
  <c r="J593" i="7" s="1"/>
  <c r="F53" i="6" s="1"/>
  <c r="AX594" i="7"/>
  <c r="BC562" i="7"/>
  <c r="AV562" i="7"/>
  <c r="J528" i="7"/>
  <c r="AX528" i="7"/>
  <c r="BI528" i="7"/>
  <c r="AC528" i="7" s="1"/>
  <c r="I525" i="7"/>
  <c r="AW525" i="7"/>
  <c r="BH525" i="7"/>
  <c r="AB525" i="7" s="1"/>
  <c r="J475" i="7"/>
  <c r="AX475" i="7"/>
  <c r="BI475" i="7"/>
  <c r="AE475" i="7" s="1"/>
  <c r="BC474" i="7"/>
  <c r="AV474" i="7"/>
  <c r="J461" i="7"/>
  <c r="AX461" i="7"/>
  <c r="BI461" i="7"/>
  <c r="AE461" i="7" s="1"/>
  <c r="I417" i="7"/>
  <c r="AW417" i="7"/>
  <c r="BH417" i="7"/>
  <c r="AD417" i="7" s="1"/>
  <c r="AK374" i="7"/>
  <c r="K354" i="7"/>
  <c r="G42" i="6" s="1"/>
  <c r="I42" i="6" s="1"/>
  <c r="I338" i="7"/>
  <c r="AW338" i="7"/>
  <c r="BH338" i="7"/>
  <c r="AD338" i="7" s="1"/>
  <c r="I318" i="7"/>
  <c r="AW318" i="7"/>
  <c r="BH318" i="7"/>
  <c r="AD318" i="7" s="1"/>
  <c r="J231" i="7"/>
  <c r="AX231" i="7"/>
  <c r="BI231" i="7"/>
  <c r="AE231" i="7" s="1"/>
  <c r="AV599" i="7"/>
  <c r="AW598" i="7"/>
  <c r="BH597" i="7"/>
  <c r="AB597" i="7" s="1"/>
  <c r="AW597" i="7"/>
  <c r="BH596" i="7"/>
  <c r="AB596" i="7" s="1"/>
  <c r="BI595" i="7"/>
  <c r="AC595" i="7" s="1"/>
  <c r="I595" i="7"/>
  <c r="I593" i="7" s="1"/>
  <c r="E53" i="6" s="1"/>
  <c r="AW595" i="7"/>
  <c r="BI594" i="7"/>
  <c r="AC594" i="7" s="1"/>
  <c r="I592" i="7"/>
  <c r="AW592" i="7"/>
  <c r="I588" i="7"/>
  <c r="AW588" i="7"/>
  <c r="I580" i="7"/>
  <c r="AW580" i="7"/>
  <c r="BH580" i="7"/>
  <c r="AB580" i="7" s="1"/>
  <c r="I573" i="7"/>
  <c r="AW573" i="7"/>
  <c r="BH573" i="7"/>
  <c r="AB573" i="7" s="1"/>
  <c r="BC550" i="7"/>
  <c r="AV550" i="7"/>
  <c r="J544" i="7"/>
  <c r="AX544" i="7"/>
  <c r="BI544" i="7"/>
  <c r="AC544" i="7" s="1"/>
  <c r="J540" i="7"/>
  <c r="AX540" i="7"/>
  <c r="BI540" i="7"/>
  <c r="AC540" i="7" s="1"/>
  <c r="I537" i="7"/>
  <c r="AW537" i="7"/>
  <c r="BH537" i="7"/>
  <c r="AB537" i="7" s="1"/>
  <c r="I536" i="7"/>
  <c r="AW536" i="7"/>
  <c r="BH536" i="7"/>
  <c r="AB536" i="7" s="1"/>
  <c r="I476" i="7"/>
  <c r="AW476" i="7"/>
  <c r="BH476" i="7"/>
  <c r="AD476" i="7" s="1"/>
  <c r="I473" i="7"/>
  <c r="AW473" i="7"/>
  <c r="BH473" i="7"/>
  <c r="AD473" i="7" s="1"/>
  <c r="I470" i="7"/>
  <c r="AW470" i="7"/>
  <c r="BH470" i="7"/>
  <c r="K459" i="7"/>
  <c r="G47" i="6" s="1"/>
  <c r="I47" i="6" s="1"/>
  <c r="AS434" i="7"/>
  <c r="I424" i="7"/>
  <c r="AW424" i="7"/>
  <c r="BH424" i="7"/>
  <c r="AD424" i="7" s="1"/>
  <c r="BC367" i="7"/>
  <c r="AV367" i="7"/>
  <c r="J364" i="7"/>
  <c r="AX364" i="7"/>
  <c r="BI364" i="7"/>
  <c r="AE364" i="7" s="1"/>
  <c r="BC363" i="7"/>
  <c r="AV363" i="7"/>
  <c r="J360" i="7"/>
  <c r="AX360" i="7"/>
  <c r="BI360" i="7"/>
  <c r="AE360" i="7" s="1"/>
  <c r="J356" i="7"/>
  <c r="AX356" i="7"/>
  <c r="BI356" i="7"/>
  <c r="AE356" i="7" s="1"/>
  <c r="AS354" i="7"/>
  <c r="AT354" i="7"/>
  <c r="AS593" i="7"/>
  <c r="I576" i="7"/>
  <c r="AW576" i="7"/>
  <c r="BH576" i="7"/>
  <c r="AB576" i="7" s="1"/>
  <c r="J556" i="7"/>
  <c r="AX556" i="7"/>
  <c r="BI556" i="7"/>
  <c r="AC556" i="7" s="1"/>
  <c r="J547" i="7"/>
  <c r="AX547" i="7"/>
  <c r="BI547" i="7"/>
  <c r="AC547" i="7" s="1"/>
  <c r="I524" i="7"/>
  <c r="AW524" i="7"/>
  <c r="BH524" i="7"/>
  <c r="AB524" i="7" s="1"/>
  <c r="AT518" i="7"/>
  <c r="I472" i="7"/>
  <c r="AW472" i="7"/>
  <c r="BH472" i="7"/>
  <c r="AD472" i="7" s="1"/>
  <c r="J454" i="7"/>
  <c r="AX454" i="7"/>
  <c r="BI454" i="7"/>
  <c r="J451" i="7"/>
  <c r="AX451" i="7"/>
  <c r="BI451" i="7"/>
  <c r="AE451" i="7" s="1"/>
  <c r="I447" i="7"/>
  <c r="AW447" i="7"/>
  <c r="BH447" i="7"/>
  <c r="AD447" i="7" s="1"/>
  <c r="J15" i="7"/>
  <c r="BI15" i="7"/>
  <c r="AC15" i="7" s="1"/>
  <c r="AX15" i="7"/>
  <c r="C29" i="5"/>
  <c r="F29" i="5" s="1"/>
  <c r="AX600" i="7"/>
  <c r="AW596" i="7"/>
  <c r="BH595" i="7"/>
  <c r="AB595" i="7" s="1"/>
  <c r="AX595" i="7"/>
  <c r="BI592" i="7"/>
  <c r="AC592" i="7" s="1"/>
  <c r="BI588" i="7"/>
  <c r="AC588" i="7" s="1"/>
  <c r="BI584" i="7"/>
  <c r="AC584" i="7" s="1"/>
  <c r="I577" i="7"/>
  <c r="AW577" i="7"/>
  <c r="BH577" i="7"/>
  <c r="AB577" i="7" s="1"/>
  <c r="J571" i="7"/>
  <c r="AX571" i="7"/>
  <c r="BI571" i="7"/>
  <c r="AC571" i="7" s="1"/>
  <c r="J516" i="7"/>
  <c r="J515" i="7" s="1"/>
  <c r="F51" i="6" s="1"/>
  <c r="AX516" i="7"/>
  <c r="BI516" i="7"/>
  <c r="AG516" i="7" s="1"/>
  <c r="AS515" i="7"/>
  <c r="J514" i="7"/>
  <c r="AX514" i="7"/>
  <c r="BI514" i="7"/>
  <c r="AC514" i="7" s="1"/>
  <c r="J510" i="7"/>
  <c r="AX510" i="7"/>
  <c r="BI510" i="7"/>
  <c r="AC510" i="7" s="1"/>
  <c r="J506" i="7"/>
  <c r="AX506" i="7"/>
  <c r="BI506" i="7"/>
  <c r="AC506" i="7" s="1"/>
  <c r="I503" i="7"/>
  <c r="AW503" i="7"/>
  <c r="BH503" i="7"/>
  <c r="AB503" i="7" s="1"/>
  <c r="I502" i="7"/>
  <c r="AW502" i="7"/>
  <c r="BH502" i="7"/>
  <c r="AB502" i="7" s="1"/>
  <c r="I499" i="7"/>
  <c r="AW499" i="7"/>
  <c r="BH499" i="7"/>
  <c r="AB499" i="7" s="1"/>
  <c r="I498" i="7"/>
  <c r="AW498" i="7"/>
  <c r="BH498" i="7"/>
  <c r="AB498" i="7" s="1"/>
  <c r="I495" i="7"/>
  <c r="AW495" i="7"/>
  <c r="BH495" i="7"/>
  <c r="AB495" i="7" s="1"/>
  <c r="I494" i="7"/>
  <c r="AW494" i="7"/>
  <c r="BH494" i="7"/>
  <c r="AB494" i="7" s="1"/>
  <c r="I491" i="7"/>
  <c r="AW491" i="7"/>
  <c r="BH491" i="7"/>
  <c r="AB491" i="7" s="1"/>
  <c r="I490" i="7"/>
  <c r="AW490" i="7"/>
  <c r="BH490" i="7"/>
  <c r="AB490" i="7" s="1"/>
  <c r="I487" i="7"/>
  <c r="AW487" i="7"/>
  <c r="BH487" i="7"/>
  <c r="AF487" i="7" s="1"/>
  <c r="I486" i="7"/>
  <c r="AW486" i="7"/>
  <c r="BH486" i="7"/>
  <c r="AF486" i="7" s="1"/>
  <c r="BC480" i="7"/>
  <c r="AV480" i="7"/>
  <c r="K479" i="7"/>
  <c r="G49" i="6" s="1"/>
  <c r="I49" i="6" s="1"/>
  <c r="AK480" i="7"/>
  <c r="AT479" i="7" s="1"/>
  <c r="I477" i="7"/>
  <c r="AW477" i="7"/>
  <c r="BH477" i="7"/>
  <c r="AD477" i="7" s="1"/>
  <c r="J469" i="7"/>
  <c r="AX469" i="7"/>
  <c r="BI469" i="7"/>
  <c r="AE469" i="7" s="1"/>
  <c r="AT459" i="7"/>
  <c r="BC439" i="7"/>
  <c r="AV439" i="7"/>
  <c r="J431" i="7"/>
  <c r="AX431" i="7"/>
  <c r="BI431" i="7"/>
  <c r="AE431" i="7" s="1"/>
  <c r="J415" i="7"/>
  <c r="AX415" i="7"/>
  <c r="BI415" i="7"/>
  <c r="AE415" i="7" s="1"/>
  <c r="BC414" i="7"/>
  <c r="AV414" i="7"/>
  <c r="I412" i="7"/>
  <c r="AW412" i="7"/>
  <c r="BH412" i="7"/>
  <c r="AD412" i="7" s="1"/>
  <c r="AS330" i="7"/>
  <c r="AV300" i="7"/>
  <c r="I240" i="7"/>
  <c r="AW240" i="7"/>
  <c r="BH240" i="7"/>
  <c r="AD240" i="7" s="1"/>
  <c r="C27" i="5"/>
  <c r="AT593" i="7"/>
  <c r="BH592" i="7"/>
  <c r="AB592" i="7" s="1"/>
  <c r="AX592" i="7"/>
  <c r="J591" i="7"/>
  <c r="AX591" i="7"/>
  <c r="BH589" i="7"/>
  <c r="AB589" i="7" s="1"/>
  <c r="AW589" i="7"/>
  <c r="BH588" i="7"/>
  <c r="AB588" i="7" s="1"/>
  <c r="AX588" i="7"/>
  <c r="J587" i="7"/>
  <c r="AX587" i="7"/>
  <c r="BH585" i="7"/>
  <c r="AB585" i="7" s="1"/>
  <c r="AW585" i="7"/>
  <c r="BH584" i="7"/>
  <c r="AB584" i="7" s="1"/>
  <c r="AX584" i="7"/>
  <c r="AV584" i="7" s="1"/>
  <c r="I584" i="7"/>
  <c r="I581" i="7"/>
  <c r="AW581" i="7"/>
  <c r="BH581" i="7"/>
  <c r="AB581" i="7" s="1"/>
  <c r="I572" i="7"/>
  <c r="AW572" i="7"/>
  <c r="BH572" i="7"/>
  <c r="AB572" i="7" s="1"/>
  <c r="J568" i="7"/>
  <c r="AX568" i="7"/>
  <c r="BI568" i="7"/>
  <c r="AC568" i="7" s="1"/>
  <c r="J559" i="7"/>
  <c r="AX559" i="7"/>
  <c r="BI559" i="7"/>
  <c r="AC559" i="7" s="1"/>
  <c r="J531" i="7"/>
  <c r="AX531" i="7"/>
  <c r="BI531" i="7"/>
  <c r="AC531" i="7" s="1"/>
  <c r="AU518" i="7"/>
  <c r="K518" i="7"/>
  <c r="G52" i="6" s="1"/>
  <c r="I52" i="6" s="1"/>
  <c r="BC484" i="7"/>
  <c r="AV484" i="7"/>
  <c r="J465" i="7"/>
  <c r="AX465" i="7"/>
  <c r="BI465" i="7"/>
  <c r="AE465" i="7" s="1"/>
  <c r="AS455" i="7"/>
  <c r="AK427" i="7"/>
  <c r="AT421" i="7" s="1"/>
  <c r="K421" i="7"/>
  <c r="G44" i="6" s="1"/>
  <c r="I44" i="6" s="1"/>
  <c r="J422" i="7"/>
  <c r="AX422" i="7"/>
  <c r="BI422" i="7"/>
  <c r="AE422" i="7" s="1"/>
  <c r="BC352" i="7"/>
  <c r="AV352" i="7"/>
  <c r="J349" i="7"/>
  <c r="AX349" i="7"/>
  <c r="BI349" i="7"/>
  <c r="AE349" i="7" s="1"/>
  <c r="BC348" i="7"/>
  <c r="AV348" i="7"/>
  <c r="BC276" i="7"/>
  <c r="AV276" i="7"/>
  <c r="J227" i="7"/>
  <c r="AX227" i="7"/>
  <c r="BI227" i="7"/>
  <c r="AE227" i="7" s="1"/>
  <c r="AV226" i="7"/>
  <c r="I224" i="7"/>
  <c r="AW224" i="7"/>
  <c r="BH224" i="7"/>
  <c r="AD224" i="7" s="1"/>
  <c r="J583" i="7"/>
  <c r="AX583" i="7"/>
  <c r="BC583" i="7" s="1"/>
  <c r="AX580" i="7"/>
  <c r="J579" i="7"/>
  <c r="AX579" i="7"/>
  <c r="AX576" i="7"/>
  <c r="J575" i="7"/>
  <c r="AX575" i="7"/>
  <c r="AX572" i="7"/>
  <c r="I568" i="7"/>
  <c r="AW568" i="7"/>
  <c r="BC566" i="7"/>
  <c r="BH565" i="7"/>
  <c r="AB565" i="7" s="1"/>
  <c r="AW565" i="7"/>
  <c r="AX564" i="7"/>
  <c r="J563" i="7"/>
  <c r="AX563" i="7"/>
  <c r="I556" i="7"/>
  <c r="AW556" i="7"/>
  <c r="BH553" i="7"/>
  <c r="AB553" i="7" s="1"/>
  <c r="AW553" i="7"/>
  <c r="AX552" i="7"/>
  <c r="J551" i="7"/>
  <c r="AX551" i="7"/>
  <c r="I544" i="7"/>
  <c r="AW544" i="7"/>
  <c r="I540" i="7"/>
  <c r="AW540" i="7"/>
  <c r="BI536" i="7"/>
  <c r="AC536" i="7" s="1"/>
  <c r="BC534" i="7"/>
  <c r="BH533" i="7"/>
  <c r="AB533" i="7" s="1"/>
  <c r="AW533" i="7"/>
  <c r="AX532" i="7"/>
  <c r="I528" i="7"/>
  <c r="AW528" i="7"/>
  <c r="BI524" i="7"/>
  <c r="AC524" i="7" s="1"/>
  <c r="BH521" i="7"/>
  <c r="AB521" i="7" s="1"/>
  <c r="AW521" i="7"/>
  <c r="AX520" i="7"/>
  <c r="J519" i="7"/>
  <c r="AX519" i="7"/>
  <c r="AS518" i="7"/>
  <c r="I514" i="7"/>
  <c r="AW514" i="7"/>
  <c r="I510" i="7"/>
  <c r="AW510" i="7"/>
  <c r="I506" i="7"/>
  <c r="AW506" i="7"/>
  <c r="BI502" i="7"/>
  <c r="AC502" i="7" s="1"/>
  <c r="BI498" i="7"/>
  <c r="AC498" i="7" s="1"/>
  <c r="BI494" i="7"/>
  <c r="AC494" i="7" s="1"/>
  <c r="BI490" i="7"/>
  <c r="AC490" i="7" s="1"/>
  <c r="BI486" i="7"/>
  <c r="AG486" i="7" s="1"/>
  <c r="K485" i="7"/>
  <c r="G50" i="6" s="1"/>
  <c r="I50" i="6" s="1"/>
  <c r="AK486" i="7"/>
  <c r="AT485" i="7" s="1"/>
  <c r="BI476" i="7"/>
  <c r="AE476" i="7" s="1"/>
  <c r="BI472" i="7"/>
  <c r="AE472" i="7" s="1"/>
  <c r="I469" i="7"/>
  <c r="AW469" i="7"/>
  <c r="J468" i="7"/>
  <c r="AX468" i="7"/>
  <c r="I465" i="7"/>
  <c r="AW465" i="7"/>
  <c r="J464" i="7"/>
  <c r="AX464" i="7"/>
  <c r="I461" i="7"/>
  <c r="AW461" i="7"/>
  <c r="J460" i="7"/>
  <c r="AX460" i="7"/>
  <c r="AS459" i="7"/>
  <c r="I451" i="7"/>
  <c r="AW451" i="7"/>
  <c r="J450" i="7"/>
  <c r="AX450" i="7"/>
  <c r="BC435" i="7"/>
  <c r="AV435" i="7"/>
  <c r="K434" i="7"/>
  <c r="G45" i="6" s="1"/>
  <c r="I45" i="6" s="1"/>
  <c r="AK435" i="7"/>
  <c r="AT434" i="7" s="1"/>
  <c r="I431" i="7"/>
  <c r="AW431" i="7"/>
  <c r="BH431" i="7"/>
  <c r="AD431" i="7" s="1"/>
  <c r="J427" i="7"/>
  <c r="AX427" i="7"/>
  <c r="BI427" i="7"/>
  <c r="AE427" i="7" s="1"/>
  <c r="J420" i="7"/>
  <c r="BI420" i="7"/>
  <c r="AE420" i="7" s="1"/>
  <c r="I413" i="7"/>
  <c r="AW413" i="7"/>
  <c r="BH413" i="7"/>
  <c r="AD413" i="7" s="1"/>
  <c r="I409" i="7"/>
  <c r="AW409" i="7"/>
  <c r="BH409" i="7"/>
  <c r="AD409" i="7" s="1"/>
  <c r="I405" i="7"/>
  <c r="AW405" i="7"/>
  <c r="BH405" i="7"/>
  <c r="AD405" i="7" s="1"/>
  <c r="I401" i="7"/>
  <c r="AW401" i="7"/>
  <c r="BH401" i="7"/>
  <c r="AD401" i="7" s="1"/>
  <c r="I397" i="7"/>
  <c r="AW397" i="7"/>
  <c r="BH397" i="7"/>
  <c r="AD397" i="7" s="1"/>
  <c r="I393" i="7"/>
  <c r="AW393" i="7"/>
  <c r="BH393" i="7"/>
  <c r="AD393" i="7" s="1"/>
  <c r="I389" i="7"/>
  <c r="AW389" i="7"/>
  <c r="BH389" i="7"/>
  <c r="AD389" i="7" s="1"/>
  <c r="BC382" i="7"/>
  <c r="AV382" i="7"/>
  <c r="I366" i="7"/>
  <c r="AW366" i="7"/>
  <c r="BH366" i="7"/>
  <c r="AD366" i="7" s="1"/>
  <c r="I365" i="7"/>
  <c r="AW365" i="7"/>
  <c r="BH365" i="7"/>
  <c r="AD365" i="7" s="1"/>
  <c r="I362" i="7"/>
  <c r="AW362" i="7"/>
  <c r="BH362" i="7"/>
  <c r="AD362" i="7" s="1"/>
  <c r="I361" i="7"/>
  <c r="AW361" i="7"/>
  <c r="BH361" i="7"/>
  <c r="AD361" i="7" s="1"/>
  <c r="I358" i="7"/>
  <c r="AW358" i="7"/>
  <c r="BH358" i="7"/>
  <c r="AD358" i="7" s="1"/>
  <c r="I357" i="7"/>
  <c r="AW357" i="7"/>
  <c r="BH357" i="7"/>
  <c r="AD357" i="7" s="1"/>
  <c r="I351" i="7"/>
  <c r="AW351" i="7"/>
  <c r="BH351" i="7"/>
  <c r="AD351" i="7" s="1"/>
  <c r="I350" i="7"/>
  <c r="AW350" i="7"/>
  <c r="BH350" i="7"/>
  <c r="AD350" i="7" s="1"/>
  <c r="I347" i="7"/>
  <c r="AW347" i="7"/>
  <c r="BH347" i="7"/>
  <c r="AD347" i="7" s="1"/>
  <c r="I346" i="7"/>
  <c r="AW346" i="7"/>
  <c r="BH346" i="7"/>
  <c r="AD346" i="7" s="1"/>
  <c r="BC340" i="7"/>
  <c r="AV340" i="7"/>
  <c r="J267" i="7"/>
  <c r="BI267" i="7"/>
  <c r="AE267" i="7" s="1"/>
  <c r="AX267" i="7"/>
  <c r="I256" i="7"/>
  <c r="AW256" i="7"/>
  <c r="BH256" i="7"/>
  <c r="AD256" i="7" s="1"/>
  <c r="J567" i="7"/>
  <c r="AX567" i="7"/>
  <c r="BC567" i="7" s="1"/>
  <c r="I560" i="7"/>
  <c r="AW560" i="7"/>
  <c r="J555" i="7"/>
  <c r="AX555" i="7"/>
  <c r="BC555" i="7" s="1"/>
  <c r="I548" i="7"/>
  <c r="AW548" i="7"/>
  <c r="BC538" i="7"/>
  <c r="AX536" i="7"/>
  <c r="J535" i="7"/>
  <c r="AX535" i="7"/>
  <c r="BC526" i="7"/>
  <c r="AX524" i="7"/>
  <c r="J523" i="7"/>
  <c r="AX523" i="7"/>
  <c r="I517" i="7"/>
  <c r="I515" i="7" s="1"/>
  <c r="E51" i="6" s="1"/>
  <c r="AW517" i="7"/>
  <c r="BC504" i="7"/>
  <c r="AX502" i="7"/>
  <c r="J501" i="7"/>
  <c r="AX501" i="7"/>
  <c r="AX498" i="7"/>
  <c r="J497" i="7"/>
  <c r="AX497" i="7"/>
  <c r="AX494" i="7"/>
  <c r="J493" i="7"/>
  <c r="AX493" i="7"/>
  <c r="AX490" i="7"/>
  <c r="J489" i="7"/>
  <c r="AX489" i="7"/>
  <c r="AX486" i="7"/>
  <c r="AS485" i="7"/>
  <c r="I483" i="7"/>
  <c r="AW483" i="7"/>
  <c r="J482" i="7"/>
  <c r="J479" i="7" s="1"/>
  <c r="F49" i="6" s="1"/>
  <c r="AX482" i="7"/>
  <c r="AX476" i="7"/>
  <c r="AX472" i="7"/>
  <c r="AS471" i="7"/>
  <c r="I458" i="7"/>
  <c r="I455" i="7" s="1"/>
  <c r="E46" i="6" s="1"/>
  <c r="AW458" i="7"/>
  <c r="J457" i="7"/>
  <c r="J455" i="7" s="1"/>
  <c r="F46" i="6" s="1"/>
  <c r="AX457" i="7"/>
  <c r="J446" i="7"/>
  <c r="AX446" i="7"/>
  <c r="BI446" i="7"/>
  <c r="AE446" i="7" s="1"/>
  <c r="J445" i="7"/>
  <c r="AX445" i="7"/>
  <c r="BC445" i="7" s="1"/>
  <c r="BI445" i="7"/>
  <c r="AE445" i="7" s="1"/>
  <c r="I432" i="7"/>
  <c r="AW432" i="7"/>
  <c r="BH432" i="7"/>
  <c r="AD432" i="7" s="1"/>
  <c r="J430" i="7"/>
  <c r="AX430" i="7"/>
  <c r="BI430" i="7"/>
  <c r="AE430" i="7" s="1"/>
  <c r="BC429" i="7"/>
  <c r="AV429" i="7"/>
  <c r="I427" i="7"/>
  <c r="AW427" i="7"/>
  <c r="BH427" i="7"/>
  <c r="AD427" i="7" s="1"/>
  <c r="AU421" i="7"/>
  <c r="J423" i="7"/>
  <c r="AX423" i="7"/>
  <c r="BI423" i="7"/>
  <c r="AE423" i="7" s="1"/>
  <c r="J416" i="7"/>
  <c r="AX416" i="7"/>
  <c r="BI416" i="7"/>
  <c r="AE416" i="7" s="1"/>
  <c r="I408" i="7"/>
  <c r="AW408" i="7"/>
  <c r="BH408" i="7"/>
  <c r="AD408" i="7" s="1"/>
  <c r="I404" i="7"/>
  <c r="AW404" i="7"/>
  <c r="BH404" i="7"/>
  <c r="AD404" i="7" s="1"/>
  <c r="I400" i="7"/>
  <c r="AW400" i="7"/>
  <c r="BH400" i="7"/>
  <c r="AD400" i="7" s="1"/>
  <c r="I396" i="7"/>
  <c r="AW396" i="7"/>
  <c r="BH396" i="7"/>
  <c r="AD396" i="7" s="1"/>
  <c r="I392" i="7"/>
  <c r="AW392" i="7"/>
  <c r="BH392" i="7"/>
  <c r="AD392" i="7" s="1"/>
  <c r="I388" i="7"/>
  <c r="AW388" i="7"/>
  <c r="BH388" i="7"/>
  <c r="AD388" i="7" s="1"/>
  <c r="BC378" i="7"/>
  <c r="AV378" i="7"/>
  <c r="BC370" i="7"/>
  <c r="AV370" i="7"/>
  <c r="AU330" i="7"/>
  <c r="J321" i="7"/>
  <c r="AX321" i="7"/>
  <c r="BI321" i="7"/>
  <c r="AE321" i="7" s="1"/>
  <c r="BC320" i="7"/>
  <c r="AS306" i="7"/>
  <c r="BC307" i="7"/>
  <c r="AV307" i="7"/>
  <c r="K306" i="7"/>
  <c r="G40" i="6" s="1"/>
  <c r="I40" i="6" s="1"/>
  <c r="AK307" i="7"/>
  <c r="AT306" i="7" s="1"/>
  <c r="J287" i="7"/>
  <c r="BI287" i="7"/>
  <c r="AE287" i="7" s="1"/>
  <c r="AX287" i="7"/>
  <c r="J238" i="7"/>
  <c r="AX238" i="7"/>
  <c r="BI238" i="7"/>
  <c r="AE238" i="7" s="1"/>
  <c r="BC237" i="7"/>
  <c r="AV237" i="7"/>
  <c r="I235" i="7"/>
  <c r="AW235" i="7"/>
  <c r="BH235" i="7"/>
  <c r="AD235" i="7" s="1"/>
  <c r="I229" i="7"/>
  <c r="AW229" i="7"/>
  <c r="BH229" i="7"/>
  <c r="AD229" i="7" s="1"/>
  <c r="J220" i="7"/>
  <c r="AX220" i="7"/>
  <c r="BI220" i="7"/>
  <c r="AE220" i="7" s="1"/>
  <c r="BC569" i="7"/>
  <c r="I564" i="7"/>
  <c r="AW564" i="7"/>
  <c r="BC557" i="7"/>
  <c r="AV557" i="7"/>
  <c r="I552" i="7"/>
  <c r="AW552" i="7"/>
  <c r="BC545" i="7"/>
  <c r="AV545" i="7"/>
  <c r="J543" i="7"/>
  <c r="AX543" i="7"/>
  <c r="BC541" i="7"/>
  <c r="AV541" i="7"/>
  <c r="J539" i="7"/>
  <c r="AX539" i="7"/>
  <c r="I532" i="7"/>
  <c r="AW532" i="7"/>
  <c r="BC529" i="7"/>
  <c r="AV529" i="7"/>
  <c r="J527" i="7"/>
  <c r="AX527" i="7"/>
  <c r="I520" i="7"/>
  <c r="AW520" i="7"/>
  <c r="AT515" i="7"/>
  <c r="K515" i="7"/>
  <c r="G51" i="6" s="1"/>
  <c r="I51" i="6" s="1"/>
  <c r="J513" i="7"/>
  <c r="AX513" i="7"/>
  <c r="BC511" i="7"/>
  <c r="AV511" i="7"/>
  <c r="J509" i="7"/>
  <c r="AX509" i="7"/>
  <c r="BC507" i="7"/>
  <c r="AV507" i="7"/>
  <c r="J505" i="7"/>
  <c r="AX505" i="7"/>
  <c r="AU479" i="7"/>
  <c r="K471" i="7"/>
  <c r="G48" i="6" s="1"/>
  <c r="I48" i="6" s="1"/>
  <c r="AK472" i="7"/>
  <c r="AT471" i="7" s="1"/>
  <c r="BC466" i="7"/>
  <c r="AV466" i="7"/>
  <c r="BC462" i="7"/>
  <c r="AV462" i="7"/>
  <c r="BC452" i="7"/>
  <c r="AV452" i="7"/>
  <c r="I446" i="7"/>
  <c r="AW446" i="7"/>
  <c r="BH446" i="7"/>
  <c r="AD446" i="7" s="1"/>
  <c r="AV445" i="7"/>
  <c r="BC443" i="7"/>
  <c r="AV443" i="7"/>
  <c r="I428" i="7"/>
  <c r="AW428" i="7"/>
  <c r="BH428" i="7"/>
  <c r="AD428" i="7" s="1"/>
  <c r="J426" i="7"/>
  <c r="AX426" i="7"/>
  <c r="BI426" i="7"/>
  <c r="AE426" i="7" s="1"/>
  <c r="BC425" i="7"/>
  <c r="AV425" i="7"/>
  <c r="I423" i="7"/>
  <c r="AW423" i="7"/>
  <c r="BH423" i="7"/>
  <c r="AD423" i="7" s="1"/>
  <c r="BC418" i="7"/>
  <c r="I416" i="7"/>
  <c r="AW416" i="7"/>
  <c r="BH416" i="7"/>
  <c r="AD416" i="7" s="1"/>
  <c r="J412" i="7"/>
  <c r="AX412" i="7"/>
  <c r="BI412" i="7"/>
  <c r="AE412" i="7" s="1"/>
  <c r="J411" i="7"/>
  <c r="AX411" i="7"/>
  <c r="AV411" i="7" s="1"/>
  <c r="BI411" i="7"/>
  <c r="AE411" i="7" s="1"/>
  <c r="J407" i="7"/>
  <c r="AX407" i="7"/>
  <c r="J403" i="7"/>
  <c r="AX403" i="7"/>
  <c r="J399" i="7"/>
  <c r="AX399" i="7"/>
  <c r="J395" i="7"/>
  <c r="AX395" i="7"/>
  <c r="J391" i="7"/>
  <c r="AX391" i="7"/>
  <c r="J387" i="7"/>
  <c r="AX387" i="7"/>
  <c r="AU383" i="7"/>
  <c r="BC343" i="7"/>
  <c r="J332" i="7"/>
  <c r="AX332" i="7"/>
  <c r="BI332" i="7"/>
  <c r="AE332" i="7" s="1"/>
  <c r="BC331" i="7"/>
  <c r="AV331" i="7"/>
  <c r="I327" i="7"/>
  <c r="AW327" i="7"/>
  <c r="BH327" i="7"/>
  <c r="AD327" i="7" s="1"/>
  <c r="J263" i="7"/>
  <c r="AX263" i="7"/>
  <c r="BI263" i="7"/>
  <c r="AE263" i="7" s="1"/>
  <c r="AK216" i="7"/>
  <c r="AT214" i="7" s="1"/>
  <c r="K214" i="7"/>
  <c r="G38" i="6" s="1"/>
  <c r="I38" i="6" s="1"/>
  <c r="AV173" i="7"/>
  <c r="K172" i="7"/>
  <c r="G34" i="6" s="1"/>
  <c r="I34" i="6" s="1"/>
  <c r="AK173" i="7"/>
  <c r="AT172" i="7" s="1"/>
  <c r="J134" i="7"/>
  <c r="AX134" i="7"/>
  <c r="BI134" i="7"/>
  <c r="AC134" i="7" s="1"/>
  <c r="I89" i="7"/>
  <c r="AW89" i="7"/>
  <c r="BH89" i="7"/>
  <c r="AB89" i="7" s="1"/>
  <c r="I72" i="7"/>
  <c r="AW72" i="7"/>
  <c r="BH72" i="7"/>
  <c r="AB72" i="7" s="1"/>
  <c r="I71" i="7"/>
  <c r="AW71" i="7"/>
  <c r="BH71" i="7"/>
  <c r="AB71" i="7" s="1"/>
  <c r="J39" i="7"/>
  <c r="BI39" i="7"/>
  <c r="AC39" i="7" s="1"/>
  <c r="AX39" i="7"/>
  <c r="BC30" i="7"/>
  <c r="AV30" i="7"/>
  <c r="J368" i="7"/>
  <c r="AX368" i="7"/>
  <c r="J353" i="7"/>
  <c r="AX353" i="7"/>
  <c r="J341" i="7"/>
  <c r="AX341" i="7"/>
  <c r="I334" i="7"/>
  <c r="AW334" i="7"/>
  <c r="BH334" i="7"/>
  <c r="AD334" i="7" s="1"/>
  <c r="AT330" i="7"/>
  <c r="K330" i="7"/>
  <c r="G41" i="6" s="1"/>
  <c r="I41" i="6" s="1"/>
  <c r="I323" i="7"/>
  <c r="AW323" i="7"/>
  <c r="BH323" i="7"/>
  <c r="AD323" i="7" s="1"/>
  <c r="J317" i="7"/>
  <c r="AX317" i="7"/>
  <c r="I314" i="7"/>
  <c r="AW314" i="7"/>
  <c r="BH314" i="7"/>
  <c r="AD314" i="7" s="1"/>
  <c r="BC296" i="7"/>
  <c r="AV296" i="7"/>
  <c r="BC288" i="7"/>
  <c r="AV288" i="7"/>
  <c r="I283" i="7"/>
  <c r="AW283" i="7"/>
  <c r="BH283" i="7"/>
  <c r="AD283" i="7" s="1"/>
  <c r="BC272" i="7"/>
  <c r="AV272" i="7"/>
  <c r="BC268" i="7"/>
  <c r="BC265" i="7"/>
  <c r="AV265" i="7"/>
  <c r="I263" i="7"/>
  <c r="AW263" i="7"/>
  <c r="BH263" i="7"/>
  <c r="AD263" i="7" s="1"/>
  <c r="I259" i="7"/>
  <c r="AW259" i="7"/>
  <c r="BH259" i="7"/>
  <c r="AD259" i="7" s="1"/>
  <c r="I252" i="7"/>
  <c r="AW252" i="7"/>
  <c r="BH252" i="7"/>
  <c r="AD252" i="7" s="1"/>
  <c r="J247" i="7"/>
  <c r="BI247" i="7"/>
  <c r="AE247" i="7" s="1"/>
  <c r="J243" i="7"/>
  <c r="AX243" i="7"/>
  <c r="BI243" i="7"/>
  <c r="AE243" i="7" s="1"/>
  <c r="I236" i="7"/>
  <c r="AW236" i="7"/>
  <c r="BH236" i="7"/>
  <c r="AD236" i="7" s="1"/>
  <c r="J234" i="7"/>
  <c r="AX234" i="7"/>
  <c r="BI234" i="7"/>
  <c r="AE234" i="7" s="1"/>
  <c r="BC233" i="7"/>
  <c r="I231" i="7"/>
  <c r="AW231" i="7"/>
  <c r="BH231" i="7"/>
  <c r="AD231" i="7" s="1"/>
  <c r="I225" i="7"/>
  <c r="AW225" i="7"/>
  <c r="BH225" i="7"/>
  <c r="AD225" i="7" s="1"/>
  <c r="J223" i="7"/>
  <c r="AX223" i="7"/>
  <c r="BI223" i="7"/>
  <c r="AE223" i="7" s="1"/>
  <c r="BC222" i="7"/>
  <c r="AV222" i="7"/>
  <c r="I220" i="7"/>
  <c r="AW220" i="7"/>
  <c r="BH220" i="7"/>
  <c r="AD220" i="7" s="1"/>
  <c r="J216" i="7"/>
  <c r="AX216" i="7"/>
  <c r="BI216" i="7"/>
  <c r="AE216" i="7" s="1"/>
  <c r="AU188" i="7"/>
  <c r="I170" i="7"/>
  <c r="AW170" i="7"/>
  <c r="BH170" i="7"/>
  <c r="AV166" i="7"/>
  <c r="AK141" i="7"/>
  <c r="K139" i="7"/>
  <c r="G32" i="6" s="1"/>
  <c r="I32" i="6" s="1"/>
  <c r="I135" i="7"/>
  <c r="AW135" i="7"/>
  <c r="BH135" i="7"/>
  <c r="AB135" i="7" s="1"/>
  <c r="I134" i="7"/>
  <c r="AW134" i="7"/>
  <c r="BH134" i="7"/>
  <c r="AB134" i="7" s="1"/>
  <c r="J130" i="7"/>
  <c r="AX130" i="7"/>
  <c r="BI130" i="7"/>
  <c r="AC130" i="7" s="1"/>
  <c r="I127" i="7"/>
  <c r="AW127" i="7"/>
  <c r="BH127" i="7"/>
  <c r="AB127" i="7" s="1"/>
  <c r="BC58" i="7"/>
  <c r="AV58" i="7"/>
  <c r="K57" i="7"/>
  <c r="G22" i="6" s="1"/>
  <c r="I22" i="6" s="1"/>
  <c r="AK58" i="7"/>
  <c r="AT57" i="7" s="1"/>
  <c r="BC31" i="7"/>
  <c r="AV31" i="7"/>
  <c r="J21" i="7"/>
  <c r="J20" i="7" s="1"/>
  <c r="F12" i="6" s="1"/>
  <c r="AX21" i="7"/>
  <c r="BI21" i="7"/>
  <c r="AC21" i="7" s="1"/>
  <c r="J449" i="7"/>
  <c r="AX449" i="7"/>
  <c r="I420" i="7"/>
  <c r="AW420" i="7"/>
  <c r="J419" i="7"/>
  <c r="AX419" i="7"/>
  <c r="AX408" i="7"/>
  <c r="AX404" i="7"/>
  <c r="AX400" i="7"/>
  <c r="AX396" i="7"/>
  <c r="AX392" i="7"/>
  <c r="AX388" i="7"/>
  <c r="K383" i="7"/>
  <c r="G43" i="6" s="1"/>
  <c r="I43" i="6" s="1"/>
  <c r="AK384" i="7"/>
  <c r="AT383" i="7" s="1"/>
  <c r="BC375" i="7"/>
  <c r="I373" i="7"/>
  <c r="AW373" i="7"/>
  <c r="J372" i="7"/>
  <c r="AX372" i="7"/>
  <c r="I369" i="7"/>
  <c r="AW369" i="7"/>
  <c r="AX365" i="7"/>
  <c r="AX361" i="7"/>
  <c r="AX357" i="7"/>
  <c r="BI353" i="7"/>
  <c r="AE353" i="7" s="1"/>
  <c r="AX350" i="7"/>
  <c r="AX346" i="7"/>
  <c r="BC344" i="7"/>
  <c r="I342" i="7"/>
  <c r="AW342" i="7"/>
  <c r="I337" i="7"/>
  <c r="AW337" i="7"/>
  <c r="BH337" i="7"/>
  <c r="AD337" i="7" s="1"/>
  <c r="I326" i="7"/>
  <c r="AW326" i="7"/>
  <c r="BH326" i="7"/>
  <c r="AD326" i="7" s="1"/>
  <c r="I319" i="7"/>
  <c r="AW319" i="7"/>
  <c r="BH319" i="7"/>
  <c r="AD319" i="7" s="1"/>
  <c r="AV316" i="7"/>
  <c r="J313" i="7"/>
  <c r="AX313" i="7"/>
  <c r="BC292" i="7"/>
  <c r="AV292" i="7"/>
  <c r="J286" i="7"/>
  <c r="AX286" i="7"/>
  <c r="BI286" i="7"/>
  <c r="AE286" i="7" s="1"/>
  <c r="AV285" i="7"/>
  <c r="J282" i="7"/>
  <c r="AX282" i="7"/>
  <c r="I264" i="7"/>
  <c r="AW264" i="7"/>
  <c r="BH264" i="7"/>
  <c r="AD264" i="7" s="1"/>
  <c r="J262" i="7"/>
  <c r="AX262" i="7"/>
  <c r="BI262" i="7"/>
  <c r="AE262" i="7" s="1"/>
  <c r="AV261" i="7"/>
  <c r="J258" i="7"/>
  <c r="AX258" i="7"/>
  <c r="I255" i="7"/>
  <c r="AW255" i="7"/>
  <c r="BH255" i="7"/>
  <c r="AD255" i="7" s="1"/>
  <c r="BC248" i="7"/>
  <c r="AV248" i="7"/>
  <c r="BC245" i="7"/>
  <c r="AV245" i="7"/>
  <c r="I243" i="7"/>
  <c r="AW243" i="7"/>
  <c r="BH243" i="7"/>
  <c r="AD243" i="7" s="1"/>
  <c r="J239" i="7"/>
  <c r="AX239" i="7"/>
  <c r="BI239" i="7"/>
  <c r="AE239" i="7" s="1"/>
  <c r="I232" i="7"/>
  <c r="AW232" i="7"/>
  <c r="BH232" i="7"/>
  <c r="AD232" i="7" s="1"/>
  <c r="J228" i="7"/>
  <c r="AX228" i="7"/>
  <c r="BI228" i="7"/>
  <c r="AE228" i="7" s="1"/>
  <c r="I221" i="7"/>
  <c r="AW221" i="7"/>
  <c r="BH221" i="7"/>
  <c r="AD221" i="7" s="1"/>
  <c r="J219" i="7"/>
  <c r="AX219" i="7"/>
  <c r="BI219" i="7"/>
  <c r="AE219" i="7" s="1"/>
  <c r="BC218" i="7"/>
  <c r="AV218" i="7"/>
  <c r="I216" i="7"/>
  <c r="AW216" i="7"/>
  <c r="BH216" i="7"/>
  <c r="AD216" i="7" s="1"/>
  <c r="BC206" i="7"/>
  <c r="AV206" i="7"/>
  <c r="BC190" i="7"/>
  <c r="AV190" i="7"/>
  <c r="AS188" i="7"/>
  <c r="BC176" i="7"/>
  <c r="I157" i="7"/>
  <c r="AW157" i="7"/>
  <c r="BH157" i="7"/>
  <c r="J149" i="7"/>
  <c r="AX149" i="7"/>
  <c r="BI149" i="7"/>
  <c r="AC149" i="7" s="1"/>
  <c r="BC148" i="7"/>
  <c r="AV148" i="7"/>
  <c r="J145" i="7"/>
  <c r="AX145" i="7"/>
  <c r="BI145" i="7"/>
  <c r="AC145" i="7" s="1"/>
  <c r="I142" i="7"/>
  <c r="AW142" i="7"/>
  <c r="BH142" i="7"/>
  <c r="AB142" i="7" s="1"/>
  <c r="I116" i="7"/>
  <c r="AW116" i="7"/>
  <c r="BH116" i="7"/>
  <c r="AB116" i="7" s="1"/>
  <c r="I115" i="7"/>
  <c r="AW115" i="7"/>
  <c r="BH115" i="7"/>
  <c r="AB115" i="7" s="1"/>
  <c r="K59" i="7"/>
  <c r="G23" i="6" s="1"/>
  <c r="I23" i="6" s="1"/>
  <c r="AK60" i="7"/>
  <c r="AT59" i="7" s="1"/>
  <c r="BC444" i="7"/>
  <c r="I442" i="7"/>
  <c r="AW442" i="7"/>
  <c r="J441" i="7"/>
  <c r="AX441" i="7"/>
  <c r="I438" i="7"/>
  <c r="AW438" i="7"/>
  <c r="J437" i="7"/>
  <c r="AX437" i="7"/>
  <c r="BC386" i="7"/>
  <c r="I384" i="7"/>
  <c r="AW384" i="7"/>
  <c r="I381" i="7"/>
  <c r="AW381" i="7"/>
  <c r="J380" i="7"/>
  <c r="AX380" i="7"/>
  <c r="I377" i="7"/>
  <c r="AW377" i="7"/>
  <c r="J376" i="7"/>
  <c r="AX376" i="7"/>
  <c r="BI373" i="7"/>
  <c r="AE373" i="7" s="1"/>
  <c r="BI369" i="7"/>
  <c r="AE369" i="7" s="1"/>
  <c r="BI368" i="7"/>
  <c r="AE368" i="7" s="1"/>
  <c r="BC355" i="7"/>
  <c r="AU354" i="7"/>
  <c r="J345" i="7"/>
  <c r="AX345" i="7"/>
  <c r="BI342" i="7"/>
  <c r="AE342" i="7" s="1"/>
  <c r="BI341" i="7"/>
  <c r="AE341" i="7" s="1"/>
  <c r="J336" i="7"/>
  <c r="AX336" i="7"/>
  <c r="I333" i="7"/>
  <c r="AW333" i="7"/>
  <c r="BH333" i="7"/>
  <c r="AD333" i="7" s="1"/>
  <c r="J329" i="7"/>
  <c r="AX329" i="7"/>
  <c r="AV329" i="7" s="1"/>
  <c r="BI329" i="7"/>
  <c r="AE329" i="7" s="1"/>
  <c r="J325" i="7"/>
  <c r="AX325" i="7"/>
  <c r="I322" i="7"/>
  <c r="AW322" i="7"/>
  <c r="BH322" i="7"/>
  <c r="AD322" i="7" s="1"/>
  <c r="BI317" i="7"/>
  <c r="AE317" i="7" s="1"/>
  <c r="I315" i="7"/>
  <c r="AW315" i="7"/>
  <c r="BH315" i="7"/>
  <c r="AD315" i="7" s="1"/>
  <c r="BC311" i="7"/>
  <c r="AV311" i="7"/>
  <c r="AU306" i="7"/>
  <c r="I284" i="7"/>
  <c r="AW284" i="7"/>
  <c r="BH284" i="7"/>
  <c r="AD284" i="7" s="1"/>
  <c r="BC280" i="7"/>
  <c r="AV280" i="7"/>
  <c r="I260" i="7"/>
  <c r="AW260" i="7"/>
  <c r="BH260" i="7"/>
  <c r="AD260" i="7" s="1"/>
  <c r="J254" i="7"/>
  <c r="AX254" i="7"/>
  <c r="I251" i="7"/>
  <c r="AW251" i="7"/>
  <c r="BH251" i="7"/>
  <c r="AD251" i="7" s="1"/>
  <c r="I244" i="7"/>
  <c r="AW244" i="7"/>
  <c r="BH244" i="7"/>
  <c r="AD244" i="7" s="1"/>
  <c r="J242" i="7"/>
  <c r="AX242" i="7"/>
  <c r="BI242" i="7"/>
  <c r="AE242" i="7" s="1"/>
  <c r="BC241" i="7"/>
  <c r="AV241" i="7"/>
  <c r="I239" i="7"/>
  <c r="AW239" i="7"/>
  <c r="BH239" i="7"/>
  <c r="AD239" i="7" s="1"/>
  <c r="J235" i="7"/>
  <c r="AX235" i="7"/>
  <c r="BI235" i="7"/>
  <c r="AE235" i="7" s="1"/>
  <c r="K230" i="7"/>
  <c r="G39" i="6" s="1"/>
  <c r="I39" i="6" s="1"/>
  <c r="AK231" i="7"/>
  <c r="AT230" i="7" s="1"/>
  <c r="I228" i="7"/>
  <c r="AW228" i="7"/>
  <c r="BH228" i="7"/>
  <c r="AD228" i="7" s="1"/>
  <c r="J224" i="7"/>
  <c r="AX224" i="7"/>
  <c r="BI224" i="7"/>
  <c r="AE224" i="7" s="1"/>
  <c r="I217" i="7"/>
  <c r="AW217" i="7"/>
  <c r="BH217" i="7"/>
  <c r="AD217" i="7" s="1"/>
  <c r="J215" i="7"/>
  <c r="AX215" i="7"/>
  <c r="BI215" i="7"/>
  <c r="AE215" i="7" s="1"/>
  <c r="AS214" i="7"/>
  <c r="BC210" i="7"/>
  <c r="AV210" i="7"/>
  <c r="BC194" i="7"/>
  <c r="AV194" i="7"/>
  <c r="J178" i="7"/>
  <c r="AX178" i="7"/>
  <c r="BI178" i="7"/>
  <c r="J161" i="7"/>
  <c r="BI161" i="7"/>
  <c r="AX161" i="7"/>
  <c r="AK161" i="7"/>
  <c r="AT155" i="7" s="1"/>
  <c r="K155" i="7"/>
  <c r="G33" i="6" s="1"/>
  <c r="I33" i="6" s="1"/>
  <c r="J118" i="7"/>
  <c r="AX118" i="7"/>
  <c r="BI118" i="7"/>
  <c r="AC118" i="7" s="1"/>
  <c r="J103" i="7"/>
  <c r="AX103" i="7"/>
  <c r="BI103" i="7"/>
  <c r="AC103" i="7" s="1"/>
  <c r="BC289" i="7"/>
  <c r="I287" i="7"/>
  <c r="AW287" i="7"/>
  <c r="J270" i="7"/>
  <c r="AX270" i="7"/>
  <c r="I267" i="7"/>
  <c r="AW267" i="7"/>
  <c r="J266" i="7"/>
  <c r="AX266" i="7"/>
  <c r="BC249" i="7"/>
  <c r="I247" i="7"/>
  <c r="AW247" i="7"/>
  <c r="J246" i="7"/>
  <c r="AX246" i="7"/>
  <c r="BC202" i="7"/>
  <c r="AV202" i="7"/>
  <c r="AV187" i="7"/>
  <c r="K179" i="7"/>
  <c r="G36" i="6" s="1"/>
  <c r="I36" i="6" s="1"/>
  <c r="AS174" i="7"/>
  <c r="J168" i="7"/>
  <c r="AX168" i="7"/>
  <c r="I162" i="7"/>
  <c r="AW162" i="7"/>
  <c r="BH162" i="7"/>
  <c r="J156" i="7"/>
  <c r="AX156" i="7"/>
  <c r="BI156" i="7"/>
  <c r="AS155" i="7"/>
  <c r="BC151" i="7"/>
  <c r="AV151" i="7"/>
  <c r="AU139" i="7"/>
  <c r="I95" i="7"/>
  <c r="E27" i="6" s="1"/>
  <c r="J76" i="7"/>
  <c r="AX76" i="7"/>
  <c r="BI76" i="7"/>
  <c r="AC76" i="7" s="1"/>
  <c r="I61" i="7"/>
  <c r="AW61" i="7"/>
  <c r="BH61" i="7"/>
  <c r="AB61" i="7" s="1"/>
  <c r="I310" i="7"/>
  <c r="AW310" i="7"/>
  <c r="J309" i="7"/>
  <c r="AX309" i="7"/>
  <c r="BC305" i="7"/>
  <c r="I303" i="7"/>
  <c r="AW303" i="7"/>
  <c r="J302" i="7"/>
  <c r="AX302" i="7"/>
  <c r="I299" i="7"/>
  <c r="AW299" i="7"/>
  <c r="J298" i="7"/>
  <c r="AX298" i="7"/>
  <c r="I295" i="7"/>
  <c r="AW295" i="7"/>
  <c r="J294" i="7"/>
  <c r="AX294" i="7"/>
  <c r="I291" i="7"/>
  <c r="AW291" i="7"/>
  <c r="J290" i="7"/>
  <c r="AX290" i="7"/>
  <c r="AV289" i="7"/>
  <c r="I279" i="7"/>
  <c r="AW279" i="7"/>
  <c r="J278" i="7"/>
  <c r="AX278" i="7"/>
  <c r="I275" i="7"/>
  <c r="AW275" i="7"/>
  <c r="J274" i="7"/>
  <c r="AX274" i="7"/>
  <c r="I271" i="7"/>
  <c r="AW271" i="7"/>
  <c r="AV269" i="7"/>
  <c r="BI266" i="7"/>
  <c r="AE266" i="7" s="1"/>
  <c r="J250" i="7"/>
  <c r="AX250" i="7"/>
  <c r="AV250" i="7" s="1"/>
  <c r="AV249" i="7"/>
  <c r="BI246" i="7"/>
  <c r="AE246" i="7" s="1"/>
  <c r="AS230" i="7"/>
  <c r="BC198" i="7"/>
  <c r="AV198" i="7"/>
  <c r="AS179" i="7"/>
  <c r="AT179" i="7"/>
  <c r="J175" i="7"/>
  <c r="J174" i="7" s="1"/>
  <c r="F35" i="6" s="1"/>
  <c r="BI175" i="7"/>
  <c r="AE175" i="7" s="1"/>
  <c r="K174" i="7"/>
  <c r="G35" i="6" s="1"/>
  <c r="I35" i="6" s="1"/>
  <c r="AK175" i="7"/>
  <c r="AT174" i="7" s="1"/>
  <c r="I169" i="7"/>
  <c r="AW169" i="7"/>
  <c r="BH169" i="7"/>
  <c r="BC167" i="7"/>
  <c r="AV167" i="7"/>
  <c r="I158" i="7"/>
  <c r="AW158" i="7"/>
  <c r="BH158" i="7"/>
  <c r="J157" i="7"/>
  <c r="AX157" i="7"/>
  <c r="BI157" i="7"/>
  <c r="J153" i="7"/>
  <c r="AX153" i="7"/>
  <c r="BI153" i="7"/>
  <c r="AC153" i="7" s="1"/>
  <c r="BC152" i="7"/>
  <c r="AV152" i="7"/>
  <c r="BC147" i="7"/>
  <c r="AV147" i="7"/>
  <c r="I123" i="7"/>
  <c r="AW123" i="7"/>
  <c r="BH123" i="7"/>
  <c r="AB123" i="7" s="1"/>
  <c r="I111" i="7"/>
  <c r="AW111" i="7"/>
  <c r="BH111" i="7"/>
  <c r="AB111" i="7" s="1"/>
  <c r="J107" i="7"/>
  <c r="AX107" i="7"/>
  <c r="BI107" i="7"/>
  <c r="AC107" i="7" s="1"/>
  <c r="I101" i="7"/>
  <c r="I98" i="7" s="1"/>
  <c r="E28" i="6" s="1"/>
  <c r="AW101" i="7"/>
  <c r="BH101" i="7"/>
  <c r="AB101" i="7" s="1"/>
  <c r="K188" i="7"/>
  <c r="G37" i="6" s="1"/>
  <c r="I37" i="6" s="1"/>
  <c r="AK189" i="7"/>
  <c r="AT188" i="7" s="1"/>
  <c r="I175" i="7"/>
  <c r="AW175" i="7"/>
  <c r="AX169" i="7"/>
  <c r="I161" i="7"/>
  <c r="AW161" i="7"/>
  <c r="J160" i="7"/>
  <c r="AX160" i="7"/>
  <c r="J137" i="7"/>
  <c r="AX137" i="7"/>
  <c r="BC137" i="7" s="1"/>
  <c r="BI137" i="7"/>
  <c r="AC137" i="7" s="1"/>
  <c r="I131" i="7"/>
  <c r="AW131" i="7"/>
  <c r="BH131" i="7"/>
  <c r="AB131" i="7" s="1"/>
  <c r="I130" i="7"/>
  <c r="AW130" i="7"/>
  <c r="BH130" i="7"/>
  <c r="AB130" i="7" s="1"/>
  <c r="I122" i="7"/>
  <c r="AW122" i="7"/>
  <c r="BH122" i="7"/>
  <c r="AB122" i="7" s="1"/>
  <c r="K110" i="7"/>
  <c r="G30" i="6" s="1"/>
  <c r="I30" i="6" s="1"/>
  <c r="AK111" i="7"/>
  <c r="AT110" i="7" s="1"/>
  <c r="J108" i="7"/>
  <c r="BI108" i="7"/>
  <c r="AC108" i="7" s="1"/>
  <c r="I85" i="7"/>
  <c r="AW85" i="7"/>
  <c r="BH85" i="7"/>
  <c r="AB85" i="7" s="1"/>
  <c r="I84" i="7"/>
  <c r="AW84" i="7"/>
  <c r="BH84" i="7"/>
  <c r="AB84" i="7" s="1"/>
  <c r="AV80" i="7"/>
  <c r="AK45" i="7"/>
  <c r="K43" i="7"/>
  <c r="G18" i="6" s="1"/>
  <c r="I18" i="6" s="1"/>
  <c r="I213" i="7"/>
  <c r="AW213" i="7"/>
  <c r="J212" i="7"/>
  <c r="AX212" i="7"/>
  <c r="I209" i="7"/>
  <c r="AW209" i="7"/>
  <c r="J208" i="7"/>
  <c r="AX208" i="7"/>
  <c r="I205" i="7"/>
  <c r="AW205" i="7"/>
  <c r="J204" i="7"/>
  <c r="AX204" i="7"/>
  <c r="I201" i="7"/>
  <c r="AW201" i="7"/>
  <c r="J200" i="7"/>
  <c r="AX200" i="7"/>
  <c r="I197" i="7"/>
  <c r="AW197" i="7"/>
  <c r="J196" i="7"/>
  <c r="AX196" i="7"/>
  <c r="I193" i="7"/>
  <c r="AW193" i="7"/>
  <c r="J192" i="7"/>
  <c r="AX192" i="7"/>
  <c r="I189" i="7"/>
  <c r="AW189" i="7"/>
  <c r="I186" i="7"/>
  <c r="AW186" i="7"/>
  <c r="J185" i="7"/>
  <c r="AX185" i="7"/>
  <c r="I182" i="7"/>
  <c r="AW182" i="7"/>
  <c r="J181" i="7"/>
  <c r="AX181" i="7"/>
  <c r="AU179" i="7"/>
  <c r="I165" i="7"/>
  <c r="AW165" i="7"/>
  <c r="J164" i="7"/>
  <c r="AX164" i="7"/>
  <c r="I154" i="7"/>
  <c r="AW154" i="7"/>
  <c r="I150" i="7"/>
  <c r="AW150" i="7"/>
  <c r="I146" i="7"/>
  <c r="AW146" i="7"/>
  <c r="I141" i="7"/>
  <c r="AW141" i="7"/>
  <c r="BH141" i="7"/>
  <c r="AB141" i="7" s="1"/>
  <c r="AT139" i="7"/>
  <c r="I126" i="7"/>
  <c r="AW126" i="7"/>
  <c r="BH126" i="7"/>
  <c r="AB126" i="7" s="1"/>
  <c r="K121" i="7"/>
  <c r="G31" i="6" s="1"/>
  <c r="I31" i="6" s="1"/>
  <c r="AK122" i="7"/>
  <c r="AT121" i="7" s="1"/>
  <c r="J119" i="7"/>
  <c r="BI119" i="7"/>
  <c r="AC119" i="7" s="1"/>
  <c r="J115" i="7"/>
  <c r="AX115" i="7"/>
  <c r="BI115" i="7"/>
  <c r="AC115" i="7" s="1"/>
  <c r="I112" i="7"/>
  <c r="AW112" i="7"/>
  <c r="BH112" i="7"/>
  <c r="AB112" i="7" s="1"/>
  <c r="BC109" i="7"/>
  <c r="AV109" i="7"/>
  <c r="AU102" i="7"/>
  <c r="J104" i="7"/>
  <c r="BI104" i="7"/>
  <c r="AC104" i="7" s="1"/>
  <c r="J101" i="7"/>
  <c r="AX101" i="7"/>
  <c r="BI101" i="7"/>
  <c r="AC101" i="7" s="1"/>
  <c r="I86" i="7"/>
  <c r="AW86" i="7"/>
  <c r="BH86" i="7"/>
  <c r="AB86" i="7" s="1"/>
  <c r="J82" i="7"/>
  <c r="AX82" i="7"/>
  <c r="BI82" i="7"/>
  <c r="AC82" i="7" s="1"/>
  <c r="AU66" i="7"/>
  <c r="I67" i="7"/>
  <c r="AW67" i="7"/>
  <c r="BH67" i="7"/>
  <c r="AB67" i="7" s="1"/>
  <c r="BC53" i="7"/>
  <c r="I49" i="7"/>
  <c r="AW49" i="7"/>
  <c r="BH49" i="7"/>
  <c r="AB49" i="7" s="1"/>
  <c r="I48" i="7"/>
  <c r="AW48" i="7"/>
  <c r="BH48" i="7"/>
  <c r="AB48" i="7" s="1"/>
  <c r="J144" i="7"/>
  <c r="AX144" i="7"/>
  <c r="AX141" i="7"/>
  <c r="J140" i="7"/>
  <c r="AX140" i="7"/>
  <c r="AS139" i="7"/>
  <c r="AX126" i="7"/>
  <c r="J125" i="7"/>
  <c r="AX125" i="7"/>
  <c r="AX122" i="7"/>
  <c r="AS121" i="7"/>
  <c r="I119" i="7"/>
  <c r="AW119" i="7"/>
  <c r="BC113" i="7"/>
  <c r="AX111" i="7"/>
  <c r="AS110" i="7"/>
  <c r="I108" i="7"/>
  <c r="AW108" i="7"/>
  <c r="I104" i="7"/>
  <c r="AW104" i="7"/>
  <c r="K98" i="7"/>
  <c r="G28" i="6" s="1"/>
  <c r="I28" i="6" s="1"/>
  <c r="J88" i="7"/>
  <c r="AX88" i="7"/>
  <c r="I83" i="7"/>
  <c r="AW83" i="7"/>
  <c r="BH83" i="7"/>
  <c r="AB83" i="7" s="1"/>
  <c r="K66" i="7"/>
  <c r="G24" i="6" s="1"/>
  <c r="I24" i="6" s="1"/>
  <c r="AK67" i="7"/>
  <c r="AT66" i="7" s="1"/>
  <c r="J64" i="7"/>
  <c r="BI64" i="7"/>
  <c r="AC64" i="7" s="1"/>
  <c r="AK42" i="7"/>
  <c r="AT40" i="7" s="1"/>
  <c r="K40" i="7"/>
  <c r="G17" i="6" s="1"/>
  <c r="I17" i="6" s="1"/>
  <c r="J28" i="7"/>
  <c r="BI28" i="7"/>
  <c r="AC28" i="7" s="1"/>
  <c r="AX28" i="7"/>
  <c r="BC16" i="7"/>
  <c r="I138" i="7"/>
  <c r="AW138" i="7"/>
  <c r="BC136" i="7"/>
  <c r="J133" i="7"/>
  <c r="AX133" i="7"/>
  <c r="J129" i="7"/>
  <c r="AX129" i="7"/>
  <c r="BC117" i="7"/>
  <c r="J114" i="7"/>
  <c r="AX114" i="7"/>
  <c r="AT102" i="7"/>
  <c r="K102" i="7"/>
  <c r="G29" i="6" s="1"/>
  <c r="I29" i="6" s="1"/>
  <c r="J100" i="7"/>
  <c r="J98" i="7" s="1"/>
  <c r="F28" i="6" s="1"/>
  <c r="AX100" i="7"/>
  <c r="J97" i="7"/>
  <c r="J95" i="7" s="1"/>
  <c r="F27" i="6" s="1"/>
  <c r="AX97" i="7"/>
  <c r="J94" i="7"/>
  <c r="AX94" i="7"/>
  <c r="J91" i="7"/>
  <c r="J90" i="7" s="1"/>
  <c r="F25" i="6" s="1"/>
  <c r="AX91" i="7"/>
  <c r="BI88" i="7"/>
  <c r="AC88" i="7" s="1"/>
  <c r="AV87" i="7"/>
  <c r="J78" i="7"/>
  <c r="BI78" i="7"/>
  <c r="AC78" i="7" s="1"/>
  <c r="J71" i="7"/>
  <c r="AX71" i="7"/>
  <c r="BI71" i="7"/>
  <c r="AC71" i="7" s="1"/>
  <c r="I68" i="7"/>
  <c r="AW68" i="7"/>
  <c r="BH68" i="7"/>
  <c r="AB68" i="7" s="1"/>
  <c r="I60" i="7"/>
  <c r="AW60" i="7"/>
  <c r="BH60" i="7"/>
  <c r="AB60" i="7" s="1"/>
  <c r="J18" i="7"/>
  <c r="AX18" i="7"/>
  <c r="BI18" i="7"/>
  <c r="AC18" i="7" s="1"/>
  <c r="BC17" i="7"/>
  <c r="AV17" i="7"/>
  <c r="AX83" i="7"/>
  <c r="I78" i="7"/>
  <c r="AW78" i="7"/>
  <c r="BC69" i="7"/>
  <c r="AX67" i="7"/>
  <c r="AS66" i="7"/>
  <c r="I64" i="7"/>
  <c r="AW64" i="7"/>
  <c r="BC62" i="7"/>
  <c r="AX60" i="7"/>
  <c r="AS59" i="7"/>
  <c r="BC56" i="7"/>
  <c r="I46" i="7"/>
  <c r="E19" i="6" s="1"/>
  <c r="AT43" i="7"/>
  <c r="J36" i="7"/>
  <c r="AX36" i="7"/>
  <c r="BI36" i="7"/>
  <c r="AC36" i="7" s="1"/>
  <c r="I33" i="7"/>
  <c r="AW33" i="7"/>
  <c r="BH33" i="7"/>
  <c r="AB33" i="7" s="1"/>
  <c r="I25" i="7"/>
  <c r="AW25" i="7"/>
  <c r="BH25" i="7"/>
  <c r="AB25" i="7" s="1"/>
  <c r="J14" i="7"/>
  <c r="AX14" i="7"/>
  <c r="AS12" i="7"/>
  <c r="AU12" i="7"/>
  <c r="BC74" i="7"/>
  <c r="J70" i="7"/>
  <c r="AX70" i="7"/>
  <c r="J63" i="7"/>
  <c r="AX63" i="7"/>
  <c r="BC63" i="7" s="1"/>
  <c r="BC52" i="7"/>
  <c r="AV52" i="7"/>
  <c r="K51" i="7"/>
  <c r="G20" i="6" s="1"/>
  <c r="I20" i="6" s="1"/>
  <c r="AK52" i="7"/>
  <c r="AT51" i="7" s="1"/>
  <c r="J48" i="7"/>
  <c r="AX48" i="7"/>
  <c r="BI48" i="7"/>
  <c r="AC48" i="7" s="1"/>
  <c r="I45" i="7"/>
  <c r="I43" i="7" s="1"/>
  <c r="E18" i="6" s="1"/>
  <c r="AW45" i="7"/>
  <c r="BH45" i="7"/>
  <c r="AB45" i="7" s="1"/>
  <c r="J41" i="7"/>
  <c r="J40" i="7" s="1"/>
  <c r="F17" i="6" s="1"/>
  <c r="AX41" i="7"/>
  <c r="BI41" i="7"/>
  <c r="AC41" i="7" s="1"/>
  <c r="AS40" i="7"/>
  <c r="J38" i="7"/>
  <c r="J37" i="7" s="1"/>
  <c r="F16" i="6" s="1"/>
  <c r="AX38" i="7"/>
  <c r="AS37" i="7"/>
  <c r="I36" i="7"/>
  <c r="AW36" i="7"/>
  <c r="BH36" i="7"/>
  <c r="AB36" i="7" s="1"/>
  <c r="I26" i="7"/>
  <c r="AW26" i="7"/>
  <c r="BH26" i="7"/>
  <c r="AB26" i="7" s="1"/>
  <c r="J19" i="7"/>
  <c r="BI19" i="7"/>
  <c r="AC19" i="7" s="1"/>
  <c r="AT12" i="7"/>
  <c r="J54" i="7"/>
  <c r="AX54" i="7"/>
  <c r="AT46" i="7"/>
  <c r="K46" i="7"/>
  <c r="G19" i="6" s="1"/>
  <c r="I19" i="6" s="1"/>
  <c r="J44" i="7"/>
  <c r="J43" i="7" s="1"/>
  <c r="F18" i="6" s="1"/>
  <c r="AX44" i="7"/>
  <c r="AS43" i="7"/>
  <c r="I39" i="7"/>
  <c r="I37" i="7" s="1"/>
  <c r="E16" i="6" s="1"/>
  <c r="AW39" i="7"/>
  <c r="BC34" i="7"/>
  <c r="K32" i="7"/>
  <c r="G15" i="6" s="1"/>
  <c r="I15" i="6" s="1"/>
  <c r="AK33" i="7"/>
  <c r="AT32" i="7" s="1"/>
  <c r="I28" i="7"/>
  <c r="I27" i="7" s="1"/>
  <c r="E14" i="6" s="1"/>
  <c r="AW28" i="7"/>
  <c r="J24" i="7"/>
  <c r="J22" i="7" s="1"/>
  <c r="F13" i="6" s="1"/>
  <c r="AX24" i="7"/>
  <c r="AT22" i="7"/>
  <c r="I19" i="7"/>
  <c r="AW19" i="7"/>
  <c r="I15" i="7"/>
  <c r="AW15" i="7"/>
  <c r="BC50" i="7"/>
  <c r="J47" i="7"/>
  <c r="AX47" i="7"/>
  <c r="AS46" i="7"/>
  <c r="BI44" i="7"/>
  <c r="AC44" i="7" s="1"/>
  <c r="I42" i="7"/>
  <c r="I40" i="7" s="1"/>
  <c r="E17" i="6" s="1"/>
  <c r="AW42" i="7"/>
  <c r="AT37" i="7"/>
  <c r="K37" i="7"/>
  <c r="G16" i="6" s="1"/>
  <c r="I16" i="6" s="1"/>
  <c r="J35" i="7"/>
  <c r="J32" i="7" s="1"/>
  <c r="F15" i="6" s="1"/>
  <c r="AX35" i="7"/>
  <c r="AV34" i="7"/>
  <c r="K27" i="7"/>
  <c r="G14" i="6" s="1"/>
  <c r="I14" i="6" s="1"/>
  <c r="AK28" i="7"/>
  <c r="AT27" i="7" s="1"/>
  <c r="BI24" i="7"/>
  <c r="AC24" i="7" s="1"/>
  <c r="K12" i="7"/>
  <c r="BC81" i="7" l="1"/>
  <c r="AV81" i="7"/>
  <c r="J92" i="7"/>
  <c r="F26" i="6" s="1"/>
  <c r="I102" i="7"/>
  <c r="E29" i="6" s="1"/>
  <c r="I188" i="7"/>
  <c r="E37" i="6" s="1"/>
  <c r="AV105" i="7"/>
  <c r="AV120" i="7"/>
  <c r="AV286" i="7"/>
  <c r="BC554" i="7"/>
  <c r="AV561" i="7"/>
  <c r="AV549" i="7"/>
  <c r="BC180" i="7"/>
  <c r="BC273" i="7"/>
  <c r="AV132" i="7"/>
  <c r="AV339" i="7"/>
  <c r="AV335" i="7"/>
  <c r="J12" i="7"/>
  <c r="F11" i="6" s="1"/>
  <c r="AV65" i="7"/>
  <c r="I174" i="7"/>
  <c r="E35" i="6" s="1"/>
  <c r="AV183" i="7"/>
  <c r="BC312" i="7"/>
  <c r="AV304" i="7"/>
  <c r="BC345" i="7"/>
  <c r="AV23" i="7"/>
  <c r="AV448" i="7"/>
  <c r="I518" i="7"/>
  <c r="E52" i="6" s="1"/>
  <c r="I479" i="7"/>
  <c r="E49" i="6" s="1"/>
  <c r="AV359" i="7"/>
  <c r="AV385" i="7"/>
  <c r="AV374" i="7"/>
  <c r="J471" i="7"/>
  <c r="F48" i="6" s="1"/>
  <c r="I51" i="7"/>
  <c r="E20" i="6" s="1"/>
  <c r="AV324" i="7"/>
  <c r="J51" i="7"/>
  <c r="F20" i="6" s="1"/>
  <c r="J59" i="7"/>
  <c r="F23" i="6" s="1"/>
  <c r="J27" i="7"/>
  <c r="F14" i="6" s="1"/>
  <c r="J188" i="7"/>
  <c r="F37" i="6" s="1"/>
  <c r="I421" i="7"/>
  <c r="E44" i="6" s="1"/>
  <c r="BC522" i="7"/>
  <c r="AV128" i="7"/>
  <c r="BC269" i="7"/>
  <c r="J179" i="7"/>
  <c r="F36" i="6" s="1"/>
  <c r="J110" i="7"/>
  <c r="F30" i="6" s="1"/>
  <c r="J434" i="7"/>
  <c r="F45" i="6" s="1"/>
  <c r="I214" i="7"/>
  <c r="E38" i="6" s="1"/>
  <c r="BC584" i="7"/>
  <c r="C18" i="5"/>
  <c r="J306" i="7"/>
  <c r="F40" i="6" s="1"/>
  <c r="J330" i="7"/>
  <c r="F41" i="6" s="1"/>
  <c r="I434" i="7"/>
  <c r="E45" i="6" s="1"/>
  <c r="BC324" i="7"/>
  <c r="I354" i="7"/>
  <c r="E42" i="6" s="1"/>
  <c r="BC93" i="7"/>
  <c r="AV93" i="7"/>
  <c r="BC456" i="7"/>
  <c r="AV456" i="7"/>
  <c r="BC390" i="7"/>
  <c r="AV390" i="7"/>
  <c r="BC394" i="7"/>
  <c r="AV394" i="7"/>
  <c r="BC207" i="7"/>
  <c r="AV207" i="7"/>
  <c r="BC253" i="7"/>
  <c r="AV253" i="7"/>
  <c r="BC406" i="7"/>
  <c r="AV406" i="7"/>
  <c r="AV463" i="7"/>
  <c r="I330" i="7"/>
  <c r="E41" i="6" s="1"/>
  <c r="J421" i="7"/>
  <c r="F44" i="6" s="1"/>
  <c r="BC301" i="7"/>
  <c r="AV301" i="7"/>
  <c r="AV582" i="7"/>
  <c r="BC328" i="7"/>
  <c r="AV328" i="7"/>
  <c r="BC297" i="7"/>
  <c r="AV297" i="7"/>
  <c r="BC379" i="7"/>
  <c r="AV379" i="7"/>
  <c r="AV199" i="7"/>
  <c r="BC191" i="7"/>
  <c r="AV191" i="7"/>
  <c r="AV508" i="7"/>
  <c r="J46" i="7"/>
  <c r="F19" i="6" s="1"/>
  <c r="C17" i="5"/>
  <c r="I383" i="7"/>
  <c r="E43" i="6" s="1"/>
  <c r="I155" i="7"/>
  <c r="E33" i="6" s="1"/>
  <c r="I306" i="7"/>
  <c r="E40" i="6" s="1"/>
  <c r="J383" i="7"/>
  <c r="F43" i="6" s="1"/>
  <c r="BC250" i="7"/>
  <c r="J354" i="7"/>
  <c r="F42" i="6" s="1"/>
  <c r="BC13" i="7"/>
  <c r="AV13" i="7"/>
  <c r="AV590" i="7"/>
  <c r="BC171" i="7"/>
  <c r="AV171" i="7"/>
  <c r="BC184" i="7"/>
  <c r="AV184" i="7"/>
  <c r="BC410" i="7"/>
  <c r="AV410" i="7"/>
  <c r="AV534" i="7"/>
  <c r="BC542" i="7"/>
  <c r="BC398" i="7"/>
  <c r="AV398" i="7"/>
  <c r="BC277" i="7"/>
  <c r="AV277" i="7"/>
  <c r="BC308" i="7"/>
  <c r="AV308" i="7"/>
  <c r="I12" i="7"/>
  <c r="E11" i="6" s="1"/>
  <c r="I22" i="7"/>
  <c r="E13" i="6" s="1"/>
  <c r="J214" i="7"/>
  <c r="F38" i="6" s="1"/>
  <c r="I139" i="7"/>
  <c r="E32" i="6" s="1"/>
  <c r="C16" i="5"/>
  <c r="BC329" i="7"/>
  <c r="AV567" i="7"/>
  <c r="BC163" i="7"/>
  <c r="AV163" i="7"/>
  <c r="BC177" i="7"/>
  <c r="AV177" i="7"/>
  <c r="BC159" i="7"/>
  <c r="AV159" i="7"/>
  <c r="BC574" i="7"/>
  <c r="AV574" i="7"/>
  <c r="BC203" i="7"/>
  <c r="AV203" i="7"/>
  <c r="BC257" i="7"/>
  <c r="AV257" i="7"/>
  <c r="BC402" i="7"/>
  <c r="AV402" i="7"/>
  <c r="BC440" i="7"/>
  <c r="AV440" i="7"/>
  <c r="J18" i="35"/>
  <c r="F13" i="34" s="1"/>
  <c r="BC25" i="35"/>
  <c r="BC60" i="35"/>
  <c r="AV92" i="35"/>
  <c r="BC170" i="35"/>
  <c r="BC176" i="35"/>
  <c r="AV209" i="35"/>
  <c r="AV31" i="35"/>
  <c r="BC213" i="35"/>
  <c r="J26" i="35"/>
  <c r="F16" i="34" s="1"/>
  <c r="I90" i="35"/>
  <c r="E24" i="34" s="1"/>
  <c r="BC224" i="35"/>
  <c r="J53" i="35"/>
  <c r="F19" i="34" s="1"/>
  <c r="I195" i="35"/>
  <c r="E30" i="34" s="1"/>
  <c r="J200" i="35"/>
  <c r="F31" i="34" s="1"/>
  <c r="BC76" i="35"/>
  <c r="I26" i="35"/>
  <c r="E16" i="34" s="1"/>
  <c r="J30" i="35"/>
  <c r="F17" i="34" s="1"/>
  <c r="BC169" i="35"/>
  <c r="I64" i="35"/>
  <c r="E21" i="34" s="1"/>
  <c r="I160" i="35"/>
  <c r="E27" i="34" s="1"/>
  <c r="J90" i="35"/>
  <c r="F24" i="34" s="1"/>
  <c r="AV178" i="35"/>
  <c r="BC68" i="35"/>
  <c r="AV106" i="35"/>
  <c r="AV19" i="35"/>
  <c r="BC146" i="35"/>
  <c r="BC91" i="35"/>
  <c r="I187" i="35"/>
  <c r="E29" i="34" s="1"/>
  <c r="I30" i="35"/>
  <c r="E17" i="34" s="1"/>
  <c r="I46" i="35"/>
  <c r="E18" i="34" s="1"/>
  <c r="J77" i="35"/>
  <c r="F22" i="34" s="1"/>
  <c r="J160" i="35"/>
  <c r="F27" i="34" s="1"/>
  <c r="AV170" i="35"/>
  <c r="J141" i="35"/>
  <c r="F26" i="34" s="1"/>
  <c r="BC161" i="35"/>
  <c r="BC177" i="35"/>
  <c r="AV177" i="35"/>
  <c r="BC201" i="35"/>
  <c r="AV201" i="35"/>
  <c r="BC35" i="35"/>
  <c r="AV35" i="35"/>
  <c r="AV85" i="35"/>
  <c r="AV146" i="35"/>
  <c r="I104" i="35"/>
  <c r="E25" i="34" s="1"/>
  <c r="BC173" i="35"/>
  <c r="AV162" i="35"/>
  <c r="C16" i="33"/>
  <c r="AV218" i="35"/>
  <c r="J104" i="35"/>
  <c r="F25" i="34" s="1"/>
  <c r="I141" i="35"/>
  <c r="E26" i="34" s="1"/>
  <c r="BC198" i="35"/>
  <c r="I77" i="35"/>
  <c r="E22" i="34" s="1"/>
  <c r="BC114" i="35"/>
  <c r="C17" i="33"/>
  <c r="AV16" i="35"/>
  <c r="BC221" i="35"/>
  <c r="AV221" i="35"/>
  <c r="C14" i="29"/>
  <c r="AV19" i="31"/>
  <c r="AV44" i="31"/>
  <c r="BC86" i="31"/>
  <c r="AV112" i="31"/>
  <c r="BC92" i="31"/>
  <c r="BC107" i="31"/>
  <c r="AV113" i="31"/>
  <c r="AV208" i="31"/>
  <c r="AV158" i="31"/>
  <c r="BC199" i="31"/>
  <c r="AV188" i="31"/>
  <c r="AV200" i="31"/>
  <c r="BC75" i="31"/>
  <c r="AV13" i="31"/>
  <c r="AV65" i="31"/>
  <c r="AV73" i="31"/>
  <c r="AV105" i="31"/>
  <c r="AV149" i="31"/>
  <c r="AV206" i="31"/>
  <c r="I28" i="31"/>
  <c r="E16" i="30" s="1"/>
  <c r="I90" i="31"/>
  <c r="E23" i="30" s="1"/>
  <c r="BC100" i="31"/>
  <c r="I104" i="31"/>
  <c r="E24" i="30" s="1"/>
  <c r="C17" i="29"/>
  <c r="AV216" i="31"/>
  <c r="BC207" i="31"/>
  <c r="BC130" i="31"/>
  <c r="AV167" i="31"/>
  <c r="AV59" i="31"/>
  <c r="J142" i="31"/>
  <c r="F25" i="30" s="1"/>
  <c r="J155" i="31"/>
  <c r="F26" i="30" s="1"/>
  <c r="AV175" i="31"/>
  <c r="J195" i="31"/>
  <c r="F30" i="30" s="1"/>
  <c r="AV131" i="31"/>
  <c r="AV144" i="31"/>
  <c r="BC164" i="31"/>
  <c r="AV164" i="31"/>
  <c r="BC165" i="31"/>
  <c r="J77" i="31"/>
  <c r="F21" i="30" s="1"/>
  <c r="I195" i="31"/>
  <c r="E30" i="30" s="1"/>
  <c r="AV97" i="31"/>
  <c r="AV181" i="31"/>
  <c r="BC181" i="31"/>
  <c r="AV126" i="31"/>
  <c r="BC126" i="31"/>
  <c r="I64" i="31"/>
  <c r="E20" i="30" s="1"/>
  <c r="I155" i="31"/>
  <c r="E26" i="30" s="1"/>
  <c r="BC124" i="31"/>
  <c r="BC177" i="31"/>
  <c r="BC134" i="31"/>
  <c r="BC184" i="31"/>
  <c r="I77" i="31"/>
  <c r="E21" i="30" s="1"/>
  <c r="BC33" i="31"/>
  <c r="BC173" i="31"/>
  <c r="AV183" i="31"/>
  <c r="BC183" i="31"/>
  <c r="BC194" i="31"/>
  <c r="I418" i="27"/>
  <c r="E42" i="26" s="1"/>
  <c r="AV532" i="27"/>
  <c r="I30" i="27"/>
  <c r="E15" i="26" s="1"/>
  <c r="AV153" i="27"/>
  <c r="AV131" i="27"/>
  <c r="I436" i="27"/>
  <c r="E43" i="26" s="1"/>
  <c r="AV520" i="27"/>
  <c r="I541" i="27"/>
  <c r="E50" i="26" s="1"/>
  <c r="J109" i="23"/>
  <c r="F28" i="22" s="1"/>
  <c r="BC76" i="23"/>
  <c r="AV182" i="23"/>
  <c r="BC166" i="23"/>
  <c r="BC248" i="23"/>
  <c r="AV326" i="23"/>
  <c r="AV311" i="23"/>
  <c r="BC434" i="23"/>
  <c r="AV478" i="23"/>
  <c r="J539" i="23"/>
  <c r="F46" i="22" s="1"/>
  <c r="BC544" i="23"/>
  <c r="AV608" i="23"/>
  <c r="AV656" i="23"/>
  <c r="BC662" i="23"/>
  <c r="BC90" i="23"/>
  <c r="BC136" i="23"/>
  <c r="BC235" i="23"/>
  <c r="AV494" i="23"/>
  <c r="BC624" i="23"/>
  <c r="AV432" i="23"/>
  <c r="BC617" i="23"/>
  <c r="BC40" i="23"/>
  <c r="AV26" i="23"/>
  <c r="J128" i="23"/>
  <c r="F30" i="22" s="1"/>
  <c r="AV224" i="23"/>
  <c r="AV231" i="23"/>
  <c r="BC301" i="23"/>
  <c r="BC398" i="23"/>
  <c r="AV390" i="23"/>
  <c r="AV401" i="23"/>
  <c r="BC461" i="23"/>
  <c r="AV375" i="23"/>
  <c r="AV414" i="23"/>
  <c r="AV449" i="23"/>
  <c r="AV468" i="23"/>
  <c r="I548" i="23"/>
  <c r="E47" i="22" s="1"/>
  <c r="BC567" i="23"/>
  <c r="BC487" i="23"/>
  <c r="BC495" i="23"/>
  <c r="J548" i="23"/>
  <c r="F47" i="22" s="1"/>
  <c r="BC642" i="23"/>
  <c r="BC658" i="23"/>
  <c r="AV479" i="23"/>
  <c r="BC570" i="23"/>
  <c r="BC523" i="23"/>
  <c r="AV594" i="23"/>
  <c r="BC467" i="23"/>
  <c r="AV486" i="23"/>
  <c r="AV505" i="23"/>
  <c r="BC547" i="23"/>
  <c r="BC600" i="23"/>
  <c r="BC632" i="23"/>
  <c r="BC337" i="23"/>
  <c r="BC575" i="23"/>
  <c r="J37" i="23"/>
  <c r="F18" i="22" s="1"/>
  <c r="I12" i="23"/>
  <c r="E11" i="22" s="1"/>
  <c r="BC91" i="23"/>
  <c r="BC215" i="23"/>
  <c r="BC262" i="23"/>
  <c r="BC233" i="23"/>
  <c r="I242" i="23"/>
  <c r="E37" i="22" s="1"/>
  <c r="AV318" i="23"/>
  <c r="AV291" i="23"/>
  <c r="C17" i="21"/>
  <c r="AV413" i="23"/>
  <c r="BC438" i="23"/>
  <c r="AV433" i="23"/>
  <c r="I474" i="23"/>
  <c r="E43" i="22" s="1"/>
  <c r="I500" i="23"/>
  <c r="E44" i="22" s="1"/>
  <c r="AV616" i="23"/>
  <c r="BC670" i="23"/>
  <c r="BC551" i="23"/>
  <c r="BC577" i="23"/>
  <c r="BC533" i="23"/>
  <c r="AV240" i="23"/>
  <c r="BC283" i="23"/>
  <c r="BC550" i="23"/>
  <c r="J63" i="27"/>
  <c r="F23" i="26" s="1"/>
  <c r="I214" i="27"/>
  <c r="E36" i="26" s="1"/>
  <c r="J231" i="27"/>
  <c r="F37" i="26" s="1"/>
  <c r="AV272" i="27"/>
  <c r="J350" i="27"/>
  <c r="F40" i="26" s="1"/>
  <c r="J508" i="27"/>
  <c r="F48" i="26" s="1"/>
  <c r="BC62" i="27"/>
  <c r="BC423" i="27"/>
  <c r="BC247" i="27"/>
  <c r="BC271" i="27"/>
  <c r="AV271" i="27"/>
  <c r="AV369" i="27"/>
  <c r="BC412" i="27"/>
  <c r="AV412" i="27"/>
  <c r="AV470" i="27"/>
  <c r="AV417" i="27"/>
  <c r="AV197" i="27"/>
  <c r="I196" i="27"/>
  <c r="E34" i="26" s="1"/>
  <c r="I231" i="27"/>
  <c r="E37" i="26" s="1"/>
  <c r="I379" i="27"/>
  <c r="E41" i="26" s="1"/>
  <c r="J379" i="27"/>
  <c r="F41" i="26" s="1"/>
  <c r="J418" i="27"/>
  <c r="F42" i="26" s="1"/>
  <c r="AV466" i="27"/>
  <c r="AV516" i="27"/>
  <c r="AV554" i="27"/>
  <c r="BC569" i="27"/>
  <c r="BC589" i="27"/>
  <c r="AV536" i="27"/>
  <c r="BC106" i="27"/>
  <c r="AV106" i="27"/>
  <c r="BC218" i="27"/>
  <c r="AV218" i="27"/>
  <c r="BC346" i="27"/>
  <c r="BC141" i="27"/>
  <c r="AV141" i="27"/>
  <c r="BC255" i="27"/>
  <c r="AV255" i="27"/>
  <c r="BC435" i="27"/>
  <c r="AV435" i="27"/>
  <c r="BC454" i="27"/>
  <c r="AV454" i="27"/>
  <c r="BC342" i="27"/>
  <c r="AV342" i="27"/>
  <c r="BC462" i="27"/>
  <c r="AV462" i="27"/>
  <c r="BC577" i="27"/>
  <c r="AV577" i="27"/>
  <c r="BC226" i="27"/>
  <c r="AV226" i="27"/>
  <c r="BC597" i="27"/>
  <c r="BC365" i="27"/>
  <c r="AV365" i="27"/>
  <c r="AV404" i="27"/>
  <c r="C15" i="25"/>
  <c r="J177" i="27"/>
  <c r="F32" i="26" s="1"/>
  <c r="AV463" i="27"/>
  <c r="J464" i="27"/>
  <c r="F44" i="26" s="1"/>
  <c r="BC557" i="27"/>
  <c r="I464" i="27"/>
  <c r="E44" i="26" s="1"/>
  <c r="AV562" i="27"/>
  <c r="BC178" i="27"/>
  <c r="AV178" i="27"/>
  <c r="BC222" i="27"/>
  <c r="AV222" i="27"/>
  <c r="BC549" i="27"/>
  <c r="BC334" i="27"/>
  <c r="AV334" i="27"/>
  <c r="J309" i="27"/>
  <c r="F38" i="26" s="1"/>
  <c r="BC419" i="27"/>
  <c r="J436" i="27"/>
  <c r="F43" i="26" s="1"/>
  <c r="BC111" i="27"/>
  <c r="AV111" i="27"/>
  <c r="BC100" i="27"/>
  <c r="AV100" i="27"/>
  <c r="BC291" i="27"/>
  <c r="AV291" i="27"/>
  <c r="BC446" i="27"/>
  <c r="AV446" i="27"/>
  <c r="BC531" i="27"/>
  <c r="AV531" i="27"/>
  <c r="BC535" i="27"/>
  <c r="AV535" i="27"/>
  <c r="BC573" i="27"/>
  <c r="AV573" i="27"/>
  <c r="J12" i="27"/>
  <c r="F11" i="26" s="1"/>
  <c r="AV276" i="27"/>
  <c r="AV335" i="27"/>
  <c r="J327" i="27"/>
  <c r="F39" i="26" s="1"/>
  <c r="AV362" i="27"/>
  <c r="BC108" i="27"/>
  <c r="AV108" i="27"/>
  <c r="AV134" i="27"/>
  <c r="BC134" i="27"/>
  <c r="BC287" i="27"/>
  <c r="BC237" i="27"/>
  <c r="BC230" i="27"/>
  <c r="AV230" i="27"/>
  <c r="BC450" i="27"/>
  <c r="AV450" i="27"/>
  <c r="BC619" i="27"/>
  <c r="AV619" i="27"/>
  <c r="AV400" i="27"/>
  <c r="BC400" i="27"/>
  <c r="AV133" i="23"/>
  <c r="AV425" i="23"/>
  <c r="J587" i="23"/>
  <c r="F50" i="22" s="1"/>
  <c r="BC553" i="23"/>
  <c r="J61" i="23"/>
  <c r="F23" i="22" s="1"/>
  <c r="AV461" i="23"/>
  <c r="AV442" i="23"/>
  <c r="BC272" i="23"/>
  <c r="BC287" i="23"/>
  <c r="I353" i="23"/>
  <c r="E39" i="22" s="1"/>
  <c r="AV407" i="23"/>
  <c r="J500" i="23"/>
  <c r="F44" i="22" s="1"/>
  <c r="I539" i="23"/>
  <c r="E46" i="22" s="1"/>
  <c r="AV415" i="23"/>
  <c r="BC598" i="23"/>
  <c r="BC296" i="23"/>
  <c r="BC323" i="23"/>
  <c r="AV360" i="23"/>
  <c r="AV529" i="23"/>
  <c r="AV622" i="23"/>
  <c r="AV614" i="23"/>
  <c r="BC74" i="23"/>
  <c r="AV74" i="23"/>
  <c r="BC57" i="23"/>
  <c r="BC36" i="23"/>
  <c r="AV36" i="23"/>
  <c r="BC56" i="23"/>
  <c r="BC118" i="23"/>
  <c r="BC126" i="23"/>
  <c r="AV126" i="23"/>
  <c r="BC240" i="23"/>
  <c r="BC288" i="23"/>
  <c r="AV288" i="23"/>
  <c r="J105" i="23"/>
  <c r="F27" i="22" s="1"/>
  <c r="AV141" i="23"/>
  <c r="BC141" i="23"/>
  <c r="BC284" i="23"/>
  <c r="BC67" i="23"/>
  <c r="BC345" i="23"/>
  <c r="BC299" i="23"/>
  <c r="BC528" i="23"/>
  <c r="AV327" i="23"/>
  <c r="BC327" i="23"/>
  <c r="BC459" i="23"/>
  <c r="BC428" i="23"/>
  <c r="AV149" i="23"/>
  <c r="I512" i="23"/>
  <c r="E45" i="22" s="1"/>
  <c r="I61" i="23"/>
  <c r="E23" i="22" s="1"/>
  <c r="BC112" i="23"/>
  <c r="AV100" i="23"/>
  <c r="AV146" i="23"/>
  <c r="AV166" i="23"/>
  <c r="BC220" i="23"/>
  <c r="AV248" i="23"/>
  <c r="AV342" i="23"/>
  <c r="BC319" i="23"/>
  <c r="BC418" i="23"/>
  <c r="AV666" i="23"/>
  <c r="BC115" i="23"/>
  <c r="BC236" i="23"/>
  <c r="AV236" i="23"/>
  <c r="AV122" i="23"/>
  <c r="BC295" i="23"/>
  <c r="AV328" i="23"/>
  <c r="BC328" i="23"/>
  <c r="BC292" i="23"/>
  <c r="AV292" i="23"/>
  <c r="AV84" i="23"/>
  <c r="AV609" i="23"/>
  <c r="BC369" i="23"/>
  <c r="AV157" i="23"/>
  <c r="AV241" i="23"/>
  <c r="AV21" i="23"/>
  <c r="AV58" i="23"/>
  <c r="AV86" i="23"/>
  <c r="BC250" i="23"/>
  <c r="BC224" i="23"/>
  <c r="AV256" i="23"/>
  <c r="J420" i="23"/>
  <c r="F41" i="22" s="1"/>
  <c r="BC372" i="23"/>
  <c r="AV577" i="23"/>
  <c r="AV650" i="23"/>
  <c r="BC129" i="23"/>
  <c r="AV129" i="23"/>
  <c r="AV368" i="23"/>
  <c r="BC368" i="23"/>
  <c r="AV255" i="23"/>
  <c r="BC314" i="23"/>
  <c r="AV430" i="23"/>
  <c r="AV252" i="23"/>
  <c r="BC252" i="23"/>
  <c r="BC397" i="23"/>
  <c r="AV454" i="23"/>
  <c r="BC454" i="23"/>
  <c r="AV439" i="23"/>
  <c r="BC439" i="23"/>
  <c r="BC475" i="23"/>
  <c r="AV475" i="23"/>
  <c r="BC27" i="23"/>
  <c r="AV27" i="23"/>
  <c r="AV40" i="23"/>
  <c r="AV143" i="23"/>
  <c r="AV233" i="23"/>
  <c r="BC270" i="23"/>
  <c r="AV308" i="23"/>
  <c r="I420" i="23"/>
  <c r="E41" i="22" s="1"/>
  <c r="AV473" i="23"/>
  <c r="J512" i="23"/>
  <c r="F45" i="22" s="1"/>
  <c r="AV438" i="23"/>
  <c r="J474" i="23"/>
  <c r="F43" i="22" s="1"/>
  <c r="I587" i="23"/>
  <c r="E50" i="22" s="1"/>
  <c r="AV618" i="23"/>
  <c r="AV670" i="23"/>
  <c r="BC30" i="23"/>
  <c r="BC464" i="23"/>
  <c r="AV464" i="23"/>
  <c r="BC14" i="23"/>
  <c r="AV14" i="23"/>
  <c r="BC239" i="23"/>
  <c r="BC261" i="23"/>
  <c r="BC463" i="23"/>
  <c r="BC471" i="23"/>
  <c r="I22" i="19"/>
  <c r="E14" i="18" s="1"/>
  <c r="AV97" i="19"/>
  <c r="BC216" i="19"/>
  <c r="AV131" i="19"/>
  <c r="AV235" i="19"/>
  <c r="AV130" i="19"/>
  <c r="AV242" i="19"/>
  <c r="AV274" i="19"/>
  <c r="AV222" i="19"/>
  <c r="J304" i="19"/>
  <c r="F39" i="18" s="1"/>
  <c r="AV301" i="19"/>
  <c r="AV357" i="19"/>
  <c r="AV312" i="19"/>
  <c r="BC486" i="19"/>
  <c r="I435" i="19"/>
  <c r="E45" i="18" s="1"/>
  <c r="AV450" i="19"/>
  <c r="BC529" i="19"/>
  <c r="AV127" i="19"/>
  <c r="BC282" i="19"/>
  <c r="AV138" i="19"/>
  <c r="BC184" i="19"/>
  <c r="AV271" i="19"/>
  <c r="AV263" i="19"/>
  <c r="BC59" i="19"/>
  <c r="AV59" i="19"/>
  <c r="J22" i="19"/>
  <c r="F14" i="18" s="1"/>
  <c r="AV16" i="19"/>
  <c r="AV78" i="19"/>
  <c r="J153" i="19"/>
  <c r="F32" i="18" s="1"/>
  <c r="AV96" i="19"/>
  <c r="AV298" i="19"/>
  <c r="AV289" i="19"/>
  <c r="J404" i="19"/>
  <c r="F43" i="18" s="1"/>
  <c r="I425" i="19"/>
  <c r="E44" i="18" s="1"/>
  <c r="BC326" i="19"/>
  <c r="AV394" i="19"/>
  <c r="BC351" i="19"/>
  <c r="AV532" i="19"/>
  <c r="AV495" i="19"/>
  <c r="BC511" i="19"/>
  <c r="I19" i="19"/>
  <c r="E13" i="18" s="1"/>
  <c r="BC159" i="19"/>
  <c r="AV251" i="19"/>
  <c r="I448" i="19"/>
  <c r="E46" i="18" s="1"/>
  <c r="J591" i="19"/>
  <c r="F52" i="18" s="1"/>
  <c r="BC504" i="19"/>
  <c r="J19" i="19"/>
  <c r="F13" i="18" s="1"/>
  <c r="I102" i="19"/>
  <c r="E29" i="18" s="1"/>
  <c r="J186" i="19"/>
  <c r="F36" i="18" s="1"/>
  <c r="AV244" i="19"/>
  <c r="AV354" i="19"/>
  <c r="I404" i="19"/>
  <c r="E43" i="18" s="1"/>
  <c r="J114" i="19"/>
  <c r="F30" i="18" s="1"/>
  <c r="J280" i="19"/>
  <c r="F38" i="18" s="1"/>
  <c r="J435" i="19"/>
  <c r="F45" i="18" s="1"/>
  <c r="BC414" i="19"/>
  <c r="BC336" i="19"/>
  <c r="AV336" i="19"/>
  <c r="BC418" i="19"/>
  <c r="AV418" i="19"/>
  <c r="J88" i="19"/>
  <c r="F26" i="18" s="1"/>
  <c r="I36" i="19"/>
  <c r="E19" i="18" s="1"/>
  <c r="J462" i="19"/>
  <c r="F48" i="18" s="1"/>
  <c r="I203" i="19"/>
  <c r="E37" i="18" s="1"/>
  <c r="AV63" i="19"/>
  <c r="BC155" i="19"/>
  <c r="AV155" i="19"/>
  <c r="BC325" i="19"/>
  <c r="AV325" i="19"/>
  <c r="BC403" i="19"/>
  <c r="BC348" i="19"/>
  <c r="AV348" i="19"/>
  <c r="BC395" i="19"/>
  <c r="AV395" i="19"/>
  <c r="BC119" i="19"/>
  <c r="AV119" i="19"/>
  <c r="BC376" i="19"/>
  <c r="AV376" i="19"/>
  <c r="J102" i="19"/>
  <c r="F29" i="18" s="1"/>
  <c r="I186" i="19"/>
  <c r="E36" i="18" s="1"/>
  <c r="J57" i="19"/>
  <c r="F23" i="18" s="1"/>
  <c r="BC477" i="19"/>
  <c r="BC101" i="19"/>
  <c r="AV101" i="19"/>
  <c r="BC187" i="19"/>
  <c r="AV187" i="19"/>
  <c r="BC340" i="19"/>
  <c r="AV340" i="19"/>
  <c r="BC440" i="19"/>
  <c r="AV569" i="19"/>
  <c r="BC569" i="19"/>
  <c r="AV596" i="19"/>
  <c r="I57" i="19"/>
  <c r="E23" i="18" s="1"/>
  <c r="J49" i="19"/>
  <c r="F22" i="18" s="1"/>
  <c r="I114" i="19"/>
  <c r="E30" i="18" s="1"/>
  <c r="I134" i="19"/>
  <c r="E31" i="18" s="1"/>
  <c r="I356" i="19"/>
  <c r="E41" i="18" s="1"/>
  <c r="J391" i="19"/>
  <c r="F42" i="18" s="1"/>
  <c r="AV590" i="19"/>
  <c r="AV546" i="19"/>
  <c r="AV52" i="19"/>
  <c r="BC123" i="19"/>
  <c r="AV123" i="19"/>
  <c r="BC163" i="19"/>
  <c r="AV163" i="19"/>
  <c r="BC115" i="19"/>
  <c r="AV115" i="19"/>
  <c r="BC79" i="19"/>
  <c r="AV79" i="19"/>
  <c r="BC321" i="19"/>
  <c r="AV321" i="19"/>
  <c r="BC267" i="19"/>
  <c r="AV267" i="19"/>
  <c r="AV364" i="19"/>
  <c r="BC353" i="19"/>
  <c r="AV353" i="19"/>
  <c r="BC469" i="19"/>
  <c r="AV469" i="19"/>
  <c r="AV504" i="19"/>
  <c r="AV48" i="19"/>
  <c r="AV216" i="19"/>
  <c r="J203" i="19"/>
  <c r="F37" i="18" s="1"/>
  <c r="I304" i="19"/>
  <c r="E39" i="18" s="1"/>
  <c r="BC399" i="19"/>
  <c r="I462" i="19"/>
  <c r="E48" i="18" s="1"/>
  <c r="I492" i="19"/>
  <c r="E49" i="18" s="1"/>
  <c r="BC227" i="19"/>
  <c r="AV227" i="19"/>
  <c r="BC481" i="19"/>
  <c r="BC255" i="19"/>
  <c r="AV422" i="19"/>
  <c r="AV585" i="19"/>
  <c r="I12" i="11"/>
  <c r="E11" i="10" s="1"/>
  <c r="AV95" i="11"/>
  <c r="BC188" i="11"/>
  <c r="BC346" i="11"/>
  <c r="BC536" i="11"/>
  <c r="AV584" i="11"/>
  <c r="AV342" i="11"/>
  <c r="BC558" i="11"/>
  <c r="BC170" i="11"/>
  <c r="AV156" i="11"/>
  <c r="BC258" i="11"/>
  <c r="BC316" i="11"/>
  <c r="BC396" i="11"/>
  <c r="BC313" i="11"/>
  <c r="I30" i="11"/>
  <c r="E15" i="10" s="1"/>
  <c r="I116" i="11"/>
  <c r="E30" i="10" s="1"/>
  <c r="I143" i="11"/>
  <c r="E32" i="10" s="1"/>
  <c r="BC17" i="11"/>
  <c r="AV41" i="11"/>
  <c r="BC366" i="11"/>
  <c r="J225" i="11"/>
  <c r="F38" i="10" s="1"/>
  <c r="J493" i="11"/>
  <c r="F48" i="10" s="1"/>
  <c r="BC131" i="11"/>
  <c r="BC393" i="11"/>
  <c r="I126" i="11"/>
  <c r="E31" i="10" s="1"/>
  <c r="I166" i="11"/>
  <c r="E33" i="10" s="1"/>
  <c r="I192" i="11"/>
  <c r="E36" i="10" s="1"/>
  <c r="AV188" i="11"/>
  <c r="AV273" i="11"/>
  <c r="AV244" i="11"/>
  <c r="AV293" i="11"/>
  <c r="AV210" i="11"/>
  <c r="J473" i="11"/>
  <c r="F46" i="10" s="1"/>
  <c r="AV517" i="11"/>
  <c r="AV396" i="11"/>
  <c r="AV400" i="11"/>
  <c r="AV408" i="11"/>
  <c r="AV619" i="11"/>
  <c r="AV393" i="11"/>
  <c r="AV466" i="11"/>
  <c r="BC572" i="11"/>
  <c r="BC604" i="11"/>
  <c r="BC584" i="11"/>
  <c r="AV525" i="11"/>
  <c r="AV17" i="11"/>
  <c r="I57" i="11"/>
  <c r="E23" i="10" s="1"/>
  <c r="J108" i="11"/>
  <c r="F29" i="10" s="1"/>
  <c r="AV109" i="11"/>
  <c r="AV196" i="11"/>
  <c r="AV203" i="11"/>
  <c r="AV131" i="11"/>
  <c r="AV170" i="11"/>
  <c r="AV258" i="11"/>
  <c r="BC391" i="11"/>
  <c r="AV319" i="11"/>
  <c r="AV346" i="11"/>
  <c r="BC352" i="11"/>
  <c r="AV405" i="11"/>
  <c r="AV499" i="11"/>
  <c r="AV587" i="11"/>
  <c r="J21" i="11"/>
  <c r="F13" i="10" s="1"/>
  <c r="BC95" i="11"/>
  <c r="AV261" i="11"/>
  <c r="I341" i="11"/>
  <c r="E41" i="10" s="1"/>
  <c r="J431" i="11"/>
  <c r="F44" i="10" s="1"/>
  <c r="J394" i="11"/>
  <c r="F43" i="10" s="1"/>
  <c r="I447" i="11"/>
  <c r="E45" i="10" s="1"/>
  <c r="AV567" i="11"/>
  <c r="BC573" i="11"/>
  <c r="C19" i="9"/>
  <c r="AV115" i="11"/>
  <c r="I201" i="11"/>
  <c r="E37" i="10" s="1"/>
  <c r="AV176" i="11"/>
  <c r="J365" i="11"/>
  <c r="F42" i="10" s="1"/>
  <c r="BC409" i="11"/>
  <c r="AV561" i="11"/>
  <c r="BC117" i="11"/>
  <c r="AV117" i="11"/>
  <c r="BC200" i="11"/>
  <c r="AV200" i="11"/>
  <c r="AV140" i="11"/>
  <c r="BC324" i="11"/>
  <c r="AV324" i="11"/>
  <c r="J62" i="11"/>
  <c r="F24" i="10" s="1"/>
  <c r="AV286" i="11"/>
  <c r="BC500" i="11"/>
  <c r="AV360" i="11"/>
  <c r="J507" i="11"/>
  <c r="F50" i="10" s="1"/>
  <c r="BC378" i="11"/>
  <c r="BC277" i="11"/>
  <c r="BC128" i="11"/>
  <c r="AV128" i="11"/>
  <c r="BC269" i="11"/>
  <c r="BC529" i="11"/>
  <c r="AV529" i="11"/>
  <c r="J126" i="11"/>
  <c r="F31" i="10" s="1"/>
  <c r="BC80" i="11"/>
  <c r="AV80" i="11"/>
  <c r="BC397" i="11"/>
  <c r="AV397" i="11"/>
  <c r="BC320" i="11"/>
  <c r="AV320" i="11"/>
  <c r="AV374" i="11"/>
  <c r="BC13" i="11"/>
  <c r="AV13" i="11"/>
  <c r="BC555" i="11"/>
  <c r="AV555" i="11"/>
  <c r="BC591" i="11"/>
  <c r="BC623" i="11"/>
  <c r="C15" i="9"/>
  <c r="J43" i="11"/>
  <c r="F19" i="10" s="1"/>
  <c r="J116" i="11"/>
  <c r="F30" i="10" s="1"/>
  <c r="J166" i="11"/>
  <c r="F33" i="10" s="1"/>
  <c r="I225" i="11"/>
  <c r="E38" i="10" s="1"/>
  <c r="AV401" i="11"/>
  <c r="BC425" i="11"/>
  <c r="AV352" i="11"/>
  <c r="I493" i="11"/>
  <c r="E48" i="10" s="1"/>
  <c r="AV375" i="11"/>
  <c r="J541" i="11"/>
  <c r="F52" i="10" s="1"/>
  <c r="I479" i="11"/>
  <c r="E47" i="10" s="1"/>
  <c r="I431" i="11"/>
  <c r="E44" i="10" s="1"/>
  <c r="AV577" i="11"/>
  <c r="BC175" i="11"/>
  <c r="AV175" i="11"/>
  <c r="BC588" i="11"/>
  <c r="AV80" i="15"/>
  <c r="BC484" i="15"/>
  <c r="BC547" i="15"/>
  <c r="J56" i="15"/>
  <c r="F22" i="14" s="1"/>
  <c r="BC170" i="15"/>
  <c r="J461" i="15"/>
  <c r="F46" i="14" s="1"/>
  <c r="J12" i="15"/>
  <c r="F11" i="14" s="1"/>
  <c r="AV33" i="15"/>
  <c r="J392" i="15"/>
  <c r="F43" i="14" s="1"/>
  <c r="AV433" i="15"/>
  <c r="I471" i="15"/>
  <c r="E47" i="14" s="1"/>
  <c r="I103" i="15"/>
  <c r="E29" i="14" s="1"/>
  <c r="J145" i="15"/>
  <c r="F32" i="14" s="1"/>
  <c r="I461" i="15"/>
  <c r="E46" i="14" s="1"/>
  <c r="BC403" i="15"/>
  <c r="I440" i="15"/>
  <c r="E45" i="14" s="1"/>
  <c r="BC224" i="15"/>
  <c r="J192" i="15"/>
  <c r="F36" i="14" s="1"/>
  <c r="AV126" i="15"/>
  <c r="BC258" i="15"/>
  <c r="AV258" i="15"/>
  <c r="J64" i="15"/>
  <c r="F23" i="14" s="1"/>
  <c r="J201" i="15"/>
  <c r="F37" i="14" s="1"/>
  <c r="J339" i="15"/>
  <c r="F41" i="14" s="1"/>
  <c r="AV478" i="15"/>
  <c r="BC104" i="15"/>
  <c r="AV104" i="15"/>
  <c r="J440" i="15"/>
  <c r="F45" i="14" s="1"/>
  <c r="AV452" i="15"/>
  <c r="J321" i="15"/>
  <c r="F40" i="14" s="1"/>
  <c r="AV319" i="15"/>
  <c r="J427" i="15"/>
  <c r="F44" i="14" s="1"/>
  <c r="J549" i="15"/>
  <c r="F53" i="14" s="1"/>
  <c r="AV542" i="15"/>
  <c r="AV489" i="15"/>
  <c r="AV482" i="15"/>
  <c r="BC95" i="15"/>
  <c r="AV95" i="15"/>
  <c r="BC394" i="15"/>
  <c r="AV394" i="15"/>
  <c r="BC333" i="15"/>
  <c r="AV333" i="15"/>
  <c r="BC282" i="15"/>
  <c r="AV451" i="15"/>
  <c r="BC337" i="15"/>
  <c r="AV337" i="15"/>
  <c r="BC344" i="15"/>
  <c r="I64" i="15"/>
  <c r="E23" i="14" s="1"/>
  <c r="I122" i="15"/>
  <c r="E31" i="14" s="1"/>
  <c r="C28" i="13"/>
  <c r="F28" i="13" s="1"/>
  <c r="I48" i="15"/>
  <c r="E20" i="14" s="1"/>
  <c r="C17" i="13"/>
  <c r="I26" i="15"/>
  <c r="E14" i="14" s="1"/>
  <c r="I339" i="15"/>
  <c r="E41" i="14" s="1"/>
  <c r="AV275" i="15"/>
  <c r="AV463" i="15"/>
  <c r="BC419" i="15"/>
  <c r="J471" i="15"/>
  <c r="F47" i="14" s="1"/>
  <c r="AV584" i="15"/>
  <c r="AV612" i="15"/>
  <c r="AV527" i="15"/>
  <c r="AV616" i="15"/>
  <c r="BC81" i="15"/>
  <c r="AV81" i="15"/>
  <c r="BC246" i="15"/>
  <c r="BC540" i="15"/>
  <c r="AV447" i="15"/>
  <c r="C15" i="13"/>
  <c r="I56" i="15"/>
  <c r="E22" i="14" s="1"/>
  <c r="I111" i="15"/>
  <c r="E30" i="14" s="1"/>
  <c r="J243" i="15"/>
  <c r="F39" i="14" s="1"/>
  <c r="AV60" i="15"/>
  <c r="I226" i="15"/>
  <c r="E38" i="14" s="1"/>
  <c r="C16" i="13"/>
  <c r="I363" i="15"/>
  <c r="E42" i="14" s="1"/>
  <c r="I392" i="15"/>
  <c r="E43" i="14" s="1"/>
  <c r="AV407" i="15"/>
  <c r="AV523" i="15"/>
  <c r="AV596" i="15"/>
  <c r="AV580" i="15"/>
  <c r="AV534" i="15"/>
  <c r="BC250" i="15"/>
  <c r="AV250" i="15"/>
  <c r="BC290" i="15"/>
  <c r="AV290" i="15"/>
  <c r="BC462" i="15"/>
  <c r="AV462" i="15"/>
  <c r="BC216" i="15"/>
  <c r="AV216" i="15"/>
  <c r="BC159" i="15"/>
  <c r="AV159" i="15"/>
  <c r="BC208" i="15"/>
  <c r="AV208" i="15"/>
  <c r="BC418" i="15"/>
  <c r="AV418" i="15"/>
  <c r="AV291" i="15"/>
  <c r="AV65" i="15"/>
  <c r="BC65" i="15"/>
  <c r="BC410" i="15"/>
  <c r="AV410" i="15"/>
  <c r="BC402" i="15"/>
  <c r="AV402" i="15"/>
  <c r="BC254" i="15"/>
  <c r="AV254" i="15"/>
  <c r="BC501" i="15"/>
  <c r="BC98" i="15"/>
  <c r="BC509" i="15"/>
  <c r="AV618" i="15"/>
  <c r="BC61" i="35"/>
  <c r="AV61" i="35"/>
  <c r="K227" i="35"/>
  <c r="G12" i="34"/>
  <c r="I12" i="34" s="1"/>
  <c r="G34" i="34" s="1"/>
  <c r="BC72" i="35"/>
  <c r="AV72" i="35"/>
  <c r="BC42" i="35"/>
  <c r="AV42" i="35"/>
  <c r="AV115" i="35"/>
  <c r="BC115" i="35"/>
  <c r="AV136" i="35"/>
  <c r="BC136" i="35"/>
  <c r="BC165" i="35"/>
  <c r="AV165" i="35"/>
  <c r="BC93" i="35"/>
  <c r="AV93" i="35"/>
  <c r="BC206" i="35"/>
  <c r="AV206" i="35"/>
  <c r="BC86" i="35"/>
  <c r="AV182" i="35"/>
  <c r="BC182" i="35"/>
  <c r="AV226" i="35"/>
  <c r="AV20" i="35"/>
  <c r="BC20" i="35"/>
  <c r="AV47" i="35"/>
  <c r="BC47" i="35"/>
  <c r="AV55" i="35"/>
  <c r="BC55" i="35"/>
  <c r="AV80" i="35"/>
  <c r="BC80" i="35"/>
  <c r="BC27" i="35"/>
  <c r="AV27" i="35"/>
  <c r="C14" i="33"/>
  <c r="BC59" i="35"/>
  <c r="AV59" i="35"/>
  <c r="AV96" i="35"/>
  <c r="BC96" i="35"/>
  <c r="BC118" i="35"/>
  <c r="AV118" i="35"/>
  <c r="AV127" i="35"/>
  <c r="BC127" i="35"/>
  <c r="BC56" i="35"/>
  <c r="AV56" i="35"/>
  <c r="AV65" i="35"/>
  <c r="BC65" i="35"/>
  <c r="BC70" i="35"/>
  <c r="AV70" i="35"/>
  <c r="BC83" i="35"/>
  <c r="AV83" i="35"/>
  <c r="BC142" i="35"/>
  <c r="AV142" i="35"/>
  <c r="AV155" i="35"/>
  <c r="BC155" i="35"/>
  <c r="BC191" i="35"/>
  <c r="AV191" i="35"/>
  <c r="AV89" i="35"/>
  <c r="BC110" i="35"/>
  <c r="BC128" i="35"/>
  <c r="AV128" i="35"/>
  <c r="BC129" i="35"/>
  <c r="AV129" i="35"/>
  <c r="BC193" i="35"/>
  <c r="AV193" i="35"/>
  <c r="AV207" i="35"/>
  <c r="BC207" i="35"/>
  <c r="AV215" i="35"/>
  <c r="BC215" i="35"/>
  <c r="BC144" i="35"/>
  <c r="AV144" i="35"/>
  <c r="BC154" i="35"/>
  <c r="BC175" i="35"/>
  <c r="AV175" i="35"/>
  <c r="BC204" i="35"/>
  <c r="AV204" i="35"/>
  <c r="AV222" i="35"/>
  <c r="BC222" i="35"/>
  <c r="AV166" i="35"/>
  <c r="BC166" i="35"/>
  <c r="C28" i="33"/>
  <c r="AV52" i="35"/>
  <c r="BC52" i="35"/>
  <c r="AV107" i="35"/>
  <c r="BC107" i="35"/>
  <c r="AV123" i="35"/>
  <c r="BC123" i="35"/>
  <c r="AV188" i="35"/>
  <c r="BC188" i="35"/>
  <c r="BC156" i="35"/>
  <c r="AV156" i="35"/>
  <c r="BC179" i="35"/>
  <c r="AV179" i="35"/>
  <c r="BC66" i="35"/>
  <c r="AV66" i="35"/>
  <c r="AV199" i="35"/>
  <c r="BC199" i="35"/>
  <c r="AV185" i="35"/>
  <c r="BC185" i="35"/>
  <c r="AV17" i="35"/>
  <c r="BC17" i="35"/>
  <c r="AV32" i="35"/>
  <c r="BC32" i="35"/>
  <c r="AV41" i="35"/>
  <c r="BC41" i="35"/>
  <c r="J46" i="35"/>
  <c r="F18" i="34" s="1"/>
  <c r="BC40" i="35"/>
  <c r="AV40" i="35"/>
  <c r="BC15" i="35"/>
  <c r="AV15" i="35"/>
  <c r="AV29" i="35"/>
  <c r="AV36" i="35"/>
  <c r="BC36" i="35"/>
  <c r="AV69" i="35"/>
  <c r="BC69" i="35"/>
  <c r="AV111" i="35"/>
  <c r="BC111" i="35"/>
  <c r="AV119" i="35"/>
  <c r="BC119" i="35"/>
  <c r="AV62" i="35"/>
  <c r="BC62" i="35"/>
  <c r="J64" i="35"/>
  <c r="F21" i="34" s="1"/>
  <c r="AV132" i="35"/>
  <c r="BC132" i="35"/>
  <c r="AV143" i="35"/>
  <c r="BC143" i="35"/>
  <c r="AV192" i="35"/>
  <c r="BC192" i="35"/>
  <c r="BC63" i="35"/>
  <c r="AV63" i="35"/>
  <c r="BC101" i="35"/>
  <c r="AV101" i="35"/>
  <c r="BC133" i="35"/>
  <c r="AV133" i="35"/>
  <c r="AV151" i="35"/>
  <c r="BC189" i="35"/>
  <c r="AV189" i="35"/>
  <c r="C15" i="33"/>
  <c r="C22" i="33" s="1"/>
  <c r="BC137" i="35"/>
  <c r="AV137" i="35"/>
  <c r="BC152" i="35"/>
  <c r="AV152" i="35"/>
  <c r="BC167" i="35"/>
  <c r="AV167" i="35"/>
  <c r="BC186" i="35"/>
  <c r="AV186" i="35"/>
  <c r="AV202" i="35"/>
  <c r="AV210" i="35"/>
  <c r="BC210" i="35"/>
  <c r="BC116" i="35"/>
  <c r="AV116" i="35"/>
  <c r="AV140" i="35"/>
  <c r="BC158" i="35"/>
  <c r="BC216" i="35"/>
  <c r="AV216" i="35"/>
  <c r="BC223" i="35"/>
  <c r="AV223" i="35"/>
  <c r="BC112" i="35"/>
  <c r="AV112" i="35"/>
  <c r="BC225" i="35"/>
  <c r="AV33" i="35"/>
  <c r="BC33" i="35"/>
  <c r="AV48" i="35"/>
  <c r="BC48" i="35"/>
  <c r="AV51" i="35"/>
  <c r="BC51" i="35"/>
  <c r="AV45" i="35"/>
  <c r="BC45" i="35"/>
  <c r="AV214" i="35"/>
  <c r="BC214" i="35"/>
  <c r="BC208" i="35"/>
  <c r="AV208" i="35"/>
  <c r="AV219" i="35"/>
  <c r="BC219" i="35"/>
  <c r="AV37" i="35"/>
  <c r="BC37" i="35"/>
  <c r="BC44" i="35"/>
  <c r="AV44" i="35"/>
  <c r="BC54" i="35"/>
  <c r="AV54" i="35"/>
  <c r="BC74" i="35"/>
  <c r="AV74" i="35"/>
  <c r="BC81" i="35"/>
  <c r="AV81" i="35"/>
  <c r="AV100" i="35"/>
  <c r="BC100" i="35"/>
  <c r="BC122" i="35"/>
  <c r="AV122" i="35"/>
  <c r="BC108" i="35"/>
  <c r="AV108" i="35"/>
  <c r="BC124" i="35"/>
  <c r="AV124" i="35"/>
  <c r="BC99" i="35"/>
  <c r="AV147" i="35"/>
  <c r="BC147" i="35"/>
  <c r="AV174" i="35"/>
  <c r="BC174" i="35"/>
  <c r="BC87" i="35"/>
  <c r="AV87" i="35"/>
  <c r="BC120" i="35"/>
  <c r="AV120" i="35"/>
  <c r="BC148" i="35"/>
  <c r="AV148" i="35"/>
  <c r="BC196" i="35"/>
  <c r="AV196" i="35"/>
  <c r="BC131" i="35"/>
  <c r="AV159" i="35"/>
  <c r="BC183" i="35"/>
  <c r="AV183" i="35"/>
  <c r="AV203" i="35"/>
  <c r="BC203" i="35"/>
  <c r="AV211" i="35"/>
  <c r="BC211" i="35"/>
  <c r="BC97" i="35"/>
  <c r="AV97" i="35"/>
  <c r="BC163" i="35"/>
  <c r="AV163" i="35"/>
  <c r="J187" i="35"/>
  <c r="F29" i="34" s="1"/>
  <c r="BC135" i="35"/>
  <c r="BC171" i="35"/>
  <c r="AV171" i="35"/>
  <c r="BC212" i="35"/>
  <c r="AV212" i="35"/>
  <c r="BC26" i="31"/>
  <c r="AV26" i="31"/>
  <c r="BC45" i="31"/>
  <c r="AV45" i="31"/>
  <c r="AV56" i="31"/>
  <c r="BC56" i="31"/>
  <c r="BC31" i="31"/>
  <c r="AV31" i="31"/>
  <c r="BC35" i="31"/>
  <c r="AV35" i="31"/>
  <c r="BC39" i="31"/>
  <c r="AV39" i="31"/>
  <c r="AV49" i="31"/>
  <c r="J58" i="31"/>
  <c r="F19" i="30" s="1"/>
  <c r="J64" i="31"/>
  <c r="F20" i="30" s="1"/>
  <c r="BC91" i="31"/>
  <c r="AV91" i="31"/>
  <c r="AV60" i="31"/>
  <c r="AV78" i="31"/>
  <c r="BC125" i="31"/>
  <c r="AV125" i="31"/>
  <c r="AV118" i="31"/>
  <c r="BC145" i="31"/>
  <c r="AV145" i="31"/>
  <c r="BC154" i="31"/>
  <c r="AV154" i="31"/>
  <c r="BC219" i="31"/>
  <c r="AV219" i="31"/>
  <c r="AV210" i="31"/>
  <c r="BC17" i="31"/>
  <c r="AV17" i="31"/>
  <c r="BC48" i="31"/>
  <c r="AV48" i="31"/>
  <c r="AT14" i="31"/>
  <c r="C28" i="29"/>
  <c r="C15" i="29"/>
  <c r="C22" i="29" s="1"/>
  <c r="BC68" i="31"/>
  <c r="AV68" i="31"/>
  <c r="BC76" i="31"/>
  <c r="AV76" i="31"/>
  <c r="BC83" i="31"/>
  <c r="AV83" i="31"/>
  <c r="AV30" i="31"/>
  <c r="BC30" i="31"/>
  <c r="BC50" i="31"/>
  <c r="AV50" i="31"/>
  <c r="BC71" i="31"/>
  <c r="BC87" i="31"/>
  <c r="AV87" i="31"/>
  <c r="AV75" i="31"/>
  <c r="AV123" i="31"/>
  <c r="BC123" i="31"/>
  <c r="BC132" i="31"/>
  <c r="AV132" i="31"/>
  <c r="AV67" i="31"/>
  <c r="AV122" i="31"/>
  <c r="I142" i="31"/>
  <c r="E25" i="30" s="1"/>
  <c r="BC156" i="31"/>
  <c r="AV156" i="31"/>
  <c r="AV171" i="31"/>
  <c r="AV211" i="31"/>
  <c r="BC211" i="31"/>
  <c r="AV218" i="31"/>
  <c r="BC218" i="31"/>
  <c r="BC153" i="31"/>
  <c r="AV185" i="31"/>
  <c r="AV221" i="31"/>
  <c r="BC20" i="31"/>
  <c r="AV20" i="31"/>
  <c r="BC52" i="31"/>
  <c r="AV52" i="31"/>
  <c r="K222" i="31"/>
  <c r="G12" i="30"/>
  <c r="I12" i="30" s="1"/>
  <c r="G33" i="30" s="1"/>
  <c r="BC37" i="31"/>
  <c r="AV119" i="31"/>
  <c r="BC119" i="31"/>
  <c r="BC128" i="31"/>
  <c r="AV128" i="31"/>
  <c r="BC176" i="31"/>
  <c r="AV176" i="31"/>
  <c r="BC139" i="31"/>
  <c r="AV139" i="31"/>
  <c r="BC146" i="31"/>
  <c r="AV146" i="31"/>
  <c r="AV170" i="31"/>
  <c r="BC138" i="31"/>
  <c r="AV214" i="31"/>
  <c r="AV217" i="31"/>
  <c r="BC23" i="31"/>
  <c r="AV23" i="31"/>
  <c r="BC41" i="31"/>
  <c r="AV41" i="31"/>
  <c r="BC55" i="31"/>
  <c r="AV55" i="31"/>
  <c r="BC43" i="31"/>
  <c r="AV43" i="31"/>
  <c r="BC15" i="31"/>
  <c r="AV15" i="31"/>
  <c r="BC29" i="31"/>
  <c r="BC57" i="31"/>
  <c r="AV57" i="31"/>
  <c r="BC61" i="31"/>
  <c r="AV61" i="31"/>
  <c r="BC72" i="31"/>
  <c r="AV72" i="31"/>
  <c r="BC79" i="31"/>
  <c r="AV79" i="31"/>
  <c r="AV27" i="31"/>
  <c r="AV34" i="31"/>
  <c r="AV38" i="31"/>
  <c r="AV82" i="31"/>
  <c r="AV86" i="31"/>
  <c r="J104" i="31"/>
  <c r="F24" i="30" s="1"/>
  <c r="BC121" i="31"/>
  <c r="AV121" i="31"/>
  <c r="BC129" i="31"/>
  <c r="AV129" i="31"/>
  <c r="AV136" i="31"/>
  <c r="BC136" i="31"/>
  <c r="BC172" i="31"/>
  <c r="AV172" i="31"/>
  <c r="BC150" i="31"/>
  <c r="AV150" i="31"/>
  <c r="BC157" i="31"/>
  <c r="AV157" i="31"/>
  <c r="BC160" i="31"/>
  <c r="AV160" i="31"/>
  <c r="BC149" i="31"/>
  <c r="AV15" i="27"/>
  <c r="BC15" i="27"/>
  <c r="AV55" i="27"/>
  <c r="BC55" i="27"/>
  <c r="BC82" i="27"/>
  <c r="AV82" i="27"/>
  <c r="BC38" i="27"/>
  <c r="AV38" i="27"/>
  <c r="AV59" i="27"/>
  <c r="BC59" i="27"/>
  <c r="BC94" i="27"/>
  <c r="AV94" i="27"/>
  <c r="I130" i="27"/>
  <c r="E30" i="26" s="1"/>
  <c r="BC133" i="27"/>
  <c r="AV133" i="27"/>
  <c r="AV149" i="27"/>
  <c r="BC149" i="27"/>
  <c r="AV168" i="27"/>
  <c r="BC168" i="27"/>
  <c r="J118" i="27"/>
  <c r="F29" i="26" s="1"/>
  <c r="BC216" i="27"/>
  <c r="AV216" i="27"/>
  <c r="AV324" i="27"/>
  <c r="BC324" i="27"/>
  <c r="BC340" i="27"/>
  <c r="AV340" i="27"/>
  <c r="AV479" i="27"/>
  <c r="BC479" i="27"/>
  <c r="AV498" i="27"/>
  <c r="BC498" i="27"/>
  <c r="BC565" i="27"/>
  <c r="AV565" i="27"/>
  <c r="AV582" i="27"/>
  <c r="BC582" i="27"/>
  <c r="BC317" i="27"/>
  <c r="AV317" i="27"/>
  <c r="BC375" i="27"/>
  <c r="AV375" i="27"/>
  <c r="BC408" i="27"/>
  <c r="BC328" i="27"/>
  <c r="AV328" i="27"/>
  <c r="BC547" i="27"/>
  <c r="AV547" i="27"/>
  <c r="BC575" i="27"/>
  <c r="AV575" i="27"/>
  <c r="AV617" i="27"/>
  <c r="BC617" i="27"/>
  <c r="AV347" i="27"/>
  <c r="BC525" i="27"/>
  <c r="AV525" i="27"/>
  <c r="BC621" i="27"/>
  <c r="AV621" i="27"/>
  <c r="AV46" i="27"/>
  <c r="BC46" i="27"/>
  <c r="BC14" i="27"/>
  <c r="AV14" i="27"/>
  <c r="AV60" i="27"/>
  <c r="BC60" i="27"/>
  <c r="AV37" i="27"/>
  <c r="BC37" i="27"/>
  <c r="AV91" i="27"/>
  <c r="BC91" i="27"/>
  <c r="BC102" i="27"/>
  <c r="AV102" i="27"/>
  <c r="G11" i="26"/>
  <c r="I11" i="26" s="1"/>
  <c r="G53" i="26" s="1"/>
  <c r="K622" i="27"/>
  <c r="BC32" i="27"/>
  <c r="AV32" i="27"/>
  <c r="AV157" i="27"/>
  <c r="BC157" i="27"/>
  <c r="AV43" i="27"/>
  <c r="BC43" i="27"/>
  <c r="BC57" i="27"/>
  <c r="AV57" i="27"/>
  <c r="AV70" i="27"/>
  <c r="BC70" i="27"/>
  <c r="AV95" i="27"/>
  <c r="BC95" i="27"/>
  <c r="AV124" i="27"/>
  <c r="BC124" i="27"/>
  <c r="AV132" i="27"/>
  <c r="BC132" i="27"/>
  <c r="BC175" i="27"/>
  <c r="AV175" i="27"/>
  <c r="AV219" i="27"/>
  <c r="BC219" i="27"/>
  <c r="AV119" i="27"/>
  <c r="BC119" i="27"/>
  <c r="BC154" i="27"/>
  <c r="AV154" i="27"/>
  <c r="AV176" i="27"/>
  <c r="BC176" i="27"/>
  <c r="BC180" i="27"/>
  <c r="AV180" i="27"/>
  <c r="BC159" i="27"/>
  <c r="AV159" i="27"/>
  <c r="AV164" i="27"/>
  <c r="BC164" i="27"/>
  <c r="J203" i="27"/>
  <c r="F35" i="26" s="1"/>
  <c r="BC259" i="27"/>
  <c r="AV259" i="27"/>
  <c r="BC283" i="27"/>
  <c r="AV283" i="27"/>
  <c r="BC295" i="27"/>
  <c r="AV295" i="27"/>
  <c r="BC303" i="27"/>
  <c r="AV303" i="27"/>
  <c r="BC184" i="27"/>
  <c r="AV184" i="27"/>
  <c r="BC213" i="27"/>
  <c r="AV213" i="27"/>
  <c r="BC257" i="27"/>
  <c r="AV257" i="27"/>
  <c r="BC195" i="27"/>
  <c r="AV195" i="27"/>
  <c r="BC261" i="27"/>
  <c r="AV261" i="27"/>
  <c r="BC311" i="27"/>
  <c r="AV311" i="27"/>
  <c r="BC319" i="27"/>
  <c r="AV319" i="27"/>
  <c r="BC330" i="27"/>
  <c r="AV330" i="27"/>
  <c r="BC384" i="27"/>
  <c r="AV384" i="27"/>
  <c r="AV244" i="27"/>
  <c r="BC244" i="27"/>
  <c r="BC265" i="27"/>
  <c r="AV265" i="27"/>
  <c r="BC293" i="27"/>
  <c r="AV293" i="27"/>
  <c r="BC301" i="27"/>
  <c r="AV301" i="27"/>
  <c r="BC332" i="27"/>
  <c r="AV332" i="27"/>
  <c r="BC348" i="27"/>
  <c r="AV348" i="27"/>
  <c r="BC359" i="27"/>
  <c r="AV359" i="27"/>
  <c r="BC390" i="27"/>
  <c r="AV390" i="27"/>
  <c r="BC425" i="27"/>
  <c r="AV425" i="27"/>
  <c r="BC440" i="27"/>
  <c r="AV440" i="27"/>
  <c r="C17" i="25"/>
  <c r="BC394" i="27"/>
  <c r="AV394" i="27"/>
  <c r="BC406" i="27"/>
  <c r="AV406" i="27"/>
  <c r="AV447" i="27"/>
  <c r="AV472" i="27"/>
  <c r="BC472" i="27"/>
  <c r="BC482" i="27"/>
  <c r="AV482" i="27"/>
  <c r="BC490" i="27"/>
  <c r="AV490" i="27"/>
  <c r="BC501" i="27"/>
  <c r="AV501" i="27"/>
  <c r="AV550" i="27"/>
  <c r="BC550" i="27"/>
  <c r="AV566" i="27"/>
  <c r="BC566" i="27"/>
  <c r="BC585" i="27"/>
  <c r="AV585" i="27"/>
  <c r="BC616" i="27"/>
  <c r="AV616" i="27"/>
  <c r="BC173" i="27"/>
  <c r="AV173" i="27"/>
  <c r="BC410" i="27"/>
  <c r="AV410" i="27"/>
  <c r="BC253" i="27"/>
  <c r="AV253" i="27"/>
  <c r="I327" i="27"/>
  <c r="E39" i="26" s="1"/>
  <c r="BC484" i="27"/>
  <c r="AV484" i="27"/>
  <c r="BC521" i="27"/>
  <c r="AV521" i="27"/>
  <c r="AV528" i="27"/>
  <c r="BC528" i="27"/>
  <c r="AV542" i="27"/>
  <c r="BC583" i="27"/>
  <c r="AV583" i="27"/>
  <c r="BC517" i="27"/>
  <c r="AV517" i="27"/>
  <c r="AV539" i="27"/>
  <c r="I63" i="27"/>
  <c r="E23" i="26" s="1"/>
  <c r="AV366" i="27"/>
  <c r="AV451" i="27"/>
  <c r="BC451" i="27"/>
  <c r="BC537" i="27"/>
  <c r="AV537" i="27"/>
  <c r="J541" i="27"/>
  <c r="F50" i="26" s="1"/>
  <c r="AV558" i="27"/>
  <c r="AV610" i="27"/>
  <c r="AV358" i="27"/>
  <c r="BC603" i="27"/>
  <c r="AV603" i="27"/>
  <c r="BC52" i="27"/>
  <c r="AV52" i="27"/>
  <c r="BC66" i="27"/>
  <c r="AV66" i="27"/>
  <c r="BC76" i="27"/>
  <c r="AV76" i="27"/>
  <c r="AV138" i="27"/>
  <c r="BC138" i="27"/>
  <c r="BC163" i="27"/>
  <c r="AV163" i="27"/>
  <c r="AV234" i="27"/>
  <c r="BC234" i="27"/>
  <c r="AV256" i="27"/>
  <c r="BC256" i="27"/>
  <c r="AV292" i="27"/>
  <c r="BC292" i="27"/>
  <c r="BC281" i="27"/>
  <c r="AV281" i="27"/>
  <c r="BC239" i="27"/>
  <c r="AV239" i="27"/>
  <c r="AV374" i="27"/>
  <c r="BC374" i="27"/>
  <c r="AV428" i="27"/>
  <c r="BC428" i="27"/>
  <c r="BC456" i="27"/>
  <c r="AV456" i="27"/>
  <c r="BC471" i="27"/>
  <c r="AV471" i="27"/>
  <c r="AV487" i="27"/>
  <c r="BC487" i="27"/>
  <c r="BC511" i="27"/>
  <c r="AV511" i="27"/>
  <c r="BC460" i="27"/>
  <c r="AV460" i="27"/>
  <c r="BC506" i="27"/>
  <c r="AV506" i="27"/>
  <c r="BC551" i="27"/>
  <c r="AV551" i="27"/>
  <c r="AV67" i="27"/>
  <c r="BC67" i="27"/>
  <c r="BC533" i="27"/>
  <c r="AV533" i="27"/>
  <c r="AV40" i="27"/>
  <c r="BC40" i="27"/>
  <c r="AV25" i="27"/>
  <c r="BC25" i="27"/>
  <c r="BC42" i="27"/>
  <c r="AV42" i="27"/>
  <c r="AV71" i="27"/>
  <c r="BC71" i="27"/>
  <c r="BC27" i="27"/>
  <c r="AV27" i="27"/>
  <c r="I36" i="27"/>
  <c r="E17" i="26" s="1"/>
  <c r="BC135" i="27"/>
  <c r="AV135" i="27"/>
  <c r="C28" i="25"/>
  <c r="AV31" i="27"/>
  <c r="BC31" i="27"/>
  <c r="AV56" i="27"/>
  <c r="BC56" i="27"/>
  <c r="BC84" i="27"/>
  <c r="AV84" i="27"/>
  <c r="BC90" i="27"/>
  <c r="AV90" i="27"/>
  <c r="AV125" i="27"/>
  <c r="BC125" i="27"/>
  <c r="AV113" i="27"/>
  <c r="BC113" i="27"/>
  <c r="AV129" i="27"/>
  <c r="BC129" i="27"/>
  <c r="BC161" i="27"/>
  <c r="AV161" i="27"/>
  <c r="AV179" i="27"/>
  <c r="BC179" i="27"/>
  <c r="AV223" i="27"/>
  <c r="BC223" i="27"/>
  <c r="AV147" i="27"/>
  <c r="BC224" i="27"/>
  <c r="AV224" i="27"/>
  <c r="BC169" i="27"/>
  <c r="AV169" i="27"/>
  <c r="BC209" i="27"/>
  <c r="AV209" i="27"/>
  <c r="BC235" i="27"/>
  <c r="AV235" i="27"/>
  <c r="AV268" i="27"/>
  <c r="BC268" i="27"/>
  <c r="AV284" i="27"/>
  <c r="BC284" i="27"/>
  <c r="AV296" i="27"/>
  <c r="BC296" i="27"/>
  <c r="AV304" i="27"/>
  <c r="BC304" i="27"/>
  <c r="AV201" i="27"/>
  <c r="AV215" i="27"/>
  <c r="BC205" i="27"/>
  <c r="AV205" i="27"/>
  <c r="BC245" i="27"/>
  <c r="AV245" i="27"/>
  <c r="BC251" i="27"/>
  <c r="BC277" i="27"/>
  <c r="AV277" i="27"/>
  <c r="AV308" i="27"/>
  <c r="BC308" i="27"/>
  <c r="BC241" i="27"/>
  <c r="AV241" i="27"/>
  <c r="BC285" i="27"/>
  <c r="AV285" i="27"/>
  <c r="AV312" i="27"/>
  <c r="BC312" i="27"/>
  <c r="AV320" i="27"/>
  <c r="BC320" i="27"/>
  <c r="AV331" i="27"/>
  <c r="BC331" i="27"/>
  <c r="AV378" i="27"/>
  <c r="BC378" i="27"/>
  <c r="AV385" i="27"/>
  <c r="BC385" i="27"/>
  <c r="AV393" i="27"/>
  <c r="BC393" i="27"/>
  <c r="AV420" i="27"/>
  <c r="BC420" i="27"/>
  <c r="C16" i="25"/>
  <c r="BC313" i="27"/>
  <c r="AV313" i="27"/>
  <c r="BC367" i="27"/>
  <c r="AV367" i="27"/>
  <c r="BC467" i="27"/>
  <c r="AV467" i="27"/>
  <c r="BC269" i="27"/>
  <c r="AV269" i="27"/>
  <c r="AV354" i="27"/>
  <c r="BC373" i="27"/>
  <c r="BC433" i="27"/>
  <c r="AV433" i="27"/>
  <c r="BC452" i="27"/>
  <c r="AV452" i="27"/>
  <c r="BC475" i="27"/>
  <c r="AV475" i="27"/>
  <c r="AV483" i="27"/>
  <c r="BC483" i="27"/>
  <c r="AV491" i="27"/>
  <c r="BC491" i="27"/>
  <c r="BC504" i="27"/>
  <c r="AV504" i="27"/>
  <c r="BC553" i="27"/>
  <c r="AV553" i="27"/>
  <c r="BC249" i="27"/>
  <c r="AV249" i="27"/>
  <c r="BC321" i="27"/>
  <c r="AV321" i="27"/>
  <c r="BC386" i="27"/>
  <c r="AV386" i="27"/>
  <c r="BC398" i="27"/>
  <c r="AV398" i="27"/>
  <c r="BC448" i="27"/>
  <c r="AV448" i="27"/>
  <c r="AV455" i="27"/>
  <c r="BC455" i="27"/>
  <c r="BC351" i="27"/>
  <c r="AV351" i="27"/>
  <c r="AV380" i="27"/>
  <c r="BC509" i="27"/>
  <c r="AV509" i="27"/>
  <c r="BC587" i="27"/>
  <c r="AV587" i="27"/>
  <c r="BC593" i="27"/>
  <c r="BC599" i="27"/>
  <c r="AV599" i="27"/>
  <c r="AV424" i="27"/>
  <c r="BC488" i="27"/>
  <c r="AV488" i="27"/>
  <c r="BC495" i="27"/>
  <c r="AV495" i="27"/>
  <c r="BC529" i="27"/>
  <c r="AV529" i="27"/>
  <c r="BC540" i="27"/>
  <c r="AV540" i="27"/>
  <c r="BC555" i="27"/>
  <c r="AV555" i="27"/>
  <c r="AV570" i="27"/>
  <c r="AV590" i="27"/>
  <c r="AV606" i="27"/>
  <c r="I28" i="25"/>
  <c r="G19" i="38" s="1"/>
  <c r="BC305" i="27"/>
  <c r="AV305" i="27"/>
  <c r="BC480" i="27"/>
  <c r="AV480" i="27"/>
  <c r="BC492" i="27"/>
  <c r="AV492" i="27"/>
  <c r="AV512" i="27"/>
  <c r="BC559" i="27"/>
  <c r="AV559" i="27"/>
  <c r="AV594" i="27"/>
  <c r="BC611" i="27"/>
  <c r="AV611" i="27"/>
  <c r="BC68" i="27"/>
  <c r="AV68" i="27"/>
  <c r="BC421" i="27"/>
  <c r="AV421" i="27"/>
  <c r="AV19" i="27"/>
  <c r="BC19" i="27"/>
  <c r="AV78" i="27"/>
  <c r="BC78" i="27"/>
  <c r="BC156" i="27"/>
  <c r="AV212" i="27"/>
  <c r="BC212" i="27"/>
  <c r="AV83" i="27"/>
  <c r="BC83" i="27"/>
  <c r="BC228" i="27"/>
  <c r="AV228" i="27"/>
  <c r="BC188" i="27"/>
  <c r="AV188" i="27"/>
  <c r="BC220" i="27"/>
  <c r="AV220" i="27"/>
  <c r="AV280" i="27"/>
  <c r="BC280" i="27"/>
  <c r="AV300" i="27"/>
  <c r="BC300" i="27"/>
  <c r="AV204" i="27"/>
  <c r="BC273" i="27"/>
  <c r="AV273" i="27"/>
  <c r="AV316" i="27"/>
  <c r="BC316" i="27"/>
  <c r="AV381" i="27"/>
  <c r="BC381" i="27"/>
  <c r="AV389" i="27"/>
  <c r="BC389" i="27"/>
  <c r="AV459" i="27"/>
  <c r="BC459" i="27"/>
  <c r="AV401" i="27"/>
  <c r="BC402" i="27"/>
  <c r="AV402" i="27"/>
  <c r="AV439" i="27"/>
  <c r="BC439" i="27"/>
  <c r="BC579" i="27"/>
  <c r="AV579" i="27"/>
  <c r="BC444" i="27"/>
  <c r="AV444" i="27"/>
  <c r="BC613" i="27"/>
  <c r="AV21" i="27"/>
  <c r="BC21" i="27"/>
  <c r="AV28" i="27"/>
  <c r="BC28" i="27"/>
  <c r="BC18" i="27"/>
  <c r="AV18" i="27"/>
  <c r="C14" i="25"/>
  <c r="AV24" i="27"/>
  <c r="BC24" i="27"/>
  <c r="BC44" i="27"/>
  <c r="AV44" i="27"/>
  <c r="AV85" i="27"/>
  <c r="BC85" i="27"/>
  <c r="AV136" i="27"/>
  <c r="BC136" i="27"/>
  <c r="BC98" i="27"/>
  <c r="AV98" i="27"/>
  <c r="BC137" i="27"/>
  <c r="AV137" i="27"/>
  <c r="AV144" i="27"/>
  <c r="BC144" i="27"/>
  <c r="AV162" i="27"/>
  <c r="BC162" i="27"/>
  <c r="J148" i="27"/>
  <c r="F31" i="26" s="1"/>
  <c r="BC167" i="27"/>
  <c r="AV167" i="27"/>
  <c r="BC186" i="27"/>
  <c r="AV186" i="27"/>
  <c r="BC233" i="27"/>
  <c r="AV233" i="27"/>
  <c r="BC96" i="27"/>
  <c r="AV96" i="27"/>
  <c r="AV117" i="27"/>
  <c r="AV143" i="27"/>
  <c r="BC143" i="27"/>
  <c r="AV183" i="27"/>
  <c r="J196" i="27"/>
  <c r="F34" i="26" s="1"/>
  <c r="J214" i="27"/>
  <c r="F36" i="26" s="1"/>
  <c r="AV252" i="27"/>
  <c r="BC252" i="27"/>
  <c r="BC279" i="27"/>
  <c r="AV279" i="27"/>
  <c r="AV288" i="27"/>
  <c r="BC288" i="27"/>
  <c r="BC299" i="27"/>
  <c r="AV299" i="27"/>
  <c r="BC307" i="27"/>
  <c r="AV307" i="27"/>
  <c r="J130" i="27"/>
  <c r="F30" i="26" s="1"/>
  <c r="AV158" i="27"/>
  <c r="BC158" i="27"/>
  <c r="AV172" i="27"/>
  <c r="BC172" i="27"/>
  <c r="AV191" i="27"/>
  <c r="AV238" i="27"/>
  <c r="BC202" i="27"/>
  <c r="AV202" i="27"/>
  <c r="AV264" i="27"/>
  <c r="BC315" i="27"/>
  <c r="AV315" i="27"/>
  <c r="BC323" i="27"/>
  <c r="AV323" i="27"/>
  <c r="BC388" i="27"/>
  <c r="AV388" i="27"/>
  <c r="BC396" i="27"/>
  <c r="AV396" i="27"/>
  <c r="BC427" i="27"/>
  <c r="AV427" i="27"/>
  <c r="BC198" i="27"/>
  <c r="AV198" i="27"/>
  <c r="BC289" i="27"/>
  <c r="AV289" i="27"/>
  <c r="BC297" i="27"/>
  <c r="AV297" i="27"/>
  <c r="BC382" i="27"/>
  <c r="AV382" i="27"/>
  <c r="BC392" i="27"/>
  <c r="AV409" i="27"/>
  <c r="BC409" i="27"/>
  <c r="BC429" i="27"/>
  <c r="AV429" i="27"/>
  <c r="BC192" i="27"/>
  <c r="AV192" i="27"/>
  <c r="BC377" i="27"/>
  <c r="AV397" i="27"/>
  <c r="BC414" i="27"/>
  <c r="AV414" i="27"/>
  <c r="AV443" i="27"/>
  <c r="BC443" i="27"/>
  <c r="BC478" i="27"/>
  <c r="AV478" i="27"/>
  <c r="BC486" i="27"/>
  <c r="AV486" i="27"/>
  <c r="BC497" i="27"/>
  <c r="AV497" i="27"/>
  <c r="AV505" i="27"/>
  <c r="BC505" i="27"/>
  <c r="BC581" i="27"/>
  <c r="AV581" i="27"/>
  <c r="AV227" i="27"/>
  <c r="BC336" i="27"/>
  <c r="AV336" i="27"/>
  <c r="AV343" i="27"/>
  <c r="BC355" i="27"/>
  <c r="AV355" i="27"/>
  <c r="BC363" i="27"/>
  <c r="AV363" i="27"/>
  <c r="AV370" i="27"/>
  <c r="BC344" i="27"/>
  <c r="AV344" i="27"/>
  <c r="I350" i="27"/>
  <c r="E40" i="26" s="1"/>
  <c r="BC371" i="27"/>
  <c r="AV371" i="27"/>
  <c r="I508" i="27"/>
  <c r="E48" i="26" s="1"/>
  <c r="AV546" i="27"/>
  <c r="AV574" i="27"/>
  <c r="BC499" i="27"/>
  <c r="AV499" i="27"/>
  <c r="BC473" i="27"/>
  <c r="AV473" i="27"/>
  <c r="I494" i="27"/>
  <c r="E46" i="26" s="1"/>
  <c r="BC563" i="27"/>
  <c r="AV563" i="27"/>
  <c r="BC567" i="27"/>
  <c r="AV567" i="27"/>
  <c r="BC571" i="27"/>
  <c r="AV571" i="27"/>
  <c r="BC591" i="27"/>
  <c r="AV591" i="27"/>
  <c r="BC607" i="27"/>
  <c r="AV607" i="27"/>
  <c r="AV339" i="27"/>
  <c r="BC513" i="27"/>
  <c r="AV513" i="27"/>
  <c r="AV524" i="27"/>
  <c r="BC595" i="27"/>
  <c r="AV595" i="27"/>
  <c r="AV602" i="27"/>
  <c r="BC602" i="27"/>
  <c r="AV620" i="27"/>
  <c r="BC620" i="27"/>
  <c r="BC325" i="27"/>
  <c r="AV325" i="27"/>
  <c r="BC543" i="27"/>
  <c r="AV543" i="27"/>
  <c r="BC25" i="23"/>
  <c r="AV25" i="23"/>
  <c r="AV347" i="23"/>
  <c r="BC347" i="23"/>
  <c r="BC317" i="23"/>
  <c r="AV317" i="23"/>
  <c r="BC373" i="23"/>
  <c r="AV373" i="23"/>
  <c r="AV395" i="23"/>
  <c r="BC395" i="23"/>
  <c r="BC423" i="23"/>
  <c r="AV423" i="23"/>
  <c r="BC458" i="23"/>
  <c r="AV458" i="23"/>
  <c r="AV615" i="23"/>
  <c r="BC615" i="23"/>
  <c r="BC484" i="23"/>
  <c r="AV484" i="23"/>
  <c r="BC183" i="23"/>
  <c r="AV183" i="23"/>
  <c r="AV197" i="23"/>
  <c r="BC197" i="23"/>
  <c r="AV208" i="23"/>
  <c r="BC208" i="23"/>
  <c r="AV216" i="23"/>
  <c r="BC216" i="23"/>
  <c r="BC249" i="23"/>
  <c r="AV249" i="23"/>
  <c r="AV339" i="23"/>
  <c r="BC339" i="23"/>
  <c r="BC329" i="23"/>
  <c r="AV329" i="23"/>
  <c r="BC363" i="23"/>
  <c r="AV363" i="23"/>
  <c r="AV371" i="23"/>
  <c r="BC371" i="23"/>
  <c r="BC400" i="23"/>
  <c r="AV400" i="23"/>
  <c r="AV398" i="23"/>
  <c r="BC585" i="23"/>
  <c r="AV585" i="23"/>
  <c r="BC503" i="23"/>
  <c r="AV503" i="23"/>
  <c r="AV591" i="23"/>
  <c r="C14" i="21"/>
  <c r="BC41" i="23"/>
  <c r="AV41" i="23"/>
  <c r="BC64" i="23"/>
  <c r="AV64" i="23"/>
  <c r="G11" i="22"/>
  <c r="I11" i="22" s="1"/>
  <c r="G53" i="22" s="1"/>
  <c r="K680" i="23"/>
  <c r="BC66" i="23"/>
  <c r="AV66" i="23"/>
  <c r="BC88" i="23"/>
  <c r="AV88" i="23"/>
  <c r="AV116" i="23"/>
  <c r="BC116" i="23"/>
  <c r="AV123" i="23"/>
  <c r="BC123" i="23"/>
  <c r="AV130" i="23"/>
  <c r="BC130" i="23"/>
  <c r="BC135" i="23"/>
  <c r="AV135" i="23"/>
  <c r="BC98" i="23"/>
  <c r="AV98" i="23"/>
  <c r="BC104" i="23"/>
  <c r="AV104" i="23"/>
  <c r="BC110" i="23"/>
  <c r="AV110" i="23"/>
  <c r="AV176" i="23"/>
  <c r="BC176" i="23"/>
  <c r="AV184" i="23"/>
  <c r="BC184" i="23"/>
  <c r="BC193" i="23"/>
  <c r="AV193" i="23"/>
  <c r="BC204" i="23"/>
  <c r="AV204" i="23"/>
  <c r="BC177" i="23"/>
  <c r="AV177" i="23"/>
  <c r="BC155" i="23"/>
  <c r="AV155" i="23"/>
  <c r="BC178" i="23"/>
  <c r="AV178" i="23"/>
  <c r="AV150" i="23"/>
  <c r="BC175" i="23"/>
  <c r="BC211" i="23"/>
  <c r="AV267" i="23"/>
  <c r="BC267" i="23"/>
  <c r="AV275" i="23"/>
  <c r="BC275" i="23"/>
  <c r="AV228" i="23"/>
  <c r="BC228" i="23"/>
  <c r="C16" i="21"/>
  <c r="BC222" i="23"/>
  <c r="AV222" i="23"/>
  <c r="BC238" i="23"/>
  <c r="AV238" i="23"/>
  <c r="BC245" i="23"/>
  <c r="AV245" i="23"/>
  <c r="BC265" i="23"/>
  <c r="AV265" i="23"/>
  <c r="AV304" i="23"/>
  <c r="BC304" i="23"/>
  <c r="AV316" i="23"/>
  <c r="BC316" i="23"/>
  <c r="AV335" i="23"/>
  <c r="BC335" i="23"/>
  <c r="AV354" i="23"/>
  <c r="BC354" i="23"/>
  <c r="BC313" i="23"/>
  <c r="AV313" i="23"/>
  <c r="AV331" i="23"/>
  <c r="BC331" i="23"/>
  <c r="BC344" i="23"/>
  <c r="AV344" i="23"/>
  <c r="AV237" i="23"/>
  <c r="AV262" i="23"/>
  <c r="BC281" i="23"/>
  <c r="AV281" i="23"/>
  <c r="BC286" i="23"/>
  <c r="AV286" i="23"/>
  <c r="BC297" i="23"/>
  <c r="AV297" i="23"/>
  <c r="BC302" i="23"/>
  <c r="AV302" i="23"/>
  <c r="AV338" i="23"/>
  <c r="AV362" i="23"/>
  <c r="AV370" i="23"/>
  <c r="AV399" i="23"/>
  <c r="BC399" i="23"/>
  <c r="AV422" i="23"/>
  <c r="BC422" i="23"/>
  <c r="BC334" i="23"/>
  <c r="AV384" i="23"/>
  <c r="BC384" i="23"/>
  <c r="BC396" i="23"/>
  <c r="AV396" i="23"/>
  <c r="BC412" i="23"/>
  <c r="AV412" i="23"/>
  <c r="BC435" i="23"/>
  <c r="AV435" i="23"/>
  <c r="AV446" i="23"/>
  <c r="BC446" i="23"/>
  <c r="BC451" i="23"/>
  <c r="AV451" i="23"/>
  <c r="BC466" i="23"/>
  <c r="AV466" i="23"/>
  <c r="AV301" i="23"/>
  <c r="BC386" i="23"/>
  <c r="AV386" i="23"/>
  <c r="AV402" i="23"/>
  <c r="AV429" i="23"/>
  <c r="BC421" i="23"/>
  <c r="AV483" i="23"/>
  <c r="BC488" i="23"/>
  <c r="AV488" i="23"/>
  <c r="BC530" i="23"/>
  <c r="AV530" i="23"/>
  <c r="AV453" i="23"/>
  <c r="AV499" i="23"/>
  <c r="AV502" i="23"/>
  <c r="BC507" i="23"/>
  <c r="AV507" i="23"/>
  <c r="AV513" i="23"/>
  <c r="BC518" i="23"/>
  <c r="AV518" i="23"/>
  <c r="BC534" i="23"/>
  <c r="AV534" i="23"/>
  <c r="AV540" i="23"/>
  <c r="AV595" i="23"/>
  <c r="BC595" i="23"/>
  <c r="AV611" i="23"/>
  <c r="BC611" i="23"/>
  <c r="AV627" i="23"/>
  <c r="BC627" i="23"/>
  <c r="AV638" i="23"/>
  <c r="BC638" i="23"/>
  <c r="AV643" i="23"/>
  <c r="BC643" i="23"/>
  <c r="AV659" i="23"/>
  <c r="BC659" i="23"/>
  <c r="AV487" i="23"/>
  <c r="BC492" i="23"/>
  <c r="AV492" i="23"/>
  <c r="AV525" i="23"/>
  <c r="BC541" i="23"/>
  <c r="AV541" i="23"/>
  <c r="BC592" i="23"/>
  <c r="AV592" i="23"/>
  <c r="AV506" i="23"/>
  <c r="BC511" i="23"/>
  <c r="AV511" i="23"/>
  <c r="AV517" i="23"/>
  <c r="BC571" i="23"/>
  <c r="AV658" i="23"/>
  <c r="AV677" i="23"/>
  <c r="AV610" i="23"/>
  <c r="AV654" i="23"/>
  <c r="BC50" i="23"/>
  <c r="AV50" i="23"/>
  <c r="BC19" i="23"/>
  <c r="AV19" i="23"/>
  <c r="BC70" i="23"/>
  <c r="AV70" i="23"/>
  <c r="BC44" i="23"/>
  <c r="AV44" i="23"/>
  <c r="BC113" i="23"/>
  <c r="AV113" i="23"/>
  <c r="AV134" i="23"/>
  <c r="BC134" i="23"/>
  <c r="BC92" i="23"/>
  <c r="AV92" i="23"/>
  <c r="AV251" i="23"/>
  <c r="BC251" i="23"/>
  <c r="AV217" i="23"/>
  <c r="BC217" i="23"/>
  <c r="BC244" i="23"/>
  <c r="AV244" i="23"/>
  <c r="AV358" i="23"/>
  <c r="BC358" i="23"/>
  <c r="BC285" i="23"/>
  <c r="AV285" i="23"/>
  <c r="BC381" i="23"/>
  <c r="AV381" i="23"/>
  <c r="AV450" i="23"/>
  <c r="BC450" i="23"/>
  <c r="AV465" i="23"/>
  <c r="BC465" i="23"/>
  <c r="BC374" i="23"/>
  <c r="AV374" i="23"/>
  <c r="BC480" i="23"/>
  <c r="AV480" i="23"/>
  <c r="C28" i="21"/>
  <c r="AV647" i="23"/>
  <c r="BC647" i="23"/>
  <c r="AV663" i="23"/>
  <c r="BC663" i="23"/>
  <c r="BC574" i="23"/>
  <c r="AV574" i="23"/>
  <c r="BC514" i="23"/>
  <c r="AV514" i="23"/>
  <c r="C15" i="21"/>
  <c r="AV65" i="23"/>
  <c r="BC65" i="23"/>
  <c r="AV15" i="23"/>
  <c r="BC22" i="23"/>
  <c r="AV22" i="23"/>
  <c r="BC47" i="23"/>
  <c r="AV47" i="23"/>
  <c r="BC62" i="23"/>
  <c r="AV62" i="23"/>
  <c r="AV49" i="23"/>
  <c r="BC49" i="23"/>
  <c r="AV81" i="23"/>
  <c r="AV119" i="23"/>
  <c r="BC119" i="23"/>
  <c r="BC124" i="23"/>
  <c r="AV124" i="23"/>
  <c r="BC131" i="23"/>
  <c r="AV131" i="23"/>
  <c r="AV76" i="23"/>
  <c r="AV137" i="23"/>
  <c r="BC95" i="23"/>
  <c r="AV106" i="23"/>
  <c r="AV172" i="23"/>
  <c r="BC172" i="23"/>
  <c r="BC187" i="23"/>
  <c r="AV187" i="23"/>
  <c r="AV194" i="23"/>
  <c r="BC194" i="23"/>
  <c r="AV205" i="23"/>
  <c r="BC205" i="23"/>
  <c r="AV212" i="23"/>
  <c r="BC212" i="23"/>
  <c r="AV103" i="23"/>
  <c r="BC147" i="23"/>
  <c r="AV147" i="23"/>
  <c r="BC154" i="23"/>
  <c r="AV154" i="23"/>
  <c r="BC185" i="23"/>
  <c r="AV185" i="23"/>
  <c r="BC213" i="23"/>
  <c r="AV213" i="23"/>
  <c r="BC144" i="23"/>
  <c r="AV144" i="23"/>
  <c r="BC151" i="23"/>
  <c r="AV151" i="23"/>
  <c r="BC167" i="23"/>
  <c r="AV167" i="23"/>
  <c r="BC174" i="23"/>
  <c r="AV174" i="23"/>
  <c r="AV179" i="23"/>
  <c r="AV162" i="23"/>
  <c r="BC221" i="23"/>
  <c r="AV221" i="23"/>
  <c r="BC229" i="23"/>
  <c r="AV229" i="23"/>
  <c r="AV280" i="23"/>
  <c r="BC280" i="23"/>
  <c r="BC153" i="23"/>
  <c r="BC161" i="23"/>
  <c r="BC218" i="23"/>
  <c r="AV218" i="23"/>
  <c r="BC234" i="23"/>
  <c r="AV234" i="23"/>
  <c r="BC253" i="23"/>
  <c r="AV253" i="23"/>
  <c r="BC257" i="23"/>
  <c r="AV257" i="23"/>
  <c r="BC269" i="23"/>
  <c r="AV269" i="23"/>
  <c r="AV343" i="23"/>
  <c r="BC343" i="23"/>
  <c r="BC254" i="23"/>
  <c r="BC309" i="23"/>
  <c r="AV309" i="23"/>
  <c r="BC325" i="23"/>
  <c r="AV325" i="23"/>
  <c r="BC332" i="23"/>
  <c r="AV332" i="23"/>
  <c r="BC340" i="23"/>
  <c r="AV340" i="23"/>
  <c r="BC359" i="23"/>
  <c r="AV359" i="23"/>
  <c r="BC367" i="23"/>
  <c r="AV367" i="23"/>
  <c r="AV264" i="23"/>
  <c r="BC282" i="23"/>
  <c r="AV282" i="23"/>
  <c r="BC293" i="23"/>
  <c r="AV293" i="23"/>
  <c r="BC298" i="23"/>
  <c r="AV298" i="23"/>
  <c r="AV303" i="23"/>
  <c r="AV350" i="23"/>
  <c r="BC377" i="23"/>
  <c r="AV377" i="23"/>
  <c r="BC385" i="23"/>
  <c r="AV385" i="23"/>
  <c r="BC392" i="23"/>
  <c r="AV392" i="23"/>
  <c r="BC408" i="23"/>
  <c r="AV408" i="23"/>
  <c r="BC447" i="23"/>
  <c r="AV447" i="23"/>
  <c r="BC462" i="23"/>
  <c r="AV462" i="23"/>
  <c r="AV469" i="23"/>
  <c r="BC469" i="23"/>
  <c r="AV476" i="23"/>
  <c r="BC476" i="23"/>
  <c r="AV366" i="23"/>
  <c r="BC382" i="23"/>
  <c r="AV382" i="23"/>
  <c r="AV406" i="23"/>
  <c r="AV472" i="23"/>
  <c r="BC410" i="23"/>
  <c r="AV434" i="23"/>
  <c r="BC496" i="23"/>
  <c r="AV496" i="23"/>
  <c r="BC376" i="23"/>
  <c r="AV510" i="23"/>
  <c r="AV521" i="23"/>
  <c r="AV607" i="23"/>
  <c r="BC607" i="23"/>
  <c r="AV623" i="23"/>
  <c r="BC623" i="23"/>
  <c r="BC634" i="23"/>
  <c r="AV634" i="23"/>
  <c r="AV639" i="23"/>
  <c r="BC639" i="23"/>
  <c r="AV655" i="23"/>
  <c r="BC655" i="23"/>
  <c r="AV671" i="23"/>
  <c r="BC671" i="23"/>
  <c r="AV495" i="23"/>
  <c r="BC582" i="23"/>
  <c r="AV582" i="23"/>
  <c r="BC588" i="23"/>
  <c r="AV588" i="23"/>
  <c r="AV626" i="23"/>
  <c r="AV581" i="23"/>
  <c r="AV602" i="23"/>
  <c r="AV662" i="23"/>
  <c r="AV606" i="23"/>
  <c r="AV646" i="23"/>
  <c r="BC80" i="23"/>
  <c r="AV80" i="23"/>
  <c r="BC59" i="23"/>
  <c r="AV59" i="23"/>
  <c r="BC53" i="23"/>
  <c r="AV53" i="23"/>
  <c r="AV127" i="23"/>
  <c r="BC127" i="23"/>
  <c r="BC114" i="23"/>
  <c r="AV114" i="23"/>
  <c r="BC158" i="23"/>
  <c r="AV158" i="23"/>
  <c r="BC159" i="23"/>
  <c r="AV159" i="23"/>
  <c r="BC225" i="23"/>
  <c r="AV225" i="23"/>
  <c r="BC226" i="23"/>
  <c r="AV226" i="23"/>
  <c r="BC315" i="23"/>
  <c r="AV315" i="23"/>
  <c r="BC290" i="23"/>
  <c r="AV290" i="23"/>
  <c r="AV312" i="23"/>
  <c r="BC389" i="23"/>
  <c r="AV389" i="23"/>
  <c r="BC416" i="23"/>
  <c r="AV416" i="23"/>
  <c r="BC443" i="23"/>
  <c r="AV443" i="23"/>
  <c r="AV599" i="23"/>
  <c r="BC599" i="23"/>
  <c r="AV631" i="23"/>
  <c r="BC631" i="23"/>
  <c r="AV674" i="23"/>
  <c r="BC674" i="23"/>
  <c r="BC68" i="23"/>
  <c r="AV68" i="23"/>
  <c r="BC16" i="23"/>
  <c r="AV16" i="23"/>
  <c r="AV43" i="23"/>
  <c r="BC82" i="23"/>
  <c r="AV82" i="23"/>
  <c r="AV69" i="23"/>
  <c r="BC120" i="23"/>
  <c r="AV120" i="23"/>
  <c r="AV138" i="23"/>
  <c r="BC138" i="23"/>
  <c r="BC78" i="23"/>
  <c r="AV78" i="23"/>
  <c r="AV91" i="23"/>
  <c r="BC101" i="23"/>
  <c r="AV101" i="23"/>
  <c r="BC107" i="23"/>
  <c r="AV107" i="23"/>
  <c r="AV180" i="23"/>
  <c r="BC180" i="23"/>
  <c r="AV201" i="23"/>
  <c r="BC201" i="23"/>
  <c r="BC173" i="23"/>
  <c r="AV173" i="23"/>
  <c r="BC181" i="23"/>
  <c r="AV181" i="23"/>
  <c r="BC209" i="23"/>
  <c r="AV209" i="23"/>
  <c r="BC163" i="23"/>
  <c r="AV163" i="23"/>
  <c r="AV200" i="23"/>
  <c r="AV170" i="23"/>
  <c r="AV263" i="23"/>
  <c r="BC263" i="23"/>
  <c r="AV271" i="23"/>
  <c r="BC271" i="23"/>
  <c r="AV279" i="23"/>
  <c r="BC279" i="23"/>
  <c r="AV243" i="23"/>
  <c r="BC243" i="23"/>
  <c r="BC260" i="23"/>
  <c r="AV260" i="23"/>
  <c r="BC276" i="23"/>
  <c r="AV276" i="23"/>
  <c r="BC230" i="23"/>
  <c r="AV230" i="23"/>
  <c r="AV259" i="23"/>
  <c r="BC274" i="23"/>
  <c r="BC307" i="23"/>
  <c r="AV307" i="23"/>
  <c r="AV320" i="23"/>
  <c r="BC320" i="23"/>
  <c r="AV351" i="23"/>
  <c r="BC351" i="23"/>
  <c r="BC357" i="23"/>
  <c r="AV357" i="23"/>
  <c r="BC278" i="23"/>
  <c r="BC321" i="23"/>
  <c r="AV321" i="23"/>
  <c r="AV266" i="23"/>
  <c r="BC289" i="23"/>
  <c r="AV289" i="23"/>
  <c r="BC294" i="23"/>
  <c r="AV294" i="23"/>
  <c r="BC333" i="23"/>
  <c r="AV333" i="23"/>
  <c r="AV324" i="23"/>
  <c r="AV346" i="23"/>
  <c r="AV403" i="23"/>
  <c r="BC403" i="23"/>
  <c r="AV419" i="23"/>
  <c r="BC419" i="23"/>
  <c r="AV426" i="23"/>
  <c r="BC426" i="23"/>
  <c r="AV380" i="23"/>
  <c r="BC380" i="23"/>
  <c r="AV388" i="23"/>
  <c r="BC388" i="23"/>
  <c r="BC404" i="23"/>
  <c r="AV404" i="23"/>
  <c r="BC427" i="23"/>
  <c r="AV427" i="23"/>
  <c r="BC455" i="23"/>
  <c r="AV455" i="23"/>
  <c r="BC470" i="23"/>
  <c r="AV470" i="23"/>
  <c r="BC477" i="23"/>
  <c r="AV477" i="23"/>
  <c r="BC378" i="23"/>
  <c r="AV378" i="23"/>
  <c r="AV411" i="23"/>
  <c r="I554" i="23"/>
  <c r="E48" i="22" s="1"/>
  <c r="AV537" i="23"/>
  <c r="AV603" i="23"/>
  <c r="BC603" i="23"/>
  <c r="AV619" i="23"/>
  <c r="BC619" i="23"/>
  <c r="BC630" i="23"/>
  <c r="AV630" i="23"/>
  <c r="AV635" i="23"/>
  <c r="BC635" i="23"/>
  <c r="AV651" i="23"/>
  <c r="BC651" i="23"/>
  <c r="AV667" i="23"/>
  <c r="BC667" i="23"/>
  <c r="BC673" i="23"/>
  <c r="AV673" i="23"/>
  <c r="AV678" i="23"/>
  <c r="BC678" i="23"/>
  <c r="BC522" i="23"/>
  <c r="AV522" i="23"/>
  <c r="BC538" i="23"/>
  <c r="AV538" i="23"/>
  <c r="AV544" i="23"/>
  <c r="BC578" i="23"/>
  <c r="AV578" i="23"/>
  <c r="BC526" i="23"/>
  <c r="AV526" i="23"/>
  <c r="BC545" i="23"/>
  <c r="AV545" i="23"/>
  <c r="AV642" i="23"/>
  <c r="AV573" i="23"/>
  <c r="AV24" i="19"/>
  <c r="BC24" i="19"/>
  <c r="AV42" i="19"/>
  <c r="BC42" i="19"/>
  <c r="BC14" i="19"/>
  <c r="AV14" i="19"/>
  <c r="AV27" i="19"/>
  <c r="BC27" i="19"/>
  <c r="AV89" i="19"/>
  <c r="BC89" i="19"/>
  <c r="AV133" i="19"/>
  <c r="BC133" i="19"/>
  <c r="AV54" i="19"/>
  <c r="BC54" i="19"/>
  <c r="AV99" i="19"/>
  <c r="BC99" i="19"/>
  <c r="AV117" i="19"/>
  <c r="BC117" i="19"/>
  <c r="BC149" i="19"/>
  <c r="AV149" i="19"/>
  <c r="BC204" i="19"/>
  <c r="AV204" i="19"/>
  <c r="BC212" i="19"/>
  <c r="AV212" i="19"/>
  <c r="AV86" i="19"/>
  <c r="BC86" i="19"/>
  <c r="AV110" i="19"/>
  <c r="BC110" i="19"/>
  <c r="AV182" i="19"/>
  <c r="BC182" i="19"/>
  <c r="AV169" i="19"/>
  <c r="BC169" i="19"/>
  <c r="BC250" i="19"/>
  <c r="AV250" i="19"/>
  <c r="BC302" i="19"/>
  <c r="AV302" i="19"/>
  <c r="AV322" i="19"/>
  <c r="BC322" i="19"/>
  <c r="AV337" i="19"/>
  <c r="BC337" i="19"/>
  <c r="BC143" i="19"/>
  <c r="AV143" i="19"/>
  <c r="BC360" i="19"/>
  <c r="AV360" i="19"/>
  <c r="AV389" i="19"/>
  <c r="BC389" i="19"/>
  <c r="AV430" i="19"/>
  <c r="BC430" i="19"/>
  <c r="AV385" i="19"/>
  <c r="BC385" i="19"/>
  <c r="BC479" i="19"/>
  <c r="AV479" i="19"/>
  <c r="AV291" i="19"/>
  <c r="BC291" i="19"/>
  <c r="AV538" i="19"/>
  <c r="AV514" i="19"/>
  <c r="BC32" i="19"/>
  <c r="AV32" i="19"/>
  <c r="BC23" i="19"/>
  <c r="AV23" i="19"/>
  <c r="I26" i="19"/>
  <c r="E15" i="18" s="1"/>
  <c r="BC40" i="19"/>
  <c r="AV40" i="19"/>
  <c r="AV65" i="19"/>
  <c r="BC65" i="19"/>
  <c r="C14" i="17"/>
  <c r="BC53" i="19"/>
  <c r="AV53" i="19"/>
  <c r="AV77" i="19"/>
  <c r="BC77" i="19"/>
  <c r="BC62" i="19"/>
  <c r="AV62" i="19"/>
  <c r="AV106" i="19"/>
  <c r="BC106" i="19"/>
  <c r="AV120" i="19"/>
  <c r="BC120" i="19"/>
  <c r="BC109" i="19"/>
  <c r="AV109" i="19"/>
  <c r="AV140" i="19"/>
  <c r="BC140" i="19"/>
  <c r="AV201" i="19"/>
  <c r="BC201" i="19"/>
  <c r="BC105" i="19"/>
  <c r="AV105" i="19"/>
  <c r="AV160" i="19"/>
  <c r="BC160" i="19"/>
  <c r="BC171" i="19"/>
  <c r="AV171" i="19"/>
  <c r="AV188" i="19"/>
  <c r="BC188" i="19"/>
  <c r="AV205" i="19"/>
  <c r="BC205" i="19"/>
  <c r="AV213" i="19"/>
  <c r="BC213" i="19"/>
  <c r="I85" i="19"/>
  <c r="E25" i="18" s="1"/>
  <c r="BC93" i="19"/>
  <c r="AV93" i="19"/>
  <c r="BC122" i="19"/>
  <c r="AV122" i="19"/>
  <c r="BC164" i="19"/>
  <c r="AV164" i="19"/>
  <c r="BC196" i="19"/>
  <c r="AV196" i="19"/>
  <c r="AV150" i="19"/>
  <c r="BC150" i="19"/>
  <c r="BC154" i="19"/>
  <c r="AV154" i="19"/>
  <c r="AV241" i="19"/>
  <c r="BC241" i="19"/>
  <c r="BC246" i="19"/>
  <c r="AV246" i="19"/>
  <c r="AV272" i="19"/>
  <c r="BC272" i="19"/>
  <c r="AV276" i="19"/>
  <c r="BC276" i="19"/>
  <c r="AV288" i="19"/>
  <c r="BC288" i="19"/>
  <c r="BC80" i="19"/>
  <c r="AV80" i="19"/>
  <c r="BC126" i="19"/>
  <c r="AV126" i="19"/>
  <c r="BC220" i="19"/>
  <c r="AV220" i="19"/>
  <c r="BC224" i="19"/>
  <c r="AV224" i="19"/>
  <c r="AV228" i="19"/>
  <c r="BC228" i="19"/>
  <c r="AV237" i="19"/>
  <c r="BC237" i="19"/>
  <c r="BC264" i="19"/>
  <c r="AV264" i="19"/>
  <c r="AV268" i="19"/>
  <c r="BC268" i="19"/>
  <c r="AV284" i="19"/>
  <c r="BC284" i="19"/>
  <c r="AV296" i="19"/>
  <c r="BC296" i="19"/>
  <c r="AV303" i="19"/>
  <c r="BC303" i="19"/>
  <c r="AV314" i="19"/>
  <c r="BC314" i="19"/>
  <c r="BC328" i="19"/>
  <c r="AV328" i="19"/>
  <c r="AV341" i="19"/>
  <c r="BC341" i="19"/>
  <c r="BC137" i="19"/>
  <c r="AV137" i="19"/>
  <c r="BC236" i="19"/>
  <c r="AV236" i="19"/>
  <c r="AV245" i="19"/>
  <c r="BC245" i="19"/>
  <c r="AV249" i="19"/>
  <c r="BC249" i="19"/>
  <c r="AV253" i="19"/>
  <c r="BC253" i="19"/>
  <c r="AV257" i="19"/>
  <c r="BC257" i="19"/>
  <c r="BC300" i="19"/>
  <c r="AV300" i="19"/>
  <c r="BC323" i="19"/>
  <c r="AV323" i="19"/>
  <c r="BC338" i="19"/>
  <c r="AV338" i="19"/>
  <c r="BC295" i="19"/>
  <c r="BC307" i="19"/>
  <c r="AV307" i="19"/>
  <c r="AV345" i="19"/>
  <c r="AV361" i="19"/>
  <c r="BC361" i="19"/>
  <c r="AV373" i="19"/>
  <c r="BC373" i="19"/>
  <c r="AV392" i="19"/>
  <c r="BC392" i="19"/>
  <c r="AV407" i="19"/>
  <c r="BC407" i="19"/>
  <c r="BC433" i="19"/>
  <c r="AV433" i="19"/>
  <c r="AV459" i="19"/>
  <c r="BC459" i="19"/>
  <c r="BC350" i="19"/>
  <c r="AV350" i="19"/>
  <c r="BC368" i="19"/>
  <c r="BC420" i="19"/>
  <c r="AV420" i="19"/>
  <c r="BC465" i="19"/>
  <c r="BC342" i="19"/>
  <c r="AV342" i="19"/>
  <c r="BC380" i="19"/>
  <c r="BC424" i="19"/>
  <c r="AV424" i="19"/>
  <c r="BC378" i="19"/>
  <c r="AV378" i="19"/>
  <c r="AV411" i="19"/>
  <c r="J425" i="19"/>
  <c r="F44" i="18" s="1"/>
  <c r="AV466" i="19"/>
  <c r="BC466" i="19"/>
  <c r="AV493" i="19"/>
  <c r="AV517" i="19"/>
  <c r="BC517" i="19"/>
  <c r="AV533" i="19"/>
  <c r="BC533" i="19"/>
  <c r="AV545" i="19"/>
  <c r="BC545" i="19"/>
  <c r="BC557" i="19"/>
  <c r="AV557" i="19"/>
  <c r="AV581" i="19"/>
  <c r="BC581" i="19"/>
  <c r="AV381" i="19"/>
  <c r="BC381" i="19"/>
  <c r="BC438" i="19"/>
  <c r="AV438" i="19"/>
  <c r="AV478" i="19"/>
  <c r="BC478" i="19"/>
  <c r="BC502" i="19"/>
  <c r="AV502" i="19"/>
  <c r="BC355" i="19"/>
  <c r="AV355" i="19"/>
  <c r="AV396" i="19"/>
  <c r="AV415" i="19"/>
  <c r="BC415" i="19"/>
  <c r="AV434" i="19"/>
  <c r="AV486" i="19"/>
  <c r="BC509" i="19"/>
  <c r="AV509" i="19"/>
  <c r="BC523" i="19"/>
  <c r="AV523" i="19"/>
  <c r="AV534" i="19"/>
  <c r="BC534" i="19"/>
  <c r="BC539" i="19"/>
  <c r="AV539" i="19"/>
  <c r="AV550" i="19"/>
  <c r="BC550" i="19"/>
  <c r="BC555" i="19"/>
  <c r="AV555" i="19"/>
  <c r="AV566" i="19"/>
  <c r="BC566" i="19"/>
  <c r="BC571" i="19"/>
  <c r="AV571" i="19"/>
  <c r="BC587" i="19"/>
  <c r="AV587" i="19"/>
  <c r="BC594" i="19"/>
  <c r="AV594" i="19"/>
  <c r="AV377" i="19"/>
  <c r="BC377" i="19"/>
  <c r="BC507" i="19"/>
  <c r="AV526" i="19"/>
  <c r="AV562" i="19"/>
  <c r="AV597" i="19"/>
  <c r="AV30" i="19"/>
  <c r="BC30" i="19"/>
  <c r="AV35" i="19"/>
  <c r="BC35" i="19"/>
  <c r="AV38" i="19"/>
  <c r="BC38" i="19"/>
  <c r="AV39" i="19"/>
  <c r="BC39" i="19"/>
  <c r="AV18" i="19"/>
  <c r="BC18" i="19"/>
  <c r="BC46" i="19"/>
  <c r="AV46" i="19"/>
  <c r="AV83" i="19"/>
  <c r="BC83" i="19"/>
  <c r="AV95" i="19"/>
  <c r="BC95" i="19"/>
  <c r="G11" i="18"/>
  <c r="I11" i="18" s="1"/>
  <c r="G54" i="18" s="1"/>
  <c r="K599" i="19"/>
  <c r="BC55" i="19"/>
  <c r="AV55" i="19"/>
  <c r="AV129" i="19"/>
  <c r="BC129" i="19"/>
  <c r="BC69" i="19"/>
  <c r="AV69" i="19"/>
  <c r="AV157" i="19"/>
  <c r="BC157" i="19"/>
  <c r="C16" i="17"/>
  <c r="BC183" i="19"/>
  <c r="AV183" i="19"/>
  <c r="AV189" i="19"/>
  <c r="BC189" i="19"/>
  <c r="AV61" i="19"/>
  <c r="BC61" i="19"/>
  <c r="BC145" i="19"/>
  <c r="AV145" i="19"/>
  <c r="AV156" i="19"/>
  <c r="BC156" i="19"/>
  <c r="BC208" i="19"/>
  <c r="AV208" i="19"/>
  <c r="AV92" i="19"/>
  <c r="BC92" i="19"/>
  <c r="AV121" i="19"/>
  <c r="BC121" i="19"/>
  <c r="BC135" i="19"/>
  <c r="AV135" i="19"/>
  <c r="BC141" i="19"/>
  <c r="AV141" i="19"/>
  <c r="AV175" i="19"/>
  <c r="BC175" i="19"/>
  <c r="BC181" i="19"/>
  <c r="AV181" i="19"/>
  <c r="AV146" i="19"/>
  <c r="BC146" i="19"/>
  <c r="I153" i="19"/>
  <c r="E32" i="18" s="1"/>
  <c r="BC210" i="19"/>
  <c r="AV210" i="19"/>
  <c r="AV72" i="19"/>
  <c r="BC72" i="19"/>
  <c r="AV125" i="19"/>
  <c r="BC125" i="19"/>
  <c r="AV132" i="19"/>
  <c r="BC132" i="19"/>
  <c r="J177" i="19"/>
  <c r="F35" i="18" s="1"/>
  <c r="I280" i="19"/>
  <c r="E38" i="18" s="1"/>
  <c r="BC317" i="19"/>
  <c r="AV317" i="19"/>
  <c r="BC332" i="19"/>
  <c r="AV332" i="19"/>
  <c r="AV349" i="19"/>
  <c r="BC349" i="19"/>
  <c r="BC151" i="19"/>
  <c r="AV151" i="19"/>
  <c r="BC194" i="19"/>
  <c r="AV194" i="19"/>
  <c r="BC214" i="19"/>
  <c r="AV214" i="19"/>
  <c r="AV365" i="19"/>
  <c r="BC365" i="19"/>
  <c r="BC410" i="19"/>
  <c r="AV410" i="19"/>
  <c r="AV437" i="19"/>
  <c r="BC437" i="19"/>
  <c r="BC500" i="19"/>
  <c r="AV500" i="19"/>
  <c r="BC311" i="19"/>
  <c r="AV311" i="19"/>
  <c r="AV369" i="19"/>
  <c r="BC369" i="19"/>
  <c r="BC393" i="19"/>
  <c r="AV393" i="19"/>
  <c r="BC416" i="19"/>
  <c r="AV416" i="19"/>
  <c r="BC431" i="19"/>
  <c r="AV431" i="19"/>
  <c r="J492" i="19"/>
  <c r="F49" i="18" s="1"/>
  <c r="BC315" i="19"/>
  <c r="AV315" i="19"/>
  <c r="AV490" i="19"/>
  <c r="BC390" i="19"/>
  <c r="AV390" i="19"/>
  <c r="AV445" i="19"/>
  <c r="AV452" i="19"/>
  <c r="BC494" i="19"/>
  <c r="AV494" i="19"/>
  <c r="AV518" i="19"/>
  <c r="BC518" i="19"/>
  <c r="AV537" i="19"/>
  <c r="BC537" i="19"/>
  <c r="BC549" i="19"/>
  <c r="AV549" i="19"/>
  <c r="BC561" i="19"/>
  <c r="AV561" i="19"/>
  <c r="AV589" i="19"/>
  <c r="BC589" i="19"/>
  <c r="BC218" i="19"/>
  <c r="AV218" i="19"/>
  <c r="BC370" i="19"/>
  <c r="AV370" i="19"/>
  <c r="BC386" i="19"/>
  <c r="AV386" i="19"/>
  <c r="BC401" i="19"/>
  <c r="AV401" i="19"/>
  <c r="BC467" i="19"/>
  <c r="AV467" i="19"/>
  <c r="AV474" i="19"/>
  <c r="BC474" i="19"/>
  <c r="BC487" i="19"/>
  <c r="AV487" i="19"/>
  <c r="AV497" i="19"/>
  <c r="BC519" i="19"/>
  <c r="AV519" i="19"/>
  <c r="BC535" i="19"/>
  <c r="AV535" i="19"/>
  <c r="BC551" i="19"/>
  <c r="AV551" i="19"/>
  <c r="BC567" i="19"/>
  <c r="AV567" i="19"/>
  <c r="AV578" i="19"/>
  <c r="BC578" i="19"/>
  <c r="BC583" i="19"/>
  <c r="AV583" i="19"/>
  <c r="BC475" i="19"/>
  <c r="AV475" i="19"/>
  <c r="AV574" i="19"/>
  <c r="AV530" i="19"/>
  <c r="AV15" i="19"/>
  <c r="BC15" i="19"/>
  <c r="AV81" i="19"/>
  <c r="BC81" i="19"/>
  <c r="AV20" i="19"/>
  <c r="BC20" i="19"/>
  <c r="BC139" i="19"/>
  <c r="AV139" i="19"/>
  <c r="AV161" i="19"/>
  <c r="BC161" i="19"/>
  <c r="AV33" i="19"/>
  <c r="BC33" i="19"/>
  <c r="AV136" i="19"/>
  <c r="BC136" i="19"/>
  <c r="AV197" i="19"/>
  <c r="BC197" i="19"/>
  <c r="AV178" i="19"/>
  <c r="BC178" i="19"/>
  <c r="BC206" i="19"/>
  <c r="AV206" i="19"/>
  <c r="BC313" i="19"/>
  <c r="BC372" i="19"/>
  <c r="AV372" i="19"/>
  <c r="BC406" i="19"/>
  <c r="AV406" i="19"/>
  <c r="BC489" i="19"/>
  <c r="AV489" i="19"/>
  <c r="AV292" i="19"/>
  <c r="BC292" i="19"/>
  <c r="BC471" i="19"/>
  <c r="AV471" i="19"/>
  <c r="BC483" i="19"/>
  <c r="AV483" i="19"/>
  <c r="BC382" i="19"/>
  <c r="AV382" i="19"/>
  <c r="BC505" i="19"/>
  <c r="AV505" i="19"/>
  <c r="BC525" i="19"/>
  <c r="AV525" i="19"/>
  <c r="AV542" i="19"/>
  <c r="BC542" i="19"/>
  <c r="AV554" i="19"/>
  <c r="BC554" i="19"/>
  <c r="AV577" i="19"/>
  <c r="BC577" i="19"/>
  <c r="BC358" i="19"/>
  <c r="AV358" i="19"/>
  <c r="BC366" i="19"/>
  <c r="AV366" i="19"/>
  <c r="BC374" i="19"/>
  <c r="AV374" i="19"/>
  <c r="AV426" i="19"/>
  <c r="BC453" i="19"/>
  <c r="AV453" i="19"/>
  <c r="AV522" i="19"/>
  <c r="BC522" i="19"/>
  <c r="BC527" i="19"/>
  <c r="AV527" i="19"/>
  <c r="BC543" i="19"/>
  <c r="AV543" i="19"/>
  <c r="BC559" i="19"/>
  <c r="AV559" i="19"/>
  <c r="AV570" i="19"/>
  <c r="BC570" i="19"/>
  <c r="BC575" i="19"/>
  <c r="AV575" i="19"/>
  <c r="AV593" i="19"/>
  <c r="BC593" i="19"/>
  <c r="BC598" i="19"/>
  <c r="AV598" i="19"/>
  <c r="AV470" i="19"/>
  <c r="BC470" i="19"/>
  <c r="AV21" i="19"/>
  <c r="BC21" i="19"/>
  <c r="C15" i="17"/>
  <c r="BC28" i="19"/>
  <c r="AV28" i="19"/>
  <c r="AV73" i="19"/>
  <c r="BC73" i="19"/>
  <c r="I94" i="19"/>
  <c r="E28" i="18" s="1"/>
  <c r="AV113" i="19"/>
  <c r="BC113" i="19"/>
  <c r="AV116" i="19"/>
  <c r="BC116" i="19"/>
  <c r="AV124" i="19"/>
  <c r="BC124" i="19"/>
  <c r="C28" i="17"/>
  <c r="F28" i="17" s="1"/>
  <c r="AV98" i="19"/>
  <c r="BC98" i="19"/>
  <c r="AV67" i="19"/>
  <c r="BC67" i="19"/>
  <c r="BC111" i="19"/>
  <c r="AV111" i="19"/>
  <c r="BC166" i="19"/>
  <c r="AV166" i="19"/>
  <c r="BC176" i="19"/>
  <c r="AV176" i="19"/>
  <c r="BC179" i="19"/>
  <c r="AV179" i="19"/>
  <c r="AV200" i="19"/>
  <c r="BC200" i="19"/>
  <c r="BC51" i="19"/>
  <c r="AV51" i="19"/>
  <c r="AV76" i="19"/>
  <c r="BC76" i="19"/>
  <c r="BC100" i="19"/>
  <c r="AV100" i="19"/>
  <c r="BC118" i="19"/>
  <c r="AV118" i="19"/>
  <c r="AV209" i="19"/>
  <c r="BC209" i="19"/>
  <c r="AV217" i="19"/>
  <c r="BC217" i="19"/>
  <c r="BC87" i="19"/>
  <c r="AV87" i="19"/>
  <c r="AV128" i="19"/>
  <c r="BC128" i="19"/>
  <c r="J134" i="19"/>
  <c r="F31" i="18" s="1"/>
  <c r="AV165" i="19"/>
  <c r="BC165" i="19"/>
  <c r="AV142" i="19"/>
  <c r="BC142" i="19"/>
  <c r="AV229" i="19"/>
  <c r="BC229" i="19"/>
  <c r="BC234" i="19"/>
  <c r="AV234" i="19"/>
  <c r="AV240" i="19"/>
  <c r="BC240" i="19"/>
  <c r="AV269" i="19"/>
  <c r="BC269" i="19"/>
  <c r="AV273" i="19"/>
  <c r="BC273" i="19"/>
  <c r="AV277" i="19"/>
  <c r="BC277" i="19"/>
  <c r="BC60" i="19"/>
  <c r="AV60" i="19"/>
  <c r="AV185" i="19"/>
  <c r="BC185" i="19"/>
  <c r="AV221" i="19"/>
  <c r="BC221" i="19"/>
  <c r="AV225" i="19"/>
  <c r="BC225" i="19"/>
  <c r="AV261" i="19"/>
  <c r="BC261" i="19"/>
  <c r="AV265" i="19"/>
  <c r="BC265" i="19"/>
  <c r="BC283" i="19"/>
  <c r="AV283" i="19"/>
  <c r="AV287" i="19"/>
  <c r="BC287" i="19"/>
  <c r="AV299" i="19"/>
  <c r="BC299" i="19"/>
  <c r="AV306" i="19"/>
  <c r="BC306" i="19"/>
  <c r="AV318" i="19"/>
  <c r="BC318" i="19"/>
  <c r="AV333" i="19"/>
  <c r="BC333" i="19"/>
  <c r="BC147" i="19"/>
  <c r="AV147" i="19"/>
  <c r="AV193" i="19"/>
  <c r="BC193" i="19"/>
  <c r="AV233" i="19"/>
  <c r="BC233" i="19"/>
  <c r="BC248" i="19"/>
  <c r="AV248" i="19"/>
  <c r="BC252" i="19"/>
  <c r="AV252" i="19"/>
  <c r="BC256" i="19"/>
  <c r="AV256" i="19"/>
  <c r="BC260" i="19"/>
  <c r="AV260" i="19"/>
  <c r="AV168" i="19"/>
  <c r="BC168" i="19"/>
  <c r="BC319" i="19"/>
  <c r="AV319" i="19"/>
  <c r="AV326" i="19"/>
  <c r="AV329" i="19"/>
  <c r="BC329" i="19"/>
  <c r="AV310" i="19"/>
  <c r="BC384" i="19"/>
  <c r="AV384" i="19"/>
  <c r="AV400" i="19"/>
  <c r="BC400" i="19"/>
  <c r="AV423" i="19"/>
  <c r="BC423" i="19"/>
  <c r="AV441" i="19"/>
  <c r="BC441" i="19"/>
  <c r="AV501" i="19"/>
  <c r="BC501" i="19"/>
  <c r="BC305" i="19"/>
  <c r="BC330" i="19"/>
  <c r="AV330" i="19"/>
  <c r="BC334" i="19"/>
  <c r="AV334" i="19"/>
  <c r="BC346" i="19"/>
  <c r="AV346" i="19"/>
  <c r="BC496" i="19"/>
  <c r="BC293" i="19"/>
  <c r="AV293" i="19"/>
  <c r="J356" i="19"/>
  <c r="F41" i="18" s="1"/>
  <c r="BC408" i="19"/>
  <c r="AV408" i="19"/>
  <c r="BC449" i="19"/>
  <c r="AV449" i="19"/>
  <c r="BC455" i="19"/>
  <c r="BC463" i="19"/>
  <c r="AV463" i="19"/>
  <c r="AV521" i="19"/>
  <c r="BC521" i="19"/>
  <c r="AV541" i="19"/>
  <c r="BC541" i="19"/>
  <c r="AV553" i="19"/>
  <c r="BC553" i="19"/>
  <c r="BC565" i="19"/>
  <c r="AV565" i="19"/>
  <c r="BC362" i="19"/>
  <c r="AV362" i="19"/>
  <c r="BC427" i="19"/>
  <c r="AV427" i="19"/>
  <c r="BC491" i="19"/>
  <c r="AV491" i="19"/>
  <c r="C17" i="17"/>
  <c r="AV192" i="19"/>
  <c r="BC192" i="19"/>
  <c r="BC412" i="19"/>
  <c r="AV412" i="19"/>
  <c r="AV419" i="19"/>
  <c r="BC419" i="19"/>
  <c r="BC442" i="19"/>
  <c r="AV442" i="19"/>
  <c r="BC446" i="19"/>
  <c r="AV446" i="19"/>
  <c r="BC460" i="19"/>
  <c r="AV460" i="19"/>
  <c r="AV482" i="19"/>
  <c r="BC482" i="19"/>
  <c r="BC498" i="19"/>
  <c r="AV498" i="19"/>
  <c r="BC531" i="19"/>
  <c r="AV531" i="19"/>
  <c r="BC547" i="19"/>
  <c r="AV547" i="19"/>
  <c r="AV558" i="19"/>
  <c r="BC558" i="19"/>
  <c r="BC563" i="19"/>
  <c r="AV563" i="19"/>
  <c r="BC579" i="19"/>
  <c r="AV579" i="19"/>
  <c r="BC397" i="19"/>
  <c r="AV397" i="19"/>
  <c r="AV582" i="19"/>
  <c r="AV586" i="19"/>
  <c r="AV508" i="19"/>
  <c r="BC131" i="15"/>
  <c r="AV131" i="15"/>
  <c r="AV209" i="15"/>
  <c r="BC209" i="15"/>
  <c r="AV240" i="15"/>
  <c r="BC240" i="15"/>
  <c r="AV248" i="15"/>
  <c r="BC248" i="15"/>
  <c r="BC225" i="15"/>
  <c r="AV225" i="15"/>
  <c r="AV117" i="15"/>
  <c r="BC117" i="15"/>
  <c r="AV323" i="15"/>
  <c r="BC323" i="15"/>
  <c r="AV335" i="15"/>
  <c r="BC335" i="15"/>
  <c r="AV365" i="15"/>
  <c r="BC365" i="15"/>
  <c r="BC332" i="15"/>
  <c r="AV332" i="15"/>
  <c r="AV350" i="15"/>
  <c r="BC350" i="15"/>
  <c r="AV408" i="15"/>
  <c r="BC408" i="15"/>
  <c r="AV369" i="15"/>
  <c r="BC369" i="15"/>
  <c r="BC425" i="15"/>
  <c r="AV425" i="15"/>
  <c r="BC464" i="15"/>
  <c r="AV464" i="15"/>
  <c r="BC434" i="15"/>
  <c r="AV434" i="15"/>
  <c r="BC490" i="15"/>
  <c r="AV490" i="15"/>
  <c r="BC524" i="15"/>
  <c r="AV524" i="15"/>
  <c r="BC535" i="15"/>
  <c r="AV535" i="15"/>
  <c r="BC565" i="15"/>
  <c r="AV565" i="15"/>
  <c r="BC581" i="15"/>
  <c r="AV581" i="15"/>
  <c r="BC597" i="15"/>
  <c r="AV597" i="15"/>
  <c r="AV631" i="15"/>
  <c r="AV49" i="15"/>
  <c r="BC49" i="15"/>
  <c r="AT12" i="15"/>
  <c r="BC14" i="15"/>
  <c r="AV14" i="15"/>
  <c r="J30" i="15"/>
  <c r="F15" i="14" s="1"/>
  <c r="BC41" i="15"/>
  <c r="AV41" i="15"/>
  <c r="BC18" i="15"/>
  <c r="AV18" i="15"/>
  <c r="AV55" i="15"/>
  <c r="BC68" i="15"/>
  <c r="AV68" i="15"/>
  <c r="J122" i="15"/>
  <c r="F31" i="14" s="1"/>
  <c r="BC29" i="15"/>
  <c r="AV29" i="15"/>
  <c r="AV58" i="15"/>
  <c r="AV106" i="15"/>
  <c r="BC106" i="15"/>
  <c r="J111" i="15"/>
  <c r="F30" i="14" s="1"/>
  <c r="AV165" i="15"/>
  <c r="BC165" i="15"/>
  <c r="I21" i="15"/>
  <c r="E13" i="14" s="1"/>
  <c r="BC62" i="15"/>
  <c r="AV62" i="15"/>
  <c r="AV93" i="15"/>
  <c r="BC93" i="15"/>
  <c r="AV180" i="15"/>
  <c r="BC180" i="15"/>
  <c r="BC139" i="15"/>
  <c r="AV139" i="15"/>
  <c r="I243" i="15"/>
  <c r="E39" i="14" s="1"/>
  <c r="AV271" i="15"/>
  <c r="BC271" i="15"/>
  <c r="AV308" i="15"/>
  <c r="BC308" i="15"/>
  <c r="BC171" i="15"/>
  <c r="BC232" i="15"/>
  <c r="AV232" i="15"/>
  <c r="BC236" i="15"/>
  <c r="AV236" i="15"/>
  <c r="BC299" i="15"/>
  <c r="AV299" i="15"/>
  <c r="BC303" i="15"/>
  <c r="AV303" i="15"/>
  <c r="BC307" i="15"/>
  <c r="AV307" i="15"/>
  <c r="AV149" i="15"/>
  <c r="BC149" i="15"/>
  <c r="BC177" i="15"/>
  <c r="AV177" i="15"/>
  <c r="BC221" i="15"/>
  <c r="AV256" i="15"/>
  <c r="BC256" i="15"/>
  <c r="AV362" i="15"/>
  <c r="BC362" i="15"/>
  <c r="BC160" i="15"/>
  <c r="AV160" i="15"/>
  <c r="BC313" i="15"/>
  <c r="AV313" i="15"/>
  <c r="AV327" i="15"/>
  <c r="BC327" i="15"/>
  <c r="AV361" i="15"/>
  <c r="BC361" i="15"/>
  <c r="J363" i="15"/>
  <c r="F42" i="14" s="1"/>
  <c r="AV326" i="15"/>
  <c r="BC326" i="15"/>
  <c r="AV380" i="15"/>
  <c r="BC380" i="15"/>
  <c r="AV424" i="15"/>
  <c r="BC424" i="15"/>
  <c r="AV186" i="15"/>
  <c r="BC186" i="15"/>
  <c r="BC297" i="15"/>
  <c r="AV297" i="15"/>
  <c r="BC355" i="15"/>
  <c r="AV355" i="15"/>
  <c r="AV368" i="15"/>
  <c r="BC368" i="15"/>
  <c r="AV320" i="15"/>
  <c r="BC320" i="15"/>
  <c r="AV400" i="15"/>
  <c r="BC400" i="15"/>
  <c r="BC413" i="15"/>
  <c r="AV413" i="15"/>
  <c r="BC443" i="15"/>
  <c r="AV456" i="15"/>
  <c r="BC395" i="15"/>
  <c r="AV423" i="15"/>
  <c r="AV444" i="15"/>
  <c r="AV292" i="15"/>
  <c r="BC292" i="15"/>
  <c r="AV385" i="15"/>
  <c r="BC385" i="15"/>
  <c r="BC438" i="15"/>
  <c r="AV438" i="15"/>
  <c r="BC445" i="15"/>
  <c r="AV445" i="15"/>
  <c r="AV460" i="15"/>
  <c r="BC486" i="15"/>
  <c r="AV486" i="15"/>
  <c r="BC504" i="15"/>
  <c r="AV504" i="15"/>
  <c r="BC520" i="15"/>
  <c r="AV520" i="15"/>
  <c r="BC531" i="15"/>
  <c r="AV531" i="15"/>
  <c r="BC561" i="15"/>
  <c r="AV561" i="15"/>
  <c r="BC577" i="15"/>
  <c r="AV577" i="15"/>
  <c r="BC593" i="15"/>
  <c r="AV593" i="15"/>
  <c r="BC609" i="15"/>
  <c r="AV609" i="15"/>
  <c r="BC632" i="15"/>
  <c r="AV632" i="15"/>
  <c r="AV620" i="15"/>
  <c r="AV564" i="15"/>
  <c r="AV560" i="15"/>
  <c r="AV588" i="15"/>
  <c r="AV496" i="15"/>
  <c r="AV47" i="15"/>
  <c r="BC47" i="15"/>
  <c r="AV83" i="15"/>
  <c r="BC83" i="15"/>
  <c r="AV123" i="15"/>
  <c r="BC123" i="15"/>
  <c r="BC38" i="15"/>
  <c r="AV38" i="15"/>
  <c r="BC112" i="15"/>
  <c r="AV112" i="15"/>
  <c r="BC109" i="15"/>
  <c r="AV109" i="15"/>
  <c r="AV141" i="15"/>
  <c r="BC141" i="15"/>
  <c r="AV197" i="15"/>
  <c r="BC197" i="15"/>
  <c r="AV157" i="15"/>
  <c r="BC157" i="15"/>
  <c r="AV82" i="15"/>
  <c r="BC82" i="15"/>
  <c r="AV213" i="15"/>
  <c r="BC213" i="15"/>
  <c r="BC230" i="15"/>
  <c r="AV230" i="15"/>
  <c r="AV244" i="15"/>
  <c r="BC244" i="15"/>
  <c r="AV283" i="15"/>
  <c r="BC283" i="15"/>
  <c r="AV138" i="15"/>
  <c r="BC138" i="15"/>
  <c r="AV260" i="15"/>
  <c r="BC260" i="15"/>
  <c r="AV268" i="15"/>
  <c r="BC268" i="15"/>
  <c r="BC54" i="15"/>
  <c r="AV54" i="15"/>
  <c r="AV331" i="15"/>
  <c r="BC331" i="15"/>
  <c r="AV217" i="15"/>
  <c r="AV342" i="15"/>
  <c r="BC342" i="15"/>
  <c r="BC374" i="15"/>
  <c r="AV374" i="15"/>
  <c r="BC468" i="15"/>
  <c r="AV468" i="15"/>
  <c r="BC125" i="15"/>
  <c r="AV125" i="15"/>
  <c r="BC46" i="15"/>
  <c r="AV46" i="15"/>
  <c r="AV24" i="15"/>
  <c r="BC137" i="15"/>
  <c r="AV137" i="15"/>
  <c r="AV69" i="15"/>
  <c r="BC116" i="15"/>
  <c r="AV116" i="15"/>
  <c r="BC135" i="15"/>
  <c r="AV135" i="15"/>
  <c r="AV121" i="15"/>
  <c r="BC121" i="15"/>
  <c r="AV196" i="15"/>
  <c r="BC196" i="15"/>
  <c r="AV67" i="15"/>
  <c r="BC67" i="15"/>
  <c r="BC118" i="15"/>
  <c r="AV118" i="15"/>
  <c r="AV153" i="15"/>
  <c r="BC153" i="15"/>
  <c r="BC189" i="15"/>
  <c r="AV189" i="15"/>
  <c r="AV193" i="15"/>
  <c r="BC193" i="15"/>
  <c r="BC152" i="15"/>
  <c r="BC164" i="15"/>
  <c r="AV164" i="15"/>
  <c r="AV176" i="15"/>
  <c r="BC176" i="15"/>
  <c r="AV206" i="15"/>
  <c r="BC206" i="15"/>
  <c r="AV210" i="15"/>
  <c r="BC210" i="15"/>
  <c r="AV214" i="15"/>
  <c r="BC214" i="15"/>
  <c r="AV241" i="15"/>
  <c r="BC241" i="15"/>
  <c r="AV247" i="15"/>
  <c r="BC247" i="15"/>
  <c r="AV251" i="15"/>
  <c r="BC251" i="15"/>
  <c r="AV280" i="15"/>
  <c r="BC280" i="15"/>
  <c r="AV284" i="15"/>
  <c r="BC284" i="15"/>
  <c r="AV102" i="15"/>
  <c r="BC102" i="15"/>
  <c r="AV202" i="15"/>
  <c r="BC202" i="15"/>
  <c r="AV222" i="15"/>
  <c r="BC222" i="15"/>
  <c r="BC263" i="15"/>
  <c r="AV263" i="15"/>
  <c r="BC267" i="15"/>
  <c r="AV267" i="15"/>
  <c r="I145" i="15"/>
  <c r="E32" i="14" s="1"/>
  <c r="BC173" i="15"/>
  <c r="AV173" i="15"/>
  <c r="AV156" i="15"/>
  <c r="BC156" i="15"/>
  <c r="AV334" i="15"/>
  <c r="BC334" i="15"/>
  <c r="AV338" i="15"/>
  <c r="BC338" i="15"/>
  <c r="BC255" i="15"/>
  <c r="BC143" i="15"/>
  <c r="AV143" i="15"/>
  <c r="AV218" i="15"/>
  <c r="BC218" i="15"/>
  <c r="AV228" i="15"/>
  <c r="BC277" i="15"/>
  <c r="AV277" i="15"/>
  <c r="BC293" i="15"/>
  <c r="AV293" i="15"/>
  <c r="BC341" i="15"/>
  <c r="AV341" i="15"/>
  <c r="BC345" i="15"/>
  <c r="AV345" i="15"/>
  <c r="BC349" i="15"/>
  <c r="AV349" i="15"/>
  <c r="BC370" i="15"/>
  <c r="AV370" i="15"/>
  <c r="AV411" i="15"/>
  <c r="BC411" i="15"/>
  <c r="BC169" i="15"/>
  <c r="AV169" i="15"/>
  <c r="BC219" i="15"/>
  <c r="AV219" i="15"/>
  <c r="AV311" i="15"/>
  <c r="BC311" i="15"/>
  <c r="AV353" i="15"/>
  <c r="AV372" i="15"/>
  <c r="BC372" i="15"/>
  <c r="BC393" i="15"/>
  <c r="AV393" i="15"/>
  <c r="BC409" i="15"/>
  <c r="AV409" i="15"/>
  <c r="BC397" i="15"/>
  <c r="AV397" i="15"/>
  <c r="BC430" i="15"/>
  <c r="AV430" i="15"/>
  <c r="BC453" i="15"/>
  <c r="AV453" i="15"/>
  <c r="AV466" i="15"/>
  <c r="BC475" i="15"/>
  <c r="AV475" i="15"/>
  <c r="AV330" i="15"/>
  <c r="AV399" i="15"/>
  <c r="BC399" i="15"/>
  <c r="BC449" i="15"/>
  <c r="AV449" i="15"/>
  <c r="BC457" i="15"/>
  <c r="AV457" i="15"/>
  <c r="BC479" i="15"/>
  <c r="AV479" i="15"/>
  <c r="AV124" i="15"/>
  <c r="BC124" i="15"/>
  <c r="AV467" i="15"/>
  <c r="BC295" i="15"/>
  <c r="AV295" i="15"/>
  <c r="BC382" i="15"/>
  <c r="AV382" i="15"/>
  <c r="BC390" i="15"/>
  <c r="AV390" i="15"/>
  <c r="AV415" i="15"/>
  <c r="BC415" i="15"/>
  <c r="BC500" i="15"/>
  <c r="AV500" i="15"/>
  <c r="BC516" i="15"/>
  <c r="AV516" i="15"/>
  <c r="BC543" i="15"/>
  <c r="AV543" i="15"/>
  <c r="BC557" i="15"/>
  <c r="AV557" i="15"/>
  <c r="BC573" i="15"/>
  <c r="AV573" i="15"/>
  <c r="BC589" i="15"/>
  <c r="AV589" i="15"/>
  <c r="BC605" i="15"/>
  <c r="AV605" i="15"/>
  <c r="BC621" i="15"/>
  <c r="AV621" i="15"/>
  <c r="BC628" i="15"/>
  <c r="AV628" i="15"/>
  <c r="AV503" i="15"/>
  <c r="AV530" i="15"/>
  <c r="AV568" i="15"/>
  <c r="AV624" i="15"/>
  <c r="AV600" i="15"/>
  <c r="AV552" i="15"/>
  <c r="AV15" i="15"/>
  <c r="BC15" i="15"/>
  <c r="BC120" i="15"/>
  <c r="AV120" i="15"/>
  <c r="AV128" i="15"/>
  <c r="BC128" i="15"/>
  <c r="AV105" i="15"/>
  <c r="BC105" i="15"/>
  <c r="BC22" i="15"/>
  <c r="AV22" i="15"/>
  <c r="AV99" i="15"/>
  <c r="BC99" i="15"/>
  <c r="AV190" i="15"/>
  <c r="BC190" i="15"/>
  <c r="AV252" i="15"/>
  <c r="BC252" i="15"/>
  <c r="BC150" i="15"/>
  <c r="AV150" i="15"/>
  <c r="AV205" i="15"/>
  <c r="BC205" i="15"/>
  <c r="AV264" i="15"/>
  <c r="BC264" i="15"/>
  <c r="AV229" i="15"/>
  <c r="BC229" i="15"/>
  <c r="BC114" i="15"/>
  <c r="AV114" i="15"/>
  <c r="AV296" i="15"/>
  <c r="BC296" i="15"/>
  <c r="BC257" i="15"/>
  <c r="AV257" i="15"/>
  <c r="AV346" i="15"/>
  <c r="BC346" i="15"/>
  <c r="AV364" i="15"/>
  <c r="BC364" i="15"/>
  <c r="AV412" i="15"/>
  <c r="BC412" i="15"/>
  <c r="AV276" i="15"/>
  <c r="BC276" i="15"/>
  <c r="AV322" i="15"/>
  <c r="BC386" i="15"/>
  <c r="AV386" i="15"/>
  <c r="BC497" i="15"/>
  <c r="AV497" i="15"/>
  <c r="BC508" i="15"/>
  <c r="AV508" i="15"/>
  <c r="BC613" i="15"/>
  <c r="AV613" i="15"/>
  <c r="AV592" i="15"/>
  <c r="AV53" i="15"/>
  <c r="BC53" i="15"/>
  <c r="BC51" i="15"/>
  <c r="AV51" i="15"/>
  <c r="AV25" i="15"/>
  <c r="BC25" i="15"/>
  <c r="BC34" i="15"/>
  <c r="AV34" i="15"/>
  <c r="BC57" i="15"/>
  <c r="AV57" i="15"/>
  <c r="AV110" i="15"/>
  <c r="BC110" i="15"/>
  <c r="AV132" i="15"/>
  <c r="BC132" i="15"/>
  <c r="G11" i="14"/>
  <c r="I11" i="14" s="1"/>
  <c r="G56" i="14" s="1"/>
  <c r="K633" i="15"/>
  <c r="AV50" i="15"/>
  <c r="BC50" i="15"/>
  <c r="AV87" i="15"/>
  <c r="BC87" i="15"/>
  <c r="AV113" i="15"/>
  <c r="BC113" i="15"/>
  <c r="AV161" i="15"/>
  <c r="BC161" i="15"/>
  <c r="C14" i="13"/>
  <c r="AV28" i="15"/>
  <c r="BC28" i="15"/>
  <c r="BC66" i="15"/>
  <c r="AV66" i="15"/>
  <c r="BC148" i="15"/>
  <c r="AV148" i="15"/>
  <c r="BC179" i="15"/>
  <c r="AV179" i="15"/>
  <c r="AV184" i="15"/>
  <c r="BC184" i="15"/>
  <c r="I192" i="15"/>
  <c r="E36" i="14" s="1"/>
  <c r="AV96" i="15"/>
  <c r="BC96" i="15"/>
  <c r="AV272" i="15"/>
  <c r="BC272" i="15"/>
  <c r="AV31" i="15"/>
  <c r="BC31" i="15"/>
  <c r="BC76" i="15"/>
  <c r="AV76" i="15"/>
  <c r="AV175" i="15"/>
  <c r="BC175" i="15"/>
  <c r="I201" i="15"/>
  <c r="E37" i="14" s="1"/>
  <c r="AV233" i="15"/>
  <c r="BC233" i="15"/>
  <c r="AV237" i="15"/>
  <c r="BC237" i="15"/>
  <c r="AV279" i="15"/>
  <c r="BC279" i="15"/>
  <c r="AV300" i="15"/>
  <c r="BC300" i="15"/>
  <c r="AV304" i="15"/>
  <c r="BC304" i="15"/>
  <c r="AV316" i="15"/>
  <c r="BC316" i="15"/>
  <c r="AV88" i="15"/>
  <c r="BC88" i="15"/>
  <c r="AV127" i="15"/>
  <c r="BC127" i="15"/>
  <c r="AV172" i="15"/>
  <c r="BC172" i="15"/>
  <c r="AV90" i="15"/>
  <c r="BC90" i="15"/>
  <c r="AV136" i="15"/>
  <c r="BC136" i="15"/>
  <c r="AV288" i="15"/>
  <c r="BC288" i="15"/>
  <c r="AV312" i="15"/>
  <c r="BC312" i="15"/>
  <c r="AV354" i="15"/>
  <c r="BC354" i="15"/>
  <c r="AV381" i="15"/>
  <c r="BC381" i="15"/>
  <c r="AV142" i="15"/>
  <c r="BC142" i="15"/>
  <c r="BC289" i="15"/>
  <c r="AV289" i="15"/>
  <c r="BC315" i="15"/>
  <c r="BC324" i="15"/>
  <c r="AV324" i="15"/>
  <c r="BC336" i="15"/>
  <c r="AV336" i="15"/>
  <c r="AV358" i="15"/>
  <c r="BC358" i="15"/>
  <c r="I168" i="15"/>
  <c r="E33" i="14" s="1"/>
  <c r="BC357" i="15"/>
  <c r="AV404" i="15"/>
  <c r="BC404" i="15"/>
  <c r="AV420" i="15"/>
  <c r="BC420" i="15"/>
  <c r="AV377" i="15"/>
  <c r="BC377" i="15"/>
  <c r="AV416" i="15"/>
  <c r="BC416" i="15"/>
  <c r="AV373" i="15"/>
  <c r="BC373" i="15"/>
  <c r="BC378" i="15"/>
  <c r="AV378" i="15"/>
  <c r="AV396" i="15"/>
  <c r="BC396" i="15"/>
  <c r="AV287" i="15"/>
  <c r="BC287" i="15"/>
  <c r="AV388" i="15"/>
  <c r="BC388" i="15"/>
  <c r="AV437" i="15"/>
  <c r="AV470" i="15"/>
  <c r="AV389" i="15"/>
  <c r="BC389" i="15"/>
  <c r="BC441" i="15"/>
  <c r="AV441" i="15"/>
  <c r="BC483" i="15"/>
  <c r="AV483" i="15"/>
  <c r="BC512" i="15"/>
  <c r="AV512" i="15"/>
  <c r="BC528" i="15"/>
  <c r="AV528" i="15"/>
  <c r="BC539" i="15"/>
  <c r="AV539" i="15"/>
  <c r="BC553" i="15"/>
  <c r="AV553" i="15"/>
  <c r="BC569" i="15"/>
  <c r="AV569" i="15"/>
  <c r="BC585" i="15"/>
  <c r="AV585" i="15"/>
  <c r="BC601" i="15"/>
  <c r="AV601" i="15"/>
  <c r="BC617" i="15"/>
  <c r="AV617" i="15"/>
  <c r="AV384" i="15"/>
  <c r="BC384" i="15"/>
  <c r="AV515" i="15"/>
  <c r="AV576" i="15"/>
  <c r="AV511" i="15"/>
  <c r="AV507" i="15"/>
  <c r="AV538" i="15"/>
  <c r="AV604" i="15"/>
  <c r="AV519" i="15"/>
  <c r="AV572" i="15"/>
  <c r="AV608" i="15"/>
  <c r="AV627" i="15"/>
  <c r="AV556" i="15"/>
  <c r="AV25" i="11"/>
  <c r="BC25" i="11"/>
  <c r="BC77" i="11"/>
  <c r="AV77" i="11"/>
  <c r="BC32" i="11"/>
  <c r="AV32" i="11"/>
  <c r="BC149" i="11"/>
  <c r="AV149" i="11"/>
  <c r="BC63" i="11"/>
  <c r="AV63" i="11"/>
  <c r="BC122" i="11"/>
  <c r="AV122" i="11"/>
  <c r="AV141" i="11"/>
  <c r="BC141" i="11"/>
  <c r="AV161" i="11"/>
  <c r="BC161" i="11"/>
  <c r="AV187" i="11"/>
  <c r="BC187" i="11"/>
  <c r="AV191" i="11"/>
  <c r="BC191" i="11"/>
  <c r="BC100" i="11"/>
  <c r="AV100" i="11"/>
  <c r="AV157" i="11"/>
  <c r="BC157" i="11"/>
  <c r="AV205" i="11"/>
  <c r="BC205" i="11"/>
  <c r="BC106" i="11"/>
  <c r="AV106" i="11"/>
  <c r="AV242" i="11"/>
  <c r="BC242" i="11"/>
  <c r="AV246" i="11"/>
  <c r="BC246" i="11"/>
  <c r="AV250" i="11"/>
  <c r="BC250" i="11"/>
  <c r="AV287" i="11"/>
  <c r="BC287" i="11"/>
  <c r="AV158" i="11"/>
  <c r="BC158" i="11"/>
  <c r="AV173" i="11"/>
  <c r="BC173" i="11"/>
  <c r="C16" i="9"/>
  <c r="AV299" i="11"/>
  <c r="BC299" i="11"/>
  <c r="C28" i="9"/>
  <c r="BC163" i="11"/>
  <c r="AV163" i="11"/>
  <c r="BC216" i="11"/>
  <c r="AV216" i="11"/>
  <c r="AV259" i="11"/>
  <c r="BC259" i="11"/>
  <c r="AV263" i="11"/>
  <c r="BC263" i="11"/>
  <c r="AV267" i="11"/>
  <c r="BC267" i="11"/>
  <c r="AV271" i="11"/>
  <c r="BC271" i="11"/>
  <c r="AV275" i="11"/>
  <c r="BC275" i="11"/>
  <c r="AV279" i="11"/>
  <c r="BC279" i="11"/>
  <c r="AV283" i="11"/>
  <c r="BC283" i="11"/>
  <c r="BC94" i="11"/>
  <c r="AV94" i="11"/>
  <c r="BC214" i="11"/>
  <c r="AV214" i="11"/>
  <c r="AV325" i="11"/>
  <c r="BC325" i="11"/>
  <c r="AV329" i="11"/>
  <c r="BC329" i="11"/>
  <c r="BC233" i="11"/>
  <c r="AV233" i="11"/>
  <c r="AV290" i="11"/>
  <c r="BC290" i="11"/>
  <c r="BC304" i="11"/>
  <c r="AV304" i="11"/>
  <c r="AV311" i="11"/>
  <c r="BC311" i="11"/>
  <c r="AV315" i="11"/>
  <c r="BC315" i="11"/>
  <c r="AV321" i="11"/>
  <c r="BC321" i="11"/>
  <c r="BC336" i="11"/>
  <c r="AV336" i="11"/>
  <c r="AV344" i="11"/>
  <c r="BC344" i="11"/>
  <c r="AV180" i="11"/>
  <c r="BC180" i="11"/>
  <c r="AV227" i="11"/>
  <c r="BC227" i="11"/>
  <c r="AV307" i="11"/>
  <c r="BC307" i="11"/>
  <c r="BC368" i="11"/>
  <c r="AV368" i="11"/>
  <c r="BC376" i="11"/>
  <c r="AV376" i="11"/>
  <c r="BC345" i="11"/>
  <c r="AV345" i="11"/>
  <c r="BC388" i="11"/>
  <c r="AV388" i="11"/>
  <c r="AV398" i="11"/>
  <c r="BC398" i="11"/>
  <c r="AV406" i="11"/>
  <c r="BC406" i="11"/>
  <c r="AV414" i="11"/>
  <c r="BC414" i="11"/>
  <c r="AV422" i="11"/>
  <c r="BC422" i="11"/>
  <c r="AV430" i="11"/>
  <c r="BC430" i="11"/>
  <c r="AV437" i="11"/>
  <c r="BC437" i="11"/>
  <c r="AV445" i="11"/>
  <c r="BC445" i="11"/>
  <c r="BC455" i="11"/>
  <c r="AV455" i="11"/>
  <c r="BC463" i="11"/>
  <c r="AV463" i="11"/>
  <c r="BC478" i="11"/>
  <c r="AV478" i="11"/>
  <c r="AV486" i="11"/>
  <c r="BC486" i="11"/>
  <c r="AV497" i="11"/>
  <c r="BC497" i="11"/>
  <c r="BC510" i="11"/>
  <c r="AV510" i="11"/>
  <c r="BC518" i="11"/>
  <c r="AV518" i="11"/>
  <c r="BC254" i="11"/>
  <c r="BC308" i="11"/>
  <c r="AV308" i="11"/>
  <c r="BC370" i="11"/>
  <c r="BC395" i="11"/>
  <c r="AV395" i="11"/>
  <c r="BC206" i="11"/>
  <c r="AV206" i="11"/>
  <c r="BC380" i="11"/>
  <c r="AV380" i="11"/>
  <c r="AV535" i="11"/>
  <c r="BC535" i="11"/>
  <c r="BC539" i="11"/>
  <c r="AV539" i="11"/>
  <c r="AV597" i="11"/>
  <c r="BC597" i="11"/>
  <c r="J447" i="11"/>
  <c r="F45" i="10" s="1"/>
  <c r="AV530" i="11"/>
  <c r="BC530" i="11"/>
  <c r="BC434" i="11"/>
  <c r="AV434" i="11"/>
  <c r="BC476" i="11"/>
  <c r="AV476" i="11"/>
  <c r="BC544" i="11"/>
  <c r="AV544" i="11"/>
  <c r="BC574" i="11"/>
  <c r="AV574" i="11"/>
  <c r="BC590" i="11"/>
  <c r="AV590" i="11"/>
  <c r="AV601" i="11"/>
  <c r="BC601" i="11"/>
  <c r="BC606" i="11"/>
  <c r="AV606" i="11"/>
  <c r="AV624" i="11"/>
  <c r="BC624" i="11"/>
  <c r="AV585" i="11"/>
  <c r="AV15" i="11"/>
  <c r="BC15" i="11"/>
  <c r="AV46" i="11"/>
  <c r="BC46" i="11"/>
  <c r="AV53" i="11"/>
  <c r="BC53" i="11"/>
  <c r="AV50" i="11"/>
  <c r="BC50" i="11"/>
  <c r="BC34" i="11"/>
  <c r="AV34" i="11"/>
  <c r="BC14" i="11"/>
  <c r="AV14" i="11"/>
  <c r="AV31" i="11"/>
  <c r="BC31" i="11"/>
  <c r="BC18" i="11"/>
  <c r="AV18" i="11"/>
  <c r="AV59" i="11"/>
  <c r="BC59" i="11"/>
  <c r="AV119" i="11"/>
  <c r="BC119" i="11"/>
  <c r="AV145" i="11"/>
  <c r="BC145" i="11"/>
  <c r="C14" i="9"/>
  <c r="AV58" i="11"/>
  <c r="BC58" i="11"/>
  <c r="I62" i="11"/>
  <c r="E24" i="10" s="1"/>
  <c r="BC88" i="11"/>
  <c r="AV88" i="11"/>
  <c r="BC111" i="11"/>
  <c r="AV111" i="11"/>
  <c r="BC148" i="11"/>
  <c r="AV148" i="11"/>
  <c r="BC69" i="11"/>
  <c r="AV69" i="11"/>
  <c r="AV99" i="11"/>
  <c r="BC99" i="11"/>
  <c r="BC113" i="11"/>
  <c r="AV113" i="11"/>
  <c r="BC193" i="11"/>
  <c r="AV193" i="11"/>
  <c r="AV105" i="11"/>
  <c r="BC105" i="11"/>
  <c r="BC118" i="11"/>
  <c r="AV118" i="11"/>
  <c r="BC168" i="11"/>
  <c r="AV168" i="11"/>
  <c r="AV197" i="11"/>
  <c r="J241" i="11"/>
  <c r="F39" i="10" s="1"/>
  <c r="AV82" i="11"/>
  <c r="BC82" i="11"/>
  <c r="AV134" i="11"/>
  <c r="BC134" i="11"/>
  <c r="AV165" i="11"/>
  <c r="BC165" i="11"/>
  <c r="AV198" i="11"/>
  <c r="BC198" i="11"/>
  <c r="BC220" i="11"/>
  <c r="AV220" i="11"/>
  <c r="BC224" i="11"/>
  <c r="AV224" i="11"/>
  <c r="BC65" i="11"/>
  <c r="AV162" i="11"/>
  <c r="BC162" i="11"/>
  <c r="AV93" i="11"/>
  <c r="BC93" i="11"/>
  <c r="AV213" i="11"/>
  <c r="BC213" i="11"/>
  <c r="BC151" i="11"/>
  <c r="AV151" i="11"/>
  <c r="AV232" i="11"/>
  <c r="BC232" i="11"/>
  <c r="AV240" i="11"/>
  <c r="BC240" i="11"/>
  <c r="J317" i="11"/>
  <c r="F40" i="10" s="1"/>
  <c r="AV337" i="11"/>
  <c r="BC337" i="11"/>
  <c r="BC347" i="11"/>
  <c r="AV347" i="11"/>
  <c r="AV371" i="11"/>
  <c r="BC371" i="11"/>
  <c r="AV231" i="11"/>
  <c r="BC231" i="11"/>
  <c r="BC129" i="11"/>
  <c r="AV129" i="11"/>
  <c r="BC199" i="11"/>
  <c r="AV199" i="11"/>
  <c r="BC334" i="11"/>
  <c r="AV334" i="11"/>
  <c r="BC417" i="11"/>
  <c r="AV417" i="11"/>
  <c r="BC432" i="11"/>
  <c r="AV432" i="11"/>
  <c r="AV448" i="11"/>
  <c r="BC448" i="11"/>
  <c r="AV456" i="11"/>
  <c r="BC456" i="11"/>
  <c r="AV464" i="11"/>
  <c r="BC464" i="11"/>
  <c r="AV472" i="11"/>
  <c r="BC472" i="11"/>
  <c r="BC481" i="11"/>
  <c r="AV481" i="11"/>
  <c r="BC489" i="11"/>
  <c r="AV489" i="11"/>
  <c r="AV511" i="11"/>
  <c r="BC511" i="11"/>
  <c r="AV519" i="11"/>
  <c r="BC519" i="11"/>
  <c r="BC292" i="11"/>
  <c r="AV292" i="11"/>
  <c r="BC349" i="11"/>
  <c r="AV349" i="11"/>
  <c r="BC372" i="11"/>
  <c r="AV372" i="11"/>
  <c r="AV379" i="11"/>
  <c r="I394" i="11"/>
  <c r="E43" i="10" s="1"/>
  <c r="AV295" i="11"/>
  <c r="BC295" i="11"/>
  <c r="AV356" i="11"/>
  <c r="BC440" i="11"/>
  <c r="BC403" i="11"/>
  <c r="AV403" i="11"/>
  <c r="BC419" i="11"/>
  <c r="AV419" i="11"/>
  <c r="BC494" i="11"/>
  <c r="AV494" i="11"/>
  <c r="AV549" i="11"/>
  <c r="BC549" i="11"/>
  <c r="BC423" i="11"/>
  <c r="AV423" i="11"/>
  <c r="BC449" i="11"/>
  <c r="AV449" i="11"/>
  <c r="BC471" i="11"/>
  <c r="BC483" i="11"/>
  <c r="AV483" i="11"/>
  <c r="BC550" i="11"/>
  <c r="AV550" i="11"/>
  <c r="AV557" i="11"/>
  <c r="BC557" i="11"/>
  <c r="BC399" i="11"/>
  <c r="AV399" i="11"/>
  <c r="BC505" i="11"/>
  <c r="AV505" i="11"/>
  <c r="AV306" i="11"/>
  <c r="BC306" i="11"/>
  <c r="BC469" i="11"/>
  <c r="AV469" i="11"/>
  <c r="AV527" i="11"/>
  <c r="BC527" i="11"/>
  <c r="BC570" i="11"/>
  <c r="AV570" i="11"/>
  <c r="BC586" i="11"/>
  <c r="AV586" i="11"/>
  <c r="BC602" i="11"/>
  <c r="AV602" i="11"/>
  <c r="AV589" i="11"/>
  <c r="AV565" i="11"/>
  <c r="AV593" i="11"/>
  <c r="AV605" i="11"/>
  <c r="BC596" i="11"/>
  <c r="AV573" i="11"/>
  <c r="AV28" i="11"/>
  <c r="BC28" i="11"/>
  <c r="AT12" i="11"/>
  <c r="AV71" i="11"/>
  <c r="BC71" i="11"/>
  <c r="AV27" i="11"/>
  <c r="BC27" i="11"/>
  <c r="BC44" i="11"/>
  <c r="AV44" i="11"/>
  <c r="AV66" i="11"/>
  <c r="BC66" i="11"/>
  <c r="BC83" i="11"/>
  <c r="AV83" i="11"/>
  <c r="AV102" i="11"/>
  <c r="BC102" i="11"/>
  <c r="AV130" i="11"/>
  <c r="BC130" i="11"/>
  <c r="AV137" i="11"/>
  <c r="BC137" i="11"/>
  <c r="BC22" i="11"/>
  <c r="AV22" i="11"/>
  <c r="AV142" i="11"/>
  <c r="BC142" i="11"/>
  <c r="AV154" i="11"/>
  <c r="BC154" i="11"/>
  <c r="AV190" i="11"/>
  <c r="BC190" i="11"/>
  <c r="AV78" i="11"/>
  <c r="BC78" i="11"/>
  <c r="BC124" i="11"/>
  <c r="AV124" i="11"/>
  <c r="BC139" i="11"/>
  <c r="AV139" i="11"/>
  <c r="AV183" i="11"/>
  <c r="BC183" i="11"/>
  <c r="AV186" i="11"/>
  <c r="BC186" i="11"/>
  <c r="J192" i="11"/>
  <c r="F36" i="10" s="1"/>
  <c r="BC204" i="11"/>
  <c r="AV204" i="11"/>
  <c r="BC135" i="11"/>
  <c r="AV135" i="11"/>
  <c r="BC178" i="11"/>
  <c r="AV178" i="11"/>
  <c r="AV243" i="11"/>
  <c r="BC243" i="11"/>
  <c r="AV247" i="11"/>
  <c r="BC247" i="11"/>
  <c r="AV251" i="11"/>
  <c r="BC251" i="11"/>
  <c r="AV112" i="11"/>
  <c r="BC112" i="11"/>
  <c r="BC144" i="11"/>
  <c r="AV144" i="11"/>
  <c r="BC208" i="11"/>
  <c r="AV208" i="11"/>
  <c r="AV217" i="11"/>
  <c r="BC217" i="11"/>
  <c r="BC262" i="11"/>
  <c r="AV262" i="11"/>
  <c r="BC266" i="11"/>
  <c r="AV266" i="11"/>
  <c r="BC270" i="11"/>
  <c r="AV270" i="11"/>
  <c r="BC274" i="11"/>
  <c r="AV274" i="11"/>
  <c r="BC278" i="11"/>
  <c r="AV278" i="11"/>
  <c r="BC282" i="11"/>
  <c r="AV282" i="11"/>
  <c r="BC212" i="11"/>
  <c r="AV291" i="11"/>
  <c r="BC291" i="11"/>
  <c r="AV294" i="11"/>
  <c r="BC294" i="11"/>
  <c r="AV303" i="11"/>
  <c r="BC303" i="11"/>
  <c r="AV322" i="11"/>
  <c r="BC322" i="11"/>
  <c r="AV326" i="11"/>
  <c r="BC326" i="11"/>
  <c r="AV330" i="11"/>
  <c r="BC330" i="11"/>
  <c r="AV150" i="11"/>
  <c r="BC150" i="11"/>
  <c r="BC172" i="11"/>
  <c r="AV172" i="11"/>
  <c r="BC229" i="11"/>
  <c r="AV229" i="11"/>
  <c r="BC237" i="11"/>
  <c r="AV237" i="11"/>
  <c r="BC310" i="11"/>
  <c r="AV310" i="11"/>
  <c r="BC314" i="11"/>
  <c r="AV314" i="11"/>
  <c r="AV318" i="11"/>
  <c r="BC318" i="11"/>
  <c r="BC332" i="11"/>
  <c r="AV332" i="11"/>
  <c r="BC340" i="11"/>
  <c r="AV340" i="11"/>
  <c r="AV348" i="11"/>
  <c r="BC348" i="11"/>
  <c r="AV387" i="11"/>
  <c r="BC387" i="11"/>
  <c r="AV235" i="11"/>
  <c r="BC235" i="11"/>
  <c r="AV302" i="11"/>
  <c r="AV391" i="11"/>
  <c r="AV402" i="11"/>
  <c r="BC402" i="11"/>
  <c r="AV410" i="11"/>
  <c r="BC410" i="11"/>
  <c r="AV418" i="11"/>
  <c r="BC418" i="11"/>
  <c r="AV426" i="11"/>
  <c r="BC426" i="11"/>
  <c r="AV433" i="11"/>
  <c r="BC433" i="11"/>
  <c r="AV441" i="11"/>
  <c r="BC441" i="11"/>
  <c r="BC451" i="11"/>
  <c r="AV451" i="11"/>
  <c r="BC459" i="11"/>
  <c r="AV459" i="11"/>
  <c r="BC467" i="11"/>
  <c r="AV467" i="11"/>
  <c r="BC474" i="11"/>
  <c r="AV474" i="11"/>
  <c r="AV482" i="11"/>
  <c r="BC482" i="11"/>
  <c r="AV490" i="11"/>
  <c r="BC490" i="11"/>
  <c r="BC503" i="11"/>
  <c r="AV503" i="11"/>
  <c r="BC514" i="11"/>
  <c r="AV514" i="11"/>
  <c r="BC256" i="11"/>
  <c r="AV256" i="11"/>
  <c r="BC384" i="11"/>
  <c r="AV384" i="11"/>
  <c r="BC392" i="11"/>
  <c r="AV392" i="11"/>
  <c r="AV367" i="11"/>
  <c r="BC498" i="11"/>
  <c r="AV498" i="11"/>
  <c r="BC508" i="11"/>
  <c r="AV508" i="11"/>
  <c r="BC522" i="11"/>
  <c r="AV522" i="11"/>
  <c r="AV531" i="11"/>
  <c r="BC531" i="11"/>
  <c r="BC446" i="11"/>
  <c r="AV446" i="11"/>
  <c r="BC566" i="11"/>
  <c r="AV566" i="11"/>
  <c r="BC582" i="11"/>
  <c r="AV582" i="11"/>
  <c r="BC598" i="11"/>
  <c r="AV598" i="11"/>
  <c r="BC614" i="11"/>
  <c r="AV614" i="11"/>
  <c r="BC621" i="11"/>
  <c r="AV621" i="11"/>
  <c r="AV613" i="11"/>
  <c r="BC600" i="11"/>
  <c r="AV609" i="11"/>
  <c r="AV24" i="11"/>
  <c r="BC24" i="11"/>
  <c r="AV47" i="11"/>
  <c r="BC47" i="11"/>
  <c r="BC49" i="11"/>
  <c r="AV49" i="11"/>
  <c r="AV55" i="11"/>
  <c r="BC55" i="11"/>
  <c r="I43" i="11"/>
  <c r="E19" i="10" s="1"/>
  <c r="BC81" i="11"/>
  <c r="AV81" i="11"/>
  <c r="BC38" i="11"/>
  <c r="AV38" i="11"/>
  <c r="AV92" i="11"/>
  <c r="BC92" i="11"/>
  <c r="I21" i="11"/>
  <c r="E13" i="10" s="1"/>
  <c r="BC79" i="11"/>
  <c r="AV79" i="11"/>
  <c r="BC133" i="11"/>
  <c r="AV133" i="11"/>
  <c r="AV89" i="11"/>
  <c r="BC89" i="11"/>
  <c r="C17" i="9"/>
  <c r="C22" i="9" s="1"/>
  <c r="AV138" i="11"/>
  <c r="BC138" i="11"/>
  <c r="AV169" i="11"/>
  <c r="BC169" i="11"/>
  <c r="AV194" i="11"/>
  <c r="BC194" i="11"/>
  <c r="BC90" i="11"/>
  <c r="AV90" i="11"/>
  <c r="AV177" i="11"/>
  <c r="BC177" i="11"/>
  <c r="BC218" i="11"/>
  <c r="AV218" i="11"/>
  <c r="BC159" i="11"/>
  <c r="AV159" i="11"/>
  <c r="BC174" i="11"/>
  <c r="AV174" i="11"/>
  <c r="AV209" i="11"/>
  <c r="BC209" i="11"/>
  <c r="AV221" i="11"/>
  <c r="BC221" i="11"/>
  <c r="K625" i="11"/>
  <c r="G11" i="10"/>
  <c r="I11" i="10" s="1"/>
  <c r="G55" i="10" s="1"/>
  <c r="AV56" i="11"/>
  <c r="BC56" i="11"/>
  <c r="I108" i="11"/>
  <c r="E29" i="10" s="1"/>
  <c r="J143" i="11"/>
  <c r="F32" i="10" s="1"/>
  <c r="AV181" i="11"/>
  <c r="BC181" i="11"/>
  <c r="BC288" i="11"/>
  <c r="AV288" i="11"/>
  <c r="AV123" i="11"/>
  <c r="BC123" i="11"/>
  <c r="BC296" i="11"/>
  <c r="AV296" i="11"/>
  <c r="AV228" i="11"/>
  <c r="BC228" i="11"/>
  <c r="AV236" i="11"/>
  <c r="BC236" i="11"/>
  <c r="AV298" i="11"/>
  <c r="BC298" i="11"/>
  <c r="I317" i="11"/>
  <c r="E40" i="10" s="1"/>
  <c r="AV333" i="11"/>
  <c r="BC333" i="11"/>
  <c r="AV364" i="11"/>
  <c r="BC364" i="11"/>
  <c r="AV239" i="11"/>
  <c r="BC239" i="11"/>
  <c r="BC343" i="11"/>
  <c r="BC353" i="11"/>
  <c r="AV353" i="11"/>
  <c r="BC357" i="11"/>
  <c r="AV357" i="11"/>
  <c r="BC361" i="11"/>
  <c r="AV361" i="11"/>
  <c r="AV383" i="11"/>
  <c r="BC413" i="11"/>
  <c r="AV413" i="11"/>
  <c r="BC421" i="11"/>
  <c r="AV421" i="11"/>
  <c r="BC429" i="11"/>
  <c r="AV429" i="11"/>
  <c r="BC436" i="11"/>
  <c r="AV436" i="11"/>
  <c r="BC444" i="11"/>
  <c r="AV444" i="11"/>
  <c r="AV452" i="11"/>
  <c r="BC452" i="11"/>
  <c r="AV460" i="11"/>
  <c r="BC460" i="11"/>
  <c r="AV468" i="11"/>
  <c r="BC468" i="11"/>
  <c r="AV475" i="11"/>
  <c r="BC475" i="11"/>
  <c r="BC485" i="11"/>
  <c r="AV485" i="11"/>
  <c r="BC496" i="11"/>
  <c r="AV496" i="11"/>
  <c r="AV504" i="11"/>
  <c r="BC504" i="11"/>
  <c r="AV515" i="11"/>
  <c r="BC515" i="11"/>
  <c r="AV255" i="11"/>
  <c r="BC255" i="11"/>
  <c r="BC438" i="11"/>
  <c r="AV438" i="11"/>
  <c r="BC465" i="11"/>
  <c r="AV465" i="11"/>
  <c r="I507" i="11"/>
  <c r="E50" i="10" s="1"/>
  <c r="BC512" i="11"/>
  <c r="AV512" i="11"/>
  <c r="BC516" i="11"/>
  <c r="AV516" i="11"/>
  <c r="BC520" i="11"/>
  <c r="AV520" i="11"/>
  <c r="AV526" i="11"/>
  <c r="BC526" i="11"/>
  <c r="AV545" i="11"/>
  <c r="BC545" i="11"/>
  <c r="AV552" i="11"/>
  <c r="BC552" i="11"/>
  <c r="BC411" i="11"/>
  <c r="AV411" i="11"/>
  <c r="BC453" i="11"/>
  <c r="AV453" i="11"/>
  <c r="BC461" i="11"/>
  <c r="AV461" i="11"/>
  <c r="AV534" i="11"/>
  <c r="BC534" i="11"/>
  <c r="AV556" i="11"/>
  <c r="BC556" i="11"/>
  <c r="BC415" i="11"/>
  <c r="AV415" i="11"/>
  <c r="BC427" i="11"/>
  <c r="AV427" i="11"/>
  <c r="BC442" i="11"/>
  <c r="AV442" i="11"/>
  <c r="BC457" i="11"/>
  <c r="AV457" i="11"/>
  <c r="BC491" i="11"/>
  <c r="AV491" i="11"/>
  <c r="BC548" i="11"/>
  <c r="AV548" i="11"/>
  <c r="BC407" i="11"/>
  <c r="AV407" i="11"/>
  <c r="BC487" i="11"/>
  <c r="AV487" i="11"/>
  <c r="BC338" i="11"/>
  <c r="AV338" i="11"/>
  <c r="AV523" i="11"/>
  <c r="BC523" i="11"/>
  <c r="BC546" i="11"/>
  <c r="AV546" i="11"/>
  <c r="AV553" i="11"/>
  <c r="BC553" i="11"/>
  <c r="BC562" i="11"/>
  <c r="AV562" i="11"/>
  <c r="BC578" i="11"/>
  <c r="AV578" i="11"/>
  <c r="BC594" i="11"/>
  <c r="AV594" i="11"/>
  <c r="BC610" i="11"/>
  <c r="AV610" i="11"/>
  <c r="AV581" i="11"/>
  <c r="BC619" i="11"/>
  <c r="AV569" i="11"/>
  <c r="AV620" i="11"/>
  <c r="AV309" i="7"/>
  <c r="BC309" i="7"/>
  <c r="BC266" i="7"/>
  <c r="AV266" i="7"/>
  <c r="AV63" i="7"/>
  <c r="AV228" i="7"/>
  <c r="BC228" i="7"/>
  <c r="AV35" i="7"/>
  <c r="BC35" i="7"/>
  <c r="AV28" i="7"/>
  <c r="BC28" i="7"/>
  <c r="AV36" i="7"/>
  <c r="BC36" i="7"/>
  <c r="AV97" i="7"/>
  <c r="BC97" i="7"/>
  <c r="AV291" i="7"/>
  <c r="BC291" i="7"/>
  <c r="AV299" i="7"/>
  <c r="BC299" i="7"/>
  <c r="AV247" i="7"/>
  <c r="BC247" i="7"/>
  <c r="AV118" i="7"/>
  <c r="BC118" i="7"/>
  <c r="AV381" i="7"/>
  <c r="BC381" i="7"/>
  <c r="BC232" i="7"/>
  <c r="AV232" i="7"/>
  <c r="AV282" i="7"/>
  <c r="BC282" i="7"/>
  <c r="AV313" i="7"/>
  <c r="BC313" i="7"/>
  <c r="BC372" i="7"/>
  <c r="AV372" i="7"/>
  <c r="BC225" i="7"/>
  <c r="AV225" i="7"/>
  <c r="BC234" i="7"/>
  <c r="AV234" i="7"/>
  <c r="AV532" i="7"/>
  <c r="BC532" i="7"/>
  <c r="BC482" i="7"/>
  <c r="AV482" i="7"/>
  <c r="C19" i="5"/>
  <c r="BC521" i="7"/>
  <c r="AV521" i="7"/>
  <c r="AV528" i="7"/>
  <c r="BC528" i="7"/>
  <c r="BC575" i="7"/>
  <c r="AV575" i="7"/>
  <c r="AV531" i="7"/>
  <c r="BC531" i="7"/>
  <c r="AV412" i="7"/>
  <c r="BC412" i="7"/>
  <c r="C15" i="5"/>
  <c r="AV524" i="7"/>
  <c r="BC524" i="7"/>
  <c r="BC424" i="7"/>
  <c r="AV424" i="7"/>
  <c r="AV580" i="7"/>
  <c r="BC580" i="7"/>
  <c r="AV47" i="7"/>
  <c r="BC47" i="7"/>
  <c r="AV39" i="7"/>
  <c r="BC39" i="7"/>
  <c r="BC44" i="7"/>
  <c r="AV44" i="7"/>
  <c r="BC26" i="7"/>
  <c r="AV26" i="7"/>
  <c r="AV70" i="7"/>
  <c r="BC70" i="7"/>
  <c r="C14" i="5"/>
  <c r="BC33" i="7"/>
  <c r="AV33" i="7"/>
  <c r="AV64" i="7"/>
  <c r="BC64" i="7"/>
  <c r="I59" i="7"/>
  <c r="E23" i="6" s="1"/>
  <c r="BC68" i="7"/>
  <c r="AV68" i="7"/>
  <c r="AV94" i="7"/>
  <c r="BC94" i="7"/>
  <c r="AV108" i="7"/>
  <c r="BC108" i="7"/>
  <c r="AV48" i="7"/>
  <c r="BC48" i="7"/>
  <c r="AV67" i="7"/>
  <c r="BC67" i="7"/>
  <c r="BC82" i="7"/>
  <c r="AV82" i="7"/>
  <c r="AV137" i="7"/>
  <c r="AV164" i="7"/>
  <c r="BC164" i="7"/>
  <c r="AV85" i="7"/>
  <c r="BC85" i="7"/>
  <c r="AV130" i="7"/>
  <c r="BC130" i="7"/>
  <c r="BC160" i="7"/>
  <c r="AV160" i="7"/>
  <c r="AV107" i="7"/>
  <c r="BC107" i="7"/>
  <c r="I110" i="7"/>
  <c r="E30" i="6" s="1"/>
  <c r="BC123" i="7"/>
  <c r="AV123" i="7"/>
  <c r="AV310" i="7"/>
  <c r="BC310" i="7"/>
  <c r="AV76" i="7"/>
  <c r="BC76" i="7"/>
  <c r="BC156" i="7"/>
  <c r="AV156" i="7"/>
  <c r="AV267" i="7"/>
  <c r="BC267" i="7"/>
  <c r="AV287" i="7"/>
  <c r="BC287" i="7"/>
  <c r="AV103" i="7"/>
  <c r="BC103" i="7"/>
  <c r="BC178" i="7"/>
  <c r="AV178" i="7"/>
  <c r="BC217" i="7"/>
  <c r="AV217" i="7"/>
  <c r="BC315" i="7"/>
  <c r="AV315" i="7"/>
  <c r="AV322" i="7"/>
  <c r="BC322" i="7"/>
  <c r="AV333" i="7"/>
  <c r="BC333" i="7"/>
  <c r="AV437" i="7"/>
  <c r="BC437" i="7"/>
  <c r="AV441" i="7"/>
  <c r="BC441" i="7"/>
  <c r="AV115" i="7"/>
  <c r="BC115" i="7"/>
  <c r="AV255" i="7"/>
  <c r="BC255" i="7"/>
  <c r="BC419" i="7"/>
  <c r="AV419" i="7"/>
  <c r="BC127" i="7"/>
  <c r="AV127" i="7"/>
  <c r="BC170" i="7"/>
  <c r="AV170" i="7"/>
  <c r="BC223" i="7"/>
  <c r="AV223" i="7"/>
  <c r="AV263" i="7"/>
  <c r="BC263" i="7"/>
  <c r="AV314" i="7"/>
  <c r="BC314" i="7"/>
  <c r="BC341" i="7"/>
  <c r="AV341" i="7"/>
  <c r="BC72" i="7"/>
  <c r="AV72" i="7"/>
  <c r="AV387" i="7"/>
  <c r="BC387" i="7"/>
  <c r="AV395" i="7"/>
  <c r="BC395" i="7"/>
  <c r="AV403" i="7"/>
  <c r="BC403" i="7"/>
  <c r="AV446" i="7"/>
  <c r="BC446" i="7"/>
  <c r="AV235" i="7"/>
  <c r="BC235" i="7"/>
  <c r="AV396" i="7"/>
  <c r="BC396" i="7"/>
  <c r="BC430" i="7"/>
  <c r="AV430" i="7"/>
  <c r="BC493" i="7"/>
  <c r="AV493" i="7"/>
  <c r="AV346" i="7"/>
  <c r="BC346" i="7"/>
  <c r="AV357" i="7"/>
  <c r="BC357" i="7"/>
  <c r="AV365" i="7"/>
  <c r="BC365" i="7"/>
  <c r="BC389" i="7"/>
  <c r="AV389" i="7"/>
  <c r="BC405" i="7"/>
  <c r="AV405" i="7"/>
  <c r="BC450" i="7"/>
  <c r="AV450" i="7"/>
  <c r="AV461" i="7"/>
  <c r="BC461" i="7"/>
  <c r="AV465" i="7"/>
  <c r="BC465" i="7"/>
  <c r="AV469" i="7"/>
  <c r="BC469" i="7"/>
  <c r="AV506" i="7"/>
  <c r="BC506" i="7"/>
  <c r="AV514" i="7"/>
  <c r="BC514" i="7"/>
  <c r="BC519" i="7"/>
  <c r="AV519" i="7"/>
  <c r="AV544" i="7"/>
  <c r="BC544" i="7"/>
  <c r="AV556" i="7"/>
  <c r="BC556" i="7"/>
  <c r="AV568" i="7"/>
  <c r="BC568" i="7"/>
  <c r="AV224" i="7"/>
  <c r="BC224" i="7"/>
  <c r="AV349" i="7"/>
  <c r="BC349" i="7"/>
  <c r="AV587" i="7"/>
  <c r="BC587" i="7"/>
  <c r="BC589" i="7"/>
  <c r="AV589" i="7"/>
  <c r="BC415" i="7"/>
  <c r="AV415" i="7"/>
  <c r="BC477" i="7"/>
  <c r="AV477" i="7"/>
  <c r="I485" i="7"/>
  <c r="E50" i="6" s="1"/>
  <c r="BC491" i="7"/>
  <c r="AV491" i="7"/>
  <c r="BC499" i="7"/>
  <c r="AV499" i="7"/>
  <c r="AV583" i="7"/>
  <c r="BC600" i="7"/>
  <c r="AV600" i="7"/>
  <c r="AV454" i="7"/>
  <c r="BC454" i="7"/>
  <c r="I471" i="7"/>
  <c r="E48" i="6" s="1"/>
  <c r="AV576" i="7"/>
  <c r="BC576" i="7"/>
  <c r="AV360" i="7"/>
  <c r="BC360" i="7"/>
  <c r="BC411" i="7"/>
  <c r="BC470" i="7"/>
  <c r="AV470" i="7"/>
  <c r="BC537" i="7"/>
  <c r="AV537" i="7"/>
  <c r="BC573" i="7"/>
  <c r="AV573" i="7"/>
  <c r="J230" i="7"/>
  <c r="F39" i="6" s="1"/>
  <c r="BC417" i="7"/>
  <c r="AV417" i="7"/>
  <c r="BC525" i="7"/>
  <c r="AV525" i="7"/>
  <c r="AV38" i="7"/>
  <c r="BC38" i="7"/>
  <c r="BC41" i="7"/>
  <c r="AV41" i="7"/>
  <c r="AV14" i="7"/>
  <c r="BC14" i="7"/>
  <c r="AV100" i="7"/>
  <c r="BC100" i="7"/>
  <c r="AV114" i="7"/>
  <c r="BC114" i="7"/>
  <c r="AV138" i="7"/>
  <c r="BC138" i="7"/>
  <c r="AV104" i="7"/>
  <c r="BC104" i="7"/>
  <c r="J121" i="7"/>
  <c r="F31" i="6" s="1"/>
  <c r="BC140" i="7"/>
  <c r="AV140" i="7"/>
  <c r="AV165" i="7"/>
  <c r="BC165" i="7"/>
  <c r="I121" i="7"/>
  <c r="E31" i="6" s="1"/>
  <c r="AV161" i="7"/>
  <c r="BC161" i="7"/>
  <c r="AV169" i="7"/>
  <c r="BC169" i="7"/>
  <c r="BC270" i="7"/>
  <c r="AV270" i="7"/>
  <c r="AV239" i="7"/>
  <c r="BC239" i="7"/>
  <c r="BC244" i="7"/>
  <c r="AV244" i="7"/>
  <c r="BC260" i="7"/>
  <c r="AV260" i="7"/>
  <c r="AV325" i="7"/>
  <c r="BC325" i="7"/>
  <c r="AV336" i="7"/>
  <c r="BC336" i="7"/>
  <c r="AV438" i="7"/>
  <c r="BC438" i="7"/>
  <c r="AV442" i="7"/>
  <c r="BC442" i="7"/>
  <c r="BC142" i="7"/>
  <c r="AV142" i="7"/>
  <c r="BC149" i="7"/>
  <c r="AV149" i="7"/>
  <c r="BC219" i="7"/>
  <c r="AV219" i="7"/>
  <c r="AV258" i="7"/>
  <c r="BC258" i="7"/>
  <c r="BC262" i="7"/>
  <c r="AV262" i="7"/>
  <c r="AV326" i="7"/>
  <c r="BC326" i="7"/>
  <c r="AV420" i="7"/>
  <c r="BC420" i="7"/>
  <c r="BC449" i="7"/>
  <c r="AV449" i="7"/>
  <c r="AV134" i="7"/>
  <c r="BC134" i="7"/>
  <c r="AV231" i="7"/>
  <c r="BC231" i="7"/>
  <c r="BC236" i="7"/>
  <c r="AV236" i="7"/>
  <c r="BC252" i="7"/>
  <c r="AV252" i="7"/>
  <c r="AV317" i="7"/>
  <c r="BC317" i="7"/>
  <c r="BC334" i="7"/>
  <c r="AV334" i="7"/>
  <c r="BC353" i="7"/>
  <c r="AV353" i="7"/>
  <c r="BC327" i="7"/>
  <c r="AV327" i="7"/>
  <c r="AV391" i="7"/>
  <c r="BC391" i="7"/>
  <c r="AV399" i="7"/>
  <c r="BC399" i="7"/>
  <c r="AV407" i="7"/>
  <c r="BC407" i="7"/>
  <c r="BC426" i="7"/>
  <c r="AV426" i="7"/>
  <c r="AV321" i="7"/>
  <c r="BC321" i="7"/>
  <c r="AV388" i="7"/>
  <c r="BC388" i="7"/>
  <c r="AV404" i="7"/>
  <c r="BC404" i="7"/>
  <c r="J485" i="7"/>
  <c r="F50" i="6" s="1"/>
  <c r="BC501" i="7"/>
  <c r="AV501" i="7"/>
  <c r="AV517" i="7"/>
  <c r="BC517" i="7"/>
  <c r="AV345" i="7"/>
  <c r="AV350" i="7"/>
  <c r="BC350" i="7"/>
  <c r="AV361" i="7"/>
  <c r="BC361" i="7"/>
  <c r="BC397" i="7"/>
  <c r="AV397" i="7"/>
  <c r="BC413" i="7"/>
  <c r="AV413" i="7"/>
  <c r="AV431" i="7"/>
  <c r="BC431" i="7"/>
  <c r="AV451" i="7"/>
  <c r="BC451" i="7"/>
  <c r="BC460" i="7"/>
  <c r="AV460" i="7"/>
  <c r="BC464" i="7"/>
  <c r="AV464" i="7"/>
  <c r="BC468" i="7"/>
  <c r="AV468" i="7"/>
  <c r="AV510" i="7"/>
  <c r="BC510" i="7"/>
  <c r="BC533" i="7"/>
  <c r="AV533" i="7"/>
  <c r="AV540" i="7"/>
  <c r="BC540" i="7"/>
  <c r="BC551" i="7"/>
  <c r="AV551" i="7"/>
  <c r="BC563" i="7"/>
  <c r="AV563" i="7"/>
  <c r="BC579" i="7"/>
  <c r="AV579" i="7"/>
  <c r="AV559" i="7"/>
  <c r="BC559" i="7"/>
  <c r="AV572" i="7"/>
  <c r="BC572" i="7"/>
  <c r="BC585" i="7"/>
  <c r="AV585" i="7"/>
  <c r="AV591" i="7"/>
  <c r="BC591" i="7"/>
  <c r="BC487" i="7"/>
  <c r="AV487" i="7"/>
  <c r="BC495" i="7"/>
  <c r="AV495" i="7"/>
  <c r="BC503" i="7"/>
  <c r="AV503" i="7"/>
  <c r="BC577" i="7"/>
  <c r="AV577" i="7"/>
  <c r="BC447" i="7"/>
  <c r="AV447" i="7"/>
  <c r="AV547" i="7"/>
  <c r="BC547" i="7"/>
  <c r="AV476" i="7"/>
  <c r="BC476" i="7"/>
  <c r="AV318" i="7"/>
  <c r="BC318" i="7"/>
  <c r="AV42" i="7"/>
  <c r="BC42" i="7"/>
  <c r="AV15" i="7"/>
  <c r="BC15" i="7"/>
  <c r="AV18" i="7"/>
  <c r="BC18" i="7"/>
  <c r="AV60" i="7"/>
  <c r="BC60" i="7"/>
  <c r="AV133" i="7"/>
  <c r="BC133" i="7"/>
  <c r="BC88" i="7"/>
  <c r="AV88" i="7"/>
  <c r="J139" i="7"/>
  <c r="F32" i="6" s="1"/>
  <c r="BC49" i="7"/>
  <c r="AV49" i="7"/>
  <c r="BC86" i="7"/>
  <c r="AV86" i="7"/>
  <c r="BC112" i="7"/>
  <c r="AV112" i="7"/>
  <c r="AV141" i="7"/>
  <c r="BC141" i="7"/>
  <c r="AV150" i="7"/>
  <c r="BC150" i="7"/>
  <c r="AV182" i="7"/>
  <c r="BC182" i="7"/>
  <c r="AV186" i="7"/>
  <c r="BC186" i="7"/>
  <c r="AV192" i="7"/>
  <c r="BC192" i="7"/>
  <c r="AV196" i="7"/>
  <c r="BC196" i="7"/>
  <c r="AV200" i="7"/>
  <c r="BC200" i="7"/>
  <c r="AV204" i="7"/>
  <c r="BC204" i="7"/>
  <c r="AV208" i="7"/>
  <c r="BC208" i="7"/>
  <c r="AV212" i="7"/>
  <c r="BC212" i="7"/>
  <c r="BC131" i="7"/>
  <c r="AV131" i="7"/>
  <c r="AV101" i="7"/>
  <c r="BC101" i="7"/>
  <c r="AV111" i="7"/>
  <c r="BC111" i="7"/>
  <c r="BC153" i="7"/>
  <c r="AV153" i="7"/>
  <c r="AV274" i="7"/>
  <c r="BC274" i="7"/>
  <c r="AV278" i="7"/>
  <c r="BC278" i="7"/>
  <c r="AV295" i="7"/>
  <c r="BC295" i="7"/>
  <c r="AV303" i="7"/>
  <c r="BC303" i="7"/>
  <c r="BC162" i="7"/>
  <c r="AV162" i="7"/>
  <c r="BC242" i="7"/>
  <c r="AV242" i="7"/>
  <c r="AV254" i="7"/>
  <c r="BC254" i="7"/>
  <c r="BC284" i="7"/>
  <c r="AV284" i="7"/>
  <c r="AV377" i="7"/>
  <c r="BC377" i="7"/>
  <c r="BC116" i="7"/>
  <c r="AV116" i="7"/>
  <c r="BC319" i="7"/>
  <c r="AV319" i="7"/>
  <c r="AV342" i="7"/>
  <c r="BC342" i="7"/>
  <c r="AV220" i="7"/>
  <c r="BC220" i="7"/>
  <c r="I230" i="7"/>
  <c r="E39" i="6" s="1"/>
  <c r="AV89" i="7"/>
  <c r="BC89" i="7"/>
  <c r="AV332" i="7"/>
  <c r="BC332" i="7"/>
  <c r="AV416" i="7"/>
  <c r="BC416" i="7"/>
  <c r="AV527" i="7"/>
  <c r="BC527" i="7"/>
  <c r="AV400" i="7"/>
  <c r="BC400" i="7"/>
  <c r="AV427" i="7"/>
  <c r="BC427" i="7"/>
  <c r="BC432" i="7"/>
  <c r="AV432" i="7"/>
  <c r="BC457" i="7"/>
  <c r="AV457" i="7"/>
  <c r="BC497" i="7"/>
  <c r="AV497" i="7"/>
  <c r="BC347" i="7"/>
  <c r="AV347" i="7"/>
  <c r="BC358" i="7"/>
  <c r="AV358" i="7"/>
  <c r="BC366" i="7"/>
  <c r="AV366" i="7"/>
  <c r="BC393" i="7"/>
  <c r="AV393" i="7"/>
  <c r="BC409" i="7"/>
  <c r="AV409" i="7"/>
  <c r="J459" i="7"/>
  <c r="F47" i="6" s="1"/>
  <c r="AV486" i="7"/>
  <c r="BC486" i="7"/>
  <c r="AV494" i="7"/>
  <c r="BC494" i="7"/>
  <c r="AV502" i="7"/>
  <c r="BC502" i="7"/>
  <c r="AV516" i="7"/>
  <c r="BC516" i="7"/>
  <c r="BC571" i="7"/>
  <c r="AV571" i="7"/>
  <c r="AV596" i="7"/>
  <c r="BC596" i="7"/>
  <c r="AV472" i="7"/>
  <c r="BC472" i="7"/>
  <c r="AV356" i="7"/>
  <c r="BC356" i="7"/>
  <c r="BC473" i="7"/>
  <c r="AV473" i="7"/>
  <c r="AV588" i="7"/>
  <c r="BC588" i="7"/>
  <c r="BC598" i="7"/>
  <c r="AV598" i="7"/>
  <c r="K601" i="7"/>
  <c r="G11" i="6"/>
  <c r="I11" i="6" s="1"/>
  <c r="G55" i="6" s="1"/>
  <c r="AV19" i="7"/>
  <c r="BC19" i="7"/>
  <c r="BC24" i="7"/>
  <c r="AV24" i="7"/>
  <c r="BC54" i="7"/>
  <c r="AV54" i="7"/>
  <c r="AV45" i="7"/>
  <c r="BC45" i="7"/>
  <c r="J66" i="7"/>
  <c r="F24" i="6" s="1"/>
  <c r="AV25" i="7"/>
  <c r="BC25" i="7"/>
  <c r="I32" i="7"/>
  <c r="E15" i="6" s="1"/>
  <c r="AV78" i="7"/>
  <c r="BC78" i="7"/>
  <c r="AV91" i="7"/>
  <c r="BC91" i="7"/>
  <c r="AV129" i="7"/>
  <c r="BC129" i="7"/>
  <c r="AV83" i="7"/>
  <c r="BC83" i="7"/>
  <c r="AV119" i="7"/>
  <c r="BC119" i="7"/>
  <c r="BC125" i="7"/>
  <c r="AV125" i="7"/>
  <c r="BC144" i="7"/>
  <c r="AV144" i="7"/>
  <c r="I66" i="7"/>
  <c r="E24" i="6" s="1"/>
  <c r="AV126" i="7"/>
  <c r="BC126" i="7"/>
  <c r="AV146" i="7"/>
  <c r="BC146" i="7"/>
  <c r="AV154" i="7"/>
  <c r="BC154" i="7"/>
  <c r="AV181" i="7"/>
  <c r="BC181" i="7"/>
  <c r="AV185" i="7"/>
  <c r="BC185" i="7"/>
  <c r="AV189" i="7"/>
  <c r="BC189" i="7"/>
  <c r="AV193" i="7"/>
  <c r="BC193" i="7"/>
  <c r="AV197" i="7"/>
  <c r="BC197" i="7"/>
  <c r="AV201" i="7"/>
  <c r="BC201" i="7"/>
  <c r="AV205" i="7"/>
  <c r="BC205" i="7"/>
  <c r="AV209" i="7"/>
  <c r="BC209" i="7"/>
  <c r="AV213" i="7"/>
  <c r="BC213" i="7"/>
  <c r="BC84" i="7"/>
  <c r="AV84" i="7"/>
  <c r="AV122" i="7"/>
  <c r="BC122" i="7"/>
  <c r="AV175" i="7"/>
  <c r="BC175" i="7"/>
  <c r="BC158" i="7"/>
  <c r="AV158" i="7"/>
  <c r="AV271" i="7"/>
  <c r="BC271" i="7"/>
  <c r="AV275" i="7"/>
  <c r="BC275" i="7"/>
  <c r="AV279" i="7"/>
  <c r="BC279" i="7"/>
  <c r="AV290" i="7"/>
  <c r="BC290" i="7"/>
  <c r="AV294" i="7"/>
  <c r="BC294" i="7"/>
  <c r="AV298" i="7"/>
  <c r="BC298" i="7"/>
  <c r="AV302" i="7"/>
  <c r="BC302" i="7"/>
  <c r="BC61" i="7"/>
  <c r="AV61" i="7"/>
  <c r="J155" i="7"/>
  <c r="F33" i="6" s="1"/>
  <c r="AV168" i="7"/>
  <c r="BC168" i="7"/>
  <c r="BC246" i="7"/>
  <c r="AV246" i="7"/>
  <c r="J102" i="7"/>
  <c r="F29" i="6" s="1"/>
  <c r="BC215" i="7"/>
  <c r="AV215" i="7"/>
  <c r="AV251" i="7"/>
  <c r="BC251" i="7"/>
  <c r="BC286" i="7"/>
  <c r="AV376" i="7"/>
  <c r="BC376" i="7"/>
  <c r="AV380" i="7"/>
  <c r="BC380" i="7"/>
  <c r="AV384" i="7"/>
  <c r="BC384" i="7"/>
  <c r="BC145" i="7"/>
  <c r="AV145" i="7"/>
  <c r="AV157" i="7"/>
  <c r="BC157" i="7"/>
  <c r="AV216" i="7"/>
  <c r="BC216" i="7"/>
  <c r="BC221" i="7"/>
  <c r="AV221" i="7"/>
  <c r="AV243" i="7"/>
  <c r="BC243" i="7"/>
  <c r="BC264" i="7"/>
  <c r="AV264" i="7"/>
  <c r="AV337" i="7"/>
  <c r="BC337" i="7"/>
  <c r="AV369" i="7"/>
  <c r="BC369" i="7"/>
  <c r="AV373" i="7"/>
  <c r="BC373" i="7"/>
  <c r="BC21" i="7"/>
  <c r="AV21" i="7"/>
  <c r="BC135" i="7"/>
  <c r="AV135" i="7"/>
  <c r="AV259" i="7"/>
  <c r="BC259" i="7"/>
  <c r="AV283" i="7"/>
  <c r="BC283" i="7"/>
  <c r="BC323" i="7"/>
  <c r="AV323" i="7"/>
  <c r="BC368" i="7"/>
  <c r="AV368" i="7"/>
  <c r="AV71" i="7"/>
  <c r="BC71" i="7"/>
  <c r="AV423" i="7"/>
  <c r="BC423" i="7"/>
  <c r="BC428" i="7"/>
  <c r="AV428" i="7"/>
  <c r="AV505" i="7"/>
  <c r="BC505" i="7"/>
  <c r="AV509" i="7"/>
  <c r="BC509" i="7"/>
  <c r="AV513" i="7"/>
  <c r="BC513" i="7"/>
  <c r="AV520" i="7"/>
  <c r="BC520" i="7"/>
  <c r="AV539" i="7"/>
  <c r="BC539" i="7"/>
  <c r="AV543" i="7"/>
  <c r="BC543" i="7"/>
  <c r="AV552" i="7"/>
  <c r="BC552" i="7"/>
  <c r="AV564" i="7"/>
  <c r="BC564" i="7"/>
  <c r="BC229" i="7"/>
  <c r="AV229" i="7"/>
  <c r="BC238" i="7"/>
  <c r="AV238" i="7"/>
  <c r="AV392" i="7"/>
  <c r="BC392" i="7"/>
  <c r="AV408" i="7"/>
  <c r="BC408" i="7"/>
  <c r="AV458" i="7"/>
  <c r="BC458" i="7"/>
  <c r="AV483" i="7"/>
  <c r="BC483" i="7"/>
  <c r="BC489" i="7"/>
  <c r="AV489" i="7"/>
  <c r="BC523" i="7"/>
  <c r="AV523" i="7"/>
  <c r="BC535" i="7"/>
  <c r="AV535" i="7"/>
  <c r="AV548" i="7"/>
  <c r="BC548" i="7"/>
  <c r="AV560" i="7"/>
  <c r="BC560" i="7"/>
  <c r="BC256" i="7"/>
  <c r="AV256" i="7"/>
  <c r="BC351" i="7"/>
  <c r="AV351" i="7"/>
  <c r="BC362" i="7"/>
  <c r="AV362" i="7"/>
  <c r="BC401" i="7"/>
  <c r="AV401" i="7"/>
  <c r="J518" i="7"/>
  <c r="F52" i="6" s="1"/>
  <c r="BC553" i="7"/>
  <c r="AV553" i="7"/>
  <c r="BC565" i="7"/>
  <c r="AV565" i="7"/>
  <c r="BC227" i="7"/>
  <c r="AV227" i="7"/>
  <c r="BC422" i="7"/>
  <c r="AV422" i="7"/>
  <c r="BC581" i="7"/>
  <c r="AV581" i="7"/>
  <c r="BC240" i="7"/>
  <c r="AV240" i="7"/>
  <c r="AV490" i="7"/>
  <c r="BC490" i="7"/>
  <c r="AV498" i="7"/>
  <c r="BC498" i="7"/>
  <c r="AV555" i="7"/>
  <c r="AV364" i="7"/>
  <c r="BC364" i="7"/>
  <c r="AV536" i="7"/>
  <c r="BC536" i="7"/>
  <c r="AV592" i="7"/>
  <c r="BC592" i="7"/>
  <c r="AV595" i="7"/>
  <c r="BC595" i="7"/>
  <c r="BC597" i="7"/>
  <c r="AV597" i="7"/>
  <c r="C28" i="5"/>
  <c r="BC338" i="7"/>
  <c r="AV338" i="7"/>
  <c r="AV475" i="7"/>
  <c r="BC475" i="7"/>
  <c r="AV594" i="7"/>
  <c r="BC594" i="7"/>
  <c r="C2" i="4"/>
  <c r="C4" i="4"/>
  <c r="F22" i="4"/>
  <c r="I22" i="4"/>
  <c r="K13" i="1"/>
  <c r="Z13" i="1"/>
  <c r="AD13" i="1"/>
  <c r="AE13" i="1"/>
  <c r="AF13" i="1"/>
  <c r="AG13" i="1"/>
  <c r="AH13" i="1"/>
  <c r="AJ13" i="1"/>
  <c r="AK13" i="1"/>
  <c r="AL13" i="1"/>
  <c r="AO13" i="1"/>
  <c r="I13" i="1" s="1"/>
  <c r="AP13" i="1"/>
  <c r="J13" i="1" s="1"/>
  <c r="BD13" i="1"/>
  <c r="BF13" i="1"/>
  <c r="BJ13" i="1"/>
  <c r="K14" i="1"/>
  <c r="AK14" i="1" s="1"/>
  <c r="Z14" i="1"/>
  <c r="AD14" i="1"/>
  <c r="AE14" i="1"/>
  <c r="AF14" i="1"/>
  <c r="AG14" i="1"/>
  <c r="AH14" i="1"/>
  <c r="AJ14" i="1"/>
  <c r="AL14" i="1"/>
  <c r="AO14" i="1"/>
  <c r="AP14" i="1"/>
  <c r="J14" i="1" s="1"/>
  <c r="BD14" i="1"/>
  <c r="BF14" i="1"/>
  <c r="BJ14" i="1"/>
  <c r="K15" i="1"/>
  <c r="AK15" i="1" s="1"/>
  <c r="Z15" i="1"/>
  <c r="AD15" i="1"/>
  <c r="AE15" i="1"/>
  <c r="AF15" i="1"/>
  <c r="AG15" i="1"/>
  <c r="AH15" i="1"/>
  <c r="AJ15" i="1"/>
  <c r="AL15" i="1"/>
  <c r="AO15" i="1"/>
  <c r="AP15" i="1"/>
  <c r="BD15" i="1"/>
  <c r="BF15" i="1"/>
  <c r="BH15" i="1"/>
  <c r="AB15" i="1" s="1"/>
  <c r="BJ15" i="1"/>
  <c r="K16" i="1"/>
  <c r="AK16" i="1" s="1"/>
  <c r="Z16" i="1"/>
  <c r="AD16" i="1"/>
  <c r="AE16" i="1"/>
  <c r="AF16" i="1"/>
  <c r="AG16" i="1"/>
  <c r="AH16" i="1"/>
  <c r="AJ16" i="1"/>
  <c r="AL16" i="1"/>
  <c r="AO16" i="1"/>
  <c r="AW16" i="1" s="1"/>
  <c r="AP16" i="1"/>
  <c r="J16" i="1" s="1"/>
  <c r="BD16" i="1"/>
  <c r="BF16" i="1"/>
  <c r="BH16" i="1"/>
  <c r="AB16" i="1" s="1"/>
  <c r="BI16" i="1"/>
  <c r="AC16" i="1" s="1"/>
  <c r="BJ16" i="1"/>
  <c r="K17" i="1"/>
  <c r="AK17" i="1" s="1"/>
  <c r="Z17" i="1"/>
  <c r="AD17" i="1"/>
  <c r="AE17" i="1"/>
  <c r="AF17" i="1"/>
  <c r="AG17" i="1"/>
  <c r="AH17" i="1"/>
  <c r="AJ17" i="1"/>
  <c r="AL17" i="1"/>
  <c r="AO17" i="1"/>
  <c r="I17" i="1" s="1"/>
  <c r="AP17" i="1"/>
  <c r="J17" i="1" s="1"/>
  <c r="BD17" i="1"/>
  <c r="BF17" i="1"/>
  <c r="BH17" i="1"/>
  <c r="AB17" i="1" s="1"/>
  <c r="BJ17" i="1"/>
  <c r="K18" i="1"/>
  <c r="Z18" i="1"/>
  <c r="AD18" i="1"/>
  <c r="AE18" i="1"/>
  <c r="AF18" i="1"/>
  <c r="AG18" i="1"/>
  <c r="AH18" i="1"/>
  <c r="AJ18" i="1"/>
  <c r="AK18" i="1"/>
  <c r="AL18" i="1"/>
  <c r="AO18" i="1"/>
  <c r="I18" i="1" s="1"/>
  <c r="AP18" i="1"/>
  <c r="J18" i="1" s="1"/>
  <c r="BD18" i="1"/>
  <c r="BF18" i="1"/>
  <c r="BH18" i="1"/>
  <c r="AB18" i="1" s="1"/>
  <c r="BJ18" i="1"/>
  <c r="K19" i="1"/>
  <c r="Z19" i="1"/>
  <c r="AD19" i="1"/>
  <c r="AE19" i="1"/>
  <c r="AF19" i="1"/>
  <c r="AG19" i="1"/>
  <c r="AH19" i="1"/>
  <c r="AJ19" i="1"/>
  <c r="AK19" i="1"/>
  <c r="AL19" i="1"/>
  <c r="AO19" i="1"/>
  <c r="I19" i="1" s="1"/>
  <c r="AP19" i="1"/>
  <c r="AX19" i="1" s="1"/>
  <c r="BD19" i="1"/>
  <c r="BF19" i="1"/>
  <c r="BH19" i="1"/>
  <c r="AB19" i="1" s="1"/>
  <c r="BJ19" i="1"/>
  <c r="K21" i="1"/>
  <c r="K20" i="1" s="1"/>
  <c r="G12" i="2" s="1"/>
  <c r="I12" i="2" s="1"/>
  <c r="Z21" i="1"/>
  <c r="AD21" i="1"/>
  <c r="AE21" i="1"/>
  <c r="AF21" i="1"/>
  <c r="AG21" i="1"/>
  <c r="AH21" i="1"/>
  <c r="AJ21" i="1"/>
  <c r="AS20" i="1" s="1"/>
  <c r="AK21" i="1"/>
  <c r="AT20" i="1" s="1"/>
  <c r="AL21" i="1"/>
  <c r="AU20" i="1" s="1"/>
  <c r="AO21" i="1"/>
  <c r="I21" i="1" s="1"/>
  <c r="I20" i="1" s="1"/>
  <c r="E12" i="2" s="1"/>
  <c r="AP21" i="1"/>
  <c r="BD21" i="1"/>
  <c r="BF21" i="1"/>
  <c r="BJ21" i="1"/>
  <c r="K23" i="1"/>
  <c r="Z23" i="1"/>
  <c r="AD23" i="1"/>
  <c r="AE23" i="1"/>
  <c r="AF23" i="1"/>
  <c r="AG23" i="1"/>
  <c r="AH23" i="1"/>
  <c r="AJ23" i="1"/>
  <c r="AK23" i="1"/>
  <c r="AL23" i="1"/>
  <c r="AO23" i="1"/>
  <c r="AP23" i="1"/>
  <c r="J23" i="1" s="1"/>
  <c r="BD23" i="1"/>
  <c r="BF23" i="1"/>
  <c r="BJ23" i="1"/>
  <c r="K24" i="1"/>
  <c r="Z24" i="1"/>
  <c r="AD24" i="1"/>
  <c r="AE24" i="1"/>
  <c r="AF24" i="1"/>
  <c r="AG24" i="1"/>
  <c r="AH24" i="1"/>
  <c r="AJ24" i="1"/>
  <c r="AK24" i="1"/>
  <c r="AL24" i="1"/>
  <c r="AO24" i="1"/>
  <c r="I24" i="1" s="1"/>
  <c r="AP24" i="1"/>
  <c r="J24" i="1" s="1"/>
  <c r="AX24" i="1"/>
  <c r="BD24" i="1"/>
  <c r="BF24" i="1"/>
  <c r="BI24" i="1"/>
  <c r="AC24" i="1" s="1"/>
  <c r="BJ24" i="1"/>
  <c r="K25" i="1"/>
  <c r="Z25" i="1"/>
  <c r="AD25" i="1"/>
  <c r="AE25" i="1"/>
  <c r="AF25" i="1"/>
  <c r="AG25" i="1"/>
  <c r="AH25" i="1"/>
  <c r="AJ25" i="1"/>
  <c r="AK25" i="1"/>
  <c r="AL25" i="1"/>
  <c r="AO25" i="1"/>
  <c r="I25" i="1" s="1"/>
  <c r="AP25" i="1"/>
  <c r="AX25" i="1" s="1"/>
  <c r="BD25" i="1"/>
  <c r="BF25" i="1"/>
  <c r="BJ25" i="1"/>
  <c r="K26" i="1"/>
  <c r="Z26" i="1"/>
  <c r="AD26" i="1"/>
  <c r="AE26" i="1"/>
  <c r="AF26" i="1"/>
  <c r="AG26" i="1"/>
  <c r="AH26" i="1"/>
  <c r="AJ26" i="1"/>
  <c r="AK26" i="1"/>
  <c r="AL26" i="1"/>
  <c r="AO26" i="1"/>
  <c r="AP26" i="1"/>
  <c r="J26" i="1" s="1"/>
  <c r="BD26" i="1"/>
  <c r="BF26" i="1"/>
  <c r="BJ26" i="1"/>
  <c r="K28" i="1"/>
  <c r="Z28" i="1"/>
  <c r="AD28" i="1"/>
  <c r="AE28" i="1"/>
  <c r="AF28" i="1"/>
  <c r="AG28" i="1"/>
  <c r="AH28" i="1"/>
  <c r="AJ28" i="1"/>
  <c r="AK28" i="1"/>
  <c r="AL28" i="1"/>
  <c r="AO28" i="1"/>
  <c r="AP28" i="1"/>
  <c r="BD28" i="1"/>
  <c r="BF28" i="1"/>
  <c r="BH28" i="1"/>
  <c r="AB28" i="1" s="1"/>
  <c r="BJ28" i="1"/>
  <c r="K29" i="1"/>
  <c r="Z29" i="1"/>
  <c r="AD29" i="1"/>
  <c r="AE29" i="1"/>
  <c r="AF29" i="1"/>
  <c r="AG29" i="1"/>
  <c r="AH29" i="1"/>
  <c r="AJ29" i="1"/>
  <c r="AK29" i="1"/>
  <c r="AL29" i="1"/>
  <c r="AO29" i="1"/>
  <c r="I29" i="1" s="1"/>
  <c r="AP29" i="1"/>
  <c r="J29" i="1" s="1"/>
  <c r="BD29" i="1"/>
  <c r="BF29" i="1"/>
  <c r="BJ29" i="1"/>
  <c r="K30" i="1"/>
  <c r="Z30" i="1"/>
  <c r="AD30" i="1"/>
  <c r="AE30" i="1"/>
  <c r="AF30" i="1"/>
  <c r="AG30" i="1"/>
  <c r="AH30" i="1"/>
  <c r="AJ30" i="1"/>
  <c r="AK30" i="1"/>
  <c r="AL30" i="1"/>
  <c r="AO30" i="1"/>
  <c r="I30" i="1" s="1"/>
  <c r="AP30" i="1"/>
  <c r="BI30" i="1" s="1"/>
  <c r="AC30" i="1" s="1"/>
  <c r="BD30" i="1"/>
  <c r="BF30" i="1"/>
  <c r="BJ30" i="1"/>
  <c r="K32" i="1"/>
  <c r="Z32" i="1"/>
  <c r="AD32" i="1"/>
  <c r="AE32" i="1"/>
  <c r="AF32" i="1"/>
  <c r="AG32" i="1"/>
  <c r="AH32" i="1"/>
  <c r="AJ32" i="1"/>
  <c r="AK32" i="1"/>
  <c r="AL32" i="1"/>
  <c r="AO32" i="1"/>
  <c r="I32" i="1" s="1"/>
  <c r="AP32" i="1"/>
  <c r="BI32" i="1" s="1"/>
  <c r="AC32" i="1" s="1"/>
  <c r="BD32" i="1"/>
  <c r="BF32" i="1"/>
  <c r="BJ32" i="1"/>
  <c r="K33" i="1"/>
  <c r="Z33" i="1"/>
  <c r="AD33" i="1"/>
  <c r="AE33" i="1"/>
  <c r="AF33" i="1"/>
  <c r="AG33" i="1"/>
  <c r="AH33" i="1"/>
  <c r="AJ33" i="1"/>
  <c r="AK33" i="1"/>
  <c r="AL33" i="1"/>
  <c r="AO33" i="1"/>
  <c r="I33" i="1" s="1"/>
  <c r="AP33" i="1"/>
  <c r="J33" i="1" s="1"/>
  <c r="BD33" i="1"/>
  <c r="BF33" i="1"/>
  <c r="BH33" i="1"/>
  <c r="AB33" i="1" s="1"/>
  <c r="BJ33" i="1"/>
  <c r="K34" i="1"/>
  <c r="Z34" i="1"/>
  <c r="AD34" i="1"/>
  <c r="AE34" i="1"/>
  <c r="AF34" i="1"/>
  <c r="AG34" i="1"/>
  <c r="AH34" i="1"/>
  <c r="AJ34" i="1"/>
  <c r="AK34" i="1"/>
  <c r="AL34" i="1"/>
  <c r="AO34" i="1"/>
  <c r="I34" i="1" s="1"/>
  <c r="AP34" i="1"/>
  <c r="J34" i="1" s="1"/>
  <c r="BD34" i="1"/>
  <c r="BF34" i="1"/>
  <c r="BH34" i="1"/>
  <c r="AB34" i="1" s="1"/>
  <c r="BJ34" i="1"/>
  <c r="K35" i="1"/>
  <c r="Z35" i="1"/>
  <c r="AD35" i="1"/>
  <c r="AE35" i="1"/>
  <c r="AF35" i="1"/>
  <c r="AG35" i="1"/>
  <c r="AH35" i="1"/>
  <c r="AJ35" i="1"/>
  <c r="AK35" i="1"/>
  <c r="AL35" i="1"/>
  <c r="AO35" i="1"/>
  <c r="AP35" i="1"/>
  <c r="AX35" i="1" s="1"/>
  <c r="BD35" i="1"/>
  <c r="BF35" i="1"/>
  <c r="BJ35" i="1"/>
  <c r="K36" i="1"/>
  <c r="Z36" i="1"/>
  <c r="AD36" i="1"/>
  <c r="AE36" i="1"/>
  <c r="AF36" i="1"/>
  <c r="AG36" i="1"/>
  <c r="AH36" i="1"/>
  <c r="AJ36" i="1"/>
  <c r="AK36" i="1"/>
  <c r="AL36" i="1"/>
  <c r="AO36" i="1"/>
  <c r="AW36" i="1" s="1"/>
  <c r="AP36" i="1"/>
  <c r="J36" i="1" s="1"/>
  <c r="BD36" i="1"/>
  <c r="BF36" i="1"/>
  <c r="BH36" i="1"/>
  <c r="AB36" i="1" s="1"/>
  <c r="BI36" i="1"/>
  <c r="AC36" i="1" s="1"/>
  <c r="BJ36" i="1"/>
  <c r="K38" i="1"/>
  <c r="K37" i="1" s="1"/>
  <c r="Z38" i="1"/>
  <c r="AD38" i="1"/>
  <c r="AE38" i="1"/>
  <c r="AF38" i="1"/>
  <c r="AG38" i="1"/>
  <c r="AH38" i="1"/>
  <c r="AJ38" i="1"/>
  <c r="AS37" i="1" s="1"/>
  <c r="AK38" i="1"/>
  <c r="AT37" i="1" s="1"/>
  <c r="AL38" i="1"/>
  <c r="AU37" i="1" s="1"/>
  <c r="AO38" i="1"/>
  <c r="AP38" i="1"/>
  <c r="J38" i="1" s="1"/>
  <c r="J37" i="1" s="1"/>
  <c r="F16" i="2" s="1"/>
  <c r="BD38" i="1"/>
  <c r="BF38" i="1"/>
  <c r="BJ38" i="1"/>
  <c r="K40" i="1"/>
  <c r="Z40" i="1"/>
  <c r="AD40" i="1"/>
  <c r="AE40" i="1"/>
  <c r="AF40" i="1"/>
  <c r="AG40" i="1"/>
  <c r="AH40" i="1"/>
  <c r="AJ40" i="1"/>
  <c r="AK40" i="1"/>
  <c r="AL40" i="1"/>
  <c r="AO40" i="1"/>
  <c r="I40" i="1" s="1"/>
  <c r="AP40" i="1"/>
  <c r="J40" i="1" s="1"/>
  <c r="BD40" i="1"/>
  <c r="BF40" i="1"/>
  <c r="BH40" i="1"/>
  <c r="AB40" i="1" s="1"/>
  <c r="BJ40" i="1"/>
  <c r="K41" i="1"/>
  <c r="Z41" i="1"/>
  <c r="AD41" i="1"/>
  <c r="AE41" i="1"/>
  <c r="AF41" i="1"/>
  <c r="AG41" i="1"/>
  <c r="AH41" i="1"/>
  <c r="AJ41" i="1"/>
  <c r="AK41" i="1"/>
  <c r="AL41" i="1"/>
  <c r="AO41" i="1"/>
  <c r="I41" i="1" s="1"/>
  <c r="AP41" i="1"/>
  <c r="AX41" i="1" s="1"/>
  <c r="BD41" i="1"/>
  <c r="BF41" i="1"/>
  <c r="BH41" i="1"/>
  <c r="AB41" i="1" s="1"/>
  <c r="BJ41" i="1"/>
  <c r="K43" i="1"/>
  <c r="Z43" i="1"/>
  <c r="AD43" i="1"/>
  <c r="AE43" i="1"/>
  <c r="AF43" i="1"/>
  <c r="AG43" i="1"/>
  <c r="AH43" i="1"/>
  <c r="AJ43" i="1"/>
  <c r="AK43" i="1"/>
  <c r="AL43" i="1"/>
  <c r="AO43" i="1"/>
  <c r="AP43" i="1"/>
  <c r="BD43" i="1"/>
  <c r="BF43" i="1"/>
  <c r="BJ43" i="1"/>
  <c r="K44" i="1"/>
  <c r="Z44" i="1"/>
  <c r="AD44" i="1"/>
  <c r="AE44" i="1"/>
  <c r="AF44" i="1"/>
  <c r="AG44" i="1"/>
  <c r="AH44" i="1"/>
  <c r="AJ44" i="1"/>
  <c r="AK44" i="1"/>
  <c r="AL44" i="1"/>
  <c r="AO44" i="1"/>
  <c r="I44" i="1" s="1"/>
  <c r="AP44" i="1"/>
  <c r="BD44" i="1"/>
  <c r="BF44" i="1"/>
  <c r="BJ44" i="1"/>
  <c r="K46" i="1"/>
  <c r="Z46" i="1"/>
  <c r="AD46" i="1"/>
  <c r="AE46" i="1"/>
  <c r="AF46" i="1"/>
  <c r="AG46" i="1"/>
  <c r="AH46" i="1"/>
  <c r="AJ46" i="1"/>
  <c r="AK46" i="1"/>
  <c r="AL46" i="1"/>
  <c r="AO46" i="1"/>
  <c r="I46" i="1" s="1"/>
  <c r="AP46" i="1"/>
  <c r="J46" i="1" s="1"/>
  <c r="BD46" i="1"/>
  <c r="BF46" i="1"/>
  <c r="BJ46" i="1"/>
  <c r="K47" i="1"/>
  <c r="Z47" i="1"/>
  <c r="AD47" i="1"/>
  <c r="AE47" i="1"/>
  <c r="AF47" i="1"/>
  <c r="AG47" i="1"/>
  <c r="AH47" i="1"/>
  <c r="AJ47" i="1"/>
  <c r="AK47" i="1"/>
  <c r="AL47" i="1"/>
  <c r="AO47" i="1"/>
  <c r="BH47" i="1" s="1"/>
  <c r="AB47" i="1" s="1"/>
  <c r="AP47" i="1"/>
  <c r="J47" i="1" s="1"/>
  <c r="BD47" i="1"/>
  <c r="BF47" i="1"/>
  <c r="BJ47" i="1"/>
  <c r="K48" i="1"/>
  <c r="Z48" i="1"/>
  <c r="AD48" i="1"/>
  <c r="AE48" i="1"/>
  <c r="AF48" i="1"/>
  <c r="AG48" i="1"/>
  <c r="AH48" i="1"/>
  <c r="AJ48" i="1"/>
  <c r="AK48" i="1"/>
  <c r="AL48" i="1"/>
  <c r="AO48" i="1"/>
  <c r="AP48" i="1"/>
  <c r="J48" i="1" s="1"/>
  <c r="BD48" i="1"/>
  <c r="BF48" i="1"/>
  <c r="BJ48" i="1"/>
  <c r="K49" i="1"/>
  <c r="Z49" i="1"/>
  <c r="AD49" i="1"/>
  <c r="AE49" i="1"/>
  <c r="AF49" i="1"/>
  <c r="AG49" i="1"/>
  <c r="AH49" i="1"/>
  <c r="AJ49" i="1"/>
  <c r="AK49" i="1"/>
  <c r="AL49" i="1"/>
  <c r="AO49" i="1"/>
  <c r="I49" i="1" s="1"/>
  <c r="AP49" i="1"/>
  <c r="J49" i="1" s="1"/>
  <c r="BD49" i="1"/>
  <c r="BF49" i="1"/>
  <c r="BJ49" i="1"/>
  <c r="K50" i="1"/>
  <c r="Z50" i="1"/>
  <c r="AD50" i="1"/>
  <c r="AE50" i="1"/>
  <c r="AF50" i="1"/>
  <c r="AG50" i="1"/>
  <c r="AH50" i="1"/>
  <c r="AJ50" i="1"/>
  <c r="AK50" i="1"/>
  <c r="AL50" i="1"/>
  <c r="AO50" i="1"/>
  <c r="AP50" i="1"/>
  <c r="BD50" i="1"/>
  <c r="BF50" i="1"/>
  <c r="BH50" i="1"/>
  <c r="AB50" i="1" s="1"/>
  <c r="BJ50" i="1"/>
  <c r="K52" i="1"/>
  <c r="Z52" i="1"/>
  <c r="AD52" i="1"/>
  <c r="AE52" i="1"/>
  <c r="AF52" i="1"/>
  <c r="AG52" i="1"/>
  <c r="AH52" i="1"/>
  <c r="AJ52" i="1"/>
  <c r="AK52" i="1"/>
  <c r="AL52" i="1"/>
  <c r="AO52" i="1"/>
  <c r="I52" i="1" s="1"/>
  <c r="AP52" i="1"/>
  <c r="J52" i="1" s="1"/>
  <c r="BD52" i="1"/>
  <c r="BF52" i="1"/>
  <c r="BH52" i="1"/>
  <c r="AB52" i="1" s="1"/>
  <c r="BJ52" i="1"/>
  <c r="K53" i="1"/>
  <c r="Z53" i="1"/>
  <c r="AD53" i="1"/>
  <c r="AE53" i="1"/>
  <c r="AF53" i="1"/>
  <c r="AG53" i="1"/>
  <c r="AH53" i="1"/>
  <c r="AJ53" i="1"/>
  <c r="AK53" i="1"/>
  <c r="AL53" i="1"/>
  <c r="AO53" i="1"/>
  <c r="I53" i="1" s="1"/>
  <c r="AP53" i="1"/>
  <c r="J53" i="1" s="1"/>
  <c r="BD53" i="1"/>
  <c r="BF53" i="1"/>
  <c r="BH53" i="1"/>
  <c r="AB53" i="1" s="1"/>
  <c r="BJ53" i="1"/>
  <c r="K54" i="1"/>
  <c r="Z54" i="1"/>
  <c r="AD54" i="1"/>
  <c r="AE54" i="1"/>
  <c r="AF54" i="1"/>
  <c r="AG54" i="1"/>
  <c r="AH54" i="1"/>
  <c r="AJ54" i="1"/>
  <c r="AK54" i="1"/>
  <c r="AL54" i="1"/>
  <c r="AO54" i="1"/>
  <c r="I54" i="1" s="1"/>
  <c r="AP54" i="1"/>
  <c r="J54" i="1" s="1"/>
  <c r="BD54" i="1"/>
  <c r="BF54" i="1"/>
  <c r="BH54" i="1"/>
  <c r="AB54" i="1" s="1"/>
  <c r="BJ54" i="1"/>
  <c r="K56" i="1"/>
  <c r="Z56" i="1"/>
  <c r="AD56" i="1"/>
  <c r="AE56" i="1"/>
  <c r="AF56" i="1"/>
  <c r="AG56" i="1"/>
  <c r="AH56" i="1"/>
  <c r="AJ56" i="1"/>
  <c r="AK56" i="1"/>
  <c r="AL56" i="1"/>
  <c r="AO56" i="1"/>
  <c r="AP56" i="1"/>
  <c r="J56" i="1" s="1"/>
  <c r="BD56" i="1"/>
  <c r="BF56" i="1"/>
  <c r="BJ56" i="1"/>
  <c r="K57" i="1"/>
  <c r="Z57" i="1"/>
  <c r="AD57" i="1"/>
  <c r="AE57" i="1"/>
  <c r="AF57" i="1"/>
  <c r="AG57" i="1"/>
  <c r="AH57" i="1"/>
  <c r="AJ57" i="1"/>
  <c r="AK57" i="1"/>
  <c r="AL57" i="1"/>
  <c r="AO57" i="1"/>
  <c r="AP57" i="1"/>
  <c r="AX57" i="1" s="1"/>
  <c r="BD57" i="1"/>
  <c r="BF57" i="1"/>
  <c r="BH57" i="1"/>
  <c r="AB57" i="1" s="1"/>
  <c r="BJ57" i="1"/>
  <c r="K59" i="1"/>
  <c r="Z59" i="1"/>
  <c r="AD59" i="1"/>
  <c r="AE59" i="1"/>
  <c r="AF59" i="1"/>
  <c r="AG59" i="1"/>
  <c r="AH59" i="1"/>
  <c r="AJ59" i="1"/>
  <c r="AK59" i="1"/>
  <c r="AL59" i="1"/>
  <c r="AO59" i="1"/>
  <c r="AP59" i="1"/>
  <c r="BD59" i="1"/>
  <c r="BF59" i="1"/>
  <c r="BJ59" i="1"/>
  <c r="K60" i="1"/>
  <c r="Z60" i="1"/>
  <c r="AD60" i="1"/>
  <c r="AE60" i="1"/>
  <c r="AF60" i="1"/>
  <c r="AG60" i="1"/>
  <c r="AH60" i="1"/>
  <c r="AJ60" i="1"/>
  <c r="AK60" i="1"/>
  <c r="AL60" i="1"/>
  <c r="AO60" i="1"/>
  <c r="I60" i="1" s="1"/>
  <c r="AP60" i="1"/>
  <c r="J60" i="1" s="1"/>
  <c r="BD60" i="1"/>
  <c r="BF60" i="1"/>
  <c r="BJ60" i="1"/>
  <c r="K61" i="1"/>
  <c r="Z61" i="1"/>
  <c r="AD61" i="1"/>
  <c r="AE61" i="1"/>
  <c r="AF61" i="1"/>
  <c r="AG61" i="1"/>
  <c r="AH61" i="1"/>
  <c r="AJ61" i="1"/>
  <c r="AK61" i="1"/>
  <c r="AL61" i="1"/>
  <c r="AO61" i="1"/>
  <c r="AP61" i="1"/>
  <c r="BI61" i="1" s="1"/>
  <c r="AC61" i="1" s="1"/>
  <c r="BD61" i="1"/>
  <c r="BF61" i="1"/>
  <c r="BH61" i="1"/>
  <c r="AB61" i="1" s="1"/>
  <c r="BJ61" i="1"/>
  <c r="K62" i="1"/>
  <c r="AK62" i="1" s="1"/>
  <c r="Z62" i="1"/>
  <c r="AD62" i="1"/>
  <c r="AE62" i="1"/>
  <c r="AF62" i="1"/>
  <c r="AG62" i="1"/>
  <c r="AH62" i="1"/>
  <c r="AJ62" i="1"/>
  <c r="AL62" i="1"/>
  <c r="AO62" i="1"/>
  <c r="BH62" i="1" s="1"/>
  <c r="AB62" i="1" s="1"/>
  <c r="AP62" i="1"/>
  <c r="BD62" i="1"/>
  <c r="BF62" i="1"/>
  <c r="BJ62" i="1"/>
  <c r="K63" i="1"/>
  <c r="AK63" i="1" s="1"/>
  <c r="Z63" i="1"/>
  <c r="AD63" i="1"/>
  <c r="AE63" i="1"/>
  <c r="AF63" i="1"/>
  <c r="AG63" i="1"/>
  <c r="AH63" i="1"/>
  <c r="AJ63" i="1"/>
  <c r="AL63" i="1"/>
  <c r="AO63" i="1"/>
  <c r="I63" i="1" s="1"/>
  <c r="AP63" i="1"/>
  <c r="J63" i="1" s="1"/>
  <c r="BD63" i="1"/>
  <c r="BF63" i="1"/>
  <c r="BJ63" i="1"/>
  <c r="K64" i="1"/>
  <c r="AK64" i="1" s="1"/>
  <c r="Z64" i="1"/>
  <c r="AD64" i="1"/>
  <c r="AE64" i="1"/>
  <c r="AF64" i="1"/>
  <c r="AG64" i="1"/>
  <c r="AH64" i="1"/>
  <c r="AJ64" i="1"/>
  <c r="AL64" i="1"/>
  <c r="AO64" i="1"/>
  <c r="I64" i="1" s="1"/>
  <c r="AP64" i="1"/>
  <c r="J64" i="1" s="1"/>
  <c r="BD64" i="1"/>
  <c r="BF64" i="1"/>
  <c r="BJ64" i="1"/>
  <c r="K66" i="1"/>
  <c r="Z66" i="1"/>
  <c r="AD66" i="1"/>
  <c r="AE66" i="1"/>
  <c r="AF66" i="1"/>
  <c r="AG66" i="1"/>
  <c r="AH66" i="1"/>
  <c r="AJ66" i="1"/>
  <c r="AL66" i="1"/>
  <c r="AO66" i="1"/>
  <c r="I66" i="1" s="1"/>
  <c r="AP66" i="1"/>
  <c r="J66" i="1" s="1"/>
  <c r="BD66" i="1"/>
  <c r="BF66" i="1"/>
  <c r="BJ66" i="1"/>
  <c r="K67" i="1"/>
  <c r="AK67" i="1" s="1"/>
  <c r="Z67" i="1"/>
  <c r="AD67" i="1"/>
  <c r="AE67" i="1"/>
  <c r="AF67" i="1"/>
  <c r="AG67" i="1"/>
  <c r="AH67" i="1"/>
  <c r="AJ67" i="1"/>
  <c r="AL67" i="1"/>
  <c r="AO67" i="1"/>
  <c r="I67" i="1" s="1"/>
  <c r="AP67" i="1"/>
  <c r="BD67" i="1"/>
  <c r="BF67" i="1"/>
  <c r="BJ67" i="1"/>
  <c r="K68" i="1"/>
  <c r="Z68" i="1"/>
  <c r="AD68" i="1"/>
  <c r="AE68" i="1"/>
  <c r="AF68" i="1"/>
  <c r="AG68" i="1"/>
  <c r="AH68" i="1"/>
  <c r="AJ68" i="1"/>
  <c r="AK68" i="1"/>
  <c r="AL68" i="1"/>
  <c r="AO68" i="1"/>
  <c r="I68" i="1" s="1"/>
  <c r="AP68" i="1"/>
  <c r="BD68" i="1"/>
  <c r="BF68" i="1"/>
  <c r="BJ68" i="1"/>
  <c r="K69" i="1"/>
  <c r="AK69" i="1" s="1"/>
  <c r="Z69" i="1"/>
  <c r="AD69" i="1"/>
  <c r="AE69" i="1"/>
  <c r="AF69" i="1"/>
  <c r="AG69" i="1"/>
  <c r="AH69" i="1"/>
  <c r="AJ69" i="1"/>
  <c r="AL69" i="1"/>
  <c r="AO69" i="1"/>
  <c r="AP69" i="1"/>
  <c r="J69" i="1" s="1"/>
  <c r="BD69" i="1"/>
  <c r="BF69" i="1"/>
  <c r="BH69" i="1"/>
  <c r="AB69" i="1" s="1"/>
  <c r="BJ69" i="1"/>
  <c r="K70" i="1"/>
  <c r="AK70" i="1" s="1"/>
  <c r="Z70" i="1"/>
  <c r="AD70" i="1"/>
  <c r="AE70" i="1"/>
  <c r="AF70" i="1"/>
  <c r="AG70" i="1"/>
  <c r="AH70" i="1"/>
  <c r="AJ70" i="1"/>
  <c r="AL70" i="1"/>
  <c r="AO70" i="1"/>
  <c r="I70" i="1" s="1"/>
  <c r="AP70" i="1"/>
  <c r="J70" i="1" s="1"/>
  <c r="BD70" i="1"/>
  <c r="BF70" i="1"/>
  <c r="BJ70" i="1"/>
  <c r="K71" i="1"/>
  <c r="Z71" i="1"/>
  <c r="AD71" i="1"/>
  <c r="AE71" i="1"/>
  <c r="AF71" i="1"/>
  <c r="AG71" i="1"/>
  <c r="AH71" i="1"/>
  <c r="AJ71" i="1"/>
  <c r="AK71" i="1"/>
  <c r="AL71" i="1"/>
  <c r="AO71" i="1"/>
  <c r="I71" i="1" s="1"/>
  <c r="AP71" i="1"/>
  <c r="J71" i="1" s="1"/>
  <c r="BD71" i="1"/>
  <c r="BF71" i="1"/>
  <c r="BJ71" i="1"/>
  <c r="K73" i="1"/>
  <c r="Z73" i="1"/>
  <c r="AD73" i="1"/>
  <c r="AE73" i="1"/>
  <c r="AF73" i="1"/>
  <c r="AG73" i="1"/>
  <c r="AH73" i="1"/>
  <c r="AJ73" i="1"/>
  <c r="AK73" i="1"/>
  <c r="AL73" i="1"/>
  <c r="AO73" i="1"/>
  <c r="I73" i="1" s="1"/>
  <c r="AP73" i="1"/>
  <c r="BD73" i="1"/>
  <c r="BF73" i="1"/>
  <c r="BH73" i="1"/>
  <c r="AB73" i="1" s="1"/>
  <c r="BI73" i="1"/>
  <c r="AC73" i="1" s="1"/>
  <c r="BJ73" i="1"/>
  <c r="K75" i="1"/>
  <c r="AK75" i="1" s="1"/>
  <c r="Z75" i="1"/>
  <c r="AD75" i="1"/>
  <c r="AE75" i="1"/>
  <c r="AF75" i="1"/>
  <c r="AG75" i="1"/>
  <c r="AH75" i="1"/>
  <c r="AJ75" i="1"/>
  <c r="AL75" i="1"/>
  <c r="AO75" i="1"/>
  <c r="AP75" i="1"/>
  <c r="J75" i="1" s="1"/>
  <c r="BD75" i="1"/>
  <c r="BF75" i="1"/>
  <c r="BH75" i="1"/>
  <c r="AB75" i="1" s="1"/>
  <c r="BI75" i="1"/>
  <c r="AC75" i="1" s="1"/>
  <c r="BJ75" i="1"/>
  <c r="K77" i="1"/>
  <c r="Z77" i="1"/>
  <c r="AD77" i="1"/>
  <c r="AE77" i="1"/>
  <c r="AF77" i="1"/>
  <c r="AG77" i="1"/>
  <c r="AH77" i="1"/>
  <c r="AJ77" i="1"/>
  <c r="AK77" i="1"/>
  <c r="AL77" i="1"/>
  <c r="AO77" i="1"/>
  <c r="AP77" i="1"/>
  <c r="AX77" i="1" s="1"/>
  <c r="BD77" i="1"/>
  <c r="BF77" i="1"/>
  <c r="BJ77" i="1"/>
  <c r="K79" i="1"/>
  <c r="Z79" i="1"/>
  <c r="AD79" i="1"/>
  <c r="AE79" i="1"/>
  <c r="AF79" i="1"/>
  <c r="AG79" i="1"/>
  <c r="AH79" i="1"/>
  <c r="AJ79" i="1"/>
  <c r="AK79" i="1"/>
  <c r="AL79" i="1"/>
  <c r="AO79" i="1"/>
  <c r="AW79" i="1" s="1"/>
  <c r="AP79" i="1"/>
  <c r="J79" i="1" s="1"/>
  <c r="BD79" i="1"/>
  <c r="BF79" i="1"/>
  <c r="BH79" i="1"/>
  <c r="AB79" i="1" s="1"/>
  <c r="BI79" i="1"/>
  <c r="AC79" i="1" s="1"/>
  <c r="BJ79" i="1"/>
  <c r="K80" i="1"/>
  <c r="Z80" i="1"/>
  <c r="AD80" i="1"/>
  <c r="AE80" i="1"/>
  <c r="AF80" i="1"/>
  <c r="AG80" i="1"/>
  <c r="AH80" i="1"/>
  <c r="AJ80" i="1"/>
  <c r="AK80" i="1"/>
  <c r="AL80" i="1"/>
  <c r="AO80" i="1"/>
  <c r="AP80" i="1"/>
  <c r="BD80" i="1"/>
  <c r="BF80" i="1"/>
  <c r="BH80" i="1"/>
  <c r="AB80" i="1" s="1"/>
  <c r="BJ80" i="1"/>
  <c r="K81" i="1"/>
  <c r="AK81" i="1" s="1"/>
  <c r="Z81" i="1"/>
  <c r="AD81" i="1"/>
  <c r="AE81" i="1"/>
  <c r="AF81" i="1"/>
  <c r="AG81" i="1"/>
  <c r="AH81" i="1"/>
  <c r="AJ81" i="1"/>
  <c r="AL81" i="1"/>
  <c r="AO81" i="1"/>
  <c r="AP81" i="1"/>
  <c r="J81" i="1" s="1"/>
  <c r="BD81" i="1"/>
  <c r="BF81" i="1"/>
  <c r="BJ81" i="1"/>
  <c r="K82" i="1"/>
  <c r="Z82" i="1"/>
  <c r="AD82" i="1"/>
  <c r="AE82" i="1"/>
  <c r="AF82" i="1"/>
  <c r="AG82" i="1"/>
  <c r="AH82" i="1"/>
  <c r="AJ82" i="1"/>
  <c r="AK82" i="1"/>
  <c r="AL82" i="1"/>
  <c r="AO82" i="1"/>
  <c r="BH82" i="1" s="1"/>
  <c r="AB82" i="1" s="1"/>
  <c r="AP82" i="1"/>
  <c r="BD82" i="1"/>
  <c r="BF82" i="1"/>
  <c r="BJ82" i="1"/>
  <c r="K83" i="1"/>
  <c r="Z83" i="1"/>
  <c r="AD83" i="1"/>
  <c r="AE83" i="1"/>
  <c r="AF83" i="1"/>
  <c r="AG83" i="1"/>
  <c r="AH83" i="1"/>
  <c r="AJ83" i="1"/>
  <c r="AK83" i="1"/>
  <c r="AL83" i="1"/>
  <c r="AO83" i="1"/>
  <c r="AW83" i="1" s="1"/>
  <c r="AP83" i="1"/>
  <c r="J83" i="1" s="1"/>
  <c r="BD83" i="1"/>
  <c r="BF83" i="1"/>
  <c r="BI83" i="1"/>
  <c r="AC83" i="1" s="1"/>
  <c r="BJ83" i="1"/>
  <c r="K84" i="1"/>
  <c r="Z84" i="1"/>
  <c r="AD84" i="1"/>
  <c r="AE84" i="1"/>
  <c r="AF84" i="1"/>
  <c r="AG84" i="1"/>
  <c r="AH84" i="1"/>
  <c r="AJ84" i="1"/>
  <c r="AK84" i="1"/>
  <c r="AL84" i="1"/>
  <c r="AO84" i="1"/>
  <c r="I84" i="1" s="1"/>
  <c r="AP84" i="1"/>
  <c r="BD84" i="1"/>
  <c r="BF84" i="1"/>
  <c r="BH84" i="1"/>
  <c r="AB84" i="1" s="1"/>
  <c r="BJ84" i="1"/>
  <c r="K85" i="1"/>
  <c r="AK85" i="1" s="1"/>
  <c r="Z85" i="1"/>
  <c r="AD85" i="1"/>
  <c r="AE85" i="1"/>
  <c r="AF85" i="1"/>
  <c r="AG85" i="1"/>
  <c r="AH85" i="1"/>
  <c r="AJ85" i="1"/>
  <c r="AL85" i="1"/>
  <c r="AO85" i="1"/>
  <c r="AP85" i="1"/>
  <c r="J85" i="1" s="1"/>
  <c r="BD85" i="1"/>
  <c r="BF85" i="1"/>
  <c r="BH85" i="1"/>
  <c r="AB85" i="1" s="1"/>
  <c r="BJ85" i="1"/>
  <c r="K86" i="1"/>
  <c r="AK86" i="1" s="1"/>
  <c r="Z86" i="1"/>
  <c r="AD86" i="1"/>
  <c r="AE86" i="1"/>
  <c r="AF86" i="1"/>
  <c r="AG86" i="1"/>
  <c r="AH86" i="1"/>
  <c r="AJ86" i="1"/>
  <c r="AL86" i="1"/>
  <c r="AO86" i="1"/>
  <c r="I86" i="1" s="1"/>
  <c r="AP86" i="1"/>
  <c r="AX86" i="1" s="1"/>
  <c r="BD86" i="1"/>
  <c r="BF86" i="1"/>
  <c r="BJ86" i="1"/>
  <c r="K87" i="1"/>
  <c r="AK87" i="1" s="1"/>
  <c r="Z87" i="1"/>
  <c r="AD87" i="1"/>
  <c r="AE87" i="1"/>
  <c r="AF87" i="1"/>
  <c r="AG87" i="1"/>
  <c r="AH87" i="1"/>
  <c r="AJ87" i="1"/>
  <c r="AL87" i="1"/>
  <c r="AO87" i="1"/>
  <c r="AW87" i="1" s="1"/>
  <c r="AP87" i="1"/>
  <c r="J87" i="1" s="1"/>
  <c r="BD87" i="1"/>
  <c r="BF87" i="1"/>
  <c r="BJ87" i="1"/>
  <c r="K88" i="1"/>
  <c r="Z88" i="1"/>
  <c r="AD88" i="1"/>
  <c r="AE88" i="1"/>
  <c r="AF88" i="1"/>
  <c r="AG88" i="1"/>
  <c r="AH88" i="1"/>
  <c r="AJ88" i="1"/>
  <c r="AK88" i="1"/>
  <c r="AL88" i="1"/>
  <c r="AO88" i="1"/>
  <c r="AP88" i="1"/>
  <c r="BI88" i="1" s="1"/>
  <c r="AC88" i="1" s="1"/>
  <c r="BD88" i="1"/>
  <c r="BF88" i="1"/>
  <c r="BJ88" i="1"/>
  <c r="K90" i="1"/>
  <c r="K89" i="1" s="1"/>
  <c r="Z90" i="1"/>
  <c r="AD90" i="1"/>
  <c r="AE90" i="1"/>
  <c r="AF90" i="1"/>
  <c r="AG90" i="1"/>
  <c r="AH90" i="1"/>
  <c r="AJ90" i="1"/>
  <c r="AS89" i="1" s="1"/>
  <c r="AK90" i="1"/>
  <c r="AT89" i="1" s="1"/>
  <c r="AL90" i="1"/>
  <c r="AU89" i="1" s="1"/>
  <c r="AO90" i="1"/>
  <c r="AW90" i="1" s="1"/>
  <c r="AP90" i="1"/>
  <c r="J90" i="1" s="1"/>
  <c r="J89" i="1" s="1"/>
  <c r="BD90" i="1"/>
  <c r="BF90" i="1"/>
  <c r="BH90" i="1"/>
  <c r="AB90" i="1" s="1"/>
  <c r="BJ90" i="1"/>
  <c r="K92" i="1"/>
  <c r="Z92" i="1"/>
  <c r="AD92" i="1"/>
  <c r="AE92" i="1"/>
  <c r="AF92" i="1"/>
  <c r="AG92" i="1"/>
  <c r="AH92" i="1"/>
  <c r="AJ92" i="1"/>
  <c r="AK92" i="1"/>
  <c r="AL92" i="1"/>
  <c r="AO92" i="1"/>
  <c r="I92" i="1" s="1"/>
  <c r="AP92" i="1"/>
  <c r="AX92" i="1" s="1"/>
  <c r="BD92" i="1"/>
  <c r="BF92" i="1"/>
  <c r="BH92" i="1"/>
  <c r="AB92" i="1" s="1"/>
  <c r="BJ92" i="1"/>
  <c r="K93" i="1"/>
  <c r="AK93" i="1" s="1"/>
  <c r="Z93" i="1"/>
  <c r="AD93" i="1"/>
  <c r="AE93" i="1"/>
  <c r="AF93" i="1"/>
  <c r="AG93" i="1"/>
  <c r="AH93" i="1"/>
  <c r="AJ93" i="1"/>
  <c r="AL93" i="1"/>
  <c r="AO93" i="1"/>
  <c r="AW93" i="1" s="1"/>
  <c r="AP93" i="1"/>
  <c r="J93" i="1" s="1"/>
  <c r="BD93" i="1"/>
  <c r="BF93" i="1"/>
  <c r="BH93" i="1"/>
  <c r="AB93" i="1" s="1"/>
  <c r="BJ93" i="1"/>
  <c r="K95" i="1"/>
  <c r="Z95" i="1"/>
  <c r="AD95" i="1"/>
  <c r="AE95" i="1"/>
  <c r="AF95" i="1"/>
  <c r="AG95" i="1"/>
  <c r="AH95" i="1"/>
  <c r="AJ95" i="1"/>
  <c r="AK95" i="1"/>
  <c r="AL95" i="1"/>
  <c r="AO95" i="1"/>
  <c r="AP95" i="1"/>
  <c r="BD95" i="1"/>
  <c r="BF95" i="1"/>
  <c r="BJ95" i="1"/>
  <c r="K96" i="1"/>
  <c r="Z96" i="1"/>
  <c r="AD96" i="1"/>
  <c r="AE96" i="1"/>
  <c r="AF96" i="1"/>
  <c r="AG96" i="1"/>
  <c r="AH96" i="1"/>
  <c r="AJ96" i="1"/>
  <c r="AK96" i="1"/>
  <c r="AL96" i="1"/>
  <c r="AO96" i="1"/>
  <c r="AW96" i="1" s="1"/>
  <c r="AP96" i="1"/>
  <c r="J96" i="1" s="1"/>
  <c r="BD96" i="1"/>
  <c r="BF96" i="1"/>
  <c r="BH96" i="1"/>
  <c r="AB96" i="1" s="1"/>
  <c r="BJ96" i="1"/>
  <c r="K98" i="1"/>
  <c r="Z98" i="1"/>
  <c r="AD98" i="1"/>
  <c r="AE98" i="1"/>
  <c r="AF98" i="1"/>
  <c r="AG98" i="1"/>
  <c r="AH98" i="1"/>
  <c r="AJ98" i="1"/>
  <c r="AK98" i="1"/>
  <c r="AL98" i="1"/>
  <c r="AO98" i="1"/>
  <c r="I98" i="1" s="1"/>
  <c r="AP98" i="1"/>
  <c r="AX98" i="1" s="1"/>
  <c r="BD98" i="1"/>
  <c r="BF98" i="1"/>
  <c r="BH98" i="1"/>
  <c r="AB98" i="1" s="1"/>
  <c r="BI98" i="1"/>
  <c r="AC98" i="1" s="1"/>
  <c r="BJ98" i="1"/>
  <c r="K99" i="1"/>
  <c r="AK99" i="1" s="1"/>
  <c r="Z99" i="1"/>
  <c r="AD99" i="1"/>
  <c r="AE99" i="1"/>
  <c r="AF99" i="1"/>
  <c r="AG99" i="1"/>
  <c r="AH99" i="1"/>
  <c r="AJ99" i="1"/>
  <c r="AL99" i="1"/>
  <c r="AO99" i="1"/>
  <c r="AW99" i="1" s="1"/>
  <c r="AP99" i="1"/>
  <c r="J99" i="1" s="1"/>
  <c r="BD99" i="1"/>
  <c r="BF99" i="1"/>
  <c r="BH99" i="1"/>
  <c r="AB99" i="1" s="1"/>
  <c r="BJ99" i="1"/>
  <c r="K101" i="1"/>
  <c r="AK101" i="1" s="1"/>
  <c r="Z101" i="1"/>
  <c r="AD101" i="1"/>
  <c r="AE101" i="1"/>
  <c r="AF101" i="1"/>
  <c r="AG101" i="1"/>
  <c r="AH101" i="1"/>
  <c r="AJ101" i="1"/>
  <c r="AL101" i="1"/>
  <c r="AO101" i="1"/>
  <c r="I101" i="1" s="1"/>
  <c r="AP101" i="1"/>
  <c r="AX101" i="1" s="1"/>
  <c r="AW101" i="1"/>
  <c r="BD101" i="1"/>
  <c r="BF101" i="1"/>
  <c r="BH101" i="1"/>
  <c r="AB101" i="1" s="1"/>
  <c r="BJ101" i="1"/>
  <c r="K102" i="1"/>
  <c r="AK102" i="1" s="1"/>
  <c r="Z102" i="1"/>
  <c r="AD102" i="1"/>
  <c r="AE102" i="1"/>
  <c r="AF102" i="1"/>
  <c r="AG102" i="1"/>
  <c r="AH102" i="1"/>
  <c r="AJ102" i="1"/>
  <c r="AL102" i="1"/>
  <c r="AO102" i="1"/>
  <c r="AW102" i="1" s="1"/>
  <c r="AP102" i="1"/>
  <c r="J102" i="1" s="1"/>
  <c r="BD102" i="1"/>
  <c r="BF102" i="1"/>
  <c r="BH102" i="1"/>
  <c r="AB102" i="1" s="1"/>
  <c r="BI102" i="1"/>
  <c r="AC102" i="1" s="1"/>
  <c r="BJ102" i="1"/>
  <c r="K103" i="1"/>
  <c r="Z103" i="1"/>
  <c r="AD103" i="1"/>
  <c r="AE103" i="1"/>
  <c r="AF103" i="1"/>
  <c r="AG103" i="1"/>
  <c r="AH103" i="1"/>
  <c r="AJ103" i="1"/>
  <c r="AK103" i="1"/>
  <c r="AL103" i="1"/>
  <c r="AO103" i="1"/>
  <c r="I103" i="1" s="1"/>
  <c r="AP103" i="1"/>
  <c r="BI103" i="1" s="1"/>
  <c r="AC103" i="1" s="1"/>
  <c r="BD103" i="1"/>
  <c r="BF103" i="1"/>
  <c r="BJ103" i="1"/>
  <c r="K104" i="1"/>
  <c r="AK104" i="1" s="1"/>
  <c r="Z104" i="1"/>
  <c r="AD104" i="1"/>
  <c r="AE104" i="1"/>
  <c r="AF104" i="1"/>
  <c r="AG104" i="1"/>
  <c r="AH104" i="1"/>
  <c r="AJ104" i="1"/>
  <c r="AL104" i="1"/>
  <c r="AO104" i="1"/>
  <c r="AP104" i="1"/>
  <c r="J104" i="1" s="1"/>
  <c r="BD104" i="1"/>
  <c r="BF104" i="1"/>
  <c r="BH104" i="1"/>
  <c r="AB104" i="1" s="1"/>
  <c r="BJ104" i="1"/>
  <c r="K105" i="1"/>
  <c r="AK105" i="1" s="1"/>
  <c r="Z105" i="1"/>
  <c r="AD105" i="1"/>
  <c r="AE105" i="1"/>
  <c r="AF105" i="1"/>
  <c r="AG105" i="1"/>
  <c r="AH105" i="1"/>
  <c r="AJ105" i="1"/>
  <c r="AL105" i="1"/>
  <c r="AO105" i="1"/>
  <c r="I105" i="1" s="1"/>
  <c r="AP105" i="1"/>
  <c r="AX105" i="1" s="1"/>
  <c r="BD105" i="1"/>
  <c r="BF105" i="1"/>
  <c r="BH105" i="1"/>
  <c r="AB105" i="1" s="1"/>
  <c r="BJ105" i="1"/>
  <c r="K106" i="1"/>
  <c r="AK106" i="1" s="1"/>
  <c r="Z106" i="1"/>
  <c r="AD106" i="1"/>
  <c r="AE106" i="1"/>
  <c r="AF106" i="1"/>
  <c r="AG106" i="1"/>
  <c r="AH106" i="1"/>
  <c r="AJ106" i="1"/>
  <c r="AL106" i="1"/>
  <c r="AO106" i="1"/>
  <c r="AW106" i="1" s="1"/>
  <c r="AP106" i="1"/>
  <c r="J106" i="1" s="1"/>
  <c r="BD106" i="1"/>
  <c r="BF106" i="1"/>
  <c r="BI106" i="1"/>
  <c r="AC106" i="1" s="1"/>
  <c r="BJ106" i="1"/>
  <c r="K107" i="1"/>
  <c r="Z107" i="1"/>
  <c r="AD107" i="1"/>
  <c r="AE107" i="1"/>
  <c r="AF107" i="1"/>
  <c r="AG107" i="1"/>
  <c r="AH107" i="1"/>
  <c r="AJ107" i="1"/>
  <c r="AK107" i="1"/>
  <c r="AL107" i="1"/>
  <c r="AO107" i="1"/>
  <c r="I107" i="1" s="1"/>
  <c r="AP107" i="1"/>
  <c r="BI107" i="1" s="1"/>
  <c r="AC107" i="1" s="1"/>
  <c r="BD107" i="1"/>
  <c r="BF107" i="1"/>
  <c r="BJ107" i="1"/>
  <c r="K109" i="1"/>
  <c r="Z109" i="1"/>
  <c r="AD109" i="1"/>
  <c r="AE109" i="1"/>
  <c r="AF109" i="1"/>
  <c r="AG109" i="1"/>
  <c r="AH109" i="1"/>
  <c r="AJ109" i="1"/>
  <c r="AL109" i="1"/>
  <c r="AO109" i="1"/>
  <c r="AP109" i="1"/>
  <c r="J109" i="1" s="1"/>
  <c r="BD109" i="1"/>
  <c r="BF109" i="1"/>
  <c r="BJ109" i="1"/>
  <c r="K110" i="1"/>
  <c r="Z110" i="1"/>
  <c r="AD110" i="1"/>
  <c r="AE110" i="1"/>
  <c r="AF110" i="1"/>
  <c r="AG110" i="1"/>
  <c r="AH110" i="1"/>
  <c r="AJ110" i="1"/>
  <c r="AK110" i="1"/>
  <c r="AL110" i="1"/>
  <c r="AO110" i="1"/>
  <c r="AP110" i="1"/>
  <c r="AX110" i="1" s="1"/>
  <c r="BD110" i="1"/>
  <c r="BF110" i="1"/>
  <c r="BJ110" i="1"/>
  <c r="K111" i="1"/>
  <c r="Z111" i="1"/>
  <c r="AD111" i="1"/>
  <c r="AE111" i="1"/>
  <c r="AF111" i="1"/>
  <c r="AG111" i="1"/>
  <c r="AH111" i="1"/>
  <c r="AJ111" i="1"/>
  <c r="AK111" i="1"/>
  <c r="AL111" i="1"/>
  <c r="AO111" i="1"/>
  <c r="AW111" i="1" s="1"/>
  <c r="AP111" i="1"/>
  <c r="BD111" i="1"/>
  <c r="BF111" i="1"/>
  <c r="BJ111" i="1"/>
  <c r="K112" i="1"/>
  <c r="Z112" i="1"/>
  <c r="AD112" i="1"/>
  <c r="AE112" i="1"/>
  <c r="AF112" i="1"/>
  <c r="AG112" i="1"/>
  <c r="AH112" i="1"/>
  <c r="AJ112" i="1"/>
  <c r="AK112" i="1"/>
  <c r="AL112" i="1"/>
  <c r="AO112" i="1"/>
  <c r="I112" i="1" s="1"/>
  <c r="AP112" i="1"/>
  <c r="BD112" i="1"/>
  <c r="BF112" i="1"/>
  <c r="BH112" i="1"/>
  <c r="AB112" i="1" s="1"/>
  <c r="BJ112" i="1"/>
  <c r="K113" i="1"/>
  <c r="AK113" i="1" s="1"/>
  <c r="Z113" i="1"/>
  <c r="AD113" i="1"/>
  <c r="AE113" i="1"/>
  <c r="AF113" i="1"/>
  <c r="AG113" i="1"/>
  <c r="AH113" i="1"/>
  <c r="AJ113" i="1"/>
  <c r="AL113" i="1"/>
  <c r="AO113" i="1"/>
  <c r="AP113" i="1"/>
  <c r="J113" i="1" s="1"/>
  <c r="BD113" i="1"/>
  <c r="BF113" i="1"/>
  <c r="BH113" i="1"/>
  <c r="AB113" i="1" s="1"/>
  <c r="BJ113" i="1"/>
  <c r="K114" i="1"/>
  <c r="AK114" i="1" s="1"/>
  <c r="Z114" i="1"/>
  <c r="AD114" i="1"/>
  <c r="AE114" i="1"/>
  <c r="AF114" i="1"/>
  <c r="AG114" i="1"/>
  <c r="AH114" i="1"/>
  <c r="AJ114" i="1"/>
  <c r="AL114" i="1"/>
  <c r="AO114" i="1"/>
  <c r="I114" i="1" s="1"/>
  <c r="AP114" i="1"/>
  <c r="AX114" i="1" s="1"/>
  <c r="BD114" i="1"/>
  <c r="BF114" i="1"/>
  <c r="BH114" i="1"/>
  <c r="AB114" i="1" s="1"/>
  <c r="BJ114" i="1"/>
  <c r="K115" i="1"/>
  <c r="Z115" i="1"/>
  <c r="AD115" i="1"/>
  <c r="AE115" i="1"/>
  <c r="AF115" i="1"/>
  <c r="AG115" i="1"/>
  <c r="AH115" i="1"/>
  <c r="AJ115" i="1"/>
  <c r="AK115" i="1"/>
  <c r="AL115" i="1"/>
  <c r="AO115" i="1"/>
  <c r="AP115" i="1"/>
  <c r="J115" i="1" s="1"/>
  <c r="BD115" i="1"/>
  <c r="BF115" i="1"/>
  <c r="BJ115" i="1"/>
  <c r="K116" i="1"/>
  <c r="Z116" i="1"/>
  <c r="AD116" i="1"/>
  <c r="AE116" i="1"/>
  <c r="AF116" i="1"/>
  <c r="AG116" i="1"/>
  <c r="AH116" i="1"/>
  <c r="AJ116" i="1"/>
  <c r="AK116" i="1"/>
  <c r="AL116" i="1"/>
  <c r="AO116" i="1"/>
  <c r="I116" i="1" s="1"/>
  <c r="AP116" i="1"/>
  <c r="BI116" i="1" s="1"/>
  <c r="AC116" i="1" s="1"/>
  <c r="AW116" i="1"/>
  <c r="BD116" i="1"/>
  <c r="BF116" i="1"/>
  <c r="BH116" i="1"/>
  <c r="AB116" i="1" s="1"/>
  <c r="BJ116" i="1"/>
  <c r="K117" i="1"/>
  <c r="AK117" i="1" s="1"/>
  <c r="Z117" i="1"/>
  <c r="AD117" i="1"/>
  <c r="AE117" i="1"/>
  <c r="AF117" i="1"/>
  <c r="AG117" i="1"/>
  <c r="AH117" i="1"/>
  <c r="AJ117" i="1"/>
  <c r="AL117" i="1"/>
  <c r="AO117" i="1"/>
  <c r="AP117" i="1"/>
  <c r="J117" i="1" s="1"/>
  <c r="BD117" i="1"/>
  <c r="BF117" i="1"/>
  <c r="BH117" i="1"/>
  <c r="AB117" i="1" s="1"/>
  <c r="BJ117" i="1"/>
  <c r="K118" i="1"/>
  <c r="AK118" i="1" s="1"/>
  <c r="Z118" i="1"/>
  <c r="AD118" i="1"/>
  <c r="AE118" i="1"/>
  <c r="AF118" i="1"/>
  <c r="AG118" i="1"/>
  <c r="AH118" i="1"/>
  <c r="AJ118" i="1"/>
  <c r="AL118" i="1"/>
  <c r="AO118" i="1"/>
  <c r="I118" i="1" s="1"/>
  <c r="AP118" i="1"/>
  <c r="AX118" i="1" s="1"/>
  <c r="AW118" i="1"/>
  <c r="BD118" i="1"/>
  <c r="BF118" i="1"/>
  <c r="BJ118" i="1"/>
  <c r="K120" i="1"/>
  <c r="Z120" i="1"/>
  <c r="AD120" i="1"/>
  <c r="AE120" i="1"/>
  <c r="AF120" i="1"/>
  <c r="AG120" i="1"/>
  <c r="AH120" i="1"/>
  <c r="AJ120" i="1"/>
  <c r="AL120" i="1"/>
  <c r="AO120" i="1"/>
  <c r="AP120" i="1"/>
  <c r="J120" i="1" s="1"/>
  <c r="BD120" i="1"/>
  <c r="BF120" i="1"/>
  <c r="BH120" i="1"/>
  <c r="AB120" i="1" s="1"/>
  <c r="BI120" i="1"/>
  <c r="AC120" i="1" s="1"/>
  <c r="BJ120" i="1"/>
  <c r="K121" i="1"/>
  <c r="Z121" i="1"/>
  <c r="AD121" i="1"/>
  <c r="AE121" i="1"/>
  <c r="AF121" i="1"/>
  <c r="AG121" i="1"/>
  <c r="AH121" i="1"/>
  <c r="AJ121" i="1"/>
  <c r="AK121" i="1"/>
  <c r="AL121" i="1"/>
  <c r="AO121" i="1"/>
  <c r="AP121" i="1"/>
  <c r="AX121" i="1" s="1"/>
  <c r="BD121" i="1"/>
  <c r="BF121" i="1"/>
  <c r="BJ121" i="1"/>
  <c r="K122" i="1"/>
  <c r="AK122" i="1" s="1"/>
  <c r="Z122" i="1"/>
  <c r="AD122" i="1"/>
  <c r="AE122" i="1"/>
  <c r="AF122" i="1"/>
  <c r="AG122" i="1"/>
  <c r="AH122" i="1"/>
  <c r="AJ122" i="1"/>
  <c r="AL122" i="1"/>
  <c r="AO122" i="1"/>
  <c r="I122" i="1" s="1"/>
  <c r="AP122" i="1"/>
  <c r="BI122" i="1" s="1"/>
  <c r="AC122" i="1" s="1"/>
  <c r="BD122" i="1"/>
  <c r="BF122" i="1"/>
  <c r="BJ122" i="1"/>
  <c r="K123" i="1"/>
  <c r="Z123" i="1"/>
  <c r="AD123" i="1"/>
  <c r="AE123" i="1"/>
  <c r="AF123" i="1"/>
  <c r="AG123" i="1"/>
  <c r="AH123" i="1"/>
  <c r="AJ123" i="1"/>
  <c r="AK123" i="1"/>
  <c r="AL123" i="1"/>
  <c r="AO123" i="1"/>
  <c r="AP123" i="1"/>
  <c r="BI123" i="1" s="1"/>
  <c r="AC123" i="1" s="1"/>
  <c r="BD123" i="1"/>
  <c r="BF123" i="1"/>
  <c r="BJ123" i="1"/>
  <c r="K124" i="1"/>
  <c r="AK124" i="1" s="1"/>
  <c r="Z124" i="1"/>
  <c r="AD124" i="1"/>
  <c r="AE124" i="1"/>
  <c r="AF124" i="1"/>
  <c r="AG124" i="1"/>
  <c r="AH124" i="1"/>
  <c r="AJ124" i="1"/>
  <c r="AL124" i="1"/>
  <c r="AO124" i="1"/>
  <c r="AP124" i="1"/>
  <c r="J124" i="1" s="1"/>
  <c r="BD124" i="1"/>
  <c r="BF124" i="1"/>
  <c r="BH124" i="1"/>
  <c r="AB124" i="1" s="1"/>
  <c r="BJ124" i="1"/>
  <c r="K125" i="1"/>
  <c r="AK125" i="1" s="1"/>
  <c r="Z125" i="1"/>
  <c r="AD125" i="1"/>
  <c r="AE125" i="1"/>
  <c r="AF125" i="1"/>
  <c r="AG125" i="1"/>
  <c r="AH125" i="1"/>
  <c r="AJ125" i="1"/>
  <c r="AL125" i="1"/>
  <c r="AO125" i="1"/>
  <c r="AP125" i="1"/>
  <c r="BD125" i="1"/>
  <c r="BF125" i="1"/>
  <c r="BH125" i="1"/>
  <c r="AB125" i="1" s="1"/>
  <c r="BJ125" i="1"/>
  <c r="K126" i="1"/>
  <c r="AK126" i="1" s="1"/>
  <c r="Z126" i="1"/>
  <c r="AD126" i="1"/>
  <c r="AE126" i="1"/>
  <c r="AF126" i="1"/>
  <c r="AG126" i="1"/>
  <c r="AH126" i="1"/>
  <c r="AJ126" i="1"/>
  <c r="AL126" i="1"/>
  <c r="AO126" i="1"/>
  <c r="I126" i="1" s="1"/>
  <c r="AP126" i="1"/>
  <c r="BI126" i="1" s="1"/>
  <c r="AC126" i="1" s="1"/>
  <c r="BD126" i="1"/>
  <c r="BF126" i="1"/>
  <c r="BJ126" i="1"/>
  <c r="K127" i="1"/>
  <c r="Z127" i="1"/>
  <c r="AD127" i="1"/>
  <c r="AE127" i="1"/>
  <c r="AF127" i="1"/>
  <c r="AG127" i="1"/>
  <c r="AH127" i="1"/>
  <c r="AJ127" i="1"/>
  <c r="AK127" i="1"/>
  <c r="AL127" i="1"/>
  <c r="AO127" i="1"/>
  <c r="AP127" i="1"/>
  <c r="BD127" i="1"/>
  <c r="BF127" i="1"/>
  <c r="BH127" i="1"/>
  <c r="AB127" i="1" s="1"/>
  <c r="BJ127" i="1"/>
  <c r="K128" i="1"/>
  <c r="AK128" i="1" s="1"/>
  <c r="Z128" i="1"/>
  <c r="AD128" i="1"/>
  <c r="AE128" i="1"/>
  <c r="AF128" i="1"/>
  <c r="AG128" i="1"/>
  <c r="AH128" i="1"/>
  <c r="AJ128" i="1"/>
  <c r="AL128" i="1"/>
  <c r="AO128" i="1"/>
  <c r="AP128" i="1"/>
  <c r="BD128" i="1"/>
  <c r="BF128" i="1"/>
  <c r="BJ128" i="1"/>
  <c r="K129" i="1"/>
  <c r="AK129" i="1" s="1"/>
  <c r="Z129" i="1"/>
  <c r="AD129" i="1"/>
  <c r="AE129" i="1"/>
  <c r="AF129" i="1"/>
  <c r="AG129" i="1"/>
  <c r="AH129" i="1"/>
  <c r="AJ129" i="1"/>
  <c r="AL129" i="1"/>
  <c r="AO129" i="1"/>
  <c r="I129" i="1" s="1"/>
  <c r="AP129" i="1"/>
  <c r="AX129" i="1" s="1"/>
  <c r="BD129" i="1"/>
  <c r="BF129" i="1"/>
  <c r="BH129" i="1"/>
  <c r="AB129" i="1" s="1"/>
  <c r="BJ129" i="1"/>
  <c r="K130" i="1"/>
  <c r="Z130" i="1"/>
  <c r="AD130" i="1"/>
  <c r="AE130" i="1"/>
  <c r="AF130" i="1"/>
  <c r="AG130" i="1"/>
  <c r="AH130" i="1"/>
  <c r="AJ130" i="1"/>
  <c r="AK130" i="1"/>
  <c r="AL130" i="1"/>
  <c r="AO130" i="1"/>
  <c r="AW130" i="1" s="1"/>
  <c r="AP130" i="1"/>
  <c r="BD130" i="1"/>
  <c r="BF130" i="1"/>
  <c r="BH130" i="1"/>
  <c r="AB130" i="1" s="1"/>
  <c r="BJ130" i="1"/>
  <c r="K131" i="1"/>
  <c r="Z131" i="1"/>
  <c r="AD131" i="1"/>
  <c r="AE131" i="1"/>
  <c r="AF131" i="1"/>
  <c r="AG131" i="1"/>
  <c r="AH131" i="1"/>
  <c r="AJ131" i="1"/>
  <c r="AK131" i="1"/>
  <c r="AL131" i="1"/>
  <c r="AO131" i="1"/>
  <c r="I131" i="1" s="1"/>
  <c r="AP131" i="1"/>
  <c r="BD131" i="1"/>
  <c r="BF131" i="1"/>
  <c r="BJ131" i="1"/>
  <c r="K132" i="1"/>
  <c r="AK132" i="1" s="1"/>
  <c r="Z132" i="1"/>
  <c r="AD132" i="1"/>
  <c r="AE132" i="1"/>
  <c r="AF132" i="1"/>
  <c r="AG132" i="1"/>
  <c r="AH132" i="1"/>
  <c r="AJ132" i="1"/>
  <c r="AL132" i="1"/>
  <c r="AO132" i="1"/>
  <c r="AP132" i="1"/>
  <c r="J132" i="1" s="1"/>
  <c r="BD132" i="1"/>
  <c r="BF132" i="1"/>
  <c r="BJ132" i="1"/>
  <c r="K133" i="1"/>
  <c r="AK133" i="1" s="1"/>
  <c r="Z133" i="1"/>
  <c r="AD133" i="1"/>
  <c r="AE133" i="1"/>
  <c r="AF133" i="1"/>
  <c r="AG133" i="1"/>
  <c r="AH133" i="1"/>
  <c r="AJ133" i="1"/>
  <c r="AL133" i="1"/>
  <c r="AO133" i="1"/>
  <c r="I133" i="1" s="1"/>
  <c r="AP133" i="1"/>
  <c r="AX133" i="1" s="1"/>
  <c r="BD133" i="1"/>
  <c r="BF133" i="1"/>
  <c r="BH133" i="1"/>
  <c r="AB133" i="1" s="1"/>
  <c r="BI133" i="1"/>
  <c r="AC133" i="1" s="1"/>
  <c r="BJ133" i="1"/>
  <c r="K134" i="1"/>
  <c r="Z134" i="1"/>
  <c r="AD134" i="1"/>
  <c r="AE134" i="1"/>
  <c r="AF134" i="1"/>
  <c r="AG134" i="1"/>
  <c r="AH134" i="1"/>
  <c r="AJ134" i="1"/>
  <c r="AK134" i="1"/>
  <c r="AL134" i="1"/>
  <c r="AO134" i="1"/>
  <c r="AP134" i="1"/>
  <c r="J134" i="1" s="1"/>
  <c r="BD134" i="1"/>
  <c r="BF134" i="1"/>
  <c r="BJ134" i="1"/>
  <c r="K135" i="1"/>
  <c r="AK135" i="1" s="1"/>
  <c r="Z135" i="1"/>
  <c r="AD135" i="1"/>
  <c r="AE135" i="1"/>
  <c r="AF135" i="1"/>
  <c r="AG135" i="1"/>
  <c r="AH135" i="1"/>
  <c r="AJ135" i="1"/>
  <c r="AL135" i="1"/>
  <c r="AO135" i="1"/>
  <c r="I135" i="1" s="1"/>
  <c r="AP135" i="1"/>
  <c r="BD135" i="1"/>
  <c r="BF135" i="1"/>
  <c r="BH135" i="1"/>
  <c r="AB135" i="1" s="1"/>
  <c r="BJ135" i="1"/>
  <c r="K136" i="1"/>
  <c r="AK136" i="1" s="1"/>
  <c r="Z136" i="1"/>
  <c r="AD136" i="1"/>
  <c r="AE136" i="1"/>
  <c r="AF136" i="1"/>
  <c r="AG136" i="1"/>
  <c r="AH136" i="1"/>
  <c r="AJ136" i="1"/>
  <c r="AL136" i="1"/>
  <c r="AO136" i="1"/>
  <c r="AP136" i="1"/>
  <c r="J136" i="1" s="1"/>
  <c r="BD136" i="1"/>
  <c r="BF136" i="1"/>
  <c r="BH136" i="1"/>
  <c r="AB136" i="1" s="1"/>
  <c r="BJ136" i="1"/>
  <c r="K137" i="1"/>
  <c r="AK137" i="1" s="1"/>
  <c r="Z137" i="1"/>
  <c r="AD137" i="1"/>
  <c r="AE137" i="1"/>
  <c r="AF137" i="1"/>
  <c r="AG137" i="1"/>
  <c r="AH137" i="1"/>
  <c r="AJ137" i="1"/>
  <c r="AL137" i="1"/>
  <c r="AO137" i="1"/>
  <c r="I137" i="1" s="1"/>
  <c r="AP137" i="1"/>
  <c r="AX137" i="1" s="1"/>
  <c r="BD137" i="1"/>
  <c r="BF137" i="1"/>
  <c r="BJ137" i="1"/>
  <c r="K138" i="1"/>
  <c r="AK138" i="1" s="1"/>
  <c r="Z138" i="1"/>
  <c r="AD138" i="1"/>
  <c r="AE138" i="1"/>
  <c r="AF138" i="1"/>
  <c r="AG138" i="1"/>
  <c r="AH138" i="1"/>
  <c r="AJ138" i="1"/>
  <c r="AL138" i="1"/>
  <c r="AO138" i="1"/>
  <c r="I138" i="1" s="1"/>
  <c r="AP138" i="1"/>
  <c r="J138" i="1" s="1"/>
  <c r="BD138" i="1"/>
  <c r="BF138" i="1"/>
  <c r="BJ138" i="1"/>
  <c r="K140" i="1"/>
  <c r="Z140" i="1"/>
  <c r="AD140" i="1"/>
  <c r="AE140" i="1"/>
  <c r="AF140" i="1"/>
  <c r="AG140" i="1"/>
  <c r="AH140" i="1"/>
  <c r="AJ140" i="1"/>
  <c r="AL140" i="1"/>
  <c r="AO140" i="1"/>
  <c r="I140" i="1" s="1"/>
  <c r="AP140" i="1"/>
  <c r="AX140" i="1" s="1"/>
  <c r="AW140" i="1"/>
  <c r="BD140" i="1"/>
  <c r="BF140" i="1"/>
  <c r="BH140" i="1"/>
  <c r="AB140" i="1" s="1"/>
  <c r="BJ140" i="1"/>
  <c r="K141" i="1"/>
  <c r="AK141" i="1" s="1"/>
  <c r="Z141" i="1"/>
  <c r="AD141" i="1"/>
  <c r="AE141" i="1"/>
  <c r="AF141" i="1"/>
  <c r="AG141" i="1"/>
  <c r="AH141" i="1"/>
  <c r="AJ141" i="1"/>
  <c r="AL141" i="1"/>
  <c r="AO141" i="1"/>
  <c r="AP141" i="1"/>
  <c r="J141" i="1" s="1"/>
  <c r="BD141" i="1"/>
  <c r="BF141" i="1"/>
  <c r="BH141" i="1"/>
  <c r="AB141" i="1" s="1"/>
  <c r="BJ141" i="1"/>
  <c r="K142" i="1"/>
  <c r="Z142" i="1"/>
  <c r="AD142" i="1"/>
  <c r="AE142" i="1"/>
  <c r="AF142" i="1"/>
  <c r="AG142" i="1"/>
  <c r="AH142" i="1"/>
  <c r="AJ142" i="1"/>
  <c r="AK142" i="1"/>
  <c r="AL142" i="1"/>
  <c r="AO142" i="1"/>
  <c r="BH142" i="1" s="1"/>
  <c r="AB142" i="1" s="1"/>
  <c r="AP142" i="1"/>
  <c r="BI142" i="1" s="1"/>
  <c r="AC142" i="1" s="1"/>
  <c r="BD142" i="1"/>
  <c r="BF142" i="1"/>
  <c r="BJ142" i="1"/>
  <c r="K143" i="1"/>
  <c r="AK143" i="1" s="1"/>
  <c r="Z143" i="1"/>
  <c r="AD143" i="1"/>
  <c r="AE143" i="1"/>
  <c r="AF143" i="1"/>
  <c r="AG143" i="1"/>
  <c r="AH143" i="1"/>
  <c r="AJ143" i="1"/>
  <c r="AL143" i="1"/>
  <c r="AO143" i="1"/>
  <c r="BH143" i="1" s="1"/>
  <c r="AB143" i="1" s="1"/>
  <c r="AP143" i="1"/>
  <c r="J143" i="1" s="1"/>
  <c r="BD143" i="1"/>
  <c r="BF143" i="1"/>
  <c r="BJ143" i="1"/>
  <c r="K144" i="1"/>
  <c r="AK144" i="1" s="1"/>
  <c r="Z144" i="1"/>
  <c r="AD144" i="1"/>
  <c r="AE144" i="1"/>
  <c r="AF144" i="1"/>
  <c r="AG144" i="1"/>
  <c r="AH144" i="1"/>
  <c r="AJ144" i="1"/>
  <c r="AL144" i="1"/>
  <c r="AO144" i="1"/>
  <c r="I144" i="1" s="1"/>
  <c r="AP144" i="1"/>
  <c r="J144" i="1" s="1"/>
  <c r="BD144" i="1"/>
  <c r="BF144" i="1"/>
  <c r="BJ144" i="1"/>
  <c r="K145" i="1"/>
  <c r="Z145" i="1"/>
  <c r="AD145" i="1"/>
  <c r="AE145" i="1"/>
  <c r="AF145" i="1"/>
  <c r="AG145" i="1"/>
  <c r="AH145" i="1"/>
  <c r="AJ145" i="1"/>
  <c r="AK145" i="1"/>
  <c r="AL145" i="1"/>
  <c r="AO145" i="1"/>
  <c r="I145" i="1" s="1"/>
  <c r="AP145" i="1"/>
  <c r="J145" i="1" s="1"/>
  <c r="BD145" i="1"/>
  <c r="BF145" i="1"/>
  <c r="BJ145" i="1"/>
  <c r="K146" i="1"/>
  <c r="Z146" i="1"/>
  <c r="AD146" i="1"/>
  <c r="AE146" i="1"/>
  <c r="AF146" i="1"/>
  <c r="AG146" i="1"/>
  <c r="AH146" i="1"/>
  <c r="AJ146" i="1"/>
  <c r="AK146" i="1"/>
  <c r="AL146" i="1"/>
  <c r="AO146" i="1"/>
  <c r="I146" i="1" s="1"/>
  <c r="AP146" i="1"/>
  <c r="BD146" i="1"/>
  <c r="BF146" i="1"/>
  <c r="BJ146" i="1"/>
  <c r="K147" i="1"/>
  <c r="AK147" i="1" s="1"/>
  <c r="Z147" i="1"/>
  <c r="AD147" i="1"/>
  <c r="AE147" i="1"/>
  <c r="AF147" i="1"/>
  <c r="AG147" i="1"/>
  <c r="AH147" i="1"/>
  <c r="AJ147" i="1"/>
  <c r="AL147" i="1"/>
  <c r="AO147" i="1"/>
  <c r="AP147" i="1"/>
  <c r="J147" i="1" s="1"/>
  <c r="BD147" i="1"/>
  <c r="BF147" i="1"/>
  <c r="BH147" i="1"/>
  <c r="AB147" i="1" s="1"/>
  <c r="BJ147" i="1"/>
  <c r="K148" i="1"/>
  <c r="AK148" i="1" s="1"/>
  <c r="Z148" i="1"/>
  <c r="AD148" i="1"/>
  <c r="AE148" i="1"/>
  <c r="AF148" i="1"/>
  <c r="AG148" i="1"/>
  <c r="AH148" i="1"/>
  <c r="AJ148" i="1"/>
  <c r="AL148" i="1"/>
  <c r="AO148" i="1"/>
  <c r="AP148" i="1"/>
  <c r="BI148" i="1" s="1"/>
  <c r="AC148" i="1" s="1"/>
  <c r="AX148" i="1"/>
  <c r="BD148" i="1"/>
  <c r="BF148" i="1"/>
  <c r="BJ148" i="1"/>
  <c r="K149" i="1"/>
  <c r="AK149" i="1" s="1"/>
  <c r="Z149" i="1"/>
  <c r="AD149" i="1"/>
  <c r="AE149" i="1"/>
  <c r="AF149" i="1"/>
  <c r="AG149" i="1"/>
  <c r="AH149" i="1"/>
  <c r="AJ149" i="1"/>
  <c r="AL149" i="1"/>
  <c r="AO149" i="1"/>
  <c r="AP149" i="1"/>
  <c r="AX149" i="1" s="1"/>
  <c r="BD149" i="1"/>
  <c r="BF149" i="1"/>
  <c r="BJ149" i="1"/>
  <c r="K150" i="1"/>
  <c r="Z150" i="1"/>
  <c r="AD150" i="1"/>
  <c r="AE150" i="1"/>
  <c r="AF150" i="1"/>
  <c r="AG150" i="1"/>
  <c r="AH150" i="1"/>
  <c r="AJ150" i="1"/>
  <c r="AK150" i="1"/>
  <c r="AL150" i="1"/>
  <c r="AO150" i="1"/>
  <c r="AP150" i="1"/>
  <c r="AX150" i="1" s="1"/>
  <c r="BD150" i="1"/>
  <c r="BF150" i="1"/>
  <c r="BJ150" i="1"/>
  <c r="K151" i="1"/>
  <c r="AK151" i="1" s="1"/>
  <c r="Z151" i="1"/>
  <c r="AD151" i="1"/>
  <c r="AE151" i="1"/>
  <c r="AF151" i="1"/>
  <c r="AG151" i="1"/>
  <c r="AH151" i="1"/>
  <c r="AJ151" i="1"/>
  <c r="AL151" i="1"/>
  <c r="AO151" i="1"/>
  <c r="AP151" i="1"/>
  <c r="J151" i="1" s="1"/>
  <c r="AX151" i="1"/>
  <c r="BD151" i="1"/>
  <c r="BF151" i="1"/>
  <c r="BI151" i="1"/>
  <c r="AC151" i="1" s="1"/>
  <c r="BJ151" i="1"/>
  <c r="K152" i="1"/>
  <c r="Z152" i="1"/>
  <c r="AD152" i="1"/>
  <c r="AE152" i="1"/>
  <c r="AF152" i="1"/>
  <c r="AG152" i="1"/>
  <c r="AH152" i="1"/>
  <c r="AJ152" i="1"/>
  <c r="AK152" i="1"/>
  <c r="AL152" i="1"/>
  <c r="AO152" i="1"/>
  <c r="I152" i="1" s="1"/>
  <c r="AP152" i="1"/>
  <c r="AX152" i="1" s="1"/>
  <c r="AW152" i="1"/>
  <c r="BD152" i="1"/>
  <c r="BF152" i="1"/>
  <c r="BJ152" i="1"/>
  <c r="K153" i="1"/>
  <c r="AK153" i="1" s="1"/>
  <c r="Z153" i="1"/>
  <c r="AD153" i="1"/>
  <c r="AE153" i="1"/>
  <c r="AF153" i="1"/>
  <c r="AG153" i="1"/>
  <c r="AH153" i="1"/>
  <c r="AJ153" i="1"/>
  <c r="AL153" i="1"/>
  <c r="AO153" i="1"/>
  <c r="AW153" i="1" s="1"/>
  <c r="AP153" i="1"/>
  <c r="J153" i="1" s="1"/>
  <c r="BD153" i="1"/>
  <c r="BF153" i="1"/>
  <c r="BH153" i="1"/>
  <c r="AB153" i="1" s="1"/>
  <c r="BI153" i="1"/>
  <c r="AC153" i="1" s="1"/>
  <c r="BJ153" i="1"/>
  <c r="K154" i="1"/>
  <c r="AK154" i="1" s="1"/>
  <c r="Z154" i="1"/>
  <c r="AD154" i="1"/>
  <c r="AE154" i="1"/>
  <c r="AF154" i="1"/>
  <c r="AG154" i="1"/>
  <c r="AH154" i="1"/>
  <c r="AJ154" i="1"/>
  <c r="AL154" i="1"/>
  <c r="AO154" i="1"/>
  <c r="I154" i="1" s="1"/>
  <c r="AP154" i="1"/>
  <c r="BD154" i="1"/>
  <c r="BF154" i="1"/>
  <c r="BH154" i="1"/>
  <c r="AB154" i="1" s="1"/>
  <c r="BJ154" i="1"/>
  <c r="K155" i="1"/>
  <c r="AK155" i="1" s="1"/>
  <c r="Z155" i="1"/>
  <c r="AD155" i="1"/>
  <c r="AE155" i="1"/>
  <c r="AF155" i="1"/>
  <c r="AG155" i="1"/>
  <c r="AH155" i="1"/>
  <c r="AJ155" i="1"/>
  <c r="AL155" i="1"/>
  <c r="AO155" i="1"/>
  <c r="BH155" i="1" s="1"/>
  <c r="AB155" i="1" s="1"/>
  <c r="AP155" i="1"/>
  <c r="J155" i="1" s="1"/>
  <c r="BD155" i="1"/>
  <c r="BF155" i="1"/>
  <c r="BJ155" i="1"/>
  <c r="K156" i="1"/>
  <c r="Z156" i="1"/>
  <c r="AD156" i="1"/>
  <c r="AE156" i="1"/>
  <c r="AF156" i="1"/>
  <c r="AG156" i="1"/>
  <c r="AH156" i="1"/>
  <c r="AJ156" i="1"/>
  <c r="AK156" i="1"/>
  <c r="AL156" i="1"/>
  <c r="AO156" i="1"/>
  <c r="I156" i="1" s="1"/>
  <c r="AP156" i="1"/>
  <c r="AX156" i="1" s="1"/>
  <c r="BD156" i="1"/>
  <c r="BF156" i="1"/>
  <c r="BJ156" i="1"/>
  <c r="K158" i="1"/>
  <c r="Z158" i="1"/>
  <c r="AD158" i="1"/>
  <c r="AE158" i="1"/>
  <c r="AF158" i="1"/>
  <c r="AG158" i="1"/>
  <c r="AH158" i="1"/>
  <c r="AJ158" i="1"/>
  <c r="AS157" i="1" s="1"/>
  <c r="AL158" i="1"/>
  <c r="AU157" i="1" s="1"/>
  <c r="AO158" i="1"/>
  <c r="AP158" i="1"/>
  <c r="J158" i="1" s="1"/>
  <c r="J157" i="1" s="1"/>
  <c r="F32" i="2" s="1"/>
  <c r="BD158" i="1"/>
  <c r="BF158" i="1"/>
  <c r="BH158" i="1"/>
  <c r="AB158" i="1" s="1"/>
  <c r="BJ158" i="1"/>
  <c r="K160" i="1"/>
  <c r="AB160" i="1"/>
  <c r="AC160" i="1"/>
  <c r="AD160" i="1"/>
  <c r="AE160" i="1"/>
  <c r="AF160" i="1"/>
  <c r="AG160" i="1"/>
  <c r="AH160" i="1"/>
  <c r="AJ160" i="1"/>
  <c r="AL160" i="1"/>
  <c r="AO160" i="1"/>
  <c r="I160" i="1" s="1"/>
  <c r="AP160" i="1"/>
  <c r="BD160" i="1"/>
  <c r="BF160" i="1"/>
  <c r="BH160" i="1"/>
  <c r="BJ160" i="1"/>
  <c r="Z160" i="1" s="1"/>
  <c r="K161" i="1"/>
  <c r="AK161" i="1" s="1"/>
  <c r="AB161" i="1"/>
  <c r="AC161" i="1"/>
  <c r="AD161" i="1"/>
  <c r="AE161" i="1"/>
  <c r="AF161" i="1"/>
  <c r="AG161" i="1"/>
  <c r="AH161" i="1"/>
  <c r="AJ161" i="1"/>
  <c r="AL161" i="1"/>
  <c r="AO161" i="1"/>
  <c r="BH161" i="1" s="1"/>
  <c r="AP161" i="1"/>
  <c r="J161" i="1" s="1"/>
  <c r="BD161" i="1"/>
  <c r="BF161" i="1"/>
  <c r="BJ161" i="1"/>
  <c r="Z161" i="1" s="1"/>
  <c r="K162" i="1"/>
  <c r="AK162" i="1" s="1"/>
  <c r="AB162" i="1"/>
  <c r="AC162" i="1"/>
  <c r="AD162" i="1"/>
  <c r="AE162" i="1"/>
  <c r="AF162" i="1"/>
  <c r="AG162" i="1"/>
  <c r="AH162" i="1"/>
  <c r="AJ162" i="1"/>
  <c r="AL162" i="1"/>
  <c r="AO162" i="1"/>
  <c r="I162" i="1" s="1"/>
  <c r="AP162" i="1"/>
  <c r="AX162" i="1" s="1"/>
  <c r="AW162" i="1"/>
  <c r="BD162" i="1"/>
  <c r="BF162" i="1"/>
  <c r="BJ162" i="1"/>
  <c r="Z162" i="1" s="1"/>
  <c r="K163" i="1"/>
  <c r="AK163" i="1" s="1"/>
  <c r="AB163" i="1"/>
  <c r="AC163" i="1"/>
  <c r="AD163" i="1"/>
  <c r="AE163" i="1"/>
  <c r="AF163" i="1"/>
  <c r="AG163" i="1"/>
  <c r="AH163" i="1"/>
  <c r="AJ163" i="1"/>
  <c r="AL163" i="1"/>
  <c r="AO163" i="1"/>
  <c r="AW163" i="1" s="1"/>
  <c r="AP163" i="1"/>
  <c r="J163" i="1" s="1"/>
  <c r="BD163" i="1"/>
  <c r="BF163" i="1"/>
  <c r="BH163" i="1"/>
  <c r="BJ163" i="1"/>
  <c r="Z163" i="1" s="1"/>
  <c r="K164" i="1"/>
  <c r="AK164" i="1" s="1"/>
  <c r="AB164" i="1"/>
  <c r="AC164" i="1"/>
  <c r="AD164" i="1"/>
  <c r="AE164" i="1"/>
  <c r="AF164" i="1"/>
  <c r="AG164" i="1"/>
  <c r="AH164" i="1"/>
  <c r="AJ164" i="1"/>
  <c r="AL164" i="1"/>
  <c r="AO164" i="1"/>
  <c r="I164" i="1" s="1"/>
  <c r="AP164" i="1"/>
  <c r="BI164" i="1" s="1"/>
  <c r="BD164" i="1"/>
  <c r="BF164" i="1"/>
  <c r="BH164" i="1"/>
  <c r="BJ164" i="1"/>
  <c r="Z164" i="1" s="1"/>
  <c r="K165" i="1"/>
  <c r="AK165" i="1" s="1"/>
  <c r="AB165" i="1"/>
  <c r="AC165" i="1"/>
  <c r="AD165" i="1"/>
  <c r="AE165" i="1"/>
  <c r="AF165" i="1"/>
  <c r="AG165" i="1"/>
  <c r="AH165" i="1"/>
  <c r="AJ165" i="1"/>
  <c r="AL165" i="1"/>
  <c r="AO165" i="1"/>
  <c r="BH165" i="1" s="1"/>
  <c r="AP165" i="1"/>
  <c r="AX165" i="1" s="1"/>
  <c r="BD165" i="1"/>
  <c r="BF165" i="1"/>
  <c r="BJ165" i="1"/>
  <c r="Z165" i="1" s="1"/>
  <c r="K166" i="1"/>
  <c r="AK166" i="1" s="1"/>
  <c r="AB166" i="1"/>
  <c r="AC166" i="1"/>
  <c r="AD166" i="1"/>
  <c r="AE166" i="1"/>
  <c r="AF166" i="1"/>
  <c r="AG166" i="1"/>
  <c r="AH166" i="1"/>
  <c r="AJ166" i="1"/>
  <c r="AL166" i="1"/>
  <c r="AO166" i="1"/>
  <c r="AP166" i="1"/>
  <c r="AX166" i="1" s="1"/>
  <c r="BD166" i="1"/>
  <c r="BF166" i="1"/>
  <c r="BJ166" i="1"/>
  <c r="Z166" i="1" s="1"/>
  <c r="K167" i="1"/>
  <c r="AK167" i="1" s="1"/>
  <c r="AB167" i="1"/>
  <c r="AC167" i="1"/>
  <c r="AD167" i="1"/>
  <c r="AE167" i="1"/>
  <c r="AF167" i="1"/>
  <c r="AG167" i="1"/>
  <c r="AH167" i="1"/>
  <c r="AJ167" i="1"/>
  <c r="AL167" i="1"/>
  <c r="AO167" i="1"/>
  <c r="AW167" i="1" s="1"/>
  <c r="AP167" i="1"/>
  <c r="J167" i="1" s="1"/>
  <c r="BD167" i="1"/>
  <c r="BF167" i="1"/>
  <c r="BJ167" i="1"/>
  <c r="Z167" i="1" s="1"/>
  <c r="K168" i="1"/>
  <c r="AK168" i="1" s="1"/>
  <c r="AB168" i="1"/>
  <c r="AC168" i="1"/>
  <c r="AD168" i="1"/>
  <c r="AE168" i="1"/>
  <c r="AF168" i="1"/>
  <c r="AG168" i="1"/>
  <c r="AH168" i="1"/>
  <c r="AJ168" i="1"/>
  <c r="AL168" i="1"/>
  <c r="AO168" i="1"/>
  <c r="I168" i="1" s="1"/>
  <c r="AP168" i="1"/>
  <c r="BI168" i="1" s="1"/>
  <c r="BD168" i="1"/>
  <c r="BF168" i="1"/>
  <c r="BJ168" i="1"/>
  <c r="Z168" i="1" s="1"/>
  <c r="K169" i="1"/>
  <c r="AK169" i="1" s="1"/>
  <c r="AB169" i="1"/>
  <c r="AC169" i="1"/>
  <c r="AD169" i="1"/>
  <c r="AE169" i="1"/>
  <c r="AF169" i="1"/>
  <c r="AG169" i="1"/>
  <c r="AH169" i="1"/>
  <c r="AJ169" i="1"/>
  <c r="AL169" i="1"/>
  <c r="AO169" i="1"/>
  <c r="AP169" i="1"/>
  <c r="BD169" i="1"/>
  <c r="BF169" i="1"/>
  <c r="BJ169" i="1"/>
  <c r="Z169" i="1" s="1"/>
  <c r="K170" i="1"/>
  <c r="AK170" i="1" s="1"/>
  <c r="AB170" i="1"/>
  <c r="AC170" i="1"/>
  <c r="AD170" i="1"/>
  <c r="AE170" i="1"/>
  <c r="AF170" i="1"/>
  <c r="AG170" i="1"/>
  <c r="AH170" i="1"/>
  <c r="AJ170" i="1"/>
  <c r="AL170" i="1"/>
  <c r="AO170" i="1"/>
  <c r="AP170" i="1"/>
  <c r="AX170" i="1" s="1"/>
  <c r="BD170" i="1"/>
  <c r="BF170" i="1"/>
  <c r="BH170" i="1"/>
  <c r="BJ170" i="1"/>
  <c r="Z170" i="1" s="1"/>
  <c r="K171" i="1"/>
  <c r="AK171" i="1" s="1"/>
  <c r="AB171" i="1"/>
  <c r="AC171" i="1"/>
  <c r="AD171" i="1"/>
  <c r="AE171" i="1"/>
  <c r="AF171" i="1"/>
  <c r="AG171" i="1"/>
  <c r="AH171" i="1"/>
  <c r="AJ171" i="1"/>
  <c r="AL171" i="1"/>
  <c r="AO171" i="1"/>
  <c r="AW171" i="1" s="1"/>
  <c r="AP171" i="1"/>
  <c r="J171" i="1" s="1"/>
  <c r="BD171" i="1"/>
  <c r="BF171" i="1"/>
  <c r="BH171" i="1"/>
  <c r="BJ171" i="1"/>
  <c r="Z171" i="1" s="1"/>
  <c r="K172" i="1"/>
  <c r="AK172" i="1" s="1"/>
  <c r="AB172" i="1"/>
  <c r="AC172" i="1"/>
  <c r="AD172" i="1"/>
  <c r="AE172" i="1"/>
  <c r="AF172" i="1"/>
  <c r="AG172" i="1"/>
  <c r="AH172" i="1"/>
  <c r="AJ172" i="1"/>
  <c r="AL172" i="1"/>
  <c r="AO172" i="1"/>
  <c r="I172" i="1" s="1"/>
  <c r="AP172" i="1"/>
  <c r="BI172" i="1" s="1"/>
  <c r="BD172" i="1"/>
  <c r="BF172" i="1"/>
  <c r="BH172" i="1"/>
  <c r="BJ172" i="1"/>
  <c r="Z172" i="1" s="1"/>
  <c r="K173" i="1"/>
  <c r="AK173" i="1" s="1"/>
  <c r="AB173" i="1"/>
  <c r="AC173" i="1"/>
  <c r="AD173" i="1"/>
  <c r="AE173" i="1"/>
  <c r="AF173" i="1"/>
  <c r="AG173" i="1"/>
  <c r="AH173" i="1"/>
  <c r="AJ173" i="1"/>
  <c r="AL173" i="1"/>
  <c r="AO173" i="1"/>
  <c r="BH173" i="1" s="1"/>
  <c r="AP173" i="1"/>
  <c r="J173" i="1" s="1"/>
  <c r="BD173" i="1"/>
  <c r="BF173" i="1"/>
  <c r="BJ173" i="1"/>
  <c r="Z173" i="1" s="1"/>
  <c r="K174" i="1"/>
  <c r="AK174" i="1" s="1"/>
  <c r="AB174" i="1"/>
  <c r="AC174" i="1"/>
  <c r="AD174" i="1"/>
  <c r="AE174" i="1"/>
  <c r="AF174" i="1"/>
  <c r="AG174" i="1"/>
  <c r="AH174" i="1"/>
  <c r="AJ174" i="1"/>
  <c r="AL174" i="1"/>
  <c r="AO174" i="1"/>
  <c r="I174" i="1" s="1"/>
  <c r="AP174" i="1"/>
  <c r="AX174" i="1" s="1"/>
  <c r="BD174" i="1"/>
  <c r="BF174" i="1"/>
  <c r="BJ174" i="1"/>
  <c r="Z174" i="1" s="1"/>
  <c r="K175" i="1"/>
  <c r="AK175" i="1" s="1"/>
  <c r="AB175" i="1"/>
  <c r="AC175" i="1"/>
  <c r="AD175" i="1"/>
  <c r="AE175" i="1"/>
  <c r="AF175" i="1"/>
  <c r="AG175" i="1"/>
  <c r="AH175" i="1"/>
  <c r="AJ175" i="1"/>
  <c r="AL175" i="1"/>
  <c r="AO175" i="1"/>
  <c r="AW175" i="1" s="1"/>
  <c r="AP175" i="1"/>
  <c r="J175" i="1" s="1"/>
  <c r="BD175" i="1"/>
  <c r="BF175" i="1"/>
  <c r="BH175" i="1"/>
  <c r="BJ175" i="1"/>
  <c r="Z175" i="1" s="1"/>
  <c r="K177" i="1"/>
  <c r="K176" i="1" s="1"/>
  <c r="AB177" i="1"/>
  <c r="AC177" i="1"/>
  <c r="AD177" i="1"/>
  <c r="AE177" i="1"/>
  <c r="AF177" i="1"/>
  <c r="AG177" i="1"/>
  <c r="AH177" i="1"/>
  <c r="AJ177" i="1"/>
  <c r="AS176" i="1" s="1"/>
  <c r="AL177" i="1"/>
  <c r="AU176" i="1" s="1"/>
  <c r="AO177" i="1"/>
  <c r="BH177" i="1" s="1"/>
  <c r="AP177" i="1"/>
  <c r="AX177" i="1" s="1"/>
  <c r="BD177" i="1"/>
  <c r="BF177" i="1"/>
  <c r="BJ177" i="1"/>
  <c r="Z177" i="1" s="1"/>
  <c r="K179" i="1"/>
  <c r="Z179" i="1"/>
  <c r="AB179" i="1"/>
  <c r="AC179" i="1"/>
  <c r="AF179" i="1"/>
  <c r="AG179" i="1"/>
  <c r="AH179" i="1"/>
  <c r="AJ179" i="1"/>
  <c r="AL179" i="1"/>
  <c r="AO179" i="1"/>
  <c r="AP179" i="1"/>
  <c r="BD179" i="1"/>
  <c r="BF179" i="1"/>
  <c r="BJ179" i="1"/>
  <c r="K180" i="1"/>
  <c r="Z180" i="1"/>
  <c r="AB180" i="1"/>
  <c r="AC180" i="1"/>
  <c r="AF180" i="1"/>
  <c r="AG180" i="1"/>
  <c r="AH180" i="1"/>
  <c r="AJ180" i="1"/>
  <c r="AK180" i="1"/>
  <c r="AL180" i="1"/>
  <c r="AO180" i="1"/>
  <c r="AP180" i="1"/>
  <c r="BD180" i="1"/>
  <c r="BF180" i="1"/>
  <c r="BJ180" i="1"/>
  <c r="K181" i="1"/>
  <c r="Z181" i="1"/>
  <c r="AB181" i="1"/>
  <c r="AC181" i="1"/>
  <c r="AF181" i="1"/>
  <c r="AG181" i="1"/>
  <c r="AH181" i="1"/>
  <c r="AJ181" i="1"/>
  <c r="AK181" i="1"/>
  <c r="AL181" i="1"/>
  <c r="AO181" i="1"/>
  <c r="AW181" i="1" s="1"/>
  <c r="AP181" i="1"/>
  <c r="J181" i="1" s="1"/>
  <c r="BD181" i="1"/>
  <c r="BF181" i="1"/>
  <c r="BH181" i="1"/>
  <c r="AD181" i="1" s="1"/>
  <c r="BJ181" i="1"/>
  <c r="K182" i="1"/>
  <c r="AK182" i="1" s="1"/>
  <c r="AB182" i="1"/>
  <c r="AC182" i="1"/>
  <c r="AD182" i="1"/>
  <c r="AE182" i="1"/>
  <c r="AF182" i="1"/>
  <c r="AG182" i="1"/>
  <c r="AH182" i="1"/>
  <c r="AJ182" i="1"/>
  <c r="AL182" i="1"/>
  <c r="AO182" i="1"/>
  <c r="I182" i="1" s="1"/>
  <c r="AP182" i="1"/>
  <c r="BD182" i="1"/>
  <c r="BF182" i="1"/>
  <c r="BI182" i="1"/>
  <c r="BJ182" i="1"/>
  <c r="Z182" i="1" s="1"/>
  <c r="K184" i="1"/>
  <c r="Z184" i="1"/>
  <c r="AB184" i="1"/>
  <c r="AC184" i="1"/>
  <c r="AF184" i="1"/>
  <c r="AG184" i="1"/>
  <c r="AH184" i="1"/>
  <c r="AJ184" i="1"/>
  <c r="AK184" i="1"/>
  <c r="AL184" i="1"/>
  <c r="AO184" i="1"/>
  <c r="AW184" i="1" s="1"/>
  <c r="AP184" i="1"/>
  <c r="J184" i="1" s="1"/>
  <c r="BD184" i="1"/>
  <c r="BF184" i="1"/>
  <c r="BH184" i="1"/>
  <c r="AD184" i="1" s="1"/>
  <c r="BI184" i="1"/>
  <c r="AE184" i="1" s="1"/>
  <c r="BJ184" i="1"/>
  <c r="K185" i="1"/>
  <c r="AK185" i="1" s="1"/>
  <c r="Z185" i="1"/>
  <c r="AB185" i="1"/>
  <c r="AC185" i="1"/>
  <c r="AF185" i="1"/>
  <c r="AG185" i="1"/>
  <c r="AH185" i="1"/>
  <c r="AJ185" i="1"/>
  <c r="AL185" i="1"/>
  <c r="AO185" i="1"/>
  <c r="I185" i="1" s="1"/>
  <c r="AP185" i="1"/>
  <c r="BD185" i="1"/>
  <c r="BF185" i="1"/>
  <c r="BH185" i="1"/>
  <c r="AD185" i="1" s="1"/>
  <c r="BI185" i="1"/>
  <c r="AE185" i="1" s="1"/>
  <c r="BJ185" i="1"/>
  <c r="J186" i="1"/>
  <c r="K186" i="1"/>
  <c r="AK186" i="1" s="1"/>
  <c r="Z186" i="1"/>
  <c r="AB186" i="1"/>
  <c r="AC186" i="1"/>
  <c r="AF186" i="1"/>
  <c r="AG186" i="1"/>
  <c r="AH186" i="1"/>
  <c r="AJ186" i="1"/>
  <c r="AL186" i="1"/>
  <c r="AO186" i="1"/>
  <c r="BH186" i="1" s="1"/>
  <c r="AD186" i="1" s="1"/>
  <c r="AP186" i="1"/>
  <c r="BI186" i="1" s="1"/>
  <c r="AE186" i="1" s="1"/>
  <c r="AX186" i="1"/>
  <c r="BD186" i="1"/>
  <c r="BF186" i="1"/>
  <c r="BJ186" i="1"/>
  <c r="K187" i="1"/>
  <c r="Z187" i="1"/>
  <c r="AB187" i="1"/>
  <c r="AC187" i="1"/>
  <c r="AF187" i="1"/>
  <c r="AG187" i="1"/>
  <c r="AH187" i="1"/>
  <c r="AJ187" i="1"/>
  <c r="AK187" i="1"/>
  <c r="AL187" i="1"/>
  <c r="AO187" i="1"/>
  <c r="I187" i="1" s="1"/>
  <c r="AP187" i="1"/>
  <c r="AX187" i="1" s="1"/>
  <c r="BD187" i="1"/>
  <c r="BF187" i="1"/>
  <c r="BJ187" i="1"/>
  <c r="K188" i="1"/>
  <c r="Z188" i="1"/>
  <c r="AB188" i="1"/>
  <c r="AC188" i="1"/>
  <c r="AF188" i="1"/>
  <c r="AG188" i="1"/>
  <c r="AH188" i="1"/>
  <c r="AJ188" i="1"/>
  <c r="AK188" i="1"/>
  <c r="AL188" i="1"/>
  <c r="AO188" i="1"/>
  <c r="AW188" i="1" s="1"/>
  <c r="AP188" i="1"/>
  <c r="J188" i="1" s="1"/>
  <c r="BD188" i="1"/>
  <c r="BF188" i="1"/>
  <c r="BI188" i="1"/>
  <c r="AE188" i="1" s="1"/>
  <c r="BJ188" i="1"/>
  <c r="K189" i="1"/>
  <c r="AK189" i="1" s="1"/>
  <c r="Z189" i="1"/>
  <c r="AB189" i="1"/>
  <c r="AC189" i="1"/>
  <c r="AF189" i="1"/>
  <c r="AG189" i="1"/>
  <c r="AH189" i="1"/>
  <c r="AJ189" i="1"/>
  <c r="AL189" i="1"/>
  <c r="AO189" i="1"/>
  <c r="I189" i="1" s="1"/>
  <c r="AP189" i="1"/>
  <c r="BI189" i="1" s="1"/>
  <c r="AE189" i="1" s="1"/>
  <c r="BD189" i="1"/>
  <c r="BF189" i="1"/>
  <c r="BH189" i="1"/>
  <c r="AD189" i="1" s="1"/>
  <c r="BJ189" i="1"/>
  <c r="K190" i="1"/>
  <c r="AK190" i="1" s="1"/>
  <c r="Z190" i="1"/>
  <c r="AB190" i="1"/>
  <c r="AC190" i="1"/>
  <c r="AF190" i="1"/>
  <c r="AG190" i="1"/>
  <c r="AH190" i="1"/>
  <c r="AJ190" i="1"/>
  <c r="AL190" i="1"/>
  <c r="AO190" i="1"/>
  <c r="BH190" i="1" s="1"/>
  <c r="AD190" i="1" s="1"/>
  <c r="AP190" i="1"/>
  <c r="J190" i="1" s="1"/>
  <c r="BD190" i="1"/>
  <c r="BF190" i="1"/>
  <c r="BJ190" i="1"/>
  <c r="K191" i="1"/>
  <c r="AK191" i="1" s="1"/>
  <c r="AB191" i="1"/>
  <c r="AC191" i="1"/>
  <c r="AD191" i="1"/>
  <c r="AE191" i="1"/>
  <c r="AF191" i="1"/>
  <c r="AG191" i="1"/>
  <c r="AH191" i="1"/>
  <c r="AJ191" i="1"/>
  <c r="AL191" i="1"/>
  <c r="AO191" i="1"/>
  <c r="AP191" i="1"/>
  <c r="AX191" i="1" s="1"/>
  <c r="BD191" i="1"/>
  <c r="BF191" i="1"/>
  <c r="BJ191" i="1"/>
  <c r="Z191" i="1" s="1"/>
  <c r="K193" i="1"/>
  <c r="Z193" i="1"/>
  <c r="AB193" i="1"/>
  <c r="AC193" i="1"/>
  <c r="AF193" i="1"/>
  <c r="AG193" i="1"/>
  <c r="AH193" i="1"/>
  <c r="AJ193" i="1"/>
  <c r="AL193" i="1"/>
  <c r="AO193" i="1"/>
  <c r="BH193" i="1" s="1"/>
  <c r="AD193" i="1" s="1"/>
  <c r="AP193" i="1"/>
  <c r="J193" i="1" s="1"/>
  <c r="BD193" i="1"/>
  <c r="BF193" i="1"/>
  <c r="BJ193" i="1"/>
  <c r="K194" i="1"/>
  <c r="Z194" i="1"/>
  <c r="AB194" i="1"/>
  <c r="AC194" i="1"/>
  <c r="AF194" i="1"/>
  <c r="AG194" i="1"/>
  <c r="AH194" i="1"/>
  <c r="AJ194" i="1"/>
  <c r="AK194" i="1"/>
  <c r="AL194" i="1"/>
  <c r="AO194" i="1"/>
  <c r="AP194" i="1"/>
  <c r="AX194" i="1" s="1"/>
  <c r="BD194" i="1"/>
  <c r="BF194" i="1"/>
  <c r="BH194" i="1"/>
  <c r="AD194" i="1" s="1"/>
  <c r="BJ194" i="1"/>
  <c r="K195" i="1"/>
  <c r="Z195" i="1"/>
  <c r="AB195" i="1"/>
  <c r="AC195" i="1"/>
  <c r="AF195" i="1"/>
  <c r="AG195" i="1"/>
  <c r="AH195" i="1"/>
  <c r="AJ195" i="1"/>
  <c r="AK195" i="1"/>
  <c r="AL195" i="1"/>
  <c r="AO195" i="1"/>
  <c r="AP195" i="1"/>
  <c r="J195" i="1" s="1"/>
  <c r="BD195" i="1"/>
  <c r="BF195" i="1"/>
  <c r="BJ195" i="1"/>
  <c r="K196" i="1"/>
  <c r="AK196" i="1" s="1"/>
  <c r="Z196" i="1"/>
  <c r="AB196" i="1"/>
  <c r="AC196" i="1"/>
  <c r="AF196" i="1"/>
  <c r="AG196" i="1"/>
  <c r="AH196" i="1"/>
  <c r="AJ196" i="1"/>
  <c r="AL196" i="1"/>
  <c r="AO196" i="1"/>
  <c r="I196" i="1" s="1"/>
  <c r="AP196" i="1"/>
  <c r="BD196" i="1"/>
  <c r="BF196" i="1"/>
  <c r="BH196" i="1"/>
  <c r="AD196" i="1" s="1"/>
  <c r="BJ196" i="1"/>
  <c r="K197" i="1"/>
  <c r="AK197" i="1" s="1"/>
  <c r="Z197" i="1"/>
  <c r="AB197" i="1"/>
  <c r="AC197" i="1"/>
  <c r="AF197" i="1"/>
  <c r="AG197" i="1"/>
  <c r="AH197" i="1"/>
  <c r="AJ197" i="1"/>
  <c r="AL197" i="1"/>
  <c r="AO197" i="1"/>
  <c r="BH197" i="1" s="1"/>
  <c r="AD197" i="1" s="1"/>
  <c r="AP197" i="1"/>
  <c r="BD197" i="1"/>
  <c r="BF197" i="1"/>
  <c r="BJ197" i="1"/>
  <c r="K198" i="1"/>
  <c r="Z198" i="1"/>
  <c r="AB198" i="1"/>
  <c r="AC198" i="1"/>
  <c r="AF198" i="1"/>
  <c r="AG198" i="1"/>
  <c r="AH198" i="1"/>
  <c r="AJ198" i="1"/>
  <c r="AK198" i="1"/>
  <c r="AL198" i="1"/>
  <c r="AO198" i="1"/>
  <c r="I198" i="1" s="1"/>
  <c r="AP198" i="1"/>
  <c r="J198" i="1" s="1"/>
  <c r="AX198" i="1"/>
  <c r="BD198" i="1"/>
  <c r="BF198" i="1"/>
  <c r="BI198" i="1"/>
  <c r="AE198" i="1" s="1"/>
  <c r="BJ198" i="1"/>
  <c r="K199" i="1"/>
  <c r="Z199" i="1"/>
  <c r="AB199" i="1"/>
  <c r="AC199" i="1"/>
  <c r="AF199" i="1"/>
  <c r="AG199" i="1"/>
  <c r="AH199" i="1"/>
  <c r="AJ199" i="1"/>
  <c r="AK199" i="1"/>
  <c r="AL199" i="1"/>
  <c r="AO199" i="1"/>
  <c r="I199" i="1" s="1"/>
  <c r="AP199" i="1"/>
  <c r="J199" i="1" s="1"/>
  <c r="BD199" i="1"/>
  <c r="BF199" i="1"/>
  <c r="BJ199" i="1"/>
  <c r="K200" i="1"/>
  <c r="Z200" i="1"/>
  <c r="AB200" i="1"/>
  <c r="AC200" i="1"/>
  <c r="AF200" i="1"/>
  <c r="AG200" i="1"/>
  <c r="AH200" i="1"/>
  <c r="AJ200" i="1"/>
  <c r="AK200" i="1"/>
  <c r="AL200" i="1"/>
  <c r="AO200" i="1"/>
  <c r="I200" i="1" s="1"/>
  <c r="AP200" i="1"/>
  <c r="BI200" i="1" s="1"/>
  <c r="AE200" i="1" s="1"/>
  <c r="BD200" i="1"/>
  <c r="BF200" i="1"/>
  <c r="BH200" i="1"/>
  <c r="AD200" i="1" s="1"/>
  <c r="BJ200" i="1"/>
  <c r="K201" i="1"/>
  <c r="AK201" i="1" s="1"/>
  <c r="Z201" i="1"/>
  <c r="AB201" i="1"/>
  <c r="AC201" i="1"/>
  <c r="AF201" i="1"/>
  <c r="AG201" i="1"/>
  <c r="AH201" i="1"/>
  <c r="AJ201" i="1"/>
  <c r="AL201" i="1"/>
  <c r="AO201" i="1"/>
  <c r="BH201" i="1" s="1"/>
  <c r="AD201" i="1" s="1"/>
  <c r="AP201" i="1"/>
  <c r="J201" i="1" s="1"/>
  <c r="AX201" i="1"/>
  <c r="BD201" i="1"/>
  <c r="BF201" i="1"/>
  <c r="BI201" i="1"/>
  <c r="AE201" i="1" s="1"/>
  <c r="BJ201" i="1"/>
  <c r="K202" i="1"/>
  <c r="Z202" i="1"/>
  <c r="AB202" i="1"/>
  <c r="AC202" i="1"/>
  <c r="AF202" i="1"/>
  <c r="AG202" i="1"/>
  <c r="AH202" i="1"/>
  <c r="AJ202" i="1"/>
  <c r="AK202" i="1"/>
  <c r="AL202" i="1"/>
  <c r="AO202" i="1"/>
  <c r="AP202" i="1"/>
  <c r="BD202" i="1"/>
  <c r="BF202" i="1"/>
  <c r="BJ202" i="1"/>
  <c r="K203" i="1"/>
  <c r="Z203" i="1"/>
  <c r="AB203" i="1"/>
  <c r="AC203" i="1"/>
  <c r="AF203" i="1"/>
  <c r="AG203" i="1"/>
  <c r="AH203" i="1"/>
  <c r="AJ203" i="1"/>
  <c r="AK203" i="1"/>
  <c r="AL203" i="1"/>
  <c r="AO203" i="1"/>
  <c r="AP203" i="1"/>
  <c r="BD203" i="1"/>
  <c r="BF203" i="1"/>
  <c r="BH203" i="1"/>
  <c r="AD203" i="1" s="1"/>
  <c r="BJ203" i="1"/>
  <c r="K204" i="1"/>
  <c r="Z204" i="1"/>
  <c r="AB204" i="1"/>
  <c r="AC204" i="1"/>
  <c r="AF204" i="1"/>
  <c r="AG204" i="1"/>
  <c r="AH204" i="1"/>
  <c r="AJ204" i="1"/>
  <c r="AK204" i="1"/>
  <c r="AL204" i="1"/>
  <c r="AO204" i="1"/>
  <c r="AP204" i="1"/>
  <c r="BD204" i="1"/>
  <c r="BF204" i="1"/>
  <c r="BJ204" i="1"/>
  <c r="K205" i="1"/>
  <c r="AK205" i="1" s="1"/>
  <c r="Z205" i="1"/>
  <c r="AB205" i="1"/>
  <c r="AC205" i="1"/>
  <c r="AF205" i="1"/>
  <c r="AG205" i="1"/>
  <c r="AH205" i="1"/>
  <c r="AJ205" i="1"/>
  <c r="AL205" i="1"/>
  <c r="AO205" i="1"/>
  <c r="BH205" i="1" s="1"/>
  <c r="AD205" i="1" s="1"/>
  <c r="AP205" i="1"/>
  <c r="J205" i="1" s="1"/>
  <c r="BD205" i="1"/>
  <c r="BF205" i="1"/>
  <c r="BJ205" i="1"/>
  <c r="K206" i="1"/>
  <c r="Z206" i="1"/>
  <c r="AB206" i="1"/>
  <c r="AC206" i="1"/>
  <c r="AF206" i="1"/>
  <c r="AG206" i="1"/>
  <c r="AH206" i="1"/>
  <c r="AJ206" i="1"/>
  <c r="AK206" i="1"/>
  <c r="AL206" i="1"/>
  <c r="AO206" i="1"/>
  <c r="AP206" i="1"/>
  <c r="BD206" i="1"/>
  <c r="BF206" i="1"/>
  <c r="BJ206" i="1"/>
  <c r="K207" i="1"/>
  <c r="Z207" i="1"/>
  <c r="AB207" i="1"/>
  <c r="AC207" i="1"/>
  <c r="AF207" i="1"/>
  <c r="AG207" i="1"/>
  <c r="AH207" i="1"/>
  <c r="AJ207" i="1"/>
  <c r="AK207" i="1"/>
  <c r="AL207" i="1"/>
  <c r="AO207" i="1"/>
  <c r="I207" i="1" s="1"/>
  <c r="AP207" i="1"/>
  <c r="AW207" i="1"/>
  <c r="BD207" i="1"/>
  <c r="BF207" i="1"/>
  <c r="BJ207" i="1"/>
  <c r="K208" i="1"/>
  <c r="Z208" i="1"/>
  <c r="AB208" i="1"/>
  <c r="AC208" i="1"/>
  <c r="AF208" i="1"/>
  <c r="AG208" i="1"/>
  <c r="AH208" i="1"/>
  <c r="AJ208" i="1"/>
  <c r="AK208" i="1"/>
  <c r="AL208" i="1"/>
  <c r="AO208" i="1"/>
  <c r="I208" i="1" s="1"/>
  <c r="AP208" i="1"/>
  <c r="BI208" i="1" s="1"/>
  <c r="AE208" i="1" s="1"/>
  <c r="BD208" i="1"/>
  <c r="BF208" i="1"/>
  <c r="BJ208" i="1"/>
  <c r="K209" i="1"/>
  <c r="AK209" i="1" s="1"/>
  <c r="Z209" i="1"/>
  <c r="AB209" i="1"/>
  <c r="AC209" i="1"/>
  <c r="AF209" i="1"/>
  <c r="AG209" i="1"/>
  <c r="AH209" i="1"/>
  <c r="AJ209" i="1"/>
  <c r="AL209" i="1"/>
  <c r="AO209" i="1"/>
  <c r="AP209" i="1"/>
  <c r="J209" i="1" s="1"/>
  <c r="BD209" i="1"/>
  <c r="BF209" i="1"/>
  <c r="BJ209" i="1"/>
  <c r="K210" i="1"/>
  <c r="AK210" i="1" s="1"/>
  <c r="Z210" i="1"/>
  <c r="AB210" i="1"/>
  <c r="AC210" i="1"/>
  <c r="AF210" i="1"/>
  <c r="AG210" i="1"/>
  <c r="AH210" i="1"/>
  <c r="AJ210" i="1"/>
  <c r="AL210" i="1"/>
  <c r="AO210" i="1"/>
  <c r="AW210" i="1" s="1"/>
  <c r="AP210" i="1"/>
  <c r="BD210" i="1"/>
  <c r="BF210" i="1"/>
  <c r="BJ210" i="1"/>
  <c r="K211" i="1"/>
  <c r="Z211" i="1"/>
  <c r="AB211" i="1"/>
  <c r="AC211" i="1"/>
  <c r="AF211" i="1"/>
  <c r="AG211" i="1"/>
  <c r="AH211" i="1"/>
  <c r="AJ211" i="1"/>
  <c r="AK211" i="1"/>
  <c r="AL211" i="1"/>
  <c r="AO211" i="1"/>
  <c r="I211" i="1" s="1"/>
  <c r="AP211" i="1"/>
  <c r="J211" i="1" s="1"/>
  <c r="BD211" i="1"/>
  <c r="BF211" i="1"/>
  <c r="BI211" i="1"/>
  <c r="AE211" i="1" s="1"/>
  <c r="BJ211" i="1"/>
  <c r="K212" i="1"/>
  <c r="Z212" i="1"/>
  <c r="AB212" i="1"/>
  <c r="AC212" i="1"/>
  <c r="AF212" i="1"/>
  <c r="AG212" i="1"/>
  <c r="AH212" i="1"/>
  <c r="AJ212" i="1"/>
  <c r="AK212" i="1"/>
  <c r="AL212" i="1"/>
  <c r="AO212" i="1"/>
  <c r="I212" i="1" s="1"/>
  <c r="AP212" i="1"/>
  <c r="BD212" i="1"/>
  <c r="BF212" i="1"/>
  <c r="BI212" i="1"/>
  <c r="AE212" i="1" s="1"/>
  <c r="BJ212" i="1"/>
  <c r="K213" i="1"/>
  <c r="AK213" i="1" s="1"/>
  <c r="Z213" i="1"/>
  <c r="AB213" i="1"/>
  <c r="AC213" i="1"/>
  <c r="AF213" i="1"/>
  <c r="AG213" i="1"/>
  <c r="AH213" i="1"/>
  <c r="AJ213" i="1"/>
  <c r="AL213" i="1"/>
  <c r="AO213" i="1"/>
  <c r="AP213" i="1"/>
  <c r="J213" i="1" s="1"/>
  <c r="BD213" i="1"/>
  <c r="BF213" i="1"/>
  <c r="BJ213" i="1"/>
  <c r="K214" i="1"/>
  <c r="AK214" i="1" s="1"/>
  <c r="Z214" i="1"/>
  <c r="AB214" i="1"/>
  <c r="AC214" i="1"/>
  <c r="AF214" i="1"/>
  <c r="AG214" i="1"/>
  <c r="AH214" i="1"/>
  <c r="AJ214" i="1"/>
  <c r="AL214" i="1"/>
  <c r="AO214" i="1"/>
  <c r="I214" i="1" s="1"/>
  <c r="AP214" i="1"/>
  <c r="BD214" i="1"/>
  <c r="BF214" i="1"/>
  <c r="BJ214" i="1"/>
  <c r="K215" i="1"/>
  <c r="Z215" i="1"/>
  <c r="AB215" i="1"/>
  <c r="AC215" i="1"/>
  <c r="AF215" i="1"/>
  <c r="AG215" i="1"/>
  <c r="AH215" i="1"/>
  <c r="AJ215" i="1"/>
  <c r="AK215" i="1"/>
  <c r="AL215" i="1"/>
  <c r="AO215" i="1"/>
  <c r="I215" i="1" s="1"/>
  <c r="AP215" i="1"/>
  <c r="J215" i="1" s="1"/>
  <c r="BD215" i="1"/>
  <c r="BF215" i="1"/>
  <c r="BJ215" i="1"/>
  <c r="K216" i="1"/>
  <c r="Z216" i="1"/>
  <c r="AB216" i="1"/>
  <c r="AC216" i="1"/>
  <c r="AF216" i="1"/>
  <c r="AG216" i="1"/>
  <c r="AH216" i="1"/>
  <c r="AJ216" i="1"/>
  <c r="AK216" i="1"/>
  <c r="AL216" i="1"/>
  <c r="AO216" i="1"/>
  <c r="AP216" i="1"/>
  <c r="BI216" i="1" s="1"/>
  <c r="AE216" i="1" s="1"/>
  <c r="BD216" i="1"/>
  <c r="BF216" i="1"/>
  <c r="BJ216" i="1"/>
  <c r="K218" i="1"/>
  <c r="Z218" i="1"/>
  <c r="AB218" i="1"/>
  <c r="AC218" i="1"/>
  <c r="AF218" i="1"/>
  <c r="AG218" i="1"/>
  <c r="AH218" i="1"/>
  <c r="AJ218" i="1"/>
  <c r="AK218" i="1"/>
  <c r="AL218" i="1"/>
  <c r="AO218" i="1"/>
  <c r="I218" i="1" s="1"/>
  <c r="AP218" i="1"/>
  <c r="J218" i="1" s="1"/>
  <c r="BD218" i="1"/>
  <c r="BF218" i="1"/>
  <c r="BJ218" i="1"/>
  <c r="K219" i="1"/>
  <c r="Z219" i="1"/>
  <c r="AB219" i="1"/>
  <c r="AC219" i="1"/>
  <c r="AF219" i="1"/>
  <c r="AG219" i="1"/>
  <c r="AH219" i="1"/>
  <c r="AJ219" i="1"/>
  <c r="AK219" i="1"/>
  <c r="AL219" i="1"/>
  <c r="AO219" i="1"/>
  <c r="AP219" i="1"/>
  <c r="AW219" i="1"/>
  <c r="BD219" i="1"/>
  <c r="BF219" i="1"/>
  <c r="BI219" i="1"/>
  <c r="AE219" i="1" s="1"/>
  <c r="BJ219" i="1"/>
  <c r="K220" i="1"/>
  <c r="AK220" i="1" s="1"/>
  <c r="Z220" i="1"/>
  <c r="AB220" i="1"/>
  <c r="AC220" i="1"/>
  <c r="AF220" i="1"/>
  <c r="AG220" i="1"/>
  <c r="AH220" i="1"/>
  <c r="AJ220" i="1"/>
  <c r="AL220" i="1"/>
  <c r="AO220" i="1"/>
  <c r="AP220" i="1"/>
  <c r="BD220" i="1"/>
  <c r="BF220" i="1"/>
  <c r="BJ220" i="1"/>
  <c r="K221" i="1"/>
  <c r="AK221" i="1" s="1"/>
  <c r="Z221" i="1"/>
  <c r="AB221" i="1"/>
  <c r="AC221" i="1"/>
  <c r="AF221" i="1"/>
  <c r="AG221" i="1"/>
  <c r="AH221" i="1"/>
  <c r="AJ221" i="1"/>
  <c r="AL221" i="1"/>
  <c r="AO221" i="1"/>
  <c r="AP221" i="1"/>
  <c r="BI221" i="1" s="1"/>
  <c r="AE221" i="1" s="1"/>
  <c r="BD221" i="1"/>
  <c r="BF221" i="1"/>
  <c r="BJ221" i="1"/>
  <c r="K222" i="1"/>
  <c r="Z222" i="1"/>
  <c r="AB222" i="1"/>
  <c r="AC222" i="1"/>
  <c r="AF222" i="1"/>
  <c r="AG222" i="1"/>
  <c r="AH222" i="1"/>
  <c r="AJ222" i="1"/>
  <c r="AK222" i="1"/>
  <c r="AL222" i="1"/>
  <c r="AO222" i="1"/>
  <c r="AP222" i="1"/>
  <c r="BI222" i="1" s="1"/>
  <c r="AE222" i="1" s="1"/>
  <c r="BD222" i="1"/>
  <c r="BF222" i="1"/>
  <c r="BJ222" i="1"/>
  <c r="K223" i="1"/>
  <c r="Z223" i="1"/>
  <c r="AB223" i="1"/>
  <c r="AC223" i="1"/>
  <c r="AF223" i="1"/>
  <c r="AG223" i="1"/>
  <c r="AH223" i="1"/>
  <c r="AJ223" i="1"/>
  <c r="AK223" i="1"/>
  <c r="AL223" i="1"/>
  <c r="AO223" i="1"/>
  <c r="AP223" i="1"/>
  <c r="BI223" i="1" s="1"/>
  <c r="AE223" i="1" s="1"/>
  <c r="BD223" i="1"/>
  <c r="BF223" i="1"/>
  <c r="BJ223" i="1"/>
  <c r="K224" i="1"/>
  <c r="AK224" i="1" s="1"/>
  <c r="Z224" i="1"/>
  <c r="AB224" i="1"/>
  <c r="AC224" i="1"/>
  <c r="AF224" i="1"/>
  <c r="AG224" i="1"/>
  <c r="AH224" i="1"/>
  <c r="AJ224" i="1"/>
  <c r="AL224" i="1"/>
  <c r="AO224" i="1"/>
  <c r="AP224" i="1"/>
  <c r="BI224" i="1" s="1"/>
  <c r="AE224" i="1" s="1"/>
  <c r="BD224" i="1"/>
  <c r="BF224" i="1"/>
  <c r="BJ224" i="1"/>
  <c r="K225" i="1"/>
  <c r="AK225" i="1" s="1"/>
  <c r="Z225" i="1"/>
  <c r="AB225" i="1"/>
  <c r="AC225" i="1"/>
  <c r="AF225" i="1"/>
  <c r="AG225" i="1"/>
  <c r="AH225" i="1"/>
  <c r="AJ225" i="1"/>
  <c r="AL225" i="1"/>
  <c r="AO225" i="1"/>
  <c r="AP225" i="1"/>
  <c r="BD225" i="1"/>
  <c r="BF225" i="1"/>
  <c r="BJ225" i="1"/>
  <c r="K226" i="1"/>
  <c r="Z226" i="1"/>
  <c r="AB226" i="1"/>
  <c r="AC226" i="1"/>
  <c r="AF226" i="1"/>
  <c r="AG226" i="1"/>
  <c r="AH226" i="1"/>
  <c r="AJ226" i="1"/>
  <c r="AK226" i="1"/>
  <c r="AL226" i="1"/>
  <c r="AO226" i="1"/>
  <c r="AP226" i="1"/>
  <c r="J226" i="1" s="1"/>
  <c r="BD226" i="1"/>
  <c r="BF226" i="1"/>
  <c r="BJ226" i="1"/>
  <c r="K227" i="1"/>
  <c r="Z227" i="1"/>
  <c r="AB227" i="1"/>
  <c r="AC227" i="1"/>
  <c r="AF227" i="1"/>
  <c r="AG227" i="1"/>
  <c r="AH227" i="1"/>
  <c r="AJ227" i="1"/>
  <c r="AK227" i="1"/>
  <c r="AL227" i="1"/>
  <c r="AO227" i="1"/>
  <c r="AP227" i="1"/>
  <c r="BI227" i="1" s="1"/>
  <c r="AE227" i="1" s="1"/>
  <c r="BD227" i="1"/>
  <c r="BF227" i="1"/>
  <c r="BJ227" i="1"/>
  <c r="K228" i="1"/>
  <c r="AK228" i="1" s="1"/>
  <c r="Z228" i="1"/>
  <c r="AB228" i="1"/>
  <c r="AC228" i="1"/>
  <c r="AF228" i="1"/>
  <c r="AG228" i="1"/>
  <c r="AH228" i="1"/>
  <c r="AJ228" i="1"/>
  <c r="AL228" i="1"/>
  <c r="AO228" i="1"/>
  <c r="AP228" i="1"/>
  <c r="BD228" i="1"/>
  <c r="BF228" i="1"/>
  <c r="BH228" i="1"/>
  <c r="AD228" i="1" s="1"/>
  <c r="BJ228" i="1"/>
  <c r="K229" i="1"/>
  <c r="AK229" i="1" s="1"/>
  <c r="Z229" i="1"/>
  <c r="AB229" i="1"/>
  <c r="AC229" i="1"/>
  <c r="AF229" i="1"/>
  <c r="AG229" i="1"/>
  <c r="AH229" i="1"/>
  <c r="AJ229" i="1"/>
  <c r="AL229" i="1"/>
  <c r="AO229" i="1"/>
  <c r="I229" i="1" s="1"/>
  <c r="AP229" i="1"/>
  <c r="BD229" i="1"/>
  <c r="BF229" i="1"/>
  <c r="BJ229" i="1"/>
  <c r="K230" i="1"/>
  <c r="AK230" i="1" s="1"/>
  <c r="Z230" i="1"/>
  <c r="AB230" i="1"/>
  <c r="AC230" i="1"/>
  <c r="AF230" i="1"/>
  <c r="AG230" i="1"/>
  <c r="AH230" i="1"/>
  <c r="AJ230" i="1"/>
  <c r="AL230" i="1"/>
  <c r="AO230" i="1"/>
  <c r="I230" i="1" s="1"/>
  <c r="AP230" i="1"/>
  <c r="J230" i="1" s="1"/>
  <c r="BD230" i="1"/>
  <c r="BF230" i="1"/>
  <c r="BH230" i="1"/>
  <c r="AD230" i="1" s="1"/>
  <c r="BI230" i="1"/>
  <c r="AE230" i="1" s="1"/>
  <c r="BJ230" i="1"/>
  <c r="K231" i="1"/>
  <c r="AK231" i="1" s="1"/>
  <c r="Z231" i="1"/>
  <c r="AB231" i="1"/>
  <c r="AC231" i="1"/>
  <c r="AF231" i="1"/>
  <c r="AG231" i="1"/>
  <c r="AH231" i="1"/>
  <c r="AJ231" i="1"/>
  <c r="AL231" i="1"/>
  <c r="AO231" i="1"/>
  <c r="I231" i="1" s="1"/>
  <c r="AP231" i="1"/>
  <c r="BD231" i="1"/>
  <c r="BF231" i="1"/>
  <c r="BH231" i="1"/>
  <c r="AD231" i="1" s="1"/>
  <c r="BI231" i="1"/>
  <c r="AE231" i="1" s="1"/>
  <c r="BJ231" i="1"/>
  <c r="K232" i="1"/>
  <c r="AK232" i="1" s="1"/>
  <c r="Z232" i="1"/>
  <c r="AB232" i="1"/>
  <c r="AC232" i="1"/>
  <c r="AF232" i="1"/>
  <c r="AG232" i="1"/>
  <c r="AH232" i="1"/>
  <c r="AJ232" i="1"/>
  <c r="AL232" i="1"/>
  <c r="AO232" i="1"/>
  <c r="AP232" i="1"/>
  <c r="J232" i="1" s="1"/>
  <c r="BD232" i="1"/>
  <c r="BF232" i="1"/>
  <c r="BJ232" i="1"/>
  <c r="K233" i="1"/>
  <c r="Z233" i="1"/>
  <c r="AB233" i="1"/>
  <c r="AC233" i="1"/>
  <c r="AF233" i="1"/>
  <c r="AG233" i="1"/>
  <c r="AH233" i="1"/>
  <c r="AJ233" i="1"/>
  <c r="AK233" i="1"/>
  <c r="AL233" i="1"/>
  <c r="AO233" i="1"/>
  <c r="AW233" i="1" s="1"/>
  <c r="AP233" i="1"/>
  <c r="BD233" i="1"/>
  <c r="BF233" i="1"/>
  <c r="BH233" i="1"/>
  <c r="AD233" i="1" s="1"/>
  <c r="BJ233" i="1"/>
  <c r="K234" i="1"/>
  <c r="Z234" i="1"/>
  <c r="AB234" i="1"/>
  <c r="AC234" i="1"/>
  <c r="AF234" i="1"/>
  <c r="AG234" i="1"/>
  <c r="AH234" i="1"/>
  <c r="AJ234" i="1"/>
  <c r="AK234" i="1"/>
  <c r="AL234" i="1"/>
  <c r="AO234" i="1"/>
  <c r="AP234" i="1"/>
  <c r="J234" i="1" s="1"/>
  <c r="BD234" i="1"/>
  <c r="BF234" i="1"/>
  <c r="BH234" i="1"/>
  <c r="AD234" i="1" s="1"/>
  <c r="BI234" i="1"/>
  <c r="AE234" i="1" s="1"/>
  <c r="BJ234" i="1"/>
  <c r="K235" i="1"/>
  <c r="AK235" i="1" s="1"/>
  <c r="Z235" i="1"/>
  <c r="AB235" i="1"/>
  <c r="AC235" i="1"/>
  <c r="AF235" i="1"/>
  <c r="AG235" i="1"/>
  <c r="AH235" i="1"/>
  <c r="AJ235" i="1"/>
  <c r="AL235" i="1"/>
  <c r="AO235" i="1"/>
  <c r="I235" i="1" s="1"/>
  <c r="AP235" i="1"/>
  <c r="BD235" i="1"/>
  <c r="BF235" i="1"/>
  <c r="BH235" i="1"/>
  <c r="AD235" i="1" s="1"/>
  <c r="BI235" i="1"/>
  <c r="AE235" i="1" s="1"/>
  <c r="BJ235" i="1"/>
  <c r="K236" i="1"/>
  <c r="AK236" i="1" s="1"/>
  <c r="Z236" i="1"/>
  <c r="AB236" i="1"/>
  <c r="AC236" i="1"/>
  <c r="AF236" i="1"/>
  <c r="AG236" i="1"/>
  <c r="AH236" i="1"/>
  <c r="AJ236" i="1"/>
  <c r="AL236" i="1"/>
  <c r="AO236" i="1"/>
  <c r="AP236" i="1"/>
  <c r="BI236" i="1" s="1"/>
  <c r="AE236" i="1" s="1"/>
  <c r="BD236" i="1"/>
  <c r="BF236" i="1"/>
  <c r="BJ236" i="1"/>
  <c r="K237" i="1"/>
  <c r="Z237" i="1"/>
  <c r="AB237" i="1"/>
  <c r="AC237" i="1"/>
  <c r="AF237" i="1"/>
  <c r="AG237" i="1"/>
  <c r="AH237" i="1"/>
  <c r="AJ237" i="1"/>
  <c r="AK237" i="1"/>
  <c r="AL237" i="1"/>
  <c r="AO237" i="1"/>
  <c r="AW237" i="1" s="1"/>
  <c r="AP237" i="1"/>
  <c r="AX237" i="1" s="1"/>
  <c r="BD237" i="1"/>
  <c r="BF237" i="1"/>
  <c r="BJ237" i="1"/>
  <c r="K238" i="1"/>
  <c r="Z238" i="1"/>
  <c r="AB238" i="1"/>
  <c r="AC238" i="1"/>
  <c r="AF238" i="1"/>
  <c r="AG238" i="1"/>
  <c r="AH238" i="1"/>
  <c r="AJ238" i="1"/>
  <c r="AK238" i="1"/>
  <c r="AL238" i="1"/>
  <c r="AO238" i="1"/>
  <c r="AW238" i="1" s="1"/>
  <c r="AP238" i="1"/>
  <c r="J238" i="1" s="1"/>
  <c r="BD238" i="1"/>
  <c r="BF238" i="1"/>
  <c r="BH238" i="1"/>
  <c r="AD238" i="1" s="1"/>
  <c r="BJ238" i="1"/>
  <c r="K239" i="1"/>
  <c r="AK239" i="1" s="1"/>
  <c r="Z239" i="1"/>
  <c r="AB239" i="1"/>
  <c r="AC239" i="1"/>
  <c r="AF239" i="1"/>
  <c r="AG239" i="1"/>
  <c r="AH239" i="1"/>
  <c r="AJ239" i="1"/>
  <c r="AL239" i="1"/>
  <c r="AO239" i="1"/>
  <c r="I239" i="1" s="1"/>
  <c r="AP239" i="1"/>
  <c r="BI239" i="1" s="1"/>
  <c r="AE239" i="1" s="1"/>
  <c r="BD239" i="1"/>
  <c r="BF239" i="1"/>
  <c r="BH239" i="1"/>
  <c r="AD239" i="1" s="1"/>
  <c r="BJ239" i="1"/>
  <c r="K240" i="1"/>
  <c r="AK240" i="1" s="1"/>
  <c r="Z240" i="1"/>
  <c r="AB240" i="1"/>
  <c r="AC240" i="1"/>
  <c r="AF240" i="1"/>
  <c r="AG240" i="1"/>
  <c r="AH240" i="1"/>
  <c r="AJ240" i="1"/>
  <c r="AL240" i="1"/>
  <c r="AO240" i="1"/>
  <c r="AP240" i="1"/>
  <c r="BD240" i="1"/>
  <c r="BF240" i="1"/>
  <c r="BJ240" i="1"/>
  <c r="K241" i="1"/>
  <c r="Z241" i="1"/>
  <c r="AB241" i="1"/>
  <c r="AC241" i="1"/>
  <c r="AF241" i="1"/>
  <c r="AG241" i="1"/>
  <c r="AH241" i="1"/>
  <c r="AJ241" i="1"/>
  <c r="AK241" i="1"/>
  <c r="AL241" i="1"/>
  <c r="AO241" i="1"/>
  <c r="I241" i="1" s="1"/>
  <c r="AP241" i="1"/>
  <c r="AX241" i="1" s="1"/>
  <c r="BD241" i="1"/>
  <c r="BF241" i="1"/>
  <c r="BI241" i="1"/>
  <c r="AE241" i="1" s="1"/>
  <c r="BJ241" i="1"/>
  <c r="K242" i="1"/>
  <c r="Z242" i="1"/>
  <c r="AB242" i="1"/>
  <c r="AC242" i="1"/>
  <c r="AF242" i="1"/>
  <c r="AG242" i="1"/>
  <c r="AH242" i="1"/>
  <c r="AJ242" i="1"/>
  <c r="AK242" i="1"/>
  <c r="AL242" i="1"/>
  <c r="AO242" i="1"/>
  <c r="AP242" i="1"/>
  <c r="J242" i="1" s="1"/>
  <c r="BD242" i="1"/>
  <c r="BF242" i="1"/>
  <c r="BH242" i="1"/>
  <c r="AD242" i="1" s="1"/>
  <c r="BI242" i="1"/>
  <c r="AE242" i="1" s="1"/>
  <c r="BJ242" i="1"/>
  <c r="K243" i="1"/>
  <c r="AK243" i="1" s="1"/>
  <c r="Z243" i="1"/>
  <c r="AB243" i="1"/>
  <c r="AC243" i="1"/>
  <c r="AF243" i="1"/>
  <c r="AG243" i="1"/>
  <c r="AH243" i="1"/>
  <c r="AJ243" i="1"/>
  <c r="AL243" i="1"/>
  <c r="AO243" i="1"/>
  <c r="I243" i="1" s="1"/>
  <c r="AP243" i="1"/>
  <c r="BI243" i="1" s="1"/>
  <c r="AE243" i="1" s="1"/>
  <c r="BD243" i="1"/>
  <c r="BF243" i="1"/>
  <c r="BH243" i="1"/>
  <c r="AD243" i="1" s="1"/>
  <c r="BJ243" i="1"/>
  <c r="K245" i="1"/>
  <c r="Z245" i="1"/>
  <c r="AB245" i="1"/>
  <c r="AC245" i="1"/>
  <c r="AF245" i="1"/>
  <c r="AG245" i="1"/>
  <c r="AH245" i="1"/>
  <c r="AJ245" i="1"/>
  <c r="AK245" i="1"/>
  <c r="AL245" i="1"/>
  <c r="AO245" i="1"/>
  <c r="AW245" i="1" s="1"/>
  <c r="AP245" i="1"/>
  <c r="J245" i="1" s="1"/>
  <c r="BD245" i="1"/>
  <c r="BF245" i="1"/>
  <c r="BH245" i="1"/>
  <c r="AD245" i="1" s="1"/>
  <c r="BI245" i="1"/>
  <c r="AE245" i="1" s="1"/>
  <c r="BJ245" i="1"/>
  <c r="K246" i="1"/>
  <c r="AK246" i="1" s="1"/>
  <c r="Z246" i="1"/>
  <c r="AB246" i="1"/>
  <c r="AC246" i="1"/>
  <c r="AF246" i="1"/>
  <c r="AG246" i="1"/>
  <c r="AH246" i="1"/>
  <c r="AJ246" i="1"/>
  <c r="AL246" i="1"/>
  <c r="AO246" i="1"/>
  <c r="I246" i="1" s="1"/>
  <c r="AP246" i="1"/>
  <c r="BD246" i="1"/>
  <c r="BF246" i="1"/>
  <c r="BH246" i="1"/>
  <c r="AD246" i="1" s="1"/>
  <c r="BJ246" i="1"/>
  <c r="K247" i="1"/>
  <c r="Z247" i="1"/>
  <c r="AB247" i="1"/>
  <c r="AC247" i="1"/>
  <c r="AF247" i="1"/>
  <c r="AG247" i="1"/>
  <c r="AH247" i="1"/>
  <c r="AJ247" i="1"/>
  <c r="AL247" i="1"/>
  <c r="AO247" i="1"/>
  <c r="BH247" i="1" s="1"/>
  <c r="AD247" i="1" s="1"/>
  <c r="AP247" i="1"/>
  <c r="BD247" i="1"/>
  <c r="BF247" i="1"/>
  <c r="BJ247" i="1"/>
  <c r="K248" i="1"/>
  <c r="Z248" i="1"/>
  <c r="AB248" i="1"/>
  <c r="AC248" i="1"/>
  <c r="AF248" i="1"/>
  <c r="AG248" i="1"/>
  <c r="AH248" i="1"/>
  <c r="AJ248" i="1"/>
  <c r="AK248" i="1"/>
  <c r="AL248" i="1"/>
  <c r="AO248" i="1"/>
  <c r="AW248" i="1" s="1"/>
  <c r="AP248" i="1"/>
  <c r="BD248" i="1"/>
  <c r="BF248" i="1"/>
  <c r="BJ248" i="1"/>
  <c r="K249" i="1"/>
  <c r="Z249" i="1"/>
  <c r="AB249" i="1"/>
  <c r="AC249" i="1"/>
  <c r="AF249" i="1"/>
  <c r="AG249" i="1"/>
  <c r="AH249" i="1"/>
  <c r="AJ249" i="1"/>
  <c r="AK249" i="1"/>
  <c r="AL249" i="1"/>
  <c r="AO249" i="1"/>
  <c r="AW249" i="1" s="1"/>
  <c r="AP249" i="1"/>
  <c r="J249" i="1" s="1"/>
  <c r="BD249" i="1"/>
  <c r="BF249" i="1"/>
  <c r="BH249" i="1"/>
  <c r="AD249" i="1" s="1"/>
  <c r="BI249" i="1"/>
  <c r="AE249" i="1" s="1"/>
  <c r="BJ249" i="1"/>
  <c r="K250" i="1"/>
  <c r="AK250" i="1" s="1"/>
  <c r="Z250" i="1"/>
  <c r="AB250" i="1"/>
  <c r="AC250" i="1"/>
  <c r="AF250" i="1"/>
  <c r="AG250" i="1"/>
  <c r="AH250" i="1"/>
  <c r="AJ250" i="1"/>
  <c r="AL250" i="1"/>
  <c r="AO250" i="1"/>
  <c r="I250" i="1" s="1"/>
  <c r="AP250" i="1"/>
  <c r="BD250" i="1"/>
  <c r="BF250" i="1"/>
  <c r="BJ250" i="1"/>
  <c r="K251" i="1"/>
  <c r="AK251" i="1" s="1"/>
  <c r="Z251" i="1"/>
  <c r="AB251" i="1"/>
  <c r="AC251" i="1"/>
  <c r="AF251" i="1"/>
  <c r="AG251" i="1"/>
  <c r="AH251" i="1"/>
  <c r="AJ251" i="1"/>
  <c r="AL251" i="1"/>
  <c r="AO251" i="1"/>
  <c r="AP251" i="1"/>
  <c r="J251" i="1" s="1"/>
  <c r="BD251" i="1"/>
  <c r="BF251" i="1"/>
  <c r="BH251" i="1"/>
  <c r="AD251" i="1" s="1"/>
  <c r="BJ251" i="1"/>
  <c r="K252" i="1"/>
  <c r="Z252" i="1"/>
  <c r="AB252" i="1"/>
  <c r="AC252" i="1"/>
  <c r="AF252" i="1"/>
  <c r="AG252" i="1"/>
  <c r="AH252" i="1"/>
  <c r="AJ252" i="1"/>
  <c r="AK252" i="1"/>
  <c r="AL252" i="1"/>
  <c r="AO252" i="1"/>
  <c r="I252" i="1" s="1"/>
  <c r="AP252" i="1"/>
  <c r="BD252" i="1"/>
  <c r="BF252" i="1"/>
  <c r="BJ252" i="1"/>
  <c r="K253" i="1"/>
  <c r="Z253" i="1"/>
  <c r="AB253" i="1"/>
  <c r="AC253" i="1"/>
  <c r="AF253" i="1"/>
  <c r="AG253" i="1"/>
  <c r="AH253" i="1"/>
  <c r="AJ253" i="1"/>
  <c r="AK253" i="1"/>
  <c r="AL253" i="1"/>
  <c r="AO253" i="1"/>
  <c r="AW253" i="1" s="1"/>
  <c r="AP253" i="1"/>
  <c r="J253" i="1" s="1"/>
  <c r="BD253" i="1"/>
  <c r="BF253" i="1"/>
  <c r="BH253" i="1"/>
  <c r="AD253" i="1" s="1"/>
  <c r="BI253" i="1"/>
  <c r="AE253" i="1" s="1"/>
  <c r="BJ253" i="1"/>
  <c r="K254" i="1"/>
  <c r="AK254" i="1" s="1"/>
  <c r="Z254" i="1"/>
  <c r="AB254" i="1"/>
  <c r="AC254" i="1"/>
  <c r="AF254" i="1"/>
  <c r="AG254" i="1"/>
  <c r="AH254" i="1"/>
  <c r="AJ254" i="1"/>
  <c r="AL254" i="1"/>
  <c r="AO254" i="1"/>
  <c r="I254" i="1" s="1"/>
  <c r="AP254" i="1"/>
  <c r="BD254" i="1"/>
  <c r="BF254" i="1"/>
  <c r="BJ254" i="1"/>
  <c r="K255" i="1"/>
  <c r="AK255" i="1" s="1"/>
  <c r="Z255" i="1"/>
  <c r="AB255" i="1"/>
  <c r="AC255" i="1"/>
  <c r="AF255" i="1"/>
  <c r="AG255" i="1"/>
  <c r="AH255" i="1"/>
  <c r="AJ255" i="1"/>
  <c r="AL255" i="1"/>
  <c r="AO255" i="1"/>
  <c r="AP255" i="1"/>
  <c r="J255" i="1" s="1"/>
  <c r="BD255" i="1"/>
  <c r="BF255" i="1"/>
  <c r="BH255" i="1"/>
  <c r="AD255" i="1" s="1"/>
  <c r="BJ255" i="1"/>
  <c r="K256" i="1"/>
  <c r="Z256" i="1"/>
  <c r="AB256" i="1"/>
  <c r="AC256" i="1"/>
  <c r="AF256" i="1"/>
  <c r="AG256" i="1"/>
  <c r="AH256" i="1"/>
  <c r="AJ256" i="1"/>
  <c r="AK256" i="1"/>
  <c r="AL256" i="1"/>
  <c r="AO256" i="1"/>
  <c r="I256" i="1" s="1"/>
  <c r="AP256" i="1"/>
  <c r="BD256" i="1"/>
  <c r="BF256" i="1"/>
  <c r="BH256" i="1"/>
  <c r="AD256" i="1" s="1"/>
  <c r="BJ256" i="1"/>
  <c r="K257" i="1"/>
  <c r="Z257" i="1"/>
  <c r="AB257" i="1"/>
  <c r="AC257" i="1"/>
  <c r="AF257" i="1"/>
  <c r="AG257" i="1"/>
  <c r="AH257" i="1"/>
  <c r="AJ257" i="1"/>
  <c r="AK257" i="1"/>
  <c r="AL257" i="1"/>
  <c r="AO257" i="1"/>
  <c r="AW257" i="1" s="1"/>
  <c r="AP257" i="1"/>
  <c r="J257" i="1" s="1"/>
  <c r="BD257" i="1"/>
  <c r="BF257" i="1"/>
  <c r="BH257" i="1"/>
  <c r="AD257" i="1" s="1"/>
  <c r="BJ257" i="1"/>
  <c r="K258" i="1"/>
  <c r="AK258" i="1" s="1"/>
  <c r="Z258" i="1"/>
  <c r="AB258" i="1"/>
  <c r="AC258" i="1"/>
  <c r="AF258" i="1"/>
  <c r="AG258" i="1"/>
  <c r="AH258" i="1"/>
  <c r="AJ258" i="1"/>
  <c r="AL258" i="1"/>
  <c r="AO258" i="1"/>
  <c r="I258" i="1" s="1"/>
  <c r="AP258" i="1"/>
  <c r="BD258" i="1"/>
  <c r="BF258" i="1"/>
  <c r="BH258" i="1"/>
  <c r="AD258" i="1" s="1"/>
  <c r="BJ258" i="1"/>
  <c r="K259" i="1"/>
  <c r="AK259" i="1" s="1"/>
  <c r="Z259" i="1"/>
  <c r="AB259" i="1"/>
  <c r="AC259" i="1"/>
  <c r="AF259" i="1"/>
  <c r="AG259" i="1"/>
  <c r="AH259" i="1"/>
  <c r="AJ259" i="1"/>
  <c r="AL259" i="1"/>
  <c r="AO259" i="1"/>
  <c r="AP259" i="1"/>
  <c r="J259" i="1" s="1"/>
  <c r="BD259" i="1"/>
  <c r="BF259" i="1"/>
  <c r="BH259" i="1"/>
  <c r="AD259" i="1" s="1"/>
  <c r="BJ259" i="1"/>
  <c r="K260" i="1"/>
  <c r="Z260" i="1"/>
  <c r="AB260" i="1"/>
  <c r="AC260" i="1"/>
  <c r="AF260" i="1"/>
  <c r="AG260" i="1"/>
  <c r="AH260" i="1"/>
  <c r="AJ260" i="1"/>
  <c r="AK260" i="1"/>
  <c r="AL260" i="1"/>
  <c r="AO260" i="1"/>
  <c r="AP260" i="1"/>
  <c r="BD260" i="1"/>
  <c r="BF260" i="1"/>
  <c r="BH260" i="1"/>
  <c r="AD260" i="1" s="1"/>
  <c r="BJ260" i="1"/>
  <c r="K261" i="1"/>
  <c r="Z261" i="1"/>
  <c r="AB261" i="1"/>
  <c r="AC261" i="1"/>
  <c r="AF261" i="1"/>
  <c r="AG261" i="1"/>
  <c r="AH261" i="1"/>
  <c r="AJ261" i="1"/>
  <c r="AK261" i="1"/>
  <c r="AL261" i="1"/>
  <c r="AO261" i="1"/>
  <c r="I261" i="1" s="1"/>
  <c r="AP261" i="1"/>
  <c r="J261" i="1" s="1"/>
  <c r="BD261" i="1"/>
  <c r="BF261" i="1"/>
  <c r="BJ261" i="1"/>
  <c r="K262" i="1"/>
  <c r="AK262" i="1" s="1"/>
  <c r="Z262" i="1"/>
  <c r="AB262" i="1"/>
  <c r="AC262" i="1"/>
  <c r="AF262" i="1"/>
  <c r="AG262" i="1"/>
  <c r="AH262" i="1"/>
  <c r="AJ262" i="1"/>
  <c r="AL262" i="1"/>
  <c r="AO262" i="1"/>
  <c r="I262" i="1" s="1"/>
  <c r="AP262" i="1"/>
  <c r="BD262" i="1"/>
  <c r="BF262" i="1"/>
  <c r="BH262" i="1"/>
  <c r="AD262" i="1" s="1"/>
  <c r="BI262" i="1"/>
  <c r="AE262" i="1" s="1"/>
  <c r="BJ262" i="1"/>
  <c r="K263" i="1"/>
  <c r="AK263" i="1" s="1"/>
  <c r="Z263" i="1"/>
  <c r="AB263" i="1"/>
  <c r="AC263" i="1"/>
  <c r="AF263" i="1"/>
  <c r="AG263" i="1"/>
  <c r="AH263" i="1"/>
  <c r="AJ263" i="1"/>
  <c r="AL263" i="1"/>
  <c r="AO263" i="1"/>
  <c r="AP263" i="1"/>
  <c r="J263" i="1" s="1"/>
  <c r="BD263" i="1"/>
  <c r="BF263" i="1"/>
  <c r="BJ263" i="1"/>
  <c r="K264" i="1"/>
  <c r="Z264" i="1"/>
  <c r="AB264" i="1"/>
  <c r="AC264" i="1"/>
  <c r="AF264" i="1"/>
  <c r="AG264" i="1"/>
  <c r="AH264" i="1"/>
  <c r="AJ264" i="1"/>
  <c r="AK264" i="1"/>
  <c r="AL264" i="1"/>
  <c r="AO264" i="1"/>
  <c r="AP264" i="1"/>
  <c r="BD264" i="1"/>
  <c r="BF264" i="1"/>
  <c r="BH264" i="1"/>
  <c r="AD264" i="1" s="1"/>
  <c r="BJ264" i="1"/>
  <c r="K265" i="1"/>
  <c r="Z265" i="1"/>
  <c r="AB265" i="1"/>
  <c r="AC265" i="1"/>
  <c r="AF265" i="1"/>
  <c r="AG265" i="1"/>
  <c r="AH265" i="1"/>
  <c r="AJ265" i="1"/>
  <c r="AK265" i="1"/>
  <c r="AL265" i="1"/>
  <c r="AO265" i="1"/>
  <c r="AW265" i="1" s="1"/>
  <c r="AP265" i="1"/>
  <c r="BD265" i="1"/>
  <c r="BF265" i="1"/>
  <c r="BH265" i="1"/>
  <c r="AD265" i="1" s="1"/>
  <c r="BJ265" i="1"/>
  <c r="K266" i="1"/>
  <c r="AK266" i="1" s="1"/>
  <c r="Z266" i="1"/>
  <c r="AB266" i="1"/>
  <c r="AC266" i="1"/>
  <c r="AF266" i="1"/>
  <c r="AG266" i="1"/>
  <c r="AH266" i="1"/>
  <c r="AJ266" i="1"/>
  <c r="AL266" i="1"/>
  <c r="AO266" i="1"/>
  <c r="I266" i="1" s="1"/>
  <c r="AP266" i="1"/>
  <c r="BD266" i="1"/>
  <c r="BF266" i="1"/>
  <c r="BH266" i="1"/>
  <c r="AD266" i="1" s="1"/>
  <c r="BJ266" i="1"/>
  <c r="K267" i="1"/>
  <c r="AK267" i="1" s="1"/>
  <c r="Z267" i="1"/>
  <c r="AB267" i="1"/>
  <c r="AC267" i="1"/>
  <c r="AF267" i="1"/>
  <c r="AG267" i="1"/>
  <c r="AH267" i="1"/>
  <c r="AJ267" i="1"/>
  <c r="AL267" i="1"/>
  <c r="AO267" i="1"/>
  <c r="BH267" i="1" s="1"/>
  <c r="AD267" i="1" s="1"/>
  <c r="AP267" i="1"/>
  <c r="BD267" i="1"/>
  <c r="BF267" i="1"/>
  <c r="BJ267" i="1"/>
  <c r="K268" i="1"/>
  <c r="Z268" i="1"/>
  <c r="AB268" i="1"/>
  <c r="AC268" i="1"/>
  <c r="AF268" i="1"/>
  <c r="AG268" i="1"/>
  <c r="AH268" i="1"/>
  <c r="AJ268" i="1"/>
  <c r="AK268" i="1"/>
  <c r="AL268" i="1"/>
  <c r="AO268" i="1"/>
  <c r="I268" i="1" s="1"/>
  <c r="AP268" i="1"/>
  <c r="BI268" i="1" s="1"/>
  <c r="AE268" i="1" s="1"/>
  <c r="BD268" i="1"/>
  <c r="BF268" i="1"/>
  <c r="BJ268" i="1"/>
  <c r="K269" i="1"/>
  <c r="Z269" i="1"/>
  <c r="AB269" i="1"/>
  <c r="AC269" i="1"/>
  <c r="AF269" i="1"/>
  <c r="AG269" i="1"/>
  <c r="AH269" i="1"/>
  <c r="AJ269" i="1"/>
  <c r="AK269" i="1"/>
  <c r="AL269" i="1"/>
  <c r="AO269" i="1"/>
  <c r="I269" i="1" s="1"/>
  <c r="AP269" i="1"/>
  <c r="J269" i="1" s="1"/>
  <c r="BD269" i="1"/>
  <c r="BF269" i="1"/>
  <c r="BJ269" i="1"/>
  <c r="K270" i="1"/>
  <c r="Z270" i="1"/>
  <c r="AB270" i="1"/>
  <c r="AC270" i="1"/>
  <c r="AF270" i="1"/>
  <c r="AG270" i="1"/>
  <c r="AH270" i="1"/>
  <c r="AJ270" i="1"/>
  <c r="AK270" i="1"/>
  <c r="AL270" i="1"/>
  <c r="AO270" i="1"/>
  <c r="AP270" i="1"/>
  <c r="BI270" i="1" s="1"/>
  <c r="AE270" i="1" s="1"/>
  <c r="BD270" i="1"/>
  <c r="BF270" i="1"/>
  <c r="BH270" i="1"/>
  <c r="AD270" i="1" s="1"/>
  <c r="BJ270" i="1"/>
  <c r="K271" i="1"/>
  <c r="AK271" i="1" s="1"/>
  <c r="Z271" i="1"/>
  <c r="AB271" i="1"/>
  <c r="AC271" i="1"/>
  <c r="AF271" i="1"/>
  <c r="AG271" i="1"/>
  <c r="AH271" i="1"/>
  <c r="AJ271" i="1"/>
  <c r="AL271" i="1"/>
  <c r="AO271" i="1"/>
  <c r="AP271" i="1"/>
  <c r="J271" i="1" s="1"/>
  <c r="BD271" i="1"/>
  <c r="BF271" i="1"/>
  <c r="BH271" i="1"/>
  <c r="AD271" i="1" s="1"/>
  <c r="BJ271" i="1"/>
  <c r="K272" i="1"/>
  <c r="Z272" i="1"/>
  <c r="AB272" i="1"/>
  <c r="AC272" i="1"/>
  <c r="AF272" i="1"/>
  <c r="AG272" i="1"/>
  <c r="AH272" i="1"/>
  <c r="AJ272" i="1"/>
  <c r="AK272" i="1"/>
  <c r="AL272" i="1"/>
  <c r="AO272" i="1"/>
  <c r="AP272" i="1"/>
  <c r="BD272" i="1"/>
  <c r="BF272" i="1"/>
  <c r="BJ272" i="1"/>
  <c r="K273" i="1"/>
  <c r="Z273" i="1"/>
  <c r="AB273" i="1"/>
  <c r="AC273" i="1"/>
  <c r="AF273" i="1"/>
  <c r="AG273" i="1"/>
  <c r="AH273" i="1"/>
  <c r="AJ273" i="1"/>
  <c r="AK273" i="1"/>
  <c r="AL273" i="1"/>
  <c r="AO273" i="1"/>
  <c r="AW273" i="1" s="1"/>
  <c r="AP273" i="1"/>
  <c r="J273" i="1" s="1"/>
  <c r="BD273" i="1"/>
  <c r="BF273" i="1"/>
  <c r="BH273" i="1"/>
  <c r="AD273" i="1" s="1"/>
  <c r="BJ273" i="1"/>
  <c r="K274" i="1"/>
  <c r="Z274" i="1"/>
  <c r="AB274" i="1"/>
  <c r="AC274" i="1"/>
  <c r="AF274" i="1"/>
  <c r="AG274" i="1"/>
  <c r="AH274" i="1"/>
  <c r="AJ274" i="1"/>
  <c r="AK274" i="1"/>
  <c r="AL274" i="1"/>
  <c r="AO274" i="1"/>
  <c r="AP274" i="1"/>
  <c r="BI274" i="1" s="1"/>
  <c r="AE274" i="1" s="1"/>
  <c r="BD274" i="1"/>
  <c r="BF274" i="1"/>
  <c r="BJ274" i="1"/>
  <c r="K275" i="1"/>
  <c r="AK275" i="1" s="1"/>
  <c r="Z275" i="1"/>
  <c r="AB275" i="1"/>
  <c r="AC275" i="1"/>
  <c r="AF275" i="1"/>
  <c r="AG275" i="1"/>
  <c r="AH275" i="1"/>
  <c r="AJ275" i="1"/>
  <c r="AL275" i="1"/>
  <c r="AO275" i="1"/>
  <c r="AP275" i="1"/>
  <c r="J275" i="1" s="1"/>
  <c r="BD275" i="1"/>
  <c r="BF275" i="1"/>
  <c r="BJ275" i="1"/>
  <c r="K276" i="1"/>
  <c r="AK276" i="1" s="1"/>
  <c r="Z276" i="1"/>
  <c r="AB276" i="1"/>
  <c r="AC276" i="1"/>
  <c r="AF276" i="1"/>
  <c r="AG276" i="1"/>
  <c r="AH276" i="1"/>
  <c r="AJ276" i="1"/>
  <c r="AL276" i="1"/>
  <c r="AO276" i="1"/>
  <c r="I276" i="1" s="1"/>
  <c r="AP276" i="1"/>
  <c r="AX276" i="1" s="1"/>
  <c r="BD276" i="1"/>
  <c r="BF276" i="1"/>
  <c r="BH276" i="1"/>
  <c r="AD276" i="1" s="1"/>
  <c r="BJ276" i="1"/>
  <c r="K277" i="1"/>
  <c r="Z277" i="1"/>
  <c r="AB277" i="1"/>
  <c r="AC277" i="1"/>
  <c r="AF277" i="1"/>
  <c r="AG277" i="1"/>
  <c r="AH277" i="1"/>
  <c r="AJ277" i="1"/>
  <c r="AK277" i="1"/>
  <c r="AL277" i="1"/>
  <c r="AO277" i="1"/>
  <c r="I277" i="1" s="1"/>
  <c r="AP277" i="1"/>
  <c r="J277" i="1" s="1"/>
  <c r="BD277" i="1"/>
  <c r="BF277" i="1"/>
  <c r="BJ277" i="1"/>
  <c r="K278" i="1"/>
  <c r="Z278" i="1"/>
  <c r="AB278" i="1"/>
  <c r="AC278" i="1"/>
  <c r="AF278" i="1"/>
  <c r="AG278" i="1"/>
  <c r="AH278" i="1"/>
  <c r="AJ278" i="1"/>
  <c r="AK278" i="1"/>
  <c r="AL278" i="1"/>
  <c r="AO278" i="1"/>
  <c r="I278" i="1" s="1"/>
  <c r="AP278" i="1"/>
  <c r="BI278" i="1" s="1"/>
  <c r="AE278" i="1" s="1"/>
  <c r="BD278" i="1"/>
  <c r="BF278" i="1"/>
  <c r="BJ278" i="1"/>
  <c r="K279" i="1"/>
  <c r="AK279" i="1" s="1"/>
  <c r="Z279" i="1"/>
  <c r="AB279" i="1"/>
  <c r="AC279" i="1"/>
  <c r="AF279" i="1"/>
  <c r="AG279" i="1"/>
  <c r="AH279" i="1"/>
  <c r="AJ279" i="1"/>
  <c r="AL279" i="1"/>
  <c r="AO279" i="1"/>
  <c r="BH279" i="1" s="1"/>
  <c r="AD279" i="1" s="1"/>
  <c r="AP279" i="1"/>
  <c r="J279" i="1" s="1"/>
  <c r="BD279" i="1"/>
  <c r="BF279" i="1"/>
  <c r="BJ279" i="1"/>
  <c r="K280" i="1"/>
  <c r="AK280" i="1" s="1"/>
  <c r="Z280" i="1"/>
  <c r="AB280" i="1"/>
  <c r="AC280" i="1"/>
  <c r="AF280" i="1"/>
  <c r="AG280" i="1"/>
  <c r="AH280" i="1"/>
  <c r="AJ280" i="1"/>
  <c r="AL280" i="1"/>
  <c r="AO280" i="1"/>
  <c r="AP280" i="1"/>
  <c r="J280" i="1" s="1"/>
  <c r="BD280" i="1"/>
  <c r="BF280" i="1"/>
  <c r="BJ280" i="1"/>
  <c r="K281" i="1"/>
  <c r="AK281" i="1" s="1"/>
  <c r="Z281" i="1"/>
  <c r="AB281" i="1"/>
  <c r="AC281" i="1"/>
  <c r="AF281" i="1"/>
  <c r="AG281" i="1"/>
  <c r="AH281" i="1"/>
  <c r="AJ281" i="1"/>
  <c r="AL281" i="1"/>
  <c r="AO281" i="1"/>
  <c r="AP281" i="1"/>
  <c r="BI281" i="1" s="1"/>
  <c r="AE281" i="1" s="1"/>
  <c r="BD281" i="1"/>
  <c r="BF281" i="1"/>
  <c r="BJ281" i="1"/>
  <c r="K282" i="1"/>
  <c r="Z282" i="1"/>
  <c r="AB282" i="1"/>
  <c r="AC282" i="1"/>
  <c r="AF282" i="1"/>
  <c r="AG282" i="1"/>
  <c r="AH282" i="1"/>
  <c r="AJ282" i="1"/>
  <c r="AK282" i="1"/>
  <c r="AL282" i="1"/>
  <c r="AO282" i="1"/>
  <c r="I282" i="1" s="1"/>
  <c r="AP282" i="1"/>
  <c r="BI282" i="1" s="1"/>
  <c r="AE282" i="1" s="1"/>
  <c r="BD282" i="1"/>
  <c r="BF282" i="1"/>
  <c r="BJ282" i="1"/>
  <c r="K283" i="1"/>
  <c r="AK283" i="1" s="1"/>
  <c r="Z283" i="1"/>
  <c r="AB283" i="1"/>
  <c r="AC283" i="1"/>
  <c r="AF283" i="1"/>
  <c r="AG283" i="1"/>
  <c r="AH283" i="1"/>
  <c r="AJ283" i="1"/>
  <c r="AL283" i="1"/>
  <c r="AO283" i="1"/>
  <c r="BH283" i="1" s="1"/>
  <c r="AD283" i="1" s="1"/>
  <c r="AP283" i="1"/>
  <c r="J283" i="1" s="1"/>
  <c r="AX283" i="1"/>
  <c r="BD283" i="1"/>
  <c r="BF283" i="1"/>
  <c r="BI283" i="1"/>
  <c r="AE283" i="1" s="1"/>
  <c r="BJ283" i="1"/>
  <c r="K284" i="1"/>
  <c r="AK284" i="1" s="1"/>
  <c r="Z284" i="1"/>
  <c r="AB284" i="1"/>
  <c r="AC284" i="1"/>
  <c r="AF284" i="1"/>
  <c r="AG284" i="1"/>
  <c r="AH284" i="1"/>
  <c r="AJ284" i="1"/>
  <c r="AL284" i="1"/>
  <c r="AO284" i="1"/>
  <c r="AP284" i="1"/>
  <c r="J284" i="1" s="1"/>
  <c r="BD284" i="1"/>
  <c r="BF284" i="1"/>
  <c r="BJ284" i="1"/>
  <c r="K285" i="1"/>
  <c r="Z285" i="1"/>
  <c r="AB285" i="1"/>
  <c r="AC285" i="1"/>
  <c r="AF285" i="1"/>
  <c r="AG285" i="1"/>
  <c r="AH285" i="1"/>
  <c r="AJ285" i="1"/>
  <c r="AK285" i="1"/>
  <c r="AL285" i="1"/>
  <c r="AO285" i="1"/>
  <c r="I285" i="1" s="1"/>
  <c r="AP285" i="1"/>
  <c r="J285" i="1" s="1"/>
  <c r="BD285" i="1"/>
  <c r="BF285" i="1"/>
  <c r="BI285" i="1"/>
  <c r="AE285" i="1" s="1"/>
  <c r="BJ285" i="1"/>
  <c r="K286" i="1"/>
  <c r="Z286" i="1"/>
  <c r="AB286" i="1"/>
  <c r="AC286" i="1"/>
  <c r="AF286" i="1"/>
  <c r="AG286" i="1"/>
  <c r="AH286" i="1"/>
  <c r="AJ286" i="1"/>
  <c r="AK286" i="1"/>
  <c r="AL286" i="1"/>
  <c r="AO286" i="1"/>
  <c r="I286" i="1" s="1"/>
  <c r="AP286" i="1"/>
  <c r="BI286" i="1" s="1"/>
  <c r="AE286" i="1" s="1"/>
  <c r="BD286" i="1"/>
  <c r="BF286" i="1"/>
  <c r="BJ286" i="1"/>
  <c r="K287" i="1"/>
  <c r="AK287" i="1" s="1"/>
  <c r="Z287" i="1"/>
  <c r="AB287" i="1"/>
  <c r="AC287" i="1"/>
  <c r="AF287" i="1"/>
  <c r="AG287" i="1"/>
  <c r="AH287" i="1"/>
  <c r="AJ287" i="1"/>
  <c r="AL287" i="1"/>
  <c r="AO287" i="1"/>
  <c r="BH287" i="1" s="1"/>
  <c r="AD287" i="1" s="1"/>
  <c r="AP287" i="1"/>
  <c r="J287" i="1" s="1"/>
  <c r="BD287" i="1"/>
  <c r="BF287" i="1"/>
  <c r="BJ287" i="1"/>
  <c r="K288" i="1"/>
  <c r="AK288" i="1" s="1"/>
  <c r="Z288" i="1"/>
  <c r="AB288" i="1"/>
  <c r="AC288" i="1"/>
  <c r="AF288" i="1"/>
  <c r="AG288" i="1"/>
  <c r="AH288" i="1"/>
  <c r="AJ288" i="1"/>
  <c r="AL288" i="1"/>
  <c r="AO288" i="1"/>
  <c r="I288" i="1" s="1"/>
  <c r="AP288" i="1"/>
  <c r="J288" i="1" s="1"/>
  <c r="BD288" i="1"/>
  <c r="BF288" i="1"/>
  <c r="BJ288" i="1"/>
  <c r="K289" i="1"/>
  <c r="Z289" i="1"/>
  <c r="AB289" i="1"/>
  <c r="AC289" i="1"/>
  <c r="AF289" i="1"/>
  <c r="AG289" i="1"/>
  <c r="AH289" i="1"/>
  <c r="AJ289" i="1"/>
  <c r="AK289" i="1"/>
  <c r="AL289" i="1"/>
  <c r="AO289" i="1"/>
  <c r="I289" i="1" s="1"/>
  <c r="AP289" i="1"/>
  <c r="J289" i="1" s="1"/>
  <c r="BD289" i="1"/>
  <c r="BF289" i="1"/>
  <c r="BJ289" i="1"/>
  <c r="K290" i="1"/>
  <c r="Z290" i="1"/>
  <c r="AB290" i="1"/>
  <c r="AC290" i="1"/>
  <c r="AF290" i="1"/>
  <c r="AG290" i="1"/>
  <c r="AH290" i="1"/>
  <c r="AJ290" i="1"/>
  <c r="AK290" i="1"/>
  <c r="AL290" i="1"/>
  <c r="AO290" i="1"/>
  <c r="I290" i="1" s="1"/>
  <c r="AP290" i="1"/>
  <c r="BI290" i="1" s="1"/>
  <c r="AE290" i="1" s="1"/>
  <c r="BD290" i="1"/>
  <c r="BF290" i="1"/>
  <c r="BH290" i="1"/>
  <c r="AD290" i="1" s="1"/>
  <c r="BJ290" i="1"/>
  <c r="K291" i="1"/>
  <c r="AK291" i="1" s="1"/>
  <c r="Z291" i="1"/>
  <c r="AB291" i="1"/>
  <c r="AC291" i="1"/>
  <c r="AF291" i="1"/>
  <c r="AG291" i="1"/>
  <c r="AH291" i="1"/>
  <c r="AJ291" i="1"/>
  <c r="AL291" i="1"/>
  <c r="AO291" i="1"/>
  <c r="BH291" i="1" s="1"/>
  <c r="AD291" i="1" s="1"/>
  <c r="AP291" i="1"/>
  <c r="J291" i="1" s="1"/>
  <c r="BD291" i="1"/>
  <c r="BF291" i="1"/>
  <c r="BJ291" i="1"/>
  <c r="K292" i="1"/>
  <c r="AK292" i="1" s="1"/>
  <c r="Z292" i="1"/>
  <c r="AB292" i="1"/>
  <c r="AC292" i="1"/>
  <c r="AF292" i="1"/>
  <c r="AG292" i="1"/>
  <c r="AH292" i="1"/>
  <c r="AJ292" i="1"/>
  <c r="AL292" i="1"/>
  <c r="AO292" i="1"/>
  <c r="AP292" i="1"/>
  <c r="BD292" i="1"/>
  <c r="BF292" i="1"/>
  <c r="BJ292" i="1"/>
  <c r="K293" i="1"/>
  <c r="Z293" i="1"/>
  <c r="AB293" i="1"/>
  <c r="AC293" i="1"/>
  <c r="AF293" i="1"/>
  <c r="AG293" i="1"/>
  <c r="AH293" i="1"/>
  <c r="AJ293" i="1"/>
  <c r="AK293" i="1"/>
  <c r="AL293" i="1"/>
  <c r="AO293" i="1"/>
  <c r="AP293" i="1"/>
  <c r="AX293" i="1" s="1"/>
  <c r="BD293" i="1"/>
  <c r="BF293" i="1"/>
  <c r="BJ293" i="1"/>
  <c r="K294" i="1"/>
  <c r="Z294" i="1"/>
  <c r="AB294" i="1"/>
  <c r="AC294" i="1"/>
  <c r="AF294" i="1"/>
  <c r="AG294" i="1"/>
  <c r="AH294" i="1"/>
  <c r="AJ294" i="1"/>
  <c r="AK294" i="1"/>
  <c r="AL294" i="1"/>
  <c r="AO294" i="1"/>
  <c r="I294" i="1" s="1"/>
  <c r="AP294" i="1"/>
  <c r="BI294" i="1" s="1"/>
  <c r="AE294" i="1" s="1"/>
  <c r="BD294" i="1"/>
  <c r="BF294" i="1"/>
  <c r="BJ294" i="1"/>
  <c r="K295" i="1"/>
  <c r="AK295" i="1" s="1"/>
  <c r="Z295" i="1"/>
  <c r="AB295" i="1"/>
  <c r="AC295" i="1"/>
  <c r="AF295" i="1"/>
  <c r="AG295" i="1"/>
  <c r="AH295" i="1"/>
  <c r="AJ295" i="1"/>
  <c r="AL295" i="1"/>
  <c r="AO295" i="1"/>
  <c r="BH295" i="1" s="1"/>
  <c r="AD295" i="1" s="1"/>
  <c r="AP295" i="1"/>
  <c r="J295" i="1" s="1"/>
  <c r="BD295" i="1"/>
  <c r="BF295" i="1"/>
  <c r="BJ295" i="1"/>
  <c r="K296" i="1"/>
  <c r="AK296" i="1" s="1"/>
  <c r="Z296" i="1"/>
  <c r="AB296" i="1"/>
  <c r="AC296" i="1"/>
  <c r="AF296" i="1"/>
  <c r="AG296" i="1"/>
  <c r="AH296" i="1"/>
  <c r="AJ296" i="1"/>
  <c r="AL296" i="1"/>
  <c r="AO296" i="1"/>
  <c r="AP296" i="1"/>
  <c r="J296" i="1" s="1"/>
  <c r="BD296" i="1"/>
  <c r="BF296" i="1"/>
  <c r="BI296" i="1"/>
  <c r="AE296" i="1" s="1"/>
  <c r="BJ296" i="1"/>
  <c r="K297" i="1"/>
  <c r="Z297" i="1"/>
  <c r="AB297" i="1"/>
  <c r="AC297" i="1"/>
  <c r="AF297" i="1"/>
  <c r="AG297" i="1"/>
  <c r="AH297" i="1"/>
  <c r="AJ297" i="1"/>
  <c r="AK297" i="1"/>
  <c r="AL297" i="1"/>
  <c r="AO297" i="1"/>
  <c r="I297" i="1" s="1"/>
  <c r="AP297" i="1"/>
  <c r="AX297" i="1" s="1"/>
  <c r="BD297" i="1"/>
  <c r="BF297" i="1"/>
  <c r="BH297" i="1"/>
  <c r="AD297" i="1" s="1"/>
  <c r="BJ297" i="1"/>
  <c r="K298" i="1"/>
  <c r="Z298" i="1"/>
  <c r="AB298" i="1"/>
  <c r="AC298" i="1"/>
  <c r="AF298" i="1"/>
  <c r="AG298" i="1"/>
  <c r="AH298" i="1"/>
  <c r="AJ298" i="1"/>
  <c r="AK298" i="1"/>
  <c r="AL298" i="1"/>
  <c r="AO298" i="1"/>
  <c r="AP298" i="1"/>
  <c r="BI298" i="1" s="1"/>
  <c r="AE298" i="1" s="1"/>
  <c r="BD298" i="1"/>
  <c r="BF298" i="1"/>
  <c r="BJ298" i="1"/>
  <c r="K299" i="1"/>
  <c r="AK299" i="1" s="1"/>
  <c r="Z299" i="1"/>
  <c r="AB299" i="1"/>
  <c r="AC299" i="1"/>
  <c r="AF299" i="1"/>
  <c r="AG299" i="1"/>
  <c r="AH299" i="1"/>
  <c r="AJ299" i="1"/>
  <c r="AL299" i="1"/>
  <c r="AO299" i="1"/>
  <c r="AP299" i="1"/>
  <c r="J299" i="1" s="1"/>
  <c r="BD299" i="1"/>
  <c r="BF299" i="1"/>
  <c r="BJ299" i="1"/>
  <c r="K300" i="1"/>
  <c r="AK300" i="1" s="1"/>
  <c r="Z300" i="1"/>
  <c r="AB300" i="1"/>
  <c r="AC300" i="1"/>
  <c r="AF300" i="1"/>
  <c r="AG300" i="1"/>
  <c r="AH300" i="1"/>
  <c r="AJ300" i="1"/>
  <c r="AL300" i="1"/>
  <c r="AO300" i="1"/>
  <c r="I300" i="1" s="1"/>
  <c r="AP300" i="1"/>
  <c r="AX300" i="1" s="1"/>
  <c r="BD300" i="1"/>
  <c r="BF300" i="1"/>
  <c r="BJ300" i="1"/>
  <c r="K301" i="1"/>
  <c r="Z301" i="1"/>
  <c r="AB301" i="1"/>
  <c r="AC301" i="1"/>
  <c r="AF301" i="1"/>
  <c r="AG301" i="1"/>
  <c r="AH301" i="1"/>
  <c r="AJ301" i="1"/>
  <c r="AK301" i="1"/>
  <c r="AL301" i="1"/>
  <c r="AO301" i="1"/>
  <c r="I301" i="1" s="1"/>
  <c r="AP301" i="1"/>
  <c r="J301" i="1" s="1"/>
  <c r="BD301" i="1"/>
  <c r="BF301" i="1"/>
  <c r="BJ301" i="1"/>
  <c r="K302" i="1"/>
  <c r="Z302" i="1"/>
  <c r="AB302" i="1"/>
  <c r="AC302" i="1"/>
  <c r="AF302" i="1"/>
  <c r="AG302" i="1"/>
  <c r="AH302" i="1"/>
  <c r="AJ302" i="1"/>
  <c r="AK302" i="1"/>
  <c r="AL302" i="1"/>
  <c r="AO302" i="1"/>
  <c r="BH302" i="1" s="1"/>
  <c r="AD302" i="1" s="1"/>
  <c r="AP302" i="1"/>
  <c r="J302" i="1" s="1"/>
  <c r="BD302" i="1"/>
  <c r="BF302" i="1"/>
  <c r="BJ302" i="1"/>
  <c r="K303" i="1"/>
  <c r="Z303" i="1"/>
  <c r="AB303" i="1"/>
  <c r="AC303" i="1"/>
  <c r="AF303" i="1"/>
  <c r="AG303" i="1"/>
  <c r="AH303" i="1"/>
  <c r="AJ303" i="1"/>
  <c r="AK303" i="1"/>
  <c r="AL303" i="1"/>
  <c r="AO303" i="1"/>
  <c r="AP303" i="1"/>
  <c r="AX303" i="1" s="1"/>
  <c r="BD303" i="1"/>
  <c r="BF303" i="1"/>
  <c r="BJ303" i="1"/>
  <c r="K304" i="1"/>
  <c r="Z304" i="1"/>
  <c r="AB304" i="1"/>
  <c r="AC304" i="1"/>
  <c r="AF304" i="1"/>
  <c r="AG304" i="1"/>
  <c r="AH304" i="1"/>
  <c r="AJ304" i="1"/>
  <c r="AK304" i="1"/>
  <c r="AL304" i="1"/>
  <c r="AO304" i="1"/>
  <c r="AW304" i="1" s="1"/>
  <c r="AP304" i="1"/>
  <c r="BD304" i="1"/>
  <c r="BF304" i="1"/>
  <c r="BH304" i="1"/>
  <c r="AD304" i="1" s="1"/>
  <c r="BJ304" i="1"/>
  <c r="K305" i="1"/>
  <c r="Z305" i="1"/>
  <c r="AB305" i="1"/>
  <c r="AC305" i="1"/>
  <c r="AF305" i="1"/>
  <c r="AG305" i="1"/>
  <c r="AH305" i="1"/>
  <c r="AJ305" i="1"/>
  <c r="AK305" i="1"/>
  <c r="AL305" i="1"/>
  <c r="AO305" i="1"/>
  <c r="I305" i="1" s="1"/>
  <c r="AP305" i="1"/>
  <c r="BD305" i="1"/>
  <c r="BF305" i="1"/>
  <c r="BH305" i="1"/>
  <c r="AD305" i="1" s="1"/>
  <c r="BI305" i="1"/>
  <c r="AE305" i="1" s="1"/>
  <c r="BJ305" i="1"/>
  <c r="K306" i="1"/>
  <c r="AK306" i="1" s="1"/>
  <c r="Z306" i="1"/>
  <c r="AB306" i="1"/>
  <c r="AC306" i="1"/>
  <c r="AF306" i="1"/>
  <c r="AG306" i="1"/>
  <c r="AH306" i="1"/>
  <c r="AJ306" i="1"/>
  <c r="AL306" i="1"/>
  <c r="AO306" i="1"/>
  <c r="AP306" i="1"/>
  <c r="J306" i="1" s="1"/>
  <c r="BD306" i="1"/>
  <c r="BF306" i="1"/>
  <c r="BJ306" i="1"/>
  <c r="K307" i="1"/>
  <c r="Z307" i="1"/>
  <c r="AB307" i="1"/>
  <c r="AC307" i="1"/>
  <c r="AF307" i="1"/>
  <c r="AG307" i="1"/>
  <c r="AH307" i="1"/>
  <c r="AJ307" i="1"/>
  <c r="AK307" i="1"/>
  <c r="AL307" i="1"/>
  <c r="AO307" i="1"/>
  <c r="I307" i="1" s="1"/>
  <c r="AP307" i="1"/>
  <c r="AX307" i="1" s="1"/>
  <c r="BD307" i="1"/>
  <c r="BF307" i="1"/>
  <c r="BJ307" i="1"/>
  <c r="K308" i="1"/>
  <c r="Z308" i="1"/>
  <c r="AB308" i="1"/>
  <c r="AC308" i="1"/>
  <c r="AF308" i="1"/>
  <c r="AG308" i="1"/>
  <c r="AH308" i="1"/>
  <c r="AJ308" i="1"/>
  <c r="AK308" i="1"/>
  <c r="AL308" i="1"/>
  <c r="AO308" i="1"/>
  <c r="AW308" i="1" s="1"/>
  <c r="AP308" i="1"/>
  <c r="BD308" i="1"/>
  <c r="BF308" i="1"/>
  <c r="BH308" i="1"/>
  <c r="AD308" i="1" s="1"/>
  <c r="BJ308" i="1"/>
  <c r="K309" i="1"/>
  <c r="Z309" i="1"/>
  <c r="AB309" i="1"/>
  <c r="AC309" i="1"/>
  <c r="AF309" i="1"/>
  <c r="AG309" i="1"/>
  <c r="AH309" i="1"/>
  <c r="AJ309" i="1"/>
  <c r="AK309" i="1"/>
  <c r="AL309" i="1"/>
  <c r="AO309" i="1"/>
  <c r="I309" i="1" s="1"/>
  <c r="AP309" i="1"/>
  <c r="BD309" i="1"/>
  <c r="BF309" i="1"/>
  <c r="BH309" i="1"/>
  <c r="AD309" i="1" s="1"/>
  <c r="BJ309" i="1"/>
  <c r="K310" i="1"/>
  <c r="AK310" i="1" s="1"/>
  <c r="Z310" i="1"/>
  <c r="AB310" i="1"/>
  <c r="AC310" i="1"/>
  <c r="AF310" i="1"/>
  <c r="AG310" i="1"/>
  <c r="AH310" i="1"/>
  <c r="AJ310" i="1"/>
  <c r="AL310" i="1"/>
  <c r="AO310" i="1"/>
  <c r="BH310" i="1" s="1"/>
  <c r="AD310" i="1" s="1"/>
  <c r="AP310" i="1"/>
  <c r="BD310" i="1"/>
  <c r="BF310" i="1"/>
  <c r="BJ310" i="1"/>
  <c r="K311" i="1"/>
  <c r="Z311" i="1"/>
  <c r="AB311" i="1"/>
  <c r="AC311" i="1"/>
  <c r="AF311" i="1"/>
  <c r="AG311" i="1"/>
  <c r="AH311" i="1"/>
  <c r="AJ311" i="1"/>
  <c r="AK311" i="1"/>
  <c r="AL311" i="1"/>
  <c r="AO311" i="1"/>
  <c r="AP311" i="1"/>
  <c r="J311" i="1" s="1"/>
  <c r="BD311" i="1"/>
  <c r="BF311" i="1"/>
  <c r="BJ311" i="1"/>
  <c r="K312" i="1"/>
  <c r="Z312" i="1"/>
  <c r="AB312" i="1"/>
  <c r="AC312" i="1"/>
  <c r="AF312" i="1"/>
  <c r="AG312" i="1"/>
  <c r="AH312" i="1"/>
  <c r="AJ312" i="1"/>
  <c r="AK312" i="1"/>
  <c r="AL312" i="1"/>
  <c r="AO312" i="1"/>
  <c r="I312" i="1" s="1"/>
  <c r="AP312" i="1"/>
  <c r="J312" i="1" s="1"/>
  <c r="BD312" i="1"/>
  <c r="BF312" i="1"/>
  <c r="BJ312" i="1"/>
  <c r="K313" i="1"/>
  <c r="Z313" i="1"/>
  <c r="AB313" i="1"/>
  <c r="AC313" i="1"/>
  <c r="AF313" i="1"/>
  <c r="AG313" i="1"/>
  <c r="AH313" i="1"/>
  <c r="AJ313" i="1"/>
  <c r="AK313" i="1"/>
  <c r="AL313" i="1"/>
  <c r="AO313" i="1"/>
  <c r="I313" i="1" s="1"/>
  <c r="AP313" i="1"/>
  <c r="BI313" i="1" s="1"/>
  <c r="AE313" i="1" s="1"/>
  <c r="BD313" i="1"/>
  <c r="BF313" i="1"/>
  <c r="BH313" i="1"/>
  <c r="AD313" i="1" s="1"/>
  <c r="BJ313" i="1"/>
  <c r="K314" i="1"/>
  <c r="AK314" i="1" s="1"/>
  <c r="Z314" i="1"/>
  <c r="AB314" i="1"/>
  <c r="AC314" i="1"/>
  <c r="AF314" i="1"/>
  <c r="AG314" i="1"/>
  <c r="AH314" i="1"/>
  <c r="AJ314" i="1"/>
  <c r="AL314" i="1"/>
  <c r="AO314" i="1"/>
  <c r="AP314" i="1"/>
  <c r="J314" i="1" s="1"/>
  <c r="BD314" i="1"/>
  <c r="BF314" i="1"/>
  <c r="BH314" i="1"/>
  <c r="AD314" i="1" s="1"/>
  <c r="BJ314" i="1"/>
  <c r="K315" i="1"/>
  <c r="Z315" i="1"/>
  <c r="AB315" i="1"/>
  <c r="AC315" i="1"/>
  <c r="AF315" i="1"/>
  <c r="AG315" i="1"/>
  <c r="AH315" i="1"/>
  <c r="AJ315" i="1"/>
  <c r="AK315" i="1"/>
  <c r="AL315" i="1"/>
  <c r="AO315" i="1"/>
  <c r="I315" i="1" s="1"/>
  <c r="AP315" i="1"/>
  <c r="AX315" i="1" s="1"/>
  <c r="BD315" i="1"/>
  <c r="BF315" i="1"/>
  <c r="BH315" i="1"/>
  <c r="AD315" i="1" s="1"/>
  <c r="BJ315" i="1"/>
  <c r="K316" i="1"/>
  <c r="Z316" i="1"/>
  <c r="AB316" i="1"/>
  <c r="AC316" i="1"/>
  <c r="AF316" i="1"/>
  <c r="AG316" i="1"/>
  <c r="AH316" i="1"/>
  <c r="AJ316" i="1"/>
  <c r="AK316" i="1"/>
  <c r="AL316" i="1"/>
  <c r="AO316" i="1"/>
  <c r="AW316" i="1" s="1"/>
  <c r="AP316" i="1"/>
  <c r="BD316" i="1"/>
  <c r="BF316" i="1"/>
  <c r="BH316" i="1"/>
  <c r="AD316" i="1" s="1"/>
  <c r="BJ316" i="1"/>
  <c r="K317" i="1"/>
  <c r="Z317" i="1"/>
  <c r="AB317" i="1"/>
  <c r="AC317" i="1"/>
  <c r="AF317" i="1"/>
  <c r="AG317" i="1"/>
  <c r="AH317" i="1"/>
  <c r="AJ317" i="1"/>
  <c r="AK317" i="1"/>
  <c r="AL317" i="1"/>
  <c r="AO317" i="1"/>
  <c r="I317" i="1" s="1"/>
  <c r="AP317" i="1"/>
  <c r="BI317" i="1" s="1"/>
  <c r="AE317" i="1" s="1"/>
  <c r="BD317" i="1"/>
  <c r="BF317" i="1"/>
  <c r="BH317" i="1"/>
  <c r="AD317" i="1" s="1"/>
  <c r="BJ317" i="1"/>
  <c r="K318" i="1"/>
  <c r="AK318" i="1" s="1"/>
  <c r="Z318" i="1"/>
  <c r="AB318" i="1"/>
  <c r="AC318" i="1"/>
  <c r="AF318" i="1"/>
  <c r="AG318" i="1"/>
  <c r="AH318" i="1"/>
  <c r="AJ318" i="1"/>
  <c r="AL318" i="1"/>
  <c r="AO318" i="1"/>
  <c r="BH318" i="1" s="1"/>
  <c r="AD318" i="1" s="1"/>
  <c r="AP318" i="1"/>
  <c r="J318" i="1" s="1"/>
  <c r="BD318" i="1"/>
  <c r="BF318" i="1"/>
  <c r="BJ318" i="1"/>
  <c r="K319" i="1"/>
  <c r="Z319" i="1"/>
  <c r="AB319" i="1"/>
  <c r="AC319" i="1"/>
  <c r="AF319" i="1"/>
  <c r="AG319" i="1"/>
  <c r="AH319" i="1"/>
  <c r="AJ319" i="1"/>
  <c r="AK319" i="1"/>
  <c r="AL319" i="1"/>
  <c r="AO319" i="1"/>
  <c r="I319" i="1" s="1"/>
  <c r="AP319" i="1"/>
  <c r="J319" i="1" s="1"/>
  <c r="BD319" i="1"/>
  <c r="BF319" i="1"/>
  <c r="BJ319" i="1"/>
  <c r="I320" i="1"/>
  <c r="K320" i="1"/>
  <c r="Z320" i="1"/>
  <c r="AB320" i="1"/>
  <c r="AC320" i="1"/>
  <c r="AF320" i="1"/>
  <c r="AG320" i="1"/>
  <c r="AH320" i="1"/>
  <c r="AJ320" i="1"/>
  <c r="AK320" i="1"/>
  <c r="AL320" i="1"/>
  <c r="AO320" i="1"/>
  <c r="AW320" i="1" s="1"/>
  <c r="AP320" i="1"/>
  <c r="J320" i="1" s="1"/>
  <c r="BD320" i="1"/>
  <c r="BF320" i="1"/>
  <c r="BH320" i="1"/>
  <c r="AD320" i="1" s="1"/>
  <c r="BJ320" i="1"/>
  <c r="K322" i="1"/>
  <c r="Z322" i="1"/>
  <c r="AB322" i="1"/>
  <c r="AC322" i="1"/>
  <c r="AF322" i="1"/>
  <c r="AG322" i="1"/>
  <c r="AH322" i="1"/>
  <c r="AJ322" i="1"/>
  <c r="AK322" i="1"/>
  <c r="AL322" i="1"/>
  <c r="AO322" i="1"/>
  <c r="AP322" i="1"/>
  <c r="AX322" i="1" s="1"/>
  <c r="BD322" i="1"/>
  <c r="BF322" i="1"/>
  <c r="BH322" i="1"/>
  <c r="AD322" i="1" s="1"/>
  <c r="BJ322" i="1"/>
  <c r="K323" i="1"/>
  <c r="Z323" i="1"/>
  <c r="AB323" i="1"/>
  <c r="AC323" i="1"/>
  <c r="AF323" i="1"/>
  <c r="AG323" i="1"/>
  <c r="AH323" i="1"/>
  <c r="AJ323" i="1"/>
  <c r="AK323" i="1"/>
  <c r="AL323" i="1"/>
  <c r="AO323" i="1"/>
  <c r="AP323" i="1"/>
  <c r="J323" i="1" s="1"/>
  <c r="BD323" i="1"/>
  <c r="BF323" i="1"/>
  <c r="BJ323" i="1"/>
  <c r="K324" i="1"/>
  <c r="AK324" i="1" s="1"/>
  <c r="Z324" i="1"/>
  <c r="AB324" i="1"/>
  <c r="AC324" i="1"/>
  <c r="AF324" i="1"/>
  <c r="AG324" i="1"/>
  <c r="AH324" i="1"/>
  <c r="AJ324" i="1"/>
  <c r="AL324" i="1"/>
  <c r="AO324" i="1"/>
  <c r="I324" i="1" s="1"/>
  <c r="AP324" i="1"/>
  <c r="BD324" i="1"/>
  <c r="BF324" i="1"/>
  <c r="BH324" i="1"/>
  <c r="AD324" i="1" s="1"/>
  <c r="BI324" i="1"/>
  <c r="AE324" i="1" s="1"/>
  <c r="BJ324" i="1"/>
  <c r="K325" i="1"/>
  <c r="AK325" i="1" s="1"/>
  <c r="Z325" i="1"/>
  <c r="AB325" i="1"/>
  <c r="AC325" i="1"/>
  <c r="AF325" i="1"/>
  <c r="AG325" i="1"/>
  <c r="AH325" i="1"/>
  <c r="AJ325" i="1"/>
  <c r="AL325" i="1"/>
  <c r="AO325" i="1"/>
  <c r="AP325" i="1"/>
  <c r="J325" i="1" s="1"/>
  <c r="BD325" i="1"/>
  <c r="BF325" i="1"/>
  <c r="BJ325" i="1"/>
  <c r="K326" i="1"/>
  <c r="Z326" i="1"/>
  <c r="AB326" i="1"/>
  <c r="AC326" i="1"/>
  <c r="AF326" i="1"/>
  <c r="AG326" i="1"/>
  <c r="AH326" i="1"/>
  <c r="AJ326" i="1"/>
  <c r="AK326" i="1"/>
  <c r="AL326" i="1"/>
  <c r="AO326" i="1"/>
  <c r="I326" i="1" s="1"/>
  <c r="AP326" i="1"/>
  <c r="BD326" i="1"/>
  <c r="BF326" i="1"/>
  <c r="BJ326" i="1"/>
  <c r="K327" i="1"/>
  <c r="Z327" i="1"/>
  <c r="AB327" i="1"/>
  <c r="AC327" i="1"/>
  <c r="AF327" i="1"/>
  <c r="AG327" i="1"/>
  <c r="AH327" i="1"/>
  <c r="AJ327" i="1"/>
  <c r="AK327" i="1"/>
  <c r="AL327" i="1"/>
  <c r="AO327" i="1"/>
  <c r="AP327" i="1"/>
  <c r="J327" i="1" s="1"/>
  <c r="BD327" i="1"/>
  <c r="BF327" i="1"/>
  <c r="BJ327" i="1"/>
  <c r="K328" i="1"/>
  <c r="Z328" i="1"/>
  <c r="AB328" i="1"/>
  <c r="AC328" i="1"/>
  <c r="AF328" i="1"/>
  <c r="AG328" i="1"/>
  <c r="AH328" i="1"/>
  <c r="AJ328" i="1"/>
  <c r="AK328" i="1"/>
  <c r="AL328" i="1"/>
  <c r="AO328" i="1"/>
  <c r="I328" i="1" s="1"/>
  <c r="AP328" i="1"/>
  <c r="BD328" i="1"/>
  <c r="BF328" i="1"/>
  <c r="BH328" i="1"/>
  <c r="AD328" i="1" s="1"/>
  <c r="BJ328" i="1"/>
  <c r="K329" i="1"/>
  <c r="AK329" i="1" s="1"/>
  <c r="Z329" i="1"/>
  <c r="AB329" i="1"/>
  <c r="AC329" i="1"/>
  <c r="AF329" i="1"/>
  <c r="AG329" i="1"/>
  <c r="AH329" i="1"/>
  <c r="AJ329" i="1"/>
  <c r="AL329" i="1"/>
  <c r="AO329" i="1"/>
  <c r="BH329" i="1" s="1"/>
  <c r="AD329" i="1" s="1"/>
  <c r="AP329" i="1"/>
  <c r="J329" i="1" s="1"/>
  <c r="BD329" i="1"/>
  <c r="BF329" i="1"/>
  <c r="BI329" i="1"/>
  <c r="AE329" i="1" s="1"/>
  <c r="BJ329" i="1"/>
  <c r="K330" i="1"/>
  <c r="Z330" i="1"/>
  <c r="AB330" i="1"/>
  <c r="AC330" i="1"/>
  <c r="AF330" i="1"/>
  <c r="AG330" i="1"/>
  <c r="AH330" i="1"/>
  <c r="AJ330" i="1"/>
  <c r="AK330" i="1"/>
  <c r="AL330" i="1"/>
  <c r="AO330" i="1"/>
  <c r="I330" i="1" s="1"/>
  <c r="AP330" i="1"/>
  <c r="J330" i="1" s="1"/>
  <c r="BD330" i="1"/>
  <c r="BF330" i="1"/>
  <c r="BI330" i="1"/>
  <c r="AE330" i="1" s="1"/>
  <c r="BJ330" i="1"/>
  <c r="K331" i="1"/>
  <c r="Z331" i="1"/>
  <c r="AB331" i="1"/>
  <c r="AC331" i="1"/>
  <c r="AF331" i="1"/>
  <c r="AG331" i="1"/>
  <c r="AH331" i="1"/>
  <c r="AJ331" i="1"/>
  <c r="AK331" i="1"/>
  <c r="AL331" i="1"/>
  <c r="AO331" i="1"/>
  <c r="I331" i="1" s="1"/>
  <c r="AP331" i="1"/>
  <c r="J331" i="1" s="1"/>
  <c r="BD331" i="1"/>
  <c r="BF331" i="1"/>
  <c r="BJ331" i="1"/>
  <c r="K332" i="1"/>
  <c r="AK332" i="1" s="1"/>
  <c r="Z332" i="1"/>
  <c r="AB332" i="1"/>
  <c r="AC332" i="1"/>
  <c r="AF332" i="1"/>
  <c r="AG332" i="1"/>
  <c r="AH332" i="1"/>
  <c r="AJ332" i="1"/>
  <c r="AL332" i="1"/>
  <c r="AO332" i="1"/>
  <c r="I332" i="1" s="1"/>
  <c r="AP332" i="1"/>
  <c r="BD332" i="1"/>
  <c r="BF332" i="1"/>
  <c r="BH332" i="1"/>
  <c r="AD332" i="1" s="1"/>
  <c r="BJ332" i="1"/>
  <c r="K333" i="1"/>
  <c r="AK333" i="1" s="1"/>
  <c r="Z333" i="1"/>
  <c r="AB333" i="1"/>
  <c r="AC333" i="1"/>
  <c r="AF333" i="1"/>
  <c r="AG333" i="1"/>
  <c r="AH333" i="1"/>
  <c r="AJ333" i="1"/>
  <c r="AL333" i="1"/>
  <c r="AO333" i="1"/>
  <c r="BH333" i="1" s="1"/>
  <c r="AD333" i="1" s="1"/>
  <c r="AP333" i="1"/>
  <c r="BD333" i="1"/>
  <c r="BF333" i="1"/>
  <c r="BJ333" i="1"/>
  <c r="K334" i="1"/>
  <c r="Z334" i="1"/>
  <c r="AB334" i="1"/>
  <c r="AC334" i="1"/>
  <c r="AF334" i="1"/>
  <c r="AG334" i="1"/>
  <c r="AH334" i="1"/>
  <c r="AJ334" i="1"/>
  <c r="AK334" i="1"/>
  <c r="AL334" i="1"/>
  <c r="AO334" i="1"/>
  <c r="I334" i="1" s="1"/>
  <c r="AP334" i="1"/>
  <c r="AX334" i="1" s="1"/>
  <c r="BD334" i="1"/>
  <c r="BF334" i="1"/>
  <c r="BH334" i="1"/>
  <c r="AD334" i="1" s="1"/>
  <c r="BJ334" i="1"/>
  <c r="K335" i="1"/>
  <c r="Z335" i="1"/>
  <c r="AB335" i="1"/>
  <c r="AC335" i="1"/>
  <c r="AF335" i="1"/>
  <c r="AG335" i="1"/>
  <c r="AH335" i="1"/>
  <c r="AJ335" i="1"/>
  <c r="AK335" i="1"/>
  <c r="AL335" i="1"/>
  <c r="AO335" i="1"/>
  <c r="AW335" i="1" s="1"/>
  <c r="AP335" i="1"/>
  <c r="BD335" i="1"/>
  <c r="BF335" i="1"/>
  <c r="BH335" i="1"/>
  <c r="AD335" i="1" s="1"/>
  <c r="BJ335" i="1"/>
  <c r="K336" i="1"/>
  <c r="Z336" i="1"/>
  <c r="AB336" i="1"/>
  <c r="AC336" i="1"/>
  <c r="AF336" i="1"/>
  <c r="AG336" i="1"/>
  <c r="AH336" i="1"/>
  <c r="AJ336" i="1"/>
  <c r="AK336" i="1"/>
  <c r="AL336" i="1"/>
  <c r="AO336" i="1"/>
  <c r="I336" i="1" s="1"/>
  <c r="AP336" i="1"/>
  <c r="BI336" i="1" s="1"/>
  <c r="AE336" i="1" s="1"/>
  <c r="BD336" i="1"/>
  <c r="BF336" i="1"/>
  <c r="BH336" i="1"/>
  <c r="AD336" i="1" s="1"/>
  <c r="BJ336" i="1"/>
  <c r="K337" i="1"/>
  <c r="AK337" i="1" s="1"/>
  <c r="Z337" i="1"/>
  <c r="AB337" i="1"/>
  <c r="AC337" i="1"/>
  <c r="AF337" i="1"/>
  <c r="AG337" i="1"/>
  <c r="AH337" i="1"/>
  <c r="AJ337" i="1"/>
  <c r="AL337" i="1"/>
  <c r="AO337" i="1"/>
  <c r="BH337" i="1" s="1"/>
  <c r="AD337" i="1" s="1"/>
  <c r="AP337" i="1"/>
  <c r="J337" i="1" s="1"/>
  <c r="BD337" i="1"/>
  <c r="BF337" i="1"/>
  <c r="BJ337" i="1"/>
  <c r="K338" i="1"/>
  <c r="Z338" i="1"/>
  <c r="AB338" i="1"/>
  <c r="AC338" i="1"/>
  <c r="AF338" i="1"/>
  <c r="AG338" i="1"/>
  <c r="AH338" i="1"/>
  <c r="AJ338" i="1"/>
  <c r="AK338" i="1"/>
  <c r="AL338" i="1"/>
  <c r="AO338" i="1"/>
  <c r="I338" i="1" s="1"/>
  <c r="AP338" i="1"/>
  <c r="J338" i="1" s="1"/>
  <c r="BD338" i="1"/>
  <c r="BF338" i="1"/>
  <c r="BJ338" i="1"/>
  <c r="K339" i="1"/>
  <c r="Z339" i="1"/>
  <c r="AB339" i="1"/>
  <c r="AC339" i="1"/>
  <c r="AF339" i="1"/>
  <c r="AG339" i="1"/>
  <c r="AH339" i="1"/>
  <c r="AJ339" i="1"/>
  <c r="AK339" i="1"/>
  <c r="AL339" i="1"/>
  <c r="AO339" i="1"/>
  <c r="I339" i="1" s="1"/>
  <c r="AP339" i="1"/>
  <c r="J339" i="1" s="1"/>
  <c r="BD339" i="1"/>
  <c r="BF339" i="1"/>
  <c r="BH339" i="1"/>
  <c r="AD339" i="1" s="1"/>
  <c r="BJ339" i="1"/>
  <c r="K340" i="1"/>
  <c r="Z340" i="1"/>
  <c r="AB340" i="1"/>
  <c r="AC340" i="1"/>
  <c r="AF340" i="1"/>
  <c r="AG340" i="1"/>
  <c r="AH340" i="1"/>
  <c r="AJ340" i="1"/>
  <c r="AK340" i="1"/>
  <c r="AL340" i="1"/>
  <c r="AO340" i="1"/>
  <c r="I340" i="1" s="1"/>
  <c r="AP340" i="1"/>
  <c r="BI340" i="1" s="1"/>
  <c r="AE340" i="1" s="1"/>
  <c r="BD340" i="1"/>
  <c r="BF340" i="1"/>
  <c r="BH340" i="1"/>
  <c r="AD340" i="1" s="1"/>
  <c r="BJ340" i="1"/>
  <c r="K341" i="1"/>
  <c r="AK341" i="1" s="1"/>
  <c r="Z341" i="1"/>
  <c r="AB341" i="1"/>
  <c r="AC341" i="1"/>
  <c r="AF341" i="1"/>
  <c r="AG341" i="1"/>
  <c r="AH341" i="1"/>
  <c r="AJ341" i="1"/>
  <c r="AL341" i="1"/>
  <c r="AO341" i="1"/>
  <c r="BH341" i="1" s="1"/>
  <c r="AD341" i="1" s="1"/>
  <c r="AP341" i="1"/>
  <c r="J341" i="1" s="1"/>
  <c r="BD341" i="1"/>
  <c r="BF341" i="1"/>
  <c r="BJ341" i="1"/>
  <c r="K342" i="1"/>
  <c r="Z342" i="1"/>
  <c r="AB342" i="1"/>
  <c r="AC342" i="1"/>
  <c r="AF342" i="1"/>
  <c r="AG342" i="1"/>
  <c r="AH342" i="1"/>
  <c r="AJ342" i="1"/>
  <c r="AK342" i="1"/>
  <c r="AL342" i="1"/>
  <c r="AO342" i="1"/>
  <c r="I342" i="1" s="1"/>
  <c r="AP342" i="1"/>
  <c r="BI342" i="1" s="1"/>
  <c r="AE342" i="1" s="1"/>
  <c r="BD342" i="1"/>
  <c r="BF342" i="1"/>
  <c r="BJ342" i="1"/>
  <c r="K343" i="1"/>
  <c r="Z343" i="1"/>
  <c r="AB343" i="1"/>
  <c r="AC343" i="1"/>
  <c r="AF343" i="1"/>
  <c r="AG343" i="1"/>
  <c r="AH343" i="1"/>
  <c r="AJ343" i="1"/>
  <c r="AK343" i="1"/>
  <c r="AL343" i="1"/>
  <c r="AO343" i="1"/>
  <c r="I343" i="1" s="1"/>
  <c r="AP343" i="1"/>
  <c r="J343" i="1" s="1"/>
  <c r="BD343" i="1"/>
  <c r="BF343" i="1"/>
  <c r="BJ343" i="1"/>
  <c r="K344" i="1"/>
  <c r="Z344" i="1"/>
  <c r="AB344" i="1"/>
  <c r="AC344" i="1"/>
  <c r="AF344" i="1"/>
  <c r="AG344" i="1"/>
  <c r="AH344" i="1"/>
  <c r="AJ344" i="1"/>
  <c r="AK344" i="1"/>
  <c r="AL344" i="1"/>
  <c r="AO344" i="1"/>
  <c r="I344" i="1" s="1"/>
  <c r="AP344" i="1"/>
  <c r="BD344" i="1"/>
  <c r="BF344" i="1"/>
  <c r="BH344" i="1"/>
  <c r="AD344" i="1" s="1"/>
  <c r="BI344" i="1"/>
  <c r="AE344" i="1" s="1"/>
  <c r="BJ344" i="1"/>
  <c r="K345" i="1"/>
  <c r="AK345" i="1" s="1"/>
  <c r="Z345" i="1"/>
  <c r="AB345" i="1"/>
  <c r="AC345" i="1"/>
  <c r="AF345" i="1"/>
  <c r="AG345" i="1"/>
  <c r="AH345" i="1"/>
  <c r="AJ345" i="1"/>
  <c r="AL345" i="1"/>
  <c r="AO345" i="1"/>
  <c r="AP345" i="1"/>
  <c r="J345" i="1" s="1"/>
  <c r="BD345" i="1"/>
  <c r="BF345" i="1"/>
  <c r="BJ345" i="1"/>
  <c r="K346" i="1"/>
  <c r="Z346" i="1"/>
  <c r="AB346" i="1"/>
  <c r="AC346" i="1"/>
  <c r="AF346" i="1"/>
  <c r="AG346" i="1"/>
  <c r="AH346" i="1"/>
  <c r="AJ346" i="1"/>
  <c r="AK346" i="1"/>
  <c r="AL346" i="1"/>
  <c r="AO346" i="1"/>
  <c r="I346" i="1" s="1"/>
  <c r="AP346" i="1"/>
  <c r="J346" i="1" s="1"/>
  <c r="BD346" i="1"/>
  <c r="BF346" i="1"/>
  <c r="BJ346" i="1"/>
  <c r="K348" i="1"/>
  <c r="Z348" i="1"/>
  <c r="AB348" i="1"/>
  <c r="AC348" i="1"/>
  <c r="AF348" i="1"/>
  <c r="AG348" i="1"/>
  <c r="AH348" i="1"/>
  <c r="AJ348" i="1"/>
  <c r="AL348" i="1"/>
  <c r="AO348" i="1"/>
  <c r="AP348" i="1"/>
  <c r="J348" i="1" s="1"/>
  <c r="BD348" i="1"/>
  <c r="BF348" i="1"/>
  <c r="BJ348" i="1"/>
  <c r="K349" i="1"/>
  <c r="Z349" i="1"/>
  <c r="AB349" i="1"/>
  <c r="AC349" i="1"/>
  <c r="AF349" i="1"/>
  <c r="AG349" i="1"/>
  <c r="AH349" i="1"/>
  <c r="AJ349" i="1"/>
  <c r="AK349" i="1"/>
  <c r="AL349" i="1"/>
  <c r="AO349" i="1"/>
  <c r="I349" i="1" s="1"/>
  <c r="AP349" i="1"/>
  <c r="J349" i="1" s="1"/>
  <c r="BD349" i="1"/>
  <c r="BF349" i="1"/>
  <c r="BJ349" i="1"/>
  <c r="K350" i="1"/>
  <c r="Z350" i="1"/>
  <c r="AB350" i="1"/>
  <c r="AC350" i="1"/>
  <c r="AF350" i="1"/>
  <c r="AG350" i="1"/>
  <c r="AH350" i="1"/>
  <c r="AJ350" i="1"/>
  <c r="AK350" i="1"/>
  <c r="AL350" i="1"/>
  <c r="AO350" i="1"/>
  <c r="I350" i="1" s="1"/>
  <c r="AP350" i="1"/>
  <c r="BD350" i="1"/>
  <c r="BF350" i="1"/>
  <c r="BJ350" i="1"/>
  <c r="K351" i="1"/>
  <c r="Z351" i="1"/>
  <c r="AB351" i="1"/>
  <c r="AC351" i="1"/>
  <c r="AF351" i="1"/>
  <c r="AG351" i="1"/>
  <c r="AH351" i="1"/>
  <c r="AJ351" i="1"/>
  <c r="AK351" i="1"/>
  <c r="AL351" i="1"/>
  <c r="AO351" i="1"/>
  <c r="I351" i="1" s="1"/>
  <c r="AP351" i="1"/>
  <c r="BD351" i="1"/>
  <c r="BF351" i="1"/>
  <c r="BH351" i="1"/>
  <c r="AD351" i="1" s="1"/>
  <c r="BJ351" i="1"/>
  <c r="K352" i="1"/>
  <c r="AK352" i="1" s="1"/>
  <c r="Z352" i="1"/>
  <c r="AB352" i="1"/>
  <c r="AC352" i="1"/>
  <c r="AF352" i="1"/>
  <c r="AG352" i="1"/>
  <c r="AH352" i="1"/>
  <c r="AJ352" i="1"/>
  <c r="AL352" i="1"/>
  <c r="AO352" i="1"/>
  <c r="BH352" i="1" s="1"/>
  <c r="AD352" i="1" s="1"/>
  <c r="AP352" i="1"/>
  <c r="BD352" i="1"/>
  <c r="BF352" i="1"/>
  <c r="BI352" i="1"/>
  <c r="AE352" i="1" s="1"/>
  <c r="BJ352" i="1"/>
  <c r="K353" i="1"/>
  <c r="Z353" i="1"/>
  <c r="AB353" i="1"/>
  <c r="AC353" i="1"/>
  <c r="AF353" i="1"/>
  <c r="AG353" i="1"/>
  <c r="AH353" i="1"/>
  <c r="AJ353" i="1"/>
  <c r="AK353" i="1"/>
  <c r="AL353" i="1"/>
  <c r="AO353" i="1"/>
  <c r="I353" i="1" s="1"/>
  <c r="AP353" i="1"/>
  <c r="J353" i="1" s="1"/>
  <c r="BD353" i="1"/>
  <c r="BF353" i="1"/>
  <c r="BJ353" i="1"/>
  <c r="K354" i="1"/>
  <c r="Z354" i="1"/>
  <c r="AB354" i="1"/>
  <c r="AC354" i="1"/>
  <c r="AF354" i="1"/>
  <c r="AG354" i="1"/>
  <c r="AH354" i="1"/>
  <c r="AJ354" i="1"/>
  <c r="AK354" i="1"/>
  <c r="AL354" i="1"/>
  <c r="AO354" i="1"/>
  <c r="I354" i="1" s="1"/>
  <c r="AP354" i="1"/>
  <c r="J354" i="1" s="1"/>
  <c r="BD354" i="1"/>
  <c r="BF354" i="1"/>
  <c r="BJ354" i="1"/>
  <c r="K355" i="1"/>
  <c r="Z355" i="1"/>
  <c r="AB355" i="1"/>
  <c r="AC355" i="1"/>
  <c r="AF355" i="1"/>
  <c r="AG355" i="1"/>
  <c r="AH355" i="1"/>
  <c r="AJ355" i="1"/>
  <c r="AK355" i="1"/>
  <c r="AL355" i="1"/>
  <c r="AO355" i="1"/>
  <c r="I355" i="1" s="1"/>
  <c r="AP355" i="1"/>
  <c r="BI355" i="1" s="1"/>
  <c r="AE355" i="1" s="1"/>
  <c r="BD355" i="1"/>
  <c r="BF355" i="1"/>
  <c r="BH355" i="1"/>
  <c r="AD355" i="1" s="1"/>
  <c r="BJ355" i="1"/>
  <c r="K356" i="1"/>
  <c r="AK356" i="1" s="1"/>
  <c r="Z356" i="1"/>
  <c r="AB356" i="1"/>
  <c r="AC356" i="1"/>
  <c r="AF356" i="1"/>
  <c r="AG356" i="1"/>
  <c r="AH356" i="1"/>
  <c r="AJ356" i="1"/>
  <c r="AL356" i="1"/>
  <c r="AO356" i="1"/>
  <c r="BH356" i="1" s="1"/>
  <c r="AD356" i="1" s="1"/>
  <c r="AP356" i="1"/>
  <c r="J356" i="1" s="1"/>
  <c r="AX356" i="1"/>
  <c r="BD356" i="1"/>
  <c r="BF356" i="1"/>
  <c r="BJ356" i="1"/>
  <c r="K357" i="1"/>
  <c r="Z357" i="1"/>
  <c r="AB357" i="1"/>
  <c r="AC357" i="1"/>
  <c r="AF357" i="1"/>
  <c r="AG357" i="1"/>
  <c r="AH357" i="1"/>
  <c r="AJ357" i="1"/>
  <c r="AK357" i="1"/>
  <c r="AL357" i="1"/>
  <c r="AO357" i="1"/>
  <c r="I357" i="1" s="1"/>
  <c r="AP357" i="1"/>
  <c r="BD357" i="1"/>
  <c r="BF357" i="1"/>
  <c r="BJ357" i="1"/>
  <c r="K358" i="1"/>
  <c r="Z358" i="1"/>
  <c r="AB358" i="1"/>
  <c r="AC358" i="1"/>
  <c r="AF358" i="1"/>
  <c r="AG358" i="1"/>
  <c r="AH358" i="1"/>
  <c r="AJ358" i="1"/>
  <c r="AK358" i="1"/>
  <c r="AL358" i="1"/>
  <c r="AO358" i="1"/>
  <c r="AW358" i="1" s="1"/>
  <c r="AP358" i="1"/>
  <c r="BD358" i="1"/>
  <c r="BF358" i="1"/>
  <c r="BH358" i="1"/>
  <c r="AD358" i="1" s="1"/>
  <c r="BJ358" i="1"/>
  <c r="K359" i="1"/>
  <c r="Z359" i="1"/>
  <c r="AB359" i="1"/>
  <c r="AC359" i="1"/>
  <c r="AF359" i="1"/>
  <c r="AG359" i="1"/>
  <c r="AH359" i="1"/>
  <c r="AJ359" i="1"/>
  <c r="AK359" i="1"/>
  <c r="AL359" i="1"/>
  <c r="AO359" i="1"/>
  <c r="I359" i="1" s="1"/>
  <c r="AP359" i="1"/>
  <c r="BI359" i="1" s="1"/>
  <c r="AE359" i="1" s="1"/>
  <c r="BD359" i="1"/>
  <c r="BF359" i="1"/>
  <c r="BH359" i="1"/>
  <c r="AD359" i="1" s="1"/>
  <c r="BJ359" i="1"/>
  <c r="K360" i="1"/>
  <c r="AK360" i="1" s="1"/>
  <c r="Z360" i="1"/>
  <c r="AB360" i="1"/>
  <c r="AC360" i="1"/>
  <c r="AF360" i="1"/>
  <c r="AG360" i="1"/>
  <c r="AH360" i="1"/>
  <c r="AJ360" i="1"/>
  <c r="AL360" i="1"/>
  <c r="AO360" i="1"/>
  <c r="AP360" i="1"/>
  <c r="BD360" i="1"/>
  <c r="BF360" i="1"/>
  <c r="BH360" i="1"/>
  <c r="AD360" i="1" s="1"/>
  <c r="BJ360" i="1"/>
  <c r="K361" i="1"/>
  <c r="Z361" i="1"/>
  <c r="AB361" i="1"/>
  <c r="AC361" i="1"/>
  <c r="AF361" i="1"/>
  <c r="AG361" i="1"/>
  <c r="AH361" i="1"/>
  <c r="AJ361" i="1"/>
  <c r="AK361" i="1"/>
  <c r="AL361" i="1"/>
  <c r="AO361" i="1"/>
  <c r="I361" i="1" s="1"/>
  <c r="AP361" i="1"/>
  <c r="AW361" i="1"/>
  <c r="BD361" i="1"/>
  <c r="BF361" i="1"/>
  <c r="BJ361" i="1"/>
  <c r="K362" i="1"/>
  <c r="Z362" i="1"/>
  <c r="AB362" i="1"/>
  <c r="AC362" i="1"/>
  <c r="AF362" i="1"/>
  <c r="AG362" i="1"/>
  <c r="AH362" i="1"/>
  <c r="AJ362" i="1"/>
  <c r="AK362" i="1"/>
  <c r="AL362" i="1"/>
  <c r="AO362" i="1"/>
  <c r="AW362" i="1" s="1"/>
  <c r="AP362" i="1"/>
  <c r="J362" i="1" s="1"/>
  <c r="BD362" i="1"/>
  <c r="BF362" i="1"/>
  <c r="BJ362" i="1"/>
  <c r="K363" i="1"/>
  <c r="Z363" i="1"/>
  <c r="AB363" i="1"/>
  <c r="AC363" i="1"/>
  <c r="AF363" i="1"/>
  <c r="AG363" i="1"/>
  <c r="AH363" i="1"/>
  <c r="AJ363" i="1"/>
  <c r="AK363" i="1"/>
  <c r="AL363" i="1"/>
  <c r="AO363" i="1"/>
  <c r="I363" i="1" s="1"/>
  <c r="AP363" i="1"/>
  <c r="BD363" i="1"/>
  <c r="BF363" i="1"/>
  <c r="BH363" i="1"/>
  <c r="AD363" i="1" s="1"/>
  <c r="BI363" i="1"/>
  <c r="AE363" i="1" s="1"/>
  <c r="BJ363" i="1"/>
  <c r="K364" i="1"/>
  <c r="AK364" i="1" s="1"/>
  <c r="Z364" i="1"/>
  <c r="AB364" i="1"/>
  <c r="AC364" i="1"/>
  <c r="AF364" i="1"/>
  <c r="AG364" i="1"/>
  <c r="AH364" i="1"/>
  <c r="AJ364" i="1"/>
  <c r="AL364" i="1"/>
  <c r="AO364" i="1"/>
  <c r="AP364" i="1"/>
  <c r="J364" i="1" s="1"/>
  <c r="BD364" i="1"/>
  <c r="BF364" i="1"/>
  <c r="BJ364" i="1"/>
  <c r="K365" i="1"/>
  <c r="Z365" i="1"/>
  <c r="AB365" i="1"/>
  <c r="AC365" i="1"/>
  <c r="AF365" i="1"/>
  <c r="AG365" i="1"/>
  <c r="AH365" i="1"/>
  <c r="AJ365" i="1"/>
  <c r="AK365" i="1"/>
  <c r="AL365" i="1"/>
  <c r="AO365" i="1"/>
  <c r="I365" i="1" s="1"/>
  <c r="AP365" i="1"/>
  <c r="J365" i="1" s="1"/>
  <c r="BD365" i="1"/>
  <c r="BF365" i="1"/>
  <c r="BJ365" i="1"/>
  <c r="K366" i="1"/>
  <c r="Z366" i="1"/>
  <c r="AB366" i="1"/>
  <c r="AC366" i="1"/>
  <c r="AF366" i="1"/>
  <c r="AG366" i="1"/>
  <c r="AH366" i="1"/>
  <c r="AJ366" i="1"/>
  <c r="AK366" i="1"/>
  <c r="AL366" i="1"/>
  <c r="AO366" i="1"/>
  <c r="I366" i="1" s="1"/>
  <c r="AP366" i="1"/>
  <c r="J366" i="1" s="1"/>
  <c r="BD366" i="1"/>
  <c r="BF366" i="1"/>
  <c r="BJ366" i="1"/>
  <c r="K367" i="1"/>
  <c r="AK367" i="1" s="1"/>
  <c r="Z367" i="1"/>
  <c r="AB367" i="1"/>
  <c r="AC367" i="1"/>
  <c r="AF367" i="1"/>
  <c r="AG367" i="1"/>
  <c r="AH367" i="1"/>
  <c r="AJ367" i="1"/>
  <c r="AL367" i="1"/>
  <c r="AO367" i="1"/>
  <c r="I367" i="1" s="1"/>
  <c r="AP367" i="1"/>
  <c r="BI367" i="1" s="1"/>
  <c r="AE367" i="1" s="1"/>
  <c r="BD367" i="1"/>
  <c r="BF367" i="1"/>
  <c r="BH367" i="1"/>
  <c r="AD367" i="1" s="1"/>
  <c r="BJ367" i="1"/>
  <c r="K368" i="1"/>
  <c r="AK368" i="1" s="1"/>
  <c r="Z368" i="1"/>
  <c r="AB368" i="1"/>
  <c r="AC368" i="1"/>
  <c r="AF368" i="1"/>
  <c r="AG368" i="1"/>
  <c r="AH368" i="1"/>
  <c r="AJ368" i="1"/>
  <c r="AL368" i="1"/>
  <c r="AO368" i="1"/>
  <c r="AP368" i="1"/>
  <c r="J368" i="1" s="1"/>
  <c r="BD368" i="1"/>
  <c r="BF368" i="1"/>
  <c r="BJ368" i="1"/>
  <c r="K369" i="1"/>
  <c r="Z369" i="1"/>
  <c r="AB369" i="1"/>
  <c r="AC369" i="1"/>
  <c r="AF369" i="1"/>
  <c r="AG369" i="1"/>
  <c r="AH369" i="1"/>
  <c r="AJ369" i="1"/>
  <c r="AK369" i="1"/>
  <c r="AL369" i="1"/>
  <c r="AO369" i="1"/>
  <c r="I369" i="1" s="1"/>
  <c r="AP369" i="1"/>
  <c r="AX369" i="1" s="1"/>
  <c r="BD369" i="1"/>
  <c r="BF369" i="1"/>
  <c r="BJ369" i="1"/>
  <c r="K370" i="1"/>
  <c r="Z370" i="1"/>
  <c r="AB370" i="1"/>
  <c r="AC370" i="1"/>
  <c r="AF370" i="1"/>
  <c r="AG370" i="1"/>
  <c r="AH370" i="1"/>
  <c r="AJ370" i="1"/>
  <c r="AK370" i="1"/>
  <c r="AL370" i="1"/>
  <c r="AO370" i="1"/>
  <c r="I370" i="1" s="1"/>
  <c r="AP370" i="1"/>
  <c r="J370" i="1" s="1"/>
  <c r="BD370" i="1"/>
  <c r="BF370" i="1"/>
  <c r="BJ370" i="1"/>
  <c r="K372" i="1"/>
  <c r="Z372" i="1"/>
  <c r="AB372" i="1"/>
  <c r="AC372" i="1"/>
  <c r="AF372" i="1"/>
  <c r="AG372" i="1"/>
  <c r="AH372" i="1"/>
  <c r="AJ372" i="1"/>
  <c r="AK372" i="1"/>
  <c r="AL372" i="1"/>
  <c r="AO372" i="1"/>
  <c r="I372" i="1" s="1"/>
  <c r="AP372" i="1"/>
  <c r="J372" i="1" s="1"/>
  <c r="BD372" i="1"/>
  <c r="BF372" i="1"/>
  <c r="BH372" i="1"/>
  <c r="AD372" i="1" s="1"/>
  <c r="BJ372" i="1"/>
  <c r="K373" i="1"/>
  <c r="Z373" i="1"/>
  <c r="AB373" i="1"/>
  <c r="AC373" i="1"/>
  <c r="AF373" i="1"/>
  <c r="AG373" i="1"/>
  <c r="AH373" i="1"/>
  <c r="AJ373" i="1"/>
  <c r="AK373" i="1"/>
  <c r="AL373" i="1"/>
  <c r="AO373" i="1"/>
  <c r="AP373" i="1"/>
  <c r="J373" i="1" s="1"/>
  <c r="BD373" i="1"/>
  <c r="BF373" i="1"/>
  <c r="BJ373" i="1"/>
  <c r="K374" i="1"/>
  <c r="AK374" i="1" s="1"/>
  <c r="Z374" i="1"/>
  <c r="AB374" i="1"/>
  <c r="AC374" i="1"/>
  <c r="AF374" i="1"/>
  <c r="AG374" i="1"/>
  <c r="AH374" i="1"/>
  <c r="AJ374" i="1"/>
  <c r="AL374" i="1"/>
  <c r="AO374" i="1"/>
  <c r="I374" i="1" s="1"/>
  <c r="AP374" i="1"/>
  <c r="BD374" i="1"/>
  <c r="BF374" i="1"/>
  <c r="BH374" i="1"/>
  <c r="AD374" i="1" s="1"/>
  <c r="BJ374" i="1"/>
  <c r="K375" i="1"/>
  <c r="AK375" i="1" s="1"/>
  <c r="Z375" i="1"/>
  <c r="AB375" i="1"/>
  <c r="AC375" i="1"/>
  <c r="AF375" i="1"/>
  <c r="AG375" i="1"/>
  <c r="AH375" i="1"/>
  <c r="AJ375" i="1"/>
  <c r="AL375" i="1"/>
  <c r="AO375" i="1"/>
  <c r="BH375" i="1" s="1"/>
  <c r="AD375" i="1" s="1"/>
  <c r="AP375" i="1"/>
  <c r="J375" i="1" s="1"/>
  <c r="BD375" i="1"/>
  <c r="BF375" i="1"/>
  <c r="BJ375" i="1"/>
  <c r="K376" i="1"/>
  <c r="Z376" i="1"/>
  <c r="AB376" i="1"/>
  <c r="AC376" i="1"/>
  <c r="AF376" i="1"/>
  <c r="AG376" i="1"/>
  <c r="AH376" i="1"/>
  <c r="AJ376" i="1"/>
  <c r="AK376" i="1"/>
  <c r="AL376" i="1"/>
  <c r="AO376" i="1"/>
  <c r="AP376" i="1"/>
  <c r="J376" i="1" s="1"/>
  <c r="BD376" i="1"/>
  <c r="BF376" i="1"/>
  <c r="BJ376" i="1"/>
  <c r="K377" i="1"/>
  <c r="Z377" i="1"/>
  <c r="AB377" i="1"/>
  <c r="AC377" i="1"/>
  <c r="AF377" i="1"/>
  <c r="AG377" i="1"/>
  <c r="AH377" i="1"/>
  <c r="AJ377" i="1"/>
  <c r="AK377" i="1"/>
  <c r="AL377" i="1"/>
  <c r="AO377" i="1"/>
  <c r="I377" i="1" s="1"/>
  <c r="AP377" i="1"/>
  <c r="BD377" i="1"/>
  <c r="BF377" i="1"/>
  <c r="BJ377" i="1"/>
  <c r="K378" i="1"/>
  <c r="Z378" i="1"/>
  <c r="AB378" i="1"/>
  <c r="AC378" i="1"/>
  <c r="AF378" i="1"/>
  <c r="AG378" i="1"/>
  <c r="AH378" i="1"/>
  <c r="AJ378" i="1"/>
  <c r="AK378" i="1"/>
  <c r="AL378" i="1"/>
  <c r="AO378" i="1"/>
  <c r="AW378" i="1" s="1"/>
  <c r="AP378" i="1"/>
  <c r="J378" i="1" s="1"/>
  <c r="BD378" i="1"/>
  <c r="BF378" i="1"/>
  <c r="BJ378" i="1"/>
  <c r="K379" i="1"/>
  <c r="AK379" i="1" s="1"/>
  <c r="Z379" i="1"/>
  <c r="AB379" i="1"/>
  <c r="AC379" i="1"/>
  <c r="AF379" i="1"/>
  <c r="AG379" i="1"/>
  <c r="AH379" i="1"/>
  <c r="AJ379" i="1"/>
  <c r="AL379" i="1"/>
  <c r="AO379" i="1"/>
  <c r="AP379" i="1"/>
  <c r="AX379" i="1" s="1"/>
  <c r="BD379" i="1"/>
  <c r="BF379" i="1"/>
  <c r="BJ379" i="1"/>
  <c r="K380" i="1"/>
  <c r="AK380" i="1" s="1"/>
  <c r="Z380" i="1"/>
  <c r="AB380" i="1"/>
  <c r="AC380" i="1"/>
  <c r="AF380" i="1"/>
  <c r="AG380" i="1"/>
  <c r="AH380" i="1"/>
  <c r="AJ380" i="1"/>
  <c r="AL380" i="1"/>
  <c r="AO380" i="1"/>
  <c r="I380" i="1" s="1"/>
  <c r="AP380" i="1"/>
  <c r="BI380" i="1" s="1"/>
  <c r="AE380" i="1" s="1"/>
  <c r="BD380" i="1"/>
  <c r="BF380" i="1"/>
  <c r="BJ380" i="1"/>
  <c r="K381" i="1"/>
  <c r="Z381" i="1"/>
  <c r="AB381" i="1"/>
  <c r="AC381" i="1"/>
  <c r="AF381" i="1"/>
  <c r="AG381" i="1"/>
  <c r="AH381" i="1"/>
  <c r="AJ381" i="1"/>
  <c r="AK381" i="1"/>
  <c r="AL381" i="1"/>
  <c r="AO381" i="1"/>
  <c r="I381" i="1" s="1"/>
  <c r="AP381" i="1"/>
  <c r="AX381" i="1" s="1"/>
  <c r="BD381" i="1"/>
  <c r="BF381" i="1"/>
  <c r="BJ381" i="1"/>
  <c r="K382" i="1"/>
  <c r="AK382" i="1" s="1"/>
  <c r="Z382" i="1"/>
  <c r="AB382" i="1"/>
  <c r="AC382" i="1"/>
  <c r="AF382" i="1"/>
  <c r="AG382" i="1"/>
  <c r="AH382" i="1"/>
  <c r="AJ382" i="1"/>
  <c r="AL382" i="1"/>
  <c r="AO382" i="1"/>
  <c r="I382" i="1" s="1"/>
  <c r="AP382" i="1"/>
  <c r="J382" i="1" s="1"/>
  <c r="BD382" i="1"/>
  <c r="BF382" i="1"/>
  <c r="BJ382" i="1"/>
  <c r="K383" i="1"/>
  <c r="Z383" i="1"/>
  <c r="AB383" i="1"/>
  <c r="AC383" i="1"/>
  <c r="AF383" i="1"/>
  <c r="AG383" i="1"/>
  <c r="AH383" i="1"/>
  <c r="AJ383" i="1"/>
  <c r="AK383" i="1"/>
  <c r="AL383" i="1"/>
  <c r="AO383" i="1"/>
  <c r="I383" i="1" s="1"/>
  <c r="AP383" i="1"/>
  <c r="AX383" i="1" s="1"/>
  <c r="BD383" i="1"/>
  <c r="BF383" i="1"/>
  <c r="BJ383" i="1"/>
  <c r="K384" i="1"/>
  <c r="Z384" i="1"/>
  <c r="AB384" i="1"/>
  <c r="AC384" i="1"/>
  <c r="AF384" i="1"/>
  <c r="AG384" i="1"/>
  <c r="AH384" i="1"/>
  <c r="AJ384" i="1"/>
  <c r="AK384" i="1"/>
  <c r="AL384" i="1"/>
  <c r="AO384" i="1"/>
  <c r="AW384" i="1" s="1"/>
  <c r="AP384" i="1"/>
  <c r="BD384" i="1"/>
  <c r="BF384" i="1"/>
  <c r="BH384" i="1"/>
  <c r="AD384" i="1" s="1"/>
  <c r="BI384" i="1"/>
  <c r="AE384" i="1" s="1"/>
  <c r="BJ384" i="1"/>
  <c r="K385" i="1"/>
  <c r="AK385" i="1" s="1"/>
  <c r="Z385" i="1"/>
  <c r="AB385" i="1"/>
  <c r="AC385" i="1"/>
  <c r="AF385" i="1"/>
  <c r="AG385" i="1"/>
  <c r="AH385" i="1"/>
  <c r="AJ385" i="1"/>
  <c r="AL385" i="1"/>
  <c r="AO385" i="1"/>
  <c r="AP385" i="1"/>
  <c r="BD385" i="1"/>
  <c r="BF385" i="1"/>
  <c r="BJ385" i="1"/>
  <c r="K386" i="1"/>
  <c r="AK386" i="1" s="1"/>
  <c r="Z386" i="1"/>
  <c r="AB386" i="1"/>
  <c r="AC386" i="1"/>
  <c r="AF386" i="1"/>
  <c r="AG386" i="1"/>
  <c r="AH386" i="1"/>
  <c r="AJ386" i="1"/>
  <c r="AL386" i="1"/>
  <c r="AO386" i="1"/>
  <c r="I386" i="1" s="1"/>
  <c r="AP386" i="1"/>
  <c r="BD386" i="1"/>
  <c r="BF386" i="1"/>
  <c r="BJ386" i="1"/>
  <c r="K387" i="1"/>
  <c r="Z387" i="1"/>
  <c r="AB387" i="1"/>
  <c r="AC387" i="1"/>
  <c r="AF387" i="1"/>
  <c r="AG387" i="1"/>
  <c r="AH387" i="1"/>
  <c r="AJ387" i="1"/>
  <c r="AK387" i="1"/>
  <c r="AL387" i="1"/>
  <c r="AO387" i="1"/>
  <c r="BH387" i="1" s="1"/>
  <c r="AD387" i="1" s="1"/>
  <c r="AP387" i="1"/>
  <c r="AX387" i="1" s="1"/>
  <c r="BD387" i="1"/>
  <c r="BF387" i="1"/>
  <c r="BJ387" i="1"/>
  <c r="K388" i="1"/>
  <c r="Z388" i="1"/>
  <c r="AB388" i="1"/>
  <c r="AC388" i="1"/>
  <c r="AF388" i="1"/>
  <c r="AG388" i="1"/>
  <c r="AH388" i="1"/>
  <c r="AJ388" i="1"/>
  <c r="AK388" i="1"/>
  <c r="AL388" i="1"/>
  <c r="AO388" i="1"/>
  <c r="AW388" i="1" s="1"/>
  <c r="AP388" i="1"/>
  <c r="BD388" i="1"/>
  <c r="BF388" i="1"/>
  <c r="BH388" i="1"/>
  <c r="AD388" i="1" s="1"/>
  <c r="BI388" i="1"/>
  <c r="AE388" i="1" s="1"/>
  <c r="BJ388" i="1"/>
  <c r="K389" i="1"/>
  <c r="AK389" i="1" s="1"/>
  <c r="Z389" i="1"/>
  <c r="AB389" i="1"/>
  <c r="AC389" i="1"/>
  <c r="AF389" i="1"/>
  <c r="AG389" i="1"/>
  <c r="AH389" i="1"/>
  <c r="AJ389" i="1"/>
  <c r="AL389" i="1"/>
  <c r="AO389" i="1"/>
  <c r="AP389" i="1"/>
  <c r="J389" i="1" s="1"/>
  <c r="BD389" i="1"/>
  <c r="BF389" i="1"/>
  <c r="BH389" i="1"/>
  <c r="AD389" i="1" s="1"/>
  <c r="BJ389" i="1"/>
  <c r="K390" i="1"/>
  <c r="AK390" i="1" s="1"/>
  <c r="Z390" i="1"/>
  <c r="AB390" i="1"/>
  <c r="AC390" i="1"/>
  <c r="AF390" i="1"/>
  <c r="AG390" i="1"/>
  <c r="AH390" i="1"/>
  <c r="AJ390" i="1"/>
  <c r="AL390" i="1"/>
  <c r="AO390" i="1"/>
  <c r="I390" i="1" s="1"/>
  <c r="AP390" i="1"/>
  <c r="BI390" i="1" s="1"/>
  <c r="AE390" i="1" s="1"/>
  <c r="BD390" i="1"/>
  <c r="BF390" i="1"/>
  <c r="BJ390" i="1"/>
  <c r="K391" i="1"/>
  <c r="Z391" i="1"/>
  <c r="AB391" i="1"/>
  <c r="AC391" i="1"/>
  <c r="AF391" i="1"/>
  <c r="AG391" i="1"/>
  <c r="AH391" i="1"/>
  <c r="AJ391" i="1"/>
  <c r="AK391" i="1"/>
  <c r="AL391" i="1"/>
  <c r="AO391" i="1"/>
  <c r="I391" i="1" s="1"/>
  <c r="AP391" i="1"/>
  <c r="BD391" i="1"/>
  <c r="BF391" i="1"/>
  <c r="BJ391" i="1"/>
  <c r="K392" i="1"/>
  <c r="Z392" i="1"/>
  <c r="AB392" i="1"/>
  <c r="AC392" i="1"/>
  <c r="AF392" i="1"/>
  <c r="AG392" i="1"/>
  <c r="AH392" i="1"/>
  <c r="AJ392" i="1"/>
  <c r="AK392" i="1"/>
  <c r="AL392" i="1"/>
  <c r="AO392" i="1"/>
  <c r="AP392" i="1"/>
  <c r="BD392" i="1"/>
  <c r="BF392" i="1"/>
  <c r="BH392" i="1"/>
  <c r="AD392" i="1" s="1"/>
  <c r="BJ392" i="1"/>
  <c r="K393" i="1"/>
  <c r="AK393" i="1" s="1"/>
  <c r="Z393" i="1"/>
  <c r="AB393" i="1"/>
  <c r="AC393" i="1"/>
  <c r="AF393" i="1"/>
  <c r="AG393" i="1"/>
  <c r="AH393" i="1"/>
  <c r="AJ393" i="1"/>
  <c r="AL393" i="1"/>
  <c r="AO393" i="1"/>
  <c r="BH393" i="1" s="1"/>
  <c r="AD393" i="1" s="1"/>
  <c r="AP393" i="1"/>
  <c r="J393" i="1" s="1"/>
  <c r="BD393" i="1"/>
  <c r="BF393" i="1"/>
  <c r="BJ393" i="1"/>
  <c r="K394" i="1"/>
  <c r="AK394" i="1" s="1"/>
  <c r="Z394" i="1"/>
  <c r="AB394" i="1"/>
  <c r="AC394" i="1"/>
  <c r="AF394" i="1"/>
  <c r="AG394" i="1"/>
  <c r="AH394" i="1"/>
  <c r="AJ394" i="1"/>
  <c r="AL394" i="1"/>
  <c r="AO394" i="1"/>
  <c r="I394" i="1" s="1"/>
  <c r="AP394" i="1"/>
  <c r="J394" i="1" s="1"/>
  <c r="BD394" i="1"/>
  <c r="BF394" i="1"/>
  <c r="BJ394" i="1"/>
  <c r="K395" i="1"/>
  <c r="Z395" i="1"/>
  <c r="AB395" i="1"/>
  <c r="AC395" i="1"/>
  <c r="AF395" i="1"/>
  <c r="AG395" i="1"/>
  <c r="AH395" i="1"/>
  <c r="AJ395" i="1"/>
  <c r="AK395" i="1"/>
  <c r="AL395" i="1"/>
  <c r="AO395" i="1"/>
  <c r="I395" i="1" s="1"/>
  <c r="AP395" i="1"/>
  <c r="BD395" i="1"/>
  <c r="BF395" i="1"/>
  <c r="BJ395" i="1"/>
  <c r="K396" i="1"/>
  <c r="Z396" i="1"/>
  <c r="AB396" i="1"/>
  <c r="AC396" i="1"/>
  <c r="AF396" i="1"/>
  <c r="AG396" i="1"/>
  <c r="AH396" i="1"/>
  <c r="AJ396" i="1"/>
  <c r="AK396" i="1"/>
  <c r="AL396" i="1"/>
  <c r="AO396" i="1"/>
  <c r="AW396" i="1" s="1"/>
  <c r="AP396" i="1"/>
  <c r="BD396" i="1"/>
  <c r="BF396" i="1"/>
  <c r="BH396" i="1"/>
  <c r="AD396" i="1" s="1"/>
  <c r="BI396" i="1"/>
  <c r="AE396" i="1" s="1"/>
  <c r="BJ396" i="1"/>
  <c r="K397" i="1"/>
  <c r="AK397" i="1" s="1"/>
  <c r="Z397" i="1"/>
  <c r="AB397" i="1"/>
  <c r="AC397" i="1"/>
  <c r="AF397" i="1"/>
  <c r="AG397" i="1"/>
  <c r="AH397" i="1"/>
  <c r="AJ397" i="1"/>
  <c r="AL397" i="1"/>
  <c r="AO397" i="1"/>
  <c r="BH397" i="1" s="1"/>
  <c r="AD397" i="1" s="1"/>
  <c r="AP397" i="1"/>
  <c r="J397" i="1" s="1"/>
  <c r="BD397" i="1"/>
  <c r="BF397" i="1"/>
  <c r="BJ397" i="1"/>
  <c r="K398" i="1"/>
  <c r="AK398" i="1" s="1"/>
  <c r="Z398" i="1"/>
  <c r="AB398" i="1"/>
  <c r="AC398" i="1"/>
  <c r="AF398" i="1"/>
  <c r="AG398" i="1"/>
  <c r="AH398" i="1"/>
  <c r="AJ398" i="1"/>
  <c r="AL398" i="1"/>
  <c r="AO398" i="1"/>
  <c r="I398" i="1" s="1"/>
  <c r="AP398" i="1"/>
  <c r="J398" i="1" s="1"/>
  <c r="BD398" i="1"/>
  <c r="BF398" i="1"/>
  <c r="BJ398" i="1"/>
  <c r="K399" i="1"/>
  <c r="Z399" i="1"/>
  <c r="AB399" i="1"/>
  <c r="AC399" i="1"/>
  <c r="AF399" i="1"/>
  <c r="AG399" i="1"/>
  <c r="AH399" i="1"/>
  <c r="AJ399" i="1"/>
  <c r="AK399" i="1"/>
  <c r="AL399" i="1"/>
  <c r="AO399" i="1"/>
  <c r="AP399" i="1"/>
  <c r="AX399" i="1" s="1"/>
  <c r="BD399" i="1"/>
  <c r="BF399" i="1"/>
  <c r="BJ399" i="1"/>
  <c r="K401" i="1"/>
  <c r="Z401" i="1"/>
  <c r="AB401" i="1"/>
  <c r="AC401" i="1"/>
  <c r="AF401" i="1"/>
  <c r="AG401" i="1"/>
  <c r="AH401" i="1"/>
  <c r="AJ401" i="1"/>
  <c r="AL401" i="1"/>
  <c r="AO401" i="1"/>
  <c r="I401" i="1" s="1"/>
  <c r="AP401" i="1"/>
  <c r="J401" i="1" s="1"/>
  <c r="BD401" i="1"/>
  <c r="BF401" i="1"/>
  <c r="BJ401" i="1"/>
  <c r="K402" i="1"/>
  <c r="Z402" i="1"/>
  <c r="AB402" i="1"/>
  <c r="AC402" i="1"/>
  <c r="AF402" i="1"/>
  <c r="AG402" i="1"/>
  <c r="AH402" i="1"/>
  <c r="AJ402" i="1"/>
  <c r="AK402" i="1"/>
  <c r="AL402" i="1"/>
  <c r="AO402" i="1"/>
  <c r="I402" i="1" s="1"/>
  <c r="AP402" i="1"/>
  <c r="J402" i="1" s="1"/>
  <c r="BD402" i="1"/>
  <c r="BF402" i="1"/>
  <c r="BJ402" i="1"/>
  <c r="K403" i="1"/>
  <c r="Z403" i="1"/>
  <c r="AB403" i="1"/>
  <c r="AC403" i="1"/>
  <c r="AF403" i="1"/>
  <c r="AG403" i="1"/>
  <c r="AH403" i="1"/>
  <c r="AJ403" i="1"/>
  <c r="AK403" i="1"/>
  <c r="AL403" i="1"/>
  <c r="AO403" i="1"/>
  <c r="AP403" i="1"/>
  <c r="BD403" i="1"/>
  <c r="BF403" i="1"/>
  <c r="BJ403" i="1"/>
  <c r="K404" i="1"/>
  <c r="AK404" i="1" s="1"/>
  <c r="Z404" i="1"/>
  <c r="AB404" i="1"/>
  <c r="AC404" i="1"/>
  <c r="AF404" i="1"/>
  <c r="AG404" i="1"/>
  <c r="AH404" i="1"/>
  <c r="AJ404" i="1"/>
  <c r="AL404" i="1"/>
  <c r="AO404" i="1"/>
  <c r="AP404" i="1"/>
  <c r="J404" i="1" s="1"/>
  <c r="BD404" i="1"/>
  <c r="BF404" i="1"/>
  <c r="BH404" i="1"/>
  <c r="AD404" i="1" s="1"/>
  <c r="BJ404" i="1"/>
  <c r="K405" i="1"/>
  <c r="Z405" i="1"/>
  <c r="AB405" i="1"/>
  <c r="AC405" i="1"/>
  <c r="AF405" i="1"/>
  <c r="AG405" i="1"/>
  <c r="AH405" i="1"/>
  <c r="AJ405" i="1"/>
  <c r="AK405" i="1"/>
  <c r="AL405" i="1"/>
  <c r="AO405" i="1"/>
  <c r="AP405" i="1"/>
  <c r="BD405" i="1"/>
  <c r="BF405" i="1"/>
  <c r="BJ405" i="1"/>
  <c r="K406" i="1"/>
  <c r="Z406" i="1"/>
  <c r="AB406" i="1"/>
  <c r="AC406" i="1"/>
  <c r="AF406" i="1"/>
  <c r="AG406" i="1"/>
  <c r="AH406" i="1"/>
  <c r="AJ406" i="1"/>
  <c r="AK406" i="1"/>
  <c r="AL406" i="1"/>
  <c r="AO406" i="1"/>
  <c r="I406" i="1" s="1"/>
  <c r="AP406" i="1"/>
  <c r="BD406" i="1"/>
  <c r="BF406" i="1"/>
  <c r="BH406" i="1"/>
  <c r="AD406" i="1" s="1"/>
  <c r="BJ406" i="1"/>
  <c r="K407" i="1"/>
  <c r="Z407" i="1"/>
  <c r="AB407" i="1"/>
  <c r="AC407" i="1"/>
  <c r="AF407" i="1"/>
  <c r="AG407" i="1"/>
  <c r="AH407" i="1"/>
  <c r="AJ407" i="1"/>
  <c r="AK407" i="1"/>
  <c r="AL407" i="1"/>
  <c r="AO407" i="1"/>
  <c r="AP407" i="1"/>
  <c r="BI407" i="1" s="1"/>
  <c r="AE407" i="1" s="1"/>
  <c r="BD407" i="1"/>
  <c r="BF407" i="1"/>
  <c r="BJ407" i="1"/>
  <c r="K408" i="1"/>
  <c r="AK408" i="1" s="1"/>
  <c r="Z408" i="1"/>
  <c r="AB408" i="1"/>
  <c r="AC408" i="1"/>
  <c r="AF408" i="1"/>
  <c r="AG408" i="1"/>
  <c r="AH408" i="1"/>
  <c r="AJ408" i="1"/>
  <c r="AL408" i="1"/>
  <c r="AO408" i="1"/>
  <c r="AP408" i="1"/>
  <c r="J408" i="1" s="1"/>
  <c r="BD408" i="1"/>
  <c r="BF408" i="1"/>
  <c r="BJ408" i="1"/>
  <c r="K409" i="1"/>
  <c r="AK409" i="1" s="1"/>
  <c r="Z409" i="1"/>
  <c r="AB409" i="1"/>
  <c r="AC409" i="1"/>
  <c r="AF409" i="1"/>
  <c r="AG409" i="1"/>
  <c r="AH409" i="1"/>
  <c r="AJ409" i="1"/>
  <c r="AL409" i="1"/>
  <c r="AO409" i="1"/>
  <c r="I409" i="1" s="1"/>
  <c r="AP409" i="1"/>
  <c r="J409" i="1" s="1"/>
  <c r="BD409" i="1"/>
  <c r="BF409" i="1"/>
  <c r="BJ409" i="1"/>
  <c r="K410" i="1"/>
  <c r="Z410" i="1"/>
  <c r="AB410" i="1"/>
  <c r="AC410" i="1"/>
  <c r="AF410" i="1"/>
  <c r="AG410" i="1"/>
  <c r="AH410" i="1"/>
  <c r="AJ410" i="1"/>
  <c r="AK410" i="1"/>
  <c r="AL410" i="1"/>
  <c r="AO410" i="1"/>
  <c r="I410" i="1" s="1"/>
  <c r="AP410" i="1"/>
  <c r="J410" i="1" s="1"/>
  <c r="BD410" i="1"/>
  <c r="BF410" i="1"/>
  <c r="BJ410" i="1"/>
  <c r="K411" i="1"/>
  <c r="Z411" i="1"/>
  <c r="AB411" i="1"/>
  <c r="AC411" i="1"/>
  <c r="AF411" i="1"/>
  <c r="AG411" i="1"/>
  <c r="AH411" i="1"/>
  <c r="AJ411" i="1"/>
  <c r="AK411" i="1"/>
  <c r="AL411" i="1"/>
  <c r="AO411" i="1"/>
  <c r="I411" i="1" s="1"/>
  <c r="AP411" i="1"/>
  <c r="BD411" i="1"/>
  <c r="BF411" i="1"/>
  <c r="BJ411" i="1"/>
  <c r="K412" i="1"/>
  <c r="AK412" i="1" s="1"/>
  <c r="Z412" i="1"/>
  <c r="AB412" i="1"/>
  <c r="AC412" i="1"/>
  <c r="AF412" i="1"/>
  <c r="AG412" i="1"/>
  <c r="AH412" i="1"/>
  <c r="AJ412" i="1"/>
  <c r="AL412" i="1"/>
  <c r="AO412" i="1"/>
  <c r="BH412" i="1" s="1"/>
  <c r="AD412" i="1" s="1"/>
  <c r="AP412" i="1"/>
  <c r="BI412" i="1" s="1"/>
  <c r="AE412" i="1" s="1"/>
  <c r="BD412" i="1"/>
  <c r="BF412" i="1"/>
  <c r="BJ412" i="1"/>
  <c r="K413" i="1"/>
  <c r="AK413" i="1" s="1"/>
  <c r="Z413" i="1"/>
  <c r="AB413" i="1"/>
  <c r="AC413" i="1"/>
  <c r="AF413" i="1"/>
  <c r="AG413" i="1"/>
  <c r="AH413" i="1"/>
  <c r="AJ413" i="1"/>
  <c r="AL413" i="1"/>
  <c r="AO413" i="1"/>
  <c r="AP413" i="1"/>
  <c r="J413" i="1" s="1"/>
  <c r="BD413" i="1"/>
  <c r="BF413" i="1"/>
  <c r="BI413" i="1"/>
  <c r="AE413" i="1" s="1"/>
  <c r="BJ413" i="1"/>
  <c r="K414" i="1"/>
  <c r="Z414" i="1"/>
  <c r="AB414" i="1"/>
  <c r="AC414" i="1"/>
  <c r="AF414" i="1"/>
  <c r="AG414" i="1"/>
  <c r="AH414" i="1"/>
  <c r="AJ414" i="1"/>
  <c r="AK414" i="1"/>
  <c r="AL414" i="1"/>
  <c r="AO414" i="1"/>
  <c r="I414" i="1" s="1"/>
  <c r="AP414" i="1"/>
  <c r="BD414" i="1"/>
  <c r="BF414" i="1"/>
  <c r="BJ414" i="1"/>
  <c r="K415" i="1"/>
  <c r="Z415" i="1"/>
  <c r="AB415" i="1"/>
  <c r="AC415" i="1"/>
  <c r="AF415" i="1"/>
  <c r="AG415" i="1"/>
  <c r="AH415" i="1"/>
  <c r="AJ415" i="1"/>
  <c r="AK415" i="1"/>
  <c r="AL415" i="1"/>
  <c r="AO415" i="1"/>
  <c r="BH415" i="1" s="1"/>
  <c r="AD415" i="1" s="1"/>
  <c r="AP415" i="1"/>
  <c r="BI415" i="1" s="1"/>
  <c r="AE415" i="1" s="1"/>
  <c r="BD415" i="1"/>
  <c r="BF415" i="1"/>
  <c r="BJ415" i="1"/>
  <c r="K416" i="1"/>
  <c r="AK416" i="1" s="1"/>
  <c r="Z416" i="1"/>
  <c r="AB416" i="1"/>
  <c r="AC416" i="1"/>
  <c r="AF416" i="1"/>
  <c r="AG416" i="1"/>
  <c r="AH416" i="1"/>
  <c r="AJ416" i="1"/>
  <c r="AL416" i="1"/>
  <c r="AO416" i="1"/>
  <c r="AP416" i="1"/>
  <c r="J416" i="1" s="1"/>
  <c r="BD416" i="1"/>
  <c r="BF416" i="1"/>
  <c r="BJ416" i="1"/>
  <c r="K417" i="1"/>
  <c r="Z417" i="1"/>
  <c r="AB417" i="1"/>
  <c r="AC417" i="1"/>
  <c r="AF417" i="1"/>
  <c r="AG417" i="1"/>
  <c r="AH417" i="1"/>
  <c r="AJ417" i="1"/>
  <c r="AK417" i="1"/>
  <c r="AL417" i="1"/>
  <c r="AO417" i="1"/>
  <c r="I417" i="1" s="1"/>
  <c r="AP417" i="1"/>
  <c r="J417" i="1" s="1"/>
  <c r="AX417" i="1"/>
  <c r="BD417" i="1"/>
  <c r="BF417" i="1"/>
  <c r="BI417" i="1"/>
  <c r="AE417" i="1" s="1"/>
  <c r="BJ417" i="1"/>
  <c r="K418" i="1"/>
  <c r="Z418" i="1"/>
  <c r="AB418" i="1"/>
  <c r="AC418" i="1"/>
  <c r="AF418" i="1"/>
  <c r="AG418" i="1"/>
  <c r="AH418" i="1"/>
  <c r="AJ418" i="1"/>
  <c r="AK418" i="1"/>
  <c r="AL418" i="1"/>
  <c r="AO418" i="1"/>
  <c r="I418" i="1" s="1"/>
  <c r="AP418" i="1"/>
  <c r="J418" i="1" s="1"/>
  <c r="BD418" i="1"/>
  <c r="BF418" i="1"/>
  <c r="BJ418" i="1"/>
  <c r="K419" i="1"/>
  <c r="Z419" i="1"/>
  <c r="AB419" i="1"/>
  <c r="AC419" i="1"/>
  <c r="AF419" i="1"/>
  <c r="AG419" i="1"/>
  <c r="AH419" i="1"/>
  <c r="AJ419" i="1"/>
  <c r="AK419" i="1"/>
  <c r="AL419" i="1"/>
  <c r="AO419" i="1"/>
  <c r="I419" i="1" s="1"/>
  <c r="AP419" i="1"/>
  <c r="BD419" i="1"/>
  <c r="BF419" i="1"/>
  <c r="BH419" i="1"/>
  <c r="AD419" i="1" s="1"/>
  <c r="BJ419" i="1"/>
  <c r="K420" i="1"/>
  <c r="AK420" i="1" s="1"/>
  <c r="Z420" i="1"/>
  <c r="AB420" i="1"/>
  <c r="AC420" i="1"/>
  <c r="AF420" i="1"/>
  <c r="AG420" i="1"/>
  <c r="AH420" i="1"/>
  <c r="AJ420" i="1"/>
  <c r="AL420" i="1"/>
  <c r="AO420" i="1"/>
  <c r="BH420" i="1" s="1"/>
  <c r="AD420" i="1" s="1"/>
  <c r="AP420" i="1"/>
  <c r="BI420" i="1" s="1"/>
  <c r="AE420" i="1" s="1"/>
  <c r="BD420" i="1"/>
  <c r="BF420" i="1"/>
  <c r="BJ420" i="1"/>
  <c r="K421" i="1"/>
  <c r="Z421" i="1"/>
  <c r="AB421" i="1"/>
  <c r="AC421" i="1"/>
  <c r="AF421" i="1"/>
  <c r="AG421" i="1"/>
  <c r="AH421" i="1"/>
  <c r="AJ421" i="1"/>
  <c r="AK421" i="1"/>
  <c r="AL421" i="1"/>
  <c r="AO421" i="1"/>
  <c r="I421" i="1" s="1"/>
  <c r="AP421" i="1"/>
  <c r="BD421" i="1"/>
  <c r="BF421" i="1"/>
  <c r="BJ421" i="1"/>
  <c r="K422" i="1"/>
  <c r="Z422" i="1"/>
  <c r="AB422" i="1"/>
  <c r="AC422" i="1"/>
  <c r="AF422" i="1"/>
  <c r="AG422" i="1"/>
  <c r="AH422" i="1"/>
  <c r="AJ422" i="1"/>
  <c r="AK422" i="1"/>
  <c r="AL422" i="1"/>
  <c r="AO422" i="1"/>
  <c r="I422" i="1" s="1"/>
  <c r="AP422" i="1"/>
  <c r="BD422" i="1"/>
  <c r="BF422" i="1"/>
  <c r="BJ422" i="1"/>
  <c r="K423" i="1"/>
  <c r="Z423" i="1"/>
  <c r="AB423" i="1"/>
  <c r="AC423" i="1"/>
  <c r="AF423" i="1"/>
  <c r="AG423" i="1"/>
  <c r="AH423" i="1"/>
  <c r="AJ423" i="1"/>
  <c r="AK423" i="1"/>
  <c r="AL423" i="1"/>
  <c r="AO423" i="1"/>
  <c r="I423" i="1" s="1"/>
  <c r="AP423" i="1"/>
  <c r="BI423" i="1" s="1"/>
  <c r="AE423" i="1" s="1"/>
  <c r="BD423" i="1"/>
  <c r="BF423" i="1"/>
  <c r="BJ423" i="1"/>
  <c r="K424" i="1"/>
  <c r="AK424" i="1" s="1"/>
  <c r="Z424" i="1"/>
  <c r="AB424" i="1"/>
  <c r="AC424" i="1"/>
  <c r="AF424" i="1"/>
  <c r="AG424" i="1"/>
  <c r="AH424" i="1"/>
  <c r="AJ424" i="1"/>
  <c r="AL424" i="1"/>
  <c r="AO424" i="1"/>
  <c r="BH424" i="1" s="1"/>
  <c r="AD424" i="1" s="1"/>
  <c r="AP424" i="1"/>
  <c r="J424" i="1" s="1"/>
  <c r="BD424" i="1"/>
  <c r="BF424" i="1"/>
  <c r="BJ424" i="1"/>
  <c r="K425" i="1"/>
  <c r="AK425" i="1" s="1"/>
  <c r="Z425" i="1"/>
  <c r="AB425" i="1"/>
  <c r="AC425" i="1"/>
  <c r="AF425" i="1"/>
  <c r="AG425" i="1"/>
  <c r="AH425" i="1"/>
  <c r="AJ425" i="1"/>
  <c r="AL425" i="1"/>
  <c r="AO425" i="1"/>
  <c r="I425" i="1" s="1"/>
  <c r="AP425" i="1"/>
  <c r="J425" i="1" s="1"/>
  <c r="BD425" i="1"/>
  <c r="BF425" i="1"/>
  <c r="BJ425" i="1"/>
  <c r="K426" i="1"/>
  <c r="Z426" i="1"/>
  <c r="AB426" i="1"/>
  <c r="AC426" i="1"/>
  <c r="AF426" i="1"/>
  <c r="AG426" i="1"/>
  <c r="AH426" i="1"/>
  <c r="AJ426" i="1"/>
  <c r="AK426" i="1"/>
  <c r="AL426" i="1"/>
  <c r="AO426" i="1"/>
  <c r="AP426" i="1"/>
  <c r="J426" i="1" s="1"/>
  <c r="BD426" i="1"/>
  <c r="BF426" i="1"/>
  <c r="BJ426" i="1"/>
  <c r="K427" i="1"/>
  <c r="Z427" i="1"/>
  <c r="AB427" i="1"/>
  <c r="AC427" i="1"/>
  <c r="AF427" i="1"/>
  <c r="AG427" i="1"/>
  <c r="AH427" i="1"/>
  <c r="AJ427" i="1"/>
  <c r="AK427" i="1"/>
  <c r="AL427" i="1"/>
  <c r="AO427" i="1"/>
  <c r="AP427" i="1"/>
  <c r="BD427" i="1"/>
  <c r="BF427" i="1"/>
  <c r="BH427" i="1"/>
  <c r="AD427" i="1" s="1"/>
  <c r="BJ427" i="1"/>
  <c r="K428" i="1"/>
  <c r="AK428" i="1" s="1"/>
  <c r="Z428" i="1"/>
  <c r="AB428" i="1"/>
  <c r="AC428" i="1"/>
  <c r="AF428" i="1"/>
  <c r="AG428" i="1"/>
  <c r="AH428" i="1"/>
  <c r="AJ428" i="1"/>
  <c r="AL428" i="1"/>
  <c r="AO428" i="1"/>
  <c r="BH428" i="1" s="1"/>
  <c r="AD428" i="1" s="1"/>
  <c r="AP428" i="1"/>
  <c r="J428" i="1" s="1"/>
  <c r="BD428" i="1"/>
  <c r="BF428" i="1"/>
  <c r="BJ428" i="1"/>
  <c r="K429" i="1"/>
  <c r="AK429" i="1" s="1"/>
  <c r="Z429" i="1"/>
  <c r="AB429" i="1"/>
  <c r="AC429" i="1"/>
  <c r="AF429" i="1"/>
  <c r="AG429" i="1"/>
  <c r="AH429" i="1"/>
  <c r="AJ429" i="1"/>
  <c r="AL429" i="1"/>
  <c r="AO429" i="1"/>
  <c r="I429" i="1" s="1"/>
  <c r="AP429" i="1"/>
  <c r="J429" i="1" s="1"/>
  <c r="BD429" i="1"/>
  <c r="BF429" i="1"/>
  <c r="BH429" i="1"/>
  <c r="AD429" i="1" s="1"/>
  <c r="BJ429" i="1"/>
  <c r="K430" i="1"/>
  <c r="Z430" i="1"/>
  <c r="AB430" i="1"/>
  <c r="AC430" i="1"/>
  <c r="AF430" i="1"/>
  <c r="AG430" i="1"/>
  <c r="AH430" i="1"/>
  <c r="AJ430" i="1"/>
  <c r="AK430" i="1"/>
  <c r="AL430" i="1"/>
  <c r="AO430" i="1"/>
  <c r="AP430" i="1"/>
  <c r="AX430" i="1" s="1"/>
  <c r="BD430" i="1"/>
  <c r="BF430" i="1"/>
  <c r="BJ430" i="1"/>
  <c r="K431" i="1"/>
  <c r="Z431" i="1"/>
  <c r="AB431" i="1"/>
  <c r="AC431" i="1"/>
  <c r="AF431" i="1"/>
  <c r="AG431" i="1"/>
  <c r="AH431" i="1"/>
  <c r="AJ431" i="1"/>
  <c r="AK431" i="1"/>
  <c r="AL431" i="1"/>
  <c r="AO431" i="1"/>
  <c r="AP431" i="1"/>
  <c r="BI431" i="1" s="1"/>
  <c r="AE431" i="1" s="1"/>
  <c r="BD431" i="1"/>
  <c r="BF431" i="1"/>
  <c r="BJ431" i="1"/>
  <c r="K432" i="1"/>
  <c r="AK432" i="1" s="1"/>
  <c r="Z432" i="1"/>
  <c r="AB432" i="1"/>
  <c r="AC432" i="1"/>
  <c r="AF432" i="1"/>
  <c r="AG432" i="1"/>
  <c r="AH432" i="1"/>
  <c r="AJ432" i="1"/>
  <c r="AL432" i="1"/>
  <c r="AO432" i="1"/>
  <c r="AP432" i="1"/>
  <c r="J432" i="1" s="1"/>
  <c r="BD432" i="1"/>
  <c r="BF432" i="1"/>
  <c r="BJ432" i="1"/>
  <c r="K433" i="1"/>
  <c r="AK433" i="1" s="1"/>
  <c r="Z433" i="1"/>
  <c r="AB433" i="1"/>
  <c r="AC433" i="1"/>
  <c r="AF433" i="1"/>
  <c r="AG433" i="1"/>
  <c r="AH433" i="1"/>
  <c r="AJ433" i="1"/>
  <c r="AL433" i="1"/>
  <c r="AO433" i="1"/>
  <c r="I433" i="1" s="1"/>
  <c r="AP433" i="1"/>
  <c r="J433" i="1" s="1"/>
  <c r="BD433" i="1"/>
  <c r="BF433" i="1"/>
  <c r="BJ433" i="1"/>
  <c r="K434" i="1"/>
  <c r="Z434" i="1"/>
  <c r="AB434" i="1"/>
  <c r="AC434" i="1"/>
  <c r="AF434" i="1"/>
  <c r="AG434" i="1"/>
  <c r="AH434" i="1"/>
  <c r="AJ434" i="1"/>
  <c r="AK434" i="1"/>
  <c r="AL434" i="1"/>
  <c r="AO434" i="1"/>
  <c r="AP434" i="1"/>
  <c r="BD434" i="1"/>
  <c r="BF434" i="1"/>
  <c r="BJ434" i="1"/>
  <c r="K435" i="1"/>
  <c r="Z435" i="1"/>
  <c r="AB435" i="1"/>
  <c r="AC435" i="1"/>
  <c r="AF435" i="1"/>
  <c r="AG435" i="1"/>
  <c r="AH435" i="1"/>
  <c r="AJ435" i="1"/>
  <c r="AK435" i="1"/>
  <c r="AL435" i="1"/>
  <c r="AO435" i="1"/>
  <c r="I435" i="1" s="1"/>
  <c r="AP435" i="1"/>
  <c r="BD435" i="1"/>
  <c r="BF435" i="1"/>
  <c r="BJ435" i="1"/>
  <c r="K437" i="1"/>
  <c r="Z437" i="1"/>
  <c r="AB437" i="1"/>
  <c r="AC437" i="1"/>
  <c r="AF437" i="1"/>
  <c r="AG437" i="1"/>
  <c r="AH437" i="1"/>
  <c r="AJ437" i="1"/>
  <c r="AK437" i="1"/>
  <c r="AL437" i="1"/>
  <c r="AO437" i="1"/>
  <c r="I437" i="1" s="1"/>
  <c r="AP437" i="1"/>
  <c r="BI437" i="1" s="1"/>
  <c r="AE437" i="1" s="1"/>
  <c r="BD437" i="1"/>
  <c r="BF437" i="1"/>
  <c r="BJ437" i="1"/>
  <c r="K438" i="1"/>
  <c r="Z438" i="1"/>
  <c r="AB438" i="1"/>
  <c r="AC438" i="1"/>
  <c r="AF438" i="1"/>
  <c r="AG438" i="1"/>
  <c r="AH438" i="1"/>
  <c r="AJ438" i="1"/>
  <c r="AK438" i="1"/>
  <c r="AL438" i="1"/>
  <c r="AO438" i="1"/>
  <c r="I438" i="1" s="1"/>
  <c r="AP438" i="1"/>
  <c r="BI438" i="1" s="1"/>
  <c r="AE438" i="1" s="1"/>
  <c r="BD438" i="1"/>
  <c r="BF438" i="1"/>
  <c r="BJ438" i="1"/>
  <c r="K439" i="1"/>
  <c r="AK439" i="1" s="1"/>
  <c r="Z439" i="1"/>
  <c r="AB439" i="1"/>
  <c r="AC439" i="1"/>
  <c r="AF439" i="1"/>
  <c r="AG439" i="1"/>
  <c r="AH439" i="1"/>
  <c r="AJ439" i="1"/>
  <c r="AL439" i="1"/>
  <c r="AO439" i="1"/>
  <c r="AP439" i="1"/>
  <c r="BD439" i="1"/>
  <c r="BF439" i="1"/>
  <c r="BJ439" i="1"/>
  <c r="K440" i="1"/>
  <c r="AK440" i="1" s="1"/>
  <c r="Z440" i="1"/>
  <c r="AB440" i="1"/>
  <c r="AC440" i="1"/>
  <c r="AF440" i="1"/>
  <c r="AG440" i="1"/>
  <c r="AH440" i="1"/>
  <c r="AJ440" i="1"/>
  <c r="AL440" i="1"/>
  <c r="AO440" i="1"/>
  <c r="AP440" i="1"/>
  <c r="BD440" i="1"/>
  <c r="BF440" i="1"/>
  <c r="BH440" i="1"/>
  <c r="AD440" i="1" s="1"/>
  <c r="BJ440" i="1"/>
  <c r="K441" i="1"/>
  <c r="Z441" i="1"/>
  <c r="AB441" i="1"/>
  <c r="AC441" i="1"/>
  <c r="AF441" i="1"/>
  <c r="AG441" i="1"/>
  <c r="AH441" i="1"/>
  <c r="AJ441" i="1"/>
  <c r="AK441" i="1"/>
  <c r="AL441" i="1"/>
  <c r="AO441" i="1"/>
  <c r="AW441" i="1" s="1"/>
  <c r="AP441" i="1"/>
  <c r="J441" i="1" s="1"/>
  <c r="BD441" i="1"/>
  <c r="BF441" i="1"/>
  <c r="BJ441" i="1"/>
  <c r="K442" i="1"/>
  <c r="Z442" i="1"/>
  <c r="AB442" i="1"/>
  <c r="AC442" i="1"/>
  <c r="AF442" i="1"/>
  <c r="AG442" i="1"/>
  <c r="AH442" i="1"/>
  <c r="AJ442" i="1"/>
  <c r="AK442" i="1"/>
  <c r="AL442" i="1"/>
  <c r="AO442" i="1"/>
  <c r="I442" i="1" s="1"/>
  <c r="AP442" i="1"/>
  <c r="BI442" i="1" s="1"/>
  <c r="AE442" i="1" s="1"/>
  <c r="BD442" i="1"/>
  <c r="BF442" i="1"/>
  <c r="BJ442" i="1"/>
  <c r="K443" i="1"/>
  <c r="AK443" i="1" s="1"/>
  <c r="Z443" i="1"/>
  <c r="AB443" i="1"/>
  <c r="AC443" i="1"/>
  <c r="AF443" i="1"/>
  <c r="AG443" i="1"/>
  <c r="AH443" i="1"/>
  <c r="AJ443" i="1"/>
  <c r="AL443" i="1"/>
  <c r="AO443" i="1"/>
  <c r="AP443" i="1"/>
  <c r="J443" i="1" s="1"/>
  <c r="BD443" i="1"/>
  <c r="BF443" i="1"/>
  <c r="BI443" i="1"/>
  <c r="AE443" i="1" s="1"/>
  <c r="BJ443" i="1"/>
  <c r="K444" i="1"/>
  <c r="Z444" i="1"/>
  <c r="AB444" i="1"/>
  <c r="AC444" i="1"/>
  <c r="AF444" i="1"/>
  <c r="AG444" i="1"/>
  <c r="AH444" i="1"/>
  <c r="AJ444" i="1"/>
  <c r="AK444" i="1"/>
  <c r="AL444" i="1"/>
  <c r="AO444" i="1"/>
  <c r="I444" i="1" s="1"/>
  <c r="AP444" i="1"/>
  <c r="AX444" i="1" s="1"/>
  <c r="BD444" i="1"/>
  <c r="BF444" i="1"/>
  <c r="BJ444" i="1"/>
  <c r="K445" i="1"/>
  <c r="Z445" i="1"/>
  <c r="AB445" i="1"/>
  <c r="AC445" i="1"/>
  <c r="AF445" i="1"/>
  <c r="AG445" i="1"/>
  <c r="AH445" i="1"/>
  <c r="AJ445" i="1"/>
  <c r="AK445" i="1"/>
  <c r="AL445" i="1"/>
  <c r="AO445" i="1"/>
  <c r="AW445" i="1" s="1"/>
  <c r="AP445" i="1"/>
  <c r="BD445" i="1"/>
  <c r="BF445" i="1"/>
  <c r="BJ445" i="1"/>
  <c r="K446" i="1"/>
  <c r="Z446" i="1"/>
  <c r="AB446" i="1"/>
  <c r="AC446" i="1"/>
  <c r="AF446" i="1"/>
  <c r="AG446" i="1"/>
  <c r="AH446" i="1"/>
  <c r="AJ446" i="1"/>
  <c r="AK446" i="1"/>
  <c r="AL446" i="1"/>
  <c r="AO446" i="1"/>
  <c r="I446" i="1" s="1"/>
  <c r="AP446" i="1"/>
  <c r="BD446" i="1"/>
  <c r="BF446" i="1"/>
  <c r="BJ446" i="1"/>
  <c r="K447" i="1"/>
  <c r="AK447" i="1" s="1"/>
  <c r="Z447" i="1"/>
  <c r="AB447" i="1"/>
  <c r="AC447" i="1"/>
  <c r="AF447" i="1"/>
  <c r="AG447" i="1"/>
  <c r="AH447" i="1"/>
  <c r="AJ447" i="1"/>
  <c r="AL447" i="1"/>
  <c r="AO447" i="1"/>
  <c r="BH447" i="1" s="1"/>
  <c r="AD447" i="1" s="1"/>
  <c r="AP447" i="1"/>
  <c r="J447" i="1" s="1"/>
  <c r="BD447" i="1"/>
  <c r="BF447" i="1"/>
  <c r="BJ447" i="1"/>
  <c r="K448" i="1"/>
  <c r="AK448" i="1" s="1"/>
  <c r="AB448" i="1"/>
  <c r="AC448" i="1"/>
  <c r="AD448" i="1"/>
  <c r="AE448" i="1"/>
  <c r="AF448" i="1"/>
  <c r="AG448" i="1"/>
  <c r="AH448" i="1"/>
  <c r="AJ448" i="1"/>
  <c r="AL448" i="1"/>
  <c r="AO448" i="1"/>
  <c r="I448" i="1" s="1"/>
  <c r="AP448" i="1"/>
  <c r="J448" i="1" s="1"/>
  <c r="BD448" i="1"/>
  <c r="BF448" i="1"/>
  <c r="BJ448" i="1"/>
  <c r="Z448" i="1" s="1"/>
  <c r="K450" i="1"/>
  <c r="Z450" i="1"/>
  <c r="AB450" i="1"/>
  <c r="AC450" i="1"/>
  <c r="AF450" i="1"/>
  <c r="AG450" i="1"/>
  <c r="AH450" i="1"/>
  <c r="AJ450" i="1"/>
  <c r="AL450" i="1"/>
  <c r="AO450" i="1"/>
  <c r="BH450" i="1" s="1"/>
  <c r="AD450" i="1" s="1"/>
  <c r="AP450" i="1"/>
  <c r="BD450" i="1"/>
  <c r="BF450" i="1"/>
  <c r="BJ450" i="1"/>
  <c r="K451" i="1"/>
  <c r="Z451" i="1"/>
  <c r="AB451" i="1"/>
  <c r="AC451" i="1"/>
  <c r="AF451" i="1"/>
  <c r="AG451" i="1"/>
  <c r="AH451" i="1"/>
  <c r="AJ451" i="1"/>
  <c r="AK451" i="1"/>
  <c r="AL451" i="1"/>
  <c r="AO451" i="1"/>
  <c r="AP451" i="1"/>
  <c r="J451" i="1" s="1"/>
  <c r="BD451" i="1"/>
  <c r="BF451" i="1"/>
  <c r="BJ451" i="1"/>
  <c r="K452" i="1"/>
  <c r="Z452" i="1"/>
  <c r="AB452" i="1"/>
  <c r="AC452" i="1"/>
  <c r="AF452" i="1"/>
  <c r="AG452" i="1"/>
  <c r="AH452" i="1"/>
  <c r="AJ452" i="1"/>
  <c r="AK452" i="1"/>
  <c r="AL452" i="1"/>
  <c r="AO452" i="1"/>
  <c r="AP452" i="1"/>
  <c r="J452" i="1" s="1"/>
  <c r="BD452" i="1"/>
  <c r="BF452" i="1"/>
  <c r="BJ452" i="1"/>
  <c r="K453" i="1"/>
  <c r="Z453" i="1"/>
  <c r="AB453" i="1"/>
  <c r="AC453" i="1"/>
  <c r="AF453" i="1"/>
  <c r="AG453" i="1"/>
  <c r="AH453" i="1"/>
  <c r="AJ453" i="1"/>
  <c r="AK453" i="1"/>
  <c r="AL453" i="1"/>
  <c r="AO453" i="1"/>
  <c r="AP453" i="1"/>
  <c r="BD453" i="1"/>
  <c r="BF453" i="1"/>
  <c r="BJ453" i="1"/>
  <c r="K454" i="1"/>
  <c r="AK454" i="1" s="1"/>
  <c r="Z454" i="1"/>
  <c r="AB454" i="1"/>
  <c r="AC454" i="1"/>
  <c r="AF454" i="1"/>
  <c r="AG454" i="1"/>
  <c r="AH454" i="1"/>
  <c r="AJ454" i="1"/>
  <c r="AL454" i="1"/>
  <c r="AO454" i="1"/>
  <c r="BH454" i="1" s="1"/>
  <c r="AD454" i="1" s="1"/>
  <c r="AP454" i="1"/>
  <c r="J454" i="1" s="1"/>
  <c r="BD454" i="1"/>
  <c r="BF454" i="1"/>
  <c r="BJ454" i="1"/>
  <c r="K455" i="1"/>
  <c r="Z455" i="1"/>
  <c r="AB455" i="1"/>
  <c r="AC455" i="1"/>
  <c r="AF455" i="1"/>
  <c r="AG455" i="1"/>
  <c r="AH455" i="1"/>
  <c r="AJ455" i="1"/>
  <c r="AK455" i="1"/>
  <c r="AL455" i="1"/>
  <c r="AO455" i="1"/>
  <c r="I455" i="1" s="1"/>
  <c r="AP455" i="1"/>
  <c r="BI455" i="1" s="1"/>
  <c r="AE455" i="1" s="1"/>
  <c r="BD455" i="1"/>
  <c r="BF455" i="1"/>
  <c r="BJ455" i="1"/>
  <c r="K456" i="1"/>
  <c r="Z456" i="1"/>
  <c r="AB456" i="1"/>
  <c r="AC456" i="1"/>
  <c r="AF456" i="1"/>
  <c r="AG456" i="1"/>
  <c r="AH456" i="1"/>
  <c r="AJ456" i="1"/>
  <c r="AK456" i="1"/>
  <c r="AL456" i="1"/>
  <c r="AO456" i="1"/>
  <c r="AP456" i="1"/>
  <c r="J456" i="1" s="1"/>
  <c r="BD456" i="1"/>
  <c r="BF456" i="1"/>
  <c r="BI456" i="1"/>
  <c r="AE456" i="1" s="1"/>
  <c r="BJ456" i="1"/>
  <c r="K457" i="1"/>
  <c r="Z457" i="1"/>
  <c r="AB457" i="1"/>
  <c r="AC457" i="1"/>
  <c r="AF457" i="1"/>
  <c r="AG457" i="1"/>
  <c r="AH457" i="1"/>
  <c r="AJ457" i="1"/>
  <c r="AK457" i="1"/>
  <c r="AL457" i="1"/>
  <c r="AO457" i="1"/>
  <c r="I457" i="1" s="1"/>
  <c r="AP457" i="1"/>
  <c r="BI457" i="1" s="1"/>
  <c r="AE457" i="1" s="1"/>
  <c r="BD457" i="1"/>
  <c r="BF457" i="1"/>
  <c r="BJ457" i="1"/>
  <c r="K458" i="1"/>
  <c r="AK458" i="1" s="1"/>
  <c r="Z458" i="1"/>
  <c r="AB458" i="1"/>
  <c r="AC458" i="1"/>
  <c r="AF458" i="1"/>
  <c r="AG458" i="1"/>
  <c r="AH458" i="1"/>
  <c r="AJ458" i="1"/>
  <c r="AL458" i="1"/>
  <c r="AO458" i="1"/>
  <c r="AP458" i="1"/>
  <c r="BI458" i="1" s="1"/>
  <c r="AE458" i="1" s="1"/>
  <c r="BD458" i="1"/>
  <c r="BF458" i="1"/>
  <c r="BJ458" i="1"/>
  <c r="K459" i="1"/>
  <c r="AK459" i="1" s="1"/>
  <c r="Z459" i="1"/>
  <c r="AB459" i="1"/>
  <c r="AC459" i="1"/>
  <c r="AF459" i="1"/>
  <c r="AG459" i="1"/>
  <c r="AH459" i="1"/>
  <c r="AJ459" i="1"/>
  <c r="AL459" i="1"/>
  <c r="AO459" i="1"/>
  <c r="AP459" i="1"/>
  <c r="AX459" i="1" s="1"/>
  <c r="BD459" i="1"/>
  <c r="BF459" i="1"/>
  <c r="BH459" i="1"/>
  <c r="AD459" i="1" s="1"/>
  <c r="BJ459" i="1"/>
  <c r="K460" i="1"/>
  <c r="Z460" i="1"/>
  <c r="AB460" i="1"/>
  <c r="AC460" i="1"/>
  <c r="AF460" i="1"/>
  <c r="AG460" i="1"/>
  <c r="AH460" i="1"/>
  <c r="AJ460" i="1"/>
  <c r="AK460" i="1"/>
  <c r="AL460" i="1"/>
  <c r="AO460" i="1"/>
  <c r="I460" i="1" s="1"/>
  <c r="AP460" i="1"/>
  <c r="BD460" i="1"/>
  <c r="BF460" i="1"/>
  <c r="BJ460" i="1"/>
  <c r="K461" i="1"/>
  <c r="Z461" i="1"/>
  <c r="AB461" i="1"/>
  <c r="AC461" i="1"/>
  <c r="AF461" i="1"/>
  <c r="AG461" i="1"/>
  <c r="AH461" i="1"/>
  <c r="AJ461" i="1"/>
  <c r="AK461" i="1"/>
  <c r="AL461" i="1"/>
  <c r="AO461" i="1"/>
  <c r="AP461" i="1"/>
  <c r="BD461" i="1"/>
  <c r="BF461" i="1"/>
  <c r="BJ461" i="1"/>
  <c r="K462" i="1"/>
  <c r="AK462" i="1" s="1"/>
  <c r="Z462" i="1"/>
  <c r="AB462" i="1"/>
  <c r="AC462" i="1"/>
  <c r="AF462" i="1"/>
  <c r="AG462" i="1"/>
  <c r="AH462" i="1"/>
  <c r="AJ462" i="1"/>
  <c r="AL462" i="1"/>
  <c r="AO462" i="1"/>
  <c r="AP462" i="1"/>
  <c r="J462" i="1" s="1"/>
  <c r="BD462" i="1"/>
  <c r="BF462" i="1"/>
  <c r="BH462" i="1"/>
  <c r="AD462" i="1" s="1"/>
  <c r="BJ462" i="1"/>
  <c r="K463" i="1"/>
  <c r="AK463" i="1" s="1"/>
  <c r="Z463" i="1"/>
  <c r="AB463" i="1"/>
  <c r="AC463" i="1"/>
  <c r="AF463" i="1"/>
  <c r="AG463" i="1"/>
  <c r="AH463" i="1"/>
  <c r="AJ463" i="1"/>
  <c r="AL463" i="1"/>
  <c r="AO463" i="1"/>
  <c r="I463" i="1" s="1"/>
  <c r="AP463" i="1"/>
  <c r="J463" i="1" s="1"/>
  <c r="BD463" i="1"/>
  <c r="BF463" i="1"/>
  <c r="BJ463" i="1"/>
  <c r="K464" i="1"/>
  <c r="Z464" i="1"/>
  <c r="AB464" i="1"/>
  <c r="AC464" i="1"/>
  <c r="AF464" i="1"/>
  <c r="AG464" i="1"/>
  <c r="AH464" i="1"/>
  <c r="AJ464" i="1"/>
  <c r="AK464" i="1"/>
  <c r="AL464" i="1"/>
  <c r="AO464" i="1"/>
  <c r="I464" i="1" s="1"/>
  <c r="AP464" i="1"/>
  <c r="AW464" i="1"/>
  <c r="BD464" i="1"/>
  <c r="BF464" i="1"/>
  <c r="BJ464" i="1"/>
  <c r="K465" i="1"/>
  <c r="Z465" i="1"/>
  <c r="AB465" i="1"/>
  <c r="AC465" i="1"/>
  <c r="AF465" i="1"/>
  <c r="AG465" i="1"/>
  <c r="AH465" i="1"/>
  <c r="AJ465" i="1"/>
  <c r="AK465" i="1"/>
  <c r="AL465" i="1"/>
  <c r="AO465" i="1"/>
  <c r="I465" i="1" s="1"/>
  <c r="AP465" i="1"/>
  <c r="BI465" i="1" s="1"/>
  <c r="AE465" i="1" s="1"/>
  <c r="BD465" i="1"/>
  <c r="BF465" i="1"/>
  <c r="BJ465" i="1"/>
  <c r="K466" i="1"/>
  <c r="AK466" i="1" s="1"/>
  <c r="Z466" i="1"/>
  <c r="AB466" i="1"/>
  <c r="AC466" i="1"/>
  <c r="AF466" i="1"/>
  <c r="AG466" i="1"/>
  <c r="AH466" i="1"/>
  <c r="AJ466" i="1"/>
  <c r="AL466" i="1"/>
  <c r="AO466" i="1"/>
  <c r="AP466" i="1"/>
  <c r="J466" i="1" s="1"/>
  <c r="BD466" i="1"/>
  <c r="BF466" i="1"/>
  <c r="BH466" i="1"/>
  <c r="AD466" i="1" s="1"/>
  <c r="BJ466" i="1"/>
  <c r="K467" i="1"/>
  <c r="AK467" i="1" s="1"/>
  <c r="Z467" i="1"/>
  <c r="AB467" i="1"/>
  <c r="AC467" i="1"/>
  <c r="AF467" i="1"/>
  <c r="AG467" i="1"/>
  <c r="AH467" i="1"/>
  <c r="AJ467" i="1"/>
  <c r="AL467" i="1"/>
  <c r="AO467" i="1"/>
  <c r="I467" i="1" s="1"/>
  <c r="AP467" i="1"/>
  <c r="J467" i="1" s="1"/>
  <c r="BD467" i="1"/>
  <c r="BF467" i="1"/>
  <c r="BJ467" i="1"/>
  <c r="K468" i="1"/>
  <c r="Z468" i="1"/>
  <c r="AB468" i="1"/>
  <c r="AC468" i="1"/>
  <c r="AF468" i="1"/>
  <c r="AG468" i="1"/>
  <c r="AH468" i="1"/>
  <c r="AJ468" i="1"/>
  <c r="AK468" i="1"/>
  <c r="AL468" i="1"/>
  <c r="AO468" i="1"/>
  <c r="I468" i="1" s="1"/>
  <c r="AP468" i="1"/>
  <c r="AW468" i="1"/>
  <c r="BD468" i="1"/>
  <c r="BF468" i="1"/>
  <c r="BH468" i="1"/>
  <c r="AD468" i="1" s="1"/>
  <c r="BJ468" i="1"/>
  <c r="K469" i="1"/>
  <c r="AK469" i="1" s="1"/>
  <c r="AB469" i="1"/>
  <c r="AC469" i="1"/>
  <c r="AD469" i="1"/>
  <c r="AE469" i="1"/>
  <c r="AF469" i="1"/>
  <c r="AG469" i="1"/>
  <c r="AH469" i="1"/>
  <c r="AJ469" i="1"/>
  <c r="AL469" i="1"/>
  <c r="AO469" i="1"/>
  <c r="BH469" i="1" s="1"/>
  <c r="AP469" i="1"/>
  <c r="BI469" i="1" s="1"/>
  <c r="BD469" i="1"/>
  <c r="BF469" i="1"/>
  <c r="BJ469" i="1"/>
  <c r="Z469" i="1" s="1"/>
  <c r="K471" i="1"/>
  <c r="Z471" i="1"/>
  <c r="AB471" i="1"/>
  <c r="AC471" i="1"/>
  <c r="AF471" i="1"/>
  <c r="AG471" i="1"/>
  <c r="AH471" i="1"/>
  <c r="AJ471" i="1"/>
  <c r="AK471" i="1"/>
  <c r="AL471" i="1"/>
  <c r="AO471" i="1"/>
  <c r="AW471" i="1" s="1"/>
  <c r="AP471" i="1"/>
  <c r="J471" i="1" s="1"/>
  <c r="BD471" i="1"/>
  <c r="BF471" i="1"/>
  <c r="BJ471" i="1"/>
  <c r="K472" i="1"/>
  <c r="Z472" i="1"/>
  <c r="AB472" i="1"/>
  <c r="AC472" i="1"/>
  <c r="AF472" i="1"/>
  <c r="AG472" i="1"/>
  <c r="AH472" i="1"/>
  <c r="AJ472" i="1"/>
  <c r="AK472" i="1"/>
  <c r="AL472" i="1"/>
  <c r="AO472" i="1"/>
  <c r="I472" i="1" s="1"/>
  <c r="AP472" i="1"/>
  <c r="BI472" i="1" s="1"/>
  <c r="AE472" i="1" s="1"/>
  <c r="BD472" i="1"/>
  <c r="BF472" i="1"/>
  <c r="BJ472" i="1"/>
  <c r="K473" i="1"/>
  <c r="AK473" i="1" s="1"/>
  <c r="AB473" i="1"/>
  <c r="AC473" i="1"/>
  <c r="AD473" i="1"/>
  <c r="AE473" i="1"/>
  <c r="AF473" i="1"/>
  <c r="AG473" i="1"/>
  <c r="AH473" i="1"/>
  <c r="AJ473" i="1"/>
  <c r="AL473" i="1"/>
  <c r="AO473" i="1"/>
  <c r="AP473" i="1"/>
  <c r="BI473" i="1" s="1"/>
  <c r="BD473" i="1"/>
  <c r="BF473" i="1"/>
  <c r="BJ473" i="1"/>
  <c r="Z473" i="1" s="1"/>
  <c r="K475" i="1"/>
  <c r="Z475" i="1"/>
  <c r="AB475" i="1"/>
  <c r="AC475" i="1"/>
  <c r="AF475" i="1"/>
  <c r="AG475" i="1"/>
  <c r="AH475" i="1"/>
  <c r="AJ475" i="1"/>
  <c r="AK475" i="1"/>
  <c r="AL475" i="1"/>
  <c r="AO475" i="1"/>
  <c r="I475" i="1" s="1"/>
  <c r="AP475" i="1"/>
  <c r="BD475" i="1"/>
  <c r="BF475" i="1"/>
  <c r="BJ475" i="1"/>
  <c r="K476" i="1"/>
  <c r="Z476" i="1"/>
  <c r="AB476" i="1"/>
  <c r="AC476" i="1"/>
  <c r="AF476" i="1"/>
  <c r="AG476" i="1"/>
  <c r="AH476" i="1"/>
  <c r="AJ476" i="1"/>
  <c r="AL476" i="1"/>
  <c r="AO476" i="1"/>
  <c r="BH476" i="1" s="1"/>
  <c r="AD476" i="1" s="1"/>
  <c r="AP476" i="1"/>
  <c r="J476" i="1" s="1"/>
  <c r="BD476" i="1"/>
  <c r="BF476" i="1"/>
  <c r="BI476" i="1"/>
  <c r="AE476" i="1" s="1"/>
  <c r="BJ476" i="1"/>
  <c r="K477" i="1"/>
  <c r="AK477" i="1" s="1"/>
  <c r="Z477" i="1"/>
  <c r="AB477" i="1"/>
  <c r="AC477" i="1"/>
  <c r="AF477" i="1"/>
  <c r="AG477" i="1"/>
  <c r="AH477" i="1"/>
  <c r="AJ477" i="1"/>
  <c r="AL477" i="1"/>
  <c r="AO477" i="1"/>
  <c r="AP477" i="1"/>
  <c r="J477" i="1" s="1"/>
  <c r="BD477" i="1"/>
  <c r="BF477" i="1"/>
  <c r="BJ477" i="1"/>
  <c r="K478" i="1"/>
  <c r="Z478" i="1"/>
  <c r="AB478" i="1"/>
  <c r="AC478" i="1"/>
  <c r="AF478" i="1"/>
  <c r="AG478" i="1"/>
  <c r="AH478" i="1"/>
  <c r="AJ478" i="1"/>
  <c r="AK478" i="1"/>
  <c r="AL478" i="1"/>
  <c r="AO478" i="1"/>
  <c r="AP478" i="1"/>
  <c r="J478" i="1" s="1"/>
  <c r="BD478" i="1"/>
  <c r="BF478" i="1"/>
  <c r="BJ478" i="1"/>
  <c r="K479" i="1"/>
  <c r="Z479" i="1"/>
  <c r="AB479" i="1"/>
  <c r="AC479" i="1"/>
  <c r="AF479" i="1"/>
  <c r="AG479" i="1"/>
  <c r="AH479" i="1"/>
  <c r="AJ479" i="1"/>
  <c r="AK479" i="1"/>
  <c r="AL479" i="1"/>
  <c r="AO479" i="1"/>
  <c r="AP479" i="1"/>
  <c r="BD479" i="1"/>
  <c r="BF479" i="1"/>
  <c r="BJ479" i="1"/>
  <c r="K480" i="1"/>
  <c r="AK480" i="1" s="1"/>
  <c r="Z480" i="1"/>
  <c r="AB480" i="1"/>
  <c r="AC480" i="1"/>
  <c r="AF480" i="1"/>
  <c r="AG480" i="1"/>
  <c r="AH480" i="1"/>
  <c r="AJ480" i="1"/>
  <c r="AL480" i="1"/>
  <c r="AO480" i="1"/>
  <c r="AP480" i="1"/>
  <c r="BD480" i="1"/>
  <c r="BF480" i="1"/>
  <c r="BH480" i="1"/>
  <c r="AD480" i="1" s="1"/>
  <c r="BJ480" i="1"/>
  <c r="K481" i="1"/>
  <c r="AK481" i="1" s="1"/>
  <c r="Z481" i="1"/>
  <c r="AB481" i="1"/>
  <c r="AC481" i="1"/>
  <c r="AF481" i="1"/>
  <c r="AG481" i="1"/>
  <c r="AH481" i="1"/>
  <c r="AJ481" i="1"/>
  <c r="AL481" i="1"/>
  <c r="AO481" i="1"/>
  <c r="I481" i="1" s="1"/>
  <c r="AP481" i="1"/>
  <c r="BD481" i="1"/>
  <c r="BF481" i="1"/>
  <c r="BJ481" i="1"/>
  <c r="K482" i="1"/>
  <c r="AK482" i="1" s="1"/>
  <c r="Z482" i="1"/>
  <c r="AB482" i="1"/>
  <c r="AC482" i="1"/>
  <c r="AF482" i="1"/>
  <c r="AG482" i="1"/>
  <c r="AH482" i="1"/>
  <c r="AJ482" i="1"/>
  <c r="AL482" i="1"/>
  <c r="AO482" i="1"/>
  <c r="I482" i="1" s="1"/>
  <c r="AP482" i="1"/>
  <c r="BD482" i="1"/>
  <c r="BF482" i="1"/>
  <c r="BH482" i="1"/>
  <c r="AD482" i="1" s="1"/>
  <c r="BJ482" i="1"/>
  <c r="I483" i="1"/>
  <c r="K483" i="1"/>
  <c r="Z483" i="1"/>
  <c r="AB483" i="1"/>
  <c r="AC483" i="1"/>
  <c r="AF483" i="1"/>
  <c r="AG483" i="1"/>
  <c r="AH483" i="1"/>
  <c r="AJ483" i="1"/>
  <c r="AK483" i="1"/>
  <c r="AL483" i="1"/>
  <c r="AO483" i="1"/>
  <c r="AW483" i="1" s="1"/>
  <c r="AP483" i="1"/>
  <c r="BD483" i="1"/>
  <c r="BF483" i="1"/>
  <c r="BH483" i="1"/>
  <c r="AD483" i="1" s="1"/>
  <c r="BJ483" i="1"/>
  <c r="K484" i="1"/>
  <c r="AK484" i="1" s="1"/>
  <c r="Z484" i="1"/>
  <c r="AB484" i="1"/>
  <c r="AC484" i="1"/>
  <c r="AF484" i="1"/>
  <c r="AG484" i="1"/>
  <c r="AH484" i="1"/>
  <c r="AJ484" i="1"/>
  <c r="AL484" i="1"/>
  <c r="AO484" i="1"/>
  <c r="BH484" i="1" s="1"/>
  <c r="AD484" i="1" s="1"/>
  <c r="AP484" i="1"/>
  <c r="J484" i="1" s="1"/>
  <c r="BD484" i="1"/>
  <c r="BF484" i="1"/>
  <c r="BJ484" i="1"/>
  <c r="J485" i="1"/>
  <c r="K485" i="1"/>
  <c r="AK485" i="1" s="1"/>
  <c r="Z485" i="1"/>
  <c r="AB485" i="1"/>
  <c r="AC485" i="1"/>
  <c r="AF485" i="1"/>
  <c r="AG485" i="1"/>
  <c r="AH485" i="1"/>
  <c r="AJ485" i="1"/>
  <c r="AL485" i="1"/>
  <c r="AO485" i="1"/>
  <c r="AP485" i="1"/>
  <c r="BI485" i="1" s="1"/>
  <c r="AE485" i="1" s="1"/>
  <c r="AX485" i="1"/>
  <c r="BD485" i="1"/>
  <c r="BF485" i="1"/>
  <c r="BJ485" i="1"/>
  <c r="K486" i="1"/>
  <c r="Z486" i="1"/>
  <c r="AB486" i="1"/>
  <c r="AC486" i="1"/>
  <c r="AF486" i="1"/>
  <c r="AG486" i="1"/>
  <c r="AH486" i="1"/>
  <c r="AJ486" i="1"/>
  <c r="AK486" i="1"/>
  <c r="AL486" i="1"/>
  <c r="AO486" i="1"/>
  <c r="BH486" i="1" s="1"/>
  <c r="AD486" i="1" s="1"/>
  <c r="AP486" i="1"/>
  <c r="BD486" i="1"/>
  <c r="BF486" i="1"/>
  <c r="BJ486" i="1"/>
  <c r="K487" i="1"/>
  <c r="Z487" i="1"/>
  <c r="AB487" i="1"/>
  <c r="AC487" i="1"/>
  <c r="AF487" i="1"/>
  <c r="AG487" i="1"/>
  <c r="AH487" i="1"/>
  <c r="AJ487" i="1"/>
  <c r="AK487" i="1"/>
  <c r="AL487" i="1"/>
  <c r="AO487" i="1"/>
  <c r="AP487" i="1"/>
  <c r="BD487" i="1"/>
  <c r="BF487" i="1"/>
  <c r="BJ487" i="1"/>
  <c r="K488" i="1"/>
  <c r="AK488" i="1" s="1"/>
  <c r="AB488" i="1"/>
  <c r="AC488" i="1"/>
  <c r="AD488" i="1"/>
  <c r="AE488" i="1"/>
  <c r="AF488" i="1"/>
  <c r="AG488" i="1"/>
  <c r="AH488" i="1"/>
  <c r="AJ488" i="1"/>
  <c r="AL488" i="1"/>
  <c r="AO488" i="1"/>
  <c r="BH488" i="1" s="1"/>
  <c r="AP488" i="1"/>
  <c r="J488" i="1" s="1"/>
  <c r="BD488" i="1"/>
  <c r="BF488" i="1"/>
  <c r="BJ488" i="1"/>
  <c r="Z488" i="1" s="1"/>
  <c r="K490" i="1"/>
  <c r="Z490" i="1"/>
  <c r="AB490" i="1"/>
  <c r="AC490" i="1"/>
  <c r="AF490" i="1"/>
  <c r="AG490" i="1"/>
  <c r="AH490" i="1"/>
  <c r="AJ490" i="1"/>
  <c r="AK490" i="1"/>
  <c r="AL490" i="1"/>
  <c r="AO490" i="1"/>
  <c r="AP490" i="1"/>
  <c r="BD490" i="1"/>
  <c r="BF490" i="1"/>
  <c r="BJ490" i="1"/>
  <c r="K491" i="1"/>
  <c r="Z491" i="1"/>
  <c r="AB491" i="1"/>
  <c r="AC491" i="1"/>
  <c r="AF491" i="1"/>
  <c r="AG491" i="1"/>
  <c r="AH491" i="1"/>
  <c r="AJ491" i="1"/>
  <c r="AL491" i="1"/>
  <c r="AO491" i="1"/>
  <c r="BH491" i="1" s="1"/>
  <c r="AD491" i="1" s="1"/>
  <c r="AP491" i="1"/>
  <c r="J491" i="1" s="1"/>
  <c r="BD491" i="1"/>
  <c r="BF491" i="1"/>
  <c r="BJ491" i="1"/>
  <c r="K492" i="1"/>
  <c r="AK492" i="1" s="1"/>
  <c r="Z492" i="1"/>
  <c r="AB492" i="1"/>
  <c r="AC492" i="1"/>
  <c r="AF492" i="1"/>
  <c r="AG492" i="1"/>
  <c r="AH492" i="1"/>
  <c r="AJ492" i="1"/>
  <c r="AL492" i="1"/>
  <c r="AO492" i="1"/>
  <c r="AP492" i="1"/>
  <c r="BD492" i="1"/>
  <c r="BF492" i="1"/>
  <c r="BJ492" i="1"/>
  <c r="K493" i="1"/>
  <c r="Z493" i="1"/>
  <c r="AB493" i="1"/>
  <c r="AC493" i="1"/>
  <c r="AF493" i="1"/>
  <c r="AG493" i="1"/>
  <c r="AH493" i="1"/>
  <c r="AJ493" i="1"/>
  <c r="AK493" i="1"/>
  <c r="AL493" i="1"/>
  <c r="AO493" i="1"/>
  <c r="I493" i="1" s="1"/>
  <c r="AP493" i="1"/>
  <c r="J493" i="1" s="1"/>
  <c r="BD493" i="1"/>
  <c r="BF493" i="1"/>
  <c r="BI493" i="1"/>
  <c r="AE493" i="1" s="1"/>
  <c r="BJ493" i="1"/>
  <c r="K494" i="1"/>
  <c r="Z494" i="1"/>
  <c r="AB494" i="1"/>
  <c r="AC494" i="1"/>
  <c r="AF494" i="1"/>
  <c r="AG494" i="1"/>
  <c r="AH494" i="1"/>
  <c r="AJ494" i="1"/>
  <c r="AK494" i="1"/>
  <c r="AL494" i="1"/>
  <c r="AO494" i="1"/>
  <c r="I494" i="1" s="1"/>
  <c r="AP494" i="1"/>
  <c r="BD494" i="1"/>
  <c r="BF494" i="1"/>
  <c r="BJ494" i="1"/>
  <c r="K495" i="1"/>
  <c r="AK495" i="1" s="1"/>
  <c r="Z495" i="1"/>
  <c r="AB495" i="1"/>
  <c r="AC495" i="1"/>
  <c r="AF495" i="1"/>
  <c r="AG495" i="1"/>
  <c r="AH495" i="1"/>
  <c r="AJ495" i="1"/>
  <c r="AL495" i="1"/>
  <c r="AO495" i="1"/>
  <c r="BH495" i="1" s="1"/>
  <c r="AD495" i="1" s="1"/>
  <c r="AP495" i="1"/>
  <c r="J495" i="1" s="1"/>
  <c r="BD495" i="1"/>
  <c r="BF495" i="1"/>
  <c r="BJ495" i="1"/>
  <c r="K496" i="1"/>
  <c r="AK496" i="1" s="1"/>
  <c r="AB496" i="1"/>
  <c r="AC496" i="1"/>
  <c r="AD496" i="1"/>
  <c r="AE496" i="1"/>
  <c r="AF496" i="1"/>
  <c r="AG496" i="1"/>
  <c r="AH496" i="1"/>
  <c r="AJ496" i="1"/>
  <c r="AL496" i="1"/>
  <c r="AO496" i="1"/>
  <c r="AP496" i="1"/>
  <c r="BD496" i="1"/>
  <c r="BF496" i="1"/>
  <c r="BJ496" i="1"/>
  <c r="Z496" i="1" s="1"/>
  <c r="K498" i="1"/>
  <c r="Z498" i="1"/>
  <c r="AB498" i="1"/>
  <c r="AC498" i="1"/>
  <c r="AF498" i="1"/>
  <c r="AG498" i="1"/>
  <c r="AH498" i="1"/>
  <c r="AJ498" i="1"/>
  <c r="AL498" i="1"/>
  <c r="AO498" i="1"/>
  <c r="BH498" i="1" s="1"/>
  <c r="AD498" i="1" s="1"/>
  <c r="AP498" i="1"/>
  <c r="J498" i="1" s="1"/>
  <c r="BD498" i="1"/>
  <c r="BF498" i="1"/>
  <c r="BJ498" i="1"/>
  <c r="K499" i="1"/>
  <c r="AK499" i="1" s="1"/>
  <c r="Z499" i="1"/>
  <c r="AB499" i="1"/>
  <c r="AC499" i="1"/>
  <c r="AF499" i="1"/>
  <c r="AG499" i="1"/>
  <c r="AH499" i="1"/>
  <c r="AJ499" i="1"/>
  <c r="AL499" i="1"/>
  <c r="AO499" i="1"/>
  <c r="AP499" i="1"/>
  <c r="J499" i="1" s="1"/>
  <c r="BD499" i="1"/>
  <c r="BF499" i="1"/>
  <c r="BJ499" i="1"/>
  <c r="K500" i="1"/>
  <c r="Z500" i="1"/>
  <c r="AB500" i="1"/>
  <c r="AC500" i="1"/>
  <c r="AF500" i="1"/>
  <c r="AG500" i="1"/>
  <c r="AH500" i="1"/>
  <c r="AJ500" i="1"/>
  <c r="AK500" i="1"/>
  <c r="AL500" i="1"/>
  <c r="AO500" i="1"/>
  <c r="AP500" i="1"/>
  <c r="BD500" i="1"/>
  <c r="BF500" i="1"/>
  <c r="BJ500" i="1"/>
  <c r="K501" i="1"/>
  <c r="Z501" i="1"/>
  <c r="AB501" i="1"/>
  <c r="AC501" i="1"/>
  <c r="AF501" i="1"/>
  <c r="AG501" i="1"/>
  <c r="AH501" i="1"/>
  <c r="AJ501" i="1"/>
  <c r="AK501" i="1"/>
  <c r="AL501" i="1"/>
  <c r="AO501" i="1"/>
  <c r="AP501" i="1"/>
  <c r="BI501" i="1" s="1"/>
  <c r="AE501" i="1" s="1"/>
  <c r="BD501" i="1"/>
  <c r="BF501" i="1"/>
  <c r="BJ501" i="1"/>
  <c r="K502" i="1"/>
  <c r="AK502" i="1" s="1"/>
  <c r="Z502" i="1"/>
  <c r="AB502" i="1"/>
  <c r="AC502" i="1"/>
  <c r="AF502" i="1"/>
  <c r="AG502" i="1"/>
  <c r="AH502" i="1"/>
  <c r="AJ502" i="1"/>
  <c r="AL502" i="1"/>
  <c r="AO502" i="1"/>
  <c r="BH502" i="1" s="1"/>
  <c r="AD502" i="1" s="1"/>
  <c r="AP502" i="1"/>
  <c r="J502" i="1" s="1"/>
  <c r="BD502" i="1"/>
  <c r="BF502" i="1"/>
  <c r="BJ502" i="1"/>
  <c r="K504" i="1"/>
  <c r="Z504" i="1"/>
  <c r="AB504" i="1"/>
  <c r="AC504" i="1"/>
  <c r="AD504" i="1"/>
  <c r="AE504" i="1"/>
  <c r="AH504" i="1"/>
  <c r="AJ504" i="1"/>
  <c r="AK504" i="1"/>
  <c r="AL504" i="1"/>
  <c r="AO504" i="1"/>
  <c r="I504" i="1" s="1"/>
  <c r="AP504" i="1"/>
  <c r="BI504" i="1" s="1"/>
  <c r="AG504" i="1" s="1"/>
  <c r="BD504" i="1"/>
  <c r="BF504" i="1"/>
  <c r="BJ504" i="1"/>
  <c r="K505" i="1"/>
  <c r="Z505" i="1"/>
  <c r="AB505" i="1"/>
  <c r="AC505" i="1"/>
  <c r="AD505" i="1"/>
  <c r="AE505" i="1"/>
  <c r="AH505" i="1"/>
  <c r="AJ505" i="1"/>
  <c r="AL505" i="1"/>
  <c r="AO505" i="1"/>
  <c r="AP505" i="1"/>
  <c r="BD505" i="1"/>
  <c r="BF505" i="1"/>
  <c r="BH505" i="1"/>
  <c r="AF505" i="1" s="1"/>
  <c r="BJ505" i="1"/>
  <c r="K506" i="1"/>
  <c r="AK506" i="1" s="1"/>
  <c r="Z506" i="1"/>
  <c r="AB506" i="1"/>
  <c r="AC506" i="1"/>
  <c r="AD506" i="1"/>
  <c r="AE506" i="1"/>
  <c r="AH506" i="1"/>
  <c r="AJ506" i="1"/>
  <c r="AL506" i="1"/>
  <c r="AO506" i="1"/>
  <c r="I506" i="1" s="1"/>
  <c r="AP506" i="1"/>
  <c r="J506" i="1" s="1"/>
  <c r="BD506" i="1"/>
  <c r="BF506" i="1"/>
  <c r="BJ506" i="1"/>
  <c r="K507" i="1"/>
  <c r="AK507" i="1" s="1"/>
  <c r="Z507" i="1"/>
  <c r="AB507" i="1"/>
  <c r="AC507" i="1"/>
  <c r="AD507" i="1"/>
  <c r="AE507" i="1"/>
  <c r="AH507" i="1"/>
  <c r="AJ507" i="1"/>
  <c r="AL507" i="1"/>
  <c r="AO507" i="1"/>
  <c r="AP507" i="1"/>
  <c r="J507" i="1" s="1"/>
  <c r="BD507" i="1"/>
  <c r="BF507" i="1"/>
  <c r="BJ507" i="1"/>
  <c r="K508" i="1"/>
  <c r="Z508" i="1"/>
  <c r="AB508" i="1"/>
  <c r="AC508" i="1"/>
  <c r="AD508" i="1"/>
  <c r="AE508" i="1"/>
  <c r="AH508" i="1"/>
  <c r="AJ508" i="1"/>
  <c r="AK508" i="1"/>
  <c r="AL508" i="1"/>
  <c r="AO508" i="1"/>
  <c r="I508" i="1" s="1"/>
  <c r="AP508" i="1"/>
  <c r="BD508" i="1"/>
  <c r="BF508" i="1"/>
  <c r="BJ508" i="1"/>
  <c r="K509" i="1"/>
  <c r="AK509" i="1" s="1"/>
  <c r="Z509" i="1"/>
  <c r="AD509" i="1"/>
  <c r="AE509" i="1"/>
  <c r="AF509" i="1"/>
  <c r="AG509" i="1"/>
  <c r="AH509" i="1"/>
  <c r="AJ509" i="1"/>
  <c r="AL509" i="1"/>
  <c r="AO509" i="1"/>
  <c r="BH509" i="1" s="1"/>
  <c r="AB509" i="1" s="1"/>
  <c r="AP509" i="1"/>
  <c r="J509" i="1" s="1"/>
  <c r="BD509" i="1"/>
  <c r="BF509" i="1"/>
  <c r="BI509" i="1"/>
  <c r="AC509" i="1" s="1"/>
  <c r="BJ509" i="1"/>
  <c r="K510" i="1"/>
  <c r="AK510" i="1" s="1"/>
  <c r="Z510" i="1"/>
  <c r="AD510" i="1"/>
  <c r="AE510" i="1"/>
  <c r="AF510" i="1"/>
  <c r="AG510" i="1"/>
  <c r="AH510" i="1"/>
  <c r="AJ510" i="1"/>
  <c r="AL510" i="1"/>
  <c r="AO510" i="1"/>
  <c r="I510" i="1" s="1"/>
  <c r="AP510" i="1"/>
  <c r="BD510" i="1"/>
  <c r="BF510" i="1"/>
  <c r="BJ510" i="1"/>
  <c r="K511" i="1"/>
  <c r="Z511" i="1"/>
  <c r="AD511" i="1"/>
  <c r="AE511" i="1"/>
  <c r="AF511" i="1"/>
  <c r="AG511" i="1"/>
  <c r="AH511" i="1"/>
  <c r="AJ511" i="1"/>
  <c r="AK511" i="1"/>
  <c r="AL511" i="1"/>
  <c r="AO511" i="1"/>
  <c r="AW511" i="1" s="1"/>
  <c r="AP511" i="1"/>
  <c r="BD511" i="1"/>
  <c r="BF511" i="1"/>
  <c r="BJ511" i="1"/>
  <c r="K512" i="1"/>
  <c r="Z512" i="1"/>
  <c r="AD512" i="1"/>
  <c r="AE512" i="1"/>
  <c r="AF512" i="1"/>
  <c r="AG512" i="1"/>
  <c r="AH512" i="1"/>
  <c r="AJ512" i="1"/>
  <c r="AK512" i="1"/>
  <c r="AL512" i="1"/>
  <c r="AO512" i="1"/>
  <c r="I512" i="1" s="1"/>
  <c r="AP512" i="1"/>
  <c r="BI512" i="1" s="1"/>
  <c r="AC512" i="1" s="1"/>
  <c r="BD512" i="1"/>
  <c r="BF512" i="1"/>
  <c r="BJ512" i="1"/>
  <c r="K513" i="1"/>
  <c r="AK513" i="1" s="1"/>
  <c r="Z513" i="1"/>
  <c r="AD513" i="1"/>
  <c r="AE513" i="1"/>
  <c r="AF513" i="1"/>
  <c r="AG513" i="1"/>
  <c r="AH513" i="1"/>
  <c r="AJ513" i="1"/>
  <c r="AL513" i="1"/>
  <c r="AO513" i="1"/>
  <c r="BH513" i="1" s="1"/>
  <c r="AB513" i="1" s="1"/>
  <c r="AP513" i="1"/>
  <c r="BD513" i="1"/>
  <c r="BF513" i="1"/>
  <c r="BJ513" i="1"/>
  <c r="K514" i="1"/>
  <c r="AK514" i="1" s="1"/>
  <c r="Z514" i="1"/>
  <c r="AD514" i="1"/>
  <c r="AE514" i="1"/>
  <c r="AF514" i="1"/>
  <c r="AG514" i="1"/>
  <c r="AH514" i="1"/>
  <c r="AJ514" i="1"/>
  <c r="AL514" i="1"/>
  <c r="AO514" i="1"/>
  <c r="I514" i="1" s="1"/>
  <c r="AP514" i="1"/>
  <c r="BD514" i="1"/>
  <c r="BF514" i="1"/>
  <c r="BJ514" i="1"/>
  <c r="K515" i="1"/>
  <c r="AK515" i="1" s="1"/>
  <c r="Z515" i="1"/>
  <c r="AD515" i="1"/>
  <c r="AE515" i="1"/>
  <c r="AF515" i="1"/>
  <c r="AG515" i="1"/>
  <c r="AH515" i="1"/>
  <c r="AJ515" i="1"/>
  <c r="AL515" i="1"/>
  <c r="AO515" i="1"/>
  <c r="AP515" i="1"/>
  <c r="BI515" i="1" s="1"/>
  <c r="AC515" i="1" s="1"/>
  <c r="BD515" i="1"/>
  <c r="BF515" i="1"/>
  <c r="BJ515" i="1"/>
  <c r="K516" i="1"/>
  <c r="Z516" i="1"/>
  <c r="AD516" i="1"/>
  <c r="AE516" i="1"/>
  <c r="AF516" i="1"/>
  <c r="AG516" i="1"/>
  <c r="AH516" i="1"/>
  <c r="AJ516" i="1"/>
  <c r="AK516" i="1"/>
  <c r="AL516" i="1"/>
  <c r="AO516" i="1"/>
  <c r="AP516" i="1"/>
  <c r="BD516" i="1"/>
  <c r="BF516" i="1"/>
  <c r="BJ516" i="1"/>
  <c r="K517" i="1"/>
  <c r="AK517" i="1" s="1"/>
  <c r="Z517" i="1"/>
  <c r="AD517" i="1"/>
  <c r="AE517" i="1"/>
  <c r="AF517" i="1"/>
  <c r="AG517" i="1"/>
  <c r="AH517" i="1"/>
  <c r="AJ517" i="1"/>
  <c r="AL517" i="1"/>
  <c r="AO517" i="1"/>
  <c r="AP517" i="1"/>
  <c r="J517" i="1" s="1"/>
  <c r="BD517" i="1"/>
  <c r="BF517" i="1"/>
  <c r="BJ517" i="1"/>
  <c r="K518" i="1"/>
  <c r="AK518" i="1" s="1"/>
  <c r="Z518" i="1"/>
  <c r="AD518" i="1"/>
  <c r="AE518" i="1"/>
  <c r="AF518" i="1"/>
  <c r="AG518" i="1"/>
  <c r="AH518" i="1"/>
  <c r="AJ518" i="1"/>
  <c r="AL518" i="1"/>
  <c r="AO518" i="1"/>
  <c r="AP518" i="1"/>
  <c r="AX518" i="1" s="1"/>
  <c r="BD518" i="1"/>
  <c r="BF518" i="1"/>
  <c r="BJ518" i="1"/>
  <c r="K519" i="1"/>
  <c r="Z519" i="1"/>
  <c r="AD519" i="1"/>
  <c r="AE519" i="1"/>
  <c r="AF519" i="1"/>
  <c r="AG519" i="1"/>
  <c r="AH519" i="1"/>
  <c r="AJ519" i="1"/>
  <c r="AK519" i="1"/>
  <c r="AL519" i="1"/>
  <c r="AO519" i="1"/>
  <c r="I519" i="1" s="1"/>
  <c r="AP519" i="1"/>
  <c r="BD519" i="1"/>
  <c r="BF519" i="1"/>
  <c r="BJ519" i="1"/>
  <c r="K520" i="1"/>
  <c r="AK520" i="1" s="1"/>
  <c r="Z520" i="1"/>
  <c r="AD520" i="1"/>
  <c r="AE520" i="1"/>
  <c r="AF520" i="1"/>
  <c r="AG520" i="1"/>
  <c r="AH520" i="1"/>
  <c r="AJ520" i="1"/>
  <c r="AL520" i="1"/>
  <c r="AO520" i="1"/>
  <c r="BH520" i="1" s="1"/>
  <c r="AB520" i="1" s="1"/>
  <c r="AP520" i="1"/>
  <c r="BD520" i="1"/>
  <c r="BF520" i="1"/>
  <c r="BJ520" i="1"/>
  <c r="K521" i="1"/>
  <c r="Z521" i="1"/>
  <c r="AD521" i="1"/>
  <c r="AE521" i="1"/>
  <c r="AF521" i="1"/>
  <c r="AG521" i="1"/>
  <c r="AH521" i="1"/>
  <c r="AJ521" i="1"/>
  <c r="AK521" i="1"/>
  <c r="AL521" i="1"/>
  <c r="AO521" i="1"/>
  <c r="AW521" i="1" s="1"/>
  <c r="AP521" i="1"/>
  <c r="J521" i="1" s="1"/>
  <c r="BD521" i="1"/>
  <c r="BF521" i="1"/>
  <c r="BJ521" i="1"/>
  <c r="K522" i="1"/>
  <c r="AK522" i="1" s="1"/>
  <c r="Z522" i="1"/>
  <c r="AD522" i="1"/>
  <c r="AE522" i="1"/>
  <c r="AF522" i="1"/>
  <c r="AG522" i="1"/>
  <c r="AH522" i="1"/>
  <c r="AJ522" i="1"/>
  <c r="AL522" i="1"/>
  <c r="AO522" i="1"/>
  <c r="I522" i="1" s="1"/>
  <c r="AP522" i="1"/>
  <c r="AX522" i="1" s="1"/>
  <c r="BD522" i="1"/>
  <c r="BF522" i="1"/>
  <c r="BJ522" i="1"/>
  <c r="K523" i="1"/>
  <c r="AK523" i="1" s="1"/>
  <c r="Z523" i="1"/>
  <c r="AD523" i="1"/>
  <c r="AE523" i="1"/>
  <c r="AF523" i="1"/>
  <c r="AG523" i="1"/>
  <c r="AH523" i="1"/>
  <c r="AJ523" i="1"/>
  <c r="AL523" i="1"/>
  <c r="AO523" i="1"/>
  <c r="AP523" i="1"/>
  <c r="BI523" i="1" s="1"/>
  <c r="AC523" i="1" s="1"/>
  <c r="BD523" i="1"/>
  <c r="BF523" i="1"/>
  <c r="BJ523" i="1"/>
  <c r="K524" i="1"/>
  <c r="AK524" i="1" s="1"/>
  <c r="Z524" i="1"/>
  <c r="AD524" i="1"/>
  <c r="AE524" i="1"/>
  <c r="AF524" i="1"/>
  <c r="AG524" i="1"/>
  <c r="AH524" i="1"/>
  <c r="AJ524" i="1"/>
  <c r="AL524" i="1"/>
  <c r="AO524" i="1"/>
  <c r="I524" i="1" s="1"/>
  <c r="AP524" i="1"/>
  <c r="AX524" i="1" s="1"/>
  <c r="BD524" i="1"/>
  <c r="BF524" i="1"/>
  <c r="BJ524" i="1"/>
  <c r="I525" i="1"/>
  <c r="K525" i="1"/>
  <c r="AK525" i="1" s="1"/>
  <c r="Z525" i="1"/>
  <c r="AD525" i="1"/>
  <c r="AE525" i="1"/>
  <c r="AF525" i="1"/>
  <c r="AG525" i="1"/>
  <c r="AH525" i="1"/>
  <c r="AJ525" i="1"/>
  <c r="AL525" i="1"/>
  <c r="AO525" i="1"/>
  <c r="AW525" i="1" s="1"/>
  <c r="AP525" i="1"/>
  <c r="J525" i="1" s="1"/>
  <c r="BD525" i="1"/>
  <c r="BF525" i="1"/>
  <c r="BH525" i="1"/>
  <c r="AB525" i="1" s="1"/>
  <c r="BI525" i="1"/>
  <c r="AC525" i="1" s="1"/>
  <c r="BJ525" i="1"/>
  <c r="K526" i="1"/>
  <c r="AK526" i="1" s="1"/>
  <c r="Z526" i="1"/>
  <c r="AD526" i="1"/>
  <c r="AE526" i="1"/>
  <c r="AF526" i="1"/>
  <c r="AG526" i="1"/>
  <c r="AH526" i="1"/>
  <c r="AJ526" i="1"/>
  <c r="AL526" i="1"/>
  <c r="AO526" i="1"/>
  <c r="I526" i="1" s="1"/>
  <c r="AP526" i="1"/>
  <c r="BI526" i="1" s="1"/>
  <c r="AC526" i="1" s="1"/>
  <c r="BD526" i="1"/>
  <c r="BF526" i="1"/>
  <c r="BJ526" i="1"/>
  <c r="K527" i="1"/>
  <c r="AK527" i="1" s="1"/>
  <c r="Z527" i="1"/>
  <c r="AD527" i="1"/>
  <c r="AE527" i="1"/>
  <c r="AF527" i="1"/>
  <c r="AG527" i="1"/>
  <c r="AH527" i="1"/>
  <c r="AJ527" i="1"/>
  <c r="AL527" i="1"/>
  <c r="AO527" i="1"/>
  <c r="BH527" i="1" s="1"/>
  <c r="AB527" i="1" s="1"/>
  <c r="AP527" i="1"/>
  <c r="J527" i="1" s="1"/>
  <c r="BD527" i="1"/>
  <c r="BF527" i="1"/>
  <c r="BI527" i="1"/>
  <c r="AC527" i="1" s="1"/>
  <c r="BJ527" i="1"/>
  <c r="K528" i="1"/>
  <c r="Z528" i="1"/>
  <c r="AD528" i="1"/>
  <c r="AE528" i="1"/>
  <c r="AF528" i="1"/>
  <c r="AG528" i="1"/>
  <c r="AH528" i="1"/>
  <c r="AJ528" i="1"/>
  <c r="AK528" i="1"/>
  <c r="AL528" i="1"/>
  <c r="AO528" i="1"/>
  <c r="AP528" i="1"/>
  <c r="BD528" i="1"/>
  <c r="BF528" i="1"/>
  <c r="BJ528" i="1"/>
  <c r="K529" i="1"/>
  <c r="AK529" i="1" s="1"/>
  <c r="Z529" i="1"/>
  <c r="AD529" i="1"/>
  <c r="AE529" i="1"/>
  <c r="AF529" i="1"/>
  <c r="AG529" i="1"/>
  <c r="AH529" i="1"/>
  <c r="AJ529" i="1"/>
  <c r="AL529" i="1"/>
  <c r="AO529" i="1"/>
  <c r="AW529" i="1" s="1"/>
  <c r="AP529" i="1"/>
  <c r="J529" i="1" s="1"/>
  <c r="BD529" i="1"/>
  <c r="BF529" i="1"/>
  <c r="BH529" i="1"/>
  <c r="AB529" i="1" s="1"/>
  <c r="BJ529" i="1"/>
  <c r="K530" i="1"/>
  <c r="AK530" i="1" s="1"/>
  <c r="Z530" i="1"/>
  <c r="AD530" i="1"/>
  <c r="AE530" i="1"/>
  <c r="AF530" i="1"/>
  <c r="AG530" i="1"/>
  <c r="AH530" i="1"/>
  <c r="AJ530" i="1"/>
  <c r="AL530" i="1"/>
  <c r="AO530" i="1"/>
  <c r="I530" i="1" s="1"/>
  <c r="AP530" i="1"/>
  <c r="BI530" i="1" s="1"/>
  <c r="AC530" i="1" s="1"/>
  <c r="BD530" i="1"/>
  <c r="BF530" i="1"/>
  <c r="BH530" i="1"/>
  <c r="AB530" i="1" s="1"/>
  <c r="BJ530" i="1"/>
  <c r="K531" i="1"/>
  <c r="AK531" i="1" s="1"/>
  <c r="Z531" i="1"/>
  <c r="AD531" i="1"/>
  <c r="AE531" i="1"/>
  <c r="AF531" i="1"/>
  <c r="AG531" i="1"/>
  <c r="AH531" i="1"/>
  <c r="AJ531" i="1"/>
  <c r="AL531" i="1"/>
  <c r="AO531" i="1"/>
  <c r="BH531" i="1" s="1"/>
  <c r="AB531" i="1" s="1"/>
  <c r="AP531" i="1"/>
  <c r="J531" i="1" s="1"/>
  <c r="BD531" i="1"/>
  <c r="BF531" i="1"/>
  <c r="BJ531" i="1"/>
  <c r="K532" i="1"/>
  <c r="Z532" i="1"/>
  <c r="AD532" i="1"/>
  <c r="AE532" i="1"/>
  <c r="AF532" i="1"/>
  <c r="AG532" i="1"/>
  <c r="AH532" i="1"/>
  <c r="AJ532" i="1"/>
  <c r="AK532" i="1"/>
  <c r="AL532" i="1"/>
  <c r="AO532" i="1"/>
  <c r="I532" i="1" s="1"/>
  <c r="AP532" i="1"/>
  <c r="AX532" i="1" s="1"/>
  <c r="BD532" i="1"/>
  <c r="BF532" i="1"/>
  <c r="BJ532" i="1"/>
  <c r="K533" i="1"/>
  <c r="AK533" i="1" s="1"/>
  <c r="Z533" i="1"/>
  <c r="AD533" i="1"/>
  <c r="AE533" i="1"/>
  <c r="AF533" i="1"/>
  <c r="AG533" i="1"/>
  <c r="AH533" i="1"/>
  <c r="AJ533" i="1"/>
  <c r="AL533" i="1"/>
  <c r="AO533" i="1"/>
  <c r="AW533" i="1" s="1"/>
  <c r="AP533" i="1"/>
  <c r="J533" i="1" s="1"/>
  <c r="BD533" i="1"/>
  <c r="BF533" i="1"/>
  <c r="BH533" i="1"/>
  <c r="AB533" i="1" s="1"/>
  <c r="BJ533" i="1"/>
  <c r="K535" i="1"/>
  <c r="Z535" i="1"/>
  <c r="AB535" i="1"/>
  <c r="AC535" i="1"/>
  <c r="AD535" i="1"/>
  <c r="AE535" i="1"/>
  <c r="AH535" i="1"/>
  <c r="AJ535" i="1"/>
  <c r="AK535" i="1"/>
  <c r="AL535" i="1"/>
  <c r="AO535" i="1"/>
  <c r="BH535" i="1" s="1"/>
  <c r="AF535" i="1" s="1"/>
  <c r="AP535" i="1"/>
  <c r="BI535" i="1" s="1"/>
  <c r="AG535" i="1" s="1"/>
  <c r="BD535" i="1"/>
  <c r="BF535" i="1"/>
  <c r="BJ535" i="1"/>
  <c r="K536" i="1"/>
  <c r="AK536" i="1" s="1"/>
  <c r="Z536" i="1"/>
  <c r="AB536" i="1"/>
  <c r="AC536" i="1"/>
  <c r="AD536" i="1"/>
  <c r="AE536" i="1"/>
  <c r="AH536" i="1"/>
  <c r="AJ536" i="1"/>
  <c r="AL536" i="1"/>
  <c r="AO536" i="1"/>
  <c r="AW536" i="1" s="1"/>
  <c r="AP536" i="1"/>
  <c r="J536" i="1" s="1"/>
  <c r="BD536" i="1"/>
  <c r="BF536" i="1"/>
  <c r="BH536" i="1"/>
  <c r="AF536" i="1" s="1"/>
  <c r="BI536" i="1"/>
  <c r="AG536" i="1" s="1"/>
  <c r="BJ536" i="1"/>
  <c r="K538" i="1"/>
  <c r="Z538" i="1"/>
  <c r="AD538" i="1"/>
  <c r="AE538" i="1"/>
  <c r="AF538" i="1"/>
  <c r="AG538" i="1"/>
  <c r="AH538" i="1"/>
  <c r="AJ538" i="1"/>
  <c r="AK538" i="1"/>
  <c r="AL538" i="1"/>
  <c r="AO538" i="1"/>
  <c r="AP538" i="1"/>
  <c r="AX538" i="1" s="1"/>
  <c r="BD538" i="1"/>
  <c r="BF538" i="1"/>
  <c r="BJ538" i="1"/>
  <c r="K539" i="1"/>
  <c r="AK539" i="1" s="1"/>
  <c r="Z539" i="1"/>
  <c r="AD539" i="1"/>
  <c r="AE539" i="1"/>
  <c r="AF539" i="1"/>
  <c r="AG539" i="1"/>
  <c r="AH539" i="1"/>
  <c r="AJ539" i="1"/>
  <c r="AL539" i="1"/>
  <c r="AO539" i="1"/>
  <c r="AW539" i="1" s="1"/>
  <c r="AP539" i="1"/>
  <c r="J539" i="1" s="1"/>
  <c r="BD539" i="1"/>
  <c r="BF539" i="1"/>
  <c r="BH539" i="1"/>
  <c r="AB539" i="1" s="1"/>
  <c r="BJ539" i="1"/>
  <c r="K540" i="1"/>
  <c r="AK540" i="1" s="1"/>
  <c r="Z540" i="1"/>
  <c r="AD540" i="1"/>
  <c r="AE540" i="1"/>
  <c r="AF540" i="1"/>
  <c r="AG540" i="1"/>
  <c r="AH540" i="1"/>
  <c r="AJ540" i="1"/>
  <c r="AL540" i="1"/>
  <c r="AO540" i="1"/>
  <c r="I540" i="1" s="1"/>
  <c r="AP540" i="1"/>
  <c r="BI540" i="1" s="1"/>
  <c r="AC540" i="1" s="1"/>
  <c r="BD540" i="1"/>
  <c r="BF540" i="1"/>
  <c r="BH540" i="1"/>
  <c r="AB540" i="1" s="1"/>
  <c r="BJ540" i="1"/>
  <c r="K541" i="1"/>
  <c r="AK541" i="1" s="1"/>
  <c r="Z541" i="1"/>
  <c r="AD541" i="1"/>
  <c r="AE541" i="1"/>
  <c r="AF541" i="1"/>
  <c r="AG541" i="1"/>
  <c r="AH541" i="1"/>
  <c r="AJ541" i="1"/>
  <c r="AL541" i="1"/>
  <c r="AO541" i="1"/>
  <c r="AP541" i="1"/>
  <c r="BD541" i="1"/>
  <c r="BF541" i="1"/>
  <c r="BJ541" i="1"/>
  <c r="K542" i="1"/>
  <c r="AK542" i="1" s="1"/>
  <c r="Z542" i="1"/>
  <c r="AD542" i="1"/>
  <c r="AE542" i="1"/>
  <c r="AF542" i="1"/>
  <c r="AG542" i="1"/>
  <c r="AH542" i="1"/>
  <c r="AJ542" i="1"/>
  <c r="AL542" i="1"/>
  <c r="AO542" i="1"/>
  <c r="AP542" i="1"/>
  <c r="AX542" i="1" s="1"/>
  <c r="BD542" i="1"/>
  <c r="BF542" i="1"/>
  <c r="BJ542" i="1"/>
  <c r="K543" i="1"/>
  <c r="Z543" i="1"/>
  <c r="AD543" i="1"/>
  <c r="AE543" i="1"/>
  <c r="AF543" i="1"/>
  <c r="AG543" i="1"/>
  <c r="AH543" i="1"/>
  <c r="AJ543" i="1"/>
  <c r="AK543" i="1"/>
  <c r="AL543" i="1"/>
  <c r="AO543" i="1"/>
  <c r="AW543" i="1" s="1"/>
  <c r="AP543" i="1"/>
  <c r="J543" i="1" s="1"/>
  <c r="BD543" i="1"/>
  <c r="BF543" i="1"/>
  <c r="BJ543" i="1"/>
  <c r="K544" i="1"/>
  <c r="AK544" i="1" s="1"/>
  <c r="Z544" i="1"/>
  <c r="AD544" i="1"/>
  <c r="AE544" i="1"/>
  <c r="AF544" i="1"/>
  <c r="AG544" i="1"/>
  <c r="AH544" i="1"/>
  <c r="AJ544" i="1"/>
  <c r="AL544" i="1"/>
  <c r="AO544" i="1"/>
  <c r="I544" i="1" s="1"/>
  <c r="AP544" i="1"/>
  <c r="BD544" i="1"/>
  <c r="BF544" i="1"/>
  <c r="BH544" i="1"/>
  <c r="AB544" i="1" s="1"/>
  <c r="BJ544" i="1"/>
  <c r="K545" i="1"/>
  <c r="AK545" i="1" s="1"/>
  <c r="Z545" i="1"/>
  <c r="AD545" i="1"/>
  <c r="AE545" i="1"/>
  <c r="AF545" i="1"/>
  <c r="AG545" i="1"/>
  <c r="AH545" i="1"/>
  <c r="AJ545" i="1"/>
  <c r="AL545" i="1"/>
  <c r="AO545" i="1"/>
  <c r="AP545" i="1"/>
  <c r="J545" i="1" s="1"/>
  <c r="BD545" i="1"/>
  <c r="BF545" i="1"/>
  <c r="BH545" i="1"/>
  <c r="AB545" i="1" s="1"/>
  <c r="BJ545" i="1"/>
  <c r="K546" i="1"/>
  <c r="Z546" i="1"/>
  <c r="AD546" i="1"/>
  <c r="AE546" i="1"/>
  <c r="AF546" i="1"/>
  <c r="AG546" i="1"/>
  <c r="AH546" i="1"/>
  <c r="AJ546" i="1"/>
  <c r="AK546" i="1"/>
  <c r="AL546" i="1"/>
  <c r="AO546" i="1"/>
  <c r="I546" i="1" s="1"/>
  <c r="AP546" i="1"/>
  <c r="BD546" i="1"/>
  <c r="BF546" i="1"/>
  <c r="BH546" i="1"/>
  <c r="AB546" i="1" s="1"/>
  <c r="BJ546" i="1"/>
  <c r="K547" i="1"/>
  <c r="AK547" i="1" s="1"/>
  <c r="Z547" i="1"/>
  <c r="AD547" i="1"/>
  <c r="AE547" i="1"/>
  <c r="AF547" i="1"/>
  <c r="AG547" i="1"/>
  <c r="AH547" i="1"/>
  <c r="AJ547" i="1"/>
  <c r="AL547" i="1"/>
  <c r="AO547" i="1"/>
  <c r="AW547" i="1" s="1"/>
  <c r="AP547" i="1"/>
  <c r="BD547" i="1"/>
  <c r="BF547" i="1"/>
  <c r="BJ547" i="1"/>
  <c r="K548" i="1"/>
  <c r="AK548" i="1" s="1"/>
  <c r="Z548" i="1"/>
  <c r="AD548" i="1"/>
  <c r="AE548" i="1"/>
  <c r="AF548" i="1"/>
  <c r="AG548" i="1"/>
  <c r="AH548" i="1"/>
  <c r="AJ548" i="1"/>
  <c r="AL548" i="1"/>
  <c r="AO548" i="1"/>
  <c r="I548" i="1" s="1"/>
  <c r="AP548" i="1"/>
  <c r="BD548" i="1"/>
  <c r="BF548" i="1"/>
  <c r="BH548" i="1"/>
  <c r="AB548" i="1" s="1"/>
  <c r="BI548" i="1"/>
  <c r="AC548" i="1" s="1"/>
  <c r="BJ548" i="1"/>
  <c r="K549" i="1"/>
  <c r="AK549" i="1" s="1"/>
  <c r="Z549" i="1"/>
  <c r="AD549" i="1"/>
  <c r="AE549" i="1"/>
  <c r="AF549" i="1"/>
  <c r="AG549" i="1"/>
  <c r="AH549" i="1"/>
  <c r="AJ549" i="1"/>
  <c r="AL549" i="1"/>
  <c r="AO549" i="1"/>
  <c r="AP549" i="1"/>
  <c r="J549" i="1" s="1"/>
  <c r="BD549" i="1"/>
  <c r="BF549" i="1"/>
  <c r="BJ549" i="1"/>
  <c r="K550" i="1"/>
  <c r="Z550" i="1"/>
  <c r="AD550" i="1"/>
  <c r="AE550" i="1"/>
  <c r="AF550" i="1"/>
  <c r="AG550" i="1"/>
  <c r="AH550" i="1"/>
  <c r="AJ550" i="1"/>
  <c r="AK550" i="1"/>
  <c r="AL550" i="1"/>
  <c r="AO550" i="1"/>
  <c r="I550" i="1" s="1"/>
  <c r="AP550" i="1"/>
  <c r="AX550" i="1" s="1"/>
  <c r="AW550" i="1"/>
  <c r="BD550" i="1"/>
  <c r="BF550" i="1"/>
  <c r="BH550" i="1"/>
  <c r="AB550" i="1" s="1"/>
  <c r="BJ550" i="1"/>
  <c r="K551" i="1"/>
  <c r="Z551" i="1"/>
  <c r="AD551" i="1"/>
  <c r="AE551" i="1"/>
  <c r="AF551" i="1"/>
  <c r="AG551" i="1"/>
  <c r="AH551" i="1"/>
  <c r="AJ551" i="1"/>
  <c r="AK551" i="1"/>
  <c r="AL551" i="1"/>
  <c r="AO551" i="1"/>
  <c r="AW551" i="1" s="1"/>
  <c r="AP551" i="1"/>
  <c r="J551" i="1" s="1"/>
  <c r="BD551" i="1"/>
  <c r="BF551" i="1"/>
  <c r="BH551" i="1"/>
  <c r="AB551" i="1" s="1"/>
  <c r="BJ551" i="1"/>
  <c r="K552" i="1"/>
  <c r="AK552" i="1" s="1"/>
  <c r="Z552" i="1"/>
  <c r="AD552" i="1"/>
  <c r="AE552" i="1"/>
  <c r="AF552" i="1"/>
  <c r="AG552" i="1"/>
  <c r="AH552" i="1"/>
  <c r="AJ552" i="1"/>
  <c r="AL552" i="1"/>
  <c r="AO552" i="1"/>
  <c r="I552" i="1" s="1"/>
  <c r="AP552" i="1"/>
  <c r="BD552" i="1"/>
  <c r="BF552" i="1"/>
  <c r="BH552" i="1"/>
  <c r="AB552" i="1" s="1"/>
  <c r="BJ552" i="1"/>
  <c r="K553" i="1"/>
  <c r="AK553" i="1" s="1"/>
  <c r="Z553" i="1"/>
  <c r="AD553" i="1"/>
  <c r="AE553" i="1"/>
  <c r="AF553" i="1"/>
  <c r="AG553" i="1"/>
  <c r="AH553" i="1"/>
  <c r="AJ553" i="1"/>
  <c r="AL553" i="1"/>
  <c r="AO553" i="1"/>
  <c r="AP553" i="1"/>
  <c r="J553" i="1" s="1"/>
  <c r="BD553" i="1"/>
  <c r="BF553" i="1"/>
  <c r="BH553" i="1"/>
  <c r="AB553" i="1" s="1"/>
  <c r="BJ553" i="1"/>
  <c r="K554" i="1"/>
  <c r="Z554" i="1"/>
  <c r="AD554" i="1"/>
  <c r="AE554" i="1"/>
  <c r="AF554" i="1"/>
  <c r="AG554" i="1"/>
  <c r="AH554" i="1"/>
  <c r="AJ554" i="1"/>
  <c r="AK554" i="1"/>
  <c r="AL554" i="1"/>
  <c r="AO554" i="1"/>
  <c r="I554" i="1" s="1"/>
  <c r="AP554" i="1"/>
  <c r="AX554" i="1" s="1"/>
  <c r="AW554" i="1"/>
  <c r="BD554" i="1"/>
  <c r="BF554" i="1"/>
  <c r="BI554" i="1"/>
  <c r="AC554" i="1" s="1"/>
  <c r="BJ554" i="1"/>
  <c r="K555" i="1"/>
  <c r="Z555" i="1"/>
  <c r="AD555" i="1"/>
  <c r="AE555" i="1"/>
  <c r="AF555" i="1"/>
  <c r="AG555" i="1"/>
  <c r="AH555" i="1"/>
  <c r="AJ555" i="1"/>
  <c r="AK555" i="1"/>
  <c r="AL555" i="1"/>
  <c r="AO555" i="1"/>
  <c r="AW555" i="1" s="1"/>
  <c r="AP555" i="1"/>
  <c r="J555" i="1" s="1"/>
  <c r="BD555" i="1"/>
  <c r="BF555" i="1"/>
  <c r="BH555" i="1"/>
  <c r="AB555" i="1" s="1"/>
  <c r="BJ555" i="1"/>
  <c r="K556" i="1"/>
  <c r="AK556" i="1" s="1"/>
  <c r="Z556" i="1"/>
  <c r="AD556" i="1"/>
  <c r="AE556" i="1"/>
  <c r="AF556" i="1"/>
  <c r="AG556" i="1"/>
  <c r="AH556" i="1"/>
  <c r="AJ556" i="1"/>
  <c r="AL556" i="1"/>
  <c r="AO556" i="1"/>
  <c r="I556" i="1" s="1"/>
  <c r="AP556" i="1"/>
  <c r="BI556" i="1" s="1"/>
  <c r="AC556" i="1" s="1"/>
  <c r="BD556" i="1"/>
  <c r="BF556" i="1"/>
  <c r="BH556" i="1"/>
  <c r="AB556" i="1" s="1"/>
  <c r="BJ556" i="1"/>
  <c r="K557" i="1"/>
  <c r="AK557" i="1" s="1"/>
  <c r="Z557" i="1"/>
  <c r="AD557" i="1"/>
  <c r="AE557" i="1"/>
  <c r="AF557" i="1"/>
  <c r="AG557" i="1"/>
  <c r="AH557" i="1"/>
  <c r="AJ557" i="1"/>
  <c r="AL557" i="1"/>
  <c r="AO557" i="1"/>
  <c r="AP557" i="1"/>
  <c r="AX557" i="1" s="1"/>
  <c r="BD557" i="1"/>
  <c r="BF557" i="1"/>
  <c r="BJ557" i="1"/>
  <c r="K558" i="1"/>
  <c r="AK558" i="1" s="1"/>
  <c r="Z558" i="1"/>
  <c r="AD558" i="1"/>
  <c r="AE558" i="1"/>
  <c r="AF558" i="1"/>
  <c r="AG558" i="1"/>
  <c r="AH558" i="1"/>
  <c r="AJ558" i="1"/>
  <c r="AL558" i="1"/>
  <c r="AO558" i="1"/>
  <c r="AP558" i="1"/>
  <c r="AX558" i="1" s="1"/>
  <c r="BD558" i="1"/>
  <c r="BF558" i="1"/>
  <c r="BJ558" i="1"/>
  <c r="K559" i="1"/>
  <c r="Z559" i="1"/>
  <c r="AD559" i="1"/>
  <c r="AE559" i="1"/>
  <c r="AF559" i="1"/>
  <c r="AG559" i="1"/>
  <c r="AH559" i="1"/>
  <c r="AJ559" i="1"/>
  <c r="AK559" i="1"/>
  <c r="AL559" i="1"/>
  <c r="AO559" i="1"/>
  <c r="AW559" i="1" s="1"/>
  <c r="AP559" i="1"/>
  <c r="J559" i="1" s="1"/>
  <c r="BD559" i="1"/>
  <c r="BF559" i="1"/>
  <c r="BH559" i="1"/>
  <c r="AB559" i="1" s="1"/>
  <c r="BI559" i="1"/>
  <c r="AC559" i="1" s="1"/>
  <c r="BJ559" i="1"/>
  <c r="K560" i="1"/>
  <c r="AK560" i="1" s="1"/>
  <c r="Z560" i="1"/>
  <c r="AD560" i="1"/>
  <c r="AE560" i="1"/>
  <c r="AF560" i="1"/>
  <c r="AG560" i="1"/>
  <c r="AH560" i="1"/>
  <c r="AJ560" i="1"/>
  <c r="AL560" i="1"/>
  <c r="AO560" i="1"/>
  <c r="I560" i="1" s="1"/>
  <c r="AP560" i="1"/>
  <c r="BD560" i="1"/>
  <c r="BF560" i="1"/>
  <c r="BH560" i="1"/>
  <c r="AB560" i="1" s="1"/>
  <c r="BJ560" i="1"/>
  <c r="K561" i="1"/>
  <c r="AK561" i="1" s="1"/>
  <c r="Z561" i="1"/>
  <c r="AD561" i="1"/>
  <c r="AE561" i="1"/>
  <c r="AF561" i="1"/>
  <c r="AG561" i="1"/>
  <c r="AH561" i="1"/>
  <c r="AJ561" i="1"/>
  <c r="AL561" i="1"/>
  <c r="AO561" i="1"/>
  <c r="BH561" i="1" s="1"/>
  <c r="AB561" i="1" s="1"/>
  <c r="AP561" i="1"/>
  <c r="J561" i="1" s="1"/>
  <c r="BD561" i="1"/>
  <c r="BF561" i="1"/>
  <c r="BJ561" i="1"/>
  <c r="K562" i="1"/>
  <c r="Z562" i="1"/>
  <c r="AD562" i="1"/>
  <c r="AE562" i="1"/>
  <c r="AF562" i="1"/>
  <c r="AG562" i="1"/>
  <c r="AH562" i="1"/>
  <c r="AJ562" i="1"/>
  <c r="AK562" i="1"/>
  <c r="AL562" i="1"/>
  <c r="AO562" i="1"/>
  <c r="AP562" i="1"/>
  <c r="BD562" i="1"/>
  <c r="BF562" i="1"/>
  <c r="BH562" i="1"/>
  <c r="AB562" i="1" s="1"/>
  <c r="BJ562" i="1"/>
  <c r="K563" i="1"/>
  <c r="AK563" i="1" s="1"/>
  <c r="Z563" i="1"/>
  <c r="AD563" i="1"/>
  <c r="AE563" i="1"/>
  <c r="AF563" i="1"/>
  <c r="AG563" i="1"/>
  <c r="AH563" i="1"/>
  <c r="AJ563" i="1"/>
  <c r="AL563" i="1"/>
  <c r="AO563" i="1"/>
  <c r="AW563" i="1" s="1"/>
  <c r="AP563" i="1"/>
  <c r="J563" i="1" s="1"/>
  <c r="BD563" i="1"/>
  <c r="BF563" i="1"/>
  <c r="BH563" i="1"/>
  <c r="AB563" i="1" s="1"/>
  <c r="BI563" i="1"/>
  <c r="AC563" i="1" s="1"/>
  <c r="BJ563" i="1"/>
  <c r="K564" i="1"/>
  <c r="AK564" i="1" s="1"/>
  <c r="Z564" i="1"/>
  <c r="AD564" i="1"/>
  <c r="AE564" i="1"/>
  <c r="AF564" i="1"/>
  <c r="AG564" i="1"/>
  <c r="AH564" i="1"/>
  <c r="AJ564" i="1"/>
  <c r="AL564" i="1"/>
  <c r="AO564" i="1"/>
  <c r="I564" i="1" s="1"/>
  <c r="AP564" i="1"/>
  <c r="BD564" i="1"/>
  <c r="BF564" i="1"/>
  <c r="BH564" i="1"/>
  <c r="AB564" i="1" s="1"/>
  <c r="BI564" i="1"/>
  <c r="AC564" i="1" s="1"/>
  <c r="BJ564" i="1"/>
  <c r="K565" i="1"/>
  <c r="AK565" i="1" s="1"/>
  <c r="Z565" i="1"/>
  <c r="AD565" i="1"/>
  <c r="AE565" i="1"/>
  <c r="AF565" i="1"/>
  <c r="AG565" i="1"/>
  <c r="AH565" i="1"/>
  <c r="AJ565" i="1"/>
  <c r="AL565" i="1"/>
  <c r="AO565" i="1"/>
  <c r="AP565" i="1"/>
  <c r="J565" i="1" s="1"/>
  <c r="BD565" i="1"/>
  <c r="BF565" i="1"/>
  <c r="BJ565" i="1"/>
  <c r="K566" i="1"/>
  <c r="Z566" i="1"/>
  <c r="AD566" i="1"/>
  <c r="AE566" i="1"/>
  <c r="AF566" i="1"/>
  <c r="AG566" i="1"/>
  <c r="AH566" i="1"/>
  <c r="AJ566" i="1"/>
  <c r="AK566" i="1"/>
  <c r="AL566" i="1"/>
  <c r="AO566" i="1"/>
  <c r="AP566" i="1"/>
  <c r="AX566" i="1" s="1"/>
  <c r="BD566" i="1"/>
  <c r="BF566" i="1"/>
  <c r="BJ566" i="1"/>
  <c r="K567" i="1"/>
  <c r="Z567" i="1"/>
  <c r="AD567" i="1"/>
  <c r="AE567" i="1"/>
  <c r="AF567" i="1"/>
  <c r="AG567" i="1"/>
  <c r="AH567" i="1"/>
  <c r="AJ567" i="1"/>
  <c r="AK567" i="1"/>
  <c r="AL567" i="1"/>
  <c r="AO567" i="1"/>
  <c r="AW567" i="1" s="1"/>
  <c r="AP567" i="1"/>
  <c r="J567" i="1" s="1"/>
  <c r="BD567" i="1"/>
  <c r="BF567" i="1"/>
  <c r="BH567" i="1"/>
  <c r="AB567" i="1" s="1"/>
  <c r="BJ567" i="1"/>
  <c r="K568" i="1"/>
  <c r="AK568" i="1" s="1"/>
  <c r="Z568" i="1"/>
  <c r="AD568" i="1"/>
  <c r="AE568" i="1"/>
  <c r="AF568" i="1"/>
  <c r="AG568" i="1"/>
  <c r="AH568" i="1"/>
  <c r="AJ568" i="1"/>
  <c r="AL568" i="1"/>
  <c r="AO568" i="1"/>
  <c r="I568" i="1" s="1"/>
  <c r="AP568" i="1"/>
  <c r="BD568" i="1"/>
  <c r="BF568" i="1"/>
  <c r="BH568" i="1"/>
  <c r="AB568" i="1" s="1"/>
  <c r="BJ568" i="1"/>
  <c r="K569" i="1"/>
  <c r="AK569" i="1" s="1"/>
  <c r="Z569" i="1"/>
  <c r="AD569" i="1"/>
  <c r="AE569" i="1"/>
  <c r="AF569" i="1"/>
  <c r="AG569" i="1"/>
  <c r="AH569" i="1"/>
  <c r="AJ569" i="1"/>
  <c r="AL569" i="1"/>
  <c r="AO569" i="1"/>
  <c r="BH569" i="1" s="1"/>
  <c r="AB569" i="1" s="1"/>
  <c r="AP569" i="1"/>
  <c r="BI569" i="1" s="1"/>
  <c r="AC569" i="1" s="1"/>
  <c r="BD569" i="1"/>
  <c r="BF569" i="1"/>
  <c r="BJ569" i="1"/>
  <c r="K570" i="1"/>
  <c r="Z570" i="1"/>
  <c r="AD570" i="1"/>
  <c r="AE570" i="1"/>
  <c r="AF570" i="1"/>
  <c r="AG570" i="1"/>
  <c r="AH570" i="1"/>
  <c r="AJ570" i="1"/>
  <c r="AK570" i="1"/>
  <c r="AL570" i="1"/>
  <c r="AO570" i="1"/>
  <c r="I570" i="1" s="1"/>
  <c r="AP570" i="1"/>
  <c r="BD570" i="1"/>
  <c r="BF570" i="1"/>
  <c r="BJ570" i="1"/>
  <c r="K571" i="1"/>
  <c r="Z571" i="1"/>
  <c r="AD571" i="1"/>
  <c r="AE571" i="1"/>
  <c r="AF571" i="1"/>
  <c r="AG571" i="1"/>
  <c r="AH571" i="1"/>
  <c r="AJ571" i="1"/>
  <c r="AK571" i="1"/>
  <c r="AL571" i="1"/>
  <c r="AO571" i="1"/>
  <c r="AW571" i="1" s="1"/>
  <c r="AP571" i="1"/>
  <c r="J571" i="1" s="1"/>
  <c r="BD571" i="1"/>
  <c r="BF571" i="1"/>
  <c r="BI571" i="1"/>
  <c r="AC571" i="1" s="1"/>
  <c r="BJ571" i="1"/>
  <c r="K572" i="1"/>
  <c r="AK572" i="1" s="1"/>
  <c r="Z572" i="1"/>
  <c r="AD572" i="1"/>
  <c r="AE572" i="1"/>
  <c r="AF572" i="1"/>
  <c r="AG572" i="1"/>
  <c r="AH572" i="1"/>
  <c r="AJ572" i="1"/>
  <c r="AL572" i="1"/>
  <c r="AO572" i="1"/>
  <c r="I572" i="1" s="1"/>
  <c r="AP572" i="1"/>
  <c r="BI572" i="1" s="1"/>
  <c r="AC572" i="1" s="1"/>
  <c r="BD572" i="1"/>
  <c r="BF572" i="1"/>
  <c r="BJ572" i="1"/>
  <c r="K573" i="1"/>
  <c r="AK573" i="1" s="1"/>
  <c r="Z573" i="1"/>
  <c r="AD573" i="1"/>
  <c r="AE573" i="1"/>
  <c r="AF573" i="1"/>
  <c r="AG573" i="1"/>
  <c r="AH573" i="1"/>
  <c r="AJ573" i="1"/>
  <c r="AL573" i="1"/>
  <c r="AO573" i="1"/>
  <c r="AP573" i="1"/>
  <c r="J573" i="1" s="1"/>
  <c r="BD573" i="1"/>
  <c r="BF573" i="1"/>
  <c r="BJ573" i="1"/>
  <c r="K574" i="1"/>
  <c r="AK574" i="1" s="1"/>
  <c r="Z574" i="1"/>
  <c r="AD574" i="1"/>
  <c r="AE574" i="1"/>
  <c r="AF574" i="1"/>
  <c r="AG574" i="1"/>
  <c r="AH574" i="1"/>
  <c r="AJ574" i="1"/>
  <c r="AL574" i="1"/>
  <c r="AO574" i="1"/>
  <c r="I574" i="1" s="1"/>
  <c r="AP574" i="1"/>
  <c r="AX574" i="1" s="1"/>
  <c r="BD574" i="1"/>
  <c r="BF574" i="1"/>
  <c r="BJ574" i="1"/>
  <c r="K575" i="1"/>
  <c r="AK575" i="1" s="1"/>
  <c r="Z575" i="1"/>
  <c r="AD575" i="1"/>
  <c r="AE575" i="1"/>
  <c r="AF575" i="1"/>
  <c r="AG575" i="1"/>
  <c r="AH575" i="1"/>
  <c r="AJ575" i="1"/>
  <c r="AL575" i="1"/>
  <c r="AO575" i="1"/>
  <c r="AW575" i="1" s="1"/>
  <c r="AP575" i="1"/>
  <c r="J575" i="1" s="1"/>
  <c r="BD575" i="1"/>
  <c r="BF575" i="1"/>
  <c r="BJ575" i="1"/>
  <c r="K576" i="1"/>
  <c r="AK576" i="1" s="1"/>
  <c r="Z576" i="1"/>
  <c r="AD576" i="1"/>
  <c r="AE576" i="1"/>
  <c r="AF576" i="1"/>
  <c r="AG576" i="1"/>
  <c r="AH576" i="1"/>
  <c r="AJ576" i="1"/>
  <c r="AL576" i="1"/>
  <c r="AO576" i="1"/>
  <c r="I576" i="1" s="1"/>
  <c r="AP576" i="1"/>
  <c r="BD576" i="1"/>
  <c r="BF576" i="1"/>
  <c r="BJ576" i="1"/>
  <c r="K577" i="1"/>
  <c r="AK577" i="1" s="1"/>
  <c r="Z577" i="1"/>
  <c r="AD577" i="1"/>
  <c r="AE577" i="1"/>
  <c r="AF577" i="1"/>
  <c r="AG577" i="1"/>
  <c r="AH577" i="1"/>
  <c r="AJ577" i="1"/>
  <c r="AL577" i="1"/>
  <c r="AO577" i="1"/>
  <c r="BH577" i="1" s="1"/>
  <c r="AB577" i="1" s="1"/>
  <c r="AP577" i="1"/>
  <c r="J577" i="1" s="1"/>
  <c r="BD577" i="1"/>
  <c r="BF577" i="1"/>
  <c r="BJ577" i="1"/>
  <c r="K578" i="1"/>
  <c r="AK578" i="1" s="1"/>
  <c r="Z578" i="1"/>
  <c r="AD578" i="1"/>
  <c r="AE578" i="1"/>
  <c r="AF578" i="1"/>
  <c r="AG578" i="1"/>
  <c r="AH578" i="1"/>
  <c r="AJ578" i="1"/>
  <c r="AL578" i="1"/>
  <c r="AO578" i="1"/>
  <c r="I578" i="1" s="1"/>
  <c r="AP578" i="1"/>
  <c r="AX578" i="1" s="1"/>
  <c r="BD578" i="1"/>
  <c r="BF578" i="1"/>
  <c r="BJ578" i="1"/>
  <c r="K579" i="1"/>
  <c r="Z579" i="1"/>
  <c r="AD579" i="1"/>
  <c r="AE579" i="1"/>
  <c r="AF579" i="1"/>
  <c r="AG579" i="1"/>
  <c r="AH579" i="1"/>
  <c r="AJ579" i="1"/>
  <c r="AK579" i="1"/>
  <c r="AL579" i="1"/>
  <c r="AO579" i="1"/>
  <c r="AW579" i="1" s="1"/>
  <c r="AP579" i="1"/>
  <c r="J579" i="1" s="1"/>
  <c r="BD579" i="1"/>
  <c r="BF579" i="1"/>
  <c r="BH579" i="1"/>
  <c r="AB579" i="1" s="1"/>
  <c r="BI579" i="1"/>
  <c r="AC579" i="1" s="1"/>
  <c r="BJ579" i="1"/>
  <c r="K580" i="1"/>
  <c r="AK580" i="1" s="1"/>
  <c r="Z580" i="1"/>
  <c r="AD580" i="1"/>
  <c r="AE580" i="1"/>
  <c r="AF580" i="1"/>
  <c r="AG580" i="1"/>
  <c r="AH580" i="1"/>
  <c r="AJ580" i="1"/>
  <c r="AL580" i="1"/>
  <c r="AO580" i="1"/>
  <c r="I580" i="1" s="1"/>
  <c r="AP580" i="1"/>
  <c r="BD580" i="1"/>
  <c r="BF580" i="1"/>
  <c r="BH580" i="1"/>
  <c r="AB580" i="1" s="1"/>
  <c r="BI580" i="1"/>
  <c r="AC580" i="1" s="1"/>
  <c r="BJ580" i="1"/>
  <c r="K581" i="1"/>
  <c r="AK581" i="1" s="1"/>
  <c r="Z581" i="1"/>
  <c r="AD581" i="1"/>
  <c r="AE581" i="1"/>
  <c r="AF581" i="1"/>
  <c r="AG581" i="1"/>
  <c r="AH581" i="1"/>
  <c r="AJ581" i="1"/>
  <c r="AL581" i="1"/>
  <c r="AO581" i="1"/>
  <c r="AP581" i="1"/>
  <c r="J581" i="1" s="1"/>
  <c r="BD581" i="1"/>
  <c r="BF581" i="1"/>
  <c r="BJ581" i="1"/>
  <c r="K582" i="1"/>
  <c r="Z582" i="1"/>
  <c r="AD582" i="1"/>
  <c r="AE582" i="1"/>
  <c r="AF582" i="1"/>
  <c r="AG582" i="1"/>
  <c r="AH582" i="1"/>
  <c r="AJ582" i="1"/>
  <c r="AK582" i="1"/>
  <c r="AL582" i="1"/>
  <c r="AO582" i="1"/>
  <c r="AP582" i="1"/>
  <c r="AX582" i="1" s="1"/>
  <c r="BD582" i="1"/>
  <c r="BF582" i="1"/>
  <c r="BJ582" i="1"/>
  <c r="K583" i="1"/>
  <c r="AK583" i="1" s="1"/>
  <c r="Z583" i="1"/>
  <c r="AD583" i="1"/>
  <c r="AE583" i="1"/>
  <c r="AF583" i="1"/>
  <c r="AG583" i="1"/>
  <c r="AH583" i="1"/>
  <c r="AJ583" i="1"/>
  <c r="AL583" i="1"/>
  <c r="AO583" i="1"/>
  <c r="AW583" i="1" s="1"/>
  <c r="AP583" i="1"/>
  <c r="J583" i="1" s="1"/>
  <c r="BD583" i="1"/>
  <c r="BF583" i="1"/>
  <c r="BH583" i="1"/>
  <c r="AB583" i="1" s="1"/>
  <c r="BJ583" i="1"/>
  <c r="K584" i="1"/>
  <c r="AK584" i="1" s="1"/>
  <c r="Z584" i="1"/>
  <c r="AD584" i="1"/>
  <c r="AE584" i="1"/>
  <c r="AF584" i="1"/>
  <c r="AG584" i="1"/>
  <c r="AH584" i="1"/>
  <c r="AJ584" i="1"/>
  <c r="AL584" i="1"/>
  <c r="AO584" i="1"/>
  <c r="I584" i="1" s="1"/>
  <c r="AP584" i="1"/>
  <c r="BD584" i="1"/>
  <c r="BF584" i="1"/>
  <c r="BH584" i="1"/>
  <c r="AB584" i="1" s="1"/>
  <c r="BJ584" i="1"/>
  <c r="K585" i="1"/>
  <c r="AK585" i="1" s="1"/>
  <c r="Z585" i="1"/>
  <c r="AD585" i="1"/>
  <c r="AE585" i="1"/>
  <c r="AF585" i="1"/>
  <c r="AG585" i="1"/>
  <c r="AH585" i="1"/>
  <c r="AJ585" i="1"/>
  <c r="AL585" i="1"/>
  <c r="AO585" i="1"/>
  <c r="BH585" i="1" s="1"/>
  <c r="AB585" i="1" s="1"/>
  <c r="AP585" i="1"/>
  <c r="J585" i="1" s="1"/>
  <c r="BD585" i="1"/>
  <c r="BF585" i="1"/>
  <c r="BJ585" i="1"/>
  <c r="K586" i="1"/>
  <c r="Z586" i="1"/>
  <c r="AD586" i="1"/>
  <c r="AE586" i="1"/>
  <c r="AF586" i="1"/>
  <c r="AG586" i="1"/>
  <c r="AH586" i="1"/>
  <c r="AJ586" i="1"/>
  <c r="AK586" i="1"/>
  <c r="AL586" i="1"/>
  <c r="AO586" i="1"/>
  <c r="I586" i="1" s="1"/>
  <c r="AP586" i="1"/>
  <c r="AX586" i="1" s="1"/>
  <c r="BD586" i="1"/>
  <c r="BF586" i="1"/>
  <c r="BJ586" i="1"/>
  <c r="K587" i="1"/>
  <c r="Z587" i="1"/>
  <c r="AD587" i="1"/>
  <c r="AE587" i="1"/>
  <c r="AF587" i="1"/>
  <c r="AG587" i="1"/>
  <c r="AH587" i="1"/>
  <c r="AJ587" i="1"/>
  <c r="AK587" i="1"/>
  <c r="AL587" i="1"/>
  <c r="AO587" i="1"/>
  <c r="AW587" i="1" s="1"/>
  <c r="AP587" i="1"/>
  <c r="J587" i="1" s="1"/>
  <c r="BD587" i="1"/>
  <c r="BF587" i="1"/>
  <c r="BJ587" i="1"/>
  <c r="K588" i="1"/>
  <c r="AK588" i="1" s="1"/>
  <c r="Z588" i="1"/>
  <c r="AD588" i="1"/>
  <c r="AE588" i="1"/>
  <c r="AF588" i="1"/>
  <c r="AG588" i="1"/>
  <c r="AH588" i="1"/>
  <c r="AJ588" i="1"/>
  <c r="AL588" i="1"/>
  <c r="AO588" i="1"/>
  <c r="I588" i="1" s="1"/>
  <c r="AP588" i="1"/>
  <c r="BD588" i="1"/>
  <c r="BF588" i="1"/>
  <c r="BH588" i="1"/>
  <c r="AB588" i="1" s="1"/>
  <c r="BI588" i="1"/>
  <c r="AC588" i="1" s="1"/>
  <c r="BJ588" i="1"/>
  <c r="K589" i="1"/>
  <c r="AK589" i="1" s="1"/>
  <c r="Z589" i="1"/>
  <c r="AD589" i="1"/>
  <c r="AE589" i="1"/>
  <c r="AF589" i="1"/>
  <c r="AG589" i="1"/>
  <c r="AH589" i="1"/>
  <c r="AJ589" i="1"/>
  <c r="AL589" i="1"/>
  <c r="AO589" i="1"/>
  <c r="AP589" i="1"/>
  <c r="J589" i="1" s="1"/>
  <c r="BD589" i="1"/>
  <c r="BF589" i="1"/>
  <c r="BJ589" i="1"/>
  <c r="K590" i="1"/>
  <c r="AK590" i="1" s="1"/>
  <c r="Z590" i="1"/>
  <c r="AD590" i="1"/>
  <c r="AE590" i="1"/>
  <c r="AF590" i="1"/>
  <c r="AG590" i="1"/>
  <c r="AH590" i="1"/>
  <c r="AJ590" i="1"/>
  <c r="AL590" i="1"/>
  <c r="AO590" i="1"/>
  <c r="I590" i="1" s="1"/>
  <c r="AP590" i="1"/>
  <c r="BD590" i="1"/>
  <c r="BF590" i="1"/>
  <c r="BJ590" i="1"/>
  <c r="K591" i="1"/>
  <c r="AK591" i="1" s="1"/>
  <c r="Z591" i="1"/>
  <c r="AD591" i="1"/>
  <c r="AE591" i="1"/>
  <c r="AF591" i="1"/>
  <c r="AG591" i="1"/>
  <c r="AH591" i="1"/>
  <c r="AJ591" i="1"/>
  <c r="AL591" i="1"/>
  <c r="AO591" i="1"/>
  <c r="AW591" i="1" s="1"/>
  <c r="AP591" i="1"/>
  <c r="J591" i="1" s="1"/>
  <c r="BD591" i="1"/>
  <c r="BF591" i="1"/>
  <c r="BH591" i="1"/>
  <c r="AB591" i="1" s="1"/>
  <c r="BJ591" i="1"/>
  <c r="K592" i="1"/>
  <c r="AK592" i="1" s="1"/>
  <c r="Z592" i="1"/>
  <c r="AD592" i="1"/>
  <c r="AE592" i="1"/>
  <c r="AF592" i="1"/>
  <c r="AG592" i="1"/>
  <c r="AH592" i="1"/>
  <c r="AJ592" i="1"/>
  <c r="AL592" i="1"/>
  <c r="AO592" i="1"/>
  <c r="I592" i="1" s="1"/>
  <c r="AP592" i="1"/>
  <c r="BD592" i="1"/>
  <c r="BF592" i="1"/>
  <c r="BJ592" i="1"/>
  <c r="K593" i="1"/>
  <c r="AK593" i="1" s="1"/>
  <c r="Z593" i="1"/>
  <c r="AD593" i="1"/>
  <c r="AE593" i="1"/>
  <c r="AF593" i="1"/>
  <c r="AG593" i="1"/>
  <c r="AH593" i="1"/>
  <c r="AJ593" i="1"/>
  <c r="AL593" i="1"/>
  <c r="AO593" i="1"/>
  <c r="BH593" i="1" s="1"/>
  <c r="AB593" i="1" s="1"/>
  <c r="AP593" i="1"/>
  <c r="J593" i="1" s="1"/>
  <c r="BD593" i="1"/>
  <c r="BF593" i="1"/>
  <c r="BJ593" i="1"/>
  <c r="K594" i="1"/>
  <c r="AK594" i="1" s="1"/>
  <c r="Z594" i="1"/>
  <c r="AD594" i="1"/>
  <c r="AE594" i="1"/>
  <c r="AF594" i="1"/>
  <c r="AG594" i="1"/>
  <c r="AH594" i="1"/>
  <c r="AJ594" i="1"/>
  <c r="AL594" i="1"/>
  <c r="AO594" i="1"/>
  <c r="I594" i="1" s="1"/>
  <c r="AP594" i="1"/>
  <c r="BD594" i="1"/>
  <c r="BF594" i="1"/>
  <c r="BJ594" i="1"/>
  <c r="K595" i="1"/>
  <c r="Z595" i="1"/>
  <c r="AD595" i="1"/>
  <c r="AE595" i="1"/>
  <c r="AF595" i="1"/>
  <c r="AG595" i="1"/>
  <c r="AH595" i="1"/>
  <c r="AJ595" i="1"/>
  <c r="AK595" i="1"/>
  <c r="AL595" i="1"/>
  <c r="AO595" i="1"/>
  <c r="AW595" i="1" s="1"/>
  <c r="AP595" i="1"/>
  <c r="J595" i="1" s="1"/>
  <c r="BD595" i="1"/>
  <c r="BF595" i="1"/>
  <c r="BJ595" i="1"/>
  <c r="K596" i="1"/>
  <c r="AK596" i="1" s="1"/>
  <c r="Z596" i="1"/>
  <c r="AD596" i="1"/>
  <c r="AE596" i="1"/>
  <c r="AF596" i="1"/>
  <c r="AG596" i="1"/>
  <c r="AH596" i="1"/>
  <c r="AJ596" i="1"/>
  <c r="AL596" i="1"/>
  <c r="AO596" i="1"/>
  <c r="I596" i="1" s="1"/>
  <c r="AP596" i="1"/>
  <c r="BI596" i="1" s="1"/>
  <c r="AC596" i="1" s="1"/>
  <c r="BD596" i="1"/>
  <c r="BF596" i="1"/>
  <c r="BJ596" i="1"/>
  <c r="K597" i="1"/>
  <c r="AK597" i="1" s="1"/>
  <c r="Z597" i="1"/>
  <c r="AD597" i="1"/>
  <c r="AE597" i="1"/>
  <c r="AF597" i="1"/>
  <c r="AG597" i="1"/>
  <c r="AH597" i="1"/>
  <c r="AJ597" i="1"/>
  <c r="AL597" i="1"/>
  <c r="AO597" i="1"/>
  <c r="AP597" i="1"/>
  <c r="BI597" i="1" s="1"/>
  <c r="AC597" i="1" s="1"/>
  <c r="BD597" i="1"/>
  <c r="BF597" i="1"/>
  <c r="BJ597" i="1"/>
  <c r="K598" i="1"/>
  <c r="Z598" i="1"/>
  <c r="AD598" i="1"/>
  <c r="AE598" i="1"/>
  <c r="AF598" i="1"/>
  <c r="AG598" i="1"/>
  <c r="AH598" i="1"/>
  <c r="AJ598" i="1"/>
  <c r="AK598" i="1"/>
  <c r="AL598" i="1"/>
  <c r="AO598" i="1"/>
  <c r="AP598" i="1"/>
  <c r="AX598" i="1" s="1"/>
  <c r="BD598" i="1"/>
  <c r="BF598" i="1"/>
  <c r="BJ598" i="1"/>
  <c r="K599" i="1"/>
  <c r="AK599" i="1" s="1"/>
  <c r="Z599" i="1"/>
  <c r="AD599" i="1"/>
  <c r="AE599" i="1"/>
  <c r="AF599" i="1"/>
  <c r="AG599" i="1"/>
  <c r="AH599" i="1"/>
  <c r="AJ599" i="1"/>
  <c r="AL599" i="1"/>
  <c r="AO599" i="1"/>
  <c r="AW599" i="1" s="1"/>
  <c r="AP599" i="1"/>
  <c r="J599" i="1" s="1"/>
  <c r="BD599" i="1"/>
  <c r="BF599" i="1"/>
  <c r="BJ599" i="1"/>
  <c r="K600" i="1"/>
  <c r="AK600" i="1" s="1"/>
  <c r="Z600" i="1"/>
  <c r="AD600" i="1"/>
  <c r="AE600" i="1"/>
  <c r="AF600" i="1"/>
  <c r="AG600" i="1"/>
  <c r="AH600" i="1"/>
  <c r="AJ600" i="1"/>
  <c r="AL600" i="1"/>
  <c r="AO600" i="1"/>
  <c r="I600" i="1" s="1"/>
  <c r="AP600" i="1"/>
  <c r="BD600" i="1"/>
  <c r="BF600" i="1"/>
  <c r="BJ600" i="1"/>
  <c r="K601" i="1"/>
  <c r="AK601" i="1" s="1"/>
  <c r="Z601" i="1"/>
  <c r="AD601" i="1"/>
  <c r="AE601" i="1"/>
  <c r="AF601" i="1"/>
  <c r="AG601" i="1"/>
  <c r="AH601" i="1"/>
  <c r="AJ601" i="1"/>
  <c r="AL601" i="1"/>
  <c r="AO601" i="1"/>
  <c r="BH601" i="1" s="1"/>
  <c r="AB601" i="1" s="1"/>
  <c r="AP601" i="1"/>
  <c r="BI601" i="1" s="1"/>
  <c r="AC601" i="1" s="1"/>
  <c r="BD601" i="1"/>
  <c r="BF601" i="1"/>
  <c r="BJ601" i="1"/>
  <c r="K602" i="1"/>
  <c r="Z602" i="1"/>
  <c r="AD602" i="1"/>
  <c r="AE602" i="1"/>
  <c r="AF602" i="1"/>
  <c r="AG602" i="1"/>
  <c r="AH602" i="1"/>
  <c r="AJ602" i="1"/>
  <c r="AK602" i="1"/>
  <c r="AL602" i="1"/>
  <c r="AO602" i="1"/>
  <c r="AP602" i="1"/>
  <c r="AX602" i="1" s="1"/>
  <c r="BD602" i="1"/>
  <c r="BF602" i="1"/>
  <c r="BJ602" i="1"/>
  <c r="K603" i="1"/>
  <c r="Z603" i="1"/>
  <c r="AD603" i="1"/>
  <c r="AE603" i="1"/>
  <c r="AF603" i="1"/>
  <c r="AG603" i="1"/>
  <c r="AH603" i="1"/>
  <c r="AJ603" i="1"/>
  <c r="AK603" i="1"/>
  <c r="AL603" i="1"/>
  <c r="AO603" i="1"/>
  <c r="AW603" i="1" s="1"/>
  <c r="AP603" i="1"/>
  <c r="J603" i="1" s="1"/>
  <c r="BD603" i="1"/>
  <c r="BF603" i="1"/>
  <c r="BJ603" i="1"/>
  <c r="K604" i="1"/>
  <c r="AK604" i="1" s="1"/>
  <c r="Z604" i="1"/>
  <c r="AD604" i="1"/>
  <c r="AE604" i="1"/>
  <c r="AF604" i="1"/>
  <c r="AG604" i="1"/>
  <c r="AH604" i="1"/>
  <c r="AJ604" i="1"/>
  <c r="AL604" i="1"/>
  <c r="AO604" i="1"/>
  <c r="I604" i="1" s="1"/>
  <c r="AP604" i="1"/>
  <c r="BI604" i="1" s="1"/>
  <c r="AC604" i="1" s="1"/>
  <c r="BD604" i="1"/>
  <c r="BF604" i="1"/>
  <c r="BH604" i="1"/>
  <c r="AB604" i="1" s="1"/>
  <c r="BJ604" i="1"/>
  <c r="K605" i="1"/>
  <c r="AK605" i="1" s="1"/>
  <c r="Z605" i="1"/>
  <c r="AD605" i="1"/>
  <c r="AE605" i="1"/>
  <c r="AF605" i="1"/>
  <c r="AG605" i="1"/>
  <c r="AH605" i="1"/>
  <c r="AJ605" i="1"/>
  <c r="AL605" i="1"/>
  <c r="AO605" i="1"/>
  <c r="BH605" i="1" s="1"/>
  <c r="AB605" i="1" s="1"/>
  <c r="AP605" i="1"/>
  <c r="J605" i="1" s="1"/>
  <c r="BD605" i="1"/>
  <c r="BF605" i="1"/>
  <c r="BJ605" i="1"/>
  <c r="K606" i="1"/>
  <c r="Z606" i="1"/>
  <c r="AD606" i="1"/>
  <c r="AE606" i="1"/>
  <c r="AF606" i="1"/>
  <c r="AG606" i="1"/>
  <c r="AH606" i="1"/>
  <c r="AJ606" i="1"/>
  <c r="AK606" i="1"/>
  <c r="AL606" i="1"/>
  <c r="AO606" i="1"/>
  <c r="AP606" i="1"/>
  <c r="AX606" i="1" s="1"/>
  <c r="BD606" i="1"/>
  <c r="BF606" i="1"/>
  <c r="BJ606" i="1"/>
  <c r="K607" i="1"/>
  <c r="Z607" i="1"/>
  <c r="AD607" i="1"/>
  <c r="AE607" i="1"/>
  <c r="AF607" i="1"/>
  <c r="AG607" i="1"/>
  <c r="AH607" i="1"/>
  <c r="AJ607" i="1"/>
  <c r="AK607" i="1"/>
  <c r="AL607" i="1"/>
  <c r="AO607" i="1"/>
  <c r="AP607" i="1"/>
  <c r="J607" i="1" s="1"/>
  <c r="BD607" i="1"/>
  <c r="BF607" i="1"/>
  <c r="BJ607" i="1"/>
  <c r="K608" i="1"/>
  <c r="Z608" i="1"/>
  <c r="AD608" i="1"/>
  <c r="AE608" i="1"/>
  <c r="AF608" i="1"/>
  <c r="AG608" i="1"/>
  <c r="AH608" i="1"/>
  <c r="AJ608" i="1"/>
  <c r="AK608" i="1"/>
  <c r="AL608" i="1"/>
  <c r="AO608" i="1"/>
  <c r="I608" i="1" s="1"/>
  <c r="AP608" i="1"/>
  <c r="BI608" i="1" s="1"/>
  <c r="AC608" i="1" s="1"/>
  <c r="BD608" i="1"/>
  <c r="BF608" i="1"/>
  <c r="BH608" i="1"/>
  <c r="AB608" i="1" s="1"/>
  <c r="BJ608" i="1"/>
  <c r="K609" i="1"/>
  <c r="AK609" i="1" s="1"/>
  <c r="Z609" i="1"/>
  <c r="AD609" i="1"/>
  <c r="AE609" i="1"/>
  <c r="AF609" i="1"/>
  <c r="AG609" i="1"/>
  <c r="AH609" i="1"/>
  <c r="AJ609" i="1"/>
  <c r="AL609" i="1"/>
  <c r="AO609" i="1"/>
  <c r="BH609" i="1" s="1"/>
  <c r="AB609" i="1" s="1"/>
  <c r="AP609" i="1"/>
  <c r="J609" i="1" s="1"/>
  <c r="BD609" i="1"/>
  <c r="BF609" i="1"/>
  <c r="BJ609" i="1"/>
  <c r="K610" i="1"/>
  <c r="AK610" i="1" s="1"/>
  <c r="Z610" i="1"/>
  <c r="AD610" i="1"/>
  <c r="AE610" i="1"/>
  <c r="AF610" i="1"/>
  <c r="AG610" i="1"/>
  <c r="AH610" i="1"/>
  <c r="AJ610" i="1"/>
  <c r="AL610" i="1"/>
  <c r="AO610" i="1"/>
  <c r="I610" i="1" s="1"/>
  <c r="AP610" i="1"/>
  <c r="AX610" i="1" s="1"/>
  <c r="BD610" i="1"/>
  <c r="BF610" i="1"/>
  <c r="BJ610" i="1"/>
  <c r="K611" i="1"/>
  <c r="AK611" i="1" s="1"/>
  <c r="Z611" i="1"/>
  <c r="AD611" i="1"/>
  <c r="AE611" i="1"/>
  <c r="AF611" i="1"/>
  <c r="AG611" i="1"/>
  <c r="AH611" i="1"/>
  <c r="AJ611" i="1"/>
  <c r="AL611" i="1"/>
  <c r="AO611" i="1"/>
  <c r="BH611" i="1" s="1"/>
  <c r="AB611" i="1" s="1"/>
  <c r="AP611" i="1"/>
  <c r="J611" i="1" s="1"/>
  <c r="BD611" i="1"/>
  <c r="BF611" i="1"/>
  <c r="BJ611" i="1"/>
  <c r="K612" i="1"/>
  <c r="Z612" i="1"/>
  <c r="AD612" i="1"/>
  <c r="AE612" i="1"/>
  <c r="AF612" i="1"/>
  <c r="AG612" i="1"/>
  <c r="AH612" i="1"/>
  <c r="AJ612" i="1"/>
  <c r="AK612" i="1"/>
  <c r="AL612" i="1"/>
  <c r="AO612" i="1"/>
  <c r="I612" i="1" s="1"/>
  <c r="AP612" i="1"/>
  <c r="BI612" i="1" s="1"/>
  <c r="AC612" i="1" s="1"/>
  <c r="BD612" i="1"/>
  <c r="BF612" i="1"/>
  <c r="BH612" i="1"/>
  <c r="AB612" i="1" s="1"/>
  <c r="BJ612" i="1"/>
  <c r="K614" i="1"/>
  <c r="Z614" i="1"/>
  <c r="AD614" i="1"/>
  <c r="AE614" i="1"/>
  <c r="AF614" i="1"/>
  <c r="AG614" i="1"/>
  <c r="AH614" i="1"/>
  <c r="AJ614" i="1"/>
  <c r="AL614" i="1"/>
  <c r="AO614" i="1"/>
  <c r="AW614" i="1" s="1"/>
  <c r="AP614" i="1"/>
  <c r="J614" i="1" s="1"/>
  <c r="BD614" i="1"/>
  <c r="BF614" i="1"/>
  <c r="BH614" i="1"/>
  <c r="AB614" i="1" s="1"/>
  <c r="BJ614" i="1"/>
  <c r="K615" i="1"/>
  <c r="AK615" i="1" s="1"/>
  <c r="Z615" i="1"/>
  <c r="AD615" i="1"/>
  <c r="AE615" i="1"/>
  <c r="AF615" i="1"/>
  <c r="AG615" i="1"/>
  <c r="AH615" i="1"/>
  <c r="AJ615" i="1"/>
  <c r="AL615" i="1"/>
  <c r="AO615" i="1"/>
  <c r="I615" i="1" s="1"/>
  <c r="AP615" i="1"/>
  <c r="BI615" i="1" s="1"/>
  <c r="AC615" i="1" s="1"/>
  <c r="BD615" i="1"/>
  <c r="BF615" i="1"/>
  <c r="BJ615" i="1"/>
  <c r="K616" i="1"/>
  <c r="AK616" i="1" s="1"/>
  <c r="Z616" i="1"/>
  <c r="AD616" i="1"/>
  <c r="AE616" i="1"/>
  <c r="AF616" i="1"/>
  <c r="AG616" i="1"/>
  <c r="AH616" i="1"/>
  <c r="AJ616" i="1"/>
  <c r="AL616" i="1"/>
  <c r="AO616" i="1"/>
  <c r="BH616" i="1" s="1"/>
  <c r="AB616" i="1" s="1"/>
  <c r="AP616" i="1"/>
  <c r="J616" i="1" s="1"/>
  <c r="BD616" i="1"/>
  <c r="BF616" i="1"/>
  <c r="BI616" i="1"/>
  <c r="AC616" i="1" s="1"/>
  <c r="BJ616" i="1"/>
  <c r="K617" i="1"/>
  <c r="Z617" i="1"/>
  <c r="AD617" i="1"/>
  <c r="AE617" i="1"/>
  <c r="AF617" i="1"/>
  <c r="AG617" i="1"/>
  <c r="AH617" i="1"/>
  <c r="AJ617" i="1"/>
  <c r="AK617" i="1"/>
  <c r="AL617" i="1"/>
  <c r="AO617" i="1"/>
  <c r="AP617" i="1"/>
  <c r="J617" i="1" s="1"/>
  <c r="AX617" i="1"/>
  <c r="BD617" i="1"/>
  <c r="BF617" i="1"/>
  <c r="BI617" i="1"/>
  <c r="AC617" i="1" s="1"/>
  <c r="BJ617" i="1"/>
  <c r="K618" i="1"/>
  <c r="Z618" i="1"/>
  <c r="AD618" i="1"/>
  <c r="AE618" i="1"/>
  <c r="AF618" i="1"/>
  <c r="AG618" i="1"/>
  <c r="AH618" i="1"/>
  <c r="AJ618" i="1"/>
  <c r="AK618" i="1"/>
  <c r="AL618" i="1"/>
  <c r="AO618" i="1"/>
  <c r="AP618" i="1"/>
  <c r="BD618" i="1"/>
  <c r="BF618" i="1"/>
  <c r="BH618" i="1"/>
  <c r="AB618" i="1" s="1"/>
  <c r="BJ618" i="1"/>
  <c r="K619" i="1"/>
  <c r="AK619" i="1" s="1"/>
  <c r="Z619" i="1"/>
  <c r="AD619" i="1"/>
  <c r="AE619" i="1"/>
  <c r="AF619" i="1"/>
  <c r="AG619" i="1"/>
  <c r="AH619" i="1"/>
  <c r="AJ619" i="1"/>
  <c r="AL619" i="1"/>
  <c r="AO619" i="1"/>
  <c r="I619" i="1" s="1"/>
  <c r="AP619" i="1"/>
  <c r="BD619" i="1"/>
  <c r="BF619" i="1"/>
  <c r="BI619" i="1"/>
  <c r="AC619" i="1" s="1"/>
  <c r="BJ619" i="1"/>
  <c r="K620" i="1"/>
  <c r="AK620" i="1" s="1"/>
  <c r="Z620" i="1"/>
  <c r="AD620" i="1"/>
  <c r="AE620" i="1"/>
  <c r="AF620" i="1"/>
  <c r="AG620" i="1"/>
  <c r="AH620" i="1"/>
  <c r="AJ620" i="1"/>
  <c r="AL620" i="1"/>
  <c r="AO620" i="1"/>
  <c r="BH620" i="1" s="1"/>
  <c r="AB620" i="1" s="1"/>
  <c r="AP620" i="1"/>
  <c r="J620" i="1" s="1"/>
  <c r="BD620" i="1"/>
  <c r="BF620" i="1"/>
  <c r="BI620" i="1"/>
  <c r="AC620" i="1" s="1"/>
  <c r="BJ620" i="1"/>
  <c r="B2" i="2"/>
  <c r="E2" i="2"/>
  <c r="B4" i="2"/>
  <c r="E4" i="2"/>
  <c r="B6" i="2"/>
  <c r="E6" i="2"/>
  <c r="B8" i="2"/>
  <c r="G16" i="2"/>
  <c r="I16" i="2" s="1"/>
  <c r="F24" i="2"/>
  <c r="G24" i="2"/>
  <c r="I24" i="2" s="1"/>
  <c r="G34" i="2"/>
  <c r="I34" i="2" s="1"/>
  <c r="C2" i="3"/>
  <c r="F2" i="3"/>
  <c r="C4" i="3"/>
  <c r="F4" i="3"/>
  <c r="C6" i="3"/>
  <c r="F6" i="3"/>
  <c r="C8" i="3"/>
  <c r="C22" i="17" l="1"/>
  <c r="BI448" i="1"/>
  <c r="C17" i="4"/>
  <c r="C22" i="21"/>
  <c r="BI555" i="1"/>
  <c r="AC555" i="1" s="1"/>
  <c r="BH294" i="1"/>
  <c r="AD294" i="1" s="1"/>
  <c r="BI277" i="1"/>
  <c r="AE277" i="1" s="1"/>
  <c r="BH83" i="1"/>
  <c r="AB83" i="1" s="1"/>
  <c r="BI29" i="1"/>
  <c r="AC29" i="1" s="1"/>
  <c r="BH596" i="1"/>
  <c r="AB596" i="1" s="1"/>
  <c r="BI593" i="1"/>
  <c r="AC593" i="1" s="1"/>
  <c r="BI587" i="1"/>
  <c r="AC587" i="1" s="1"/>
  <c r="BH572" i="1"/>
  <c r="AB572" i="1" s="1"/>
  <c r="BI506" i="1"/>
  <c r="AG506" i="1" s="1"/>
  <c r="BH188" i="1"/>
  <c r="AD188" i="1" s="1"/>
  <c r="BH167" i="1"/>
  <c r="BI96" i="1"/>
  <c r="AC96" i="1" s="1"/>
  <c r="BI49" i="1"/>
  <c r="AC49" i="1" s="1"/>
  <c r="BI38" i="1"/>
  <c r="AC38" i="1" s="1"/>
  <c r="BI275" i="1"/>
  <c r="AE275" i="1" s="1"/>
  <c r="BH182" i="1"/>
  <c r="BH603" i="1"/>
  <c r="AB603" i="1" s="1"/>
  <c r="BI577" i="1"/>
  <c r="AC577" i="1" s="1"/>
  <c r="BI533" i="1"/>
  <c r="AC533" i="1" s="1"/>
  <c r="BH445" i="1"/>
  <c r="AD445" i="1" s="1"/>
  <c r="BH369" i="1"/>
  <c r="AD369" i="1" s="1"/>
  <c r="BH269" i="1"/>
  <c r="AD269" i="1" s="1"/>
  <c r="BH187" i="1"/>
  <c r="AD187" i="1" s="1"/>
  <c r="BI175" i="1"/>
  <c r="BI173" i="1"/>
  <c r="BI171" i="1"/>
  <c r="BH146" i="1"/>
  <c r="AB146" i="1" s="1"/>
  <c r="BH86" i="1"/>
  <c r="AB86" i="1" s="1"/>
  <c r="BI69" i="1"/>
  <c r="AC69" i="1" s="1"/>
  <c r="J610" i="1"/>
  <c r="J557" i="1"/>
  <c r="BH554" i="1"/>
  <c r="AB554" i="1" s="1"/>
  <c r="BI507" i="1"/>
  <c r="AG507" i="1" s="1"/>
  <c r="AX493" i="1"/>
  <c r="AX476" i="1"/>
  <c r="BI312" i="1"/>
  <c r="AE312" i="1" s="1"/>
  <c r="BI311" i="1"/>
  <c r="AE311" i="1" s="1"/>
  <c r="BI279" i="1"/>
  <c r="AE279" i="1" s="1"/>
  <c r="AW261" i="1"/>
  <c r="BI138" i="1"/>
  <c r="AC138" i="1" s="1"/>
  <c r="BI110" i="1"/>
  <c r="AC110" i="1" s="1"/>
  <c r="BI109" i="1"/>
  <c r="AC109" i="1" s="1"/>
  <c r="BI70" i="1"/>
  <c r="AC70" i="1" s="1"/>
  <c r="AW21" i="1"/>
  <c r="BI13" i="1"/>
  <c r="AC13" i="1" s="1"/>
  <c r="BH574" i="1"/>
  <c r="AB574" i="1" s="1"/>
  <c r="BI287" i="1"/>
  <c r="AE287" i="1" s="1"/>
  <c r="BI181" i="1"/>
  <c r="AE181" i="1" s="1"/>
  <c r="BI18" i="1"/>
  <c r="AC18" i="1" s="1"/>
  <c r="BI602" i="1"/>
  <c r="AC602" i="1" s="1"/>
  <c r="BI599" i="1"/>
  <c r="AC599" i="1" s="1"/>
  <c r="BI586" i="1"/>
  <c r="AC586" i="1" s="1"/>
  <c r="BI529" i="1"/>
  <c r="AC529" i="1" s="1"/>
  <c r="BI495" i="1"/>
  <c r="AE495" i="1" s="1"/>
  <c r="BI478" i="1"/>
  <c r="AE478" i="1" s="1"/>
  <c r="BI383" i="1"/>
  <c r="AE383" i="1" s="1"/>
  <c r="BI356" i="1"/>
  <c r="AE356" i="1" s="1"/>
  <c r="BI299" i="1"/>
  <c r="AE299" i="1" s="1"/>
  <c r="BI226" i="1"/>
  <c r="AE226" i="1" s="1"/>
  <c r="BI156" i="1"/>
  <c r="AC156" i="1" s="1"/>
  <c r="AX527" i="1"/>
  <c r="BI463" i="1"/>
  <c r="AE463" i="1" s="1"/>
  <c r="AW429" i="1"/>
  <c r="BI424" i="1"/>
  <c r="AE424" i="1" s="1"/>
  <c r="AW377" i="1"/>
  <c r="AW372" i="1"/>
  <c r="AW370" i="1"/>
  <c r="AX349" i="1"/>
  <c r="I308" i="1"/>
  <c r="AW307" i="1"/>
  <c r="I304" i="1"/>
  <c r="AX287" i="1"/>
  <c r="BI280" i="1"/>
  <c r="AE280" i="1" s="1"/>
  <c r="AX277" i="1"/>
  <c r="AX275" i="1"/>
  <c r="BH261" i="1"/>
  <c r="AD261" i="1" s="1"/>
  <c r="AW68" i="1"/>
  <c r="AX29" i="1"/>
  <c r="BH21" i="1"/>
  <c r="AB21" i="1" s="1"/>
  <c r="BI589" i="1"/>
  <c r="AC589" i="1" s="1"/>
  <c r="AX605" i="1"/>
  <c r="AX593" i="1"/>
  <c r="AX589" i="1"/>
  <c r="AX577" i="1"/>
  <c r="AW546" i="1"/>
  <c r="AX495" i="1"/>
  <c r="AX456" i="1"/>
  <c r="AX448" i="1"/>
  <c r="BH444" i="1"/>
  <c r="AD444" i="1" s="1"/>
  <c r="AX443" i="1"/>
  <c r="BI433" i="1"/>
  <c r="AE433" i="1" s="1"/>
  <c r="BH425" i="1"/>
  <c r="AD425" i="1" s="1"/>
  <c r="AX413" i="1"/>
  <c r="BI410" i="1"/>
  <c r="AE410" i="1" s="1"/>
  <c r="BI327" i="1"/>
  <c r="AE327" i="1" s="1"/>
  <c r="BH326" i="1"/>
  <c r="AD326" i="1" s="1"/>
  <c r="BI295" i="1"/>
  <c r="AE295" i="1" s="1"/>
  <c r="BH252" i="1"/>
  <c r="AD252" i="1" s="1"/>
  <c r="AW241" i="1"/>
  <c r="BI165" i="1"/>
  <c r="BI161" i="1"/>
  <c r="BI158" i="1"/>
  <c r="AC158" i="1" s="1"/>
  <c r="AX158" i="1"/>
  <c r="AW156" i="1"/>
  <c r="AX138" i="1"/>
  <c r="BH131" i="1"/>
  <c r="AB131" i="1" s="1"/>
  <c r="AW114" i="1"/>
  <c r="AX106" i="1"/>
  <c r="AW49" i="1"/>
  <c r="AX13" i="1"/>
  <c r="BH619" i="1"/>
  <c r="AB619" i="1" s="1"/>
  <c r="BI607" i="1"/>
  <c r="AC607" i="1" s="1"/>
  <c r="BI606" i="1"/>
  <c r="AC606" i="1" s="1"/>
  <c r="AX569" i="1"/>
  <c r="J569" i="1"/>
  <c r="BI565" i="1"/>
  <c r="AC565" i="1" s="1"/>
  <c r="BI550" i="1"/>
  <c r="AC550" i="1" s="1"/>
  <c r="J523" i="1"/>
  <c r="I511" i="1"/>
  <c r="AX509" i="1"/>
  <c r="AW508" i="1"/>
  <c r="AW482" i="1"/>
  <c r="AX478" i="1"/>
  <c r="BH464" i="1"/>
  <c r="AD464" i="1" s="1"/>
  <c r="AX463" i="1"/>
  <c r="AX394" i="1"/>
  <c r="BH377" i="1"/>
  <c r="AD377" i="1" s="1"/>
  <c r="BI375" i="1"/>
  <c r="AE375" i="1" s="1"/>
  <c r="BI362" i="1"/>
  <c r="AE362" i="1" s="1"/>
  <c r="BH361" i="1"/>
  <c r="AD361" i="1" s="1"/>
  <c r="I358" i="1"/>
  <c r="BI341" i="1"/>
  <c r="AE341" i="1" s="1"/>
  <c r="I335" i="1"/>
  <c r="BI289" i="1"/>
  <c r="AE289" i="1" s="1"/>
  <c r="AX285" i="1"/>
  <c r="BI215" i="1"/>
  <c r="AE215" i="1" s="1"/>
  <c r="AX213" i="1"/>
  <c r="AW212" i="1"/>
  <c r="BI209" i="1"/>
  <c r="AE209" i="1" s="1"/>
  <c r="BI195" i="1"/>
  <c r="AE195" i="1" s="1"/>
  <c r="BI193" i="1"/>
  <c r="AE193" i="1" s="1"/>
  <c r="BI187" i="1"/>
  <c r="AE187" i="1" s="1"/>
  <c r="AW187" i="1"/>
  <c r="BI144" i="1"/>
  <c r="AC144" i="1" s="1"/>
  <c r="BI137" i="1"/>
  <c r="AC137" i="1" s="1"/>
  <c r="BI121" i="1"/>
  <c r="AC121" i="1" s="1"/>
  <c r="BH118" i="1"/>
  <c r="AB118" i="1" s="1"/>
  <c r="AW98" i="1"/>
  <c r="BI77" i="1"/>
  <c r="AC77" i="1" s="1"/>
  <c r="AX75" i="1"/>
  <c r="AW71" i="1"/>
  <c r="BI63" i="1"/>
  <c r="AC63" i="1" s="1"/>
  <c r="BH592" i="1"/>
  <c r="AB592" i="1" s="1"/>
  <c r="AX620" i="1"/>
  <c r="BI558" i="1"/>
  <c r="AC558" i="1" s="1"/>
  <c r="AW535" i="1"/>
  <c r="K534" i="1"/>
  <c r="G51" i="2" s="1"/>
  <c r="I51" i="2" s="1"/>
  <c r="BH508" i="1"/>
  <c r="AF508" i="1" s="1"/>
  <c r="AX507" i="1"/>
  <c r="AX506" i="1"/>
  <c r="BI452" i="1"/>
  <c r="AE452" i="1" s="1"/>
  <c r="BI451" i="1"/>
  <c r="AE451" i="1" s="1"/>
  <c r="AW444" i="1"/>
  <c r="AW425" i="1"/>
  <c r="BI416" i="1"/>
  <c r="AE416" i="1" s="1"/>
  <c r="AW383" i="1"/>
  <c r="BC383" i="1" s="1"/>
  <c r="AX330" i="1"/>
  <c r="AW326" i="1"/>
  <c r="BI323" i="1"/>
  <c r="AE323" i="1" s="1"/>
  <c r="AX280" i="1"/>
  <c r="BI263" i="1"/>
  <c r="AE263" i="1" s="1"/>
  <c r="AW252" i="1"/>
  <c r="AX226" i="1"/>
  <c r="BI218" i="1"/>
  <c r="AE218" i="1" s="1"/>
  <c r="AW174" i="1"/>
  <c r="BH152" i="1"/>
  <c r="AB152" i="1" s="1"/>
  <c r="AW131" i="1"/>
  <c r="BI64" i="1"/>
  <c r="AC64" i="1" s="1"/>
  <c r="AW46" i="1"/>
  <c r="BI26" i="1"/>
  <c r="AC26" i="1" s="1"/>
  <c r="BH599" i="1"/>
  <c r="AB599" i="1" s="1"/>
  <c r="BH587" i="1"/>
  <c r="AB587" i="1" s="1"/>
  <c r="AX541" i="1"/>
  <c r="J541" i="1"/>
  <c r="BI499" i="1"/>
  <c r="AE499" i="1" s="1"/>
  <c r="I387" i="1"/>
  <c r="AW387" i="1"/>
  <c r="BH168" i="1"/>
  <c r="BI167" i="1"/>
  <c r="I95" i="1"/>
  <c r="BH95" i="1"/>
  <c r="AB95" i="1" s="1"/>
  <c r="AW95" i="1"/>
  <c r="BH602" i="1"/>
  <c r="AB602" i="1" s="1"/>
  <c r="AW602" i="1"/>
  <c r="I566" i="1"/>
  <c r="BH566" i="1"/>
  <c r="AB566" i="1" s="1"/>
  <c r="AW566" i="1"/>
  <c r="J547" i="1"/>
  <c r="BI547" i="1"/>
  <c r="AC547" i="1" s="1"/>
  <c r="BI541" i="1"/>
  <c r="AC541" i="1" s="1"/>
  <c r="I538" i="1"/>
  <c r="BH538" i="1"/>
  <c r="AB538" i="1" s="1"/>
  <c r="AW538" i="1"/>
  <c r="J514" i="1"/>
  <c r="AX514" i="1"/>
  <c r="I492" i="1"/>
  <c r="BH492" i="1"/>
  <c r="AD492" i="1" s="1"/>
  <c r="AW492" i="1"/>
  <c r="I478" i="1"/>
  <c r="AW478" i="1"/>
  <c r="BH478" i="1"/>
  <c r="AD478" i="1" s="1"/>
  <c r="J464" i="1"/>
  <c r="AX464" i="1"/>
  <c r="BC464" i="1" s="1"/>
  <c r="BI464" i="1"/>
  <c r="AE464" i="1" s="1"/>
  <c r="J458" i="1"/>
  <c r="AX458" i="1"/>
  <c r="AX451" i="1"/>
  <c r="J450" i="1"/>
  <c r="BI450" i="1"/>
  <c r="AE450" i="1" s="1"/>
  <c r="J434" i="1"/>
  <c r="AX434" i="1"/>
  <c r="BI434" i="1"/>
  <c r="AE434" i="1" s="1"/>
  <c r="AX433" i="1"/>
  <c r="I427" i="1"/>
  <c r="AW427" i="1"/>
  <c r="J420" i="1"/>
  <c r="AX420" i="1"/>
  <c r="AX410" i="1"/>
  <c r="J405" i="1"/>
  <c r="AX405" i="1"/>
  <c r="J361" i="1"/>
  <c r="AX361" i="1"/>
  <c r="BI361" i="1"/>
  <c r="AE361" i="1" s="1"/>
  <c r="I322" i="1"/>
  <c r="AW322" i="1"/>
  <c r="I292" i="1"/>
  <c r="AW292" i="1"/>
  <c r="BH292" i="1"/>
  <c r="AD292" i="1" s="1"/>
  <c r="J197" i="1"/>
  <c r="BI197" i="1"/>
  <c r="AE197" i="1" s="1"/>
  <c r="AX125" i="1"/>
  <c r="BI125" i="1"/>
  <c r="AC125" i="1" s="1"/>
  <c r="J67" i="1"/>
  <c r="BI67" i="1"/>
  <c r="AC67" i="1" s="1"/>
  <c r="BI66" i="1"/>
  <c r="AC66" i="1" s="1"/>
  <c r="BI60" i="1"/>
  <c r="AC60" i="1" s="1"/>
  <c r="I38" i="1"/>
  <c r="I37" i="1" s="1"/>
  <c r="E16" i="2" s="1"/>
  <c r="BH38" i="1"/>
  <c r="AB38" i="1" s="1"/>
  <c r="AW38" i="1"/>
  <c r="J21" i="1"/>
  <c r="J20" i="1" s="1"/>
  <c r="F12" i="2" s="1"/>
  <c r="AX21" i="1"/>
  <c r="BI21" i="1"/>
  <c r="AC21" i="1" s="1"/>
  <c r="BI14" i="1"/>
  <c r="AC14" i="1" s="1"/>
  <c r="BH615" i="1"/>
  <c r="AB615" i="1" s="1"/>
  <c r="BH600" i="1"/>
  <c r="AB600" i="1" s="1"/>
  <c r="BH590" i="1"/>
  <c r="AB590" i="1" s="1"/>
  <c r="AX510" i="1"/>
  <c r="BI510" i="1"/>
  <c r="AC510" i="1" s="1"/>
  <c r="J482" i="1"/>
  <c r="AX482" i="1"/>
  <c r="BI482" i="1"/>
  <c r="AE482" i="1" s="1"/>
  <c r="BI471" i="1"/>
  <c r="AE471" i="1" s="1"/>
  <c r="I461" i="1"/>
  <c r="AW461" i="1"/>
  <c r="BI441" i="1"/>
  <c r="AE441" i="1" s="1"/>
  <c r="I399" i="1"/>
  <c r="AW399" i="1"/>
  <c r="AV399" i="1" s="1"/>
  <c r="J390" i="1"/>
  <c r="AX390" i="1"/>
  <c r="BI346" i="1"/>
  <c r="AE346" i="1" s="1"/>
  <c r="J292" i="1"/>
  <c r="AX292" i="1"/>
  <c r="BI292" i="1"/>
  <c r="AE292" i="1" s="1"/>
  <c r="J281" i="1"/>
  <c r="AX281" i="1"/>
  <c r="I264" i="1"/>
  <c r="AW264" i="1"/>
  <c r="BI257" i="1"/>
  <c r="AE257" i="1" s="1"/>
  <c r="BI143" i="1"/>
  <c r="AC143" i="1" s="1"/>
  <c r="J43" i="1"/>
  <c r="BI43" i="1"/>
  <c r="AC43" i="1" s="1"/>
  <c r="I607" i="1"/>
  <c r="AW607" i="1"/>
  <c r="I598" i="1"/>
  <c r="BH598" i="1"/>
  <c r="AB598" i="1" s="1"/>
  <c r="AW598" i="1"/>
  <c r="AX570" i="1"/>
  <c r="BI570" i="1"/>
  <c r="AC570" i="1" s="1"/>
  <c r="I520" i="1"/>
  <c r="AW520" i="1"/>
  <c r="J515" i="1"/>
  <c r="AX515" i="1"/>
  <c r="BI514" i="1"/>
  <c r="AC514" i="1" s="1"/>
  <c r="J439" i="1"/>
  <c r="AX439" i="1"/>
  <c r="I434" i="1"/>
  <c r="AW434" i="1"/>
  <c r="BC434" i="1" s="1"/>
  <c r="BH434" i="1"/>
  <c r="AD434" i="1" s="1"/>
  <c r="AX429" i="1"/>
  <c r="BI429" i="1"/>
  <c r="AE429" i="1" s="1"/>
  <c r="J422" i="1"/>
  <c r="AX422" i="1"/>
  <c r="I407" i="1"/>
  <c r="BH407" i="1"/>
  <c r="AD407" i="1" s="1"/>
  <c r="AW407" i="1"/>
  <c r="BI405" i="1"/>
  <c r="AE405" i="1" s="1"/>
  <c r="J380" i="1"/>
  <c r="AX380" i="1"/>
  <c r="AX375" i="1"/>
  <c r="BI373" i="1"/>
  <c r="AE373" i="1" s="1"/>
  <c r="I373" i="1"/>
  <c r="AW373" i="1"/>
  <c r="J342" i="1"/>
  <c r="AX342" i="1"/>
  <c r="AX341" i="1"/>
  <c r="J326" i="1"/>
  <c r="AX326" i="1"/>
  <c r="BI326" i="1"/>
  <c r="AE326" i="1" s="1"/>
  <c r="J316" i="1"/>
  <c r="BI316" i="1"/>
  <c r="AE316" i="1" s="1"/>
  <c r="I316" i="1"/>
  <c r="AX311" i="1"/>
  <c r="J310" i="1"/>
  <c r="BI310" i="1"/>
  <c r="AE310" i="1" s="1"/>
  <c r="I303" i="1"/>
  <c r="BH303" i="1"/>
  <c r="AD303" i="1" s="1"/>
  <c r="AW303" i="1"/>
  <c r="I280" i="1"/>
  <c r="AW280" i="1"/>
  <c r="BH280" i="1"/>
  <c r="AD280" i="1" s="1"/>
  <c r="BI237" i="1"/>
  <c r="AE237" i="1" s="1"/>
  <c r="BI232" i="1"/>
  <c r="AE232" i="1" s="1"/>
  <c r="J222" i="1"/>
  <c r="AX222" i="1"/>
  <c r="I204" i="1"/>
  <c r="AW204" i="1"/>
  <c r="I203" i="1"/>
  <c r="AW203" i="1"/>
  <c r="I125" i="1"/>
  <c r="AW125" i="1"/>
  <c r="I110" i="1"/>
  <c r="AW110" i="1"/>
  <c r="AX102" i="1"/>
  <c r="I88" i="1"/>
  <c r="BH88" i="1"/>
  <c r="AB88" i="1" s="1"/>
  <c r="AW88" i="1"/>
  <c r="I26" i="1"/>
  <c r="BH26" i="1"/>
  <c r="AB26" i="1" s="1"/>
  <c r="AW26" i="1"/>
  <c r="J601" i="1"/>
  <c r="AX601" i="1"/>
  <c r="BI591" i="1"/>
  <c r="AC591" i="1" s="1"/>
  <c r="BI585" i="1"/>
  <c r="AC585" i="1" s="1"/>
  <c r="AW426" i="1"/>
  <c r="I426" i="1"/>
  <c r="J335" i="1"/>
  <c r="BI335" i="1"/>
  <c r="AE335" i="1" s="1"/>
  <c r="BH254" i="1"/>
  <c r="AD254" i="1" s="1"/>
  <c r="BH250" i="1"/>
  <c r="AD250" i="1" s="1"/>
  <c r="AX180" i="1"/>
  <c r="BI180" i="1"/>
  <c r="AE180" i="1" s="1"/>
  <c r="I149" i="1"/>
  <c r="AW149" i="1"/>
  <c r="I123" i="1"/>
  <c r="AW123" i="1"/>
  <c r="I57" i="1"/>
  <c r="AW57" i="1"/>
  <c r="J30" i="1"/>
  <c r="AX30" i="1"/>
  <c r="AX585" i="1"/>
  <c r="AX573" i="1"/>
  <c r="I516" i="1"/>
  <c r="BH516" i="1"/>
  <c r="AB516" i="1" s="1"/>
  <c r="AW516" i="1"/>
  <c r="AX499" i="1"/>
  <c r="AX471" i="1"/>
  <c r="I459" i="1"/>
  <c r="AW459" i="1"/>
  <c r="AX441" i="1"/>
  <c r="I431" i="1"/>
  <c r="BH431" i="1"/>
  <c r="AD431" i="1" s="1"/>
  <c r="AW431" i="1"/>
  <c r="AX424" i="1"/>
  <c r="BI422" i="1"/>
  <c r="AE422" i="1" s="1"/>
  <c r="J352" i="1"/>
  <c r="AX352" i="1"/>
  <c r="AX346" i="1"/>
  <c r="AX263" i="1"/>
  <c r="I249" i="1"/>
  <c r="J247" i="1"/>
  <c r="BI247" i="1"/>
  <c r="AE247" i="1" s="1"/>
  <c r="I226" i="1"/>
  <c r="AW226" i="1"/>
  <c r="BH226" i="1"/>
  <c r="AD226" i="1" s="1"/>
  <c r="J179" i="1"/>
  <c r="BI179" i="1"/>
  <c r="AE179" i="1" s="1"/>
  <c r="AX144" i="1"/>
  <c r="AX143" i="1"/>
  <c r="I141" i="1"/>
  <c r="AW141" i="1"/>
  <c r="I134" i="1"/>
  <c r="AW134" i="1"/>
  <c r="J122" i="1"/>
  <c r="AX122" i="1"/>
  <c r="BI118" i="1"/>
  <c r="AC118" i="1" s="1"/>
  <c r="I56" i="1"/>
  <c r="AW56" i="1"/>
  <c r="BI567" i="1"/>
  <c r="AC567" i="1" s="1"/>
  <c r="AS534" i="1"/>
  <c r="BI397" i="1"/>
  <c r="AE397" i="1" s="1"/>
  <c r="AX397" i="1"/>
  <c r="BH370" i="1"/>
  <c r="AD370" i="1" s="1"/>
  <c r="AX368" i="1"/>
  <c r="AX329" i="1"/>
  <c r="BH307" i="1"/>
  <c r="AD307" i="1" s="1"/>
  <c r="AX296" i="1"/>
  <c r="AX289" i="1"/>
  <c r="BH285" i="1"/>
  <c r="AD285" i="1" s="1"/>
  <c r="I265" i="1"/>
  <c r="AX218" i="1"/>
  <c r="AX215" i="1"/>
  <c r="AX211" i="1"/>
  <c r="AX209" i="1"/>
  <c r="BH207" i="1"/>
  <c r="AD207" i="1" s="1"/>
  <c r="BI205" i="1"/>
  <c r="AE205" i="1" s="1"/>
  <c r="AX205" i="1"/>
  <c r="AK177" i="1"/>
  <c r="AT176" i="1" s="1"/>
  <c r="BH174" i="1"/>
  <c r="AX173" i="1"/>
  <c r="BH162" i="1"/>
  <c r="AX161" i="1"/>
  <c r="BH156" i="1"/>
  <c r="AB156" i="1" s="1"/>
  <c r="BH71" i="1"/>
  <c r="AB71" i="1" s="1"/>
  <c r="BH49" i="1"/>
  <c r="AB49" i="1" s="1"/>
  <c r="BH46" i="1"/>
  <c r="AB46" i="1" s="1"/>
  <c r="BH571" i="1"/>
  <c r="AB571" i="1" s="1"/>
  <c r="BI595" i="1"/>
  <c r="AC595" i="1" s="1"/>
  <c r="BI532" i="1"/>
  <c r="AC532" i="1" s="1"/>
  <c r="AS94" i="1"/>
  <c r="I430" i="1"/>
  <c r="BH430" i="1"/>
  <c r="AD430" i="1" s="1"/>
  <c r="AW430" i="1"/>
  <c r="AX421" i="1"/>
  <c r="BI421" i="1"/>
  <c r="AE421" i="1" s="1"/>
  <c r="I415" i="1"/>
  <c r="AW415" i="1"/>
  <c r="I413" i="1"/>
  <c r="AW413" i="1"/>
  <c r="BH413" i="1"/>
  <c r="AD413" i="1" s="1"/>
  <c r="J406" i="1"/>
  <c r="BI406" i="1"/>
  <c r="AE406" i="1" s="1"/>
  <c r="I403" i="1"/>
  <c r="BH403" i="1"/>
  <c r="AD403" i="1" s="1"/>
  <c r="AW403" i="1"/>
  <c r="J391" i="1"/>
  <c r="AX391" i="1"/>
  <c r="BI391" i="1"/>
  <c r="AE391" i="1" s="1"/>
  <c r="J386" i="1"/>
  <c r="AX386" i="1"/>
  <c r="BI386" i="1"/>
  <c r="AE386" i="1" s="1"/>
  <c r="J350" i="1"/>
  <c r="BI350" i="1"/>
  <c r="AE350" i="1" s="1"/>
  <c r="J304" i="1"/>
  <c r="BI304" i="1"/>
  <c r="AE304" i="1" s="1"/>
  <c r="I281" i="1"/>
  <c r="AW281" i="1"/>
  <c r="BC281" i="1" s="1"/>
  <c r="BH281" i="1"/>
  <c r="AD281" i="1" s="1"/>
  <c r="J267" i="1"/>
  <c r="BI267" i="1"/>
  <c r="AE267" i="1" s="1"/>
  <c r="J128" i="1"/>
  <c r="AX128" i="1"/>
  <c r="BI128" i="1"/>
  <c r="AC128" i="1" s="1"/>
  <c r="I127" i="1"/>
  <c r="AW127" i="1"/>
  <c r="J481" i="1"/>
  <c r="AX481" i="1"/>
  <c r="I456" i="1"/>
  <c r="AW456" i="1"/>
  <c r="BC456" i="1" s="1"/>
  <c r="BH456" i="1"/>
  <c r="AD456" i="1" s="1"/>
  <c r="BI454" i="1"/>
  <c r="AE454" i="1" s="1"/>
  <c r="J445" i="1"/>
  <c r="AX445" i="1"/>
  <c r="AV445" i="1" s="1"/>
  <c r="BI445" i="1"/>
  <c r="AE445" i="1" s="1"/>
  <c r="I606" i="1"/>
  <c r="AW606" i="1"/>
  <c r="BI605" i="1"/>
  <c r="AC605" i="1" s="1"/>
  <c r="BI603" i="1"/>
  <c r="AC603" i="1" s="1"/>
  <c r="AX590" i="1"/>
  <c r="J590" i="1"/>
  <c r="BI575" i="1"/>
  <c r="AC575" i="1" s="1"/>
  <c r="BI551" i="1"/>
  <c r="AC551" i="1" s="1"/>
  <c r="BI549" i="1"/>
  <c r="AC549" i="1" s="1"/>
  <c r="BH547" i="1"/>
  <c r="AB547" i="1" s="1"/>
  <c r="BH543" i="1"/>
  <c r="AB543" i="1" s="1"/>
  <c r="I500" i="1"/>
  <c r="AW500" i="1"/>
  <c r="BI481" i="1"/>
  <c r="AE481" i="1" s="1"/>
  <c r="AX440" i="1"/>
  <c r="J440" i="1"/>
  <c r="BI440" i="1"/>
  <c r="AE440" i="1" s="1"/>
  <c r="I327" i="1"/>
  <c r="AW327" i="1"/>
  <c r="I311" i="1"/>
  <c r="AW311" i="1"/>
  <c r="BH311" i="1"/>
  <c r="AD311" i="1" s="1"/>
  <c r="I293" i="1"/>
  <c r="BH293" i="1"/>
  <c r="AD293" i="1" s="1"/>
  <c r="AW293" i="1"/>
  <c r="J206" i="1"/>
  <c r="AX206" i="1"/>
  <c r="BI206" i="1"/>
  <c r="AE206" i="1" s="1"/>
  <c r="AX15" i="1"/>
  <c r="BI15" i="1"/>
  <c r="AC15" i="1" s="1"/>
  <c r="J618" i="1"/>
  <c r="BI618" i="1"/>
  <c r="AC618" i="1" s="1"/>
  <c r="AX594" i="1"/>
  <c r="BI594" i="1"/>
  <c r="AC594" i="1" s="1"/>
  <c r="BH586" i="1"/>
  <c r="AB586" i="1" s="1"/>
  <c r="AW586" i="1"/>
  <c r="J574" i="1"/>
  <c r="I528" i="1"/>
  <c r="BH528" i="1"/>
  <c r="AB528" i="1" s="1"/>
  <c r="AW528" i="1"/>
  <c r="I499" i="1"/>
  <c r="BH499" i="1"/>
  <c r="AD499" i="1" s="1"/>
  <c r="AW499" i="1"/>
  <c r="J496" i="1"/>
  <c r="AX496" i="1"/>
  <c r="BI496" i="1"/>
  <c r="I486" i="1"/>
  <c r="AW486" i="1"/>
  <c r="I479" i="1"/>
  <c r="BH479" i="1"/>
  <c r="AD479" i="1" s="1"/>
  <c r="AW479" i="1"/>
  <c r="BI466" i="1"/>
  <c r="AE466" i="1" s="1"/>
  <c r="AX466" i="1"/>
  <c r="AX452" i="1"/>
  <c r="I440" i="1"/>
  <c r="AW440" i="1"/>
  <c r="J414" i="1"/>
  <c r="BI414" i="1"/>
  <c r="AE414" i="1" s="1"/>
  <c r="AX414" i="1"/>
  <c r="I405" i="1"/>
  <c r="AW405" i="1"/>
  <c r="BH405" i="1"/>
  <c r="AD405" i="1" s="1"/>
  <c r="AW392" i="1"/>
  <c r="I392" i="1"/>
  <c r="J385" i="1"/>
  <c r="BI385" i="1"/>
  <c r="AE385" i="1" s="1"/>
  <c r="BI381" i="1"/>
  <c r="AE381" i="1" s="1"/>
  <c r="J333" i="1"/>
  <c r="BI333" i="1"/>
  <c r="AE333" i="1" s="1"/>
  <c r="I323" i="1"/>
  <c r="BH323" i="1"/>
  <c r="AD323" i="1" s="1"/>
  <c r="AW323" i="1"/>
  <c r="I298" i="1"/>
  <c r="BH298" i="1"/>
  <c r="AD298" i="1" s="1"/>
  <c r="AW298" i="1"/>
  <c r="AX272" i="1"/>
  <c r="BI272" i="1"/>
  <c r="AE272" i="1" s="1"/>
  <c r="I270" i="1"/>
  <c r="AW270" i="1"/>
  <c r="J265" i="1"/>
  <c r="BI265" i="1"/>
  <c r="AE265" i="1" s="1"/>
  <c r="I617" i="1"/>
  <c r="BH617" i="1"/>
  <c r="AB617" i="1" s="1"/>
  <c r="AW617" i="1"/>
  <c r="I582" i="1"/>
  <c r="BH582" i="1"/>
  <c r="AB582" i="1" s="1"/>
  <c r="AW582" i="1"/>
  <c r="BI581" i="1"/>
  <c r="AC581" i="1" s="1"/>
  <c r="BH570" i="1"/>
  <c r="AB570" i="1" s="1"/>
  <c r="AW570" i="1"/>
  <c r="BI543" i="1"/>
  <c r="AC543" i="1" s="1"/>
  <c r="BI539" i="1"/>
  <c r="AC539" i="1" s="1"/>
  <c r="BH532" i="1"/>
  <c r="AB532" i="1" s="1"/>
  <c r="AW532" i="1"/>
  <c r="AW519" i="1"/>
  <c r="BH519" i="1"/>
  <c r="AB519" i="1" s="1"/>
  <c r="BI517" i="1"/>
  <c r="AC517" i="1" s="1"/>
  <c r="J513" i="1"/>
  <c r="AX513" i="1"/>
  <c r="BI513" i="1"/>
  <c r="AC513" i="1" s="1"/>
  <c r="BC482" i="1"/>
  <c r="AV482" i="1"/>
  <c r="I452" i="1"/>
  <c r="AW452" i="1"/>
  <c r="BH452" i="1"/>
  <c r="AD452" i="1" s="1"/>
  <c r="I562" i="1"/>
  <c r="AW562" i="1"/>
  <c r="BI542" i="1"/>
  <c r="AC542" i="1" s="1"/>
  <c r="J505" i="1"/>
  <c r="AX505" i="1"/>
  <c r="BI505" i="1"/>
  <c r="AG505" i="1" s="1"/>
  <c r="BH500" i="1"/>
  <c r="AD500" i="1" s="1"/>
  <c r="I451" i="1"/>
  <c r="AW451" i="1"/>
  <c r="BH451" i="1"/>
  <c r="AD451" i="1" s="1"/>
  <c r="BI439" i="1"/>
  <c r="AE439" i="1" s="1"/>
  <c r="I284" i="1"/>
  <c r="BH284" i="1"/>
  <c r="AD284" i="1" s="1"/>
  <c r="AW284" i="1"/>
  <c r="J268" i="1"/>
  <c r="AX268" i="1"/>
  <c r="I227" i="1"/>
  <c r="BH227" i="1"/>
  <c r="AD227" i="1" s="1"/>
  <c r="AW227" i="1"/>
  <c r="I222" i="1"/>
  <c r="AW222" i="1"/>
  <c r="BH222" i="1"/>
  <c r="AD222" i="1" s="1"/>
  <c r="I50" i="1"/>
  <c r="AW50" i="1"/>
  <c r="AX44" i="1"/>
  <c r="BI44" i="1"/>
  <c r="AC44" i="1" s="1"/>
  <c r="AX28" i="1"/>
  <c r="BI28" i="1"/>
  <c r="AC28" i="1" s="1"/>
  <c r="I14" i="1"/>
  <c r="BH14" i="1"/>
  <c r="AB14" i="1" s="1"/>
  <c r="AW14" i="1"/>
  <c r="I618" i="1"/>
  <c r="AW618" i="1"/>
  <c r="AX616" i="1"/>
  <c r="J597" i="1"/>
  <c r="AX597" i="1"/>
  <c r="AX581" i="1"/>
  <c r="J570" i="1"/>
  <c r="BI566" i="1"/>
  <c r="AC566" i="1" s="1"/>
  <c r="AX535" i="1"/>
  <c r="J535" i="1"/>
  <c r="J534" i="1" s="1"/>
  <c r="F51" i="2" s="1"/>
  <c r="AX521" i="1"/>
  <c r="AX519" i="1"/>
  <c r="BI519" i="1"/>
  <c r="AC519" i="1" s="1"/>
  <c r="J519" i="1"/>
  <c r="AX517" i="1"/>
  <c r="I496" i="1"/>
  <c r="AW496" i="1"/>
  <c r="BH496" i="1"/>
  <c r="I485" i="1"/>
  <c r="BH485" i="1"/>
  <c r="AD485" i="1" s="1"/>
  <c r="AW485" i="1"/>
  <c r="J468" i="1"/>
  <c r="AX468" i="1"/>
  <c r="BC468" i="1" s="1"/>
  <c r="BI468" i="1"/>
  <c r="AE468" i="1" s="1"/>
  <c r="J460" i="1"/>
  <c r="AX460" i="1"/>
  <c r="BI460" i="1"/>
  <c r="AE460" i="1" s="1"/>
  <c r="J455" i="1"/>
  <c r="AX455" i="1"/>
  <c r="AX454" i="1"/>
  <c r="I453" i="1"/>
  <c r="AW453" i="1"/>
  <c r="J437" i="1"/>
  <c r="AX437" i="1"/>
  <c r="J412" i="1"/>
  <c r="AX412" i="1"/>
  <c r="AX395" i="1"/>
  <c r="BI395" i="1"/>
  <c r="AE395" i="1" s="1"/>
  <c r="J308" i="1"/>
  <c r="BI308" i="1"/>
  <c r="AE308" i="1" s="1"/>
  <c r="I296" i="1"/>
  <c r="AW296" i="1"/>
  <c r="BH296" i="1"/>
  <c r="AD296" i="1" s="1"/>
  <c r="AX169" i="1"/>
  <c r="BI169" i="1"/>
  <c r="J126" i="1"/>
  <c r="AX126" i="1"/>
  <c r="AX95" i="1"/>
  <c r="BI95" i="1"/>
  <c r="AC95" i="1" s="1"/>
  <c r="I170" i="1"/>
  <c r="AW170" i="1"/>
  <c r="J130" i="1"/>
  <c r="AX130" i="1"/>
  <c r="AV130" i="1" s="1"/>
  <c r="BI130" i="1"/>
  <c r="AC130" i="1" s="1"/>
  <c r="I121" i="1"/>
  <c r="BH121" i="1"/>
  <c r="AB121" i="1" s="1"/>
  <c r="AW121" i="1"/>
  <c r="J111" i="1"/>
  <c r="AX111" i="1"/>
  <c r="AX82" i="1"/>
  <c r="BI82" i="1"/>
  <c r="AC82" i="1" s="1"/>
  <c r="I80" i="1"/>
  <c r="AW80" i="1"/>
  <c r="I48" i="1"/>
  <c r="BH48" i="1"/>
  <c r="AB48" i="1" s="1"/>
  <c r="AW48" i="1"/>
  <c r="I47" i="1"/>
  <c r="AW47" i="1"/>
  <c r="I43" i="1"/>
  <c r="BH43" i="1"/>
  <c r="AB43" i="1" s="1"/>
  <c r="AW43" i="1"/>
  <c r="I28" i="1"/>
  <c r="AW28" i="1"/>
  <c r="I15" i="1"/>
  <c r="AW15" i="1"/>
  <c r="AV15" i="1" s="1"/>
  <c r="BI399" i="1"/>
  <c r="AE399" i="1" s="1"/>
  <c r="AV387" i="1"/>
  <c r="BI368" i="1"/>
  <c r="AE368" i="1" s="1"/>
  <c r="BI349" i="1"/>
  <c r="AE349" i="1" s="1"/>
  <c r="I272" i="1"/>
  <c r="AW272" i="1"/>
  <c r="I260" i="1"/>
  <c r="AW260" i="1"/>
  <c r="J240" i="1"/>
  <c r="AX240" i="1"/>
  <c r="BI238" i="1"/>
  <c r="AE238" i="1" s="1"/>
  <c r="BI213" i="1"/>
  <c r="AE213" i="1" s="1"/>
  <c r="J207" i="1"/>
  <c r="AX207" i="1"/>
  <c r="BI207" i="1"/>
  <c r="AE207" i="1" s="1"/>
  <c r="BH595" i="1"/>
  <c r="AB595" i="1" s="1"/>
  <c r="BI583" i="1"/>
  <c r="AC583" i="1" s="1"/>
  <c r="BH575" i="1"/>
  <c r="AB575" i="1" s="1"/>
  <c r="BH526" i="1"/>
  <c r="AB526" i="1" s="1"/>
  <c r="BH414" i="1"/>
  <c r="AD414" i="1" s="1"/>
  <c r="AW414" i="1"/>
  <c r="BI408" i="1"/>
  <c r="AE408" i="1" s="1"/>
  <c r="AW395" i="1"/>
  <c r="BH391" i="1"/>
  <c r="AD391" i="1" s="1"/>
  <c r="AW391" i="1"/>
  <c r="BI348" i="1"/>
  <c r="AE348" i="1" s="1"/>
  <c r="BI345" i="1"/>
  <c r="AE345" i="1" s="1"/>
  <c r="BI343" i="1"/>
  <c r="AE343" i="1" s="1"/>
  <c r="J264" i="1"/>
  <c r="AX264" i="1"/>
  <c r="BI264" i="1"/>
  <c r="AE264" i="1" s="1"/>
  <c r="I248" i="1"/>
  <c r="BH248" i="1"/>
  <c r="AD248" i="1" s="1"/>
  <c r="BI240" i="1"/>
  <c r="AE240" i="1" s="1"/>
  <c r="J225" i="1"/>
  <c r="AX225" i="1"/>
  <c r="I219" i="1"/>
  <c r="BH219" i="1"/>
  <c r="AD219" i="1" s="1"/>
  <c r="J202" i="1"/>
  <c r="AX202" i="1"/>
  <c r="BI202" i="1"/>
  <c r="AE202" i="1" s="1"/>
  <c r="BI191" i="1"/>
  <c r="I191" i="1"/>
  <c r="AW191" i="1"/>
  <c r="I180" i="1"/>
  <c r="BH180" i="1"/>
  <c r="AD180" i="1" s="1"/>
  <c r="AW180" i="1"/>
  <c r="I166" i="1"/>
  <c r="BH166" i="1"/>
  <c r="AW166" i="1"/>
  <c r="BH150" i="1"/>
  <c r="AB150" i="1" s="1"/>
  <c r="AW150" i="1"/>
  <c r="I150" i="1"/>
  <c r="AW138" i="1"/>
  <c r="AV138" i="1" s="1"/>
  <c r="BH138" i="1"/>
  <c r="AB138" i="1" s="1"/>
  <c r="AW115" i="1"/>
  <c r="BH115" i="1"/>
  <c r="AB115" i="1" s="1"/>
  <c r="BI114" i="1"/>
  <c r="AC114" i="1" s="1"/>
  <c r="BI111" i="1"/>
  <c r="AC111" i="1" s="1"/>
  <c r="J110" i="1"/>
  <c r="I82" i="1"/>
  <c r="AW82" i="1"/>
  <c r="BI81" i="1"/>
  <c r="AC81" i="1" s="1"/>
  <c r="I77" i="1"/>
  <c r="BH77" i="1"/>
  <c r="AB77" i="1" s="1"/>
  <c r="AW77" i="1"/>
  <c r="AX60" i="1"/>
  <c r="J59" i="1"/>
  <c r="AX59" i="1"/>
  <c r="BI59" i="1"/>
  <c r="AC59" i="1" s="1"/>
  <c r="J32" i="1"/>
  <c r="AX32" i="1"/>
  <c r="I23" i="1"/>
  <c r="BH23" i="1"/>
  <c r="AB23" i="1" s="1"/>
  <c r="AW23" i="1"/>
  <c r="BI394" i="1"/>
  <c r="AE394" i="1" s="1"/>
  <c r="I274" i="1"/>
  <c r="BH274" i="1"/>
  <c r="AD274" i="1" s="1"/>
  <c r="I223" i="1"/>
  <c r="BH223" i="1"/>
  <c r="AD223" i="1" s="1"/>
  <c r="I216" i="1"/>
  <c r="AW216" i="1"/>
  <c r="I206" i="1"/>
  <c r="AW206" i="1"/>
  <c r="BH206" i="1"/>
  <c r="AD206" i="1" s="1"/>
  <c r="J602" i="1"/>
  <c r="BH576" i="1"/>
  <c r="AB576" i="1" s="1"/>
  <c r="BI573" i="1"/>
  <c r="AC573" i="1" s="1"/>
  <c r="J606" i="1"/>
  <c r="I602" i="1"/>
  <c r="J586" i="1"/>
  <c r="BI578" i="1"/>
  <c r="AC578" i="1" s="1"/>
  <c r="BI557" i="1"/>
  <c r="AC557" i="1" s="1"/>
  <c r="J554" i="1"/>
  <c r="BH460" i="1"/>
  <c r="AD460" i="1" s="1"/>
  <c r="AW460" i="1"/>
  <c r="AV441" i="1"/>
  <c r="BI432" i="1"/>
  <c r="AE432" i="1" s="1"/>
  <c r="AV430" i="1"/>
  <c r="BI418" i="1"/>
  <c r="AE418" i="1" s="1"/>
  <c r="AW406" i="1"/>
  <c r="BH395" i="1"/>
  <c r="AD395" i="1" s="1"/>
  <c r="BH386" i="1"/>
  <c r="AD386" i="1" s="1"/>
  <c r="AW386" i="1"/>
  <c r="AW381" i="1"/>
  <c r="BC381" i="1" s="1"/>
  <c r="BI376" i="1"/>
  <c r="AE376" i="1" s="1"/>
  <c r="BI372" i="1"/>
  <c r="AE372" i="1" s="1"/>
  <c r="AX372" i="1"/>
  <c r="AW369" i="1"/>
  <c r="BI364" i="1"/>
  <c r="AE364" i="1" s="1"/>
  <c r="AW334" i="1"/>
  <c r="BI325" i="1"/>
  <c r="AE325" i="1" s="1"/>
  <c r="AW315" i="1"/>
  <c r="AW312" i="1"/>
  <c r="BI306" i="1"/>
  <c r="AE306" i="1" s="1"/>
  <c r="AW297" i="1"/>
  <c r="AV297" i="1" s="1"/>
  <c r="AV293" i="1"/>
  <c r="BI291" i="1"/>
  <c r="AE291" i="1" s="1"/>
  <c r="AW286" i="1"/>
  <c r="AW274" i="1"/>
  <c r="AW256" i="1"/>
  <c r="I237" i="1"/>
  <c r="BH237" i="1"/>
  <c r="AD237" i="1" s="1"/>
  <c r="AW234" i="1"/>
  <c r="I234" i="1"/>
  <c r="BI225" i="1"/>
  <c r="AE225" i="1" s="1"/>
  <c r="AW223" i="1"/>
  <c r="J221" i="1"/>
  <c r="AX221" i="1"/>
  <c r="BH218" i="1"/>
  <c r="AD218" i="1" s="1"/>
  <c r="AW218" i="1"/>
  <c r="I210" i="1"/>
  <c r="BH210" i="1"/>
  <c r="AD210" i="1" s="1"/>
  <c r="J203" i="1"/>
  <c r="AX203" i="1"/>
  <c r="BI203" i="1"/>
  <c r="AE203" i="1" s="1"/>
  <c r="I202" i="1"/>
  <c r="AW202" i="1"/>
  <c r="BH202" i="1"/>
  <c r="AD202" i="1" s="1"/>
  <c r="I195" i="1"/>
  <c r="BH195" i="1"/>
  <c r="AD195" i="1" s="1"/>
  <c r="AW195" i="1"/>
  <c r="I194" i="1"/>
  <c r="AW194" i="1"/>
  <c r="I148" i="1"/>
  <c r="AW148" i="1"/>
  <c r="BH148" i="1"/>
  <c r="AB148" i="1" s="1"/>
  <c r="AS91" i="1"/>
  <c r="J62" i="1"/>
  <c r="AX62" i="1"/>
  <c r="BI62" i="1"/>
  <c r="AC62" i="1" s="1"/>
  <c r="I61" i="1"/>
  <c r="AW61" i="1"/>
  <c r="I59" i="1"/>
  <c r="AW59" i="1"/>
  <c r="BH59" i="1"/>
  <c r="AB59" i="1" s="1"/>
  <c r="J50" i="1"/>
  <c r="BI50" i="1"/>
  <c r="AC50" i="1" s="1"/>
  <c r="I35" i="1"/>
  <c r="BH35" i="1"/>
  <c r="AB35" i="1" s="1"/>
  <c r="AW35" i="1"/>
  <c r="AX197" i="1"/>
  <c r="I177" i="1"/>
  <c r="I176" i="1" s="1"/>
  <c r="E34" i="2" s="1"/>
  <c r="BH149" i="1"/>
  <c r="AB149" i="1" s="1"/>
  <c r="BH134" i="1"/>
  <c r="AB134" i="1" s="1"/>
  <c r="BI115" i="1"/>
  <c r="AC115" i="1" s="1"/>
  <c r="AX115" i="1"/>
  <c r="AV102" i="1"/>
  <c r="AS97" i="1"/>
  <c r="BH68" i="1"/>
  <c r="AB68" i="1" s="1"/>
  <c r="AX67" i="1"/>
  <c r="AX66" i="1"/>
  <c r="AX64" i="1"/>
  <c r="AX63" i="1"/>
  <c r="BH56" i="1"/>
  <c r="AB56" i="1" s="1"/>
  <c r="BI132" i="1"/>
  <c r="AC132" i="1" s="1"/>
  <c r="AV106" i="1"/>
  <c r="BC35" i="1"/>
  <c r="AT27" i="1"/>
  <c r="K27" i="1"/>
  <c r="G14" i="2" s="1"/>
  <c r="I14" i="2" s="1"/>
  <c r="C20" i="4"/>
  <c r="BI163" i="1"/>
  <c r="I611" i="1"/>
  <c r="BI598" i="1"/>
  <c r="AC598" i="1" s="1"/>
  <c r="BH594" i="1"/>
  <c r="AB594" i="1" s="1"/>
  <c r="I591" i="1"/>
  <c r="BI582" i="1"/>
  <c r="AC582" i="1" s="1"/>
  <c r="BH578" i="1"/>
  <c r="AB578" i="1" s="1"/>
  <c r="I575" i="1"/>
  <c r="I559" i="1"/>
  <c r="BH542" i="1"/>
  <c r="AB542" i="1" s="1"/>
  <c r="I542" i="1"/>
  <c r="AW542" i="1"/>
  <c r="K537" i="1"/>
  <c r="AW523" i="1"/>
  <c r="I523" i="1"/>
  <c r="I518" i="1"/>
  <c r="BH518" i="1"/>
  <c r="AB518" i="1" s="1"/>
  <c r="AW518" i="1"/>
  <c r="AU503" i="1"/>
  <c r="I507" i="1"/>
  <c r="AW507" i="1"/>
  <c r="BH507" i="1"/>
  <c r="AF507" i="1" s="1"/>
  <c r="I490" i="1"/>
  <c r="BH490" i="1"/>
  <c r="AD490" i="1" s="1"/>
  <c r="AW490" i="1"/>
  <c r="BC478" i="1"/>
  <c r="AV478" i="1"/>
  <c r="J473" i="1"/>
  <c r="AX473" i="1"/>
  <c r="I595" i="1"/>
  <c r="I579" i="1"/>
  <c r="AX562" i="1"/>
  <c r="BI562" i="1"/>
  <c r="AC562" i="1" s="1"/>
  <c r="J562" i="1"/>
  <c r="BH524" i="1"/>
  <c r="AB524" i="1" s="1"/>
  <c r="AW524" i="1"/>
  <c r="AV524" i="1" s="1"/>
  <c r="I501" i="1"/>
  <c r="BH501" i="1"/>
  <c r="AD501" i="1" s="1"/>
  <c r="AW501" i="1"/>
  <c r="AX500" i="1"/>
  <c r="AV500" i="1" s="1"/>
  <c r="BI500" i="1"/>
  <c r="AE500" i="1" s="1"/>
  <c r="J500" i="1"/>
  <c r="I477" i="1"/>
  <c r="AW477" i="1"/>
  <c r="BH477" i="1"/>
  <c r="AD477" i="1" s="1"/>
  <c r="BI611" i="1"/>
  <c r="AC611" i="1" s="1"/>
  <c r="AW611" i="1"/>
  <c r="BI610" i="1"/>
  <c r="AC610" i="1" s="1"/>
  <c r="BH607" i="1"/>
  <c r="AB607" i="1" s="1"/>
  <c r="BH606" i="1"/>
  <c r="AB606" i="1" s="1"/>
  <c r="I599" i="1"/>
  <c r="J594" i="1"/>
  <c r="BI590" i="1"/>
  <c r="AC590" i="1" s="1"/>
  <c r="AW590" i="1"/>
  <c r="I583" i="1"/>
  <c r="J578" i="1"/>
  <c r="BI574" i="1"/>
  <c r="AC574" i="1" s="1"/>
  <c r="AW574" i="1"/>
  <c r="BH558" i="1"/>
  <c r="AB558" i="1" s="1"/>
  <c r="I558" i="1"/>
  <c r="AW558" i="1"/>
  <c r="AX553" i="1"/>
  <c r="BI553" i="1"/>
  <c r="AC553" i="1" s="1"/>
  <c r="I543" i="1"/>
  <c r="AU534" i="1"/>
  <c r="J511" i="1"/>
  <c r="AX511" i="1"/>
  <c r="BC511" i="1" s="1"/>
  <c r="BI511" i="1"/>
  <c r="AC511" i="1" s="1"/>
  <c r="AW493" i="1"/>
  <c r="BH493" i="1"/>
  <c r="AD493" i="1" s="1"/>
  <c r="I487" i="1"/>
  <c r="BH487" i="1"/>
  <c r="AD487" i="1" s="1"/>
  <c r="AW487" i="1"/>
  <c r="AX486" i="1"/>
  <c r="AV486" i="1" s="1"/>
  <c r="BI486" i="1"/>
  <c r="AE486" i="1" s="1"/>
  <c r="J486" i="1"/>
  <c r="J480" i="1"/>
  <c r="AX480" i="1"/>
  <c r="BI480" i="1"/>
  <c r="AE480" i="1" s="1"/>
  <c r="BC471" i="1"/>
  <c r="AV471" i="1"/>
  <c r="BH610" i="1"/>
  <c r="AB610" i="1" s="1"/>
  <c r="AW610" i="1"/>
  <c r="BI609" i="1"/>
  <c r="AC609" i="1" s="1"/>
  <c r="AX609" i="1"/>
  <c r="I603" i="1"/>
  <c r="J598" i="1"/>
  <c r="AW594" i="1"/>
  <c r="I587" i="1"/>
  <c r="J582" i="1"/>
  <c r="AW578" i="1"/>
  <c r="I571" i="1"/>
  <c r="AX546" i="1"/>
  <c r="BI546" i="1"/>
  <c r="AC546" i="1" s="1"/>
  <c r="J546" i="1"/>
  <c r="AX528" i="1"/>
  <c r="BI528" i="1"/>
  <c r="AC528" i="1" s="1"/>
  <c r="J528" i="1"/>
  <c r="I515" i="1"/>
  <c r="AW515" i="1"/>
  <c r="BH515" i="1"/>
  <c r="AB515" i="1" s="1"/>
  <c r="J492" i="1"/>
  <c r="AX492" i="1"/>
  <c r="BI492" i="1"/>
  <c r="AE492" i="1" s="1"/>
  <c r="I471" i="1"/>
  <c r="J444" i="1"/>
  <c r="K436" i="1"/>
  <c r="G44" i="2" s="1"/>
  <c r="I44" i="2" s="1"/>
  <c r="J430" i="1"/>
  <c r="AS371" i="1"/>
  <c r="J387" i="1"/>
  <c r="J369" i="1"/>
  <c r="J360" i="1"/>
  <c r="AX360" i="1"/>
  <c r="BI360" i="1"/>
  <c r="AE360" i="1" s="1"/>
  <c r="J358" i="1"/>
  <c r="BI358" i="1"/>
  <c r="AE358" i="1" s="1"/>
  <c r="AX357" i="1"/>
  <c r="BI357" i="1"/>
  <c r="AE357" i="1" s="1"/>
  <c r="J357" i="1"/>
  <c r="AX565" i="1"/>
  <c r="I563" i="1"/>
  <c r="BI561" i="1"/>
  <c r="AC561" i="1" s="1"/>
  <c r="AX561" i="1"/>
  <c r="J558" i="1"/>
  <c r="AX549" i="1"/>
  <c r="I547" i="1"/>
  <c r="BI545" i="1"/>
  <c r="AC545" i="1" s="1"/>
  <c r="AX545" i="1"/>
  <c r="J542" i="1"/>
  <c r="I535" i="1"/>
  <c r="I529" i="1"/>
  <c r="AX523" i="1"/>
  <c r="AW522" i="1"/>
  <c r="BH514" i="1"/>
  <c r="AB514" i="1" s="1"/>
  <c r="AW514" i="1"/>
  <c r="AW512" i="1"/>
  <c r="AW510" i="1"/>
  <c r="BH506" i="1"/>
  <c r="AF506" i="1" s="1"/>
  <c r="AW506" i="1"/>
  <c r="AW504" i="1"/>
  <c r="BI502" i="1"/>
  <c r="AE502" i="1" s="1"/>
  <c r="AX502" i="1"/>
  <c r="AW494" i="1"/>
  <c r="BI491" i="1"/>
  <c r="AE491" i="1" s="1"/>
  <c r="AX491" i="1"/>
  <c r="BI488" i="1"/>
  <c r="AX488" i="1"/>
  <c r="BH481" i="1"/>
  <c r="AD481" i="1" s="1"/>
  <c r="AW481" i="1"/>
  <c r="BI477" i="1"/>
  <c r="AE477" i="1" s="1"/>
  <c r="AX477" i="1"/>
  <c r="AU474" i="1"/>
  <c r="AW475" i="1"/>
  <c r="AW472" i="1"/>
  <c r="BH471" i="1"/>
  <c r="AD471" i="1" s="1"/>
  <c r="AU470" i="1"/>
  <c r="I469" i="1"/>
  <c r="AV468" i="1"/>
  <c r="BI467" i="1"/>
  <c r="AE467" i="1" s="1"/>
  <c r="AX467" i="1"/>
  <c r="AW465" i="1"/>
  <c r="AV464" i="1"/>
  <c r="BH463" i="1"/>
  <c r="AD463" i="1" s="1"/>
  <c r="AW463" i="1"/>
  <c r="BH461" i="1"/>
  <c r="AD461" i="1" s="1"/>
  <c r="AW457" i="1"/>
  <c r="AV456" i="1"/>
  <c r="BH455" i="1"/>
  <c r="AD455" i="1" s="1"/>
  <c r="AW455" i="1"/>
  <c r="BH453" i="1"/>
  <c r="AD453" i="1" s="1"/>
  <c r="BH448" i="1"/>
  <c r="AW448" i="1"/>
  <c r="BI447" i="1"/>
  <c r="AE447" i="1" s="1"/>
  <c r="AX447" i="1"/>
  <c r="AW446" i="1"/>
  <c r="I445" i="1"/>
  <c r="BH441" i="1"/>
  <c r="AD441" i="1" s="1"/>
  <c r="BH437" i="1"/>
  <c r="AD437" i="1" s="1"/>
  <c r="AW437" i="1"/>
  <c r="AW435" i="1"/>
  <c r="AV434" i="1"/>
  <c r="BH433" i="1"/>
  <c r="AD433" i="1" s="1"/>
  <c r="AW433" i="1"/>
  <c r="BI430" i="1"/>
  <c r="AE430" i="1" s="1"/>
  <c r="BI426" i="1"/>
  <c r="AE426" i="1" s="1"/>
  <c r="AX426" i="1"/>
  <c r="BC426" i="1" s="1"/>
  <c r="BH422" i="1"/>
  <c r="AD422" i="1" s="1"/>
  <c r="AW422" i="1"/>
  <c r="AW421" i="1"/>
  <c r="AW418" i="1"/>
  <c r="BH417" i="1"/>
  <c r="AD417" i="1" s="1"/>
  <c r="AW417" i="1"/>
  <c r="BH410" i="1"/>
  <c r="AD410" i="1" s="1"/>
  <c r="AW410" i="1"/>
  <c r="BI409" i="1"/>
  <c r="AE409" i="1" s="1"/>
  <c r="AX409" i="1"/>
  <c r="BI401" i="1"/>
  <c r="AE401" i="1" s="1"/>
  <c r="AX401" i="1"/>
  <c r="BH399" i="1"/>
  <c r="AD399" i="1" s="1"/>
  <c r="BI398" i="1"/>
  <c r="AE398" i="1" s="1"/>
  <c r="AX398" i="1"/>
  <c r="I396" i="1"/>
  <c r="J395" i="1"/>
  <c r="BH394" i="1"/>
  <c r="AD394" i="1" s="1"/>
  <c r="AW394" i="1"/>
  <c r="BH390" i="1"/>
  <c r="AD390" i="1" s="1"/>
  <c r="AW390" i="1"/>
  <c r="I388" i="1"/>
  <c r="AX385" i="1"/>
  <c r="BH383" i="1"/>
  <c r="AD383" i="1" s="1"/>
  <c r="AV383" i="1"/>
  <c r="BI382" i="1"/>
  <c r="AE382" i="1" s="1"/>
  <c r="AX382" i="1"/>
  <c r="BH381" i="1"/>
  <c r="AD381" i="1" s="1"/>
  <c r="AV381" i="1"/>
  <c r="BH380" i="1"/>
  <c r="AD380" i="1" s="1"/>
  <c r="AW380" i="1"/>
  <c r="BI379" i="1"/>
  <c r="AE379" i="1" s="1"/>
  <c r="BI378" i="1"/>
  <c r="AE378" i="1" s="1"/>
  <c r="AX378" i="1"/>
  <c r="BC378" i="1" s="1"/>
  <c r="BH373" i="1"/>
  <c r="AD373" i="1" s="1"/>
  <c r="BI365" i="1"/>
  <c r="AE365" i="1" s="1"/>
  <c r="AX365" i="1"/>
  <c r="I567" i="1"/>
  <c r="I551" i="1"/>
  <c r="I533" i="1"/>
  <c r="BI531" i="1"/>
  <c r="AC531" i="1" s="1"/>
  <c r="AX531" i="1"/>
  <c r="BH521" i="1"/>
  <c r="AB521" i="1" s="1"/>
  <c r="BC519" i="1"/>
  <c r="BI518" i="1"/>
  <c r="AC518" i="1" s="1"/>
  <c r="BH512" i="1"/>
  <c r="AB512" i="1" s="1"/>
  <c r="BH511" i="1"/>
  <c r="AB511" i="1" s="1"/>
  <c r="BH510" i="1"/>
  <c r="AB510" i="1" s="1"/>
  <c r="J510" i="1"/>
  <c r="BH504" i="1"/>
  <c r="AF504" i="1" s="1"/>
  <c r="BI498" i="1"/>
  <c r="AE498" i="1" s="1"/>
  <c r="AX498" i="1"/>
  <c r="BH494" i="1"/>
  <c r="AD494" i="1" s="1"/>
  <c r="AU489" i="1"/>
  <c r="BC486" i="1"/>
  <c r="BI484" i="1"/>
  <c r="AE484" i="1" s="1"/>
  <c r="AX484" i="1"/>
  <c r="BH475" i="1"/>
  <c r="AD475" i="1" s="1"/>
  <c r="BH472" i="1"/>
  <c r="AD472" i="1" s="1"/>
  <c r="AS470" i="1"/>
  <c r="AW469" i="1"/>
  <c r="BH467" i="1"/>
  <c r="AD467" i="1" s="1"/>
  <c r="AW467" i="1"/>
  <c r="BH465" i="1"/>
  <c r="AD465" i="1" s="1"/>
  <c r="BH457" i="1"/>
  <c r="AD457" i="1" s="1"/>
  <c r="AX450" i="1"/>
  <c r="AS449" i="1"/>
  <c r="BH446" i="1"/>
  <c r="AD446" i="1" s="1"/>
  <c r="BC445" i="1"/>
  <c r="AW442" i="1"/>
  <c r="I441" i="1"/>
  <c r="AW438" i="1"/>
  <c r="BH435" i="1"/>
  <c r="AD435" i="1" s="1"/>
  <c r="AX432" i="1"/>
  <c r="BC430" i="1"/>
  <c r="BI428" i="1"/>
  <c r="AE428" i="1" s="1"/>
  <c r="AX428" i="1"/>
  <c r="BH426" i="1"/>
  <c r="AD426" i="1" s="1"/>
  <c r="BI425" i="1"/>
  <c r="AE425" i="1" s="1"/>
  <c r="AX425" i="1"/>
  <c r="AW423" i="1"/>
  <c r="BH421" i="1"/>
  <c r="AD421" i="1" s="1"/>
  <c r="J421" i="1"/>
  <c r="BH418" i="1"/>
  <c r="AD418" i="1" s="1"/>
  <c r="AW411" i="1"/>
  <c r="BH409" i="1"/>
  <c r="AD409" i="1" s="1"/>
  <c r="AW409" i="1"/>
  <c r="AX406" i="1"/>
  <c r="AV406" i="1" s="1"/>
  <c r="BI402" i="1"/>
  <c r="AE402" i="1" s="1"/>
  <c r="AW402" i="1"/>
  <c r="BH401" i="1"/>
  <c r="AD401" i="1" s="1"/>
  <c r="AW401" i="1"/>
  <c r="J399" i="1"/>
  <c r="BH398" i="1"/>
  <c r="AD398" i="1" s="1"/>
  <c r="AW398" i="1"/>
  <c r="I384" i="1"/>
  <c r="J383" i="1"/>
  <c r="BH382" i="1"/>
  <c r="AD382" i="1" s="1"/>
  <c r="AW382" i="1"/>
  <c r="BH378" i="1"/>
  <c r="AD378" i="1" s="1"/>
  <c r="AX376" i="1"/>
  <c r="BI369" i="1"/>
  <c r="AE369" i="1" s="1"/>
  <c r="BI366" i="1"/>
  <c r="AE366" i="1" s="1"/>
  <c r="AW366" i="1"/>
  <c r="BH365" i="1"/>
  <c r="AD365" i="1" s="1"/>
  <c r="AW365" i="1"/>
  <c r="I362" i="1"/>
  <c r="BH362" i="1"/>
  <c r="AD362" i="1" s="1"/>
  <c r="J566" i="1"/>
  <c r="I555" i="1"/>
  <c r="J550" i="1"/>
  <c r="I539" i="1"/>
  <c r="I536" i="1"/>
  <c r="J532" i="1"/>
  <c r="J518" i="1"/>
  <c r="AU497" i="1"/>
  <c r="BI462" i="1"/>
  <c r="AE462" i="1" s="1"/>
  <c r="AX462" i="1"/>
  <c r="BI459" i="1"/>
  <c r="AE459" i="1" s="1"/>
  <c r="J459" i="1"/>
  <c r="BI444" i="1"/>
  <c r="AE444" i="1" s="1"/>
  <c r="BH442" i="1"/>
  <c r="AD442" i="1" s="1"/>
  <c r="BC441" i="1"/>
  <c r="BH438" i="1"/>
  <c r="AD438" i="1" s="1"/>
  <c r="BH423" i="1"/>
  <c r="AD423" i="1" s="1"/>
  <c r="AX416" i="1"/>
  <c r="BH411" i="1"/>
  <c r="AD411" i="1" s="1"/>
  <c r="AX408" i="1"/>
  <c r="BI404" i="1"/>
  <c r="AE404" i="1" s="1"/>
  <c r="AX404" i="1"/>
  <c r="BH402" i="1"/>
  <c r="AD402" i="1" s="1"/>
  <c r="BI393" i="1"/>
  <c r="AE393" i="1" s="1"/>
  <c r="AX393" i="1"/>
  <c r="BI389" i="1"/>
  <c r="AE389" i="1" s="1"/>
  <c r="AX389" i="1"/>
  <c r="BI387" i="1"/>
  <c r="AE387" i="1" s="1"/>
  <c r="J379" i="1"/>
  <c r="I378" i="1"/>
  <c r="BI370" i="1"/>
  <c r="AE370" i="1" s="1"/>
  <c r="BH366" i="1"/>
  <c r="AD366" i="1" s="1"/>
  <c r="AX364" i="1"/>
  <c r="J334" i="1"/>
  <c r="J322" i="1"/>
  <c r="J315" i="1"/>
  <c r="J307" i="1"/>
  <c r="J303" i="1"/>
  <c r="J297" i="1"/>
  <c r="J293" i="1"/>
  <c r="AW285" i="1"/>
  <c r="AW282" i="1"/>
  <c r="AV281" i="1"/>
  <c r="AX256" i="1"/>
  <c r="BI256" i="1"/>
  <c r="AE256" i="1" s="1"/>
  <c r="J256" i="1"/>
  <c r="J220" i="1"/>
  <c r="AX220" i="1"/>
  <c r="BC218" i="1"/>
  <c r="AV218" i="1"/>
  <c r="AW215" i="1"/>
  <c r="BH215" i="1"/>
  <c r="AD215" i="1" s="1"/>
  <c r="BH357" i="1"/>
  <c r="AD357" i="1" s="1"/>
  <c r="AW357" i="1"/>
  <c r="BI353" i="1"/>
  <c r="AE353" i="1" s="1"/>
  <c r="AX353" i="1"/>
  <c r="AW350" i="1"/>
  <c r="BH349" i="1"/>
  <c r="AD349" i="1" s="1"/>
  <c r="AW349" i="1"/>
  <c r="BH346" i="1"/>
  <c r="AD346" i="1" s="1"/>
  <c r="AW346" i="1"/>
  <c r="AW343" i="1"/>
  <c r="BH342" i="1"/>
  <c r="AD342" i="1" s="1"/>
  <c r="AW342" i="1"/>
  <c r="BI338" i="1"/>
  <c r="AE338" i="1" s="1"/>
  <c r="AX338" i="1"/>
  <c r="BI337" i="1"/>
  <c r="AE337" i="1" s="1"/>
  <c r="AX337" i="1"/>
  <c r="AX333" i="1"/>
  <c r="BI331" i="1"/>
  <c r="AE331" i="1" s="1"/>
  <c r="AW331" i="1"/>
  <c r="BH330" i="1"/>
  <c r="AD330" i="1" s="1"/>
  <c r="AW330" i="1"/>
  <c r="BH327" i="1"/>
  <c r="AD327" i="1" s="1"/>
  <c r="BI319" i="1"/>
  <c r="AE319" i="1" s="1"/>
  <c r="AX319" i="1"/>
  <c r="BI318" i="1"/>
  <c r="AE318" i="1" s="1"/>
  <c r="AX318" i="1"/>
  <c r="BH312" i="1"/>
  <c r="AD312" i="1" s="1"/>
  <c r="AX306" i="1"/>
  <c r="BI301" i="1"/>
  <c r="AE301" i="1" s="1"/>
  <c r="AX301" i="1"/>
  <c r="BI300" i="1"/>
  <c r="AE300" i="1" s="1"/>
  <c r="AW300" i="1"/>
  <c r="J300" i="1"/>
  <c r="BI297" i="1"/>
  <c r="AE297" i="1" s="1"/>
  <c r="AX295" i="1"/>
  <c r="BI293" i="1"/>
  <c r="AE293" i="1" s="1"/>
  <c r="AX291" i="1"/>
  <c r="BH289" i="1"/>
  <c r="AD289" i="1" s="1"/>
  <c r="AW289" i="1"/>
  <c r="BI288" i="1"/>
  <c r="AE288" i="1" s="1"/>
  <c r="AX288" i="1"/>
  <c r="BH286" i="1"/>
  <c r="AD286" i="1" s="1"/>
  <c r="BI284" i="1"/>
  <c r="AE284" i="1" s="1"/>
  <c r="AX284" i="1"/>
  <c r="BH282" i="1"/>
  <c r="AD282" i="1" s="1"/>
  <c r="AX279" i="1"/>
  <c r="BH277" i="1"/>
  <c r="AD277" i="1" s="1"/>
  <c r="AW277" i="1"/>
  <c r="BI276" i="1"/>
  <c r="AE276" i="1" s="1"/>
  <c r="AW276" i="1"/>
  <c r="J276" i="1"/>
  <c r="BI273" i="1"/>
  <c r="AE273" i="1" s="1"/>
  <c r="AX273" i="1"/>
  <c r="BC273" i="1" s="1"/>
  <c r="BH272" i="1"/>
  <c r="AD272" i="1" s="1"/>
  <c r="J272" i="1"/>
  <c r="BI269" i="1"/>
  <c r="AE269" i="1" s="1"/>
  <c r="AW269" i="1"/>
  <c r="BH268" i="1"/>
  <c r="AD268" i="1" s="1"/>
  <c r="AW268" i="1"/>
  <c r="AX255" i="1"/>
  <c r="BI255" i="1"/>
  <c r="AE255" i="1" s="1"/>
  <c r="AX248" i="1"/>
  <c r="BI248" i="1"/>
  <c r="AE248" i="1" s="1"/>
  <c r="J248" i="1"/>
  <c r="I225" i="1"/>
  <c r="AW225" i="1"/>
  <c r="BH225" i="1"/>
  <c r="AD225" i="1" s="1"/>
  <c r="BI220" i="1"/>
  <c r="AE220" i="1" s="1"/>
  <c r="AW211" i="1"/>
  <c r="BH211" i="1"/>
  <c r="AD211" i="1" s="1"/>
  <c r="BI354" i="1"/>
  <c r="AE354" i="1" s="1"/>
  <c r="AW354" i="1"/>
  <c r="BH353" i="1"/>
  <c r="AD353" i="1" s="1"/>
  <c r="AW353" i="1"/>
  <c r="BH350" i="1"/>
  <c r="AD350" i="1" s="1"/>
  <c r="BH343" i="1"/>
  <c r="AD343" i="1" s="1"/>
  <c r="BI339" i="1"/>
  <c r="AE339" i="1" s="1"/>
  <c r="AW339" i="1"/>
  <c r="BH338" i="1"/>
  <c r="AD338" i="1" s="1"/>
  <c r="AW338" i="1"/>
  <c r="BI334" i="1"/>
  <c r="AE334" i="1" s="1"/>
  <c r="BH331" i="1"/>
  <c r="AD331" i="1" s="1"/>
  <c r="AX325" i="1"/>
  <c r="BI322" i="1"/>
  <c r="AE322" i="1" s="1"/>
  <c r="BI320" i="1"/>
  <c r="AE320" i="1" s="1"/>
  <c r="BH319" i="1"/>
  <c r="AD319" i="1" s="1"/>
  <c r="AW319" i="1"/>
  <c r="BI315" i="1"/>
  <c r="AE315" i="1" s="1"/>
  <c r="BI314" i="1"/>
  <c r="AE314" i="1" s="1"/>
  <c r="AX314" i="1"/>
  <c r="AX310" i="1"/>
  <c r="BI307" i="1"/>
  <c r="AE307" i="1" s="1"/>
  <c r="BI303" i="1"/>
  <c r="AE303" i="1" s="1"/>
  <c r="BI302" i="1"/>
  <c r="AE302" i="1" s="1"/>
  <c r="AX302" i="1"/>
  <c r="BH301" i="1"/>
  <c r="AD301" i="1" s="1"/>
  <c r="AW301" i="1"/>
  <c r="BH300" i="1"/>
  <c r="AD300" i="1" s="1"/>
  <c r="AX299" i="1"/>
  <c r="BC297" i="1"/>
  <c r="AW294" i="1"/>
  <c r="BC293" i="1"/>
  <c r="AW290" i="1"/>
  <c r="BH288" i="1"/>
  <c r="AD288" i="1" s="1"/>
  <c r="AW288" i="1"/>
  <c r="AW278" i="1"/>
  <c r="I273" i="1"/>
  <c r="AX260" i="1"/>
  <c r="BI260" i="1"/>
  <c r="AE260" i="1" s="1"/>
  <c r="J260" i="1"/>
  <c r="AX252" i="1"/>
  <c r="BI252" i="1"/>
  <c r="AE252" i="1" s="1"/>
  <c r="J252" i="1"/>
  <c r="AW242" i="1"/>
  <c r="I242" i="1"/>
  <c r="J236" i="1"/>
  <c r="AX236" i="1"/>
  <c r="J228" i="1"/>
  <c r="AX228" i="1"/>
  <c r="BC226" i="1"/>
  <c r="AV226" i="1"/>
  <c r="I221" i="1"/>
  <c r="AW221" i="1"/>
  <c r="BH221" i="1"/>
  <c r="AD221" i="1" s="1"/>
  <c r="J210" i="1"/>
  <c r="AX210" i="1"/>
  <c r="BI210" i="1"/>
  <c r="AE210" i="1" s="1"/>
  <c r="BH354" i="1"/>
  <c r="AD354" i="1" s="1"/>
  <c r="AX348" i="1"/>
  <c r="AX345" i="1"/>
  <c r="BH278" i="1"/>
  <c r="AD278" i="1" s="1"/>
  <c r="BI271" i="1"/>
  <c r="AE271" i="1" s="1"/>
  <c r="AX271" i="1"/>
  <c r="AX267" i="1"/>
  <c r="BI261" i="1"/>
  <c r="AE261" i="1" s="1"/>
  <c r="AX259" i="1"/>
  <c r="BI259" i="1"/>
  <c r="AE259" i="1" s="1"/>
  <c r="AX251" i="1"/>
  <c r="BI251" i="1"/>
  <c r="AE251" i="1" s="1"/>
  <c r="AX233" i="1"/>
  <c r="BI233" i="1"/>
  <c r="AE233" i="1" s="1"/>
  <c r="J233" i="1"/>
  <c r="J224" i="1"/>
  <c r="AX224" i="1"/>
  <c r="BC222" i="1"/>
  <c r="AV222" i="1"/>
  <c r="J214" i="1"/>
  <c r="AX214" i="1"/>
  <c r="BI214" i="1"/>
  <c r="AE214" i="1" s="1"/>
  <c r="BC207" i="1"/>
  <c r="AV207" i="1"/>
  <c r="BC203" i="1"/>
  <c r="AV203" i="1"/>
  <c r="J194" i="1"/>
  <c r="J169" i="1"/>
  <c r="J165" i="1"/>
  <c r="I142" i="1"/>
  <c r="J140" i="1"/>
  <c r="I257" i="1"/>
  <c r="I253" i="1"/>
  <c r="J237" i="1"/>
  <c r="I233" i="1"/>
  <c r="AW208" i="1"/>
  <c r="AU192" i="1"/>
  <c r="BH191" i="1"/>
  <c r="BI190" i="1"/>
  <c r="AE190" i="1" s="1"/>
  <c r="AX190" i="1"/>
  <c r="J187" i="1"/>
  <c r="J180" i="1"/>
  <c r="BI177" i="1"/>
  <c r="AW177" i="1"/>
  <c r="I175" i="1"/>
  <c r="J174" i="1"/>
  <c r="I171" i="1"/>
  <c r="J170" i="1"/>
  <c r="I167" i="1"/>
  <c r="J166" i="1"/>
  <c r="I163" i="1"/>
  <c r="J162" i="1"/>
  <c r="I153" i="1"/>
  <c r="J149" i="1"/>
  <c r="BI147" i="1"/>
  <c r="AC147" i="1" s="1"/>
  <c r="AX147" i="1"/>
  <c r="AW146" i="1"/>
  <c r="BI145" i="1"/>
  <c r="AC145" i="1" s="1"/>
  <c r="AX145" i="1"/>
  <c r="BI136" i="1"/>
  <c r="AC136" i="1" s="1"/>
  <c r="AX136" i="1"/>
  <c r="AW135" i="1"/>
  <c r="BI134" i="1"/>
  <c r="AC134" i="1" s="1"/>
  <c r="AX134" i="1"/>
  <c r="AW133" i="1"/>
  <c r="AX247" i="1"/>
  <c r="I245" i="1"/>
  <c r="BH241" i="1"/>
  <c r="AD241" i="1" s="1"/>
  <c r="J241" i="1"/>
  <c r="I238" i="1"/>
  <c r="AX232" i="1"/>
  <c r="BH216" i="1"/>
  <c r="AD216" i="1" s="1"/>
  <c r="BH212" i="1"/>
  <c r="AD212" i="1" s="1"/>
  <c r="BH208" i="1"/>
  <c r="AD208" i="1" s="1"/>
  <c r="BH204" i="1"/>
  <c r="AD204" i="1" s="1"/>
  <c r="BI199" i="1"/>
  <c r="AE199" i="1" s="1"/>
  <c r="AW199" i="1"/>
  <c r="BH198" i="1"/>
  <c r="AD198" i="1" s="1"/>
  <c r="AW198" i="1"/>
  <c r="AX193" i="1"/>
  <c r="J191" i="1"/>
  <c r="I188" i="1"/>
  <c r="AS183" i="1"/>
  <c r="I184" i="1"/>
  <c r="I181" i="1"/>
  <c r="AU159" i="1"/>
  <c r="K159" i="1"/>
  <c r="G33" i="2" s="1"/>
  <c r="I33" i="2" s="1"/>
  <c r="BI155" i="1"/>
  <c r="AC155" i="1" s="1"/>
  <c r="AX155" i="1"/>
  <c r="J152" i="1"/>
  <c r="BI149" i="1"/>
  <c r="AC149" i="1" s="1"/>
  <c r="AS139" i="1"/>
  <c r="BH145" i="1"/>
  <c r="AB145" i="1" s="1"/>
  <c r="AW145" i="1"/>
  <c r="BH144" i="1"/>
  <c r="AB144" i="1" s="1"/>
  <c r="AW144" i="1"/>
  <c r="AW142" i="1"/>
  <c r="BI141" i="1"/>
  <c r="AC141" i="1" s="1"/>
  <c r="AX141" i="1"/>
  <c r="AV141" i="1" s="1"/>
  <c r="BI140" i="1"/>
  <c r="AC140" i="1" s="1"/>
  <c r="AW137" i="1"/>
  <c r="BC134" i="1"/>
  <c r="J133" i="1"/>
  <c r="BH214" i="1"/>
  <c r="AD214" i="1" s="1"/>
  <c r="AW214" i="1"/>
  <c r="BH199" i="1"/>
  <c r="AD199" i="1" s="1"/>
  <c r="BI194" i="1"/>
  <c r="AE194" i="1" s="1"/>
  <c r="AX179" i="1"/>
  <c r="J177" i="1"/>
  <c r="J176" i="1" s="1"/>
  <c r="F34" i="2" s="1"/>
  <c r="BI174" i="1"/>
  <c r="BI170" i="1"/>
  <c r="BI166" i="1"/>
  <c r="BI162" i="1"/>
  <c r="J156" i="1"/>
  <c r="BI152" i="1"/>
  <c r="AC152" i="1" s="1"/>
  <c r="J150" i="1"/>
  <c r="BC138" i="1"/>
  <c r="BH137" i="1"/>
  <c r="AB137" i="1" s="1"/>
  <c r="J137" i="1"/>
  <c r="AV134" i="1"/>
  <c r="AX132" i="1"/>
  <c r="BH126" i="1"/>
  <c r="AB126" i="1" s="1"/>
  <c r="AW126" i="1"/>
  <c r="J125" i="1"/>
  <c r="BH123" i="1"/>
  <c r="AB123" i="1" s="1"/>
  <c r="BH122" i="1"/>
  <c r="AB122" i="1" s="1"/>
  <c r="AW122" i="1"/>
  <c r="AS108" i="1"/>
  <c r="AX109" i="1"/>
  <c r="BH106" i="1"/>
  <c r="AB106" i="1" s="1"/>
  <c r="BI105" i="1"/>
  <c r="AC105" i="1" s="1"/>
  <c r="AW105" i="1"/>
  <c r="BI104" i="1"/>
  <c r="AC104" i="1" s="1"/>
  <c r="AX104" i="1"/>
  <c r="BI101" i="1"/>
  <c r="AC101" i="1" s="1"/>
  <c r="BI99" i="1"/>
  <c r="AC99" i="1" s="1"/>
  <c r="AX99" i="1"/>
  <c r="I96" i="1"/>
  <c r="J95" i="1"/>
  <c r="J94" i="1" s="1"/>
  <c r="F26" i="2" s="1"/>
  <c r="K91" i="1"/>
  <c r="G25" i="2" s="1"/>
  <c r="I25" i="2" s="1"/>
  <c r="BI90" i="1"/>
  <c r="AC90" i="1" s="1"/>
  <c r="AX90" i="1"/>
  <c r="AV90" i="1" s="1"/>
  <c r="BH87" i="1"/>
  <c r="AB87" i="1" s="1"/>
  <c r="BI86" i="1"/>
  <c r="AC86" i="1" s="1"/>
  <c r="AW86" i="1"/>
  <c r="BI85" i="1"/>
  <c r="AC85" i="1" s="1"/>
  <c r="AX85" i="1"/>
  <c r="AW84" i="1"/>
  <c r="I83" i="1"/>
  <c r="J82" i="1"/>
  <c r="BI57" i="1"/>
  <c r="AC57" i="1" s="1"/>
  <c r="BI54" i="1"/>
  <c r="AC54" i="1" s="1"/>
  <c r="AX54" i="1"/>
  <c r="BI52" i="1"/>
  <c r="AC52" i="1" s="1"/>
  <c r="AX52" i="1"/>
  <c r="AT51" i="1"/>
  <c r="K51" i="1"/>
  <c r="G20" i="2" s="1"/>
  <c r="I20" i="2" s="1"/>
  <c r="BI47" i="1"/>
  <c r="AC47" i="1" s="1"/>
  <c r="BI46" i="1"/>
  <c r="AC46" i="1" s="1"/>
  <c r="AX46" i="1"/>
  <c r="AV46" i="1" s="1"/>
  <c r="AW44" i="1"/>
  <c r="BI41" i="1"/>
  <c r="AC41" i="1" s="1"/>
  <c r="AW41" i="1"/>
  <c r="AX38" i="1"/>
  <c r="BC38" i="1" s="1"/>
  <c r="BI35" i="1"/>
  <c r="AC35" i="1" s="1"/>
  <c r="BI33" i="1"/>
  <c r="AC33" i="1" s="1"/>
  <c r="AW33" i="1"/>
  <c r="AS31" i="1"/>
  <c r="AU27" i="1"/>
  <c r="BH24" i="1"/>
  <c r="AB24" i="1" s="1"/>
  <c r="AW24" i="1"/>
  <c r="BC24" i="1" s="1"/>
  <c r="AX16" i="1"/>
  <c r="K12" i="1"/>
  <c r="G11" i="2" s="1"/>
  <c r="I11" i="2" s="1"/>
  <c r="BC130" i="1"/>
  <c r="BI129" i="1"/>
  <c r="AC129" i="1" s="1"/>
  <c r="AW129" i="1"/>
  <c r="J121" i="1"/>
  <c r="J118" i="1"/>
  <c r="J114" i="1"/>
  <c r="AW107" i="1"/>
  <c r="AW103" i="1"/>
  <c r="K97" i="1"/>
  <c r="G27" i="2" s="1"/>
  <c r="I27" i="2" s="1"/>
  <c r="AX96" i="1"/>
  <c r="AV96" i="1" s="1"/>
  <c r="AU94" i="1"/>
  <c r="I93" i="1"/>
  <c r="J92" i="1"/>
  <c r="J91" i="1" s="1"/>
  <c r="F25" i="2" s="1"/>
  <c r="AX81" i="1"/>
  <c r="AW73" i="1"/>
  <c r="AX70" i="1"/>
  <c r="AX69" i="1"/>
  <c r="AU55" i="1"/>
  <c r="AS51" i="1"/>
  <c r="AX47" i="1"/>
  <c r="BC47" i="1" s="1"/>
  <c r="AU45" i="1"/>
  <c r="BH44" i="1"/>
  <c r="AB44" i="1" s="1"/>
  <c r="AU42" i="1"/>
  <c r="AU39" i="1"/>
  <c r="BI25" i="1"/>
  <c r="AC25" i="1" s="1"/>
  <c r="AW25" i="1"/>
  <c r="AU22" i="1"/>
  <c r="BC21" i="1"/>
  <c r="AX18" i="1"/>
  <c r="AU12" i="1"/>
  <c r="J129" i="1"/>
  <c r="BI124" i="1"/>
  <c r="AC124" i="1" s="1"/>
  <c r="AX124" i="1"/>
  <c r="I115" i="1"/>
  <c r="BH111" i="1"/>
  <c r="AB111" i="1" s="1"/>
  <c r="BH110" i="1"/>
  <c r="AB110" i="1" s="1"/>
  <c r="BH107" i="1"/>
  <c r="AB107" i="1" s="1"/>
  <c r="BC106" i="1"/>
  <c r="I106" i="1"/>
  <c r="J105" i="1"/>
  <c r="BH103" i="1"/>
  <c r="AB103" i="1" s="1"/>
  <c r="AS100" i="1"/>
  <c r="BC102" i="1"/>
  <c r="I102" i="1"/>
  <c r="J101" i="1"/>
  <c r="I99" i="1"/>
  <c r="J98" i="1"/>
  <c r="J97" i="1" s="1"/>
  <c r="F27" i="2" s="1"/>
  <c r="AU91" i="1"/>
  <c r="I87" i="1"/>
  <c r="J86" i="1"/>
  <c r="AX83" i="1"/>
  <c r="I79" i="1"/>
  <c r="J77" i="1"/>
  <c r="BH70" i="1"/>
  <c r="AB70" i="1" s="1"/>
  <c r="AW70" i="1"/>
  <c r="BH67" i="1"/>
  <c r="AB67" i="1" s="1"/>
  <c r="AW67" i="1"/>
  <c r="BH66" i="1"/>
  <c r="AB66" i="1" s="1"/>
  <c r="AW66" i="1"/>
  <c r="BH64" i="1"/>
  <c r="AB64" i="1" s="1"/>
  <c r="AW64" i="1"/>
  <c r="BH63" i="1"/>
  <c r="AB63" i="1" s="1"/>
  <c r="AW63" i="1"/>
  <c r="BH60" i="1"/>
  <c r="AB60" i="1" s="1"/>
  <c r="AW60" i="1"/>
  <c r="BC59" i="1"/>
  <c r="BI56" i="1"/>
  <c r="AC56" i="1" s="1"/>
  <c r="AT55" i="1"/>
  <c r="K55" i="1"/>
  <c r="G21" i="2" s="1"/>
  <c r="I21" i="2" s="1"/>
  <c r="BI53" i="1"/>
  <c r="AC53" i="1" s="1"/>
  <c r="AW53" i="1"/>
  <c r="BI48" i="1"/>
  <c r="AC48" i="1" s="1"/>
  <c r="AV47" i="1"/>
  <c r="AT45" i="1"/>
  <c r="K45" i="1"/>
  <c r="G19" i="2" s="1"/>
  <c r="I19" i="2" s="1"/>
  <c r="AT42" i="1"/>
  <c r="K42" i="1"/>
  <c r="G18" i="2" s="1"/>
  <c r="I18" i="2" s="1"/>
  <c r="BI40" i="1"/>
  <c r="AC40" i="1" s="1"/>
  <c r="AX40" i="1"/>
  <c r="AT39" i="1"/>
  <c r="K39" i="1"/>
  <c r="G17" i="2" s="1"/>
  <c r="I17" i="2" s="1"/>
  <c r="BI34" i="1"/>
  <c r="AC34" i="1" s="1"/>
  <c r="AW34" i="1"/>
  <c r="AU31" i="1"/>
  <c r="BH30" i="1"/>
  <c r="AB30" i="1" s="1"/>
  <c r="AW30" i="1"/>
  <c r="BH29" i="1"/>
  <c r="AB29" i="1" s="1"/>
  <c r="AW29" i="1"/>
  <c r="AS27" i="1"/>
  <c r="BH25" i="1"/>
  <c r="AB25" i="1" s="1"/>
  <c r="BI23" i="1"/>
  <c r="AC23" i="1" s="1"/>
  <c r="AT22" i="1"/>
  <c r="K22" i="1"/>
  <c r="G13" i="2" s="1"/>
  <c r="I13" i="2" s="1"/>
  <c r="BC15" i="1"/>
  <c r="BH13" i="1"/>
  <c r="AB13" i="1" s="1"/>
  <c r="AW13" i="1"/>
  <c r="AV13" i="1" s="1"/>
  <c r="I130" i="1"/>
  <c r="AX120" i="1"/>
  <c r="BI117" i="1"/>
  <c r="AC117" i="1" s="1"/>
  <c r="AX117" i="1"/>
  <c r="BI113" i="1"/>
  <c r="AC113" i="1" s="1"/>
  <c r="AX113" i="1"/>
  <c r="AW112" i="1"/>
  <c r="I111" i="1"/>
  <c r="AU97" i="1"/>
  <c r="K94" i="1"/>
  <c r="G26" i="2" s="1"/>
  <c r="I26" i="2" s="1"/>
  <c r="BI93" i="1"/>
  <c r="AC93" i="1" s="1"/>
  <c r="AX93" i="1"/>
  <c r="BI92" i="1"/>
  <c r="AC92" i="1" s="1"/>
  <c r="AW92" i="1"/>
  <c r="I90" i="1"/>
  <c r="I89" i="1" s="1"/>
  <c r="E24" i="2" s="1"/>
  <c r="BI87" i="1"/>
  <c r="AC87" i="1" s="1"/>
  <c r="AX87" i="1"/>
  <c r="AV87" i="1" s="1"/>
  <c r="AX79" i="1"/>
  <c r="AV79" i="1" s="1"/>
  <c r="BI71" i="1"/>
  <c r="AC71" i="1" s="1"/>
  <c r="AX71" i="1"/>
  <c r="BC71" i="1" s="1"/>
  <c r="AS58" i="1"/>
  <c r="AS55" i="1"/>
  <c r="AU51" i="1"/>
  <c r="AS45" i="1"/>
  <c r="AS42" i="1"/>
  <c r="AS39" i="1"/>
  <c r="BH32" i="1"/>
  <c r="AB32" i="1" s="1"/>
  <c r="AW32" i="1"/>
  <c r="BC32" i="1" s="1"/>
  <c r="AT31" i="1"/>
  <c r="K31" i="1"/>
  <c r="G15" i="2" s="1"/>
  <c r="I15" i="2" s="1"/>
  <c r="I27" i="1"/>
  <c r="E14" i="2" s="1"/>
  <c r="AS22" i="1"/>
  <c r="BI19" i="1"/>
  <c r="AC19" i="1" s="1"/>
  <c r="AW19" i="1"/>
  <c r="BC19" i="1" s="1"/>
  <c r="BI17" i="1"/>
  <c r="AC17" i="1" s="1"/>
  <c r="AW17" i="1"/>
  <c r="AS12" i="1"/>
  <c r="AO19" i="38"/>
  <c r="BD19" i="38"/>
  <c r="J19" i="38"/>
  <c r="AK19" i="38" s="1"/>
  <c r="BJ19" i="38"/>
  <c r="AP19" i="38"/>
  <c r="I28" i="13"/>
  <c r="I29" i="13" s="1"/>
  <c r="C22" i="13"/>
  <c r="AS537" i="1"/>
  <c r="BI538" i="1"/>
  <c r="AC538" i="1" s="1"/>
  <c r="J538" i="1"/>
  <c r="I29" i="33"/>
  <c r="I28" i="33"/>
  <c r="G21" i="38" s="1"/>
  <c r="I29" i="29"/>
  <c r="I28" i="29"/>
  <c r="G20" i="38" s="1"/>
  <c r="I29" i="25"/>
  <c r="C22" i="25"/>
  <c r="I28" i="21"/>
  <c r="G18" i="38" s="1"/>
  <c r="I28" i="17"/>
  <c r="G17" i="38" s="1"/>
  <c r="I28" i="9"/>
  <c r="G15" i="38" s="1"/>
  <c r="I28" i="5"/>
  <c r="G14" i="38" s="1"/>
  <c r="C22" i="5"/>
  <c r="J600" i="1"/>
  <c r="AX600" i="1"/>
  <c r="BC598" i="1"/>
  <c r="AV598" i="1"/>
  <c r="J592" i="1"/>
  <c r="AX592" i="1"/>
  <c r="J584" i="1"/>
  <c r="AX584" i="1"/>
  <c r="I581" i="1"/>
  <c r="AW581" i="1"/>
  <c r="J576" i="1"/>
  <c r="AX576" i="1"/>
  <c r="BC574" i="1"/>
  <c r="AV574" i="1"/>
  <c r="BC566" i="1"/>
  <c r="AV566" i="1"/>
  <c r="BC550" i="1"/>
  <c r="AV550" i="1"/>
  <c r="J520" i="1"/>
  <c r="AX520" i="1"/>
  <c r="BC520" i="1" s="1"/>
  <c r="BI520" i="1"/>
  <c r="AC520" i="1" s="1"/>
  <c r="I443" i="1"/>
  <c r="AW443" i="1"/>
  <c r="BH443" i="1"/>
  <c r="AD443" i="1" s="1"/>
  <c r="J619" i="1"/>
  <c r="AX619" i="1"/>
  <c r="AU537" i="1"/>
  <c r="BC535" i="1"/>
  <c r="AV535" i="1"/>
  <c r="AT534" i="1"/>
  <c r="BC532" i="1"/>
  <c r="AV532" i="1"/>
  <c r="I531" i="1"/>
  <c r="AW531" i="1"/>
  <c r="J526" i="1"/>
  <c r="AX526" i="1"/>
  <c r="AV522" i="1"/>
  <c r="BC522" i="1"/>
  <c r="BC521" i="1"/>
  <c r="AV521" i="1"/>
  <c r="J508" i="1"/>
  <c r="AX508" i="1"/>
  <c r="BC508" i="1" s="1"/>
  <c r="BI508" i="1"/>
  <c r="AG508" i="1" s="1"/>
  <c r="BC506" i="1"/>
  <c r="AV506" i="1"/>
  <c r="J494" i="1"/>
  <c r="AX494" i="1"/>
  <c r="BI494" i="1"/>
  <c r="AE494" i="1" s="1"/>
  <c r="K489" i="1"/>
  <c r="G48" i="2" s="1"/>
  <c r="I48" i="2" s="1"/>
  <c r="AK491" i="1"/>
  <c r="I439" i="1"/>
  <c r="AW439" i="1"/>
  <c r="BH439" i="1"/>
  <c r="AD439" i="1" s="1"/>
  <c r="J435" i="1"/>
  <c r="AX435" i="1"/>
  <c r="BC435" i="1" s="1"/>
  <c r="BI435" i="1"/>
  <c r="AE435" i="1" s="1"/>
  <c r="BC433" i="1"/>
  <c r="AV433" i="1"/>
  <c r="J419" i="1"/>
  <c r="AX419" i="1"/>
  <c r="BI419" i="1"/>
  <c r="AE419" i="1" s="1"/>
  <c r="I408" i="1"/>
  <c r="AW408" i="1"/>
  <c r="BH408" i="1"/>
  <c r="AD408" i="1" s="1"/>
  <c r="I345" i="1"/>
  <c r="AW345" i="1"/>
  <c r="BH345" i="1"/>
  <c r="AD345" i="1" s="1"/>
  <c r="I589" i="1"/>
  <c r="AW589" i="1"/>
  <c r="BC582" i="1"/>
  <c r="AV582" i="1"/>
  <c r="J568" i="1"/>
  <c r="AX568" i="1"/>
  <c r="I565" i="1"/>
  <c r="AW565" i="1"/>
  <c r="J560" i="1"/>
  <c r="AX560" i="1"/>
  <c r="BC558" i="1"/>
  <c r="AV558" i="1"/>
  <c r="J552" i="1"/>
  <c r="AX552" i="1"/>
  <c r="J544" i="1"/>
  <c r="AX544" i="1"/>
  <c r="BC542" i="1"/>
  <c r="AV542" i="1"/>
  <c r="I541" i="1"/>
  <c r="AW541" i="1"/>
  <c r="J45" i="1"/>
  <c r="F19" i="2" s="1"/>
  <c r="J615" i="1"/>
  <c r="J613" i="1" s="1"/>
  <c r="F53" i="2" s="1"/>
  <c r="AX615" i="1"/>
  <c r="I609" i="1"/>
  <c r="AW609" i="1"/>
  <c r="J608" i="1"/>
  <c r="AX608" i="1"/>
  <c r="I605" i="1"/>
  <c r="AW605" i="1"/>
  <c r="J604" i="1"/>
  <c r="AX604" i="1"/>
  <c r="BC602" i="1"/>
  <c r="AV602" i="1"/>
  <c r="I601" i="1"/>
  <c r="AW601" i="1"/>
  <c r="J596" i="1"/>
  <c r="AX596" i="1"/>
  <c r="BC594" i="1"/>
  <c r="AV594" i="1"/>
  <c r="I593" i="1"/>
  <c r="AW593" i="1"/>
  <c r="J588" i="1"/>
  <c r="AX588" i="1"/>
  <c r="BC586" i="1"/>
  <c r="AV586" i="1"/>
  <c r="I585" i="1"/>
  <c r="AW585" i="1"/>
  <c r="J580" i="1"/>
  <c r="AX580" i="1"/>
  <c r="BC578" i="1"/>
  <c r="AV578" i="1"/>
  <c r="I577" i="1"/>
  <c r="AW577" i="1"/>
  <c r="J572" i="1"/>
  <c r="AX572" i="1"/>
  <c r="BC570" i="1"/>
  <c r="AV570" i="1"/>
  <c r="I569" i="1"/>
  <c r="AW569" i="1"/>
  <c r="J564" i="1"/>
  <c r="AX564" i="1"/>
  <c r="BC562" i="1"/>
  <c r="AV562" i="1"/>
  <c r="I561" i="1"/>
  <c r="AW561" i="1"/>
  <c r="J556" i="1"/>
  <c r="AX556" i="1"/>
  <c r="BC554" i="1"/>
  <c r="AV554" i="1"/>
  <c r="I553" i="1"/>
  <c r="AW553" i="1"/>
  <c r="J548" i="1"/>
  <c r="AX548" i="1"/>
  <c r="BC546" i="1"/>
  <c r="AV546" i="1"/>
  <c r="I545" i="1"/>
  <c r="AW545" i="1"/>
  <c r="J540" i="1"/>
  <c r="AX540" i="1"/>
  <c r="BC538" i="1"/>
  <c r="AV538" i="1"/>
  <c r="AT537" i="1"/>
  <c r="I517" i="1"/>
  <c r="AW517" i="1"/>
  <c r="BH517" i="1"/>
  <c r="AB517" i="1" s="1"/>
  <c r="I458" i="1"/>
  <c r="AW458" i="1"/>
  <c r="BH458" i="1"/>
  <c r="AD458" i="1" s="1"/>
  <c r="BC440" i="1"/>
  <c r="AV440" i="1"/>
  <c r="J411" i="1"/>
  <c r="AX411" i="1"/>
  <c r="BI411" i="1"/>
  <c r="AE411" i="1" s="1"/>
  <c r="BC409" i="1"/>
  <c r="AV409" i="1"/>
  <c r="AS400" i="1"/>
  <c r="J392" i="1"/>
  <c r="AX392" i="1"/>
  <c r="AV392" i="1" s="1"/>
  <c r="BI392" i="1"/>
  <c r="AE392" i="1" s="1"/>
  <c r="I385" i="1"/>
  <c r="AW385" i="1"/>
  <c r="BH385" i="1"/>
  <c r="AD385" i="1" s="1"/>
  <c r="BC610" i="1"/>
  <c r="AV610" i="1"/>
  <c r="BC606" i="1"/>
  <c r="AV606" i="1"/>
  <c r="I597" i="1"/>
  <c r="AW597" i="1"/>
  <c r="BC590" i="1"/>
  <c r="AV590" i="1"/>
  <c r="I573" i="1"/>
  <c r="AW573" i="1"/>
  <c r="I557" i="1"/>
  <c r="AW557" i="1"/>
  <c r="I549" i="1"/>
  <c r="AW549" i="1"/>
  <c r="I432" i="1"/>
  <c r="AW432" i="1"/>
  <c r="BH432" i="1"/>
  <c r="AD432" i="1" s="1"/>
  <c r="BC401" i="1"/>
  <c r="AV401" i="1"/>
  <c r="J612" i="1"/>
  <c r="AX612" i="1"/>
  <c r="I620" i="1"/>
  <c r="AW620" i="1"/>
  <c r="BC617" i="1"/>
  <c r="AV617" i="1"/>
  <c r="I616" i="1"/>
  <c r="AW616" i="1"/>
  <c r="BI600" i="1"/>
  <c r="AC600" i="1" s="1"/>
  <c r="BH597" i="1"/>
  <c r="AB597" i="1" s="1"/>
  <c r="BI592" i="1"/>
  <c r="AC592" i="1" s="1"/>
  <c r="BH589" i="1"/>
  <c r="AB589" i="1" s="1"/>
  <c r="BI584" i="1"/>
  <c r="AC584" i="1" s="1"/>
  <c r="BH581" i="1"/>
  <c r="AB581" i="1" s="1"/>
  <c r="BI576" i="1"/>
  <c r="AC576" i="1" s="1"/>
  <c r="BH573" i="1"/>
  <c r="AB573" i="1" s="1"/>
  <c r="BI568" i="1"/>
  <c r="AC568" i="1" s="1"/>
  <c r="BH565" i="1"/>
  <c r="AB565" i="1" s="1"/>
  <c r="BI560" i="1"/>
  <c r="AC560" i="1" s="1"/>
  <c r="BH557" i="1"/>
  <c r="AB557" i="1" s="1"/>
  <c r="BI552" i="1"/>
  <c r="AC552" i="1" s="1"/>
  <c r="BH549" i="1"/>
  <c r="AB549" i="1" s="1"/>
  <c r="BI544" i="1"/>
  <c r="AC544" i="1" s="1"/>
  <c r="BH541" i="1"/>
  <c r="AB541" i="1" s="1"/>
  <c r="J530" i="1"/>
  <c r="AX530" i="1"/>
  <c r="BC528" i="1"/>
  <c r="AV528" i="1"/>
  <c r="I527" i="1"/>
  <c r="AW527" i="1"/>
  <c r="AV520" i="1"/>
  <c r="BC496" i="1"/>
  <c r="AV496" i="1"/>
  <c r="J490" i="1"/>
  <c r="J489" i="1" s="1"/>
  <c r="F48" i="2" s="1"/>
  <c r="AX490" i="1"/>
  <c r="BI490" i="1"/>
  <c r="AE490" i="1" s="1"/>
  <c r="AS489" i="1"/>
  <c r="I473" i="1"/>
  <c r="I470" i="1" s="1"/>
  <c r="E46" i="2" s="1"/>
  <c r="AW473" i="1"/>
  <c r="BH473" i="1"/>
  <c r="BC459" i="1"/>
  <c r="AV459" i="1"/>
  <c r="K449" i="1"/>
  <c r="G45" i="2" s="1"/>
  <c r="I45" i="2" s="1"/>
  <c r="AK450" i="1"/>
  <c r="AT449" i="1" s="1"/>
  <c r="I416" i="1"/>
  <c r="AW416" i="1"/>
  <c r="BH416" i="1"/>
  <c r="AD416" i="1" s="1"/>
  <c r="BC386" i="1"/>
  <c r="AV386" i="1"/>
  <c r="J328" i="1"/>
  <c r="AX328" i="1"/>
  <c r="BI328" i="1"/>
  <c r="AE328" i="1" s="1"/>
  <c r="C19" i="4"/>
  <c r="C21" i="4"/>
  <c r="G52" i="2"/>
  <c r="I52" i="2" s="1"/>
  <c r="J522" i="1"/>
  <c r="J516" i="1"/>
  <c r="AX516" i="1"/>
  <c r="BC514" i="1"/>
  <c r="AV514" i="1"/>
  <c r="I505" i="1"/>
  <c r="AW505" i="1"/>
  <c r="I502" i="1"/>
  <c r="AW502" i="1"/>
  <c r="BC499" i="1"/>
  <c r="AV499" i="1"/>
  <c r="I498" i="1"/>
  <c r="I497" i="1" s="1"/>
  <c r="E49" i="2" s="1"/>
  <c r="AW498" i="1"/>
  <c r="J487" i="1"/>
  <c r="AX487" i="1"/>
  <c r="BC487" i="1" s="1"/>
  <c r="J483" i="1"/>
  <c r="AX483" i="1"/>
  <c r="J479" i="1"/>
  <c r="AX479" i="1"/>
  <c r="K474" i="1"/>
  <c r="G47" i="2" s="1"/>
  <c r="I47" i="2" s="1"/>
  <c r="AK476" i="1"/>
  <c r="AT474" i="1" s="1"/>
  <c r="J475" i="1"/>
  <c r="AX475" i="1"/>
  <c r="AS474" i="1"/>
  <c r="BC467" i="1"/>
  <c r="AV467" i="1"/>
  <c r="I466" i="1"/>
  <c r="AW466" i="1"/>
  <c r="J461" i="1"/>
  <c r="AX461" i="1"/>
  <c r="BC461" i="1" s="1"/>
  <c r="J453" i="1"/>
  <c r="AX453" i="1"/>
  <c r="BC453" i="1" s="1"/>
  <c r="BC451" i="1"/>
  <c r="AV451" i="1"/>
  <c r="BC448" i="1"/>
  <c r="AV448" i="1"/>
  <c r="J446" i="1"/>
  <c r="AX446" i="1"/>
  <c r="BC446" i="1" s="1"/>
  <c r="AU436" i="1"/>
  <c r="J427" i="1"/>
  <c r="AX427" i="1"/>
  <c r="BC427" i="1" s="1"/>
  <c r="BC425" i="1"/>
  <c r="AV425" i="1"/>
  <c r="I424" i="1"/>
  <c r="AW424" i="1"/>
  <c r="J403" i="1"/>
  <c r="AX403" i="1"/>
  <c r="BC398" i="1"/>
  <c r="AV398" i="1"/>
  <c r="I397" i="1"/>
  <c r="AW397" i="1"/>
  <c r="J384" i="1"/>
  <c r="AX384" i="1"/>
  <c r="BC384" i="1" s="1"/>
  <c r="BC361" i="1"/>
  <c r="AV361" i="1"/>
  <c r="J351" i="1"/>
  <c r="AX351" i="1"/>
  <c r="BI351" i="1"/>
  <c r="AE351" i="1" s="1"/>
  <c r="AS321" i="1"/>
  <c r="I306" i="1"/>
  <c r="AW306" i="1"/>
  <c r="BH306" i="1"/>
  <c r="AD306" i="1" s="1"/>
  <c r="I236" i="1"/>
  <c r="AW236" i="1"/>
  <c r="BH236" i="1"/>
  <c r="AD236" i="1" s="1"/>
  <c r="I220" i="1"/>
  <c r="AW220" i="1"/>
  <c r="BH220" i="1"/>
  <c r="AD220" i="1" s="1"/>
  <c r="I179" i="1"/>
  <c r="I178" i="1" s="1"/>
  <c r="E35" i="2" s="1"/>
  <c r="AW179" i="1"/>
  <c r="BH179" i="1"/>
  <c r="AD179" i="1" s="1"/>
  <c r="AW619" i="1"/>
  <c r="AX618" i="1"/>
  <c r="AW615" i="1"/>
  <c r="AU613" i="1"/>
  <c r="C18" i="4"/>
  <c r="K613" i="1"/>
  <c r="AW612" i="1"/>
  <c r="AX611" i="1"/>
  <c r="AW608" i="1"/>
  <c r="AX607" i="1"/>
  <c r="AW604" i="1"/>
  <c r="AX603" i="1"/>
  <c r="AV603" i="1" s="1"/>
  <c r="AW600" i="1"/>
  <c r="AX599" i="1"/>
  <c r="AV599" i="1" s="1"/>
  <c r="AW596" i="1"/>
  <c r="AX595" i="1"/>
  <c r="AV595" i="1" s="1"/>
  <c r="AW592" i="1"/>
  <c r="AX591" i="1"/>
  <c r="AV591" i="1" s="1"/>
  <c r="AW588" i="1"/>
  <c r="AX587" i="1"/>
  <c r="AV587" i="1" s="1"/>
  <c r="AW584" i="1"/>
  <c r="AX583" i="1"/>
  <c r="AV583" i="1" s="1"/>
  <c r="AW580" i="1"/>
  <c r="AX579" i="1"/>
  <c r="AV579" i="1" s="1"/>
  <c r="AW576" i="1"/>
  <c r="AX575" i="1"/>
  <c r="AV575" i="1" s="1"/>
  <c r="AW572" i="1"/>
  <c r="AX571" i="1"/>
  <c r="BC571" i="1" s="1"/>
  <c r="AW568" i="1"/>
  <c r="AX567" i="1"/>
  <c r="AV567" i="1" s="1"/>
  <c r="AW564" i="1"/>
  <c r="AX563" i="1"/>
  <c r="AV563" i="1" s="1"/>
  <c r="AW560" i="1"/>
  <c r="AX559" i="1"/>
  <c r="AV559" i="1" s="1"/>
  <c r="AW556" i="1"/>
  <c r="AX555" i="1"/>
  <c r="BC555" i="1" s="1"/>
  <c r="AW552" i="1"/>
  <c r="AX551" i="1"/>
  <c r="AV551" i="1" s="1"/>
  <c r="AW548" i="1"/>
  <c r="AX547" i="1"/>
  <c r="BC547" i="1" s="1"/>
  <c r="AW544" i="1"/>
  <c r="AX543" i="1"/>
  <c r="AV543" i="1" s="1"/>
  <c r="AW540" i="1"/>
  <c r="AX539" i="1"/>
  <c r="AV539" i="1" s="1"/>
  <c r="AX536" i="1"/>
  <c r="AV536" i="1" s="1"/>
  <c r="AX533" i="1"/>
  <c r="AV533" i="1" s="1"/>
  <c r="AW530" i="1"/>
  <c r="AX529" i="1"/>
  <c r="BC529" i="1" s="1"/>
  <c r="AW526" i="1"/>
  <c r="AX525" i="1"/>
  <c r="AV525" i="1" s="1"/>
  <c r="BI524" i="1"/>
  <c r="AC524" i="1" s="1"/>
  <c r="BI522" i="1"/>
  <c r="AC522" i="1" s="1"/>
  <c r="I513" i="1"/>
  <c r="AW513" i="1"/>
  <c r="BC510" i="1"/>
  <c r="AV510" i="1"/>
  <c r="K503" i="1"/>
  <c r="G50" i="2" s="1"/>
  <c r="I50" i="2" s="1"/>
  <c r="AK505" i="1"/>
  <c r="AT503" i="1" s="1"/>
  <c r="J504" i="1"/>
  <c r="AX504" i="1"/>
  <c r="AS503" i="1"/>
  <c r="I495" i="1"/>
  <c r="AW495" i="1"/>
  <c r="BC492" i="1"/>
  <c r="AV492" i="1"/>
  <c r="I491" i="1"/>
  <c r="I489" i="1" s="1"/>
  <c r="E48" i="2" s="1"/>
  <c r="AW491" i="1"/>
  <c r="J472" i="1"/>
  <c r="J470" i="1" s="1"/>
  <c r="F46" i="2" s="1"/>
  <c r="AX472" i="1"/>
  <c r="BC472" i="1" s="1"/>
  <c r="K470" i="1"/>
  <c r="G46" i="2" s="1"/>
  <c r="I46" i="2" s="1"/>
  <c r="J469" i="1"/>
  <c r="AX469" i="1"/>
  <c r="J457" i="1"/>
  <c r="AX457" i="1"/>
  <c r="BC457" i="1" s="1"/>
  <c r="BC455" i="1"/>
  <c r="AV455" i="1"/>
  <c r="I450" i="1"/>
  <c r="AW450" i="1"/>
  <c r="J442" i="1"/>
  <c r="AX442" i="1"/>
  <c r="BC442" i="1" s="1"/>
  <c r="J438" i="1"/>
  <c r="AX438" i="1"/>
  <c r="BC438" i="1" s="1"/>
  <c r="AT436" i="1"/>
  <c r="J431" i="1"/>
  <c r="AX431" i="1"/>
  <c r="BC431" i="1" s="1"/>
  <c r="BC421" i="1"/>
  <c r="AV421" i="1"/>
  <c r="J415" i="1"/>
  <c r="AX415" i="1"/>
  <c r="BC415" i="1" s="1"/>
  <c r="BC413" i="1"/>
  <c r="AV413" i="1"/>
  <c r="I412" i="1"/>
  <c r="AW412" i="1"/>
  <c r="J407" i="1"/>
  <c r="AX407" i="1"/>
  <c r="BC407" i="1" s="1"/>
  <c r="BC405" i="1"/>
  <c r="AV405" i="1"/>
  <c r="J396" i="1"/>
  <c r="AX396" i="1"/>
  <c r="BC396" i="1" s="1"/>
  <c r="BC390" i="1"/>
  <c r="AV390" i="1"/>
  <c r="I389" i="1"/>
  <c r="AW389" i="1"/>
  <c r="BC387" i="1"/>
  <c r="AV384" i="1"/>
  <c r="BC382" i="1"/>
  <c r="AV382" i="1"/>
  <c r="I379" i="1"/>
  <c r="AW379" i="1"/>
  <c r="BH379" i="1"/>
  <c r="AD379" i="1" s="1"/>
  <c r="AX377" i="1"/>
  <c r="J377" i="1"/>
  <c r="BI377" i="1"/>
  <c r="AE377" i="1" s="1"/>
  <c r="I376" i="1"/>
  <c r="AW376" i="1"/>
  <c r="BH376" i="1"/>
  <c r="AD376" i="1" s="1"/>
  <c r="J374" i="1"/>
  <c r="AX374" i="1"/>
  <c r="BI374" i="1"/>
  <c r="AE374" i="1" s="1"/>
  <c r="I368" i="1"/>
  <c r="AW368" i="1"/>
  <c r="BH368" i="1"/>
  <c r="AD368" i="1" s="1"/>
  <c r="BC342" i="1"/>
  <c r="AV342" i="1"/>
  <c r="J332" i="1"/>
  <c r="AX332" i="1"/>
  <c r="BI332" i="1"/>
  <c r="AE332" i="1" s="1"/>
  <c r="I325" i="1"/>
  <c r="AW325" i="1"/>
  <c r="BH325" i="1"/>
  <c r="AD325" i="1" s="1"/>
  <c r="BC260" i="1"/>
  <c r="AV260" i="1"/>
  <c r="BC256" i="1"/>
  <c r="AV256" i="1"/>
  <c r="BC252" i="1"/>
  <c r="AV252" i="1"/>
  <c r="BC248" i="1"/>
  <c r="AV248" i="1"/>
  <c r="AS613" i="1"/>
  <c r="J524" i="1"/>
  <c r="BH523" i="1"/>
  <c r="AB523" i="1" s="1"/>
  <c r="BH522" i="1"/>
  <c r="AB522" i="1" s="1"/>
  <c r="BI521" i="1"/>
  <c r="AC521" i="1" s="1"/>
  <c r="I521" i="1"/>
  <c r="BC518" i="1"/>
  <c r="AV518" i="1"/>
  <c r="BI516" i="1"/>
  <c r="AC516" i="1" s="1"/>
  <c r="J512" i="1"/>
  <c r="AX512" i="1"/>
  <c r="I509" i="1"/>
  <c r="AW509" i="1"/>
  <c r="AV508" i="1"/>
  <c r="J501" i="1"/>
  <c r="J497" i="1" s="1"/>
  <c r="F49" i="2" s="1"/>
  <c r="AX501" i="1"/>
  <c r="AS497" i="1"/>
  <c r="K497" i="1"/>
  <c r="G49" i="2" s="1"/>
  <c r="I49" i="2" s="1"/>
  <c r="AK498" i="1"/>
  <c r="AT497" i="1" s="1"/>
  <c r="AT489" i="1"/>
  <c r="I488" i="1"/>
  <c r="AW488" i="1"/>
  <c r="BI487" i="1"/>
  <c r="AE487" i="1" s="1"/>
  <c r="BC485" i="1"/>
  <c r="AV485" i="1"/>
  <c r="I484" i="1"/>
  <c r="AW484" i="1"/>
  <c r="BI483" i="1"/>
  <c r="AE483" i="1" s="1"/>
  <c r="BC481" i="1"/>
  <c r="AV481" i="1"/>
  <c r="I480" i="1"/>
  <c r="AW480" i="1"/>
  <c r="BI479" i="1"/>
  <c r="AE479" i="1" s="1"/>
  <c r="BC477" i="1"/>
  <c r="AV477" i="1"/>
  <c r="I476" i="1"/>
  <c r="AW476" i="1"/>
  <c r="BI475" i="1"/>
  <c r="AE475" i="1" s="1"/>
  <c r="AT470" i="1"/>
  <c r="J465" i="1"/>
  <c r="AX465" i="1"/>
  <c r="BC465" i="1" s="1"/>
  <c r="BC463" i="1"/>
  <c r="AV463" i="1"/>
  <c r="I462" i="1"/>
  <c r="AW462" i="1"/>
  <c r="BI461" i="1"/>
  <c r="AE461" i="1" s="1"/>
  <c r="I454" i="1"/>
  <c r="AW454" i="1"/>
  <c r="BI453" i="1"/>
  <c r="AE453" i="1" s="1"/>
  <c r="AU449" i="1"/>
  <c r="I447" i="1"/>
  <c r="AW447" i="1"/>
  <c r="BI446" i="1"/>
  <c r="AE446" i="1" s="1"/>
  <c r="BC444" i="1"/>
  <c r="AV444" i="1"/>
  <c r="AS436" i="1"/>
  <c r="BC429" i="1"/>
  <c r="AV429" i="1"/>
  <c r="I428" i="1"/>
  <c r="AW428" i="1"/>
  <c r="BI427" i="1"/>
  <c r="AE427" i="1" s="1"/>
  <c r="J423" i="1"/>
  <c r="AX423" i="1"/>
  <c r="BC423" i="1" s="1"/>
  <c r="I420" i="1"/>
  <c r="AW420" i="1"/>
  <c r="BC417" i="1"/>
  <c r="AV417" i="1"/>
  <c r="I404" i="1"/>
  <c r="AW404" i="1"/>
  <c r="BI403" i="1"/>
  <c r="AE403" i="1" s="1"/>
  <c r="AU400" i="1"/>
  <c r="K400" i="1"/>
  <c r="G43" i="2" s="1"/>
  <c r="I43" i="2" s="1"/>
  <c r="BC399" i="1"/>
  <c r="BC394" i="1"/>
  <c r="AV394" i="1"/>
  <c r="I393" i="1"/>
  <c r="AW393" i="1"/>
  <c r="J388" i="1"/>
  <c r="AX388" i="1"/>
  <c r="AV388" i="1" s="1"/>
  <c r="I364" i="1"/>
  <c r="AW364" i="1"/>
  <c r="BH364" i="1"/>
  <c r="AD364" i="1" s="1"/>
  <c r="I348" i="1"/>
  <c r="AW348" i="1"/>
  <c r="BH348" i="1"/>
  <c r="AD348" i="1" s="1"/>
  <c r="BC319" i="1"/>
  <c r="AV319" i="1"/>
  <c r="J309" i="1"/>
  <c r="AX309" i="1"/>
  <c r="BI309" i="1"/>
  <c r="AE309" i="1" s="1"/>
  <c r="BC303" i="1"/>
  <c r="AV303" i="1"/>
  <c r="AK401" i="1"/>
  <c r="AT400" i="1" s="1"/>
  <c r="AU371" i="1"/>
  <c r="J367" i="1"/>
  <c r="AX367" i="1"/>
  <c r="J363" i="1"/>
  <c r="AX363" i="1"/>
  <c r="I360" i="1"/>
  <c r="AW360" i="1"/>
  <c r="BC357" i="1"/>
  <c r="AV357" i="1"/>
  <c r="AU347" i="1"/>
  <c r="J344" i="1"/>
  <c r="AX344" i="1"/>
  <c r="I341" i="1"/>
  <c r="AW341" i="1"/>
  <c r="BC338" i="1"/>
  <c r="AV338" i="1"/>
  <c r="J324" i="1"/>
  <c r="AX324" i="1"/>
  <c r="I318" i="1"/>
  <c r="AW318" i="1"/>
  <c r="BC315" i="1"/>
  <c r="AV315" i="1"/>
  <c r="J305" i="1"/>
  <c r="AX305" i="1"/>
  <c r="I302" i="1"/>
  <c r="AW302" i="1"/>
  <c r="I299" i="1"/>
  <c r="AW299" i="1"/>
  <c r="BH299" i="1"/>
  <c r="AD299" i="1" s="1"/>
  <c r="J246" i="1"/>
  <c r="AX246" i="1"/>
  <c r="BI246" i="1"/>
  <c r="AE246" i="1" s="1"/>
  <c r="I240" i="1"/>
  <c r="AW240" i="1"/>
  <c r="BH240" i="1"/>
  <c r="AD240" i="1" s="1"/>
  <c r="BC225" i="1"/>
  <c r="AV225" i="1"/>
  <c r="I209" i="1"/>
  <c r="AW209" i="1"/>
  <c r="BH209" i="1"/>
  <c r="AD209" i="1" s="1"/>
  <c r="AW419" i="1"/>
  <c r="AX418" i="1"/>
  <c r="AX402" i="1"/>
  <c r="AV402" i="1" s="1"/>
  <c r="J381" i="1"/>
  <c r="BC372" i="1"/>
  <c r="AV372" i="1"/>
  <c r="AT371" i="1"/>
  <c r="J359" i="1"/>
  <c r="AX359" i="1"/>
  <c r="I356" i="1"/>
  <c r="AW356" i="1"/>
  <c r="BC353" i="1"/>
  <c r="AV353" i="1"/>
  <c r="AS347" i="1"/>
  <c r="K347" i="1"/>
  <c r="G41" i="2" s="1"/>
  <c r="I41" i="2" s="1"/>
  <c r="AK348" i="1"/>
  <c r="AT347" i="1" s="1"/>
  <c r="J340" i="1"/>
  <c r="AX340" i="1"/>
  <c r="I337" i="1"/>
  <c r="AW337" i="1"/>
  <c r="BC334" i="1"/>
  <c r="AV334" i="1"/>
  <c r="BC330" i="1"/>
  <c r="AV330" i="1"/>
  <c r="AU321" i="1"/>
  <c r="J317" i="1"/>
  <c r="AX317" i="1"/>
  <c r="I314" i="1"/>
  <c r="AW314" i="1"/>
  <c r="BC311" i="1"/>
  <c r="AV311" i="1"/>
  <c r="BC300" i="1"/>
  <c r="AV300" i="1"/>
  <c r="I275" i="1"/>
  <c r="AW275" i="1"/>
  <c r="BH275" i="1"/>
  <c r="AD275" i="1" s="1"/>
  <c r="J266" i="1"/>
  <c r="AX266" i="1"/>
  <c r="BI266" i="1"/>
  <c r="AE266" i="1" s="1"/>
  <c r="J258" i="1"/>
  <c r="AX258" i="1"/>
  <c r="BI258" i="1"/>
  <c r="AE258" i="1" s="1"/>
  <c r="J254" i="1"/>
  <c r="AX254" i="1"/>
  <c r="BI254" i="1"/>
  <c r="AE254" i="1" s="1"/>
  <c r="J250" i="1"/>
  <c r="AX250" i="1"/>
  <c r="BI250" i="1"/>
  <c r="AE250" i="1" s="1"/>
  <c r="BC214" i="1"/>
  <c r="AV214" i="1"/>
  <c r="J160" i="1"/>
  <c r="AX160" i="1"/>
  <c r="BI160" i="1"/>
  <c r="I375" i="1"/>
  <c r="AW375" i="1"/>
  <c r="BC369" i="1"/>
  <c r="AV369" i="1"/>
  <c r="BC365" i="1"/>
  <c r="AV365" i="1"/>
  <c r="J355" i="1"/>
  <c r="AX355" i="1"/>
  <c r="I352" i="1"/>
  <c r="AW352" i="1"/>
  <c r="BC349" i="1"/>
  <c r="AV349" i="1"/>
  <c r="BC346" i="1"/>
  <c r="AV346" i="1"/>
  <c r="J336" i="1"/>
  <c r="AX336" i="1"/>
  <c r="I333" i="1"/>
  <c r="AW333" i="1"/>
  <c r="I329" i="1"/>
  <c r="AW329" i="1"/>
  <c r="BC326" i="1"/>
  <c r="AV326" i="1"/>
  <c r="BC322" i="1"/>
  <c r="AV322" i="1"/>
  <c r="AT321" i="1"/>
  <c r="K321" i="1"/>
  <c r="G40" i="2" s="1"/>
  <c r="I40" i="2" s="1"/>
  <c r="J313" i="1"/>
  <c r="AX313" i="1"/>
  <c r="I310" i="1"/>
  <c r="AW310" i="1"/>
  <c r="BC307" i="1"/>
  <c r="AV307" i="1"/>
  <c r="BC276" i="1"/>
  <c r="AV276" i="1"/>
  <c r="BC272" i="1"/>
  <c r="AV272" i="1"/>
  <c r="I263" i="1"/>
  <c r="AW263" i="1"/>
  <c r="BH263" i="1"/>
  <c r="AD263" i="1" s="1"/>
  <c r="AK247" i="1"/>
  <c r="K244" i="1"/>
  <c r="G39" i="2" s="1"/>
  <c r="I39" i="2" s="1"/>
  <c r="I232" i="1"/>
  <c r="AW232" i="1"/>
  <c r="BH232" i="1"/>
  <c r="AD232" i="1" s="1"/>
  <c r="AX229" i="1"/>
  <c r="J229" i="1"/>
  <c r="BI229" i="1"/>
  <c r="AE229" i="1" s="1"/>
  <c r="BC166" i="1"/>
  <c r="AV166" i="1"/>
  <c r="K371" i="1"/>
  <c r="G42" i="2" s="1"/>
  <c r="I42" i="2" s="1"/>
  <c r="J294" i="1"/>
  <c r="AX294" i="1"/>
  <c r="BC294" i="1" s="1"/>
  <c r="J290" i="1"/>
  <c r="AX290" i="1"/>
  <c r="BC290" i="1" s="1"/>
  <c r="BC288" i="1"/>
  <c r="AV288" i="1"/>
  <c r="I287" i="1"/>
  <c r="AW287" i="1"/>
  <c r="BC284" i="1"/>
  <c r="AV284" i="1"/>
  <c r="I283" i="1"/>
  <c r="AW283" i="1"/>
  <c r="J278" i="1"/>
  <c r="AX278" i="1"/>
  <c r="AV273" i="1"/>
  <c r="I271" i="1"/>
  <c r="AW271" i="1"/>
  <c r="AT244" i="1"/>
  <c r="BC221" i="1"/>
  <c r="AV221" i="1"/>
  <c r="BC210" i="1"/>
  <c r="AV210" i="1"/>
  <c r="I169" i="1"/>
  <c r="AW169" i="1"/>
  <c r="BH169" i="1"/>
  <c r="J112" i="1"/>
  <c r="AX112" i="1"/>
  <c r="BC112" i="1" s="1"/>
  <c r="BI112" i="1"/>
  <c r="AC112" i="1" s="1"/>
  <c r="AW374" i="1"/>
  <c r="AX373" i="1"/>
  <c r="AX370" i="1"/>
  <c r="AW367" i="1"/>
  <c r="AX366" i="1"/>
  <c r="AW363" i="1"/>
  <c r="AX362" i="1"/>
  <c r="AW359" i="1"/>
  <c r="AX358" i="1"/>
  <c r="AW355" i="1"/>
  <c r="AX354" i="1"/>
  <c r="AW351" i="1"/>
  <c r="AX350" i="1"/>
  <c r="AV350" i="1" s="1"/>
  <c r="AW344" i="1"/>
  <c r="AX343" i="1"/>
  <c r="AW340" i="1"/>
  <c r="AX339" i="1"/>
  <c r="AW336" i="1"/>
  <c r="AX335" i="1"/>
  <c r="AW332" i="1"/>
  <c r="AX331" i="1"/>
  <c r="AW328" i="1"/>
  <c r="AX327" i="1"/>
  <c r="AW324" i="1"/>
  <c r="AX323" i="1"/>
  <c r="AX320" i="1"/>
  <c r="AW317" i="1"/>
  <c r="AX316" i="1"/>
  <c r="AW313" i="1"/>
  <c r="AX312" i="1"/>
  <c r="AV312" i="1" s="1"/>
  <c r="AW309" i="1"/>
  <c r="AX308" i="1"/>
  <c r="AW305" i="1"/>
  <c r="AX304" i="1"/>
  <c r="J298" i="1"/>
  <c r="AX298" i="1"/>
  <c r="BC298" i="1" s="1"/>
  <c r="J274" i="1"/>
  <c r="AX274" i="1"/>
  <c r="BC274" i="1" s="1"/>
  <c r="BC268" i="1"/>
  <c r="AV268" i="1"/>
  <c r="BC264" i="1"/>
  <c r="AV264" i="1"/>
  <c r="J262" i="1"/>
  <c r="AX262" i="1"/>
  <c r="I259" i="1"/>
  <c r="AW259" i="1"/>
  <c r="I255" i="1"/>
  <c r="AW255" i="1"/>
  <c r="I251" i="1"/>
  <c r="AW251" i="1"/>
  <c r="I247" i="1"/>
  <c r="AW247" i="1"/>
  <c r="AS244" i="1"/>
  <c r="J243" i="1"/>
  <c r="AX243" i="1"/>
  <c r="BC241" i="1"/>
  <c r="AV241" i="1"/>
  <c r="J239" i="1"/>
  <c r="AX239" i="1"/>
  <c r="BC237" i="1"/>
  <c r="AV237" i="1"/>
  <c r="J235" i="1"/>
  <c r="AX235" i="1"/>
  <c r="BC233" i="1"/>
  <c r="AV233" i="1"/>
  <c r="J231" i="1"/>
  <c r="AX231" i="1"/>
  <c r="K157" i="1"/>
  <c r="G32" i="2" s="1"/>
  <c r="I32" i="2" s="1"/>
  <c r="AK158" i="1"/>
  <c r="AT157" i="1" s="1"/>
  <c r="I151" i="1"/>
  <c r="AW151" i="1"/>
  <c r="BH151" i="1"/>
  <c r="AB151" i="1" s="1"/>
  <c r="BC296" i="1"/>
  <c r="AV296" i="1"/>
  <c r="I295" i="1"/>
  <c r="AW295" i="1"/>
  <c r="BC292" i="1"/>
  <c r="AV292" i="1"/>
  <c r="I291" i="1"/>
  <c r="AW291" i="1"/>
  <c r="J286" i="1"/>
  <c r="AX286" i="1"/>
  <c r="J282" i="1"/>
  <c r="AX282" i="1"/>
  <c r="BC282" i="1" s="1"/>
  <c r="BC280" i="1"/>
  <c r="AV280" i="1"/>
  <c r="I279" i="1"/>
  <c r="AW279" i="1"/>
  <c r="J270" i="1"/>
  <c r="AX270" i="1"/>
  <c r="I267" i="1"/>
  <c r="AW267" i="1"/>
  <c r="AU244" i="1"/>
  <c r="I224" i="1"/>
  <c r="AW224" i="1"/>
  <c r="BH224" i="1"/>
  <c r="AD224" i="1" s="1"/>
  <c r="I213" i="1"/>
  <c r="AW213" i="1"/>
  <c r="BH213" i="1"/>
  <c r="AD213" i="1" s="1"/>
  <c r="J196" i="1"/>
  <c r="AX196" i="1"/>
  <c r="BI196" i="1"/>
  <c r="AE196" i="1" s="1"/>
  <c r="AT183" i="1"/>
  <c r="J154" i="1"/>
  <c r="AX154" i="1"/>
  <c r="BI154" i="1"/>
  <c r="AC154" i="1" s="1"/>
  <c r="BC152" i="1"/>
  <c r="AV152" i="1"/>
  <c r="J204" i="1"/>
  <c r="AX204" i="1"/>
  <c r="BC204" i="1" s="1"/>
  <c r="BC202" i="1"/>
  <c r="AV202" i="1"/>
  <c r="BC194" i="1"/>
  <c r="AV194" i="1"/>
  <c r="K192" i="1"/>
  <c r="G37" i="2" s="1"/>
  <c r="I37" i="2" s="1"/>
  <c r="AK193" i="1"/>
  <c r="AT192" i="1" s="1"/>
  <c r="I190" i="1"/>
  <c r="AW190" i="1"/>
  <c r="I186" i="1"/>
  <c r="AW186" i="1"/>
  <c r="AU183" i="1"/>
  <c r="J182" i="1"/>
  <c r="J178" i="1" s="1"/>
  <c r="F35" i="2" s="1"/>
  <c r="AX182" i="1"/>
  <c r="AU178" i="1"/>
  <c r="I173" i="1"/>
  <c r="AW173" i="1"/>
  <c r="BC170" i="1"/>
  <c r="AV170" i="1"/>
  <c r="J164" i="1"/>
  <c r="AX164" i="1"/>
  <c r="J146" i="1"/>
  <c r="AX146" i="1"/>
  <c r="BC146" i="1" s="1"/>
  <c r="BI146" i="1"/>
  <c r="AC146" i="1" s="1"/>
  <c r="BC144" i="1"/>
  <c r="AV144" i="1"/>
  <c r="BC125" i="1"/>
  <c r="AV125" i="1"/>
  <c r="AU119" i="1"/>
  <c r="K119" i="1"/>
  <c r="G30" i="2" s="1"/>
  <c r="I30" i="2" s="1"/>
  <c r="AK120" i="1"/>
  <c r="AT119" i="1" s="1"/>
  <c r="BC101" i="1"/>
  <c r="AV101" i="1"/>
  <c r="AT100" i="1"/>
  <c r="BC83" i="1"/>
  <c r="AV83" i="1"/>
  <c r="AX269" i="1"/>
  <c r="AW266" i="1"/>
  <c r="AX265" i="1"/>
  <c r="AW262" i="1"/>
  <c r="AX261" i="1"/>
  <c r="AW258" i="1"/>
  <c r="AX257" i="1"/>
  <c r="AV257" i="1" s="1"/>
  <c r="AW254" i="1"/>
  <c r="AX253" i="1"/>
  <c r="AV253" i="1" s="1"/>
  <c r="AW250" i="1"/>
  <c r="AX249" i="1"/>
  <c r="AV249" i="1" s="1"/>
  <c r="AW246" i="1"/>
  <c r="AX245" i="1"/>
  <c r="AV245" i="1" s="1"/>
  <c r="AW243" i="1"/>
  <c r="AX242" i="1"/>
  <c r="AV242" i="1" s="1"/>
  <c r="AW239" i="1"/>
  <c r="AX238" i="1"/>
  <c r="AV238" i="1" s="1"/>
  <c r="AW235" i="1"/>
  <c r="AX234" i="1"/>
  <c r="AV234" i="1" s="1"/>
  <c r="AW231" i="1"/>
  <c r="AX230" i="1"/>
  <c r="BH229" i="1"/>
  <c r="AD229" i="1" s="1"/>
  <c r="J227" i="1"/>
  <c r="AX227" i="1"/>
  <c r="J223" i="1"/>
  <c r="AX223" i="1"/>
  <c r="J219" i="1"/>
  <c r="AX219" i="1"/>
  <c r="AS217" i="1"/>
  <c r="AU217" i="1"/>
  <c r="K217" i="1"/>
  <c r="G38" i="2" s="1"/>
  <c r="I38" i="2" s="1"/>
  <c r="J216" i="1"/>
  <c r="AX216" i="1"/>
  <c r="J212" i="1"/>
  <c r="AX212" i="1"/>
  <c r="J208" i="1"/>
  <c r="AX208" i="1"/>
  <c r="BC208" i="1" s="1"/>
  <c r="BC206" i="1"/>
  <c r="AV206" i="1"/>
  <c r="I201" i="1"/>
  <c r="AW201" i="1"/>
  <c r="BC198" i="1"/>
  <c r="AV198" i="1"/>
  <c r="AS192" i="1"/>
  <c r="BC191" i="1"/>
  <c r="AV191" i="1"/>
  <c r="K183" i="1"/>
  <c r="G36" i="2" s="1"/>
  <c r="I36" i="2" s="1"/>
  <c r="BC180" i="1"/>
  <c r="AV180" i="1"/>
  <c r="K178" i="1"/>
  <c r="G35" i="2" s="1"/>
  <c r="I35" i="2" s="1"/>
  <c r="AK179" i="1"/>
  <c r="AT178" i="1" s="1"/>
  <c r="BC174" i="1"/>
  <c r="AV174" i="1"/>
  <c r="J168" i="1"/>
  <c r="AX168" i="1"/>
  <c r="I161" i="1"/>
  <c r="AW161" i="1"/>
  <c r="I158" i="1"/>
  <c r="I157" i="1" s="1"/>
  <c r="E32" i="2" s="1"/>
  <c r="AW158" i="1"/>
  <c r="BC156" i="1"/>
  <c r="AV156" i="1"/>
  <c r="I155" i="1"/>
  <c r="AW155" i="1"/>
  <c r="BC149" i="1"/>
  <c r="AV149" i="1"/>
  <c r="I132" i="1"/>
  <c r="AW132" i="1"/>
  <c r="BH132" i="1"/>
  <c r="AB132" i="1" s="1"/>
  <c r="BC115" i="1"/>
  <c r="AV115" i="1"/>
  <c r="I109" i="1"/>
  <c r="AW109" i="1"/>
  <c r="BH109" i="1"/>
  <c r="AB109" i="1" s="1"/>
  <c r="AW230" i="1"/>
  <c r="AW229" i="1"/>
  <c r="BI228" i="1"/>
  <c r="AE228" i="1" s="1"/>
  <c r="I228" i="1"/>
  <c r="AW228" i="1"/>
  <c r="AT217" i="1"/>
  <c r="I205" i="1"/>
  <c r="AW205" i="1"/>
  <c r="BI204" i="1"/>
  <c r="AE204" i="1" s="1"/>
  <c r="J200" i="1"/>
  <c r="AX200" i="1"/>
  <c r="I197" i="1"/>
  <c r="AW197" i="1"/>
  <c r="I193" i="1"/>
  <c r="AW193" i="1"/>
  <c r="J189" i="1"/>
  <c r="AX189" i="1"/>
  <c r="BC187" i="1"/>
  <c r="AV187" i="1"/>
  <c r="J185" i="1"/>
  <c r="J183" i="1" s="1"/>
  <c r="F36" i="2" s="1"/>
  <c r="AX185" i="1"/>
  <c r="AS178" i="1"/>
  <c r="BC177" i="1"/>
  <c r="AV177" i="1"/>
  <c r="J172" i="1"/>
  <c r="AX172" i="1"/>
  <c r="I165" i="1"/>
  <c r="AW165" i="1"/>
  <c r="BC162" i="1"/>
  <c r="AV162" i="1"/>
  <c r="AS159" i="1"/>
  <c r="BC150" i="1"/>
  <c r="AV150" i="1"/>
  <c r="J135" i="1"/>
  <c r="AX135" i="1"/>
  <c r="BC135" i="1" s="1"/>
  <c r="BI135" i="1"/>
  <c r="AC135" i="1" s="1"/>
  <c r="I128" i="1"/>
  <c r="AW128" i="1"/>
  <c r="BH128" i="1"/>
  <c r="AB128" i="1" s="1"/>
  <c r="BC118" i="1"/>
  <c r="AV118" i="1"/>
  <c r="BC111" i="1"/>
  <c r="AV111" i="1"/>
  <c r="AV148" i="1"/>
  <c r="I143" i="1"/>
  <c r="AW143" i="1"/>
  <c r="AU139" i="1"/>
  <c r="J131" i="1"/>
  <c r="AX131" i="1"/>
  <c r="BC131" i="1" s="1"/>
  <c r="J127" i="1"/>
  <c r="AX127" i="1"/>
  <c r="BC127" i="1" s="1"/>
  <c r="I124" i="1"/>
  <c r="AW124" i="1"/>
  <c r="BC121" i="1"/>
  <c r="AV121" i="1"/>
  <c r="AS119" i="1"/>
  <c r="I117" i="1"/>
  <c r="AW117" i="1"/>
  <c r="AK109" i="1"/>
  <c r="AT108" i="1" s="1"/>
  <c r="K108" i="1"/>
  <c r="G29" i="2" s="1"/>
  <c r="I29" i="2" s="1"/>
  <c r="BC93" i="1"/>
  <c r="AV93" i="1"/>
  <c r="I91" i="1"/>
  <c r="E25" i="2" s="1"/>
  <c r="J84" i="1"/>
  <c r="AX84" i="1"/>
  <c r="BC84" i="1" s="1"/>
  <c r="BI84" i="1"/>
  <c r="AC84" i="1" s="1"/>
  <c r="AW200" i="1"/>
  <c r="AX199" i="1"/>
  <c r="AW196" i="1"/>
  <c r="AX195" i="1"/>
  <c r="AW189" i="1"/>
  <c r="AX188" i="1"/>
  <c r="AV188" i="1" s="1"/>
  <c r="AW185" i="1"/>
  <c r="AX184" i="1"/>
  <c r="AV184" i="1" s="1"/>
  <c r="AW182" i="1"/>
  <c r="AX181" i="1"/>
  <c r="BC181" i="1" s="1"/>
  <c r="AX175" i="1"/>
  <c r="BC175" i="1" s="1"/>
  <c r="AW172" i="1"/>
  <c r="AX171" i="1"/>
  <c r="AV171" i="1" s="1"/>
  <c r="AW168" i="1"/>
  <c r="AX167" i="1"/>
  <c r="AV167" i="1" s="1"/>
  <c r="AW164" i="1"/>
  <c r="AX163" i="1"/>
  <c r="BC163" i="1" s="1"/>
  <c r="AW160" i="1"/>
  <c r="AW154" i="1"/>
  <c r="AX153" i="1"/>
  <c r="AV153" i="1" s="1"/>
  <c r="J148" i="1"/>
  <c r="J142" i="1"/>
  <c r="AX142" i="1"/>
  <c r="BC140" i="1"/>
  <c r="AV140" i="1"/>
  <c r="K139" i="1"/>
  <c r="G31" i="2" s="1"/>
  <c r="I31" i="2" s="1"/>
  <c r="BC137" i="1"/>
  <c r="AV137" i="1"/>
  <c r="J123" i="1"/>
  <c r="AX123" i="1"/>
  <c r="BC123" i="1" s="1"/>
  <c r="J116" i="1"/>
  <c r="AX116" i="1"/>
  <c r="BC116" i="1" s="1"/>
  <c r="BC114" i="1"/>
  <c r="AV114" i="1"/>
  <c r="BC110" i="1"/>
  <c r="AV110" i="1"/>
  <c r="BC99" i="1"/>
  <c r="AV99" i="1"/>
  <c r="I97" i="1"/>
  <c r="E27" i="2" s="1"/>
  <c r="BC95" i="1"/>
  <c r="AV95" i="1"/>
  <c r="AT94" i="1"/>
  <c r="AK160" i="1"/>
  <c r="AT159" i="1" s="1"/>
  <c r="BI150" i="1"/>
  <c r="AC150" i="1" s="1"/>
  <c r="BC148" i="1"/>
  <c r="I147" i="1"/>
  <c r="AW147" i="1"/>
  <c r="I136" i="1"/>
  <c r="AW136" i="1"/>
  <c r="AV135" i="1"/>
  <c r="BC133" i="1"/>
  <c r="AV133" i="1"/>
  <c r="BI131" i="1"/>
  <c r="AC131" i="1" s="1"/>
  <c r="BC129" i="1"/>
  <c r="AV129" i="1"/>
  <c r="BI127" i="1"/>
  <c r="AC127" i="1" s="1"/>
  <c r="I120" i="1"/>
  <c r="AW120" i="1"/>
  <c r="I113" i="1"/>
  <c r="AW113" i="1"/>
  <c r="AV112" i="1"/>
  <c r="J108" i="1"/>
  <c r="F29" i="2" s="1"/>
  <c r="I81" i="1"/>
  <c r="AW81" i="1"/>
  <c r="BH81" i="1"/>
  <c r="AB81" i="1" s="1"/>
  <c r="J68" i="1"/>
  <c r="AX68" i="1"/>
  <c r="BI68" i="1"/>
  <c r="AC68" i="1" s="1"/>
  <c r="AS65" i="1"/>
  <c r="BC66" i="1"/>
  <c r="AV66" i="1"/>
  <c r="K65" i="1"/>
  <c r="G23" i="2" s="1"/>
  <c r="I23" i="2" s="1"/>
  <c r="AK140" i="1"/>
  <c r="AT139" i="1" s="1"/>
  <c r="AU108" i="1"/>
  <c r="J107" i="1"/>
  <c r="AX107" i="1"/>
  <c r="BC107" i="1" s="1"/>
  <c r="I104" i="1"/>
  <c r="I100" i="1" s="1"/>
  <c r="E28" i="2" s="1"/>
  <c r="AW104" i="1"/>
  <c r="K100" i="1"/>
  <c r="G28" i="2" s="1"/>
  <c r="I28" i="2" s="1"/>
  <c r="BC86" i="1"/>
  <c r="AV86" i="1"/>
  <c r="J80" i="1"/>
  <c r="AX80" i="1"/>
  <c r="BC80" i="1" s="1"/>
  <c r="I75" i="1"/>
  <c r="AW75" i="1"/>
  <c r="BC63" i="1"/>
  <c r="AV63" i="1"/>
  <c r="J103" i="1"/>
  <c r="AX103" i="1"/>
  <c r="BC103" i="1" s="1"/>
  <c r="BC98" i="1"/>
  <c r="AV98" i="1"/>
  <c r="AT97" i="1"/>
  <c r="I94" i="1"/>
  <c r="E26" i="2" s="1"/>
  <c r="BC92" i="1"/>
  <c r="AV92" i="1"/>
  <c r="AT91" i="1"/>
  <c r="BC82" i="1"/>
  <c r="AV82" i="1"/>
  <c r="J73" i="1"/>
  <c r="AX73" i="1"/>
  <c r="BC70" i="1"/>
  <c r="AV70" i="1"/>
  <c r="I62" i="1"/>
  <c r="I58" i="1" s="1"/>
  <c r="E22" i="2" s="1"/>
  <c r="AW62" i="1"/>
  <c r="BC105" i="1"/>
  <c r="AV105" i="1"/>
  <c r="AU100" i="1"/>
  <c r="J88" i="1"/>
  <c r="AX88" i="1"/>
  <c r="BC88" i="1" s="1"/>
  <c r="I85" i="1"/>
  <c r="AW85" i="1"/>
  <c r="BI80" i="1"/>
  <c r="AC80" i="1" s="1"/>
  <c r="BC77" i="1"/>
  <c r="AV77" i="1"/>
  <c r="I69" i="1"/>
  <c r="AW69" i="1"/>
  <c r="AU65" i="1"/>
  <c r="J61" i="1"/>
  <c r="J58" i="1" s="1"/>
  <c r="F22" i="2" s="1"/>
  <c r="AX61" i="1"/>
  <c r="AK66" i="1"/>
  <c r="AT65" i="1" s="1"/>
  <c r="I55" i="1"/>
  <c r="E21" i="2" s="1"/>
  <c r="I45" i="1"/>
  <c r="E19" i="2" s="1"/>
  <c r="I42" i="1"/>
  <c r="E18" i="2" s="1"/>
  <c r="I39" i="1"/>
  <c r="E17" i="2" s="1"/>
  <c r="AV35" i="1"/>
  <c r="I22" i="1"/>
  <c r="E13" i="2" s="1"/>
  <c r="AU58" i="1"/>
  <c r="BC57" i="1"/>
  <c r="AV57" i="1"/>
  <c r="J51" i="1"/>
  <c r="F20" i="2" s="1"/>
  <c r="BC44" i="1"/>
  <c r="AV44" i="1"/>
  <c r="BC41" i="1"/>
  <c r="AV41" i="1"/>
  <c r="BC28" i="1"/>
  <c r="AT58" i="1"/>
  <c r="K58" i="1"/>
  <c r="G22" i="2" s="1"/>
  <c r="I22" i="2" s="1"/>
  <c r="AV53" i="1"/>
  <c r="I51" i="1"/>
  <c r="E20" i="2" s="1"/>
  <c r="BC25" i="1"/>
  <c r="AV25" i="1"/>
  <c r="BC16" i="1"/>
  <c r="AV16" i="1"/>
  <c r="AT12" i="1"/>
  <c r="J57" i="1"/>
  <c r="J55" i="1" s="1"/>
  <c r="F21" i="2" s="1"/>
  <c r="AX56" i="1"/>
  <c r="AW54" i="1"/>
  <c r="AX53" i="1"/>
  <c r="BC53" i="1" s="1"/>
  <c r="AX50" i="1"/>
  <c r="AV50" i="1" s="1"/>
  <c r="J44" i="1"/>
  <c r="J42" i="1" s="1"/>
  <c r="F18" i="2" s="1"/>
  <c r="AX43" i="1"/>
  <c r="BC43" i="1" s="1"/>
  <c r="J41" i="1"/>
  <c r="J39" i="1" s="1"/>
  <c r="F17" i="2" s="1"/>
  <c r="I36" i="1"/>
  <c r="I31" i="1" s="1"/>
  <c r="E15" i="2" s="1"/>
  <c r="J35" i="1"/>
  <c r="J31" i="1" s="1"/>
  <c r="F15" i="2" s="1"/>
  <c r="AX34" i="1"/>
  <c r="AV34" i="1" s="1"/>
  <c r="AV32" i="1"/>
  <c r="J28" i="1"/>
  <c r="J27" i="1" s="1"/>
  <c r="F14" i="2" s="1"/>
  <c r="J25" i="1"/>
  <c r="J22" i="1" s="1"/>
  <c r="F13" i="2" s="1"/>
  <c r="J19" i="1"/>
  <c r="I16" i="1"/>
  <c r="I12" i="1" s="1"/>
  <c r="E11" i="2" s="1"/>
  <c r="J15" i="1"/>
  <c r="AX14" i="1"/>
  <c r="BC13" i="1"/>
  <c r="AX49" i="1"/>
  <c r="BC49" i="1" s="1"/>
  <c r="AW40" i="1"/>
  <c r="AV38" i="1"/>
  <c r="AX33" i="1"/>
  <c r="BC33" i="1" s="1"/>
  <c r="AV28" i="1"/>
  <c r="AX23" i="1"/>
  <c r="BC23" i="1" s="1"/>
  <c r="AV19" i="1"/>
  <c r="AW18" i="1"/>
  <c r="AX17" i="1"/>
  <c r="AV17" i="1" s="1"/>
  <c r="AV59" i="1"/>
  <c r="AW52" i="1"/>
  <c r="AX48" i="1"/>
  <c r="BC48" i="1" s="1"/>
  <c r="AX36" i="1"/>
  <c r="AV36" i="1" s="1"/>
  <c r="AX26" i="1"/>
  <c r="BC26" i="1" s="1"/>
  <c r="AV24" i="1"/>
  <c r="AV21" i="1"/>
  <c r="BI614" i="1"/>
  <c r="AC614" i="1" s="1"/>
  <c r="AX614" i="1"/>
  <c r="BC614" i="1" s="1"/>
  <c r="G53" i="2"/>
  <c r="I53" i="2" s="1"/>
  <c r="AK614" i="1"/>
  <c r="I614" i="1"/>
  <c r="I613" i="1" s="1"/>
  <c r="E53" i="2" s="1"/>
  <c r="C29" i="4"/>
  <c r="F29" i="4" s="1"/>
  <c r="C27" i="4"/>
  <c r="AV14" i="1" l="1"/>
  <c r="I183" i="1"/>
  <c r="E36" i="2" s="1"/>
  <c r="J347" i="1"/>
  <c r="F41" i="2" s="1"/>
  <c r="BC524" i="1"/>
  <c r="AV511" i="1"/>
  <c r="AV146" i="1"/>
  <c r="AV396" i="1"/>
  <c r="I537" i="1"/>
  <c r="E52" i="2" s="1"/>
  <c r="AV84" i="1"/>
  <c r="J436" i="1"/>
  <c r="F44" i="2" s="1"/>
  <c r="J217" i="1"/>
  <c r="F38" i="2" s="1"/>
  <c r="BC301" i="1"/>
  <c r="AV519" i="1"/>
  <c r="J12" i="1"/>
  <c r="F11" i="2" s="1"/>
  <c r="AV43" i="1"/>
  <c r="BC90" i="1"/>
  <c r="BC141" i="1"/>
  <c r="BC406" i="1"/>
  <c r="I65" i="1"/>
  <c r="E23" i="2" s="1"/>
  <c r="J100" i="1"/>
  <c r="F28" i="2" s="1"/>
  <c r="G55" i="2"/>
  <c r="AV290" i="1"/>
  <c r="AV465" i="1"/>
  <c r="BC46" i="1"/>
  <c r="BC395" i="1"/>
  <c r="AV395" i="1"/>
  <c r="AV614" i="1"/>
  <c r="I139" i="1"/>
  <c r="E31" i="2" s="1"/>
  <c r="I371" i="1"/>
  <c r="E42" i="2" s="1"/>
  <c r="AV181" i="1"/>
  <c r="BC391" i="1"/>
  <c r="AV391" i="1"/>
  <c r="BC414" i="1"/>
  <c r="AV414" i="1"/>
  <c r="J119" i="1"/>
  <c r="F30" i="2" s="1"/>
  <c r="J139" i="1"/>
  <c r="F31" i="2" s="1"/>
  <c r="BC188" i="1"/>
  <c r="J371" i="1"/>
  <c r="F42" i="2" s="1"/>
  <c r="J449" i="1"/>
  <c r="F45" i="2" s="1"/>
  <c r="BC500" i="1"/>
  <c r="BC460" i="1"/>
  <c r="AV460" i="1"/>
  <c r="BC452" i="1"/>
  <c r="AV452" i="1"/>
  <c r="AV529" i="1"/>
  <c r="I436" i="1"/>
  <c r="E44" i="2" s="1"/>
  <c r="BC79" i="1"/>
  <c r="BC87" i="1"/>
  <c r="AV71" i="1"/>
  <c r="BC122" i="1"/>
  <c r="AV122" i="1"/>
  <c r="BC126" i="1"/>
  <c r="AV126" i="1"/>
  <c r="BC145" i="1"/>
  <c r="AV145" i="1"/>
  <c r="BC289" i="1"/>
  <c r="AV289" i="1"/>
  <c r="BC215" i="1"/>
  <c r="AV215" i="1"/>
  <c r="BC422" i="1"/>
  <c r="AV422" i="1"/>
  <c r="BC507" i="1"/>
  <c r="AV507" i="1"/>
  <c r="AV48" i="1"/>
  <c r="AV49" i="1"/>
  <c r="AV80" i="1"/>
  <c r="I192" i="1"/>
  <c r="E37" i="2" s="1"/>
  <c r="BC153" i="1"/>
  <c r="I159" i="1"/>
  <c r="E33" i="2" s="1"/>
  <c r="J192" i="1"/>
  <c r="F37" i="2" s="1"/>
  <c r="I503" i="1"/>
  <c r="E50" i="2" s="1"/>
  <c r="BC539" i="1"/>
  <c r="J537" i="1"/>
  <c r="F52" i="2" s="1"/>
  <c r="BC30" i="1"/>
  <c r="AV30" i="1"/>
  <c r="BC96" i="1"/>
  <c r="AV301" i="1"/>
  <c r="BC437" i="1"/>
  <c r="AV437" i="1"/>
  <c r="BC493" i="1"/>
  <c r="AV493" i="1"/>
  <c r="AV378" i="1"/>
  <c r="BC17" i="1"/>
  <c r="AV23" i="1"/>
  <c r="J65" i="1"/>
  <c r="F23" i="2" s="1"/>
  <c r="BC167" i="1"/>
  <c r="I244" i="1"/>
  <c r="E39" i="2" s="1"/>
  <c r="J321" i="1"/>
  <c r="F40" i="2" s="1"/>
  <c r="I400" i="1"/>
  <c r="E43" i="2" s="1"/>
  <c r="C16" i="4"/>
  <c r="BC595" i="1"/>
  <c r="BC60" i="1"/>
  <c r="AV60" i="1"/>
  <c r="BC64" i="1"/>
  <c r="AV64" i="1"/>
  <c r="BC67" i="1"/>
  <c r="AV67" i="1"/>
  <c r="BC211" i="1"/>
  <c r="AV211" i="1"/>
  <c r="BC285" i="1"/>
  <c r="AV285" i="1"/>
  <c r="BC410" i="1"/>
  <c r="AV410" i="1"/>
  <c r="I534" i="1"/>
  <c r="E51" i="2" s="1"/>
  <c r="BC515" i="1"/>
  <c r="AV515" i="1"/>
  <c r="AV426" i="1"/>
  <c r="C15" i="4"/>
  <c r="C14" i="4"/>
  <c r="I119" i="1"/>
  <c r="E30" i="2" s="1"/>
  <c r="AV123" i="1"/>
  <c r="BC234" i="1"/>
  <c r="I321" i="1"/>
  <c r="E40" i="2" s="1"/>
  <c r="J244" i="1"/>
  <c r="F39" i="2" s="1"/>
  <c r="I474" i="1"/>
  <c r="E47" i="2" s="1"/>
  <c r="I217" i="1"/>
  <c r="E38" i="2" s="1"/>
  <c r="J400" i="1"/>
  <c r="F43" i="2" s="1"/>
  <c r="AV438" i="1"/>
  <c r="BC536" i="1"/>
  <c r="BC29" i="1"/>
  <c r="AV29" i="1"/>
  <c r="BC277" i="1"/>
  <c r="AV277" i="1"/>
  <c r="BC380" i="1"/>
  <c r="AV380" i="1"/>
  <c r="BC523" i="1"/>
  <c r="AV523" i="1"/>
  <c r="BD14" i="38"/>
  <c r="AO14" i="38"/>
  <c r="BJ14" i="38"/>
  <c r="AP14" i="38"/>
  <c r="J14" i="38"/>
  <c r="AK14" i="38" s="1"/>
  <c r="AP20" i="38"/>
  <c r="J20" i="38"/>
  <c r="AK20" i="38" s="1"/>
  <c r="BD20" i="38"/>
  <c r="AO20" i="38"/>
  <c r="BJ20" i="38"/>
  <c r="I19" i="38"/>
  <c r="BI19" i="38"/>
  <c r="AC19" i="38" s="1"/>
  <c r="AX19" i="38"/>
  <c r="AW19" i="38"/>
  <c r="H19" i="38"/>
  <c r="BH19" i="38"/>
  <c r="AB19" i="38" s="1"/>
  <c r="BJ18" i="38"/>
  <c r="AP18" i="38"/>
  <c r="AO18" i="38"/>
  <c r="BD18" i="38"/>
  <c r="J18" i="38"/>
  <c r="AK18" i="38" s="1"/>
  <c r="I29" i="17"/>
  <c r="AO17" i="38"/>
  <c r="BJ17" i="38"/>
  <c r="BD17" i="38"/>
  <c r="AP17" i="38"/>
  <c r="J17" i="38"/>
  <c r="AK17" i="38" s="1"/>
  <c r="G16" i="38"/>
  <c r="BJ16" i="38" s="1"/>
  <c r="AO15" i="38"/>
  <c r="AP15" i="38"/>
  <c r="J15" i="38"/>
  <c r="AK15" i="38" s="1"/>
  <c r="BD15" i="38"/>
  <c r="BJ15" i="38"/>
  <c r="AO21" i="38"/>
  <c r="J21" i="38"/>
  <c r="BD21" i="38"/>
  <c r="BJ21" i="38"/>
  <c r="AP21" i="38"/>
  <c r="I29" i="21"/>
  <c r="I29" i="9"/>
  <c r="I29" i="5"/>
  <c r="BC104" i="1"/>
  <c r="AV104" i="1"/>
  <c r="AV182" i="1"/>
  <c r="BC182" i="1"/>
  <c r="AV200" i="1"/>
  <c r="BC200" i="1"/>
  <c r="I108" i="1"/>
  <c r="E29" i="2" s="1"/>
  <c r="AV231" i="1"/>
  <c r="BC231" i="1"/>
  <c r="AV262" i="1"/>
  <c r="BC262" i="1"/>
  <c r="BC173" i="1"/>
  <c r="AV173" i="1"/>
  <c r="BC267" i="1"/>
  <c r="AV267" i="1"/>
  <c r="BC291" i="1"/>
  <c r="AV291" i="1"/>
  <c r="AV324" i="1"/>
  <c r="BC324" i="1"/>
  <c r="AV340" i="1"/>
  <c r="BC340" i="1"/>
  <c r="AV359" i="1"/>
  <c r="BC359" i="1"/>
  <c r="BC169" i="1"/>
  <c r="AV169" i="1"/>
  <c r="AV278" i="1"/>
  <c r="BC278" i="1"/>
  <c r="BC352" i="1"/>
  <c r="AV352" i="1"/>
  <c r="AV419" i="1"/>
  <c r="BC419" i="1"/>
  <c r="BC513" i="1"/>
  <c r="AV513" i="1"/>
  <c r="BC607" i="1"/>
  <c r="AV607" i="1"/>
  <c r="BC618" i="1"/>
  <c r="AV618" i="1"/>
  <c r="BC397" i="1"/>
  <c r="AV397" i="1"/>
  <c r="AV403" i="1"/>
  <c r="BC403" i="1"/>
  <c r="BC424" i="1"/>
  <c r="AV424" i="1"/>
  <c r="BC498" i="1"/>
  <c r="AV498" i="1"/>
  <c r="BC502" i="1"/>
  <c r="AV502" i="1"/>
  <c r="BC527" i="1"/>
  <c r="AV527" i="1"/>
  <c r="BC458" i="1"/>
  <c r="AV458" i="1"/>
  <c r="BC577" i="1"/>
  <c r="AV577" i="1"/>
  <c r="BC541" i="1"/>
  <c r="AV541" i="1"/>
  <c r="BC408" i="1"/>
  <c r="AV408" i="1"/>
  <c r="BC531" i="1"/>
  <c r="AV531" i="1"/>
  <c r="BC443" i="1"/>
  <c r="AV443" i="1"/>
  <c r="BC40" i="1"/>
  <c r="AV40" i="1"/>
  <c r="AV33" i="1"/>
  <c r="BC85" i="1"/>
  <c r="AV85" i="1"/>
  <c r="AV73" i="1"/>
  <c r="BC73" i="1"/>
  <c r="AV88" i="1"/>
  <c r="BC136" i="1"/>
  <c r="AV136" i="1"/>
  <c r="BC147" i="1"/>
  <c r="AV147" i="1"/>
  <c r="AV164" i="1"/>
  <c r="BC164" i="1"/>
  <c r="AV172" i="1"/>
  <c r="BC172" i="1"/>
  <c r="BC195" i="1"/>
  <c r="AV195" i="1"/>
  <c r="BC124" i="1"/>
  <c r="AV124" i="1"/>
  <c r="BC171" i="1"/>
  <c r="BC197" i="1"/>
  <c r="AV197" i="1"/>
  <c r="BC228" i="1"/>
  <c r="AV228" i="1"/>
  <c r="BC230" i="1"/>
  <c r="AV230" i="1"/>
  <c r="BC155" i="1"/>
  <c r="AV155" i="1"/>
  <c r="BC158" i="1"/>
  <c r="AV158" i="1"/>
  <c r="AV212" i="1"/>
  <c r="BC212" i="1"/>
  <c r="BC265" i="1"/>
  <c r="AV265" i="1"/>
  <c r="AV107" i="1"/>
  <c r="BC186" i="1"/>
  <c r="AV186" i="1"/>
  <c r="AV208" i="1"/>
  <c r="BC224" i="1"/>
  <c r="AV224" i="1"/>
  <c r="BC249" i="1"/>
  <c r="BC151" i="1"/>
  <c r="AV151" i="1"/>
  <c r="BC251" i="1"/>
  <c r="AV251" i="1"/>
  <c r="BC259" i="1"/>
  <c r="AV259" i="1"/>
  <c r="AV309" i="1"/>
  <c r="BC309" i="1"/>
  <c r="AV317" i="1"/>
  <c r="BC317" i="1"/>
  <c r="BC327" i="1"/>
  <c r="AV327" i="1"/>
  <c r="BC335" i="1"/>
  <c r="AV335" i="1"/>
  <c r="BC343" i="1"/>
  <c r="AV343" i="1"/>
  <c r="BC354" i="1"/>
  <c r="AV354" i="1"/>
  <c r="BC362" i="1"/>
  <c r="AV362" i="1"/>
  <c r="BC370" i="1"/>
  <c r="AV370" i="1"/>
  <c r="BC238" i="1"/>
  <c r="BC329" i="1"/>
  <c r="AV329" i="1"/>
  <c r="BC375" i="1"/>
  <c r="AV375" i="1"/>
  <c r="J159" i="1"/>
  <c r="F33" i="2" s="1"/>
  <c r="BC275" i="1"/>
  <c r="AV275" i="1"/>
  <c r="BC299" i="1"/>
  <c r="AV299" i="1"/>
  <c r="BC341" i="1"/>
  <c r="AV341" i="1"/>
  <c r="AV294" i="1"/>
  <c r="BC364" i="1"/>
  <c r="AV364" i="1"/>
  <c r="BC392" i="1"/>
  <c r="BC428" i="1"/>
  <c r="AV428" i="1"/>
  <c r="AV435" i="1"/>
  <c r="BC484" i="1"/>
  <c r="AV484" i="1"/>
  <c r="BC325" i="1"/>
  <c r="AV325" i="1"/>
  <c r="BC368" i="1"/>
  <c r="AV368" i="1"/>
  <c r="AV379" i="1"/>
  <c r="BC379" i="1"/>
  <c r="AV469" i="1"/>
  <c r="BC469" i="1"/>
  <c r="AV526" i="1"/>
  <c r="BC526" i="1"/>
  <c r="AV544" i="1"/>
  <c r="BC544" i="1"/>
  <c r="AV552" i="1"/>
  <c r="BC552" i="1"/>
  <c r="AV560" i="1"/>
  <c r="BC560" i="1"/>
  <c r="AV568" i="1"/>
  <c r="BC568" i="1"/>
  <c r="AV576" i="1"/>
  <c r="BC576" i="1"/>
  <c r="AV584" i="1"/>
  <c r="BC584" i="1"/>
  <c r="AV592" i="1"/>
  <c r="BC592" i="1"/>
  <c r="AV600" i="1"/>
  <c r="BC600" i="1"/>
  <c r="AV608" i="1"/>
  <c r="BC608" i="1"/>
  <c r="AV619" i="1"/>
  <c r="BC619" i="1"/>
  <c r="AV204" i="1"/>
  <c r="BC306" i="1"/>
  <c r="AV306" i="1"/>
  <c r="AV442" i="1"/>
  <c r="AV475" i="1"/>
  <c r="BC475" i="1"/>
  <c r="AV479" i="1"/>
  <c r="BC479" i="1"/>
  <c r="BC473" i="1"/>
  <c r="AV473" i="1"/>
  <c r="BC616" i="1"/>
  <c r="AV616" i="1"/>
  <c r="BC620" i="1"/>
  <c r="AV620" i="1"/>
  <c r="AV26" i="1"/>
  <c r="BC549" i="1"/>
  <c r="AV549" i="1"/>
  <c r="BC563" i="1"/>
  <c r="BC579" i="1"/>
  <c r="BC597" i="1"/>
  <c r="AV597" i="1"/>
  <c r="BC385" i="1"/>
  <c r="AV385" i="1"/>
  <c r="BC517" i="1"/>
  <c r="AV517" i="1"/>
  <c r="BC543" i="1"/>
  <c r="BC551" i="1"/>
  <c r="BC559" i="1"/>
  <c r="BC569" i="1"/>
  <c r="AV569" i="1"/>
  <c r="BC599" i="1"/>
  <c r="BC605" i="1"/>
  <c r="AV605" i="1"/>
  <c r="BC609" i="1"/>
  <c r="AV609" i="1"/>
  <c r="BC565" i="1"/>
  <c r="AV565" i="1"/>
  <c r="BC388" i="1"/>
  <c r="AV453" i="1"/>
  <c r="AV494" i="1"/>
  <c r="BC494" i="1"/>
  <c r="BC603" i="1"/>
  <c r="AV571" i="1"/>
  <c r="AV52" i="1"/>
  <c r="BC52" i="1"/>
  <c r="AV61" i="1"/>
  <c r="BC61" i="1"/>
  <c r="AV189" i="1"/>
  <c r="BC189" i="1"/>
  <c r="BC143" i="1"/>
  <c r="AV143" i="1"/>
  <c r="AV227" i="1"/>
  <c r="BC227" i="1"/>
  <c r="AV254" i="1"/>
  <c r="BC254" i="1"/>
  <c r="BC279" i="1"/>
  <c r="AV279" i="1"/>
  <c r="BC316" i="1"/>
  <c r="AV316" i="1"/>
  <c r="AV332" i="1"/>
  <c r="BC332" i="1"/>
  <c r="AV351" i="1"/>
  <c r="BC351" i="1"/>
  <c r="AV367" i="1"/>
  <c r="BC367" i="1"/>
  <c r="BC271" i="1"/>
  <c r="AV271" i="1"/>
  <c r="BC360" i="1"/>
  <c r="AV360" i="1"/>
  <c r="BC404" i="1"/>
  <c r="AV404" i="1"/>
  <c r="BC420" i="1"/>
  <c r="AV420" i="1"/>
  <c r="BC447" i="1"/>
  <c r="AV447" i="1"/>
  <c r="BC454" i="1"/>
  <c r="AV454" i="1"/>
  <c r="BC480" i="1"/>
  <c r="AV480" i="1"/>
  <c r="AV501" i="1"/>
  <c r="BC501" i="1"/>
  <c r="BC509" i="1"/>
  <c r="AV509" i="1"/>
  <c r="BC567" i="1"/>
  <c r="BC54" i="1"/>
  <c r="AV54" i="1"/>
  <c r="BC50" i="1"/>
  <c r="BC81" i="1"/>
  <c r="AV81" i="1"/>
  <c r="BC113" i="1"/>
  <c r="AV113" i="1"/>
  <c r="AV142" i="1"/>
  <c r="BC142" i="1"/>
  <c r="AV154" i="1"/>
  <c r="BC154" i="1"/>
  <c r="AV185" i="1"/>
  <c r="BC185" i="1"/>
  <c r="AV196" i="1"/>
  <c r="BC196" i="1"/>
  <c r="AV116" i="1"/>
  <c r="AV163" i="1"/>
  <c r="BC205" i="1"/>
  <c r="AV205" i="1"/>
  <c r="AV223" i="1"/>
  <c r="BC223" i="1"/>
  <c r="AV235" i="1"/>
  <c r="BC235" i="1"/>
  <c r="AV243" i="1"/>
  <c r="BC243" i="1"/>
  <c r="AV250" i="1"/>
  <c r="BC250" i="1"/>
  <c r="AV258" i="1"/>
  <c r="BC258" i="1"/>
  <c r="AV266" i="1"/>
  <c r="BC266" i="1"/>
  <c r="BC213" i="1"/>
  <c r="AV213" i="1"/>
  <c r="BC253" i="1"/>
  <c r="AV270" i="1"/>
  <c r="BC270" i="1"/>
  <c r="AV286" i="1"/>
  <c r="BC286" i="1"/>
  <c r="BC304" i="1"/>
  <c r="AV304" i="1"/>
  <c r="BC320" i="1"/>
  <c r="AV320" i="1"/>
  <c r="AV328" i="1"/>
  <c r="BC328" i="1"/>
  <c r="AV336" i="1"/>
  <c r="BC336" i="1"/>
  <c r="AV344" i="1"/>
  <c r="BC344" i="1"/>
  <c r="AV355" i="1"/>
  <c r="BC355" i="1"/>
  <c r="AV363" i="1"/>
  <c r="BC363" i="1"/>
  <c r="BC373" i="1"/>
  <c r="AV373" i="1"/>
  <c r="AV175" i="1"/>
  <c r="BC242" i="1"/>
  <c r="BC283" i="1"/>
  <c r="AV283" i="1"/>
  <c r="BC287" i="1"/>
  <c r="AV287" i="1"/>
  <c r="AV298" i="1"/>
  <c r="BC232" i="1"/>
  <c r="AV232" i="1"/>
  <c r="BC356" i="1"/>
  <c r="AV356" i="1"/>
  <c r="BC209" i="1"/>
  <c r="AV209" i="1"/>
  <c r="BC318" i="1"/>
  <c r="AV318" i="1"/>
  <c r="BC348" i="1"/>
  <c r="AV348" i="1"/>
  <c r="BC393" i="1"/>
  <c r="AV393" i="1"/>
  <c r="BC402" i="1"/>
  <c r="BC488" i="1"/>
  <c r="AV488" i="1"/>
  <c r="AV512" i="1"/>
  <c r="BC512" i="1"/>
  <c r="BC412" i="1"/>
  <c r="AV412" i="1"/>
  <c r="AV423" i="1"/>
  <c r="BC450" i="1"/>
  <c r="AV450" i="1"/>
  <c r="AV504" i="1"/>
  <c r="BC504" i="1"/>
  <c r="BC611" i="1"/>
  <c r="AV611" i="1"/>
  <c r="BC236" i="1"/>
  <c r="AV236" i="1"/>
  <c r="AV407" i="1"/>
  <c r="AV431" i="1"/>
  <c r="BC466" i="1"/>
  <c r="AV466" i="1"/>
  <c r="J474" i="1"/>
  <c r="F47" i="2" s="1"/>
  <c r="BC416" i="1"/>
  <c r="AV416" i="1"/>
  <c r="AV490" i="1"/>
  <c r="BC490" i="1"/>
  <c r="BC432" i="1"/>
  <c r="AV432" i="1"/>
  <c r="AV411" i="1"/>
  <c r="BC411" i="1"/>
  <c r="AV446" i="1"/>
  <c r="BC545" i="1"/>
  <c r="AV545" i="1"/>
  <c r="AV547" i="1"/>
  <c r="BC553" i="1"/>
  <c r="AV553" i="1"/>
  <c r="AV555" i="1"/>
  <c r="BC561" i="1"/>
  <c r="AV561" i="1"/>
  <c r="BC583" i="1"/>
  <c r="BC591" i="1"/>
  <c r="BC601" i="1"/>
  <c r="AV601" i="1"/>
  <c r="AV427" i="1"/>
  <c r="BC581" i="1"/>
  <c r="AV581" i="1"/>
  <c r="BC587" i="1"/>
  <c r="BC36" i="1"/>
  <c r="BC62" i="1"/>
  <c r="AV62" i="1"/>
  <c r="BC75" i="1"/>
  <c r="AV75" i="1"/>
  <c r="BC120" i="1"/>
  <c r="AV120" i="1"/>
  <c r="BC128" i="1"/>
  <c r="AV128" i="1"/>
  <c r="AV229" i="1"/>
  <c r="BC229" i="1"/>
  <c r="BC132" i="1"/>
  <c r="AV132" i="1"/>
  <c r="AV219" i="1"/>
  <c r="BC219" i="1"/>
  <c r="AV239" i="1"/>
  <c r="BC239" i="1"/>
  <c r="AV246" i="1"/>
  <c r="BC246" i="1"/>
  <c r="BC295" i="1"/>
  <c r="AV295" i="1"/>
  <c r="BC308" i="1"/>
  <c r="AV308" i="1"/>
  <c r="BC337" i="1"/>
  <c r="AV337" i="1"/>
  <c r="K621" i="1"/>
  <c r="BC18" i="1"/>
  <c r="AV18" i="1"/>
  <c r="BC56" i="1"/>
  <c r="AV56" i="1"/>
  <c r="BC34" i="1"/>
  <c r="BC14" i="1"/>
  <c r="BC69" i="1"/>
  <c r="AV69" i="1"/>
  <c r="AV103" i="1"/>
  <c r="AV68" i="1"/>
  <c r="BC68" i="1"/>
  <c r="AV160" i="1"/>
  <c r="BC160" i="1"/>
  <c r="AV168" i="1"/>
  <c r="BC168" i="1"/>
  <c r="BC199" i="1"/>
  <c r="AV199" i="1"/>
  <c r="BC117" i="1"/>
  <c r="AV117" i="1"/>
  <c r="BC165" i="1"/>
  <c r="AV165" i="1"/>
  <c r="BC193" i="1"/>
  <c r="AV193" i="1"/>
  <c r="BC109" i="1"/>
  <c r="AV109" i="1"/>
  <c r="BC161" i="1"/>
  <c r="AV161" i="1"/>
  <c r="BC184" i="1"/>
  <c r="BC201" i="1"/>
  <c r="AV201" i="1"/>
  <c r="AV216" i="1"/>
  <c r="BC216" i="1"/>
  <c r="BC261" i="1"/>
  <c r="AV261" i="1"/>
  <c r="BC269" i="1"/>
  <c r="AV269" i="1"/>
  <c r="AV127" i="1"/>
  <c r="BC190" i="1"/>
  <c r="AV190" i="1"/>
  <c r="AV131" i="1"/>
  <c r="BC245" i="1"/>
  <c r="BC257" i="1"/>
  <c r="BC247" i="1"/>
  <c r="AV247" i="1"/>
  <c r="BC255" i="1"/>
  <c r="AV255" i="1"/>
  <c r="AV282" i="1"/>
  <c r="AV305" i="1"/>
  <c r="BC305" i="1"/>
  <c r="AV313" i="1"/>
  <c r="BC313" i="1"/>
  <c r="BC323" i="1"/>
  <c r="AV323" i="1"/>
  <c r="BC331" i="1"/>
  <c r="AV331" i="1"/>
  <c r="BC339" i="1"/>
  <c r="AV339" i="1"/>
  <c r="BC358" i="1"/>
  <c r="AV358" i="1"/>
  <c r="BC366" i="1"/>
  <c r="AV366" i="1"/>
  <c r="AV374" i="1"/>
  <c r="BC374" i="1"/>
  <c r="AV274" i="1"/>
  <c r="BC263" i="1"/>
  <c r="AV263" i="1"/>
  <c r="BC310" i="1"/>
  <c r="AV310" i="1"/>
  <c r="BC333" i="1"/>
  <c r="AV333" i="1"/>
  <c r="BC314" i="1"/>
  <c r="AV314" i="1"/>
  <c r="BC350" i="1"/>
  <c r="BC418" i="1"/>
  <c r="AV418" i="1"/>
  <c r="BC240" i="1"/>
  <c r="AV240" i="1"/>
  <c r="BC302" i="1"/>
  <c r="AV302" i="1"/>
  <c r="BC312" i="1"/>
  <c r="I347" i="1"/>
  <c r="E41" i="2" s="1"/>
  <c r="BC462" i="1"/>
  <c r="AV462" i="1"/>
  <c r="BC476" i="1"/>
  <c r="AV476" i="1"/>
  <c r="BC376" i="1"/>
  <c r="AV376" i="1"/>
  <c r="AV377" i="1"/>
  <c r="BC377" i="1"/>
  <c r="BC389" i="1"/>
  <c r="AV389" i="1"/>
  <c r="I449" i="1"/>
  <c r="E45" i="2" s="1"/>
  <c r="BC491" i="1"/>
  <c r="AV491" i="1"/>
  <c r="BC495" i="1"/>
  <c r="AV495" i="1"/>
  <c r="J503" i="1"/>
  <c r="F50" i="2" s="1"/>
  <c r="AV530" i="1"/>
  <c r="BC530" i="1"/>
  <c r="AV540" i="1"/>
  <c r="BC540" i="1"/>
  <c r="AV548" i="1"/>
  <c r="BC548" i="1"/>
  <c r="AV556" i="1"/>
  <c r="BC556" i="1"/>
  <c r="AV564" i="1"/>
  <c r="BC564" i="1"/>
  <c r="AV572" i="1"/>
  <c r="BC572" i="1"/>
  <c r="AV580" i="1"/>
  <c r="BC580" i="1"/>
  <c r="AV588" i="1"/>
  <c r="BC588" i="1"/>
  <c r="AV596" i="1"/>
  <c r="BC596" i="1"/>
  <c r="AV604" i="1"/>
  <c r="BC604" i="1"/>
  <c r="AV612" i="1"/>
  <c r="BC612" i="1"/>
  <c r="AV615" i="1"/>
  <c r="BC615" i="1"/>
  <c r="BC179" i="1"/>
  <c r="AV179" i="1"/>
  <c r="BC220" i="1"/>
  <c r="AV220" i="1"/>
  <c r="AV415" i="1"/>
  <c r="AV457" i="1"/>
  <c r="AV472" i="1"/>
  <c r="AV483" i="1"/>
  <c r="BC483" i="1"/>
  <c r="BC505" i="1"/>
  <c r="AV505" i="1"/>
  <c r="AV516" i="1"/>
  <c r="BC516" i="1"/>
  <c r="AV487" i="1"/>
  <c r="BC525" i="1"/>
  <c r="BC533" i="1"/>
  <c r="BC557" i="1"/>
  <c r="AV557" i="1"/>
  <c r="BC573" i="1"/>
  <c r="AV573" i="1"/>
  <c r="BC575" i="1"/>
  <c r="BC585" i="1"/>
  <c r="AV585" i="1"/>
  <c r="BC593" i="1"/>
  <c r="AV593" i="1"/>
  <c r="AV461" i="1"/>
  <c r="BC589" i="1"/>
  <c r="AV589" i="1"/>
  <c r="BC345" i="1"/>
  <c r="AV345" i="1"/>
  <c r="BC439" i="1"/>
  <c r="AV439" i="1"/>
  <c r="C28" i="4"/>
  <c r="F28" i="4" s="1"/>
  <c r="AT613" i="1"/>
  <c r="I29" i="4" l="1"/>
  <c r="C22" i="4"/>
  <c r="I14" i="38"/>
  <c r="BI14" i="38"/>
  <c r="AC14" i="38" s="1"/>
  <c r="AX14" i="38"/>
  <c r="H14" i="38"/>
  <c r="AW14" i="38"/>
  <c r="BH14" i="38"/>
  <c r="AB14" i="38" s="1"/>
  <c r="H20" i="38"/>
  <c r="BH20" i="38"/>
  <c r="AB20" i="38" s="1"/>
  <c r="AW20" i="38"/>
  <c r="I20" i="38"/>
  <c r="BI20" i="38"/>
  <c r="AC20" i="38" s="1"/>
  <c r="AX20" i="38"/>
  <c r="AV19" i="38"/>
  <c r="BC19" i="38"/>
  <c r="H18" i="38"/>
  <c r="AW18" i="38"/>
  <c r="BH18" i="38"/>
  <c r="AB18" i="38" s="1"/>
  <c r="BI18" i="38"/>
  <c r="AC18" i="38" s="1"/>
  <c r="AX18" i="38"/>
  <c r="I18" i="38"/>
  <c r="AX17" i="38"/>
  <c r="BI17" i="38"/>
  <c r="AC17" i="38" s="1"/>
  <c r="I17" i="38"/>
  <c r="AW17" i="38"/>
  <c r="H17" i="38"/>
  <c r="BH17" i="38"/>
  <c r="AB17" i="38" s="1"/>
  <c r="J16" i="38"/>
  <c r="AK16" i="38" s="1"/>
  <c r="AP16" i="38"/>
  <c r="BI16" i="38" s="1"/>
  <c r="AC16" i="38" s="1"/>
  <c r="AO16" i="38"/>
  <c r="BH16" i="38" s="1"/>
  <c r="AB16" i="38" s="1"/>
  <c r="BD16" i="38"/>
  <c r="I15" i="38"/>
  <c r="BI15" i="38"/>
  <c r="AC15" i="38" s="1"/>
  <c r="AX15" i="38"/>
  <c r="AW15" i="38"/>
  <c r="BH15" i="38"/>
  <c r="AB15" i="38" s="1"/>
  <c r="H15" i="38"/>
  <c r="AK21" i="38"/>
  <c r="AX21" i="38"/>
  <c r="BI21" i="38"/>
  <c r="AC21" i="38" s="1"/>
  <c r="I21" i="38"/>
  <c r="AW21" i="38"/>
  <c r="H21" i="38"/>
  <c r="BH21" i="38"/>
  <c r="AB21" i="38" s="1"/>
  <c r="I28" i="4"/>
  <c r="BC17" i="38" l="1"/>
  <c r="G13" i="38"/>
  <c r="BC14" i="38"/>
  <c r="AV14" i="38"/>
  <c r="BC20" i="38"/>
  <c r="AV20" i="38"/>
  <c r="AV18" i="38"/>
  <c r="BC18" i="38"/>
  <c r="AV17" i="38"/>
  <c r="BC15" i="38"/>
  <c r="I16" i="38"/>
  <c r="AX16" i="38"/>
  <c r="H16" i="38"/>
  <c r="AW16" i="38"/>
  <c r="AV15" i="38"/>
  <c r="BC21" i="38"/>
  <c r="AV21" i="38"/>
  <c r="AO13" i="38" l="1"/>
  <c r="BJ13" i="38"/>
  <c r="J13" i="38"/>
  <c r="AP13" i="38"/>
  <c r="BD13" i="38"/>
  <c r="AV16" i="38"/>
  <c r="BC16" i="38"/>
  <c r="AW13" i="38" l="1"/>
  <c r="BH13" i="38"/>
  <c r="AB13" i="38" s="1"/>
  <c r="H13" i="38"/>
  <c r="H12" i="38" s="1"/>
  <c r="AK13" i="38"/>
  <c r="AT12" i="38" s="1"/>
  <c r="J12" i="38"/>
  <c r="J22" i="38"/>
  <c r="J23" i="38" s="1"/>
  <c r="I13" i="38"/>
  <c r="I12" i="38" s="1"/>
  <c r="BI13" i="38"/>
  <c r="AC13" i="38" s="1"/>
  <c r="AX13" i="38"/>
  <c r="AV13" i="38" s="1"/>
  <c r="BC13" i="38" l="1"/>
</calcChain>
</file>

<file path=xl/sharedStrings.xml><?xml version="1.0" encoding="utf-8"?>
<sst xmlns="http://schemas.openxmlformats.org/spreadsheetml/2006/main" count="61013" uniqueCount="4666">
  <si>
    <t>Slepý stavební rozpočet</t>
  </si>
  <si>
    <t>Název stavby:</t>
  </si>
  <si>
    <t>Druh stavby:</t>
  </si>
  <si>
    <t>Lokalita:</t>
  </si>
  <si>
    <t>JKSO:</t>
  </si>
  <si>
    <t>Č</t>
  </si>
  <si>
    <t xml:space="preserve">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</si>
  <si>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</si>
  <si>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</si>
  <si>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</si>
  <si>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</si>
  <si>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</si>
  <si>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</si>
  <si>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</si>
  <si>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</si>
  <si>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</si>
  <si>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</si>
  <si>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</si>
  <si>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</si>
  <si>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</si>
  <si>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</si>
  <si>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</si>
  <si>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</si>
  <si>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</si>
  <si>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</si>
  <si>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</si>
  <si>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</si>
  <si>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</si>
  <si>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</si>
  <si>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</si>
  <si>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</si>
  <si>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</si>
  <si>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</si>
  <si>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</si>
  <si>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</si>
  <si>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</si>
  <si>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</si>
  <si>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</si>
  <si>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</si>
  <si>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</si>
  <si>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</si>
  <si>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</si>
  <si>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</si>
  <si>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</si>
  <si>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</si>
  <si>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</si>
  <si>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</si>
  <si>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</si>
  <si>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</si>
  <si>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</si>
  <si>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</si>
  <si>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</si>
  <si>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</si>
  <si>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</si>
  <si>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</si>
  <si>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</si>
  <si>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</si>
  <si>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</si>
  <si>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</si>
  <si>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</si>
  <si>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</si>
  <si>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</si>
  <si>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</si>
  <si>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</si>
  <si>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</si>
  <si>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</si>
  <si>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</si>
  <si>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</si>
  <si>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</si>
  <si>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</si>
  <si>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</si>
  <si>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</si>
  <si>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</si>
  <si>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</si>
  <si>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</si>
  <si>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</si>
  <si>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</si>
  <si>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</si>
  <si>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</si>
  <si>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</si>
  <si>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</si>
  <si>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</si>
  <si>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</si>
  <si>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</si>
  <si>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</si>
  <si>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</si>
  <si>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</si>
  <si>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</si>
  <si>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</si>
  <si>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</si>
  <si>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</si>
  <si>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</si>
  <si>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</si>
  <si>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</si>
  <si>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</si>
  <si>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</si>
  <si>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</si>
  <si>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</si>
  <si>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</si>
  <si>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</si>
  <si>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</si>
  <si>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</si>
  <si>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</si>
  <si>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</si>
  <si>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</si>
  <si>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</si>
  <si>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</si>
  <si>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</si>
  <si>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</si>
  <si>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</si>
  <si>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</si>
  <si>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</si>
  <si>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</si>
  <si>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</si>
  <si>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</si>
  <si>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</si>
  <si>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</si>
  <si>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</si>
  <si>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</si>
  <si>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</si>
  <si>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</si>
  <si>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</si>
  <si>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</si>
  <si>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</si>
  <si>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</si>
  <si>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</si>
  <si>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</si>
  <si>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</si>
  <si>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</si>
  <si>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</si>
  <si>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</si>
  <si>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</si>
  <si>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</si>
  <si>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</si>
  <si>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</si>
  <si>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</si>
  <si>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</si>
  <si>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</si>
  <si>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</si>
  <si>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</si>
  <si>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</si>
  <si>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</si>
  <si>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</si>
  <si>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</si>
  <si>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</si>
  <si>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</si>
  <si>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</si>
  <si>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</si>
  <si>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</si>
  <si>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</si>
  <si>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</si>
  <si>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</si>
  <si>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</si>
  <si>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</si>
  <si>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</si>
  <si>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</si>
  <si>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</si>
  <si>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</si>
  <si>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</si>
  <si>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</si>
  <si>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</si>
  <si>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</si>
  <si>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</si>
  <si>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</si>
  <si>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</si>
  <si>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</si>
  <si>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</si>
  <si>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</si>
  <si>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</si>
  <si>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</si>
  <si>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</si>
  <si>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</si>
  <si>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</si>
  <si>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</si>
  <si>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</si>
  <si>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</si>
  <si>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</si>
  <si>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</si>
  <si>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</si>
  <si>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</si>
  <si>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</si>
  <si>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</si>
  <si>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</si>
  <si>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</si>
  <si>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</si>
  <si>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</si>
  <si>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</si>
  <si>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</si>
  <si>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</si>
  <si>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</si>
  <si>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</si>
  <si>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</si>
  <si>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</si>
  <si>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</si>
  <si>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</si>
  <si>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</si>
  <si>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</si>
  <si>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</si>
  <si>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</si>
  <si>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</si>
  <si>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</si>
  <si>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</si>
  <si>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</si>
  <si>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</si>
  <si>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</si>
  <si>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</si>
  <si>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</si>
  <si>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</si>
  <si>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</si>
  <si>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</si>
  <si>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</si>
  <si>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</si>
  <si>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</si>
  <si>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</si>
  <si>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</si>
  <si>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</si>
  <si>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</si>
  <si>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</si>
  <si>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</si>
  <si>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</si>
  <si>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</si>
  <si>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</si>
  <si>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</si>
  <si>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</si>
  <si>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</si>
  <si>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</si>
  <si>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</si>
  <si>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</si>
  <si>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</si>
  <si>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</si>
  <si>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</si>
  <si>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</si>
  <si>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</si>
  <si>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</si>
  <si>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</si>
  <si>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</si>
  <si>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</si>
  <si>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</si>
  <si>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</si>
  <si>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</si>
  <si>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</si>
  <si>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</si>
  <si>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</si>
  <si>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</si>
  <si>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</si>
  <si>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</si>
  <si>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</si>
  <si>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</si>
  <si>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</si>
  <si>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</si>
  <si>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</si>
  <si>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</si>
  <si>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</si>
  <si>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</si>
  <si>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</si>
  <si>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</si>
  <si>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</si>
  <si>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</si>
  <si>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</si>
  <si>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</si>
  <si>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</si>
  <si>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</si>
  <si>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</si>
  <si>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</si>
  <si>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</si>
  <si>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</si>
  <si>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</si>
  <si>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</si>
  <si>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</si>
  <si>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</si>
  <si>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</si>
  <si>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</si>
  <si>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</si>
  <si>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</si>
  <si>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</si>
  <si>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</si>
  <si>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</si>
  <si>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</si>
  <si>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</si>
  <si>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</si>
  <si>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</si>
  <si>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</si>
  <si>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</si>
  <si>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</si>
  <si>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</si>
  <si>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</si>
  <si>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</si>
  <si>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</si>
  <si>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</si>
  <si>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</si>
  <si>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</si>
  <si>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</si>
  <si>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</si>
  <si>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</si>
  <si>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</si>
  <si>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</si>
  <si>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</si>
  <si>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</si>
  <si>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</si>
  <si>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</si>
  <si>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</si>
  <si>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</si>
  <si>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</si>
  <si>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</si>
  <si>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</si>
  <si>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</si>
  <si>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</si>
  <si>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</si>
  <si>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</si>
  <si>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</si>
  <si>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</si>
  <si>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</si>
  <si>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</si>
  <si>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</si>
  <si>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</si>
  <si>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</si>
  <si>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</si>
  <si>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</si>
  <si>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</si>
  <si>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</si>
  <si>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</si>
  <si>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</si>
  <si>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</si>
  <si>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</si>
  <si>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</si>
  <si>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</si>
  <si>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</si>
  <si>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</si>
  <si>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</si>
  <si>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</si>
  <si>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</si>
  <si>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</si>
  <si>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</si>
  <si>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</si>
  <si>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</si>
  <si>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</si>
  <si>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</si>
  <si>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</si>
  <si>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</si>
  <si>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</si>
  <si>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</si>
  <si>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</si>
  <si>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</si>
  <si>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</si>
  <si>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</si>
  <si>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</si>
  <si>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</si>
  <si>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</si>
  <si>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</si>
  <si>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</si>
  <si>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</si>
  <si>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</si>
  <si>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</si>
  <si>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</si>
  <si>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</si>
  <si>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</si>
  <si>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</si>
  <si>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</si>
  <si>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</si>
  <si>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</si>
  <si>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</si>
  <si>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</si>
  <si>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</si>
  <si>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</si>
  <si>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</si>
  <si>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</si>
  <si>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</si>
  <si>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</si>
  <si>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</si>
  <si>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</si>
  <si>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</si>
  <si>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</si>
  <si>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</si>
  <si>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</si>
  <si>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</si>
  <si>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</si>
  <si>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</si>
  <si>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</si>
  <si>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</si>
  <si>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</si>
  <si>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</si>
  <si>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</si>
  <si>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</si>
  <si>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</si>
  <si>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</si>
  <si>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</si>
  <si>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</si>
  <si>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</si>
  <si>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</si>
  <si>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</si>
  <si>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</si>
  <si>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</si>
  <si>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</si>
  <si>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</si>
  <si>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</si>
  <si>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</si>
  <si>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</si>
  <si>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</si>
  <si>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</si>
  <si>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</si>
  <si>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</si>
  <si>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</si>
  <si>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</si>
  <si>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</si>
  <si>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</si>
  <si>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</si>
  <si>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</si>
  <si>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</si>
  <si>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</si>
  <si>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</si>
  <si>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</si>
  <si>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</si>
  <si>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</si>
  <si>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</si>
  <si>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</si>
  <si>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</si>
  <si>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</si>
  <si>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</si>
  <si>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</si>
  <si>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</si>
  <si>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</si>
  <si>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</si>
  <si>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</si>
  <si>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</si>
  <si>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</si>
  <si>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</si>
  <si>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</si>
  <si>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</si>
  <si>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</si>
  <si>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</si>
  <si>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</si>
  <si>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</si>
  <si>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</si>
  <si>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</si>
  <si>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</si>
  <si>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</si>
  <si>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</si>
  <si>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</si>
  <si>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</si>
  <si>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</si>
  <si>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</si>
  <si>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</si>
  <si>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</si>
  <si>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</si>
  <si>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</si>
  <si>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</si>
  <si>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</si>
  <si>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</si>
  <si>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</si>
  <si>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</si>
  <si>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</si>
  <si>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</si>
  <si>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</si>
  <si>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</si>
  <si>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</si>
  <si>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</si>
  <si>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</si>
  <si>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</si>
  <si>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</si>
  <si>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</si>
  <si>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</si>
  <si>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</si>
  <si>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</si>
  <si>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</si>
  <si>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</si>
  <si>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</si>
  <si>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</si>
  <si>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</si>
  <si>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</si>
  <si>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</si>
  <si>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</si>
  <si>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</si>
  <si>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</si>
  <si>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</si>
  <si>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</si>
  <si>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</si>
  <si>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</si>
  <si>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</si>
  <si>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</si>
  <si>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</si>
  <si>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</si>
  <si>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</si>
  <si>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</si>
  <si>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</si>
  <si>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</si>
  <si>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</si>
  <si>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</si>
  <si>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</si>
  <si>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</si>
  <si>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</si>
  <si>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</si>
  <si>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</si>
  <si>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</si>
  <si>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</si>
  <si>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</si>
  <si>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</si>
  <si>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</si>
  <si>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</si>
  <si>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</si>
  <si>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</si>
  <si>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</si>
  <si>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</si>
  <si>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</si>
  <si>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</si>
  <si>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</si>
  <si>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</si>
  <si>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</si>
  <si>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</si>
  <si>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</si>
  <si>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</si>
  <si>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</si>
  <si>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</si>
  <si>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</si>
  <si>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</si>
  <si>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</si>
  <si>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</si>
  <si>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</si>
  <si>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</si>
  <si>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</si>
  <si>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</si>
  <si>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</si>
  <si>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</si>
  <si>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</si>
  <si>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</si>
  <si>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</si>
  <si>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</si>
  <si>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</si>
  <si>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</si>
  <si>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</si>
  <si>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</si>
  <si>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</si>
  <si>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</si>
  <si>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</si>
  <si>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</si>
  <si>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</si>
  <si>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</si>
  <si>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</si>
  <si>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</si>
  <si>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</si>
  <si>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</si>
  <si>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</si>
  <si>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</si>
  <si>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</si>
  <si>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</si>
  <si>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</si>
  <si>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</si>
  <si>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</si>
  <si>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</si>
  <si>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</si>
  <si>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</si>
  <si>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</si>
  <si>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</si>
  <si>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</si>
  <si>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</si>
  <si>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</si>
  <si>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</si>
  <si>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</si>
  <si>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</si>
  <si>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</si>
  <si>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</si>
  <si>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</si>
  <si>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</si>
  <si>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</si>
  <si>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</si>
  <si>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</si>
  <si>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</si>
  <si>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</si>
  <si>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</si>
  <si>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</si>
  <si>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Poznámka:</t>
  </si>
  <si>
    <t>Kód</t>
  </si>
  <si>
    <t>110100102R09</t>
  </si>
  <si>
    <t>111200003RA0</t>
  </si>
  <si>
    <t>113106121R00</t>
  </si>
  <si>
    <t>113106231R00</t>
  </si>
  <si>
    <t>113204111R00</t>
  </si>
  <si>
    <t>113231110R00</t>
  </si>
  <si>
    <t>121101101R00</t>
  </si>
  <si>
    <t>132201211R00</t>
  </si>
  <si>
    <t>132201219R00</t>
  </si>
  <si>
    <t>139711101R00</t>
  </si>
  <si>
    <t>162701105R00</t>
  </si>
  <si>
    <t>162702294R00</t>
  </si>
  <si>
    <t>167101101R00</t>
  </si>
  <si>
    <t>171201201R00</t>
  </si>
  <si>
    <t>174101101R00</t>
  </si>
  <si>
    <t>174101102R00</t>
  </si>
  <si>
    <t>180405110RA1</t>
  </si>
  <si>
    <t>212791111RT1</t>
  </si>
  <si>
    <t>212850002RAA</t>
  </si>
  <si>
    <t>278381154R00</t>
  </si>
  <si>
    <t>278381541R00</t>
  </si>
  <si>
    <t>310237251RT1</t>
  </si>
  <si>
    <t>310239211RT2</t>
  </si>
  <si>
    <t>317944311RV1</t>
  </si>
  <si>
    <t>319203111RT1</t>
  </si>
  <si>
    <t>564851111RT4</t>
  </si>
  <si>
    <t>567211110R00</t>
  </si>
  <si>
    <t>568111111RT1</t>
  </si>
  <si>
    <t>591100010RAD</t>
  </si>
  <si>
    <t>596841111RT4</t>
  </si>
  <si>
    <t>601011141RT1</t>
  </si>
  <si>
    <t>602011131RT5</t>
  </si>
  <si>
    <t>602011141R00</t>
  </si>
  <si>
    <t>602011141RT1</t>
  </si>
  <si>
    <t>611423511RT2</t>
  </si>
  <si>
    <t>612434154RT1</t>
  </si>
  <si>
    <t>620991121R00</t>
  </si>
  <si>
    <t>622300130RT1</t>
  </si>
  <si>
    <t>622300181RT2</t>
  </si>
  <si>
    <t>622311018R00</t>
  </si>
  <si>
    <t>622311115RT1</t>
  </si>
  <si>
    <t>622311523RV2</t>
  </si>
  <si>
    <t>Varianta:</t>
  </si>
  <si>
    <t>622311526RU1</t>
  </si>
  <si>
    <t>622311836RT3</t>
  </si>
  <si>
    <t>622311852RT3</t>
  </si>
  <si>
    <t>622311862RZ1</t>
  </si>
  <si>
    <t>622391521R00</t>
  </si>
  <si>
    <t>622421492R00</t>
  </si>
  <si>
    <t>622421494R00</t>
  </si>
  <si>
    <t>622434114RT5</t>
  </si>
  <si>
    <t>622473187RT2</t>
  </si>
  <si>
    <t>622903111R00</t>
  </si>
  <si>
    <t>622904112R00</t>
  </si>
  <si>
    <t>622904121R00</t>
  </si>
  <si>
    <t>622904212R00</t>
  </si>
  <si>
    <t>631311131RA1</t>
  </si>
  <si>
    <t>721242110RT1</t>
  </si>
  <si>
    <t>831350012RAB</t>
  </si>
  <si>
    <t>894431321RAE</t>
  </si>
  <si>
    <t>894431611RAA</t>
  </si>
  <si>
    <t>916561111RT7</t>
  </si>
  <si>
    <t>918101111R00</t>
  </si>
  <si>
    <t>941941031R00</t>
  </si>
  <si>
    <t>941941191R00</t>
  </si>
  <si>
    <t>941941831R00</t>
  </si>
  <si>
    <t>944944011R00</t>
  </si>
  <si>
    <t>944944031R00</t>
  </si>
  <si>
    <t>944944081R00</t>
  </si>
  <si>
    <t>949942101R00</t>
  </si>
  <si>
    <t>952901110R00</t>
  </si>
  <si>
    <t>952901111R00</t>
  </si>
  <si>
    <t>952903111R00</t>
  </si>
  <si>
    <t>953941495RA1</t>
  </si>
  <si>
    <t>954111104R00</t>
  </si>
  <si>
    <t>959950104RA1</t>
  </si>
  <si>
    <t>959950110RA1</t>
  </si>
  <si>
    <t>959950125RA1</t>
  </si>
  <si>
    <t>959950128RA1</t>
  </si>
  <si>
    <t>959950130RA1</t>
  </si>
  <si>
    <t>711140202R00</t>
  </si>
  <si>
    <t>721242803RT1</t>
  </si>
  <si>
    <t>961055111R00</t>
  </si>
  <si>
    <t>962031117RT1</t>
  </si>
  <si>
    <t>962032231R00</t>
  </si>
  <si>
    <t>962032641R00</t>
  </si>
  <si>
    <t>965042241RT2</t>
  </si>
  <si>
    <t>965048130R00</t>
  </si>
  <si>
    <t>965081702R00</t>
  </si>
  <si>
    <t>965081713RT1</t>
  </si>
  <si>
    <t>966077161RT1</t>
  </si>
  <si>
    <t>966077171RT1</t>
  </si>
  <si>
    <t>966077215RT1</t>
  </si>
  <si>
    <t>967031732R00</t>
  </si>
  <si>
    <t>967042711R00</t>
  </si>
  <si>
    <t>967051111R00</t>
  </si>
  <si>
    <t>968071126R00</t>
  </si>
  <si>
    <t>968072895R00</t>
  </si>
  <si>
    <t>968072986R00</t>
  </si>
  <si>
    <t>970031200R00</t>
  </si>
  <si>
    <t>970033200R00</t>
  </si>
  <si>
    <t>970034200R00</t>
  </si>
  <si>
    <t>973031334R00</t>
  </si>
  <si>
    <t>974031154RT1</t>
  </si>
  <si>
    <t>974031165R00</t>
  </si>
  <si>
    <t>978011151RT1</t>
  </si>
  <si>
    <t>978011211R00</t>
  </si>
  <si>
    <t>978013191R00</t>
  </si>
  <si>
    <t>978013211R00</t>
  </si>
  <si>
    <t>978015211R00</t>
  </si>
  <si>
    <t>978015231R00</t>
  </si>
  <si>
    <t>978015291R00</t>
  </si>
  <si>
    <t>978023411R00</t>
  </si>
  <si>
    <t>978023471RT1</t>
  </si>
  <si>
    <t>981011313R00</t>
  </si>
  <si>
    <t>S</t>
  </si>
  <si>
    <t>979011111R00</t>
  </si>
  <si>
    <t>979011121R00</t>
  </si>
  <si>
    <t>979081111R00</t>
  </si>
  <si>
    <t>979081121R00</t>
  </si>
  <si>
    <t>979082111R00</t>
  </si>
  <si>
    <t>979082121R00</t>
  </si>
  <si>
    <t>979086112R00</t>
  </si>
  <si>
    <t>979093111R00</t>
  </si>
  <si>
    <t>979951112R00</t>
  </si>
  <si>
    <t>979990103R00</t>
  </si>
  <si>
    <t>979990105R00</t>
  </si>
  <si>
    <t>979990107R00</t>
  </si>
  <si>
    <t>979990109R00</t>
  </si>
  <si>
    <t>979990111R00</t>
  </si>
  <si>
    <t>979990121R00</t>
  </si>
  <si>
    <t>979990161R00</t>
  </si>
  <si>
    <t>H99</t>
  </si>
  <si>
    <t>999281108R00</t>
  </si>
  <si>
    <t>712</t>
  </si>
  <si>
    <t>712300832R00</t>
  </si>
  <si>
    <t>712273200RT2</t>
  </si>
  <si>
    <t>712373121RV4</t>
  </si>
  <si>
    <t>998712102R00</t>
  </si>
  <si>
    <t>713</t>
  </si>
  <si>
    <t>713111111RT2</t>
  </si>
  <si>
    <t>6315085951</t>
  </si>
  <si>
    <t>631508595</t>
  </si>
  <si>
    <t>713111191RT1</t>
  </si>
  <si>
    <t>713191100RT9</t>
  </si>
  <si>
    <t>713191110RT9</t>
  </si>
  <si>
    <t>713191151RT2</t>
  </si>
  <si>
    <t>998713102R00</t>
  </si>
  <si>
    <t>721</t>
  </si>
  <si>
    <t>72111</t>
  </si>
  <si>
    <t>72121</t>
  </si>
  <si>
    <t>72122</t>
  </si>
  <si>
    <t>72123</t>
  </si>
  <si>
    <t>72124</t>
  </si>
  <si>
    <t>72131</t>
  </si>
  <si>
    <t>72141</t>
  </si>
  <si>
    <t>72142</t>
  </si>
  <si>
    <t>72143</t>
  </si>
  <si>
    <t>72151</t>
  </si>
  <si>
    <t>72152</t>
  </si>
  <si>
    <t>72161</t>
  </si>
  <si>
    <t>72162</t>
  </si>
  <si>
    <t>72163</t>
  </si>
  <si>
    <t>72165</t>
  </si>
  <si>
    <t>72166</t>
  </si>
  <si>
    <t>72171</t>
  </si>
  <si>
    <t>72172</t>
  </si>
  <si>
    <t>72173</t>
  </si>
  <si>
    <t>72174</t>
  </si>
  <si>
    <t>72175</t>
  </si>
  <si>
    <t>72176</t>
  </si>
  <si>
    <t>72177</t>
  </si>
  <si>
    <t>72178</t>
  </si>
  <si>
    <t>723</t>
  </si>
  <si>
    <t>723001101</t>
  </si>
  <si>
    <t>723001102</t>
  </si>
  <si>
    <t>723001103</t>
  </si>
  <si>
    <t>723001104</t>
  </si>
  <si>
    <t>723001105</t>
  </si>
  <si>
    <t>723001106</t>
  </si>
  <si>
    <t>723001107</t>
  </si>
  <si>
    <t>723001108</t>
  </si>
  <si>
    <t>723001109</t>
  </si>
  <si>
    <t>723001110</t>
  </si>
  <si>
    <t>723001111</t>
  </si>
  <si>
    <t>723001112</t>
  </si>
  <si>
    <t>723001113</t>
  </si>
  <si>
    <t>723001114</t>
  </si>
  <si>
    <t>723001115</t>
  </si>
  <si>
    <t>723001116</t>
  </si>
  <si>
    <t>723001117</t>
  </si>
  <si>
    <t>723001118</t>
  </si>
  <si>
    <t>723001119</t>
  </si>
  <si>
    <t>723001120</t>
  </si>
  <si>
    <t>723001121</t>
  </si>
  <si>
    <t>723001122</t>
  </si>
  <si>
    <t>723001123</t>
  </si>
  <si>
    <t>723001124</t>
  </si>
  <si>
    <t>723001125</t>
  </si>
  <si>
    <t>723001126</t>
  </si>
  <si>
    <t>730-1</t>
  </si>
  <si>
    <t>730-2</t>
  </si>
  <si>
    <t>730001201</t>
  </si>
  <si>
    <t>730001202</t>
  </si>
  <si>
    <t>730001203</t>
  </si>
  <si>
    <t>730001204</t>
  </si>
  <si>
    <t>730001205</t>
  </si>
  <si>
    <t>730001206</t>
  </si>
  <si>
    <t>730001207</t>
  </si>
  <si>
    <t>730001208</t>
  </si>
  <si>
    <t>730001209</t>
  </si>
  <si>
    <t>730001210</t>
  </si>
  <si>
    <t>730001211</t>
  </si>
  <si>
    <t>730001212</t>
  </si>
  <si>
    <t>730001213</t>
  </si>
  <si>
    <t>730001214</t>
  </si>
  <si>
    <t>730001215</t>
  </si>
  <si>
    <t>730001216</t>
  </si>
  <si>
    <t>730001217</t>
  </si>
  <si>
    <t>730001218</t>
  </si>
  <si>
    <t>730001219</t>
  </si>
  <si>
    <t>730001220</t>
  </si>
  <si>
    <t>730001221</t>
  </si>
  <si>
    <t>730001222</t>
  </si>
  <si>
    <t>730001223</t>
  </si>
  <si>
    <t>730001224</t>
  </si>
  <si>
    <t>730001225</t>
  </si>
  <si>
    <t>730-3</t>
  </si>
  <si>
    <t>730001301</t>
  </si>
  <si>
    <t>730001302</t>
  </si>
  <si>
    <t>730001303</t>
  </si>
  <si>
    <t>730001304</t>
  </si>
  <si>
    <t>730001305</t>
  </si>
  <si>
    <t>730001306</t>
  </si>
  <si>
    <t>730001307</t>
  </si>
  <si>
    <t>730001308</t>
  </si>
  <si>
    <t>730001309</t>
  </si>
  <si>
    <t>730001310</t>
  </si>
  <si>
    <t>730001311</t>
  </si>
  <si>
    <t>730001312</t>
  </si>
  <si>
    <t>730001313</t>
  </si>
  <si>
    <t>730001314</t>
  </si>
  <si>
    <t>730001315</t>
  </si>
  <si>
    <t>730001316</t>
  </si>
  <si>
    <t>730001317</t>
  </si>
  <si>
    <t>730001318</t>
  </si>
  <si>
    <t>730001319</t>
  </si>
  <si>
    <t>730001320</t>
  </si>
  <si>
    <t>730001321</t>
  </si>
  <si>
    <t>730001322</t>
  </si>
  <si>
    <t>730001323</t>
  </si>
  <si>
    <t>732a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</si>
  <si>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</si>
  <si>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</si>
  <si>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</si>
  <si>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</si>
  <si>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</si>
  <si>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</si>
  <si>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</si>
  <si>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</si>
  <si>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</si>
  <si>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</si>
  <si>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</si>
  <si>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</si>
  <si>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</si>
  <si>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</si>
  <si>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</si>
  <si>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</si>
  <si>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</si>
  <si>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</si>
  <si>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</si>
  <si>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733a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</si>
  <si>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</si>
  <si>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</si>
  <si>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</si>
  <si>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</si>
  <si>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</si>
  <si>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</si>
  <si>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</si>
  <si>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</si>
  <si>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</si>
  <si>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</si>
  <si>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</si>
  <si>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</si>
  <si>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</si>
  <si>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</si>
  <si>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</si>
  <si>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</si>
  <si>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</si>
  <si>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</si>
  <si>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</si>
  <si>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</si>
  <si>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</si>
  <si>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</si>
  <si>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</si>
  <si>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</si>
  <si>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</si>
  <si>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</si>
  <si>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762</t>
  </si>
  <si>
    <t>762088113R00</t>
  </si>
  <si>
    <t>762100130RAH</t>
  </si>
  <si>
    <t>762100130RAJ</t>
  </si>
  <si>
    <t>762150015RAA</t>
  </si>
  <si>
    <t>762341220R00</t>
  </si>
  <si>
    <t>60726122</t>
  </si>
  <si>
    <t>762341811R00</t>
  </si>
  <si>
    <t>762395000R00</t>
  </si>
  <si>
    <t>762841210RT5</t>
  </si>
  <si>
    <t>762841821R00</t>
  </si>
  <si>
    <t>762895000R00</t>
  </si>
  <si>
    <t>998762102R00</t>
  </si>
  <si>
    <t>764</t>
  </si>
  <si>
    <t>764311832R00</t>
  </si>
  <si>
    <t>764321821R00</t>
  </si>
  <si>
    <t>764321823R00</t>
  </si>
  <si>
    <t>764352811R00</t>
  </si>
  <si>
    <t>764359811R00</t>
  </si>
  <si>
    <t>764362970RT1</t>
  </si>
  <si>
    <t>764410450RT3</t>
  </si>
  <si>
    <t>764410460RT3</t>
  </si>
  <si>
    <t>764410850R00</t>
  </si>
  <si>
    <t>764454801R00</t>
  </si>
  <si>
    <t>764815212R00</t>
  </si>
  <si>
    <t>764815812R00</t>
  </si>
  <si>
    <t>764819213R00</t>
  </si>
  <si>
    <t>764901104RU4</t>
  </si>
  <si>
    <t>764901105RU4</t>
  </si>
  <si>
    <t>764901106RU4</t>
  </si>
  <si>
    <t>764901302RT6</t>
  </si>
  <si>
    <t>764901318R00</t>
  </si>
  <si>
    <t>764901319R00</t>
  </si>
  <si>
    <t>998764102R00</t>
  </si>
  <si>
    <t>766</t>
  </si>
  <si>
    <t>766624055RT1</t>
  </si>
  <si>
    <t>766624091R00</t>
  </si>
  <si>
    <t>998766102R00</t>
  </si>
  <si>
    <t>767</t>
  </si>
  <si>
    <t>767646210RT1</t>
  </si>
  <si>
    <t>767811100RT1</t>
  </si>
  <si>
    <t>767811100RT2</t>
  </si>
  <si>
    <t>767811100RT3</t>
  </si>
  <si>
    <t>767811100RT4</t>
  </si>
  <si>
    <t>767811100RT5</t>
  </si>
  <si>
    <t>767815250RT1</t>
  </si>
  <si>
    <t>767815260RT1</t>
  </si>
  <si>
    <t>767833110RT1</t>
  </si>
  <si>
    <t>767842390RU1</t>
  </si>
  <si>
    <t>767839201RT1</t>
  </si>
  <si>
    <t>767839211RT1</t>
  </si>
  <si>
    <t>767881106RZ1</t>
  </si>
  <si>
    <t>998767102R00</t>
  </si>
  <si>
    <t>771</t>
  </si>
  <si>
    <t>771101115R00</t>
  </si>
  <si>
    <t>771101210R00</t>
  </si>
  <si>
    <t>771212117R00</t>
  </si>
  <si>
    <t>597642050.B</t>
  </si>
  <si>
    <t>771475014R00</t>
  </si>
  <si>
    <t>597642070.A</t>
  </si>
  <si>
    <t>998771102R00</t>
  </si>
  <si>
    <t>784</t>
  </si>
  <si>
    <t>784011111R00</t>
  </si>
  <si>
    <t>784011222RT2</t>
  </si>
  <si>
    <t>784111101RT1</t>
  </si>
  <si>
    <t>784114122R00</t>
  </si>
  <si>
    <t>784195212R00</t>
  </si>
  <si>
    <t>M21</t>
  </si>
  <si>
    <t>210200201RA0</t>
  </si>
  <si>
    <t>210200210RA0</t>
  </si>
  <si>
    <t>210200250RA0</t>
  </si>
  <si>
    <t>210220801R00</t>
  </si>
  <si>
    <t>210270010RA0</t>
  </si>
  <si>
    <t>210001101</t>
  </si>
  <si>
    <t>210001102</t>
  </si>
  <si>
    <t>210001103</t>
  </si>
  <si>
    <t>210001104</t>
  </si>
  <si>
    <t>210001105</t>
  </si>
  <si>
    <t>210001106</t>
  </si>
  <si>
    <t>210001107</t>
  </si>
  <si>
    <t>210001108</t>
  </si>
  <si>
    <t>210001109</t>
  </si>
  <si>
    <t>210001110</t>
  </si>
  <si>
    <t>210001111</t>
  </si>
  <si>
    <t>210001112</t>
  </si>
  <si>
    <t>210001113</t>
  </si>
  <si>
    <t>210001114</t>
  </si>
  <si>
    <t>210001115</t>
  </si>
  <si>
    <t>210001116</t>
  </si>
  <si>
    <t>210001117</t>
  </si>
  <si>
    <t>210001118</t>
  </si>
  <si>
    <t>210001119</t>
  </si>
  <si>
    <t>210001120</t>
  </si>
  <si>
    <t>210001121</t>
  </si>
  <si>
    <t>210001122</t>
  </si>
  <si>
    <t>210001123</t>
  </si>
  <si>
    <t>210001124</t>
  </si>
  <si>
    <t>210001125</t>
  </si>
  <si>
    <t>M22</t>
  </si>
  <si>
    <t>222730031R00</t>
  </si>
  <si>
    <t>222730155R00</t>
  </si>
  <si>
    <t>M22a</t>
  </si>
  <si>
    <t>RA1</t>
  </si>
  <si>
    <t>01a</t>
  </si>
  <si>
    <t>TČ11</t>
  </si>
  <si>
    <t>Z11(GPRS)</t>
  </si>
  <si>
    <t>K21</t>
  </si>
  <si>
    <t>Č31Č41</t>
  </si>
  <si>
    <t>SH31</t>
  </si>
  <si>
    <t>Z61(Č61)</t>
  </si>
  <si>
    <t>Z71(AD71)</t>
  </si>
  <si>
    <t>01b</t>
  </si>
  <si>
    <t>01c</t>
  </si>
  <si>
    <t>01d</t>
  </si>
  <si>
    <t>01e</t>
  </si>
  <si>
    <t>01f</t>
  </si>
  <si>
    <t>01g</t>
  </si>
  <si>
    <t>01h</t>
  </si>
  <si>
    <t>01i</t>
  </si>
  <si>
    <t>Č11</t>
  </si>
  <si>
    <t>Č12</t>
  </si>
  <si>
    <t>Z11</t>
  </si>
  <si>
    <t>T11T12</t>
  </si>
  <si>
    <t>T13</t>
  </si>
  <si>
    <t>T21</t>
  </si>
  <si>
    <t>Y21Y22</t>
  </si>
  <si>
    <t>Č31</t>
  </si>
  <si>
    <t>T31</t>
  </si>
  <si>
    <t>ST31</t>
  </si>
  <si>
    <t>Č41</t>
  </si>
  <si>
    <t>T41T42</t>
  </si>
  <si>
    <t>T43</t>
  </si>
  <si>
    <t>Z61</t>
  </si>
  <si>
    <t>Č61</t>
  </si>
  <si>
    <t>P71</t>
  </si>
  <si>
    <t>Z71</t>
  </si>
  <si>
    <t>AD71</t>
  </si>
  <si>
    <t>SA71</t>
  </si>
  <si>
    <t>H71</t>
  </si>
  <si>
    <t>HS71</t>
  </si>
  <si>
    <t>G71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</si>
  <si>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</si>
  <si>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</si>
  <si>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</si>
  <si>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</si>
  <si>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</si>
  <si>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</si>
  <si>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</si>
  <si>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</si>
  <si>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</si>
  <si>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</si>
  <si>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</si>
  <si>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</si>
  <si>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</si>
  <si>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</si>
  <si>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</si>
  <si>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</si>
  <si>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</si>
  <si>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</si>
  <si>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</si>
  <si>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</si>
  <si>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</si>
  <si>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</si>
  <si>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</si>
  <si>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</si>
  <si>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</si>
  <si>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</si>
  <si>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</si>
  <si>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</si>
  <si>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</si>
  <si>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VRN</t>
  </si>
  <si>
    <t>005111021R</t>
  </si>
  <si>
    <t>005121010R</t>
  </si>
  <si>
    <t>005122010R</t>
  </si>
  <si>
    <t>005124010R</t>
  </si>
  <si>
    <t>005231010R</t>
  </si>
  <si>
    <t>005241010R</t>
  </si>
  <si>
    <t>005241030R</t>
  </si>
  <si>
    <t>Snížení energetické.náročnosti objektů Domova Kladno-Švermov</t>
  </si>
  <si>
    <t>SO 01 - OBJEKT 1 - č.p.1454</t>
  </si>
  <si>
    <t>Zkrácený popis / Varianta</t>
  </si>
  <si>
    <t>Rozměry</t>
  </si>
  <si>
    <t>Přípravné a přidružené práce</t>
  </si>
  <si>
    <t>Vytýčení stávajících sítí</t>
  </si>
  <si>
    <t>Odstranění křovin a nezbytné prořezání zeleně</t>
  </si>
  <si>
    <t>Rozebrání dlažeb z betonových dlaždic -dle pozn.7</t>
  </si>
  <si>
    <t>Rozebrání dlažeb z betonových dlaždic na sucho -beton.žlab -dle pozn.8</t>
  </si>
  <si>
    <t>Rozebrání dlažeb ze zámkové dlažby v kamenivu -dle pozn.9</t>
  </si>
  <si>
    <t>Vytrhání obrubníků zahradních -dle pozn.9</t>
  </si>
  <si>
    <t>Bourání odvodňovacího žlabu, zatíž. A15, š.100 mm</t>
  </si>
  <si>
    <t>Odkopávky a prokopávky</t>
  </si>
  <si>
    <t>Sejmutí ornice a drnu s přemístěním do 50 m</t>
  </si>
  <si>
    <t>Hloubené vykopávky</t>
  </si>
  <si>
    <t>Hloubení rýh š.do 200 cm hor.3 do 100 m3 -dle pozn.15</t>
  </si>
  <si>
    <t>Přípl.za lepivost,hloubení rýh 200cm,hor.3</t>
  </si>
  <si>
    <t>Vykopávka v uzavřených prostorách v hor.1-4 -výkop pro ulož.přečerp.šachty -dle pozn.17</t>
  </si>
  <si>
    <t>Vykopávka v uzavřených prostorách v hor.1-4 pro ulož.čerpacího potrubí -dle pozn.27</t>
  </si>
  <si>
    <t>Přemístění výkopku</t>
  </si>
  <si>
    <t>Vodorovné přemístění výkopku z hor.1-4 do 10000 m</t>
  </si>
  <si>
    <t>Poplatek za skládku: výkopek</t>
  </si>
  <si>
    <t>Nakládání výkopku z hor.1-4 v množství do 100 m3</t>
  </si>
  <si>
    <t>Konstrukce ze zemin</t>
  </si>
  <si>
    <t>Uložení sypaniny na skl.-sypanina na výšku přes 2m</t>
  </si>
  <si>
    <t>Zásyp jam, rýh, šachet , nebo kolem objektů se zhutněním po vrstvách -výkopkem -rýha kolem objektu</t>
  </si>
  <si>
    <t>Zásyp jam, rýh, šachet se zhutněním -výkopkem -po demolici skladu</t>
  </si>
  <si>
    <t>Zásyp jam, rýh, šachet se zhutněním -výkop pro ulož.přečerp.šachty -dle detailu Det5</t>
  </si>
  <si>
    <t>Zásyp ruční se zhutněním -výkop pro ulož čerp.potrubí</t>
  </si>
  <si>
    <t>Povrchové úpravy terénu</t>
  </si>
  <si>
    <t>Ohumusování, osetí travním semenem dotčené části po opravách</t>
  </si>
  <si>
    <t>Úprava podloží a základové spáry</t>
  </si>
  <si>
    <t>Zemnící pásek do výkopu pro drenáž -montáž a dodávka</t>
  </si>
  <si>
    <t>Drenáž podél základu objektu z dren. trub d 125 mm (podkl.beton, obsyp, geotext.) -provedení dle popisu v PD</t>
  </si>
  <si>
    <t>Základy</t>
  </si>
  <si>
    <t>Základ pod stroje plochy do 1,00 m2 z bet. C 16/20 -přečerpávací šachta</t>
  </si>
  <si>
    <t>Základy pod stroje do 5 m3, C 20/25, složitosti 1 -pro čerpadlo</t>
  </si>
  <si>
    <t>Zdi podpěrné a volné</t>
  </si>
  <si>
    <t>Zazdívka otvorů pl. 0,25 m2 (400x600mm) cihlami, tl. zdi 45 cm, s použitím suché maltové směsi</t>
  </si>
  <si>
    <t>Zazdívka (dozdívka) otvorů pl. 0,25 m2 (ze 400x600mm na 300x300mm) cihlami, tl. zdi 45 cm, s použitím suché maltové směsi</t>
  </si>
  <si>
    <t>Zazdívka (dozdívka) otvorů plochy do 4 m2 cihlami na MVC, s použitím suché maltové směsi</t>
  </si>
  <si>
    <t>Válcované nosníky do č.12 do připravených otvorů, vč.dodávky profilu IPE č.12 -provedení dle PD, ozn.Z04</t>
  </si>
  <si>
    <t>Sanace trhlin na fasádě ozn.OS13 -úplné provedení dle popisu v PD</t>
  </si>
  <si>
    <t>Podkladní vrstvy komunikací, letišť a ploch</t>
  </si>
  <si>
    <t>Podklad ze štěrkodrti po zhutnění tloušťky 15 cm, štěrkodrť frakce 0-63 mm -skladba ZP01, bod 3</t>
  </si>
  <si>
    <t>Podklad z prostého betonu C16/20  tloušťky 10 cm -skladba ZP01, bod 2</t>
  </si>
  <si>
    <t>Zřízení vrstvy z geotextilie skl.do 1:5, vč.dodávky -skladba ZP01, bod 4</t>
  </si>
  <si>
    <t>Kryty pozemních komunikací, letišť a ploch dlážděných (předlažby)</t>
  </si>
  <si>
    <t>Přeskládání zpevněné plochy z betonové zámkové dlažby</t>
  </si>
  <si>
    <t>Kladení dlažby z dlaždic kom.pro pěší do lože z MC, včetně dlaždic betonových HBB 50/50/5 cm -skladba ZP01, bod 1</t>
  </si>
  <si>
    <t>Úprava povrchů vnitřní</t>
  </si>
  <si>
    <t>Štuk na stropech, sanační, tloušťka vrstvy 1,5 mm -kotelna -dle pozn.1</t>
  </si>
  <si>
    <t>Omítka jednovrstvá vnitřní stěrková, tloušťka vrstvy 10 mm -zazdívky+dozdívky</t>
  </si>
  <si>
    <t>Štuk na stěnách vnitřní, tl.vrstvy 1-2 mm -zazdívky+dozdívky</t>
  </si>
  <si>
    <t>Štuk na stěnách a ostění vnitřní, sanační, tl.vrstvy 1-2 mm -kotelna -dle pozn.1</t>
  </si>
  <si>
    <t>Oprava váp.omítek stropů -2.NP (převážně trhliny)</t>
  </si>
  <si>
    <t>Omítkový sanační systém vnitřní, 4 vrst. -kotelna-stěny+ostění</t>
  </si>
  <si>
    <t>Úprava povrchů vnější</t>
  </si>
  <si>
    <t>Zakrývání výplní vnějších otvorů z lešení</t>
  </si>
  <si>
    <t>Odmaštění, vyspravení a vyrovnání povrchu jemnou cement.maltou -skladba SO04, bod 3 + SO05, bod 3 + SO06, bod 3 + SO09, bod 2</t>
  </si>
  <si>
    <t>Montáž chráničky kabelu do zateplení z polystyrenu,vč. chráničky DN 40 mm</t>
  </si>
  <si>
    <t>Soklová lišta hliník KZS tl. 180 mm</t>
  </si>
  <si>
    <t>Dilatační profil KZS, tl.izolantu tl.180 mm -montáž a dodávka, ozn.OS22</t>
  </si>
  <si>
    <t>Zateplovací systém, sokl, XPS tl. 120 mm s nopovou folií -skladba SO05, bod 5-10</t>
  </si>
  <si>
    <t>penetrace na bázi bitumenu + HI bitumen.s výzt.síťovinou vč.vytažení 300mm + lepící stěrka na bázi bitumenu + XPS tl.120 mm + nopová folie zakonč.PVC lištou + separ.textilie 150g/m2</t>
  </si>
  <si>
    <t>Zateplovací systém, sokl, XPS tl. 180 mm, s mozaikovou omítkou -skladba SO04, bod 4-9</t>
  </si>
  <si>
    <t>penetrace podkladu + lepící a vyrovnávací tmel + XPS tl.180mm + stěrkový tmel vč.arm.tkaniny se zvýš.hydrofob. + zákl.nátěr + soklová mozaiková omítka</t>
  </si>
  <si>
    <t>Zateplovací systém, fasáda, miner.desky PV tl.180 mm, s omítkou silikonovou -skladba SO06, bod 4-9</t>
  </si>
  <si>
    <t>penetrace podkladu + lepící a vyrovnávací tmel + izolant tl.180mm + stěrkový tmel vč.arm.tkaniny + zákl.nátěr + silikon.probarv.omítka</t>
  </si>
  <si>
    <t>Zatepl.systém, ostění, miner.desky PV tl. 20 mm se silikon.probarv.omítkou -skladba SO09, bod 3-8</t>
  </si>
  <si>
    <t>penetrace podkladu + lepící a vyrovnávací tmel + izolant tl.20mm + stěrkový tmel vč.arm.tkaniny + zákl.nátěr + silikon.probarv.omítka</t>
  </si>
  <si>
    <t>Zatepl.syst.-spádový klín z miner.desek PV 20-30 mm pod parapet vnější</t>
  </si>
  <si>
    <t>Příplatek ke KZS a fasádnímu systému za systémové doplňky a příslušenství</t>
  </si>
  <si>
    <t>Doplňky zatepl. systémů, okenní lišta s tkaninou</t>
  </si>
  <si>
    <t>Doplňky zatepl. systémů, podparapetní lišta s tkan</t>
  </si>
  <si>
    <t>Omítkový sanační systém, vnější, soklový -skladba SO05, bod 4</t>
  </si>
  <si>
    <t>Příplatek za okenní lištu (APU) - montáž, včetně dodávky lišty</t>
  </si>
  <si>
    <t>Očištění zdí a valů před opravou, ručně -skladba SO04, bod 3 + SO05, bod 3 + SO06, bod 3 + SO09, bod 2</t>
  </si>
  <si>
    <t>Očištění fasád tlakovou vodou slož.1 - 2 skladba SO04, bod 3 + SO05, bod 3 + SO06, bod 3 + SO09, bod 2</t>
  </si>
  <si>
    <t>Ruční čištění ocelovým kartáčem -50% z plochy -skladba SO04, bod 3 + SO05, bod 3 + SO06, bod 3 + SO09, bod 2</t>
  </si>
  <si>
    <t>Očištění organických nečistot z fasád slož.1-2 50% z plochy -skladba SO04, bod 3 + SO05, bod 3 + SO06, bod 3 + SO09, bod 2</t>
  </si>
  <si>
    <t>Podlahy a podlahové konstrukce</t>
  </si>
  <si>
    <t>Doplnění mazanin betonem do 1 m2, nad tl. 8 cm, vč.vytrnování, napojení na stáv.hydroizolaci -dle detailu Det5</t>
  </si>
  <si>
    <t>Potrubí z trub plastových</t>
  </si>
  <si>
    <t>Napojení dešťových svodů vč.dodávky lapačů střeš,splavenin ozn.K06 -úplné provedení dle popisu v PD</t>
  </si>
  <si>
    <t>Kanalizace dešťová z trub  PVC KG D 160 mm -úplné provedení vč.zem.prací</t>
  </si>
  <si>
    <t>Ostatní konstrukce a práce na trubním vedení</t>
  </si>
  <si>
    <t>Šachta drenážní, D 400mm, vč.zemních prací ozn. DŠ1-DŠ8 -provedení dle popisu v PD</t>
  </si>
  <si>
    <t>Revizní a vstupní šachta dešť.kanalizace, plast D=1200mm, hl.&lt;2m, litin.poklop, vč.zem.prací</t>
  </si>
  <si>
    <t>Doplňující konstrukce a práce na pozemních komunikacích a zpevněných plochách</t>
  </si>
  <si>
    <t>Osazení záhon.obrubníků do lože z C 12/15 s opěrou, včetně obrubníku   100/5/20 cm</t>
  </si>
  <si>
    <t>Lože pod obrubníky nebo obruby dlažeb z C 12/15</t>
  </si>
  <si>
    <t>Lešení a stavební výtahy</t>
  </si>
  <si>
    <t>Montáž lešení leh.řad.s podlahami,š.do 1 m, H 10 m</t>
  </si>
  <si>
    <t>Příplatek za každý měsíc použití lešení k pol.1031</t>
  </si>
  <si>
    <t>Demontáž lešení leh.řad.s podlahami,š.1 m, H 10 m</t>
  </si>
  <si>
    <t>Montáž ochranné sítě z umělých vláken</t>
  </si>
  <si>
    <t>Příplatek za každý měsíc použití sítí k pol. 4011</t>
  </si>
  <si>
    <t>Demontáž ochranné sítě z umělých vláken</t>
  </si>
  <si>
    <t>Práce plošiny MP20 vč.přistavení a dopravy</t>
  </si>
  <si>
    <t>Různé dokončovací konstrukce a práce na pozemních stavbách</t>
  </si>
  <si>
    <t>Čištění mytím vnějších ploch oken a dveří</t>
  </si>
  <si>
    <t>Vyčištění budov o výšce podlaží do 4 m -kotelna</t>
  </si>
  <si>
    <t>Odstranění prachu z trámů -vztaženo na plochu střechy</t>
  </si>
  <si>
    <t>Přemístění HUP -provedení dle pozn.22</t>
  </si>
  <si>
    <t>SDK kastlíky a zákryty provedení potrubí, ozn.OS19 -provedení dle popisu v PD vč.povrch.úpravy</t>
  </si>
  <si>
    <t>Stavební přípomoce pro profese</t>
  </si>
  <si>
    <t>Provedení odtrhových zkoušek pro ověření únosnosti podkladu</t>
  </si>
  <si>
    <t>Podrobný stavebně technický průzkum fasády a průzkum stávajících kcí po rozkrytí střech</t>
  </si>
  <si>
    <t>Plán požární bezpečnosti a evakuace</t>
  </si>
  <si>
    <t>Podrobný průzkum stávajících konstrukcí s ohledem na jejich vlhkost -při zemních pracích</t>
  </si>
  <si>
    <t>Bourání konstrukcí</t>
  </si>
  <si>
    <t>Odstr.izolace proti vlhk.svis. pásy přitav.,2vrs. -skladba SO03, bod 4-bourání</t>
  </si>
  <si>
    <t>Demontáž lapače střešních splavenin DN 100 vč.ekolog.likvidace na skládce</t>
  </si>
  <si>
    <t>Bourání základů betonových -dle pozn.23 -pod plyn.kotlem</t>
  </si>
  <si>
    <t>Bourání  přelití základ.pasů a přízdívek z cihel pálených plných tl. 100 mm -skladba SO03, bod 5 -bourání</t>
  </si>
  <si>
    <t>Bourání zdiva z cihel pálených na MVC -jedna řada -dle detailu Det2</t>
  </si>
  <si>
    <t>Bourání zdiva komínového z cihel na MC</t>
  </si>
  <si>
    <t>Bourání mazanin betonových tl. nad 10 cm, nad 4 m2 -kotelna -pro přečerp.šachtu</t>
  </si>
  <si>
    <t>Dočištění povrchu po vybourání dlažeb, tmel do 30% -kotelna -dle pozn.28, také skladba PDL01, bod 1-bourání</t>
  </si>
  <si>
    <t>Bourání soklíků z dlažeb keramických -kotelna -dle pozn.28, také skladba PDL01, bod 1-bourání</t>
  </si>
  <si>
    <t>Bourání dlažeb keramických tl.10 mm, nad 1 m2 -kotelna -dle pozn.28, také skladba PDL01, bod 1-bourání</t>
  </si>
  <si>
    <t>Demontáž poklopu vč.ekolog.likvidace na skládce -dle pozn.12</t>
  </si>
  <si>
    <t>Demontáž výlez žebříku vč.ekolog.likvidace na skládce -dle pozn.24</t>
  </si>
  <si>
    <t>Demontáž fasádních prvků (cedule, nápisy, svítidla, tabla)-dle pozn.11</t>
  </si>
  <si>
    <t>Přisekání plošné zdiva cihelného na MVC tl. 10 cm -po demolici skladu a komínu</t>
  </si>
  <si>
    <t>Odsekání zdiva plošné z betonu tl. do 10 cm -přelití základ.pasů tl.do 10cm  70% -skladba SO03, bod 5-bourání</t>
  </si>
  <si>
    <t>Úprava líce podzemních stěn tl. nálitků do 15 cm - 30% -skladba SO03, bod 5 -bourání</t>
  </si>
  <si>
    <t>Vyvěšení, zavěšení kovových křídel dveří nad 2 m2 -demontáž dveří 1000/2100mm dle pozn.20</t>
  </si>
  <si>
    <t>Vybourání vnějších mříží pl. do 2 m2 -dle pozn.6</t>
  </si>
  <si>
    <t>Vybourání vnějších mříží pl. nad 2  m2 -dle pozn.6</t>
  </si>
  <si>
    <t>Prorážení otvorů a ostatní bourací práce</t>
  </si>
  <si>
    <t>Vrtání jádrové do zdiva cihelného do D 200 mm</t>
  </si>
  <si>
    <t>Příp. za jádr. vrt. ve H nad 1,5m cihel do D 200mm</t>
  </si>
  <si>
    <t>Příp. za jádr. vrt. vod. ve stěně cihel do D 200mm</t>
  </si>
  <si>
    <t>Vysekání kapes zeď cih, MVC pl. 0,16 m2, hl. 15 cm -pro překlady</t>
  </si>
  <si>
    <t>Vysekání rýh ve zdi cihelné 12 x 12 cm -dle pozn.25</t>
  </si>
  <si>
    <t>Vysekání rýh ve zdi cihelné 15 x 20 cm -dle pozn.26</t>
  </si>
  <si>
    <t>Otlučení omítek vnitř.váp.stropů před opravou trhlin -2.NP</t>
  </si>
  <si>
    <t>Odstranění štukové vrstvy vnitřních stropů -kotelna -dle pozn.28</t>
  </si>
  <si>
    <t>Otlučení omítek vnitřních stěn a ostění v rozsahu do 100 % -kotelna -dle pozn.28</t>
  </si>
  <si>
    <t>Odstranění štukové vrstvy omítky z vnitřních stěn -kotelna -dle pozn.28</t>
  </si>
  <si>
    <t>Odstranění probarv.omítky z vnějších stěn do 100% -skladba SO02, bod 4 -bourání, také bod 1</t>
  </si>
  <si>
    <t>Otlučení omítek vnějších MVC v složit.1-4 do 20 % (15%) -skladba SO02, bod 3 -bourání, také pozn.1</t>
  </si>
  <si>
    <t>Otlučení omítek vnějších MVC v složit.1-4 do 100 % -jádrová -skladba SO03, bod 3 -bourání, také pozn.1</t>
  </si>
  <si>
    <t>Otlučení omítek vnějších MVC v složit.1-4 do 100 % -skladba SO01, bod 3,4 -bourání, také pozn.1</t>
  </si>
  <si>
    <t>Otlučení omítek vnějších MVC v složit.1-4 do 100 % -dle pozn.19 (v místě komínu)</t>
  </si>
  <si>
    <t>Vysekání a úprava spár zdiva cihelného mimo komínového -kotelna</t>
  </si>
  <si>
    <t>Vyčištění a odmaštění zdiva cihelného komínového -dle pozn.19 -stávající část po demolici komínu</t>
  </si>
  <si>
    <t>Demolice</t>
  </si>
  <si>
    <t>Demolice budov,zdivo,podíl kce.do 20%,MVC,post.roz</t>
  </si>
  <si>
    <t>Přesuny sutí</t>
  </si>
  <si>
    <t>Svislá doprava suti a vybour. hmot za 2.NP a 1.PP</t>
  </si>
  <si>
    <t>Příplatek za každé další podlaží</t>
  </si>
  <si>
    <t>Odvoz suti a vybour. hmot na skládku do 1 km</t>
  </si>
  <si>
    <t>Příplatek k odvozu za každý další 1 km</t>
  </si>
  <si>
    <t>Vnitrostaveništní doprava suti do 10 m</t>
  </si>
  <si>
    <t>Příplatek k vnitrost. dopravě suti za dalších 5 m</t>
  </si>
  <si>
    <t>Nakládání nebo překládání suti a vybouraných hmot</t>
  </si>
  <si>
    <t>Uložení suti na skládku bez zhutnění</t>
  </si>
  <si>
    <t>Ekologická likvidace železného šrotu na skládce, vč.odvozu a rozřezání (možno uvést i zápornou hodnotu)</t>
  </si>
  <si>
    <t>Poplatek za skládku suti - beton do 30x30 cm</t>
  </si>
  <si>
    <t>Poplatek za skládku suti-cihel.výrobky do 30x30 cm</t>
  </si>
  <si>
    <t>Poplatek za skládku suti - směsný stavební odpad -omítky, tmely apod.</t>
  </si>
  <si>
    <t>Poplatek za skládku suti - skleněné tvárnice</t>
  </si>
  <si>
    <t>Poplatek za skládku suti - stavební keramika</t>
  </si>
  <si>
    <t>Poplatek za skládku suti - asfaltové pásy</t>
  </si>
  <si>
    <t>Poplatek za skládku suti - dřevo</t>
  </si>
  <si>
    <t>Ostatní přesuny hmot</t>
  </si>
  <si>
    <t>Přesun hmot pro opravy a údržbu do výšky 12 m</t>
  </si>
  <si>
    <t>Izolace střech (živičné krytiny)</t>
  </si>
  <si>
    <t>Odstranění povlakové krytiny střech do 10° 2vrstvé -skladba STŘ01, bod 2-bourání</t>
  </si>
  <si>
    <t>Větrací hlavice kanalizace plast.-montáž a dodávka, provedení dle popisu v PD, ozn.OS16</t>
  </si>
  <si>
    <t>Krytina střech do 10° fólie, 6 kotev/m2,ocel,dřevo, tl. izolace nad 300 mm, folie tl. 1,5 mm, vč.detailů a doplňků -skladba STR02, bod 14</t>
  </si>
  <si>
    <t>Přesun hmot pro povlakové krytiny, výšky do 12 m</t>
  </si>
  <si>
    <t>Izolace tepelné</t>
  </si>
  <si>
    <t>Izolace tepelné stropů vrchem kladené volně, 2 vrstvy -skladba STR02, bod 8,9</t>
  </si>
  <si>
    <t>Pás izolační ze skelné vlny tl.160 mm -započítáno vyšší ztratné na přířezy do mezer mezi profily vazníků</t>
  </si>
  <si>
    <t>Pás izolační ze skelné vlny tl.180 mm -započítáno vyšší ztratné na přířezy do mezer mezi profily vazníků</t>
  </si>
  <si>
    <t>M+D Klín z miner.vaty 80-120mm -dle detailu Det2</t>
  </si>
  <si>
    <t>Položení pojistné fólie, včetně dodávky vysoce difúzní fólie -skladba STR02, bod 10</t>
  </si>
  <si>
    <t>Položení foliové parozábrany, včetně dodávky fólie s přelep.spoji -skladba STR02, bod 7</t>
  </si>
  <si>
    <t>Položení netkané textilie podkladní vč.dodávky geotextilie 300/g/m2 -skladba STR02, bod 13</t>
  </si>
  <si>
    <t>Přesun hmot pro izolace tepelné, výšky do 12 m</t>
  </si>
  <si>
    <t>ZTI - Vnitřní kanalizace</t>
  </si>
  <si>
    <t>D+M - Ležaté potrubí (PVC-KG systém) DN 110</t>
  </si>
  <si>
    <t>D+M - Odpadní a připojovací potrubí (HT systém) DN 32</t>
  </si>
  <si>
    <t>D+M - Odpadní a připojovací potrubí (HT systém) DN 50</t>
  </si>
  <si>
    <t>D+M - Odpadní a připojovací potrubí (HT systém) DN 75</t>
  </si>
  <si>
    <t>D+M - Odpadní a připojovací potrubí (HT systém) DN 125</t>
  </si>
  <si>
    <t>D+M - Potrubí PE 100 SDR 11 d40 (40×3,7 mm)</t>
  </si>
  <si>
    <t>Vyvedení a upevnění odpadních výpustek</t>
  </si>
  <si>
    <t>D+M - Čistící kus DN 75</t>
  </si>
  <si>
    <t>D+M - Zátka DN 75</t>
  </si>
  <si>
    <t>D+M - Pč - Kompaktní přečerpávací jednotka čisté a odpadní vody s čerpadlem</t>
  </si>
  <si>
    <t>D+M - K - Vodní zápachová uzávěrka DN32 pro odvod kondenzátu s hygienickým adaptérem a držákem hadiček</t>
  </si>
  <si>
    <t>Drážky pro potrubí DN 32 až 50 - 120x120 mm ve stěně + oprava a začištění omítky</t>
  </si>
  <si>
    <t>Drážky pro potrubí DN 75 až 110 - 150x150 mm ve stěně + oprava a začištění omítky</t>
  </si>
  <si>
    <t>Prostup nosnou konstrukcí pro potrubí + oprava a začištění + utěsnění</t>
  </si>
  <si>
    <t>Drážka v základu pro potrubí + oprava a začištění + utěsnění</t>
  </si>
  <si>
    <t>Ostatní bourací, přípomocné a zednické práce</t>
  </si>
  <si>
    <t>Tlaková zkouška potrubí do DN 200</t>
  </si>
  <si>
    <t>Pročištění potrubí do DN 200</t>
  </si>
  <si>
    <t>Zkouška těsnosti kanalizačního potrubí do DN 200</t>
  </si>
  <si>
    <t>Pojízdné lešení, pomocné konstrukce, montážní plošina v rámci výšky jednoho podlaží</t>
  </si>
  <si>
    <t>Napojení na stávající potrubí</t>
  </si>
  <si>
    <t>Přesun hmot</t>
  </si>
  <si>
    <t>Dokumentace skutečného provedení (3 paré) - není součástí položky ve VRN</t>
  </si>
  <si>
    <t>Koordinace - není součástí položky ve VRN</t>
  </si>
  <si>
    <t>ZTI - Vnitřní plynovod</t>
  </si>
  <si>
    <t>Trubka ocelová DN20</t>
  </si>
  <si>
    <t>Trubka ocelová DN25</t>
  </si>
  <si>
    <t>Trubka ocelová DN50</t>
  </si>
  <si>
    <t>Trubka ocelová DN25, s Bralenovým potahem</t>
  </si>
  <si>
    <t>Trubka ocelová DN32, s Bralenovým potahem</t>
  </si>
  <si>
    <t>Varné koleno černé DN20 - 90°</t>
  </si>
  <si>
    <t>Varné koleno černé DN25 - 90°</t>
  </si>
  <si>
    <t>Varné koleno černé DN32 - 90°</t>
  </si>
  <si>
    <t>Trubkový přechod varný DN32/DN20</t>
  </si>
  <si>
    <t>Varný nátrubek 1" černý</t>
  </si>
  <si>
    <t>Koleno závitové 1"FF černé</t>
  </si>
  <si>
    <t>Vsuvka 1" černá</t>
  </si>
  <si>
    <t>Koleno závitové 3/4"MM mosaz</t>
  </si>
  <si>
    <t>Šroubení topenářské přímé 1" mosaz</t>
  </si>
  <si>
    <t>Kulový kohout závitový 3/4" pro topné plyny , PN25</t>
  </si>
  <si>
    <t>Kulový kohout závitový 1" pro topné plyny , PN25</t>
  </si>
  <si>
    <t>Kulový kohout závitový rohový 1"FF, pro topné plyny , PN25</t>
  </si>
  <si>
    <t>Regulátor tlaku plynu DN25, výst. přetlak 2kPa, jmen. průtok 12m3/h</t>
  </si>
  <si>
    <t>Membránový domovní plynoměr G6, rozteč 250mm</t>
  </si>
  <si>
    <t>Plynová připojovací hadice DN20 - 3/4"MF se šroubením, délka 400mm</t>
  </si>
  <si>
    <t>Dvířka HUP 600x600mm pozink, s rámem pro zazdění</t>
  </si>
  <si>
    <t>Objímka kovová jednošroubová, O30-34, vč. šroubu a hmoždinky</t>
  </si>
  <si>
    <t>Objímka kovová jednošroubová, O46-50, vč. šroubu a hmoždinky</t>
  </si>
  <si>
    <t>Demontáž a likvidace ocelového svařovaného potrubí DN15 - DN25</t>
  </si>
  <si>
    <t>Demontáž a likvidace ocelového svařovaného potrubí DN32 - DN50</t>
  </si>
  <si>
    <t>Zkoušky a revize plynového potrubí dle ČSN EN 1775 -není součástí položky ve VRN</t>
  </si>
  <si>
    <t>01-Ústřední vytápění</t>
  </si>
  <si>
    <t>Napojení TČ na primární okruh</t>
  </si>
  <si>
    <t>Expanzní nádoba primárního okruhu, V=35 l, včetně nastavení tlakových poměrů</t>
  </si>
  <si>
    <t>Pružná připojovací příruba k TČ (kompenzátor chvění)</t>
  </si>
  <si>
    <t>Čerpadlo oběhové primárního okruhu, s automatickou regulací výkonu, Q = 3,0 m3/h, H =10m, P = 310W/230V, včetně těsnění a tepelně izolačního obalu</t>
  </si>
  <si>
    <t>Pojistný ventil primárního okruhu tepelného čerpadla země-voda, 3/4"-1", ot. přetlak 0,3 Mpa</t>
  </si>
  <si>
    <t>Kohout kulový-voda, DN 50, t=120°C, PN16</t>
  </si>
  <si>
    <t>Kohout kulový-voda, DN 25, t=120°C, PN16</t>
  </si>
  <si>
    <t>Kohout kulový-voda se zátkou pro napouštění nemrznoucí směsi, DN 25, t=120°C, PN16</t>
  </si>
  <si>
    <t>Filtr topenářský, závitový DN 50, 120°C, PN16</t>
  </si>
  <si>
    <t>Klapka zpětná, závitová, celomosazná DN 50, 120°C, PN15</t>
  </si>
  <si>
    <t>Manometr technický 0-4 bar, včetně smyčky</t>
  </si>
  <si>
    <t>Třícestný mosazný manometrický kohout</t>
  </si>
  <si>
    <t>Teploměr technický -20 až +40°C, včetně jímky</t>
  </si>
  <si>
    <t>Automatický odvzdušňovací ventil DN15, 120°C, PN16</t>
  </si>
  <si>
    <t>Servisní armatura pro expanzní nádobu, DN 20, t=120°C, PN16</t>
  </si>
  <si>
    <t>Potrubí měděné rozměr 54x2,0, včetně měděných nebo mosazných tvarovek, spojovacího materiálu, konzol</t>
  </si>
  <si>
    <t>Potrubí ocelové bezešvé DN32, včetvě tvarovek, spojovacího materiálu, konzol (odvod čpavku)</t>
  </si>
  <si>
    <t>Tep. izolace kaučuková, na potrubí chlazení., parotěsná, včetně  tvarovek, lepidla vniřní pr./tl.  54/19 mm,</t>
  </si>
  <si>
    <t>Tep. izolace kaučuková tl. 19, armatur, oběhových čerpadel, včetně lepidla</t>
  </si>
  <si>
    <t>Plynové tepelné čerpadlo země/voda pro vnitřní instalaci,
 topný výkon nominální Qt = 41,6 kW při parametrech B0/W35, účinnost využití plynu - 165% (B</t>
  </si>
  <si>
    <t>Digitální regulátor DDC pro řízení tepelného plynového čerpadla země/voda, napájení 230V/10A, 24VAC, komunikační linka pro externí řízení nadřazenou r</t>
  </si>
  <si>
    <t>Komunikátor GPRS pro TČ,  vč. napájecího zdroje a krátké antény</t>
  </si>
  <si>
    <t>Komunikační kabel (CAN-BUS 1*2*20/19AWG+1*,75)</t>
  </si>
  <si>
    <t>Příslušenství TČ pro instalaci (antivibrační podložky, hadice pro odvod kondenzátu )</t>
  </si>
  <si>
    <t>Uvedení TČ do provozu</t>
  </si>
  <si>
    <t>Plynový kondenzační kotel závěsný, Q = 34,7 kW(75/60°C), NSV = 97,1%(75/60°C), obsah CO2 při plném výkonu- 9,5 %, plynulá regulace v rozsahu 20 - 100%</t>
  </si>
  <si>
    <t>Modul kotle pro řízení ohřevu TV - analogové řízení externím signálem 0-10V, včetně čidla teploty TV a jímky</t>
  </si>
  <si>
    <t>Uvedení plynového kotle do provozu</t>
  </si>
  <si>
    <t>Akumulační nádrž V = 800 l, připojovací rozměr 4xDN25, návarky pro teploměr, tlakoměr, snímač regulace, odkalení a odvzdušnění, povrchová úprava zákla</t>
  </si>
  <si>
    <t>Tepelná izolace akumulační nádrže V = 800 l</t>
  </si>
  <si>
    <t>Tlaková expanzní nádoba ÚT, V = 200 l, 6 bar, max 70°C, včetně připojovacího šroubení</t>
  </si>
  <si>
    <t>Souprava měřiče tepla závitového DN25, Qn = 6,0m3/h, (Q = 3,0m3/h/dp = 5 kPa), včetně kalorimetrického počítadla, fluidikového průtokoměru, jímek a od</t>
  </si>
  <si>
    <t>Čerpadlo oběhové závitové, s automatickou regulací výkonu, DN32, Q = 3,2 m3/h, H = 6m, P = 103W/230V, včetně těsnění a tepelně izolačního obalu</t>
  </si>
  <si>
    <t>Pojistný ventil ÚT, 3/4"-1", ot. přetlak 0,3 Mpa</t>
  </si>
  <si>
    <t>Trojcestný přepínací ventil závitový DN32, Kvs 16, PN10, pohon s 2-bodovým řízením, U=24V AC</t>
  </si>
  <si>
    <t>Kohout kulový - voda, DN 50,t=120°C, PN16</t>
  </si>
  <si>
    <t>Kohout kulový - voda, DN 32,t=120°C, PN16</t>
  </si>
  <si>
    <t>Servisní armatura pro expanzní nádobu, DN 25,t=120°C, PN16</t>
  </si>
  <si>
    <t>Filtr topenářský, závitový DN 50,120°C, PN16</t>
  </si>
  <si>
    <t>Filtr s magnetem, závitový DN 32, Qmax=2,1 m3/h, PN3</t>
  </si>
  <si>
    <t>Klapka zpětná pružinová celomosazná, závitová,  DN 50, 120°C, PN15</t>
  </si>
  <si>
    <t>Klapka zpětná pružinová celomosazná, závitová,  DN 32, 120°C, PN15</t>
  </si>
  <si>
    <t>Vypouštěcí kohout DN 15, 120°C, PN16</t>
  </si>
  <si>
    <t>Teploměr technický 0-120°C, včetně jímky</t>
  </si>
  <si>
    <t>Šroubení topenářské do rozměru DN 50</t>
  </si>
  <si>
    <t>Návarek pro tlakové čidlo, navařeno ve 45°úhlu proti směru proudící kapaliny, G1/2"</t>
  </si>
  <si>
    <t>Potrubí ocelové bezešvé DN50, včetvě tvarovek, spojovacího materiálu, konzol</t>
  </si>
  <si>
    <t>Potrubí ocelové bezešvé DN32, včetvě tvarovek, spojovacího materiálu, konzol</t>
  </si>
  <si>
    <t>Potrubí ocelové bezešvé DN25, včetvě tvarovek, spojovacího materiálu, konzol</t>
  </si>
  <si>
    <t>Tep. Izolace pro potrubí DN50 z minerálního vlákna, kašírovaná vyztuženou Al folií, vniřní pr./tl.  57/40 mm</t>
  </si>
  <si>
    <t>Tep. Izolace pro potrubí DN32 z minerálního vlákna, kašírovaná vyztuženou Al folií, vniřní pr./tl.  38/30 mm</t>
  </si>
  <si>
    <t>VZT potrubí pozink. 200x200</t>
  </si>
  <si>
    <t>VZT protidešťová žaluzie 200x200, mat. pozink. plech</t>
  </si>
  <si>
    <t>VZT větrací mřížka 200x200, mat. pozink. plech</t>
  </si>
  <si>
    <t>Demontáž stacionárního plynového kotle Q = 102 kW, včetně odpojení od rozvodu plynu, elektrorozvodů a likvidace</t>
  </si>
  <si>
    <t>Demontáž stacionárního plynového přímotopného zásobníkového ohřívače, včetně odpojení od rozvodů plynu, ZTI, elektrorozvodů a likvidace</t>
  </si>
  <si>
    <t>Demontáž závěsného elektrického zásobníkového ohřívače, včetně odpojení rozvodů ZTI, elektrorozvodů a likvidace</t>
  </si>
  <si>
    <t>Odpojení tlakové expanzní nádoby od rozvodů ÚT</t>
  </si>
  <si>
    <t>Demontáž AL spalinového potrubí v kotelnách do DN200, včetně likvidace</t>
  </si>
  <si>
    <t>Demontáž komína, včetně likvidace</t>
  </si>
  <si>
    <t>Demontáž potrubí ocelového do DN50, včetně tepelné izolace, konzol a likvidace</t>
  </si>
  <si>
    <t>Demontáž potrubí PPR do DN50, včetně tepelné izolace, konzol a likvidace</t>
  </si>
  <si>
    <t>Demontáž oběhových čerpadel ÚT, včetně odpojení od elektrorozvodů a likvidace</t>
  </si>
  <si>
    <t>Nátěry syntetické potrubí ocelového do DN 50, barva základní antikorozní</t>
  </si>
  <si>
    <t>Topná a tlaková zkouška dle ČSN 060310 -není součástí položky ve VRN</t>
  </si>
  <si>
    <t>Propláchnutí systému</t>
  </si>
  <si>
    <t>Přesuny hmot</t>
  </si>
  <si>
    <t>Nátěry pomocných konstrukcí, 2x základní barva, 1x email</t>
  </si>
  <si>
    <t>Označovací štítky na potrubí</t>
  </si>
  <si>
    <t>Zaškolení obsluhy</t>
  </si>
  <si>
    <t>Návrh provozního řádu</t>
  </si>
  <si>
    <t>02-Vnitřní vodovod</t>
  </si>
  <si>
    <t>Nepřímotopný stacionární zásobníkový ohřívač TV V=300l, integrovaný trubkový výměník S = 1,7 m2, vč. tepelné izolace z PU pěny s plastovou povrchovou</t>
  </si>
  <si>
    <t>Elektrická topná patrona G 6/4" s termostatickou hlavicí, výkon P=3kW, jednofázová U=230V/50Hz, I=13,0A</t>
  </si>
  <si>
    <t>Tlaková expanzní nádoba pro pitnou vodu, V=33 l/10 bar</t>
  </si>
  <si>
    <t>Cirkulační čerpadlo TV s integrovanou elektronickou automatickou řídící jednotkou pro udržování konstantní teploty zpátečky, plynulá regulace, vnitřní</t>
  </si>
  <si>
    <t>Automatické doplňovací zařízení pro soustavy s tlakovou exp. nádobou vč. systémového oddělovače, dig. displey pro signalizaci tlaku, kontrolované dopl</t>
  </si>
  <si>
    <t>Připojení doplňovacího zařízení na rozvod vody a uvedení do provozu</t>
  </si>
  <si>
    <t>Vodoměr lopatkový DN15; Qn=1,5m3/h</t>
  </si>
  <si>
    <t>Servisní armatura DN20 pro expanzní nádobu, pitná voda</t>
  </si>
  <si>
    <t>Pojistný ventil 6 bar, pitná voda</t>
  </si>
  <si>
    <t>Klapka zpětná závitová DN 40, pitná voda</t>
  </si>
  <si>
    <t>Klapka zpětná závitová DN 25, pitná voda</t>
  </si>
  <si>
    <t>Filtr topenářský, závitový DN 25,120°C, PN16</t>
  </si>
  <si>
    <t>Kohout kulový DN 40, pitná voda</t>
  </si>
  <si>
    <t>Kohout kulový DN 25, pitná voda</t>
  </si>
  <si>
    <t>Venkovní nezámrzný ventil DN15, pitná voda</t>
  </si>
  <si>
    <t>PE potrubí 63x5,8, SDR11, PN10, včetně tvarovek, spojovacího materiálu</t>
  </si>
  <si>
    <t>PPR potrubí 50x6,9, PN16, včetně tvarovek, spojovacího materiálu</t>
  </si>
  <si>
    <t>PPR potrubí 25x3,5, PN16, včetně tvarovek, spojovacího materiálu</t>
  </si>
  <si>
    <t>PPR potrubí 50x8,3, PN20, včetně tvarovek, spojovacího materiálu</t>
  </si>
  <si>
    <t>PPR potrubí 32x5,4, PN20, včetně tvarovek, spojovacího materiálu</t>
  </si>
  <si>
    <t>Kanalizační PPR potrubí DN 32 mm včetně tvarovek  a kotevního materiálu (odvod kondenzátu)</t>
  </si>
  <si>
    <t>Návleková izolace mat. pěnový polyetylen včetně lepidla, tvarovek  O52mm, tl. 15 mm</t>
  </si>
  <si>
    <t>Návleková izolace mat. pěnový polyetylen včetně lepidla, tvarovek  O35mm, tl. 15 mm</t>
  </si>
  <si>
    <t>03-Komíny a kouřovody</t>
  </si>
  <si>
    <t>Potrubí 80/125mm</t>
  </si>
  <si>
    <t>Kotlový adaptér 80/125mm pro koaxiální připojení kotle</t>
  </si>
  <si>
    <t>Revizní T-kus 87°, 80/125mm</t>
  </si>
  <si>
    <t>Revizní T-kus s odvodem kondenzátu, 80/125mm</t>
  </si>
  <si>
    <t>Revizní koleno 87°, 80/125mm</t>
  </si>
  <si>
    <t>Potrubí 80/125mm se vzduchovou mezerou</t>
  </si>
  <si>
    <t>Pateční koleno 87° s přisáváním, s konzolou, 80/125mm</t>
  </si>
  <si>
    <t>Krycí deska dvojdílná, 80/125mm</t>
  </si>
  <si>
    <t>Revizní T-kus, 80/125mm</t>
  </si>
  <si>
    <t>Vyústění s přisáváním, 80/125mm</t>
  </si>
  <si>
    <t>Slučovač do koncentrického potrubí 80mm-&gt;80/125mm</t>
  </si>
  <si>
    <t>Koleno 80mm, 87°</t>
  </si>
  <si>
    <t>Sifon pro odvod kondenzátu</t>
  </si>
  <si>
    <t>Doplňkový materiál pro instalaci spalinového potrubí, spojovací materiál, objímky,…</t>
  </si>
  <si>
    <t>Revize spalinových cest</t>
  </si>
  <si>
    <t xml:space="preserve">Provedení a vystrojení vrtů pro tepelné čerpadlo  (3 x 150bm)				</t>
  </si>
  <si>
    <t>Prohlídka staveniště stanovení parametrů zakázky</t>
  </si>
  <si>
    <t>Hlášení prací na OBÚ</t>
  </si>
  <si>
    <t>Doprava vrtných souprav a ostatních vozidel</t>
  </si>
  <si>
    <t>Doprava materiálu</t>
  </si>
  <si>
    <t>Doprava osob</t>
  </si>
  <si>
    <t>Ustavení vrtných souprav, zřízení a likvidace dočasných nájezdů a komunikací</t>
  </si>
  <si>
    <t>Zařízení staveniště ( wc, oplocení, sklad materiálu, buňkoviště, označení stavby, přípojky, záchytné jímky…)</t>
  </si>
  <si>
    <t>Spotřeba energií ( voda, elektrika )</t>
  </si>
  <si>
    <t>Vrtání rotačně příklepovou technologií se vzduchovým výplachem o průměru 125/140mm</t>
  </si>
  <si>
    <t>Pažení nezpevněných hornin, nutné zvětšení vrtného průměru</t>
  </si>
  <si>
    <t>Osazení geotermální vertikální sondy</t>
  </si>
  <si>
    <t>Geotermální vertikální sonda ( GVS ) PE - RC 4x32x2,9 ( dvě smyčky na vrt ) délka 150m</t>
  </si>
  <si>
    <t>Závaží pro zavedení sondy do vrtu/ variantně bez závaží pomocí zapouštěcích tyčí</t>
  </si>
  <si>
    <t>Injektážní potrubí d 25mm délka 150m/ variantně injektáž pomocí zapouštěcích/injektážních tyčí</t>
  </si>
  <si>
    <t>Tlaková injektáž od počvy k ústí vrtu pomocí injektážního potrubí</t>
  </si>
  <si>
    <t>Bentonitocementová směs o min. vodivosti 0,6W/mK ( např. dle VDI4640/2 bentonit/cem./voda 25/25/50% )</t>
  </si>
  <si>
    <t>Odvoz a likvidace odvrtané zeminy</t>
  </si>
  <si>
    <t>TRT test - ověřovací zkouška tepelné vodivosti hornin v průběhu realizacev rtného pole pro potvrzení závěrů porovedeného průzkuzmu a projekčních předp</t>
  </si>
  <si>
    <t>Teplotní profily vrtu – měření tepelného gradientu vrtů v průběhu realizace vrtného pole pro potvrzení závěrů porovedeného průzkuzmu a projekčních pře</t>
  </si>
  <si>
    <t>Aktualizace tepelné výtěžnosti  vrtného pole podle ověřovacího TRTtestu a teplotních měření při realizaci vrtů, výpočty, závěrečná zpráva</t>
  </si>
  <si>
    <t>Tlaková a průtočná zkouška na vrtu před a po injektáži vrtu</t>
  </si>
  <si>
    <t>Geodetické zaměření vrtů před zahájením a po dokončení  vrtných prací</t>
  </si>
  <si>
    <t>Závěrečná technická zpráva vrtných prací (kompletní dokladová část díla nutná k získání kolaudačního souhlasu stavby)</t>
  </si>
  <si>
    <t>Dopravní náklady technického dozoru realizace vrtů</t>
  </si>
  <si>
    <t>Sled a řízení prací technikem</t>
  </si>
  <si>
    <t>Dozor projektanta primárního okruhu</t>
  </si>
  <si>
    <t>Geologický dozor zpracovatele hg. posudku</t>
  </si>
  <si>
    <t>Zpracování veškeré potřebné dílenské dokumentace, prováděcího/realizačního projektu a další  dokumentace primárního okruhu TČ</t>
  </si>
  <si>
    <t xml:space="preserve">Vodorovné teplovodní potrubní vedení a sběrná šachta				</t>
  </si>
  <si>
    <t>Redukce počtu větví vrtů - přímá (snížení počtu okruhů)
• redukce 2 x O 32 › 1 x  O 40mm, PE 100 RC, PN16
• 2 x elektrospojka d 32mm
• 1 x elektrospoj</t>
  </si>
  <si>
    <t>Potrubí pro horizontální vedení ( HV - vedení od vrtů k šachtě ) PE-RC (včetně prořezu 10%) 
•  O 40 x 3,7 mm, PN 16</t>
  </si>
  <si>
    <t>Elektrospojka: O 40mm, PE 100</t>
  </si>
  <si>
    <t>Kaučuková izolace (chladírenská): O 40 x 13mm</t>
  </si>
  <si>
    <t>Chránička izolace: na izolaci O 40 x13mm</t>
  </si>
  <si>
    <t xml:space="preserve"> Plně vystrojená sběrná šachta - vývody 3/3  vodotěsná - levé provedení
• 1 x rozdělovač kulové kohouty DN25 - 3 vývody
• 1 x sběrač výstupy 5/4´´ - 3</t>
  </si>
  <si>
    <t>Potrubí pro páteřní vedení ( PV - vedení od šachty do vytápěného objektu) 
•  O 63 x 5,8mm, PE 100, PN 16</t>
  </si>
  <si>
    <t>Elektrospojka: O 63mm, PE 100</t>
  </si>
  <si>
    <t>Kaučuková izolace (chladírenská): O 63 x 13mm</t>
  </si>
  <si>
    <t>Chránička izolace: na izolaci O 63 x13mm</t>
  </si>
  <si>
    <t>Ukončení v technické místnosti : 2 ks uzavírací klapky na páteřním vedení a montáž (podrobnosti provedení dle požadavků navazující části stavby - kote</t>
  </si>
  <si>
    <t>Protažení potrubí do objektu 
(vodotěsná a plynotěsná úprava a prostupy zdí dle projektu jsou v rámci stavební připravenosti)</t>
  </si>
  <si>
    <t>Nemrznoucí kapalina koncentrát (pouze orig. atestovaná teplosměnná kapalina)
teplosměnná antikorozní kapalina, uvažováno ethanol-voda příp. upřesnit d</t>
  </si>
  <si>
    <t>Montážní práce - pokládka potrubí a svařování potrubí</t>
  </si>
  <si>
    <t>Doprava materiálu a osob na lokalitu</t>
  </si>
  <si>
    <t>Osazení sběrné jímky na betonovou podkladní desku</t>
  </si>
  <si>
    <t>Tlaková zkouška celého systému po zapojení</t>
  </si>
  <si>
    <t>Plnění celého systému vč. sběrné šachty a páteřního vedení nemrznoucí kapalinou</t>
  </si>
  <si>
    <t>Sejmutí drnu tl. do 10cm s přemístěním do 50 m</t>
  </si>
  <si>
    <t>Hloubení rýh, šířky do 60 cm, v hor. 3 do 100m3</t>
  </si>
  <si>
    <t>Hloubení rýh, šířky do 200 cm, v hor. 3 do 100m3</t>
  </si>
  <si>
    <t>Příplatek za lepivost - hloubení rýh do 200 cm v hor. 3</t>
  </si>
  <si>
    <t>Vodorovné přemístění výkopku z hor. 1-4 do 50 m</t>
  </si>
  <si>
    <t>Odvoz a likvidace  nezhutnitelných zemin z výkopu (20%)</t>
  </si>
  <si>
    <t>Písek kopaný (podsyp potrubí 0,1m pod a zásyp 0,3 m nad)</t>
  </si>
  <si>
    <t>Dovoz zeminy zhutnitelné pro zásyp rýh</t>
  </si>
  <si>
    <t>Zásyp jam, rýh, šachet se zhutněním</t>
  </si>
  <si>
    <t>Přesun hmot pro zemní úpravy</t>
  </si>
  <si>
    <t>Rekonstrukce travnaté plochy (plošná úprava terénu, založení trávníku, hnojení)</t>
  </si>
  <si>
    <t>Geodetické zaměření primárního okruhu</t>
  </si>
  <si>
    <t>Závěrečná technická zpráva primárního okruhu (kompletní dokladová část díla nutná k získání kolaudačního souhlasu)</t>
  </si>
  <si>
    <t>Dopravní náklady technického dozoru realizace dopojení vrtů</t>
  </si>
  <si>
    <t>Zpracování veškeré potřebné dílenské dokumentace, prováděcího/realizačního projektu a další  dokumentace primárního okruhu TČ -není součástí položky v</t>
  </si>
  <si>
    <t>Konstrukce tesařské</t>
  </si>
  <si>
    <t>Zakrývání provizorní plachtou 12x15m,vč.odstranění</t>
  </si>
  <si>
    <t>Kontrola stavu, vyčištění a vysátí povrchu a vyrovnání -skladba STŘ01, bod 5-bourání, také STR02, bod 6</t>
  </si>
  <si>
    <t>Prohlídka dřev.vazník.kce, posílení hřebík.spojů -vztaženo na plochu střechy</t>
  </si>
  <si>
    <t>Lokální opravy dřev.vazník.kce, zpříložkování (10% kce), nová impregnace -vztaženo na plochu střechy</t>
  </si>
  <si>
    <t>M. bedn.střech rovn. z aglomer.desek šroubováním -skladba STR02, bod 12</t>
  </si>
  <si>
    <t>Deska dřevoštěpková OSB 3 - 4PD tl. 22 mm</t>
  </si>
  <si>
    <t>Demontáž bednění střech rovných z prken hrubých -skladba STŘ 01, bod 3-bourání</t>
  </si>
  <si>
    <t>Spojovací a ochranné prostředky pro střechy</t>
  </si>
  <si>
    <t>Montáž podbíjení střechy, vč.dodávky palubek tl.19mm s lazurou a dřev.impreg.roštu -provedení dle PD, ozn.OS18</t>
  </si>
  <si>
    <t>Demontáž podbíjení obkladů střechy z prken a desek -dle pozn.16</t>
  </si>
  <si>
    <t>Spojovací prostředky pro montáž stropů</t>
  </si>
  <si>
    <t>Přesun hmot pro tesařské konstrukce, výšky do 12 m</t>
  </si>
  <si>
    <t>Konstrukce klempířské</t>
  </si>
  <si>
    <t>Demont. krytiny plech., vč.nástř.prvků a doplňků, do 45° -dle pozn.10, také skladba STŘ 01, bod 1-bourání</t>
  </si>
  <si>
    <t>Demontáž oplechování konce střech -dle pozn.2</t>
  </si>
  <si>
    <t>Demontáž oplechování stříšek nad vstupem -dle pozn.3</t>
  </si>
  <si>
    <t>Demontáž žlabů půlkruh. rovných, rš 330 mm, do 45° -dle pozn.16</t>
  </si>
  <si>
    <t>Demontáž kotlíku kónického, sklon do 45° -dle pozn.16</t>
  </si>
  <si>
    <t>Poklop střešní -kompletní sestava dle popisu v PD, ozn.OS24</t>
  </si>
  <si>
    <t>Oplechování parapetů z Al extr.plechu tl. 2,6 mm, rš 340 mm vč.bočních krytek -provedení dle PD, ozn.K02</t>
  </si>
  <si>
    <t>Oplechování parapetů z Al extr.plechu tl. 2,6 mm, rš 400 mm vč.bočních krytek -provedení dle PD, ozn.K01</t>
  </si>
  <si>
    <t>Demontáž oplechování parapetů,rš od 100 do 330 mm, do suti -dle pozn.2</t>
  </si>
  <si>
    <t>Demontáž odpadních trub kruhových vč.kolen, odskoků -dle pozn.14</t>
  </si>
  <si>
    <t>Žlab podokapní půlkruh.z lak.Pz plechu tl.0,6mm, rš 330 mm ozn.K04</t>
  </si>
  <si>
    <t>Kotlík žlabový oválný z lak. Pz plechu tl.0,6mm, 330/120 mm, ozn.K04</t>
  </si>
  <si>
    <t>Odpadní trouby kruhové z lak.Pz plechu tl.0,6mm, D 120 mm, ozn.K05</t>
  </si>
  <si>
    <t>Oplechování střechy rš.440mm ocel.PZ poplast.plech tl.0,6mm, ozn.K07</t>
  </si>
  <si>
    <t>Oplechování vystupujících portálů rš.550mm ocel.PZ poplast.plech tl.0,6mm, ozn.K09</t>
  </si>
  <si>
    <t>Oplechování stříšky nad vstupem rš.610mm ocel.PZ poplast.plech tl.0,6mm, ozn.K03</t>
  </si>
  <si>
    <t>Průběžný odvětraný hřeben, střecha jednoduchá, do 30° ozn.K08</t>
  </si>
  <si>
    <t>Mřížka ochranná větrací 50x1000 mm -dle detailu Det2</t>
  </si>
  <si>
    <t>Mřížka ochranná protihmyzová 100x1000 mm -dle detailu Det2</t>
  </si>
  <si>
    <t>Přesun hmot pro klempířské konstr., výšky do 12 m</t>
  </si>
  <si>
    <t>Konstrukce truhlářské</t>
  </si>
  <si>
    <t>M+D Výlez do podstřeší s půdními schody -provedení dle popisu v PD, ozn.OS17</t>
  </si>
  <si>
    <t>Demontáž střešních výlezů, do suti, vč.rámu do podkroví provedení dle pozn.29</t>
  </si>
  <si>
    <t>Přesun hmot pro truhlářské konstr., výšky do 12 m</t>
  </si>
  <si>
    <t>Konstrukce doplňkové stavební (zámečnické)</t>
  </si>
  <si>
    <t>Výměna dveřního křídla 1000/2100mm vč.kliky, kování a povrch.úpravy zárubně -provedení dle PD, ozn.OS20</t>
  </si>
  <si>
    <t>Montáž větracích mřížek, vč.dodávky mřížky nerez 300x300mm -dle popisu v PD ozn.OS01</t>
  </si>
  <si>
    <t>Montáž větracích mřížek, vč.dodávky mřížky 150x150mm -dle popisu v PD ozn.OS02</t>
  </si>
  <si>
    <t>Montáž větracích mřížek, vč.dodávky mřížky 150x300mm -dle popisu v PD ozn.OS03</t>
  </si>
  <si>
    <t>Montáž větracích mřížek, vč.dodávky mřížky kruhové D=100mm -dle popisu v PD ozn.OS04</t>
  </si>
  <si>
    <t>Montáž větracích mřížek, vč.dodávky mřížky 200x200mm -dle popisu v PD ozn.OS10</t>
  </si>
  <si>
    <t>M+D Okenní mříž 1395(1050)/750(450)mm, vč.povrch.úpravy -provedení dle popisu v PD, ozn.Z01</t>
  </si>
  <si>
    <t>M+D Okenní mříž 1870(1315)/1900(1320)mm, vč.povrch.úpravy -provedení dle popisu v PD, ozn.Z03</t>
  </si>
  <si>
    <t>M+D Žebřík s ochranným košem, ozn.Z02 -úplné provedení dle popisu v PD</t>
  </si>
  <si>
    <t>M+D Záchytný systém ozn.OS15 -úplné provedení dle popisu v PD</t>
  </si>
  <si>
    <t>Oprava stáv.plech.dvířek elektro, ozn.OS08 -úplné provedení dle popisu v PD, zprůměrovaná cena</t>
  </si>
  <si>
    <t>Demontáž a opětovná montáž čísel budovy, ozn.OS09</t>
  </si>
  <si>
    <t>M+D Venkovní čistící rohož vč.ulož do betonu HI stěrkou ozn.OS23 -úplné provedení dle popisu v PD</t>
  </si>
  <si>
    <t>Přesun hmot pro zámečnické konstr., výšky do 12 m</t>
  </si>
  <si>
    <t>Podlahy z dlaždic</t>
  </si>
  <si>
    <t>Vyrovnání podkladů samonivel. hmotou tl. do 10 mm -kotelna</t>
  </si>
  <si>
    <t>Penetrace podkladu pod dlažby -kotelna</t>
  </si>
  <si>
    <t>Kladení dlažby keramické do TM, vel. do 600x600 mm -kotelna</t>
  </si>
  <si>
    <t>Dlažba keramická protiskluzná -dle výběru investora</t>
  </si>
  <si>
    <t>Obklad soklíků keram.rovných, tmel,výška 10 cm -kotelna</t>
  </si>
  <si>
    <t>Dlažba pro soklíky výšky 100mm -dle výběru investora</t>
  </si>
  <si>
    <t>Přesun hmot pro podlahy z dlaždic, výšky do 12 m</t>
  </si>
  <si>
    <t>Malby</t>
  </si>
  <si>
    <t>Oprášení/ometení podkladu, ozn.OS14 -provedení dle PD -kotelna, chodby, schodiště, strop nad 2.NP</t>
  </si>
  <si>
    <t>Zakrytí podlah, včetně papírové lepenky</t>
  </si>
  <si>
    <t>Penetrace podkladu nátěrem 1 x ,vč.vyspravení trhlin, ozn.OS14 -kotelna, chodby, schodiště, strop nad 2.NP</t>
  </si>
  <si>
    <t>Malba latexová, barva, bez penetrace, 2 x , ozn.OS14 -sokl chodeb a schodišť</t>
  </si>
  <si>
    <t>Malba otěruvzdorná, prodyšná, bílá, bez penetrace, 2 x ozn.OS14 -kotelna, chodby, schodiště, strop nad 2.NP</t>
  </si>
  <si>
    <t>Elektromontáže</t>
  </si>
  <si>
    <t>Demontáž a opětovná montáž osvětlení vstupů do budovy, ozn. OS07 -úplné provedení dle popisu v PD</t>
  </si>
  <si>
    <t>Demontáž a opětovná montáž osvětlení východní fasády, ozn. OS11 -úplné provedení dle popisu v PD</t>
  </si>
  <si>
    <t>Výměna svítidla v kotelně, ozn. OS21 -úplné provedení dle popisu v PD</t>
  </si>
  <si>
    <t>Demontáž hromosvodu -úplné provedení dle popisu v PD, pozn.05</t>
  </si>
  <si>
    <t>Demontáž a opětovná montáž antény WIFI dle popisu v PD, ozn.OS06</t>
  </si>
  <si>
    <t>Demontáž rozváděče (nástěnná plastová skříň)</t>
  </si>
  <si>
    <t>Demontáž kabelové trasy (průřez max. 3x2,5)</t>
  </si>
  <si>
    <t>Demontáž kabelové trasy (průřez max. 5x10)</t>
  </si>
  <si>
    <t>Krabice přístrojová, pod omítku</t>
  </si>
  <si>
    <t>Krabice rozbočovací, pod omítku</t>
  </si>
  <si>
    <t>Svorka</t>
  </si>
  <si>
    <t>Skříňka hlavního ochranného pospojení (EP)</t>
  </si>
  <si>
    <t>1-YY 1x6 - uložení pod omítkou</t>
  </si>
  <si>
    <t>1-YY 1x16 - uložení pod omítkou</t>
  </si>
  <si>
    <t>1-CYKY 3x1,5 - uložení pod omítkou</t>
  </si>
  <si>
    <t>1-CYKY 3x2,5 - uložení pod omítkou</t>
  </si>
  <si>
    <t>1-CYKY 5x6 - uložení pod omítkou</t>
  </si>
  <si>
    <t>RS - Úprava a dozbrojení stávajícího rozváděče, přístrojová výzbroj dle výkresové dokumentace: výkres č. 301</t>
  </si>
  <si>
    <t>JS.01 - Jímací stožár izolovaný ( držák, podpůrná trubka 2 m, připojovací sada pro vodiče, jímací tyč 2,5 m, včetně PA svorky a ukotvení</t>
  </si>
  <si>
    <t>VO.01 - Vysokonapěťový izolovaný vodič (vysokonapěťová izolace pro s = 0,75 m), včetně podpěr a kotvení</t>
  </si>
  <si>
    <t>VO.02 - Vodič FeZn pr. 10 včetně kotvení a podpěr</t>
  </si>
  <si>
    <t>VO.03 - Základový zemnící pásek FeZn 30/4 včetně betonového krytí 5 cm</t>
  </si>
  <si>
    <t>SZ.01 - Svorka zkušební včetně litinové chodníkové krabice</t>
  </si>
  <si>
    <t>SV.01 - Spoj provedený svárem</t>
  </si>
  <si>
    <t>Vodič 1-YY 1x6 pro pospojení PA svorek, včetně podpěr a kotvení</t>
  </si>
  <si>
    <t>Revize-není součástí položky ve VRN</t>
  </si>
  <si>
    <t>Realizační dokumentace</t>
  </si>
  <si>
    <t>Dokumentace skutečného provedení stavby-není součástí položky ve VRN</t>
  </si>
  <si>
    <t>Drobný montážní materiál</t>
  </si>
  <si>
    <t>Prostupy a požární ucpávky</t>
  </si>
  <si>
    <t>Montáže sdělovací a zabezpečovací techniky</t>
  </si>
  <si>
    <t>Stožár a kotvení na sedl.střechu-montáž a dodávka -provedení dle PD, ozn.OS25</t>
  </si>
  <si>
    <t>Kompletace a montáž antén, přepojení prvků, vč.nasměrování -provedení dle PD, ozn.OS25</t>
  </si>
  <si>
    <t>Měření a regulace</t>
  </si>
  <si>
    <t>Rozváděčová skříň, svorkovnice nahoře, krytí IP55, rozměry šxvxh=600x800x210 včetně vnitřní výbavy: hlavní vypínač 25A/400V, napájení zajistí profese</t>
  </si>
  <si>
    <t>Další příslušenství rozvaděče: bezpečnostní trafo 230V/24V/125VA, napěťový zdroj 24V DC/5A, servisní zásuvka 230V/10A, pomocná relé, jističe, svorky,</t>
  </si>
  <si>
    <t>Vývod pro tepelné čerpadlo + oběhová čerpadla, napájení 850W/230V, v sestavě: jistič 10A/1B, montážní příslušenství</t>
  </si>
  <si>
    <t>Vývod pro zásuvku pro napájení GPRS komunikátoru TČ, napájení 230V/20W, v sestavě: jistič 10A/1B, montážní příslušenství</t>
  </si>
  <si>
    <t>Vývod pro plynový kotel, napájení 200W/230V, v sestavě: jistič 10A/1B, montážní příslušenství</t>
  </si>
  <si>
    <t>Vývod pro elektronický motor čerpadla do 130W/230V, v sestavě:  motorový spouštěč + jednotka pomocných kontaktů, stykač + jednotky pomocných kontaktů,</t>
  </si>
  <si>
    <t>Vývod pro elektrickou topnou patronu, v sestavě: jistič 10A/3B, stykač + jednotka pomocných kontaktů, ovladač A-0-R a signálka chodu na panelu, montáž</t>
  </si>
  <si>
    <t>Vývod pro zásuvku pro napájení kalového čerpadla, napájení 230V/750W, v sestavě: jistič 10A/1B, proudový chránič 30mA, montážní příslušenství</t>
  </si>
  <si>
    <t>Vývod pro zásuvku pro napájení automatického doplňovacího zařízení, napájení 230V/10W, v sestavě: jistič 10A/1B, proudový chránič 30mA, montážní přísl</t>
  </si>
  <si>
    <t>Vývod pro napájení DDC regulátoru tepelného čerpadla 24VAC, v sestavě: jistič 2A/1C, montážní příslušenství</t>
  </si>
  <si>
    <t>Vývod pro napájení DDC regulátoru MaR, 230V, v sestavě: jistič 6A/1B, montážní příslušenství</t>
  </si>
  <si>
    <t>Vývod pro ovládání stykačů 230V/50Hz, v sestavě: jistič 6A/1B, montážní příslušenství</t>
  </si>
  <si>
    <t>Vývod rezervní v sestavě: jistič 16A/1B, montážní příslušenství</t>
  </si>
  <si>
    <t>Vývod rezervní v sestavě: jistič 10A/1B, montážní příslušenství</t>
  </si>
  <si>
    <t>Vývod pro ochranné pospojování /kotelna/ pr. 6 mm2 Cu</t>
  </si>
  <si>
    <t>DDC regulátor včetně rozšiřujících modulů, komunikace RS232, komunikace RS485, komunikace Ethernet, 3xAO, 11xDI, 8xDO, 10xAI, klávesnice, displej 4x20</t>
  </si>
  <si>
    <t>Komunikační převodník RS232/RS485</t>
  </si>
  <si>
    <t>Tepelné čerpadlo země/voda, vnitřní instalace, napájení 230V/410W, včetně teplotních čidel a vlastní regulace - dodávka ÚT</t>
  </si>
  <si>
    <t>Čerpadlo oběhové s elektronickým řízením, napájení 230V/310W, připojení do regulace TČ - dodávka ÚT</t>
  </si>
  <si>
    <t>Čerpadlo oběhové s elektronickým řízením, napájení 230V/130W, připojení do regulace TČ - dodávka ÚT</t>
  </si>
  <si>
    <t>Zásuvka IP44, 230V~, 10A, pro napájení GPRS komunikátoru TČ</t>
  </si>
  <si>
    <t>Odporový snímač teploty Ni1000/6180ppm, příložný, rozsah -30 až +120°C, krytí IP54</t>
  </si>
  <si>
    <t>Odporový snímač teploty venkovní, Ni1000/6180ppm, IP54, -50 až +70°C</t>
  </si>
  <si>
    <t>Plynový kondenzační kotel, napájení 230V/200W, možnost řízení výkonu kotle signálem 0-10V, signalizace poruchy kotle - dodávka ÚT</t>
  </si>
  <si>
    <t>Servopohon ventilu včetně adaptéru, napájení 24V AC nebo DC, ovládání otevř./zavř. - dodávka ÚT</t>
  </si>
  <si>
    <t>Čerpadlo oběhové (cirkulační) s elektronickým řízením, napájení 230V/40W - dodávka ZTI</t>
  </si>
  <si>
    <t>Odporový snímač teploty Ni1000/6180ppm, do jímky délky 200mm, rozsah -30 až +120°C, krytí IP54</t>
  </si>
  <si>
    <t>Jímka pro čidlo teploty, G1/2", 200 mm</t>
  </si>
  <si>
    <t>Regulátor teploty kapilárový, 0 až 90°C, kapilára 10 cm, rozpínací kontakt</t>
  </si>
  <si>
    <t>Jímka pro regulátor teploty, G3/4", 70 mm</t>
  </si>
  <si>
    <t>Elektrická topná patrona, napájení 230V/3kW, okruh s ochranným a provozním termostatem - dodávka ÚT</t>
  </si>
  <si>
    <t>Čerpadlo oběhové s elektronickým řízením, napájení 230V/130W - dodávka ÚT</t>
  </si>
  <si>
    <t>Zásuvka IP44, 230V~, 10A, pro napájení kalového čerpadla</t>
  </si>
  <si>
    <t>Kalové čerpadlo s plovákovým spínačem, napájení 230V/750W - dodávka ZTI</t>
  </si>
  <si>
    <t>Snímač tlaku, rozsah 0 až 6 bar, napájení 24V AC nebo DC, výstupní signál 0-10V</t>
  </si>
  <si>
    <t>Manometrické příslušenství - návarek, kohout, těsnění</t>
  </si>
  <si>
    <t>Zásuvka IP44, 230V~, 10A, pro napájení aut. doplňovacího zařízení</t>
  </si>
  <si>
    <t>Automatické doplňovací zařízení, napájení 230V/10W, zapojení do zásuvky, signalizace poruchy - dodávka ÚT</t>
  </si>
  <si>
    <t>Hřibové tlačítko červené s aretací v plastové skříni, kontakty 1/1, 24V, tlačítko s ochranným krytem - sklem proti nahodilé manipulaci</t>
  </si>
  <si>
    <t>Snímač zaplavení, s reléovým výstupem, montáž na DIN lištu, výstup OUT E, relé, napájení 24V DC nebo 24V AC + vodivostní sonda</t>
  </si>
  <si>
    <t>Plastová krabice včetně houkačky a signálky, krytí IP54</t>
  </si>
  <si>
    <t>Detektor úniku čpavku, signalizace 1. a 2. stupně detekce</t>
  </si>
  <si>
    <t>Drátěný žlab 100x50 vč. montážního příslušenství</t>
  </si>
  <si>
    <t>Drátěný žlab 50x50 vč. montážního příslušenství</t>
  </si>
  <si>
    <t>PVC žlab 40x40 včetně montážního příslušenství</t>
  </si>
  <si>
    <t>PVC žlab 40x20 včetně montážního příslušenství</t>
  </si>
  <si>
    <t>PVC trubka pevná DN25, včetně příchytek</t>
  </si>
  <si>
    <t>PVC trubka ohebná DN25 včetně příchytek</t>
  </si>
  <si>
    <t>Kabelové štítky plastové s popisem kabelu včetně upevnění na kabel</t>
  </si>
  <si>
    <t>Elektroinstalační krabice vč. svorek a průchodek</t>
  </si>
  <si>
    <t>Drobný instalační materiál - sada</t>
  </si>
  <si>
    <t>Protipožární kabelové ucpávky - dle PBŘ</t>
  </si>
  <si>
    <t>JYTY 2Dx1</t>
  </si>
  <si>
    <t>JYTY 4Dx1</t>
  </si>
  <si>
    <t>CYKY 3Jx1,5</t>
  </si>
  <si>
    <t>CYKY 3Jx2,5</t>
  </si>
  <si>
    <t>CYKY 5Jx1,5</t>
  </si>
  <si>
    <t>UTP CAT5e</t>
  </si>
  <si>
    <t>CYA6 žz</t>
  </si>
  <si>
    <t>Projekt skutečného provedení -není součástí položky ve VRN</t>
  </si>
  <si>
    <t>Montážní dokumentace /schéma zapojení rozvaděče/</t>
  </si>
  <si>
    <t>Software DDC regulátoru (datové body)</t>
  </si>
  <si>
    <t>Software DDC regulátoru (webový server)</t>
  </si>
  <si>
    <t>Demontážní práce EI a MaR (rozvaděč + kabeláže)</t>
  </si>
  <si>
    <t>Montážní práce MaR</t>
  </si>
  <si>
    <t>Výchozí revize el. Zařízení -není součástí položky ve VRN</t>
  </si>
  <si>
    <t>Zprovoznění a regulace tepelného čerpadla</t>
  </si>
  <si>
    <t>Uvedení do provozu, nastavení regulace</t>
  </si>
  <si>
    <t>Funkční zkouška 72hod.</t>
  </si>
  <si>
    <t>Zaškolení obsluhy, návod k obsluze</t>
  </si>
  <si>
    <t>Doprava</t>
  </si>
  <si>
    <t>Vedlejší a ostatní rozpočtové náklady</t>
  </si>
  <si>
    <t>Geodetické práce při a po výstavbě</t>
  </si>
  <si>
    <t>Zařízení staveniště</t>
  </si>
  <si>
    <t>Provozní a územní vlivy</t>
  </si>
  <si>
    <t>Koordinační činnost</t>
  </si>
  <si>
    <t>Revize a zkoušky</t>
  </si>
  <si>
    <t>Dokumentace skut.provedení stavby</t>
  </si>
  <si>
    <t>Výrobní a dílenská dokumentace</t>
  </si>
  <si>
    <t>Doba výstavby:</t>
  </si>
  <si>
    <t>Začátek výstavby:</t>
  </si>
  <si>
    <t>Konec výstavby:</t>
  </si>
  <si>
    <t>Zpracováno dne:</t>
  </si>
  <si>
    <t>MJ</t>
  </si>
  <si>
    <t>kus</t>
  </si>
  <si>
    <t>m2</t>
  </si>
  <si>
    <t>m</t>
  </si>
  <si>
    <t>m3</t>
  </si>
  <si>
    <t>t</t>
  </si>
  <si>
    <t>h</t>
  </si>
  <si>
    <t>hod</t>
  </si>
  <si>
    <t>set</t>
  </si>
  <si>
    <t>soub</t>
  </si>
  <si>
    <t>bod</t>
  </si>
  <si>
    <t>l</t>
  </si>
  <si>
    <t>kpl</t>
  </si>
  <si>
    <t>Množství</t>
  </si>
  <si>
    <t>Objednatel:</t>
  </si>
  <si>
    <t>Projektant:</t>
  </si>
  <si>
    <t>Zhotovitel:</t>
  </si>
  <si>
    <t>Zpracoval:</t>
  </si>
  <si>
    <t>Cena/MJ</t>
  </si>
  <si>
    <t>(Kč)</t>
  </si>
  <si>
    <t> </t>
  </si>
  <si>
    <t>Náklady (Kč)</t>
  </si>
  <si>
    <t>Dodávka</t>
  </si>
  <si>
    <t>Celkem:</t>
  </si>
  <si>
    <t>Montáž</t>
  </si>
  <si>
    <t>Celkem</t>
  </si>
  <si>
    <t>Cenová</t>
  </si>
  <si>
    <t>soustava</t>
  </si>
  <si>
    <t>RTS I / 2020</t>
  </si>
  <si>
    <t>Přesuny</t>
  </si>
  <si>
    <t>Typ skupiny</t>
  </si>
  <si>
    <t>HSV mat</t>
  </si>
  <si>
    <t>HSV prac</t>
  </si>
  <si>
    <t>PSV mat</t>
  </si>
  <si>
    <t>PSV prac</t>
  </si>
  <si>
    <t>Mont mat</t>
  </si>
  <si>
    <t>Mont prac</t>
  </si>
  <si>
    <t>Ostatní mat.</t>
  </si>
  <si>
    <t>11_</t>
  </si>
  <si>
    <t>12_</t>
  </si>
  <si>
    <t>13_</t>
  </si>
  <si>
    <t>16_</t>
  </si>
  <si>
    <t>17_</t>
  </si>
  <si>
    <t>18_</t>
  </si>
  <si>
    <t>21_</t>
  </si>
  <si>
    <t>27_</t>
  </si>
  <si>
    <t>31_</t>
  </si>
  <si>
    <t>56_</t>
  </si>
  <si>
    <t>59_</t>
  </si>
  <si>
    <t>61_</t>
  </si>
  <si>
    <t>62_</t>
  </si>
  <si>
    <t>63_</t>
  </si>
  <si>
    <t>83_</t>
  </si>
  <si>
    <t>89_</t>
  </si>
  <si>
    <t>91_</t>
  </si>
  <si>
    <t>94_</t>
  </si>
  <si>
    <t>95_</t>
  </si>
  <si>
    <t>96_</t>
  </si>
  <si>
    <t>97_</t>
  </si>
  <si>
    <t>98_</t>
  </si>
  <si>
    <t>S_</t>
  </si>
  <si>
    <t>H99_</t>
  </si>
  <si>
    <t>712_</t>
  </si>
  <si>
    <t>713_</t>
  </si>
  <si>
    <t>721_</t>
  </si>
  <si>
    <t>723_</t>
  </si>
  <si>
    <t>730-1_</t>
  </si>
  <si>
    <t>730-2_</t>
  </si>
  <si>
    <t>730-3_</t>
  </si>
  <si>
    <t>732a_</t>
  </si>
  <si>
    <t>733a_</t>
  </si>
  <si>
    <t>762_</t>
  </si>
  <si>
    <t>764_</t>
  </si>
  <si>
    <t>766_</t>
  </si>
  <si>
    <t>767_</t>
  </si>
  <si>
    <t>771_</t>
  </si>
  <si>
    <t>784_</t>
  </si>
  <si>
    <t>M21_</t>
  </si>
  <si>
    <t>M22_</t>
  </si>
  <si>
    <t>M22a_</t>
  </si>
  <si>
    <t>VRN_</t>
  </si>
  <si>
    <t>1_</t>
  </si>
  <si>
    <t>2_</t>
  </si>
  <si>
    <t>3_</t>
  </si>
  <si>
    <t>5_</t>
  </si>
  <si>
    <t>6_</t>
  </si>
  <si>
    <t>8_</t>
  </si>
  <si>
    <t>9_</t>
  </si>
  <si>
    <t>71_</t>
  </si>
  <si>
    <t>72_</t>
  </si>
  <si>
    <t>73_</t>
  </si>
  <si>
    <t>76_</t>
  </si>
  <si>
    <t>77_</t>
  </si>
  <si>
    <t>78_</t>
  </si>
  <si>
    <t>_</t>
  </si>
  <si>
    <t>MAT</t>
  </si>
  <si>
    <t>WORK</t>
  </si>
  <si>
    <t>CELK</t>
  </si>
  <si>
    <t>Slepý stavební rozpočet - rekapitulace</t>
  </si>
  <si>
    <t>Objekt</t>
  </si>
  <si>
    <t>Zkrácený popis</t>
  </si>
  <si>
    <t>Náklady (Kč) - dodávka</t>
  </si>
  <si>
    <t>Náklady (Kč) - Montáž</t>
  </si>
  <si>
    <t>Náklady (Kč) - celkem</t>
  </si>
  <si>
    <t>T</t>
  </si>
  <si>
    <t>Výkaz výměr</t>
  </si>
  <si>
    <t>1   </t>
  </si>
  <si>
    <t>(30,55+4,55+2,6+24,35+2,3)*0,5   </t>
  </si>
  <si>
    <t>6,45*0,5   </t>
  </si>
  <si>
    <t>(3,1*0,9)*2   </t>
  </si>
  <si>
    <t>0,9*2*2   </t>
  </si>
  <si>
    <t>3,1   </t>
  </si>
  <si>
    <t>(31,7+3,75+5,65+30,55+3,45)*(1,15-0,5)*0,2   </t>
  </si>
  <si>
    <t>(31,7+3,75+5,65+30,55+3,45)*(1,15+0,7)/2*1,45   </t>
  </si>
  <si>
    <t>100,728   </t>
  </si>
  <si>
    <t>1,5*1,5*0,98   </t>
  </si>
  <si>
    <t>1,45*0,8*1,0   </t>
  </si>
  <si>
    <t>(100,728+2,205+1,16)-(62,388+59,169+1,86+1,044)   </t>
  </si>
  <si>
    <t>0*1,75   </t>
  </si>
  <si>
    <t>0   </t>
  </si>
  <si>
    <t>(31,7+3,75+5,65+30,55+3,45)*(1,05+0,6)/2*0,955   </t>
  </si>
  <si>
    <t>(6,2*8,05)*1,25   </t>
  </si>
  <si>
    <t>1,5*1,5*0,98-0,345   </t>
  </si>
  <si>
    <t>1,45*0,8*0,9   </t>
  </si>
  <si>
    <t>(31,7+3,75+5,65+30,55+3,45-3,1*2)*(1,15-0,5)   </t>
  </si>
  <si>
    <t>6,2*8,05   </t>
  </si>
  <si>
    <t>100   </t>
  </si>
  <si>
    <t>(30,55*2+12,65+9,45)   </t>
  </si>
  <si>
    <t>0,8*0,8*0,1   </t>
  </si>
  <si>
    <t>1,75*1,69*0,1   </t>
  </si>
  <si>
    <t>1,0*2,1*0,45   </t>
  </si>
  <si>
    <t>4*0,78*0,0104*1,05   </t>
  </si>
  <si>
    <t>(30,865+6,37+11,85+6,41+11,67+8,15)*0,5   </t>
  </si>
  <si>
    <t>3,7*4,5   </t>
  </si>
  <si>
    <t>0,4*0,46+1,0*2,1+(0,4*0,6-0,3*0,3)   </t>
  </si>
  <si>
    <t>(16,4*0,75)+(0,35*0,6)*2+(1,0*0,35)-1,0*0,6-1,2*0,45+2,4*0,2   </t>
  </si>
  <si>
    <t>(30,87*9,485)-(30,87*0,35+3,5*1,1+1,2*0,5+12,4*0,1+4,8*1,65)   </t>
  </si>
  <si>
    <t>(16,4+0,35*2)*1,5-1,0*1,5-1,2*0,15   </t>
  </si>
  <si>
    <t>1,0*2,1*2+1,2*0,6*12+0,9*0,6*4+1,5*1,5*24+0,9*1,2*10+1,0*3,05*2   </t>
  </si>
  <si>
    <t>(30,865*2+10,35+7,15+0,25*4)*1,0-1,2*0,6*12-0,9*0,6*4-1,0*1,0*2   </t>
  </si>
  <si>
    <t>(30,865*2+10,35+7,15+0,25*4)*1,35   </t>
  </si>
  <si>
    <t>(30,865*2+0,25*4)*6,775+(10,35+7,15)*7,285-1,0*1,1*2-1,5*1,5*24-0,9*1,2*10-1,0*3,05*2   </t>
  </si>
  <si>
    <t>(2,4*12+2,1*4)*0,31+(5,1*2+4,5*24+3,3*10)*0,26   </t>
  </si>
  <si>
    <t>40   </t>
  </si>
  <si>
    <t>(30,865*2+10,35+7,15+0,25*4)   </t>
  </si>
  <si>
    <t>7,85*2   </t>
  </si>
  <si>
    <t>47,0+18,0   </t>
  </si>
  <si>
    <t>67,43+108,311+479,383+50,844   </t>
  </si>
  <si>
    <t>5,2*2+2,4*12+2,1*4+4,5*24+3,3*10+7,1*2   </t>
  </si>
  <si>
    <t>705,968   </t>
  </si>
  <si>
    <t>705,968/2   </t>
  </si>
  <si>
    <t>1,0*1,0   </t>
  </si>
  <si>
    <t>4   </t>
  </si>
  <si>
    <t>8   </t>
  </si>
  <si>
    <t>3   </t>
  </si>
  <si>
    <t>1,0*2*2   </t>
  </si>
  <si>
    <t>0,9*4*0,3*0,15   </t>
  </si>
  <si>
    <t>(31,865*2+0,25*4)*(7,775+1,2)+(10,35+7,15)*(8,285+1,2)   </t>
  </si>
  <si>
    <t>746,939*2   </t>
  </si>
  <si>
    <t>20   </t>
  </si>
  <si>
    <t>345,786   </t>
  </si>
  <si>
    <t>0,5*3*8,0   </t>
  </si>
  <si>
    <t>150   </t>
  </si>
  <si>
    <t>6   </t>
  </si>
  <si>
    <t>(1,0*1,2*0,1)   </t>
  </si>
  <si>
    <t>(30,55*0,15*0,12)*2   </t>
  </si>
  <si>
    <t>(0,55+2,4+0,55)*0,25*(10,65+1,45)+(2,4*0,25)*2,2   </t>
  </si>
  <si>
    <t>1,5*1,5*0,15   </t>
  </si>
  <si>
    <t>(3,7*4,5)-1,0*1,2   </t>
  </si>
  <si>
    <t>(3,7+4,5+0,35)*2-1,0+(1,0+1,2)*2   </t>
  </si>
  <si>
    <t>15   </t>
  </si>
  <si>
    <t>(0,25*10,65)*2+(0,45*3,45)*2   </t>
  </si>
  <si>
    <t>(30,865*2+10,35+7,15+0,25*4)*1,35*0,7   </t>
  </si>
  <si>
    <t>108,311*0,3   </t>
  </si>
  <si>
    <t>1,3*0,6*2   </t>
  </si>
  <si>
    <t>1,5*1,5*2   </t>
  </si>
  <si>
    <t>0,1+0,3+0,45*3   </t>
  </si>
  <si>
    <t>0,1+0,3+0,45*2   </t>
  </si>
  <si>
    <t>4*2   </t>
  </si>
  <si>
    <t>2,25   </t>
  </si>
  <si>
    <t>(30,865*2+0,25*4)*6,775+(10,35+7,15)*7,285-(1,0*1,1*2+1,5*1,5*24+0,9*1,2*10+1,0*3,05*2)   </t>
  </si>
  <si>
    <t>(30,865*2+10,35+7,15+0,25*4)*1,0-(1,2*0,6*12+0,9*0,6*4+1,0*1,0*2)   </t>
  </si>
  <si>
    <t>(1,0+3,75)*3,45-1,0*2,1+(1,9*10,65)   </t>
  </si>
  <si>
    <t>(1,9*10,65)   </t>
  </si>
  <si>
    <t>6,2*8,05*3,45   </t>
  </si>
  <si>
    <t>154,509/4   </t>
  </si>
  <si>
    <t>154,509/6   </t>
  </si>
  <si>
    <t>3,378+5,917+109,857+22,446+0,128+0,317+4,814+7,652   </t>
  </si>
  <si>
    <t>154,509*9   </t>
  </si>
  <si>
    <t>154,509*4   </t>
  </si>
  <si>
    <t>3,378   </t>
  </si>
  <si>
    <t>4,44+0,445+0,744+0,288   </t>
  </si>
  <si>
    <t>49,463+1,546+0,257+0,336+0,185+58,07   </t>
  </si>
  <si>
    <t>22,43+0,016   </t>
  </si>
  <si>
    <t>0,128   </t>
  </si>
  <si>
    <t>0,317   </t>
  </si>
  <si>
    <t>1,116+0,249+3,449   </t>
  </si>
  <si>
    <t>5,173+2,479   </t>
  </si>
  <si>
    <t>35,003+0,999+2,262+23,889+13,493+9,908+37,834+0,438+14,381+1,866+0,908+15,073+0,757   </t>
  </si>
  <si>
    <t>(5,57*30,96)*2   </t>
  </si>
  <si>
    <t>(5,545*31,18)*2   </t>
  </si>
  <si>
    <t>4,31   </t>
  </si>
  <si>
    <t>(10,0*30,2)   </t>
  </si>
  <si>
    <t>;ztratné 10%; 30,2   </t>
  </si>
  <si>
    <t>62,5   </t>
  </si>
  <si>
    <t>1,439   </t>
  </si>
  <si>
    <t>2   </t>
  </si>
  <si>
    <t>10,0*30,2   </t>
  </si>
  <si>
    <t>;ztratné 5%; 17,2893   </t>
  </si>
  <si>
    <t>345,786*0,022   </t>
  </si>
  <si>
    <t>54,9   </t>
  </si>
  <si>
    <t>54,9*0,019   </t>
  </si>
  <si>
    <t>31,598   </t>
  </si>
  <si>
    <t>106   </t>
  </si>
  <si>
    <t>(1,6*0,61)*2   </t>
  </si>
  <si>
    <t>1,5*24+1,0*2+0,9*10   </t>
  </si>
  <si>
    <t>1,2*12+0,9*4   </t>
  </si>
  <si>
    <t>1,2*2+0,9+0,895+1,2*4+0,9*10+1,5*12+0,9*4+0,905+1,5*12+0,9*4+0,905+1,0*2   </t>
  </si>
  <si>
    <t>31   </t>
  </si>
  <si>
    <t>53,0*2   </t>
  </si>
  <si>
    <t>3,1*2   </t>
  </si>
  <si>
    <t>1,6*2   </t>
  </si>
  <si>
    <t>31,18   </t>
  </si>
  <si>
    <t>4,744   </t>
  </si>
  <si>
    <t>0,047   </t>
  </si>
  <si>
    <t>0,759   </t>
  </si>
  <si>
    <t>3,7*4,5-1,75*1,69   </t>
  </si>
  <si>
    <t>13,693   </t>
  </si>
  <si>
    <t>;ztratné 5%; 0,68465   </t>
  </si>
  <si>
    <t>(3,7+4,5+0,35)*2-1,0+1,69*2   </t>
  </si>
  <si>
    <t>19,48*0,1   </t>
  </si>
  <si>
    <t>;ztratné 25%; 0,487   </t>
  </si>
  <si>
    <t>0,4   </t>
  </si>
  <si>
    <t>3,7*4,5+(30,87*9,485)-(30,87*0,35+3,5*1,1+1,2*0,5+12,4*0,1+4,8*1,65)   </t>
  </si>
  <si>
    <t>(30,62*2*1,3)-16,2*1,3+(29,42*2*1,3)-13,5*1,3+(21,055*2*1,3)-9,0*1,3+(24,4*1,3)*2+(13,6*1,3)   </t>
  </si>
  <si>
    <t>(30,62*2*1,54)-16,2*0,72+(29,42*2*1,54)-13,5*0,82+(21,055*2*1,55)-9,0*0,72+(24,4*1,54)*2+(13,6*1,54)   </t>
  </si>
  <si>
    <t>(30,62+29,42+21,055)*1,1+(2,2*5,1)*2*2+(4,0*4,8)   </t>
  </si>
  <si>
    <t>Potřebné množství</t>
  </si>
  <si>
    <t>Rozpočtové náklady v Kč</t>
  </si>
  <si>
    <t>A</t>
  </si>
  <si>
    <t>HSV</t>
  </si>
  <si>
    <t>PSV</t>
  </si>
  <si>
    <t>"M"</t>
  </si>
  <si>
    <t>Ostatní materiál</t>
  </si>
  <si>
    <t>Přesun hmot a sutí</t>
  </si>
  <si>
    <t>ZRN celkem</t>
  </si>
  <si>
    <t>Základ 0%</t>
  </si>
  <si>
    <t>Základ 21%</t>
  </si>
  <si>
    <t>Projektant</t>
  </si>
  <si>
    <t>Datum, razítko a podpis</t>
  </si>
  <si>
    <t>Základní rozpočtové náklady</t>
  </si>
  <si>
    <t>Dodávky</t>
  </si>
  <si>
    <t>Krycí list slepého rozpočtu</t>
  </si>
  <si>
    <t>B</t>
  </si>
  <si>
    <t>Práce přesčas</t>
  </si>
  <si>
    <t>Bez pevné podl.</t>
  </si>
  <si>
    <t>Kulturní památka</t>
  </si>
  <si>
    <t>Vedlejší náklady</t>
  </si>
  <si>
    <t>DN celkem</t>
  </si>
  <si>
    <t>DN celkem z obj.</t>
  </si>
  <si>
    <t>DPH 21%</t>
  </si>
  <si>
    <t>Objednatel</t>
  </si>
  <si>
    <t>Doplňkové náklady</t>
  </si>
  <si>
    <t>C</t>
  </si>
  <si>
    <t>Mimostav. doprava</t>
  </si>
  <si>
    <t>Územní vlivy</t>
  </si>
  <si>
    <t>Provozní vlivy</t>
  </si>
  <si>
    <t>Ostatní</t>
  </si>
  <si>
    <t>NUS z rozpočtu</t>
  </si>
  <si>
    <t>NUS celkem</t>
  </si>
  <si>
    <t>NUS celkem z obj.</t>
  </si>
  <si>
    <t>ORN celkem</t>
  </si>
  <si>
    <t>ORN celkem z obj.</t>
  </si>
  <si>
    <t>Celkem bez DPH</t>
  </si>
  <si>
    <t>Celkem včetně DPH</t>
  </si>
  <si>
    <t>Zhotovitel</t>
  </si>
  <si>
    <t>IČ/DIČ:</t>
  </si>
  <si>
    <t>Položek:</t>
  </si>
  <si>
    <t>Datum:</t>
  </si>
  <si>
    <t>Náklady na umístění stavby (NUS)</t>
  </si>
  <si>
    <t>Kryty pozemních komunikací, letišť a ploch z kameniva nebo živičné</t>
  </si>
  <si>
    <t>02030</t>
  </si>
  <si>
    <t>02029</t>
  </si>
  <si>
    <t>02028</t>
  </si>
  <si>
    <t>02027</t>
  </si>
  <si>
    <t>02026</t>
  </si>
  <si>
    <t>02025</t>
  </si>
  <si>
    <t>02024</t>
  </si>
  <si>
    <t>02023</t>
  </si>
  <si>
    <t>02022</t>
  </si>
  <si>
    <t>02021</t>
  </si>
  <si>
    <t>02020</t>
  </si>
  <si>
    <t>02019</t>
  </si>
  <si>
    <t>02018</t>
  </si>
  <si>
    <t>02017</t>
  </si>
  <si>
    <t>02015</t>
  </si>
  <si>
    <t>02014</t>
  </si>
  <si>
    <t>02013</t>
  </si>
  <si>
    <t>02012</t>
  </si>
  <si>
    <t>02011</t>
  </si>
  <si>
    <t>02010</t>
  </si>
  <si>
    <t>02009</t>
  </si>
  <si>
    <t>02008</t>
  </si>
  <si>
    <t>02007</t>
  </si>
  <si>
    <t>02006</t>
  </si>
  <si>
    <t>02005</t>
  </si>
  <si>
    <t>02004</t>
  </si>
  <si>
    <t>02003</t>
  </si>
  <si>
    <t>02002</t>
  </si>
  <si>
    <t>02001</t>
  </si>
  <si>
    <t>02i</t>
  </si>
  <si>
    <t>02h</t>
  </si>
  <si>
    <t>02f</t>
  </si>
  <si>
    <t>02e</t>
  </si>
  <si>
    <t>02d</t>
  </si>
  <si>
    <t>02c</t>
  </si>
  <si>
    <t>02b</t>
  </si>
  <si>
    <t>02a</t>
  </si>
  <si>
    <t>RA2</t>
  </si>
  <si>
    <t>210002124</t>
  </si>
  <si>
    <t>210002123</t>
  </si>
  <si>
    <t>210002122</t>
  </si>
  <si>
    <t>210002121</t>
  </si>
  <si>
    <t>210002120</t>
  </si>
  <si>
    <t>210002119</t>
  </si>
  <si>
    <t>210002118</t>
  </si>
  <si>
    <t>210002117</t>
  </si>
  <si>
    <t>210002116</t>
  </si>
  <si>
    <t>210002115</t>
  </si>
  <si>
    <t>210002114</t>
  </si>
  <si>
    <t>210002113</t>
  </si>
  <si>
    <t>210002112</t>
  </si>
  <si>
    <t>210002111</t>
  </si>
  <si>
    <t>210002110</t>
  </si>
  <si>
    <t>210002109</t>
  </si>
  <si>
    <t>210002108</t>
  </si>
  <si>
    <t>210002107</t>
  </si>
  <si>
    <t>210002106</t>
  </si>
  <si>
    <t>210002105</t>
  </si>
  <si>
    <t>210002104</t>
  </si>
  <si>
    <t>210002103</t>
  </si>
  <si>
    <t>210002102</t>
  </si>
  <si>
    <t>210002101</t>
  </si>
  <si>
    <t>Oprava stáv.plech.dvířek elektro, ozn.OS08 -úplné provedení dle popisu v PD</t>
  </si>
  <si>
    <t>Demontáž střešních výlezů, do suti, vč.rámu do podkroví provedení dle pozn.26</t>
  </si>
  <si>
    <t>Průběžný odvětraný hřeben, střecha jednoduchá, do 30° ozn.K07</t>
  </si>
  <si>
    <t>Oplechování vystupujících portálů rš.550mm ocel.PZ poplast.plech tl.0,6mm, ozn.K08</t>
  </si>
  <si>
    <t>Oplechování střechy rš.440mm ocel.PZ poplast.plech tl.0,6mm</t>
  </si>
  <si>
    <t>1237</t>
  </si>
  <si>
    <t>1236</t>
  </si>
  <si>
    <t>Rekonstrukce asfaltové plochy</t>
  </si>
  <si>
    <t>Vyřezání asfaltové plochy v místě vedení trasy horizontálního potrubí</t>
  </si>
  <si>
    <t>Elektrokoleno 45° : O 63mm, PE 100</t>
  </si>
  <si>
    <t>Elektrokoleno 90° : O 63mm, PE 100</t>
  </si>
  <si>
    <t>soubor</t>
  </si>
  <si>
    <t>730002323</t>
  </si>
  <si>
    <t>730002322</t>
  </si>
  <si>
    <t>730002321</t>
  </si>
  <si>
    <t>730002320</t>
  </si>
  <si>
    <t>730002319</t>
  </si>
  <si>
    <t>730002318</t>
  </si>
  <si>
    <t>730002317</t>
  </si>
  <si>
    <t>730002316</t>
  </si>
  <si>
    <t>730002315</t>
  </si>
  <si>
    <t>730002314</t>
  </si>
  <si>
    <t>730002313</t>
  </si>
  <si>
    <t>730002312</t>
  </si>
  <si>
    <t>730002311</t>
  </si>
  <si>
    <t>730002310</t>
  </si>
  <si>
    <t>730002309</t>
  </si>
  <si>
    <t>730002308</t>
  </si>
  <si>
    <t>730002307</t>
  </si>
  <si>
    <t>730002306</t>
  </si>
  <si>
    <t>730002305</t>
  </si>
  <si>
    <t>730002304</t>
  </si>
  <si>
    <t>730002303</t>
  </si>
  <si>
    <t>730002302</t>
  </si>
  <si>
    <t>730002301</t>
  </si>
  <si>
    <t>730002223</t>
  </si>
  <si>
    <t>730002222</t>
  </si>
  <si>
    <t>730002221</t>
  </si>
  <si>
    <t>730002220</t>
  </si>
  <si>
    <t>730002219</t>
  </si>
  <si>
    <t>730002218</t>
  </si>
  <si>
    <t>730002217</t>
  </si>
  <si>
    <t>730002216</t>
  </si>
  <si>
    <t>730002215</t>
  </si>
  <si>
    <t>730002214</t>
  </si>
  <si>
    <t>730002213</t>
  </si>
  <si>
    <t>730002212</t>
  </si>
  <si>
    <t>730002211</t>
  </si>
  <si>
    <t>730002210</t>
  </si>
  <si>
    <t>730002209</t>
  </si>
  <si>
    <t>730002208</t>
  </si>
  <si>
    <t>730002207</t>
  </si>
  <si>
    <t>730002206</t>
  </si>
  <si>
    <t>730002205</t>
  </si>
  <si>
    <t>730002204</t>
  </si>
  <si>
    <t>730002203</t>
  </si>
  <si>
    <t>730002202</t>
  </si>
  <si>
    <t>730002201</t>
  </si>
  <si>
    <t>730002175</t>
  </si>
  <si>
    <t>730002174</t>
  </si>
  <si>
    <t>730002173</t>
  </si>
  <si>
    <t>730002172</t>
  </si>
  <si>
    <t>730002171</t>
  </si>
  <si>
    <t>730002170</t>
  </si>
  <si>
    <t>730002169</t>
  </si>
  <si>
    <t>730002168</t>
  </si>
  <si>
    <t>730002167</t>
  </si>
  <si>
    <t>730002166</t>
  </si>
  <si>
    <t>730002165</t>
  </si>
  <si>
    <t>730002164</t>
  </si>
  <si>
    <t>730002163</t>
  </si>
  <si>
    <t>730002162</t>
  </si>
  <si>
    <t>730002161</t>
  </si>
  <si>
    <t>730002160</t>
  </si>
  <si>
    <t>730002159</t>
  </si>
  <si>
    <t>kju</t>
  </si>
  <si>
    <t>730002158</t>
  </si>
  <si>
    <t>730002157</t>
  </si>
  <si>
    <t>730002156</t>
  </si>
  <si>
    <t>730002155</t>
  </si>
  <si>
    <t>730002154</t>
  </si>
  <si>
    <t>730002153</t>
  </si>
  <si>
    <t>730002152</t>
  </si>
  <si>
    <t>730002151</t>
  </si>
  <si>
    <t>730002150</t>
  </si>
  <si>
    <t>730002149</t>
  </si>
  <si>
    <t>730002148</t>
  </si>
  <si>
    <t>730002147</t>
  </si>
  <si>
    <t>730002146</t>
  </si>
  <si>
    <t>730002145</t>
  </si>
  <si>
    <t>730002144</t>
  </si>
  <si>
    <t>730002143</t>
  </si>
  <si>
    <t>730002142</t>
  </si>
  <si>
    <t>730002141</t>
  </si>
  <si>
    <t>730002140</t>
  </si>
  <si>
    <t>730002139</t>
  </si>
  <si>
    <t>730002138</t>
  </si>
  <si>
    <t>730002137</t>
  </si>
  <si>
    <t>730002136</t>
  </si>
  <si>
    <t>730002135</t>
  </si>
  <si>
    <t>730002134</t>
  </si>
  <si>
    <t>730002133</t>
  </si>
  <si>
    <t>730002132</t>
  </si>
  <si>
    <t>730002131</t>
  </si>
  <si>
    <t>730002130</t>
  </si>
  <si>
    <t>730002129</t>
  </si>
  <si>
    <t>730002128</t>
  </si>
  <si>
    <t>730002127</t>
  </si>
  <si>
    <t>730002126</t>
  </si>
  <si>
    <t>730002125</t>
  </si>
  <si>
    <t>730002124</t>
  </si>
  <si>
    <t>730002123</t>
  </si>
  <si>
    <t>730002122</t>
  </si>
  <si>
    <t>730002121</t>
  </si>
  <si>
    <t>730002120</t>
  </si>
  <si>
    <t>730002119</t>
  </si>
  <si>
    <t>730002118</t>
  </si>
  <si>
    <t>730002117</t>
  </si>
  <si>
    <t>730002116</t>
  </si>
  <si>
    <t>730002115</t>
  </si>
  <si>
    <t>730002114</t>
  </si>
  <si>
    <t>730002113</t>
  </si>
  <si>
    <t>730002112</t>
  </si>
  <si>
    <t>730002111</t>
  </si>
  <si>
    <t>730002110</t>
  </si>
  <si>
    <t>730002109</t>
  </si>
  <si>
    <t>730002108</t>
  </si>
  <si>
    <t>730002107</t>
  </si>
  <si>
    <t>730002106</t>
  </si>
  <si>
    <t>730002105</t>
  </si>
  <si>
    <t>730002104</t>
  </si>
  <si>
    <t>730002103</t>
  </si>
  <si>
    <t>730002102</t>
  </si>
  <si>
    <t>730002101</t>
  </si>
  <si>
    <t>723002115</t>
  </si>
  <si>
    <t>723002114</t>
  </si>
  <si>
    <t>723002113</t>
  </si>
  <si>
    <t>Objímka kovová jednošroubová, O40-45, vč. šroubu a hmoždinky</t>
  </si>
  <si>
    <t>723002112</t>
  </si>
  <si>
    <t>723002111</t>
  </si>
  <si>
    <t>723002110</t>
  </si>
  <si>
    <t>723002109</t>
  </si>
  <si>
    <t>723002108</t>
  </si>
  <si>
    <t>723002107</t>
  </si>
  <si>
    <t>723002106</t>
  </si>
  <si>
    <t>723002105</t>
  </si>
  <si>
    <t>723002104</t>
  </si>
  <si>
    <t>Trubka ocelová DN32</t>
  </si>
  <si>
    <t>723002103</t>
  </si>
  <si>
    <t>723002102</t>
  </si>
  <si>
    <t>723002101</t>
  </si>
  <si>
    <t>Prostup nenosnou konstrukcí pro potrubí + oprava a začištění + utěsnění</t>
  </si>
  <si>
    <t>72164</t>
  </si>
  <si>
    <t>Poplatek za skládku suti-obal.kam.-asfalt do 30x30</t>
  </si>
  <si>
    <t>979990112R00</t>
  </si>
  <si>
    <t>Vysekání rýh ve zdi cihelné 15 x 20 cm -dle pozn.19</t>
  </si>
  <si>
    <t>Vysekání rýh ve zdi cihelné 12 x 12 cm -dle pozn.18</t>
  </si>
  <si>
    <t>Vyvěšení, zavěšení kovových křídel dveří nad 2 m2 -demontáž dveří 1000/2100mm</t>
  </si>
  <si>
    <t>Demontáž nerez komín.systému vč.ekolog.likvidace na skládce -dle pozn.13</t>
  </si>
  <si>
    <t>966077181RT1</t>
  </si>
  <si>
    <t>Řezání stávajícího živičného krytu tl. do 5 cm -dle pozn.9</t>
  </si>
  <si>
    <t>919735111R00</t>
  </si>
  <si>
    <t>Očištění organických nečistot z fasád slož.1-2 50% z plochy -skladba SO04, bod 3 + SO05, bod 3 + SO06, bod 3 +SO09, bod 2</t>
  </si>
  <si>
    <t>Ruční čištění ocelovým kartáčem -50% z plochy -skladba SO04, bod 3 + SO05, bod 3 + SO06, bod 3 +SO09, bod 2</t>
  </si>
  <si>
    <t>Očištění fasád tlakovou vodou slož.1 - 2 skladba SO04, bod 3 + SO05, bod 3 + SO06, bod 3 +SO 09, bod 2</t>
  </si>
  <si>
    <t>Očištění zdí a valů před opravou, ručně -skladba SO04, bod 3 + SO05, bod 3 + SO06, bod 3 +SO09, bod 2</t>
  </si>
  <si>
    <t>57_</t>
  </si>
  <si>
    <t>Obnova zpevněné asfaltové plochy</t>
  </si>
  <si>
    <t>577000001RAC</t>
  </si>
  <si>
    <t>Válcované nosníky do č.12 do připravených otvorů, vč.dodávky profilu IPE č.12 -provedení dle PD, ozn.Z03</t>
  </si>
  <si>
    <t>Oprava nadstřešních částí komínů -úplné provedení dle popisu v PD, ozn.OS26</t>
  </si>
  <si>
    <t>314235221RT1</t>
  </si>
  <si>
    <t>Odstranění  "předzahrádek", ohumusování, osetí travním semenem po opravách</t>
  </si>
  <si>
    <t>180410100RAA</t>
  </si>
  <si>
    <t>Zásyp ruční se zhutněním -výkop pro ulož čerp.potrubí -dle pozn.20</t>
  </si>
  <si>
    <t>20,368 m3 je použito pro zásypy v SO 01</t>
  </si>
  <si>
    <t>Vykopávka v uzavřených prostorách v hor.1-4 pro ulož.čerpacího potrubí -dle pozn.20</t>
  </si>
  <si>
    <t>Odstranění asfaltové vrstvy pl.do 50 m2, tl. 5 cm -dle pozn.9</t>
  </si>
  <si>
    <t>113108305R00</t>
  </si>
  <si>
    <t>Odstranění podkladu pl. 50 m2,kam.drcené tl.10 cm -dle pozn.9</t>
  </si>
  <si>
    <t>113107510R00</t>
  </si>
  <si>
    <t>SO 02 - OBJEKT 2 - č.p.1357</t>
  </si>
  <si>
    <t>2,65*4,5+(30,87*9,485)-(30,87*0,35+3,5*1,1+1,2*0,5+12,4*0,1+4,8*1,65)   </t>
  </si>
  <si>
    <t>0,273   </t>
  </si>
  <si>
    <t>;ztratné 25%; 0,41675   </t>
  </si>
  <si>
    <t>16,67*0,1   </t>
  </si>
  <si>
    <t>(2,65+4,5)*2-1,0+1,685*2   </t>
  </si>
  <si>
    <t>;ztratné 5%; 0,4488   </t>
  </si>
  <si>
    <t>8,976   </t>
  </si>
  <si>
    <t>2,65*4,5-1,75*1,685   </t>
  </si>
  <si>
    <t>0,721   </t>
  </si>
  <si>
    <t>10   </t>
  </si>
  <si>
    <t>4,24   </t>
  </si>
  <si>
    <t>35,003+0,996+1,491+23,882+6,862+10,45+9,599+37,814+0,438+7,571+1,866+0,908+15,066+1,142   </t>
  </si>
  <si>
    <t>1,116+3,449   </t>
  </si>
  <si>
    <t>0,614   </t>
  </si>
  <si>
    <t>0,222   </t>
  </si>
  <si>
    <t>18,002+0,011   </t>
  </si>
  <si>
    <t>30,002   </t>
  </si>
  <si>
    <t>7,562+0,45+0,744+0,288   </t>
  </si>
  <si>
    <t>3,378+9,044+30,002+18,013+0,222+0,614+4,565+7,652   </t>
  </si>
  <si>
    <t>73,49*4   </t>
  </si>
  <si>
    <t>73,49*9   </t>
  </si>
  <si>
    <t>73,49/5   </t>
  </si>
  <si>
    <t>73,49/3   </t>
  </si>
  <si>
    <t>(14,3*1,5)-1,0*1,5-1,2*0,15   </t>
  </si>
  <si>
    <t>(30,845*2+10,35+7,15+0,25*4)*1,0-(1,2*0,6*12+0,9*0,6*4+1,0*1,0*2)   </t>
  </si>
  <si>
    <t>(30,845*2+10,35+7,15+0,25*4)*1,35   </t>
  </si>
  <si>
    <t>(30,845*2+0,25*4)*6,775+(10,35+7,15)*7,285-(1,0*1,1*2+1,5*1,5*24+0,9*1,2*10+1,0*3,05*2)   </t>
  </si>
  <si>
    <t>(14,3*0,75)-1,0*0,6-1,2*0,45+2,4*0,23   </t>
  </si>
  <si>
    <t>2,65*4,5   </t>
  </si>
  <si>
    <t>0,1+0,45*2   </t>
  </si>
  <si>
    <t>(2,65*4,5)-1,0*1,2   </t>
  </si>
  <si>
    <t>(2,65+4,5)*2-1,0+(1,0+1,2)*2   </t>
  </si>
  <si>
    <t>0,5*3*13,6   </t>
  </si>
  <si>
    <t>(31,845*2+0,25*4)*(7,775+1,2)+(10,35+7,15)*(8,285+1,2)   </t>
  </si>
  <si>
    <t>746,58*2   </t>
  </si>
  <si>
    <t>30   </t>
  </si>
  <si>
    <t>705,603/2   </t>
  </si>
  <si>
    <t>705,603   </t>
  </si>
  <si>
    <t>654,759+50,844   </t>
  </si>
  <si>
    <t>(30,845*2+0,25*4)*6,775+(10,35+7,15)*7,285-1,0*1,1*2-1,5*1,5*24-0,9*1,2*10-1,0*3,05*2   </t>
  </si>
  <si>
    <t>(30,845*2+10,35+7,15+0,25*4)*1,0-1,2*0,6*12-0,9*0,6*4-1,0*1,0*2   </t>
  </si>
  <si>
    <t>(30,845*2+10,35+7,15+0,25*4)   </t>
  </si>
  <si>
    <t>(0,4*0,6-0,3*0,3)   </t>
  </si>
  <si>
    <t>(30,845+6,37+11,85+6,41+11,67+8,15)*0,5   </t>
  </si>
  <si>
    <t>3,1*0,9*2   </t>
  </si>
  <si>
    <t>(1,15+0,4)*2*2*0,8+(1,0+0,4)*2*2*0,8+(0,65+0,45)*2*4*1,4   </t>
  </si>
  <si>
    <t>1,75*1,685*0,1   </t>
  </si>
  <si>
    <t>(30,55-3,1*2)*(1,15-0,5)   </t>
  </si>
  <si>
    <t>(30,55+12,65+9,45)*(1,15-0,5)   </t>
  </si>
  <si>
    <t>2,7*0,8*0,9   </t>
  </si>
  <si>
    <t>(30,55*2+12,65+9,45)*(1,05+0,6)/2*0,955   </t>
  </si>
  <si>
    <t>26,234   </t>
  </si>
  <si>
    <t>26,234*1,75   </t>
  </si>
  <si>
    <t>(111,592+2,205+2,16)-(65,551+20,368+1,86+1,944)   </t>
  </si>
  <si>
    <t>2,7*0,8*1,0   </t>
  </si>
  <si>
    <t>111,592   </t>
  </si>
  <si>
    <t>(30,55*2+12,65+9,45)*(1,15+0,7)/2*1,45   </t>
  </si>
  <si>
    <t>(31,7+3,75+5,65+30,55+10,35)*(1,15-0,5)*0,2   </t>
  </si>
  <si>
    <t>(10,35+6,25*2+4,5+6,25)*0,5   </t>
  </si>
  <si>
    <t>(10,35+6,25+11,85+6,25+4,5+6,25+30,55)*0,5   </t>
  </si>
  <si>
    <t>564</t>
  </si>
  <si>
    <t>Provedení a vystrojení vrtů pro tepelné čerpadlo  (3 x 150bm)</t>
  </si>
  <si>
    <t>Kryty pozemních komunikací, letišť a ploch z betonu a ostatních hmot</t>
  </si>
  <si>
    <t>563</t>
  </si>
  <si>
    <t>03030</t>
  </si>
  <si>
    <t>03029</t>
  </si>
  <si>
    <t>03028</t>
  </si>
  <si>
    <t>03027</t>
  </si>
  <si>
    <t>03026</t>
  </si>
  <si>
    <t>03025</t>
  </si>
  <si>
    <t>03024</t>
  </si>
  <si>
    <t>03023</t>
  </si>
  <si>
    <t>03022</t>
  </si>
  <si>
    <t>03021</t>
  </si>
  <si>
    <t>03020</t>
  </si>
  <si>
    <t>03019</t>
  </si>
  <si>
    <t>03018</t>
  </si>
  <si>
    <t>03017</t>
  </si>
  <si>
    <t>03015</t>
  </si>
  <si>
    <t>03014</t>
  </si>
  <si>
    <t>03013</t>
  </si>
  <si>
    <t>03012</t>
  </si>
  <si>
    <t>03011</t>
  </si>
  <si>
    <t>03010</t>
  </si>
  <si>
    <t>03009</t>
  </si>
  <si>
    <t>03008</t>
  </si>
  <si>
    <t>03007</t>
  </si>
  <si>
    <t>03006</t>
  </si>
  <si>
    <t>03005</t>
  </si>
  <si>
    <t>03004</t>
  </si>
  <si>
    <t>03003</t>
  </si>
  <si>
    <t>03002</t>
  </si>
  <si>
    <t>03001</t>
  </si>
  <si>
    <t>03i</t>
  </si>
  <si>
    <t>03h</t>
  </si>
  <si>
    <t>03g</t>
  </si>
  <si>
    <t>03f</t>
  </si>
  <si>
    <t>03e</t>
  </si>
  <si>
    <t>03d</t>
  </si>
  <si>
    <t>03c</t>
  </si>
  <si>
    <t>03b</t>
  </si>
  <si>
    <t>03a</t>
  </si>
  <si>
    <t>RA3</t>
  </si>
  <si>
    <t>210003125</t>
  </si>
  <si>
    <t>210003124</t>
  </si>
  <si>
    <t>210003123</t>
  </si>
  <si>
    <t>210003122</t>
  </si>
  <si>
    <t>210003121</t>
  </si>
  <si>
    <t>210003120</t>
  </si>
  <si>
    <t>210003119</t>
  </si>
  <si>
    <t>210003118</t>
  </si>
  <si>
    <t>210003117</t>
  </si>
  <si>
    <t>210003116</t>
  </si>
  <si>
    <t>210003115</t>
  </si>
  <si>
    <t>210003114</t>
  </si>
  <si>
    <t>210003113</t>
  </si>
  <si>
    <t>210003112</t>
  </si>
  <si>
    <t>210003111</t>
  </si>
  <si>
    <t>210003110</t>
  </si>
  <si>
    <t>210003109</t>
  </si>
  <si>
    <t>210003108</t>
  </si>
  <si>
    <t>210003107</t>
  </si>
  <si>
    <t>210003106</t>
  </si>
  <si>
    <t>210003105</t>
  </si>
  <si>
    <t>210003104</t>
  </si>
  <si>
    <t>210003103</t>
  </si>
  <si>
    <t>210003102</t>
  </si>
  <si>
    <t>210003101</t>
  </si>
  <si>
    <t>Zjištění funkčnosti měřením původní pojistkové skříně, ozn. OS4 -úplné provedení dle popisu v PD</t>
  </si>
  <si>
    <t>210210110RA0</t>
  </si>
  <si>
    <t>M+D Žebřík s ochranným košem, ozn.Z01 -úplné provedení dle popisu v PD</t>
  </si>
  <si>
    <t>M+D Boční stěna u vstupu do výtahu -úplné provedení dle PD, ozn.OS19</t>
  </si>
  <si>
    <t>767330101RT1</t>
  </si>
  <si>
    <t>M+D Ocel.rám přístřešku nad vstupem 1625/1187mm provedení dle PD, ozn.Z02</t>
  </si>
  <si>
    <t>767311110RT1</t>
  </si>
  <si>
    <t>Deska fasádní podhledová cementotřísková tl. 12 mm</t>
  </si>
  <si>
    <t>59590602</t>
  </si>
  <si>
    <t>Obložení podhledů jednod.aglomer.deskami do 1,5 m2, vč.dodávky roštu -skladba STŘ03, bod 1, 2</t>
  </si>
  <si>
    <t>766422342RT1</t>
  </si>
  <si>
    <t>Oplechování v návaznosti na svislou stěnu, plech PZ poplast.tl.0,6mm, rš.300mm, ozn.K10</t>
  </si>
  <si>
    <t>764906350RS1</t>
  </si>
  <si>
    <t>Průběžný odvětraný hřeben, střecha jednoduchá, do 30° ozn.K09</t>
  </si>
  <si>
    <t>Oplechování vystupujících portálů rš.550mm ocel.PZ poplast.plech tl.0,6mm, ozn.K11</t>
  </si>
  <si>
    <t>Odpadní trouby kruhové z lak.Pz plechu tl.0,6mm, D 80 mm, ozn.K07</t>
  </si>
  <si>
    <t>764819211R00</t>
  </si>
  <si>
    <t>Kotlík žlabový oválný z lak. Pz plechu tl.0,6mm, 250/80 mm, ozn.K06</t>
  </si>
  <si>
    <t>764815808R00</t>
  </si>
  <si>
    <t>Žlab podokapní půlkruh.z lak.Pz plechu tl.0,6mm, rš 250 mm, ozn.K06</t>
  </si>
  <si>
    <t>764815211R00</t>
  </si>
  <si>
    <t>Demontáž žlabů půlkruh. rovných, rš 250 mm, do 45°-dle pozn.3</t>
  </si>
  <si>
    <t>764352801R00</t>
  </si>
  <si>
    <t>Deska cementotřísková tl. 24 mm</t>
  </si>
  <si>
    <t>59590743</t>
  </si>
  <si>
    <t>M. bedn.střech rovn. z aglomer.desek šroubováním -skladba STŘ03, bod 5</t>
  </si>
  <si>
    <t>762341220RT1</t>
  </si>
  <si>
    <t>M+D Hranoly dřevěné ve spádu 60-85mm, vč.impregnace -skladba STŘ03, bod 4</t>
  </si>
  <si>
    <t>762340110RT1</t>
  </si>
  <si>
    <t>Rekonstrukce betonové dlažby</t>
  </si>
  <si>
    <t>Rozebrání betonové dlažby</t>
  </si>
  <si>
    <t>Protažení potrubí do objektu
(vodotěsná a plynotěsná úprava a prostupy zdí dle projektu jsou v rámci stavební připravenosti)</t>
  </si>
  <si>
    <t>730003323</t>
  </si>
  <si>
    <t>730003322</t>
  </si>
  <si>
    <t>730003321</t>
  </si>
  <si>
    <t>730003320</t>
  </si>
  <si>
    <t>730003319</t>
  </si>
  <si>
    <t>730003318</t>
  </si>
  <si>
    <t>730003317</t>
  </si>
  <si>
    <t>730003316</t>
  </si>
  <si>
    <t>730003315</t>
  </si>
  <si>
    <t>730003314</t>
  </si>
  <si>
    <t>730003313</t>
  </si>
  <si>
    <t>730003312</t>
  </si>
  <si>
    <t>730003311</t>
  </si>
  <si>
    <t>730003310</t>
  </si>
  <si>
    <t>730003309</t>
  </si>
  <si>
    <t>730003308</t>
  </si>
  <si>
    <t>730003307</t>
  </si>
  <si>
    <t>730003306</t>
  </si>
  <si>
    <t>730003305</t>
  </si>
  <si>
    <t>730003304</t>
  </si>
  <si>
    <t>730003303</t>
  </si>
  <si>
    <t>730003302</t>
  </si>
  <si>
    <t>730003301</t>
  </si>
  <si>
    <t>730003223</t>
  </si>
  <si>
    <t>730003222</t>
  </si>
  <si>
    <t>730003221</t>
  </si>
  <si>
    <t>730003220</t>
  </si>
  <si>
    <t>730003219</t>
  </si>
  <si>
    <t>730003218</t>
  </si>
  <si>
    <t>730003217</t>
  </si>
  <si>
    <t>730003216</t>
  </si>
  <si>
    <t>730003215</t>
  </si>
  <si>
    <t>730003214</t>
  </si>
  <si>
    <t>730003213</t>
  </si>
  <si>
    <t>730003212</t>
  </si>
  <si>
    <t>730003211</t>
  </si>
  <si>
    <t>730003210</t>
  </si>
  <si>
    <t>730003209</t>
  </si>
  <si>
    <t>730003208</t>
  </si>
  <si>
    <t>730003207</t>
  </si>
  <si>
    <t>730003206</t>
  </si>
  <si>
    <t>730003205</t>
  </si>
  <si>
    <t>730003204</t>
  </si>
  <si>
    <t>730003203</t>
  </si>
  <si>
    <t>730003202</t>
  </si>
  <si>
    <t>730003201</t>
  </si>
  <si>
    <t>730003175</t>
  </si>
  <si>
    <t>730003174</t>
  </si>
  <si>
    <t>730003173</t>
  </si>
  <si>
    <t>730003172</t>
  </si>
  <si>
    <t>730003171</t>
  </si>
  <si>
    <t>730003170</t>
  </si>
  <si>
    <t>730003169</t>
  </si>
  <si>
    <t>730003168</t>
  </si>
  <si>
    <t>730003167</t>
  </si>
  <si>
    <t>730003166</t>
  </si>
  <si>
    <t>730003165</t>
  </si>
  <si>
    <t>730003164</t>
  </si>
  <si>
    <t>730003163</t>
  </si>
  <si>
    <t>730003162</t>
  </si>
  <si>
    <t>730003161</t>
  </si>
  <si>
    <t>Odpojení stacionárního plynového kondenzačního přímotopného zásobníkového ohřívače od rozvodů plynu, ZTI, elektrorozvodů a příprava pro přesun do budo</t>
  </si>
  <si>
    <t>730003160</t>
  </si>
  <si>
    <t>730003159</t>
  </si>
  <si>
    <t>730003158</t>
  </si>
  <si>
    <t>730003157</t>
  </si>
  <si>
    <t>730003156</t>
  </si>
  <si>
    <t>730003155</t>
  </si>
  <si>
    <t>730003154</t>
  </si>
  <si>
    <t>730003153</t>
  </si>
  <si>
    <t>730003152</t>
  </si>
  <si>
    <t>730003151</t>
  </si>
  <si>
    <t>730003150</t>
  </si>
  <si>
    <t>730003149</t>
  </si>
  <si>
    <t>730003148</t>
  </si>
  <si>
    <t>730003147</t>
  </si>
  <si>
    <t>730003146</t>
  </si>
  <si>
    <t>730003145</t>
  </si>
  <si>
    <t>730003144</t>
  </si>
  <si>
    <t>730003143</t>
  </si>
  <si>
    <t>730003142</t>
  </si>
  <si>
    <t>730003141</t>
  </si>
  <si>
    <t>730003140</t>
  </si>
  <si>
    <t>730003139</t>
  </si>
  <si>
    <t>730003138</t>
  </si>
  <si>
    <t>730003137</t>
  </si>
  <si>
    <t>730003136</t>
  </si>
  <si>
    <t>730003135</t>
  </si>
  <si>
    <t>730003134</t>
  </si>
  <si>
    <t>730003133</t>
  </si>
  <si>
    <t>730003132</t>
  </si>
  <si>
    <t>730003131</t>
  </si>
  <si>
    <t>730003130</t>
  </si>
  <si>
    <t>730003129</t>
  </si>
  <si>
    <t>730003128</t>
  </si>
  <si>
    <t>730003127</t>
  </si>
  <si>
    <t>730003126</t>
  </si>
  <si>
    <t>730003125</t>
  </si>
  <si>
    <t>730003124</t>
  </si>
  <si>
    <t>730003123</t>
  </si>
  <si>
    <t>730003122</t>
  </si>
  <si>
    <t>730003121</t>
  </si>
  <si>
    <t>730003120</t>
  </si>
  <si>
    <t>730003119</t>
  </si>
  <si>
    <t>730003118</t>
  </si>
  <si>
    <t>730003117</t>
  </si>
  <si>
    <t>730003116</t>
  </si>
  <si>
    <t>730003115</t>
  </si>
  <si>
    <t>730003114</t>
  </si>
  <si>
    <t>730003113</t>
  </si>
  <si>
    <t>730003112</t>
  </si>
  <si>
    <t>730003111</t>
  </si>
  <si>
    <t>730003110</t>
  </si>
  <si>
    <t>730003109</t>
  </si>
  <si>
    <t>730003108</t>
  </si>
  <si>
    <t>730003107</t>
  </si>
  <si>
    <t>730003106</t>
  </si>
  <si>
    <t>730003105</t>
  </si>
  <si>
    <t>730003104</t>
  </si>
  <si>
    <t>730003103</t>
  </si>
  <si>
    <t>730003102</t>
  </si>
  <si>
    <t>730003101</t>
  </si>
  <si>
    <t>723003115</t>
  </si>
  <si>
    <t>723003114</t>
  </si>
  <si>
    <t>723003113</t>
  </si>
  <si>
    <t>723003112</t>
  </si>
  <si>
    <t>723003111</t>
  </si>
  <si>
    <t>723003110</t>
  </si>
  <si>
    <t>723003109</t>
  </si>
  <si>
    <t>723003108</t>
  </si>
  <si>
    <t>723003107</t>
  </si>
  <si>
    <t>723003106</t>
  </si>
  <si>
    <t>723003105</t>
  </si>
  <si>
    <t>723003104</t>
  </si>
  <si>
    <t>723003103</t>
  </si>
  <si>
    <t>723003102</t>
  </si>
  <si>
    <t>723003101</t>
  </si>
  <si>
    <t>Položení netkané textilie podkladní vč.dodávky geotextilie 300/g/m2 -skladba STR02, bod 13 + STŘ03, bod 6 + střecha nad výtahem</t>
  </si>
  <si>
    <t>Krytina střech do 10° fólie, 6 kotev/m2,ocel,dřevo, tl. izol.do 160 mm, folie tl.1,5 mm, vč.detailů a doplňků -střecha nad výtahem</t>
  </si>
  <si>
    <t>712373121RS3</t>
  </si>
  <si>
    <t>Krytina střech do 10° fólie, 6 kotev/m2,ocel,dřevo, tl. izolace do 160 mm, folie tl.1,5 mm, vč.detailů a doplňků -skladba STŘ03, bod 7</t>
  </si>
  <si>
    <t>Odstranění povlakové krytiny střech do 10° 2vrstvé -střecha nad výtahem</t>
  </si>
  <si>
    <t>Otlučení omítek vnějších MVC v složit.1-4 do 30 % -oškrábání nesoudržných částí -skladba SO07, bod 2</t>
  </si>
  <si>
    <t>978015241R00</t>
  </si>
  <si>
    <t>Odstranění štukové vrstvy omítky z vnějších stěn -skladba SO08, bod 2</t>
  </si>
  <si>
    <t>Odstranění štukové vrstvy omítky z vnitřních stěn -kotelna -dle pozn.25</t>
  </si>
  <si>
    <t>Otlučení omítek vnitřních stěn a ostění v rozsahu do 100 % -kotelna -dle pozn.25</t>
  </si>
  <si>
    <t>Odstranění štukové vrstvy vnitřních stropů -kotelna -dle pozn.25</t>
  </si>
  <si>
    <t>Příp. za jádr. vrt. vod. ve stěně cihel do D 300mm</t>
  </si>
  <si>
    <t>970034300R00</t>
  </si>
  <si>
    <t>Vrtání jádrové do zdiva cihelného do D 300 mm</t>
  </si>
  <si>
    <t>970031300R00</t>
  </si>
  <si>
    <t>Příp. za jádr. vrt. vod. ve stěně cihel do D 100mm</t>
  </si>
  <si>
    <t>970034100R00</t>
  </si>
  <si>
    <t>Příp. za jádr. vrt. ve H nad 1,5m cihel do D 100mm</t>
  </si>
  <si>
    <t>970033100R00</t>
  </si>
  <si>
    <t>Vrtání jádrové do zdiva cihelného do D 100 mm</t>
  </si>
  <si>
    <t>970031100R00</t>
  </si>
  <si>
    <t>Bourání dlažeb keramických tl.10 mm, nad 1 m2 -kotelna -dle pozn.25, také skladba PDL01, bod 1-bourání</t>
  </si>
  <si>
    <t>Bourání soklíků z dlažeb keramických -kotelna -dle pozn.25, také skladba PDL01, bod 1-bourání</t>
  </si>
  <si>
    <t>Dočištění povrchu po vybourání dlažeb, tmel do 30% -kotelna -dle pozn.25, také skladba PDL01, bod 1-bourání</t>
  </si>
  <si>
    <t>Napojení dešťových svodů vč.dodávky lapačů střeš,splavenin -úplné provedení dle popisu v PD</t>
  </si>
  <si>
    <t>Očištění organických nečistot z fasád slož.1-2 50% z plochy -skladba SO07, bod 2 + SO08, bod 2 + SO09, bod 2</t>
  </si>
  <si>
    <t>Očištění organických nečistot z fasád slož.1-2 50% z plochy -skladba SO04, bod 3 + SO05, bod 3 + SO06, bod 3</t>
  </si>
  <si>
    <t>Ruční čištění ocelovým kartáčem -50% z plochy -skladba SO07, bod 2 + SO08, bod 2 + SO09, bod 2</t>
  </si>
  <si>
    <t>Ruční čištění ocelovým kartáčem -50% z plochy -skladba SO04, bod 3 + SO05, bod 3 + SO06, bod 3</t>
  </si>
  <si>
    <t>Očištění fasád tlakovou vodou slož.1 - 2 -skladba SO07, bod 2 + SO08, bod 2 + SO09, bod 2</t>
  </si>
  <si>
    <t>Očištění fasád tlakovou vodou slož.1 - 2 -skladba SO04, bod 3 + SO05, bod 3 + SO06, bod 3</t>
  </si>
  <si>
    <t>Očištění zdí a valů před opravou, ručně -skladba SO07, bod 2 + SO08, bod 2 + SO09, bod 2</t>
  </si>
  <si>
    <t>Očištění zdí a valů před opravou, ručně -skladba SO04, bod 3 + SO05, bod 3 + SO06, bod 3</t>
  </si>
  <si>
    <t>penetrace podkladu + stěrkový tmel vč.armovací tkaniny + základní nátěr + finální silikon.probarv.omítka</t>
  </si>
  <si>
    <t>Omítka stěn vnější silikonová slož. II. -skladba SO08, bod 3-6</t>
  </si>
  <si>
    <t>622472162RU1</t>
  </si>
  <si>
    <t>Omítka stěn vnější mozaiková, slož. II. -skladba SO07, bod 3-6</t>
  </si>
  <si>
    <t>622472122RV1</t>
  </si>
  <si>
    <t>Oprava vnějších omítek slož.II, do 30 % -skladba SO07, po bodu 2</t>
  </si>
  <si>
    <t>622422311R00</t>
  </si>
  <si>
    <t>Odmaštění, vyspravení a vyrovnání povrchu jemnou cement.maltou -skladba SO07, bod 2 + SO08, bod 2 + SO09, bod 2</t>
  </si>
  <si>
    <t>Odmaštění, vyspravení a vyrovnání povrchu jemnou cement.maltou -skladba SO04, bod 3 + SO05, bod 3 + SO06, bod 3</t>
  </si>
  <si>
    <t>58_</t>
  </si>
  <si>
    <t>Oprava plochy z betonu -stání pod kontejner -úplné provedení dle popisu v PD</t>
  </si>
  <si>
    <t>581113001RA0</t>
  </si>
  <si>
    <t>Zídka z pohledových tvarovek, vč.beton.základu -stání pod kontejner -provedení dle popisu v PD -výměra vztažena na m´</t>
  </si>
  <si>
    <t>342240025RAA</t>
  </si>
  <si>
    <t>SO 03 - OBJEKT 3 - č.p.1472</t>
  </si>
  <si>
    <t>;ztratné 25%; 0,417   </t>
  </si>
  <si>
    <t>16,68*0,1   </t>
  </si>
  <si>
    <t>(2,65+4,5)*2-1,0+1,69*2   </t>
  </si>
  <si>
    <t>0,784   </t>
  </si>
  <si>
    <t>0,072   </t>
  </si>
  <si>
    <t>;ztratné 10%; 0,1183   </t>
  </si>
  <si>
    <t>1,183   </t>
  </si>
  <si>
    <t>2,15*0,55   </t>
  </si>
  <si>
    <t>4,855   </t>
  </si>
  <si>
    <t>3,5   </t>
  </si>
  <si>
    <t>62,56,0   </t>
  </si>
  <si>
    <t>15,5   </t>
  </si>
  <si>
    <t>31+15,5   </t>
  </si>
  <si>
    <t>4+2   </t>
  </si>
  <si>
    <t>31,645   </t>
  </si>
  <si>
    <t>345,786*0,022+1,183*0,024   </t>
  </si>
  <si>
    <t>1,44   </t>
  </si>
  <si>
    <t>2,65*3,55   </t>
  </si>
  <si>
    <t>4,357   </t>
  </si>
  <si>
    <t>35,234+0,999+5,914+23,882+7,32+19,606+9,597+41,259+0,438+11,356+1,493+0,908+17,0+0,207   </t>
  </si>
  <si>
    <t>1,116+3,543   </t>
  </si>
  <si>
    <t>0,011+19,972   </t>
  </si>
  <si>
    <t>29,565+0,262+0,164   </t>
  </si>
  <si>
    <t>7,064+0,288+0,744   </t>
  </si>
  <si>
    <t>3,412   </t>
  </si>
  <si>
    <t>3,412+8,096+29,991+19,983+0,222+4,659+7,652   </t>
  </si>
  <si>
    <t>74,015*4   </t>
  </si>
  <si>
    <t>74,015*9   </t>
  </si>
  <si>
    <t>74,015/5   </t>
  </si>
  <si>
    <t>74,015/3   </t>
  </si>
  <si>
    <t>(3,55*2+2,645-1,2)*1,0+(0,25*1,0)*2   </t>
  </si>
  <si>
    <t>(3,55*2+2,645)*6,72-1,0*1,1+(1,1*2+1,2)*0,25   </t>
  </si>
  <si>
    <t>1,5   </t>
  </si>
  <si>
    <t>0,45   </t>
  </si>
  <si>
    <t>0,1+0,45+0,1+0,375+0,45*2   </t>
  </si>
  <si>
    <t>(3,645+3,55*2)*(7,72+1,2)   </t>
  </si>
  <si>
    <t>842,425*2   </t>
  </si>
  <si>
    <t>125,125/2   </t>
  </si>
  <si>
    <t>654,759/2   </t>
  </si>
  <si>
    <t>9,045+65,236+50,844   </t>
  </si>
  <si>
    <t>654,759   </t>
  </si>
  <si>
    <t>654,759+125,125   </t>
  </si>
  <si>
    <t>(30,865+6,37+11,85+6,41+11,66+3,56+5,46)*0,5   </t>
  </si>
  <si>
    <t>(3,1*0,9)*2+11,0*1,00   </t>
  </si>
  <si>
    <t>2,5*2,5   </t>
  </si>
  <si>
    <t>(1,5*2+2,5)   </t>
  </si>
  <si>
    <t>(30,55*2+12,65+10,0)   </t>
  </si>
  <si>
    <t>(30,55+12,65+10,0+30,55-3,1*2)*(1,15-0,5)   </t>
  </si>
  <si>
    <t>1,85*0,8*0,9   </t>
  </si>
  <si>
    <t>(30,55*2+12,65+10,0)*(1,05+0,6)/2*0,955   </t>
  </si>
  <si>
    <t>46,838   </t>
  </si>
  <si>
    <t>46,838*1,75   </t>
  </si>
  <si>
    <t>(112,33+2,205+1,48)-(65,985+1,86+1,332)   </t>
  </si>
  <si>
    <t>1,85*0,8*1,0   </t>
  </si>
  <si>
    <t>112,33   </t>
  </si>
  <si>
    <t>(30,55*2+12,65+10,0)*(1,15+0,7)/2*1,45   </t>
  </si>
  <si>
    <t>(7,4+11,85+6,25+31,7+2,95+4,8)*(1,15-0,5)*0,2   </t>
  </si>
  <si>
    <t>(6,25*2+10,35)*0,5   </t>
  </si>
  <si>
    <t>(6,25*2+11,85+10,35+30,55+2,95+4,8)*0,5   </t>
  </si>
  <si>
    <t>573</t>
  </si>
  <si>
    <t>Elektromontáže-fotovoltaika</t>
  </si>
  <si>
    <t>M21a</t>
  </si>
  <si>
    <t>Výplně otvorů</t>
  </si>
  <si>
    <t>572</t>
  </si>
  <si>
    <t>571</t>
  </si>
  <si>
    <t>570</t>
  </si>
  <si>
    <t>569</t>
  </si>
  <si>
    <t>568</t>
  </si>
  <si>
    <t>567</t>
  </si>
  <si>
    <t>04030</t>
  </si>
  <si>
    <t>566</t>
  </si>
  <si>
    <t>04029</t>
  </si>
  <si>
    <t>565</t>
  </si>
  <si>
    <t>04028</t>
  </si>
  <si>
    <t>04027</t>
  </si>
  <si>
    <t>04026</t>
  </si>
  <si>
    <t>04025</t>
  </si>
  <si>
    <t>04024</t>
  </si>
  <si>
    <t>04023</t>
  </si>
  <si>
    <t>04022</t>
  </si>
  <si>
    <t>04021</t>
  </si>
  <si>
    <t>04020</t>
  </si>
  <si>
    <t>04019</t>
  </si>
  <si>
    <t>04018</t>
  </si>
  <si>
    <t>04017</t>
  </si>
  <si>
    <t>04015</t>
  </si>
  <si>
    <t>04014</t>
  </si>
  <si>
    <t>04013</t>
  </si>
  <si>
    <t>04012</t>
  </si>
  <si>
    <t>04011</t>
  </si>
  <si>
    <t>04010</t>
  </si>
  <si>
    <t>04009</t>
  </si>
  <si>
    <t>04008</t>
  </si>
  <si>
    <t>04007</t>
  </si>
  <si>
    <t>04006</t>
  </si>
  <si>
    <t>04005</t>
  </si>
  <si>
    <t>04004</t>
  </si>
  <si>
    <t>04003</t>
  </si>
  <si>
    <t>04002</t>
  </si>
  <si>
    <t>04001</t>
  </si>
  <si>
    <t>04i</t>
  </si>
  <si>
    <t>04h</t>
  </si>
  <si>
    <t>04g</t>
  </si>
  <si>
    <t>04f</t>
  </si>
  <si>
    <t>04e</t>
  </si>
  <si>
    <t>04d</t>
  </si>
  <si>
    <t>04c</t>
  </si>
  <si>
    <t>04b</t>
  </si>
  <si>
    <t>04a</t>
  </si>
  <si>
    <t>RA4</t>
  </si>
  <si>
    <t>M21a_</t>
  </si>
  <si>
    <t>210004216</t>
  </si>
  <si>
    <t>210004215</t>
  </si>
  <si>
    <t>210004214</t>
  </si>
  <si>
    <t>210004213</t>
  </si>
  <si>
    <t>210004212</t>
  </si>
  <si>
    <t>Výkop kabelové rýhy (ŠxH) 60x118 cm, betonové lože 30cm, ochranná fólie, kabelová chránička, zához, zaměření trasy</t>
  </si>
  <si>
    <t>210004211</t>
  </si>
  <si>
    <t>RDC5 - Nástěnný oceloplechový rozváděč, rozměry ŠxVxH - 1x 600x600x200, krytí IP44, přístrojová výzbroj dle výkresové dokumentace: výkres č. 403</t>
  </si>
  <si>
    <t>210004210</t>
  </si>
  <si>
    <t>210004209</t>
  </si>
  <si>
    <t>Konektor DC pro spojování FV kabelů</t>
  </si>
  <si>
    <t>210004208</t>
  </si>
  <si>
    <t>FLEX-SOL 1x6 - uložení elektroinstalační liště</t>
  </si>
  <si>
    <t>210004207</t>
  </si>
  <si>
    <t>1-CYKY 5x10 - uložení pod omítkou</t>
  </si>
  <si>
    <t>210004206</t>
  </si>
  <si>
    <t>210004205</t>
  </si>
  <si>
    <t>Lišta elektroinstalační 20x20</t>
  </si>
  <si>
    <t>210004204</t>
  </si>
  <si>
    <t>M5 - Měnič DC/AC, 12,5 kVA, viz. specifikace: příloha č. 003</t>
  </si>
  <si>
    <t>210004203</t>
  </si>
  <si>
    <t>210004202</t>
  </si>
  <si>
    <t>210004201</t>
  </si>
  <si>
    <t>210004125</t>
  </si>
  <si>
    <t>210004124</t>
  </si>
  <si>
    <t>210004123</t>
  </si>
  <si>
    <t>210004122</t>
  </si>
  <si>
    <t>210004121</t>
  </si>
  <si>
    <t>210004120</t>
  </si>
  <si>
    <t>210004119</t>
  </si>
  <si>
    <t>210004118</t>
  </si>
  <si>
    <t>210004117</t>
  </si>
  <si>
    <t>210004116</t>
  </si>
  <si>
    <t>210004115</t>
  </si>
  <si>
    <t>210004114</t>
  </si>
  <si>
    <t>210004113</t>
  </si>
  <si>
    <t>210004112</t>
  </si>
  <si>
    <t>210004111</t>
  </si>
  <si>
    <t>210004110</t>
  </si>
  <si>
    <t>210004109</t>
  </si>
  <si>
    <t>210004108</t>
  </si>
  <si>
    <t>210004107</t>
  </si>
  <si>
    <t>210004106</t>
  </si>
  <si>
    <t>210004105</t>
  </si>
  <si>
    <t>210004104</t>
  </si>
  <si>
    <t>210004103</t>
  </si>
  <si>
    <t>210004102</t>
  </si>
  <si>
    <t>210004101</t>
  </si>
  <si>
    <t>Demontáž a opětovná montáž zvonkového tabla, ozn. OS6 -úplné provedení dle popisu v PD</t>
  </si>
  <si>
    <t>210210230RA0</t>
  </si>
  <si>
    <t>Držák na vlajku, ozn. OS03 -úplné provedení vč.povrch.úpravy</t>
  </si>
  <si>
    <t>767995113RT1</t>
  </si>
  <si>
    <t>M+D Poštovní schránka ocelová bílá 360x260x85 mm, ozn.OS04</t>
  </si>
  <si>
    <t>767995111RT1</t>
  </si>
  <si>
    <t>Okno plastové čtyřkřídlé 900 x 3000 mm S ozn.W02</t>
  </si>
  <si>
    <t>61143848</t>
  </si>
  <si>
    <t>Montáž oken plastových plochy do 2,70 m2</t>
  </si>
  <si>
    <t>766629302R00</t>
  </si>
  <si>
    <t>Okno plastové jednodílné 1200 x 600 mm OS ozn.W01</t>
  </si>
  <si>
    <t>61143051</t>
  </si>
  <si>
    <t>Montáž oken plastových plochy do 1,50 m2</t>
  </si>
  <si>
    <t>766629301R00</t>
  </si>
  <si>
    <t>Těsnění oken.spáry,parapet,PT folie+PP folie+páska, PT folie š.100 mm; PP folie š.100 mm+páska tl.6 mm</t>
  </si>
  <si>
    <t>766601229RT3</t>
  </si>
  <si>
    <t>Těsnění okenní spáry, ostění, PT fólie+ PP páska, folie š.100 mm, páska tl. 6 mm, š. 20 mm</t>
  </si>
  <si>
    <t>766601211RT3</t>
  </si>
  <si>
    <t>Oplechování střechy rš.440mm ocel.PZ poplast.plech tl.0,6mm ozn.K07</t>
  </si>
  <si>
    <t>M. bedn.střech rovn. z aglomer.desek šroubováním -skladba STR02, bod 11</t>
  </si>
  <si>
    <t>Kontrola stavu, vyčištění a vysátí povrchu a vyrovnání -skladba STŘ01, bod 5-bourání, také STR02, bod 5</t>
  </si>
  <si>
    <t>730004323</t>
  </si>
  <si>
    <t>730004322</t>
  </si>
  <si>
    <t>730004321</t>
  </si>
  <si>
    <t>730004320</t>
  </si>
  <si>
    <t>730004319</t>
  </si>
  <si>
    <t>730004318</t>
  </si>
  <si>
    <t>730004317</t>
  </si>
  <si>
    <t>730004316</t>
  </si>
  <si>
    <t>730004315</t>
  </si>
  <si>
    <t>730004314</t>
  </si>
  <si>
    <t>730004313</t>
  </si>
  <si>
    <t>730004312</t>
  </si>
  <si>
    <t>730004311</t>
  </si>
  <si>
    <t>730004310</t>
  </si>
  <si>
    <t>730004309</t>
  </si>
  <si>
    <t>730004308</t>
  </si>
  <si>
    <t>730004307</t>
  </si>
  <si>
    <t>730004306</t>
  </si>
  <si>
    <t>730004305</t>
  </si>
  <si>
    <t>730004304</t>
  </si>
  <si>
    <t>730004303</t>
  </si>
  <si>
    <t>730004302</t>
  </si>
  <si>
    <t>730004301</t>
  </si>
  <si>
    <t>730004217</t>
  </si>
  <si>
    <t>730004216</t>
  </si>
  <si>
    <t>730004215</t>
  </si>
  <si>
    <t>730004214</t>
  </si>
  <si>
    <t>730004213</t>
  </si>
  <si>
    <t>730004212</t>
  </si>
  <si>
    <t>730004211</t>
  </si>
  <si>
    <t>730004210</t>
  </si>
  <si>
    <t>730004209</t>
  </si>
  <si>
    <t>730004208</t>
  </si>
  <si>
    <t>730004207</t>
  </si>
  <si>
    <t>730004206</t>
  </si>
  <si>
    <t>730004205</t>
  </si>
  <si>
    <t>730004204</t>
  </si>
  <si>
    <t>730004203</t>
  </si>
  <si>
    <t>730004202</t>
  </si>
  <si>
    <t>730004201</t>
  </si>
  <si>
    <t>730004177</t>
  </si>
  <si>
    <t>730004176</t>
  </si>
  <si>
    <t>730004175</t>
  </si>
  <si>
    <t>730004174</t>
  </si>
  <si>
    <t>730004173</t>
  </si>
  <si>
    <t>730004172</t>
  </si>
  <si>
    <t>730004171</t>
  </si>
  <si>
    <t>730004170</t>
  </si>
  <si>
    <t>730004169</t>
  </si>
  <si>
    <t>730004168</t>
  </si>
  <si>
    <t>730004167</t>
  </si>
  <si>
    <t>730004166</t>
  </si>
  <si>
    <t>730004165</t>
  </si>
  <si>
    <t>730004164</t>
  </si>
  <si>
    <t>730004163</t>
  </si>
  <si>
    <t>730004162</t>
  </si>
  <si>
    <t>Demontáž záložního stacionárního plynového přímotopného zásobníkového ohřívače a likvidace</t>
  </si>
  <si>
    <t>730004161</t>
  </si>
  <si>
    <t>730004160</t>
  </si>
  <si>
    <t>730004159</t>
  </si>
  <si>
    <t>730004158</t>
  </si>
  <si>
    <t>730004157</t>
  </si>
  <si>
    <t>730004156</t>
  </si>
  <si>
    <t>730004155</t>
  </si>
  <si>
    <t>730004154</t>
  </si>
  <si>
    <t>730004153</t>
  </si>
  <si>
    <t>730004152</t>
  </si>
  <si>
    <t>730004151</t>
  </si>
  <si>
    <t>730004150</t>
  </si>
  <si>
    <t>730004149</t>
  </si>
  <si>
    <t>730004148</t>
  </si>
  <si>
    <t>730004147</t>
  </si>
  <si>
    <t>730004146</t>
  </si>
  <si>
    <t>730004145</t>
  </si>
  <si>
    <t>730004144</t>
  </si>
  <si>
    <t>730004143</t>
  </si>
  <si>
    <t>730004142</t>
  </si>
  <si>
    <t>730004141</t>
  </si>
  <si>
    <t>730004140</t>
  </si>
  <si>
    <t>730004139</t>
  </si>
  <si>
    <t>730004138</t>
  </si>
  <si>
    <t>730004137</t>
  </si>
  <si>
    <t>730004136</t>
  </si>
  <si>
    <t>730004135</t>
  </si>
  <si>
    <t>730004134</t>
  </si>
  <si>
    <t>730004133</t>
  </si>
  <si>
    <t>730004132</t>
  </si>
  <si>
    <t>730004131</t>
  </si>
  <si>
    <t>730004130</t>
  </si>
  <si>
    <t>730004129</t>
  </si>
  <si>
    <t>730004128</t>
  </si>
  <si>
    <t>730004127</t>
  </si>
  <si>
    <t>730004126</t>
  </si>
  <si>
    <t>730004125</t>
  </si>
  <si>
    <t>730004124</t>
  </si>
  <si>
    <t>730004123</t>
  </si>
  <si>
    <t>730004122</t>
  </si>
  <si>
    <t>730004121</t>
  </si>
  <si>
    <t>730004120</t>
  </si>
  <si>
    <t>730004119</t>
  </si>
  <si>
    <t>730004118</t>
  </si>
  <si>
    <t>730004117</t>
  </si>
  <si>
    <t>730004116</t>
  </si>
  <si>
    <t>730004115</t>
  </si>
  <si>
    <t>730004114</t>
  </si>
  <si>
    <t>730004113</t>
  </si>
  <si>
    <t>730004112</t>
  </si>
  <si>
    <t>730004111</t>
  </si>
  <si>
    <t>730004110</t>
  </si>
  <si>
    <t>730004109</t>
  </si>
  <si>
    <t>730004108</t>
  </si>
  <si>
    <t>730004107</t>
  </si>
  <si>
    <t>730004106</t>
  </si>
  <si>
    <t>730004105</t>
  </si>
  <si>
    <t>730004104</t>
  </si>
  <si>
    <t>730004103</t>
  </si>
  <si>
    <t>730004102</t>
  </si>
  <si>
    <t>730004101</t>
  </si>
  <si>
    <t>723004116</t>
  </si>
  <si>
    <t>723004115</t>
  </si>
  <si>
    <t>723004114</t>
  </si>
  <si>
    <t>723004113</t>
  </si>
  <si>
    <t>723004112</t>
  </si>
  <si>
    <t>723004111</t>
  </si>
  <si>
    <t>723004110</t>
  </si>
  <si>
    <t>723004109</t>
  </si>
  <si>
    <t>723004108</t>
  </si>
  <si>
    <t>723004107</t>
  </si>
  <si>
    <t>723004106</t>
  </si>
  <si>
    <t>723004105</t>
  </si>
  <si>
    <t>723004104</t>
  </si>
  <si>
    <t>723004103</t>
  </si>
  <si>
    <t>723004102</t>
  </si>
  <si>
    <t>723004101</t>
  </si>
  <si>
    <t>Položení netkané textilie podkladní vč.dodávky geotextilie 300/g/m2 -skladba STR02, bod 12</t>
  </si>
  <si>
    <t>Položení foliové parozábrany, včetně dodávky fólie s přelep.spoji -skladba STR02, bod 6</t>
  </si>
  <si>
    <t>Položení pojistné fólie, včetně dodávky vysoce difúzní fólie -skladba STR02, bod 9</t>
  </si>
  <si>
    <t>Izolace tepelné stropů vrchem kladené volně, 2 vrstvy -skladba STR02, bod 7, 8</t>
  </si>
  <si>
    <t>Krytina střech do 10° fólie, 6 kotev/m2,ocel,dřevo, tl. izolace nad 300 mm, folie tl. 1,5 mm, vč.detailů a doplňků -skladba STR02, bod 13</t>
  </si>
  <si>
    <t>Poplatek za skládku suti - směsný stavební odpad -omítky, tmely, kamenivo apod.</t>
  </si>
  <si>
    <t>Odsekání vnějších obkladů stěn nad 2 m2 -skladba SO01, bod 4 -bourání</t>
  </si>
  <si>
    <t>978059631R00</t>
  </si>
  <si>
    <t>Odsekání vnějších obkladů stěn do 1 m2 -ostění+parapety -skladba SO01, bod 4 -bourání</t>
  </si>
  <si>
    <t>978059611R00</t>
  </si>
  <si>
    <t>Otlučení omítek vnějších MVC v složit.1-4 do 100 % -skladba SO01, bod 3 -bourání, také pozn.1</t>
  </si>
  <si>
    <t>Otlučení omítek vnitřních stěn v rozsahu do 100 % -kotelna -dle pozn.25</t>
  </si>
  <si>
    <t>Vybourání kovových dveřních zárubní pl. nad 2 m2</t>
  </si>
  <si>
    <t>968072456R00</t>
  </si>
  <si>
    <t>Vybourání dřevěných rámů oken dvojitých pl. 1 m2 -dle pozn.4</t>
  </si>
  <si>
    <t>968062354R00</t>
  </si>
  <si>
    <t>Vyvěšení dřevěných okenních křídel pl. do 1,5 m2 -dle pozn.4</t>
  </si>
  <si>
    <t>968061112R00</t>
  </si>
  <si>
    <t>Přisekání plošné zdiva cihelného na MVC tl. 10 cm -po vybourání příčky</t>
  </si>
  <si>
    <t>Bourání příček ze skleněných tvárnic tl. 10 cm -dle pozn.4 -výplně otvorů</t>
  </si>
  <si>
    <t>962081131R00</t>
  </si>
  <si>
    <t>Bourání příček z cihel pálených plných tl. 65 mm</t>
  </si>
  <si>
    <t>962031113R00</t>
  </si>
  <si>
    <t>Odstranění prachu z trámů -vztaženo naplochu střechy</t>
  </si>
  <si>
    <t>Šachta drenážní, D 400mm, vč.zemních prací ozn. DŠ1-DŠ6 -provedení dle popisu v PD</t>
  </si>
  <si>
    <t>64_</t>
  </si>
  <si>
    <t>Osazení parapetních desek dřevěných š. do 25 cm, včetně dodávky parapetní laminát.desky š. 24 cm, ozn.OS26</t>
  </si>
  <si>
    <t>648951411RT3</t>
  </si>
  <si>
    <t>Osazení parapetních desek dřevěných š. do 25 cm, včetně dodávky parapetní laminát.desky š. 12 cm, ozn.OS27</t>
  </si>
  <si>
    <t>648951411RT2</t>
  </si>
  <si>
    <t>Očištění fasád tlakovou vodou slož.1 - 2 -skladba SO04, bod 3 + SO05, bod 3 + SO06, bod 3 +SO09, bod 2</t>
  </si>
  <si>
    <t>Zatepl.syst.-spádový klín z miner.desek PV 10-30/180 mm pod parapet vnější</t>
  </si>
  <si>
    <t>622311862RZ4</t>
  </si>
  <si>
    <t>Omítkový sanační systém vnitřní, 4 vrst. -kotelna-stěny -dle pozn.1</t>
  </si>
  <si>
    <t>Začišťovací okenní lišta pro vnitřní omítku vč.zatmelení, zaomítnutí, přeštukování a výmalby špalety</t>
  </si>
  <si>
    <t>610991007RT1</t>
  </si>
  <si>
    <t>Štuk na stěnách vnitřní, sanační, tl.vrstvy 1-2 mm -kotelna -dle pozn.1</t>
  </si>
  <si>
    <t>Doplnění zpev.plochy z dlažby zámkové, podklad štěrkodrť</t>
  </si>
  <si>
    <t>591100020RAA</t>
  </si>
  <si>
    <t>Odstranění podkladu pl. 50 m2,kam.těžené tl.20 cm -kačírek</t>
  </si>
  <si>
    <t>113107320R00</t>
  </si>
  <si>
    <t>SO 04 - OBJEKT 4 - č.p.1435</t>
  </si>
  <si>
    <t>(4,35+4,5)*2*2,25-0,9*2,1+1,0*2,1+(25,5*0,95)-7,2*0,72+(30,0*3,3)+(46,0*1,75)*2-7,2*0,72*2   </t>
  </si>
  <si>
    <t>(4,35*2,65+4,1*1,75)+(2,2*5,3)*2*2+(3,15*1,1)*3+(3,15*1,2)*4*2   </t>
  </si>
  <si>
    <t>(55,5*1,3)-7,2*1,3+(46,0*1,3)*2-7,2*1,3*2   </t>
  </si>
  <si>
    <t>;ztratné 25%; 0,1135   </t>
  </si>
  <si>
    <t>0,454   </t>
  </si>
  <si>
    <t>;ztratné 25%; 0,50325   </t>
  </si>
  <si>
    <t>20,13*0,1   </t>
  </si>
  <si>
    <t>(4,35+4,5+1,69)*2-0,95   </t>
  </si>
  <si>
    <t>;ztratné 5%; 0,78725   </t>
  </si>
  <si>
    <t>15,745   </t>
  </si>
  <si>
    <t>(4,35*2,65+4,1*1,75)-1,75*1,69   </t>
  </si>
  <si>
    <t>0,754   </t>
  </si>
  <si>
    <t>0,368   </t>
  </si>
  <si>
    <t>1,2*8+0,9*2   </t>
  </si>
  <si>
    <t>2,4*8+6,9*2   </t>
  </si>
  <si>
    <t>4,679   </t>
  </si>
  <si>
    <t>64,5   </t>
  </si>
  <si>
    <t>1,5*16+0,9*8+0,6*8   </t>
  </si>
  <si>
    <t>1,2*8   </t>
  </si>
  <si>
    <t>1,5*16+0,9*10+0,6*8   </t>
  </si>
  <si>
    <t>(5,755*31,04)*2   </t>
  </si>
  <si>
    <t>32,53   </t>
  </si>
  <si>
    <t>357,27*0,022   </t>
  </si>
  <si>
    <t>;ztratné 5%; 17,8635   </t>
  </si>
  <si>
    <t>357,27   </t>
  </si>
  <si>
    <t>30,42*10,22   </t>
  </si>
  <si>
    <t>1,482   </t>
  </si>
  <si>
    <t>(10,22*30,42)   </t>
  </si>
  <si>
    <t>;ztratné 10%; 31,0892   </t>
  </si>
  <si>
    <t>4,459   </t>
  </si>
  <si>
    <t>36,635+0,999+0,897+17,039+43,479+10,043+38,075+0,438+0,124+3,939+1,306+6,843+15,448+0,757   </t>
  </si>
  <si>
    <t>0,333+5,359+2,479   </t>
  </si>
  <si>
    <t>0,855+3,573   </t>
  </si>
  <si>
    <t>0,379+7,127   </t>
  </si>
  <si>
    <t>0,381   </t>
  </si>
  <si>
    <t>19,046+0,019+2,001   </t>
  </si>
  <si>
    <t>24,791+0,156+0,423   </t>
  </si>
  <si>
    <t>12,324+0,618   </t>
  </si>
  <si>
    <t>0,134+0,014+3,416   </t>
  </si>
  <si>
    <t>3,564+12,942+25,37+21,066+0,381+7,506+4,428+8,171   </t>
  </si>
  <si>
    <t>83,428*4   </t>
  </si>
  <si>
    <t>83,428*9   </t>
  </si>
  <si>
    <t>83,428/5   </t>
  </si>
  <si>
    <t>83,428/3   </t>
  </si>
  <si>
    <t>(30,72+10,54+0,25*2)*2*1,0-1,2*0,6*8-1,0*1,0*2   </t>
  </si>
  <si>
    <t>(1,2+0,6)*2*8*0,15   </t>
  </si>
  <si>
    <t>(4,35+4,4)*2*1,5-1,2*0,1-0,9*1,5*2   </t>
  </si>
  <si>
    <t>(30,55+6,55*2+3,1*2+0,25*4)*1,35+(30,55-3,1*2+6,44*2)*0,8   </t>
  </si>
  <si>
    <t>(31,04+0,25*2)*2*6,395+(10,54*7,308)*2-1,0*1,1*2-0,6*1,2*8-0,9*1,5*8-1,5*1,5*16-0,9*3,0*2   </t>
  </si>
  <si>
    <t>(4,35+4,4)*2*0,75-1,2*0,5-0,9*0,6*2   </t>
  </si>
  <si>
    <t>4,35*2,65+4,0*1,75   </t>
  </si>
  <si>
    <t>(30,04*9,84)-(30,04*0,25+22,4*0,1*2+7,0*0,25+24,4*0,25*2+19,4*0,1*2)   </t>
  </si>
  <si>
    <t>0,1*4+0,25+0,45*2   </t>
  </si>
  <si>
    <t>1,0*2,1   </t>
  </si>
  <si>
    <t>1+1   </t>
  </si>
  <si>
    <t>1,2*0,6*6   </t>
  </si>
  <si>
    <t>1*5+2*1   </t>
  </si>
  <si>
    <t>83,04*0,3   </t>
  </si>
  <si>
    <t>83,04*0,7   </t>
  </si>
  <si>
    <t>(4,0+2,25*2)*0,1   </t>
  </si>
  <si>
    <t>12   </t>
  </si>
  <si>
    <t>(4,35*2,65)+(4,0*1,75)   </t>
  </si>
  <si>
    <t>(4,35+4,4+1,0+1,2)*2-0,9*2   </t>
  </si>
  <si>
    <t>1,0*1,0*0,15   </t>
  </si>
  <si>
    <t>1,2*0,6*2+0,9*3,0*2   </t>
  </si>
  <si>
    <t>(30,55+6,55*2+0,25*4+3,1*2)*1,45+(30,55-3,1*2+6,44*2)*0,25   </t>
  </si>
  <si>
    <t>4,0*2,25   </t>
  </si>
  <si>
    <t>4,35*2,65+4,1*1,75   </t>
  </si>
  <si>
    <t>1,2*0,6*8+0,9*3,0*2+1,1*2,1*2+1,2*0,6*8+0,9*1,5*8+1,5*1,5*16   </t>
  </si>
  <si>
    <t>(32,04*2+0,25*4)*(7,395+1,2)+(10,84*2)*(8,308+1,2)   </t>
  </si>
  <si>
    <t>765,496*2   </t>
  </si>
  <si>
    <t>28,71*0,3*0,15   </t>
  </si>
  <si>
    <t>10,52+11,85+6,34   </t>
  </si>
  <si>
    <t>0,9*2   </t>
  </si>
  <si>
    <t>716,425/2   </t>
  </si>
  <si>
    <t>716,425   </t>
  </si>
  <si>
    <t>(2,4*8+5,1*2+3,0*8+3,9*8+4,5*16+6,9*2)   </t>
  </si>
  <si>
    <t>37,8+9,6   </t>
  </si>
  <si>
    <t>76,4+98,432+497,289+44,304   </t>
  </si>
  <si>
    <t>1,8+9,6   </t>
  </si>
  <si>
    <t>47,4-11,4   </t>
  </si>
  <si>
    <t>(2,4*8+5,1*2+3,0*8+3,9*8+4,5*16+6,9*2)*0,26   </t>
  </si>
  <si>
    <t>(31,04+10,54+0,25*2)*2*1,0-1,2*0,6*8-1,0*1,0*2   </t>
  </si>
  <si>
    <t>(31,04*2+10,54*2+0,25*4)   </t>
  </si>
  <si>
    <t>1,2*0,6*8+0,9*3,0*2+1,1*2,1*2+0,6*1,2*8+0,9*1,5*8+1,5*1,5*16   </t>
  </si>
  <si>
    <t>(4,35+4,5)*2*1,5-0,9*1,5   </t>
  </si>
  <si>
    <t>(4,35+4,5)*2*0,75-0,9*0,6   </t>
  </si>
  <si>
    <t>1,0*2,1*2+(0,4*0,6-0,3*0,3)   </t>
  </si>
  <si>
    <t>(31,04+11,34*2)*0,5   </t>
  </si>
  <si>
    <t>(6,5+11,85+6,5)*0,25   </t>
  </si>
  <si>
    <t>(3,1*0,9)*2+(31,5*0,25)+(2,0*3,1)+38,821   </t>
  </si>
  <si>
    <t>1,0*2,1*0,1   </t>
  </si>
  <si>
    <t>(30,55+6,55*2+3,1*2)+(30,55-3,1*2+6,44*2)   </t>
  </si>
  <si>
    <t>(32,85+10,52)*1,15   </t>
  </si>
  <si>
    <t>(2,2+2,0)*0,8*0,9   </t>
  </si>
  <si>
    <t>(30,55+6,55*2+3,1*2)*(1,05+0,6)/2*0,955+(30,55-3,1*2+6,44*2)*(1,05+0,6)/2*0,455   </t>
  </si>
  <si>
    <t>45,285   </t>
  </si>
  <si>
    <t>45,285*1,75   </t>
  </si>
  <si>
    <t>(97,855+2,205+3,36)-(53,251+1,86+3,024)   </t>
  </si>
  <si>
    <t>(2,2+2,0)*0,8*1,0   </t>
  </si>
  <si>
    <t>97,885   </t>
  </si>
  <si>
    <t>(30,55+6,55*2+3,1*2)*(1,15+0,7)/2*1,45+(30,55-3,1*2+6,44*2)*(1,15+0,7)/2*0,9   </t>
  </si>
  <si>
    <t>(32,85+10,52)*1,15*0,2   </t>
  </si>
  <si>
    <t>(11,85+6,34)*0,25   </t>
  </si>
  <si>
    <t>(10,52*0,5)+32,85*(1,15-0,25)+(1,85*2,16)   </t>
  </si>
  <si>
    <t>(10,52+7,5)*0,5+(1,85*2,16)   </t>
  </si>
  <si>
    <t>Kompletace a montáž antén, přepojení prvků, vč.nasměrování -provedení dle PD, ozn.OS24</t>
  </si>
  <si>
    <t>Stožár a kotvení na sedl.střechu-montáž a dodávka -provedení dle PD, ozn.OS24</t>
  </si>
  <si>
    <t>210005219</t>
  </si>
  <si>
    <t>210005218</t>
  </si>
  <si>
    <t>210005217</t>
  </si>
  <si>
    <t>210005216</t>
  </si>
  <si>
    <t>210005215</t>
  </si>
  <si>
    <t>210005214</t>
  </si>
  <si>
    <t>RFVE - Nástěnný oceloplechový rozváděč, rozměry ŠxVxH - 1x 600x600x200, krytí IP44, přístrojová výzbroj dle výkresové dokumentace: výkres č. 402</t>
  </si>
  <si>
    <t>210005213</t>
  </si>
  <si>
    <t>RH - Dozbrojení stávajícího rozváděče, přístrojová výzbroj dle výkresové dokumentace: výkres č. 401</t>
  </si>
  <si>
    <t>210005212</t>
  </si>
  <si>
    <t>210005211</t>
  </si>
  <si>
    <t>210005210</t>
  </si>
  <si>
    <t>FLEX-SOL 1x6 - uložení v elektroinstalační liště</t>
  </si>
  <si>
    <t>210005209</t>
  </si>
  <si>
    <t>1-CYKY 4x2,5 - uložení pod omítkou</t>
  </si>
  <si>
    <t>210005208</t>
  </si>
  <si>
    <t>1-CYKY 5x16 - uložení pod omítkou</t>
  </si>
  <si>
    <t>210005207</t>
  </si>
  <si>
    <t>210005206</t>
  </si>
  <si>
    <t>210005205</t>
  </si>
  <si>
    <t>210005204</t>
  </si>
  <si>
    <t>210005203</t>
  </si>
  <si>
    <t>210005202</t>
  </si>
  <si>
    <t>210005201</t>
  </si>
  <si>
    <t>210005125</t>
  </si>
  <si>
    <t>210005124</t>
  </si>
  <si>
    <t>210005123</t>
  </si>
  <si>
    <t>210005122</t>
  </si>
  <si>
    <t>210005121</t>
  </si>
  <si>
    <t>210005120</t>
  </si>
  <si>
    <t>210005119</t>
  </si>
  <si>
    <t>210005118</t>
  </si>
  <si>
    <t>210005117</t>
  </si>
  <si>
    <t>210005116</t>
  </si>
  <si>
    <t>210005115</t>
  </si>
  <si>
    <t>210005114</t>
  </si>
  <si>
    <t>210005113</t>
  </si>
  <si>
    <t>210005112</t>
  </si>
  <si>
    <t>210005111</t>
  </si>
  <si>
    <t>210005110</t>
  </si>
  <si>
    <t>210005109</t>
  </si>
  <si>
    <t>210005108</t>
  </si>
  <si>
    <t>210005107</t>
  </si>
  <si>
    <t>210005106</t>
  </si>
  <si>
    <t>210005105</t>
  </si>
  <si>
    <t>210005104</t>
  </si>
  <si>
    <t>210005103</t>
  </si>
  <si>
    <t>210005102</t>
  </si>
  <si>
    <t>210005101</t>
  </si>
  <si>
    <t>Výměna svítidla v kotelně, ozn. OS20 -úplné provedení dle popisu v PD</t>
  </si>
  <si>
    <t>M+D Venkovní čistící rohož vč.ulož do betonu HI stěrkou ozn.OS22 -úplné provedení dle popisu v PD</t>
  </si>
  <si>
    <t>M+D Pevná okenní síť proti hmyzu 1200x600mm -dle popisu v PD ozn.OS03</t>
  </si>
  <si>
    <t>767811200RT1</t>
  </si>
  <si>
    <t>Výměna dveřního křídla 1000/2100mm vč.kliky, kování a povrch.úpravy zárubně -provedení dle PD, ozn.OS19</t>
  </si>
  <si>
    <t>Demontáž střešních výlezů, do suti, vč.rámu do podkroví provedení dle pozn.20</t>
  </si>
  <si>
    <t>Poklop střešní -kompletní sestava dle popisu v PD, ozn.OS23</t>
  </si>
  <si>
    <t>Demontáž kotlíku kónického, sklon do 45° -dle pozn.14</t>
  </si>
  <si>
    <t>Demontáž žlabů půlkruh. rovných, rš 330 mm, do 45° -dle pozn.14</t>
  </si>
  <si>
    <t>730005322</t>
  </si>
  <si>
    <t>730005321</t>
  </si>
  <si>
    <t>730005320</t>
  </si>
  <si>
    <t>730005319</t>
  </si>
  <si>
    <t>730005318</t>
  </si>
  <si>
    <t>730005317</t>
  </si>
  <si>
    <t>730005316</t>
  </si>
  <si>
    <t>730005315</t>
  </si>
  <si>
    <t>730005314</t>
  </si>
  <si>
    <t>730005313</t>
  </si>
  <si>
    <t>730005312</t>
  </si>
  <si>
    <t>730005311</t>
  </si>
  <si>
    <t>730005310</t>
  </si>
  <si>
    <t>730005309</t>
  </si>
  <si>
    <t>730005308</t>
  </si>
  <si>
    <t>730005307</t>
  </si>
  <si>
    <t>730005306</t>
  </si>
  <si>
    <t>730005305</t>
  </si>
  <si>
    <t>730005304</t>
  </si>
  <si>
    <t>730005303</t>
  </si>
  <si>
    <t>730005302</t>
  </si>
  <si>
    <t>730005301</t>
  </si>
  <si>
    <t>730005223</t>
  </si>
  <si>
    <t>730005222</t>
  </si>
  <si>
    <t>730005221</t>
  </si>
  <si>
    <t>730005220</t>
  </si>
  <si>
    <t>730005219</t>
  </si>
  <si>
    <t>730005218</t>
  </si>
  <si>
    <t>730005217</t>
  </si>
  <si>
    <t>730005216</t>
  </si>
  <si>
    <t>730005215</t>
  </si>
  <si>
    <t>730005214</t>
  </si>
  <si>
    <t>730005213</t>
  </si>
  <si>
    <t>730005212</t>
  </si>
  <si>
    <t>730005211</t>
  </si>
  <si>
    <t>730005210</t>
  </si>
  <si>
    <t>730005209</t>
  </si>
  <si>
    <t>730005208</t>
  </si>
  <si>
    <t>730005207</t>
  </si>
  <si>
    <t>730005206</t>
  </si>
  <si>
    <t>730005205</t>
  </si>
  <si>
    <t>730005204</t>
  </si>
  <si>
    <t>730005203</t>
  </si>
  <si>
    <t>730005202</t>
  </si>
  <si>
    <t>730005201</t>
  </si>
  <si>
    <t>730005176</t>
  </si>
  <si>
    <t>730005175</t>
  </si>
  <si>
    <t>730005174</t>
  </si>
  <si>
    <t>730005173</t>
  </si>
  <si>
    <t>730005172</t>
  </si>
  <si>
    <t>730005171</t>
  </si>
  <si>
    <t>730005170</t>
  </si>
  <si>
    <t>730005169</t>
  </si>
  <si>
    <t>730005168</t>
  </si>
  <si>
    <t>730005167</t>
  </si>
  <si>
    <t>730005166</t>
  </si>
  <si>
    <t>730005165</t>
  </si>
  <si>
    <t>730005164</t>
  </si>
  <si>
    <t>730005163</t>
  </si>
  <si>
    <t>730005162</t>
  </si>
  <si>
    <t>730005161</t>
  </si>
  <si>
    <t>730005160</t>
  </si>
  <si>
    <t>730005159</t>
  </si>
  <si>
    <t>730005158</t>
  </si>
  <si>
    <t>VZT oblouk 90°, 200x200, mat. pozink. plech</t>
  </si>
  <si>
    <t>730005157</t>
  </si>
  <si>
    <t>730005156</t>
  </si>
  <si>
    <t>730005155</t>
  </si>
  <si>
    <t>730005154</t>
  </si>
  <si>
    <t>730005153</t>
  </si>
  <si>
    <t>730005152</t>
  </si>
  <si>
    <t>730005151</t>
  </si>
  <si>
    <t>730005150</t>
  </si>
  <si>
    <t>730005149</t>
  </si>
  <si>
    <t>730005148</t>
  </si>
  <si>
    <t>730005147</t>
  </si>
  <si>
    <t>730005146</t>
  </si>
  <si>
    <t>730005145</t>
  </si>
  <si>
    <t>730005144</t>
  </si>
  <si>
    <t>730005143</t>
  </si>
  <si>
    <t>730005142</t>
  </si>
  <si>
    <t>730005141</t>
  </si>
  <si>
    <t>730005140</t>
  </si>
  <si>
    <t>730005139</t>
  </si>
  <si>
    <t>730005138</t>
  </si>
  <si>
    <t>730005137</t>
  </si>
  <si>
    <t>730005136</t>
  </si>
  <si>
    <t>730005135</t>
  </si>
  <si>
    <t>730005134</t>
  </si>
  <si>
    <t>730005133</t>
  </si>
  <si>
    <t>730005132</t>
  </si>
  <si>
    <t>730005131</t>
  </si>
  <si>
    <t>730005130</t>
  </si>
  <si>
    <t>730005129</t>
  </si>
  <si>
    <t>730005128</t>
  </si>
  <si>
    <t>730005127</t>
  </si>
  <si>
    <t>730005126</t>
  </si>
  <si>
    <t>730005125</t>
  </si>
  <si>
    <t>730005124</t>
  </si>
  <si>
    <t>730005123</t>
  </si>
  <si>
    <t>730005122</t>
  </si>
  <si>
    <t>730005121</t>
  </si>
  <si>
    <t>730005120</t>
  </si>
  <si>
    <t>730005119</t>
  </si>
  <si>
    <t>730005118</t>
  </si>
  <si>
    <t>730005117</t>
  </si>
  <si>
    <t>730005116</t>
  </si>
  <si>
    <t>730005115</t>
  </si>
  <si>
    <t>730005114</t>
  </si>
  <si>
    <t>730005113</t>
  </si>
  <si>
    <t>730005112</t>
  </si>
  <si>
    <t>730005111</t>
  </si>
  <si>
    <t>730005110</t>
  </si>
  <si>
    <t>730005109</t>
  </si>
  <si>
    <t>730005108</t>
  </si>
  <si>
    <t>730005107</t>
  </si>
  <si>
    <t>730005106</t>
  </si>
  <si>
    <t>730005105</t>
  </si>
  <si>
    <t>730005104</t>
  </si>
  <si>
    <t>730005103</t>
  </si>
  <si>
    <t>730005102</t>
  </si>
  <si>
    <t>730005101</t>
  </si>
  <si>
    <t>723005116</t>
  </si>
  <si>
    <t>723005115</t>
  </si>
  <si>
    <t>723005114</t>
  </si>
  <si>
    <t>723005113</t>
  </si>
  <si>
    <t>723005112</t>
  </si>
  <si>
    <t>723005111</t>
  </si>
  <si>
    <t>723005110</t>
  </si>
  <si>
    <t>723005109</t>
  </si>
  <si>
    <t>723005108</t>
  </si>
  <si>
    <t>723005107</t>
  </si>
  <si>
    <t>723005106</t>
  </si>
  <si>
    <t>723005105</t>
  </si>
  <si>
    <t>723005104</t>
  </si>
  <si>
    <t>723005103</t>
  </si>
  <si>
    <t>723005102</t>
  </si>
  <si>
    <t>723005101</t>
  </si>
  <si>
    <t>Odstranění štukové vrstvy omítky z vnitřních stěn -kotelna -dle pozn.19</t>
  </si>
  <si>
    <t>Otlučení omítek vnitřních stěn v rozsahu do 100 % -kotelna -dle pozn.19</t>
  </si>
  <si>
    <t>Odstranění štukové vrstvy vnitřních stropů -kotelna -dle pozn.19</t>
  </si>
  <si>
    <t>Bourání dlažeb keramických tl.10 mm, nad 1 m2 -kotelna -dle pozn.19, také skladba PDL01, bod 1-bourání</t>
  </si>
  <si>
    <t>Bourání soklíků z dlažeb keramických -kotelna -dle pozn.19, také skladba PDL01, bod 1-bourání</t>
  </si>
  <si>
    <t>Dočištění povrchu po vybourání dlažeb, tmel do 30% -kotelna -dle pozn.19, také skladba PDL01, bod 1-bourání</t>
  </si>
  <si>
    <t>Výměna podlah.vpusti, ozn.OS25 -úplné provedení vč.výkop.prací a obnovy dle popisu v PD a detailu Det5</t>
  </si>
  <si>
    <t>953171051RA0</t>
  </si>
  <si>
    <t>Očištění fasád tlakovou vodou slož.1 - 2 -skladba SO04, bod 3 + SO05, bod 3 + SO06, bod 3 + SO09, bod 2</t>
  </si>
  <si>
    <t>Dilatační profil KZS, tl.izolantu tl.180 mm -montáž a dodávka, ozn.OS21</t>
  </si>
  <si>
    <t>Oprava a doplnění oplocení, ozn.OS11, také pozn.18 -úplné provedení dle popisu v PD</t>
  </si>
  <si>
    <t>318261110RV1</t>
  </si>
  <si>
    <t>Zazdívka (dozdívka) otvorů pl. 0,25 m2 (ze 600x400mm na 300x300mm) cihlami, tl. zdi 45 cm, s použitím suché maltové směsi</t>
  </si>
  <si>
    <t>Odstranění podkladu pl. 50 m2,kam.těžené tl.20 cm -kačírek -dle pozn.7</t>
  </si>
  <si>
    <t>SO 05 - OBJEKT 5 - č.p.1442</t>
  </si>
  <si>
    <t>71,382+(25,5*0,95)-7,2*0,72+(30,0*3,3)+(46,0*1,75)*2-7,2*0,72*2   </t>
  </si>
  <si>
    <t>32,003+(2,2*5,3)*2*2+(3,15*1,1)*3+(3,15*1,2)*4*2   </t>
  </si>
  <si>
    <t>0,904   </t>
  </si>
  <si>
    <t>;ztratné 25%; 0,84875   </t>
  </si>
  <si>
    <t>33,95*0,1   </t>
  </si>
  <si>
    <t>(4,85+3,1+4,35+4,5)*2-0,95*3+(1,0*2+1,2)   </t>
  </si>
  <si>
    <t>;ztratné 5%; 1,60015   </t>
  </si>
  <si>
    <t>32,003   </t>
  </si>
  <si>
    <t>2,75*3,45+1,05*3,1+0,95*0,35+4,35*2,65+4,0*1,85   </t>
  </si>
  <si>
    <t>2+2   </t>
  </si>
  <si>
    <t>0,344   </t>
  </si>
  <si>
    <t>7   </t>
  </si>
  <si>
    <t>1,2*7+0,9*2   </t>
  </si>
  <si>
    <t>2,4*7+6,9*2   </t>
  </si>
  <si>
    <t>31,17   </t>
  </si>
  <si>
    <t>36,635+0,329+6,649+17,039+37,93+11,461+38,075+0,111+3,755+1,306+12,59+15,448+1,607   </t>
  </si>
  <si>
    <t>0,389+5,359+2,479   </t>
  </si>
  <si>
    <t>0,014+0,64   </t>
  </si>
  <si>
    <t>21,562+0,034+11,888   </t>
  </si>
  <si>
    <t>23,129+0,156+0,258+0,658   </t>
  </si>
  <si>
    <t>7,836+6,603+0,288   </t>
  </si>
  <si>
    <t>0,014+3,416   </t>
  </si>
  <si>
    <t>3,43+14,727+24,201+33,484+0,381+0,654+4,428+8,227   </t>
  </si>
  <si>
    <t>89,532*4   </t>
  </si>
  <si>
    <t>89,532*9   </t>
  </si>
  <si>
    <t>89,532/5   </t>
  </si>
  <si>
    <t>89,532/3   </t>
  </si>
  <si>
    <t>33,6*1,5-0,95*1,5*3-1,2*0,1*2+0,1*0,23*4+(0,35*1,5)*2   </t>
  </si>
  <si>
    <t>(33,6*0,75)-0,95*0,6*3-1,2*0,5*2+(0,5*2+1,2)*0,23*2+(0,6*2+0,95)*0,35   </t>
  </si>
  <si>
    <t>0,45*2   </t>
  </si>
  <si>
    <t>1,2*0,6*7   </t>
  </si>
  <si>
    <t>1*7   </t>
  </si>
  <si>
    <t>(4,85+3,1+4,35+4,5)*2-0,95*3+(1,0+1,2)*2   </t>
  </si>
  <si>
    <t>52,82*0,3*0,15   </t>
  </si>
  <si>
    <t>11,05*2+30,72   </t>
  </si>
  <si>
    <t>1,2*7   </t>
  </si>
  <si>
    <t>1,8+8,4   </t>
  </si>
  <si>
    <t>47,4-10,2   </t>
  </si>
  <si>
    <t>(0,6*0,4-0,3*0,3)*2   </t>
  </si>
  <si>
    <t>(31,6+11,34)*0,5   </t>
  </si>
  <si>
    <t>(10,84+6,5+11,85+6,5)*0,25   </t>
  </si>
  <si>
    <t>(9,8*0,7)+(1,65*2,0)+(31,29*1,2)   </t>
  </si>
  <si>
    <t>1,0*1,2*0,1   </t>
  </si>
  <si>
    <t>(10,52+32,85)*(1,15-0,25)   </t>
  </si>
  <si>
    <t>44,604   </t>
  </si>
  <si>
    <t>44,604*1,75   </t>
  </si>
  <si>
    <t>97,855-53,251   </t>
  </si>
  <si>
    <t>(10,52+32,85)*(1,15-0,25)*0,2   </t>
  </si>
  <si>
    <t>(6,34*2+11,85)*0,25+(11,05+30,72)*0,5   </t>
  </si>
  <si>
    <t>32,85*(1,15-0,25)+(10,52*0,5)   </t>
  </si>
  <si>
    <t>621</t>
  </si>
  <si>
    <t xml:space="preserve">Provedení a vystrojení vrtů pro tepelné čerpadlo  (6 x 150bm)				</t>
  </si>
  <si>
    <t>620</t>
  </si>
  <si>
    <t>619</t>
  </si>
  <si>
    <t>618</t>
  </si>
  <si>
    <t>617</t>
  </si>
  <si>
    <t>616</t>
  </si>
  <si>
    <t>615</t>
  </si>
  <si>
    <t>067029</t>
  </si>
  <si>
    <t>614</t>
  </si>
  <si>
    <t>067028</t>
  </si>
  <si>
    <t>613</t>
  </si>
  <si>
    <t>067027</t>
  </si>
  <si>
    <t>612</t>
  </si>
  <si>
    <t>067026</t>
  </si>
  <si>
    <t>611</t>
  </si>
  <si>
    <t>067025</t>
  </si>
  <si>
    <t>610</t>
  </si>
  <si>
    <t>067024</t>
  </si>
  <si>
    <t>609</t>
  </si>
  <si>
    <t>067023</t>
  </si>
  <si>
    <t>608</t>
  </si>
  <si>
    <t>067022</t>
  </si>
  <si>
    <t>607</t>
  </si>
  <si>
    <t>067021</t>
  </si>
  <si>
    <t>606</t>
  </si>
  <si>
    <t>067020</t>
  </si>
  <si>
    <t>605</t>
  </si>
  <si>
    <t>067019</t>
  </si>
  <si>
    <t>604</t>
  </si>
  <si>
    <t>067018</t>
  </si>
  <si>
    <t>603</t>
  </si>
  <si>
    <t>602</t>
  </si>
  <si>
    <t>067017</t>
  </si>
  <si>
    <t>601</t>
  </si>
  <si>
    <t>067015</t>
  </si>
  <si>
    <t>600</t>
  </si>
  <si>
    <t>067014</t>
  </si>
  <si>
    <t>599</t>
  </si>
  <si>
    <t>067013</t>
  </si>
  <si>
    <t>598</t>
  </si>
  <si>
    <t>067012</t>
  </si>
  <si>
    <t>597</t>
  </si>
  <si>
    <t>067011</t>
  </si>
  <si>
    <t>596</t>
  </si>
  <si>
    <t>067010</t>
  </si>
  <si>
    <t>595</t>
  </si>
  <si>
    <t>067009</t>
  </si>
  <si>
    <t>594</t>
  </si>
  <si>
    <t>067008</t>
  </si>
  <si>
    <t>593</t>
  </si>
  <si>
    <t>067007</t>
  </si>
  <si>
    <t>592</t>
  </si>
  <si>
    <t>067006</t>
  </si>
  <si>
    <t>591</t>
  </si>
  <si>
    <t>067005</t>
  </si>
  <si>
    <t>590</t>
  </si>
  <si>
    <t>067004</t>
  </si>
  <si>
    <t>589</t>
  </si>
  <si>
    <t>067003</t>
  </si>
  <si>
    <t>588</t>
  </si>
  <si>
    <t>067002</t>
  </si>
  <si>
    <t>587</t>
  </si>
  <si>
    <t>067001</t>
  </si>
  <si>
    <t>586</t>
  </si>
  <si>
    <t>Odporový snímač teploty prostorový, Ni1000/6180ppm, IP54, -50 až +70°C</t>
  </si>
  <si>
    <t>T111</t>
  </si>
  <si>
    <t>585</t>
  </si>
  <si>
    <t>Elektromagnetický plynový ventil kotelny, napájení 230V/30W, bez napětí uzavřen - dodávka plynoinstalace</t>
  </si>
  <si>
    <t>HUP111</t>
  </si>
  <si>
    <t>584</t>
  </si>
  <si>
    <t>Detektor úniku plynu, provedení metan, signalizace 1. a 2. stupně detekce</t>
  </si>
  <si>
    <t>G112</t>
  </si>
  <si>
    <t>583</t>
  </si>
  <si>
    <t>G111</t>
  </si>
  <si>
    <t>582</t>
  </si>
  <si>
    <t>HS111</t>
  </si>
  <si>
    <t>581</t>
  </si>
  <si>
    <t>H111</t>
  </si>
  <si>
    <t>580</t>
  </si>
  <si>
    <t>SA111</t>
  </si>
  <si>
    <t>579</t>
  </si>
  <si>
    <t>AD111</t>
  </si>
  <si>
    <t>578</t>
  </si>
  <si>
    <t>Z111</t>
  </si>
  <si>
    <t>577</t>
  </si>
  <si>
    <t>P111</t>
  </si>
  <si>
    <t>576</t>
  </si>
  <si>
    <t>575</t>
  </si>
  <si>
    <t>Servopohon ventilu včetně adaptéru, napájení 24V AC nebo DC, ovládání 0-10V - dodávka ÚT</t>
  </si>
  <si>
    <t>Y91</t>
  </si>
  <si>
    <t>574</t>
  </si>
  <si>
    <t>T91</t>
  </si>
  <si>
    <t>Čerpadlo oběhové s elektronickým řízením, napájení 230V/103W - dodávka ÚT</t>
  </si>
  <si>
    <t>Č91</t>
  </si>
  <si>
    <t>Y81</t>
  </si>
  <si>
    <t>T81</t>
  </si>
  <si>
    <t>Č81</t>
  </si>
  <si>
    <t>T73</t>
  </si>
  <si>
    <t>T71T72</t>
  </si>
  <si>
    <t>SH61</t>
  </si>
  <si>
    <t>ST61</t>
  </si>
  <si>
    <t>T61</t>
  </si>
  <si>
    <t>Čerpadlo oběhové s elektronickým řízením, napájení 230V/68W - dodávka ÚT</t>
  </si>
  <si>
    <t>Č51</t>
  </si>
  <si>
    <t>Y41</t>
  </si>
  <si>
    <t>T21T22</t>
  </si>
  <si>
    <t>K21K22</t>
  </si>
  <si>
    <t>T13T14</t>
  </si>
  <si>
    <t>Č12Č14</t>
  </si>
  <si>
    <t>Č11Č13</t>
  </si>
  <si>
    <t>TČ11TČ12</t>
  </si>
  <si>
    <t>067i</t>
  </si>
  <si>
    <t>DDC regulátor včetně rozšiřujících modulů, komunikace RS232, komunikace RS485, komunikace Ethernet, 6xAO, 19xDI, 13xDO, 16xAI, klávesnice, displej 4x2</t>
  </si>
  <si>
    <t>067h</t>
  </si>
  <si>
    <t>067g</t>
  </si>
  <si>
    <t>067f</t>
  </si>
  <si>
    <t>067e</t>
  </si>
  <si>
    <t>067d</t>
  </si>
  <si>
    <t>067c</t>
  </si>
  <si>
    <t>067b</t>
  </si>
  <si>
    <t>Vývod pro havarijní uzávěr plynu, 230V, v sestavě: jistič 6A/1B, stykač, montážní příslušenství</t>
  </si>
  <si>
    <t>Z111(AD111)</t>
  </si>
  <si>
    <t>Č31Č41Č51Č61Č81Č</t>
  </si>
  <si>
    <t>067a</t>
  </si>
  <si>
    <t>Rozváděčová skříň, svorkovnice nahoře, krytí IP55, rozměry šxvxh=800x1200x300 včetně vnitřní výbavy: hlavní vypínač 25A/400V, napájení zajistí profese</t>
  </si>
  <si>
    <t>RA6</t>
  </si>
  <si>
    <t>210067125</t>
  </si>
  <si>
    <t>210067124</t>
  </si>
  <si>
    <t>210067123</t>
  </si>
  <si>
    <t>210067122</t>
  </si>
  <si>
    <t>210067121</t>
  </si>
  <si>
    <t>210067120</t>
  </si>
  <si>
    <t>210067119</t>
  </si>
  <si>
    <t>210067118</t>
  </si>
  <si>
    <t>210067117</t>
  </si>
  <si>
    <t>210067116</t>
  </si>
  <si>
    <t>210067115</t>
  </si>
  <si>
    <t>JS.01 - Jímací stožár izolovaný ( držák, podpůrná trubka 2 m, připojovací sada pro vodiče, jímací tyč 2,5 m, včetně PA svorky a ukotvení )</t>
  </si>
  <si>
    <t>210067114</t>
  </si>
  <si>
    <t>210067113</t>
  </si>
  <si>
    <t>210067112</t>
  </si>
  <si>
    <t>210067111</t>
  </si>
  <si>
    <t>210067110</t>
  </si>
  <si>
    <t>210067109</t>
  </si>
  <si>
    <t>210067108</t>
  </si>
  <si>
    <t>210067107</t>
  </si>
  <si>
    <t>210067106</t>
  </si>
  <si>
    <t>210067105</t>
  </si>
  <si>
    <t>210067104</t>
  </si>
  <si>
    <t>210067103</t>
  </si>
  <si>
    <t>210067102</t>
  </si>
  <si>
    <t>210067101</t>
  </si>
  <si>
    <t>M+D Keramický sokl v odstínu dlažby, vč.těs.kout.profilu, ozn.OS33 -provedení dle popisu v PD</t>
  </si>
  <si>
    <t>771577988RT1</t>
  </si>
  <si>
    <t>Demontáž a opětovná kloubové markýzy, ozn. OS32 -provedení dle PD</t>
  </si>
  <si>
    <t>767995131RT1</t>
  </si>
  <si>
    <t>Demontáž a opětovná montáž držáků na vlajku, ozn. OS22 -úplné provedení vč.povrch.úpravy</t>
  </si>
  <si>
    <t>Demontáž, nastavení  a zpětná montáž potrubí VZT, ozn.OS31 -provedení dle popisu v PD</t>
  </si>
  <si>
    <t>767887120RT1</t>
  </si>
  <si>
    <t>M+D Žebřík s ochranným košem, ozn.Z07 -úplné provedení dle popisu v PD</t>
  </si>
  <si>
    <t>M+D Žebřík s ochranným košem, ozn.Z08 -úplné provedení dle popisu v PD</t>
  </si>
  <si>
    <t>767833100RT1</t>
  </si>
  <si>
    <t>M+D Dveřní mříž 2340/2700mm, vč.povrch.úpravy -provedení dle popisu v PD, ozn.Z11</t>
  </si>
  <si>
    <t>767815280RT1</t>
  </si>
  <si>
    <t>M+D Okenní mříž 1700(1350)/750(450)mm, vč.povrch.úpravy -provedení dle popisu v PD, ozn.Z01</t>
  </si>
  <si>
    <t>M+D Okenní mříž 795(450)/795(450)mm, vč.povrch.úpravy -provedení dle popisu v PD, ozn.Z02</t>
  </si>
  <si>
    <t>767815240RT1</t>
  </si>
  <si>
    <t>Montáž protidešťových žaluzií, vč.dodávky protidešťové žaluzie 900x600mm -dle popisu v PD ozn.OS11</t>
  </si>
  <si>
    <t>767811110RT2</t>
  </si>
  <si>
    <t>Montáž protidešťových žaluzií, vč.dodávky protidešťové žaluzie 750x600mm -dle popisu v PD ozn.OS29</t>
  </si>
  <si>
    <t>767811110RT1</t>
  </si>
  <si>
    <t>Montáž větracích mřížek, vč.dodávky kruhové mřížky D=200mm -dle popisu v PD ozn.OS10</t>
  </si>
  <si>
    <t>767811100RT9</t>
  </si>
  <si>
    <t>Montáž větracích mřížek, vč.dodávky mřížky 400x400mm -dle popisu v PD ozn.OS04</t>
  </si>
  <si>
    <t>767811100RT8</t>
  </si>
  <si>
    <t>Montáž větracích mřížek, vč.dodávky mřížky 300x300mm -dle popisu v PD ozn.OS03</t>
  </si>
  <si>
    <t>767811100RT7</t>
  </si>
  <si>
    <t>Montáž větracích mřížek, vč.dodávky mřížky nerez 150x150mm -dle popisu v PD ozn.OS01</t>
  </si>
  <si>
    <t>767811100RT6</t>
  </si>
  <si>
    <t>Montáž větracích mřížek, vč.dodávky mřížky 200x200mm -dle popisu v PD ozn.OS02</t>
  </si>
  <si>
    <t>Výměna dveřního křídla 950/2100mm vč.kliky, kování a povrch.úpravy zárubně -provedení dle PD, ozn.OS19</t>
  </si>
  <si>
    <t>M+D Ocel.rám přístřešku nad rampou 6000/1187mm provedení dle PD, ozn.Z06</t>
  </si>
  <si>
    <t>767311140RT1</t>
  </si>
  <si>
    <t>M+D Madlo zábradlí z prof. oceli do zdiva ozn.Z05 -úplné provedení dle popisu v PD vč.povrch.úpravy</t>
  </si>
  <si>
    <t>767222140RT1</t>
  </si>
  <si>
    <t>M+D Zábradlí lodžie ozn.Z12 -úplné provedení dle popisu v PD vč.povrch.úpravy</t>
  </si>
  <si>
    <t>767221120RT1</t>
  </si>
  <si>
    <t>M+D Venkovní požární schodiště vč.zábradlí, ozn.Z10 -úplné provedení dle popisu v PD, vč.povrch.úpravy</t>
  </si>
  <si>
    <t>767211150RT1</t>
  </si>
  <si>
    <t>M+D Nákladová rampa vč.zábradlí, ozn.Z09 -úplné provedení dle popisu v PD, vč.povrch.úpravy</t>
  </si>
  <si>
    <t>767211130RT1</t>
  </si>
  <si>
    <t>Okno plastové jednodílné 1200 x 1200 mm S ozn.W03</t>
  </si>
  <si>
    <t>61143061</t>
  </si>
  <si>
    <t>Okno plastové jednodílné 750 x 1200 mm S ozn.W02</t>
  </si>
  <si>
    <t>61143015</t>
  </si>
  <si>
    <t>Okno plastové jednodílné 600 x 600 mm S ozn.W01</t>
  </si>
  <si>
    <t>61143000</t>
  </si>
  <si>
    <t>Demontáž střešních výlezů, do suti, vč.rámu do podkroví provedení dle pozn.18</t>
  </si>
  <si>
    <t>Průběžný odvětraný hřeben, střecha jednoduchá, do 30° ozn.K10</t>
  </si>
  <si>
    <t>Oplechování stříšky nad rampou rš.600mm ocel.PZ poplast.plech tl.0,6mm, ozn.K12</t>
  </si>
  <si>
    <t>Oplechování stříšky nad rampou rš.440mm ocel.PZ poplast.plech tl.0,6mm ozn.K04</t>
  </si>
  <si>
    <t>Oplechování u svislé stěny rš.300mm ocel.PZ poplast.plech tl.0,6mm ozn.K11</t>
  </si>
  <si>
    <t>764901103RU4</t>
  </si>
  <si>
    <t>Oplechování stříšky nad rampou rš.100mm ocel.PZ poplast.plech tl.0,6mm ozn.K13</t>
  </si>
  <si>
    <t>764901102RU4</t>
  </si>
  <si>
    <t>Odpadní trouby kruhové z lak.Pz plechu tl.0,6mm, D 120 mm, ozn.K06</t>
  </si>
  <si>
    <t>Odpadní trouby kruhové z lak.Pz plechu tl.0,6mm, D 80 mm, ozn.K08</t>
  </si>
  <si>
    <t>Kotlík žlabový oválný z lak. Pz plechu tl.0,6mm, 250/80 mm, ozn.K08</t>
  </si>
  <si>
    <t>Žlab podokapní půlkruh.z lak.Pz plechu tl.0,6mm, rš 330 mm ozn.K05</t>
  </si>
  <si>
    <t>Žlab podokapní půlkruh.z lak.Pz plechu tl.0,6mm, rš 250 mm, ozn.K07</t>
  </si>
  <si>
    <t>Oplechování parapetů z Al extr.plechu tl. 2,6 mm, rš 190 mm vč.bočních krytek -provedení dle PD, ozn.K03</t>
  </si>
  <si>
    <t>764410430RT2</t>
  </si>
  <si>
    <t>Demontáž oplechování stříšek nad vstupem a do výtahu-dle pozn.3</t>
  </si>
  <si>
    <t>Demontáž oplechování -dle pozn.2</t>
  </si>
  <si>
    <t>Demont. krytiny plech., vč.nástř.prvků a doplňků, do 45° -skladba STŘ 01, bod 1-bourání</t>
  </si>
  <si>
    <t>M. bedn.střech rovn. z aglomer.desek šroubováním -skladba STR02, bod 8</t>
  </si>
  <si>
    <t>Kontrola stavu, vyčištění a vysátí povrchu a vyrovnání -STR02, bod 2</t>
  </si>
  <si>
    <t>Zakrývání provizorní plachtou 15x20m,vč.odstranění</t>
  </si>
  <si>
    <t>762088116R00</t>
  </si>
  <si>
    <t xml:space="preserve"> Plně vystrojená sběrná šachta - vývody 6/6  vodotěsná - oboustranné provedení
• 1 x rozdělovač kulové kohouty DN25 - 6 vývodů
• 1 x sběrač výstupy 5/</t>
  </si>
  <si>
    <t>730067337</t>
  </si>
  <si>
    <t>730067336</t>
  </si>
  <si>
    <t>730067335</t>
  </si>
  <si>
    <t>Větrací mřížka hliníková 150x150mm</t>
  </si>
  <si>
    <t>730067334</t>
  </si>
  <si>
    <t>Ukončovací trubka bez hrdla</t>
  </si>
  <si>
    <t>730067333</t>
  </si>
  <si>
    <t>Trubkový díl 110mm s odbočkou 80mm - 87°</t>
  </si>
  <si>
    <t>730067332</t>
  </si>
  <si>
    <t>Revizní T-kus s měřícím otvorem, 110mm na 80mm</t>
  </si>
  <si>
    <t>730067331</t>
  </si>
  <si>
    <t>Koleno 87°, 80mm</t>
  </si>
  <si>
    <t>730067330</t>
  </si>
  <si>
    <t>Potrubí 110mm</t>
  </si>
  <si>
    <t>730067329</t>
  </si>
  <si>
    <t>Potrubí 80mm</t>
  </si>
  <si>
    <t>730067328</t>
  </si>
  <si>
    <t>Vyústění s přisáváním, 110/160mm</t>
  </si>
  <si>
    <t>730067327</t>
  </si>
  <si>
    <t>Revizní T-kus, 110/160mm</t>
  </si>
  <si>
    <t>730067326</t>
  </si>
  <si>
    <t>Krycí deska dvojdílná, 110/160mm</t>
  </si>
  <si>
    <t>730067325</t>
  </si>
  <si>
    <t>Pateční koleno 87°, s konzolou, 110/160mm</t>
  </si>
  <si>
    <t>730067324</t>
  </si>
  <si>
    <t>Potrubí 110/160mm se vzduchovou mezerou</t>
  </si>
  <si>
    <t>730067323</t>
  </si>
  <si>
    <t>Revizní T-kus, 110mm</t>
  </si>
  <si>
    <t>730067322</t>
  </si>
  <si>
    <t>Revizní koleno 87°, 110mm</t>
  </si>
  <si>
    <t>730067321</t>
  </si>
  <si>
    <t>Revizní T-kus s odvodem kondenzátu, 110mm</t>
  </si>
  <si>
    <t>730067320</t>
  </si>
  <si>
    <t>Trubkový díl 110mm s odbočkou 80mm a ZK - 87°</t>
  </si>
  <si>
    <t>730067319</t>
  </si>
  <si>
    <t>Koncový kus kaskády se ZK - revizní T-kus, 110mm na 80mm</t>
  </si>
  <si>
    <t>730067318</t>
  </si>
  <si>
    <t>730067317</t>
  </si>
  <si>
    <t>730067316</t>
  </si>
  <si>
    <t>730067315</t>
  </si>
  <si>
    <t>Vyústění s přisáváním, 160/225mm</t>
  </si>
  <si>
    <t>730067314</t>
  </si>
  <si>
    <t>Revizní T-kus, 160/225mm</t>
  </si>
  <si>
    <t>730067313</t>
  </si>
  <si>
    <t>Krycí deska dvojdílná, 160/225mm</t>
  </si>
  <si>
    <t>730067312</t>
  </si>
  <si>
    <t>Pateční koleno 87° s přisáváním, s konzolou, 160/225mm</t>
  </si>
  <si>
    <t>730067311</t>
  </si>
  <si>
    <t>Potrubí 160/225mm se vzduchovou mezerou</t>
  </si>
  <si>
    <t>730067310</t>
  </si>
  <si>
    <t>Revizní koleno 87°, 160/225mm</t>
  </si>
  <si>
    <t>730067309</t>
  </si>
  <si>
    <t>Koleno 87°, 160/225mm</t>
  </si>
  <si>
    <t>730067308</t>
  </si>
  <si>
    <t>730067307</t>
  </si>
  <si>
    <t>Trubkový díl 160/225mm s odbočkou 80/125mm - 87°</t>
  </si>
  <si>
    <t>730067306</t>
  </si>
  <si>
    <t>Revizní T-kus 87°, 160/225mm na 110/160mm</t>
  </si>
  <si>
    <t>730067305</t>
  </si>
  <si>
    <t>Kotlová redukce 80/125mm -&gt; 110/160mm</t>
  </si>
  <si>
    <t>730067304</t>
  </si>
  <si>
    <t>730067303</t>
  </si>
  <si>
    <t>Potrubí 160/225mm</t>
  </si>
  <si>
    <t>730067302</t>
  </si>
  <si>
    <t>730067301</t>
  </si>
  <si>
    <t>730067222</t>
  </si>
  <si>
    <t>730067221</t>
  </si>
  <si>
    <t>730067220</t>
  </si>
  <si>
    <t>730067219</t>
  </si>
  <si>
    <t>730067218</t>
  </si>
  <si>
    <t>730067217</t>
  </si>
  <si>
    <t>730067216</t>
  </si>
  <si>
    <t>730067215</t>
  </si>
  <si>
    <t>730067214</t>
  </si>
  <si>
    <t>730067213</t>
  </si>
  <si>
    <t>730067212</t>
  </si>
  <si>
    <t>730067211</t>
  </si>
  <si>
    <t>730067210</t>
  </si>
  <si>
    <t>730067209</t>
  </si>
  <si>
    <t>730067208</t>
  </si>
  <si>
    <t>Oddělovací člen pro přímé napojení na rozvody pitné vody doplňování vody (kulový kohout, filtr, vodoměr) DN R 1/2, R 1/2 -příslušenství automatického</t>
  </si>
  <si>
    <t>730067207</t>
  </si>
  <si>
    <t>730067206</t>
  </si>
  <si>
    <t>Automatické doplňovací zařízení pro soustavy s tlakovou exp. nádobou, dig. displej, signalizace překročení min. a max. tlaku, kontrolované doplňování,</t>
  </si>
  <si>
    <t>730067205</t>
  </si>
  <si>
    <t>730067204</t>
  </si>
  <si>
    <t>730067203</t>
  </si>
  <si>
    <t>730067202</t>
  </si>
  <si>
    <t>730067201</t>
  </si>
  <si>
    <t>730067187</t>
  </si>
  <si>
    <t>730067186</t>
  </si>
  <si>
    <t>730067185</t>
  </si>
  <si>
    <t>730067184</t>
  </si>
  <si>
    <t>730067183</t>
  </si>
  <si>
    <t>730067182</t>
  </si>
  <si>
    <t>730067181</t>
  </si>
  <si>
    <t>730067180</t>
  </si>
  <si>
    <t>730067179</t>
  </si>
  <si>
    <t>Demontáž vzduchotechnických zařízení</t>
  </si>
  <si>
    <t>730067178</t>
  </si>
  <si>
    <t>730067177</t>
  </si>
  <si>
    <t>Demontáž stávajícího rozdělovače/sběrače</t>
  </si>
  <si>
    <t>730067176</t>
  </si>
  <si>
    <t>730067175</t>
  </si>
  <si>
    <t>730067174</t>
  </si>
  <si>
    <t>Demontáž AL spalinového potrubí v kotelnách do DN300, včetně likvidace</t>
  </si>
  <si>
    <t>730067173</t>
  </si>
  <si>
    <t>730067172</t>
  </si>
  <si>
    <t>730067171</t>
  </si>
  <si>
    <t>730067170</t>
  </si>
  <si>
    <t>730067169</t>
  </si>
  <si>
    <t>730067168</t>
  </si>
  <si>
    <t>730067167</t>
  </si>
  <si>
    <t>730067166</t>
  </si>
  <si>
    <t>730067165</t>
  </si>
  <si>
    <t>Tep. Izolace pro potrubí DN40 z minerálního vlákna, kašírovaná vyztuženou Al folií, vniřní pr./tl.  45/40 mm</t>
  </si>
  <si>
    <t>730067164</t>
  </si>
  <si>
    <t>730067163</t>
  </si>
  <si>
    <t>730067162</t>
  </si>
  <si>
    <t>730067161</t>
  </si>
  <si>
    <t>Potrubí ocelové bezešvé DN40, včetvě tvarovek, spojovacího materiálu, konzol</t>
  </si>
  <si>
    <t>730067160</t>
  </si>
  <si>
    <t>730067159</t>
  </si>
  <si>
    <t>730067158</t>
  </si>
  <si>
    <t>730067157</t>
  </si>
  <si>
    <t>730067156</t>
  </si>
  <si>
    <t>730067155</t>
  </si>
  <si>
    <t>730067154</t>
  </si>
  <si>
    <t>730067153</t>
  </si>
  <si>
    <t>730067152</t>
  </si>
  <si>
    <t>730067151</t>
  </si>
  <si>
    <t>Klapka zpětná pružinová celomosazná, závitová,  DN 40, 120°C, PN15</t>
  </si>
  <si>
    <t>730067150</t>
  </si>
  <si>
    <t>730067149</t>
  </si>
  <si>
    <t>Separační magnetický filtr, přírubový DN 50, 85°C, PN10, nerezová ocel</t>
  </si>
  <si>
    <t>730067148</t>
  </si>
  <si>
    <t>Filtr topenářský, závitový DN 32,120°C, PN16</t>
  </si>
  <si>
    <t>730067147</t>
  </si>
  <si>
    <t>730067146</t>
  </si>
  <si>
    <t>730067145</t>
  </si>
  <si>
    <t>730067144</t>
  </si>
  <si>
    <t>Kohout kulový - voda, DN 40,t=120°C, PN16</t>
  </si>
  <si>
    <t>730067143</t>
  </si>
  <si>
    <t>730067142</t>
  </si>
  <si>
    <t>730067141</t>
  </si>
  <si>
    <t>Trojcestný směšovací ventil závitový DN32, Kvs 16, PN10, pohon s plynulým řízením 0-10V, U=24V AC</t>
  </si>
  <si>
    <t>730067140</t>
  </si>
  <si>
    <t>Čerpadlo oběhové závitové, s automatickou regulací výkonu, DN32, Q = 1,7 m3/h, H = 4m, P = 68W/230V, včetně těsnění a tepelně izolačního obalu</t>
  </si>
  <si>
    <t>730067139</t>
  </si>
  <si>
    <t>730067138</t>
  </si>
  <si>
    <t>Souprava měřiče tepla závitového DN40, Qn = 10,0m3/h, včetně kalorimetrického počítadla, fluidikového průtokoměru, jímek a odporových teploměrů, těsně</t>
  </si>
  <si>
    <t>730067137</t>
  </si>
  <si>
    <t>Stavitelný stojan pro rozdělovač a sběrač, výšky 420-670</t>
  </si>
  <si>
    <t>730067136</t>
  </si>
  <si>
    <t>Kombinovaný rozdělovač/sběrač, Qmax = 10 m3/h, včetně šroubení, odvzdušnění, vypouštění, tepelné izolace  a konzol na podlahu, 2xDN50, 2xDN50, 2xDN50</t>
  </si>
  <si>
    <t>730067135</t>
  </si>
  <si>
    <t>Kombinovaný rozdělovač/sběrač, Qmax = 10 m3/h, včetně šroubení, odvzdušnění, vypouštění, tepelné izolace  a konzol na podlahu, 2xDN50, 2xDN32, 2xDN50,</t>
  </si>
  <si>
    <t>730067134</t>
  </si>
  <si>
    <t>Hydraulický vyrovnávač dynamických tlaků DN65; Vmax=8m3/h</t>
  </si>
  <si>
    <t>730067133</t>
  </si>
  <si>
    <t>Tlaková expanzní nádoba ÚT, V = 250 l, 6 bar, max 70°C, včetně připojovacího šroubení</t>
  </si>
  <si>
    <t>730067132</t>
  </si>
  <si>
    <t>730067131</t>
  </si>
  <si>
    <t>730067130</t>
  </si>
  <si>
    <t>730067129</t>
  </si>
  <si>
    <t>730067128</t>
  </si>
  <si>
    <t>Plynový kondenzační kotel závěsný, Q = 48,7 kW(75/60°C), NSV = 97,1%(75/60°C), obsah CO2 při plném výkonu- 9,5 %, plynulá regulace v rozsahu 20 - 100%</t>
  </si>
  <si>
    <t>730067127</t>
  </si>
  <si>
    <t>730067126</t>
  </si>
  <si>
    <t>730067125</t>
  </si>
  <si>
    <t>730067124</t>
  </si>
  <si>
    <t>730067123</t>
  </si>
  <si>
    <t>730067122</t>
  </si>
  <si>
    <t>730067121</t>
  </si>
  <si>
    <t>730067120</t>
  </si>
  <si>
    <t>730067119</t>
  </si>
  <si>
    <t>730067118</t>
  </si>
  <si>
    <t>730067117</t>
  </si>
  <si>
    <t>730067116</t>
  </si>
  <si>
    <t>730067115</t>
  </si>
  <si>
    <t>730067114</t>
  </si>
  <si>
    <t>730067113</t>
  </si>
  <si>
    <t>730067112</t>
  </si>
  <si>
    <t>730067111</t>
  </si>
  <si>
    <t>730067110</t>
  </si>
  <si>
    <t>730067109</t>
  </si>
  <si>
    <t>730067108</t>
  </si>
  <si>
    <t>730067107</t>
  </si>
  <si>
    <t>730067106</t>
  </si>
  <si>
    <t>730067105</t>
  </si>
  <si>
    <t>730067104</t>
  </si>
  <si>
    <t>730067103</t>
  </si>
  <si>
    <t>730067102</t>
  </si>
  <si>
    <t>730067101</t>
  </si>
  <si>
    <t>723067134</t>
  </si>
  <si>
    <t>723067133</t>
  </si>
  <si>
    <t>723067132</t>
  </si>
  <si>
    <t>Objímka kovová jednošroubová, O60-64, vč. šroubu a hmoždinky</t>
  </si>
  <si>
    <t>723067131</t>
  </si>
  <si>
    <t>723067130</t>
  </si>
  <si>
    <t>723067129</t>
  </si>
  <si>
    <t>Objímka kovová jednošroubová, O18-22, vč. šroubu a hmoždinky</t>
  </si>
  <si>
    <t>723067128</t>
  </si>
  <si>
    <t>Pozinkovaný potrubní úsek svislý DN15, délka 8m, ukočen obloukem 180°, včetně kotvení (zakázková výroba)</t>
  </si>
  <si>
    <t>723067127</t>
  </si>
  <si>
    <t>723067126</t>
  </si>
  <si>
    <t>Smyčka kondenzační zahnutá M20x1,5</t>
  </si>
  <si>
    <t>723067125</t>
  </si>
  <si>
    <t>Manometrický kohout M20x1,5 mosaz</t>
  </si>
  <si>
    <t>723067124</t>
  </si>
  <si>
    <t>Tlakoměr 0 - 10 kPa, pr. 100mm, spodní připojení M20x1,5</t>
  </si>
  <si>
    <t>723067123</t>
  </si>
  <si>
    <t>Havarijní elektromagnetický ventil pro topné plyny DN50 - G2", bez proudu uzavřen, ovl. napětí 230V AC, ruční odblokování</t>
  </si>
  <si>
    <t>723067122</t>
  </si>
  <si>
    <t>Kulový kohout vzorkovací 1/2" x 8mm, pro topné plyny</t>
  </si>
  <si>
    <t>723067121</t>
  </si>
  <si>
    <t>Kulový kohout závitový 2" pro topné plyny , PN25</t>
  </si>
  <si>
    <t>723067120</t>
  </si>
  <si>
    <t>723067119</t>
  </si>
  <si>
    <t>723067118</t>
  </si>
  <si>
    <t>Kulový kohout závitový 1/2" pro topné plyny , PN25</t>
  </si>
  <si>
    <t>723067117</t>
  </si>
  <si>
    <t>723067116</t>
  </si>
  <si>
    <t>723067115</t>
  </si>
  <si>
    <t>Varný nátrubek 1/2" černý</t>
  </si>
  <si>
    <t>723067114</t>
  </si>
  <si>
    <t>Varné dýnko černé DN40</t>
  </si>
  <si>
    <t>723067113</t>
  </si>
  <si>
    <t>Varné dýnko černé DN32</t>
  </si>
  <si>
    <t>723067112</t>
  </si>
  <si>
    <t>Varné koleno černé DN50 - 90°</t>
  </si>
  <si>
    <t>723067111</t>
  </si>
  <si>
    <t>Varné koleno černé DN40 - 90°</t>
  </si>
  <si>
    <t>723067110</t>
  </si>
  <si>
    <t>723067109</t>
  </si>
  <si>
    <t>723067108</t>
  </si>
  <si>
    <t>723067107</t>
  </si>
  <si>
    <t>723067106</t>
  </si>
  <si>
    <t>Trubka ocelová DN40</t>
  </si>
  <si>
    <t>723067105</t>
  </si>
  <si>
    <t>723067104</t>
  </si>
  <si>
    <t>723067103</t>
  </si>
  <si>
    <t>723067102</t>
  </si>
  <si>
    <t>Trubka ocelová DN15</t>
  </si>
  <si>
    <t>723067101</t>
  </si>
  <si>
    <t>Položení netkané textilie podkladní vč.dodávky geotextilie 300/g/m2 -skladba STR02, bod 9 + STŘ03, bod 6</t>
  </si>
  <si>
    <t>Položení foliové parozábrany, včetně dodávky fólie s přelep.spoji -skladba STR02, bod 3</t>
  </si>
  <si>
    <t>Položení pojistné fólie, včetně dodávky vysoce difúzní fólie -skladba STR02, bod 6</t>
  </si>
  <si>
    <t>Demontáž papírové separace a kartonu stropů -skladba STŘ01, bod 5,7 -bourání</t>
  </si>
  <si>
    <t>713111811R00</t>
  </si>
  <si>
    <t>Izolace tepelné stropů vrchem kladené volně, 2 vrstvy -skladba STR02, bod 4, 5</t>
  </si>
  <si>
    <t>Odstr.tep.izol.stropů,volně,minerál tl.do 100 mm -skladba STŘ01, bod 6 -bourání</t>
  </si>
  <si>
    <t>713101121R00</t>
  </si>
  <si>
    <t>Krytina střech do 10° fólie, 6 kotev/m2,ocel,dřevo, tl. izolace nad 300 mm, folie tl. 1,5 mm, vč.detailů a doplňků -skladba STR02, bod 10</t>
  </si>
  <si>
    <t>Poplatek za skládku suti - minerální vata</t>
  </si>
  <si>
    <t>979990144R00</t>
  </si>
  <si>
    <t>Poplatek za skládku suti - směsný stavební odpad -omítky, tmely, karton apod.</t>
  </si>
  <si>
    <t>Odsekání vnějších obkladů stěn nad 2 m2 -skladba SO01, bod 4 -bourání, také dle pozn.20</t>
  </si>
  <si>
    <t>Odsekání vnějších obkladů stěn do 1 m2 -ostění+parapety -skladba SO01, bod 4 -bourání, také dle pozn.20</t>
  </si>
  <si>
    <t>Vysekání rýh ve zdi cihelné 7,5 x 12 cm -dle pozn.8</t>
  </si>
  <si>
    <t>974031144R00</t>
  </si>
  <si>
    <t>Příp. za jádr. vrt. ve H nad 1,5m cihel do D 300mm</t>
  </si>
  <si>
    <t>970033300R00</t>
  </si>
  <si>
    <t>Demontáž ocel.kce schodiště vč.ekolog.likvidace na skládce -dle pozn.17</t>
  </si>
  <si>
    <t>966077175RT1</t>
  </si>
  <si>
    <t>Demontáž výlez žebříku vč.ekolog.likvidace na skládce -dle pozn.24 -různé délky</t>
  </si>
  <si>
    <t>Bourání základů betonových -dle pozn.10 -pod plyn.kotlem</t>
  </si>
  <si>
    <t>Ubourání násypky na uhlí dle pozn.23 -provedení dle popisu v PD</t>
  </si>
  <si>
    <t>960111210RT1</t>
  </si>
  <si>
    <t>Výměna podlah.vpusti, ozn.OS26 -úplné provedení vč.výkop.prací a obnovy dle popisu v PD a detailu Det5</t>
  </si>
  <si>
    <t>Demontáž a opětovná montáž dopravní značky na fasádě, ozn.OS30 -provedení dle PD</t>
  </si>
  <si>
    <t>914001126RA0</t>
  </si>
  <si>
    <t>Šachta drenážní, D 400mm, vč.zemních prací ozn. DŠ1-DŠ17 -provedení dle popisu v PD</t>
  </si>
  <si>
    <t>Napojení dešťových svodů vč.dodávky lapačů střeš,splavenin, ozn.K09 -úplné provedení dle popisu v PD</t>
  </si>
  <si>
    <t>Osazení parapetních desek dřevěných š. do 25 cm, včetně dodávky parapetní laminát.desky š. 24 cm, ozn.OS27</t>
  </si>
  <si>
    <t>Odmaštění, vyspravení a vyrovnání povrchu jemnou cement.maltou -skladba SO07, bod 2 + SO08, bod 2 +SO09, bod 2</t>
  </si>
  <si>
    <t>Odmaštění, vyspravení a vyrovnání povrchu jemnou cement.maltou -skladba SO06, bod 3</t>
  </si>
  <si>
    <t>Odmaštění, vyspravení a vyrovnání povrchu jemnou cement.maltou -skladba SO05, bod 3</t>
  </si>
  <si>
    <t>Odmaštění, vyspravení a vyrovnání povrchu jemnou cement.maltou -skladba SO04, bod 3</t>
  </si>
  <si>
    <t>Vnitřní parapet-zednická úprava, přeštukování+výmalba, ozn.OS28 -provedení dle PD</t>
  </si>
  <si>
    <t>612425932RT2</t>
  </si>
  <si>
    <t>Oprava nadstřešních částí komínů -úplné provedení dle popisu v PD, ozn.OS25</t>
  </si>
  <si>
    <t>Zazdívka (dozdívka) otvorů plochy do 1 m2 cihlami na MVC, s použitím suché maltové směsi</t>
  </si>
  <si>
    <t>310238211RT1</t>
  </si>
  <si>
    <t>Vykopávka v uzavřených prostorách v hor.1-4 pro ulož.čerpacího potrubí -dle pozn.12</t>
  </si>
  <si>
    <t>Odstranění podkladu pl.50 m2, bet.prostý tl.10 cm -dle pozn.9</t>
  </si>
  <si>
    <t>113109310R00</t>
  </si>
  <si>
    <t>SO 06 - OBJEKT 6 - č.p.1041 + SO 07 - OBJEKT 7 - č.p.1032</t>
  </si>
  <si>
    <t>1,188+44,163+36,54   </t>
  </si>
  <si>
    <t>(32,24+1,5)*2*1,4-18,55*0,8+(32,24+1,5)*2*1,55-14,5*0,8+(32,24+1,5+1,5)*2*1,455-19,9*0,805   </t>
  </si>
  <si>
    <t>(32,24+1,5)*2*1,4-20,5*0,8+(32,24+1,5)*2*1,395-12,5*0,8+(15,11*6,05)*2+(32,24+1,5)*2*1,4-20,5*0,8   </t>
  </si>
  <si>
    <t>(5,6*31,15)+(5,6*30,94)+(32,24*1,5)*2+(6,55*11,6)+(5,45*31,15)+(5,45*30,94)+31,726   </t>
  </si>
  <si>
    <t>(32,24+1,5)*2*1,3-17,25*1,3+(32,24+1,5)*2*1,3-11,9*1,3+(32,24+1,5+1,5)*2*1,3-18,6*1,3   </t>
  </si>
  <si>
    <t>(32,24+1,5)*2*1,3-17,9*1,3+(32,24+1,5)*2*1,3-10,75*1,3+(15,11*2,6)*2+(32,24+1,5)*2*1,3-17,9*1,3   </t>
  </si>
  <si>
    <t>890,521+(32,24*1,5+11,6*6,55)*2*2+(32,24*1,5)*2   </t>
  </si>
  <si>
    <t>0,895   </t>
  </si>
  <si>
    <t>;ztratné 25%; 0,71775   </t>
  </si>
  <si>
    <t>28,71*0,1   </t>
  </si>
  <si>
    <t>(6,95+5,18+0,35)*2-0,65-0,95+(1,8+1,2)*2-0,65   </t>
  </si>
  <si>
    <t>;ztratné 5%; 1,6038   </t>
  </si>
  <si>
    <t>32,076   </t>
  </si>
  <si>
    <t>(5,0*5,18+1,0*0,35+1,95*1,88)+(1,8*1,2)   </t>
  </si>
  <si>
    <t>3,584   </t>
  </si>
  <si>
    <t>19   </t>
  </si>
  <si>
    <t>1+1+1   </t>
  </si>
  <si>
    <t>0,6+0,75+1,2   </t>
  </si>
  <si>
    <t>1,8+3,15+3,6   </t>
  </si>
  <si>
    <t>(1,55*1,35)*2+(6,0*1,2)   </t>
  </si>
  <si>
    <t>11,91   </t>
  </si>
  <si>
    <t>22,0+133,0   </t>
  </si>
  <si>
    <t>75   </t>
  </si>
  <si>
    <t>3,2+7,6+11,2   </t>
  </si>
  <si>
    <t>60   </t>
  </si>
  <si>
    <t>133   </t>
  </si>
  <si>
    <t>22   </t>
  </si>
  <si>
    <t>60,0+10,0   </t>
  </si>
  <si>
    <t>57,15+126,75+0,6   </t>
  </si>
  <si>
    <t>1,5*26+1,3*3+0,9*15+0,75*1   </t>
  </si>
  <si>
    <t>1,5*54+1,3*6+1,2*10+1,1*1+0,9*18+0,65*8+3,45*1   </t>
  </si>
  <si>
    <t>0,6*1   </t>
  </si>
  <si>
    <t>2+12   </t>
  </si>
  <si>
    <t>133,0+22,0   </t>
  </si>
  <si>
    <t>(6,0*1,14)   </t>
  </si>
  <si>
    <t>22+6   </t>
  </si>
  <si>
    <t>(8,51*0,57)+(8,51*0,35)*2   </t>
  </si>
  <si>
    <t>(33,25*7,7)*4-7,7*0,65*2+(8,51*6,67+8,51*6,57)+(3,8*2,3)*2   </t>
  </si>
  <si>
    <t>101,224   </t>
  </si>
  <si>
    <t>114,7*0,019   </t>
  </si>
  <si>
    <t>114,7   </t>
  </si>
  <si>
    <t>1155,05*0,022+11,385*0,024   </t>
  </si>
  <si>
    <t>;ztratné 5%; 0,56925   </t>
  </si>
  <si>
    <t>;ztratné 5%; 57,7525   </t>
  </si>
  <si>
    <t>1155,05   </t>
  </si>
  <si>
    <t>(32,44*13,5)*2+(7,25*11,8)+(2,9*2,9)   </t>
  </si>
  <si>
    <t>3+3   </t>
  </si>
  <si>
    <t>8,905   </t>
  </si>
  <si>
    <t>155   </t>
  </si>
  <si>
    <t>;ztratné 10%; 96,984   </t>
  </si>
  <si>
    <t>14,177   </t>
  </si>
  <si>
    <t>79,392+1,819+64,14+5,411+40,583+30,177+96,05+0,008+13,555+4,199+3,718+38,197+1,32   </t>
  </si>
  <si>
    <t>0,208+17,326+5,18   </t>
  </si>
  <si>
    <t>3,879   </t>
  </si>
  <si>
    <t>2,298+11,551   </t>
  </si>
  <si>
    <t>0,011+0,642+2,51+14,537   </t>
  </si>
  <si>
    <t>46,027+0,034+0,436   </t>
  </si>
  <si>
    <t>56,819+4,853+0,356   </t>
  </si>
  <si>
    <t>12,609+3,682+1,95+0,84   </t>
  </si>
  <si>
    <t>0,096+9,547   </t>
  </si>
  <si>
    <t>9,643+19,081+62,028+46,497+17,7+13,849+3,879+22,714   </t>
  </si>
  <si>
    <t>195,391*6   </t>
  </si>
  <si>
    <t>195,391*9   </t>
  </si>
  <si>
    <t>195,391/5   </t>
  </si>
  <si>
    <t>195,391/3   </t>
  </si>
  <si>
    <t>(10,84+14,55+0,15*14)*0,85-1,5*0,6*6-0,9*0,6*2   </t>
  </si>
  <si>
    <t>(11,6+0,15*6)*0,85-0,9*0,6*4+(1,58*1,08)+(1,57*0,85)+(10,84+14,55+0,15*14)*1,35-1,5*1,2*7   </t>
  </si>
  <si>
    <t>(13,65*1,07)-1,3*1,2+(8,8+0,15*6)*0,95-0,9*0,6*4+(13,65*1,175)-1,3*1,2+(13,65*1,1)-1,3*1,2   </t>
  </si>
  <si>
    <t>(32,84+0,15*24)*0,85-1,5*0,6*6-0,9*0,6*4+(32,84+0,15*16)*1,5+(1,18*1,5)/2-0,6*0,6-1,5*1,2*8   </t>
  </si>
  <si>
    <t>(4,2*6+3,0*4+2,4+5,4*8+5,0+3,0*4+5,0+5,0+3,0*4+5,0*7+4,2*6+3,0*2)*0,15   </t>
  </si>
  <si>
    <t>(6,95*2+5,18*2+1,8*2+1,2*2-0,65*2-3,3-1,05-0,95)*1,5+(0,35*1,5)*2   </t>
  </si>
  <si>
    <t>10,65*0,33   </t>
  </si>
  <si>
    <t>(22,02+10,84*2+32,82+14,55*2+29,74+1,15*2+0,15*50)*1,12   </t>
  </si>
  <si>
    <t>(7,03+0,15*8)*1,82+(25,81+6,23*2+0,15*16)*1,12   </t>
  </si>
  <si>
    <t>-1,5*1,5*14+(11,0+0,15*6+14,71+0,15*8)*6,43-1,5*1,5*12-1,2*1,5*2-0,9*1,54*2   </t>
  </si>
  <si>
    <t>(11,6+0,15*6)*1,15/2-1,0*2,02-0,9*1,5*8-10,65*4,65-1,3*1,5-1,0*2,02+(11,0+0,15*6+14,71+0,15*8)*6,43   </t>
  </si>
  <si>
    <t>-0,9*1,5*8-2,2*2,25-3,8+(3,3*2,25)*2+(3,3*0,48)/2*2+(13,8*6,3)*2+(13,8*1,8)/2*2+(11,6+0,15*6)*7,0   </t>
  </si>
  <si>
    <t>3,2*(2,05+2,45)+(13,8*6,3)*2+(13,8*1,8)/2*2+(11,6+0,15*6)*7,0+(11,6+0,15*6)*1,15/2-1,2*1,3*4   </t>
  </si>
  <si>
    <t>(33,16+0,15*24)*6,43-1,5*1,5*12-1,2*1,5*8-0,65*0,65*8+(33,16+0,15*16)*6,43-1,5*1,5*16-1,5*1,1-1*2,4   </t>
  </si>
  <si>
    <t>-(0,65*0,3+0,95*0,6+0,65*0,6+1,5*0,6*2+0,6*0,6)+(2,7*0,23)*2+(1,8*0,23)+(0,6*2+1,0)*0,35   </t>
  </si>
  <si>
    <t>(6,95*2+5,18*2+1,8*2+1,2*2-0,65*2-3,3-1,05-0,95)*1,655+(1,05+3,3)*1,355   </t>
  </si>
  <si>
    <t>(5,0*5,18+1,95*1,88)+(1,8*1,2)   </t>
  </si>
  <si>
    <t>5*2   </t>
  </si>
  <si>
    <t>0,45+0,45+0,45*2+0,45   </t>
  </si>
  <si>
    <t>1,5*0,6*3+1,5*1,2*4+0,6*0,6*2   </t>
  </si>
  <si>
    <t>0,6*0,6+0,75*1,2+1,2*1,2   </t>
  </si>
  <si>
    <t>223,108*0,3   </t>
  </si>
  <si>
    <t>223,108*0,7   </t>
  </si>
  <si>
    <t>35   </t>
  </si>
  <si>
    <t>(33,16*0,15*0,12)*2*2+(8,52*0,15*0,12)*2   </t>
  </si>
  <si>
    <t>(3,5*1,0*0,1)   </t>
  </si>
  <si>
    <t>11   </t>
  </si>
  <si>
    <t>6+6+4   </t>
  </si>
  <si>
    <t>350   </t>
  </si>
  <si>
    <t>(1,5*1,5*54+1,2*1,5*10+0,65*0,65*8+1,5*1,1+1*2,4+1,2*1,3*4+0,9*1,5*18+2,2*2,25+3,8+1,0*2,02+1,3*1,5)   </t>
  </si>
  <si>
    <t>(1,5*0,6*6+0,9*0,6*12+0,6*0,6+1,5*1,2*8+1,3*1,2*3+1,5*1,2*7+1,5*0,6*6+0,9*0,6*2)   </t>
  </si>
  <si>
    <t>1892,798   </t>
  </si>
  <si>
    <t>1892,798*2   </t>
  </si>
  <si>
    <t>26,385*(7,21+1,2)+4,2*(1,35+1,2)*2+3,08*(5,55+1,2)   </t>
  </si>
  <si>
    <t>4,32*(2,35+1,2)*2+14,12*(8,52+1,2)+14,12*(8,65+1,2)+11,28*(8,25+1,2)+26,385*(7,72+1,2)   </t>
  </si>
  <si>
    <t>34,16*(7,38+1,2)+34,16*(7,65+1,2)+14,12*(8,28+1,2)+14,12*(8,67+1,2)+11,28*(8,65+1,2)   </t>
  </si>
  <si>
    <t>15,6*0,3*0,15   </t>
  </si>
  <si>
    <t>2,8+1,1*2+2,0+1,8*2+2,8+1,1*2   </t>
  </si>
  <si>
    <t>17   </t>
  </si>
  <si>
    <t>34   </t>
  </si>
  <si>
    <t>0,75   </t>
  </si>
  <si>
    <t>261,398/2   </t>
  </si>
  <si>
    <t>1584,944/2   </t>
  </si>
  <si>
    <t>8,983+76,484+175,931   </t>
  </si>
  <si>
    <t>163,337+223,108+1198,499   </t>
  </si>
  <si>
    <t>(4,5*28+4,2*8+1,95*8+3,7+5,8+3,8*4+3,9*16+6,7+6,91+5,04*2+4,3+4,5*26+4,2*2+3,9*2)   </t>
  </si>
  <si>
    <t>(2,7*6+2,1*4+1,8+3,9*8+3,7+2,1*4+3,7*2+2,1*4+3,9*7+2,7*6+2,1*2)   </t>
  </si>
  <si>
    <t>(10,65+2,64*2)*4,95-1,3*1,2-0,8*2,1+(3,7+5,0)*0,1   </t>
  </si>
  <si>
    <t>(2,64*1,35)+(10,65*0,315)+(2,64*0,85)-0,6*0,6+(1,8*0,1)   </t>
  </si>
  <si>
    <t>163,337+223,108+1198,499+8,983+76,484   </t>
  </si>
  <si>
    <t>184,5-2,55   </t>
  </si>
  <si>
    <t>(2,8*2,55)+(2,8*0,45)/2-2,2*2,25+(1,33*1,73)*2+(1,35*2+0,325*2)*2,55+(1,68*2,55)*2   </t>
  </si>
  <si>
    <t>(2,7*6+2,1*4+1,8+3,9*8+3,7+2,1*4+3,7*2+2,1*4+3,9*7+2,7*6+2,1*2)*0,31   </t>
  </si>
  <si>
    <t>(4,5*28+4,2*8+1,95*8+3,7+5,8+3,8*4+3,9*16+6,7+6,91+5,04*2+4,3+4,5*26+4,2*2+3,9*2)*0,26   </t>
  </si>
  <si>
    <t>7,85*4   </t>
  </si>
  <si>
    <t>(33,16+0,15*24)+(33,16+0,15*16)+(2,05+2,45)+(13,8+11,6+3,3*2+13,8+11,6)+(11,0+0,15*6+14,71+0,15*8)*2   </t>
  </si>
  <si>
    <t>120   </t>
  </si>
  <si>
    <t>175,931   </t>
  </si>
  <si>
    <t>0,6*0,24+1,2*0,24   </t>
  </si>
  <si>
    <t>0,75*1,2+0,24*1,2   </t>
  </si>
  <si>
    <t>(2,58+2,74*2+1,15+0,9+0,95*2+1,15+2,74*9+2,58*6+1,75*4+2,86*2+2,74*6+1,75*2)*0,16   </t>
  </si>
  <si>
    <t>(34,16+11,65+11,18*2+10,6+1,58+33,16+12,32+14,55*2+8,46+11,32)*0,5   </t>
  </si>
  <si>
    <t>(2,8*1,1)*2+(2,0*1,8)+(3,1*0,9)*2   </t>
  </si>
  <si>
    <t>2,8*1,65   </t>
  </si>
  <si>
    <t>200   </t>
  </si>
  <si>
    <t>5*1,05*0,0104*1,05   </t>
  </si>
  <si>
    <t>(1,15+0,8)*2*1,25+(0,95+0,8)*2*1,25   </t>
  </si>
  <si>
    <t>0,75*1,2*0,45   </t>
  </si>
  <si>
    <t>12,325+6,23*2+22,02+11,99*2+32,82+15,7*2+32,04+7,03+14,635   </t>
  </si>
  <si>
    <t>(12,325+6,23*2+22,02+11,99*2+32,82+15,7*2+32,04)*0,825+(7,03*0,895)+(14,635*0,895)   </t>
  </si>
  <si>
    <t>(2,45+1,05)*0,8*0,9   </t>
  </si>
  <si>
    <t>(12,325+6,23*2+22,02+11,99*2+32,82+15,7*2+32,04)*0,825*0,625+(7,03*0,895*1,325)+(14,635*0,895*0,625)   </t>
  </si>
  <si>
    <t>(202,098+2,8)-(102,656+2,52)   </t>
  </si>
  <si>
    <t>99,722*1,75   </t>
  </si>
  <si>
    <t>(2,45+1,05)*0,8*1,0   </t>
  </si>
  <si>
    <t>202,098   </t>
  </si>
  <si>
    <t>(12,325+6,23*2+22,02+11,99*2+32,82+15,7*2+32,04)*0,925*1,12+(7,03*0,995*1,82)+(14,635*0,995*1,12)   </t>
  </si>
  <si>
    <t>(13,65*0,9)*0,2+(32,84+13,65+14,55*2+10,84+11,1+11,6+13,65+3,0)*0,65*0,2+(29,74*0,5)*0,2   </t>
  </si>
  <si>
    <t>(13,65*0,6)+(32,84+13,65+14,55*2+10,84*2)*0,5+(11,1+11,6+13,65+3,0+29,74)*0,5   </t>
  </si>
  <si>
    <t>08030</t>
  </si>
  <si>
    <t>08029</t>
  </si>
  <si>
    <t>08028</t>
  </si>
  <si>
    <t>08027</t>
  </si>
  <si>
    <t>08026</t>
  </si>
  <si>
    <t>08025</t>
  </si>
  <si>
    <t>08024</t>
  </si>
  <si>
    <t>08023</t>
  </si>
  <si>
    <t>08022</t>
  </si>
  <si>
    <t>08021</t>
  </si>
  <si>
    <t>08020</t>
  </si>
  <si>
    <t>08019</t>
  </si>
  <si>
    <t>08018</t>
  </si>
  <si>
    <t>08017</t>
  </si>
  <si>
    <t>08015</t>
  </si>
  <si>
    <t>08014</t>
  </si>
  <si>
    <t>08013</t>
  </si>
  <si>
    <t>08012</t>
  </si>
  <si>
    <t>08011</t>
  </si>
  <si>
    <t>08010</t>
  </si>
  <si>
    <t>08009</t>
  </si>
  <si>
    <t>08008</t>
  </si>
  <si>
    <t>08007</t>
  </si>
  <si>
    <t>08006</t>
  </si>
  <si>
    <t>08005</t>
  </si>
  <si>
    <t>08004</t>
  </si>
  <si>
    <t>08003</t>
  </si>
  <si>
    <t>08002</t>
  </si>
  <si>
    <t>08001</t>
  </si>
  <si>
    <t>08i</t>
  </si>
  <si>
    <t>08h</t>
  </si>
  <si>
    <t>08g</t>
  </si>
  <si>
    <t>08f</t>
  </si>
  <si>
    <t>08e</t>
  </si>
  <si>
    <t>08d</t>
  </si>
  <si>
    <t>08c</t>
  </si>
  <si>
    <t>08b</t>
  </si>
  <si>
    <t>08a</t>
  </si>
  <si>
    <t>RA8</t>
  </si>
  <si>
    <t>210008125</t>
  </si>
  <si>
    <t>210008124</t>
  </si>
  <si>
    <t>210008123</t>
  </si>
  <si>
    <t>210008122</t>
  </si>
  <si>
    <t>210008121</t>
  </si>
  <si>
    <t>210008120</t>
  </si>
  <si>
    <t>210008119</t>
  </si>
  <si>
    <t>210008118</t>
  </si>
  <si>
    <t>210008117</t>
  </si>
  <si>
    <t>210008116</t>
  </si>
  <si>
    <t>210008115</t>
  </si>
  <si>
    <t>210008114</t>
  </si>
  <si>
    <t>210008113</t>
  </si>
  <si>
    <t>210008112</t>
  </si>
  <si>
    <t>210008111</t>
  </si>
  <si>
    <t>210008110</t>
  </si>
  <si>
    <t>210008109</t>
  </si>
  <si>
    <t>210008108</t>
  </si>
  <si>
    <t>210008107</t>
  </si>
  <si>
    <t>210008106</t>
  </si>
  <si>
    <t>210008105</t>
  </si>
  <si>
    <t>210008104</t>
  </si>
  <si>
    <t>210008103</t>
  </si>
  <si>
    <t>210008102</t>
  </si>
  <si>
    <t>210008101</t>
  </si>
  <si>
    <t>Malba otěruvzdorná, prodyšná, bílá, bez penetrace, 2 x ozn.OS14 -kotelna, sklep, chodby, schodiště, strop nad 2.NP</t>
  </si>
  <si>
    <t>Penetrace podkladu nátěrem 1 x ,vč.vyspravení trhlin, ozn.OS14 -kotelna, sklep, chodby, schodiště, strop nad 2.NP</t>
  </si>
  <si>
    <t>Oprášení/ometení podkladu, ozn.OS14 -provedení dle PD -kotelna, sklep, chodby, schodiště, strop nad 2.NP</t>
  </si>
  <si>
    <t>M+D Poštovní schránka ocelová bílá 360x260x85 mm, ozn.OS11</t>
  </si>
  <si>
    <t>M+D Okenní mříž 1100(750)/750(450)mm, vč.povrch.úpravy -provedení dle popisu v PD, ozn.Z01</t>
  </si>
  <si>
    <t>767815235RT1</t>
  </si>
  <si>
    <t>M+D Okenní mříž 800(450)/750(450)mm, vč.povrch.úpravy -provedení dle popisu v PD, ozn.Z03</t>
  </si>
  <si>
    <t>767815234RT1</t>
  </si>
  <si>
    <t>M+D Boční stěna u vstupu do výtahu a do budovy -úplné provedení dle PD, ozn.OS19</t>
  </si>
  <si>
    <t>M+D Ocel.rám přístřešku nad vstupem 1625/1187mm -2x 1425/1187mm-1x -provedení dle PD, ozn.Z05</t>
  </si>
  <si>
    <t>M+D Madlo zábradlí z prof. oceli do zdiva ozn.Z06 -úplné provedení dle popisu v PD vč.povrch.úpravy</t>
  </si>
  <si>
    <t>Okno plastové jednodílné 600 x 600 mm S ozn.W03</t>
  </si>
  <si>
    <t>Okno plastové jednodílné 900 x 600 mm S ozn.W02</t>
  </si>
  <si>
    <t>Okno plastové jednodílné 600 x 1200 mm S ozn.W01</t>
  </si>
  <si>
    <t>Demontáž střešních výlezů, do suti, vč.rámu do podkroví provedení dle pozn.17</t>
  </si>
  <si>
    <t>Oplechování sloupků vstupu ocel.PZ poplast.plech tl.0,6mm, ozn.K13</t>
  </si>
  <si>
    <t>764901109RU4</t>
  </si>
  <si>
    <t>Oplechování stříšky nad vstupem do výtahu rš.600mm ocel.PZ poplast.plech tl.0,6mm, ozn.K11</t>
  </si>
  <si>
    <t>Oplechování stříšky nad vstupem do výtahu rš.440mm ocel.PZ poplast.plech tl.0,6mm ozn.K03</t>
  </si>
  <si>
    <t>Oplechování stříšky nad vstupem do výtahu rš.100mm ocel.PZ poplast.plech tl.0,6mm, ozn.K12</t>
  </si>
  <si>
    <t>764901101RU4</t>
  </si>
  <si>
    <t>Demontáž žlabů půlkruh. rovných, rš 250 mm, do 45°-dle pozn.14</t>
  </si>
  <si>
    <t>Demont. krytiny plech., vč.nástř.prvků a doplňků, do 45° -dle pozn.10, také skladba STŘ 01, bod 1-bourání + střecha nad výtahem</t>
  </si>
  <si>
    <t>Demontáž dřevěných kontralatí -skladba STŘ01, bod 2 -bourání</t>
  </si>
  <si>
    <t>762342814R00</t>
  </si>
  <si>
    <t>Demontáž laťování střech, rozteč latí do 50 cm -skladba STŘ01, bod 2 -bourání</t>
  </si>
  <si>
    <t>762342812R00</t>
  </si>
  <si>
    <t>Demontáž bednění střech rovných z prken hrubých -skladba STŘ 01, bod 5-bourání + střecha nad výtahem</t>
  </si>
  <si>
    <t>M. bedn.střech rovn. z aglomer.desek šroubováním -skladba STŘ03, bod 5 + střecha nad výtahem</t>
  </si>
  <si>
    <t>Kontrola stavu, vyčištění a vysátí povrchu a vyrovnání -skladba STR02, bod 2</t>
  </si>
  <si>
    <t>1238</t>
  </si>
  <si>
    <t>730008322</t>
  </si>
  <si>
    <t>730008321</t>
  </si>
  <si>
    <t>730008320</t>
  </si>
  <si>
    <t>Vyústění s přisáváním, 110/160mm - PPH/nerez</t>
  </si>
  <si>
    <t>730008319</t>
  </si>
  <si>
    <t>Střešní nástavec s protidešťovou manžetou 110/160mm - PPH/nerez</t>
  </si>
  <si>
    <t>730008318</t>
  </si>
  <si>
    <t>Potrubí 110/160mm se vzduchovou mezerou - PPH/ocel</t>
  </si>
  <si>
    <t>730008317</t>
  </si>
  <si>
    <t>Kotlová redukce 80/125 -&gt; 110/160 - PPH/ocel</t>
  </si>
  <si>
    <t>730008316</t>
  </si>
  <si>
    <t>Pateční koleno 87° s kotvením, 80/125mm - PPH/PPH</t>
  </si>
  <si>
    <t>730008315</t>
  </si>
  <si>
    <t>730008314</t>
  </si>
  <si>
    <t>730008313</t>
  </si>
  <si>
    <t>730008312</t>
  </si>
  <si>
    <t>730008311</t>
  </si>
  <si>
    <t>730008310</t>
  </si>
  <si>
    <t>730008309</t>
  </si>
  <si>
    <t>730008308</t>
  </si>
  <si>
    <t>730008307</t>
  </si>
  <si>
    <t>730008306</t>
  </si>
  <si>
    <t>730008305</t>
  </si>
  <si>
    <t>730008304</t>
  </si>
  <si>
    <t>730008303</t>
  </si>
  <si>
    <t>730008302</t>
  </si>
  <si>
    <t>730008301</t>
  </si>
  <si>
    <t>730008217</t>
  </si>
  <si>
    <t>730008216</t>
  </si>
  <si>
    <t>730008215</t>
  </si>
  <si>
    <t>730008214</t>
  </si>
  <si>
    <t>730008213</t>
  </si>
  <si>
    <t>730008212</t>
  </si>
  <si>
    <t>730008211</t>
  </si>
  <si>
    <t>730008210</t>
  </si>
  <si>
    <t>730008209</t>
  </si>
  <si>
    <t>730008208</t>
  </si>
  <si>
    <t>730008207</t>
  </si>
  <si>
    <t>730008206</t>
  </si>
  <si>
    <t>730008205</t>
  </si>
  <si>
    <t>730008204</t>
  </si>
  <si>
    <t>730008203</t>
  </si>
  <si>
    <t>730008202</t>
  </si>
  <si>
    <t>730008201</t>
  </si>
  <si>
    <t>730008177</t>
  </si>
  <si>
    <t>730008176</t>
  </si>
  <si>
    <t>730008175</t>
  </si>
  <si>
    <t>730008174</t>
  </si>
  <si>
    <t>730008173</t>
  </si>
  <si>
    <t>730008172</t>
  </si>
  <si>
    <t>730008171</t>
  </si>
  <si>
    <t>730008170</t>
  </si>
  <si>
    <t>730008169</t>
  </si>
  <si>
    <t>730008168</t>
  </si>
  <si>
    <t>730008167</t>
  </si>
  <si>
    <t>730008166</t>
  </si>
  <si>
    <t>Demontáž vzduchotechnického pozink. potrubí</t>
  </si>
  <si>
    <t>730008165</t>
  </si>
  <si>
    <t>730008164</t>
  </si>
  <si>
    <t>730008163</t>
  </si>
  <si>
    <t>730008162</t>
  </si>
  <si>
    <t>730008161</t>
  </si>
  <si>
    <t>730008160</t>
  </si>
  <si>
    <t>730008159</t>
  </si>
  <si>
    <t>730008158</t>
  </si>
  <si>
    <t>730008157</t>
  </si>
  <si>
    <t>730008156</t>
  </si>
  <si>
    <t>730008155</t>
  </si>
  <si>
    <t>730008154</t>
  </si>
  <si>
    <t>730008153</t>
  </si>
  <si>
    <t>730008152</t>
  </si>
  <si>
    <t>730008151</t>
  </si>
  <si>
    <t>730008150</t>
  </si>
  <si>
    <t>730008149</t>
  </si>
  <si>
    <t>730008148</t>
  </si>
  <si>
    <t>730008147</t>
  </si>
  <si>
    <t>730008146</t>
  </si>
  <si>
    <t>730008145</t>
  </si>
  <si>
    <t>730008144</t>
  </si>
  <si>
    <t>730008143</t>
  </si>
  <si>
    <t>730008142</t>
  </si>
  <si>
    <t>730008141</t>
  </si>
  <si>
    <t>730008140</t>
  </si>
  <si>
    <t>730008139</t>
  </si>
  <si>
    <t>730008138</t>
  </si>
  <si>
    <t>730008137</t>
  </si>
  <si>
    <t>730008136</t>
  </si>
  <si>
    <t>730008135</t>
  </si>
  <si>
    <t>730008134</t>
  </si>
  <si>
    <t>730008133</t>
  </si>
  <si>
    <t>730008132</t>
  </si>
  <si>
    <t>730008131</t>
  </si>
  <si>
    <t>730008130</t>
  </si>
  <si>
    <t>730008129</t>
  </si>
  <si>
    <t>730008128</t>
  </si>
  <si>
    <t>730008127</t>
  </si>
  <si>
    <t>730008126</t>
  </si>
  <si>
    <t>730008125</t>
  </si>
  <si>
    <t>730008124</t>
  </si>
  <si>
    <t>730008123</t>
  </si>
  <si>
    <t>730008122</t>
  </si>
  <si>
    <t>730008121</t>
  </si>
  <si>
    <t>730008120</t>
  </si>
  <si>
    <t>730008119</t>
  </si>
  <si>
    <t>730008118</t>
  </si>
  <si>
    <t>730008117</t>
  </si>
  <si>
    <t>730008116</t>
  </si>
  <si>
    <t>730008115</t>
  </si>
  <si>
    <t>730008114</t>
  </si>
  <si>
    <t>730008113</t>
  </si>
  <si>
    <t>730008112</t>
  </si>
  <si>
    <t>730008111</t>
  </si>
  <si>
    <t>730008110</t>
  </si>
  <si>
    <t>730008109</t>
  </si>
  <si>
    <t>730008108</t>
  </si>
  <si>
    <t>730008107</t>
  </si>
  <si>
    <t>730008106</t>
  </si>
  <si>
    <t>730008105</t>
  </si>
  <si>
    <t>730008104</t>
  </si>
  <si>
    <t>730008103</t>
  </si>
  <si>
    <t>730008102</t>
  </si>
  <si>
    <t>730008101</t>
  </si>
  <si>
    <t>723008116</t>
  </si>
  <si>
    <t>723008115</t>
  </si>
  <si>
    <t>723008114</t>
  </si>
  <si>
    <t>723008113</t>
  </si>
  <si>
    <t>Objímka kovová jednošroubová, O25-30, vč. šroubu a hmoždinky</t>
  </si>
  <si>
    <t>723008112</t>
  </si>
  <si>
    <t>723008111</t>
  </si>
  <si>
    <t>723008110</t>
  </si>
  <si>
    <t>723008109</t>
  </si>
  <si>
    <t>723008108</t>
  </si>
  <si>
    <t>723008107</t>
  </si>
  <si>
    <t>723008106</t>
  </si>
  <si>
    <t>723008105</t>
  </si>
  <si>
    <t>723008104</t>
  </si>
  <si>
    <t>723008103</t>
  </si>
  <si>
    <t>723008102</t>
  </si>
  <si>
    <t>723008101</t>
  </si>
  <si>
    <t>Položení netkané textilie podkladní vč.dodávky geotextilie 300/g/m2 -skladba STR02, bod 9 + STŘ03, bod 6 + střecha nad výtahem</t>
  </si>
  <si>
    <t>Demontáž papírové separace a kartonu stropů -skladba STŘ01, bod 7,9 -bourání</t>
  </si>
  <si>
    <t>Izolace tepelné stropů vrchem kladené volně, 2 vrstvy -skladba STR02, bod 4,5</t>
  </si>
  <si>
    <t>Odstr.tep.izol.stropů,volně,minerál tl.do 100 mm -skladba STŘ01, bod 8 -bourání</t>
  </si>
  <si>
    <t>Odstranění povlakové krytiny střech do 10° 2vrstvé -skladba STŘ01, bod 4-bourání</t>
  </si>
  <si>
    <t>Poplatek za skládku suti - směsný stavební odpad -omítky, tmely, kamenivo, karton apod.</t>
  </si>
  <si>
    <t>Vysekání a úprava spár zdiva cihelného mimo komínového -kotelna+sklep</t>
  </si>
  <si>
    <t>Odstranění štukové vrstvy omítky z vnitřních stěn -sklep -dle pozn.20</t>
  </si>
  <si>
    <t>Odstranění štukové vrstvy omítky z vnitřních stěn -kotelna -dle pozn.18</t>
  </si>
  <si>
    <t>Otlučení omítek vnitřních stěn a ostění v rozsahu do 100 % -sklep -dle pozn.20</t>
  </si>
  <si>
    <t>Otlučení omítek vnitřních stěn a ostění v rozsahu do 100 % -kotelna -dle pozn.18</t>
  </si>
  <si>
    <t>Odstranění štukové vrstvy vnitřních stropů -sklep -dle pozn.20</t>
  </si>
  <si>
    <t>Odstranění štukové vrstvy vnitřních stropů -kotelna -dle pozn.18</t>
  </si>
  <si>
    <t>Vybourání otv. zeď cihel. pl.&lt;1 m2, tl.&lt;30 cm, MVC</t>
  </si>
  <si>
    <t>971033545R00</t>
  </si>
  <si>
    <t>Vysekání rýh ve zdi cihelné 7,5 x 12 cm -dle pozn.12</t>
  </si>
  <si>
    <t>Bourání dlažeb keramických tl.10 mm, nad 1 m2 -kotelna -dle pozn.18, také skladba PDL01, bod 1-bourání</t>
  </si>
  <si>
    <t>Dočištění povrchu po vybourání dlažeb, tmel do 30% -kotelna -dle pozn.18, také skladba PDL01, bod 1-bourání</t>
  </si>
  <si>
    <t>Výměna podlah.vpusti, ozn.OS27 -úplné provedení vč.výkop.prací a obnovy dle popisu v PD a detailu Det5</t>
  </si>
  <si>
    <t>Vyčištění budov o výšce podlaží nad 4 m -sklad</t>
  </si>
  <si>
    <t>952901114R00</t>
  </si>
  <si>
    <t>Šachta drenážní, D 400mm, vč.zemních prací ozn. DŠ1-DŠ9 -provedení dle popisu v PD</t>
  </si>
  <si>
    <t>Napojení dešťových svodů vč.dodávky lapačů střeš,splavenin, ozn.K08 -úplné provedení dle popisu v PD</t>
  </si>
  <si>
    <t>Osazení parapetních desek dřevěných š. do 25 cm, včetně dodávky parapetní laminát.desky š. 24 cm, ozn.OS28</t>
  </si>
  <si>
    <t>Omítkový sanační systém vnitřní, 4 vrst. -sklep-stěny+ostění -dle pozn.2</t>
  </si>
  <si>
    <t>Omítkový sanační systém vnitřní, 4 vrst. -kotelna-stěny+ostění -dle pozn.1</t>
  </si>
  <si>
    <t>Vnitřní parapet-zednická úprava, přeštukování+výmalba, ozn.OS29 -provedení dle PD</t>
  </si>
  <si>
    <t>Štuk na stěnách a ostění vnitřní, sanační, tl.vrstvy 1-2 mm -sklep -dle pozn.2</t>
  </si>
  <si>
    <t>Štuk na stropech, sanační, tloušťka vrstvy 1,5 mm -sklep -dle pozn.2</t>
  </si>
  <si>
    <t>Zásyp ruční se zhutněním -výkop pro ulož čerp.potrubí -dle pozn.25</t>
  </si>
  <si>
    <t>Vykopávka v uzavřených prostorách v hor.1-4 pro ulož.čerpacího potrubí -dle pozn.25</t>
  </si>
  <si>
    <t>Odstranění podkladu pl. 50 m2,kam.těžené tl.20 cm -kačírek -dle pozn.8</t>
  </si>
  <si>
    <t>SO 08 - OBJEKT 8 - č.p.1033</t>
  </si>
  <si>
    <t>(31,94*13,05)-1,05*5,4-1,4*5,4-13,05*0,8   </t>
  </si>
  <si>
    <t>(16,66*5,8)-1,5*2,1-1,55*2,1*2-1,1*2,5   </t>
  </si>
  <si>
    <t>(31,94+1,5)*2*1,4*2-8,8*0,72*2-1,3*1,2*2+(31,65+1,5*2)*2*1,7-7,2*0,72-1,2*0,4   </t>
  </si>
  <si>
    <t>(34,86+29,175+23,151)+(44,831+112,108+33,089)   </t>
  </si>
  <si>
    <t>(16,66-1,5-1,55)*1,3*2   </t>
  </si>
  <si>
    <t>(31,94+1,5)*2*1,3-8,8*1,3+(31,94+1,5)*2*1,3-8,8*1,3+(31,65+1,5*2)*2*1,3-7,2*1,3   </t>
  </si>
  <si>
    <t>267,124+1038,197   </t>
  </si>
  <si>
    <t>23,536+33,089   </t>
  </si>
  <si>
    <t>(31,94*1,5)+(31,65*1,5)   </t>
  </si>
  <si>
    <t>0,65   </t>
  </si>
  <si>
    <t>;ztratné 25%; 0,48625   </t>
  </si>
  <si>
    <t>19,45*0,1   </t>
  </si>
  <si>
    <t>(5,18+5,545+0,35)*2-0,9*3   </t>
  </si>
  <si>
    <t>;ztratné 5%; 1,1768   </t>
  </si>
  <si>
    <t>23,536   </t>
  </si>
  <si>
    <t>(3,185*1,66+2,36*5,545+1,5*3,185)+(1,1*0,35)   </t>
  </si>
  <si>
    <t>0,941   </t>
  </si>
  <si>
    <t>2*2   </t>
  </si>
  <si>
    <t>0,237   </t>
  </si>
  <si>
    <t>1+3+1   </t>
  </si>
  <si>
    <t>1,2+0,9*3+0,6   </t>
  </si>
  <si>
    <t>2,4+2,1*3+1,8   </t>
  </si>
  <si>
    <t>;ztratné 10%; 0,6075   </t>
  </si>
  <si>
    <t>6,075   </t>
  </si>
  <si>
    <t>2,35*0,9+3,6*1,1   </t>
  </si>
  <si>
    <t>6,046   </t>
  </si>
  <si>
    <t>33,16   </t>
  </si>
  <si>
    <t>0,32*2   </t>
  </si>
  <si>
    <t>46,3+22,2   </t>
  </si>
  <si>
    <t>1,2*15+0,9*4+0,6*1   </t>
  </si>
  <si>
    <t>1,5*22+1,3*2+1,2*8+1,1*1   </t>
  </si>
  <si>
    <t>3,6*1,1+2,35*0,9+2,135*0,9*2   </t>
  </si>
  <si>
    <t>(2,9*1,5)*2   </t>
  </si>
  <si>
    <t>(7,2*33,16)*2   </t>
  </si>
  <si>
    <t>46,425   </t>
  </si>
  <si>
    <t>(33,16*7,2)*2   </t>
  </si>
  <si>
    <t>477,504*0,022+14,775*0,024   </t>
  </si>
  <si>
    <t>;ztratné 10%; 1,4775   </t>
  </si>
  <si>
    <t>14,775   </t>
  </si>
  <si>
    <t>;ztratné 5%; 23,8752   </t>
  </si>
  <si>
    <t>477,504   </t>
  </si>
  <si>
    <t>32,44*13,1   </t>
  </si>
  <si>
    <t>3,892   </t>
  </si>
  <si>
    <t>;ztratné 10%; 42,4964   </t>
  </si>
  <si>
    <t>(32,44*13,1)   </t>
  </si>
  <si>
    <t>5,888   </t>
  </si>
  <si>
    <t>37,428+0,329+0,739+28,645+42,501+21,188+49,615+0,013+22,071+1,96+19,687+18,74+1,059   </t>
  </si>
  <si>
    <t>0,208+7,293+2,388+0,955+2,479   </t>
  </si>
  <si>
    <t>1,7   </t>
  </si>
  <si>
    <t>1,5+4,775   </t>
  </si>
  <si>
    <t>0,008+0,471+9,346   </t>
  </si>
  <si>
    <t>(11,732+24,999)+0,025+13,625+0,191   </t>
  </si>
  <si>
    <t>37,086+2,023+0,464   </t>
  </si>
  <si>
    <t>8,204+4,109+10,325+0,71   </t>
  </si>
  <si>
    <t>0,008+4,484   </t>
  </si>
  <si>
    <t>4,492+23,348+39,573+50,572+9,825+6,275+1,7+13,323   </t>
  </si>
  <si>
    <t>149,108*4   </t>
  </si>
  <si>
    <t>149,108*9   </t>
  </si>
  <si>
    <t>149,108/5   </t>
  </si>
  <si>
    <t>149,108/3   </t>
  </si>
  <si>
    <t>88,556   </t>
  </si>
  <si>
    <t>(2,4*5+2,1*5+1,8+2,0+2,8+3,6*4+2,4*4)*0,31   </t>
  </si>
  <si>
    <t>29,175+112,108   </t>
  </si>
  <si>
    <t>(6,475+0,15*8)*1,975+(26,365+0,15*16)*1,525+(13,96*1,625)+(28,93*1,525)+(5,575*1,84)+(5,895*1,618)   </t>
  </si>
  <si>
    <t>(3,4+2,65+3,4)*1,35-0,9*1,35+(1,05*2+0,3)*1,25*2+(1,05*2,2)*2+(2,1+1,5+2,1)*0,35   </t>
  </si>
  <si>
    <t>541,019   </t>
  </si>
  <si>
    <t>(3,4+2,65+3,4)*7,24+(2,65*0,4)/2-0,9*0,75+(2,1*2+0,9)*0,25   </t>
  </si>
  <si>
    <t>(5,175+5,18)*2*1,3-0,54*2-0,6*0,6+(2,1*2+1,8)*0,22+(1,8*2+1,45+1,23*2+1,45+2,5*2)*1,3-0,54+2,1*0,2   </t>
  </si>
  <si>
    <t>(5,18*2+5,545*2)*1,7-0,9*0,6*3-1,2*0,6+(0,6*2+0,9)*0,35   </t>
  </si>
  <si>
    <t>(5,175+5,18)*2*4,0-1,1*2,1+(2,1*2+1,2)*0,2+(1,8*2+1,45)*4,0+(1,23*2+1,45)*1,8+(2,5*2)*2,9/2-1,9*2,1   </t>
  </si>
  <si>
    <t>(5,18*2+5,545*2-0,9*3)*1,5+(0,35*1,5)*2   </t>
  </si>
  <si>
    <t>(5,075*5,18+1,2*0,1)-0,675*1,23+(5,18*1,45)   </t>
  </si>
  <si>
    <t>(3,185*1,66+2,36*5,545+1,5*3,185)   </t>
  </si>
  <si>
    <t>0,6*0,6*0,175   </t>
  </si>
  <si>
    <t>0,45+0,45   </t>
  </si>
  <si>
    <t>0,3   </t>
  </si>
  <si>
    <t>0,6*0,6+0,9*0,6   </t>
  </si>
  <si>
    <t>1,2*0,6+0,9*0,6*3+0,6*0,6   </t>
  </si>
  <si>
    <t>145,624*0,3   </t>
  </si>
  <si>
    <t>145,624*0,7   </t>
  </si>
  <si>
    <t>(31,2*0,15*0,12)*2   </t>
  </si>
  <si>
    <t>(1,75*1,69*0,1)   </t>
  </si>
  <si>
    <t>1,5*1,5*12+1,2*1,5*8+1,3*1,2*2+1,5*2,1+1,5*1,5*16+1,1*2,5   </t>
  </si>
  <si>
    <t>1,2*0,6*5+0,9*0,6*5+0,6*0,6+1,2*0,4+1,2*0,8+1,2*1,2*4+1,2*0,6*4   </t>
  </si>
  <si>
    <t>34,16*(7,42+1,2)+34,16*(7,81+1,2)+13,8*(8,15+1,2)*2+3,4*(8,85+1,2)*2   </t>
  </si>
  <si>
    <t>928,641*2   </t>
  </si>
  <si>
    <t>82,6*0,3*0,15   </t>
  </si>
  <si>
    <t>(14,62*2+14,82+15,02+0,8*4+5,81+3,35+1,0*2+3,35+5,81)   </t>
  </si>
  <si>
    <t>9   </t>
  </si>
  <si>
    <t>1,2   </t>
  </si>
  <si>
    <t>(24,158+69,548+61,467)/2   </t>
  </si>
  <si>
    <t>(88,556+145,624+541,019)/2   </t>
  </si>
  <si>
    <t>24,158+69,548+61,467   </t>
  </si>
  <si>
    <t>88,556+145,624+541,019   </t>
  </si>
  <si>
    <t>(2,4*5+2,1*5+1,8+2,0+2,8+3,6*4+2,4*4)+(4,5*12+4,2*8+3,7*2+4,5*16+6,1)   </t>
  </si>
  <si>
    <t>22,2+46,3   </t>
  </si>
  <si>
    <t>88,556+145,624+541,019+61,467   </t>
  </si>
  <si>
    <t>(2,4*5+2,1*5+1,8+2,0+2,8+3,6*4+2,4*4)*0,31+(4,5*12+4,2*8+3,7*2+4,5*16+6,1)*0,26   </t>
  </si>
  <si>
    <t>-2,65*0,4/2+(33,16+0,15*16)*6,305-1,5*2,1-1,5*1,5*16-1,1*2,5   </t>
  </si>
  <si>
    <t>(33,16+0,15*24)*6,265-1,5*1,5*12-1,2*1,5*8+(13,8*6,23)*2+(13,8*1,5)/2*2-1,3*1,2*2-2,65*7,24   </t>
  </si>
  <si>
    <t>(5,895*1,46)+(28,93+0,15*18)*1,25-1,2*1,2*4-1,2*0,6*4   </t>
  </si>
  <si>
    <t>(32,84+0,15*24)*0,85-1,2*0,6*5-0,9*0,6*5-0,6*0,6+(13,96*1,38)-1,2*0,4+(5,575*1,24)-1,2*0,8   </t>
  </si>
  <si>
    <t>(33,16+0,15*24)+13,96+5,575+5,895+(28,93+0,15*16)   </t>
  </si>
  <si>
    <t>0,9*0,24*3+0,6*0,24*1   </t>
  </si>
  <si>
    <t>(33,16+29,56+15,12+12,47)*0,5   </t>
  </si>
  <si>
    <t>(15,05+15,5)*0,75+(6,2*0,6)   </t>
  </si>
  <si>
    <t>(4,1+7,5+2,75+4,2)*1,0+(6,2*0,6)   </t>
  </si>
  <si>
    <t>5*0,78*0,0104*1,05   </t>
  </si>
  <si>
    <t>0,6*2,5+0,6*2,8+0,9*2,65*2   </t>
  </si>
  <si>
    <t>(33,84+13,65+15,12*2+5,735+5,5)   </t>
  </si>
  <si>
    <t>(32,84+1,15+13,8)*0,8   </t>
  </si>
  <si>
    <t>1,25*0,8*0,9   </t>
  </si>
  <si>
    <t>(6,885*1,34)*(1,05+0,6)/2+(6,65*1,118)*(1,05+0,6)/2   </t>
  </si>
  <si>
    <t>(6,475*1,475)*(1,155+0,6)/2+(26,365+29,24)*(1,05+0,6)/2*1,025+(16,1*1,125)*(1,05+0,6)/2   </t>
  </si>
  <si>
    <t>(136,81+1,0)-(84,089+0,9)   </t>
  </si>
  <si>
    <t>52,821*1,75   </t>
  </si>
  <si>
    <t>1,25*0,8*1,0   </t>
  </si>
  <si>
    <t>136,81   </t>
  </si>
  <si>
    <t>(6,885*1,84)*(1,15+0,7)/2+(6,65*1,618)*(1,15+0,7)/2   </t>
  </si>
  <si>
    <t>(6,475*1,975)*(1,255+0,7)/2+(26,365+29,24)*(1,15+0,7)/2*1,525+(16,1*1,625)*(1,15+0,7)/2   </t>
  </si>
  <si>
    <t>(32,84+1,15+13,8)*0,8*0,2   </t>
  </si>
  <si>
    <t>(6,75+2,4+5,63+2,4)*0,95+(0,8*1,0)   </t>
  </si>
  <si>
    <t>(14,82+15,02)*0,8+(5,81+3,35)*0,25+(3,35*1,0)+(5,81*0,25)   </t>
  </si>
  <si>
    <t>(2,9+3,06*53,07+2,9)*0,15+(14,62*2)*0,4+(2,9+3,06*2+1,48*2+1,2*4+3,06*2+2,9)*0,15+(32,84+13,8)*0,4   </t>
  </si>
  <si>
    <t>210009118</t>
  </si>
  <si>
    <t>210009117</t>
  </si>
  <si>
    <t>210009116</t>
  </si>
  <si>
    <t>210009115</t>
  </si>
  <si>
    <t>210009114</t>
  </si>
  <si>
    <t>RK - Nástěnný plastový rozváděč, rozměry ŠxVxH - 400x400x100 mm, krytí IP44, napěťová soustava 3+PE+N 230/400V, TN-S, přístrojová výzbroj dle výkresov</t>
  </si>
  <si>
    <t>210009113</t>
  </si>
  <si>
    <t>210009112</t>
  </si>
  <si>
    <t>210009111</t>
  </si>
  <si>
    <t>210009110</t>
  </si>
  <si>
    <t>210009109</t>
  </si>
  <si>
    <t>210009108</t>
  </si>
  <si>
    <t>210009107</t>
  </si>
  <si>
    <t>210009106</t>
  </si>
  <si>
    <t>210009105</t>
  </si>
  <si>
    <t>210009104</t>
  </si>
  <si>
    <t>210009103</t>
  </si>
  <si>
    <t>210009102</t>
  </si>
  <si>
    <t>210009101</t>
  </si>
  <si>
    <t>Malba otěruvzdorná, prodyšná, bílá, bez penetrace, 2 x -kotelna</t>
  </si>
  <si>
    <t>Penetrace podkladu nátěrem 1 x -kotelna</t>
  </si>
  <si>
    <t>Zakrytí podlah, včetně papírové lepenky -kotelna</t>
  </si>
  <si>
    <t>Oprášení/ometení podkladu -provedení dle PD -kotelna</t>
  </si>
  <si>
    <t>Hydroizolační stěrka pod dlažbu vodorovná, s vytažením</t>
  </si>
  <si>
    <t>771101142RT3</t>
  </si>
  <si>
    <t>Montáž větracích mřížek, vč.dodávky mřížky nerez 300x300mm -dle pozn.06</t>
  </si>
  <si>
    <t>730009323</t>
  </si>
  <si>
    <t>730009322</t>
  </si>
  <si>
    <t>730009321</t>
  </si>
  <si>
    <t>730009320</t>
  </si>
  <si>
    <t>730009319</t>
  </si>
  <si>
    <t>730009318</t>
  </si>
  <si>
    <t>730009317</t>
  </si>
  <si>
    <t>730009316</t>
  </si>
  <si>
    <t>730009315</t>
  </si>
  <si>
    <t>Koleno 87°, 80/125mm</t>
  </si>
  <si>
    <t>730009314</t>
  </si>
  <si>
    <t>730009313</t>
  </si>
  <si>
    <t>730009312</t>
  </si>
  <si>
    <t>730009311</t>
  </si>
  <si>
    <t>730009310</t>
  </si>
  <si>
    <t>730009309</t>
  </si>
  <si>
    <t>730009308</t>
  </si>
  <si>
    <t>730009307</t>
  </si>
  <si>
    <t>730009306</t>
  </si>
  <si>
    <t>730009305</t>
  </si>
  <si>
    <t>730009304</t>
  </si>
  <si>
    <t>730009303</t>
  </si>
  <si>
    <t>730009302</t>
  </si>
  <si>
    <t>730009301</t>
  </si>
  <si>
    <t>730009212</t>
  </si>
  <si>
    <t>730009211</t>
  </si>
  <si>
    <t>730009210</t>
  </si>
  <si>
    <t>730009209</t>
  </si>
  <si>
    <t>730009208</t>
  </si>
  <si>
    <t>730009207</t>
  </si>
  <si>
    <t>730009206</t>
  </si>
  <si>
    <t>730009205</t>
  </si>
  <si>
    <t>730009204</t>
  </si>
  <si>
    <t>730009203</t>
  </si>
  <si>
    <t>730009202</t>
  </si>
  <si>
    <t>Montáž a zprovoznění plynového kondenzačního ohřívače TV z budovy 3</t>
  </si>
  <si>
    <t>730009201</t>
  </si>
  <si>
    <t>730009137</t>
  </si>
  <si>
    <t>730009136</t>
  </si>
  <si>
    <t>730009135</t>
  </si>
  <si>
    <t>730009134</t>
  </si>
  <si>
    <t>Přesun plynového kondenzačního ohřívače z budovy 3 do budovy 9</t>
  </si>
  <si>
    <t>730009133</t>
  </si>
  <si>
    <t>730009132</t>
  </si>
  <si>
    <t>730009131</t>
  </si>
  <si>
    <t>730009130</t>
  </si>
  <si>
    <t>730009129</t>
  </si>
  <si>
    <t>730009128</t>
  </si>
  <si>
    <t>730009127</t>
  </si>
  <si>
    <t>730009126</t>
  </si>
  <si>
    <t>730009125</t>
  </si>
  <si>
    <t>730009124</t>
  </si>
  <si>
    <t>730009123</t>
  </si>
  <si>
    <t>730009122</t>
  </si>
  <si>
    <t>730009121</t>
  </si>
  <si>
    <t>730009120</t>
  </si>
  <si>
    <t>730009119</t>
  </si>
  <si>
    <t>730009118</t>
  </si>
  <si>
    <t>730009117</t>
  </si>
  <si>
    <t>730009116</t>
  </si>
  <si>
    <t>730009115</t>
  </si>
  <si>
    <t>730009114</t>
  </si>
  <si>
    <t>730009113</t>
  </si>
  <si>
    <t>730009112</t>
  </si>
  <si>
    <t>730009111</t>
  </si>
  <si>
    <t>730009110</t>
  </si>
  <si>
    <t>730009109</t>
  </si>
  <si>
    <t>730009108</t>
  </si>
  <si>
    <t>730009107</t>
  </si>
  <si>
    <t>730009106</t>
  </si>
  <si>
    <t>730009105</t>
  </si>
  <si>
    <t>730009104</t>
  </si>
  <si>
    <t>Tlaková expanzní nádoba ÚT, V = 100 l, 6 bar, max 70°C, včetně připojovacího šroubení</t>
  </si>
  <si>
    <t>730009103</t>
  </si>
  <si>
    <t>730009102</t>
  </si>
  <si>
    <t>730009101</t>
  </si>
  <si>
    <t>723009113</t>
  </si>
  <si>
    <t>723009112</t>
  </si>
  <si>
    <t>723009111</t>
  </si>
  <si>
    <t>723009110</t>
  </si>
  <si>
    <t>723009109</t>
  </si>
  <si>
    <t>723009108</t>
  </si>
  <si>
    <t>723009107</t>
  </si>
  <si>
    <t>723009106</t>
  </si>
  <si>
    <t>723009105</t>
  </si>
  <si>
    <t>723009104</t>
  </si>
  <si>
    <t>723009103</t>
  </si>
  <si>
    <t>723009102</t>
  </si>
  <si>
    <t>723009101</t>
  </si>
  <si>
    <t>Odstranění štukové vrstvy omítky z vnitřních stěn -kotelna -dle pozn.01</t>
  </si>
  <si>
    <t>Otlučení omítek vnitřních stěn a ostění v rozsahu do 100 % -kotelna -dle pozn.01</t>
  </si>
  <si>
    <t>Odstranění štukové vrstvy vnitřních stropů -kotelna -dle pozn.01</t>
  </si>
  <si>
    <t>Vysekání rýh ve zdi cihelné 7,5 x 12 cm -dle pozn.03</t>
  </si>
  <si>
    <t>Demontáž nerez komín.systému vč.ekolog.likvidace na skládce -dle pozn.07</t>
  </si>
  <si>
    <t>Bourání dlažeb keramických tl.10 mm, nad 1 m2 -kotelna -dle pozn.01</t>
  </si>
  <si>
    <t>Bourání soklíků z dlažeb keramických -kotelna -dle pozn.01</t>
  </si>
  <si>
    <t>Dočištění povrchu po vybourání dlažeb, tmel do 30% -kotelna -dle pozn.01</t>
  </si>
  <si>
    <t>Bourání základů betonových -dle pozn.02 -pod plyn.kotlem</t>
  </si>
  <si>
    <t>Výměna podlah.vpusti -úplné provedení vč.výkop.prací a obnovy dle popisu v PD a detailu Det1</t>
  </si>
  <si>
    <t>Očištění organických nečistot z fasád slož.1-2 50% z plochy -fasáda C -sokl</t>
  </si>
  <si>
    <t>Očištění organických nečistot z fasád slož.1-2 50% z plochy -fasáda A, B, ostění</t>
  </si>
  <si>
    <t>Ruční čištění ocelovým kartáčem -50% z plochy -fasáda C -sokl</t>
  </si>
  <si>
    <t>Ruční čištění ocelovým kartáčem -50% z plochy -fasáda A, B, ostění</t>
  </si>
  <si>
    <t>Očištění fasád tlakovou vodou slož.1 - 2 -fasáda C -sokl</t>
  </si>
  <si>
    <t>Očištění fasád tlakovou vodou slož.1 - 2 -fasáda A, B, ostění</t>
  </si>
  <si>
    <t>Očištění zdí a valů před opravou, ručně -fasáda C -sokl</t>
  </si>
  <si>
    <t>Očištění zdí a valů před opravou, ručně -fasáda A, B, ostění</t>
  </si>
  <si>
    <t>Omítka stěn vnější silikonová struktur.rýhovaná, vč.penetrace, slož. II. -fasáda + ostění -barevné řešení B</t>
  </si>
  <si>
    <t>622472162RU3</t>
  </si>
  <si>
    <t>Oprava omítek mozaikových střednězrnných do 10 % plochy -fasáda C -sokl</t>
  </si>
  <si>
    <t>622431141R00</t>
  </si>
  <si>
    <t>Nátěr stěn vnějších, slož.1-2 , bílý 2x fasáda + ostění -barevné řešení  A</t>
  </si>
  <si>
    <t>622412313RT1</t>
  </si>
  <si>
    <t>Penetrační nátěr savých podkladů, slož.1-2</t>
  </si>
  <si>
    <t>622412301R00</t>
  </si>
  <si>
    <t>Oprava, doplnění  KZS, plocha do 1m2, minerál, silikonová omítka -dozdívka otvoru</t>
  </si>
  <si>
    <t>622397232R00</t>
  </si>
  <si>
    <t>Odmaštění, vyspravení a vyrovnání povrchu jemnou cement.maltou -fasáda C -mozaiková omítka</t>
  </si>
  <si>
    <t>Odmaštění, vyspravení a vyrovnání povrchu jemnou cement.maltou -fasáda A, B -ostění</t>
  </si>
  <si>
    <t>Odmaštění, vyspravení a vyrovnání povrchu jemnou cement.maltou -fasáda A, B</t>
  </si>
  <si>
    <t>Omítkový sanační systém vnitřní, 4 vrst. -kotelna-stěny+ostění -dle pozn.01</t>
  </si>
  <si>
    <t>Štuk na stěnách a ostění vnitřní, sanační, tl.vrstvy 1-2 mm -kotelna -dle pozn.01</t>
  </si>
  <si>
    <t>Štuk na stropech, sanační, tloušťka vrstvy 1,5 mm -kotelna -dle pozn.01</t>
  </si>
  <si>
    <t>Válcované nosníky do č.12 do připrav.otvorů, vč.dodávky profilu IPE č.12 -provedení dle PD, dle pozn.05</t>
  </si>
  <si>
    <t>Zazdívka (dozdívka) otvorů pl. 0,25 m2 (ze 600x600mm na 300x300mm) cihlami, tl. zdi 45 cm, s použitím suché maltové směsi</t>
  </si>
  <si>
    <t>Zásyp ruční se zhutněním -výkop pro ulož čerp.potrubí -dle pozn.04</t>
  </si>
  <si>
    <t>Vykopávka v uzavřených prostorách v hor.1-4 pro ulož.čerpacího potrubí -dle pozn.04</t>
  </si>
  <si>
    <t>SO 09 - OBJEKT 9 - č.p.1052</t>
  </si>
  <si>
    <t>23,64+11,377+19,751   </t>
  </si>
  <si>
    <t>3,99*4,5   </t>
  </si>
  <si>
    <t>0,474   </t>
  </si>
  <si>
    <t>;ztratné 25%; 0,402   </t>
  </si>
  <si>
    <t>16,08*0,1   </t>
  </si>
  <si>
    <t>(3,99+4,5)*2-0,9   </t>
  </si>
  <si>
    <t>;ztratné 5%; 0,89775   </t>
  </si>
  <si>
    <t>0,001   </t>
  </si>
  <si>
    <t>0,205+1,515+6,671+14,852+0,881   </t>
  </si>
  <si>
    <t>0,006+0,359   </t>
  </si>
  <si>
    <t>0,019   </t>
  </si>
  <si>
    <t>0,503+1,087+0,318   </t>
  </si>
  <si>
    <t>0,002+0,001+0,001+0,001+0,029+0,252   </t>
  </si>
  <si>
    <t>0,288   </t>
  </si>
  <si>
    <t>0,288+0,286+1,927+0,365   </t>
  </si>
  <si>
    <t>2,866*4   </t>
  </si>
  <si>
    <t>2,866*9   </t>
  </si>
  <si>
    <t>(3,95+4,5)*2*1,5-0,9*1,5-1,2*0,3   </t>
  </si>
  <si>
    <t>(3,95+4,5)*2*0,73-0,9*0,6-1,2*0,35   </t>
  </si>
  <si>
    <t>(3,99*4,5)*1,1   </t>
  </si>
  <si>
    <t>(1,2*1,0*0,1)   </t>
  </si>
  <si>
    <t>(3,99*4,5)   </t>
  </si>
  <si>
    <t>1,2*0,65*2+1,0*2,1*2+0,58*0,58*4+1,15*0,52*2   </t>
  </si>
  <si>
    <t>1,5*1,5*24+0,6*0,9*24+1,0*3,05*2+1,0*2,05*2   </t>
  </si>
  <si>
    <t>31,52*(8,28+1,2)+31,52*(6,93+1,2)+10,35*(7,54+1,2)*2   </t>
  </si>
  <si>
    <t>735,985*2   </t>
  </si>
  <si>
    <t>76,946/2   </t>
  </si>
  <si>
    <t>(489,037+102,908)/2   </t>
  </si>
  <si>
    <t>-1,2*0,65*2-1,0*2,1*2-0,58*0,58*4-1,15*0,52*2   </t>
  </si>
  <si>
    <t>(30,52*1,59)+(6,0235+11,85+6,23)*0,45+10,35*(1,95+0,55)/2*2   </t>
  </si>
  <si>
    <t>(4,5*3*24+2,4*24+7,1*2)*0,26   </t>
  </si>
  <si>
    <t>-1,5*1,5*24-0,6*0,9*24-1,0*3,05*2   </t>
  </si>
  <si>
    <t>(30,52*7,01)+(30,52+0,25*4)*6,56+(10,35*6,32)*2+(10,35*1,02)/2*2   </t>
  </si>
  <si>
    <t>(7,1*2)*0,26   </t>
  </si>
  <si>
    <t>(3,1*2+0,25*4)*4,65-1,0*3,05*2   </t>
  </si>
  <si>
    <t>(6,235*0,45)+10,35*(1,95+0,55)/2   </t>
  </si>
  <si>
    <t>(102,908-3,692)   </t>
  </si>
  <si>
    <t>(489,037-29,24)   </t>
  </si>
  <si>
    <t>559,013   </t>
  </si>
  <si>
    <t>0,6*0,9-0,3*0,3   </t>
  </si>
  <si>
    <t>1,95*0,8*0,9   </t>
  </si>
  <si>
    <t>1,56-1,404   </t>
  </si>
  <si>
    <t>0,156*1,75   </t>
  </si>
  <si>
    <t>1,95*0,8*1,0   </t>
  </si>
  <si>
    <t>210010119</t>
  </si>
  <si>
    <t>210010118</t>
  </si>
  <si>
    <t>210010117</t>
  </si>
  <si>
    <t>210010116</t>
  </si>
  <si>
    <t>210010115</t>
  </si>
  <si>
    <t>210010114</t>
  </si>
  <si>
    <t>210010113</t>
  </si>
  <si>
    <t>210010112</t>
  </si>
  <si>
    <t>210010111</t>
  </si>
  <si>
    <t>210010110</t>
  </si>
  <si>
    <t>210010109</t>
  </si>
  <si>
    <t>210010108</t>
  </si>
  <si>
    <t>210010107</t>
  </si>
  <si>
    <t>210010106</t>
  </si>
  <si>
    <t>210010105</t>
  </si>
  <si>
    <t>210010104</t>
  </si>
  <si>
    <t>210010103</t>
  </si>
  <si>
    <t>210010102</t>
  </si>
  <si>
    <t>210010101</t>
  </si>
  <si>
    <t>730010323</t>
  </si>
  <si>
    <t>730010322</t>
  </si>
  <si>
    <t>730010321</t>
  </si>
  <si>
    <t>730010320</t>
  </si>
  <si>
    <t>730010319</t>
  </si>
  <si>
    <t>730010318</t>
  </si>
  <si>
    <t>730010317</t>
  </si>
  <si>
    <t>730010316</t>
  </si>
  <si>
    <t>730010315</t>
  </si>
  <si>
    <t>730010314</t>
  </si>
  <si>
    <t>730010313</t>
  </si>
  <si>
    <t>730010312</t>
  </si>
  <si>
    <t>730010311</t>
  </si>
  <si>
    <t>730010310</t>
  </si>
  <si>
    <t>730010309</t>
  </si>
  <si>
    <t>730010308</t>
  </si>
  <si>
    <t>730010307</t>
  </si>
  <si>
    <t>730010306</t>
  </si>
  <si>
    <t>730010305</t>
  </si>
  <si>
    <t>730010304</t>
  </si>
  <si>
    <t>730010303</t>
  </si>
  <si>
    <t>730010302</t>
  </si>
  <si>
    <t>730010301</t>
  </si>
  <si>
    <t>730010218</t>
  </si>
  <si>
    <t>730010217</t>
  </si>
  <si>
    <t>730010216</t>
  </si>
  <si>
    <t>730010215</t>
  </si>
  <si>
    <t>730010214</t>
  </si>
  <si>
    <t>730010213</t>
  </si>
  <si>
    <t>730010212</t>
  </si>
  <si>
    <t>730010211</t>
  </si>
  <si>
    <t>730010210</t>
  </si>
  <si>
    <t>730010209</t>
  </si>
  <si>
    <t>730010208</t>
  </si>
  <si>
    <t>730010207</t>
  </si>
  <si>
    <t>730010206</t>
  </si>
  <si>
    <t>730010205</t>
  </si>
  <si>
    <t>730010204</t>
  </si>
  <si>
    <t>730010203</t>
  </si>
  <si>
    <t>Připojení stávající tlakové expanzní nádoby pro pitnou vodu na nové rozvody studené vody</t>
  </si>
  <si>
    <t>730010202</t>
  </si>
  <si>
    <t>Připojení stávajícího plynového kondenzačního ohřívače TV na nové rozvody studené, teplé a cirkulační vody</t>
  </si>
  <si>
    <t>730010201</t>
  </si>
  <si>
    <t>730010136</t>
  </si>
  <si>
    <t>730010135</t>
  </si>
  <si>
    <t>730010134</t>
  </si>
  <si>
    <t>730010133</t>
  </si>
  <si>
    <t>730010132</t>
  </si>
  <si>
    <t>730010131</t>
  </si>
  <si>
    <t>730010130</t>
  </si>
  <si>
    <t>730010129</t>
  </si>
  <si>
    <t>730010128</t>
  </si>
  <si>
    <t>730010127</t>
  </si>
  <si>
    <t>730010126</t>
  </si>
  <si>
    <t>730010125</t>
  </si>
  <si>
    <t>730010124</t>
  </si>
  <si>
    <t>730010123</t>
  </si>
  <si>
    <t>730010122</t>
  </si>
  <si>
    <t>730010121</t>
  </si>
  <si>
    <t>730010120</t>
  </si>
  <si>
    <t>730010119</t>
  </si>
  <si>
    <t>730010118</t>
  </si>
  <si>
    <t>730010117</t>
  </si>
  <si>
    <t>730010116</t>
  </si>
  <si>
    <t>730010115</t>
  </si>
  <si>
    <t>730010114</t>
  </si>
  <si>
    <t>730010113</t>
  </si>
  <si>
    <t>730010112</t>
  </si>
  <si>
    <t>730010111</t>
  </si>
  <si>
    <t>730010110</t>
  </si>
  <si>
    <t>730010109</t>
  </si>
  <si>
    <t>730010108</t>
  </si>
  <si>
    <t>730010107</t>
  </si>
  <si>
    <t>730010106</t>
  </si>
  <si>
    <t>730010105</t>
  </si>
  <si>
    <t>730010104</t>
  </si>
  <si>
    <t>730010103</t>
  </si>
  <si>
    <t>730010102</t>
  </si>
  <si>
    <t>730010101</t>
  </si>
  <si>
    <t>723010113</t>
  </si>
  <si>
    <t>723010112</t>
  </si>
  <si>
    <t>723010111</t>
  </si>
  <si>
    <t>723010110</t>
  </si>
  <si>
    <t>723010109</t>
  </si>
  <si>
    <t>723010108</t>
  </si>
  <si>
    <t>723010107</t>
  </si>
  <si>
    <t>723010106</t>
  </si>
  <si>
    <t>723010105</t>
  </si>
  <si>
    <t>723010104</t>
  </si>
  <si>
    <t>723010103</t>
  </si>
  <si>
    <t>723010102</t>
  </si>
  <si>
    <t>723010101</t>
  </si>
  <si>
    <t>Ochrana  "předzahrádek", doplnění ohumusování, osetí travním semenem po opravách</t>
  </si>
  <si>
    <t>180410101RAA</t>
  </si>
  <si>
    <t>SO 10 - OBJEKT 10 - č.p.1487</t>
  </si>
  <si>
    <t>23,28+11,263+18,81   </t>
  </si>
  <si>
    <t>3,8*4,5   </t>
  </si>
  <si>
    <t>0,452   </t>
  </si>
  <si>
    <t>;ztratné 25%; 0,3925   </t>
  </si>
  <si>
    <t>15,7*0,1   </t>
  </si>
  <si>
    <t>(3,8+4,5)*2-0,9   </t>
  </si>
  <si>
    <t>;ztratné 5%; 0,855   </t>
  </si>
  <si>
    <t>0,205+1,49+6,75+15,701+0,882   </t>
  </si>
  <si>
    <t>0,006+0,342   </t>
  </si>
  <si>
    <t>0,018   </t>
  </si>
  <si>
    <t>0,479+1,071+0,315   </t>
  </si>
  <si>
    <t>0,288+0,286+1,883+0,348   </t>
  </si>
  <si>
    <t>2,805*4   </t>
  </si>
  <si>
    <t>2,805*9   </t>
  </si>
  <si>
    <t>(3,8+4,5)*2*1,5-0,9*1,5-0,9*0,3   </t>
  </si>
  <si>
    <t>(3,8+4,5)*2*0,73-0,9*0,6-0,9*0,35   </t>
  </si>
  <si>
    <t>(3,8*4,5)*1,1   </t>
  </si>
  <si>
    <t>(3,8*4,5)   </t>
  </si>
  <si>
    <t>0,9*0,65*2+1,0*2,1*2+0,6*0,65*3+0,6*0,52*3+0,9*0,52*2   </t>
  </si>
  <si>
    <t>1,5*1,5*24+0,6*0,9*24+1,0*3,05*2+1,0*2,1*2   </t>
  </si>
  <si>
    <t>23,28*(8,78+1,2)+8,24*(8,15+1,2)+31,52*(6,99+1,2)+10,35*(8,97+1,2)*2   </t>
  </si>
  <si>
    <t>778,046*2   </t>
  </si>
  <si>
    <t>96,454/2   </t>
  </si>
  <si>
    <t>(487,587+104,396)/2   </t>
  </si>
  <si>
    <t>-0,9*0,65*2-1,0*0,65*2-0,6*0,65*3-0,6*0,52*3-0,9*0,52*2   </t>
  </si>
  <si>
    <t>(22,78*1,77+7,74*1,05)+30,52*(0,6+0,93)/2+10,35*(2,35+1,4)/2+10,35*(1,48+0,6)/2   </t>
  </si>
  <si>
    <t>(4,5*3*24+2,4*24+7,1*2+3,9*2)*0,26   </t>
  </si>
  <si>
    <t>-1,5*1,5*24-0,6*0,9*24-1,0*3,05*2-1,0*1,45   </t>
  </si>
  <si>
    <t>(7,1*2+3,9*2)*0,26   </t>
  </si>
  <si>
    <t>(3,1*2+0,25*4)*6,23-1,0*3,05*2-1,0*1,45*2   </t>
  </si>
  <si>
    <t>(104,396-5,72)   </t>
  </si>
  <si>
    <t>(487,587-35,856)   </t>
  </si>
  <si>
    <t>558,341   </t>
  </si>
  <si>
    <t>11,35*2,0   </t>
  </si>
  <si>
    <t>Cena celkem bez DPH</t>
  </si>
  <si>
    <t>SO_</t>
  </si>
  <si>
    <t xml:space="preserve">SO 10 - OBJEKT 10 - č.p.1487	</t>
  </si>
  <si>
    <t>SO 10</t>
  </si>
  <si>
    <t xml:space="preserve">SO 09 - OBJEKT 9 - č.p.1052	</t>
  </si>
  <si>
    <t>SO 09</t>
  </si>
  <si>
    <t xml:space="preserve">SO 08 - OBJEKT 8 - č.p.1033	</t>
  </si>
  <si>
    <t>SO 08</t>
  </si>
  <si>
    <t xml:space="preserve">SO 06 - OBJEKT 6 - č.p.1041 + SO 07 - OBJEKT 7 - č.p.1032	</t>
  </si>
  <si>
    <t>SO 06 + SO 07</t>
  </si>
  <si>
    <t xml:space="preserve">SO 05 - OBJEKT 5 - č.p.1442	</t>
  </si>
  <si>
    <t>SO 05</t>
  </si>
  <si>
    <t xml:space="preserve">SO 04 - OBJEKT 4 - č.p.1435	</t>
  </si>
  <si>
    <t>SO 04</t>
  </si>
  <si>
    <t xml:space="preserve">SO 03 - OBJEKT 3 - č.p.1472	</t>
  </si>
  <si>
    <t>SO 03</t>
  </si>
  <si>
    <t xml:space="preserve">SO 02 - OBJEKT 2 - č.p.1357	</t>
  </si>
  <si>
    <t>SO 02</t>
  </si>
  <si>
    <t xml:space="preserve">SO 01 - OBJEKT 1 - č.p.1454	</t>
  </si>
  <si>
    <t>SO 01</t>
  </si>
  <si>
    <t>Rekapitulace stavebních objektů</t>
  </si>
  <si>
    <t>SO</t>
  </si>
  <si>
    <t>Jednot.</t>
  </si>
  <si>
    <t>Hmotnost (t)</t>
  </si>
  <si>
    <t>Náklady (Kč) bez DPH</t>
  </si>
  <si>
    <t>Cena/MJ bez DPH</t>
  </si>
  <si>
    <t>Rekapitulace</t>
  </si>
  <si>
    <t>Stavební rozpočet</t>
  </si>
  <si>
    <t>penetrace podkladu + stěrkový tmel se zvýš.hydrofobizací vč.armovací tkaniny + základní nátěr + finální soklová mozaiková omítka</t>
  </si>
  <si>
    <t>Základ 12%</t>
  </si>
  <si>
    <t>DPH 12%</t>
  </si>
  <si>
    <t>Cena celkem s 12% DPH</t>
  </si>
  <si>
    <t>FP - Fotovoltaické panely o celkovém instalovaném výkonu 14,75 kWp, viz. specifikace: příloha č. 003</t>
  </si>
  <si>
    <t>OP - Optimalizátory pro FVE, každý FV panel bude vybaven vlastním optimizérem, viz. specifikace: příloha č. 003</t>
  </si>
  <si>
    <t>FP - Fotovoltaické panely o celkovém instalovaném výkonu 14,75 kWp</t>
  </si>
  <si>
    <t>M5 - Měnič DC/AC, 12,5 kVA</t>
  </si>
  <si>
    <t>OP - Optimalizátory pro FVE, každý FV panel bude vybaven vlastním optimizérem</t>
  </si>
  <si>
    <t>FP - Fotovoltaické panely o celkovém instalovaném výkonu 14,75 kWp,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</si>
</sst>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36" x14ac:knownFonts="1">
    <font>
      <sz val="10"/>
      <name val="Arial"/>
    </font>
    <font>
      <sz val="10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56"/>
      <name val="Arial"/>
      <family val="2"/>
      <charset val="238"/>
    </font>
    <font>
      <sz val="10"/>
      <color indexed="61"/>
      <name val="Arial"/>
      <family val="2"/>
      <charset val="238"/>
    </font>
    <font>
      <sz val="10"/>
      <color indexed="62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10"/>
      <color indexed="56"/>
      <name val="Arial"/>
      <family val="2"/>
      <charset val="238"/>
    </font>
    <font>
      <i/>
      <sz val="10"/>
      <color indexed="58"/>
      <name val="Arial"/>
      <family val="2"/>
      <charset val="238"/>
    </font>
    <font>
      <i/>
      <sz val="10"/>
      <color indexed="59"/>
      <name val="Arial"/>
      <family val="2"/>
      <charset val="238"/>
    </font>
    <font>
      <i/>
      <sz val="9"/>
      <color indexed="61"/>
      <name val="Arial"/>
      <family val="2"/>
      <charset val="238"/>
    </font>
    <font>
      <i/>
      <sz val="9"/>
      <color indexed="62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20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color indexed="61"/>
      <name val="Arial"/>
      <family val="2"/>
      <charset val="238"/>
    </font>
    <font>
      <b/>
      <sz val="10"/>
      <color indexed="56"/>
      <name val="Arial"/>
      <family val="2"/>
      <charset val="238"/>
    </font>
    <font>
      <sz val="10"/>
      <color indexed="56"/>
      <name val="Arial"/>
      <family val="2"/>
      <charset val="238"/>
    </font>
    <font>
      <sz val="10"/>
      <color indexed="62"/>
      <name val="Arial"/>
      <family val="2"/>
      <charset val="238"/>
    </font>
    <font>
      <i/>
      <sz val="10"/>
      <color indexed="59"/>
      <name val="Arial"/>
      <family val="2"/>
      <charset val="238"/>
    </font>
    <font>
      <i/>
      <sz val="10"/>
      <color indexed="58"/>
      <name val="Arial"/>
      <family val="2"/>
      <charset val="238"/>
    </font>
    <font>
      <i/>
      <sz val="9"/>
      <color indexed="61"/>
      <name val="Arial"/>
      <family val="2"/>
      <charset val="238"/>
    </font>
    <font>
      <i/>
      <sz val="9"/>
      <color indexed="6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57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theme="4" tint="0.7999816888943144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/>
  </cellStyleXfs>
  <cellXfs count="343">
    <xf numFmtId="0" fontId="1" fillId="0" borderId="0" xfId="0" applyFont="1" applyAlignment="1">
      <alignment vertical="center"/>
    </xf>
    <xf numFmtId="49" fontId="3" fillId="0" borderId="5" xfId="0" applyNumberFormat="1" applyFont="1" applyBorder="1" applyAlignment="1">
      <alignment horizontal="left" vertical="center"/>
    </xf>
    <xf numFmtId="49" fontId="1" fillId="0" borderId="6" xfId="0" applyNumberFormat="1" applyFont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49" fontId="7" fillId="0" borderId="0" xfId="0" applyNumberFormat="1" applyFont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1" fillId="0" borderId="11" xfId="0" applyNumberFormat="1" applyFont="1" applyBorder="1" applyAlignment="1">
      <alignment horizontal="left" vertical="center"/>
    </xf>
    <xf numFmtId="49" fontId="8" fillId="2" borderId="7" xfId="0" applyNumberFormat="1" applyFont="1" applyFill="1" applyBorder="1" applyAlignment="1">
      <alignment horizontal="left" vertical="center"/>
    </xf>
    <xf numFmtId="49" fontId="8" fillId="2" borderId="0" xfId="0" applyNumberFormat="1" applyFont="1" applyFill="1" applyAlignment="1">
      <alignment horizontal="left" vertical="center"/>
    </xf>
    <xf numFmtId="49" fontId="9" fillId="0" borderId="0" xfId="0" applyNumberFormat="1" applyFont="1" applyAlignment="1">
      <alignment horizontal="right" vertical="top"/>
    </xf>
    <xf numFmtId="49" fontId="1" fillId="0" borderId="0" xfId="0" applyNumberFormat="1" applyFont="1" applyAlignment="1">
      <alignment horizontal="left" vertical="center"/>
    </xf>
    <xf numFmtId="49" fontId="3" fillId="0" borderId="10" xfId="0" applyNumberFormat="1" applyFont="1" applyBorder="1" applyAlignment="1">
      <alignment horizontal="center" vertical="center"/>
    </xf>
    <xf numFmtId="4" fontId="5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5" fillId="0" borderId="1" xfId="0" applyNumberFormat="1" applyFont="1" applyBorder="1" applyAlignment="1">
      <alignment horizontal="right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16" xfId="0" applyNumberFormat="1" applyFont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/>
    </xf>
    <xf numFmtId="49" fontId="3" fillId="0" borderId="25" xfId="0" applyNumberFormat="1" applyFont="1" applyBorder="1" applyAlignment="1">
      <alignment horizontal="center" vertical="center"/>
    </xf>
    <xf numFmtId="49" fontId="3" fillId="0" borderId="26" xfId="0" applyNumberFormat="1" applyFont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49" fontId="8" fillId="2" borderId="0" xfId="0" applyNumberFormat="1" applyFont="1" applyFill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49" fontId="5" fillId="0" borderId="1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4" fontId="1" fillId="0" borderId="0" xfId="0" applyNumberFormat="1" applyFont="1" applyAlignment="1">
      <alignment horizontal="right" vertical="center"/>
    </xf>
    <xf numFmtId="49" fontId="1" fillId="0" borderId="0" xfId="0" applyNumberFormat="1" applyFont="1" applyAlignment="1">
      <alignment horizontal="right" vertical="center"/>
    </xf>
    <xf numFmtId="4" fontId="8" fillId="2" borderId="7" xfId="0" applyNumberFormat="1" applyFont="1" applyFill="1" applyBorder="1" applyAlignment="1">
      <alignment horizontal="right" vertical="center"/>
    </xf>
    <xf numFmtId="4" fontId="8" fillId="2" borderId="0" xfId="0" applyNumberFormat="1" applyFont="1" applyFill="1" applyAlignment="1">
      <alignment horizontal="right" vertical="center"/>
    </xf>
    <xf numFmtId="4" fontId="3" fillId="0" borderId="8" xfId="0" applyNumberFormat="1" applyFont="1" applyBorder="1" applyAlignment="1">
      <alignment horizontal="right" vertical="center"/>
    </xf>
    <xf numFmtId="49" fontId="3" fillId="0" borderId="28" xfId="0" applyNumberFormat="1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left" vertical="center"/>
    </xf>
    <xf numFmtId="49" fontId="3" fillId="0" borderId="29" xfId="0" applyNumberFormat="1" applyFont="1" applyBorder="1" applyAlignment="1">
      <alignment horizontal="left" vertical="center"/>
    </xf>
    <xf numFmtId="49" fontId="3" fillId="0" borderId="3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" fontId="1" fillId="0" borderId="7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9" fontId="3" fillId="0" borderId="32" xfId="0" applyNumberFormat="1" applyFont="1" applyBorder="1" applyAlignment="1">
      <alignment horizontal="left" vertical="center"/>
    </xf>
    <xf numFmtId="49" fontId="3" fillId="0" borderId="32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" fillId="0" borderId="1" xfId="0" applyFont="1" applyBorder="1" applyAlignment="1">
      <alignment vertical="center"/>
    </xf>
    <xf numFmtId="49" fontId="14" fillId="3" borderId="35" xfId="0" applyNumberFormat="1" applyFont="1" applyFill="1" applyBorder="1" applyAlignment="1">
      <alignment horizontal="center" vertical="center"/>
    </xf>
    <xf numFmtId="49" fontId="15" fillId="0" borderId="36" xfId="0" applyNumberFormat="1" applyFont="1" applyBorder="1" applyAlignment="1">
      <alignment horizontal="left" vertical="center"/>
    </xf>
    <xf numFmtId="49" fontId="15" fillId="0" borderId="37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vertical="center"/>
    </xf>
    <xf numFmtId="49" fontId="7" fillId="0" borderId="7" xfId="0" applyNumberFormat="1" applyFont="1" applyBorder="1" applyAlignment="1">
      <alignment horizontal="left" vertical="center"/>
    </xf>
    <xf numFmtId="49" fontId="16" fillId="0" borderId="35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4" fontId="16" fillId="0" borderId="35" xfId="0" applyNumberFormat="1" applyFont="1" applyBorder="1" applyAlignment="1">
      <alignment horizontal="right" vertical="center"/>
    </xf>
    <xf numFmtId="49" fontId="16" fillId="0" borderId="35" xfId="0" applyNumberFormat="1" applyFont="1" applyBorder="1" applyAlignment="1">
      <alignment horizontal="right" vertical="center"/>
    </xf>
    <xf numFmtId="4" fontId="16" fillId="0" borderId="20" xfId="0" applyNumberFormat="1" applyFont="1" applyBorder="1" applyAlignment="1">
      <alignment horizontal="right" vertical="center"/>
    </xf>
    <xf numFmtId="0" fontId="1" fillId="0" borderId="1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4" fontId="15" fillId="3" borderId="42" xfId="0" applyNumberFormat="1" applyFont="1" applyFill="1" applyBorder="1" applyAlignment="1">
      <alignment horizontal="right" vertical="center"/>
    </xf>
    <xf numFmtId="0" fontId="1" fillId="0" borderId="1" xfId="0" applyFont="1" applyBorder="1"/>
    <xf numFmtId="164" fontId="8" fillId="2" borderId="7" xfId="0" applyNumberFormat="1" applyFont="1" applyFill="1" applyBorder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164" fontId="8" fillId="2" borderId="0" xfId="0" applyNumberFormat="1" applyFont="1" applyFill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164" fontId="5" fillId="0" borderId="1" xfId="0" applyNumberFormat="1" applyFont="1" applyBorder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7" xfId="1" applyFont="1" applyBorder="1" applyAlignment="1">
      <alignment vertical="center"/>
    </xf>
    <xf numFmtId="49" fontId="20" fillId="0" borderId="7" xfId="1" applyNumberFormat="1" applyFont="1" applyBorder="1" applyAlignment="1">
      <alignment horizontal="left" vertical="center"/>
    </xf>
    <xf numFmtId="0" fontId="19" fillId="0" borderId="27" xfId="1" applyFont="1" applyBorder="1" applyAlignment="1">
      <alignment vertical="center"/>
    </xf>
    <xf numFmtId="0" fontId="19" fillId="0" borderId="39" xfId="1" applyFont="1" applyBorder="1" applyAlignment="1">
      <alignment vertical="center"/>
    </xf>
    <xf numFmtId="0" fontId="19" fillId="0" borderId="3" xfId="1" applyFont="1" applyBorder="1" applyAlignment="1">
      <alignment vertical="center"/>
    </xf>
    <xf numFmtId="4" fontId="22" fillId="3" borderId="42" xfId="1" applyNumberFormat="1" applyFont="1" applyFill="1" applyBorder="1" applyAlignment="1">
      <alignment horizontal="right" vertical="center"/>
    </xf>
    <xf numFmtId="0" fontId="19" fillId="0" borderId="1" xfId="1" applyFont="1" applyBorder="1" applyAlignment="1">
      <alignment vertical="center"/>
    </xf>
    <xf numFmtId="0" fontId="19" fillId="0" borderId="33" xfId="1" applyFont="1" applyBorder="1" applyAlignment="1">
      <alignment vertical="center"/>
    </xf>
    <xf numFmtId="0" fontId="19" fillId="0" borderId="8" xfId="1" applyFont="1" applyBorder="1" applyAlignment="1">
      <alignment vertical="center"/>
    </xf>
    <xf numFmtId="4" fontId="21" fillId="0" borderId="35" xfId="1" applyNumberFormat="1" applyFont="1" applyBorder="1" applyAlignment="1">
      <alignment horizontal="right" vertical="center"/>
    </xf>
    <xf numFmtId="0" fontId="19" fillId="0" borderId="24" xfId="1" applyFont="1" applyBorder="1" applyAlignment="1">
      <alignment vertical="center"/>
    </xf>
    <xf numFmtId="0" fontId="19" fillId="0" borderId="38" xfId="1" applyFont="1" applyBorder="1" applyAlignment="1">
      <alignment vertical="center"/>
    </xf>
    <xf numFmtId="0" fontId="19" fillId="0" borderId="13" xfId="1" applyFont="1" applyBorder="1" applyAlignment="1">
      <alignment vertical="center"/>
    </xf>
    <xf numFmtId="4" fontId="21" fillId="0" borderId="20" xfId="1" applyNumberFormat="1" applyFont="1" applyBorder="1" applyAlignment="1">
      <alignment horizontal="right" vertical="center"/>
    </xf>
    <xf numFmtId="0" fontId="19" fillId="0" borderId="23" xfId="1" applyFont="1" applyBorder="1" applyAlignment="1">
      <alignment vertical="center"/>
    </xf>
    <xf numFmtId="49" fontId="21" fillId="0" borderId="35" xfId="1" applyNumberFormat="1" applyFont="1" applyBorder="1" applyAlignment="1">
      <alignment horizontal="right" vertical="center"/>
    </xf>
    <xf numFmtId="49" fontId="21" fillId="0" borderId="35" xfId="1" applyNumberFormat="1" applyFont="1" applyBorder="1" applyAlignment="1">
      <alignment horizontal="left" vertical="center"/>
    </xf>
    <xf numFmtId="49" fontId="22" fillId="0" borderId="37" xfId="1" applyNumberFormat="1" applyFont="1" applyBorder="1" applyAlignment="1">
      <alignment horizontal="left" vertical="center"/>
    </xf>
    <xf numFmtId="49" fontId="22" fillId="0" borderId="36" xfId="1" applyNumberFormat="1" applyFont="1" applyBorder="1" applyAlignment="1">
      <alignment horizontal="left" vertical="center"/>
    </xf>
    <xf numFmtId="49" fontId="24" fillId="3" borderId="35" xfId="1" applyNumberFormat="1" applyFont="1" applyFill="1" applyBorder="1" applyAlignment="1">
      <alignment horizontal="center" vertical="center"/>
    </xf>
    <xf numFmtId="49" fontId="19" fillId="0" borderId="0" xfId="1" applyNumberFormat="1" applyFont="1" applyAlignment="1">
      <alignment horizontal="left" vertical="center"/>
    </xf>
    <xf numFmtId="0" fontId="19" fillId="0" borderId="1" xfId="1" applyFont="1" applyBorder="1"/>
    <xf numFmtId="4" fontId="26" fillId="0" borderId="0" xfId="1" applyNumberFormat="1" applyFont="1" applyAlignment="1">
      <alignment horizontal="right" vertical="center"/>
    </xf>
    <xf numFmtId="49" fontId="26" fillId="0" borderId="0" xfId="1" applyNumberFormat="1" applyFont="1" applyAlignment="1">
      <alignment horizontal="left" vertical="center"/>
    </xf>
    <xf numFmtId="4" fontId="19" fillId="0" borderId="0" xfId="1" applyNumberFormat="1" applyFont="1" applyAlignment="1">
      <alignment horizontal="right" vertical="center"/>
    </xf>
    <xf numFmtId="4" fontId="19" fillId="0" borderId="7" xfId="1" applyNumberFormat="1" applyFont="1" applyBorder="1" applyAlignment="1">
      <alignment horizontal="right" vertical="center"/>
    </xf>
    <xf numFmtId="49" fontId="19" fillId="0" borderId="7" xfId="1" applyNumberFormat="1" applyFont="1" applyBorder="1" applyAlignment="1">
      <alignment horizontal="left" vertical="center"/>
    </xf>
    <xf numFmtId="49" fontId="26" fillId="0" borderId="32" xfId="1" applyNumberFormat="1" applyFont="1" applyBorder="1" applyAlignment="1">
      <alignment horizontal="center" vertical="center"/>
    </xf>
    <xf numFmtId="49" fontId="26" fillId="0" borderId="29" xfId="1" applyNumberFormat="1" applyFont="1" applyBorder="1" applyAlignment="1">
      <alignment horizontal="left" vertical="center"/>
    </xf>
    <xf numFmtId="49" fontId="26" fillId="0" borderId="28" xfId="1" applyNumberFormat="1" applyFont="1" applyBorder="1" applyAlignment="1">
      <alignment horizontal="left" vertical="center"/>
    </xf>
    <xf numFmtId="49" fontId="20" fillId="0" borderId="0" xfId="1" applyNumberFormat="1" applyFont="1" applyAlignment="1">
      <alignment horizontal="left" vertical="center"/>
    </xf>
    <xf numFmtId="4" fontId="26" fillId="0" borderId="8" xfId="1" applyNumberFormat="1" applyFont="1" applyBorder="1" applyAlignment="1">
      <alignment horizontal="right" vertical="center"/>
    </xf>
    <xf numFmtId="4" fontId="28" fillId="0" borderId="0" xfId="1" applyNumberFormat="1" applyFont="1" applyAlignment="1">
      <alignment horizontal="right" vertical="center"/>
    </xf>
    <xf numFmtId="49" fontId="29" fillId="2" borderId="0" xfId="1" applyNumberFormat="1" applyFont="1" applyFill="1" applyAlignment="1">
      <alignment horizontal="right" vertical="center"/>
    </xf>
    <xf numFmtId="49" fontId="19" fillId="0" borderId="0" xfId="1" applyNumberFormat="1" applyFont="1" applyAlignment="1">
      <alignment horizontal="right" vertical="center"/>
    </xf>
    <xf numFmtId="49" fontId="28" fillId="0" borderId="0" xfId="1" applyNumberFormat="1" applyFont="1" applyAlignment="1">
      <alignment horizontal="right" vertical="center"/>
    </xf>
    <xf numFmtId="49" fontId="28" fillId="0" borderId="1" xfId="1" applyNumberFormat="1" applyFont="1" applyBorder="1" applyAlignment="1">
      <alignment horizontal="right" vertical="center"/>
    </xf>
    <xf numFmtId="4" fontId="28" fillId="0" borderId="1" xfId="1" applyNumberFormat="1" applyFont="1" applyBorder="1" applyAlignment="1">
      <alignment horizontal="right" vertical="center"/>
    </xf>
    <xf numFmtId="164" fontId="28" fillId="0" borderId="1" xfId="1" applyNumberFormat="1" applyFont="1" applyBorder="1" applyAlignment="1">
      <alignment horizontal="right" vertical="center"/>
    </xf>
    <xf numFmtId="49" fontId="28" fillId="0" borderId="1" xfId="1" applyNumberFormat="1" applyFont="1" applyBorder="1" applyAlignment="1">
      <alignment horizontal="left" vertical="center"/>
    </xf>
    <xf numFmtId="164" fontId="28" fillId="0" borderId="0" xfId="1" applyNumberFormat="1" applyFont="1" applyAlignment="1">
      <alignment horizontal="right" vertical="center"/>
    </xf>
    <xf numFmtId="49" fontId="28" fillId="0" borderId="0" xfId="1" applyNumberFormat="1" applyFont="1" applyAlignment="1">
      <alignment horizontal="left" vertical="center"/>
    </xf>
    <xf numFmtId="4" fontId="29" fillId="2" borderId="0" xfId="1" applyNumberFormat="1" applyFont="1" applyFill="1" applyAlignment="1">
      <alignment horizontal="right" vertical="center"/>
    </xf>
    <xf numFmtId="49" fontId="30" fillId="2" borderId="0" xfId="1" applyNumberFormat="1" applyFont="1" applyFill="1" applyAlignment="1">
      <alignment horizontal="left" vertical="center"/>
    </xf>
    <xf numFmtId="49" fontId="29" fillId="2" borderId="0" xfId="1" applyNumberFormat="1" applyFont="1" applyFill="1" applyAlignment="1">
      <alignment horizontal="left" vertical="center"/>
    </xf>
    <xf numFmtId="4" fontId="31" fillId="0" borderId="0" xfId="1" applyNumberFormat="1" applyFont="1" applyAlignment="1">
      <alignment horizontal="right" vertical="center"/>
    </xf>
    <xf numFmtId="49" fontId="31" fillId="0" borderId="0" xfId="1" applyNumberFormat="1" applyFont="1" applyAlignment="1">
      <alignment horizontal="right" vertical="center"/>
    </xf>
    <xf numFmtId="164" fontId="31" fillId="0" borderId="0" xfId="1" applyNumberFormat="1" applyFont="1" applyAlignment="1">
      <alignment horizontal="right" vertical="center"/>
    </xf>
    <xf numFmtId="49" fontId="31" fillId="0" borderId="0" xfId="1" applyNumberFormat="1" applyFont="1" applyAlignment="1">
      <alignment horizontal="left" vertical="center"/>
    </xf>
    <xf numFmtId="49" fontId="33" fillId="0" borderId="0" xfId="1" applyNumberFormat="1" applyFont="1" applyAlignment="1">
      <alignment horizontal="right" vertical="top"/>
    </xf>
    <xf numFmtId="49" fontId="29" fillId="2" borderId="7" xfId="1" applyNumberFormat="1" applyFont="1" applyFill="1" applyBorder="1" applyAlignment="1">
      <alignment horizontal="right" vertical="center"/>
    </xf>
    <xf numFmtId="4" fontId="29" fillId="2" borderId="7" xfId="1" applyNumberFormat="1" applyFont="1" applyFill="1" applyBorder="1" applyAlignment="1">
      <alignment horizontal="right" vertical="center"/>
    </xf>
    <xf numFmtId="49" fontId="30" fillId="2" borderId="7" xfId="1" applyNumberFormat="1" applyFont="1" applyFill="1" applyBorder="1" applyAlignment="1">
      <alignment horizontal="left" vertical="center"/>
    </xf>
    <xf numFmtId="49" fontId="29" fillId="2" borderId="7" xfId="1" applyNumberFormat="1" applyFont="1" applyFill="1" applyBorder="1" applyAlignment="1">
      <alignment horizontal="left" vertical="center"/>
    </xf>
    <xf numFmtId="49" fontId="26" fillId="0" borderId="26" xfId="1" applyNumberFormat="1" applyFont="1" applyBorder="1" applyAlignment="1">
      <alignment horizontal="center" vertical="center"/>
    </xf>
    <xf numFmtId="49" fontId="26" fillId="0" borderId="22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26" fillId="0" borderId="18" xfId="1" applyNumberFormat="1" applyFont="1" applyBorder="1" applyAlignment="1">
      <alignment horizontal="center" vertical="center"/>
    </xf>
    <xf numFmtId="49" fontId="26" fillId="0" borderId="16" xfId="1" applyNumberFormat="1" applyFont="1" applyBorder="1" applyAlignment="1">
      <alignment horizontal="center" vertical="center"/>
    </xf>
    <xf numFmtId="49" fontId="19" fillId="0" borderId="11" xfId="1" applyNumberFormat="1" applyFont="1" applyBorder="1" applyAlignment="1">
      <alignment horizontal="left" vertical="center"/>
    </xf>
    <xf numFmtId="49" fontId="19" fillId="0" borderId="6" xfId="1" applyNumberFormat="1" applyFont="1" applyBorder="1" applyAlignment="1">
      <alignment horizontal="left" vertical="center"/>
    </xf>
    <xf numFmtId="49" fontId="26" fillId="0" borderId="25" xfId="1" applyNumberFormat="1" applyFont="1" applyBorder="1" applyAlignment="1">
      <alignment horizontal="center" vertical="center"/>
    </xf>
    <xf numFmtId="49" fontId="26" fillId="0" borderId="15" xfId="1" applyNumberFormat="1" applyFont="1" applyBorder="1" applyAlignment="1">
      <alignment horizontal="center" vertical="center"/>
    </xf>
    <xf numFmtId="49" fontId="26" fillId="0" borderId="10" xfId="1" applyNumberFormat="1" applyFont="1" applyBorder="1" applyAlignment="1">
      <alignment horizontal="center" vertical="center"/>
    </xf>
    <xf numFmtId="49" fontId="26" fillId="0" borderId="10" xfId="1" applyNumberFormat="1" applyFont="1" applyBorder="1" applyAlignment="1">
      <alignment horizontal="left" vertical="center"/>
    </xf>
    <xf numFmtId="49" fontId="26" fillId="0" borderId="5" xfId="1" applyNumberFormat="1" applyFont="1" applyBorder="1" applyAlignment="1">
      <alignment horizontal="left" vertical="center"/>
    </xf>
    <xf numFmtId="164" fontId="29" fillId="2" borderId="0" xfId="1" applyNumberFormat="1" applyFont="1" applyFill="1" applyAlignment="1">
      <alignment horizontal="right" vertical="center"/>
    </xf>
    <xf numFmtId="4" fontId="34" fillId="0" borderId="0" xfId="1" applyNumberFormat="1" applyFont="1" applyAlignment="1">
      <alignment horizontal="right" vertical="center"/>
    </xf>
    <xf numFmtId="164" fontId="34" fillId="0" borderId="0" xfId="1" applyNumberFormat="1" applyFont="1" applyAlignment="1">
      <alignment horizontal="right" vertical="center"/>
    </xf>
    <xf numFmtId="164" fontId="35" fillId="0" borderId="0" xfId="1" applyNumberFormat="1" applyFont="1" applyAlignment="1">
      <alignment horizontal="right" vertical="center"/>
    </xf>
    <xf numFmtId="4" fontId="35" fillId="0" borderId="0" xfId="1" applyNumberFormat="1" applyFont="1" applyAlignment="1">
      <alignment horizontal="right" vertical="center"/>
    </xf>
    <xf numFmtId="164" fontId="29" fillId="2" borderId="7" xfId="1" applyNumberFormat="1" applyFont="1" applyFill="1" applyBorder="1" applyAlignment="1">
      <alignment horizontal="right" vertical="center"/>
    </xf>
    <xf numFmtId="49" fontId="26" fillId="0" borderId="32" xfId="1" applyNumberFormat="1" applyFont="1" applyBorder="1" applyAlignment="1">
      <alignment horizontal="right" vertical="center"/>
    </xf>
    <xf numFmtId="49" fontId="26" fillId="0" borderId="32" xfId="1" applyNumberFormat="1" applyFont="1" applyBorder="1" applyAlignment="1">
      <alignment horizontal="left" vertical="center"/>
    </xf>
    <xf numFmtId="0" fontId="19" fillId="0" borderId="35" xfId="1" applyFont="1" applyBorder="1" applyAlignment="1">
      <alignment vertical="center"/>
    </xf>
    <xf numFmtId="0" fontId="19" fillId="0" borderId="37" xfId="1" applyFont="1" applyBorder="1" applyAlignment="1">
      <alignment horizontal="center" vertical="center" wrapText="1"/>
    </xf>
    <xf numFmtId="0" fontId="19" fillId="0" borderId="36" xfId="1" applyFont="1" applyBorder="1" applyAlignment="1">
      <alignment horizontal="center" vertical="center" wrapText="1"/>
    </xf>
    <xf numFmtId="49" fontId="26" fillId="0" borderId="11" xfId="1" applyNumberFormat="1" applyFont="1" applyBorder="1" applyAlignment="1">
      <alignment horizontal="left" vertical="center"/>
    </xf>
    <xf numFmtId="4" fontId="26" fillId="0" borderId="8" xfId="0" applyNumberFormat="1" applyFont="1" applyBorder="1" applyAlignment="1">
      <alignment vertical="center"/>
    </xf>
    <xf numFmtId="4" fontId="19" fillId="0" borderId="8" xfId="1" applyNumberFormat="1" applyFont="1" applyBorder="1" applyAlignment="1">
      <alignment vertical="center"/>
    </xf>
    <xf numFmtId="4" fontId="26" fillId="0" borderId="36" xfId="1" applyNumberFormat="1" applyFont="1" applyBorder="1" applyAlignment="1">
      <alignment horizontal="right" vertical="center"/>
    </xf>
    <xf numFmtId="2" fontId="19" fillId="0" borderId="37" xfId="1" applyNumberFormat="1" applyFont="1" applyBorder="1" applyAlignment="1">
      <alignment vertical="center"/>
    </xf>
    <xf numFmtId="0" fontId="32" fillId="0" borderId="0" xfId="1" applyFont="1" applyAlignment="1">
      <alignment vertical="center"/>
    </xf>
    <xf numFmtId="4" fontId="28" fillId="4" borderId="0" xfId="1" applyNumberFormat="1" applyFont="1" applyFill="1" applyAlignment="1" applyProtection="1">
      <alignment horizontal="right" vertical="center"/>
      <protection locked="0"/>
    </xf>
    <xf numFmtId="4" fontId="31" fillId="4" borderId="0" xfId="1" applyNumberFormat="1" applyFont="1" applyFill="1" applyAlignment="1" applyProtection="1">
      <alignment horizontal="right" vertical="center"/>
      <protection locked="0"/>
    </xf>
    <xf numFmtId="4" fontId="28" fillId="4" borderId="1" xfId="1" applyNumberFormat="1" applyFont="1" applyFill="1" applyBorder="1" applyAlignment="1" applyProtection="1">
      <alignment horizontal="right" vertical="center"/>
      <protection locked="0"/>
    </xf>
    <xf numFmtId="4" fontId="5" fillId="4" borderId="0" xfId="1" applyNumberFormat="1" applyFont="1" applyFill="1" applyAlignment="1" applyProtection="1">
      <alignment horizontal="right" vertical="center"/>
      <protection locked="0"/>
    </xf>
    <xf numFmtId="49" fontId="4" fillId="2" borderId="0" xfId="1" applyNumberFormat="1" applyFont="1" applyFill="1" applyAlignment="1">
      <alignment horizontal="left" vertical="center"/>
    </xf>
    <xf numFmtId="0" fontId="32" fillId="0" borderId="0" xfId="1" applyFont="1" applyAlignment="1">
      <alignment vertical="center" wrapText="1"/>
    </xf>
    <xf numFmtId="0" fontId="10" fillId="0" borderId="0" xfId="1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4" fontId="5" fillId="4" borderId="0" xfId="0" applyNumberFormat="1" applyFont="1" applyFill="1" applyAlignment="1" applyProtection="1">
      <alignment horizontal="right" vertical="center"/>
      <protection locked="0"/>
    </xf>
    <xf numFmtId="4" fontId="6" fillId="4" borderId="0" xfId="0" applyNumberFormat="1" applyFont="1" applyFill="1" applyAlignment="1" applyProtection="1">
      <alignment horizontal="right" vertical="center"/>
      <protection locked="0"/>
    </xf>
    <xf numFmtId="4" fontId="5" fillId="4" borderId="1" xfId="0" applyNumberFormat="1" applyFont="1" applyFill="1" applyBorder="1" applyAlignment="1" applyProtection="1">
      <alignment horizontal="right" vertical="center"/>
      <protection locked="0"/>
    </xf>
    <xf numFmtId="0" fontId="1" fillId="0" borderId="37" xfId="1" applyFont="1" applyBorder="1" applyAlignment="1">
      <alignment horizontal="center" vertical="center" wrapText="1"/>
    </xf>
    <xf numFmtId="49" fontId="5" fillId="0" borderId="0" xfId="1" applyNumberFormat="1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49" fontId="1" fillId="0" borderId="23" xfId="0" applyNumberFormat="1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49" fontId="1" fillId="0" borderId="24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1" fillId="0" borderId="46" xfId="0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49" fontId="13" fillId="0" borderId="34" xfId="0" applyNumberFormat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49" fontId="17" fillId="0" borderId="38" xfId="0" applyNumberFormat="1" applyFont="1" applyBorder="1" applyAlignment="1">
      <alignment horizontal="left" vertical="center"/>
    </xf>
    <xf numFmtId="0" fontId="17" fillId="0" borderId="42" xfId="0" applyFont="1" applyBorder="1" applyAlignment="1">
      <alignment horizontal="left" vertical="center"/>
    </xf>
    <xf numFmtId="49" fontId="16" fillId="0" borderId="38" xfId="0" applyNumberFormat="1" applyFont="1" applyBorder="1" applyAlignment="1">
      <alignment horizontal="left" vertical="center"/>
    </xf>
    <xf numFmtId="0" fontId="16" fillId="0" borderId="42" xfId="0" applyFont="1" applyBorder="1" applyAlignment="1">
      <alignment horizontal="left" vertical="center"/>
    </xf>
    <xf numFmtId="49" fontId="15" fillId="0" borderId="38" xfId="0" applyNumberFormat="1" applyFont="1" applyBorder="1" applyAlignment="1">
      <alignment horizontal="left" vertical="center"/>
    </xf>
    <xf numFmtId="0" fontId="15" fillId="0" borderId="42" xfId="0" applyFont="1" applyBorder="1" applyAlignment="1">
      <alignment horizontal="left" vertical="center"/>
    </xf>
    <xf numFmtId="49" fontId="15" fillId="3" borderId="38" xfId="0" applyNumberFormat="1" applyFont="1" applyFill="1" applyBorder="1" applyAlignment="1">
      <alignment horizontal="left" vertical="center"/>
    </xf>
    <xf numFmtId="0" fontId="15" fillId="3" borderId="34" xfId="0" applyFont="1" applyFill="1" applyBorder="1" applyAlignment="1">
      <alignment horizontal="left" vertical="center"/>
    </xf>
    <xf numFmtId="49" fontId="16" fillId="0" borderId="40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43" xfId="0" applyFont="1" applyBorder="1" applyAlignment="1">
      <alignment horizontal="left" vertical="center"/>
    </xf>
    <xf numFmtId="49" fontId="16" fillId="0" borderId="27" xfId="0" applyNumberFormat="1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4" xfId="0" applyFont="1" applyBorder="1" applyAlignment="1">
      <alignment horizontal="left" vertical="center"/>
    </xf>
    <xf numFmtId="49" fontId="16" fillId="0" borderId="41" xfId="0" applyNumberFormat="1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45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/>
    </xf>
    <xf numFmtId="0" fontId="1" fillId="0" borderId="2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49" fontId="3" fillId="0" borderId="30" xfId="0" applyNumberFormat="1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49" fontId="1" fillId="0" borderId="7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left" vertical="center"/>
    </xf>
    <xf numFmtId="49" fontId="1" fillId="4" borderId="8" xfId="0" applyNumberFormat="1" applyFont="1" applyFill="1" applyBorder="1" applyAlignment="1" applyProtection="1">
      <alignment horizontal="left" vertical="center"/>
      <protection locked="0"/>
    </xf>
    <xf numFmtId="0" fontId="1" fillId="4" borderId="8" xfId="0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left" vertical="center"/>
      <protection locked="0"/>
    </xf>
    <xf numFmtId="0" fontId="1" fillId="4" borderId="23" xfId="0" applyFont="1" applyFill="1" applyBorder="1" applyAlignment="1" applyProtection="1">
      <alignment horizontal="left" vertical="center"/>
      <protection locked="0"/>
    </xf>
    <xf numFmtId="0" fontId="1" fillId="4" borderId="24" xfId="0" applyFont="1" applyFill="1" applyBorder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left" vertical="center" wrapText="1"/>
      <protection locked="0"/>
    </xf>
    <xf numFmtId="49" fontId="1" fillId="4" borderId="0" xfId="0" applyNumberFormat="1" applyFont="1" applyFill="1" applyAlignment="1" applyProtection="1">
      <alignment horizontal="left" vertical="center"/>
      <protection locked="0"/>
    </xf>
    <xf numFmtId="49" fontId="3" fillId="0" borderId="12" xfId="0" applyNumberFormat="1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49" fontId="8" fillId="2" borderId="7" xfId="0" applyNumberFormat="1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4" borderId="9" xfId="0" applyFont="1" applyFill="1" applyBorder="1" applyAlignment="1" applyProtection="1">
      <alignment horizontal="left" vertical="center"/>
      <protection locked="0"/>
    </xf>
    <xf numFmtId="0" fontId="1" fillId="4" borderId="14" xfId="0" applyFont="1" applyFill="1" applyBorder="1" applyAlignment="1" applyProtection="1">
      <alignment horizontal="left" vertical="center"/>
      <protection locked="0"/>
    </xf>
    <xf numFmtId="49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3" fillId="0" borderId="8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9" fillId="0" borderId="0" xfId="1" applyFont="1" applyAlignment="1">
      <alignment horizontal="left" vertical="center" wrapText="1"/>
    </xf>
    <xf numFmtId="0" fontId="19" fillId="0" borderId="0" xfId="1" applyFont="1" applyAlignment="1">
      <alignment horizontal="left" vertical="center"/>
    </xf>
    <xf numFmtId="49" fontId="21" fillId="0" borderId="27" xfId="1" applyNumberFormat="1" applyFont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1" fillId="0" borderId="44" xfId="1" applyFont="1" applyBorder="1" applyAlignment="1">
      <alignment horizontal="left" vertical="center"/>
    </xf>
    <xf numFmtId="49" fontId="21" fillId="0" borderId="41" xfId="1" applyNumberFormat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45" xfId="1" applyFont="1" applyBorder="1" applyAlignment="1">
      <alignment horizontal="left" vertical="center"/>
    </xf>
    <xf numFmtId="49" fontId="22" fillId="3" borderId="38" xfId="1" applyNumberFormat="1" applyFont="1" applyFill="1" applyBorder="1" applyAlignment="1">
      <alignment horizontal="left" vertical="center"/>
    </xf>
    <xf numFmtId="0" fontId="22" fillId="3" borderId="34" xfId="1" applyFont="1" applyFill="1" applyBorder="1" applyAlignment="1">
      <alignment horizontal="left" vertical="center"/>
    </xf>
    <xf numFmtId="49" fontId="21" fillId="0" borderId="40" xfId="1" applyNumberFormat="1" applyFont="1" applyBorder="1" applyAlignment="1">
      <alignment horizontal="left" vertical="center"/>
    </xf>
    <xf numFmtId="0" fontId="21" fillId="0" borderId="7" xfId="1" applyFont="1" applyBorder="1" applyAlignment="1">
      <alignment horizontal="left" vertical="center"/>
    </xf>
    <xf numFmtId="0" fontId="21" fillId="0" borderId="43" xfId="1" applyFont="1" applyBorder="1" applyAlignment="1">
      <alignment horizontal="left" vertical="center"/>
    </xf>
    <xf numFmtId="49" fontId="15" fillId="3" borderId="38" xfId="1" applyNumberFormat="1" applyFont="1" applyFill="1" applyBorder="1" applyAlignment="1">
      <alignment horizontal="left" vertical="center"/>
    </xf>
    <xf numFmtId="49" fontId="22" fillId="0" borderId="38" xfId="1" applyNumberFormat="1" applyFont="1" applyBorder="1" applyAlignment="1">
      <alignment horizontal="left" vertical="center"/>
    </xf>
    <xf numFmtId="0" fontId="22" fillId="0" borderId="42" xfId="1" applyFont="1" applyBorder="1" applyAlignment="1">
      <alignment horizontal="left" vertical="center"/>
    </xf>
    <xf numFmtId="49" fontId="21" fillId="0" borderId="38" xfId="1" applyNumberFormat="1" applyFont="1" applyBorder="1" applyAlignment="1">
      <alignment horizontal="left" vertical="center"/>
    </xf>
    <xf numFmtId="0" fontId="21" fillId="0" borderId="42" xfId="1" applyFont="1" applyBorder="1" applyAlignment="1">
      <alignment horizontal="left" vertical="center"/>
    </xf>
    <xf numFmtId="49" fontId="23" fillId="0" borderId="38" xfId="1" applyNumberFormat="1" applyFont="1" applyBorder="1" applyAlignment="1">
      <alignment horizontal="left" vertical="center"/>
    </xf>
    <xf numFmtId="0" fontId="23" fillId="0" borderId="42" xfId="1" applyFont="1" applyBorder="1" applyAlignment="1">
      <alignment horizontal="left" vertical="center"/>
    </xf>
    <xf numFmtId="49" fontId="19" fillId="0" borderId="24" xfId="1" applyNumberFormat="1" applyFont="1" applyBorder="1" applyAlignment="1">
      <alignment horizontal="left" vertical="center"/>
    </xf>
    <xf numFmtId="0" fontId="19" fillId="0" borderId="24" xfId="1" applyFont="1" applyBorder="1" applyAlignment="1">
      <alignment horizontal="left" vertical="center"/>
    </xf>
    <xf numFmtId="0" fontId="19" fillId="0" borderId="3" xfId="1" applyFont="1" applyBorder="1" applyAlignment="1">
      <alignment horizontal="left" vertical="center" wrapText="1"/>
    </xf>
    <xf numFmtId="0" fontId="19" fillId="0" borderId="33" xfId="1" applyFont="1" applyBorder="1" applyAlignment="1">
      <alignment horizontal="left" vertical="center"/>
    </xf>
    <xf numFmtId="0" fontId="19" fillId="0" borderId="1" xfId="1" applyFont="1" applyBorder="1" applyAlignment="1">
      <alignment horizontal="left" vertical="center"/>
    </xf>
    <xf numFmtId="49" fontId="25" fillId="0" borderId="34" xfId="1" applyNumberFormat="1" applyFont="1" applyBorder="1" applyAlignment="1">
      <alignment horizontal="center" vertical="center"/>
    </xf>
    <xf numFmtId="0" fontId="25" fillId="0" borderId="34" xfId="1" applyFont="1" applyBorder="1" applyAlignment="1">
      <alignment horizontal="center" vertical="center"/>
    </xf>
    <xf numFmtId="49" fontId="19" fillId="0" borderId="0" xfId="1" applyNumberFormat="1" applyFont="1" applyAlignment="1">
      <alignment horizontal="left" vertical="center"/>
    </xf>
    <xf numFmtId="0" fontId="19" fillId="0" borderId="24" xfId="1" applyFont="1" applyBorder="1" applyAlignment="1">
      <alignment horizontal="left" vertical="center" wrapText="1"/>
    </xf>
    <xf numFmtId="0" fontId="19" fillId="0" borderId="46" xfId="1" applyFont="1" applyBorder="1" applyAlignment="1">
      <alignment horizontal="left" vertical="center"/>
    </xf>
    <xf numFmtId="0" fontId="19" fillId="0" borderId="3" xfId="1" applyFont="1" applyBorder="1" applyAlignment="1">
      <alignment horizontal="left" vertical="center"/>
    </xf>
    <xf numFmtId="0" fontId="27" fillId="0" borderId="1" xfId="1" applyFont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/>
    </xf>
    <xf numFmtId="0" fontId="19" fillId="0" borderId="2" xfId="1" applyFont="1" applyBorder="1" applyAlignment="1">
      <alignment horizontal="left" vertical="center" wrapText="1"/>
    </xf>
    <xf numFmtId="0" fontId="19" fillId="0" borderId="8" xfId="1" applyFont="1" applyBorder="1" applyAlignment="1">
      <alignment horizontal="left" vertical="center"/>
    </xf>
    <xf numFmtId="0" fontId="26" fillId="0" borderId="8" xfId="1" applyFont="1" applyBorder="1" applyAlignment="1">
      <alignment horizontal="left" vertical="center" wrapText="1"/>
    </xf>
    <xf numFmtId="0" fontId="26" fillId="0" borderId="8" xfId="1" applyFont="1" applyBorder="1" applyAlignment="1">
      <alignment horizontal="left" vertical="center"/>
    </xf>
    <xf numFmtId="0" fontId="26" fillId="0" borderId="0" xfId="1" applyFont="1" applyAlignment="1">
      <alignment horizontal="left" vertical="center"/>
    </xf>
    <xf numFmtId="0" fontId="19" fillId="0" borderId="8" xfId="1" applyFont="1" applyBorder="1" applyAlignment="1">
      <alignment horizontal="left" vertical="center" wrapText="1"/>
    </xf>
    <xf numFmtId="49" fontId="19" fillId="0" borderId="23" xfId="1" applyNumberFormat="1" applyFont="1" applyBorder="1" applyAlignment="1">
      <alignment horizontal="left" vertical="center"/>
    </xf>
    <xf numFmtId="49" fontId="26" fillId="0" borderId="30" xfId="1" applyNumberFormat="1" applyFont="1" applyBorder="1" applyAlignment="1">
      <alignment horizontal="left" vertical="center"/>
    </xf>
    <xf numFmtId="0" fontId="26" fillId="0" borderId="31" xfId="1" applyFont="1" applyBorder="1" applyAlignment="1">
      <alignment horizontal="left" vertical="center"/>
    </xf>
    <xf numFmtId="49" fontId="19" fillId="0" borderId="7" xfId="1" applyNumberFormat="1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4" xfId="1" applyFont="1" applyBorder="1" applyAlignment="1">
      <alignment horizontal="left" vertical="center"/>
    </xf>
    <xf numFmtId="0" fontId="19" fillId="0" borderId="9" xfId="1" applyFont="1" applyBorder="1" applyAlignment="1">
      <alignment horizontal="left" vertical="center"/>
    </xf>
    <xf numFmtId="0" fontId="19" fillId="0" borderId="14" xfId="1" applyFont="1" applyBorder="1" applyAlignment="1">
      <alignment horizontal="left" vertical="center"/>
    </xf>
    <xf numFmtId="49" fontId="27" fillId="0" borderId="1" xfId="1" applyNumberFormat="1" applyFont="1" applyBorder="1" applyAlignment="1">
      <alignment horizontal="center"/>
    </xf>
    <xf numFmtId="0" fontId="19" fillId="0" borderId="23" xfId="1" applyFont="1" applyBorder="1" applyAlignment="1">
      <alignment horizontal="left" vertical="center"/>
    </xf>
    <xf numFmtId="49" fontId="28" fillId="0" borderId="0" xfId="1" applyNumberFormat="1" applyFont="1" applyAlignment="1">
      <alignment horizontal="left" vertical="center"/>
    </xf>
    <xf numFmtId="0" fontId="28" fillId="0" borderId="0" xfId="1" applyFont="1" applyAlignment="1">
      <alignment horizontal="left" vertical="center"/>
    </xf>
    <xf numFmtId="49" fontId="29" fillId="2" borderId="0" xfId="1" applyNumberFormat="1" applyFont="1" applyFill="1" applyAlignment="1">
      <alignment horizontal="left" vertical="center"/>
    </xf>
    <xf numFmtId="0" fontId="29" fillId="2" borderId="0" xfId="1" applyFont="1" applyFill="1" applyAlignment="1">
      <alignment horizontal="left" vertical="center"/>
    </xf>
    <xf numFmtId="49" fontId="28" fillId="0" borderId="1" xfId="1" applyNumberFormat="1" applyFont="1" applyBorder="1" applyAlignment="1">
      <alignment horizontal="left" vertical="center"/>
    </xf>
    <xf numFmtId="0" fontId="28" fillId="0" borderId="1" xfId="1" applyFont="1" applyBorder="1" applyAlignment="1">
      <alignment horizontal="left" vertical="center"/>
    </xf>
    <xf numFmtId="49" fontId="26" fillId="0" borderId="8" xfId="1" applyNumberFormat="1" applyFont="1" applyBorder="1" applyAlignment="1">
      <alignment horizontal="left" vertical="center"/>
    </xf>
    <xf numFmtId="49" fontId="31" fillId="0" borderId="0" xfId="1" applyNumberFormat="1" applyFont="1" applyAlignment="1">
      <alignment horizontal="left" vertical="center"/>
    </xf>
    <xf numFmtId="0" fontId="31" fillId="0" borderId="0" xfId="1" applyFont="1" applyAlignment="1">
      <alignment horizontal="left" vertical="center"/>
    </xf>
    <xf numFmtId="49" fontId="26" fillId="0" borderId="12" xfId="1" applyNumberFormat="1" applyFont="1" applyBorder="1" applyAlignment="1">
      <alignment horizontal="left" vertical="center"/>
    </xf>
    <xf numFmtId="0" fontId="26" fillId="0" borderId="7" xfId="1" applyFont="1" applyBorder="1" applyAlignment="1">
      <alignment horizontal="left" vertical="center"/>
    </xf>
    <xf numFmtId="0" fontId="26" fillId="0" borderId="13" xfId="1" applyFont="1" applyBorder="1" applyAlignment="1">
      <alignment horizontal="left" vertical="center"/>
    </xf>
    <xf numFmtId="49" fontId="26" fillId="0" borderId="17" xfId="1" applyNumberFormat="1" applyFont="1" applyBorder="1" applyAlignment="1">
      <alignment horizontal="center" vertical="center"/>
    </xf>
    <xf numFmtId="0" fontId="26" fillId="0" borderId="19" xfId="1" applyFont="1" applyBorder="1" applyAlignment="1">
      <alignment horizontal="center" vertical="center"/>
    </xf>
    <xf numFmtId="0" fontId="26" fillId="0" borderId="21" xfId="1" applyFont="1" applyBorder="1" applyAlignment="1">
      <alignment horizontal="center" vertical="center"/>
    </xf>
    <xf numFmtId="49" fontId="26" fillId="0" borderId="4" xfId="1" applyNumberFormat="1" applyFont="1" applyBorder="1" applyAlignment="1">
      <alignment horizontal="left" vertical="center"/>
    </xf>
    <xf numFmtId="0" fontId="26" fillId="0" borderId="9" xfId="1" applyFont="1" applyBorder="1" applyAlignment="1">
      <alignment horizontal="left" vertical="center"/>
    </xf>
    <xf numFmtId="0" fontId="26" fillId="0" borderId="14" xfId="1" applyFont="1" applyBorder="1" applyAlignment="1">
      <alignment horizontal="left" vertical="center"/>
    </xf>
    <xf numFmtId="49" fontId="29" fillId="2" borderId="7" xfId="1" applyNumberFormat="1" applyFont="1" applyFill="1" applyBorder="1" applyAlignment="1">
      <alignment horizontal="left" vertical="center"/>
    </xf>
    <xf numFmtId="0" fontId="29" fillId="2" borderId="7" xfId="1" applyFont="1" applyFill="1" applyBorder="1" applyAlignment="1">
      <alignment horizontal="left" vertical="center"/>
    </xf>
    <xf numFmtId="49" fontId="19" fillId="4" borderId="0" xfId="1" applyNumberFormat="1" applyFont="1" applyFill="1" applyAlignment="1" applyProtection="1">
      <alignment horizontal="left" vertical="center"/>
      <protection locked="0"/>
    </xf>
    <xf numFmtId="0" fontId="19" fillId="4" borderId="0" xfId="1" applyFont="1" applyFill="1" applyAlignment="1" applyProtection="1">
      <alignment horizontal="left" vertical="center"/>
      <protection locked="0"/>
    </xf>
    <xf numFmtId="0" fontId="19" fillId="4" borderId="24" xfId="1" applyFont="1" applyFill="1" applyBorder="1" applyAlignment="1" applyProtection="1">
      <alignment horizontal="left" vertical="center"/>
      <protection locked="0"/>
    </xf>
    <xf numFmtId="49" fontId="19" fillId="0" borderId="8" xfId="1" applyNumberFormat="1" applyFont="1" applyBorder="1" applyAlignment="1">
      <alignment horizontal="left" vertical="center"/>
    </xf>
    <xf numFmtId="49" fontId="19" fillId="4" borderId="8" xfId="1" applyNumberFormat="1" applyFont="1" applyFill="1" applyBorder="1" applyAlignment="1" applyProtection="1">
      <alignment horizontal="left" vertical="center"/>
      <protection locked="0"/>
    </xf>
    <xf numFmtId="0" fontId="19" fillId="4" borderId="8" xfId="1" applyFont="1" applyFill="1" applyBorder="1" applyAlignment="1" applyProtection="1">
      <alignment horizontal="left" vertical="center"/>
      <protection locked="0"/>
    </xf>
    <xf numFmtId="0" fontId="19" fillId="4" borderId="23" xfId="1" applyFont="1" applyFill="1" applyBorder="1" applyAlignment="1" applyProtection="1">
      <alignment horizontal="left" vertical="center"/>
      <protection locked="0"/>
    </xf>
    <xf numFmtId="0" fontId="19" fillId="4" borderId="0" xfId="1" applyFont="1" applyFill="1" applyAlignment="1" applyProtection="1">
      <alignment horizontal="left" vertical="center" wrapText="1"/>
      <protection locked="0"/>
    </xf>
    <xf numFmtId="0" fontId="19" fillId="4" borderId="9" xfId="1" applyFont="1" applyFill="1" applyBorder="1" applyAlignment="1" applyProtection="1">
      <alignment horizontal="left" vertical="center"/>
      <protection locked="0"/>
    </xf>
    <xf numFmtId="0" fontId="19" fillId="4" borderId="14" xfId="1" applyFont="1" applyFill="1" applyBorder="1" applyAlignment="1" applyProtection="1">
      <alignment horizontal="left" vertical="center"/>
      <protection locked="0"/>
    </xf>
    <xf numFmtId="49" fontId="34" fillId="0" borderId="0" xfId="1" applyNumberFormat="1" applyFont="1" applyAlignment="1">
      <alignment horizontal="left" vertical="center"/>
    </xf>
    <xf numFmtId="0" fontId="34" fillId="0" borderId="0" xfId="1" applyFont="1" applyAlignment="1">
      <alignment horizontal="left" vertical="center"/>
    </xf>
    <xf numFmtId="49" fontId="35" fillId="0" borderId="0" xfId="1" applyNumberFormat="1" applyFont="1" applyAlignment="1">
      <alignment horizontal="left" vertical="center"/>
    </xf>
    <xf numFmtId="0" fontId="35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 wrapText="1"/>
    </xf>
    <xf numFmtId="0" fontId="10" fillId="0" borderId="0" xfId="1" applyFont="1" applyAlignment="1">
      <alignment horizontal="left" vertical="center" wrapText="1"/>
    </xf>
    <xf numFmtId="0" fontId="1" fillId="4" borderId="0" xfId="1" applyFont="1" applyFill="1" applyAlignment="1" applyProtection="1">
      <alignment horizontal="left" vertical="center" wrapText="1"/>
      <protection locked="0"/>
    </xf>
    <xf numFmtId="49" fontId="5" fillId="0" borderId="0" xfId="1" applyNumberFormat="1" applyFont="1" applyAlignment="1">
      <alignment horizontal="left" vertical="center"/>
    </xf>
    <xf numFmtId="49" fontId="1" fillId="4" borderId="0" xfId="1" applyNumberFormat="1" applyFont="1" applyFill="1" applyAlignment="1" applyProtection="1">
      <alignment horizontal="left" vertical="center"/>
      <protection locked="0"/>
    </xf>
  </cellXfs>
  <cellStyles count="2">
    <cellStyle name="Normální" xfId="0" builtinId="0"/>
    <cellStyle name="Normální 2" xfId="1" xr:uid="{3F6F103F-48F8-47C3-A41F-1C78CA23AE4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000000"/>
      <rgbColor rgb="00000000"/>
      <rgbColor rgb="00DBDBDB"/>
      <rgbColor rgb="00000000"/>
      <rgbColor rgb="00C0C0C0"/>
      <rgbColor rgb="00000000"/>
      <rgbColor rgb="00C0C0C0"/>
      <rgbColor rgb="00000000"/>
      <rgbColor rgb="00000000"/>
      <rgbColor rgb="00000000"/>
      <rgbColor rgb="00000000"/>
      <rgbColor rgb="00000000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5C1B0-159D-4D9A-8CFD-5DE4BD918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23F1A-AAA3-4638-961D-66998B773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1A07B-AC79-45A1-8625-70BFA85E9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AAD470-BDAD-40F3-96DC-64C679A7E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FECD9-F341-4604-A7E8-BC5CC03E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0744FA-8BC6-4A51-B27B-19E4AFDAD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E9B5C-ADC7-43DF-88FD-68B3C291D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9CB69-F6A0-46DB-971A-9A27B139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77D95-7349-44C0-990E-4532B194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140DC-509F-49EE-8178-BB5E65BCD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67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A18B0-28FD-4AA7-8C81-3CC3BE7B1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AF9C7-233F-419C-A62A-12C72A85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38D6C-2ABC-46AA-91B2-73AFE92F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15CEF-BF62-4A84-BC31-847E41EF1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C2DE62-E2D1-4B87-9877-8D222A8E1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058461-0A27-4D34-8985-43697E9E3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21A41-7D89-4B98-B40A-0955B2C73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A2411-A170-41C3-9584-E7A914245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4A8A8-95C2-457B-9791-0291A1132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EBD08-9887-4F15-A4C2-51C8F7F13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048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681C9-54F0-430A-BFD8-8105E64E5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5420A4-3B6D-42EB-8665-DD738E55B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76AF73-F31D-445B-ADD4-C1D2E0BFB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273EF8-AE6C-4410-86BE-A02A20BB8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5DF8F-70F2-4E4B-8064-B32B379EE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6D199-875B-4D91-9133-892F58052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1DF85-A51B-4086-8307-27EEC4F0C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180975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6592D-97AA-44F9-98D5-1C4E7AD95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40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E64C9-F374-4EEA-81EB-75B6BD3E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866775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EE2F6-7A44-4F36-9380-E3C3CFC69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152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657225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73472-92B9-4FDB-BCB9-C952F4A98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87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8176D-E37F-4DE7-AD4B-750FE640D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285750</xdr:colOff>
      <xdr:row>0</xdr:row>
      <xdr:rowOff>885825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04E4F-927A-4953-BC66-EBCE615D7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72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7"/>
  <sheetViews>
    <sheetView tabSelected="1" workbookViewId="0">
      <selection activeCell="B1" sqref="B1"/>
    </sheetView>
  </sheetViews>
  <sheetFormatPr defaultColWidth="11.5703125" defaultRowHeight="12.75" x14ac:dyDescent="0.2"/>
  <cols>
    <col min="1" max="1" width="9.140625" customWidth="1"/>
    <col min="2" max="2" width="12.85546875" customWidth="1"/>
    <col min="3" max="3" width="22.85546875" customWidth="1"/>
    <col min="4" max="4" width="10" customWidth="1"/>
    <col min="5" max="5" width="14" customWidth="1"/>
    <col min="6" max="6" width="22.85546875" customWidth="1"/>
    <col min="7" max="7" width="9.140625" customWidth="1"/>
    <col min="8" max="8" width="12.85546875" customWidth="1"/>
    <col min="9" max="9" width="22.85546875" customWidth="1"/>
  </cols>
  <sheetData>
    <row r="1" spans="1:10" ht="72.95" customHeight="1" x14ac:dyDescent="0.2">
      <c r="A1" s="67"/>
      <c r="B1" s="50"/>
      <c r="C1" s="173" t="s">
        <v>1895</v>
      </c>
      <c r="D1" s="174"/>
      <c r="E1" s="174"/>
      <c r="F1" s="174"/>
      <c r="G1" s="174"/>
      <c r="H1" s="174"/>
      <c r="I1" s="174"/>
    </row>
    <row r="2" spans="1:10" x14ac:dyDescent="0.2">
      <c r="A2" s="175" t="s">
        <v>1</v>
      </c>
      <c r="B2" s="176"/>
      <c r="C2" s="179" t="str">
        <f>'Stavební rozpočet-SO01'!C2</f>
        <v>Snížení energetické.náročnosti objektů Domova Kladno-Švermov</v>
      </c>
      <c r="D2" s="180"/>
      <c r="E2" s="182" t="s">
        <v>1657</v>
      </c>
      <c r="F2" s="182" t="str">
        <f>'Stavební rozpočet-SO01'!I2</f>
        <v> </v>
      </c>
      <c r="G2" s="176"/>
      <c r="H2" s="182" t="s">
        <v>1919</v>
      </c>
      <c r="I2" s="183"/>
      <c r="J2" s="32"/>
    </row>
    <row r="3" spans="1:10" x14ac:dyDescent="0.2">
      <c r="A3" s="177"/>
      <c r="B3" s="178"/>
      <c r="C3" s="181"/>
      <c r="D3" s="181"/>
      <c r="E3" s="178"/>
      <c r="F3" s="178"/>
      <c r="G3" s="178"/>
      <c r="H3" s="178"/>
      <c r="I3" s="184"/>
      <c r="J3" s="32"/>
    </row>
    <row r="4" spans="1:10" x14ac:dyDescent="0.2">
      <c r="A4" s="186" t="s">
        <v>2</v>
      </c>
      <c r="B4" s="178"/>
      <c r="C4" s="187" t="str">
        <f>'Stavební rozpočet-SO01'!C4</f>
        <v>SO 01 - OBJEKT 1 - č.p.1454</v>
      </c>
      <c r="D4" s="178"/>
      <c r="E4" s="187" t="s">
        <v>1658</v>
      </c>
      <c r="F4" s="187" t="str">
        <f>'Stavební rozpočet-SO01'!I4</f>
        <v> </v>
      </c>
      <c r="G4" s="178"/>
      <c r="H4" s="187" t="s">
        <v>1919</v>
      </c>
      <c r="I4" s="185"/>
      <c r="J4" s="32"/>
    </row>
    <row r="5" spans="1:10" x14ac:dyDescent="0.2">
      <c r="A5" s="177"/>
      <c r="B5" s="178"/>
      <c r="C5" s="178"/>
      <c r="D5" s="178"/>
      <c r="E5" s="178"/>
      <c r="F5" s="178"/>
      <c r="G5" s="178"/>
      <c r="H5" s="178"/>
      <c r="I5" s="184"/>
      <c r="J5" s="32"/>
    </row>
    <row r="6" spans="1:10" x14ac:dyDescent="0.2">
      <c r="A6" s="186" t="s">
        <v>3</v>
      </c>
      <c r="B6" s="178"/>
      <c r="C6" s="187" t="str">
        <f>'Stavební rozpočet-SO01'!C6</f>
        <v xml:space="preserve"> </v>
      </c>
      <c r="D6" s="178"/>
      <c r="E6" s="187" t="s">
        <v>1659</v>
      </c>
      <c r="F6" s="187" t="str">
        <f>'Stavební rozpočet-SO01'!I6</f>
        <v> </v>
      </c>
      <c r="G6" s="178"/>
      <c r="H6" s="187" t="s">
        <v>1919</v>
      </c>
      <c r="I6" s="185"/>
      <c r="J6" s="32"/>
    </row>
    <row r="7" spans="1:10" x14ac:dyDescent="0.2">
      <c r="A7" s="177"/>
      <c r="B7" s="178"/>
      <c r="C7" s="178"/>
      <c r="D7" s="178"/>
      <c r="E7" s="178"/>
      <c r="F7" s="178"/>
      <c r="G7" s="178"/>
      <c r="H7" s="178"/>
      <c r="I7" s="184"/>
      <c r="J7" s="32"/>
    </row>
    <row r="8" spans="1:10" x14ac:dyDescent="0.2">
      <c r="A8" s="186" t="s">
        <v>1640</v>
      </c>
      <c r="B8" s="178"/>
      <c r="C8" s="187"/>
      <c r="D8" s="178"/>
      <c r="E8" s="187" t="s">
        <v>1641</v>
      </c>
      <c r="F8" s="187"/>
      <c r="G8" s="178"/>
      <c r="H8" s="190" t="s">
        <v>1920</v>
      </c>
      <c r="I8" s="185" t="s">
        <v>568</v>
      </c>
      <c r="J8" s="32"/>
    </row>
    <row r="9" spans="1:10" x14ac:dyDescent="0.2">
      <c r="A9" s="177"/>
      <c r="B9" s="178"/>
      <c r="C9" s="178"/>
      <c r="D9" s="178"/>
      <c r="E9" s="178"/>
      <c r="F9" s="178"/>
      <c r="G9" s="178"/>
      <c r="H9" s="178"/>
      <c r="I9" s="184"/>
      <c r="J9" s="32"/>
    </row>
    <row r="10" spans="1:10" x14ac:dyDescent="0.2">
      <c r="A10" s="186" t="s">
        <v>4</v>
      </c>
      <c r="B10" s="178"/>
      <c r="C10" s="187" t="str">
        <f>'Stavební rozpočet-SO01'!C8</f>
        <v xml:space="preserve"> </v>
      </c>
      <c r="D10" s="178"/>
      <c r="E10" s="187" t="s">
        <v>1660</v>
      </c>
      <c r="F10" s="187" t="str">
        <f>'Stavební rozpočet-SO01'!I8</f>
        <v> </v>
      </c>
      <c r="G10" s="178"/>
      <c r="H10" s="190" t="s">
        <v>1921</v>
      </c>
      <c r="I10" s="188"/>
      <c r="J10" s="32"/>
    </row>
    <row r="11" spans="1:10" x14ac:dyDescent="0.2">
      <c r="A11" s="191"/>
      <c r="B11" s="192"/>
      <c r="C11" s="192"/>
      <c r="D11" s="192"/>
      <c r="E11" s="192"/>
      <c r="F11" s="192"/>
      <c r="G11" s="192"/>
      <c r="H11" s="192"/>
      <c r="I11" s="189"/>
      <c r="J11" s="32"/>
    </row>
    <row r="12" spans="1:10" ht="23.45" customHeight="1" x14ac:dyDescent="0.2">
      <c r="A12" s="193" t="s">
        <v>1881</v>
      </c>
      <c r="B12" s="194"/>
      <c r="C12" s="194"/>
      <c r="D12" s="194"/>
      <c r="E12" s="194"/>
      <c r="F12" s="194"/>
      <c r="G12" s="194"/>
      <c r="H12" s="194"/>
      <c r="I12" s="194"/>
    </row>
    <row r="13" spans="1:10" ht="26.45" customHeight="1" x14ac:dyDescent="0.2">
      <c r="A13" s="51" t="s">
        <v>1882</v>
      </c>
      <c r="B13" s="195" t="s">
        <v>1893</v>
      </c>
      <c r="C13" s="196"/>
      <c r="D13" s="51" t="s">
        <v>1896</v>
      </c>
      <c r="E13" s="195" t="s">
        <v>1905</v>
      </c>
      <c r="F13" s="196"/>
      <c r="G13" s="51" t="s">
        <v>1906</v>
      </c>
      <c r="H13" s="195" t="s">
        <v>1922</v>
      </c>
      <c r="I13" s="196"/>
      <c r="J13" s="32"/>
    </row>
    <row r="14" spans="1:10" ht="15.2" customHeight="1" x14ac:dyDescent="0.2">
      <c r="A14" s="52" t="s">
        <v>1883</v>
      </c>
      <c r="B14" s="56" t="s">
        <v>1894</v>
      </c>
      <c r="C14" s="60">
        <f>SUM('Stavební rozpočet-SO01'!AB12:AB620)</f>
        <v>0</v>
      </c>
      <c r="D14" s="197" t="s">
        <v>1897</v>
      </c>
      <c r="E14" s="198"/>
      <c r="F14" s="60">
        <v>0</v>
      </c>
      <c r="G14" s="197" t="s">
        <v>1633</v>
      </c>
      <c r="H14" s="198"/>
      <c r="I14" s="60">
        <v>0</v>
      </c>
      <c r="J14" s="32"/>
    </row>
    <row r="15" spans="1:10" ht="15.2" customHeight="1" x14ac:dyDescent="0.2">
      <c r="A15" s="53"/>
      <c r="B15" s="56" t="s">
        <v>1667</v>
      </c>
      <c r="C15" s="60">
        <f>SUM('Stavební rozpočet-SO01'!AC12:AC620)</f>
        <v>0</v>
      </c>
      <c r="D15" s="197" t="s">
        <v>1898</v>
      </c>
      <c r="E15" s="198"/>
      <c r="F15" s="60">
        <v>0</v>
      </c>
      <c r="G15" s="197" t="s">
        <v>1907</v>
      </c>
      <c r="H15" s="198"/>
      <c r="I15" s="60">
        <v>0</v>
      </c>
      <c r="J15" s="32"/>
    </row>
    <row r="16" spans="1:10" ht="15.2" customHeight="1" x14ac:dyDescent="0.2">
      <c r="A16" s="52" t="s">
        <v>1884</v>
      </c>
      <c r="B16" s="56" t="s">
        <v>1894</v>
      </c>
      <c r="C16" s="60">
        <f>SUM('Stavební rozpočet-SO01'!AD12:AD620)</f>
        <v>0</v>
      </c>
      <c r="D16" s="197" t="s">
        <v>1899</v>
      </c>
      <c r="E16" s="198"/>
      <c r="F16" s="60">
        <v>0</v>
      </c>
      <c r="G16" s="197" t="s">
        <v>1908</v>
      </c>
      <c r="H16" s="198"/>
      <c r="I16" s="60">
        <v>0</v>
      </c>
      <c r="J16" s="32"/>
    </row>
    <row r="17" spans="1:10" ht="15.2" customHeight="1" x14ac:dyDescent="0.2">
      <c r="A17" s="53"/>
      <c r="B17" s="56" t="s">
        <v>1667</v>
      </c>
      <c r="C17" s="60">
        <f>SUM('Stavební rozpočet-SO01'!AE12:AE620)</f>
        <v>0</v>
      </c>
      <c r="D17" s="197" t="s">
        <v>1900</v>
      </c>
      <c r="E17" s="198"/>
      <c r="F17" s="60">
        <v>0</v>
      </c>
      <c r="G17" s="197" t="s">
        <v>1909</v>
      </c>
      <c r="H17" s="198"/>
      <c r="I17" s="60">
        <v>0</v>
      </c>
      <c r="J17" s="32"/>
    </row>
    <row r="18" spans="1:10" ht="15.2" customHeight="1" x14ac:dyDescent="0.2">
      <c r="A18" s="52" t="s">
        <v>1885</v>
      </c>
      <c r="B18" s="56" t="s">
        <v>1894</v>
      </c>
      <c r="C18" s="60">
        <f>SUM('Stavební rozpočet-SO01'!AF12:AF620)</f>
        <v>0</v>
      </c>
      <c r="D18" s="197"/>
      <c r="E18" s="198"/>
      <c r="F18" s="61"/>
      <c r="G18" s="197" t="s">
        <v>1910</v>
      </c>
      <c r="H18" s="198"/>
      <c r="I18" s="60">
        <v>0</v>
      </c>
      <c r="J18" s="32"/>
    </row>
    <row r="19" spans="1:10" ht="15.2" customHeight="1" x14ac:dyDescent="0.2">
      <c r="A19" s="53"/>
      <c r="B19" s="56" t="s">
        <v>1667</v>
      </c>
      <c r="C19" s="60">
        <f>SUM('Stavební rozpočet-SO01'!AG12:AG620)</f>
        <v>0</v>
      </c>
      <c r="D19" s="197"/>
      <c r="E19" s="198"/>
      <c r="F19" s="61"/>
      <c r="G19" s="197" t="s">
        <v>1911</v>
      </c>
      <c r="H19" s="198"/>
      <c r="I19" s="60">
        <v>0</v>
      </c>
      <c r="J19" s="32"/>
    </row>
    <row r="20" spans="1:10" ht="15.2" customHeight="1" x14ac:dyDescent="0.2">
      <c r="A20" s="199" t="s">
        <v>1886</v>
      </c>
      <c r="B20" s="200"/>
      <c r="C20" s="60">
        <f>SUM('Stavební rozpočet-SO01'!AH12:AH620)</f>
        <v>0</v>
      </c>
      <c r="D20" s="197"/>
      <c r="E20" s="198"/>
      <c r="F20" s="61"/>
      <c r="G20" s="197"/>
      <c r="H20" s="198"/>
      <c r="I20" s="61"/>
      <c r="J20" s="32"/>
    </row>
    <row r="21" spans="1:10" ht="15.2" customHeight="1" x14ac:dyDescent="0.2">
      <c r="A21" s="199" t="s">
        <v>1887</v>
      </c>
      <c r="B21" s="200"/>
      <c r="C21" s="60">
        <f>SUM('Stavební rozpočet-SO01'!Z12:Z620)</f>
        <v>0</v>
      </c>
      <c r="D21" s="197"/>
      <c r="E21" s="198"/>
      <c r="F21" s="61"/>
      <c r="G21" s="197"/>
      <c r="H21" s="198"/>
      <c r="I21" s="61"/>
      <c r="J21" s="32"/>
    </row>
    <row r="22" spans="1:10" ht="16.7" customHeight="1" x14ac:dyDescent="0.2">
      <c r="A22" s="199" t="s">
        <v>1888</v>
      </c>
      <c r="B22" s="200"/>
      <c r="C22" s="60">
        <f>SUM(C14:C21)</f>
        <v>0</v>
      </c>
      <c r="D22" s="199" t="s">
        <v>1901</v>
      </c>
      <c r="E22" s="200"/>
      <c r="F22" s="60">
        <f>SUM(F14:F21)</f>
        <v>0</v>
      </c>
      <c r="G22" s="199" t="s">
        <v>1912</v>
      </c>
      <c r="H22" s="200"/>
      <c r="I22" s="60">
        <f>SUM(I14:I21)</f>
        <v>0</v>
      </c>
      <c r="J22" s="32"/>
    </row>
    <row r="23" spans="1:10" ht="15.2" customHeight="1" x14ac:dyDescent="0.2">
      <c r="A23" s="8"/>
      <c r="B23" s="8"/>
      <c r="C23" s="58"/>
      <c r="D23" s="199" t="s">
        <v>1902</v>
      </c>
      <c r="E23" s="200"/>
      <c r="F23" s="62">
        <v>0</v>
      </c>
      <c r="G23" s="199" t="s">
        <v>1913</v>
      </c>
      <c r="H23" s="200"/>
      <c r="I23" s="60">
        <v>0</v>
      </c>
      <c r="J23" s="32"/>
    </row>
    <row r="24" spans="1:10" ht="15.2" customHeight="1" x14ac:dyDescent="0.2">
      <c r="D24" s="8"/>
      <c r="E24" s="8"/>
      <c r="F24" s="63"/>
      <c r="G24" s="199" t="s">
        <v>1914</v>
      </c>
      <c r="H24" s="200"/>
      <c r="I24" s="65"/>
    </row>
    <row r="25" spans="1:10" ht="15.2" customHeight="1" x14ac:dyDescent="0.2">
      <c r="F25" s="64"/>
      <c r="G25" s="199" t="s">
        <v>1915</v>
      </c>
      <c r="H25" s="200"/>
      <c r="I25" s="60">
        <v>0</v>
      </c>
      <c r="J25" s="32"/>
    </row>
    <row r="26" spans="1:10" x14ac:dyDescent="0.2">
      <c r="A26" s="50"/>
      <c r="B26" s="50"/>
      <c r="C26" s="50"/>
      <c r="G26" s="8"/>
      <c r="H26" s="8"/>
      <c r="I26" s="8"/>
    </row>
    <row r="27" spans="1:10" ht="15.2" customHeight="1" x14ac:dyDescent="0.2">
      <c r="A27" s="201" t="s">
        <v>1889</v>
      </c>
      <c r="B27" s="202"/>
      <c r="C27" s="66">
        <f>SUM('Stavební rozpočet-SO01'!AJ12:AJ620)</f>
        <v>0</v>
      </c>
      <c r="D27" s="59"/>
      <c r="E27" s="50"/>
      <c r="F27" s="50"/>
      <c r="G27" s="50"/>
      <c r="H27" s="50"/>
      <c r="I27" s="50"/>
    </row>
    <row r="28" spans="1:10" ht="15.2" customHeight="1" x14ac:dyDescent="0.2">
      <c r="A28" s="201" t="s">
        <v>4657</v>
      </c>
      <c r="B28" s="202"/>
      <c r="C28" s="66">
        <f>SUM('Stavební rozpočet-SO01'!AK12:AK620)+(F22+I22+F23+I23+I24+I25)</f>
        <v>0</v>
      </c>
      <c r="D28" s="201" t="s">
        <v>4658</v>
      </c>
      <c r="E28" s="202"/>
      <c r="F28" s="66">
        <f>ROUND(C28*(12/100),2)</f>
        <v>0</v>
      </c>
      <c r="G28" s="201" t="s">
        <v>1916</v>
      </c>
      <c r="H28" s="202"/>
      <c r="I28" s="66">
        <f>SUM(C27:C29)</f>
        <v>0</v>
      </c>
      <c r="J28" s="32"/>
    </row>
    <row r="29" spans="1:10" ht="15.2" customHeight="1" x14ac:dyDescent="0.2">
      <c r="A29" s="201" t="s">
        <v>1890</v>
      </c>
      <c r="B29" s="202"/>
      <c r="C29" s="66">
        <f>SUM('Stavební rozpočet-SO01'!AL12:AL620)</f>
        <v>0</v>
      </c>
      <c r="D29" s="201" t="s">
        <v>1903</v>
      </c>
      <c r="E29" s="202"/>
      <c r="F29" s="66">
        <f>ROUND(C29*(21/100),2)</f>
        <v>0</v>
      </c>
      <c r="G29" s="201" t="s">
        <v>1917</v>
      </c>
      <c r="H29" s="202"/>
      <c r="I29" s="66">
        <f>SUM(F28:F29)+I28</f>
        <v>0</v>
      </c>
      <c r="J29" s="32"/>
    </row>
    <row r="30" spans="1:10" x14ac:dyDescent="0.2">
      <c r="A30" s="54"/>
      <c r="B30" s="54"/>
      <c r="C30" s="54"/>
      <c r="D30" s="54"/>
      <c r="E30" s="54"/>
      <c r="F30" s="54"/>
      <c r="G30" s="54"/>
      <c r="H30" s="54"/>
      <c r="I30" s="54"/>
    </row>
    <row r="31" spans="1:10" ht="14.45" customHeight="1" x14ac:dyDescent="0.2">
      <c r="A31" s="203" t="s">
        <v>1891</v>
      </c>
      <c r="B31" s="204"/>
      <c r="C31" s="205"/>
      <c r="D31" s="203" t="s">
        <v>1904</v>
      </c>
      <c r="E31" s="204"/>
      <c r="F31" s="205"/>
      <c r="G31" s="203" t="s">
        <v>1918</v>
      </c>
      <c r="H31" s="204"/>
      <c r="I31" s="205"/>
      <c r="J31" s="33"/>
    </row>
    <row r="32" spans="1:10" ht="14.45" customHeight="1" x14ac:dyDescent="0.2">
      <c r="A32" s="206"/>
      <c r="B32" s="207"/>
      <c r="C32" s="208"/>
      <c r="D32" s="206"/>
      <c r="E32" s="207"/>
      <c r="F32" s="208"/>
      <c r="G32" s="206"/>
      <c r="H32" s="207"/>
      <c r="I32" s="208"/>
      <c r="J32" s="33"/>
    </row>
    <row r="33" spans="1:10" ht="14.45" customHeight="1" x14ac:dyDescent="0.2">
      <c r="A33" s="206"/>
      <c r="B33" s="207"/>
      <c r="C33" s="208"/>
      <c r="D33" s="206"/>
      <c r="E33" s="207"/>
      <c r="F33" s="208"/>
      <c r="G33" s="206"/>
      <c r="H33" s="207"/>
      <c r="I33" s="208"/>
      <c r="J33" s="33"/>
    </row>
    <row r="34" spans="1:10" ht="14.45" customHeight="1" x14ac:dyDescent="0.2">
      <c r="A34" s="206"/>
      <c r="B34" s="207"/>
      <c r="C34" s="208"/>
      <c r="D34" s="206"/>
      <c r="E34" s="207"/>
      <c r="F34" s="208"/>
      <c r="G34" s="206"/>
      <c r="H34" s="207"/>
      <c r="I34" s="208"/>
      <c r="J34" s="33"/>
    </row>
    <row r="35" spans="1:10" ht="14.45" customHeight="1" x14ac:dyDescent="0.2">
      <c r="A35" s="209" t="s">
        <v>1892</v>
      </c>
      <c r="B35" s="210"/>
      <c r="C35" s="211"/>
      <c r="D35" s="209" t="s">
        <v>1892</v>
      </c>
      <c r="E35" s="210"/>
      <c r="F35" s="211"/>
      <c r="G35" s="209" t="s">
        <v>1892</v>
      </c>
      <c r="H35" s="210"/>
      <c r="I35" s="211"/>
      <c r="J35" s="33"/>
    </row>
    <row r="36" spans="1:10" ht="11.25" customHeight="1" x14ac:dyDescent="0.2">
      <c r="A36" s="55" t="s">
        <v>569</v>
      </c>
      <c r="B36" s="57"/>
      <c r="C36" s="57"/>
      <c r="D36" s="57"/>
      <c r="E36" s="57"/>
      <c r="F36" s="57"/>
      <c r="G36" s="57"/>
      <c r="H36" s="57"/>
      <c r="I36" s="57"/>
    </row>
    <row r="37" spans="1:10" x14ac:dyDescent="0.2">
      <c r="A37" s="187"/>
      <c r="B37" s="178"/>
      <c r="C37" s="178"/>
      <c r="D37" s="178"/>
      <c r="E37" s="178"/>
      <c r="F37" s="178"/>
      <c r="G37" s="178"/>
      <c r="H37" s="178"/>
      <c r="I37" s="178"/>
    </row>
  </sheetData>
  <sheetProtection algorithmName="SHA-512" hashValue="SpWPFJEqNcVA1nlFA3q9sabSGFhYFQ67M3gwACAkQyFJGUlpugyTV+hyqUtlVWRgqZavEJR0fj/Sr2rKKaJ02Q==" saltValue="f7JFFR/6SPETl347LsFFnQ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G25:H25"/>
    <mergeCell ref="A27:B27"/>
    <mergeCell ref="D18:E18"/>
    <mergeCell ref="G18:H18"/>
    <mergeCell ref="D19:E19"/>
    <mergeCell ref="G19:H19"/>
    <mergeCell ref="A20:B20"/>
    <mergeCell ref="D20:E20"/>
    <mergeCell ref="G20:H20"/>
    <mergeCell ref="D15:E15"/>
    <mergeCell ref="G15:H15"/>
    <mergeCell ref="D16:E16"/>
    <mergeCell ref="G16:H16"/>
    <mergeCell ref="D17:E17"/>
    <mergeCell ref="G17:H17"/>
    <mergeCell ref="A12:I12"/>
    <mergeCell ref="B13:C13"/>
    <mergeCell ref="E13:F13"/>
    <mergeCell ref="H13:I13"/>
    <mergeCell ref="D14:E14"/>
    <mergeCell ref="G14:H14"/>
    <mergeCell ref="I10:I11"/>
    <mergeCell ref="A8:B9"/>
    <mergeCell ref="C8:D9"/>
    <mergeCell ref="E8:E9"/>
    <mergeCell ref="F8:G9"/>
    <mergeCell ref="H8:H9"/>
    <mergeCell ref="I8:I9"/>
    <mergeCell ref="A10:B11"/>
    <mergeCell ref="C10:D11"/>
    <mergeCell ref="E10:E11"/>
    <mergeCell ref="F10:G11"/>
    <mergeCell ref="H10:H11"/>
    <mergeCell ref="I6:I7"/>
    <mergeCell ref="A4:B5"/>
    <mergeCell ref="C4:D5"/>
    <mergeCell ref="E4:E5"/>
    <mergeCell ref="F4:G5"/>
    <mergeCell ref="H4:H5"/>
    <mergeCell ref="I4:I5"/>
    <mergeCell ref="A6:B7"/>
    <mergeCell ref="C6:D7"/>
    <mergeCell ref="E6:E7"/>
    <mergeCell ref="F6:G7"/>
    <mergeCell ref="H6:H7"/>
    <mergeCell ref="C1:I1"/>
    <mergeCell ref="A2:B3"/>
    <mergeCell ref="C2:D3"/>
    <mergeCell ref="E2:E3"/>
    <mergeCell ref="F2:G3"/>
    <mergeCell ref="H2:H3"/>
    <mergeCell ref="I2:I3"/>
  </mergeCells>
  <pageMargins left="0.39400000000000002" right="0.39400000000000002" top="0.59099999999999997" bottom="0.59099999999999997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C274A-F7AA-4C12-99C9-9F8E043889D3}">
  <sheetPr>
    <pageSetUpPr fitToPage="1"/>
  </sheetPr>
  <dimension ref="A1:I55"/>
  <sheetViews>
    <sheetView workbookViewId="0">
      <pane ySplit="10" topLeftCell="A11" activePane="bottomLeft" state="frozenSplit"/>
      <selection pane="bottomLeft" activeCell="K32" sqref="K32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rozpočet-SO03'!C2</f>
        <v>Snížení energetické.náročnosti objektů Domova Kladno-Švermov</v>
      </c>
      <c r="C2" s="291"/>
      <c r="D2" s="293" t="s">
        <v>1657</v>
      </c>
      <c r="E2" s="293" t="str">
        <f>'Stavební rozpočet-SO03'!I2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rozpočet-SO03'!C4</f>
        <v>SO 03 - OBJEKT 3 - č.p.1472</v>
      </c>
      <c r="C4" s="256"/>
      <c r="D4" s="255" t="s">
        <v>1658</v>
      </c>
      <c r="E4" s="255" t="str">
        <f>'Stavební rozpočet-SO03'!I4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rozpočet-SO03'!C6</f>
        <v xml:space="preserve"> </v>
      </c>
      <c r="C6" s="256"/>
      <c r="D6" s="255" t="s">
        <v>1659</v>
      </c>
      <c r="E6" s="255" t="str">
        <f>'Stavební rozpočet-SO03'!I6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rozpočet-SO03'!I8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rozpočet-SO03'!I12</f>
        <v>0</v>
      </c>
      <c r="F11" s="101">
        <f>'Stavební rozpočet-SO03'!J12</f>
        <v>0</v>
      </c>
      <c r="G11" s="101">
        <f>'Stavební rozpočet-SO03'!K12</f>
        <v>0</v>
      </c>
      <c r="H11" s="100" t="s">
        <v>1747</v>
      </c>
      <c r="I11" s="100">
        <f t="shared" ref="I11:I53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rozpočet-SO03'!I19</f>
        <v>0</v>
      </c>
      <c r="F12" s="100">
        <f>'Stavební rozpočet-SO03'!J19</f>
        <v>0</v>
      </c>
      <c r="G12" s="100">
        <f>'Stavební rozpočet-SO03'!K19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rozpočet-SO03'!I21</f>
        <v>0</v>
      </c>
      <c r="F13" s="100">
        <f>'Stavební rozpočet-SO03'!J21</f>
        <v>0</v>
      </c>
      <c r="G13" s="100">
        <f>'Stavební rozpočet-SO03'!K21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rozpočet-SO03'!I26</f>
        <v>0</v>
      </c>
      <c r="F14" s="100">
        <f>'Stavební rozpočet-SO03'!J26</f>
        <v>0</v>
      </c>
      <c r="G14" s="100">
        <f>'Stavební rozpočet-SO03'!K26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rozpočet-SO03'!I30</f>
        <v>0</v>
      </c>
      <c r="F15" s="100">
        <f>'Stavební rozpočet-SO03'!J30</f>
        <v>0</v>
      </c>
      <c r="G15" s="100">
        <f>'Stavební rozpočet-SO03'!K30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rozpočet-SO03'!I35</f>
        <v>0</v>
      </c>
      <c r="F16" s="100">
        <f>'Stavební rozpočet-SO03'!J35</f>
        <v>0</v>
      </c>
      <c r="G16" s="100">
        <f>'Stavební rozpočet-SO03'!K35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rozpočet-SO03'!I37</f>
        <v>0</v>
      </c>
      <c r="F17" s="100">
        <f>'Stavební rozpočet-SO03'!J37</f>
        <v>0</v>
      </c>
      <c r="G17" s="100">
        <f>'Stavební rozpočet-SO03'!K37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33</v>
      </c>
      <c r="C18" s="282" t="s">
        <v>1081</v>
      </c>
      <c r="D18" s="256"/>
      <c r="E18" s="100">
        <f>'Stavební rozpočet-SO03'!I40</f>
        <v>0</v>
      </c>
      <c r="F18" s="100">
        <f>'Stavební rozpočet-SO03'!J40</f>
        <v>0</v>
      </c>
      <c r="G18" s="100">
        <f>'Stavební rozpočet-SO03'!K40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37</v>
      </c>
      <c r="C19" s="282" t="s">
        <v>1084</v>
      </c>
      <c r="D19" s="256"/>
      <c r="E19" s="100">
        <f>'Stavební rozpočet-SO03'!I43</f>
        <v>0</v>
      </c>
      <c r="F19" s="100">
        <f>'Stavební rozpočet-SO03'!J43</f>
        <v>0</v>
      </c>
      <c r="G19" s="100">
        <f>'Stavební rozpočet-SO03'!K43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62</v>
      </c>
      <c r="C20" s="282" t="s">
        <v>1090</v>
      </c>
      <c r="D20" s="256"/>
      <c r="E20" s="100">
        <f>'Stavební rozpočet-SO03'!I48</f>
        <v>0</v>
      </c>
      <c r="F20" s="100">
        <f>'Stavební rozpočet-SO03'!J48</f>
        <v>0</v>
      </c>
      <c r="G20" s="100">
        <f>'Stavební rozpočet-SO03'!K48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64</v>
      </c>
      <c r="C21" s="282" t="s">
        <v>2230</v>
      </c>
      <c r="D21" s="256"/>
      <c r="E21" s="100">
        <f>'Stavební rozpočet-SO03'!I52</f>
        <v>0</v>
      </c>
      <c r="F21" s="100">
        <f>'Stavební rozpočet-SO03'!J52</f>
        <v>0</v>
      </c>
      <c r="G21" s="100">
        <f>'Stavební rozpočet-SO03'!K52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65</v>
      </c>
      <c r="C22" s="282" t="s">
        <v>1094</v>
      </c>
      <c r="D22" s="256"/>
      <c r="E22" s="100">
        <f>'Stavební rozpočet-SO03'!I54</f>
        <v>0</v>
      </c>
      <c r="F22" s="100">
        <f>'Stavební rozpočet-SO03'!J54</f>
        <v>0</v>
      </c>
      <c r="G22" s="100">
        <f>'Stavební rozpočet-SO03'!K54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67</v>
      </c>
      <c r="C23" s="282" t="s">
        <v>1097</v>
      </c>
      <c r="D23" s="256"/>
      <c r="E23" s="100">
        <f>'Stavební rozpočet-SO03'!I57</f>
        <v>0</v>
      </c>
      <c r="F23" s="100">
        <f>'Stavební rozpočet-SO03'!J57</f>
        <v>0</v>
      </c>
      <c r="G23" s="100">
        <f>'Stavební rozpočet-SO03'!K57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68</v>
      </c>
      <c r="C24" s="282" t="s">
        <v>1104</v>
      </c>
      <c r="D24" s="256"/>
      <c r="E24" s="100">
        <f>'Stavební rozpočet-SO03'!I62</f>
        <v>0</v>
      </c>
      <c r="F24" s="100">
        <f>'Stavební rozpočet-SO03'!J62</f>
        <v>0</v>
      </c>
      <c r="G24" s="100">
        <f>'Stavební rozpočet-SO03'!K62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69</v>
      </c>
      <c r="C25" s="282" t="s">
        <v>1128</v>
      </c>
      <c r="D25" s="256"/>
      <c r="E25" s="100">
        <f>'Stavební rozpočet-SO03'!I96</f>
        <v>0</v>
      </c>
      <c r="F25" s="100">
        <f>'Stavební rozpočet-SO03'!J96</f>
        <v>0</v>
      </c>
      <c r="G25" s="100">
        <f>'Stavební rozpočet-SO03'!K96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89</v>
      </c>
      <c r="C26" s="282" t="s">
        <v>1130</v>
      </c>
      <c r="D26" s="256"/>
      <c r="E26" s="100">
        <f>'Stavební rozpočet-SO03'!I98</f>
        <v>0</v>
      </c>
      <c r="F26" s="100">
        <f>'Stavební rozpočet-SO03'!J98</f>
        <v>0</v>
      </c>
      <c r="G26" s="100">
        <f>'Stavební rozpočet-SO03'!K98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95</v>
      </c>
      <c r="C27" s="282" t="s">
        <v>1133</v>
      </c>
      <c r="D27" s="256"/>
      <c r="E27" s="100">
        <f>'Stavební rozpočet-SO03'!I101</f>
        <v>0</v>
      </c>
      <c r="F27" s="100">
        <f>'Stavební rozpočet-SO03'!J101</f>
        <v>0</v>
      </c>
      <c r="G27" s="100">
        <f>'Stavební rozpočet-SO03'!K101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97</v>
      </c>
      <c r="C28" s="282" t="s">
        <v>1136</v>
      </c>
      <c r="D28" s="256"/>
      <c r="E28" s="100">
        <f>'Stavební rozpočet-SO03'!I104</f>
        <v>0</v>
      </c>
      <c r="F28" s="100">
        <f>'Stavební rozpočet-SO03'!J104</f>
        <v>0</v>
      </c>
      <c r="G28" s="100">
        <f>'Stavební rozpočet-SO03'!K104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100</v>
      </c>
      <c r="C29" s="282" t="s">
        <v>1139</v>
      </c>
      <c r="D29" s="256"/>
      <c r="E29" s="100">
        <f>'Stavební rozpočet-SO03'!I108</f>
        <v>0</v>
      </c>
      <c r="F29" s="100">
        <f>'Stavební rozpočet-SO03'!J108</f>
        <v>0</v>
      </c>
      <c r="G29" s="100">
        <f>'Stavební rozpočet-SO03'!K108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101</v>
      </c>
      <c r="C30" s="282" t="s">
        <v>1147</v>
      </c>
      <c r="D30" s="256"/>
      <c r="E30" s="100">
        <f>'Stavební rozpočet-SO03'!I116</f>
        <v>0</v>
      </c>
      <c r="F30" s="100">
        <f>'Stavební rozpočet-SO03'!J116</f>
        <v>0</v>
      </c>
      <c r="G30" s="100">
        <f>'Stavební rozpočet-SO03'!K116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102</v>
      </c>
      <c r="C31" s="282" t="s">
        <v>1158</v>
      </c>
      <c r="D31" s="256"/>
      <c r="E31" s="100">
        <f>'Stavební rozpočet-SO03'!I126</f>
        <v>0</v>
      </c>
      <c r="F31" s="100">
        <f>'Stavební rozpočet-SO03'!J126</f>
        <v>0</v>
      </c>
      <c r="G31" s="100">
        <f>'Stavební rozpočet-SO03'!K126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103</v>
      </c>
      <c r="C32" s="282" t="s">
        <v>1178</v>
      </c>
      <c r="D32" s="256"/>
      <c r="E32" s="100">
        <f>'Stavební rozpočet-SO03'!I143</f>
        <v>0</v>
      </c>
      <c r="F32" s="100">
        <f>'Stavební rozpočet-SO03'!J143</f>
        <v>0</v>
      </c>
      <c r="G32" s="100">
        <f>'Stavební rozpočet-SO03'!K143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686</v>
      </c>
      <c r="C33" s="282" t="s">
        <v>1198</v>
      </c>
      <c r="D33" s="256"/>
      <c r="E33" s="100">
        <f>'Stavební rozpočet-SO03'!I166</f>
        <v>0</v>
      </c>
      <c r="F33" s="100">
        <f>'Stavební rozpočet-SO03'!J166</f>
        <v>0</v>
      </c>
      <c r="G33" s="100">
        <f>'Stavební rozpočet-SO03'!K166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703</v>
      </c>
      <c r="C34" s="282" t="s">
        <v>1215</v>
      </c>
      <c r="D34" s="256"/>
      <c r="E34" s="100">
        <f>'Stavební rozpočet-SO03'!I182</f>
        <v>0</v>
      </c>
      <c r="F34" s="100">
        <f>'Stavební rozpočet-SO03'!J182</f>
        <v>0</v>
      </c>
      <c r="G34" s="100">
        <f>'Stavební rozpočet-SO03'!K182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705</v>
      </c>
      <c r="C35" s="282" t="s">
        <v>1217</v>
      </c>
      <c r="D35" s="256"/>
      <c r="E35" s="100">
        <f>'Stavební rozpočet-SO03'!I184</f>
        <v>0</v>
      </c>
      <c r="F35" s="100">
        <f>'Stavební rozpočet-SO03'!J184</f>
        <v>0</v>
      </c>
      <c r="G35" s="100">
        <f>'Stavební rozpočet-SO03'!K184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710</v>
      </c>
      <c r="C36" s="282" t="s">
        <v>1222</v>
      </c>
      <c r="D36" s="256"/>
      <c r="E36" s="100">
        <f>'Stavební rozpočet-SO03'!I192</f>
        <v>0</v>
      </c>
      <c r="F36" s="100">
        <f>'Stavební rozpočet-SO03'!J192</f>
        <v>0</v>
      </c>
      <c r="G36" s="100">
        <f>'Stavební rozpočet-SO03'!K192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719</v>
      </c>
      <c r="C37" s="282" t="s">
        <v>1231</v>
      </c>
      <c r="D37" s="256"/>
      <c r="E37" s="100">
        <f>'Stavební rozpočet-SO03'!I201</f>
        <v>0</v>
      </c>
      <c r="F37" s="100">
        <f>'Stavební rozpočet-SO03'!J201</f>
        <v>0</v>
      </c>
      <c r="G37" s="100">
        <f>'Stavební rozpočet-SO03'!K201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744</v>
      </c>
      <c r="C38" s="282" t="s">
        <v>1256</v>
      </c>
      <c r="D38" s="256"/>
      <c r="E38" s="100">
        <f>'Stavební rozpočet-SO03'!I225</f>
        <v>0</v>
      </c>
      <c r="F38" s="100">
        <f>'Stavební rozpočet-SO03'!J225</f>
        <v>0</v>
      </c>
      <c r="G38" s="100">
        <f>'Stavební rozpočet-SO03'!K225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771</v>
      </c>
      <c r="C39" s="282" t="s">
        <v>1283</v>
      </c>
      <c r="D39" s="256"/>
      <c r="E39" s="100">
        <f>'Stavební rozpočet-SO03'!I241</f>
        <v>0</v>
      </c>
      <c r="F39" s="100">
        <f>'Stavební rozpočet-SO03'!J241</f>
        <v>0</v>
      </c>
      <c r="G39" s="100">
        <f>'Stavební rozpočet-SO03'!K241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772</v>
      </c>
      <c r="C40" s="282" t="s">
        <v>1355</v>
      </c>
      <c r="D40" s="256"/>
      <c r="E40" s="100">
        <f>'Stavební rozpočet-SO03'!I317</f>
        <v>0</v>
      </c>
      <c r="F40" s="100">
        <f>'Stavební rozpočet-SO03'!J317</f>
        <v>0</v>
      </c>
      <c r="G40" s="100">
        <f>'Stavební rozpočet-SO03'!K317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798</v>
      </c>
      <c r="C41" s="282" t="s">
        <v>1379</v>
      </c>
      <c r="D41" s="256"/>
      <c r="E41" s="100">
        <f>'Stavební rozpočet-SO03'!I341</f>
        <v>0</v>
      </c>
      <c r="F41" s="100">
        <f>'Stavební rozpočet-SO03'!J341</f>
        <v>0</v>
      </c>
      <c r="G41" s="100">
        <f>'Stavební rozpočet-SO03'!K341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822</v>
      </c>
      <c r="C42" s="282" t="s">
        <v>2229</v>
      </c>
      <c r="D42" s="256"/>
      <c r="E42" s="100">
        <f>'Stavební rozpočet-SO03'!I365</f>
        <v>0</v>
      </c>
      <c r="F42" s="100">
        <f>'Stavební rozpočet-SO03'!J365</f>
        <v>0</v>
      </c>
      <c r="G42" s="100">
        <f>'Stavební rozpočet-SO03'!K365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842</v>
      </c>
      <c r="C43" s="282" t="s">
        <v>1424</v>
      </c>
      <c r="D43" s="256"/>
      <c r="E43" s="100">
        <f>'Stavební rozpočet-SO03'!I394</f>
        <v>0</v>
      </c>
      <c r="F43" s="100">
        <f>'Stavební rozpočet-SO03'!J394</f>
        <v>0</v>
      </c>
      <c r="G43" s="100">
        <f>'Stavební rozpočet-SO03'!K394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869</v>
      </c>
      <c r="C44" s="282" t="s">
        <v>1458</v>
      </c>
      <c r="D44" s="256"/>
      <c r="E44" s="100">
        <f>'Stavební rozpočet-SO03'!I431</f>
        <v>0</v>
      </c>
      <c r="F44" s="100">
        <f>'Stavební rozpočet-SO03'!J431</f>
        <v>0</v>
      </c>
      <c r="G44" s="100">
        <f>'Stavební rozpočet-SO03'!K431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882</v>
      </c>
      <c r="C45" s="282" t="s">
        <v>1471</v>
      </c>
      <c r="D45" s="256"/>
      <c r="E45" s="100">
        <f>'Stavební rozpočet-SO03'!I447</f>
        <v>0</v>
      </c>
      <c r="F45" s="100">
        <f>'Stavební rozpočet-SO03'!J447</f>
        <v>0</v>
      </c>
      <c r="G45" s="100">
        <f>'Stavební rozpočet-SO03'!K447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903</v>
      </c>
      <c r="C46" s="282" t="s">
        <v>1492</v>
      </c>
      <c r="D46" s="256"/>
      <c r="E46" s="100">
        <f>'Stavební rozpočet-SO03'!I473</f>
        <v>0</v>
      </c>
      <c r="F46" s="100">
        <f>'Stavební rozpočet-SO03'!J473</f>
        <v>0</v>
      </c>
      <c r="G46" s="100">
        <f>'Stavební rozpočet-SO03'!K473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907</v>
      </c>
      <c r="C47" s="282" t="s">
        <v>1496</v>
      </c>
      <c r="D47" s="256"/>
      <c r="E47" s="100">
        <f>'Stavební rozpočet-SO03'!I479</f>
        <v>0</v>
      </c>
      <c r="F47" s="100">
        <f>'Stavební rozpočet-SO03'!J479</f>
        <v>0</v>
      </c>
      <c r="G47" s="100">
        <f>'Stavební rozpočet-SO03'!K479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922</v>
      </c>
      <c r="C48" s="282" t="s">
        <v>1511</v>
      </c>
      <c r="D48" s="256"/>
      <c r="E48" s="100">
        <f>'Stavební rozpočet-SO03'!I493</f>
        <v>0</v>
      </c>
      <c r="F48" s="100">
        <f>'Stavební rozpočet-SO03'!J493</f>
        <v>0</v>
      </c>
      <c r="G48" s="100">
        <f>'Stavební rozpočet-SO03'!K493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930</v>
      </c>
      <c r="C49" s="282" t="s">
        <v>1519</v>
      </c>
      <c r="D49" s="256"/>
      <c r="E49" s="100">
        <f>'Stavební rozpočet-SO03'!I501</f>
        <v>0</v>
      </c>
      <c r="F49" s="100">
        <f>'Stavební rozpočet-SO03'!J501</f>
        <v>0</v>
      </c>
      <c r="G49" s="100">
        <f>'Stavební rozpočet-SO03'!K501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936</v>
      </c>
      <c r="C50" s="282" t="s">
        <v>1525</v>
      </c>
      <c r="D50" s="256"/>
      <c r="E50" s="100">
        <f>'Stavební rozpočet-SO03'!I507</f>
        <v>0</v>
      </c>
      <c r="F50" s="100">
        <f>'Stavební rozpočet-SO03'!J507</f>
        <v>0</v>
      </c>
      <c r="G50" s="100">
        <f>'Stavební rozpočet-SO03'!K507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967</v>
      </c>
      <c r="C51" s="282" t="s">
        <v>1556</v>
      </c>
      <c r="D51" s="256"/>
      <c r="E51" s="100">
        <f>'Stavební rozpočet-SO03'!I538</f>
        <v>0</v>
      </c>
      <c r="F51" s="100">
        <f>'Stavební rozpočet-SO03'!J538</f>
        <v>0</v>
      </c>
      <c r="G51" s="100">
        <f>'Stavební rozpočet-SO03'!K538</f>
        <v>0</v>
      </c>
      <c r="H51" s="100" t="s">
        <v>1747</v>
      </c>
      <c r="I51" s="100">
        <f t="shared" si="0"/>
        <v>0</v>
      </c>
    </row>
    <row r="52" spans="1:9" x14ac:dyDescent="0.2">
      <c r="A52" s="96"/>
      <c r="B52" s="96" t="s">
        <v>970</v>
      </c>
      <c r="C52" s="282" t="s">
        <v>1559</v>
      </c>
      <c r="D52" s="256"/>
      <c r="E52" s="100">
        <f>'Stavební rozpočet-SO03'!I541</f>
        <v>0</v>
      </c>
      <c r="F52" s="100">
        <f>'Stavební rozpočet-SO03'!J541</f>
        <v>0</v>
      </c>
      <c r="G52" s="100">
        <f>'Stavební rozpočet-SO03'!K541</f>
        <v>0</v>
      </c>
      <c r="H52" s="100" t="s">
        <v>1747</v>
      </c>
      <c r="I52" s="100">
        <f t="shared" si="0"/>
        <v>0</v>
      </c>
    </row>
    <row r="53" spans="1:9" x14ac:dyDescent="0.2">
      <c r="A53" s="96"/>
      <c r="B53" s="96" t="s">
        <v>1039</v>
      </c>
      <c r="C53" s="282" t="s">
        <v>1631</v>
      </c>
      <c r="D53" s="256"/>
      <c r="E53" s="100">
        <f>'Stavební rozpočet-SO03'!I617</f>
        <v>0</v>
      </c>
      <c r="F53" s="100">
        <f>'Stavební rozpočet-SO03'!J617</f>
        <v>0</v>
      </c>
      <c r="G53" s="100">
        <f>'Stavební rozpočet-SO03'!K617</f>
        <v>0</v>
      </c>
      <c r="H53" s="100" t="s">
        <v>1747</v>
      </c>
      <c r="I53" s="100">
        <f t="shared" si="0"/>
        <v>0</v>
      </c>
    </row>
    <row r="55" spans="1:9" x14ac:dyDescent="0.2">
      <c r="F55" s="99" t="s">
        <v>1666</v>
      </c>
      <c r="G55" s="98">
        <f>SUM(I11:I53)</f>
        <v>0</v>
      </c>
    </row>
  </sheetData>
  <sheetProtection algorithmName="SHA-512" hashValue="PYfhwIuyTPUoFpVDk0yQdiJBHC59I1Qm+pgDW4k/LUgxhnFL9Wj4hkfPp0SQAMn+iD2EMFtpbBGcw7FdfCxK6g==" saltValue="rc3LyGpmN7yM9KXmojmERw==" spinCount="100000" sheet="1" objects="1" scenarios="1"/>
  <mergeCells count="61">
    <mergeCell ref="C52:D52"/>
    <mergeCell ref="C53:D53"/>
    <mergeCell ref="C46:D46"/>
    <mergeCell ref="C47:D47"/>
    <mergeCell ref="C48:D48"/>
    <mergeCell ref="C49:D49"/>
    <mergeCell ref="C50:D50"/>
    <mergeCell ref="C51:D51"/>
    <mergeCell ref="C45:D45"/>
    <mergeCell ref="C34:D34"/>
    <mergeCell ref="C35:D35"/>
    <mergeCell ref="C36:D36"/>
    <mergeCell ref="C37:D37"/>
    <mergeCell ref="C38:D38"/>
    <mergeCell ref="C44:D44"/>
    <mergeCell ref="C39:D39"/>
    <mergeCell ref="C40:D40"/>
    <mergeCell ref="C41:D41"/>
    <mergeCell ref="C42:D42"/>
    <mergeCell ref="C43:D43"/>
    <mergeCell ref="C19:D19"/>
    <mergeCell ref="C20:D20"/>
    <mergeCell ref="C33:D33"/>
    <mergeCell ref="C22:D22"/>
    <mergeCell ref="C23:D23"/>
    <mergeCell ref="C24:D24"/>
    <mergeCell ref="C25:D25"/>
    <mergeCell ref="C26:D26"/>
    <mergeCell ref="C27:D27"/>
    <mergeCell ref="C28:D28"/>
    <mergeCell ref="C21:D21"/>
    <mergeCell ref="C29:D29"/>
    <mergeCell ref="C30:D30"/>
    <mergeCell ref="C31:D31"/>
    <mergeCell ref="C32:D32"/>
    <mergeCell ref="C15:D15"/>
    <mergeCell ref="C16:D16"/>
    <mergeCell ref="C17:D17"/>
    <mergeCell ref="C18:D18"/>
    <mergeCell ref="A6:A7"/>
    <mergeCell ref="B6:C7"/>
    <mergeCell ref="D6:D7"/>
    <mergeCell ref="C10:D10"/>
    <mergeCell ref="C11:D11"/>
    <mergeCell ref="C12:D12"/>
    <mergeCell ref="C13:D13"/>
    <mergeCell ref="C14:D14"/>
    <mergeCell ref="E6:G7"/>
    <mergeCell ref="A8:A9"/>
    <mergeCell ref="B8:C9"/>
    <mergeCell ref="D8:D9"/>
    <mergeCell ref="E8:G9"/>
    <mergeCell ref="A4:A5"/>
    <mergeCell ref="B4:C5"/>
    <mergeCell ref="D4:D5"/>
    <mergeCell ref="E4:G5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12A68-77E2-421B-838F-109B50198D13}">
  <sheetPr>
    <pageSetUpPr fitToPage="1"/>
  </sheetPr>
  <dimension ref="A1:BJ627"/>
  <sheetViews>
    <sheetView workbookViewId="0">
      <pane ySplit="11" topLeftCell="A12" activePane="bottomLeft" state="frozenSplit"/>
      <selection activeCell="A2" sqref="A2:A3"/>
      <selection pane="bottomLeft" activeCell="C8" sqref="C8:C9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8554687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2512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SUM(I13:I18)</f>
        <v>0</v>
      </c>
      <c r="J12" s="127">
        <f>SUM(J13:J18)</f>
        <v>0</v>
      </c>
      <c r="K12" s="127">
        <f>SUM(K13:K18)</f>
        <v>0</v>
      </c>
      <c r="L12" s="126"/>
      <c r="AI12" s="109"/>
      <c r="AS12" s="118">
        <f>SUM(AJ13:AJ18)</f>
        <v>0</v>
      </c>
      <c r="AT12" s="118">
        <f>SUM(AK13:AK18)</f>
        <v>0</v>
      </c>
      <c r="AU12" s="118">
        <f>SUM(AL13:AL18)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 t="shared" ref="I13:I18" si="0">G13*AO13</f>
        <v>0</v>
      </c>
      <c r="J13" s="108">
        <f t="shared" ref="J13:J18" si="1">G13*AP13</f>
        <v>0</v>
      </c>
      <c r="K13" s="108">
        <f t="shared" ref="K13:K18" si="2">G13*H13</f>
        <v>0</v>
      </c>
      <c r="L13" s="111" t="s">
        <v>1671</v>
      </c>
      <c r="Z13" s="100">
        <f t="shared" ref="Z13:Z18" si="3">IF(AQ13="5",BJ13,0)</f>
        <v>0</v>
      </c>
      <c r="AB13" s="100">
        <f t="shared" ref="AB13:AB18" si="4">IF(AQ13="1",BH13,0)</f>
        <v>0</v>
      </c>
      <c r="AC13" s="100">
        <f t="shared" ref="AC13:AC18" si="5">IF(AQ13="1",BI13,0)</f>
        <v>0</v>
      </c>
      <c r="AD13" s="100">
        <f t="shared" ref="AD13:AD18" si="6">IF(AQ13="7",BH13,0)</f>
        <v>0</v>
      </c>
      <c r="AE13" s="100">
        <f t="shared" ref="AE13:AE18" si="7">IF(AQ13="7",BI13,0)</f>
        <v>0</v>
      </c>
      <c r="AF13" s="100">
        <f t="shared" ref="AF13:AF18" si="8">IF(AQ13="2",BH13,0)</f>
        <v>0</v>
      </c>
      <c r="AG13" s="100">
        <f t="shared" ref="AG13:AG18" si="9">IF(AQ13="2",BI13,0)</f>
        <v>0</v>
      </c>
      <c r="AH13" s="100">
        <f t="shared" ref="AH13:AH18" si="10">IF(AQ13="0",BJ13,0)</f>
        <v>0</v>
      </c>
      <c r="AI13" s="109"/>
      <c r="AJ13" s="108">
        <f t="shared" ref="AJ13:AJ18" si="11">IF(AN13=0,K13,0)</f>
        <v>0</v>
      </c>
      <c r="AK13" s="108">
        <f t="shared" ref="AK13:AK18" si="12">IF(AN13=15,K13,0)</f>
        <v>0</v>
      </c>
      <c r="AL13" s="108">
        <f t="shared" ref="AL13:AL18" si="13"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 t="shared" ref="AV13:AV18" si="14">AW13+AX13</f>
        <v>0</v>
      </c>
      <c r="AW13" s="100">
        <f t="shared" ref="AW13:AW18" si="15">G13*AO13</f>
        <v>0</v>
      </c>
      <c r="AX13" s="100">
        <f t="shared" ref="AX13:AX18" si="16">G13*AP13</f>
        <v>0</v>
      </c>
      <c r="AY13" s="110" t="s">
        <v>1681</v>
      </c>
      <c r="AZ13" s="110" t="s">
        <v>1724</v>
      </c>
      <c r="BA13" s="109" t="s">
        <v>1737</v>
      </c>
      <c r="BC13" s="100">
        <f t="shared" ref="BC13:BC18" si="17">AW13+AX13</f>
        <v>0</v>
      </c>
      <c r="BD13" s="100">
        <f t="shared" ref="BD13:BD18" si="18">H13/(100-BE13)*100</f>
        <v>0</v>
      </c>
      <c r="BE13" s="100">
        <v>0</v>
      </c>
      <c r="BF13" s="100">
        <f>13</f>
        <v>13</v>
      </c>
      <c r="BH13" s="108">
        <f t="shared" ref="BH13:BH18" si="19">G13*AO13</f>
        <v>0</v>
      </c>
      <c r="BI13" s="108">
        <f t="shared" ref="BI13:BI18" si="20">G13*AP13</f>
        <v>0</v>
      </c>
      <c r="BJ13" s="108">
        <f t="shared" ref="BJ13:BJ18" si="21">G13*H13</f>
        <v>0</v>
      </c>
    </row>
    <row r="14" spans="1:62" x14ac:dyDescent="0.2">
      <c r="A14" s="117" t="s">
        <v>8</v>
      </c>
      <c r="B14" s="117" t="s">
        <v>572</v>
      </c>
      <c r="C14" s="304" t="s">
        <v>1053</v>
      </c>
      <c r="D14" s="305"/>
      <c r="E14" s="305"/>
      <c r="F14" s="117" t="s">
        <v>1644</v>
      </c>
      <c r="G14" s="116">
        <v>1</v>
      </c>
      <c r="H14" s="159"/>
      <c r="I14" s="108">
        <f t="shared" si="0"/>
        <v>0</v>
      </c>
      <c r="J14" s="108">
        <f t="shared" si="1"/>
        <v>0</v>
      </c>
      <c r="K14" s="108">
        <f t="shared" si="2"/>
        <v>0</v>
      </c>
      <c r="L14" s="111" t="s">
        <v>1671</v>
      </c>
      <c r="Z14" s="100">
        <f t="shared" si="3"/>
        <v>0</v>
      </c>
      <c r="AB14" s="100">
        <f t="shared" si="4"/>
        <v>0</v>
      </c>
      <c r="AC14" s="100">
        <f t="shared" si="5"/>
        <v>0</v>
      </c>
      <c r="AD14" s="100">
        <f t="shared" si="6"/>
        <v>0</v>
      </c>
      <c r="AE14" s="100">
        <f t="shared" si="7"/>
        <v>0</v>
      </c>
      <c r="AF14" s="100">
        <f t="shared" si="8"/>
        <v>0</v>
      </c>
      <c r="AG14" s="100">
        <f t="shared" si="9"/>
        <v>0</v>
      </c>
      <c r="AH14" s="100">
        <f t="shared" si="10"/>
        <v>0</v>
      </c>
      <c r="AI14" s="109"/>
      <c r="AJ14" s="108">
        <f t="shared" si="11"/>
        <v>0</v>
      </c>
      <c r="AK14" s="108">
        <f t="shared" si="12"/>
        <v>0</v>
      </c>
      <c r="AL14" s="108">
        <f t="shared" si="13"/>
        <v>0</v>
      </c>
      <c r="AN14" s="100">
        <v>15</v>
      </c>
      <c r="AO14" s="100">
        <f>H14*0.02432</f>
        <v>0</v>
      </c>
      <c r="AP14" s="100">
        <f>H14*(1-0.02432)</f>
        <v>0</v>
      </c>
      <c r="AQ14" s="111" t="s">
        <v>7</v>
      </c>
      <c r="AV14" s="100">
        <f t="shared" si="14"/>
        <v>0</v>
      </c>
      <c r="AW14" s="100">
        <f t="shared" si="15"/>
        <v>0</v>
      </c>
      <c r="AX14" s="100">
        <f t="shared" si="16"/>
        <v>0</v>
      </c>
      <c r="AY14" s="110" t="s">
        <v>1681</v>
      </c>
      <c r="AZ14" s="110" t="s">
        <v>1724</v>
      </c>
      <c r="BA14" s="109" t="s">
        <v>1737</v>
      </c>
      <c r="BC14" s="100">
        <f t="shared" si="17"/>
        <v>0</v>
      </c>
      <c r="BD14" s="100">
        <f t="shared" si="18"/>
        <v>0</v>
      </c>
      <c r="BE14" s="100">
        <v>0</v>
      </c>
      <c r="BF14" s="100">
        <f>14</f>
        <v>14</v>
      </c>
      <c r="BH14" s="108">
        <f t="shared" si="19"/>
        <v>0</v>
      </c>
      <c r="BI14" s="108">
        <f t="shared" si="20"/>
        <v>0</v>
      </c>
      <c r="BJ14" s="108">
        <f t="shared" si="21"/>
        <v>0</v>
      </c>
    </row>
    <row r="15" spans="1:62" x14ac:dyDescent="0.2">
      <c r="A15" s="117" t="s">
        <v>9</v>
      </c>
      <c r="B15" s="117" t="s">
        <v>573</v>
      </c>
      <c r="C15" s="304" t="s">
        <v>1054</v>
      </c>
      <c r="D15" s="305"/>
      <c r="E15" s="305"/>
      <c r="F15" s="117" t="s">
        <v>1645</v>
      </c>
      <c r="G15" s="116">
        <v>36.5</v>
      </c>
      <c r="H15" s="159"/>
      <c r="I15" s="108">
        <f t="shared" si="0"/>
        <v>0</v>
      </c>
      <c r="J15" s="108">
        <f t="shared" si="1"/>
        <v>0</v>
      </c>
      <c r="K15" s="108">
        <f t="shared" si="2"/>
        <v>0</v>
      </c>
      <c r="L15" s="111" t="s">
        <v>1671</v>
      </c>
      <c r="Z15" s="100">
        <f t="shared" si="3"/>
        <v>0</v>
      </c>
      <c r="AB15" s="100">
        <f t="shared" si="4"/>
        <v>0</v>
      </c>
      <c r="AC15" s="100">
        <f t="shared" si="5"/>
        <v>0</v>
      </c>
      <c r="AD15" s="100">
        <f t="shared" si="6"/>
        <v>0</v>
      </c>
      <c r="AE15" s="100">
        <f t="shared" si="7"/>
        <v>0</v>
      </c>
      <c r="AF15" s="100">
        <f t="shared" si="8"/>
        <v>0</v>
      </c>
      <c r="AG15" s="100">
        <f t="shared" si="9"/>
        <v>0</v>
      </c>
      <c r="AH15" s="100">
        <f t="shared" si="10"/>
        <v>0</v>
      </c>
      <c r="AI15" s="109"/>
      <c r="AJ15" s="108">
        <f t="shared" si="11"/>
        <v>0</v>
      </c>
      <c r="AK15" s="108">
        <f t="shared" si="12"/>
        <v>0</v>
      </c>
      <c r="AL15" s="108">
        <f t="shared" si="13"/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 t="shared" si="14"/>
        <v>0</v>
      </c>
      <c r="AW15" s="100">
        <f t="shared" si="15"/>
        <v>0</v>
      </c>
      <c r="AX15" s="100">
        <f t="shared" si="16"/>
        <v>0</v>
      </c>
      <c r="AY15" s="110" t="s">
        <v>1681</v>
      </c>
      <c r="AZ15" s="110" t="s">
        <v>1724</v>
      </c>
      <c r="BA15" s="109" t="s">
        <v>1737</v>
      </c>
      <c r="BC15" s="100">
        <f t="shared" si="17"/>
        <v>0</v>
      </c>
      <c r="BD15" s="100">
        <f t="shared" si="18"/>
        <v>0</v>
      </c>
      <c r="BE15" s="100">
        <v>0</v>
      </c>
      <c r="BF15" s="100">
        <f>15</f>
        <v>15</v>
      </c>
      <c r="BH15" s="108">
        <f t="shared" si="19"/>
        <v>0</v>
      </c>
      <c r="BI15" s="108">
        <f t="shared" si="20"/>
        <v>0</v>
      </c>
      <c r="BJ15" s="108">
        <f t="shared" si="21"/>
        <v>0</v>
      </c>
    </row>
    <row r="16" spans="1:62" x14ac:dyDescent="0.2">
      <c r="A16" s="117" t="s">
        <v>10</v>
      </c>
      <c r="B16" s="117" t="s">
        <v>573</v>
      </c>
      <c r="C16" s="304" t="s">
        <v>1055</v>
      </c>
      <c r="D16" s="305"/>
      <c r="E16" s="305"/>
      <c r="F16" s="117" t="s">
        <v>1645</v>
      </c>
      <c r="G16" s="116">
        <v>11.425000000000001</v>
      </c>
      <c r="H16" s="159"/>
      <c r="I16" s="108">
        <f t="shared" si="0"/>
        <v>0</v>
      </c>
      <c r="J16" s="108">
        <f t="shared" si="1"/>
        <v>0</v>
      </c>
      <c r="K16" s="108">
        <f t="shared" si="2"/>
        <v>0</v>
      </c>
      <c r="L16" s="111" t="s">
        <v>1671</v>
      </c>
      <c r="Z16" s="100">
        <f t="shared" si="3"/>
        <v>0</v>
      </c>
      <c r="AB16" s="100">
        <f t="shared" si="4"/>
        <v>0</v>
      </c>
      <c r="AC16" s="100">
        <f t="shared" si="5"/>
        <v>0</v>
      </c>
      <c r="AD16" s="100">
        <f t="shared" si="6"/>
        <v>0</v>
      </c>
      <c r="AE16" s="100">
        <f t="shared" si="7"/>
        <v>0</v>
      </c>
      <c r="AF16" s="100">
        <f t="shared" si="8"/>
        <v>0</v>
      </c>
      <c r="AG16" s="100">
        <f t="shared" si="9"/>
        <v>0</v>
      </c>
      <c r="AH16" s="100">
        <f t="shared" si="10"/>
        <v>0</v>
      </c>
      <c r="AI16" s="109"/>
      <c r="AJ16" s="108">
        <f t="shared" si="11"/>
        <v>0</v>
      </c>
      <c r="AK16" s="108">
        <f t="shared" si="12"/>
        <v>0</v>
      </c>
      <c r="AL16" s="108">
        <f t="shared" si="13"/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 t="shared" si="14"/>
        <v>0</v>
      </c>
      <c r="AW16" s="100">
        <f t="shared" si="15"/>
        <v>0</v>
      </c>
      <c r="AX16" s="100">
        <f t="shared" si="16"/>
        <v>0</v>
      </c>
      <c r="AY16" s="110" t="s">
        <v>1681</v>
      </c>
      <c r="AZ16" s="110" t="s">
        <v>1724</v>
      </c>
      <c r="BA16" s="109" t="s">
        <v>1737</v>
      </c>
      <c r="BC16" s="100">
        <f t="shared" si="17"/>
        <v>0</v>
      </c>
      <c r="BD16" s="100">
        <f t="shared" si="18"/>
        <v>0</v>
      </c>
      <c r="BE16" s="100">
        <v>0</v>
      </c>
      <c r="BF16" s="100">
        <f>16</f>
        <v>16</v>
      </c>
      <c r="BH16" s="108">
        <f t="shared" si="19"/>
        <v>0</v>
      </c>
      <c r="BI16" s="108">
        <f t="shared" si="20"/>
        <v>0</v>
      </c>
      <c r="BJ16" s="108">
        <f t="shared" si="21"/>
        <v>0</v>
      </c>
    </row>
    <row r="17" spans="1:62" x14ac:dyDescent="0.2">
      <c r="A17" s="117" t="s">
        <v>11</v>
      </c>
      <c r="B17" s="117" t="s">
        <v>574</v>
      </c>
      <c r="C17" s="304" t="s">
        <v>1056</v>
      </c>
      <c r="D17" s="305"/>
      <c r="E17" s="305"/>
      <c r="F17" s="117" t="s">
        <v>1645</v>
      </c>
      <c r="G17" s="116">
        <v>5.58</v>
      </c>
      <c r="H17" s="159"/>
      <c r="I17" s="108">
        <f t="shared" si="0"/>
        <v>0</v>
      </c>
      <c r="J17" s="108">
        <f t="shared" si="1"/>
        <v>0</v>
      </c>
      <c r="K17" s="108">
        <f t="shared" si="2"/>
        <v>0</v>
      </c>
      <c r="L17" s="111" t="s">
        <v>1671</v>
      </c>
      <c r="Z17" s="100">
        <f t="shared" si="3"/>
        <v>0</v>
      </c>
      <c r="AB17" s="100">
        <f t="shared" si="4"/>
        <v>0</v>
      </c>
      <c r="AC17" s="100">
        <f t="shared" si="5"/>
        <v>0</v>
      </c>
      <c r="AD17" s="100">
        <f t="shared" si="6"/>
        <v>0</v>
      </c>
      <c r="AE17" s="100">
        <f t="shared" si="7"/>
        <v>0</v>
      </c>
      <c r="AF17" s="100">
        <f t="shared" si="8"/>
        <v>0</v>
      </c>
      <c r="AG17" s="100">
        <f t="shared" si="9"/>
        <v>0</v>
      </c>
      <c r="AH17" s="100">
        <f t="shared" si="10"/>
        <v>0</v>
      </c>
      <c r="AI17" s="109"/>
      <c r="AJ17" s="108">
        <f t="shared" si="11"/>
        <v>0</v>
      </c>
      <c r="AK17" s="108">
        <f t="shared" si="12"/>
        <v>0</v>
      </c>
      <c r="AL17" s="108">
        <f t="shared" si="13"/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 t="shared" si="14"/>
        <v>0</v>
      </c>
      <c r="AW17" s="100">
        <f t="shared" si="15"/>
        <v>0</v>
      </c>
      <c r="AX17" s="100">
        <f t="shared" si="16"/>
        <v>0</v>
      </c>
      <c r="AY17" s="110" t="s">
        <v>1681</v>
      </c>
      <c r="AZ17" s="110" t="s">
        <v>1724</v>
      </c>
      <c r="BA17" s="109" t="s">
        <v>1737</v>
      </c>
      <c r="BC17" s="100">
        <f t="shared" si="17"/>
        <v>0</v>
      </c>
      <c r="BD17" s="100">
        <f t="shared" si="18"/>
        <v>0</v>
      </c>
      <c r="BE17" s="100">
        <v>0</v>
      </c>
      <c r="BF17" s="100">
        <f>17</f>
        <v>17</v>
      </c>
      <c r="BH17" s="108">
        <f t="shared" si="19"/>
        <v>0</v>
      </c>
      <c r="BI17" s="108">
        <f t="shared" si="20"/>
        <v>0</v>
      </c>
      <c r="BJ17" s="108">
        <f t="shared" si="21"/>
        <v>0</v>
      </c>
    </row>
    <row r="18" spans="1:62" x14ac:dyDescent="0.2">
      <c r="A18" s="117" t="s">
        <v>12</v>
      </c>
      <c r="B18" s="117" t="s">
        <v>575</v>
      </c>
      <c r="C18" s="304" t="s">
        <v>1057</v>
      </c>
      <c r="D18" s="305"/>
      <c r="E18" s="305"/>
      <c r="F18" s="117" t="s">
        <v>1646</v>
      </c>
      <c r="G18" s="116">
        <v>3.6</v>
      </c>
      <c r="H18" s="159"/>
      <c r="I18" s="108">
        <f t="shared" si="0"/>
        <v>0</v>
      </c>
      <c r="J18" s="108">
        <f t="shared" si="1"/>
        <v>0</v>
      </c>
      <c r="K18" s="108">
        <f t="shared" si="2"/>
        <v>0</v>
      </c>
      <c r="L18" s="111" t="s">
        <v>1671</v>
      </c>
      <c r="Z18" s="100">
        <f t="shared" si="3"/>
        <v>0</v>
      </c>
      <c r="AB18" s="100">
        <f t="shared" si="4"/>
        <v>0</v>
      </c>
      <c r="AC18" s="100">
        <f t="shared" si="5"/>
        <v>0</v>
      </c>
      <c r="AD18" s="100">
        <f t="shared" si="6"/>
        <v>0</v>
      </c>
      <c r="AE18" s="100">
        <f t="shared" si="7"/>
        <v>0</v>
      </c>
      <c r="AF18" s="100">
        <f t="shared" si="8"/>
        <v>0</v>
      </c>
      <c r="AG18" s="100">
        <f t="shared" si="9"/>
        <v>0</v>
      </c>
      <c r="AH18" s="100">
        <f t="shared" si="10"/>
        <v>0</v>
      </c>
      <c r="AI18" s="109"/>
      <c r="AJ18" s="108">
        <f t="shared" si="11"/>
        <v>0</v>
      </c>
      <c r="AK18" s="108">
        <f t="shared" si="12"/>
        <v>0</v>
      </c>
      <c r="AL18" s="108">
        <f t="shared" si="13"/>
        <v>0</v>
      </c>
      <c r="AN18" s="100">
        <v>15</v>
      </c>
      <c r="AO18" s="100">
        <f>H18*0</f>
        <v>0</v>
      </c>
      <c r="AP18" s="100">
        <f>H18*(1-0)</f>
        <v>0</v>
      </c>
      <c r="AQ18" s="111" t="s">
        <v>7</v>
      </c>
      <c r="AV18" s="100">
        <f t="shared" si="14"/>
        <v>0</v>
      </c>
      <c r="AW18" s="100">
        <f t="shared" si="15"/>
        <v>0</v>
      </c>
      <c r="AX18" s="100">
        <f t="shared" si="16"/>
        <v>0</v>
      </c>
      <c r="AY18" s="110" t="s">
        <v>1681</v>
      </c>
      <c r="AZ18" s="110" t="s">
        <v>1724</v>
      </c>
      <c r="BA18" s="109" t="s">
        <v>1737</v>
      </c>
      <c r="BC18" s="100">
        <f t="shared" si="17"/>
        <v>0</v>
      </c>
      <c r="BD18" s="100">
        <f t="shared" si="18"/>
        <v>0</v>
      </c>
      <c r="BE18" s="100">
        <v>0</v>
      </c>
      <c r="BF18" s="100">
        <f>18</f>
        <v>18</v>
      </c>
      <c r="BH18" s="108">
        <f t="shared" si="19"/>
        <v>0</v>
      </c>
      <c r="BI18" s="108">
        <f t="shared" si="20"/>
        <v>0</v>
      </c>
      <c r="BJ18" s="108">
        <f t="shared" si="21"/>
        <v>0</v>
      </c>
    </row>
    <row r="19" spans="1:62" x14ac:dyDescent="0.2">
      <c r="A19" s="119"/>
      <c r="B19" s="120" t="s">
        <v>18</v>
      </c>
      <c r="C19" s="306" t="s">
        <v>1059</v>
      </c>
      <c r="D19" s="307"/>
      <c r="E19" s="307"/>
      <c r="F19" s="119" t="s">
        <v>6</v>
      </c>
      <c r="G19" s="119" t="s">
        <v>6</v>
      </c>
      <c r="H19" s="119" t="s">
        <v>6</v>
      </c>
      <c r="I19" s="118">
        <f>SUM(I20:I20)</f>
        <v>0</v>
      </c>
      <c r="J19" s="118">
        <f>SUM(J20:J20)</f>
        <v>0</v>
      </c>
      <c r="K19" s="118">
        <f>SUM(K20:K20)</f>
        <v>0</v>
      </c>
      <c r="L19" s="109"/>
      <c r="AI19" s="109"/>
      <c r="AS19" s="118">
        <f>SUM(AJ20:AJ20)</f>
        <v>0</v>
      </c>
      <c r="AT19" s="118">
        <f>SUM(AK20:AK20)</f>
        <v>0</v>
      </c>
      <c r="AU19" s="118">
        <f>SUM(AL20:AL20)</f>
        <v>0</v>
      </c>
    </row>
    <row r="20" spans="1:62" x14ac:dyDescent="0.2">
      <c r="A20" s="117" t="s">
        <v>13</v>
      </c>
      <c r="B20" s="117" t="s">
        <v>577</v>
      </c>
      <c r="C20" s="304" t="s">
        <v>1060</v>
      </c>
      <c r="D20" s="305"/>
      <c r="E20" s="305"/>
      <c r="F20" s="117" t="s">
        <v>1647</v>
      </c>
      <c r="G20" s="116">
        <v>8.4440000000000008</v>
      </c>
      <c r="H20" s="159"/>
      <c r="I20" s="108">
        <f>G20*AO20</f>
        <v>0</v>
      </c>
      <c r="J20" s="108">
        <f>G20*AP20</f>
        <v>0</v>
      </c>
      <c r="K20" s="108">
        <f>G20*H20</f>
        <v>0</v>
      </c>
      <c r="L20" s="111" t="s">
        <v>1671</v>
      </c>
      <c r="Z20" s="100">
        <f>IF(AQ20="5",BJ20,0)</f>
        <v>0</v>
      </c>
      <c r="AB20" s="100">
        <f>IF(AQ20="1",BH20,0)</f>
        <v>0</v>
      </c>
      <c r="AC20" s="100">
        <f>IF(AQ20="1",BI20,0)</f>
        <v>0</v>
      </c>
      <c r="AD20" s="100">
        <f>IF(AQ20="7",BH20,0)</f>
        <v>0</v>
      </c>
      <c r="AE20" s="100">
        <f>IF(AQ20="7",BI20,0)</f>
        <v>0</v>
      </c>
      <c r="AF20" s="100">
        <f>IF(AQ20="2",BH20,0)</f>
        <v>0</v>
      </c>
      <c r="AG20" s="100">
        <f>IF(AQ20="2",BI20,0)</f>
        <v>0</v>
      </c>
      <c r="AH20" s="100">
        <f>IF(AQ20="0",BJ20,0)</f>
        <v>0</v>
      </c>
      <c r="AI20" s="109"/>
      <c r="AJ20" s="108">
        <f>IF(AN20=0,K20,0)</f>
        <v>0</v>
      </c>
      <c r="AK20" s="108">
        <f>IF(AN20=15,K20,0)</f>
        <v>0</v>
      </c>
      <c r="AL20" s="108">
        <f>IF(AN20=21,K20,0)</f>
        <v>0</v>
      </c>
      <c r="AN20" s="100">
        <v>15</v>
      </c>
      <c r="AO20" s="100">
        <f>H20*0</f>
        <v>0</v>
      </c>
      <c r="AP20" s="100">
        <f>H20*(1-0)</f>
        <v>0</v>
      </c>
      <c r="AQ20" s="111" t="s">
        <v>7</v>
      </c>
      <c r="AV20" s="100">
        <f>AW20+AX20</f>
        <v>0</v>
      </c>
      <c r="AW20" s="100">
        <f>G20*AO20</f>
        <v>0</v>
      </c>
      <c r="AX20" s="100">
        <f>G20*AP20</f>
        <v>0</v>
      </c>
      <c r="AY20" s="110" t="s">
        <v>1682</v>
      </c>
      <c r="AZ20" s="110" t="s">
        <v>1724</v>
      </c>
      <c r="BA20" s="109" t="s">
        <v>1737</v>
      </c>
      <c r="BC20" s="100">
        <f>AW20+AX20</f>
        <v>0</v>
      </c>
      <c r="BD20" s="100">
        <f>H20/(100-BE20)*100</f>
        <v>0</v>
      </c>
      <c r="BE20" s="100">
        <v>0</v>
      </c>
      <c r="BF20" s="100">
        <f>20</f>
        <v>20</v>
      </c>
      <c r="BH20" s="108">
        <f>G20*AO20</f>
        <v>0</v>
      </c>
      <c r="BI20" s="108">
        <f>G20*AP20</f>
        <v>0</v>
      </c>
      <c r="BJ20" s="108">
        <f>G20*H20</f>
        <v>0</v>
      </c>
    </row>
    <row r="21" spans="1:62" x14ac:dyDescent="0.2">
      <c r="A21" s="119"/>
      <c r="B21" s="120" t="s">
        <v>19</v>
      </c>
      <c r="C21" s="306" t="s">
        <v>1061</v>
      </c>
      <c r="D21" s="307"/>
      <c r="E21" s="307"/>
      <c r="F21" s="119" t="s">
        <v>6</v>
      </c>
      <c r="G21" s="119" t="s">
        <v>6</v>
      </c>
      <c r="H21" s="119" t="s">
        <v>6</v>
      </c>
      <c r="I21" s="118">
        <f>SUM(I22:I25)</f>
        <v>0</v>
      </c>
      <c r="J21" s="118">
        <f>SUM(J22:J25)</f>
        <v>0</v>
      </c>
      <c r="K21" s="118">
        <f>SUM(K22:K25)</f>
        <v>0</v>
      </c>
      <c r="L21" s="109"/>
      <c r="AI21" s="109"/>
      <c r="AS21" s="118">
        <f>SUM(AJ22:AJ25)</f>
        <v>0</v>
      </c>
      <c r="AT21" s="118">
        <f>SUM(AK22:AK25)</f>
        <v>0</v>
      </c>
      <c r="AU21" s="118">
        <f>SUM(AL22:AL25)</f>
        <v>0</v>
      </c>
    </row>
    <row r="22" spans="1:62" x14ac:dyDescent="0.2">
      <c r="A22" s="117" t="s">
        <v>14</v>
      </c>
      <c r="B22" s="117" t="s">
        <v>578</v>
      </c>
      <c r="C22" s="304" t="s">
        <v>1062</v>
      </c>
      <c r="D22" s="305"/>
      <c r="E22" s="305"/>
      <c r="F22" s="117" t="s">
        <v>1647</v>
      </c>
      <c r="G22" s="116">
        <v>112.33</v>
      </c>
      <c r="H22" s="159"/>
      <c r="I22" s="108">
        <f>G22*AO22</f>
        <v>0</v>
      </c>
      <c r="J22" s="108">
        <f>G22*AP22</f>
        <v>0</v>
      </c>
      <c r="K22" s="108">
        <f>G22*H22</f>
        <v>0</v>
      </c>
      <c r="L22" s="111" t="s">
        <v>1671</v>
      </c>
      <c r="Z22" s="100">
        <f>IF(AQ22="5",BJ22,0)</f>
        <v>0</v>
      </c>
      <c r="AB22" s="100">
        <f>IF(AQ22="1",BH22,0)</f>
        <v>0</v>
      </c>
      <c r="AC22" s="100">
        <f>IF(AQ22="1",BI22,0)</f>
        <v>0</v>
      </c>
      <c r="AD22" s="100">
        <f>IF(AQ22="7",BH22,0)</f>
        <v>0</v>
      </c>
      <c r="AE22" s="100">
        <f>IF(AQ22="7",BI22,0)</f>
        <v>0</v>
      </c>
      <c r="AF22" s="100">
        <f>IF(AQ22="2",BH22,0)</f>
        <v>0</v>
      </c>
      <c r="AG22" s="100">
        <f>IF(AQ22="2",BI22,0)</f>
        <v>0</v>
      </c>
      <c r="AH22" s="100">
        <f>IF(AQ22="0",BJ22,0)</f>
        <v>0</v>
      </c>
      <c r="AI22" s="109"/>
      <c r="AJ22" s="108">
        <f>IF(AN22=0,K22,0)</f>
        <v>0</v>
      </c>
      <c r="AK22" s="108">
        <f>IF(AN22=15,K22,0)</f>
        <v>0</v>
      </c>
      <c r="AL22" s="108">
        <f>IF(AN22=21,K22,0)</f>
        <v>0</v>
      </c>
      <c r="AN22" s="100">
        <v>15</v>
      </c>
      <c r="AO22" s="100">
        <f>H22*0</f>
        <v>0</v>
      </c>
      <c r="AP22" s="100">
        <f>H22*(1-0)</f>
        <v>0</v>
      </c>
      <c r="AQ22" s="111" t="s">
        <v>7</v>
      </c>
      <c r="AV22" s="100">
        <f>AW22+AX22</f>
        <v>0</v>
      </c>
      <c r="AW22" s="100">
        <f>G22*AO22</f>
        <v>0</v>
      </c>
      <c r="AX22" s="100">
        <f>G22*AP22</f>
        <v>0</v>
      </c>
      <c r="AY22" s="110" t="s">
        <v>1683</v>
      </c>
      <c r="AZ22" s="110" t="s">
        <v>1724</v>
      </c>
      <c r="BA22" s="109" t="s">
        <v>1737</v>
      </c>
      <c r="BC22" s="100">
        <f>AW22+AX22</f>
        <v>0</v>
      </c>
      <c r="BD22" s="100">
        <f>H22/(100-BE22)*100</f>
        <v>0</v>
      </c>
      <c r="BE22" s="100">
        <v>0</v>
      </c>
      <c r="BF22" s="100">
        <f>22</f>
        <v>22</v>
      </c>
      <c r="BH22" s="108">
        <f>G22*AO22</f>
        <v>0</v>
      </c>
      <c r="BI22" s="108">
        <f>G22*AP22</f>
        <v>0</v>
      </c>
      <c r="BJ22" s="108">
        <f>G22*H22</f>
        <v>0</v>
      </c>
    </row>
    <row r="23" spans="1:62" x14ac:dyDescent="0.2">
      <c r="A23" s="117" t="s">
        <v>15</v>
      </c>
      <c r="B23" s="117" t="s">
        <v>579</v>
      </c>
      <c r="C23" s="304" t="s">
        <v>1063</v>
      </c>
      <c r="D23" s="305"/>
      <c r="E23" s="305"/>
      <c r="F23" s="117" t="s">
        <v>1647</v>
      </c>
      <c r="G23" s="116">
        <v>112.33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1683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7" t="s">
        <v>16</v>
      </c>
      <c r="B24" s="117" t="s">
        <v>580</v>
      </c>
      <c r="C24" s="304" t="s">
        <v>1064</v>
      </c>
      <c r="D24" s="305"/>
      <c r="E24" s="305"/>
      <c r="F24" s="117" t="s">
        <v>1647</v>
      </c>
      <c r="G24" s="116">
        <v>2.2050000000000001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</f>
        <v>0</v>
      </c>
      <c r="AP24" s="100">
        <f>H24*(1-0)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1683</v>
      </c>
      <c r="AZ24" s="110" t="s">
        <v>1724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17</v>
      </c>
      <c r="B25" s="117" t="s">
        <v>580</v>
      </c>
      <c r="C25" s="304" t="s">
        <v>2162</v>
      </c>
      <c r="D25" s="305"/>
      <c r="E25" s="305"/>
      <c r="F25" s="117" t="s">
        <v>1647</v>
      </c>
      <c r="G25" s="116">
        <v>1.48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1683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9"/>
      <c r="B26" s="120" t="s">
        <v>22</v>
      </c>
      <c r="C26" s="306" t="s">
        <v>1066</v>
      </c>
      <c r="D26" s="307"/>
      <c r="E26" s="307"/>
      <c r="F26" s="119" t="s">
        <v>6</v>
      </c>
      <c r="G26" s="119" t="s">
        <v>6</v>
      </c>
      <c r="H26" s="119" t="s">
        <v>6</v>
      </c>
      <c r="I26" s="118">
        <f>SUM(I27:I29)</f>
        <v>0</v>
      </c>
      <c r="J26" s="118">
        <f>SUM(J27:J29)</f>
        <v>0</v>
      </c>
      <c r="K26" s="118">
        <f>SUM(K27:K29)</f>
        <v>0</v>
      </c>
      <c r="L26" s="109"/>
      <c r="AI26" s="109"/>
      <c r="AS26" s="118">
        <f>SUM(AJ27:AJ29)</f>
        <v>0</v>
      </c>
      <c r="AT26" s="118">
        <f>SUM(AK27:AK29)</f>
        <v>0</v>
      </c>
      <c r="AU26" s="118">
        <f>SUM(AL27:AL29)</f>
        <v>0</v>
      </c>
    </row>
    <row r="27" spans="1:62" x14ac:dyDescent="0.2">
      <c r="A27" s="117" t="s">
        <v>18</v>
      </c>
      <c r="B27" s="117" t="s">
        <v>581</v>
      </c>
      <c r="C27" s="304" t="s">
        <v>1067</v>
      </c>
      <c r="D27" s="305"/>
      <c r="E27" s="305"/>
      <c r="F27" s="117" t="s">
        <v>1647</v>
      </c>
      <c r="G27" s="116">
        <v>46.838000000000001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</f>
        <v>0</v>
      </c>
      <c r="AP27" s="100">
        <f>H27*(1-0)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1684</v>
      </c>
      <c r="AZ27" s="110" t="s">
        <v>1724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7" t="s">
        <v>19</v>
      </c>
      <c r="B28" s="117" t="s">
        <v>582</v>
      </c>
      <c r="C28" s="304" t="s">
        <v>1068</v>
      </c>
      <c r="D28" s="305"/>
      <c r="E28" s="305"/>
      <c r="F28" s="117" t="s">
        <v>1648</v>
      </c>
      <c r="G28" s="116">
        <v>81.966999999999999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</f>
        <v>0</v>
      </c>
      <c r="AP28" s="100">
        <f>H28*(1-0)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1684</v>
      </c>
      <c r="AZ28" s="110" t="s">
        <v>1724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A29" s="117" t="s">
        <v>20</v>
      </c>
      <c r="B29" s="117" t="s">
        <v>583</v>
      </c>
      <c r="C29" s="304" t="s">
        <v>1069</v>
      </c>
      <c r="D29" s="305"/>
      <c r="E29" s="305"/>
      <c r="F29" s="117" t="s">
        <v>1647</v>
      </c>
      <c r="G29" s="116">
        <v>46.838000000000001</v>
      </c>
      <c r="H29" s="159"/>
      <c r="I29" s="108">
        <f>G29*AO29</f>
        <v>0</v>
      </c>
      <c r="J29" s="108">
        <f>G29*AP29</f>
        <v>0</v>
      </c>
      <c r="K29" s="108">
        <f>G29*H29</f>
        <v>0</v>
      </c>
      <c r="L29" s="111" t="s">
        <v>1671</v>
      </c>
      <c r="Z29" s="100">
        <f>IF(AQ29="5",BJ29,0)</f>
        <v>0</v>
      </c>
      <c r="AB29" s="100">
        <f>IF(AQ29="1",BH29,0)</f>
        <v>0</v>
      </c>
      <c r="AC29" s="100">
        <f>IF(AQ29="1",BI29,0)</f>
        <v>0</v>
      </c>
      <c r="AD29" s="100">
        <f>IF(AQ29="7",BH29,0)</f>
        <v>0</v>
      </c>
      <c r="AE29" s="100">
        <f>IF(AQ29="7",BI29,0)</f>
        <v>0</v>
      </c>
      <c r="AF29" s="100">
        <f>IF(AQ29="2",BH29,0)</f>
        <v>0</v>
      </c>
      <c r="AG29" s="100">
        <f>IF(AQ29="2",BI29,0)</f>
        <v>0</v>
      </c>
      <c r="AH29" s="100">
        <f>IF(AQ29="0",BJ29,0)</f>
        <v>0</v>
      </c>
      <c r="AI29" s="109"/>
      <c r="AJ29" s="108">
        <f>IF(AN29=0,K29,0)</f>
        <v>0</v>
      </c>
      <c r="AK29" s="108">
        <f>IF(AN29=15,K29,0)</f>
        <v>0</v>
      </c>
      <c r="AL29" s="108">
        <f>IF(AN29=21,K29,0)</f>
        <v>0</v>
      </c>
      <c r="AN29" s="100">
        <v>15</v>
      </c>
      <c r="AO29" s="100">
        <f>H29*0</f>
        <v>0</v>
      </c>
      <c r="AP29" s="100">
        <f>H29*(1-0)</f>
        <v>0</v>
      </c>
      <c r="AQ29" s="111" t="s">
        <v>7</v>
      </c>
      <c r="AV29" s="100">
        <f>AW29+AX29</f>
        <v>0</v>
      </c>
      <c r="AW29" s="100">
        <f>G29*AO29</f>
        <v>0</v>
      </c>
      <c r="AX29" s="100">
        <f>G29*AP29</f>
        <v>0</v>
      </c>
      <c r="AY29" s="110" t="s">
        <v>1684</v>
      </c>
      <c r="AZ29" s="110" t="s">
        <v>1724</v>
      </c>
      <c r="BA29" s="109" t="s">
        <v>1737</v>
      </c>
      <c r="BC29" s="100">
        <f>AW29+AX29</f>
        <v>0</v>
      </c>
      <c r="BD29" s="100">
        <f>H29/(100-BE29)*100</f>
        <v>0</v>
      </c>
      <c r="BE29" s="100">
        <v>0</v>
      </c>
      <c r="BF29" s="100">
        <f>29</f>
        <v>29</v>
      </c>
      <c r="BH29" s="108">
        <f>G29*AO29</f>
        <v>0</v>
      </c>
      <c r="BI29" s="108">
        <f>G29*AP29</f>
        <v>0</v>
      </c>
      <c r="BJ29" s="108">
        <f>G29*H29</f>
        <v>0</v>
      </c>
    </row>
    <row r="30" spans="1:62" x14ac:dyDescent="0.2">
      <c r="A30" s="119"/>
      <c r="B30" s="120" t="s">
        <v>23</v>
      </c>
      <c r="C30" s="306" t="s">
        <v>1070</v>
      </c>
      <c r="D30" s="307"/>
      <c r="E30" s="307"/>
      <c r="F30" s="119" t="s">
        <v>6</v>
      </c>
      <c r="G30" s="119" t="s">
        <v>6</v>
      </c>
      <c r="H30" s="119" t="s">
        <v>6</v>
      </c>
      <c r="I30" s="118">
        <f>SUM(I31:I34)</f>
        <v>0</v>
      </c>
      <c r="J30" s="118">
        <f>SUM(J31:J34)</f>
        <v>0</v>
      </c>
      <c r="K30" s="118">
        <f>SUM(K31:K34)</f>
        <v>0</v>
      </c>
      <c r="L30" s="109"/>
      <c r="AI30" s="109"/>
      <c r="AS30" s="118">
        <f>SUM(AJ31:AJ34)</f>
        <v>0</v>
      </c>
      <c r="AT30" s="118">
        <f>SUM(AK31:AK34)</f>
        <v>0</v>
      </c>
      <c r="AU30" s="118">
        <f>SUM(AL31:AL34)</f>
        <v>0</v>
      </c>
    </row>
    <row r="31" spans="1:62" x14ac:dyDescent="0.2">
      <c r="A31" s="117" t="s">
        <v>21</v>
      </c>
      <c r="B31" s="117" t="s">
        <v>584</v>
      </c>
      <c r="C31" s="304" t="s">
        <v>1071</v>
      </c>
      <c r="D31" s="305"/>
      <c r="E31" s="305"/>
      <c r="F31" s="117" t="s">
        <v>1647</v>
      </c>
      <c r="G31" s="116">
        <v>46.838000000000001</v>
      </c>
      <c r="H31" s="159"/>
      <c r="I31" s="108">
        <f>G31*AO31</f>
        <v>0</v>
      </c>
      <c r="J31" s="108">
        <f>G31*AP31</f>
        <v>0</v>
      </c>
      <c r="K31" s="108">
        <f>G31*H31</f>
        <v>0</v>
      </c>
      <c r="L31" s="111" t="s">
        <v>1671</v>
      </c>
      <c r="Z31" s="100">
        <f>IF(AQ31="5",BJ31,0)</f>
        <v>0</v>
      </c>
      <c r="AB31" s="100">
        <f>IF(AQ31="1",BH31,0)</f>
        <v>0</v>
      </c>
      <c r="AC31" s="100">
        <f>IF(AQ31="1",BI31,0)</f>
        <v>0</v>
      </c>
      <c r="AD31" s="100">
        <f>IF(AQ31="7",BH31,0)</f>
        <v>0</v>
      </c>
      <c r="AE31" s="100">
        <f>IF(AQ31="7",BI31,0)</f>
        <v>0</v>
      </c>
      <c r="AF31" s="100">
        <f>IF(AQ31="2",BH31,0)</f>
        <v>0</v>
      </c>
      <c r="AG31" s="100">
        <f>IF(AQ31="2",BI31,0)</f>
        <v>0</v>
      </c>
      <c r="AH31" s="100">
        <f>IF(AQ31="0",BJ31,0)</f>
        <v>0</v>
      </c>
      <c r="AI31" s="109"/>
      <c r="AJ31" s="108">
        <f>IF(AN31=0,K31,0)</f>
        <v>0</v>
      </c>
      <c r="AK31" s="108">
        <f>IF(AN31=15,K31,0)</f>
        <v>0</v>
      </c>
      <c r="AL31" s="108">
        <f>IF(AN31=21,K31,0)</f>
        <v>0</v>
      </c>
      <c r="AN31" s="100">
        <v>15</v>
      </c>
      <c r="AO31" s="100">
        <f>H31*0</f>
        <v>0</v>
      </c>
      <c r="AP31" s="100">
        <f>H31*(1-0)</f>
        <v>0</v>
      </c>
      <c r="AQ31" s="111" t="s">
        <v>7</v>
      </c>
      <c r="AV31" s="100">
        <f>AW31+AX31</f>
        <v>0</v>
      </c>
      <c r="AW31" s="100">
        <f>G31*AO31</f>
        <v>0</v>
      </c>
      <c r="AX31" s="100">
        <f>G31*AP31</f>
        <v>0</v>
      </c>
      <c r="AY31" s="110" t="s">
        <v>1685</v>
      </c>
      <c r="AZ31" s="110" t="s">
        <v>1724</v>
      </c>
      <c r="BA31" s="109" t="s">
        <v>1737</v>
      </c>
      <c r="BC31" s="100">
        <f>AW31+AX31</f>
        <v>0</v>
      </c>
      <c r="BD31" s="100">
        <f>H31/(100-BE31)*100</f>
        <v>0</v>
      </c>
      <c r="BE31" s="100">
        <v>0</v>
      </c>
      <c r="BF31" s="100">
        <f>31</f>
        <v>31</v>
      </c>
      <c r="BH31" s="108">
        <f>G31*AO31</f>
        <v>0</v>
      </c>
      <c r="BI31" s="108">
        <f>G31*AP31</f>
        <v>0</v>
      </c>
      <c r="BJ31" s="108">
        <f>G31*H31</f>
        <v>0</v>
      </c>
    </row>
    <row r="32" spans="1:62" x14ac:dyDescent="0.2">
      <c r="A32" s="117" t="s">
        <v>22</v>
      </c>
      <c r="B32" s="117" t="s">
        <v>585</v>
      </c>
      <c r="C32" s="304" t="s">
        <v>1072</v>
      </c>
      <c r="D32" s="305"/>
      <c r="E32" s="305"/>
      <c r="F32" s="117" t="s">
        <v>1647</v>
      </c>
      <c r="G32" s="116">
        <v>65.984999999999999</v>
      </c>
      <c r="H32" s="159"/>
      <c r="I32" s="108">
        <f>G32*AO32</f>
        <v>0</v>
      </c>
      <c r="J32" s="108">
        <f>G32*AP32</f>
        <v>0</v>
      </c>
      <c r="K32" s="108">
        <f>G32*H32</f>
        <v>0</v>
      </c>
      <c r="L32" s="111" t="s">
        <v>1671</v>
      </c>
      <c r="Z32" s="100">
        <f>IF(AQ32="5",BJ32,0)</f>
        <v>0</v>
      </c>
      <c r="AB32" s="100">
        <f>IF(AQ32="1",BH32,0)</f>
        <v>0</v>
      </c>
      <c r="AC32" s="100">
        <f>IF(AQ32="1",BI32,0)</f>
        <v>0</v>
      </c>
      <c r="AD32" s="100">
        <f>IF(AQ32="7",BH32,0)</f>
        <v>0</v>
      </c>
      <c r="AE32" s="100">
        <f>IF(AQ32="7",BI32,0)</f>
        <v>0</v>
      </c>
      <c r="AF32" s="100">
        <f>IF(AQ32="2",BH32,0)</f>
        <v>0</v>
      </c>
      <c r="AG32" s="100">
        <f>IF(AQ32="2",BI32,0)</f>
        <v>0</v>
      </c>
      <c r="AH32" s="100">
        <f>IF(AQ32="0",BJ32,0)</f>
        <v>0</v>
      </c>
      <c r="AI32" s="109"/>
      <c r="AJ32" s="108">
        <f>IF(AN32=0,K32,0)</f>
        <v>0</v>
      </c>
      <c r="AK32" s="108">
        <f>IF(AN32=15,K32,0)</f>
        <v>0</v>
      </c>
      <c r="AL32" s="108">
        <f>IF(AN32=21,K32,0)</f>
        <v>0</v>
      </c>
      <c r="AN32" s="100">
        <v>15</v>
      </c>
      <c r="AO32" s="100">
        <f>H32*0</f>
        <v>0</v>
      </c>
      <c r="AP32" s="100">
        <f>H32*(1-0)</f>
        <v>0</v>
      </c>
      <c r="AQ32" s="111" t="s">
        <v>7</v>
      </c>
      <c r="AV32" s="100">
        <f>AW32+AX32</f>
        <v>0</v>
      </c>
      <c r="AW32" s="100">
        <f>G32*AO32</f>
        <v>0</v>
      </c>
      <c r="AX32" s="100">
        <f>G32*AP32</f>
        <v>0</v>
      </c>
      <c r="AY32" s="110" t="s">
        <v>1685</v>
      </c>
      <c r="AZ32" s="110" t="s">
        <v>1724</v>
      </c>
      <c r="BA32" s="109" t="s">
        <v>1737</v>
      </c>
      <c r="BC32" s="100">
        <f>AW32+AX32</f>
        <v>0</v>
      </c>
      <c r="BD32" s="100">
        <f>H32/(100-BE32)*100</f>
        <v>0</v>
      </c>
      <c r="BE32" s="100">
        <v>0</v>
      </c>
      <c r="BF32" s="100">
        <f>32</f>
        <v>32</v>
      </c>
      <c r="BH32" s="108">
        <f>G32*AO32</f>
        <v>0</v>
      </c>
      <c r="BI32" s="108">
        <f>G32*AP32</f>
        <v>0</v>
      </c>
      <c r="BJ32" s="108">
        <f>G32*H32</f>
        <v>0</v>
      </c>
    </row>
    <row r="33" spans="1:62" x14ac:dyDescent="0.2">
      <c r="A33" s="117" t="s">
        <v>23</v>
      </c>
      <c r="B33" s="117" t="s">
        <v>585</v>
      </c>
      <c r="C33" s="304" t="s">
        <v>1074</v>
      </c>
      <c r="D33" s="305"/>
      <c r="E33" s="305"/>
      <c r="F33" s="117" t="s">
        <v>1647</v>
      </c>
      <c r="G33" s="116">
        <v>1.86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</f>
        <v>0</v>
      </c>
      <c r="AP33" s="100">
        <f>H33*(1-0)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1685</v>
      </c>
      <c r="AZ33" s="110" t="s">
        <v>1724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7" t="s">
        <v>24</v>
      </c>
      <c r="B34" s="117" t="s">
        <v>586</v>
      </c>
      <c r="C34" s="304" t="s">
        <v>2160</v>
      </c>
      <c r="D34" s="305"/>
      <c r="E34" s="305"/>
      <c r="F34" s="117" t="s">
        <v>1647</v>
      </c>
      <c r="G34" s="116">
        <v>1.3320000000000001</v>
      </c>
      <c r="H34" s="159"/>
      <c r="I34" s="108">
        <f>G34*AO34</f>
        <v>0</v>
      </c>
      <c r="J34" s="108">
        <f>G34*AP34</f>
        <v>0</v>
      </c>
      <c r="K34" s="108">
        <f>G34*H34</f>
        <v>0</v>
      </c>
      <c r="L34" s="111" t="s">
        <v>1671</v>
      </c>
      <c r="Z34" s="100">
        <f>IF(AQ34="5",BJ34,0)</f>
        <v>0</v>
      </c>
      <c r="AB34" s="100">
        <f>IF(AQ34="1",BH34,0)</f>
        <v>0</v>
      </c>
      <c r="AC34" s="100">
        <f>IF(AQ34="1",BI34,0)</f>
        <v>0</v>
      </c>
      <c r="AD34" s="100">
        <f>IF(AQ34="7",BH34,0)</f>
        <v>0</v>
      </c>
      <c r="AE34" s="100">
        <f>IF(AQ34="7",BI34,0)</f>
        <v>0</v>
      </c>
      <c r="AF34" s="100">
        <f>IF(AQ34="2",BH34,0)</f>
        <v>0</v>
      </c>
      <c r="AG34" s="100">
        <f>IF(AQ34="2",BI34,0)</f>
        <v>0</v>
      </c>
      <c r="AH34" s="100">
        <f>IF(AQ34="0",BJ34,0)</f>
        <v>0</v>
      </c>
      <c r="AI34" s="109"/>
      <c r="AJ34" s="108">
        <f>IF(AN34=0,K34,0)</f>
        <v>0</v>
      </c>
      <c r="AK34" s="108">
        <f>IF(AN34=15,K34,0)</f>
        <v>0</v>
      </c>
      <c r="AL34" s="108">
        <f>IF(AN34=21,K34,0)</f>
        <v>0</v>
      </c>
      <c r="AN34" s="100">
        <v>15</v>
      </c>
      <c r="AO34" s="100">
        <f>H34*0</f>
        <v>0</v>
      </c>
      <c r="AP34" s="100">
        <f>H34*(1-0)</f>
        <v>0</v>
      </c>
      <c r="AQ34" s="111" t="s">
        <v>7</v>
      </c>
      <c r="AV34" s="100">
        <f>AW34+AX34</f>
        <v>0</v>
      </c>
      <c r="AW34" s="100">
        <f>G34*AO34</f>
        <v>0</v>
      </c>
      <c r="AX34" s="100">
        <f>G34*AP34</f>
        <v>0</v>
      </c>
      <c r="AY34" s="110" t="s">
        <v>1685</v>
      </c>
      <c r="AZ34" s="110" t="s">
        <v>1724</v>
      </c>
      <c r="BA34" s="109" t="s">
        <v>1737</v>
      </c>
      <c r="BC34" s="100">
        <f>AW34+AX34</f>
        <v>0</v>
      </c>
      <c r="BD34" s="100">
        <f>H34/(100-BE34)*100</f>
        <v>0</v>
      </c>
      <c r="BE34" s="100">
        <v>0</v>
      </c>
      <c r="BF34" s="100">
        <f>34</f>
        <v>34</v>
      </c>
      <c r="BH34" s="108">
        <f>G34*AO34</f>
        <v>0</v>
      </c>
      <c r="BI34" s="108">
        <f>G34*AP34</f>
        <v>0</v>
      </c>
      <c r="BJ34" s="108">
        <f>G34*H34</f>
        <v>0</v>
      </c>
    </row>
    <row r="35" spans="1:62" x14ac:dyDescent="0.2">
      <c r="A35" s="119"/>
      <c r="B35" s="120" t="s">
        <v>24</v>
      </c>
      <c r="C35" s="306" t="s">
        <v>1076</v>
      </c>
      <c r="D35" s="307"/>
      <c r="E35" s="307"/>
      <c r="F35" s="119" t="s">
        <v>6</v>
      </c>
      <c r="G35" s="119" t="s">
        <v>6</v>
      </c>
      <c r="H35" s="119" t="s">
        <v>6</v>
      </c>
      <c r="I35" s="118">
        <f>SUM(I36:I36)</f>
        <v>0</v>
      </c>
      <c r="J35" s="118">
        <f>SUM(J36:J36)</f>
        <v>0</v>
      </c>
      <c r="K35" s="118">
        <f>SUM(K36:K36)</f>
        <v>0</v>
      </c>
      <c r="L35" s="109"/>
      <c r="AI35" s="109"/>
      <c r="AS35" s="118">
        <f>SUM(AJ36:AJ36)</f>
        <v>0</v>
      </c>
      <c r="AT35" s="118">
        <f>SUM(AK36:AK36)</f>
        <v>0</v>
      </c>
      <c r="AU35" s="118">
        <f>SUM(AL36:AL36)</f>
        <v>0</v>
      </c>
    </row>
    <row r="36" spans="1:62" x14ac:dyDescent="0.2">
      <c r="A36" s="117" t="s">
        <v>25</v>
      </c>
      <c r="B36" s="117" t="s">
        <v>587</v>
      </c>
      <c r="C36" s="304" t="s">
        <v>1077</v>
      </c>
      <c r="D36" s="305"/>
      <c r="E36" s="305"/>
      <c r="F36" s="117" t="s">
        <v>1645</v>
      </c>
      <c r="G36" s="116">
        <v>150.40799999999999</v>
      </c>
      <c r="H36" s="159"/>
      <c r="I36" s="108">
        <f>G36*AO36</f>
        <v>0</v>
      </c>
      <c r="J36" s="108">
        <f>G36*AP36</f>
        <v>0</v>
      </c>
      <c r="K36" s="108">
        <f>G36*H36</f>
        <v>0</v>
      </c>
      <c r="L36" s="111" t="s">
        <v>1671</v>
      </c>
      <c r="Z36" s="100">
        <f>IF(AQ36="5",BJ36,0)</f>
        <v>0</v>
      </c>
      <c r="AB36" s="100">
        <f>IF(AQ36="1",BH36,0)</f>
        <v>0</v>
      </c>
      <c r="AC36" s="100">
        <f>IF(AQ36="1",BI36,0)</f>
        <v>0</v>
      </c>
      <c r="AD36" s="100">
        <f>IF(AQ36="7",BH36,0)</f>
        <v>0</v>
      </c>
      <c r="AE36" s="100">
        <f>IF(AQ36="7",BI36,0)</f>
        <v>0</v>
      </c>
      <c r="AF36" s="100">
        <f>IF(AQ36="2",BH36,0)</f>
        <v>0</v>
      </c>
      <c r="AG36" s="100">
        <f>IF(AQ36="2",BI36,0)</f>
        <v>0</v>
      </c>
      <c r="AH36" s="100">
        <f>IF(AQ36="0",BJ36,0)</f>
        <v>0</v>
      </c>
      <c r="AI36" s="109"/>
      <c r="AJ36" s="108">
        <f>IF(AN36=0,K36,0)</f>
        <v>0</v>
      </c>
      <c r="AK36" s="108">
        <f>IF(AN36=15,K36,0)</f>
        <v>0</v>
      </c>
      <c r="AL36" s="108">
        <f>IF(AN36=21,K36,0)</f>
        <v>0</v>
      </c>
      <c r="AN36" s="100">
        <v>15</v>
      </c>
      <c r="AO36" s="100">
        <f>H36*0</f>
        <v>0</v>
      </c>
      <c r="AP36" s="100">
        <f>H36*(1-0)</f>
        <v>0</v>
      </c>
      <c r="AQ36" s="111" t="s">
        <v>7</v>
      </c>
      <c r="AV36" s="100">
        <f>AW36+AX36</f>
        <v>0</v>
      </c>
      <c r="AW36" s="100">
        <f>G36*AO36</f>
        <v>0</v>
      </c>
      <c r="AX36" s="100">
        <f>G36*AP36</f>
        <v>0</v>
      </c>
      <c r="AY36" s="110" t="s">
        <v>1686</v>
      </c>
      <c r="AZ36" s="110" t="s">
        <v>1724</v>
      </c>
      <c r="BA36" s="109" t="s">
        <v>1737</v>
      </c>
      <c r="BC36" s="100">
        <f>AW36+AX36</f>
        <v>0</v>
      </c>
      <c r="BD36" s="100">
        <f>H36/(100-BE36)*100</f>
        <v>0</v>
      </c>
      <c r="BE36" s="100">
        <v>0</v>
      </c>
      <c r="BF36" s="100">
        <f>36</f>
        <v>36</v>
      </c>
      <c r="BH36" s="108">
        <f>G36*AO36</f>
        <v>0</v>
      </c>
      <c r="BI36" s="108">
        <f>G36*AP36</f>
        <v>0</v>
      </c>
      <c r="BJ36" s="108">
        <f>G36*H36</f>
        <v>0</v>
      </c>
    </row>
    <row r="37" spans="1:62" x14ac:dyDescent="0.2">
      <c r="A37" s="119"/>
      <c r="B37" s="120" t="s">
        <v>27</v>
      </c>
      <c r="C37" s="306" t="s">
        <v>1078</v>
      </c>
      <c r="D37" s="307"/>
      <c r="E37" s="307"/>
      <c r="F37" s="119" t="s">
        <v>6</v>
      </c>
      <c r="G37" s="119" t="s">
        <v>6</v>
      </c>
      <c r="H37" s="119" t="s">
        <v>6</v>
      </c>
      <c r="I37" s="118">
        <f>SUM(I38:I39)</f>
        <v>0</v>
      </c>
      <c r="J37" s="118">
        <f>SUM(J38:J39)</f>
        <v>0</v>
      </c>
      <c r="K37" s="118">
        <f>SUM(K38:K39)</f>
        <v>0</v>
      </c>
      <c r="L37" s="109"/>
      <c r="AI37" s="109"/>
      <c r="AS37" s="118">
        <f>SUM(AJ38:AJ39)</f>
        <v>0</v>
      </c>
      <c r="AT37" s="118">
        <f>SUM(AK38:AK39)</f>
        <v>0</v>
      </c>
      <c r="AU37" s="118">
        <f>SUM(AL38:AL39)</f>
        <v>0</v>
      </c>
    </row>
    <row r="38" spans="1:62" x14ac:dyDescent="0.2">
      <c r="A38" s="117" t="s">
        <v>26</v>
      </c>
      <c r="B38" s="117" t="s">
        <v>588</v>
      </c>
      <c r="C38" s="304" t="s">
        <v>1079</v>
      </c>
      <c r="D38" s="305"/>
      <c r="E38" s="305"/>
      <c r="F38" s="117" t="s">
        <v>1646</v>
      </c>
      <c r="G38" s="116">
        <v>83.75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H38*0.568421052631579</f>
        <v>0</v>
      </c>
      <c r="AP38" s="100">
        <f>H38*(1-0.568421052631579)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1687</v>
      </c>
      <c r="AZ38" s="110" t="s">
        <v>1725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7" t="s">
        <v>27</v>
      </c>
      <c r="B39" s="117" t="s">
        <v>589</v>
      </c>
      <c r="C39" s="304" t="s">
        <v>1080</v>
      </c>
      <c r="D39" s="305"/>
      <c r="E39" s="305"/>
      <c r="F39" s="117" t="s">
        <v>1646</v>
      </c>
      <c r="G39" s="116">
        <v>83.75</v>
      </c>
      <c r="H39" s="159"/>
      <c r="I39" s="108">
        <f>G39*AO39</f>
        <v>0</v>
      </c>
      <c r="J39" s="108">
        <f>G39*AP39</f>
        <v>0</v>
      </c>
      <c r="K39" s="108">
        <f>G39*H39</f>
        <v>0</v>
      </c>
      <c r="L39" s="111" t="s">
        <v>1671</v>
      </c>
      <c r="Z39" s="100">
        <f>IF(AQ39="5",BJ39,0)</f>
        <v>0</v>
      </c>
      <c r="AB39" s="100">
        <f>IF(AQ39="1",BH39,0)</f>
        <v>0</v>
      </c>
      <c r="AC39" s="100">
        <f>IF(AQ39="1",BI39,0)</f>
        <v>0</v>
      </c>
      <c r="AD39" s="100">
        <f>IF(AQ39="7",BH39,0)</f>
        <v>0</v>
      </c>
      <c r="AE39" s="100">
        <f>IF(AQ39="7",BI39,0)</f>
        <v>0</v>
      </c>
      <c r="AF39" s="100">
        <f>IF(AQ39="2",BH39,0)</f>
        <v>0</v>
      </c>
      <c r="AG39" s="100">
        <f>IF(AQ39="2",BI39,0)</f>
        <v>0</v>
      </c>
      <c r="AH39" s="100">
        <f>IF(AQ39="0",BJ39,0)</f>
        <v>0</v>
      </c>
      <c r="AI39" s="109"/>
      <c r="AJ39" s="108">
        <f>IF(AN39=0,K39,0)</f>
        <v>0</v>
      </c>
      <c r="AK39" s="108">
        <f>IF(AN39=15,K39,0)</f>
        <v>0</v>
      </c>
      <c r="AL39" s="108">
        <f>IF(AN39=21,K39,0)</f>
        <v>0</v>
      </c>
      <c r="AN39" s="100">
        <v>15</v>
      </c>
      <c r="AO39" s="100">
        <f>H39*0.677510040160643</f>
        <v>0</v>
      </c>
      <c r="AP39" s="100">
        <f>H39*(1-0.677510040160643)</f>
        <v>0</v>
      </c>
      <c r="AQ39" s="111" t="s">
        <v>7</v>
      </c>
      <c r="AV39" s="100">
        <f>AW39+AX39</f>
        <v>0</v>
      </c>
      <c r="AW39" s="100">
        <f>G39*AO39</f>
        <v>0</v>
      </c>
      <c r="AX39" s="100">
        <f>G39*AP39</f>
        <v>0</v>
      </c>
      <c r="AY39" s="110" t="s">
        <v>1687</v>
      </c>
      <c r="AZ39" s="110" t="s">
        <v>1725</v>
      </c>
      <c r="BA39" s="109" t="s">
        <v>1737</v>
      </c>
      <c r="BC39" s="100">
        <f>AW39+AX39</f>
        <v>0</v>
      </c>
      <c r="BD39" s="100">
        <f>H39/(100-BE39)*100</f>
        <v>0</v>
      </c>
      <c r="BE39" s="100">
        <v>0</v>
      </c>
      <c r="BF39" s="100">
        <f>39</f>
        <v>39</v>
      </c>
      <c r="BH39" s="108">
        <f>G39*AO39</f>
        <v>0</v>
      </c>
      <c r="BI39" s="108">
        <f>G39*AP39</f>
        <v>0</v>
      </c>
      <c r="BJ39" s="108">
        <f>G39*H39</f>
        <v>0</v>
      </c>
    </row>
    <row r="40" spans="1:62" x14ac:dyDescent="0.2">
      <c r="A40" s="119"/>
      <c r="B40" s="120" t="s">
        <v>33</v>
      </c>
      <c r="C40" s="306" t="s">
        <v>1081</v>
      </c>
      <c r="D40" s="307"/>
      <c r="E40" s="307"/>
      <c r="F40" s="119" t="s">
        <v>6</v>
      </c>
      <c r="G40" s="119" t="s">
        <v>6</v>
      </c>
      <c r="H40" s="119" t="s">
        <v>6</v>
      </c>
      <c r="I40" s="118">
        <f>SUM(I41:I42)</f>
        <v>0</v>
      </c>
      <c r="J40" s="118">
        <f>SUM(J41:J42)</f>
        <v>0</v>
      </c>
      <c r="K40" s="118">
        <f>SUM(K41:K42)</f>
        <v>0</v>
      </c>
      <c r="L40" s="109"/>
      <c r="AI40" s="109"/>
      <c r="AS40" s="118">
        <f>SUM(AJ41:AJ42)</f>
        <v>0</v>
      </c>
      <c r="AT40" s="118">
        <f>SUM(AK41:AK42)</f>
        <v>0</v>
      </c>
      <c r="AU40" s="118">
        <f>SUM(AL41:AL42)</f>
        <v>0</v>
      </c>
    </row>
    <row r="41" spans="1:62" x14ac:dyDescent="0.2">
      <c r="A41" s="117" t="s">
        <v>28</v>
      </c>
      <c r="B41" s="117" t="s">
        <v>590</v>
      </c>
      <c r="C41" s="304" t="s">
        <v>1082</v>
      </c>
      <c r="D41" s="305"/>
      <c r="E41" s="305"/>
      <c r="F41" s="117" t="s">
        <v>1647</v>
      </c>
      <c r="G41" s="116">
        <v>6.4000000000000001E-2</v>
      </c>
      <c r="H41" s="159"/>
      <c r="I41" s="108">
        <f>G41*AO41</f>
        <v>0</v>
      </c>
      <c r="J41" s="108">
        <f>G41*AP41</f>
        <v>0</v>
      </c>
      <c r="K41" s="108">
        <f>G41*H41</f>
        <v>0</v>
      </c>
      <c r="L41" s="111" t="s">
        <v>1671</v>
      </c>
      <c r="Z41" s="100">
        <f>IF(AQ41="5",BJ41,0)</f>
        <v>0</v>
      </c>
      <c r="AB41" s="100">
        <f>IF(AQ41="1",BH41,0)</f>
        <v>0</v>
      </c>
      <c r="AC41" s="100">
        <f>IF(AQ41="1",BI41,0)</f>
        <v>0</v>
      </c>
      <c r="AD41" s="100">
        <f>IF(AQ41="7",BH41,0)</f>
        <v>0</v>
      </c>
      <c r="AE41" s="100">
        <f>IF(AQ41="7",BI41,0)</f>
        <v>0</v>
      </c>
      <c r="AF41" s="100">
        <f>IF(AQ41="2",BH41,0)</f>
        <v>0</v>
      </c>
      <c r="AG41" s="100">
        <f>IF(AQ41="2",BI41,0)</f>
        <v>0</v>
      </c>
      <c r="AH41" s="100">
        <f>IF(AQ41="0",BJ41,0)</f>
        <v>0</v>
      </c>
      <c r="AI41" s="109"/>
      <c r="AJ41" s="108">
        <f>IF(AN41=0,K41,0)</f>
        <v>0</v>
      </c>
      <c r="AK41" s="108">
        <f>IF(AN41=15,K41,0)</f>
        <v>0</v>
      </c>
      <c r="AL41" s="108">
        <f>IF(AN41=21,K41,0)</f>
        <v>0</v>
      </c>
      <c r="AN41" s="100">
        <v>15</v>
      </c>
      <c r="AO41" s="100">
        <f>H41*0.283464063886424</f>
        <v>0</v>
      </c>
      <c r="AP41" s="100">
        <f>H41*(1-0.283464063886424)</f>
        <v>0</v>
      </c>
      <c r="AQ41" s="111" t="s">
        <v>7</v>
      </c>
      <c r="AV41" s="100">
        <f>AW41+AX41</f>
        <v>0</v>
      </c>
      <c r="AW41" s="100">
        <f>G41*AO41</f>
        <v>0</v>
      </c>
      <c r="AX41" s="100">
        <f>G41*AP41</f>
        <v>0</v>
      </c>
      <c r="AY41" s="110" t="s">
        <v>1688</v>
      </c>
      <c r="AZ41" s="110" t="s">
        <v>1725</v>
      </c>
      <c r="BA41" s="109" t="s">
        <v>1737</v>
      </c>
      <c r="BC41" s="100">
        <f>AW41+AX41</f>
        <v>0</v>
      </c>
      <c r="BD41" s="100">
        <f>H41/(100-BE41)*100</f>
        <v>0</v>
      </c>
      <c r="BE41" s="100">
        <v>0</v>
      </c>
      <c r="BF41" s="100">
        <f>41</f>
        <v>41</v>
      </c>
      <c r="BH41" s="108">
        <f>G41*AO41</f>
        <v>0</v>
      </c>
      <c r="BI41" s="108">
        <f>G41*AP41</f>
        <v>0</v>
      </c>
      <c r="BJ41" s="108">
        <f>G41*H41</f>
        <v>0</v>
      </c>
    </row>
    <row r="42" spans="1:62" x14ac:dyDescent="0.2">
      <c r="A42" s="117" t="s">
        <v>29</v>
      </c>
      <c r="B42" s="117" t="s">
        <v>591</v>
      </c>
      <c r="C42" s="304" t="s">
        <v>1083</v>
      </c>
      <c r="D42" s="305"/>
      <c r="E42" s="305"/>
      <c r="F42" s="117" t="s">
        <v>1647</v>
      </c>
      <c r="G42" s="116">
        <v>0.29599999999999999</v>
      </c>
      <c r="H42" s="159"/>
      <c r="I42" s="108">
        <f>G42*AO42</f>
        <v>0</v>
      </c>
      <c r="J42" s="108">
        <f>G42*AP42</f>
        <v>0</v>
      </c>
      <c r="K42" s="108">
        <f>G42*H42</f>
        <v>0</v>
      </c>
      <c r="L42" s="111" t="s">
        <v>1671</v>
      </c>
      <c r="Z42" s="100">
        <f>IF(AQ42="5",BJ42,0)</f>
        <v>0</v>
      </c>
      <c r="AB42" s="100">
        <f>IF(AQ42="1",BH42,0)</f>
        <v>0</v>
      </c>
      <c r="AC42" s="100">
        <f>IF(AQ42="1",BI42,0)</f>
        <v>0</v>
      </c>
      <c r="AD42" s="100">
        <f>IF(AQ42="7",BH42,0)</f>
        <v>0</v>
      </c>
      <c r="AE42" s="100">
        <f>IF(AQ42="7",BI42,0)</f>
        <v>0</v>
      </c>
      <c r="AF42" s="100">
        <f>IF(AQ42="2",BH42,0)</f>
        <v>0</v>
      </c>
      <c r="AG42" s="100">
        <f>IF(AQ42="2",BI42,0)</f>
        <v>0</v>
      </c>
      <c r="AH42" s="100">
        <f>IF(AQ42="0",BJ42,0)</f>
        <v>0</v>
      </c>
      <c r="AI42" s="109"/>
      <c r="AJ42" s="108">
        <f>IF(AN42=0,K42,0)</f>
        <v>0</v>
      </c>
      <c r="AK42" s="108">
        <f>IF(AN42=15,K42,0)</f>
        <v>0</v>
      </c>
      <c r="AL42" s="108">
        <f>IF(AN42=21,K42,0)</f>
        <v>0</v>
      </c>
      <c r="AN42" s="100">
        <v>15</v>
      </c>
      <c r="AO42" s="100">
        <f>H42*0.658319082377476</f>
        <v>0</v>
      </c>
      <c r="AP42" s="100">
        <f>H42*(1-0.658319082377476)</f>
        <v>0</v>
      </c>
      <c r="AQ42" s="111" t="s">
        <v>7</v>
      </c>
      <c r="AV42" s="100">
        <f>AW42+AX42</f>
        <v>0</v>
      </c>
      <c r="AW42" s="100">
        <f>G42*AO42</f>
        <v>0</v>
      </c>
      <c r="AX42" s="100">
        <f>G42*AP42</f>
        <v>0</v>
      </c>
      <c r="AY42" s="110" t="s">
        <v>1688</v>
      </c>
      <c r="AZ42" s="110" t="s">
        <v>1725</v>
      </c>
      <c r="BA42" s="109" t="s">
        <v>1737</v>
      </c>
      <c r="BC42" s="100">
        <f>AW42+AX42</f>
        <v>0</v>
      </c>
      <c r="BD42" s="100">
        <f>H42/(100-BE42)*100</f>
        <v>0</v>
      </c>
      <c r="BE42" s="100">
        <v>0</v>
      </c>
      <c r="BF42" s="100">
        <f>42</f>
        <v>42</v>
      </c>
      <c r="BH42" s="108">
        <f>G42*AO42</f>
        <v>0</v>
      </c>
      <c r="BI42" s="108">
        <f>G42*AP42</f>
        <v>0</v>
      </c>
      <c r="BJ42" s="108">
        <f>G42*H42</f>
        <v>0</v>
      </c>
    </row>
    <row r="43" spans="1:62" x14ac:dyDescent="0.2">
      <c r="A43" s="119"/>
      <c r="B43" s="120" t="s">
        <v>37</v>
      </c>
      <c r="C43" s="306" t="s">
        <v>1084</v>
      </c>
      <c r="D43" s="307"/>
      <c r="E43" s="307"/>
      <c r="F43" s="119" t="s">
        <v>6</v>
      </c>
      <c r="G43" s="119" t="s">
        <v>6</v>
      </c>
      <c r="H43" s="119" t="s">
        <v>6</v>
      </c>
      <c r="I43" s="118">
        <f>SUM(I44:I47)</f>
        <v>0</v>
      </c>
      <c r="J43" s="118">
        <f>SUM(J44:J47)</f>
        <v>0</v>
      </c>
      <c r="K43" s="118">
        <f>SUM(K44:K47)</f>
        <v>0</v>
      </c>
      <c r="L43" s="109"/>
      <c r="AI43" s="109"/>
      <c r="AS43" s="118">
        <f>SUM(AJ44:AJ47)</f>
        <v>0</v>
      </c>
      <c r="AT43" s="118">
        <f>SUM(AK44:AK47)</f>
        <v>0</v>
      </c>
      <c r="AU43" s="118">
        <f>SUM(AL44:AL47)</f>
        <v>0</v>
      </c>
    </row>
    <row r="44" spans="1:62" x14ac:dyDescent="0.2">
      <c r="A44" s="117" t="s">
        <v>30</v>
      </c>
      <c r="B44" s="117" t="s">
        <v>2157</v>
      </c>
      <c r="C44" s="304" t="s">
        <v>2156</v>
      </c>
      <c r="D44" s="305"/>
      <c r="E44" s="305"/>
      <c r="F44" s="117" t="s">
        <v>1645</v>
      </c>
      <c r="G44" s="116">
        <v>21.76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H44*0.63564347826087</f>
        <v>0</v>
      </c>
      <c r="AP44" s="100">
        <f>H44*(1-0.63564347826087)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1689</v>
      </c>
      <c r="AZ44" s="110" t="s">
        <v>1726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7" t="s">
        <v>31</v>
      </c>
      <c r="B45" s="117" t="s">
        <v>594</v>
      </c>
      <c r="C45" s="304" t="s">
        <v>2155</v>
      </c>
      <c r="D45" s="305"/>
      <c r="E45" s="305"/>
      <c r="F45" s="117" t="s">
        <v>1648</v>
      </c>
      <c r="G45" s="116">
        <v>3.4000000000000002E-2</v>
      </c>
      <c r="H45" s="159"/>
      <c r="I45" s="108">
        <f>G45*AO45</f>
        <v>0</v>
      </c>
      <c r="J45" s="108">
        <f>G45*AP45</f>
        <v>0</v>
      </c>
      <c r="K45" s="108">
        <f>G45*H45</f>
        <v>0</v>
      </c>
      <c r="L45" s="111" t="s">
        <v>1671</v>
      </c>
      <c r="Z45" s="100">
        <f>IF(AQ45="5",BJ45,0)</f>
        <v>0</v>
      </c>
      <c r="AB45" s="100">
        <f>IF(AQ45="1",BH45,0)</f>
        <v>0</v>
      </c>
      <c r="AC45" s="100">
        <f>IF(AQ45="1",BI45,0)</f>
        <v>0</v>
      </c>
      <c r="AD45" s="100">
        <f>IF(AQ45="7",BH45,0)</f>
        <v>0</v>
      </c>
      <c r="AE45" s="100">
        <f>IF(AQ45="7",BI45,0)</f>
        <v>0</v>
      </c>
      <c r="AF45" s="100">
        <f>IF(AQ45="2",BH45,0)</f>
        <v>0</v>
      </c>
      <c r="AG45" s="100">
        <f>IF(AQ45="2",BI45,0)</f>
        <v>0</v>
      </c>
      <c r="AH45" s="100">
        <f>IF(AQ45="0",BJ45,0)</f>
        <v>0</v>
      </c>
      <c r="AI45" s="109"/>
      <c r="AJ45" s="108">
        <f>IF(AN45=0,K45,0)</f>
        <v>0</v>
      </c>
      <c r="AK45" s="108">
        <f>IF(AN45=15,K45,0)</f>
        <v>0</v>
      </c>
      <c r="AL45" s="108">
        <f>IF(AN45=21,K45,0)</f>
        <v>0</v>
      </c>
      <c r="AN45" s="100">
        <v>15</v>
      </c>
      <c r="AO45" s="100">
        <f>H45*0.782234965034965</f>
        <v>0</v>
      </c>
      <c r="AP45" s="100">
        <f>H45*(1-0.782234965034965)</f>
        <v>0</v>
      </c>
      <c r="AQ45" s="111" t="s">
        <v>7</v>
      </c>
      <c r="AV45" s="100">
        <f>AW45+AX45</f>
        <v>0</v>
      </c>
      <c r="AW45" s="100">
        <f>G45*AO45</f>
        <v>0</v>
      </c>
      <c r="AX45" s="100">
        <f>G45*AP45</f>
        <v>0</v>
      </c>
      <c r="AY45" s="110" t="s">
        <v>1689</v>
      </c>
      <c r="AZ45" s="110" t="s">
        <v>1726</v>
      </c>
      <c r="BA45" s="109" t="s">
        <v>1737</v>
      </c>
      <c r="BC45" s="100">
        <f>AW45+AX45</f>
        <v>0</v>
      </c>
      <c r="BD45" s="100">
        <f>H45/(100-BE45)*100</f>
        <v>0</v>
      </c>
      <c r="BE45" s="100">
        <v>0</v>
      </c>
      <c r="BF45" s="100">
        <f>45</f>
        <v>45</v>
      </c>
      <c r="BH45" s="108">
        <f>G45*AO45</f>
        <v>0</v>
      </c>
      <c r="BI45" s="108">
        <f>G45*AP45</f>
        <v>0</v>
      </c>
      <c r="BJ45" s="108">
        <f>G45*H45</f>
        <v>0</v>
      </c>
    </row>
    <row r="46" spans="1:62" x14ac:dyDescent="0.2">
      <c r="A46" s="117" t="s">
        <v>32</v>
      </c>
      <c r="B46" s="117" t="s">
        <v>595</v>
      </c>
      <c r="C46" s="304" t="s">
        <v>1089</v>
      </c>
      <c r="D46" s="305"/>
      <c r="E46" s="305"/>
      <c r="F46" s="117" t="s">
        <v>1646</v>
      </c>
      <c r="G46" s="116">
        <v>100</v>
      </c>
      <c r="H46" s="159"/>
      <c r="I46" s="108">
        <f>G46*AO46</f>
        <v>0</v>
      </c>
      <c r="J46" s="108">
        <f>G46*AP46</f>
        <v>0</v>
      </c>
      <c r="K46" s="108">
        <f>G46*H46</f>
        <v>0</v>
      </c>
      <c r="L46" s="111" t="s">
        <v>1671</v>
      </c>
      <c r="Z46" s="100">
        <f>IF(AQ46="5",BJ46,0)</f>
        <v>0</v>
      </c>
      <c r="AB46" s="100">
        <f>IF(AQ46="1",BH46,0)</f>
        <v>0</v>
      </c>
      <c r="AC46" s="100">
        <f>IF(AQ46="1",BI46,0)</f>
        <v>0</v>
      </c>
      <c r="AD46" s="100">
        <f>IF(AQ46="7",BH46,0)</f>
        <v>0</v>
      </c>
      <c r="AE46" s="100">
        <f>IF(AQ46="7",BI46,0)</f>
        <v>0</v>
      </c>
      <c r="AF46" s="100">
        <f>IF(AQ46="2",BH46,0)</f>
        <v>0</v>
      </c>
      <c r="AG46" s="100">
        <f>IF(AQ46="2",BI46,0)</f>
        <v>0</v>
      </c>
      <c r="AH46" s="100">
        <f>IF(AQ46="0",BJ46,0)</f>
        <v>0</v>
      </c>
      <c r="AI46" s="109"/>
      <c r="AJ46" s="108">
        <f>IF(AN46=0,K46,0)</f>
        <v>0</v>
      </c>
      <c r="AK46" s="108">
        <f>IF(AN46=15,K46,0)</f>
        <v>0</v>
      </c>
      <c r="AL46" s="108">
        <f>IF(AN46=21,K46,0)</f>
        <v>0</v>
      </c>
      <c r="AN46" s="100">
        <v>15</v>
      </c>
      <c r="AO46" s="100">
        <f>H46*0.318303571428571</f>
        <v>0</v>
      </c>
      <c r="AP46" s="100">
        <f>H46*(1-0.318303571428571)</f>
        <v>0</v>
      </c>
      <c r="AQ46" s="111" t="s">
        <v>7</v>
      </c>
      <c r="AV46" s="100">
        <f>AW46+AX46</f>
        <v>0</v>
      </c>
      <c r="AW46" s="100">
        <f>G46*AO46</f>
        <v>0</v>
      </c>
      <c r="AX46" s="100">
        <f>G46*AP46</f>
        <v>0</v>
      </c>
      <c r="AY46" s="110" t="s">
        <v>1689</v>
      </c>
      <c r="AZ46" s="110" t="s">
        <v>1726</v>
      </c>
      <c r="BA46" s="109" t="s">
        <v>1737</v>
      </c>
      <c r="BC46" s="100">
        <f>AW46+AX46</f>
        <v>0</v>
      </c>
      <c r="BD46" s="100">
        <f>H46/(100-BE46)*100</f>
        <v>0</v>
      </c>
      <c r="BE46" s="100">
        <v>0</v>
      </c>
      <c r="BF46" s="100">
        <f>46</f>
        <v>46</v>
      </c>
      <c r="BH46" s="108">
        <f>G46*AO46</f>
        <v>0</v>
      </c>
      <c r="BI46" s="108">
        <f>G46*AP46</f>
        <v>0</v>
      </c>
      <c r="BJ46" s="108">
        <f>G46*H46</f>
        <v>0</v>
      </c>
    </row>
    <row r="47" spans="1:62" x14ac:dyDescent="0.2">
      <c r="A47" s="117" t="s">
        <v>33</v>
      </c>
      <c r="B47" s="117" t="s">
        <v>2511</v>
      </c>
      <c r="C47" s="304" t="s">
        <v>2510</v>
      </c>
      <c r="D47" s="305"/>
      <c r="E47" s="305"/>
      <c r="F47" s="117" t="s">
        <v>1646</v>
      </c>
      <c r="G47" s="116">
        <v>5.5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H47*0.614206871995727</f>
        <v>0</v>
      </c>
      <c r="AP47" s="100">
        <f>H47*(1-0.614206871995727)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1689</v>
      </c>
      <c r="AZ47" s="110" t="s">
        <v>1726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9"/>
      <c r="B48" s="120" t="s">
        <v>62</v>
      </c>
      <c r="C48" s="306" t="s">
        <v>1090</v>
      </c>
      <c r="D48" s="307"/>
      <c r="E48" s="307"/>
      <c r="F48" s="119" t="s">
        <v>6</v>
      </c>
      <c r="G48" s="119" t="s">
        <v>6</v>
      </c>
      <c r="H48" s="119" t="s">
        <v>6</v>
      </c>
      <c r="I48" s="118">
        <f>SUM(I49:I51)</f>
        <v>0</v>
      </c>
      <c r="J48" s="118">
        <f>SUM(J49:J51)</f>
        <v>0</v>
      </c>
      <c r="K48" s="118">
        <f>SUM(K49:K51)</f>
        <v>0</v>
      </c>
      <c r="L48" s="109"/>
      <c r="AI48" s="109"/>
      <c r="AS48" s="118">
        <f>SUM(AJ49:AJ51)</f>
        <v>0</v>
      </c>
      <c r="AT48" s="118">
        <f>SUM(AK49:AK51)</f>
        <v>0</v>
      </c>
      <c r="AU48" s="118">
        <f>SUM(AL49:AL51)</f>
        <v>0</v>
      </c>
    </row>
    <row r="49" spans="1:62" x14ac:dyDescent="0.2">
      <c r="A49" s="117" t="s">
        <v>34</v>
      </c>
      <c r="B49" s="117" t="s">
        <v>596</v>
      </c>
      <c r="C49" s="304" t="s">
        <v>1091</v>
      </c>
      <c r="D49" s="305"/>
      <c r="E49" s="305"/>
      <c r="F49" s="117" t="s">
        <v>1645</v>
      </c>
      <c r="G49" s="116">
        <v>37.648000000000003</v>
      </c>
      <c r="H49" s="159"/>
      <c r="I49" s="108">
        <f>G49*AO49</f>
        <v>0</v>
      </c>
      <c r="J49" s="108">
        <f>G49*AP49</f>
        <v>0</v>
      </c>
      <c r="K49" s="108">
        <f>G49*H49</f>
        <v>0</v>
      </c>
      <c r="L49" s="111" t="s">
        <v>1671</v>
      </c>
      <c r="Z49" s="100">
        <f>IF(AQ49="5",BJ49,0)</f>
        <v>0</v>
      </c>
      <c r="AB49" s="100">
        <f>IF(AQ49="1",BH49,0)</f>
        <v>0</v>
      </c>
      <c r="AC49" s="100">
        <f>IF(AQ49="1",BI49,0)</f>
        <v>0</v>
      </c>
      <c r="AD49" s="100">
        <f>IF(AQ49="7",BH49,0)</f>
        <v>0</v>
      </c>
      <c r="AE49" s="100">
        <f>IF(AQ49="7",BI49,0)</f>
        <v>0</v>
      </c>
      <c r="AF49" s="100">
        <f>IF(AQ49="2",BH49,0)</f>
        <v>0</v>
      </c>
      <c r="AG49" s="100">
        <f>IF(AQ49="2",BI49,0)</f>
        <v>0</v>
      </c>
      <c r="AH49" s="100">
        <f>IF(AQ49="0",BJ49,0)</f>
        <v>0</v>
      </c>
      <c r="AI49" s="109"/>
      <c r="AJ49" s="108">
        <f>IF(AN49=0,K49,0)</f>
        <v>0</v>
      </c>
      <c r="AK49" s="108">
        <f>IF(AN49=15,K49,0)</f>
        <v>0</v>
      </c>
      <c r="AL49" s="108">
        <f>IF(AN49=21,K49,0)</f>
        <v>0</v>
      </c>
      <c r="AN49" s="100">
        <v>15</v>
      </c>
      <c r="AO49" s="100">
        <f>H49*0.863567890487461</f>
        <v>0</v>
      </c>
      <c r="AP49" s="100">
        <f>H49*(1-0.863567890487461)</f>
        <v>0</v>
      </c>
      <c r="AQ49" s="111" t="s">
        <v>7</v>
      </c>
      <c r="AV49" s="100">
        <f>AW49+AX49</f>
        <v>0</v>
      </c>
      <c r="AW49" s="100">
        <f>G49*AO49</f>
        <v>0</v>
      </c>
      <c r="AX49" s="100">
        <f>G49*AP49</f>
        <v>0</v>
      </c>
      <c r="AY49" s="110" t="s">
        <v>1690</v>
      </c>
      <c r="AZ49" s="110" t="s">
        <v>1727</v>
      </c>
      <c r="BA49" s="109" t="s">
        <v>1737</v>
      </c>
      <c r="BC49" s="100">
        <f>AW49+AX49</f>
        <v>0</v>
      </c>
      <c r="BD49" s="100">
        <f>H49/(100-BE49)*100</f>
        <v>0</v>
      </c>
      <c r="BE49" s="100">
        <v>0</v>
      </c>
      <c r="BF49" s="100">
        <f>49</f>
        <v>49</v>
      </c>
      <c r="BH49" s="108">
        <f>G49*AO49</f>
        <v>0</v>
      </c>
      <c r="BI49" s="108">
        <f>G49*AP49</f>
        <v>0</v>
      </c>
      <c r="BJ49" s="108">
        <f>G49*H49</f>
        <v>0</v>
      </c>
    </row>
    <row r="50" spans="1:62" x14ac:dyDescent="0.2">
      <c r="A50" s="117" t="s">
        <v>35</v>
      </c>
      <c r="B50" s="117" t="s">
        <v>597</v>
      </c>
      <c r="C50" s="304" t="s">
        <v>1092</v>
      </c>
      <c r="D50" s="305"/>
      <c r="E50" s="305"/>
      <c r="F50" s="117" t="s">
        <v>1645</v>
      </c>
      <c r="G50" s="116">
        <v>37.648000000000003</v>
      </c>
      <c r="H50" s="159"/>
      <c r="I50" s="108">
        <f>G50*AO50</f>
        <v>0</v>
      </c>
      <c r="J50" s="108">
        <f>G50*AP50</f>
        <v>0</v>
      </c>
      <c r="K50" s="108">
        <f>G50*H50</f>
        <v>0</v>
      </c>
      <c r="L50" s="111" t="s">
        <v>1671</v>
      </c>
      <c r="Z50" s="100">
        <f>IF(AQ50="5",BJ50,0)</f>
        <v>0</v>
      </c>
      <c r="AB50" s="100">
        <f>IF(AQ50="1",BH50,0)</f>
        <v>0</v>
      </c>
      <c r="AC50" s="100">
        <f>IF(AQ50="1",BI50,0)</f>
        <v>0</v>
      </c>
      <c r="AD50" s="100">
        <f>IF(AQ50="7",BH50,0)</f>
        <v>0</v>
      </c>
      <c r="AE50" s="100">
        <f>IF(AQ50="7",BI50,0)</f>
        <v>0</v>
      </c>
      <c r="AF50" s="100">
        <f>IF(AQ50="2",BH50,0)</f>
        <v>0</v>
      </c>
      <c r="AG50" s="100">
        <f>IF(AQ50="2",BI50,0)</f>
        <v>0</v>
      </c>
      <c r="AH50" s="100">
        <f>IF(AQ50="0",BJ50,0)</f>
        <v>0</v>
      </c>
      <c r="AI50" s="109"/>
      <c r="AJ50" s="108">
        <f>IF(AN50=0,K50,0)</f>
        <v>0</v>
      </c>
      <c r="AK50" s="108">
        <f>IF(AN50=15,K50,0)</f>
        <v>0</v>
      </c>
      <c r="AL50" s="108">
        <f>IF(AN50=21,K50,0)</f>
        <v>0</v>
      </c>
      <c r="AN50" s="100">
        <v>15</v>
      </c>
      <c r="AO50" s="100">
        <f>H50*0.76404746708629</f>
        <v>0</v>
      </c>
      <c r="AP50" s="100">
        <f>H50*(1-0.76404746708629)</f>
        <v>0</v>
      </c>
      <c r="AQ50" s="111" t="s">
        <v>7</v>
      </c>
      <c r="AV50" s="100">
        <f>AW50+AX50</f>
        <v>0</v>
      </c>
      <c r="AW50" s="100">
        <f>G50*AO50</f>
        <v>0</v>
      </c>
      <c r="AX50" s="100">
        <f>G50*AP50</f>
        <v>0</v>
      </c>
      <c r="AY50" s="110" t="s">
        <v>1690</v>
      </c>
      <c r="AZ50" s="110" t="s">
        <v>1727</v>
      </c>
      <c r="BA50" s="109" t="s">
        <v>1737</v>
      </c>
      <c r="BC50" s="100">
        <f>AW50+AX50</f>
        <v>0</v>
      </c>
      <c r="BD50" s="100">
        <f>H50/(100-BE50)*100</f>
        <v>0</v>
      </c>
      <c r="BE50" s="100">
        <v>0</v>
      </c>
      <c r="BF50" s="100">
        <f>50</f>
        <v>50</v>
      </c>
      <c r="BH50" s="108">
        <f>G50*AO50</f>
        <v>0</v>
      </c>
      <c r="BI50" s="108">
        <f>G50*AP50</f>
        <v>0</v>
      </c>
      <c r="BJ50" s="108">
        <f>G50*H50</f>
        <v>0</v>
      </c>
    </row>
    <row r="51" spans="1:62" x14ac:dyDescent="0.2">
      <c r="A51" s="117" t="s">
        <v>36</v>
      </c>
      <c r="B51" s="117" t="s">
        <v>598</v>
      </c>
      <c r="C51" s="304" t="s">
        <v>1093</v>
      </c>
      <c r="D51" s="305"/>
      <c r="E51" s="305"/>
      <c r="F51" s="117" t="s">
        <v>1645</v>
      </c>
      <c r="G51" s="116">
        <v>37.648000000000003</v>
      </c>
      <c r="H51" s="159"/>
      <c r="I51" s="108">
        <f>G51*AO51</f>
        <v>0</v>
      </c>
      <c r="J51" s="108">
        <f>G51*AP51</f>
        <v>0</v>
      </c>
      <c r="K51" s="108">
        <f>G51*H51</f>
        <v>0</v>
      </c>
      <c r="L51" s="111" t="s">
        <v>1671</v>
      </c>
      <c r="Z51" s="100">
        <f>IF(AQ51="5",BJ51,0)</f>
        <v>0</v>
      </c>
      <c r="AB51" s="100">
        <f>IF(AQ51="1",BH51,0)</f>
        <v>0</v>
      </c>
      <c r="AC51" s="100">
        <f>IF(AQ51="1",BI51,0)</f>
        <v>0</v>
      </c>
      <c r="AD51" s="100">
        <f>IF(AQ51="7",BH51,0)</f>
        <v>0</v>
      </c>
      <c r="AE51" s="100">
        <f>IF(AQ51="7",BI51,0)</f>
        <v>0</v>
      </c>
      <c r="AF51" s="100">
        <f>IF(AQ51="2",BH51,0)</f>
        <v>0</v>
      </c>
      <c r="AG51" s="100">
        <f>IF(AQ51="2",BI51,0)</f>
        <v>0</v>
      </c>
      <c r="AH51" s="100">
        <f>IF(AQ51="0",BJ51,0)</f>
        <v>0</v>
      </c>
      <c r="AI51" s="109"/>
      <c r="AJ51" s="108">
        <f>IF(AN51=0,K51,0)</f>
        <v>0</v>
      </c>
      <c r="AK51" s="108">
        <f>IF(AN51=15,K51,0)</f>
        <v>0</v>
      </c>
      <c r="AL51" s="108">
        <f>IF(AN51=21,K51,0)</f>
        <v>0</v>
      </c>
      <c r="AN51" s="100">
        <v>15</v>
      </c>
      <c r="AO51" s="100">
        <f>H51*0</f>
        <v>0</v>
      </c>
      <c r="AP51" s="100">
        <f>H51*(1-0)</f>
        <v>0</v>
      </c>
      <c r="AQ51" s="111" t="s">
        <v>7</v>
      </c>
      <c r="AV51" s="100">
        <f>AW51+AX51</f>
        <v>0</v>
      </c>
      <c r="AW51" s="100">
        <f>G51*AO51</f>
        <v>0</v>
      </c>
      <c r="AX51" s="100">
        <f>G51*AP51</f>
        <v>0</v>
      </c>
      <c r="AY51" s="110" t="s">
        <v>1690</v>
      </c>
      <c r="AZ51" s="110" t="s">
        <v>1727</v>
      </c>
      <c r="BA51" s="109" t="s">
        <v>1737</v>
      </c>
      <c r="BC51" s="100">
        <f>AW51+AX51</f>
        <v>0</v>
      </c>
      <c r="BD51" s="100">
        <f>H51/(100-BE51)*100</f>
        <v>0</v>
      </c>
      <c r="BE51" s="100">
        <v>0</v>
      </c>
      <c r="BF51" s="100">
        <f>51</f>
        <v>51</v>
      </c>
      <c r="BH51" s="108">
        <f>G51*AO51</f>
        <v>0</v>
      </c>
      <c r="BI51" s="108">
        <f>G51*AP51</f>
        <v>0</v>
      </c>
      <c r="BJ51" s="108">
        <f>G51*H51</f>
        <v>0</v>
      </c>
    </row>
    <row r="52" spans="1:62" x14ac:dyDescent="0.2">
      <c r="A52" s="119"/>
      <c r="B52" s="120" t="s">
        <v>64</v>
      </c>
      <c r="C52" s="306" t="s">
        <v>2230</v>
      </c>
      <c r="D52" s="307"/>
      <c r="E52" s="307"/>
      <c r="F52" s="119" t="s">
        <v>6</v>
      </c>
      <c r="G52" s="119" t="s">
        <v>6</v>
      </c>
      <c r="H52" s="119" t="s">
        <v>6</v>
      </c>
      <c r="I52" s="118">
        <f>SUM(I53:I53)</f>
        <v>0</v>
      </c>
      <c r="J52" s="118">
        <f>SUM(J53:J53)</f>
        <v>0</v>
      </c>
      <c r="K52" s="118">
        <f>SUM(K53:K53)</f>
        <v>0</v>
      </c>
      <c r="L52" s="109"/>
      <c r="AI52" s="109"/>
      <c r="AS52" s="118">
        <f>SUM(AJ53:AJ53)</f>
        <v>0</v>
      </c>
      <c r="AT52" s="118">
        <f>SUM(AK53:AK53)</f>
        <v>0</v>
      </c>
      <c r="AU52" s="118">
        <f>SUM(AL53:AL53)</f>
        <v>0</v>
      </c>
    </row>
    <row r="53" spans="1:62" x14ac:dyDescent="0.2">
      <c r="A53" s="117" t="s">
        <v>37</v>
      </c>
      <c r="B53" s="117" t="s">
        <v>2509</v>
      </c>
      <c r="C53" s="304" t="s">
        <v>2508</v>
      </c>
      <c r="D53" s="305"/>
      <c r="E53" s="305"/>
      <c r="F53" s="117" t="s">
        <v>1645</v>
      </c>
      <c r="G53" s="116">
        <v>6.25</v>
      </c>
      <c r="H53" s="159"/>
      <c r="I53" s="108">
        <f>G53*AO53</f>
        <v>0</v>
      </c>
      <c r="J53" s="108">
        <f>G53*AP53</f>
        <v>0</v>
      </c>
      <c r="K53" s="108">
        <f>G53*H53</f>
        <v>0</v>
      </c>
      <c r="L53" s="111" t="s">
        <v>1671</v>
      </c>
      <c r="Z53" s="100">
        <f>IF(AQ53="5",BJ53,0)</f>
        <v>0</v>
      </c>
      <c r="AB53" s="100">
        <f>IF(AQ53="1",BH53,0)</f>
        <v>0</v>
      </c>
      <c r="AC53" s="100">
        <f>IF(AQ53="1",BI53,0)</f>
        <v>0</v>
      </c>
      <c r="AD53" s="100">
        <f>IF(AQ53="7",BH53,0)</f>
        <v>0</v>
      </c>
      <c r="AE53" s="100">
        <f>IF(AQ53="7",BI53,0)</f>
        <v>0</v>
      </c>
      <c r="AF53" s="100">
        <f>IF(AQ53="2",BH53,0)</f>
        <v>0</v>
      </c>
      <c r="AG53" s="100">
        <f>IF(AQ53="2",BI53,0)</f>
        <v>0</v>
      </c>
      <c r="AH53" s="100">
        <f>IF(AQ53="0",BJ53,0)</f>
        <v>0</v>
      </c>
      <c r="AI53" s="109"/>
      <c r="AJ53" s="108">
        <f>IF(AN53=0,K53,0)</f>
        <v>0</v>
      </c>
      <c r="AK53" s="108">
        <f>IF(AN53=15,K53,0)</f>
        <v>0</v>
      </c>
      <c r="AL53" s="108">
        <f>IF(AN53=21,K53,0)</f>
        <v>0</v>
      </c>
      <c r="AN53" s="100">
        <v>15</v>
      </c>
      <c r="AO53" s="100">
        <f>H53*0.859110536308113</f>
        <v>0</v>
      </c>
      <c r="AP53" s="100">
        <f>H53*(1-0.859110536308113)</f>
        <v>0</v>
      </c>
      <c r="AQ53" s="111" t="s">
        <v>7</v>
      </c>
      <c r="AV53" s="100">
        <f>AW53+AX53</f>
        <v>0</v>
      </c>
      <c r="AW53" s="100">
        <f>G53*AO53</f>
        <v>0</v>
      </c>
      <c r="AX53" s="100">
        <f>G53*AP53</f>
        <v>0</v>
      </c>
      <c r="AY53" s="110" t="s">
        <v>2507</v>
      </c>
      <c r="AZ53" s="110" t="s">
        <v>1727</v>
      </c>
      <c r="BA53" s="109" t="s">
        <v>1737</v>
      </c>
      <c r="BC53" s="100">
        <f>AW53+AX53</f>
        <v>0</v>
      </c>
      <c r="BD53" s="100">
        <f>H53/(100-BE53)*100</f>
        <v>0</v>
      </c>
      <c r="BE53" s="100">
        <v>0</v>
      </c>
      <c r="BF53" s="100">
        <f>53</f>
        <v>53</v>
      </c>
      <c r="BH53" s="108">
        <f>G53*AO53</f>
        <v>0</v>
      </c>
      <c r="BI53" s="108">
        <f>G53*AP53</f>
        <v>0</v>
      </c>
      <c r="BJ53" s="108">
        <f>G53*H53</f>
        <v>0</v>
      </c>
    </row>
    <row r="54" spans="1:62" x14ac:dyDescent="0.2">
      <c r="A54" s="119"/>
      <c r="B54" s="120" t="s">
        <v>65</v>
      </c>
      <c r="C54" s="306" t="s">
        <v>1094</v>
      </c>
      <c r="D54" s="307"/>
      <c r="E54" s="307"/>
      <c r="F54" s="119" t="s">
        <v>6</v>
      </c>
      <c r="G54" s="119" t="s">
        <v>6</v>
      </c>
      <c r="H54" s="119" t="s">
        <v>6</v>
      </c>
      <c r="I54" s="118">
        <f>SUM(I55:I56)</f>
        <v>0</v>
      </c>
      <c r="J54" s="118">
        <f>SUM(J55:J56)</f>
        <v>0</v>
      </c>
      <c r="K54" s="118">
        <f>SUM(K55:K56)</f>
        <v>0</v>
      </c>
      <c r="L54" s="109"/>
      <c r="AI54" s="109"/>
      <c r="AS54" s="118">
        <f>SUM(AJ55:AJ56)</f>
        <v>0</v>
      </c>
      <c r="AT54" s="118">
        <f>SUM(AK55:AK56)</f>
        <v>0</v>
      </c>
      <c r="AU54" s="118">
        <f>SUM(AL55:AL56)</f>
        <v>0</v>
      </c>
    </row>
    <row r="55" spans="1:62" x14ac:dyDescent="0.2">
      <c r="A55" s="117" t="s">
        <v>38</v>
      </c>
      <c r="B55" s="117" t="s">
        <v>599</v>
      </c>
      <c r="C55" s="304" t="s">
        <v>1095</v>
      </c>
      <c r="D55" s="305"/>
      <c r="E55" s="305"/>
      <c r="F55" s="117" t="s">
        <v>1645</v>
      </c>
      <c r="G55" s="116">
        <v>16.579999999999998</v>
      </c>
      <c r="H55" s="159"/>
      <c r="I55" s="108">
        <f>G55*AO55</f>
        <v>0</v>
      </c>
      <c r="J55" s="108">
        <f>G55*AP55</f>
        <v>0</v>
      </c>
      <c r="K55" s="108">
        <f>G55*H55</f>
        <v>0</v>
      </c>
      <c r="L55" s="111" t="s">
        <v>1671</v>
      </c>
      <c r="Z55" s="100">
        <f>IF(AQ55="5",BJ55,0)</f>
        <v>0</v>
      </c>
      <c r="AB55" s="100">
        <f>IF(AQ55="1",BH55,0)</f>
        <v>0</v>
      </c>
      <c r="AC55" s="100">
        <f>IF(AQ55="1",BI55,0)</f>
        <v>0</v>
      </c>
      <c r="AD55" s="100">
        <f>IF(AQ55="7",BH55,0)</f>
        <v>0</v>
      </c>
      <c r="AE55" s="100">
        <f>IF(AQ55="7",BI55,0)</f>
        <v>0</v>
      </c>
      <c r="AF55" s="100">
        <f>IF(AQ55="2",BH55,0)</f>
        <v>0</v>
      </c>
      <c r="AG55" s="100">
        <f>IF(AQ55="2",BI55,0)</f>
        <v>0</v>
      </c>
      <c r="AH55" s="100">
        <f>IF(AQ55="0",BJ55,0)</f>
        <v>0</v>
      </c>
      <c r="AI55" s="109"/>
      <c r="AJ55" s="108">
        <f>IF(AN55=0,K55,0)</f>
        <v>0</v>
      </c>
      <c r="AK55" s="108">
        <f>IF(AN55=15,K55,0)</f>
        <v>0</v>
      </c>
      <c r="AL55" s="108">
        <f>IF(AN55=21,K55,0)</f>
        <v>0</v>
      </c>
      <c r="AN55" s="100">
        <v>15</v>
      </c>
      <c r="AO55" s="100">
        <f>H55*0.51</f>
        <v>0</v>
      </c>
      <c r="AP55" s="100">
        <f>H55*(1-0.51)</f>
        <v>0</v>
      </c>
      <c r="AQ55" s="111" t="s">
        <v>7</v>
      </c>
      <c r="AV55" s="100">
        <f>AW55+AX55</f>
        <v>0</v>
      </c>
      <c r="AW55" s="100">
        <f>G55*AO55</f>
        <v>0</v>
      </c>
      <c r="AX55" s="100">
        <f>G55*AP55</f>
        <v>0</v>
      </c>
      <c r="AY55" s="110" t="s">
        <v>1691</v>
      </c>
      <c r="AZ55" s="110" t="s">
        <v>1727</v>
      </c>
      <c r="BA55" s="109" t="s">
        <v>1737</v>
      </c>
      <c r="BC55" s="100">
        <f>AW55+AX55</f>
        <v>0</v>
      </c>
      <c r="BD55" s="100">
        <f>H55/(100-BE55)*100</f>
        <v>0</v>
      </c>
      <c r="BE55" s="100">
        <v>0</v>
      </c>
      <c r="BF55" s="100">
        <f>55</f>
        <v>55</v>
      </c>
      <c r="BH55" s="108">
        <f>G55*AO55</f>
        <v>0</v>
      </c>
      <c r="BI55" s="108">
        <f>G55*AP55</f>
        <v>0</v>
      </c>
      <c r="BJ55" s="108">
        <f>G55*H55</f>
        <v>0</v>
      </c>
    </row>
    <row r="56" spans="1:62" x14ac:dyDescent="0.2">
      <c r="A56" s="117" t="s">
        <v>39</v>
      </c>
      <c r="B56" s="117" t="s">
        <v>600</v>
      </c>
      <c r="C56" s="304" t="s">
        <v>1096</v>
      </c>
      <c r="D56" s="305"/>
      <c r="E56" s="305"/>
      <c r="F56" s="117" t="s">
        <v>1645</v>
      </c>
      <c r="G56" s="116">
        <v>38.088000000000001</v>
      </c>
      <c r="H56" s="159"/>
      <c r="I56" s="108">
        <f>G56*AO56</f>
        <v>0</v>
      </c>
      <c r="J56" s="108">
        <f>G56*AP56</f>
        <v>0</v>
      </c>
      <c r="K56" s="108">
        <f>G56*H56</f>
        <v>0</v>
      </c>
      <c r="L56" s="111" t="s">
        <v>1671</v>
      </c>
      <c r="Z56" s="100">
        <f>IF(AQ56="5",BJ56,0)</f>
        <v>0</v>
      </c>
      <c r="AB56" s="100">
        <f>IF(AQ56="1",BH56,0)</f>
        <v>0</v>
      </c>
      <c r="AC56" s="100">
        <f>IF(AQ56="1",BI56,0)</f>
        <v>0</v>
      </c>
      <c r="AD56" s="100">
        <f>IF(AQ56="7",BH56,0)</f>
        <v>0</v>
      </c>
      <c r="AE56" s="100">
        <f>IF(AQ56="7",BI56,0)</f>
        <v>0</v>
      </c>
      <c r="AF56" s="100">
        <f>IF(AQ56="2",BH56,0)</f>
        <v>0</v>
      </c>
      <c r="AG56" s="100">
        <f>IF(AQ56="2",BI56,0)</f>
        <v>0</v>
      </c>
      <c r="AH56" s="100">
        <f>IF(AQ56="0",BJ56,0)</f>
        <v>0</v>
      </c>
      <c r="AI56" s="109"/>
      <c r="AJ56" s="108">
        <f>IF(AN56=0,K56,0)</f>
        <v>0</v>
      </c>
      <c r="AK56" s="108">
        <f>IF(AN56=15,K56,0)</f>
        <v>0</v>
      </c>
      <c r="AL56" s="108">
        <f>IF(AN56=21,K56,0)</f>
        <v>0</v>
      </c>
      <c r="AN56" s="100">
        <v>15</v>
      </c>
      <c r="AO56" s="100">
        <f>H56*0.763125796119826</f>
        <v>0</v>
      </c>
      <c r="AP56" s="100">
        <f>H56*(1-0.763125796119826)</f>
        <v>0</v>
      </c>
      <c r="AQ56" s="111" t="s">
        <v>7</v>
      </c>
      <c r="AV56" s="100">
        <f>AW56+AX56</f>
        <v>0</v>
      </c>
      <c r="AW56" s="100">
        <f>G56*AO56</f>
        <v>0</v>
      </c>
      <c r="AX56" s="100">
        <f>G56*AP56</f>
        <v>0</v>
      </c>
      <c r="AY56" s="110" t="s">
        <v>1691</v>
      </c>
      <c r="AZ56" s="110" t="s">
        <v>1727</v>
      </c>
      <c r="BA56" s="109" t="s">
        <v>1737</v>
      </c>
      <c r="BC56" s="100">
        <f>AW56+AX56</f>
        <v>0</v>
      </c>
      <c r="BD56" s="100">
        <f>H56/(100-BE56)*100</f>
        <v>0</v>
      </c>
      <c r="BE56" s="100">
        <v>0</v>
      </c>
      <c r="BF56" s="100">
        <f>56</f>
        <v>56</v>
      </c>
      <c r="BH56" s="108">
        <f>G56*AO56</f>
        <v>0</v>
      </c>
      <c r="BI56" s="108">
        <f>G56*AP56</f>
        <v>0</v>
      </c>
      <c r="BJ56" s="108">
        <f>G56*H56</f>
        <v>0</v>
      </c>
    </row>
    <row r="57" spans="1:62" x14ac:dyDescent="0.2">
      <c r="A57" s="119"/>
      <c r="B57" s="120" t="s">
        <v>67</v>
      </c>
      <c r="C57" s="306" t="s">
        <v>1097</v>
      </c>
      <c r="D57" s="307"/>
      <c r="E57" s="307"/>
      <c r="F57" s="119" t="s">
        <v>6</v>
      </c>
      <c r="G57" s="119" t="s">
        <v>6</v>
      </c>
      <c r="H57" s="119" t="s">
        <v>6</v>
      </c>
      <c r="I57" s="118">
        <f>SUM(I58:I61)</f>
        <v>0</v>
      </c>
      <c r="J57" s="118">
        <f>SUM(J58:J61)</f>
        <v>0</v>
      </c>
      <c r="K57" s="118">
        <f>SUM(K58:K61)</f>
        <v>0</v>
      </c>
      <c r="L57" s="109"/>
      <c r="AI57" s="109"/>
      <c r="AS57" s="118">
        <f>SUM(AJ58:AJ61)</f>
        <v>0</v>
      </c>
      <c r="AT57" s="118">
        <f>SUM(AK58:AK61)</f>
        <v>0</v>
      </c>
      <c r="AU57" s="118">
        <f>SUM(AL58:AL61)</f>
        <v>0</v>
      </c>
    </row>
    <row r="58" spans="1:62" x14ac:dyDescent="0.2">
      <c r="A58" s="117" t="s">
        <v>40</v>
      </c>
      <c r="B58" s="117" t="s">
        <v>601</v>
      </c>
      <c r="C58" s="304" t="s">
        <v>1098</v>
      </c>
      <c r="D58" s="305"/>
      <c r="E58" s="305"/>
      <c r="F58" s="117" t="s">
        <v>1645</v>
      </c>
      <c r="G58" s="116">
        <v>11.925000000000001</v>
      </c>
      <c r="H58" s="159"/>
      <c r="I58" s="108">
        <f>G58*AO58</f>
        <v>0</v>
      </c>
      <c r="J58" s="108">
        <f>G58*AP58</f>
        <v>0</v>
      </c>
      <c r="K58" s="108">
        <f>G58*H58</f>
        <v>0</v>
      </c>
      <c r="L58" s="111" t="s">
        <v>1671</v>
      </c>
      <c r="Z58" s="100">
        <f>IF(AQ58="5",BJ58,0)</f>
        <v>0</v>
      </c>
      <c r="AB58" s="100">
        <f>IF(AQ58="1",BH58,0)</f>
        <v>0</v>
      </c>
      <c r="AC58" s="100">
        <f>IF(AQ58="1",BI58,0)</f>
        <v>0</v>
      </c>
      <c r="AD58" s="100">
        <f>IF(AQ58="7",BH58,0)</f>
        <v>0</v>
      </c>
      <c r="AE58" s="100">
        <f>IF(AQ58="7",BI58,0)</f>
        <v>0</v>
      </c>
      <c r="AF58" s="100">
        <f>IF(AQ58="2",BH58,0)</f>
        <v>0</v>
      </c>
      <c r="AG58" s="100">
        <f>IF(AQ58="2",BI58,0)</f>
        <v>0</v>
      </c>
      <c r="AH58" s="100">
        <f>IF(AQ58="0",BJ58,0)</f>
        <v>0</v>
      </c>
      <c r="AI58" s="109"/>
      <c r="AJ58" s="108">
        <f>IF(AN58=0,K58,0)</f>
        <v>0</v>
      </c>
      <c r="AK58" s="108">
        <f>IF(AN58=15,K58,0)</f>
        <v>0</v>
      </c>
      <c r="AL58" s="108">
        <f>IF(AN58=21,K58,0)</f>
        <v>0</v>
      </c>
      <c r="AN58" s="100">
        <v>15</v>
      </c>
      <c r="AO58" s="100">
        <f>H58*0.137604681520274</f>
        <v>0</v>
      </c>
      <c r="AP58" s="100">
        <f>H58*(1-0.137604681520274)</f>
        <v>0</v>
      </c>
      <c r="AQ58" s="111" t="s">
        <v>7</v>
      </c>
      <c r="AV58" s="100">
        <f>AW58+AX58</f>
        <v>0</v>
      </c>
      <c r="AW58" s="100">
        <f>G58*AO58</f>
        <v>0</v>
      </c>
      <c r="AX58" s="100">
        <f>G58*AP58</f>
        <v>0</v>
      </c>
      <c r="AY58" s="110" t="s">
        <v>1692</v>
      </c>
      <c r="AZ58" s="110" t="s">
        <v>1728</v>
      </c>
      <c r="BA58" s="109" t="s">
        <v>1737</v>
      </c>
      <c r="BC58" s="100">
        <f>AW58+AX58</f>
        <v>0</v>
      </c>
      <c r="BD58" s="100">
        <f>H58/(100-BE58)*100</f>
        <v>0</v>
      </c>
      <c r="BE58" s="100">
        <v>0</v>
      </c>
      <c r="BF58" s="100">
        <f>58</f>
        <v>58</v>
      </c>
      <c r="BH58" s="108">
        <f>G58*AO58</f>
        <v>0</v>
      </c>
      <c r="BI58" s="108">
        <f>G58*AP58</f>
        <v>0</v>
      </c>
      <c r="BJ58" s="108">
        <f>G58*H58</f>
        <v>0</v>
      </c>
    </row>
    <row r="59" spans="1:62" x14ac:dyDescent="0.2">
      <c r="A59" s="117" t="s">
        <v>41</v>
      </c>
      <c r="B59" s="117" t="s">
        <v>604</v>
      </c>
      <c r="C59" s="304" t="s">
        <v>1101</v>
      </c>
      <c r="D59" s="305"/>
      <c r="E59" s="305"/>
      <c r="F59" s="117" t="s">
        <v>1645</v>
      </c>
      <c r="G59" s="116">
        <v>10.137</v>
      </c>
      <c r="H59" s="159"/>
      <c r="I59" s="108">
        <f>G59*AO59</f>
        <v>0</v>
      </c>
      <c r="J59" s="108">
        <f>G59*AP59</f>
        <v>0</v>
      </c>
      <c r="K59" s="108">
        <f>G59*H59</f>
        <v>0</v>
      </c>
      <c r="L59" s="111" t="s">
        <v>1671</v>
      </c>
      <c r="Z59" s="100">
        <f>IF(AQ59="5",BJ59,0)</f>
        <v>0</v>
      </c>
      <c r="AB59" s="100">
        <f>IF(AQ59="1",BH59,0)</f>
        <v>0</v>
      </c>
      <c r="AC59" s="100">
        <f>IF(AQ59="1",BI59,0)</f>
        <v>0</v>
      </c>
      <c r="AD59" s="100">
        <f>IF(AQ59="7",BH59,0)</f>
        <v>0</v>
      </c>
      <c r="AE59" s="100">
        <f>IF(AQ59="7",BI59,0)</f>
        <v>0</v>
      </c>
      <c r="AF59" s="100">
        <f>IF(AQ59="2",BH59,0)</f>
        <v>0</v>
      </c>
      <c r="AG59" s="100">
        <f>IF(AQ59="2",BI59,0)</f>
        <v>0</v>
      </c>
      <c r="AH59" s="100">
        <f>IF(AQ59="0",BJ59,0)</f>
        <v>0</v>
      </c>
      <c r="AI59" s="109"/>
      <c r="AJ59" s="108">
        <f>IF(AN59=0,K59,0)</f>
        <v>0</v>
      </c>
      <c r="AK59" s="108">
        <f>IF(AN59=15,K59,0)</f>
        <v>0</v>
      </c>
      <c r="AL59" s="108">
        <f>IF(AN59=21,K59,0)</f>
        <v>0</v>
      </c>
      <c r="AN59" s="100">
        <v>15</v>
      </c>
      <c r="AO59" s="100">
        <f>H59*0.0969233051778818</f>
        <v>0</v>
      </c>
      <c r="AP59" s="100">
        <f>H59*(1-0.0969233051778818)</f>
        <v>0</v>
      </c>
      <c r="AQ59" s="111" t="s">
        <v>7</v>
      </c>
      <c r="AV59" s="100">
        <f>AW59+AX59</f>
        <v>0</v>
      </c>
      <c r="AW59" s="100">
        <f>G59*AO59</f>
        <v>0</v>
      </c>
      <c r="AX59" s="100">
        <f>G59*AP59</f>
        <v>0</v>
      </c>
      <c r="AY59" s="110" t="s">
        <v>1692</v>
      </c>
      <c r="AZ59" s="110" t="s">
        <v>1728</v>
      </c>
      <c r="BA59" s="109" t="s">
        <v>1737</v>
      </c>
      <c r="BC59" s="100">
        <f>AW59+AX59</f>
        <v>0</v>
      </c>
      <c r="BD59" s="100">
        <f>H59/(100-BE59)*100</f>
        <v>0</v>
      </c>
      <c r="BE59" s="100">
        <v>0</v>
      </c>
      <c r="BF59" s="100">
        <f>59</f>
        <v>59</v>
      </c>
      <c r="BH59" s="108">
        <f>G59*AO59</f>
        <v>0</v>
      </c>
      <c r="BI59" s="108">
        <f>G59*AP59</f>
        <v>0</v>
      </c>
      <c r="BJ59" s="108">
        <f>G59*H59</f>
        <v>0</v>
      </c>
    </row>
    <row r="60" spans="1:62" x14ac:dyDescent="0.2">
      <c r="A60" s="117" t="s">
        <v>42</v>
      </c>
      <c r="B60" s="117" t="s">
        <v>605</v>
      </c>
      <c r="C60" s="304" t="s">
        <v>1102</v>
      </c>
      <c r="D60" s="305"/>
      <c r="E60" s="305"/>
      <c r="F60" s="117" t="s">
        <v>1645</v>
      </c>
      <c r="G60" s="116">
        <v>268.387</v>
      </c>
      <c r="H60" s="159"/>
      <c r="I60" s="108">
        <f>G60*AO60</f>
        <v>0</v>
      </c>
      <c r="J60" s="108">
        <f>G60*AP60</f>
        <v>0</v>
      </c>
      <c r="K60" s="108">
        <f>G60*H60</f>
        <v>0</v>
      </c>
      <c r="L60" s="111" t="s">
        <v>1671</v>
      </c>
      <c r="Z60" s="100">
        <f>IF(AQ60="5",BJ60,0)</f>
        <v>0</v>
      </c>
      <c r="AB60" s="100">
        <f>IF(AQ60="1",BH60,0)</f>
        <v>0</v>
      </c>
      <c r="AC60" s="100">
        <f>IF(AQ60="1",BI60,0)</f>
        <v>0</v>
      </c>
      <c r="AD60" s="100">
        <f>IF(AQ60="7",BH60,0)</f>
        <v>0</v>
      </c>
      <c r="AE60" s="100">
        <f>IF(AQ60="7",BI60,0)</f>
        <v>0</v>
      </c>
      <c r="AF60" s="100">
        <f>IF(AQ60="2",BH60,0)</f>
        <v>0</v>
      </c>
      <c r="AG60" s="100">
        <f>IF(AQ60="2",BI60,0)</f>
        <v>0</v>
      </c>
      <c r="AH60" s="100">
        <f>IF(AQ60="0",BJ60,0)</f>
        <v>0</v>
      </c>
      <c r="AI60" s="109"/>
      <c r="AJ60" s="108">
        <f>IF(AN60=0,K60,0)</f>
        <v>0</v>
      </c>
      <c r="AK60" s="108">
        <f>IF(AN60=15,K60,0)</f>
        <v>0</v>
      </c>
      <c r="AL60" s="108">
        <f>IF(AN60=21,K60,0)</f>
        <v>0</v>
      </c>
      <c r="AN60" s="100">
        <v>15</v>
      </c>
      <c r="AO60" s="100">
        <f>H60*0.0912499988356366</f>
        <v>0</v>
      </c>
      <c r="AP60" s="100">
        <f>H60*(1-0.0912499988356366)</f>
        <v>0</v>
      </c>
      <c r="AQ60" s="111" t="s">
        <v>7</v>
      </c>
      <c r="AV60" s="100">
        <f>AW60+AX60</f>
        <v>0</v>
      </c>
      <c r="AW60" s="100">
        <f>G60*AO60</f>
        <v>0</v>
      </c>
      <c r="AX60" s="100">
        <f>G60*AP60</f>
        <v>0</v>
      </c>
      <c r="AY60" s="110" t="s">
        <v>1692</v>
      </c>
      <c r="AZ60" s="110" t="s">
        <v>1728</v>
      </c>
      <c r="BA60" s="109" t="s">
        <v>1737</v>
      </c>
      <c r="BC60" s="100">
        <f>AW60+AX60</f>
        <v>0</v>
      </c>
      <c r="BD60" s="100">
        <f>H60/(100-BE60)*100</f>
        <v>0</v>
      </c>
      <c r="BE60" s="100">
        <v>0</v>
      </c>
      <c r="BF60" s="100">
        <f>60</f>
        <v>60</v>
      </c>
      <c r="BH60" s="108">
        <f>G60*AO60</f>
        <v>0</v>
      </c>
      <c r="BI60" s="108">
        <f>G60*AP60</f>
        <v>0</v>
      </c>
      <c r="BJ60" s="108">
        <f>G60*H60</f>
        <v>0</v>
      </c>
    </row>
    <row r="61" spans="1:62" x14ac:dyDescent="0.2">
      <c r="A61" s="117" t="s">
        <v>43</v>
      </c>
      <c r="B61" s="117" t="s">
        <v>606</v>
      </c>
      <c r="C61" s="304" t="s">
        <v>1103</v>
      </c>
      <c r="D61" s="305"/>
      <c r="E61" s="305"/>
      <c r="F61" s="117" t="s">
        <v>1645</v>
      </c>
      <c r="G61" s="116">
        <v>19.77</v>
      </c>
      <c r="H61" s="159"/>
      <c r="I61" s="108">
        <f>G61*AO61</f>
        <v>0</v>
      </c>
      <c r="J61" s="108">
        <f>G61*AP61</f>
        <v>0</v>
      </c>
      <c r="K61" s="108">
        <f>G61*H61</f>
        <v>0</v>
      </c>
      <c r="L61" s="111" t="s">
        <v>1671</v>
      </c>
      <c r="Z61" s="100">
        <f>IF(AQ61="5",BJ61,0)</f>
        <v>0</v>
      </c>
      <c r="AB61" s="100">
        <f>IF(AQ61="1",BH61,0)</f>
        <v>0</v>
      </c>
      <c r="AC61" s="100">
        <f>IF(AQ61="1",BI61,0)</f>
        <v>0</v>
      </c>
      <c r="AD61" s="100">
        <f>IF(AQ61="7",BH61,0)</f>
        <v>0</v>
      </c>
      <c r="AE61" s="100">
        <f>IF(AQ61="7",BI61,0)</f>
        <v>0</v>
      </c>
      <c r="AF61" s="100">
        <f>IF(AQ61="2",BH61,0)</f>
        <v>0</v>
      </c>
      <c r="AG61" s="100">
        <f>IF(AQ61="2",BI61,0)</f>
        <v>0</v>
      </c>
      <c r="AH61" s="100">
        <f>IF(AQ61="0",BJ61,0)</f>
        <v>0</v>
      </c>
      <c r="AI61" s="109"/>
      <c r="AJ61" s="108">
        <f>IF(AN61=0,K61,0)</f>
        <v>0</v>
      </c>
      <c r="AK61" s="108">
        <f>IF(AN61=15,K61,0)</f>
        <v>0</v>
      </c>
      <c r="AL61" s="108">
        <f>IF(AN61=21,K61,0)</f>
        <v>0</v>
      </c>
      <c r="AN61" s="100">
        <v>15</v>
      </c>
      <c r="AO61" s="100">
        <f>H61*0.523085271317829</f>
        <v>0</v>
      </c>
      <c r="AP61" s="100">
        <f>H61*(1-0.523085271317829)</f>
        <v>0</v>
      </c>
      <c r="AQ61" s="111" t="s">
        <v>7</v>
      </c>
      <c r="AV61" s="100">
        <f>AW61+AX61</f>
        <v>0</v>
      </c>
      <c r="AW61" s="100">
        <f>G61*AO61</f>
        <v>0</v>
      </c>
      <c r="AX61" s="100">
        <f>G61*AP61</f>
        <v>0</v>
      </c>
      <c r="AY61" s="110" t="s">
        <v>1692</v>
      </c>
      <c r="AZ61" s="110" t="s">
        <v>1728</v>
      </c>
      <c r="BA61" s="109" t="s">
        <v>1737</v>
      </c>
      <c r="BC61" s="100">
        <f>AW61+AX61</f>
        <v>0</v>
      </c>
      <c r="BD61" s="100">
        <f>H61/(100-BE61)*100</f>
        <v>0</v>
      </c>
      <c r="BE61" s="100">
        <v>0</v>
      </c>
      <c r="BF61" s="100">
        <f>61</f>
        <v>61</v>
      </c>
      <c r="BH61" s="108">
        <f>G61*AO61</f>
        <v>0</v>
      </c>
      <c r="BI61" s="108">
        <f>G61*AP61</f>
        <v>0</v>
      </c>
      <c r="BJ61" s="108">
        <f>G61*H61</f>
        <v>0</v>
      </c>
    </row>
    <row r="62" spans="1:62" x14ac:dyDescent="0.2">
      <c r="A62" s="119"/>
      <c r="B62" s="120" t="s">
        <v>68</v>
      </c>
      <c r="C62" s="306" t="s">
        <v>1104</v>
      </c>
      <c r="D62" s="307"/>
      <c r="E62" s="307"/>
      <c r="F62" s="119" t="s">
        <v>6</v>
      </c>
      <c r="G62" s="119" t="s">
        <v>6</v>
      </c>
      <c r="H62" s="119" t="s">
        <v>6</v>
      </c>
      <c r="I62" s="118">
        <f>SUM(I63:I95)</f>
        <v>0</v>
      </c>
      <c r="J62" s="118">
        <f>SUM(J63:J95)</f>
        <v>0</v>
      </c>
      <c r="K62" s="118">
        <f>SUM(K63:K95)</f>
        <v>0</v>
      </c>
      <c r="L62" s="109"/>
      <c r="AI62" s="109"/>
      <c r="AS62" s="118">
        <f>SUM(AJ63:AJ95)</f>
        <v>0</v>
      </c>
      <c r="AT62" s="118">
        <f>SUM(AK63:AK95)</f>
        <v>0</v>
      </c>
      <c r="AU62" s="118">
        <f>SUM(AL63:AL95)</f>
        <v>0</v>
      </c>
    </row>
    <row r="63" spans="1:62" x14ac:dyDescent="0.2">
      <c r="A63" s="117" t="s">
        <v>44</v>
      </c>
      <c r="B63" s="117" t="s">
        <v>607</v>
      </c>
      <c r="C63" s="304" t="s">
        <v>1105</v>
      </c>
      <c r="D63" s="305"/>
      <c r="E63" s="305"/>
      <c r="F63" s="117" t="s">
        <v>1645</v>
      </c>
      <c r="G63" s="116">
        <v>85.9</v>
      </c>
      <c r="H63" s="159"/>
      <c r="I63" s="108">
        <f t="shared" ref="I63:I69" si="22">G63*AO63</f>
        <v>0</v>
      </c>
      <c r="J63" s="108">
        <f t="shared" ref="J63:J69" si="23">G63*AP63</f>
        <v>0</v>
      </c>
      <c r="K63" s="108">
        <f t="shared" ref="K63:K69" si="24">G63*H63</f>
        <v>0</v>
      </c>
      <c r="L63" s="111" t="s">
        <v>1671</v>
      </c>
      <c r="Z63" s="100">
        <f t="shared" ref="Z63:Z69" si="25">IF(AQ63="5",BJ63,0)</f>
        <v>0</v>
      </c>
      <c r="AB63" s="100">
        <f t="shared" ref="AB63:AB69" si="26">IF(AQ63="1",BH63,0)</f>
        <v>0</v>
      </c>
      <c r="AC63" s="100">
        <f t="shared" ref="AC63:AC69" si="27">IF(AQ63="1",BI63,0)</f>
        <v>0</v>
      </c>
      <c r="AD63" s="100">
        <f t="shared" ref="AD63:AD69" si="28">IF(AQ63="7",BH63,0)</f>
        <v>0</v>
      </c>
      <c r="AE63" s="100">
        <f t="shared" ref="AE63:AE69" si="29">IF(AQ63="7",BI63,0)</f>
        <v>0</v>
      </c>
      <c r="AF63" s="100">
        <f t="shared" ref="AF63:AF69" si="30">IF(AQ63="2",BH63,0)</f>
        <v>0</v>
      </c>
      <c r="AG63" s="100">
        <f t="shared" ref="AG63:AG69" si="31">IF(AQ63="2",BI63,0)</f>
        <v>0</v>
      </c>
      <c r="AH63" s="100">
        <f t="shared" ref="AH63:AH69" si="32">IF(AQ63="0",BJ63,0)</f>
        <v>0</v>
      </c>
      <c r="AI63" s="109"/>
      <c r="AJ63" s="108">
        <f t="shared" ref="AJ63:AJ69" si="33">IF(AN63=0,K63,0)</f>
        <v>0</v>
      </c>
      <c r="AK63" s="108">
        <f t="shared" ref="AK63:AK69" si="34">IF(AN63=15,K63,0)</f>
        <v>0</v>
      </c>
      <c r="AL63" s="108">
        <f t="shared" ref="AL63:AL69" si="35">IF(AN63=21,K63,0)</f>
        <v>0</v>
      </c>
      <c r="AN63" s="100">
        <v>15</v>
      </c>
      <c r="AO63" s="100">
        <f>H63*0.285592750047071</f>
        <v>0</v>
      </c>
      <c r="AP63" s="100">
        <f>H63*(1-0.285592750047071)</f>
        <v>0</v>
      </c>
      <c r="AQ63" s="111" t="s">
        <v>7</v>
      </c>
      <c r="AV63" s="100">
        <f t="shared" ref="AV63:AV69" si="36">AW63+AX63</f>
        <v>0</v>
      </c>
      <c r="AW63" s="100">
        <f t="shared" ref="AW63:AW69" si="37">G63*AO63</f>
        <v>0</v>
      </c>
      <c r="AX63" s="100">
        <f t="shared" ref="AX63:AX69" si="38">G63*AP63</f>
        <v>0</v>
      </c>
      <c r="AY63" s="110" t="s">
        <v>1693</v>
      </c>
      <c r="AZ63" s="110" t="s">
        <v>1728</v>
      </c>
      <c r="BA63" s="109" t="s">
        <v>1737</v>
      </c>
      <c r="BC63" s="100">
        <f t="shared" ref="BC63:BC69" si="39">AW63+AX63</f>
        <v>0</v>
      </c>
      <c r="BD63" s="100">
        <f t="shared" ref="BD63:BD69" si="40">H63/(100-BE63)*100</f>
        <v>0</v>
      </c>
      <c r="BE63" s="100">
        <v>0</v>
      </c>
      <c r="BF63" s="100">
        <f>63</f>
        <v>63</v>
      </c>
      <c r="BH63" s="108">
        <f t="shared" ref="BH63:BH69" si="41">G63*AO63</f>
        <v>0</v>
      </c>
      <c r="BI63" s="108">
        <f t="shared" ref="BI63:BI69" si="42">G63*AP63</f>
        <v>0</v>
      </c>
      <c r="BJ63" s="108">
        <f t="shared" ref="BJ63:BJ69" si="43">G63*H63</f>
        <v>0</v>
      </c>
    </row>
    <row r="64" spans="1:62" x14ac:dyDescent="0.2">
      <c r="A64" s="117" t="s">
        <v>45</v>
      </c>
      <c r="B64" s="117" t="s">
        <v>608</v>
      </c>
      <c r="C64" s="304" t="s">
        <v>2506</v>
      </c>
      <c r="D64" s="305"/>
      <c r="E64" s="305"/>
      <c r="F64" s="117" t="s">
        <v>1645</v>
      </c>
      <c r="G64" s="116">
        <v>654.75900000000001</v>
      </c>
      <c r="H64" s="159"/>
      <c r="I64" s="108">
        <f t="shared" si="22"/>
        <v>0</v>
      </c>
      <c r="J64" s="108">
        <f t="shared" si="23"/>
        <v>0</v>
      </c>
      <c r="K64" s="108">
        <f t="shared" si="24"/>
        <v>0</v>
      </c>
      <c r="L64" s="111" t="s">
        <v>1671</v>
      </c>
      <c r="Z64" s="100">
        <f t="shared" si="25"/>
        <v>0</v>
      </c>
      <c r="AB64" s="100">
        <f t="shared" si="26"/>
        <v>0</v>
      </c>
      <c r="AC64" s="100">
        <f t="shared" si="27"/>
        <v>0</v>
      </c>
      <c r="AD64" s="100">
        <f t="shared" si="28"/>
        <v>0</v>
      </c>
      <c r="AE64" s="100">
        <f t="shared" si="29"/>
        <v>0</v>
      </c>
      <c r="AF64" s="100">
        <f t="shared" si="30"/>
        <v>0</v>
      </c>
      <c r="AG64" s="100">
        <f t="shared" si="31"/>
        <v>0</v>
      </c>
      <c r="AH64" s="100">
        <f t="shared" si="32"/>
        <v>0</v>
      </c>
      <c r="AI64" s="109"/>
      <c r="AJ64" s="108">
        <f t="shared" si="33"/>
        <v>0</v>
      </c>
      <c r="AK64" s="108">
        <f t="shared" si="34"/>
        <v>0</v>
      </c>
      <c r="AL64" s="108">
        <f t="shared" si="35"/>
        <v>0</v>
      </c>
      <c r="AN64" s="100">
        <v>15</v>
      </c>
      <c r="AO64" s="100">
        <f>H64*0.578269346119687</f>
        <v>0</v>
      </c>
      <c r="AP64" s="100">
        <f>H64*(1-0.578269346119687)</f>
        <v>0</v>
      </c>
      <c r="AQ64" s="111" t="s">
        <v>7</v>
      </c>
      <c r="AV64" s="100">
        <f t="shared" si="36"/>
        <v>0</v>
      </c>
      <c r="AW64" s="100">
        <f t="shared" si="37"/>
        <v>0</v>
      </c>
      <c r="AX64" s="100">
        <f t="shared" si="38"/>
        <v>0</v>
      </c>
      <c r="AY64" s="110" t="s">
        <v>1693</v>
      </c>
      <c r="AZ64" s="110" t="s">
        <v>1728</v>
      </c>
      <c r="BA64" s="109" t="s">
        <v>1737</v>
      </c>
      <c r="BC64" s="100">
        <f t="shared" si="39"/>
        <v>0</v>
      </c>
      <c r="BD64" s="100">
        <f t="shared" si="40"/>
        <v>0</v>
      </c>
      <c r="BE64" s="100">
        <v>0</v>
      </c>
      <c r="BF64" s="100">
        <f>64</f>
        <v>64</v>
      </c>
      <c r="BH64" s="108">
        <f t="shared" si="41"/>
        <v>0</v>
      </c>
      <c r="BI64" s="108">
        <f t="shared" si="42"/>
        <v>0</v>
      </c>
      <c r="BJ64" s="108">
        <f t="shared" si="43"/>
        <v>0</v>
      </c>
    </row>
    <row r="65" spans="1:62" x14ac:dyDescent="0.2">
      <c r="A65" s="117" t="s">
        <v>46</v>
      </c>
      <c r="B65" s="117" t="s">
        <v>608</v>
      </c>
      <c r="C65" s="304" t="s">
        <v>2505</v>
      </c>
      <c r="D65" s="305"/>
      <c r="E65" s="305"/>
      <c r="F65" s="117" t="s">
        <v>1645</v>
      </c>
      <c r="G65" s="116">
        <v>125.125</v>
      </c>
      <c r="H65" s="159"/>
      <c r="I65" s="108">
        <f t="shared" si="22"/>
        <v>0</v>
      </c>
      <c r="J65" s="108">
        <f t="shared" si="23"/>
        <v>0</v>
      </c>
      <c r="K65" s="108">
        <f t="shared" si="24"/>
        <v>0</v>
      </c>
      <c r="L65" s="111" t="s">
        <v>1671</v>
      </c>
      <c r="Z65" s="100">
        <f t="shared" si="25"/>
        <v>0</v>
      </c>
      <c r="AB65" s="100">
        <f t="shared" si="26"/>
        <v>0</v>
      </c>
      <c r="AC65" s="100">
        <f t="shared" si="27"/>
        <v>0</v>
      </c>
      <c r="AD65" s="100">
        <f t="shared" si="28"/>
        <v>0</v>
      </c>
      <c r="AE65" s="100">
        <f t="shared" si="29"/>
        <v>0</v>
      </c>
      <c r="AF65" s="100">
        <f t="shared" si="30"/>
        <v>0</v>
      </c>
      <c r="AG65" s="100">
        <f t="shared" si="31"/>
        <v>0</v>
      </c>
      <c r="AH65" s="100">
        <f t="shared" si="32"/>
        <v>0</v>
      </c>
      <c r="AI65" s="109"/>
      <c r="AJ65" s="108">
        <f t="shared" si="33"/>
        <v>0</v>
      </c>
      <c r="AK65" s="108">
        <f t="shared" si="34"/>
        <v>0</v>
      </c>
      <c r="AL65" s="108">
        <f t="shared" si="35"/>
        <v>0</v>
      </c>
      <c r="AN65" s="100">
        <v>15</v>
      </c>
      <c r="AO65" s="100">
        <f>H65*0.578269431059433</f>
        <v>0</v>
      </c>
      <c r="AP65" s="100">
        <f>H65*(1-0.578269431059433)</f>
        <v>0</v>
      </c>
      <c r="AQ65" s="111" t="s">
        <v>7</v>
      </c>
      <c r="AV65" s="100">
        <f t="shared" si="36"/>
        <v>0</v>
      </c>
      <c r="AW65" s="100">
        <f t="shared" si="37"/>
        <v>0</v>
      </c>
      <c r="AX65" s="100">
        <f t="shared" si="38"/>
        <v>0</v>
      </c>
      <c r="AY65" s="110" t="s">
        <v>1693</v>
      </c>
      <c r="AZ65" s="110" t="s">
        <v>1728</v>
      </c>
      <c r="BA65" s="109" t="s">
        <v>1737</v>
      </c>
      <c r="BC65" s="100">
        <f t="shared" si="39"/>
        <v>0</v>
      </c>
      <c r="BD65" s="100">
        <f t="shared" si="40"/>
        <v>0</v>
      </c>
      <c r="BE65" s="100">
        <v>0</v>
      </c>
      <c r="BF65" s="100">
        <f>65</f>
        <v>65</v>
      </c>
      <c r="BH65" s="108">
        <f t="shared" si="41"/>
        <v>0</v>
      </c>
      <c r="BI65" s="108">
        <f t="shared" si="42"/>
        <v>0</v>
      </c>
      <c r="BJ65" s="108">
        <f t="shared" si="43"/>
        <v>0</v>
      </c>
    </row>
    <row r="66" spans="1:62" x14ac:dyDescent="0.2">
      <c r="A66" s="117" t="s">
        <v>47</v>
      </c>
      <c r="B66" s="117" t="s">
        <v>609</v>
      </c>
      <c r="C66" s="304" t="s">
        <v>1107</v>
      </c>
      <c r="D66" s="305"/>
      <c r="E66" s="305"/>
      <c r="F66" s="117" t="s">
        <v>1646</v>
      </c>
      <c r="G66" s="116">
        <v>40</v>
      </c>
      <c r="H66" s="159"/>
      <c r="I66" s="108">
        <f t="shared" si="22"/>
        <v>0</v>
      </c>
      <c r="J66" s="108">
        <f t="shared" si="23"/>
        <v>0</v>
      </c>
      <c r="K66" s="108">
        <f t="shared" si="24"/>
        <v>0</v>
      </c>
      <c r="L66" s="111" t="s">
        <v>1671</v>
      </c>
      <c r="Z66" s="100">
        <f t="shared" si="25"/>
        <v>0</v>
      </c>
      <c r="AB66" s="100">
        <f t="shared" si="26"/>
        <v>0</v>
      </c>
      <c r="AC66" s="100">
        <f t="shared" si="27"/>
        <v>0</v>
      </c>
      <c r="AD66" s="100">
        <f t="shared" si="28"/>
        <v>0</v>
      </c>
      <c r="AE66" s="100">
        <f t="shared" si="29"/>
        <v>0</v>
      </c>
      <c r="AF66" s="100">
        <f t="shared" si="30"/>
        <v>0</v>
      </c>
      <c r="AG66" s="100">
        <f t="shared" si="31"/>
        <v>0</v>
      </c>
      <c r="AH66" s="100">
        <f t="shared" si="32"/>
        <v>0</v>
      </c>
      <c r="AI66" s="109"/>
      <c r="AJ66" s="108">
        <f t="shared" si="33"/>
        <v>0</v>
      </c>
      <c r="AK66" s="108">
        <f t="shared" si="34"/>
        <v>0</v>
      </c>
      <c r="AL66" s="108">
        <f t="shared" si="35"/>
        <v>0</v>
      </c>
      <c r="AN66" s="100">
        <v>15</v>
      </c>
      <c r="AO66" s="100">
        <f>H66*0.215363511659808</f>
        <v>0</v>
      </c>
      <c r="AP66" s="100">
        <f>H66*(1-0.215363511659808)</f>
        <v>0</v>
      </c>
      <c r="AQ66" s="111" t="s">
        <v>7</v>
      </c>
      <c r="AV66" s="100">
        <f t="shared" si="36"/>
        <v>0</v>
      </c>
      <c r="AW66" s="100">
        <f t="shared" si="37"/>
        <v>0</v>
      </c>
      <c r="AX66" s="100">
        <f t="shared" si="38"/>
        <v>0</v>
      </c>
      <c r="AY66" s="110" t="s">
        <v>1693</v>
      </c>
      <c r="AZ66" s="110" t="s">
        <v>1728</v>
      </c>
      <c r="BA66" s="109" t="s">
        <v>1737</v>
      </c>
      <c r="BC66" s="100">
        <f t="shared" si="39"/>
        <v>0</v>
      </c>
      <c r="BD66" s="100">
        <f t="shared" si="40"/>
        <v>0</v>
      </c>
      <c r="BE66" s="100">
        <v>0</v>
      </c>
      <c r="BF66" s="100">
        <f>66</f>
        <v>66</v>
      </c>
      <c r="BH66" s="108">
        <f t="shared" si="41"/>
        <v>0</v>
      </c>
      <c r="BI66" s="108">
        <f t="shared" si="42"/>
        <v>0</v>
      </c>
      <c r="BJ66" s="108">
        <f t="shared" si="43"/>
        <v>0</v>
      </c>
    </row>
    <row r="67" spans="1:62" x14ac:dyDescent="0.2">
      <c r="A67" s="117" t="s">
        <v>48</v>
      </c>
      <c r="B67" s="117" t="s">
        <v>610</v>
      </c>
      <c r="C67" s="304" t="s">
        <v>1108</v>
      </c>
      <c r="D67" s="305"/>
      <c r="E67" s="305"/>
      <c r="F67" s="117" t="s">
        <v>1646</v>
      </c>
      <c r="G67" s="116">
        <v>80.19</v>
      </c>
      <c r="H67" s="159"/>
      <c r="I67" s="108">
        <f t="shared" si="22"/>
        <v>0</v>
      </c>
      <c r="J67" s="108">
        <f t="shared" si="23"/>
        <v>0</v>
      </c>
      <c r="K67" s="108">
        <f t="shared" si="24"/>
        <v>0</v>
      </c>
      <c r="L67" s="111" t="s">
        <v>1671</v>
      </c>
      <c r="Z67" s="100">
        <f t="shared" si="25"/>
        <v>0</v>
      </c>
      <c r="AB67" s="100">
        <f t="shared" si="26"/>
        <v>0</v>
      </c>
      <c r="AC67" s="100">
        <f t="shared" si="27"/>
        <v>0</v>
      </c>
      <c r="AD67" s="100">
        <f t="shared" si="28"/>
        <v>0</v>
      </c>
      <c r="AE67" s="100">
        <f t="shared" si="29"/>
        <v>0</v>
      </c>
      <c r="AF67" s="100">
        <f t="shared" si="30"/>
        <v>0</v>
      </c>
      <c r="AG67" s="100">
        <f t="shared" si="31"/>
        <v>0</v>
      </c>
      <c r="AH67" s="100">
        <f t="shared" si="32"/>
        <v>0</v>
      </c>
      <c r="AI67" s="109"/>
      <c r="AJ67" s="108">
        <f t="shared" si="33"/>
        <v>0</v>
      </c>
      <c r="AK67" s="108">
        <f t="shared" si="34"/>
        <v>0</v>
      </c>
      <c r="AL67" s="108">
        <f t="shared" si="35"/>
        <v>0</v>
      </c>
      <c r="AN67" s="100">
        <v>15</v>
      </c>
      <c r="AO67" s="100">
        <f>H67*0.564852747338817</f>
        <v>0</v>
      </c>
      <c r="AP67" s="100">
        <f>H67*(1-0.564852747338817)</f>
        <v>0</v>
      </c>
      <c r="AQ67" s="111" t="s">
        <v>7</v>
      </c>
      <c r="AV67" s="100">
        <f t="shared" si="36"/>
        <v>0</v>
      </c>
      <c r="AW67" s="100">
        <f t="shared" si="37"/>
        <v>0</v>
      </c>
      <c r="AX67" s="100">
        <f t="shared" si="38"/>
        <v>0</v>
      </c>
      <c r="AY67" s="110" t="s">
        <v>1693</v>
      </c>
      <c r="AZ67" s="110" t="s">
        <v>1728</v>
      </c>
      <c r="BA67" s="109" t="s">
        <v>1737</v>
      </c>
      <c r="BC67" s="100">
        <f t="shared" si="39"/>
        <v>0</v>
      </c>
      <c r="BD67" s="100">
        <f t="shared" si="40"/>
        <v>0</v>
      </c>
      <c r="BE67" s="100">
        <v>0</v>
      </c>
      <c r="BF67" s="100">
        <f>67</f>
        <v>67</v>
      </c>
      <c r="BH67" s="108">
        <f t="shared" si="41"/>
        <v>0</v>
      </c>
      <c r="BI67" s="108">
        <f t="shared" si="42"/>
        <v>0</v>
      </c>
      <c r="BJ67" s="108">
        <f t="shared" si="43"/>
        <v>0</v>
      </c>
    </row>
    <row r="68" spans="1:62" x14ac:dyDescent="0.2">
      <c r="A68" s="117" t="s">
        <v>49</v>
      </c>
      <c r="B68" s="117" t="s">
        <v>611</v>
      </c>
      <c r="C68" s="304" t="s">
        <v>1109</v>
      </c>
      <c r="D68" s="305"/>
      <c r="E68" s="305"/>
      <c r="F68" s="117" t="s">
        <v>1646</v>
      </c>
      <c r="G68" s="116">
        <v>15.7</v>
      </c>
      <c r="H68" s="159"/>
      <c r="I68" s="108">
        <f t="shared" si="22"/>
        <v>0</v>
      </c>
      <c r="J68" s="108">
        <f t="shared" si="23"/>
        <v>0</v>
      </c>
      <c r="K68" s="108">
        <f t="shared" si="24"/>
        <v>0</v>
      </c>
      <c r="L68" s="111" t="s">
        <v>1671</v>
      </c>
      <c r="Z68" s="100">
        <f t="shared" si="25"/>
        <v>0</v>
      </c>
      <c r="AB68" s="100">
        <f t="shared" si="26"/>
        <v>0</v>
      </c>
      <c r="AC68" s="100">
        <f t="shared" si="27"/>
        <v>0</v>
      </c>
      <c r="AD68" s="100">
        <f t="shared" si="28"/>
        <v>0</v>
      </c>
      <c r="AE68" s="100">
        <f t="shared" si="29"/>
        <v>0</v>
      </c>
      <c r="AF68" s="100">
        <f t="shared" si="30"/>
        <v>0</v>
      </c>
      <c r="AG68" s="100">
        <f t="shared" si="31"/>
        <v>0</v>
      </c>
      <c r="AH68" s="100">
        <f t="shared" si="32"/>
        <v>0</v>
      </c>
      <c r="AI68" s="109"/>
      <c r="AJ68" s="108">
        <f t="shared" si="33"/>
        <v>0</v>
      </c>
      <c r="AK68" s="108">
        <f t="shared" si="34"/>
        <v>0</v>
      </c>
      <c r="AL68" s="108">
        <f t="shared" si="35"/>
        <v>0</v>
      </c>
      <c r="AN68" s="100">
        <v>15</v>
      </c>
      <c r="AO68" s="100">
        <f>H68*0.723184646223634</f>
        <v>0</v>
      </c>
      <c r="AP68" s="100">
        <f>H68*(1-0.723184646223634)</f>
        <v>0</v>
      </c>
      <c r="AQ68" s="111" t="s">
        <v>7</v>
      </c>
      <c r="AV68" s="100">
        <f t="shared" si="36"/>
        <v>0</v>
      </c>
      <c r="AW68" s="100">
        <f t="shared" si="37"/>
        <v>0</v>
      </c>
      <c r="AX68" s="100">
        <f t="shared" si="38"/>
        <v>0</v>
      </c>
      <c r="AY68" s="110" t="s">
        <v>1693</v>
      </c>
      <c r="AZ68" s="110" t="s">
        <v>1728</v>
      </c>
      <c r="BA68" s="109" t="s">
        <v>1737</v>
      </c>
      <c r="BC68" s="100">
        <f t="shared" si="39"/>
        <v>0</v>
      </c>
      <c r="BD68" s="100">
        <f t="shared" si="40"/>
        <v>0</v>
      </c>
      <c r="BE68" s="100">
        <v>0</v>
      </c>
      <c r="BF68" s="100">
        <f>68</f>
        <v>68</v>
      </c>
      <c r="BH68" s="108">
        <f t="shared" si="41"/>
        <v>0</v>
      </c>
      <c r="BI68" s="108">
        <f t="shared" si="42"/>
        <v>0</v>
      </c>
      <c r="BJ68" s="108">
        <f t="shared" si="43"/>
        <v>0</v>
      </c>
    </row>
    <row r="69" spans="1:62" x14ac:dyDescent="0.2">
      <c r="A69" s="117" t="s">
        <v>50</v>
      </c>
      <c r="B69" s="117" t="s">
        <v>612</v>
      </c>
      <c r="C69" s="304" t="s">
        <v>1110</v>
      </c>
      <c r="D69" s="305"/>
      <c r="E69" s="305"/>
      <c r="F69" s="117" t="s">
        <v>1645</v>
      </c>
      <c r="G69" s="116">
        <v>108.25700000000001</v>
      </c>
      <c r="H69" s="159"/>
      <c r="I69" s="108">
        <f t="shared" si="22"/>
        <v>0</v>
      </c>
      <c r="J69" s="108">
        <f t="shared" si="23"/>
        <v>0</v>
      </c>
      <c r="K69" s="108">
        <f t="shared" si="24"/>
        <v>0</v>
      </c>
      <c r="L69" s="111" t="s">
        <v>1671</v>
      </c>
      <c r="Z69" s="100">
        <f t="shared" si="25"/>
        <v>0</v>
      </c>
      <c r="AB69" s="100">
        <f t="shared" si="26"/>
        <v>0</v>
      </c>
      <c r="AC69" s="100">
        <f t="shared" si="27"/>
        <v>0</v>
      </c>
      <c r="AD69" s="100">
        <f t="shared" si="28"/>
        <v>0</v>
      </c>
      <c r="AE69" s="100">
        <f t="shared" si="29"/>
        <v>0</v>
      </c>
      <c r="AF69" s="100">
        <f t="shared" si="30"/>
        <v>0</v>
      </c>
      <c r="AG69" s="100">
        <f t="shared" si="31"/>
        <v>0</v>
      </c>
      <c r="AH69" s="100">
        <f t="shared" si="32"/>
        <v>0</v>
      </c>
      <c r="AI69" s="109"/>
      <c r="AJ69" s="108">
        <f t="shared" si="33"/>
        <v>0</v>
      </c>
      <c r="AK69" s="108">
        <f t="shared" si="34"/>
        <v>0</v>
      </c>
      <c r="AL69" s="108">
        <f t="shared" si="35"/>
        <v>0</v>
      </c>
      <c r="AN69" s="100">
        <v>15</v>
      </c>
      <c r="AO69" s="100">
        <f>H69*0.580357810394608</f>
        <v>0</v>
      </c>
      <c r="AP69" s="100">
        <f>H69*(1-0.580357810394608)</f>
        <v>0</v>
      </c>
      <c r="AQ69" s="111" t="s">
        <v>7</v>
      </c>
      <c r="AV69" s="100">
        <f t="shared" si="36"/>
        <v>0</v>
      </c>
      <c r="AW69" s="100">
        <f t="shared" si="37"/>
        <v>0</v>
      </c>
      <c r="AX69" s="100">
        <f t="shared" si="38"/>
        <v>0</v>
      </c>
      <c r="AY69" s="110" t="s">
        <v>1693</v>
      </c>
      <c r="AZ69" s="110" t="s">
        <v>1728</v>
      </c>
      <c r="BA69" s="109" t="s">
        <v>1737</v>
      </c>
      <c r="BC69" s="100">
        <f t="shared" si="39"/>
        <v>0</v>
      </c>
      <c r="BD69" s="100">
        <f t="shared" si="40"/>
        <v>0</v>
      </c>
      <c r="BE69" s="100">
        <v>0</v>
      </c>
      <c r="BF69" s="100">
        <f>69</f>
        <v>69</v>
      </c>
      <c r="BH69" s="108">
        <f t="shared" si="41"/>
        <v>0</v>
      </c>
      <c r="BI69" s="108">
        <f t="shared" si="42"/>
        <v>0</v>
      </c>
      <c r="BJ69" s="108">
        <f t="shared" si="43"/>
        <v>0</v>
      </c>
    </row>
    <row r="70" spans="1:62" ht="12.75" customHeight="1" x14ac:dyDescent="0.2">
      <c r="B70" s="125" t="s">
        <v>613</v>
      </c>
      <c r="C70" s="338" t="s">
        <v>1111</v>
      </c>
      <c r="D70" s="338"/>
      <c r="E70" s="338"/>
      <c r="F70" s="158"/>
      <c r="G70" s="158"/>
      <c r="H70" s="158"/>
      <c r="I70" s="158"/>
      <c r="J70" s="158"/>
      <c r="K70" s="158"/>
      <c r="L70" s="158"/>
    </row>
    <row r="71" spans="1:62" x14ac:dyDescent="0.2">
      <c r="A71" s="117" t="s">
        <v>51</v>
      </c>
      <c r="B71" s="117" t="s">
        <v>614</v>
      </c>
      <c r="C71" s="304" t="s">
        <v>1112</v>
      </c>
      <c r="D71" s="305"/>
      <c r="E71" s="305"/>
      <c r="F71" s="117" t="s">
        <v>1645</v>
      </c>
      <c r="G71" s="116">
        <v>67.39</v>
      </c>
      <c r="H71" s="159"/>
      <c r="I71" s="108">
        <f>G71*AO71</f>
        <v>0</v>
      </c>
      <c r="J71" s="108">
        <f>G71*AP71</f>
        <v>0</v>
      </c>
      <c r="K71" s="108">
        <f>G71*H71</f>
        <v>0</v>
      </c>
      <c r="L71" s="111" t="s">
        <v>1671</v>
      </c>
      <c r="Z71" s="100">
        <f>IF(AQ71="5",BJ71,0)</f>
        <v>0</v>
      </c>
      <c r="AB71" s="100">
        <f>IF(AQ71="1",BH71,0)</f>
        <v>0</v>
      </c>
      <c r="AC71" s="100">
        <f>IF(AQ71="1",BI71,0)</f>
        <v>0</v>
      </c>
      <c r="AD71" s="100">
        <f>IF(AQ71="7",BH71,0)</f>
        <v>0</v>
      </c>
      <c r="AE71" s="100">
        <f>IF(AQ71="7",BI71,0)</f>
        <v>0</v>
      </c>
      <c r="AF71" s="100">
        <f>IF(AQ71="2",BH71,0)</f>
        <v>0</v>
      </c>
      <c r="AG71" s="100">
        <f>IF(AQ71="2",BI71,0)</f>
        <v>0</v>
      </c>
      <c r="AH71" s="100">
        <f>IF(AQ71="0",BJ71,0)</f>
        <v>0</v>
      </c>
      <c r="AI71" s="109"/>
      <c r="AJ71" s="108">
        <f>IF(AN71=0,K71,0)</f>
        <v>0</v>
      </c>
      <c r="AK71" s="108">
        <f>IF(AN71=15,K71,0)</f>
        <v>0</v>
      </c>
      <c r="AL71" s="108">
        <f>IF(AN71=21,K71,0)</f>
        <v>0</v>
      </c>
      <c r="AN71" s="100">
        <v>15</v>
      </c>
      <c r="AO71" s="100">
        <f>H71*0.659033041788144</f>
        <v>0</v>
      </c>
      <c r="AP71" s="100">
        <f>H71*(1-0.659033041788144)</f>
        <v>0</v>
      </c>
      <c r="AQ71" s="111" t="s">
        <v>7</v>
      </c>
      <c r="AV71" s="100">
        <f>AW71+AX71</f>
        <v>0</v>
      </c>
      <c r="AW71" s="100">
        <f>G71*AO71</f>
        <v>0</v>
      </c>
      <c r="AX71" s="100">
        <f>G71*AP71</f>
        <v>0</v>
      </c>
      <c r="AY71" s="110" t="s">
        <v>1693</v>
      </c>
      <c r="AZ71" s="110" t="s">
        <v>1728</v>
      </c>
      <c r="BA71" s="109" t="s">
        <v>1737</v>
      </c>
      <c r="BC71" s="100">
        <f>AW71+AX71</f>
        <v>0</v>
      </c>
      <c r="BD71" s="100">
        <f>H71/(100-BE71)*100</f>
        <v>0</v>
      </c>
      <c r="BE71" s="100">
        <v>0</v>
      </c>
      <c r="BF71" s="100">
        <f>71</f>
        <v>71</v>
      </c>
      <c r="BH71" s="108">
        <f>G71*AO71</f>
        <v>0</v>
      </c>
      <c r="BI71" s="108">
        <f>G71*AP71</f>
        <v>0</v>
      </c>
      <c r="BJ71" s="108">
        <f>G71*H71</f>
        <v>0</v>
      </c>
    </row>
    <row r="72" spans="1:62" ht="12.75" customHeight="1" x14ac:dyDescent="0.2">
      <c r="B72" s="125" t="s">
        <v>613</v>
      </c>
      <c r="C72" s="338" t="s">
        <v>1113</v>
      </c>
      <c r="D72" s="338"/>
      <c r="E72" s="338"/>
      <c r="F72" s="158"/>
      <c r="G72" s="158"/>
      <c r="H72" s="158"/>
      <c r="I72" s="158"/>
      <c r="J72" s="158"/>
      <c r="K72" s="158"/>
      <c r="L72" s="158"/>
    </row>
    <row r="73" spans="1:62" x14ac:dyDescent="0.2">
      <c r="A73" s="117" t="s">
        <v>52</v>
      </c>
      <c r="B73" s="117" t="s">
        <v>615</v>
      </c>
      <c r="C73" s="304" t="s">
        <v>1114</v>
      </c>
      <c r="D73" s="305"/>
      <c r="E73" s="305"/>
      <c r="F73" s="117" t="s">
        <v>1645</v>
      </c>
      <c r="G73" s="116">
        <v>479.11200000000002</v>
      </c>
      <c r="H73" s="159"/>
      <c r="I73" s="108">
        <f>G73*AO73</f>
        <v>0</v>
      </c>
      <c r="J73" s="108">
        <f>G73*AP73</f>
        <v>0</v>
      </c>
      <c r="K73" s="108">
        <f>G73*H73</f>
        <v>0</v>
      </c>
      <c r="L73" s="111" t="s">
        <v>1671</v>
      </c>
      <c r="Z73" s="100">
        <f>IF(AQ73="5",BJ73,0)</f>
        <v>0</v>
      </c>
      <c r="AB73" s="100">
        <f>IF(AQ73="1",BH73,0)</f>
        <v>0</v>
      </c>
      <c r="AC73" s="100">
        <f>IF(AQ73="1",BI73,0)</f>
        <v>0</v>
      </c>
      <c r="AD73" s="100">
        <f>IF(AQ73="7",BH73,0)</f>
        <v>0</v>
      </c>
      <c r="AE73" s="100">
        <f>IF(AQ73="7",BI73,0)</f>
        <v>0</v>
      </c>
      <c r="AF73" s="100">
        <f>IF(AQ73="2",BH73,0)</f>
        <v>0</v>
      </c>
      <c r="AG73" s="100">
        <f>IF(AQ73="2",BI73,0)</f>
        <v>0</v>
      </c>
      <c r="AH73" s="100">
        <f>IF(AQ73="0",BJ73,0)</f>
        <v>0</v>
      </c>
      <c r="AI73" s="109"/>
      <c r="AJ73" s="108">
        <f>IF(AN73=0,K73,0)</f>
        <v>0</v>
      </c>
      <c r="AK73" s="108">
        <f>IF(AN73=15,K73,0)</f>
        <v>0</v>
      </c>
      <c r="AL73" s="108">
        <f>IF(AN73=21,K73,0)</f>
        <v>0</v>
      </c>
      <c r="AN73" s="100">
        <v>15</v>
      </c>
      <c r="AO73" s="100">
        <f>H73*0.695718875502008</f>
        <v>0</v>
      </c>
      <c r="AP73" s="100">
        <f>H73*(1-0.695718875502008)</f>
        <v>0</v>
      </c>
      <c r="AQ73" s="111" t="s">
        <v>7</v>
      </c>
      <c r="AV73" s="100">
        <f>AW73+AX73</f>
        <v>0</v>
      </c>
      <c r="AW73" s="100">
        <f>G73*AO73</f>
        <v>0</v>
      </c>
      <c r="AX73" s="100">
        <f>G73*AP73</f>
        <v>0</v>
      </c>
      <c r="AY73" s="110" t="s">
        <v>1693</v>
      </c>
      <c r="AZ73" s="110" t="s">
        <v>1728</v>
      </c>
      <c r="BA73" s="109" t="s">
        <v>1737</v>
      </c>
      <c r="BC73" s="100">
        <f>AW73+AX73</f>
        <v>0</v>
      </c>
      <c r="BD73" s="100">
        <f>H73/(100-BE73)*100</f>
        <v>0</v>
      </c>
      <c r="BE73" s="100">
        <v>0</v>
      </c>
      <c r="BF73" s="100">
        <f>73</f>
        <v>73</v>
      </c>
      <c r="BH73" s="108">
        <f>G73*AO73</f>
        <v>0</v>
      </c>
      <c r="BI73" s="108">
        <f>G73*AP73</f>
        <v>0</v>
      </c>
      <c r="BJ73" s="108">
        <f>G73*H73</f>
        <v>0</v>
      </c>
    </row>
    <row r="74" spans="1:62" ht="12.75" customHeight="1" x14ac:dyDescent="0.2">
      <c r="B74" s="125" t="s">
        <v>613</v>
      </c>
      <c r="C74" s="338" t="s">
        <v>1115</v>
      </c>
      <c r="D74" s="338"/>
      <c r="E74" s="338"/>
      <c r="F74" s="158"/>
      <c r="G74" s="158"/>
      <c r="H74" s="158"/>
      <c r="I74" s="158"/>
      <c r="J74" s="158"/>
      <c r="K74" s="158"/>
      <c r="L74" s="158"/>
    </row>
    <row r="75" spans="1:62" x14ac:dyDescent="0.2">
      <c r="A75" s="117" t="s">
        <v>53</v>
      </c>
      <c r="B75" s="117" t="s">
        <v>616</v>
      </c>
      <c r="C75" s="304" t="s">
        <v>1116</v>
      </c>
      <c r="D75" s="305"/>
      <c r="E75" s="305"/>
      <c r="F75" s="117" t="s">
        <v>1645</v>
      </c>
      <c r="G75" s="116">
        <v>50.844000000000001</v>
      </c>
      <c r="H75" s="159"/>
      <c r="I75" s="108">
        <f>G75*AO75</f>
        <v>0</v>
      </c>
      <c r="J75" s="108">
        <f>G75*AP75</f>
        <v>0</v>
      </c>
      <c r="K75" s="108">
        <f>G75*H75</f>
        <v>0</v>
      </c>
      <c r="L75" s="111" t="s">
        <v>1671</v>
      </c>
      <c r="Z75" s="100">
        <f>IF(AQ75="5",BJ75,0)</f>
        <v>0</v>
      </c>
      <c r="AB75" s="100">
        <f>IF(AQ75="1",BH75,0)</f>
        <v>0</v>
      </c>
      <c r="AC75" s="100">
        <f>IF(AQ75="1",BI75,0)</f>
        <v>0</v>
      </c>
      <c r="AD75" s="100">
        <f>IF(AQ75="7",BH75,0)</f>
        <v>0</v>
      </c>
      <c r="AE75" s="100">
        <f>IF(AQ75="7",BI75,0)</f>
        <v>0</v>
      </c>
      <c r="AF75" s="100">
        <f>IF(AQ75="2",BH75,0)</f>
        <v>0</v>
      </c>
      <c r="AG75" s="100">
        <f>IF(AQ75="2",BI75,0)</f>
        <v>0</v>
      </c>
      <c r="AH75" s="100">
        <f>IF(AQ75="0",BJ75,0)</f>
        <v>0</v>
      </c>
      <c r="AI75" s="109"/>
      <c r="AJ75" s="108">
        <f>IF(AN75=0,K75,0)</f>
        <v>0</v>
      </c>
      <c r="AK75" s="108">
        <f>IF(AN75=15,K75,0)</f>
        <v>0</v>
      </c>
      <c r="AL75" s="108">
        <f>IF(AN75=21,K75,0)</f>
        <v>0</v>
      </c>
      <c r="AN75" s="100">
        <v>15</v>
      </c>
      <c r="AO75" s="100">
        <f>H75*0.355093424731702</f>
        <v>0</v>
      </c>
      <c r="AP75" s="100">
        <f>H75*(1-0.355093424731702)</f>
        <v>0</v>
      </c>
      <c r="AQ75" s="111" t="s">
        <v>7</v>
      </c>
      <c r="AV75" s="100">
        <f>AW75+AX75</f>
        <v>0</v>
      </c>
      <c r="AW75" s="100">
        <f>G75*AO75</f>
        <v>0</v>
      </c>
      <c r="AX75" s="100">
        <f>G75*AP75</f>
        <v>0</v>
      </c>
      <c r="AY75" s="110" t="s">
        <v>1693</v>
      </c>
      <c r="AZ75" s="110" t="s">
        <v>1728</v>
      </c>
      <c r="BA75" s="109" t="s">
        <v>1737</v>
      </c>
      <c r="BC75" s="100">
        <f>AW75+AX75</f>
        <v>0</v>
      </c>
      <c r="BD75" s="100">
        <f>H75/(100-BE75)*100</f>
        <v>0</v>
      </c>
      <c r="BE75" s="100">
        <v>0</v>
      </c>
      <c r="BF75" s="100">
        <f>75</f>
        <v>75</v>
      </c>
      <c r="BH75" s="108">
        <f>G75*AO75</f>
        <v>0</v>
      </c>
      <c r="BI75" s="108">
        <f>G75*AP75</f>
        <v>0</v>
      </c>
      <c r="BJ75" s="108">
        <f>G75*H75</f>
        <v>0</v>
      </c>
    </row>
    <row r="76" spans="1:62" ht="12.75" customHeight="1" x14ac:dyDescent="0.2">
      <c r="B76" s="125" t="s">
        <v>613</v>
      </c>
      <c r="C76" s="338" t="s">
        <v>1117</v>
      </c>
      <c r="D76" s="338"/>
      <c r="E76" s="338"/>
      <c r="F76" s="158"/>
      <c r="G76" s="158"/>
      <c r="H76" s="158"/>
      <c r="I76" s="158"/>
      <c r="J76" s="158"/>
      <c r="K76" s="158"/>
      <c r="L76" s="158"/>
    </row>
    <row r="77" spans="1:62" x14ac:dyDescent="0.2">
      <c r="A77" s="117" t="s">
        <v>54</v>
      </c>
      <c r="B77" s="117" t="s">
        <v>617</v>
      </c>
      <c r="C77" s="304" t="s">
        <v>1118</v>
      </c>
      <c r="D77" s="305"/>
      <c r="E77" s="305"/>
      <c r="F77" s="117" t="s">
        <v>1646</v>
      </c>
      <c r="G77" s="116">
        <v>65</v>
      </c>
      <c r="H77" s="159"/>
      <c r="I77" s="108">
        <f t="shared" ref="I77:I83" si="44">G77*AO77</f>
        <v>0</v>
      </c>
      <c r="J77" s="108">
        <f t="shared" ref="J77:J83" si="45">G77*AP77</f>
        <v>0</v>
      </c>
      <c r="K77" s="108">
        <f t="shared" ref="K77:K83" si="46">G77*H77</f>
        <v>0</v>
      </c>
      <c r="L77" s="111" t="s">
        <v>1671</v>
      </c>
      <c r="Z77" s="100">
        <f t="shared" ref="Z77:Z83" si="47">IF(AQ77="5",BJ77,0)</f>
        <v>0</v>
      </c>
      <c r="AB77" s="100">
        <f t="shared" ref="AB77:AB83" si="48">IF(AQ77="1",BH77,0)</f>
        <v>0</v>
      </c>
      <c r="AC77" s="100">
        <f t="shared" ref="AC77:AC83" si="49">IF(AQ77="1",BI77,0)</f>
        <v>0</v>
      </c>
      <c r="AD77" s="100">
        <f t="shared" ref="AD77:AD83" si="50">IF(AQ77="7",BH77,0)</f>
        <v>0</v>
      </c>
      <c r="AE77" s="100">
        <f t="shared" ref="AE77:AE83" si="51">IF(AQ77="7",BI77,0)</f>
        <v>0</v>
      </c>
      <c r="AF77" s="100">
        <f t="shared" ref="AF77:AF83" si="52">IF(AQ77="2",BH77,0)</f>
        <v>0</v>
      </c>
      <c r="AG77" s="100">
        <f t="shared" ref="AG77:AG83" si="53">IF(AQ77="2",BI77,0)</f>
        <v>0</v>
      </c>
      <c r="AH77" s="100">
        <f t="shared" ref="AH77:AH83" si="54">IF(AQ77="0",BJ77,0)</f>
        <v>0</v>
      </c>
      <c r="AI77" s="109"/>
      <c r="AJ77" s="108">
        <f t="shared" ref="AJ77:AJ83" si="55">IF(AN77=0,K77,0)</f>
        <v>0</v>
      </c>
      <c r="AK77" s="108">
        <f t="shared" ref="AK77:AK83" si="56">IF(AN77=15,K77,0)</f>
        <v>0</v>
      </c>
      <c r="AL77" s="108">
        <f t="shared" ref="AL77:AL83" si="57">IF(AN77=21,K77,0)</f>
        <v>0</v>
      </c>
      <c r="AN77" s="100">
        <v>15</v>
      </c>
      <c r="AO77" s="100">
        <f>H77*0.314</f>
        <v>0</v>
      </c>
      <c r="AP77" s="100">
        <f>H77*(1-0.314)</f>
        <v>0</v>
      </c>
      <c r="AQ77" s="111" t="s">
        <v>7</v>
      </c>
      <c r="AV77" s="100">
        <f t="shared" ref="AV77:AV83" si="58">AW77+AX77</f>
        <v>0</v>
      </c>
      <c r="AW77" s="100">
        <f t="shared" ref="AW77:AW83" si="59">G77*AO77</f>
        <v>0</v>
      </c>
      <c r="AX77" s="100">
        <f t="shared" ref="AX77:AX83" si="60">G77*AP77</f>
        <v>0</v>
      </c>
      <c r="AY77" s="110" t="s">
        <v>1693</v>
      </c>
      <c r="AZ77" s="110" t="s">
        <v>1728</v>
      </c>
      <c r="BA77" s="109" t="s">
        <v>1737</v>
      </c>
      <c r="BC77" s="100">
        <f t="shared" ref="BC77:BC83" si="61">AW77+AX77</f>
        <v>0</v>
      </c>
      <c r="BD77" s="100">
        <f t="shared" ref="BD77:BD83" si="62">H77/(100-BE77)*100</f>
        <v>0</v>
      </c>
      <c r="BE77" s="100">
        <v>0</v>
      </c>
      <c r="BF77" s="100">
        <f>77</f>
        <v>77</v>
      </c>
      <c r="BH77" s="108">
        <f t="shared" ref="BH77:BH83" si="63">G77*AO77</f>
        <v>0</v>
      </c>
      <c r="BI77" s="108">
        <f t="shared" ref="BI77:BI83" si="64">G77*AP77</f>
        <v>0</v>
      </c>
      <c r="BJ77" s="108">
        <f t="shared" ref="BJ77:BJ83" si="65">G77*H77</f>
        <v>0</v>
      </c>
    </row>
    <row r="78" spans="1:62" x14ac:dyDescent="0.2">
      <c r="A78" s="117" t="s">
        <v>55</v>
      </c>
      <c r="B78" s="117" t="s">
        <v>618</v>
      </c>
      <c r="C78" s="304" t="s">
        <v>1119</v>
      </c>
      <c r="D78" s="305"/>
      <c r="E78" s="305"/>
      <c r="F78" s="117" t="s">
        <v>1645</v>
      </c>
      <c r="G78" s="116">
        <v>779.88400000000001</v>
      </c>
      <c r="H78" s="159"/>
      <c r="I78" s="108">
        <f t="shared" si="44"/>
        <v>0</v>
      </c>
      <c r="J78" s="108">
        <f t="shared" si="45"/>
        <v>0</v>
      </c>
      <c r="K78" s="108">
        <f t="shared" si="46"/>
        <v>0</v>
      </c>
      <c r="L78" s="111" t="s">
        <v>1671</v>
      </c>
      <c r="Z78" s="100">
        <f t="shared" si="47"/>
        <v>0</v>
      </c>
      <c r="AB78" s="100">
        <f t="shared" si="48"/>
        <v>0</v>
      </c>
      <c r="AC78" s="100">
        <f t="shared" si="49"/>
        <v>0</v>
      </c>
      <c r="AD78" s="100">
        <f t="shared" si="50"/>
        <v>0</v>
      </c>
      <c r="AE78" s="100">
        <f t="shared" si="51"/>
        <v>0</v>
      </c>
      <c r="AF78" s="100">
        <f t="shared" si="52"/>
        <v>0</v>
      </c>
      <c r="AG78" s="100">
        <f t="shared" si="53"/>
        <v>0</v>
      </c>
      <c r="AH78" s="100">
        <f t="shared" si="54"/>
        <v>0</v>
      </c>
      <c r="AI78" s="109"/>
      <c r="AJ78" s="108">
        <f t="shared" si="55"/>
        <v>0</v>
      </c>
      <c r="AK78" s="108">
        <f t="shared" si="56"/>
        <v>0</v>
      </c>
      <c r="AL78" s="108">
        <f t="shared" si="57"/>
        <v>0</v>
      </c>
      <c r="AN78" s="100">
        <v>15</v>
      </c>
      <c r="AO78" s="100">
        <f>H78*0.321454545454545</f>
        <v>0</v>
      </c>
      <c r="AP78" s="100">
        <f>H78*(1-0.321454545454545)</f>
        <v>0</v>
      </c>
      <c r="AQ78" s="111" t="s">
        <v>7</v>
      </c>
      <c r="AV78" s="100">
        <f t="shared" si="58"/>
        <v>0</v>
      </c>
      <c r="AW78" s="100">
        <f t="shared" si="59"/>
        <v>0</v>
      </c>
      <c r="AX78" s="100">
        <f t="shared" si="60"/>
        <v>0</v>
      </c>
      <c r="AY78" s="110" t="s">
        <v>1693</v>
      </c>
      <c r="AZ78" s="110" t="s">
        <v>1728</v>
      </c>
      <c r="BA78" s="109" t="s">
        <v>1737</v>
      </c>
      <c r="BC78" s="100">
        <f t="shared" si="61"/>
        <v>0</v>
      </c>
      <c r="BD78" s="100">
        <f t="shared" si="62"/>
        <v>0</v>
      </c>
      <c r="BE78" s="100">
        <v>0</v>
      </c>
      <c r="BF78" s="100">
        <f>78</f>
        <v>78</v>
      </c>
      <c r="BH78" s="108">
        <f t="shared" si="63"/>
        <v>0</v>
      </c>
      <c r="BI78" s="108">
        <f t="shared" si="64"/>
        <v>0</v>
      </c>
      <c r="BJ78" s="108">
        <f t="shared" si="65"/>
        <v>0</v>
      </c>
    </row>
    <row r="79" spans="1:62" x14ac:dyDescent="0.2">
      <c r="A79" s="117" t="s">
        <v>56</v>
      </c>
      <c r="B79" s="117" t="s">
        <v>619</v>
      </c>
      <c r="C79" s="304" t="s">
        <v>1120</v>
      </c>
      <c r="D79" s="305"/>
      <c r="E79" s="305"/>
      <c r="F79" s="117" t="s">
        <v>1646</v>
      </c>
      <c r="G79" s="116">
        <v>202.8</v>
      </c>
      <c r="H79" s="159"/>
      <c r="I79" s="108">
        <f t="shared" si="44"/>
        <v>0</v>
      </c>
      <c r="J79" s="108">
        <f t="shared" si="45"/>
        <v>0</v>
      </c>
      <c r="K79" s="108">
        <f t="shared" si="46"/>
        <v>0</v>
      </c>
      <c r="L79" s="111" t="s">
        <v>1671</v>
      </c>
      <c r="Z79" s="100">
        <f t="shared" si="47"/>
        <v>0</v>
      </c>
      <c r="AB79" s="100">
        <f t="shared" si="48"/>
        <v>0</v>
      </c>
      <c r="AC79" s="100">
        <f t="shared" si="49"/>
        <v>0</v>
      </c>
      <c r="AD79" s="100">
        <f t="shared" si="50"/>
        <v>0</v>
      </c>
      <c r="AE79" s="100">
        <f t="shared" si="51"/>
        <v>0</v>
      </c>
      <c r="AF79" s="100">
        <f t="shared" si="52"/>
        <v>0</v>
      </c>
      <c r="AG79" s="100">
        <f t="shared" si="53"/>
        <v>0</v>
      </c>
      <c r="AH79" s="100">
        <f t="shared" si="54"/>
        <v>0</v>
      </c>
      <c r="AI79" s="109"/>
      <c r="AJ79" s="108">
        <f t="shared" si="55"/>
        <v>0</v>
      </c>
      <c r="AK79" s="108">
        <f t="shared" si="56"/>
        <v>0</v>
      </c>
      <c r="AL79" s="108">
        <f t="shared" si="57"/>
        <v>0</v>
      </c>
      <c r="AN79" s="100">
        <v>15</v>
      </c>
      <c r="AO79" s="100">
        <f>H79*0.240880106443885</f>
        <v>0</v>
      </c>
      <c r="AP79" s="100">
        <f>H79*(1-0.240880106443885)</f>
        <v>0</v>
      </c>
      <c r="AQ79" s="111" t="s">
        <v>7</v>
      </c>
      <c r="AV79" s="100">
        <f t="shared" si="58"/>
        <v>0</v>
      </c>
      <c r="AW79" s="100">
        <f t="shared" si="59"/>
        <v>0</v>
      </c>
      <c r="AX79" s="100">
        <f t="shared" si="60"/>
        <v>0</v>
      </c>
      <c r="AY79" s="110" t="s">
        <v>1693</v>
      </c>
      <c r="AZ79" s="110" t="s">
        <v>1728</v>
      </c>
      <c r="BA79" s="109" t="s">
        <v>1737</v>
      </c>
      <c r="BC79" s="100">
        <f t="shared" si="61"/>
        <v>0</v>
      </c>
      <c r="BD79" s="100">
        <f t="shared" si="62"/>
        <v>0</v>
      </c>
      <c r="BE79" s="100">
        <v>0</v>
      </c>
      <c r="BF79" s="100">
        <f>79</f>
        <v>79</v>
      </c>
      <c r="BH79" s="108">
        <f t="shared" si="63"/>
        <v>0</v>
      </c>
      <c r="BI79" s="108">
        <f t="shared" si="64"/>
        <v>0</v>
      </c>
      <c r="BJ79" s="108">
        <f t="shared" si="65"/>
        <v>0</v>
      </c>
    </row>
    <row r="80" spans="1:62" x14ac:dyDescent="0.2">
      <c r="A80" s="117" t="s">
        <v>57</v>
      </c>
      <c r="B80" s="117" t="s">
        <v>620</v>
      </c>
      <c r="C80" s="304" t="s">
        <v>1121</v>
      </c>
      <c r="D80" s="305"/>
      <c r="E80" s="305"/>
      <c r="F80" s="117" t="s">
        <v>1646</v>
      </c>
      <c r="G80" s="116">
        <v>65</v>
      </c>
      <c r="H80" s="159"/>
      <c r="I80" s="108">
        <f t="shared" si="44"/>
        <v>0</v>
      </c>
      <c r="J80" s="108">
        <f t="shared" si="45"/>
        <v>0</v>
      </c>
      <c r="K80" s="108">
        <f t="shared" si="46"/>
        <v>0</v>
      </c>
      <c r="L80" s="111" t="s">
        <v>1671</v>
      </c>
      <c r="Z80" s="100">
        <f t="shared" si="47"/>
        <v>0</v>
      </c>
      <c r="AB80" s="100">
        <f t="shared" si="48"/>
        <v>0</v>
      </c>
      <c r="AC80" s="100">
        <f t="shared" si="49"/>
        <v>0</v>
      </c>
      <c r="AD80" s="100">
        <f t="shared" si="50"/>
        <v>0</v>
      </c>
      <c r="AE80" s="100">
        <f t="shared" si="51"/>
        <v>0</v>
      </c>
      <c r="AF80" s="100">
        <f t="shared" si="52"/>
        <v>0</v>
      </c>
      <c r="AG80" s="100">
        <f t="shared" si="53"/>
        <v>0</v>
      </c>
      <c r="AH80" s="100">
        <f t="shared" si="54"/>
        <v>0</v>
      </c>
      <c r="AI80" s="109"/>
      <c r="AJ80" s="108">
        <f t="shared" si="55"/>
        <v>0</v>
      </c>
      <c r="AK80" s="108">
        <f t="shared" si="56"/>
        <v>0</v>
      </c>
      <c r="AL80" s="108">
        <f t="shared" si="57"/>
        <v>0</v>
      </c>
      <c r="AN80" s="100">
        <v>15</v>
      </c>
      <c r="AO80" s="100">
        <f>H80*0.25955902874686</f>
        <v>0</v>
      </c>
      <c r="AP80" s="100">
        <f>H80*(1-0.25955902874686)</f>
        <v>0</v>
      </c>
      <c r="AQ80" s="111" t="s">
        <v>7</v>
      </c>
      <c r="AV80" s="100">
        <f t="shared" si="58"/>
        <v>0</v>
      </c>
      <c r="AW80" s="100">
        <f t="shared" si="59"/>
        <v>0</v>
      </c>
      <c r="AX80" s="100">
        <f t="shared" si="60"/>
        <v>0</v>
      </c>
      <c r="AY80" s="110" t="s">
        <v>1693</v>
      </c>
      <c r="AZ80" s="110" t="s">
        <v>1728</v>
      </c>
      <c r="BA80" s="109" t="s">
        <v>1737</v>
      </c>
      <c r="BC80" s="100">
        <f t="shared" si="61"/>
        <v>0</v>
      </c>
      <c r="BD80" s="100">
        <f t="shared" si="62"/>
        <v>0</v>
      </c>
      <c r="BE80" s="100">
        <v>0</v>
      </c>
      <c r="BF80" s="100">
        <f>80</f>
        <v>80</v>
      </c>
      <c r="BH80" s="108">
        <f t="shared" si="63"/>
        <v>0</v>
      </c>
      <c r="BI80" s="108">
        <f t="shared" si="64"/>
        <v>0</v>
      </c>
      <c r="BJ80" s="108">
        <f t="shared" si="65"/>
        <v>0</v>
      </c>
    </row>
    <row r="81" spans="1:62" x14ac:dyDescent="0.2">
      <c r="A81" s="117" t="s">
        <v>58</v>
      </c>
      <c r="B81" s="117" t="s">
        <v>2504</v>
      </c>
      <c r="C81" s="304" t="s">
        <v>2503</v>
      </c>
      <c r="D81" s="305"/>
      <c r="E81" s="305"/>
      <c r="F81" s="117" t="s">
        <v>1645</v>
      </c>
      <c r="G81" s="116">
        <v>9.0449999999999999</v>
      </c>
      <c r="H81" s="159"/>
      <c r="I81" s="108">
        <f t="shared" si="44"/>
        <v>0</v>
      </c>
      <c r="J81" s="108">
        <f t="shared" si="45"/>
        <v>0</v>
      </c>
      <c r="K81" s="108">
        <f t="shared" si="46"/>
        <v>0</v>
      </c>
      <c r="L81" s="111" t="s">
        <v>1671</v>
      </c>
      <c r="Z81" s="100">
        <f t="shared" si="47"/>
        <v>0</v>
      </c>
      <c r="AB81" s="100">
        <f t="shared" si="48"/>
        <v>0</v>
      </c>
      <c r="AC81" s="100">
        <f t="shared" si="49"/>
        <v>0</v>
      </c>
      <c r="AD81" s="100">
        <f t="shared" si="50"/>
        <v>0</v>
      </c>
      <c r="AE81" s="100">
        <f t="shared" si="51"/>
        <v>0</v>
      </c>
      <c r="AF81" s="100">
        <f t="shared" si="52"/>
        <v>0</v>
      </c>
      <c r="AG81" s="100">
        <f t="shared" si="53"/>
        <v>0</v>
      </c>
      <c r="AH81" s="100">
        <f t="shared" si="54"/>
        <v>0</v>
      </c>
      <c r="AI81" s="109"/>
      <c r="AJ81" s="108">
        <f t="shared" si="55"/>
        <v>0</v>
      </c>
      <c r="AK81" s="108">
        <f t="shared" si="56"/>
        <v>0</v>
      </c>
      <c r="AL81" s="108">
        <f t="shared" si="57"/>
        <v>0</v>
      </c>
      <c r="AN81" s="100">
        <v>15</v>
      </c>
      <c r="AO81" s="100">
        <f>H81*0.190026961729407</f>
        <v>0</v>
      </c>
      <c r="AP81" s="100">
        <f>H81*(1-0.190026961729407)</f>
        <v>0</v>
      </c>
      <c r="AQ81" s="111" t="s">
        <v>7</v>
      </c>
      <c r="AV81" s="100">
        <f t="shared" si="58"/>
        <v>0</v>
      </c>
      <c r="AW81" s="100">
        <f t="shared" si="59"/>
        <v>0</v>
      </c>
      <c r="AX81" s="100">
        <f t="shared" si="60"/>
        <v>0</v>
      </c>
      <c r="AY81" s="110" t="s">
        <v>1693</v>
      </c>
      <c r="AZ81" s="110" t="s">
        <v>1728</v>
      </c>
      <c r="BA81" s="109" t="s">
        <v>1737</v>
      </c>
      <c r="BC81" s="100">
        <f t="shared" si="61"/>
        <v>0</v>
      </c>
      <c r="BD81" s="100">
        <f t="shared" si="62"/>
        <v>0</v>
      </c>
      <c r="BE81" s="100">
        <v>0</v>
      </c>
      <c r="BF81" s="100">
        <f>81</f>
        <v>81</v>
      </c>
      <c r="BH81" s="108">
        <f t="shared" si="63"/>
        <v>0</v>
      </c>
      <c r="BI81" s="108">
        <f t="shared" si="64"/>
        <v>0</v>
      </c>
      <c r="BJ81" s="108">
        <f t="shared" si="65"/>
        <v>0</v>
      </c>
    </row>
    <row r="82" spans="1:62" x14ac:dyDescent="0.2">
      <c r="A82" s="117" t="s">
        <v>59</v>
      </c>
      <c r="B82" s="117" t="s">
        <v>621</v>
      </c>
      <c r="C82" s="304" t="s">
        <v>1122</v>
      </c>
      <c r="D82" s="305"/>
      <c r="E82" s="305"/>
      <c r="F82" s="117" t="s">
        <v>1645</v>
      </c>
      <c r="G82" s="116">
        <v>108.25700000000001</v>
      </c>
      <c r="H82" s="159"/>
      <c r="I82" s="108">
        <f t="shared" si="44"/>
        <v>0</v>
      </c>
      <c r="J82" s="108">
        <f t="shared" si="45"/>
        <v>0</v>
      </c>
      <c r="K82" s="108">
        <f t="shared" si="46"/>
        <v>0</v>
      </c>
      <c r="L82" s="111" t="s">
        <v>1671</v>
      </c>
      <c r="Z82" s="100">
        <f t="shared" si="47"/>
        <v>0</v>
      </c>
      <c r="AB82" s="100">
        <f t="shared" si="48"/>
        <v>0</v>
      </c>
      <c r="AC82" s="100">
        <f t="shared" si="49"/>
        <v>0</v>
      </c>
      <c r="AD82" s="100">
        <f t="shared" si="50"/>
        <v>0</v>
      </c>
      <c r="AE82" s="100">
        <f t="shared" si="51"/>
        <v>0</v>
      </c>
      <c r="AF82" s="100">
        <f t="shared" si="52"/>
        <v>0</v>
      </c>
      <c r="AG82" s="100">
        <f t="shared" si="53"/>
        <v>0</v>
      </c>
      <c r="AH82" s="100">
        <f t="shared" si="54"/>
        <v>0</v>
      </c>
      <c r="AI82" s="109"/>
      <c r="AJ82" s="108">
        <f t="shared" si="55"/>
        <v>0</v>
      </c>
      <c r="AK82" s="108">
        <f t="shared" si="56"/>
        <v>0</v>
      </c>
      <c r="AL82" s="108">
        <f t="shared" si="57"/>
        <v>0</v>
      </c>
      <c r="AN82" s="100">
        <v>15</v>
      </c>
      <c r="AO82" s="100">
        <f>H82*0.476853748987807</f>
        <v>0</v>
      </c>
      <c r="AP82" s="100">
        <f>H82*(1-0.476853748987807)</f>
        <v>0</v>
      </c>
      <c r="AQ82" s="111" t="s">
        <v>7</v>
      </c>
      <c r="AV82" s="100">
        <f t="shared" si="58"/>
        <v>0</v>
      </c>
      <c r="AW82" s="100">
        <f t="shared" si="59"/>
        <v>0</v>
      </c>
      <c r="AX82" s="100">
        <f t="shared" si="60"/>
        <v>0</v>
      </c>
      <c r="AY82" s="110" t="s">
        <v>1693</v>
      </c>
      <c r="AZ82" s="110" t="s">
        <v>1728</v>
      </c>
      <c r="BA82" s="109" t="s">
        <v>1737</v>
      </c>
      <c r="BC82" s="100">
        <f t="shared" si="61"/>
        <v>0</v>
      </c>
      <c r="BD82" s="100">
        <f t="shared" si="62"/>
        <v>0</v>
      </c>
      <c r="BE82" s="100">
        <v>0</v>
      </c>
      <c r="BF82" s="100">
        <f>82</f>
        <v>82</v>
      </c>
      <c r="BH82" s="108">
        <f t="shared" si="63"/>
        <v>0</v>
      </c>
      <c r="BI82" s="108">
        <f t="shared" si="64"/>
        <v>0</v>
      </c>
      <c r="BJ82" s="108">
        <f t="shared" si="65"/>
        <v>0</v>
      </c>
    </row>
    <row r="83" spans="1:62" x14ac:dyDescent="0.2">
      <c r="A83" s="117" t="s">
        <v>60</v>
      </c>
      <c r="B83" s="117" t="s">
        <v>2502</v>
      </c>
      <c r="C83" s="304" t="s">
        <v>2501</v>
      </c>
      <c r="D83" s="305"/>
      <c r="E83" s="305"/>
      <c r="F83" s="117" t="s">
        <v>1645</v>
      </c>
      <c r="G83" s="116">
        <v>9.0449999999999999</v>
      </c>
      <c r="H83" s="159"/>
      <c r="I83" s="108">
        <f t="shared" si="44"/>
        <v>0</v>
      </c>
      <c r="J83" s="108">
        <f t="shared" si="45"/>
        <v>0</v>
      </c>
      <c r="K83" s="108">
        <f t="shared" si="46"/>
        <v>0</v>
      </c>
      <c r="L83" s="111" t="s">
        <v>1671</v>
      </c>
      <c r="Z83" s="100">
        <f t="shared" si="47"/>
        <v>0</v>
      </c>
      <c r="AB83" s="100">
        <f t="shared" si="48"/>
        <v>0</v>
      </c>
      <c r="AC83" s="100">
        <f t="shared" si="49"/>
        <v>0</v>
      </c>
      <c r="AD83" s="100">
        <f t="shared" si="50"/>
        <v>0</v>
      </c>
      <c r="AE83" s="100">
        <f t="shared" si="51"/>
        <v>0</v>
      </c>
      <c r="AF83" s="100">
        <f t="shared" si="52"/>
        <v>0</v>
      </c>
      <c r="AG83" s="100">
        <f t="shared" si="53"/>
        <v>0</v>
      </c>
      <c r="AH83" s="100">
        <f t="shared" si="54"/>
        <v>0</v>
      </c>
      <c r="AI83" s="109"/>
      <c r="AJ83" s="108">
        <f t="shared" si="55"/>
        <v>0</v>
      </c>
      <c r="AK83" s="108">
        <f t="shared" si="56"/>
        <v>0</v>
      </c>
      <c r="AL83" s="108">
        <f t="shared" si="57"/>
        <v>0</v>
      </c>
      <c r="AN83" s="100">
        <v>15</v>
      </c>
      <c r="AO83" s="100">
        <f>H83*0.407449558638083</f>
        <v>0</v>
      </c>
      <c r="AP83" s="100">
        <f>H83*(1-0.407449558638083)</f>
        <v>0</v>
      </c>
      <c r="AQ83" s="111" t="s">
        <v>7</v>
      </c>
      <c r="AV83" s="100">
        <f t="shared" si="58"/>
        <v>0</v>
      </c>
      <c r="AW83" s="100">
        <f t="shared" si="59"/>
        <v>0</v>
      </c>
      <c r="AX83" s="100">
        <f t="shared" si="60"/>
        <v>0</v>
      </c>
      <c r="AY83" s="110" t="s">
        <v>1693</v>
      </c>
      <c r="AZ83" s="110" t="s">
        <v>1728</v>
      </c>
      <c r="BA83" s="109" t="s">
        <v>1737</v>
      </c>
      <c r="BC83" s="100">
        <f t="shared" si="61"/>
        <v>0</v>
      </c>
      <c r="BD83" s="100">
        <f t="shared" si="62"/>
        <v>0</v>
      </c>
      <c r="BE83" s="100">
        <v>0</v>
      </c>
      <c r="BF83" s="100">
        <f>83</f>
        <v>83</v>
      </c>
      <c r="BH83" s="108">
        <f t="shared" si="63"/>
        <v>0</v>
      </c>
      <c r="BI83" s="108">
        <f t="shared" si="64"/>
        <v>0</v>
      </c>
      <c r="BJ83" s="108">
        <f t="shared" si="65"/>
        <v>0</v>
      </c>
    </row>
    <row r="84" spans="1:62" x14ac:dyDescent="0.2">
      <c r="B84" s="125" t="s">
        <v>613</v>
      </c>
      <c r="C84" s="339" t="s">
        <v>4656</v>
      </c>
      <c r="D84" s="338"/>
      <c r="E84" s="338"/>
      <c r="F84" s="158"/>
      <c r="G84" s="158"/>
      <c r="H84" s="158"/>
      <c r="I84" s="158"/>
      <c r="J84" s="158"/>
      <c r="K84" s="158"/>
      <c r="L84" s="158"/>
    </row>
    <row r="85" spans="1:62" x14ac:dyDescent="0.2">
      <c r="A85" s="117" t="s">
        <v>61</v>
      </c>
      <c r="B85" s="117" t="s">
        <v>2500</v>
      </c>
      <c r="C85" s="304" t="s">
        <v>2499</v>
      </c>
      <c r="D85" s="305"/>
      <c r="E85" s="305"/>
      <c r="F85" s="117" t="s">
        <v>1645</v>
      </c>
      <c r="G85" s="116">
        <v>65.236000000000004</v>
      </c>
      <c r="H85" s="159"/>
      <c r="I85" s="108">
        <f>G85*AO85</f>
        <v>0</v>
      </c>
      <c r="J85" s="108">
        <f>G85*AP85</f>
        <v>0</v>
      </c>
      <c r="K85" s="108">
        <f>G85*H85</f>
        <v>0</v>
      </c>
      <c r="L85" s="111" t="s">
        <v>1671</v>
      </c>
      <c r="Z85" s="100">
        <f>IF(AQ85="5",BJ85,0)</f>
        <v>0</v>
      </c>
      <c r="AB85" s="100">
        <f>IF(AQ85="1",BH85,0)</f>
        <v>0</v>
      </c>
      <c r="AC85" s="100">
        <f>IF(AQ85="1",BI85,0)</f>
        <v>0</v>
      </c>
      <c r="AD85" s="100">
        <f>IF(AQ85="7",BH85,0)</f>
        <v>0</v>
      </c>
      <c r="AE85" s="100">
        <f>IF(AQ85="7",BI85,0)</f>
        <v>0</v>
      </c>
      <c r="AF85" s="100">
        <f>IF(AQ85="2",BH85,0)</f>
        <v>0</v>
      </c>
      <c r="AG85" s="100">
        <f>IF(AQ85="2",BI85,0)</f>
        <v>0</v>
      </c>
      <c r="AH85" s="100">
        <f>IF(AQ85="0",BJ85,0)</f>
        <v>0</v>
      </c>
      <c r="AI85" s="109"/>
      <c r="AJ85" s="108">
        <f>IF(AN85=0,K85,0)</f>
        <v>0</v>
      </c>
      <c r="AK85" s="108">
        <f>IF(AN85=15,K85,0)</f>
        <v>0</v>
      </c>
      <c r="AL85" s="108">
        <f>IF(AN85=21,K85,0)</f>
        <v>0</v>
      </c>
      <c r="AN85" s="100">
        <v>15</v>
      </c>
      <c r="AO85" s="100">
        <f>H85*0.504680412371134</f>
        <v>0</v>
      </c>
      <c r="AP85" s="100">
        <f>H85*(1-0.504680412371134)</f>
        <v>0</v>
      </c>
      <c r="AQ85" s="111" t="s">
        <v>7</v>
      </c>
      <c r="AV85" s="100">
        <f>AW85+AX85</f>
        <v>0</v>
      </c>
      <c r="AW85" s="100">
        <f>G85*AO85</f>
        <v>0</v>
      </c>
      <c r="AX85" s="100">
        <f>G85*AP85</f>
        <v>0</v>
      </c>
      <c r="AY85" s="110" t="s">
        <v>1693</v>
      </c>
      <c r="AZ85" s="110" t="s">
        <v>1728</v>
      </c>
      <c r="BA85" s="109" t="s">
        <v>1737</v>
      </c>
      <c r="BC85" s="100">
        <f>AW85+AX85</f>
        <v>0</v>
      </c>
      <c r="BD85" s="100">
        <f>H85/(100-BE85)*100</f>
        <v>0</v>
      </c>
      <c r="BE85" s="100">
        <v>0</v>
      </c>
      <c r="BF85" s="100">
        <f>85</f>
        <v>85</v>
      </c>
      <c r="BH85" s="108">
        <f>G85*AO85</f>
        <v>0</v>
      </c>
      <c r="BI85" s="108">
        <f>G85*AP85</f>
        <v>0</v>
      </c>
      <c r="BJ85" s="108">
        <f>G85*H85</f>
        <v>0</v>
      </c>
    </row>
    <row r="86" spans="1:62" ht="12.75" customHeight="1" x14ac:dyDescent="0.2">
      <c r="B86" s="125" t="s">
        <v>613</v>
      </c>
      <c r="C86" s="338" t="s">
        <v>2498</v>
      </c>
      <c r="D86" s="338"/>
      <c r="E86" s="338"/>
      <c r="F86" s="158"/>
      <c r="G86" s="158"/>
      <c r="H86" s="158"/>
      <c r="I86" s="158"/>
      <c r="J86" s="158"/>
      <c r="K86" s="158"/>
      <c r="L86" s="158"/>
    </row>
    <row r="87" spans="1:62" x14ac:dyDescent="0.2">
      <c r="A87" s="117" t="s">
        <v>62</v>
      </c>
      <c r="B87" s="117" t="s">
        <v>622</v>
      </c>
      <c r="C87" s="304" t="s">
        <v>1123</v>
      </c>
      <c r="D87" s="305"/>
      <c r="E87" s="305"/>
      <c r="F87" s="117" t="s">
        <v>1646</v>
      </c>
      <c r="G87" s="116">
        <v>202.8</v>
      </c>
      <c r="H87" s="159"/>
      <c r="I87" s="108">
        <f t="shared" ref="I87:I95" si="66">G87*AO87</f>
        <v>0</v>
      </c>
      <c r="J87" s="108">
        <f t="shared" ref="J87:J95" si="67">G87*AP87</f>
        <v>0</v>
      </c>
      <c r="K87" s="108">
        <f t="shared" ref="K87:K95" si="68">G87*H87</f>
        <v>0</v>
      </c>
      <c r="L87" s="111" t="s">
        <v>1671</v>
      </c>
      <c r="Z87" s="100">
        <f t="shared" ref="Z87:Z95" si="69">IF(AQ87="5",BJ87,0)</f>
        <v>0</v>
      </c>
      <c r="AB87" s="100">
        <f t="shared" ref="AB87:AB95" si="70">IF(AQ87="1",BH87,0)</f>
        <v>0</v>
      </c>
      <c r="AC87" s="100">
        <f t="shared" ref="AC87:AC95" si="71">IF(AQ87="1",BI87,0)</f>
        <v>0</v>
      </c>
      <c r="AD87" s="100">
        <f t="shared" ref="AD87:AD95" si="72">IF(AQ87="7",BH87,0)</f>
        <v>0</v>
      </c>
      <c r="AE87" s="100">
        <f t="shared" ref="AE87:AE95" si="73">IF(AQ87="7",BI87,0)</f>
        <v>0</v>
      </c>
      <c r="AF87" s="100">
        <f t="shared" ref="AF87:AF95" si="74">IF(AQ87="2",BH87,0)</f>
        <v>0</v>
      </c>
      <c r="AG87" s="100">
        <f t="shared" ref="AG87:AG95" si="75">IF(AQ87="2",BI87,0)</f>
        <v>0</v>
      </c>
      <c r="AH87" s="100">
        <f t="shared" ref="AH87:AH95" si="76">IF(AQ87="0",BJ87,0)</f>
        <v>0</v>
      </c>
      <c r="AI87" s="109"/>
      <c r="AJ87" s="108">
        <f t="shared" ref="AJ87:AJ95" si="77">IF(AN87=0,K87,0)</f>
        <v>0</v>
      </c>
      <c r="AK87" s="108">
        <f t="shared" ref="AK87:AK95" si="78">IF(AN87=15,K87,0)</f>
        <v>0</v>
      </c>
      <c r="AL87" s="108">
        <f t="shared" ref="AL87:AL95" si="79">IF(AN87=21,K87,0)</f>
        <v>0</v>
      </c>
      <c r="AN87" s="100">
        <v>15</v>
      </c>
      <c r="AO87" s="100">
        <f>H87*0.413696060037524</f>
        <v>0</v>
      </c>
      <c r="AP87" s="100">
        <f>H87*(1-0.413696060037524)</f>
        <v>0</v>
      </c>
      <c r="AQ87" s="111" t="s">
        <v>7</v>
      </c>
      <c r="AV87" s="100">
        <f t="shared" ref="AV87:AV95" si="80">AW87+AX87</f>
        <v>0</v>
      </c>
      <c r="AW87" s="100">
        <f t="shared" ref="AW87:AW95" si="81">G87*AO87</f>
        <v>0</v>
      </c>
      <c r="AX87" s="100">
        <f t="shared" ref="AX87:AX95" si="82">G87*AP87</f>
        <v>0</v>
      </c>
      <c r="AY87" s="110" t="s">
        <v>1693</v>
      </c>
      <c r="AZ87" s="110" t="s">
        <v>1728</v>
      </c>
      <c r="BA87" s="109" t="s">
        <v>1737</v>
      </c>
      <c r="BC87" s="100">
        <f t="shared" ref="BC87:BC95" si="83">AW87+AX87</f>
        <v>0</v>
      </c>
      <c r="BD87" s="100">
        <f t="shared" ref="BD87:BD95" si="84">H87/(100-BE87)*100</f>
        <v>0</v>
      </c>
      <c r="BE87" s="100">
        <v>0</v>
      </c>
      <c r="BF87" s="100">
        <f>87</f>
        <v>87</v>
      </c>
      <c r="BH87" s="108">
        <f t="shared" ref="BH87:BH95" si="85">G87*AO87</f>
        <v>0</v>
      </c>
      <c r="BI87" s="108">
        <f t="shared" ref="BI87:BI95" si="86">G87*AP87</f>
        <v>0</v>
      </c>
      <c r="BJ87" s="108">
        <f t="shared" ref="BJ87:BJ95" si="87">G87*H87</f>
        <v>0</v>
      </c>
    </row>
    <row r="88" spans="1:62" x14ac:dyDescent="0.2">
      <c r="A88" s="117" t="s">
        <v>63</v>
      </c>
      <c r="B88" s="117" t="s">
        <v>623</v>
      </c>
      <c r="C88" s="304" t="s">
        <v>2497</v>
      </c>
      <c r="D88" s="305"/>
      <c r="E88" s="305"/>
      <c r="F88" s="117" t="s">
        <v>1645</v>
      </c>
      <c r="G88" s="116">
        <v>654.75900000000001</v>
      </c>
      <c r="H88" s="159"/>
      <c r="I88" s="108">
        <f t="shared" si="66"/>
        <v>0</v>
      </c>
      <c r="J88" s="108">
        <f t="shared" si="67"/>
        <v>0</v>
      </c>
      <c r="K88" s="108">
        <f t="shared" si="68"/>
        <v>0</v>
      </c>
      <c r="L88" s="111" t="s">
        <v>1671</v>
      </c>
      <c r="Z88" s="100">
        <f t="shared" si="69"/>
        <v>0</v>
      </c>
      <c r="AB88" s="100">
        <f t="shared" si="70"/>
        <v>0</v>
      </c>
      <c r="AC88" s="100">
        <f t="shared" si="71"/>
        <v>0</v>
      </c>
      <c r="AD88" s="100">
        <f t="shared" si="72"/>
        <v>0</v>
      </c>
      <c r="AE88" s="100">
        <f t="shared" si="73"/>
        <v>0</v>
      </c>
      <c r="AF88" s="100">
        <f t="shared" si="74"/>
        <v>0</v>
      </c>
      <c r="AG88" s="100">
        <f t="shared" si="75"/>
        <v>0</v>
      </c>
      <c r="AH88" s="100">
        <f t="shared" si="76"/>
        <v>0</v>
      </c>
      <c r="AI88" s="109"/>
      <c r="AJ88" s="108">
        <f t="shared" si="77"/>
        <v>0</v>
      </c>
      <c r="AK88" s="108">
        <f t="shared" si="78"/>
        <v>0</v>
      </c>
      <c r="AL88" s="108">
        <f t="shared" si="79"/>
        <v>0</v>
      </c>
      <c r="AN88" s="100">
        <v>15</v>
      </c>
      <c r="AO88" s="100">
        <f>H88*0</f>
        <v>0</v>
      </c>
      <c r="AP88" s="100">
        <f>H88*(1-0)</f>
        <v>0</v>
      </c>
      <c r="AQ88" s="111" t="s">
        <v>7</v>
      </c>
      <c r="AV88" s="100">
        <f t="shared" si="80"/>
        <v>0</v>
      </c>
      <c r="AW88" s="100">
        <f t="shared" si="81"/>
        <v>0</v>
      </c>
      <c r="AX88" s="100">
        <f t="shared" si="82"/>
        <v>0</v>
      </c>
      <c r="AY88" s="110" t="s">
        <v>1693</v>
      </c>
      <c r="AZ88" s="110" t="s">
        <v>1728</v>
      </c>
      <c r="BA88" s="109" t="s">
        <v>1737</v>
      </c>
      <c r="BC88" s="100">
        <f t="shared" si="83"/>
        <v>0</v>
      </c>
      <c r="BD88" s="100">
        <f t="shared" si="84"/>
        <v>0</v>
      </c>
      <c r="BE88" s="100">
        <v>0</v>
      </c>
      <c r="BF88" s="100">
        <f>88</f>
        <v>88</v>
      </c>
      <c r="BH88" s="108">
        <f t="shared" si="85"/>
        <v>0</v>
      </c>
      <c r="BI88" s="108">
        <f t="shared" si="86"/>
        <v>0</v>
      </c>
      <c r="BJ88" s="108">
        <f t="shared" si="87"/>
        <v>0</v>
      </c>
    </row>
    <row r="89" spans="1:62" x14ac:dyDescent="0.2">
      <c r="A89" s="117" t="s">
        <v>64</v>
      </c>
      <c r="B89" s="117" t="s">
        <v>623</v>
      </c>
      <c r="C89" s="304" t="s">
        <v>2496</v>
      </c>
      <c r="D89" s="305"/>
      <c r="E89" s="305"/>
      <c r="F89" s="117" t="s">
        <v>1645</v>
      </c>
      <c r="G89" s="116">
        <v>125.125</v>
      </c>
      <c r="H89" s="159"/>
      <c r="I89" s="108">
        <f t="shared" si="66"/>
        <v>0</v>
      </c>
      <c r="J89" s="108">
        <f t="shared" si="67"/>
        <v>0</v>
      </c>
      <c r="K89" s="108">
        <f t="shared" si="68"/>
        <v>0</v>
      </c>
      <c r="L89" s="111" t="s">
        <v>1671</v>
      </c>
      <c r="Z89" s="100">
        <f t="shared" si="69"/>
        <v>0</v>
      </c>
      <c r="AB89" s="100">
        <f t="shared" si="70"/>
        <v>0</v>
      </c>
      <c r="AC89" s="100">
        <f t="shared" si="71"/>
        <v>0</v>
      </c>
      <c r="AD89" s="100">
        <f t="shared" si="72"/>
        <v>0</v>
      </c>
      <c r="AE89" s="100">
        <f t="shared" si="73"/>
        <v>0</v>
      </c>
      <c r="AF89" s="100">
        <f t="shared" si="74"/>
        <v>0</v>
      </c>
      <c r="AG89" s="100">
        <f t="shared" si="75"/>
        <v>0</v>
      </c>
      <c r="AH89" s="100">
        <f t="shared" si="76"/>
        <v>0</v>
      </c>
      <c r="AI89" s="109"/>
      <c r="AJ89" s="108">
        <f t="shared" si="77"/>
        <v>0</v>
      </c>
      <c r="AK89" s="108">
        <f t="shared" si="78"/>
        <v>0</v>
      </c>
      <c r="AL89" s="108">
        <f t="shared" si="79"/>
        <v>0</v>
      </c>
      <c r="AN89" s="100">
        <v>15</v>
      </c>
      <c r="AO89" s="100">
        <f>H89*0</f>
        <v>0</v>
      </c>
      <c r="AP89" s="100">
        <f>H89*(1-0)</f>
        <v>0</v>
      </c>
      <c r="AQ89" s="111" t="s">
        <v>7</v>
      </c>
      <c r="AV89" s="100">
        <f t="shared" si="80"/>
        <v>0</v>
      </c>
      <c r="AW89" s="100">
        <f t="shared" si="81"/>
        <v>0</v>
      </c>
      <c r="AX89" s="100">
        <f t="shared" si="82"/>
        <v>0</v>
      </c>
      <c r="AY89" s="110" t="s">
        <v>1693</v>
      </c>
      <c r="AZ89" s="110" t="s">
        <v>1728</v>
      </c>
      <c r="BA89" s="109" t="s">
        <v>1737</v>
      </c>
      <c r="BC89" s="100">
        <f t="shared" si="83"/>
        <v>0</v>
      </c>
      <c r="BD89" s="100">
        <f t="shared" si="84"/>
        <v>0</v>
      </c>
      <c r="BE89" s="100">
        <v>0</v>
      </c>
      <c r="BF89" s="100">
        <f>89</f>
        <v>89</v>
      </c>
      <c r="BH89" s="108">
        <f t="shared" si="85"/>
        <v>0</v>
      </c>
      <c r="BI89" s="108">
        <f t="shared" si="86"/>
        <v>0</v>
      </c>
      <c r="BJ89" s="108">
        <f t="shared" si="87"/>
        <v>0</v>
      </c>
    </row>
    <row r="90" spans="1:62" x14ac:dyDescent="0.2">
      <c r="A90" s="117" t="s">
        <v>65</v>
      </c>
      <c r="B90" s="117" t="s">
        <v>624</v>
      </c>
      <c r="C90" s="304" t="s">
        <v>2495</v>
      </c>
      <c r="D90" s="305"/>
      <c r="E90" s="305"/>
      <c r="F90" s="117" t="s">
        <v>1645</v>
      </c>
      <c r="G90" s="116">
        <v>654.75900000000001</v>
      </c>
      <c r="H90" s="159"/>
      <c r="I90" s="108">
        <f t="shared" si="66"/>
        <v>0</v>
      </c>
      <c r="J90" s="108">
        <f t="shared" si="67"/>
        <v>0</v>
      </c>
      <c r="K90" s="108">
        <f t="shared" si="68"/>
        <v>0</v>
      </c>
      <c r="L90" s="111" t="s">
        <v>1671</v>
      </c>
      <c r="Z90" s="100">
        <f t="shared" si="69"/>
        <v>0</v>
      </c>
      <c r="AB90" s="100">
        <f t="shared" si="70"/>
        <v>0</v>
      </c>
      <c r="AC90" s="100">
        <f t="shared" si="71"/>
        <v>0</v>
      </c>
      <c r="AD90" s="100">
        <f t="shared" si="72"/>
        <v>0</v>
      </c>
      <c r="AE90" s="100">
        <f t="shared" si="73"/>
        <v>0</v>
      </c>
      <c r="AF90" s="100">
        <f t="shared" si="74"/>
        <v>0</v>
      </c>
      <c r="AG90" s="100">
        <f t="shared" si="75"/>
        <v>0</v>
      </c>
      <c r="AH90" s="100">
        <f t="shared" si="76"/>
        <v>0</v>
      </c>
      <c r="AI90" s="109"/>
      <c r="AJ90" s="108">
        <f t="shared" si="77"/>
        <v>0</v>
      </c>
      <c r="AK90" s="108">
        <f t="shared" si="78"/>
        <v>0</v>
      </c>
      <c r="AL90" s="108">
        <f t="shared" si="79"/>
        <v>0</v>
      </c>
      <c r="AN90" s="100">
        <v>15</v>
      </c>
      <c r="AO90" s="100">
        <f>H90*0.06554054527494</f>
        <v>0</v>
      </c>
      <c r="AP90" s="100">
        <f>H90*(1-0.06554054527494)</f>
        <v>0</v>
      </c>
      <c r="AQ90" s="111" t="s">
        <v>7</v>
      </c>
      <c r="AV90" s="100">
        <f t="shared" si="80"/>
        <v>0</v>
      </c>
      <c r="AW90" s="100">
        <f t="shared" si="81"/>
        <v>0</v>
      </c>
      <c r="AX90" s="100">
        <f t="shared" si="82"/>
        <v>0</v>
      </c>
      <c r="AY90" s="110" t="s">
        <v>1693</v>
      </c>
      <c r="AZ90" s="110" t="s">
        <v>1728</v>
      </c>
      <c r="BA90" s="109" t="s">
        <v>1737</v>
      </c>
      <c r="BC90" s="100">
        <f t="shared" si="83"/>
        <v>0</v>
      </c>
      <c r="BD90" s="100">
        <f t="shared" si="84"/>
        <v>0</v>
      </c>
      <c r="BE90" s="100">
        <v>0</v>
      </c>
      <c r="BF90" s="100">
        <f>90</f>
        <v>90</v>
      </c>
      <c r="BH90" s="108">
        <f t="shared" si="85"/>
        <v>0</v>
      </c>
      <c r="BI90" s="108">
        <f t="shared" si="86"/>
        <v>0</v>
      </c>
      <c r="BJ90" s="108">
        <f t="shared" si="87"/>
        <v>0</v>
      </c>
    </row>
    <row r="91" spans="1:62" x14ac:dyDescent="0.2">
      <c r="A91" s="117" t="s">
        <v>66</v>
      </c>
      <c r="B91" s="117" t="s">
        <v>624</v>
      </c>
      <c r="C91" s="304" t="s">
        <v>2494</v>
      </c>
      <c r="D91" s="305"/>
      <c r="E91" s="305"/>
      <c r="F91" s="117" t="s">
        <v>1645</v>
      </c>
      <c r="G91" s="116">
        <v>125.125</v>
      </c>
      <c r="H91" s="159"/>
      <c r="I91" s="108">
        <f t="shared" si="66"/>
        <v>0</v>
      </c>
      <c r="J91" s="108">
        <f t="shared" si="67"/>
        <v>0</v>
      </c>
      <c r="K91" s="108">
        <f t="shared" si="68"/>
        <v>0</v>
      </c>
      <c r="L91" s="111" t="s">
        <v>1671</v>
      </c>
      <c r="Z91" s="100">
        <f t="shared" si="69"/>
        <v>0</v>
      </c>
      <c r="AB91" s="100">
        <f t="shared" si="70"/>
        <v>0</v>
      </c>
      <c r="AC91" s="100">
        <f t="shared" si="71"/>
        <v>0</v>
      </c>
      <c r="AD91" s="100">
        <f t="shared" si="72"/>
        <v>0</v>
      </c>
      <c r="AE91" s="100">
        <f t="shared" si="73"/>
        <v>0</v>
      </c>
      <c r="AF91" s="100">
        <f t="shared" si="74"/>
        <v>0</v>
      </c>
      <c r="AG91" s="100">
        <f t="shared" si="75"/>
        <v>0</v>
      </c>
      <c r="AH91" s="100">
        <f t="shared" si="76"/>
        <v>0</v>
      </c>
      <c r="AI91" s="109"/>
      <c r="AJ91" s="108">
        <f t="shared" si="77"/>
        <v>0</v>
      </c>
      <c r="AK91" s="108">
        <f t="shared" si="78"/>
        <v>0</v>
      </c>
      <c r="AL91" s="108">
        <f t="shared" si="79"/>
        <v>0</v>
      </c>
      <c r="AN91" s="100">
        <v>15</v>
      </c>
      <c r="AO91" s="100">
        <f>H91*0.0655405405405406</f>
        <v>0</v>
      </c>
      <c r="AP91" s="100">
        <f>H91*(1-0.0655405405405406)</f>
        <v>0</v>
      </c>
      <c r="AQ91" s="111" t="s">
        <v>7</v>
      </c>
      <c r="AV91" s="100">
        <f t="shared" si="80"/>
        <v>0</v>
      </c>
      <c r="AW91" s="100">
        <f t="shared" si="81"/>
        <v>0</v>
      </c>
      <c r="AX91" s="100">
        <f t="shared" si="82"/>
        <v>0</v>
      </c>
      <c r="AY91" s="110" t="s">
        <v>1693</v>
      </c>
      <c r="AZ91" s="110" t="s">
        <v>1728</v>
      </c>
      <c r="BA91" s="109" t="s">
        <v>1737</v>
      </c>
      <c r="BC91" s="100">
        <f t="shared" si="83"/>
        <v>0</v>
      </c>
      <c r="BD91" s="100">
        <f t="shared" si="84"/>
        <v>0</v>
      </c>
      <c r="BE91" s="100">
        <v>0</v>
      </c>
      <c r="BF91" s="100">
        <f>91</f>
        <v>91</v>
      </c>
      <c r="BH91" s="108">
        <f t="shared" si="85"/>
        <v>0</v>
      </c>
      <c r="BI91" s="108">
        <f t="shared" si="86"/>
        <v>0</v>
      </c>
      <c r="BJ91" s="108">
        <f t="shared" si="87"/>
        <v>0</v>
      </c>
    </row>
    <row r="92" spans="1:62" x14ac:dyDescent="0.2">
      <c r="A92" s="117" t="s">
        <v>67</v>
      </c>
      <c r="B92" s="117" t="s">
        <v>625</v>
      </c>
      <c r="C92" s="304" t="s">
        <v>2493</v>
      </c>
      <c r="D92" s="305"/>
      <c r="E92" s="305"/>
      <c r="F92" s="117" t="s">
        <v>1645</v>
      </c>
      <c r="G92" s="116">
        <v>327.38</v>
      </c>
      <c r="H92" s="159"/>
      <c r="I92" s="108">
        <f t="shared" si="66"/>
        <v>0</v>
      </c>
      <c r="J92" s="108">
        <f t="shared" si="67"/>
        <v>0</v>
      </c>
      <c r="K92" s="108">
        <f t="shared" si="68"/>
        <v>0</v>
      </c>
      <c r="L92" s="111" t="s">
        <v>1671</v>
      </c>
      <c r="Z92" s="100">
        <f t="shared" si="69"/>
        <v>0</v>
      </c>
      <c r="AB92" s="100">
        <f t="shared" si="70"/>
        <v>0</v>
      </c>
      <c r="AC92" s="100">
        <f t="shared" si="71"/>
        <v>0</v>
      </c>
      <c r="AD92" s="100">
        <f t="shared" si="72"/>
        <v>0</v>
      </c>
      <c r="AE92" s="100">
        <f t="shared" si="73"/>
        <v>0</v>
      </c>
      <c r="AF92" s="100">
        <f t="shared" si="74"/>
        <v>0</v>
      </c>
      <c r="AG92" s="100">
        <f t="shared" si="75"/>
        <v>0</v>
      </c>
      <c r="AH92" s="100">
        <f t="shared" si="76"/>
        <v>0</v>
      </c>
      <c r="AI92" s="109"/>
      <c r="AJ92" s="108">
        <f t="shared" si="77"/>
        <v>0</v>
      </c>
      <c r="AK92" s="108">
        <f t="shared" si="78"/>
        <v>0</v>
      </c>
      <c r="AL92" s="108">
        <f t="shared" si="79"/>
        <v>0</v>
      </c>
      <c r="AN92" s="100">
        <v>15</v>
      </c>
      <c r="AO92" s="100">
        <f>H92*0</f>
        <v>0</v>
      </c>
      <c r="AP92" s="100">
        <f>H92*(1-0)</f>
        <v>0</v>
      </c>
      <c r="AQ92" s="111" t="s">
        <v>7</v>
      </c>
      <c r="AV92" s="100">
        <f t="shared" si="80"/>
        <v>0</v>
      </c>
      <c r="AW92" s="100">
        <f t="shared" si="81"/>
        <v>0</v>
      </c>
      <c r="AX92" s="100">
        <f t="shared" si="82"/>
        <v>0</v>
      </c>
      <c r="AY92" s="110" t="s">
        <v>1693</v>
      </c>
      <c r="AZ92" s="110" t="s">
        <v>1728</v>
      </c>
      <c r="BA92" s="109" t="s">
        <v>1737</v>
      </c>
      <c r="BC92" s="100">
        <f t="shared" si="83"/>
        <v>0</v>
      </c>
      <c r="BD92" s="100">
        <f t="shared" si="84"/>
        <v>0</v>
      </c>
      <c r="BE92" s="100">
        <v>0</v>
      </c>
      <c r="BF92" s="100">
        <f>92</f>
        <v>92</v>
      </c>
      <c r="BH92" s="108">
        <f t="shared" si="85"/>
        <v>0</v>
      </c>
      <c r="BI92" s="108">
        <f t="shared" si="86"/>
        <v>0</v>
      </c>
      <c r="BJ92" s="108">
        <f t="shared" si="87"/>
        <v>0</v>
      </c>
    </row>
    <row r="93" spans="1:62" x14ac:dyDescent="0.2">
      <c r="A93" s="117" t="s">
        <v>68</v>
      </c>
      <c r="B93" s="117" t="s">
        <v>625</v>
      </c>
      <c r="C93" s="304" t="s">
        <v>2492</v>
      </c>
      <c r="D93" s="305"/>
      <c r="E93" s="305"/>
      <c r="F93" s="117" t="s">
        <v>1645</v>
      </c>
      <c r="G93" s="116">
        <v>62.563000000000002</v>
      </c>
      <c r="H93" s="159"/>
      <c r="I93" s="108">
        <f t="shared" si="66"/>
        <v>0</v>
      </c>
      <c r="J93" s="108">
        <f t="shared" si="67"/>
        <v>0</v>
      </c>
      <c r="K93" s="108">
        <f t="shared" si="68"/>
        <v>0</v>
      </c>
      <c r="L93" s="111" t="s">
        <v>1671</v>
      </c>
      <c r="Z93" s="100">
        <f t="shared" si="69"/>
        <v>0</v>
      </c>
      <c r="AB93" s="100">
        <f t="shared" si="70"/>
        <v>0</v>
      </c>
      <c r="AC93" s="100">
        <f t="shared" si="71"/>
        <v>0</v>
      </c>
      <c r="AD93" s="100">
        <f t="shared" si="72"/>
        <v>0</v>
      </c>
      <c r="AE93" s="100">
        <f t="shared" si="73"/>
        <v>0</v>
      </c>
      <c r="AF93" s="100">
        <f t="shared" si="74"/>
        <v>0</v>
      </c>
      <c r="AG93" s="100">
        <f t="shared" si="75"/>
        <v>0</v>
      </c>
      <c r="AH93" s="100">
        <f t="shared" si="76"/>
        <v>0</v>
      </c>
      <c r="AI93" s="109"/>
      <c r="AJ93" s="108">
        <f t="shared" si="77"/>
        <v>0</v>
      </c>
      <c r="AK93" s="108">
        <f t="shared" si="78"/>
        <v>0</v>
      </c>
      <c r="AL93" s="108">
        <f t="shared" si="79"/>
        <v>0</v>
      </c>
      <c r="AN93" s="100">
        <v>15</v>
      </c>
      <c r="AO93" s="100">
        <f>H93*0</f>
        <v>0</v>
      </c>
      <c r="AP93" s="100">
        <f>H93*(1-0)</f>
        <v>0</v>
      </c>
      <c r="AQ93" s="111" t="s">
        <v>7</v>
      </c>
      <c r="AV93" s="100">
        <f t="shared" si="80"/>
        <v>0</v>
      </c>
      <c r="AW93" s="100">
        <f t="shared" si="81"/>
        <v>0</v>
      </c>
      <c r="AX93" s="100">
        <f t="shared" si="82"/>
        <v>0</v>
      </c>
      <c r="AY93" s="110" t="s">
        <v>1693</v>
      </c>
      <c r="AZ93" s="110" t="s">
        <v>1728</v>
      </c>
      <c r="BA93" s="109" t="s">
        <v>1737</v>
      </c>
      <c r="BC93" s="100">
        <f t="shared" si="83"/>
        <v>0</v>
      </c>
      <c r="BD93" s="100">
        <f t="shared" si="84"/>
        <v>0</v>
      </c>
      <c r="BE93" s="100">
        <v>0</v>
      </c>
      <c r="BF93" s="100">
        <f>93</f>
        <v>93</v>
      </c>
      <c r="BH93" s="108">
        <f t="shared" si="85"/>
        <v>0</v>
      </c>
      <c r="BI93" s="108">
        <f t="shared" si="86"/>
        <v>0</v>
      </c>
      <c r="BJ93" s="108">
        <f t="shared" si="87"/>
        <v>0</v>
      </c>
    </row>
    <row r="94" spans="1:62" x14ac:dyDescent="0.2">
      <c r="A94" s="117" t="s">
        <v>69</v>
      </c>
      <c r="B94" s="117" t="s">
        <v>626</v>
      </c>
      <c r="C94" s="304" t="s">
        <v>2491</v>
      </c>
      <c r="D94" s="305"/>
      <c r="E94" s="305"/>
      <c r="F94" s="117" t="s">
        <v>1645</v>
      </c>
      <c r="G94" s="116">
        <v>327.38</v>
      </c>
      <c r="H94" s="159"/>
      <c r="I94" s="108">
        <f t="shared" si="66"/>
        <v>0</v>
      </c>
      <c r="J94" s="108">
        <f t="shared" si="67"/>
        <v>0</v>
      </c>
      <c r="K94" s="108">
        <f t="shared" si="68"/>
        <v>0</v>
      </c>
      <c r="L94" s="111" t="s">
        <v>1671</v>
      </c>
      <c r="Z94" s="100">
        <f t="shared" si="69"/>
        <v>0</v>
      </c>
      <c r="AB94" s="100">
        <f t="shared" si="70"/>
        <v>0</v>
      </c>
      <c r="AC94" s="100">
        <f t="shared" si="71"/>
        <v>0</v>
      </c>
      <c r="AD94" s="100">
        <f t="shared" si="72"/>
        <v>0</v>
      </c>
      <c r="AE94" s="100">
        <f t="shared" si="73"/>
        <v>0</v>
      </c>
      <c r="AF94" s="100">
        <f t="shared" si="74"/>
        <v>0</v>
      </c>
      <c r="AG94" s="100">
        <f t="shared" si="75"/>
        <v>0</v>
      </c>
      <c r="AH94" s="100">
        <f t="shared" si="76"/>
        <v>0</v>
      </c>
      <c r="AI94" s="109"/>
      <c r="AJ94" s="108">
        <f t="shared" si="77"/>
        <v>0</v>
      </c>
      <c r="AK94" s="108">
        <f t="shared" si="78"/>
        <v>0</v>
      </c>
      <c r="AL94" s="108">
        <f t="shared" si="79"/>
        <v>0</v>
      </c>
      <c r="AN94" s="100">
        <v>15</v>
      </c>
      <c r="AO94" s="100">
        <f>H94*0.313660714285714</f>
        <v>0</v>
      </c>
      <c r="AP94" s="100">
        <f>H94*(1-0.313660714285714)</f>
        <v>0</v>
      </c>
      <c r="AQ94" s="111" t="s">
        <v>7</v>
      </c>
      <c r="AV94" s="100">
        <f t="shared" si="80"/>
        <v>0</v>
      </c>
      <c r="AW94" s="100">
        <f t="shared" si="81"/>
        <v>0</v>
      </c>
      <c r="AX94" s="100">
        <f t="shared" si="82"/>
        <v>0</v>
      </c>
      <c r="AY94" s="110" t="s">
        <v>1693</v>
      </c>
      <c r="AZ94" s="110" t="s">
        <v>1728</v>
      </c>
      <c r="BA94" s="109" t="s">
        <v>1737</v>
      </c>
      <c r="BC94" s="100">
        <f t="shared" si="83"/>
        <v>0</v>
      </c>
      <c r="BD94" s="100">
        <f t="shared" si="84"/>
        <v>0</v>
      </c>
      <c r="BE94" s="100">
        <v>0</v>
      </c>
      <c r="BF94" s="100">
        <f>94</f>
        <v>94</v>
      </c>
      <c r="BH94" s="108">
        <f t="shared" si="85"/>
        <v>0</v>
      </c>
      <c r="BI94" s="108">
        <f t="shared" si="86"/>
        <v>0</v>
      </c>
      <c r="BJ94" s="108">
        <f t="shared" si="87"/>
        <v>0</v>
      </c>
    </row>
    <row r="95" spans="1:62" x14ac:dyDescent="0.2">
      <c r="A95" s="117" t="s">
        <v>70</v>
      </c>
      <c r="B95" s="117" t="s">
        <v>626</v>
      </c>
      <c r="C95" s="304" t="s">
        <v>2490</v>
      </c>
      <c r="D95" s="305"/>
      <c r="E95" s="305"/>
      <c r="F95" s="117" t="s">
        <v>1645</v>
      </c>
      <c r="G95" s="116">
        <v>62.563000000000002</v>
      </c>
      <c r="H95" s="159"/>
      <c r="I95" s="108">
        <f t="shared" si="66"/>
        <v>0</v>
      </c>
      <c r="J95" s="108">
        <f t="shared" si="67"/>
        <v>0</v>
      </c>
      <c r="K95" s="108">
        <f t="shared" si="68"/>
        <v>0</v>
      </c>
      <c r="L95" s="111" t="s">
        <v>1671</v>
      </c>
      <c r="Z95" s="100">
        <f t="shared" si="69"/>
        <v>0</v>
      </c>
      <c r="AB95" s="100">
        <f t="shared" si="70"/>
        <v>0</v>
      </c>
      <c r="AC95" s="100">
        <f t="shared" si="71"/>
        <v>0</v>
      </c>
      <c r="AD95" s="100">
        <f t="shared" si="72"/>
        <v>0</v>
      </c>
      <c r="AE95" s="100">
        <f t="shared" si="73"/>
        <v>0</v>
      </c>
      <c r="AF95" s="100">
        <f t="shared" si="74"/>
        <v>0</v>
      </c>
      <c r="AG95" s="100">
        <f t="shared" si="75"/>
        <v>0</v>
      </c>
      <c r="AH95" s="100">
        <f t="shared" si="76"/>
        <v>0</v>
      </c>
      <c r="AI95" s="109"/>
      <c r="AJ95" s="108">
        <f t="shared" si="77"/>
        <v>0</v>
      </c>
      <c r="AK95" s="108">
        <f t="shared" si="78"/>
        <v>0</v>
      </c>
      <c r="AL95" s="108">
        <f t="shared" si="79"/>
        <v>0</v>
      </c>
      <c r="AN95" s="100">
        <v>15</v>
      </c>
      <c r="AO95" s="100">
        <f>H95*0.313660535231609</f>
        <v>0</v>
      </c>
      <c r="AP95" s="100">
        <f>H95*(1-0.313660535231609)</f>
        <v>0</v>
      </c>
      <c r="AQ95" s="111" t="s">
        <v>7</v>
      </c>
      <c r="AV95" s="100">
        <f t="shared" si="80"/>
        <v>0</v>
      </c>
      <c r="AW95" s="100">
        <f t="shared" si="81"/>
        <v>0</v>
      </c>
      <c r="AX95" s="100">
        <f t="shared" si="82"/>
        <v>0</v>
      </c>
      <c r="AY95" s="110" t="s">
        <v>1693</v>
      </c>
      <c r="AZ95" s="110" t="s">
        <v>1728</v>
      </c>
      <c r="BA95" s="109" t="s">
        <v>1737</v>
      </c>
      <c r="BC95" s="100">
        <f t="shared" si="83"/>
        <v>0</v>
      </c>
      <c r="BD95" s="100">
        <f t="shared" si="84"/>
        <v>0</v>
      </c>
      <c r="BE95" s="100">
        <v>0</v>
      </c>
      <c r="BF95" s="100">
        <f>95</f>
        <v>95</v>
      </c>
      <c r="BH95" s="108">
        <f t="shared" si="85"/>
        <v>0</v>
      </c>
      <c r="BI95" s="108">
        <f t="shared" si="86"/>
        <v>0</v>
      </c>
      <c r="BJ95" s="108">
        <f t="shared" si="87"/>
        <v>0</v>
      </c>
    </row>
    <row r="96" spans="1:62" x14ac:dyDescent="0.2">
      <c r="A96" s="119"/>
      <c r="B96" s="120" t="s">
        <v>69</v>
      </c>
      <c r="C96" s="306" t="s">
        <v>1128</v>
      </c>
      <c r="D96" s="307"/>
      <c r="E96" s="307"/>
      <c r="F96" s="119" t="s">
        <v>6</v>
      </c>
      <c r="G96" s="119" t="s">
        <v>6</v>
      </c>
      <c r="H96" s="119" t="s">
        <v>6</v>
      </c>
      <c r="I96" s="118">
        <f>SUM(I97:I97)</f>
        <v>0</v>
      </c>
      <c r="J96" s="118">
        <f>SUM(J97:J97)</f>
        <v>0</v>
      </c>
      <c r="K96" s="118">
        <f>SUM(K97:K97)</f>
        <v>0</v>
      </c>
      <c r="L96" s="109"/>
      <c r="AI96" s="109"/>
      <c r="AS96" s="118">
        <f>SUM(AJ97:AJ97)</f>
        <v>0</v>
      </c>
      <c r="AT96" s="118">
        <f>SUM(AK97:AK97)</f>
        <v>0</v>
      </c>
      <c r="AU96" s="118">
        <f>SUM(AL97:AL97)</f>
        <v>0</v>
      </c>
    </row>
    <row r="97" spans="1:62" x14ac:dyDescent="0.2">
      <c r="A97" s="117" t="s">
        <v>71</v>
      </c>
      <c r="B97" s="117" t="s">
        <v>627</v>
      </c>
      <c r="C97" s="304" t="s">
        <v>1129</v>
      </c>
      <c r="D97" s="305"/>
      <c r="E97" s="305"/>
      <c r="F97" s="117" t="s">
        <v>1645</v>
      </c>
      <c r="G97" s="116">
        <v>1</v>
      </c>
      <c r="H97" s="159"/>
      <c r="I97" s="108">
        <f>G97*AO97</f>
        <v>0</v>
      </c>
      <c r="J97" s="108">
        <f>G97*AP97</f>
        <v>0</v>
      </c>
      <c r="K97" s="108">
        <f>G97*H97</f>
        <v>0</v>
      </c>
      <c r="L97" s="111" t="s">
        <v>1671</v>
      </c>
      <c r="Z97" s="100">
        <f>IF(AQ97="5",BJ97,0)</f>
        <v>0</v>
      </c>
      <c r="AB97" s="100">
        <f>IF(AQ97="1",BH97,0)</f>
        <v>0</v>
      </c>
      <c r="AC97" s="100">
        <f>IF(AQ97="1",BI97,0)</f>
        <v>0</v>
      </c>
      <c r="AD97" s="100">
        <f>IF(AQ97="7",BH97,0)</f>
        <v>0</v>
      </c>
      <c r="AE97" s="100">
        <f>IF(AQ97="7",BI97,0)</f>
        <v>0</v>
      </c>
      <c r="AF97" s="100">
        <f>IF(AQ97="2",BH97,0)</f>
        <v>0</v>
      </c>
      <c r="AG97" s="100">
        <f>IF(AQ97="2",BI97,0)</f>
        <v>0</v>
      </c>
      <c r="AH97" s="100">
        <f>IF(AQ97="0",BJ97,0)</f>
        <v>0</v>
      </c>
      <c r="AI97" s="109"/>
      <c r="AJ97" s="108">
        <f>IF(AN97=0,K97,0)</f>
        <v>0</v>
      </c>
      <c r="AK97" s="108">
        <f>IF(AN97=15,K97,0)</f>
        <v>0</v>
      </c>
      <c r="AL97" s="108">
        <f>IF(AN97=21,K97,0)</f>
        <v>0</v>
      </c>
      <c r="AN97" s="100">
        <v>15</v>
      </c>
      <c r="AO97" s="100">
        <f>H97*0.523900523560209</f>
        <v>0</v>
      </c>
      <c r="AP97" s="100">
        <f>H97*(1-0.523900523560209)</f>
        <v>0</v>
      </c>
      <c r="AQ97" s="111" t="s">
        <v>7</v>
      </c>
      <c r="AV97" s="100">
        <f>AW97+AX97</f>
        <v>0</v>
      </c>
      <c r="AW97" s="100">
        <f>G97*AO97</f>
        <v>0</v>
      </c>
      <c r="AX97" s="100">
        <f>G97*AP97</f>
        <v>0</v>
      </c>
      <c r="AY97" s="110" t="s">
        <v>1694</v>
      </c>
      <c r="AZ97" s="110" t="s">
        <v>1728</v>
      </c>
      <c r="BA97" s="109" t="s">
        <v>1737</v>
      </c>
      <c r="BC97" s="100">
        <f>AW97+AX97</f>
        <v>0</v>
      </c>
      <c r="BD97" s="100">
        <f>H97/(100-BE97)*100</f>
        <v>0</v>
      </c>
      <c r="BE97" s="100">
        <v>0</v>
      </c>
      <c r="BF97" s="100">
        <f>97</f>
        <v>97</v>
      </c>
      <c r="BH97" s="108">
        <f>G97*AO97</f>
        <v>0</v>
      </c>
      <c r="BI97" s="108">
        <f>G97*AP97</f>
        <v>0</v>
      </c>
      <c r="BJ97" s="108">
        <f>G97*H97</f>
        <v>0</v>
      </c>
    </row>
    <row r="98" spans="1:62" x14ac:dyDescent="0.2">
      <c r="A98" s="119"/>
      <c r="B98" s="120" t="s">
        <v>89</v>
      </c>
      <c r="C98" s="306" t="s">
        <v>1130</v>
      </c>
      <c r="D98" s="307"/>
      <c r="E98" s="307"/>
      <c r="F98" s="119" t="s">
        <v>6</v>
      </c>
      <c r="G98" s="119" t="s">
        <v>6</v>
      </c>
      <c r="H98" s="119" t="s">
        <v>6</v>
      </c>
      <c r="I98" s="118">
        <f>SUM(I99:I100)</f>
        <v>0</v>
      </c>
      <c r="J98" s="118">
        <f>SUM(J99:J100)</f>
        <v>0</v>
      </c>
      <c r="K98" s="118">
        <f>SUM(K99:K100)</f>
        <v>0</v>
      </c>
      <c r="L98" s="109"/>
      <c r="AI98" s="109"/>
      <c r="AS98" s="118">
        <f>SUM(AJ99:AJ100)</f>
        <v>0</v>
      </c>
      <c r="AT98" s="118">
        <f>SUM(AK99:AK100)</f>
        <v>0</v>
      </c>
      <c r="AU98" s="118">
        <f>SUM(AL99:AL100)</f>
        <v>0</v>
      </c>
    </row>
    <row r="99" spans="1:62" x14ac:dyDescent="0.2">
      <c r="A99" s="117" t="s">
        <v>72</v>
      </c>
      <c r="B99" s="117" t="s">
        <v>628</v>
      </c>
      <c r="C99" s="304" t="s">
        <v>2489</v>
      </c>
      <c r="D99" s="305"/>
      <c r="E99" s="305"/>
      <c r="F99" s="117" t="s">
        <v>1644</v>
      </c>
      <c r="G99" s="116">
        <v>6</v>
      </c>
      <c r="H99" s="159"/>
      <c r="I99" s="108">
        <f>G99*AO99</f>
        <v>0</v>
      </c>
      <c r="J99" s="108">
        <f>G99*AP99</f>
        <v>0</v>
      </c>
      <c r="K99" s="108">
        <f>G99*H99</f>
        <v>0</v>
      </c>
      <c r="L99" s="111" t="s">
        <v>1671</v>
      </c>
      <c r="Z99" s="100">
        <f>IF(AQ99="5",BJ99,0)</f>
        <v>0</v>
      </c>
      <c r="AB99" s="100">
        <f>IF(AQ99="1",BH99,0)</f>
        <v>0</v>
      </c>
      <c r="AC99" s="100">
        <f>IF(AQ99="1",BI99,0)</f>
        <v>0</v>
      </c>
      <c r="AD99" s="100">
        <f>IF(AQ99="7",BH99,0)</f>
        <v>0</v>
      </c>
      <c r="AE99" s="100">
        <f>IF(AQ99="7",BI99,0)</f>
        <v>0</v>
      </c>
      <c r="AF99" s="100">
        <f>IF(AQ99="2",BH99,0)</f>
        <v>0</v>
      </c>
      <c r="AG99" s="100">
        <f>IF(AQ99="2",BI99,0)</f>
        <v>0</v>
      </c>
      <c r="AH99" s="100">
        <f>IF(AQ99="0",BJ99,0)</f>
        <v>0</v>
      </c>
      <c r="AI99" s="109"/>
      <c r="AJ99" s="108">
        <f>IF(AN99=0,K99,0)</f>
        <v>0</v>
      </c>
      <c r="AK99" s="108">
        <f>IF(AN99=15,K99,0)</f>
        <v>0</v>
      </c>
      <c r="AL99" s="108">
        <f>IF(AN99=21,K99,0)</f>
        <v>0</v>
      </c>
      <c r="AN99" s="100">
        <v>15</v>
      </c>
      <c r="AO99" s="100">
        <f>H99*0.915172508192762</f>
        <v>0</v>
      </c>
      <c r="AP99" s="100">
        <f>H99*(1-0.915172508192762)</f>
        <v>0</v>
      </c>
      <c r="AQ99" s="111" t="s">
        <v>7</v>
      </c>
      <c r="AV99" s="100">
        <f>AW99+AX99</f>
        <v>0</v>
      </c>
      <c r="AW99" s="100">
        <f>G99*AO99</f>
        <v>0</v>
      </c>
      <c r="AX99" s="100">
        <f>G99*AP99</f>
        <v>0</v>
      </c>
      <c r="AY99" s="110" t="s">
        <v>1695</v>
      </c>
      <c r="AZ99" s="110" t="s">
        <v>1729</v>
      </c>
      <c r="BA99" s="109" t="s">
        <v>1737</v>
      </c>
      <c r="BC99" s="100">
        <f>AW99+AX99</f>
        <v>0</v>
      </c>
      <c r="BD99" s="100">
        <f>H99/(100-BE99)*100</f>
        <v>0</v>
      </c>
      <c r="BE99" s="100">
        <v>0</v>
      </c>
      <c r="BF99" s="100">
        <f>99</f>
        <v>99</v>
      </c>
      <c r="BH99" s="108">
        <f>G99*AO99</f>
        <v>0</v>
      </c>
      <c r="BI99" s="108">
        <f>G99*AP99</f>
        <v>0</v>
      </c>
      <c r="BJ99" s="108">
        <f>G99*H99</f>
        <v>0</v>
      </c>
    </row>
    <row r="100" spans="1:62" x14ac:dyDescent="0.2">
      <c r="A100" s="117" t="s">
        <v>73</v>
      </c>
      <c r="B100" s="117" t="s">
        <v>629</v>
      </c>
      <c r="C100" s="304" t="s">
        <v>1132</v>
      </c>
      <c r="D100" s="305"/>
      <c r="E100" s="305"/>
      <c r="F100" s="117" t="s">
        <v>1646</v>
      </c>
      <c r="G100" s="116">
        <v>30</v>
      </c>
      <c r="H100" s="159"/>
      <c r="I100" s="108">
        <f>G100*AO100</f>
        <v>0</v>
      </c>
      <c r="J100" s="108">
        <f>G100*AP100</f>
        <v>0</v>
      </c>
      <c r="K100" s="108">
        <f>G100*H100</f>
        <v>0</v>
      </c>
      <c r="L100" s="111" t="s">
        <v>1671</v>
      </c>
      <c r="Z100" s="100">
        <f>IF(AQ100="5",BJ100,0)</f>
        <v>0</v>
      </c>
      <c r="AB100" s="100">
        <f>IF(AQ100="1",BH100,0)</f>
        <v>0</v>
      </c>
      <c r="AC100" s="100">
        <f>IF(AQ100="1",BI100,0)</f>
        <v>0</v>
      </c>
      <c r="AD100" s="100">
        <f>IF(AQ100="7",BH100,0)</f>
        <v>0</v>
      </c>
      <c r="AE100" s="100">
        <f>IF(AQ100="7",BI100,0)</f>
        <v>0</v>
      </c>
      <c r="AF100" s="100">
        <f>IF(AQ100="2",BH100,0)</f>
        <v>0</v>
      </c>
      <c r="AG100" s="100">
        <f>IF(AQ100="2",BI100,0)</f>
        <v>0</v>
      </c>
      <c r="AH100" s="100">
        <f>IF(AQ100="0",BJ100,0)</f>
        <v>0</v>
      </c>
      <c r="AI100" s="109"/>
      <c r="AJ100" s="108">
        <f>IF(AN100=0,K100,0)</f>
        <v>0</v>
      </c>
      <c r="AK100" s="108">
        <f>IF(AN100=15,K100,0)</f>
        <v>0</v>
      </c>
      <c r="AL100" s="108">
        <f>IF(AN100=21,K100,0)</f>
        <v>0</v>
      </c>
      <c r="AN100" s="100">
        <v>15</v>
      </c>
      <c r="AO100" s="100">
        <f>H100*0.343381518923828</f>
        <v>0</v>
      </c>
      <c r="AP100" s="100">
        <f>H100*(1-0.343381518923828)</f>
        <v>0</v>
      </c>
      <c r="AQ100" s="111" t="s">
        <v>7</v>
      </c>
      <c r="AV100" s="100">
        <f>AW100+AX100</f>
        <v>0</v>
      </c>
      <c r="AW100" s="100">
        <f>G100*AO100</f>
        <v>0</v>
      </c>
      <c r="AX100" s="100">
        <f>G100*AP100</f>
        <v>0</v>
      </c>
      <c r="AY100" s="110" t="s">
        <v>1695</v>
      </c>
      <c r="AZ100" s="110" t="s">
        <v>1729</v>
      </c>
      <c r="BA100" s="109" t="s">
        <v>1737</v>
      </c>
      <c r="BC100" s="100">
        <f>AW100+AX100</f>
        <v>0</v>
      </c>
      <c r="BD100" s="100">
        <f>H100/(100-BE100)*100</f>
        <v>0</v>
      </c>
      <c r="BE100" s="100">
        <v>0</v>
      </c>
      <c r="BF100" s="100">
        <f>100</f>
        <v>100</v>
      </c>
      <c r="BH100" s="108">
        <f>G100*AO100</f>
        <v>0</v>
      </c>
      <c r="BI100" s="108">
        <f>G100*AP100</f>
        <v>0</v>
      </c>
      <c r="BJ100" s="108">
        <f>G100*H100</f>
        <v>0</v>
      </c>
    </row>
    <row r="101" spans="1:62" x14ac:dyDescent="0.2">
      <c r="A101" s="119"/>
      <c r="B101" s="120" t="s">
        <v>95</v>
      </c>
      <c r="C101" s="306" t="s">
        <v>1133</v>
      </c>
      <c r="D101" s="307"/>
      <c r="E101" s="307"/>
      <c r="F101" s="119" t="s">
        <v>6</v>
      </c>
      <c r="G101" s="119" t="s">
        <v>6</v>
      </c>
      <c r="H101" s="119" t="s">
        <v>6</v>
      </c>
      <c r="I101" s="118">
        <f>SUM(I102:I103)</f>
        <v>0</v>
      </c>
      <c r="J101" s="118">
        <f>SUM(J102:J103)</f>
        <v>0</v>
      </c>
      <c r="K101" s="118">
        <f>SUM(K102:K103)</f>
        <v>0</v>
      </c>
      <c r="L101" s="109"/>
      <c r="AI101" s="109"/>
      <c r="AS101" s="118">
        <f>SUM(AJ102:AJ103)</f>
        <v>0</v>
      </c>
      <c r="AT101" s="118">
        <f>SUM(AK102:AK103)</f>
        <v>0</v>
      </c>
      <c r="AU101" s="118">
        <f>SUM(AL102:AL103)</f>
        <v>0</v>
      </c>
    </row>
    <row r="102" spans="1:62" x14ac:dyDescent="0.2">
      <c r="A102" s="117" t="s">
        <v>74</v>
      </c>
      <c r="B102" s="117" t="s">
        <v>630</v>
      </c>
      <c r="C102" s="304" t="s">
        <v>1134</v>
      </c>
      <c r="D102" s="305"/>
      <c r="E102" s="305"/>
      <c r="F102" s="117" t="s">
        <v>1644</v>
      </c>
      <c r="G102" s="116">
        <v>8</v>
      </c>
      <c r="H102" s="159"/>
      <c r="I102" s="108">
        <f>G102*AO102</f>
        <v>0</v>
      </c>
      <c r="J102" s="108">
        <f>G102*AP102</f>
        <v>0</v>
      </c>
      <c r="K102" s="108">
        <f>G102*H102</f>
        <v>0</v>
      </c>
      <c r="L102" s="111" t="s">
        <v>1671</v>
      </c>
      <c r="Z102" s="100">
        <f>IF(AQ102="5",BJ102,0)</f>
        <v>0</v>
      </c>
      <c r="AB102" s="100">
        <f>IF(AQ102="1",BH102,0)</f>
        <v>0</v>
      </c>
      <c r="AC102" s="100">
        <f>IF(AQ102="1",BI102,0)</f>
        <v>0</v>
      </c>
      <c r="AD102" s="100">
        <f>IF(AQ102="7",BH102,0)</f>
        <v>0</v>
      </c>
      <c r="AE102" s="100">
        <f>IF(AQ102="7",BI102,0)</f>
        <v>0</v>
      </c>
      <c r="AF102" s="100">
        <f>IF(AQ102="2",BH102,0)</f>
        <v>0</v>
      </c>
      <c r="AG102" s="100">
        <f>IF(AQ102="2",BI102,0)</f>
        <v>0</v>
      </c>
      <c r="AH102" s="100">
        <f>IF(AQ102="0",BJ102,0)</f>
        <v>0</v>
      </c>
      <c r="AI102" s="109"/>
      <c r="AJ102" s="108">
        <f>IF(AN102=0,K102,0)</f>
        <v>0</v>
      </c>
      <c r="AK102" s="108">
        <f>IF(AN102=15,K102,0)</f>
        <v>0</v>
      </c>
      <c r="AL102" s="108">
        <f>IF(AN102=21,K102,0)</f>
        <v>0</v>
      </c>
      <c r="AN102" s="100">
        <v>15</v>
      </c>
      <c r="AO102" s="100">
        <f>H102*0.904839880279376</f>
        <v>0</v>
      </c>
      <c r="AP102" s="100">
        <f>H102*(1-0.904839880279376)</f>
        <v>0</v>
      </c>
      <c r="AQ102" s="111" t="s">
        <v>7</v>
      </c>
      <c r="AV102" s="100">
        <f>AW102+AX102</f>
        <v>0</v>
      </c>
      <c r="AW102" s="100">
        <f>G102*AO102</f>
        <v>0</v>
      </c>
      <c r="AX102" s="100">
        <f>G102*AP102</f>
        <v>0</v>
      </c>
      <c r="AY102" s="110" t="s">
        <v>1696</v>
      </c>
      <c r="AZ102" s="110" t="s">
        <v>1729</v>
      </c>
      <c r="BA102" s="109" t="s">
        <v>1737</v>
      </c>
      <c r="BC102" s="100">
        <f>AW102+AX102</f>
        <v>0</v>
      </c>
      <c r="BD102" s="100">
        <f>H102/(100-BE102)*100</f>
        <v>0</v>
      </c>
      <c r="BE102" s="100">
        <v>0</v>
      </c>
      <c r="BF102" s="100">
        <f>102</f>
        <v>102</v>
      </c>
      <c r="BH102" s="108">
        <f>G102*AO102</f>
        <v>0</v>
      </c>
      <c r="BI102" s="108">
        <f>G102*AP102</f>
        <v>0</v>
      </c>
      <c r="BJ102" s="108">
        <f>G102*H102</f>
        <v>0</v>
      </c>
    </row>
    <row r="103" spans="1:62" x14ac:dyDescent="0.2">
      <c r="A103" s="117" t="s">
        <v>75</v>
      </c>
      <c r="B103" s="117" t="s">
        <v>631</v>
      </c>
      <c r="C103" s="304" t="s">
        <v>1135</v>
      </c>
      <c r="D103" s="305"/>
      <c r="E103" s="305"/>
      <c r="F103" s="117" t="s">
        <v>1644</v>
      </c>
      <c r="G103" s="116">
        <v>2</v>
      </c>
      <c r="H103" s="159"/>
      <c r="I103" s="108">
        <f>G103*AO103</f>
        <v>0</v>
      </c>
      <c r="J103" s="108">
        <f>G103*AP103</f>
        <v>0</v>
      </c>
      <c r="K103" s="108">
        <f>G103*H103</f>
        <v>0</v>
      </c>
      <c r="L103" s="111" t="s">
        <v>1671</v>
      </c>
      <c r="Z103" s="100">
        <f>IF(AQ103="5",BJ103,0)</f>
        <v>0</v>
      </c>
      <c r="AB103" s="100">
        <f>IF(AQ103="1",BH103,0)</f>
        <v>0</v>
      </c>
      <c r="AC103" s="100">
        <f>IF(AQ103="1",BI103,0)</f>
        <v>0</v>
      </c>
      <c r="AD103" s="100">
        <f>IF(AQ103="7",BH103,0)</f>
        <v>0</v>
      </c>
      <c r="AE103" s="100">
        <f>IF(AQ103="7",BI103,0)</f>
        <v>0</v>
      </c>
      <c r="AF103" s="100">
        <f>IF(AQ103="2",BH103,0)</f>
        <v>0</v>
      </c>
      <c r="AG103" s="100">
        <f>IF(AQ103="2",BI103,0)</f>
        <v>0</v>
      </c>
      <c r="AH103" s="100">
        <f>IF(AQ103="0",BJ103,0)</f>
        <v>0</v>
      </c>
      <c r="AI103" s="109"/>
      <c r="AJ103" s="108">
        <f>IF(AN103=0,K103,0)</f>
        <v>0</v>
      </c>
      <c r="AK103" s="108">
        <f>IF(AN103=15,K103,0)</f>
        <v>0</v>
      </c>
      <c r="AL103" s="108">
        <f>IF(AN103=21,K103,0)</f>
        <v>0</v>
      </c>
      <c r="AN103" s="100">
        <v>15</v>
      </c>
      <c r="AO103" s="100">
        <f>H103*0.964949325254751</f>
        <v>0</v>
      </c>
      <c r="AP103" s="100">
        <f>H103*(1-0.964949325254751)</f>
        <v>0</v>
      </c>
      <c r="AQ103" s="111" t="s">
        <v>7</v>
      </c>
      <c r="AV103" s="100">
        <f>AW103+AX103</f>
        <v>0</v>
      </c>
      <c r="AW103" s="100">
        <f>G103*AO103</f>
        <v>0</v>
      </c>
      <c r="AX103" s="100">
        <f>G103*AP103</f>
        <v>0</v>
      </c>
      <c r="AY103" s="110" t="s">
        <v>1696</v>
      </c>
      <c r="AZ103" s="110" t="s">
        <v>1729</v>
      </c>
      <c r="BA103" s="109" t="s">
        <v>1737</v>
      </c>
      <c r="BC103" s="100">
        <f>AW103+AX103</f>
        <v>0</v>
      </c>
      <c r="BD103" s="100">
        <f>H103/(100-BE103)*100</f>
        <v>0</v>
      </c>
      <c r="BE103" s="100">
        <v>0</v>
      </c>
      <c r="BF103" s="100">
        <f>103</f>
        <v>103</v>
      </c>
      <c r="BH103" s="108">
        <f>G103*AO103</f>
        <v>0</v>
      </c>
      <c r="BI103" s="108">
        <f>G103*AP103</f>
        <v>0</v>
      </c>
      <c r="BJ103" s="108">
        <f>G103*H103</f>
        <v>0</v>
      </c>
    </row>
    <row r="104" spans="1:62" x14ac:dyDescent="0.2">
      <c r="A104" s="119"/>
      <c r="B104" s="120" t="s">
        <v>97</v>
      </c>
      <c r="C104" s="306" t="s">
        <v>1136</v>
      </c>
      <c r="D104" s="307"/>
      <c r="E104" s="307"/>
      <c r="F104" s="119" t="s">
        <v>6</v>
      </c>
      <c r="G104" s="119" t="s">
        <v>6</v>
      </c>
      <c r="H104" s="119" t="s">
        <v>6</v>
      </c>
      <c r="I104" s="118">
        <f>SUM(I105:I107)</f>
        <v>0</v>
      </c>
      <c r="J104" s="118">
        <f>SUM(J105:J107)</f>
        <v>0</v>
      </c>
      <c r="K104" s="118">
        <f>SUM(K105:K107)</f>
        <v>0</v>
      </c>
      <c r="L104" s="109"/>
      <c r="AI104" s="109"/>
      <c r="AS104" s="118">
        <f>SUM(AJ105:AJ107)</f>
        <v>0</v>
      </c>
      <c r="AT104" s="118">
        <f>SUM(AK105:AK107)</f>
        <v>0</v>
      </c>
      <c r="AU104" s="118">
        <f>SUM(AL105:AL107)</f>
        <v>0</v>
      </c>
    </row>
    <row r="105" spans="1:62" x14ac:dyDescent="0.2">
      <c r="A105" s="117" t="s">
        <v>76</v>
      </c>
      <c r="B105" s="117" t="s">
        <v>632</v>
      </c>
      <c r="C105" s="304" t="s">
        <v>1137</v>
      </c>
      <c r="D105" s="305"/>
      <c r="E105" s="305"/>
      <c r="F105" s="117" t="s">
        <v>1646</v>
      </c>
      <c r="G105" s="116">
        <v>4</v>
      </c>
      <c r="H105" s="159"/>
      <c r="I105" s="108">
        <f>G105*AO105</f>
        <v>0</v>
      </c>
      <c r="J105" s="108">
        <f>G105*AP105</f>
        <v>0</v>
      </c>
      <c r="K105" s="108">
        <f>G105*H105</f>
        <v>0</v>
      </c>
      <c r="L105" s="111" t="s">
        <v>1671</v>
      </c>
      <c r="Z105" s="100">
        <f>IF(AQ105="5",BJ105,0)</f>
        <v>0</v>
      </c>
      <c r="AB105" s="100">
        <f>IF(AQ105="1",BH105,0)</f>
        <v>0</v>
      </c>
      <c r="AC105" s="100">
        <f>IF(AQ105="1",BI105,0)</f>
        <v>0</v>
      </c>
      <c r="AD105" s="100">
        <f>IF(AQ105="7",BH105,0)</f>
        <v>0</v>
      </c>
      <c r="AE105" s="100">
        <f>IF(AQ105="7",BI105,0)</f>
        <v>0</v>
      </c>
      <c r="AF105" s="100">
        <f>IF(AQ105="2",BH105,0)</f>
        <v>0</v>
      </c>
      <c r="AG105" s="100">
        <f>IF(AQ105="2",BI105,0)</f>
        <v>0</v>
      </c>
      <c r="AH105" s="100">
        <f>IF(AQ105="0",BJ105,0)</f>
        <v>0</v>
      </c>
      <c r="AI105" s="109"/>
      <c r="AJ105" s="108">
        <f>IF(AN105=0,K105,0)</f>
        <v>0</v>
      </c>
      <c r="AK105" s="108">
        <f>IF(AN105=15,K105,0)</f>
        <v>0</v>
      </c>
      <c r="AL105" s="108">
        <f>IF(AN105=21,K105,0)</f>
        <v>0</v>
      </c>
      <c r="AN105" s="100">
        <v>15</v>
      </c>
      <c r="AO105" s="100">
        <f>H105*0.72</f>
        <v>0</v>
      </c>
      <c r="AP105" s="100">
        <f>H105*(1-0.72)</f>
        <v>0</v>
      </c>
      <c r="AQ105" s="111" t="s">
        <v>7</v>
      </c>
      <c r="AV105" s="100">
        <f>AW105+AX105</f>
        <v>0</v>
      </c>
      <c r="AW105" s="100">
        <f>G105*AO105</f>
        <v>0</v>
      </c>
      <c r="AX105" s="100">
        <f>G105*AP105</f>
        <v>0</v>
      </c>
      <c r="AY105" s="110" t="s">
        <v>1697</v>
      </c>
      <c r="AZ105" s="110" t="s">
        <v>1730</v>
      </c>
      <c r="BA105" s="109" t="s">
        <v>1737</v>
      </c>
      <c r="BC105" s="100">
        <f>AW105+AX105</f>
        <v>0</v>
      </c>
      <c r="BD105" s="100">
        <f>H105/(100-BE105)*100</f>
        <v>0</v>
      </c>
      <c r="BE105" s="100">
        <v>0</v>
      </c>
      <c r="BF105" s="100">
        <f>105</f>
        <v>105</v>
      </c>
      <c r="BH105" s="108">
        <f>G105*AO105</f>
        <v>0</v>
      </c>
      <c r="BI105" s="108">
        <f>G105*AP105</f>
        <v>0</v>
      </c>
      <c r="BJ105" s="108">
        <f>G105*H105</f>
        <v>0</v>
      </c>
    </row>
    <row r="106" spans="1:62" x14ac:dyDescent="0.2">
      <c r="A106" s="117" t="s">
        <v>77</v>
      </c>
      <c r="B106" s="117" t="s">
        <v>633</v>
      </c>
      <c r="C106" s="304" t="s">
        <v>1138</v>
      </c>
      <c r="D106" s="305"/>
      <c r="E106" s="305"/>
      <c r="F106" s="117" t="s">
        <v>1647</v>
      </c>
      <c r="G106" s="116">
        <v>0.16200000000000001</v>
      </c>
      <c r="H106" s="159"/>
      <c r="I106" s="108">
        <f>G106*AO106</f>
        <v>0</v>
      </c>
      <c r="J106" s="108">
        <f>G106*AP106</f>
        <v>0</v>
      </c>
      <c r="K106" s="108">
        <f>G106*H106</f>
        <v>0</v>
      </c>
      <c r="L106" s="111" t="s">
        <v>1671</v>
      </c>
      <c r="Z106" s="100">
        <f>IF(AQ106="5",BJ106,0)</f>
        <v>0</v>
      </c>
      <c r="AB106" s="100">
        <f>IF(AQ106="1",BH106,0)</f>
        <v>0</v>
      </c>
      <c r="AC106" s="100">
        <f>IF(AQ106="1",BI106,0)</f>
        <v>0</v>
      </c>
      <c r="AD106" s="100">
        <f>IF(AQ106="7",BH106,0)</f>
        <v>0</v>
      </c>
      <c r="AE106" s="100">
        <f>IF(AQ106="7",BI106,0)</f>
        <v>0</v>
      </c>
      <c r="AF106" s="100">
        <f>IF(AQ106="2",BH106,0)</f>
        <v>0</v>
      </c>
      <c r="AG106" s="100">
        <f>IF(AQ106="2",BI106,0)</f>
        <v>0</v>
      </c>
      <c r="AH106" s="100">
        <f>IF(AQ106="0",BJ106,0)</f>
        <v>0</v>
      </c>
      <c r="AI106" s="109"/>
      <c r="AJ106" s="108">
        <f>IF(AN106=0,K106,0)</f>
        <v>0</v>
      </c>
      <c r="AK106" s="108">
        <f>IF(AN106=15,K106,0)</f>
        <v>0</v>
      </c>
      <c r="AL106" s="108">
        <f>IF(AN106=21,K106,0)</f>
        <v>0</v>
      </c>
      <c r="AN106" s="100">
        <v>15</v>
      </c>
      <c r="AO106" s="100">
        <f>H106*0.780343362831858</f>
        <v>0</v>
      </c>
      <c r="AP106" s="100">
        <f>H106*(1-0.780343362831858)</f>
        <v>0</v>
      </c>
      <c r="AQ106" s="111" t="s">
        <v>7</v>
      </c>
      <c r="AV106" s="100">
        <f>AW106+AX106</f>
        <v>0</v>
      </c>
      <c r="AW106" s="100">
        <f>G106*AO106</f>
        <v>0</v>
      </c>
      <c r="AX106" s="100">
        <f>G106*AP106</f>
        <v>0</v>
      </c>
      <c r="AY106" s="110" t="s">
        <v>1697</v>
      </c>
      <c r="AZ106" s="110" t="s">
        <v>1730</v>
      </c>
      <c r="BA106" s="109" t="s">
        <v>1737</v>
      </c>
      <c r="BC106" s="100">
        <f>AW106+AX106</f>
        <v>0</v>
      </c>
      <c r="BD106" s="100">
        <f>H106/(100-BE106)*100</f>
        <v>0</v>
      </c>
      <c r="BE106" s="100">
        <v>0</v>
      </c>
      <c r="BF106" s="100">
        <f>106</f>
        <v>106</v>
      </c>
      <c r="BH106" s="108">
        <f>G106*AO106</f>
        <v>0</v>
      </c>
      <c r="BI106" s="108">
        <f>G106*AP106</f>
        <v>0</v>
      </c>
      <c r="BJ106" s="108">
        <f>G106*H106</f>
        <v>0</v>
      </c>
    </row>
    <row r="107" spans="1:62" x14ac:dyDescent="0.2">
      <c r="A107" s="117" t="s">
        <v>78</v>
      </c>
      <c r="B107" s="117" t="s">
        <v>2147</v>
      </c>
      <c r="C107" s="304" t="s">
        <v>2146</v>
      </c>
      <c r="D107" s="305"/>
      <c r="E107" s="305"/>
      <c r="F107" s="117" t="s">
        <v>1646</v>
      </c>
      <c r="G107" s="116">
        <v>6.2</v>
      </c>
      <c r="H107" s="159"/>
      <c r="I107" s="108">
        <f>G107*AO107</f>
        <v>0</v>
      </c>
      <c r="J107" s="108">
        <f>G107*AP107</f>
        <v>0</v>
      </c>
      <c r="K107" s="108">
        <f>G107*H107</f>
        <v>0</v>
      </c>
      <c r="L107" s="111" t="s">
        <v>1671</v>
      </c>
      <c r="Z107" s="100">
        <f>IF(AQ107="5",BJ107,0)</f>
        <v>0</v>
      </c>
      <c r="AB107" s="100">
        <f>IF(AQ107="1",BH107,0)</f>
        <v>0</v>
      </c>
      <c r="AC107" s="100">
        <f>IF(AQ107="1",BI107,0)</f>
        <v>0</v>
      </c>
      <c r="AD107" s="100">
        <f>IF(AQ107="7",BH107,0)</f>
        <v>0</v>
      </c>
      <c r="AE107" s="100">
        <f>IF(AQ107="7",BI107,0)</f>
        <v>0</v>
      </c>
      <c r="AF107" s="100">
        <f>IF(AQ107="2",BH107,0)</f>
        <v>0</v>
      </c>
      <c r="AG107" s="100">
        <f>IF(AQ107="2",BI107,0)</f>
        <v>0</v>
      </c>
      <c r="AH107" s="100">
        <f>IF(AQ107="0",BJ107,0)</f>
        <v>0</v>
      </c>
      <c r="AI107" s="109"/>
      <c r="AJ107" s="108">
        <f>IF(AN107=0,K107,0)</f>
        <v>0</v>
      </c>
      <c r="AK107" s="108">
        <f>IF(AN107=15,K107,0)</f>
        <v>0</v>
      </c>
      <c r="AL107" s="108">
        <f>IF(AN107=21,K107,0)</f>
        <v>0</v>
      </c>
      <c r="AN107" s="100">
        <v>15</v>
      </c>
      <c r="AO107" s="100">
        <f>H107*0.506386861313869</f>
        <v>0</v>
      </c>
      <c r="AP107" s="100">
        <f>H107*(1-0.506386861313869)</f>
        <v>0</v>
      </c>
      <c r="AQ107" s="111" t="s">
        <v>7</v>
      </c>
      <c r="AV107" s="100">
        <f>AW107+AX107</f>
        <v>0</v>
      </c>
      <c r="AW107" s="100">
        <f>G107*AO107</f>
        <v>0</v>
      </c>
      <c r="AX107" s="100">
        <f>G107*AP107</f>
        <v>0</v>
      </c>
      <c r="AY107" s="110" t="s">
        <v>1697</v>
      </c>
      <c r="AZ107" s="110" t="s">
        <v>1730</v>
      </c>
      <c r="BA107" s="109" t="s">
        <v>1737</v>
      </c>
      <c r="BC107" s="100">
        <f>AW107+AX107</f>
        <v>0</v>
      </c>
      <c r="BD107" s="100">
        <f>H107/(100-BE107)*100</f>
        <v>0</v>
      </c>
      <c r="BE107" s="100">
        <v>0</v>
      </c>
      <c r="BF107" s="100">
        <f>107</f>
        <v>107</v>
      </c>
      <c r="BH107" s="108">
        <f>G107*AO107</f>
        <v>0</v>
      </c>
      <c r="BI107" s="108">
        <f>G107*AP107</f>
        <v>0</v>
      </c>
      <c r="BJ107" s="108">
        <f>G107*H107</f>
        <v>0</v>
      </c>
    </row>
    <row r="108" spans="1:62" x14ac:dyDescent="0.2">
      <c r="A108" s="119"/>
      <c r="B108" s="120" t="s">
        <v>100</v>
      </c>
      <c r="C108" s="306" t="s">
        <v>1139</v>
      </c>
      <c r="D108" s="307"/>
      <c r="E108" s="307"/>
      <c r="F108" s="119" t="s">
        <v>6</v>
      </c>
      <c r="G108" s="119" t="s">
        <v>6</v>
      </c>
      <c r="H108" s="119" t="s">
        <v>6</v>
      </c>
      <c r="I108" s="118">
        <f>SUM(I109:I115)</f>
        <v>0</v>
      </c>
      <c r="J108" s="118">
        <f>SUM(J109:J115)</f>
        <v>0</v>
      </c>
      <c r="K108" s="118">
        <f>SUM(K109:K115)</f>
        <v>0</v>
      </c>
      <c r="L108" s="109"/>
      <c r="AI108" s="109"/>
      <c r="AS108" s="118">
        <f>SUM(AJ109:AJ115)</f>
        <v>0</v>
      </c>
      <c r="AT108" s="118">
        <f>SUM(AK109:AK115)</f>
        <v>0</v>
      </c>
      <c r="AU108" s="118">
        <f>SUM(AL109:AL115)</f>
        <v>0</v>
      </c>
    </row>
    <row r="109" spans="1:62" x14ac:dyDescent="0.2">
      <c r="A109" s="117" t="s">
        <v>79</v>
      </c>
      <c r="B109" s="117" t="s">
        <v>634</v>
      </c>
      <c r="C109" s="304" t="s">
        <v>1140</v>
      </c>
      <c r="D109" s="305"/>
      <c r="E109" s="305"/>
      <c r="F109" s="117" t="s">
        <v>1645</v>
      </c>
      <c r="G109" s="116">
        <v>842.42499999999995</v>
      </c>
      <c r="H109" s="159"/>
      <c r="I109" s="108">
        <f t="shared" ref="I109:I115" si="88">G109*AO109</f>
        <v>0</v>
      </c>
      <c r="J109" s="108">
        <f t="shared" ref="J109:J115" si="89">G109*AP109</f>
        <v>0</v>
      </c>
      <c r="K109" s="108">
        <f t="shared" ref="K109:K115" si="90">G109*H109</f>
        <v>0</v>
      </c>
      <c r="L109" s="111" t="s">
        <v>1671</v>
      </c>
      <c r="Z109" s="100">
        <f t="shared" ref="Z109:Z115" si="91">IF(AQ109="5",BJ109,0)</f>
        <v>0</v>
      </c>
      <c r="AB109" s="100">
        <f t="shared" ref="AB109:AB115" si="92">IF(AQ109="1",BH109,0)</f>
        <v>0</v>
      </c>
      <c r="AC109" s="100">
        <f t="shared" ref="AC109:AC115" si="93">IF(AQ109="1",BI109,0)</f>
        <v>0</v>
      </c>
      <c r="AD109" s="100">
        <f t="shared" ref="AD109:AD115" si="94">IF(AQ109="7",BH109,0)</f>
        <v>0</v>
      </c>
      <c r="AE109" s="100">
        <f t="shared" ref="AE109:AE115" si="95">IF(AQ109="7",BI109,0)</f>
        <v>0</v>
      </c>
      <c r="AF109" s="100">
        <f t="shared" ref="AF109:AF115" si="96">IF(AQ109="2",BH109,0)</f>
        <v>0</v>
      </c>
      <c r="AG109" s="100">
        <f t="shared" ref="AG109:AG115" si="97">IF(AQ109="2",BI109,0)</f>
        <v>0</v>
      </c>
      <c r="AH109" s="100">
        <f t="shared" ref="AH109:AH115" si="98">IF(AQ109="0",BJ109,0)</f>
        <v>0</v>
      </c>
      <c r="AI109" s="109"/>
      <c r="AJ109" s="108">
        <f t="shared" ref="AJ109:AJ115" si="99">IF(AN109=0,K109,0)</f>
        <v>0</v>
      </c>
      <c r="AK109" s="108">
        <f t="shared" ref="AK109:AK115" si="100">IF(AN109=15,K109,0)</f>
        <v>0</v>
      </c>
      <c r="AL109" s="108">
        <f t="shared" ref="AL109:AL115" si="101">IF(AN109=21,K109,0)</f>
        <v>0</v>
      </c>
      <c r="AN109" s="100">
        <v>15</v>
      </c>
      <c r="AO109" s="100">
        <f>H109*0.000315955781005335</f>
        <v>0</v>
      </c>
      <c r="AP109" s="100">
        <f>H109*(1-0.000315955781005335)</f>
        <v>0</v>
      </c>
      <c r="AQ109" s="111" t="s">
        <v>7</v>
      </c>
      <c r="AV109" s="100">
        <f t="shared" ref="AV109:AV115" si="102">AW109+AX109</f>
        <v>0</v>
      </c>
      <c r="AW109" s="100">
        <f t="shared" ref="AW109:AW115" si="103">G109*AO109</f>
        <v>0</v>
      </c>
      <c r="AX109" s="100">
        <f t="shared" ref="AX109:AX115" si="104">G109*AP109</f>
        <v>0</v>
      </c>
      <c r="AY109" s="110" t="s">
        <v>1698</v>
      </c>
      <c r="AZ109" s="110" t="s">
        <v>1730</v>
      </c>
      <c r="BA109" s="109" t="s">
        <v>1737</v>
      </c>
      <c r="BC109" s="100">
        <f t="shared" ref="BC109:BC115" si="105">AW109+AX109</f>
        <v>0</v>
      </c>
      <c r="BD109" s="100">
        <f t="shared" ref="BD109:BD115" si="106">H109/(100-BE109)*100</f>
        <v>0</v>
      </c>
      <c r="BE109" s="100">
        <v>0</v>
      </c>
      <c r="BF109" s="100">
        <f>109</f>
        <v>109</v>
      </c>
      <c r="BH109" s="108">
        <f t="shared" ref="BH109:BH115" si="107">G109*AO109</f>
        <v>0</v>
      </c>
      <c r="BI109" s="108">
        <f t="shared" ref="BI109:BI115" si="108">G109*AP109</f>
        <v>0</v>
      </c>
      <c r="BJ109" s="108">
        <f t="shared" ref="BJ109:BJ115" si="109">G109*H109</f>
        <v>0</v>
      </c>
    </row>
    <row r="110" spans="1:62" x14ac:dyDescent="0.2">
      <c r="A110" s="117" t="s">
        <v>80</v>
      </c>
      <c r="B110" s="117" t="s">
        <v>635</v>
      </c>
      <c r="C110" s="304" t="s">
        <v>1141</v>
      </c>
      <c r="D110" s="305"/>
      <c r="E110" s="305"/>
      <c r="F110" s="117" t="s">
        <v>1645</v>
      </c>
      <c r="G110" s="116">
        <v>1684.85</v>
      </c>
      <c r="H110" s="159"/>
      <c r="I110" s="108">
        <f t="shared" si="88"/>
        <v>0</v>
      </c>
      <c r="J110" s="108">
        <f t="shared" si="89"/>
        <v>0</v>
      </c>
      <c r="K110" s="108">
        <f t="shared" si="90"/>
        <v>0</v>
      </c>
      <c r="L110" s="111" t="s">
        <v>1671</v>
      </c>
      <c r="Z110" s="100">
        <f t="shared" si="91"/>
        <v>0</v>
      </c>
      <c r="AB110" s="100">
        <f t="shared" si="92"/>
        <v>0</v>
      </c>
      <c r="AC110" s="100">
        <f t="shared" si="93"/>
        <v>0</v>
      </c>
      <c r="AD110" s="100">
        <f t="shared" si="94"/>
        <v>0</v>
      </c>
      <c r="AE110" s="100">
        <f t="shared" si="95"/>
        <v>0</v>
      </c>
      <c r="AF110" s="100">
        <f t="shared" si="96"/>
        <v>0</v>
      </c>
      <c r="AG110" s="100">
        <f t="shared" si="97"/>
        <v>0</v>
      </c>
      <c r="AH110" s="100">
        <f t="shared" si="98"/>
        <v>0</v>
      </c>
      <c r="AI110" s="109"/>
      <c r="AJ110" s="108">
        <f t="shared" si="99"/>
        <v>0</v>
      </c>
      <c r="AK110" s="108">
        <f t="shared" si="100"/>
        <v>0</v>
      </c>
      <c r="AL110" s="108">
        <f t="shared" si="101"/>
        <v>0</v>
      </c>
      <c r="AN110" s="100">
        <v>15</v>
      </c>
      <c r="AO110" s="100">
        <f>H110*0.90948752778304</f>
        <v>0</v>
      </c>
      <c r="AP110" s="100">
        <f>H110*(1-0.90948752778304)</f>
        <v>0</v>
      </c>
      <c r="AQ110" s="111" t="s">
        <v>7</v>
      </c>
      <c r="AV110" s="100">
        <f t="shared" si="102"/>
        <v>0</v>
      </c>
      <c r="AW110" s="100">
        <f t="shared" si="103"/>
        <v>0</v>
      </c>
      <c r="AX110" s="100">
        <f t="shared" si="104"/>
        <v>0</v>
      </c>
      <c r="AY110" s="110" t="s">
        <v>1698</v>
      </c>
      <c r="AZ110" s="110" t="s">
        <v>1730</v>
      </c>
      <c r="BA110" s="109" t="s">
        <v>1737</v>
      </c>
      <c r="BC110" s="100">
        <f t="shared" si="105"/>
        <v>0</v>
      </c>
      <c r="BD110" s="100">
        <f t="shared" si="106"/>
        <v>0</v>
      </c>
      <c r="BE110" s="100">
        <v>0</v>
      </c>
      <c r="BF110" s="100">
        <f>110</f>
        <v>110</v>
      </c>
      <c r="BH110" s="108">
        <f t="shared" si="107"/>
        <v>0</v>
      </c>
      <c r="BI110" s="108">
        <f t="shared" si="108"/>
        <v>0</v>
      </c>
      <c r="BJ110" s="108">
        <f t="shared" si="109"/>
        <v>0</v>
      </c>
    </row>
    <row r="111" spans="1:62" x14ac:dyDescent="0.2">
      <c r="A111" s="117" t="s">
        <v>81</v>
      </c>
      <c r="B111" s="117" t="s">
        <v>636</v>
      </c>
      <c r="C111" s="304" t="s">
        <v>1142</v>
      </c>
      <c r="D111" s="305"/>
      <c r="E111" s="305"/>
      <c r="F111" s="117" t="s">
        <v>1645</v>
      </c>
      <c r="G111" s="116">
        <v>842.42499999999995</v>
      </c>
      <c r="H111" s="159"/>
      <c r="I111" s="108">
        <f t="shared" si="88"/>
        <v>0</v>
      </c>
      <c r="J111" s="108">
        <f t="shared" si="89"/>
        <v>0</v>
      </c>
      <c r="K111" s="108">
        <f t="shared" si="90"/>
        <v>0</v>
      </c>
      <c r="L111" s="111" t="s">
        <v>1671</v>
      </c>
      <c r="Z111" s="100">
        <f t="shared" si="91"/>
        <v>0</v>
      </c>
      <c r="AB111" s="100">
        <f t="shared" si="92"/>
        <v>0</v>
      </c>
      <c r="AC111" s="100">
        <f t="shared" si="93"/>
        <v>0</v>
      </c>
      <c r="AD111" s="100">
        <f t="shared" si="94"/>
        <v>0</v>
      </c>
      <c r="AE111" s="100">
        <f t="shared" si="95"/>
        <v>0</v>
      </c>
      <c r="AF111" s="100">
        <f t="shared" si="96"/>
        <v>0</v>
      </c>
      <c r="AG111" s="100">
        <f t="shared" si="97"/>
        <v>0</v>
      </c>
      <c r="AH111" s="100">
        <f t="shared" si="98"/>
        <v>0</v>
      </c>
      <c r="AI111" s="109"/>
      <c r="AJ111" s="108">
        <f t="shared" si="99"/>
        <v>0</v>
      </c>
      <c r="AK111" s="108">
        <f t="shared" si="100"/>
        <v>0</v>
      </c>
      <c r="AL111" s="108">
        <f t="shared" si="101"/>
        <v>0</v>
      </c>
      <c r="AN111" s="100">
        <v>15</v>
      </c>
      <c r="AO111" s="100">
        <f>H111*0</f>
        <v>0</v>
      </c>
      <c r="AP111" s="100">
        <f>H111*(1-0)</f>
        <v>0</v>
      </c>
      <c r="AQ111" s="111" t="s">
        <v>7</v>
      </c>
      <c r="AV111" s="100">
        <f t="shared" si="102"/>
        <v>0</v>
      </c>
      <c r="AW111" s="100">
        <f t="shared" si="103"/>
        <v>0</v>
      </c>
      <c r="AX111" s="100">
        <f t="shared" si="104"/>
        <v>0</v>
      </c>
      <c r="AY111" s="110" t="s">
        <v>1698</v>
      </c>
      <c r="AZ111" s="110" t="s">
        <v>1730</v>
      </c>
      <c r="BA111" s="109" t="s">
        <v>1737</v>
      </c>
      <c r="BC111" s="100">
        <f t="shared" si="105"/>
        <v>0</v>
      </c>
      <c r="BD111" s="100">
        <f t="shared" si="106"/>
        <v>0</v>
      </c>
      <c r="BE111" s="100">
        <v>0</v>
      </c>
      <c r="BF111" s="100">
        <f>111</f>
        <v>111</v>
      </c>
      <c r="BH111" s="108">
        <f t="shared" si="107"/>
        <v>0</v>
      </c>
      <c r="BI111" s="108">
        <f t="shared" si="108"/>
        <v>0</v>
      </c>
      <c r="BJ111" s="108">
        <f t="shared" si="109"/>
        <v>0</v>
      </c>
    </row>
    <row r="112" spans="1:62" x14ac:dyDescent="0.2">
      <c r="A112" s="117" t="s">
        <v>82</v>
      </c>
      <c r="B112" s="117" t="s">
        <v>637</v>
      </c>
      <c r="C112" s="304" t="s">
        <v>1143</v>
      </c>
      <c r="D112" s="305"/>
      <c r="E112" s="305"/>
      <c r="F112" s="117" t="s">
        <v>1645</v>
      </c>
      <c r="G112" s="116">
        <v>842.42499999999995</v>
      </c>
      <c r="H112" s="159"/>
      <c r="I112" s="108">
        <f t="shared" si="88"/>
        <v>0</v>
      </c>
      <c r="J112" s="108">
        <f t="shared" si="89"/>
        <v>0</v>
      </c>
      <c r="K112" s="108">
        <f t="shared" si="90"/>
        <v>0</v>
      </c>
      <c r="L112" s="111" t="s">
        <v>1671</v>
      </c>
      <c r="Z112" s="100">
        <f t="shared" si="91"/>
        <v>0</v>
      </c>
      <c r="AB112" s="100">
        <f t="shared" si="92"/>
        <v>0</v>
      </c>
      <c r="AC112" s="100">
        <f t="shared" si="93"/>
        <v>0</v>
      </c>
      <c r="AD112" s="100">
        <f t="shared" si="94"/>
        <v>0</v>
      </c>
      <c r="AE112" s="100">
        <f t="shared" si="95"/>
        <v>0</v>
      </c>
      <c r="AF112" s="100">
        <f t="shared" si="96"/>
        <v>0</v>
      </c>
      <c r="AG112" s="100">
        <f t="shared" si="97"/>
        <v>0</v>
      </c>
      <c r="AH112" s="100">
        <f t="shared" si="98"/>
        <v>0</v>
      </c>
      <c r="AI112" s="109"/>
      <c r="AJ112" s="108">
        <f t="shared" si="99"/>
        <v>0</v>
      </c>
      <c r="AK112" s="108">
        <f t="shared" si="100"/>
        <v>0</v>
      </c>
      <c r="AL112" s="108">
        <f t="shared" si="101"/>
        <v>0</v>
      </c>
      <c r="AN112" s="100">
        <v>15</v>
      </c>
      <c r="AO112" s="100">
        <f>H112*0</f>
        <v>0</v>
      </c>
      <c r="AP112" s="100">
        <f>H112*(1-0)</f>
        <v>0</v>
      </c>
      <c r="AQ112" s="111" t="s">
        <v>7</v>
      </c>
      <c r="AV112" s="100">
        <f t="shared" si="102"/>
        <v>0</v>
      </c>
      <c r="AW112" s="100">
        <f t="shared" si="103"/>
        <v>0</v>
      </c>
      <c r="AX112" s="100">
        <f t="shared" si="104"/>
        <v>0</v>
      </c>
      <c r="AY112" s="110" t="s">
        <v>1698</v>
      </c>
      <c r="AZ112" s="110" t="s">
        <v>1730</v>
      </c>
      <c r="BA112" s="109" t="s">
        <v>1737</v>
      </c>
      <c r="BC112" s="100">
        <f t="shared" si="105"/>
        <v>0</v>
      </c>
      <c r="BD112" s="100">
        <f t="shared" si="106"/>
        <v>0</v>
      </c>
      <c r="BE112" s="100">
        <v>0</v>
      </c>
      <c r="BF112" s="100">
        <f>112</f>
        <v>112</v>
      </c>
      <c r="BH112" s="108">
        <f t="shared" si="107"/>
        <v>0</v>
      </c>
      <c r="BI112" s="108">
        <f t="shared" si="108"/>
        <v>0</v>
      </c>
      <c r="BJ112" s="108">
        <f t="shared" si="109"/>
        <v>0</v>
      </c>
    </row>
    <row r="113" spans="1:62" x14ac:dyDescent="0.2">
      <c r="A113" s="117" t="s">
        <v>83</v>
      </c>
      <c r="B113" s="117" t="s">
        <v>638</v>
      </c>
      <c r="C113" s="304" t="s">
        <v>1144</v>
      </c>
      <c r="D113" s="305"/>
      <c r="E113" s="305"/>
      <c r="F113" s="117" t="s">
        <v>1645</v>
      </c>
      <c r="G113" s="116">
        <v>1684.85</v>
      </c>
      <c r="H113" s="159"/>
      <c r="I113" s="108">
        <f t="shared" si="88"/>
        <v>0</v>
      </c>
      <c r="J113" s="108">
        <f t="shared" si="89"/>
        <v>0</v>
      </c>
      <c r="K113" s="108">
        <f t="shared" si="90"/>
        <v>0</v>
      </c>
      <c r="L113" s="111" t="s">
        <v>1671</v>
      </c>
      <c r="Z113" s="100">
        <f t="shared" si="91"/>
        <v>0</v>
      </c>
      <c r="AB113" s="100">
        <f t="shared" si="92"/>
        <v>0</v>
      </c>
      <c r="AC113" s="100">
        <f t="shared" si="93"/>
        <v>0</v>
      </c>
      <c r="AD113" s="100">
        <f t="shared" si="94"/>
        <v>0</v>
      </c>
      <c r="AE113" s="100">
        <f t="shared" si="95"/>
        <v>0</v>
      </c>
      <c r="AF113" s="100">
        <f t="shared" si="96"/>
        <v>0</v>
      </c>
      <c r="AG113" s="100">
        <f t="shared" si="97"/>
        <v>0</v>
      </c>
      <c r="AH113" s="100">
        <f t="shared" si="98"/>
        <v>0</v>
      </c>
      <c r="AI113" s="109"/>
      <c r="AJ113" s="108">
        <f t="shared" si="99"/>
        <v>0</v>
      </c>
      <c r="AK113" s="108">
        <f t="shared" si="100"/>
        <v>0</v>
      </c>
      <c r="AL113" s="108">
        <f t="shared" si="101"/>
        <v>0</v>
      </c>
      <c r="AN113" s="100">
        <v>15</v>
      </c>
      <c r="AO113" s="100">
        <f>H113*0.999999614594534</f>
        <v>0</v>
      </c>
      <c r="AP113" s="100">
        <f>H113*(1-0.999999614594534)</f>
        <v>0</v>
      </c>
      <c r="AQ113" s="111" t="s">
        <v>7</v>
      </c>
      <c r="AV113" s="100">
        <f t="shared" si="102"/>
        <v>0</v>
      </c>
      <c r="AW113" s="100">
        <f t="shared" si="103"/>
        <v>0</v>
      </c>
      <c r="AX113" s="100">
        <f t="shared" si="104"/>
        <v>0</v>
      </c>
      <c r="AY113" s="110" t="s">
        <v>1698</v>
      </c>
      <c r="AZ113" s="110" t="s">
        <v>1730</v>
      </c>
      <c r="BA113" s="109" t="s">
        <v>1737</v>
      </c>
      <c r="BC113" s="100">
        <f t="shared" si="105"/>
        <v>0</v>
      </c>
      <c r="BD113" s="100">
        <f t="shared" si="106"/>
        <v>0</v>
      </c>
      <c r="BE113" s="100">
        <v>0</v>
      </c>
      <c r="BF113" s="100">
        <f>113</f>
        <v>113</v>
      </c>
      <c r="BH113" s="108">
        <f t="shared" si="107"/>
        <v>0</v>
      </c>
      <c r="BI113" s="108">
        <f t="shared" si="108"/>
        <v>0</v>
      </c>
      <c r="BJ113" s="108">
        <f t="shared" si="109"/>
        <v>0</v>
      </c>
    </row>
    <row r="114" spans="1:62" x14ac:dyDescent="0.2">
      <c r="A114" s="117" t="s">
        <v>84</v>
      </c>
      <c r="B114" s="117" t="s">
        <v>639</v>
      </c>
      <c r="C114" s="304" t="s">
        <v>1145</v>
      </c>
      <c r="D114" s="305"/>
      <c r="E114" s="305"/>
      <c r="F114" s="117" t="s">
        <v>1645</v>
      </c>
      <c r="G114" s="116">
        <v>842.42499999999995</v>
      </c>
      <c r="H114" s="159"/>
      <c r="I114" s="108">
        <f t="shared" si="88"/>
        <v>0</v>
      </c>
      <c r="J114" s="108">
        <f t="shared" si="89"/>
        <v>0</v>
      </c>
      <c r="K114" s="108">
        <f t="shared" si="90"/>
        <v>0</v>
      </c>
      <c r="L114" s="111" t="s">
        <v>1671</v>
      </c>
      <c r="Z114" s="100">
        <f t="shared" si="91"/>
        <v>0</v>
      </c>
      <c r="AB114" s="100">
        <f t="shared" si="92"/>
        <v>0</v>
      </c>
      <c r="AC114" s="100">
        <f t="shared" si="93"/>
        <v>0</v>
      </c>
      <c r="AD114" s="100">
        <f t="shared" si="94"/>
        <v>0</v>
      </c>
      <c r="AE114" s="100">
        <f t="shared" si="95"/>
        <v>0</v>
      </c>
      <c r="AF114" s="100">
        <f t="shared" si="96"/>
        <v>0</v>
      </c>
      <c r="AG114" s="100">
        <f t="shared" si="97"/>
        <v>0</v>
      </c>
      <c r="AH114" s="100">
        <f t="shared" si="98"/>
        <v>0</v>
      </c>
      <c r="AI114" s="109"/>
      <c r="AJ114" s="108">
        <f t="shared" si="99"/>
        <v>0</v>
      </c>
      <c r="AK114" s="108">
        <f t="shared" si="100"/>
        <v>0</v>
      </c>
      <c r="AL114" s="108">
        <f t="shared" si="101"/>
        <v>0</v>
      </c>
      <c r="AN114" s="100">
        <v>15</v>
      </c>
      <c r="AO114" s="100">
        <f>H114*0</f>
        <v>0</v>
      </c>
      <c r="AP114" s="100">
        <f>H114*(1-0)</f>
        <v>0</v>
      </c>
      <c r="AQ114" s="111" t="s">
        <v>7</v>
      </c>
      <c r="AV114" s="100">
        <f t="shared" si="102"/>
        <v>0</v>
      </c>
      <c r="AW114" s="100">
        <f t="shared" si="103"/>
        <v>0</v>
      </c>
      <c r="AX114" s="100">
        <f t="shared" si="104"/>
        <v>0</v>
      </c>
      <c r="AY114" s="110" t="s">
        <v>1698</v>
      </c>
      <c r="AZ114" s="110" t="s">
        <v>1730</v>
      </c>
      <c r="BA114" s="109" t="s">
        <v>1737</v>
      </c>
      <c r="BC114" s="100">
        <f t="shared" si="105"/>
        <v>0</v>
      </c>
      <c r="BD114" s="100">
        <f t="shared" si="106"/>
        <v>0</v>
      </c>
      <c r="BE114" s="100">
        <v>0</v>
      </c>
      <c r="BF114" s="100">
        <f>114</f>
        <v>114</v>
      </c>
      <c r="BH114" s="108">
        <f t="shared" si="107"/>
        <v>0</v>
      </c>
      <c r="BI114" s="108">
        <f t="shared" si="108"/>
        <v>0</v>
      </c>
      <c r="BJ114" s="108">
        <f t="shared" si="109"/>
        <v>0</v>
      </c>
    </row>
    <row r="115" spans="1:62" x14ac:dyDescent="0.2">
      <c r="A115" s="117" t="s">
        <v>85</v>
      </c>
      <c r="B115" s="117" t="s">
        <v>640</v>
      </c>
      <c r="C115" s="304" t="s">
        <v>1146</v>
      </c>
      <c r="D115" s="305"/>
      <c r="E115" s="305"/>
      <c r="F115" s="117" t="s">
        <v>1649</v>
      </c>
      <c r="G115" s="116">
        <v>20</v>
      </c>
      <c r="H115" s="159"/>
      <c r="I115" s="108">
        <f t="shared" si="88"/>
        <v>0</v>
      </c>
      <c r="J115" s="108">
        <f t="shared" si="89"/>
        <v>0</v>
      </c>
      <c r="K115" s="108">
        <f t="shared" si="90"/>
        <v>0</v>
      </c>
      <c r="L115" s="111" t="s">
        <v>1671</v>
      </c>
      <c r="Z115" s="100">
        <f t="shared" si="91"/>
        <v>0</v>
      </c>
      <c r="AB115" s="100">
        <f t="shared" si="92"/>
        <v>0</v>
      </c>
      <c r="AC115" s="100">
        <f t="shared" si="93"/>
        <v>0</v>
      </c>
      <c r="AD115" s="100">
        <f t="shared" si="94"/>
        <v>0</v>
      </c>
      <c r="AE115" s="100">
        <f t="shared" si="95"/>
        <v>0</v>
      </c>
      <c r="AF115" s="100">
        <f t="shared" si="96"/>
        <v>0</v>
      </c>
      <c r="AG115" s="100">
        <f t="shared" si="97"/>
        <v>0</v>
      </c>
      <c r="AH115" s="100">
        <f t="shared" si="98"/>
        <v>0</v>
      </c>
      <c r="AI115" s="109"/>
      <c r="AJ115" s="108">
        <f t="shared" si="99"/>
        <v>0</v>
      </c>
      <c r="AK115" s="108">
        <f t="shared" si="100"/>
        <v>0</v>
      </c>
      <c r="AL115" s="108">
        <f t="shared" si="101"/>
        <v>0</v>
      </c>
      <c r="AN115" s="100">
        <v>15</v>
      </c>
      <c r="AO115" s="100">
        <f>H115*0</f>
        <v>0</v>
      </c>
      <c r="AP115" s="100">
        <f>H115*(1-0)</f>
        <v>0</v>
      </c>
      <c r="AQ115" s="111" t="s">
        <v>7</v>
      </c>
      <c r="AV115" s="100">
        <f t="shared" si="102"/>
        <v>0</v>
      </c>
      <c r="AW115" s="100">
        <f t="shared" si="103"/>
        <v>0</v>
      </c>
      <c r="AX115" s="100">
        <f t="shared" si="104"/>
        <v>0</v>
      </c>
      <c r="AY115" s="110" t="s">
        <v>1698</v>
      </c>
      <c r="AZ115" s="110" t="s">
        <v>1730</v>
      </c>
      <c r="BA115" s="109" t="s">
        <v>1737</v>
      </c>
      <c r="BC115" s="100">
        <f t="shared" si="105"/>
        <v>0</v>
      </c>
      <c r="BD115" s="100">
        <f t="shared" si="106"/>
        <v>0</v>
      </c>
      <c r="BE115" s="100">
        <v>0</v>
      </c>
      <c r="BF115" s="100">
        <f>115</f>
        <v>115</v>
      </c>
      <c r="BH115" s="108">
        <f t="shared" si="107"/>
        <v>0</v>
      </c>
      <c r="BI115" s="108">
        <f t="shared" si="108"/>
        <v>0</v>
      </c>
      <c r="BJ115" s="108">
        <f t="shared" si="109"/>
        <v>0</v>
      </c>
    </row>
    <row r="116" spans="1:62" x14ac:dyDescent="0.2">
      <c r="A116" s="119"/>
      <c r="B116" s="120" t="s">
        <v>101</v>
      </c>
      <c r="C116" s="306" t="s">
        <v>1147</v>
      </c>
      <c r="D116" s="307"/>
      <c r="E116" s="307"/>
      <c r="F116" s="119" t="s">
        <v>6</v>
      </c>
      <c r="G116" s="119" t="s">
        <v>6</v>
      </c>
      <c r="H116" s="119" t="s">
        <v>6</v>
      </c>
      <c r="I116" s="118">
        <f>SUM(I117:I125)</f>
        <v>0</v>
      </c>
      <c r="J116" s="118">
        <f>SUM(J117:J125)</f>
        <v>0</v>
      </c>
      <c r="K116" s="118">
        <f>SUM(K117:K125)</f>
        <v>0</v>
      </c>
      <c r="L116" s="109"/>
      <c r="AI116" s="109"/>
      <c r="AS116" s="118">
        <f>SUM(AJ117:AJ125)</f>
        <v>0</v>
      </c>
      <c r="AT116" s="118">
        <f>SUM(AK117:AK125)</f>
        <v>0</v>
      </c>
      <c r="AU116" s="118">
        <f>SUM(AL117:AL125)</f>
        <v>0</v>
      </c>
    </row>
    <row r="117" spans="1:62" x14ac:dyDescent="0.2">
      <c r="A117" s="117" t="s">
        <v>86</v>
      </c>
      <c r="B117" s="117" t="s">
        <v>641</v>
      </c>
      <c r="C117" s="304" t="s">
        <v>1148</v>
      </c>
      <c r="D117" s="305"/>
      <c r="E117" s="305"/>
      <c r="F117" s="117" t="s">
        <v>1645</v>
      </c>
      <c r="G117" s="116">
        <v>85.9</v>
      </c>
      <c r="H117" s="159"/>
      <c r="I117" s="108">
        <f t="shared" ref="I117:I125" si="110">G117*AO117</f>
        <v>0</v>
      </c>
      <c r="J117" s="108">
        <f t="shared" ref="J117:J125" si="111">G117*AP117</f>
        <v>0</v>
      </c>
      <c r="K117" s="108">
        <f t="shared" ref="K117:K125" si="112">G117*H117</f>
        <v>0</v>
      </c>
      <c r="L117" s="111" t="s">
        <v>1671</v>
      </c>
      <c r="Z117" s="100">
        <f t="shared" ref="Z117:Z125" si="113">IF(AQ117="5",BJ117,0)</f>
        <v>0</v>
      </c>
      <c r="AB117" s="100">
        <f t="shared" ref="AB117:AB125" si="114">IF(AQ117="1",BH117,0)</f>
        <v>0</v>
      </c>
      <c r="AC117" s="100">
        <f t="shared" ref="AC117:AC125" si="115">IF(AQ117="1",BI117,0)</f>
        <v>0</v>
      </c>
      <c r="AD117" s="100">
        <f t="shared" ref="AD117:AD125" si="116">IF(AQ117="7",BH117,0)</f>
        <v>0</v>
      </c>
      <c r="AE117" s="100">
        <f t="shared" ref="AE117:AE125" si="117">IF(AQ117="7",BI117,0)</f>
        <v>0</v>
      </c>
      <c r="AF117" s="100">
        <f t="shared" ref="AF117:AF125" si="118">IF(AQ117="2",BH117,0)</f>
        <v>0</v>
      </c>
      <c r="AG117" s="100">
        <f t="shared" ref="AG117:AG125" si="119">IF(AQ117="2",BI117,0)</f>
        <v>0</v>
      </c>
      <c r="AH117" s="100">
        <f t="shared" ref="AH117:AH125" si="120">IF(AQ117="0",BJ117,0)</f>
        <v>0</v>
      </c>
      <c r="AI117" s="109"/>
      <c r="AJ117" s="108">
        <f t="shared" ref="AJ117:AJ125" si="121">IF(AN117=0,K117,0)</f>
        <v>0</v>
      </c>
      <c r="AK117" s="108">
        <f t="shared" ref="AK117:AK125" si="122">IF(AN117=15,K117,0)</f>
        <v>0</v>
      </c>
      <c r="AL117" s="108">
        <f t="shared" ref="AL117:AL125" si="123">IF(AN117=21,K117,0)</f>
        <v>0</v>
      </c>
      <c r="AN117" s="100">
        <v>15</v>
      </c>
      <c r="AO117" s="100">
        <f>H117*0.0189490177885118</f>
        <v>0</v>
      </c>
      <c r="AP117" s="100">
        <f>H117*(1-0.0189490177885118)</f>
        <v>0</v>
      </c>
      <c r="AQ117" s="111" t="s">
        <v>7</v>
      </c>
      <c r="AV117" s="100">
        <f t="shared" ref="AV117:AV125" si="124">AW117+AX117</f>
        <v>0</v>
      </c>
      <c r="AW117" s="100">
        <f t="shared" ref="AW117:AW125" si="125">G117*AO117</f>
        <v>0</v>
      </c>
      <c r="AX117" s="100">
        <f t="shared" ref="AX117:AX125" si="126">G117*AP117</f>
        <v>0</v>
      </c>
      <c r="AY117" s="110" t="s">
        <v>1699</v>
      </c>
      <c r="AZ117" s="110" t="s">
        <v>1730</v>
      </c>
      <c r="BA117" s="109" t="s">
        <v>1737</v>
      </c>
      <c r="BC117" s="100">
        <f t="shared" ref="BC117:BC125" si="127">AW117+AX117</f>
        <v>0</v>
      </c>
      <c r="BD117" s="100">
        <f t="shared" ref="BD117:BD125" si="128">H117/(100-BE117)*100</f>
        <v>0</v>
      </c>
      <c r="BE117" s="100">
        <v>0</v>
      </c>
      <c r="BF117" s="100">
        <f>117</f>
        <v>117</v>
      </c>
      <c r="BH117" s="108">
        <f t="shared" ref="BH117:BH125" si="129">G117*AO117</f>
        <v>0</v>
      </c>
      <c r="BI117" s="108">
        <f t="shared" ref="BI117:BI125" si="130">G117*AP117</f>
        <v>0</v>
      </c>
      <c r="BJ117" s="108">
        <f t="shared" ref="BJ117:BJ125" si="131">G117*H117</f>
        <v>0</v>
      </c>
    </row>
    <row r="118" spans="1:62" x14ac:dyDescent="0.2">
      <c r="A118" s="117" t="s">
        <v>87</v>
      </c>
      <c r="B118" s="117" t="s">
        <v>642</v>
      </c>
      <c r="C118" s="304" t="s">
        <v>1149</v>
      </c>
      <c r="D118" s="305"/>
      <c r="E118" s="305"/>
      <c r="F118" s="117" t="s">
        <v>1645</v>
      </c>
      <c r="G118" s="116">
        <v>11.925000000000001</v>
      </c>
      <c r="H118" s="159"/>
      <c r="I118" s="108">
        <f t="shared" si="110"/>
        <v>0</v>
      </c>
      <c r="J118" s="108">
        <f t="shared" si="111"/>
        <v>0</v>
      </c>
      <c r="K118" s="108">
        <f t="shared" si="112"/>
        <v>0</v>
      </c>
      <c r="L118" s="111" t="s">
        <v>1671</v>
      </c>
      <c r="Z118" s="100">
        <f t="shared" si="113"/>
        <v>0</v>
      </c>
      <c r="AB118" s="100">
        <f t="shared" si="114"/>
        <v>0</v>
      </c>
      <c r="AC118" s="100">
        <f t="shared" si="115"/>
        <v>0</v>
      </c>
      <c r="AD118" s="100">
        <f t="shared" si="116"/>
        <v>0</v>
      </c>
      <c r="AE118" s="100">
        <f t="shared" si="117"/>
        <v>0</v>
      </c>
      <c r="AF118" s="100">
        <f t="shared" si="118"/>
        <v>0</v>
      </c>
      <c r="AG118" s="100">
        <f t="shared" si="119"/>
        <v>0</v>
      </c>
      <c r="AH118" s="100">
        <f t="shared" si="120"/>
        <v>0</v>
      </c>
      <c r="AI118" s="109"/>
      <c r="AJ118" s="108">
        <f t="shared" si="121"/>
        <v>0</v>
      </c>
      <c r="AK118" s="108">
        <f t="shared" si="122"/>
        <v>0</v>
      </c>
      <c r="AL118" s="108">
        <f t="shared" si="123"/>
        <v>0</v>
      </c>
      <c r="AN118" s="100">
        <v>15</v>
      </c>
      <c r="AO118" s="100">
        <f>H118*0.0118672405634116</f>
        <v>0</v>
      </c>
      <c r="AP118" s="100">
        <f>H118*(1-0.0118672405634116)</f>
        <v>0</v>
      </c>
      <c r="AQ118" s="111" t="s">
        <v>7</v>
      </c>
      <c r="AV118" s="100">
        <f t="shared" si="124"/>
        <v>0</v>
      </c>
      <c r="AW118" s="100">
        <f t="shared" si="125"/>
        <v>0</v>
      </c>
      <c r="AX118" s="100">
        <f t="shared" si="126"/>
        <v>0</v>
      </c>
      <c r="AY118" s="110" t="s">
        <v>1699</v>
      </c>
      <c r="AZ118" s="110" t="s">
        <v>1730</v>
      </c>
      <c r="BA118" s="109" t="s">
        <v>1737</v>
      </c>
      <c r="BC118" s="100">
        <f t="shared" si="127"/>
        <v>0</v>
      </c>
      <c r="BD118" s="100">
        <f t="shared" si="128"/>
        <v>0</v>
      </c>
      <c r="BE118" s="100">
        <v>0</v>
      </c>
      <c r="BF118" s="100">
        <f>118</f>
        <v>118</v>
      </c>
      <c r="BH118" s="108">
        <f t="shared" si="129"/>
        <v>0</v>
      </c>
      <c r="BI118" s="108">
        <f t="shared" si="130"/>
        <v>0</v>
      </c>
      <c r="BJ118" s="108">
        <f t="shared" si="131"/>
        <v>0</v>
      </c>
    </row>
    <row r="119" spans="1:62" x14ac:dyDescent="0.2">
      <c r="A119" s="117" t="s">
        <v>88</v>
      </c>
      <c r="B119" s="117" t="s">
        <v>643</v>
      </c>
      <c r="C119" s="304" t="s">
        <v>1150</v>
      </c>
      <c r="D119" s="305"/>
      <c r="E119" s="305"/>
      <c r="F119" s="117" t="s">
        <v>1645</v>
      </c>
      <c r="G119" s="116">
        <v>345.786</v>
      </c>
      <c r="H119" s="159"/>
      <c r="I119" s="108">
        <f t="shared" si="110"/>
        <v>0</v>
      </c>
      <c r="J119" s="108">
        <f t="shared" si="111"/>
        <v>0</v>
      </c>
      <c r="K119" s="108">
        <f t="shared" si="112"/>
        <v>0</v>
      </c>
      <c r="L119" s="111" t="s">
        <v>1671</v>
      </c>
      <c r="Z119" s="100">
        <f t="shared" si="113"/>
        <v>0</v>
      </c>
      <c r="AB119" s="100">
        <f t="shared" si="114"/>
        <v>0</v>
      </c>
      <c r="AC119" s="100">
        <f t="shared" si="115"/>
        <v>0</v>
      </c>
      <c r="AD119" s="100">
        <f t="shared" si="116"/>
        <v>0</v>
      </c>
      <c r="AE119" s="100">
        <f t="shared" si="117"/>
        <v>0</v>
      </c>
      <c r="AF119" s="100">
        <f t="shared" si="118"/>
        <v>0</v>
      </c>
      <c r="AG119" s="100">
        <f t="shared" si="119"/>
        <v>0</v>
      </c>
      <c r="AH119" s="100">
        <f t="shared" si="120"/>
        <v>0</v>
      </c>
      <c r="AI119" s="109"/>
      <c r="AJ119" s="108">
        <f t="shared" si="121"/>
        <v>0</v>
      </c>
      <c r="AK119" s="108">
        <f t="shared" si="122"/>
        <v>0</v>
      </c>
      <c r="AL119" s="108">
        <f t="shared" si="123"/>
        <v>0</v>
      </c>
      <c r="AN119" s="100">
        <v>15</v>
      </c>
      <c r="AO119" s="100">
        <f>H119*0</f>
        <v>0</v>
      </c>
      <c r="AP119" s="100">
        <f>H119*(1-0)</f>
        <v>0</v>
      </c>
      <c r="AQ119" s="111" t="s">
        <v>7</v>
      </c>
      <c r="AV119" s="100">
        <f t="shared" si="124"/>
        <v>0</v>
      </c>
      <c r="AW119" s="100">
        <f t="shared" si="125"/>
        <v>0</v>
      </c>
      <c r="AX119" s="100">
        <f t="shared" si="126"/>
        <v>0</v>
      </c>
      <c r="AY119" s="110" t="s">
        <v>1699</v>
      </c>
      <c r="AZ119" s="110" t="s">
        <v>1730</v>
      </c>
      <c r="BA119" s="109" t="s">
        <v>1737</v>
      </c>
      <c r="BC119" s="100">
        <f t="shared" si="127"/>
        <v>0</v>
      </c>
      <c r="BD119" s="100">
        <f t="shared" si="128"/>
        <v>0</v>
      </c>
      <c r="BE119" s="100">
        <v>0</v>
      </c>
      <c r="BF119" s="100">
        <f>119</f>
        <v>119</v>
      </c>
      <c r="BH119" s="108">
        <f t="shared" si="129"/>
        <v>0</v>
      </c>
      <c r="BI119" s="108">
        <f t="shared" si="130"/>
        <v>0</v>
      </c>
      <c r="BJ119" s="108">
        <f t="shared" si="131"/>
        <v>0</v>
      </c>
    </row>
    <row r="120" spans="1:62" x14ac:dyDescent="0.2">
      <c r="A120" s="117" t="s">
        <v>89</v>
      </c>
      <c r="B120" s="117" t="s">
        <v>644</v>
      </c>
      <c r="C120" s="304" t="s">
        <v>1151</v>
      </c>
      <c r="D120" s="305"/>
      <c r="E120" s="305"/>
      <c r="F120" s="117" t="s">
        <v>1644</v>
      </c>
      <c r="G120" s="116">
        <v>1</v>
      </c>
      <c r="H120" s="159"/>
      <c r="I120" s="108">
        <f t="shared" si="110"/>
        <v>0</v>
      </c>
      <c r="J120" s="108">
        <f t="shared" si="111"/>
        <v>0</v>
      </c>
      <c r="K120" s="108">
        <f t="shared" si="112"/>
        <v>0</v>
      </c>
      <c r="L120" s="111" t="s">
        <v>1671</v>
      </c>
      <c r="Z120" s="100">
        <f t="shared" si="113"/>
        <v>0</v>
      </c>
      <c r="AB120" s="100">
        <f t="shared" si="114"/>
        <v>0</v>
      </c>
      <c r="AC120" s="100">
        <f t="shared" si="115"/>
        <v>0</v>
      </c>
      <c r="AD120" s="100">
        <f t="shared" si="116"/>
        <v>0</v>
      </c>
      <c r="AE120" s="100">
        <f t="shared" si="117"/>
        <v>0</v>
      </c>
      <c r="AF120" s="100">
        <f t="shared" si="118"/>
        <v>0</v>
      </c>
      <c r="AG120" s="100">
        <f t="shared" si="119"/>
        <v>0</v>
      </c>
      <c r="AH120" s="100">
        <f t="shared" si="120"/>
        <v>0</v>
      </c>
      <c r="AI120" s="109"/>
      <c r="AJ120" s="108">
        <f t="shared" si="121"/>
        <v>0</v>
      </c>
      <c r="AK120" s="108">
        <f t="shared" si="122"/>
        <v>0</v>
      </c>
      <c r="AL120" s="108">
        <f t="shared" si="123"/>
        <v>0</v>
      </c>
      <c r="AN120" s="100">
        <v>15</v>
      </c>
      <c r="AO120" s="100">
        <f>H120*0</f>
        <v>0</v>
      </c>
      <c r="AP120" s="100">
        <f>H120*(1-0)</f>
        <v>0</v>
      </c>
      <c r="AQ120" s="111" t="s">
        <v>7</v>
      </c>
      <c r="AV120" s="100">
        <f t="shared" si="124"/>
        <v>0</v>
      </c>
      <c r="AW120" s="100">
        <f t="shared" si="125"/>
        <v>0</v>
      </c>
      <c r="AX120" s="100">
        <f t="shared" si="126"/>
        <v>0</v>
      </c>
      <c r="AY120" s="110" t="s">
        <v>1699</v>
      </c>
      <c r="AZ120" s="110" t="s">
        <v>1730</v>
      </c>
      <c r="BA120" s="109" t="s">
        <v>1737</v>
      </c>
      <c r="BC120" s="100">
        <f t="shared" si="127"/>
        <v>0</v>
      </c>
      <c r="BD120" s="100">
        <f t="shared" si="128"/>
        <v>0</v>
      </c>
      <c r="BE120" s="100">
        <v>0</v>
      </c>
      <c r="BF120" s="100">
        <f>120</f>
        <v>120</v>
      </c>
      <c r="BH120" s="108">
        <f t="shared" si="129"/>
        <v>0</v>
      </c>
      <c r="BI120" s="108">
        <f t="shared" si="130"/>
        <v>0</v>
      </c>
      <c r="BJ120" s="108">
        <f t="shared" si="131"/>
        <v>0</v>
      </c>
    </row>
    <row r="121" spans="1:62" x14ac:dyDescent="0.2">
      <c r="A121" s="117" t="s">
        <v>90</v>
      </c>
      <c r="B121" s="117" t="s">
        <v>646</v>
      </c>
      <c r="C121" s="304" t="s">
        <v>1153</v>
      </c>
      <c r="D121" s="305"/>
      <c r="E121" s="305"/>
      <c r="F121" s="117" t="s">
        <v>1650</v>
      </c>
      <c r="G121" s="116">
        <v>150</v>
      </c>
      <c r="H121" s="159"/>
      <c r="I121" s="108">
        <f t="shared" si="110"/>
        <v>0</v>
      </c>
      <c r="J121" s="108">
        <f t="shared" si="111"/>
        <v>0</v>
      </c>
      <c r="K121" s="108">
        <f t="shared" si="112"/>
        <v>0</v>
      </c>
      <c r="L121" s="111" t="s">
        <v>1671</v>
      </c>
      <c r="Z121" s="100">
        <f t="shared" si="113"/>
        <v>0</v>
      </c>
      <c r="AB121" s="100">
        <f t="shared" si="114"/>
        <v>0</v>
      </c>
      <c r="AC121" s="100">
        <f t="shared" si="115"/>
        <v>0</v>
      </c>
      <c r="AD121" s="100">
        <f t="shared" si="116"/>
        <v>0</v>
      </c>
      <c r="AE121" s="100">
        <f t="shared" si="117"/>
        <v>0</v>
      </c>
      <c r="AF121" s="100">
        <f t="shared" si="118"/>
        <v>0</v>
      </c>
      <c r="AG121" s="100">
        <f t="shared" si="119"/>
        <v>0</v>
      </c>
      <c r="AH121" s="100">
        <f t="shared" si="120"/>
        <v>0</v>
      </c>
      <c r="AI121" s="109"/>
      <c r="AJ121" s="108">
        <f t="shared" si="121"/>
        <v>0</v>
      </c>
      <c r="AK121" s="108">
        <f t="shared" si="122"/>
        <v>0</v>
      </c>
      <c r="AL121" s="108">
        <f t="shared" si="123"/>
        <v>0</v>
      </c>
      <c r="AN121" s="100">
        <v>15</v>
      </c>
      <c r="AO121" s="100">
        <f>H121*0.412803738317757</f>
        <v>0</v>
      </c>
      <c r="AP121" s="100">
        <f>H121*(1-0.412803738317757)</f>
        <v>0</v>
      </c>
      <c r="AQ121" s="111" t="s">
        <v>7</v>
      </c>
      <c r="AV121" s="100">
        <f t="shared" si="124"/>
        <v>0</v>
      </c>
      <c r="AW121" s="100">
        <f t="shared" si="125"/>
        <v>0</v>
      </c>
      <c r="AX121" s="100">
        <f t="shared" si="126"/>
        <v>0</v>
      </c>
      <c r="AY121" s="110" t="s">
        <v>1699</v>
      </c>
      <c r="AZ121" s="110" t="s">
        <v>1730</v>
      </c>
      <c r="BA121" s="109" t="s">
        <v>1737</v>
      </c>
      <c r="BC121" s="100">
        <f t="shared" si="127"/>
        <v>0</v>
      </c>
      <c r="BD121" s="100">
        <f t="shared" si="128"/>
        <v>0</v>
      </c>
      <c r="BE121" s="100">
        <v>0</v>
      </c>
      <c r="BF121" s="100">
        <f>121</f>
        <v>121</v>
      </c>
      <c r="BH121" s="108">
        <f t="shared" si="129"/>
        <v>0</v>
      </c>
      <c r="BI121" s="108">
        <f t="shared" si="130"/>
        <v>0</v>
      </c>
      <c r="BJ121" s="108">
        <f t="shared" si="131"/>
        <v>0</v>
      </c>
    </row>
    <row r="122" spans="1:62" x14ac:dyDescent="0.2">
      <c r="A122" s="117" t="s">
        <v>91</v>
      </c>
      <c r="B122" s="117" t="s">
        <v>647</v>
      </c>
      <c r="C122" s="304" t="s">
        <v>1154</v>
      </c>
      <c r="D122" s="305"/>
      <c r="E122" s="305"/>
      <c r="F122" s="117" t="s">
        <v>1644</v>
      </c>
      <c r="G122" s="116">
        <v>6</v>
      </c>
      <c r="H122" s="159"/>
      <c r="I122" s="108">
        <f t="shared" si="110"/>
        <v>0</v>
      </c>
      <c r="J122" s="108">
        <f t="shared" si="111"/>
        <v>0</v>
      </c>
      <c r="K122" s="108">
        <f t="shared" si="112"/>
        <v>0</v>
      </c>
      <c r="L122" s="111" t="s">
        <v>1671</v>
      </c>
      <c r="Z122" s="100">
        <f t="shared" si="113"/>
        <v>0</v>
      </c>
      <c r="AB122" s="100">
        <f t="shared" si="114"/>
        <v>0</v>
      </c>
      <c r="AC122" s="100">
        <f t="shared" si="115"/>
        <v>0</v>
      </c>
      <c r="AD122" s="100">
        <f t="shared" si="116"/>
        <v>0</v>
      </c>
      <c r="AE122" s="100">
        <f t="shared" si="117"/>
        <v>0</v>
      </c>
      <c r="AF122" s="100">
        <f t="shared" si="118"/>
        <v>0</v>
      </c>
      <c r="AG122" s="100">
        <f t="shared" si="119"/>
        <v>0</v>
      </c>
      <c r="AH122" s="100">
        <f t="shared" si="120"/>
        <v>0</v>
      </c>
      <c r="AI122" s="109"/>
      <c r="AJ122" s="108">
        <f t="shared" si="121"/>
        <v>0</v>
      </c>
      <c r="AK122" s="108">
        <f t="shared" si="122"/>
        <v>0</v>
      </c>
      <c r="AL122" s="108">
        <f t="shared" si="123"/>
        <v>0</v>
      </c>
      <c r="AN122" s="100">
        <v>15</v>
      </c>
      <c r="AO122" s="100">
        <f>H122*0.35032967032967</f>
        <v>0</v>
      </c>
      <c r="AP122" s="100">
        <f>H122*(1-0.35032967032967)</f>
        <v>0</v>
      </c>
      <c r="AQ122" s="111" t="s">
        <v>7</v>
      </c>
      <c r="AV122" s="100">
        <f t="shared" si="124"/>
        <v>0</v>
      </c>
      <c r="AW122" s="100">
        <f t="shared" si="125"/>
        <v>0</v>
      </c>
      <c r="AX122" s="100">
        <f t="shared" si="126"/>
        <v>0</v>
      </c>
      <c r="AY122" s="110" t="s">
        <v>1699</v>
      </c>
      <c r="AZ122" s="110" t="s">
        <v>1730</v>
      </c>
      <c r="BA122" s="109" t="s">
        <v>1737</v>
      </c>
      <c r="BC122" s="100">
        <f t="shared" si="127"/>
        <v>0</v>
      </c>
      <c r="BD122" s="100">
        <f t="shared" si="128"/>
        <v>0</v>
      </c>
      <c r="BE122" s="100">
        <v>0</v>
      </c>
      <c r="BF122" s="100">
        <f>122</f>
        <v>122</v>
      </c>
      <c r="BH122" s="108">
        <f t="shared" si="129"/>
        <v>0</v>
      </c>
      <c r="BI122" s="108">
        <f t="shared" si="130"/>
        <v>0</v>
      </c>
      <c r="BJ122" s="108">
        <f t="shared" si="131"/>
        <v>0</v>
      </c>
    </row>
    <row r="123" spans="1:62" x14ac:dyDescent="0.2">
      <c r="A123" s="117" t="s">
        <v>92</v>
      </c>
      <c r="B123" s="117" t="s">
        <v>648</v>
      </c>
      <c r="C123" s="304" t="s">
        <v>1155</v>
      </c>
      <c r="D123" s="305"/>
      <c r="E123" s="305"/>
      <c r="F123" s="117" t="s">
        <v>1644</v>
      </c>
      <c r="G123" s="116">
        <v>1</v>
      </c>
      <c r="H123" s="159"/>
      <c r="I123" s="108">
        <f t="shared" si="110"/>
        <v>0</v>
      </c>
      <c r="J123" s="108">
        <f t="shared" si="111"/>
        <v>0</v>
      </c>
      <c r="K123" s="108">
        <f t="shared" si="112"/>
        <v>0</v>
      </c>
      <c r="L123" s="111" t="s">
        <v>1671</v>
      </c>
      <c r="Z123" s="100">
        <f t="shared" si="113"/>
        <v>0</v>
      </c>
      <c r="AB123" s="100">
        <f t="shared" si="114"/>
        <v>0</v>
      </c>
      <c r="AC123" s="100">
        <f t="shared" si="115"/>
        <v>0</v>
      </c>
      <c r="AD123" s="100">
        <f t="shared" si="116"/>
        <v>0</v>
      </c>
      <c r="AE123" s="100">
        <f t="shared" si="117"/>
        <v>0</v>
      </c>
      <c r="AF123" s="100">
        <f t="shared" si="118"/>
        <v>0</v>
      </c>
      <c r="AG123" s="100">
        <f t="shared" si="119"/>
        <v>0</v>
      </c>
      <c r="AH123" s="100">
        <f t="shared" si="120"/>
        <v>0</v>
      </c>
      <c r="AI123" s="109"/>
      <c r="AJ123" s="108">
        <f t="shared" si="121"/>
        <v>0</v>
      </c>
      <c r="AK123" s="108">
        <f t="shared" si="122"/>
        <v>0</v>
      </c>
      <c r="AL123" s="108">
        <f t="shared" si="123"/>
        <v>0</v>
      </c>
      <c r="AN123" s="100">
        <v>15</v>
      </c>
      <c r="AO123" s="100">
        <f>H123*0.90816</f>
        <v>0</v>
      </c>
      <c r="AP123" s="100">
        <f>H123*(1-0.90816)</f>
        <v>0</v>
      </c>
      <c r="AQ123" s="111" t="s">
        <v>7</v>
      </c>
      <c r="AV123" s="100">
        <f t="shared" si="124"/>
        <v>0</v>
      </c>
      <c r="AW123" s="100">
        <f t="shared" si="125"/>
        <v>0</v>
      </c>
      <c r="AX123" s="100">
        <f t="shared" si="126"/>
        <v>0</v>
      </c>
      <c r="AY123" s="110" t="s">
        <v>1699</v>
      </c>
      <c r="AZ123" s="110" t="s">
        <v>1730</v>
      </c>
      <c r="BA123" s="109" t="s">
        <v>1737</v>
      </c>
      <c r="BC123" s="100">
        <f t="shared" si="127"/>
        <v>0</v>
      </c>
      <c r="BD123" s="100">
        <f t="shared" si="128"/>
        <v>0</v>
      </c>
      <c r="BE123" s="100">
        <v>0</v>
      </c>
      <c r="BF123" s="100">
        <f>123</f>
        <v>123</v>
      </c>
      <c r="BH123" s="108">
        <f t="shared" si="129"/>
        <v>0</v>
      </c>
      <c r="BI123" s="108">
        <f t="shared" si="130"/>
        <v>0</v>
      </c>
      <c r="BJ123" s="108">
        <f t="shared" si="131"/>
        <v>0</v>
      </c>
    </row>
    <row r="124" spans="1:62" x14ac:dyDescent="0.2">
      <c r="A124" s="117" t="s">
        <v>93</v>
      </c>
      <c r="B124" s="117" t="s">
        <v>649</v>
      </c>
      <c r="C124" s="304" t="s">
        <v>1156</v>
      </c>
      <c r="D124" s="305"/>
      <c r="E124" s="305"/>
      <c r="F124" s="117" t="s">
        <v>1644</v>
      </c>
      <c r="G124" s="116">
        <v>1</v>
      </c>
      <c r="H124" s="159"/>
      <c r="I124" s="108">
        <f t="shared" si="110"/>
        <v>0</v>
      </c>
      <c r="J124" s="108">
        <f t="shared" si="111"/>
        <v>0</v>
      </c>
      <c r="K124" s="108">
        <f t="shared" si="112"/>
        <v>0</v>
      </c>
      <c r="L124" s="111" t="s">
        <v>1671</v>
      </c>
      <c r="Z124" s="100">
        <f t="shared" si="113"/>
        <v>0</v>
      </c>
      <c r="AB124" s="100">
        <f t="shared" si="114"/>
        <v>0</v>
      </c>
      <c r="AC124" s="100">
        <f t="shared" si="115"/>
        <v>0</v>
      </c>
      <c r="AD124" s="100">
        <f t="shared" si="116"/>
        <v>0</v>
      </c>
      <c r="AE124" s="100">
        <f t="shared" si="117"/>
        <v>0</v>
      </c>
      <c r="AF124" s="100">
        <f t="shared" si="118"/>
        <v>0</v>
      </c>
      <c r="AG124" s="100">
        <f t="shared" si="119"/>
        <v>0</v>
      </c>
      <c r="AH124" s="100">
        <f t="shared" si="120"/>
        <v>0</v>
      </c>
      <c r="AI124" s="109"/>
      <c r="AJ124" s="108">
        <f t="shared" si="121"/>
        <v>0</v>
      </c>
      <c r="AK124" s="108">
        <f t="shared" si="122"/>
        <v>0</v>
      </c>
      <c r="AL124" s="108">
        <f t="shared" si="123"/>
        <v>0</v>
      </c>
      <c r="AN124" s="100">
        <v>15</v>
      </c>
      <c r="AO124" s="100">
        <f>H124*0.908156</f>
        <v>0</v>
      </c>
      <c r="AP124" s="100">
        <f>H124*(1-0.908156)</f>
        <v>0</v>
      </c>
      <c r="AQ124" s="111" t="s">
        <v>7</v>
      </c>
      <c r="AV124" s="100">
        <f t="shared" si="124"/>
        <v>0</v>
      </c>
      <c r="AW124" s="100">
        <f t="shared" si="125"/>
        <v>0</v>
      </c>
      <c r="AX124" s="100">
        <f t="shared" si="126"/>
        <v>0</v>
      </c>
      <c r="AY124" s="110" t="s">
        <v>1699</v>
      </c>
      <c r="AZ124" s="110" t="s">
        <v>1730</v>
      </c>
      <c r="BA124" s="109" t="s">
        <v>1737</v>
      </c>
      <c r="BC124" s="100">
        <f t="shared" si="127"/>
        <v>0</v>
      </c>
      <c r="BD124" s="100">
        <f t="shared" si="128"/>
        <v>0</v>
      </c>
      <c r="BE124" s="100">
        <v>0</v>
      </c>
      <c r="BF124" s="100">
        <f>124</f>
        <v>124</v>
      </c>
      <c r="BH124" s="108">
        <f t="shared" si="129"/>
        <v>0</v>
      </c>
      <c r="BI124" s="108">
        <f t="shared" si="130"/>
        <v>0</v>
      </c>
      <c r="BJ124" s="108">
        <f t="shared" si="131"/>
        <v>0</v>
      </c>
    </row>
    <row r="125" spans="1:62" x14ac:dyDescent="0.2">
      <c r="A125" s="117" t="s">
        <v>94</v>
      </c>
      <c r="B125" s="117" t="s">
        <v>650</v>
      </c>
      <c r="C125" s="304" t="s">
        <v>1157</v>
      </c>
      <c r="D125" s="305"/>
      <c r="E125" s="305"/>
      <c r="F125" s="117" t="s">
        <v>1644</v>
      </c>
      <c r="G125" s="116">
        <v>1</v>
      </c>
      <c r="H125" s="159"/>
      <c r="I125" s="108">
        <f t="shared" si="110"/>
        <v>0</v>
      </c>
      <c r="J125" s="108">
        <f t="shared" si="111"/>
        <v>0</v>
      </c>
      <c r="K125" s="108">
        <f t="shared" si="112"/>
        <v>0</v>
      </c>
      <c r="L125" s="111" t="s">
        <v>1671</v>
      </c>
      <c r="Z125" s="100">
        <f t="shared" si="113"/>
        <v>0</v>
      </c>
      <c r="AB125" s="100">
        <f t="shared" si="114"/>
        <v>0</v>
      </c>
      <c r="AC125" s="100">
        <f t="shared" si="115"/>
        <v>0</v>
      </c>
      <c r="AD125" s="100">
        <f t="shared" si="116"/>
        <v>0</v>
      </c>
      <c r="AE125" s="100">
        <f t="shared" si="117"/>
        <v>0</v>
      </c>
      <c r="AF125" s="100">
        <f t="shared" si="118"/>
        <v>0</v>
      </c>
      <c r="AG125" s="100">
        <f t="shared" si="119"/>
        <v>0</v>
      </c>
      <c r="AH125" s="100">
        <f t="shared" si="120"/>
        <v>0</v>
      </c>
      <c r="AI125" s="109"/>
      <c r="AJ125" s="108">
        <f t="shared" si="121"/>
        <v>0</v>
      </c>
      <c r="AK125" s="108">
        <f t="shared" si="122"/>
        <v>0</v>
      </c>
      <c r="AL125" s="108">
        <f t="shared" si="123"/>
        <v>0</v>
      </c>
      <c r="AN125" s="100">
        <v>15</v>
      </c>
      <c r="AO125" s="100">
        <f>H125*0.90816</f>
        <v>0</v>
      </c>
      <c r="AP125" s="100">
        <f>H125*(1-0.90816)</f>
        <v>0</v>
      </c>
      <c r="AQ125" s="111" t="s">
        <v>7</v>
      </c>
      <c r="AV125" s="100">
        <f t="shared" si="124"/>
        <v>0</v>
      </c>
      <c r="AW125" s="100">
        <f t="shared" si="125"/>
        <v>0</v>
      </c>
      <c r="AX125" s="100">
        <f t="shared" si="126"/>
        <v>0</v>
      </c>
      <c r="AY125" s="110" t="s">
        <v>1699</v>
      </c>
      <c r="AZ125" s="110" t="s">
        <v>1730</v>
      </c>
      <c r="BA125" s="109" t="s">
        <v>1737</v>
      </c>
      <c r="BC125" s="100">
        <f t="shared" si="127"/>
        <v>0</v>
      </c>
      <c r="BD125" s="100">
        <f t="shared" si="128"/>
        <v>0</v>
      </c>
      <c r="BE125" s="100">
        <v>0</v>
      </c>
      <c r="BF125" s="100">
        <f>125</f>
        <v>125</v>
      </c>
      <c r="BH125" s="108">
        <f t="shared" si="129"/>
        <v>0</v>
      </c>
      <c r="BI125" s="108">
        <f t="shared" si="130"/>
        <v>0</v>
      </c>
      <c r="BJ125" s="108">
        <f t="shared" si="131"/>
        <v>0</v>
      </c>
    </row>
    <row r="126" spans="1:62" x14ac:dyDescent="0.2">
      <c r="A126" s="119"/>
      <c r="B126" s="120" t="s">
        <v>102</v>
      </c>
      <c r="C126" s="306" t="s">
        <v>1158</v>
      </c>
      <c r="D126" s="307"/>
      <c r="E126" s="307"/>
      <c r="F126" s="119" t="s">
        <v>6</v>
      </c>
      <c r="G126" s="119" t="s">
        <v>6</v>
      </c>
      <c r="H126" s="119" t="s">
        <v>6</v>
      </c>
      <c r="I126" s="118">
        <f>SUM(I127:I142)</f>
        <v>0</v>
      </c>
      <c r="J126" s="118">
        <f>SUM(J127:J142)</f>
        <v>0</v>
      </c>
      <c r="K126" s="118">
        <f>SUM(K127:K142)</f>
        <v>0</v>
      </c>
      <c r="L126" s="109"/>
      <c r="AI126" s="109"/>
      <c r="AS126" s="118">
        <f>SUM(AJ127:AJ142)</f>
        <v>0</v>
      </c>
      <c r="AT126" s="118">
        <f>SUM(AK127:AK142)</f>
        <v>0</v>
      </c>
      <c r="AU126" s="118">
        <f>SUM(AL127:AL142)</f>
        <v>0</v>
      </c>
    </row>
    <row r="127" spans="1:62" x14ac:dyDescent="0.2">
      <c r="A127" s="117" t="s">
        <v>95</v>
      </c>
      <c r="B127" s="117" t="s">
        <v>651</v>
      </c>
      <c r="C127" s="304" t="s">
        <v>1159</v>
      </c>
      <c r="D127" s="305"/>
      <c r="E127" s="305"/>
      <c r="F127" s="117" t="s">
        <v>1645</v>
      </c>
      <c r="G127" s="116">
        <v>108.31100000000001</v>
      </c>
      <c r="H127" s="159"/>
      <c r="I127" s="108">
        <f t="shared" ref="I127:I142" si="132">G127*AO127</f>
        <v>0</v>
      </c>
      <c r="J127" s="108">
        <f t="shared" ref="J127:J142" si="133">G127*AP127</f>
        <v>0</v>
      </c>
      <c r="K127" s="108">
        <f t="shared" ref="K127:K142" si="134">G127*H127</f>
        <v>0</v>
      </c>
      <c r="L127" s="111" t="s">
        <v>1671</v>
      </c>
      <c r="Z127" s="100">
        <f t="shared" ref="Z127:Z142" si="135">IF(AQ127="5",BJ127,0)</f>
        <v>0</v>
      </c>
      <c r="AB127" s="100">
        <f t="shared" ref="AB127:AB142" si="136">IF(AQ127="1",BH127,0)</f>
        <v>0</v>
      </c>
      <c r="AC127" s="100">
        <f t="shared" ref="AC127:AC142" si="137">IF(AQ127="1",BI127,0)</f>
        <v>0</v>
      </c>
      <c r="AD127" s="100">
        <f t="shared" ref="AD127:AD142" si="138">IF(AQ127="7",BH127,0)</f>
        <v>0</v>
      </c>
      <c r="AE127" s="100">
        <f t="shared" ref="AE127:AE142" si="139">IF(AQ127="7",BI127,0)</f>
        <v>0</v>
      </c>
      <c r="AF127" s="100">
        <f t="shared" ref="AF127:AF142" si="140">IF(AQ127="2",BH127,0)</f>
        <v>0</v>
      </c>
      <c r="AG127" s="100">
        <f t="shared" ref="AG127:AG142" si="141">IF(AQ127="2",BI127,0)</f>
        <v>0</v>
      </c>
      <c r="AH127" s="100">
        <f t="shared" ref="AH127:AH142" si="142">IF(AQ127="0",BJ127,0)</f>
        <v>0</v>
      </c>
      <c r="AI127" s="109"/>
      <c r="AJ127" s="108">
        <f t="shared" ref="AJ127:AJ142" si="143">IF(AN127=0,K127,0)</f>
        <v>0</v>
      </c>
      <c r="AK127" s="108">
        <f t="shared" ref="AK127:AK142" si="144">IF(AN127=15,K127,0)</f>
        <v>0</v>
      </c>
      <c r="AL127" s="108">
        <f t="shared" ref="AL127:AL142" si="145">IF(AN127=21,K127,0)</f>
        <v>0</v>
      </c>
      <c r="AN127" s="100">
        <v>15</v>
      </c>
      <c r="AO127" s="100">
        <f>H127*0</f>
        <v>0</v>
      </c>
      <c r="AP127" s="100">
        <f>H127*(1-0)</f>
        <v>0</v>
      </c>
      <c r="AQ127" s="111" t="s">
        <v>7</v>
      </c>
      <c r="AV127" s="100">
        <f t="shared" ref="AV127:AV142" si="146">AW127+AX127</f>
        <v>0</v>
      </c>
      <c r="AW127" s="100">
        <f t="shared" ref="AW127:AW142" si="147">G127*AO127</f>
        <v>0</v>
      </c>
      <c r="AX127" s="100">
        <f t="shared" ref="AX127:AX142" si="148">G127*AP127</f>
        <v>0</v>
      </c>
      <c r="AY127" s="110" t="s">
        <v>1700</v>
      </c>
      <c r="AZ127" s="110" t="s">
        <v>1730</v>
      </c>
      <c r="BA127" s="109" t="s">
        <v>1737</v>
      </c>
      <c r="BC127" s="100">
        <f t="shared" ref="BC127:BC142" si="149">AW127+AX127</f>
        <v>0</v>
      </c>
      <c r="BD127" s="100">
        <f t="shared" ref="BD127:BD142" si="150">H127/(100-BE127)*100</f>
        <v>0</v>
      </c>
      <c r="BE127" s="100">
        <v>0</v>
      </c>
      <c r="BF127" s="100">
        <f>127</f>
        <v>127</v>
      </c>
      <c r="BH127" s="108">
        <f t="shared" ref="BH127:BH142" si="151">G127*AO127</f>
        <v>0</v>
      </c>
      <c r="BI127" s="108">
        <f t="shared" ref="BI127:BI142" si="152">G127*AP127</f>
        <v>0</v>
      </c>
      <c r="BJ127" s="108">
        <f t="shared" ref="BJ127:BJ142" si="153">G127*H127</f>
        <v>0</v>
      </c>
    </row>
    <row r="128" spans="1:62" x14ac:dyDescent="0.2">
      <c r="A128" s="117" t="s">
        <v>96</v>
      </c>
      <c r="B128" s="117" t="s">
        <v>652</v>
      </c>
      <c r="C128" s="304" t="s">
        <v>1160</v>
      </c>
      <c r="D128" s="305"/>
      <c r="E128" s="305"/>
      <c r="F128" s="117" t="s">
        <v>1644</v>
      </c>
      <c r="G128" s="116">
        <v>6</v>
      </c>
      <c r="H128" s="159"/>
      <c r="I128" s="108">
        <f t="shared" si="132"/>
        <v>0</v>
      </c>
      <c r="J128" s="108">
        <f t="shared" si="133"/>
        <v>0</v>
      </c>
      <c r="K128" s="108">
        <f t="shared" si="134"/>
        <v>0</v>
      </c>
      <c r="L128" s="111" t="s">
        <v>1671</v>
      </c>
      <c r="Z128" s="100">
        <f t="shared" si="135"/>
        <v>0</v>
      </c>
      <c r="AB128" s="100">
        <f t="shared" si="136"/>
        <v>0</v>
      </c>
      <c r="AC128" s="100">
        <f t="shared" si="137"/>
        <v>0</v>
      </c>
      <c r="AD128" s="100">
        <f t="shared" si="138"/>
        <v>0</v>
      </c>
      <c r="AE128" s="100">
        <f t="shared" si="139"/>
        <v>0</v>
      </c>
      <c r="AF128" s="100">
        <f t="shared" si="140"/>
        <v>0</v>
      </c>
      <c r="AG128" s="100">
        <f t="shared" si="141"/>
        <v>0</v>
      </c>
      <c r="AH128" s="100">
        <f t="shared" si="142"/>
        <v>0</v>
      </c>
      <c r="AI128" s="109"/>
      <c r="AJ128" s="108">
        <f t="shared" si="143"/>
        <v>0</v>
      </c>
      <c r="AK128" s="108">
        <f t="shared" si="144"/>
        <v>0</v>
      </c>
      <c r="AL128" s="108">
        <f t="shared" si="145"/>
        <v>0</v>
      </c>
      <c r="AN128" s="100">
        <v>15</v>
      </c>
      <c r="AO128" s="100">
        <f>H128*0</f>
        <v>0</v>
      </c>
      <c r="AP128" s="100">
        <f>H128*(1-0)</f>
        <v>0</v>
      </c>
      <c r="AQ128" s="111" t="s">
        <v>7</v>
      </c>
      <c r="AV128" s="100">
        <f t="shared" si="146"/>
        <v>0</v>
      </c>
      <c r="AW128" s="100">
        <f t="shared" si="147"/>
        <v>0</v>
      </c>
      <c r="AX128" s="100">
        <f t="shared" si="148"/>
        <v>0</v>
      </c>
      <c r="AY128" s="110" t="s">
        <v>1700</v>
      </c>
      <c r="AZ128" s="110" t="s">
        <v>1730</v>
      </c>
      <c r="BA128" s="109" t="s">
        <v>1737</v>
      </c>
      <c r="BC128" s="100">
        <f t="shared" si="149"/>
        <v>0</v>
      </c>
      <c r="BD128" s="100">
        <f t="shared" si="150"/>
        <v>0</v>
      </c>
      <c r="BE128" s="100">
        <v>0</v>
      </c>
      <c r="BF128" s="100">
        <f>128</f>
        <v>128</v>
      </c>
      <c r="BH128" s="108">
        <f t="shared" si="151"/>
        <v>0</v>
      </c>
      <c r="BI128" s="108">
        <f t="shared" si="152"/>
        <v>0</v>
      </c>
      <c r="BJ128" s="108">
        <f t="shared" si="153"/>
        <v>0</v>
      </c>
    </row>
    <row r="129" spans="1:62" x14ac:dyDescent="0.2">
      <c r="A129" s="117" t="s">
        <v>97</v>
      </c>
      <c r="B129" s="117" t="s">
        <v>653</v>
      </c>
      <c r="C129" s="304" t="s">
        <v>1161</v>
      </c>
      <c r="D129" s="305"/>
      <c r="E129" s="305"/>
      <c r="F129" s="117" t="s">
        <v>1647</v>
      </c>
      <c r="G129" s="116">
        <v>0.12</v>
      </c>
      <c r="H129" s="159"/>
      <c r="I129" s="108">
        <f t="shared" si="132"/>
        <v>0</v>
      </c>
      <c r="J129" s="108">
        <f t="shared" si="133"/>
        <v>0</v>
      </c>
      <c r="K129" s="108">
        <f t="shared" si="134"/>
        <v>0</v>
      </c>
      <c r="L129" s="111" t="s">
        <v>1671</v>
      </c>
      <c r="Z129" s="100">
        <f t="shared" si="135"/>
        <v>0</v>
      </c>
      <c r="AB129" s="100">
        <f t="shared" si="136"/>
        <v>0</v>
      </c>
      <c r="AC129" s="100">
        <f t="shared" si="137"/>
        <v>0</v>
      </c>
      <c r="AD129" s="100">
        <f t="shared" si="138"/>
        <v>0</v>
      </c>
      <c r="AE129" s="100">
        <f t="shared" si="139"/>
        <v>0</v>
      </c>
      <c r="AF129" s="100">
        <f t="shared" si="140"/>
        <v>0</v>
      </c>
      <c r="AG129" s="100">
        <f t="shared" si="141"/>
        <v>0</v>
      </c>
      <c r="AH129" s="100">
        <f t="shared" si="142"/>
        <v>0</v>
      </c>
      <c r="AI129" s="109"/>
      <c r="AJ129" s="108">
        <f t="shared" si="143"/>
        <v>0</v>
      </c>
      <c r="AK129" s="108">
        <f t="shared" si="144"/>
        <v>0</v>
      </c>
      <c r="AL129" s="108">
        <f t="shared" si="145"/>
        <v>0</v>
      </c>
      <c r="AN129" s="100">
        <v>15</v>
      </c>
      <c r="AO129" s="100">
        <f>H129*0</f>
        <v>0</v>
      </c>
      <c r="AP129" s="100">
        <f>H129*(1-0)</f>
        <v>0</v>
      </c>
      <c r="AQ129" s="111" t="s">
        <v>7</v>
      </c>
      <c r="AV129" s="100">
        <f t="shared" si="146"/>
        <v>0</v>
      </c>
      <c r="AW129" s="100">
        <f t="shared" si="147"/>
        <v>0</v>
      </c>
      <c r="AX129" s="100">
        <f t="shared" si="148"/>
        <v>0</v>
      </c>
      <c r="AY129" s="110" t="s">
        <v>1700</v>
      </c>
      <c r="AZ129" s="110" t="s">
        <v>1730</v>
      </c>
      <c r="BA129" s="109" t="s">
        <v>1737</v>
      </c>
      <c r="BC129" s="100">
        <f t="shared" si="149"/>
        <v>0</v>
      </c>
      <c r="BD129" s="100">
        <f t="shared" si="150"/>
        <v>0</v>
      </c>
      <c r="BE129" s="100">
        <v>0</v>
      </c>
      <c r="BF129" s="100">
        <f>129</f>
        <v>129</v>
      </c>
      <c r="BH129" s="108">
        <f t="shared" si="151"/>
        <v>0</v>
      </c>
      <c r="BI129" s="108">
        <f t="shared" si="152"/>
        <v>0</v>
      </c>
      <c r="BJ129" s="108">
        <f t="shared" si="153"/>
        <v>0</v>
      </c>
    </row>
    <row r="130" spans="1:62" x14ac:dyDescent="0.2">
      <c r="A130" s="117" t="s">
        <v>98</v>
      </c>
      <c r="B130" s="117" t="s">
        <v>654</v>
      </c>
      <c r="C130" s="304" t="s">
        <v>1162</v>
      </c>
      <c r="D130" s="305"/>
      <c r="E130" s="305"/>
      <c r="F130" s="117" t="s">
        <v>1645</v>
      </c>
      <c r="G130" s="116">
        <v>108.31100000000001</v>
      </c>
      <c r="H130" s="159"/>
      <c r="I130" s="108">
        <f t="shared" si="132"/>
        <v>0</v>
      </c>
      <c r="J130" s="108">
        <f t="shared" si="133"/>
        <v>0</v>
      </c>
      <c r="K130" s="108">
        <f t="shared" si="134"/>
        <v>0</v>
      </c>
      <c r="L130" s="111" t="s">
        <v>1671</v>
      </c>
      <c r="Z130" s="100">
        <f t="shared" si="135"/>
        <v>0</v>
      </c>
      <c r="AB130" s="100">
        <f t="shared" si="136"/>
        <v>0</v>
      </c>
      <c r="AC130" s="100">
        <f t="shared" si="137"/>
        <v>0</v>
      </c>
      <c r="AD130" s="100">
        <f t="shared" si="138"/>
        <v>0</v>
      </c>
      <c r="AE130" s="100">
        <f t="shared" si="139"/>
        <v>0</v>
      </c>
      <c r="AF130" s="100">
        <f t="shared" si="140"/>
        <v>0</v>
      </c>
      <c r="AG130" s="100">
        <f t="shared" si="141"/>
        <v>0</v>
      </c>
      <c r="AH130" s="100">
        <f t="shared" si="142"/>
        <v>0</v>
      </c>
      <c r="AI130" s="109"/>
      <c r="AJ130" s="108">
        <f t="shared" si="143"/>
        <v>0</v>
      </c>
      <c r="AK130" s="108">
        <f t="shared" si="144"/>
        <v>0</v>
      </c>
      <c r="AL130" s="108">
        <f t="shared" si="145"/>
        <v>0</v>
      </c>
      <c r="AN130" s="100">
        <v>15</v>
      </c>
      <c r="AO130" s="100">
        <f>H130*0.0999481044274186</f>
        <v>0</v>
      </c>
      <c r="AP130" s="100">
        <f>H130*(1-0.0999481044274186)</f>
        <v>0</v>
      </c>
      <c r="AQ130" s="111" t="s">
        <v>7</v>
      </c>
      <c r="AV130" s="100">
        <f t="shared" si="146"/>
        <v>0</v>
      </c>
      <c r="AW130" s="100">
        <f t="shared" si="147"/>
        <v>0</v>
      </c>
      <c r="AX130" s="100">
        <f t="shared" si="148"/>
        <v>0</v>
      </c>
      <c r="AY130" s="110" t="s">
        <v>1700</v>
      </c>
      <c r="AZ130" s="110" t="s">
        <v>1730</v>
      </c>
      <c r="BA130" s="109" t="s">
        <v>1737</v>
      </c>
      <c r="BC130" s="100">
        <f t="shared" si="149"/>
        <v>0</v>
      </c>
      <c r="BD130" s="100">
        <f t="shared" si="150"/>
        <v>0</v>
      </c>
      <c r="BE130" s="100">
        <v>0</v>
      </c>
      <c r="BF130" s="100">
        <f>130</f>
        <v>130</v>
      </c>
      <c r="BH130" s="108">
        <f t="shared" si="151"/>
        <v>0</v>
      </c>
      <c r="BI130" s="108">
        <f t="shared" si="152"/>
        <v>0</v>
      </c>
      <c r="BJ130" s="108">
        <f t="shared" si="153"/>
        <v>0</v>
      </c>
    </row>
    <row r="131" spans="1:62" x14ac:dyDescent="0.2">
      <c r="A131" s="117" t="s">
        <v>99</v>
      </c>
      <c r="B131" s="117" t="s">
        <v>655</v>
      </c>
      <c r="C131" s="304" t="s">
        <v>1163</v>
      </c>
      <c r="D131" s="305"/>
      <c r="E131" s="305"/>
      <c r="F131" s="117" t="s">
        <v>1647</v>
      </c>
      <c r="G131" s="116">
        <v>1.1000000000000001</v>
      </c>
      <c r="H131" s="159"/>
      <c r="I131" s="108">
        <f t="shared" si="132"/>
        <v>0</v>
      </c>
      <c r="J131" s="108">
        <f t="shared" si="133"/>
        <v>0</v>
      </c>
      <c r="K131" s="108">
        <f t="shared" si="134"/>
        <v>0</v>
      </c>
      <c r="L131" s="111" t="s">
        <v>1671</v>
      </c>
      <c r="Z131" s="100">
        <f t="shared" si="135"/>
        <v>0</v>
      </c>
      <c r="AB131" s="100">
        <f t="shared" si="136"/>
        <v>0</v>
      </c>
      <c r="AC131" s="100">
        <f t="shared" si="137"/>
        <v>0</v>
      </c>
      <c r="AD131" s="100">
        <f t="shared" si="138"/>
        <v>0</v>
      </c>
      <c r="AE131" s="100">
        <f t="shared" si="139"/>
        <v>0</v>
      </c>
      <c r="AF131" s="100">
        <f t="shared" si="140"/>
        <v>0</v>
      </c>
      <c r="AG131" s="100">
        <f t="shared" si="141"/>
        <v>0</v>
      </c>
      <c r="AH131" s="100">
        <f t="shared" si="142"/>
        <v>0</v>
      </c>
      <c r="AI131" s="109"/>
      <c r="AJ131" s="108">
        <f t="shared" si="143"/>
        <v>0</v>
      </c>
      <c r="AK131" s="108">
        <f t="shared" si="144"/>
        <v>0</v>
      </c>
      <c r="AL131" s="108">
        <f t="shared" si="145"/>
        <v>0</v>
      </c>
      <c r="AN131" s="100">
        <v>15</v>
      </c>
      <c r="AO131" s="100">
        <f>H131*0.0363940520446097</f>
        <v>0</v>
      </c>
      <c r="AP131" s="100">
        <f>H131*(1-0.0363940520446097)</f>
        <v>0</v>
      </c>
      <c r="AQ131" s="111" t="s">
        <v>7</v>
      </c>
      <c r="AV131" s="100">
        <f t="shared" si="146"/>
        <v>0</v>
      </c>
      <c r="AW131" s="100">
        <f t="shared" si="147"/>
        <v>0</v>
      </c>
      <c r="AX131" s="100">
        <f t="shared" si="148"/>
        <v>0</v>
      </c>
      <c r="AY131" s="110" t="s">
        <v>1700</v>
      </c>
      <c r="AZ131" s="110" t="s">
        <v>1730</v>
      </c>
      <c r="BA131" s="109" t="s">
        <v>1737</v>
      </c>
      <c r="BC131" s="100">
        <f t="shared" si="149"/>
        <v>0</v>
      </c>
      <c r="BD131" s="100">
        <f t="shared" si="150"/>
        <v>0</v>
      </c>
      <c r="BE131" s="100">
        <v>0</v>
      </c>
      <c r="BF131" s="100">
        <f>131</f>
        <v>131</v>
      </c>
      <c r="BH131" s="108">
        <f t="shared" si="151"/>
        <v>0</v>
      </c>
      <c r="BI131" s="108">
        <f t="shared" si="152"/>
        <v>0</v>
      </c>
      <c r="BJ131" s="108">
        <f t="shared" si="153"/>
        <v>0</v>
      </c>
    </row>
    <row r="132" spans="1:62" x14ac:dyDescent="0.2">
      <c r="A132" s="117" t="s">
        <v>100</v>
      </c>
      <c r="B132" s="117" t="s">
        <v>657</v>
      </c>
      <c r="C132" s="304" t="s">
        <v>1165</v>
      </c>
      <c r="D132" s="305"/>
      <c r="E132" s="305"/>
      <c r="F132" s="117" t="s">
        <v>1647</v>
      </c>
      <c r="G132" s="116">
        <v>0.33800000000000002</v>
      </c>
      <c r="H132" s="159"/>
      <c r="I132" s="108">
        <f t="shared" si="132"/>
        <v>0</v>
      </c>
      <c r="J132" s="108">
        <f t="shared" si="133"/>
        <v>0</v>
      </c>
      <c r="K132" s="108">
        <f t="shared" si="134"/>
        <v>0</v>
      </c>
      <c r="L132" s="111" t="s">
        <v>1671</v>
      </c>
      <c r="Z132" s="100">
        <f t="shared" si="135"/>
        <v>0</v>
      </c>
      <c r="AB132" s="100">
        <f t="shared" si="136"/>
        <v>0</v>
      </c>
      <c r="AC132" s="100">
        <f t="shared" si="137"/>
        <v>0</v>
      </c>
      <c r="AD132" s="100">
        <f t="shared" si="138"/>
        <v>0</v>
      </c>
      <c r="AE132" s="100">
        <f t="shared" si="139"/>
        <v>0</v>
      </c>
      <c r="AF132" s="100">
        <f t="shared" si="140"/>
        <v>0</v>
      </c>
      <c r="AG132" s="100">
        <f t="shared" si="141"/>
        <v>0</v>
      </c>
      <c r="AH132" s="100">
        <f t="shared" si="142"/>
        <v>0</v>
      </c>
      <c r="AI132" s="109"/>
      <c r="AJ132" s="108">
        <f t="shared" si="143"/>
        <v>0</v>
      </c>
      <c r="AK132" s="108">
        <f t="shared" si="144"/>
        <v>0</v>
      </c>
      <c r="AL132" s="108">
        <f t="shared" si="145"/>
        <v>0</v>
      </c>
      <c r="AN132" s="100">
        <v>15</v>
      </c>
      <c r="AO132" s="100">
        <f>H132*0</f>
        <v>0</v>
      </c>
      <c r="AP132" s="100">
        <f>H132*(1-0)</f>
        <v>0</v>
      </c>
      <c r="AQ132" s="111" t="s">
        <v>7</v>
      </c>
      <c r="AV132" s="100">
        <f t="shared" si="146"/>
        <v>0</v>
      </c>
      <c r="AW132" s="100">
        <f t="shared" si="147"/>
        <v>0</v>
      </c>
      <c r="AX132" s="100">
        <f t="shared" si="148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49"/>
        <v>0</v>
      </c>
      <c r="BD132" s="100">
        <f t="shared" si="150"/>
        <v>0</v>
      </c>
      <c r="BE132" s="100">
        <v>0</v>
      </c>
      <c r="BF132" s="100">
        <f>132</f>
        <v>132</v>
      </c>
      <c r="BH132" s="108">
        <f t="shared" si="151"/>
        <v>0</v>
      </c>
      <c r="BI132" s="108">
        <f t="shared" si="152"/>
        <v>0</v>
      </c>
      <c r="BJ132" s="108">
        <f t="shared" si="153"/>
        <v>0</v>
      </c>
    </row>
    <row r="133" spans="1:62" x14ac:dyDescent="0.2">
      <c r="A133" s="117" t="s">
        <v>101</v>
      </c>
      <c r="B133" s="117" t="s">
        <v>658</v>
      </c>
      <c r="C133" s="304" t="s">
        <v>2488</v>
      </c>
      <c r="D133" s="305"/>
      <c r="E133" s="305"/>
      <c r="F133" s="117" t="s">
        <v>1645</v>
      </c>
      <c r="G133" s="116">
        <v>10.725</v>
      </c>
      <c r="H133" s="159"/>
      <c r="I133" s="108">
        <f t="shared" si="132"/>
        <v>0</v>
      </c>
      <c r="J133" s="108">
        <f t="shared" si="133"/>
        <v>0</v>
      </c>
      <c r="K133" s="108">
        <f t="shared" si="134"/>
        <v>0</v>
      </c>
      <c r="L133" s="111" t="s">
        <v>1671</v>
      </c>
      <c r="Z133" s="100">
        <f t="shared" si="135"/>
        <v>0</v>
      </c>
      <c r="AB133" s="100">
        <f t="shared" si="136"/>
        <v>0</v>
      </c>
      <c r="AC133" s="100">
        <f t="shared" si="137"/>
        <v>0</v>
      </c>
      <c r="AD133" s="100">
        <f t="shared" si="138"/>
        <v>0</v>
      </c>
      <c r="AE133" s="100">
        <f t="shared" si="139"/>
        <v>0</v>
      </c>
      <c r="AF133" s="100">
        <f t="shared" si="140"/>
        <v>0</v>
      </c>
      <c r="AG133" s="100">
        <f t="shared" si="141"/>
        <v>0</v>
      </c>
      <c r="AH133" s="100">
        <f t="shared" si="142"/>
        <v>0</v>
      </c>
      <c r="AI133" s="109"/>
      <c r="AJ133" s="108">
        <f t="shared" si="143"/>
        <v>0</v>
      </c>
      <c r="AK133" s="108">
        <f t="shared" si="144"/>
        <v>0</v>
      </c>
      <c r="AL133" s="108">
        <f t="shared" si="145"/>
        <v>0</v>
      </c>
      <c r="AN133" s="100">
        <v>15</v>
      </c>
      <c r="AO133" s="100">
        <f>H133*0</f>
        <v>0</v>
      </c>
      <c r="AP133" s="100">
        <f>H133*(1-0)</f>
        <v>0</v>
      </c>
      <c r="AQ133" s="111" t="s">
        <v>7</v>
      </c>
      <c r="AV133" s="100">
        <f t="shared" si="146"/>
        <v>0</v>
      </c>
      <c r="AW133" s="100">
        <f t="shared" si="147"/>
        <v>0</v>
      </c>
      <c r="AX133" s="100">
        <f t="shared" si="148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49"/>
        <v>0</v>
      </c>
      <c r="BD133" s="100">
        <f t="shared" si="150"/>
        <v>0</v>
      </c>
      <c r="BE133" s="100">
        <v>0</v>
      </c>
      <c r="BF133" s="100">
        <f>133</f>
        <v>133</v>
      </c>
      <c r="BH133" s="108">
        <f t="shared" si="151"/>
        <v>0</v>
      </c>
      <c r="BI133" s="108">
        <f t="shared" si="152"/>
        <v>0</v>
      </c>
      <c r="BJ133" s="108">
        <f t="shared" si="153"/>
        <v>0</v>
      </c>
    </row>
    <row r="134" spans="1:62" x14ac:dyDescent="0.2">
      <c r="A134" s="117" t="s">
        <v>102</v>
      </c>
      <c r="B134" s="117" t="s">
        <v>659</v>
      </c>
      <c r="C134" s="304" t="s">
        <v>2487</v>
      </c>
      <c r="D134" s="305"/>
      <c r="E134" s="305"/>
      <c r="F134" s="117" t="s">
        <v>1646</v>
      </c>
      <c r="G134" s="116">
        <v>17.7</v>
      </c>
      <c r="H134" s="159"/>
      <c r="I134" s="108">
        <f t="shared" si="132"/>
        <v>0</v>
      </c>
      <c r="J134" s="108">
        <f t="shared" si="133"/>
        <v>0</v>
      </c>
      <c r="K134" s="108">
        <f t="shared" si="134"/>
        <v>0</v>
      </c>
      <c r="L134" s="111" t="s">
        <v>1671</v>
      </c>
      <c r="Z134" s="100">
        <f t="shared" si="135"/>
        <v>0</v>
      </c>
      <c r="AB134" s="100">
        <f t="shared" si="136"/>
        <v>0</v>
      </c>
      <c r="AC134" s="100">
        <f t="shared" si="137"/>
        <v>0</v>
      </c>
      <c r="AD134" s="100">
        <f t="shared" si="138"/>
        <v>0</v>
      </c>
      <c r="AE134" s="100">
        <f t="shared" si="139"/>
        <v>0</v>
      </c>
      <c r="AF134" s="100">
        <f t="shared" si="140"/>
        <v>0</v>
      </c>
      <c r="AG134" s="100">
        <f t="shared" si="141"/>
        <v>0</v>
      </c>
      <c r="AH134" s="100">
        <f t="shared" si="142"/>
        <v>0</v>
      </c>
      <c r="AI134" s="109"/>
      <c r="AJ134" s="108">
        <f t="shared" si="143"/>
        <v>0</v>
      </c>
      <c r="AK134" s="108">
        <f t="shared" si="144"/>
        <v>0</v>
      </c>
      <c r="AL134" s="108">
        <f t="shared" si="145"/>
        <v>0</v>
      </c>
      <c r="AN134" s="100">
        <v>15</v>
      </c>
      <c r="AO134" s="100">
        <f>H134*0</f>
        <v>0</v>
      </c>
      <c r="AP134" s="100">
        <f>H134*(1-0)</f>
        <v>0</v>
      </c>
      <c r="AQ134" s="111" t="s">
        <v>7</v>
      </c>
      <c r="AV134" s="100">
        <f t="shared" si="146"/>
        <v>0</v>
      </c>
      <c r="AW134" s="100">
        <f t="shared" si="147"/>
        <v>0</v>
      </c>
      <c r="AX134" s="100">
        <f t="shared" si="148"/>
        <v>0</v>
      </c>
      <c r="AY134" s="110" t="s">
        <v>1700</v>
      </c>
      <c r="AZ134" s="110" t="s">
        <v>1730</v>
      </c>
      <c r="BA134" s="109" t="s">
        <v>1737</v>
      </c>
      <c r="BC134" s="100">
        <f t="shared" si="149"/>
        <v>0</v>
      </c>
      <c r="BD134" s="100">
        <f t="shared" si="150"/>
        <v>0</v>
      </c>
      <c r="BE134" s="100">
        <v>0</v>
      </c>
      <c r="BF134" s="100">
        <f>134</f>
        <v>134</v>
      </c>
      <c r="BH134" s="108">
        <f t="shared" si="151"/>
        <v>0</v>
      </c>
      <c r="BI134" s="108">
        <f t="shared" si="152"/>
        <v>0</v>
      </c>
      <c r="BJ134" s="108">
        <f t="shared" si="153"/>
        <v>0</v>
      </c>
    </row>
    <row r="135" spans="1:62" x14ac:dyDescent="0.2">
      <c r="A135" s="117" t="s">
        <v>103</v>
      </c>
      <c r="B135" s="117" t="s">
        <v>660</v>
      </c>
      <c r="C135" s="304" t="s">
        <v>2486</v>
      </c>
      <c r="D135" s="305"/>
      <c r="E135" s="305"/>
      <c r="F135" s="117" t="s">
        <v>1645</v>
      </c>
      <c r="G135" s="116">
        <v>10.725</v>
      </c>
      <c r="H135" s="159"/>
      <c r="I135" s="108">
        <f t="shared" si="132"/>
        <v>0</v>
      </c>
      <c r="J135" s="108">
        <f t="shared" si="133"/>
        <v>0</v>
      </c>
      <c r="K135" s="108">
        <f t="shared" si="134"/>
        <v>0</v>
      </c>
      <c r="L135" s="111" t="s">
        <v>1671</v>
      </c>
      <c r="Z135" s="100">
        <f t="shared" si="135"/>
        <v>0</v>
      </c>
      <c r="AB135" s="100">
        <f t="shared" si="136"/>
        <v>0</v>
      </c>
      <c r="AC135" s="100">
        <f t="shared" si="137"/>
        <v>0</v>
      </c>
      <c r="AD135" s="100">
        <f t="shared" si="138"/>
        <v>0</v>
      </c>
      <c r="AE135" s="100">
        <f t="shared" si="139"/>
        <v>0</v>
      </c>
      <c r="AF135" s="100">
        <f t="shared" si="140"/>
        <v>0</v>
      </c>
      <c r="AG135" s="100">
        <f t="shared" si="141"/>
        <v>0</v>
      </c>
      <c r="AH135" s="100">
        <f t="shared" si="142"/>
        <v>0</v>
      </c>
      <c r="AI135" s="109"/>
      <c r="AJ135" s="108">
        <f t="shared" si="143"/>
        <v>0</v>
      </c>
      <c r="AK135" s="108">
        <f t="shared" si="144"/>
        <v>0</v>
      </c>
      <c r="AL135" s="108">
        <f t="shared" si="145"/>
        <v>0</v>
      </c>
      <c r="AN135" s="100">
        <v>15</v>
      </c>
      <c r="AO135" s="100">
        <f>H135*0</f>
        <v>0</v>
      </c>
      <c r="AP135" s="100">
        <f>H135*(1-0)</f>
        <v>0</v>
      </c>
      <c r="AQ135" s="111" t="s">
        <v>7</v>
      </c>
      <c r="AV135" s="100">
        <f t="shared" si="146"/>
        <v>0</v>
      </c>
      <c r="AW135" s="100">
        <f t="shared" si="147"/>
        <v>0</v>
      </c>
      <c r="AX135" s="100">
        <f t="shared" si="148"/>
        <v>0</v>
      </c>
      <c r="AY135" s="110" t="s">
        <v>1700</v>
      </c>
      <c r="AZ135" s="110" t="s">
        <v>1730</v>
      </c>
      <c r="BA135" s="109" t="s">
        <v>1737</v>
      </c>
      <c r="BC135" s="100">
        <f t="shared" si="149"/>
        <v>0</v>
      </c>
      <c r="BD135" s="100">
        <f t="shared" si="150"/>
        <v>0</v>
      </c>
      <c r="BE135" s="100">
        <v>0</v>
      </c>
      <c r="BF135" s="100">
        <f>135</f>
        <v>135</v>
      </c>
      <c r="BH135" s="108">
        <f t="shared" si="151"/>
        <v>0</v>
      </c>
      <c r="BI135" s="108">
        <f t="shared" si="152"/>
        <v>0</v>
      </c>
      <c r="BJ135" s="108">
        <f t="shared" si="153"/>
        <v>0</v>
      </c>
    </row>
    <row r="136" spans="1:62" x14ac:dyDescent="0.2">
      <c r="A136" s="117" t="s">
        <v>104</v>
      </c>
      <c r="B136" s="117" t="s">
        <v>661</v>
      </c>
      <c r="C136" s="304" t="s">
        <v>1169</v>
      </c>
      <c r="D136" s="305"/>
      <c r="E136" s="305"/>
      <c r="F136" s="117" t="s">
        <v>1644</v>
      </c>
      <c r="G136" s="116">
        <v>1</v>
      </c>
      <c r="H136" s="159"/>
      <c r="I136" s="108">
        <f t="shared" si="132"/>
        <v>0</v>
      </c>
      <c r="J136" s="108">
        <f t="shared" si="133"/>
        <v>0</v>
      </c>
      <c r="K136" s="108">
        <f t="shared" si="134"/>
        <v>0</v>
      </c>
      <c r="L136" s="111" t="s">
        <v>1671</v>
      </c>
      <c r="Z136" s="100">
        <f t="shared" si="135"/>
        <v>0</v>
      </c>
      <c r="AB136" s="100">
        <f t="shared" si="136"/>
        <v>0</v>
      </c>
      <c r="AC136" s="100">
        <f t="shared" si="137"/>
        <v>0</v>
      </c>
      <c r="AD136" s="100">
        <f t="shared" si="138"/>
        <v>0</v>
      </c>
      <c r="AE136" s="100">
        <f t="shared" si="139"/>
        <v>0</v>
      </c>
      <c r="AF136" s="100">
        <f t="shared" si="140"/>
        <v>0</v>
      </c>
      <c r="AG136" s="100">
        <f t="shared" si="141"/>
        <v>0</v>
      </c>
      <c r="AH136" s="100">
        <f t="shared" si="142"/>
        <v>0</v>
      </c>
      <c r="AI136" s="109"/>
      <c r="AJ136" s="108">
        <f t="shared" si="143"/>
        <v>0</v>
      </c>
      <c r="AK136" s="108">
        <f t="shared" si="144"/>
        <v>0</v>
      </c>
      <c r="AL136" s="108">
        <f t="shared" si="145"/>
        <v>0</v>
      </c>
      <c r="AN136" s="100">
        <v>15</v>
      </c>
      <c r="AO136" s="100">
        <f>H136*0.000102564102564103</f>
        <v>0</v>
      </c>
      <c r="AP136" s="100">
        <f>H136*(1-0.000102564102564103)</f>
        <v>0</v>
      </c>
      <c r="AQ136" s="111" t="s">
        <v>7</v>
      </c>
      <c r="AV136" s="100">
        <f t="shared" si="146"/>
        <v>0</v>
      </c>
      <c r="AW136" s="100">
        <f t="shared" si="147"/>
        <v>0</v>
      </c>
      <c r="AX136" s="100">
        <f t="shared" si="148"/>
        <v>0</v>
      </c>
      <c r="AY136" s="110" t="s">
        <v>1700</v>
      </c>
      <c r="AZ136" s="110" t="s">
        <v>1730</v>
      </c>
      <c r="BA136" s="109" t="s">
        <v>1737</v>
      </c>
      <c r="BC136" s="100">
        <f t="shared" si="149"/>
        <v>0</v>
      </c>
      <c r="BD136" s="100">
        <f t="shared" si="150"/>
        <v>0</v>
      </c>
      <c r="BE136" s="100">
        <v>0</v>
      </c>
      <c r="BF136" s="100">
        <f>136</f>
        <v>136</v>
      </c>
      <c r="BH136" s="108">
        <f t="shared" si="151"/>
        <v>0</v>
      </c>
      <c r="BI136" s="108">
        <f t="shared" si="152"/>
        <v>0</v>
      </c>
      <c r="BJ136" s="108">
        <f t="shared" si="153"/>
        <v>0</v>
      </c>
    </row>
    <row r="137" spans="1:62" x14ac:dyDescent="0.2">
      <c r="A137" s="117" t="s">
        <v>105</v>
      </c>
      <c r="B137" s="117" t="s">
        <v>662</v>
      </c>
      <c r="C137" s="304" t="s">
        <v>1170</v>
      </c>
      <c r="D137" s="305"/>
      <c r="E137" s="305"/>
      <c r="F137" s="117" t="s">
        <v>1644</v>
      </c>
      <c r="G137" s="116">
        <v>1</v>
      </c>
      <c r="H137" s="159"/>
      <c r="I137" s="108">
        <f t="shared" si="132"/>
        <v>0</v>
      </c>
      <c r="J137" s="108">
        <f t="shared" si="133"/>
        <v>0</v>
      </c>
      <c r="K137" s="108">
        <f t="shared" si="134"/>
        <v>0</v>
      </c>
      <c r="L137" s="111" t="s">
        <v>1671</v>
      </c>
      <c r="Z137" s="100">
        <f t="shared" si="135"/>
        <v>0</v>
      </c>
      <c r="AB137" s="100">
        <f t="shared" si="136"/>
        <v>0</v>
      </c>
      <c r="AC137" s="100">
        <f t="shared" si="137"/>
        <v>0</v>
      </c>
      <c r="AD137" s="100">
        <f t="shared" si="138"/>
        <v>0</v>
      </c>
      <c r="AE137" s="100">
        <f t="shared" si="139"/>
        <v>0</v>
      </c>
      <c r="AF137" s="100">
        <f t="shared" si="140"/>
        <v>0</v>
      </c>
      <c r="AG137" s="100">
        <f t="shared" si="141"/>
        <v>0</v>
      </c>
      <c r="AH137" s="100">
        <f t="shared" si="142"/>
        <v>0</v>
      </c>
      <c r="AI137" s="109"/>
      <c r="AJ137" s="108">
        <f t="shared" si="143"/>
        <v>0</v>
      </c>
      <c r="AK137" s="108">
        <f t="shared" si="144"/>
        <v>0</v>
      </c>
      <c r="AL137" s="108">
        <f t="shared" si="145"/>
        <v>0</v>
      </c>
      <c r="AN137" s="100">
        <v>15</v>
      </c>
      <c r="AO137" s="100">
        <f>H137*0.14559068800201</f>
        <v>0</v>
      </c>
      <c r="AP137" s="100">
        <f>H137*(1-0.14559068800201)</f>
        <v>0</v>
      </c>
      <c r="AQ137" s="111" t="s">
        <v>7</v>
      </c>
      <c r="AV137" s="100">
        <f t="shared" si="146"/>
        <v>0</v>
      </c>
      <c r="AW137" s="100">
        <f t="shared" si="147"/>
        <v>0</v>
      </c>
      <c r="AX137" s="100">
        <f t="shared" si="148"/>
        <v>0</v>
      </c>
      <c r="AY137" s="110" t="s">
        <v>1700</v>
      </c>
      <c r="AZ137" s="110" t="s">
        <v>1730</v>
      </c>
      <c r="BA137" s="109" t="s">
        <v>1737</v>
      </c>
      <c r="BC137" s="100">
        <f t="shared" si="149"/>
        <v>0</v>
      </c>
      <c r="BD137" s="100">
        <f t="shared" si="150"/>
        <v>0</v>
      </c>
      <c r="BE137" s="100">
        <v>0</v>
      </c>
      <c r="BF137" s="100">
        <f>137</f>
        <v>137</v>
      </c>
      <c r="BH137" s="108">
        <f t="shared" si="151"/>
        <v>0</v>
      </c>
      <c r="BI137" s="108">
        <f t="shared" si="152"/>
        <v>0</v>
      </c>
      <c r="BJ137" s="108">
        <f t="shared" si="153"/>
        <v>0</v>
      </c>
    </row>
    <row r="138" spans="1:62" x14ac:dyDescent="0.2">
      <c r="A138" s="117" t="s">
        <v>106</v>
      </c>
      <c r="B138" s="117" t="s">
        <v>2145</v>
      </c>
      <c r="C138" s="304" t="s">
        <v>2144</v>
      </c>
      <c r="D138" s="305"/>
      <c r="E138" s="305"/>
      <c r="F138" s="117" t="s">
        <v>1644</v>
      </c>
      <c r="G138" s="116">
        <v>1</v>
      </c>
      <c r="H138" s="159"/>
      <c r="I138" s="108">
        <f t="shared" si="132"/>
        <v>0</v>
      </c>
      <c r="J138" s="108">
        <f t="shared" si="133"/>
        <v>0</v>
      </c>
      <c r="K138" s="108">
        <f t="shared" si="134"/>
        <v>0</v>
      </c>
      <c r="L138" s="111" t="s">
        <v>1671</v>
      </c>
      <c r="Z138" s="100">
        <f t="shared" si="135"/>
        <v>0</v>
      </c>
      <c r="AB138" s="100">
        <f t="shared" si="136"/>
        <v>0</v>
      </c>
      <c r="AC138" s="100">
        <f t="shared" si="137"/>
        <v>0</v>
      </c>
      <c r="AD138" s="100">
        <f t="shared" si="138"/>
        <v>0</v>
      </c>
      <c r="AE138" s="100">
        <f t="shared" si="139"/>
        <v>0</v>
      </c>
      <c r="AF138" s="100">
        <f t="shared" si="140"/>
        <v>0</v>
      </c>
      <c r="AG138" s="100">
        <f t="shared" si="141"/>
        <v>0</v>
      </c>
      <c r="AH138" s="100">
        <f t="shared" si="142"/>
        <v>0</v>
      </c>
      <c r="AI138" s="109"/>
      <c r="AJ138" s="108">
        <f t="shared" si="143"/>
        <v>0</v>
      </c>
      <c r="AK138" s="108">
        <f t="shared" si="144"/>
        <v>0</v>
      </c>
      <c r="AL138" s="108">
        <f t="shared" si="145"/>
        <v>0</v>
      </c>
      <c r="AN138" s="100">
        <v>15</v>
      </c>
      <c r="AO138" s="100">
        <f>H138*0.14559</f>
        <v>0</v>
      </c>
      <c r="AP138" s="100">
        <f>H138*(1-0.14559)</f>
        <v>0</v>
      </c>
      <c r="AQ138" s="111" t="s">
        <v>7</v>
      </c>
      <c r="AV138" s="100">
        <f t="shared" si="146"/>
        <v>0</v>
      </c>
      <c r="AW138" s="100">
        <f t="shared" si="147"/>
        <v>0</v>
      </c>
      <c r="AX138" s="100">
        <f t="shared" si="148"/>
        <v>0</v>
      </c>
      <c r="AY138" s="110" t="s">
        <v>1700</v>
      </c>
      <c r="AZ138" s="110" t="s">
        <v>1730</v>
      </c>
      <c r="BA138" s="109" t="s">
        <v>1737</v>
      </c>
      <c r="BC138" s="100">
        <f t="shared" si="149"/>
        <v>0</v>
      </c>
      <c r="BD138" s="100">
        <f t="shared" si="150"/>
        <v>0</v>
      </c>
      <c r="BE138" s="100">
        <v>0</v>
      </c>
      <c r="BF138" s="100">
        <f>138</f>
        <v>138</v>
      </c>
      <c r="BH138" s="108">
        <f t="shared" si="151"/>
        <v>0</v>
      </c>
      <c r="BI138" s="108">
        <f t="shared" si="152"/>
        <v>0</v>
      </c>
      <c r="BJ138" s="108">
        <f t="shared" si="153"/>
        <v>0</v>
      </c>
    </row>
    <row r="139" spans="1:62" x14ac:dyDescent="0.2">
      <c r="A139" s="117" t="s">
        <v>107</v>
      </c>
      <c r="B139" s="117" t="s">
        <v>663</v>
      </c>
      <c r="C139" s="304" t="s">
        <v>1171</v>
      </c>
      <c r="D139" s="305"/>
      <c r="E139" s="305"/>
      <c r="F139" s="117" t="s">
        <v>1644</v>
      </c>
      <c r="G139" s="116">
        <v>15</v>
      </c>
      <c r="H139" s="159"/>
      <c r="I139" s="108">
        <f t="shared" si="132"/>
        <v>0</v>
      </c>
      <c r="J139" s="108">
        <f t="shared" si="133"/>
        <v>0</v>
      </c>
      <c r="K139" s="108">
        <f t="shared" si="134"/>
        <v>0</v>
      </c>
      <c r="L139" s="111" t="s">
        <v>1671</v>
      </c>
      <c r="Z139" s="100">
        <f t="shared" si="135"/>
        <v>0</v>
      </c>
      <c r="AB139" s="100">
        <f t="shared" si="136"/>
        <v>0</v>
      </c>
      <c r="AC139" s="100">
        <f t="shared" si="137"/>
        <v>0</v>
      </c>
      <c r="AD139" s="100">
        <f t="shared" si="138"/>
        <v>0</v>
      </c>
      <c r="AE139" s="100">
        <f t="shared" si="139"/>
        <v>0</v>
      </c>
      <c r="AF139" s="100">
        <f t="shared" si="140"/>
        <v>0</v>
      </c>
      <c r="AG139" s="100">
        <f t="shared" si="141"/>
        <v>0</v>
      </c>
      <c r="AH139" s="100">
        <f t="shared" si="142"/>
        <v>0</v>
      </c>
      <c r="AI139" s="109"/>
      <c r="AJ139" s="108">
        <f t="shared" si="143"/>
        <v>0</v>
      </c>
      <c r="AK139" s="108">
        <f t="shared" si="144"/>
        <v>0</v>
      </c>
      <c r="AL139" s="108">
        <f t="shared" si="145"/>
        <v>0</v>
      </c>
      <c r="AN139" s="100">
        <v>15</v>
      </c>
      <c r="AO139" s="100">
        <f>H139*0.000181818181818182</f>
        <v>0</v>
      </c>
      <c r="AP139" s="100">
        <f>H139*(1-0.000181818181818182)</f>
        <v>0</v>
      </c>
      <c r="AQ139" s="111" t="s">
        <v>7</v>
      </c>
      <c r="AV139" s="100">
        <f t="shared" si="146"/>
        <v>0</v>
      </c>
      <c r="AW139" s="100">
        <f t="shared" si="147"/>
        <v>0</v>
      </c>
      <c r="AX139" s="100">
        <f t="shared" si="148"/>
        <v>0</v>
      </c>
      <c r="AY139" s="110" t="s">
        <v>1700</v>
      </c>
      <c r="AZ139" s="110" t="s">
        <v>1730</v>
      </c>
      <c r="BA139" s="109" t="s">
        <v>1737</v>
      </c>
      <c r="BC139" s="100">
        <f t="shared" si="149"/>
        <v>0</v>
      </c>
      <c r="BD139" s="100">
        <f t="shared" si="150"/>
        <v>0</v>
      </c>
      <c r="BE139" s="100">
        <v>0</v>
      </c>
      <c r="BF139" s="100">
        <f>139</f>
        <v>139</v>
      </c>
      <c r="BH139" s="108">
        <f t="shared" si="151"/>
        <v>0</v>
      </c>
      <c r="BI139" s="108">
        <f t="shared" si="152"/>
        <v>0</v>
      </c>
      <c r="BJ139" s="108">
        <f t="shared" si="153"/>
        <v>0</v>
      </c>
    </row>
    <row r="140" spans="1:62" x14ac:dyDescent="0.2">
      <c r="A140" s="117" t="s">
        <v>108</v>
      </c>
      <c r="B140" s="117" t="s">
        <v>665</v>
      </c>
      <c r="C140" s="304" t="s">
        <v>1173</v>
      </c>
      <c r="D140" s="305"/>
      <c r="E140" s="305"/>
      <c r="F140" s="117" t="s">
        <v>1645</v>
      </c>
      <c r="G140" s="116">
        <v>75.816999999999993</v>
      </c>
      <c r="H140" s="159"/>
      <c r="I140" s="108">
        <f t="shared" si="132"/>
        <v>0</v>
      </c>
      <c r="J140" s="108">
        <f t="shared" si="133"/>
        <v>0</v>
      </c>
      <c r="K140" s="108">
        <f t="shared" si="134"/>
        <v>0</v>
      </c>
      <c r="L140" s="111" t="s">
        <v>1671</v>
      </c>
      <c r="Z140" s="100">
        <f t="shared" si="135"/>
        <v>0</v>
      </c>
      <c r="AB140" s="100">
        <f t="shared" si="136"/>
        <v>0</v>
      </c>
      <c r="AC140" s="100">
        <f t="shared" si="137"/>
        <v>0</v>
      </c>
      <c r="AD140" s="100">
        <f t="shared" si="138"/>
        <v>0</v>
      </c>
      <c r="AE140" s="100">
        <f t="shared" si="139"/>
        <v>0</v>
      </c>
      <c r="AF140" s="100">
        <f t="shared" si="140"/>
        <v>0</v>
      </c>
      <c r="AG140" s="100">
        <f t="shared" si="141"/>
        <v>0</v>
      </c>
      <c r="AH140" s="100">
        <f t="shared" si="142"/>
        <v>0</v>
      </c>
      <c r="AI140" s="109"/>
      <c r="AJ140" s="108">
        <f t="shared" si="143"/>
        <v>0</v>
      </c>
      <c r="AK140" s="108">
        <f t="shared" si="144"/>
        <v>0</v>
      </c>
      <c r="AL140" s="108">
        <f t="shared" si="145"/>
        <v>0</v>
      </c>
      <c r="AN140" s="100">
        <v>15</v>
      </c>
      <c r="AO140" s="100">
        <f>H140*0.0147509593452877</f>
        <v>0</v>
      </c>
      <c r="AP140" s="100">
        <f>H140*(1-0.0147509593452877)</f>
        <v>0</v>
      </c>
      <c r="AQ140" s="111" t="s">
        <v>7</v>
      </c>
      <c r="AV140" s="100">
        <f t="shared" si="146"/>
        <v>0</v>
      </c>
      <c r="AW140" s="100">
        <f t="shared" si="147"/>
        <v>0</v>
      </c>
      <c r="AX140" s="100">
        <f t="shared" si="148"/>
        <v>0</v>
      </c>
      <c r="AY140" s="110" t="s">
        <v>1700</v>
      </c>
      <c r="AZ140" s="110" t="s">
        <v>1730</v>
      </c>
      <c r="BA140" s="109" t="s">
        <v>1737</v>
      </c>
      <c r="BC140" s="100">
        <f t="shared" si="149"/>
        <v>0</v>
      </c>
      <c r="BD140" s="100">
        <f t="shared" si="150"/>
        <v>0</v>
      </c>
      <c r="BE140" s="100">
        <v>0</v>
      </c>
      <c r="BF140" s="100">
        <f>140</f>
        <v>140</v>
      </c>
      <c r="BH140" s="108">
        <f t="shared" si="151"/>
        <v>0</v>
      </c>
      <c r="BI140" s="108">
        <f t="shared" si="152"/>
        <v>0</v>
      </c>
      <c r="BJ140" s="108">
        <f t="shared" si="153"/>
        <v>0</v>
      </c>
    </row>
    <row r="141" spans="1:62" x14ac:dyDescent="0.2">
      <c r="A141" s="117" t="s">
        <v>109</v>
      </c>
      <c r="B141" s="117" t="s">
        <v>666</v>
      </c>
      <c r="C141" s="304" t="s">
        <v>1174</v>
      </c>
      <c r="D141" s="305"/>
      <c r="E141" s="305"/>
      <c r="F141" s="117" t="s">
        <v>1645</v>
      </c>
      <c r="G141" s="116">
        <v>32.493000000000002</v>
      </c>
      <c r="H141" s="159"/>
      <c r="I141" s="108">
        <f t="shared" si="132"/>
        <v>0</v>
      </c>
      <c r="J141" s="108">
        <f t="shared" si="133"/>
        <v>0</v>
      </c>
      <c r="K141" s="108">
        <f t="shared" si="134"/>
        <v>0</v>
      </c>
      <c r="L141" s="111" t="s">
        <v>1671</v>
      </c>
      <c r="Z141" s="100">
        <f t="shared" si="135"/>
        <v>0</v>
      </c>
      <c r="AB141" s="100">
        <f t="shared" si="136"/>
        <v>0</v>
      </c>
      <c r="AC141" s="100">
        <f t="shared" si="137"/>
        <v>0</v>
      </c>
      <c r="AD141" s="100">
        <f t="shared" si="138"/>
        <v>0</v>
      </c>
      <c r="AE141" s="100">
        <f t="shared" si="139"/>
        <v>0</v>
      </c>
      <c r="AF141" s="100">
        <f t="shared" si="140"/>
        <v>0</v>
      </c>
      <c r="AG141" s="100">
        <f t="shared" si="141"/>
        <v>0</v>
      </c>
      <c r="AH141" s="100">
        <f t="shared" si="142"/>
        <v>0</v>
      </c>
      <c r="AI141" s="109"/>
      <c r="AJ141" s="108">
        <f t="shared" si="143"/>
        <v>0</v>
      </c>
      <c r="AK141" s="108">
        <f t="shared" si="144"/>
        <v>0</v>
      </c>
      <c r="AL141" s="108">
        <f t="shared" si="145"/>
        <v>0</v>
      </c>
      <c r="AN141" s="100">
        <v>15</v>
      </c>
      <c r="AO141" s="100">
        <f>H141*0.0103628859403573</f>
        <v>0</v>
      </c>
      <c r="AP141" s="100">
        <f>H141*(1-0.0103628859403573)</f>
        <v>0</v>
      </c>
      <c r="AQ141" s="111" t="s">
        <v>7</v>
      </c>
      <c r="AV141" s="100">
        <f t="shared" si="146"/>
        <v>0</v>
      </c>
      <c r="AW141" s="100">
        <f t="shared" si="147"/>
        <v>0</v>
      </c>
      <c r="AX141" s="100">
        <f t="shared" si="148"/>
        <v>0</v>
      </c>
      <c r="AY141" s="110" t="s">
        <v>1700</v>
      </c>
      <c r="AZ141" s="110" t="s">
        <v>1730</v>
      </c>
      <c r="BA141" s="109" t="s">
        <v>1737</v>
      </c>
      <c r="BC141" s="100">
        <f t="shared" si="149"/>
        <v>0</v>
      </c>
      <c r="BD141" s="100">
        <f t="shared" si="150"/>
        <v>0</v>
      </c>
      <c r="BE141" s="100">
        <v>0</v>
      </c>
      <c r="BF141" s="100">
        <f>141</f>
        <v>141</v>
      </c>
      <c r="BH141" s="108">
        <f t="shared" si="151"/>
        <v>0</v>
      </c>
      <c r="BI141" s="108">
        <f t="shared" si="152"/>
        <v>0</v>
      </c>
      <c r="BJ141" s="108">
        <f t="shared" si="153"/>
        <v>0</v>
      </c>
    </row>
    <row r="142" spans="1:62" x14ac:dyDescent="0.2">
      <c r="A142" s="117" t="s">
        <v>110</v>
      </c>
      <c r="B142" s="117" t="s">
        <v>667</v>
      </c>
      <c r="C142" s="304" t="s">
        <v>2143</v>
      </c>
      <c r="D142" s="305"/>
      <c r="E142" s="305"/>
      <c r="F142" s="117" t="s">
        <v>1644</v>
      </c>
      <c r="G142" s="116">
        <v>1</v>
      </c>
      <c r="H142" s="159"/>
      <c r="I142" s="108">
        <f t="shared" si="132"/>
        <v>0</v>
      </c>
      <c r="J142" s="108">
        <f t="shared" si="133"/>
        <v>0</v>
      </c>
      <c r="K142" s="108">
        <f t="shared" si="134"/>
        <v>0</v>
      </c>
      <c r="L142" s="111" t="s">
        <v>1671</v>
      </c>
      <c r="Z142" s="100">
        <f t="shared" si="135"/>
        <v>0</v>
      </c>
      <c r="AB142" s="100">
        <f t="shared" si="136"/>
        <v>0</v>
      </c>
      <c r="AC142" s="100">
        <f t="shared" si="137"/>
        <v>0</v>
      </c>
      <c r="AD142" s="100">
        <f t="shared" si="138"/>
        <v>0</v>
      </c>
      <c r="AE142" s="100">
        <f t="shared" si="139"/>
        <v>0</v>
      </c>
      <c r="AF142" s="100">
        <f t="shared" si="140"/>
        <v>0</v>
      </c>
      <c r="AG142" s="100">
        <f t="shared" si="141"/>
        <v>0</v>
      </c>
      <c r="AH142" s="100">
        <f t="shared" si="142"/>
        <v>0</v>
      </c>
      <c r="AI142" s="109"/>
      <c r="AJ142" s="108">
        <f t="shared" si="143"/>
        <v>0</v>
      </c>
      <c r="AK142" s="108">
        <f t="shared" si="144"/>
        <v>0</v>
      </c>
      <c r="AL142" s="108">
        <f t="shared" si="145"/>
        <v>0</v>
      </c>
      <c r="AN142" s="100">
        <v>15</v>
      </c>
      <c r="AO142" s="100">
        <f>H142*0</f>
        <v>0</v>
      </c>
      <c r="AP142" s="100">
        <f>H142*(1-0)</f>
        <v>0</v>
      </c>
      <c r="AQ142" s="111" t="s">
        <v>7</v>
      </c>
      <c r="AV142" s="100">
        <f t="shared" si="146"/>
        <v>0</v>
      </c>
      <c r="AW142" s="100">
        <f t="shared" si="147"/>
        <v>0</v>
      </c>
      <c r="AX142" s="100">
        <f t="shared" si="148"/>
        <v>0</v>
      </c>
      <c r="AY142" s="110" t="s">
        <v>1700</v>
      </c>
      <c r="AZ142" s="110" t="s">
        <v>1730</v>
      </c>
      <c r="BA142" s="109" t="s">
        <v>1737</v>
      </c>
      <c r="BC142" s="100">
        <f t="shared" si="149"/>
        <v>0</v>
      </c>
      <c r="BD142" s="100">
        <f t="shared" si="150"/>
        <v>0</v>
      </c>
      <c r="BE142" s="100">
        <v>0</v>
      </c>
      <c r="BF142" s="100">
        <f>142</f>
        <v>142</v>
      </c>
      <c r="BH142" s="108">
        <f t="shared" si="151"/>
        <v>0</v>
      </c>
      <c r="BI142" s="108">
        <f t="shared" si="152"/>
        <v>0</v>
      </c>
      <c r="BJ142" s="108">
        <f t="shared" si="153"/>
        <v>0</v>
      </c>
    </row>
    <row r="143" spans="1:62" x14ac:dyDescent="0.2">
      <c r="A143" s="119"/>
      <c r="B143" s="120" t="s">
        <v>103</v>
      </c>
      <c r="C143" s="306" t="s">
        <v>1178</v>
      </c>
      <c r="D143" s="307"/>
      <c r="E143" s="307"/>
      <c r="F143" s="119" t="s">
        <v>6</v>
      </c>
      <c r="G143" s="119" t="s">
        <v>6</v>
      </c>
      <c r="H143" s="119" t="s">
        <v>6</v>
      </c>
      <c r="I143" s="118">
        <f>SUM(I144:I165)</f>
        <v>0</v>
      </c>
      <c r="J143" s="118">
        <f>SUM(J144:J165)</f>
        <v>0</v>
      </c>
      <c r="K143" s="118">
        <f>SUM(K144:K165)</f>
        <v>0</v>
      </c>
      <c r="L143" s="109"/>
      <c r="AI143" s="109"/>
      <c r="AS143" s="118">
        <f>SUM(AJ144:AJ165)</f>
        <v>0</v>
      </c>
      <c r="AT143" s="118">
        <f>SUM(AK144:AK165)</f>
        <v>0</v>
      </c>
      <c r="AU143" s="118">
        <f>SUM(AL144:AL165)</f>
        <v>0</v>
      </c>
    </row>
    <row r="144" spans="1:62" x14ac:dyDescent="0.2">
      <c r="A144" s="117" t="s">
        <v>111</v>
      </c>
      <c r="B144" s="117" t="s">
        <v>2485</v>
      </c>
      <c r="C144" s="304" t="s">
        <v>2484</v>
      </c>
      <c r="D144" s="305"/>
      <c r="E144" s="305"/>
      <c r="F144" s="117" t="s">
        <v>1646</v>
      </c>
      <c r="G144" s="116">
        <v>0.45</v>
      </c>
      <c r="H144" s="159"/>
      <c r="I144" s="108">
        <f t="shared" ref="I144:I165" si="154">G144*AO144</f>
        <v>0</v>
      </c>
      <c r="J144" s="108">
        <f t="shared" ref="J144:J165" si="155">G144*AP144</f>
        <v>0</v>
      </c>
      <c r="K144" s="108">
        <f t="shared" ref="K144:K165" si="156">G144*H144</f>
        <v>0</v>
      </c>
      <c r="L144" s="111" t="s">
        <v>1671</v>
      </c>
      <c r="Z144" s="100">
        <f t="shared" ref="Z144:Z165" si="157">IF(AQ144="5",BJ144,0)</f>
        <v>0</v>
      </c>
      <c r="AB144" s="100">
        <f t="shared" ref="AB144:AB165" si="158">IF(AQ144="1",BH144,0)</f>
        <v>0</v>
      </c>
      <c r="AC144" s="100">
        <f t="shared" ref="AC144:AC165" si="159">IF(AQ144="1",BI144,0)</f>
        <v>0</v>
      </c>
      <c r="AD144" s="100">
        <f t="shared" ref="AD144:AD165" si="160">IF(AQ144="7",BH144,0)</f>
        <v>0</v>
      </c>
      <c r="AE144" s="100">
        <f t="shared" ref="AE144:AE165" si="161">IF(AQ144="7",BI144,0)</f>
        <v>0</v>
      </c>
      <c r="AF144" s="100">
        <f t="shared" ref="AF144:AF165" si="162">IF(AQ144="2",BH144,0)</f>
        <v>0</v>
      </c>
      <c r="AG144" s="100">
        <f t="shared" ref="AG144:AG165" si="163">IF(AQ144="2",BI144,0)</f>
        <v>0</v>
      </c>
      <c r="AH144" s="100">
        <f t="shared" ref="AH144:AH165" si="164">IF(AQ144="0",BJ144,0)</f>
        <v>0</v>
      </c>
      <c r="AI144" s="109"/>
      <c r="AJ144" s="108">
        <f t="shared" ref="AJ144:AJ165" si="165">IF(AN144=0,K144,0)</f>
        <v>0</v>
      </c>
      <c r="AK144" s="108">
        <f t="shared" ref="AK144:AK165" si="166">IF(AN144=15,K144,0)</f>
        <v>0</v>
      </c>
      <c r="AL144" s="108">
        <f t="shared" ref="AL144:AL165" si="167">IF(AN144=21,K144,0)</f>
        <v>0</v>
      </c>
      <c r="AN144" s="100">
        <v>15</v>
      </c>
      <c r="AO144" s="100">
        <f>H144*0.353294871794872</f>
        <v>0</v>
      </c>
      <c r="AP144" s="100">
        <f>H144*(1-0.353294871794872)</f>
        <v>0</v>
      </c>
      <c r="AQ144" s="111" t="s">
        <v>7</v>
      </c>
      <c r="AV144" s="100">
        <f t="shared" ref="AV144:AV165" si="168">AW144+AX144</f>
        <v>0</v>
      </c>
      <c r="AW144" s="100">
        <f t="shared" ref="AW144:AW165" si="169">G144*AO144</f>
        <v>0</v>
      </c>
      <c r="AX144" s="100">
        <f t="shared" ref="AX144:AX165" si="170">G144*AP144</f>
        <v>0</v>
      </c>
      <c r="AY144" s="110" t="s">
        <v>1701</v>
      </c>
      <c r="AZ144" s="110" t="s">
        <v>1730</v>
      </c>
      <c r="BA144" s="109" t="s">
        <v>1737</v>
      </c>
      <c r="BC144" s="100">
        <f t="shared" ref="BC144:BC165" si="171">AW144+AX144</f>
        <v>0</v>
      </c>
      <c r="BD144" s="100">
        <f t="shared" ref="BD144:BD165" si="172">H144/(100-BE144)*100</f>
        <v>0</v>
      </c>
      <c r="BE144" s="100">
        <v>0</v>
      </c>
      <c r="BF144" s="100">
        <f>144</f>
        <v>144</v>
      </c>
      <c r="BH144" s="108">
        <f t="shared" ref="BH144:BH165" si="173">G144*AO144</f>
        <v>0</v>
      </c>
      <c r="BI144" s="108">
        <f t="shared" ref="BI144:BI165" si="174">G144*AP144</f>
        <v>0</v>
      </c>
      <c r="BJ144" s="108">
        <f t="shared" ref="BJ144:BJ165" si="175">G144*H144</f>
        <v>0</v>
      </c>
    </row>
    <row r="145" spans="1:62" x14ac:dyDescent="0.2">
      <c r="A145" s="117" t="s">
        <v>112</v>
      </c>
      <c r="B145" s="117" t="s">
        <v>2483</v>
      </c>
      <c r="C145" s="304" t="s">
        <v>2482</v>
      </c>
      <c r="D145" s="305"/>
      <c r="E145" s="305"/>
      <c r="F145" s="117" t="s">
        <v>1646</v>
      </c>
      <c r="G145" s="116">
        <v>0.45</v>
      </c>
      <c r="H145" s="159"/>
      <c r="I145" s="108">
        <f t="shared" si="154"/>
        <v>0</v>
      </c>
      <c r="J145" s="108">
        <f t="shared" si="155"/>
        <v>0</v>
      </c>
      <c r="K145" s="108">
        <f t="shared" si="156"/>
        <v>0</v>
      </c>
      <c r="L145" s="111" t="s">
        <v>1671</v>
      </c>
      <c r="Z145" s="100">
        <f t="shared" si="157"/>
        <v>0</v>
      </c>
      <c r="AB145" s="100">
        <f t="shared" si="158"/>
        <v>0</v>
      </c>
      <c r="AC145" s="100">
        <f t="shared" si="159"/>
        <v>0</v>
      </c>
      <c r="AD145" s="100">
        <f t="shared" si="160"/>
        <v>0</v>
      </c>
      <c r="AE145" s="100">
        <f t="shared" si="161"/>
        <v>0</v>
      </c>
      <c r="AF145" s="100">
        <f t="shared" si="162"/>
        <v>0</v>
      </c>
      <c r="AG145" s="100">
        <f t="shared" si="163"/>
        <v>0</v>
      </c>
      <c r="AH145" s="100">
        <f t="shared" si="164"/>
        <v>0</v>
      </c>
      <c r="AI145" s="109"/>
      <c r="AJ145" s="108">
        <f t="shared" si="165"/>
        <v>0</v>
      </c>
      <c r="AK145" s="108">
        <f t="shared" si="166"/>
        <v>0</v>
      </c>
      <c r="AL145" s="108">
        <f t="shared" si="167"/>
        <v>0</v>
      </c>
      <c r="AN145" s="100">
        <v>15</v>
      </c>
      <c r="AO145" s="100">
        <f>H145*0.102532909332939</f>
        <v>0</v>
      </c>
      <c r="AP145" s="100">
        <f>H145*(1-0.102532909332939)</f>
        <v>0</v>
      </c>
      <c r="AQ145" s="111" t="s">
        <v>7</v>
      </c>
      <c r="AV145" s="100">
        <f t="shared" si="168"/>
        <v>0</v>
      </c>
      <c r="AW145" s="100">
        <f t="shared" si="169"/>
        <v>0</v>
      </c>
      <c r="AX145" s="100">
        <f t="shared" si="170"/>
        <v>0</v>
      </c>
      <c r="AY145" s="110" t="s">
        <v>1701</v>
      </c>
      <c r="AZ145" s="110" t="s">
        <v>1730</v>
      </c>
      <c r="BA145" s="109" t="s">
        <v>1737</v>
      </c>
      <c r="BC145" s="100">
        <f t="shared" si="171"/>
        <v>0</v>
      </c>
      <c r="BD145" s="100">
        <f t="shared" si="172"/>
        <v>0</v>
      </c>
      <c r="BE145" s="100">
        <v>0</v>
      </c>
      <c r="BF145" s="100">
        <f>145</f>
        <v>145</v>
      </c>
      <c r="BH145" s="108">
        <f t="shared" si="173"/>
        <v>0</v>
      </c>
      <c r="BI145" s="108">
        <f t="shared" si="174"/>
        <v>0</v>
      </c>
      <c r="BJ145" s="108">
        <f t="shared" si="175"/>
        <v>0</v>
      </c>
    </row>
    <row r="146" spans="1:62" x14ac:dyDescent="0.2">
      <c r="A146" s="117" t="s">
        <v>113</v>
      </c>
      <c r="B146" s="117" t="s">
        <v>2481</v>
      </c>
      <c r="C146" s="304" t="s">
        <v>2480</v>
      </c>
      <c r="D146" s="305"/>
      <c r="E146" s="305"/>
      <c r="F146" s="117" t="s">
        <v>1646</v>
      </c>
      <c r="G146" s="116">
        <v>0.45</v>
      </c>
      <c r="H146" s="159"/>
      <c r="I146" s="108">
        <f t="shared" si="154"/>
        <v>0</v>
      </c>
      <c r="J146" s="108">
        <f t="shared" si="155"/>
        <v>0</v>
      </c>
      <c r="K146" s="108">
        <f t="shared" si="156"/>
        <v>0</v>
      </c>
      <c r="L146" s="111" t="s">
        <v>1671</v>
      </c>
      <c r="Z146" s="100">
        <f t="shared" si="157"/>
        <v>0</v>
      </c>
      <c r="AB146" s="100">
        <f t="shared" si="158"/>
        <v>0</v>
      </c>
      <c r="AC146" s="100">
        <f t="shared" si="159"/>
        <v>0</v>
      </c>
      <c r="AD146" s="100">
        <f t="shared" si="160"/>
        <v>0</v>
      </c>
      <c r="AE146" s="100">
        <f t="shared" si="161"/>
        <v>0</v>
      </c>
      <c r="AF146" s="100">
        <f t="shared" si="162"/>
        <v>0</v>
      </c>
      <c r="AG146" s="100">
        <f t="shared" si="163"/>
        <v>0</v>
      </c>
      <c r="AH146" s="100">
        <f t="shared" si="164"/>
        <v>0</v>
      </c>
      <c r="AI146" s="109"/>
      <c r="AJ146" s="108">
        <f t="shared" si="165"/>
        <v>0</v>
      </c>
      <c r="AK146" s="108">
        <f t="shared" si="166"/>
        <v>0</v>
      </c>
      <c r="AL146" s="108">
        <f t="shared" si="167"/>
        <v>0</v>
      </c>
      <c r="AN146" s="100">
        <v>15</v>
      </c>
      <c r="AO146" s="100">
        <f>H146*0.269681908548708</f>
        <v>0</v>
      </c>
      <c r="AP146" s="100">
        <f>H146*(1-0.269681908548708)</f>
        <v>0</v>
      </c>
      <c r="AQ146" s="111" t="s">
        <v>7</v>
      </c>
      <c r="AV146" s="100">
        <f t="shared" si="168"/>
        <v>0</v>
      </c>
      <c r="AW146" s="100">
        <f t="shared" si="169"/>
        <v>0</v>
      </c>
      <c r="AX146" s="100">
        <f t="shared" si="170"/>
        <v>0</v>
      </c>
      <c r="AY146" s="110" t="s">
        <v>1701</v>
      </c>
      <c r="AZ146" s="110" t="s">
        <v>1730</v>
      </c>
      <c r="BA146" s="109" t="s">
        <v>1737</v>
      </c>
      <c r="BC146" s="100">
        <f t="shared" si="171"/>
        <v>0</v>
      </c>
      <c r="BD146" s="100">
        <f t="shared" si="172"/>
        <v>0</v>
      </c>
      <c r="BE146" s="100">
        <v>0</v>
      </c>
      <c r="BF146" s="100">
        <f>146</f>
        <v>146</v>
      </c>
      <c r="BH146" s="108">
        <f t="shared" si="173"/>
        <v>0</v>
      </c>
      <c r="BI146" s="108">
        <f t="shared" si="174"/>
        <v>0</v>
      </c>
      <c r="BJ146" s="108">
        <f t="shared" si="175"/>
        <v>0</v>
      </c>
    </row>
    <row r="147" spans="1:62" x14ac:dyDescent="0.2">
      <c r="A147" s="117" t="s">
        <v>114</v>
      </c>
      <c r="B147" s="117" t="s">
        <v>670</v>
      </c>
      <c r="C147" s="304" t="s">
        <v>1179</v>
      </c>
      <c r="D147" s="305"/>
      <c r="E147" s="305"/>
      <c r="F147" s="117" t="s">
        <v>1646</v>
      </c>
      <c r="G147" s="116">
        <v>1.925</v>
      </c>
      <c r="H147" s="159"/>
      <c r="I147" s="108">
        <f t="shared" si="154"/>
        <v>0</v>
      </c>
      <c r="J147" s="108">
        <f t="shared" si="155"/>
        <v>0</v>
      </c>
      <c r="K147" s="108">
        <f t="shared" si="156"/>
        <v>0</v>
      </c>
      <c r="L147" s="111" t="s">
        <v>1671</v>
      </c>
      <c r="Z147" s="100">
        <f t="shared" si="157"/>
        <v>0</v>
      </c>
      <c r="AB147" s="100">
        <f t="shared" si="158"/>
        <v>0</v>
      </c>
      <c r="AC147" s="100">
        <f t="shared" si="159"/>
        <v>0</v>
      </c>
      <c r="AD147" s="100">
        <f t="shared" si="160"/>
        <v>0</v>
      </c>
      <c r="AE147" s="100">
        <f t="shared" si="161"/>
        <v>0</v>
      </c>
      <c r="AF147" s="100">
        <f t="shared" si="162"/>
        <v>0</v>
      </c>
      <c r="AG147" s="100">
        <f t="shared" si="163"/>
        <v>0</v>
      </c>
      <c r="AH147" s="100">
        <f t="shared" si="164"/>
        <v>0</v>
      </c>
      <c r="AI147" s="109"/>
      <c r="AJ147" s="108">
        <f t="shared" si="165"/>
        <v>0</v>
      </c>
      <c r="AK147" s="108">
        <f t="shared" si="166"/>
        <v>0</v>
      </c>
      <c r="AL147" s="108">
        <f t="shared" si="167"/>
        <v>0</v>
      </c>
      <c r="AN147" s="100">
        <v>15</v>
      </c>
      <c r="AO147" s="100">
        <f>H147*0.317346001381103</f>
        <v>0</v>
      </c>
      <c r="AP147" s="100">
        <f>H147*(1-0.317346001381103)</f>
        <v>0</v>
      </c>
      <c r="AQ147" s="111" t="s">
        <v>7</v>
      </c>
      <c r="AV147" s="100">
        <f t="shared" si="168"/>
        <v>0</v>
      </c>
      <c r="AW147" s="100">
        <f t="shared" si="169"/>
        <v>0</v>
      </c>
      <c r="AX147" s="100">
        <f t="shared" si="170"/>
        <v>0</v>
      </c>
      <c r="AY147" s="110" t="s">
        <v>1701</v>
      </c>
      <c r="AZ147" s="110" t="s">
        <v>1730</v>
      </c>
      <c r="BA147" s="109" t="s">
        <v>1737</v>
      </c>
      <c r="BC147" s="100">
        <f t="shared" si="171"/>
        <v>0</v>
      </c>
      <c r="BD147" s="100">
        <f t="shared" si="172"/>
        <v>0</v>
      </c>
      <c r="BE147" s="100">
        <v>0</v>
      </c>
      <c r="BF147" s="100">
        <f>147</f>
        <v>147</v>
      </c>
      <c r="BH147" s="108">
        <f t="shared" si="173"/>
        <v>0</v>
      </c>
      <c r="BI147" s="108">
        <f t="shared" si="174"/>
        <v>0</v>
      </c>
      <c r="BJ147" s="108">
        <f t="shared" si="175"/>
        <v>0</v>
      </c>
    </row>
    <row r="148" spans="1:62" x14ac:dyDescent="0.2">
      <c r="A148" s="117" t="s">
        <v>115</v>
      </c>
      <c r="B148" s="117" t="s">
        <v>671</v>
      </c>
      <c r="C148" s="304" t="s">
        <v>1180</v>
      </c>
      <c r="D148" s="305"/>
      <c r="E148" s="305"/>
      <c r="F148" s="117" t="s">
        <v>1646</v>
      </c>
      <c r="G148" s="116">
        <v>1.925</v>
      </c>
      <c r="H148" s="159"/>
      <c r="I148" s="108">
        <f t="shared" si="154"/>
        <v>0</v>
      </c>
      <c r="J148" s="108">
        <f t="shared" si="155"/>
        <v>0</v>
      </c>
      <c r="K148" s="108">
        <f t="shared" si="156"/>
        <v>0</v>
      </c>
      <c r="L148" s="111" t="s">
        <v>1671</v>
      </c>
      <c r="Z148" s="100">
        <f t="shared" si="157"/>
        <v>0</v>
      </c>
      <c r="AB148" s="100">
        <f t="shared" si="158"/>
        <v>0</v>
      </c>
      <c r="AC148" s="100">
        <f t="shared" si="159"/>
        <v>0</v>
      </c>
      <c r="AD148" s="100">
        <f t="shared" si="160"/>
        <v>0</v>
      </c>
      <c r="AE148" s="100">
        <f t="shared" si="161"/>
        <v>0</v>
      </c>
      <c r="AF148" s="100">
        <f t="shared" si="162"/>
        <v>0</v>
      </c>
      <c r="AG148" s="100">
        <f t="shared" si="163"/>
        <v>0</v>
      </c>
      <c r="AH148" s="100">
        <f t="shared" si="164"/>
        <v>0</v>
      </c>
      <c r="AI148" s="109"/>
      <c r="AJ148" s="108">
        <f t="shared" si="165"/>
        <v>0</v>
      </c>
      <c r="AK148" s="108">
        <f t="shared" si="166"/>
        <v>0</v>
      </c>
      <c r="AL148" s="108">
        <f t="shared" si="167"/>
        <v>0</v>
      </c>
      <c r="AN148" s="100">
        <v>15</v>
      </c>
      <c r="AO148" s="100">
        <f>H148*0.0581320754716981</f>
        <v>0</v>
      </c>
      <c r="AP148" s="100">
        <f>H148*(1-0.0581320754716981)</f>
        <v>0</v>
      </c>
      <c r="AQ148" s="111" t="s">
        <v>7</v>
      </c>
      <c r="AV148" s="100">
        <f t="shared" si="168"/>
        <v>0</v>
      </c>
      <c r="AW148" s="100">
        <f t="shared" si="169"/>
        <v>0</v>
      </c>
      <c r="AX148" s="100">
        <f t="shared" si="170"/>
        <v>0</v>
      </c>
      <c r="AY148" s="110" t="s">
        <v>1701</v>
      </c>
      <c r="AZ148" s="110" t="s">
        <v>1730</v>
      </c>
      <c r="BA148" s="109" t="s">
        <v>1737</v>
      </c>
      <c r="BC148" s="100">
        <f t="shared" si="171"/>
        <v>0</v>
      </c>
      <c r="BD148" s="100">
        <f t="shared" si="172"/>
        <v>0</v>
      </c>
      <c r="BE148" s="100">
        <v>0</v>
      </c>
      <c r="BF148" s="100">
        <f>148</f>
        <v>148</v>
      </c>
      <c r="BH148" s="108">
        <f t="shared" si="173"/>
        <v>0</v>
      </c>
      <c r="BI148" s="108">
        <f t="shared" si="174"/>
        <v>0</v>
      </c>
      <c r="BJ148" s="108">
        <f t="shared" si="175"/>
        <v>0</v>
      </c>
    </row>
    <row r="149" spans="1:62" x14ac:dyDescent="0.2">
      <c r="A149" s="117" t="s">
        <v>116</v>
      </c>
      <c r="B149" s="117" t="s">
        <v>672</v>
      </c>
      <c r="C149" s="304" t="s">
        <v>1181</v>
      </c>
      <c r="D149" s="305"/>
      <c r="E149" s="305"/>
      <c r="F149" s="117" t="s">
        <v>1646</v>
      </c>
      <c r="G149" s="116">
        <v>1.925</v>
      </c>
      <c r="H149" s="159"/>
      <c r="I149" s="108">
        <f t="shared" si="154"/>
        <v>0</v>
      </c>
      <c r="J149" s="108">
        <f t="shared" si="155"/>
        <v>0</v>
      </c>
      <c r="K149" s="108">
        <f t="shared" si="156"/>
        <v>0</v>
      </c>
      <c r="L149" s="111" t="s">
        <v>1671</v>
      </c>
      <c r="Z149" s="100">
        <f t="shared" si="157"/>
        <v>0</v>
      </c>
      <c r="AB149" s="100">
        <f t="shared" si="158"/>
        <v>0</v>
      </c>
      <c r="AC149" s="100">
        <f t="shared" si="159"/>
        <v>0</v>
      </c>
      <c r="AD149" s="100">
        <f t="shared" si="160"/>
        <v>0</v>
      </c>
      <c r="AE149" s="100">
        <f t="shared" si="161"/>
        <v>0</v>
      </c>
      <c r="AF149" s="100">
        <f t="shared" si="162"/>
        <v>0</v>
      </c>
      <c r="AG149" s="100">
        <f t="shared" si="163"/>
        <v>0</v>
      </c>
      <c r="AH149" s="100">
        <f t="shared" si="164"/>
        <v>0</v>
      </c>
      <c r="AI149" s="109"/>
      <c r="AJ149" s="108">
        <f t="shared" si="165"/>
        <v>0</v>
      </c>
      <c r="AK149" s="108">
        <f t="shared" si="166"/>
        <v>0</v>
      </c>
      <c r="AL149" s="108">
        <f t="shared" si="167"/>
        <v>0</v>
      </c>
      <c r="AN149" s="100">
        <v>15</v>
      </c>
      <c r="AO149" s="100">
        <f>H149*0.266916080442076</f>
        <v>0</v>
      </c>
      <c r="AP149" s="100">
        <f>H149*(1-0.266916080442076)</f>
        <v>0</v>
      </c>
      <c r="AQ149" s="111" t="s">
        <v>7</v>
      </c>
      <c r="AV149" s="100">
        <f t="shared" si="168"/>
        <v>0</v>
      </c>
      <c r="AW149" s="100">
        <f t="shared" si="169"/>
        <v>0</v>
      </c>
      <c r="AX149" s="100">
        <f t="shared" si="170"/>
        <v>0</v>
      </c>
      <c r="AY149" s="110" t="s">
        <v>1701</v>
      </c>
      <c r="AZ149" s="110" t="s">
        <v>1730</v>
      </c>
      <c r="BA149" s="109" t="s">
        <v>1737</v>
      </c>
      <c r="BC149" s="100">
        <f t="shared" si="171"/>
        <v>0</v>
      </c>
      <c r="BD149" s="100">
        <f t="shared" si="172"/>
        <v>0</v>
      </c>
      <c r="BE149" s="100">
        <v>0</v>
      </c>
      <c r="BF149" s="100">
        <f>149</f>
        <v>149</v>
      </c>
      <c r="BH149" s="108">
        <f t="shared" si="173"/>
        <v>0</v>
      </c>
      <c r="BI149" s="108">
        <f t="shared" si="174"/>
        <v>0</v>
      </c>
      <c r="BJ149" s="108">
        <f t="shared" si="175"/>
        <v>0</v>
      </c>
    </row>
    <row r="150" spans="1:62" x14ac:dyDescent="0.2">
      <c r="A150" s="117" t="s">
        <v>117</v>
      </c>
      <c r="B150" s="117" t="s">
        <v>2479</v>
      </c>
      <c r="C150" s="304" t="s">
        <v>2478</v>
      </c>
      <c r="D150" s="305"/>
      <c r="E150" s="305"/>
      <c r="F150" s="117" t="s">
        <v>1646</v>
      </c>
      <c r="G150" s="116">
        <v>0.45</v>
      </c>
      <c r="H150" s="159"/>
      <c r="I150" s="108">
        <f t="shared" si="154"/>
        <v>0</v>
      </c>
      <c r="J150" s="108">
        <f t="shared" si="155"/>
        <v>0</v>
      </c>
      <c r="K150" s="108">
        <f t="shared" si="156"/>
        <v>0</v>
      </c>
      <c r="L150" s="111" t="s">
        <v>1671</v>
      </c>
      <c r="Z150" s="100">
        <f t="shared" si="157"/>
        <v>0</v>
      </c>
      <c r="AB150" s="100">
        <f t="shared" si="158"/>
        <v>0</v>
      </c>
      <c r="AC150" s="100">
        <f t="shared" si="159"/>
        <v>0</v>
      </c>
      <c r="AD150" s="100">
        <f t="shared" si="160"/>
        <v>0</v>
      </c>
      <c r="AE150" s="100">
        <f t="shared" si="161"/>
        <v>0</v>
      </c>
      <c r="AF150" s="100">
        <f t="shared" si="162"/>
        <v>0</v>
      </c>
      <c r="AG150" s="100">
        <f t="shared" si="163"/>
        <v>0</v>
      </c>
      <c r="AH150" s="100">
        <f t="shared" si="164"/>
        <v>0</v>
      </c>
      <c r="AI150" s="109"/>
      <c r="AJ150" s="108">
        <f t="shared" si="165"/>
        <v>0</v>
      </c>
      <c r="AK150" s="108">
        <f t="shared" si="166"/>
        <v>0</v>
      </c>
      <c r="AL150" s="108">
        <f t="shared" si="167"/>
        <v>0</v>
      </c>
      <c r="AN150" s="100">
        <v>15</v>
      </c>
      <c r="AO150" s="100">
        <f>H150*0.328942398489141</f>
        <v>0</v>
      </c>
      <c r="AP150" s="100">
        <f>H150*(1-0.328942398489141)</f>
        <v>0</v>
      </c>
      <c r="AQ150" s="111" t="s">
        <v>7</v>
      </c>
      <c r="AV150" s="100">
        <f t="shared" si="168"/>
        <v>0</v>
      </c>
      <c r="AW150" s="100">
        <f t="shared" si="169"/>
        <v>0</v>
      </c>
      <c r="AX150" s="100">
        <f t="shared" si="170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71"/>
        <v>0</v>
      </c>
      <c r="BD150" s="100">
        <f t="shared" si="172"/>
        <v>0</v>
      </c>
      <c r="BE150" s="100">
        <v>0</v>
      </c>
      <c r="BF150" s="100">
        <f>150</f>
        <v>150</v>
      </c>
      <c r="BH150" s="108">
        <f t="shared" si="173"/>
        <v>0</v>
      </c>
      <c r="BI150" s="108">
        <f t="shared" si="174"/>
        <v>0</v>
      </c>
      <c r="BJ150" s="108">
        <f t="shared" si="175"/>
        <v>0</v>
      </c>
    </row>
    <row r="151" spans="1:62" x14ac:dyDescent="0.2">
      <c r="A151" s="117" t="s">
        <v>118</v>
      </c>
      <c r="B151" s="117" t="s">
        <v>2477</v>
      </c>
      <c r="C151" s="304" t="s">
        <v>2476</v>
      </c>
      <c r="D151" s="305"/>
      <c r="E151" s="305"/>
      <c r="F151" s="117" t="s">
        <v>1646</v>
      </c>
      <c r="G151" s="116">
        <v>0.45</v>
      </c>
      <c r="H151" s="159"/>
      <c r="I151" s="108">
        <f t="shared" si="154"/>
        <v>0</v>
      </c>
      <c r="J151" s="108">
        <f t="shared" si="155"/>
        <v>0</v>
      </c>
      <c r="K151" s="108">
        <f t="shared" si="156"/>
        <v>0</v>
      </c>
      <c r="L151" s="111" t="s">
        <v>1671</v>
      </c>
      <c r="Z151" s="100">
        <f t="shared" si="157"/>
        <v>0</v>
      </c>
      <c r="AB151" s="100">
        <f t="shared" si="158"/>
        <v>0</v>
      </c>
      <c r="AC151" s="100">
        <f t="shared" si="159"/>
        <v>0</v>
      </c>
      <c r="AD151" s="100">
        <f t="shared" si="160"/>
        <v>0</v>
      </c>
      <c r="AE151" s="100">
        <f t="shared" si="161"/>
        <v>0</v>
      </c>
      <c r="AF151" s="100">
        <f t="shared" si="162"/>
        <v>0</v>
      </c>
      <c r="AG151" s="100">
        <f t="shared" si="163"/>
        <v>0</v>
      </c>
      <c r="AH151" s="100">
        <f t="shared" si="164"/>
        <v>0</v>
      </c>
      <c r="AI151" s="109"/>
      <c r="AJ151" s="108">
        <f t="shared" si="165"/>
        <v>0</v>
      </c>
      <c r="AK151" s="108">
        <f t="shared" si="166"/>
        <v>0</v>
      </c>
      <c r="AL151" s="108">
        <f t="shared" si="167"/>
        <v>0</v>
      </c>
      <c r="AN151" s="100">
        <v>15</v>
      </c>
      <c r="AO151" s="100">
        <f>H151*0.207794117647059</f>
        <v>0</v>
      </c>
      <c r="AP151" s="100">
        <f>H151*(1-0.207794117647059)</f>
        <v>0</v>
      </c>
      <c r="AQ151" s="111" t="s">
        <v>7</v>
      </c>
      <c r="AV151" s="100">
        <f t="shared" si="168"/>
        <v>0</v>
      </c>
      <c r="AW151" s="100">
        <f t="shared" si="169"/>
        <v>0</v>
      </c>
      <c r="AX151" s="100">
        <f t="shared" si="170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71"/>
        <v>0</v>
      </c>
      <c r="BD151" s="100">
        <f t="shared" si="172"/>
        <v>0</v>
      </c>
      <c r="BE151" s="100">
        <v>0</v>
      </c>
      <c r="BF151" s="100">
        <f>151</f>
        <v>151</v>
      </c>
      <c r="BH151" s="108">
        <f t="shared" si="173"/>
        <v>0</v>
      </c>
      <c r="BI151" s="108">
        <f t="shared" si="174"/>
        <v>0</v>
      </c>
      <c r="BJ151" s="108">
        <f t="shared" si="175"/>
        <v>0</v>
      </c>
    </row>
    <row r="152" spans="1:62" x14ac:dyDescent="0.2">
      <c r="A152" s="117" t="s">
        <v>119</v>
      </c>
      <c r="B152" s="117" t="s">
        <v>673</v>
      </c>
      <c r="C152" s="304" t="s">
        <v>1182</v>
      </c>
      <c r="D152" s="305"/>
      <c r="E152" s="305"/>
      <c r="F152" s="117" t="s">
        <v>1644</v>
      </c>
      <c r="G152" s="116">
        <v>8</v>
      </c>
      <c r="H152" s="159"/>
      <c r="I152" s="108">
        <f t="shared" si="154"/>
        <v>0</v>
      </c>
      <c r="J152" s="108">
        <f t="shared" si="155"/>
        <v>0</v>
      </c>
      <c r="K152" s="108">
        <f t="shared" si="156"/>
        <v>0</v>
      </c>
      <c r="L152" s="111" t="s">
        <v>1671</v>
      </c>
      <c r="Z152" s="100">
        <f t="shared" si="157"/>
        <v>0</v>
      </c>
      <c r="AB152" s="100">
        <f t="shared" si="158"/>
        <v>0</v>
      </c>
      <c r="AC152" s="100">
        <f t="shared" si="159"/>
        <v>0</v>
      </c>
      <c r="AD152" s="100">
        <f t="shared" si="160"/>
        <v>0</v>
      </c>
      <c r="AE152" s="100">
        <f t="shared" si="161"/>
        <v>0</v>
      </c>
      <c r="AF152" s="100">
        <f t="shared" si="162"/>
        <v>0</v>
      </c>
      <c r="AG152" s="100">
        <f t="shared" si="163"/>
        <v>0</v>
      </c>
      <c r="AH152" s="100">
        <f t="shared" si="164"/>
        <v>0</v>
      </c>
      <c r="AI152" s="109"/>
      <c r="AJ152" s="108">
        <f t="shared" si="165"/>
        <v>0</v>
      </c>
      <c r="AK152" s="108">
        <f t="shared" si="166"/>
        <v>0</v>
      </c>
      <c r="AL152" s="108">
        <f t="shared" si="167"/>
        <v>0</v>
      </c>
      <c r="AN152" s="100">
        <v>15</v>
      </c>
      <c r="AO152" s="100">
        <f>H152*0.0466942148760331</f>
        <v>0</v>
      </c>
      <c r="AP152" s="100">
        <f>H152*(1-0.0466942148760331)</f>
        <v>0</v>
      </c>
      <c r="AQ152" s="111" t="s">
        <v>7</v>
      </c>
      <c r="AV152" s="100">
        <f t="shared" si="168"/>
        <v>0</v>
      </c>
      <c r="AW152" s="100">
        <f t="shared" si="169"/>
        <v>0</v>
      </c>
      <c r="AX152" s="100">
        <f t="shared" si="170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71"/>
        <v>0</v>
      </c>
      <c r="BD152" s="100">
        <f t="shared" si="172"/>
        <v>0</v>
      </c>
      <c r="BE152" s="100">
        <v>0</v>
      </c>
      <c r="BF152" s="100">
        <f>152</f>
        <v>152</v>
      </c>
      <c r="BH152" s="108">
        <f t="shared" si="173"/>
        <v>0</v>
      </c>
      <c r="BI152" s="108">
        <f t="shared" si="174"/>
        <v>0</v>
      </c>
      <c r="BJ152" s="108">
        <f t="shared" si="175"/>
        <v>0</v>
      </c>
    </row>
    <row r="153" spans="1:62" x14ac:dyDescent="0.2">
      <c r="A153" s="117" t="s">
        <v>120</v>
      </c>
      <c r="B153" s="117" t="s">
        <v>674</v>
      </c>
      <c r="C153" s="304" t="s">
        <v>2142</v>
      </c>
      <c r="D153" s="305"/>
      <c r="E153" s="305"/>
      <c r="F153" s="117" t="s">
        <v>1646</v>
      </c>
      <c r="G153" s="116">
        <v>1.5</v>
      </c>
      <c r="H153" s="159"/>
      <c r="I153" s="108">
        <f t="shared" si="154"/>
        <v>0</v>
      </c>
      <c r="J153" s="108">
        <f t="shared" si="155"/>
        <v>0</v>
      </c>
      <c r="K153" s="108">
        <f t="shared" si="156"/>
        <v>0</v>
      </c>
      <c r="L153" s="111" t="s">
        <v>1671</v>
      </c>
      <c r="Z153" s="100">
        <f t="shared" si="157"/>
        <v>0</v>
      </c>
      <c r="AB153" s="100">
        <f t="shared" si="158"/>
        <v>0</v>
      </c>
      <c r="AC153" s="100">
        <f t="shared" si="159"/>
        <v>0</v>
      </c>
      <c r="AD153" s="100">
        <f t="shared" si="160"/>
        <v>0</v>
      </c>
      <c r="AE153" s="100">
        <f t="shared" si="161"/>
        <v>0</v>
      </c>
      <c r="AF153" s="100">
        <f t="shared" si="162"/>
        <v>0</v>
      </c>
      <c r="AG153" s="100">
        <f t="shared" si="163"/>
        <v>0</v>
      </c>
      <c r="AH153" s="100">
        <f t="shared" si="164"/>
        <v>0</v>
      </c>
      <c r="AI153" s="109"/>
      <c r="AJ153" s="108">
        <f t="shared" si="165"/>
        <v>0</v>
      </c>
      <c r="AK153" s="108">
        <f t="shared" si="166"/>
        <v>0</v>
      </c>
      <c r="AL153" s="108">
        <f t="shared" si="167"/>
        <v>0</v>
      </c>
      <c r="AN153" s="100">
        <v>15</v>
      </c>
      <c r="AO153" s="100">
        <f>H153*0.071968410326087</f>
        <v>0</v>
      </c>
      <c r="AP153" s="100">
        <f>H153*(1-0.071968410326087)</f>
        <v>0</v>
      </c>
      <c r="AQ153" s="111" t="s">
        <v>7</v>
      </c>
      <c r="AV153" s="100">
        <f t="shared" si="168"/>
        <v>0</v>
      </c>
      <c r="AW153" s="100">
        <f t="shared" si="169"/>
        <v>0</v>
      </c>
      <c r="AX153" s="100">
        <f t="shared" si="170"/>
        <v>0</v>
      </c>
      <c r="AY153" s="110" t="s">
        <v>1701</v>
      </c>
      <c r="AZ153" s="110" t="s">
        <v>1730</v>
      </c>
      <c r="BA153" s="109" t="s">
        <v>1737</v>
      </c>
      <c r="BC153" s="100">
        <f t="shared" si="171"/>
        <v>0</v>
      </c>
      <c r="BD153" s="100">
        <f t="shared" si="172"/>
        <v>0</v>
      </c>
      <c r="BE153" s="100">
        <v>0</v>
      </c>
      <c r="BF153" s="100">
        <f>153</f>
        <v>153</v>
      </c>
      <c r="BH153" s="108">
        <f t="shared" si="173"/>
        <v>0</v>
      </c>
      <c r="BI153" s="108">
        <f t="shared" si="174"/>
        <v>0</v>
      </c>
      <c r="BJ153" s="108">
        <f t="shared" si="175"/>
        <v>0</v>
      </c>
    </row>
    <row r="154" spans="1:62" x14ac:dyDescent="0.2">
      <c r="A154" s="117" t="s">
        <v>121</v>
      </c>
      <c r="B154" s="117" t="s">
        <v>675</v>
      </c>
      <c r="C154" s="304" t="s">
        <v>2141</v>
      </c>
      <c r="D154" s="305"/>
      <c r="E154" s="305"/>
      <c r="F154" s="117" t="s">
        <v>1646</v>
      </c>
      <c r="G154" s="116">
        <v>2.25</v>
      </c>
      <c r="H154" s="159"/>
      <c r="I154" s="108">
        <f t="shared" si="154"/>
        <v>0</v>
      </c>
      <c r="J154" s="108">
        <f t="shared" si="155"/>
        <v>0</v>
      </c>
      <c r="K154" s="108">
        <f t="shared" si="156"/>
        <v>0</v>
      </c>
      <c r="L154" s="111" t="s">
        <v>1671</v>
      </c>
      <c r="Z154" s="100">
        <f t="shared" si="157"/>
        <v>0</v>
      </c>
      <c r="AB154" s="100">
        <f t="shared" si="158"/>
        <v>0</v>
      </c>
      <c r="AC154" s="100">
        <f t="shared" si="159"/>
        <v>0</v>
      </c>
      <c r="AD154" s="100">
        <f t="shared" si="160"/>
        <v>0</v>
      </c>
      <c r="AE154" s="100">
        <f t="shared" si="161"/>
        <v>0</v>
      </c>
      <c r="AF154" s="100">
        <f t="shared" si="162"/>
        <v>0</v>
      </c>
      <c r="AG154" s="100">
        <f t="shared" si="163"/>
        <v>0</v>
      </c>
      <c r="AH154" s="100">
        <f t="shared" si="164"/>
        <v>0</v>
      </c>
      <c r="AI154" s="109"/>
      <c r="AJ154" s="108">
        <f t="shared" si="165"/>
        <v>0</v>
      </c>
      <c r="AK154" s="108">
        <f t="shared" si="166"/>
        <v>0</v>
      </c>
      <c r="AL154" s="108">
        <f t="shared" si="167"/>
        <v>0</v>
      </c>
      <c r="AN154" s="100">
        <v>15</v>
      </c>
      <c r="AO154" s="100">
        <f>H154*0.0433762688731553</f>
        <v>0</v>
      </c>
      <c r="AP154" s="100">
        <f>H154*(1-0.0433762688731553)</f>
        <v>0</v>
      </c>
      <c r="AQ154" s="111" t="s">
        <v>7</v>
      </c>
      <c r="AV154" s="100">
        <f t="shared" si="168"/>
        <v>0</v>
      </c>
      <c r="AW154" s="100">
        <f t="shared" si="169"/>
        <v>0</v>
      </c>
      <c r="AX154" s="100">
        <f t="shared" si="170"/>
        <v>0</v>
      </c>
      <c r="AY154" s="110" t="s">
        <v>1701</v>
      </c>
      <c r="AZ154" s="110" t="s">
        <v>1730</v>
      </c>
      <c r="BA154" s="109" t="s">
        <v>1737</v>
      </c>
      <c r="BC154" s="100">
        <f t="shared" si="171"/>
        <v>0</v>
      </c>
      <c r="BD154" s="100">
        <f t="shared" si="172"/>
        <v>0</v>
      </c>
      <c r="BE154" s="100">
        <v>0</v>
      </c>
      <c r="BF154" s="100">
        <f>154</f>
        <v>154</v>
      </c>
      <c r="BH154" s="108">
        <f t="shared" si="173"/>
        <v>0</v>
      </c>
      <c r="BI154" s="108">
        <f t="shared" si="174"/>
        <v>0</v>
      </c>
      <c r="BJ154" s="108">
        <f t="shared" si="175"/>
        <v>0</v>
      </c>
    </row>
    <row r="155" spans="1:62" x14ac:dyDescent="0.2">
      <c r="A155" s="117" t="s">
        <v>122</v>
      </c>
      <c r="B155" s="117" t="s">
        <v>676</v>
      </c>
      <c r="C155" s="304" t="s">
        <v>1185</v>
      </c>
      <c r="D155" s="305"/>
      <c r="E155" s="305"/>
      <c r="F155" s="117" t="s">
        <v>1645</v>
      </c>
      <c r="G155" s="116">
        <v>268.387</v>
      </c>
      <c r="H155" s="159"/>
      <c r="I155" s="108">
        <f t="shared" si="154"/>
        <v>0</v>
      </c>
      <c r="J155" s="108">
        <f t="shared" si="155"/>
        <v>0</v>
      </c>
      <c r="K155" s="108">
        <f t="shared" si="156"/>
        <v>0</v>
      </c>
      <c r="L155" s="111" t="s">
        <v>1671</v>
      </c>
      <c r="Z155" s="100">
        <f t="shared" si="157"/>
        <v>0</v>
      </c>
      <c r="AB155" s="100">
        <f t="shared" si="158"/>
        <v>0</v>
      </c>
      <c r="AC155" s="100">
        <f t="shared" si="159"/>
        <v>0</v>
      </c>
      <c r="AD155" s="100">
        <f t="shared" si="160"/>
        <v>0</v>
      </c>
      <c r="AE155" s="100">
        <f t="shared" si="161"/>
        <v>0</v>
      </c>
      <c r="AF155" s="100">
        <f t="shared" si="162"/>
        <v>0</v>
      </c>
      <c r="AG155" s="100">
        <f t="shared" si="163"/>
        <v>0</v>
      </c>
      <c r="AH155" s="100">
        <f t="shared" si="164"/>
        <v>0</v>
      </c>
      <c r="AI155" s="109"/>
      <c r="AJ155" s="108">
        <f t="shared" si="165"/>
        <v>0</v>
      </c>
      <c r="AK155" s="108">
        <f t="shared" si="166"/>
        <v>0</v>
      </c>
      <c r="AL155" s="108">
        <f t="shared" si="167"/>
        <v>0</v>
      </c>
      <c r="AN155" s="100">
        <v>15</v>
      </c>
      <c r="AO155" s="100">
        <f t="shared" ref="AO155:AO165" si="176">H155*0</f>
        <v>0</v>
      </c>
      <c r="AP155" s="100">
        <f t="shared" ref="AP155:AP165" si="177">H155*(1-0)</f>
        <v>0</v>
      </c>
      <c r="AQ155" s="111" t="s">
        <v>7</v>
      </c>
      <c r="AV155" s="100">
        <f t="shared" si="168"/>
        <v>0</v>
      </c>
      <c r="AW155" s="100">
        <f t="shared" si="169"/>
        <v>0</v>
      </c>
      <c r="AX155" s="100">
        <f t="shared" si="170"/>
        <v>0</v>
      </c>
      <c r="AY155" s="110" t="s">
        <v>1701</v>
      </c>
      <c r="AZ155" s="110" t="s">
        <v>1730</v>
      </c>
      <c r="BA155" s="109" t="s">
        <v>1737</v>
      </c>
      <c r="BC155" s="100">
        <f t="shared" si="171"/>
        <v>0</v>
      </c>
      <c r="BD155" s="100">
        <f t="shared" si="172"/>
        <v>0</v>
      </c>
      <c r="BE155" s="100">
        <v>0</v>
      </c>
      <c r="BF155" s="100">
        <f>155</f>
        <v>155</v>
      </c>
      <c r="BH155" s="108">
        <f t="shared" si="173"/>
        <v>0</v>
      </c>
      <c r="BI155" s="108">
        <f t="shared" si="174"/>
        <v>0</v>
      </c>
      <c r="BJ155" s="108">
        <f t="shared" si="175"/>
        <v>0</v>
      </c>
    </row>
    <row r="156" spans="1:62" x14ac:dyDescent="0.2">
      <c r="A156" s="117" t="s">
        <v>123</v>
      </c>
      <c r="B156" s="117" t="s">
        <v>677</v>
      </c>
      <c r="C156" s="304" t="s">
        <v>2475</v>
      </c>
      <c r="D156" s="305"/>
      <c r="E156" s="305"/>
      <c r="F156" s="117" t="s">
        <v>1645</v>
      </c>
      <c r="G156" s="116">
        <v>11.925000000000001</v>
      </c>
      <c r="H156" s="159"/>
      <c r="I156" s="108">
        <f t="shared" si="154"/>
        <v>0</v>
      </c>
      <c r="J156" s="108">
        <f t="shared" si="155"/>
        <v>0</v>
      </c>
      <c r="K156" s="108">
        <f t="shared" si="156"/>
        <v>0</v>
      </c>
      <c r="L156" s="111" t="s">
        <v>1671</v>
      </c>
      <c r="Z156" s="100">
        <f t="shared" si="157"/>
        <v>0</v>
      </c>
      <c r="AB156" s="100">
        <f t="shared" si="158"/>
        <v>0</v>
      </c>
      <c r="AC156" s="100">
        <f t="shared" si="159"/>
        <v>0</v>
      </c>
      <c r="AD156" s="100">
        <f t="shared" si="160"/>
        <v>0</v>
      </c>
      <c r="AE156" s="100">
        <f t="shared" si="161"/>
        <v>0</v>
      </c>
      <c r="AF156" s="100">
        <f t="shared" si="162"/>
        <v>0</v>
      </c>
      <c r="AG156" s="100">
        <f t="shared" si="163"/>
        <v>0</v>
      </c>
      <c r="AH156" s="100">
        <f t="shared" si="164"/>
        <v>0</v>
      </c>
      <c r="AI156" s="109"/>
      <c r="AJ156" s="108">
        <f t="shared" si="165"/>
        <v>0</v>
      </c>
      <c r="AK156" s="108">
        <f t="shared" si="166"/>
        <v>0</v>
      </c>
      <c r="AL156" s="108">
        <f t="shared" si="167"/>
        <v>0</v>
      </c>
      <c r="AN156" s="100">
        <v>15</v>
      </c>
      <c r="AO156" s="100">
        <f t="shared" si="176"/>
        <v>0</v>
      </c>
      <c r="AP156" s="100">
        <f t="shared" si="177"/>
        <v>0</v>
      </c>
      <c r="AQ156" s="111" t="s">
        <v>7</v>
      </c>
      <c r="AV156" s="100">
        <f t="shared" si="168"/>
        <v>0</v>
      </c>
      <c r="AW156" s="100">
        <f t="shared" si="169"/>
        <v>0</v>
      </c>
      <c r="AX156" s="100">
        <f t="shared" si="170"/>
        <v>0</v>
      </c>
      <c r="AY156" s="110" t="s">
        <v>1701</v>
      </c>
      <c r="AZ156" s="110" t="s">
        <v>1730</v>
      </c>
      <c r="BA156" s="109" t="s">
        <v>1737</v>
      </c>
      <c r="BC156" s="100">
        <f t="shared" si="171"/>
        <v>0</v>
      </c>
      <c r="BD156" s="100">
        <f t="shared" si="172"/>
        <v>0</v>
      </c>
      <c r="BE156" s="100">
        <v>0</v>
      </c>
      <c r="BF156" s="100">
        <f>156</f>
        <v>156</v>
      </c>
      <c r="BH156" s="108">
        <f t="shared" si="173"/>
        <v>0</v>
      </c>
      <c r="BI156" s="108">
        <f t="shared" si="174"/>
        <v>0</v>
      </c>
      <c r="BJ156" s="108">
        <f t="shared" si="175"/>
        <v>0</v>
      </c>
    </row>
    <row r="157" spans="1:62" x14ac:dyDescent="0.2">
      <c r="A157" s="117" t="s">
        <v>124</v>
      </c>
      <c r="B157" s="117" t="s">
        <v>678</v>
      </c>
      <c r="C157" s="304" t="s">
        <v>2474</v>
      </c>
      <c r="D157" s="305"/>
      <c r="E157" s="305"/>
      <c r="F157" s="117" t="s">
        <v>1645</v>
      </c>
      <c r="G157" s="116">
        <v>19.77</v>
      </c>
      <c r="H157" s="159"/>
      <c r="I157" s="108">
        <f t="shared" si="154"/>
        <v>0</v>
      </c>
      <c r="J157" s="108">
        <f t="shared" si="155"/>
        <v>0</v>
      </c>
      <c r="K157" s="108">
        <f t="shared" si="156"/>
        <v>0</v>
      </c>
      <c r="L157" s="111" t="s">
        <v>1671</v>
      </c>
      <c r="Z157" s="100">
        <f t="shared" si="157"/>
        <v>0</v>
      </c>
      <c r="AB157" s="100">
        <f t="shared" si="158"/>
        <v>0</v>
      </c>
      <c r="AC157" s="100">
        <f t="shared" si="159"/>
        <v>0</v>
      </c>
      <c r="AD157" s="100">
        <f t="shared" si="160"/>
        <v>0</v>
      </c>
      <c r="AE157" s="100">
        <f t="shared" si="161"/>
        <v>0</v>
      </c>
      <c r="AF157" s="100">
        <f t="shared" si="162"/>
        <v>0</v>
      </c>
      <c r="AG157" s="100">
        <f t="shared" si="163"/>
        <v>0</v>
      </c>
      <c r="AH157" s="100">
        <f t="shared" si="164"/>
        <v>0</v>
      </c>
      <c r="AI157" s="109"/>
      <c r="AJ157" s="108">
        <f t="shared" si="165"/>
        <v>0</v>
      </c>
      <c r="AK157" s="108">
        <f t="shared" si="166"/>
        <v>0</v>
      </c>
      <c r="AL157" s="108">
        <f t="shared" si="167"/>
        <v>0</v>
      </c>
      <c r="AN157" s="100">
        <v>15</v>
      </c>
      <c r="AO157" s="100">
        <f t="shared" si="176"/>
        <v>0</v>
      </c>
      <c r="AP157" s="100">
        <f t="shared" si="177"/>
        <v>0</v>
      </c>
      <c r="AQ157" s="111" t="s">
        <v>7</v>
      </c>
      <c r="AV157" s="100">
        <f t="shared" si="168"/>
        <v>0</v>
      </c>
      <c r="AW157" s="100">
        <f t="shared" si="169"/>
        <v>0</v>
      </c>
      <c r="AX157" s="100">
        <f t="shared" si="170"/>
        <v>0</v>
      </c>
      <c r="AY157" s="110" t="s">
        <v>1701</v>
      </c>
      <c r="AZ157" s="110" t="s">
        <v>1730</v>
      </c>
      <c r="BA157" s="109" t="s">
        <v>1737</v>
      </c>
      <c r="BC157" s="100">
        <f t="shared" si="171"/>
        <v>0</v>
      </c>
      <c r="BD157" s="100">
        <f t="shared" si="172"/>
        <v>0</v>
      </c>
      <c r="BE157" s="100">
        <v>0</v>
      </c>
      <c r="BF157" s="100">
        <f>157</f>
        <v>157</v>
      </c>
      <c r="BH157" s="108">
        <f t="shared" si="173"/>
        <v>0</v>
      </c>
      <c r="BI157" s="108">
        <f t="shared" si="174"/>
        <v>0</v>
      </c>
      <c r="BJ157" s="108">
        <f t="shared" si="175"/>
        <v>0</v>
      </c>
    </row>
    <row r="158" spans="1:62" x14ac:dyDescent="0.2">
      <c r="A158" s="117" t="s">
        <v>125</v>
      </c>
      <c r="B158" s="117" t="s">
        <v>679</v>
      </c>
      <c r="C158" s="304" t="s">
        <v>2473</v>
      </c>
      <c r="D158" s="305"/>
      <c r="E158" s="305"/>
      <c r="F158" s="117" t="s">
        <v>1645</v>
      </c>
      <c r="G158" s="116">
        <v>10.137</v>
      </c>
      <c r="H158" s="159"/>
      <c r="I158" s="108">
        <f t="shared" si="154"/>
        <v>0</v>
      </c>
      <c r="J158" s="108">
        <f t="shared" si="155"/>
        <v>0</v>
      </c>
      <c r="K158" s="108">
        <f t="shared" si="156"/>
        <v>0</v>
      </c>
      <c r="L158" s="111" t="s">
        <v>1671</v>
      </c>
      <c r="Z158" s="100">
        <f t="shared" si="157"/>
        <v>0</v>
      </c>
      <c r="AB158" s="100">
        <f t="shared" si="158"/>
        <v>0</v>
      </c>
      <c r="AC158" s="100">
        <f t="shared" si="159"/>
        <v>0</v>
      </c>
      <c r="AD158" s="100">
        <f t="shared" si="160"/>
        <v>0</v>
      </c>
      <c r="AE158" s="100">
        <f t="shared" si="161"/>
        <v>0</v>
      </c>
      <c r="AF158" s="100">
        <f t="shared" si="162"/>
        <v>0</v>
      </c>
      <c r="AG158" s="100">
        <f t="shared" si="163"/>
        <v>0</v>
      </c>
      <c r="AH158" s="100">
        <f t="shared" si="164"/>
        <v>0</v>
      </c>
      <c r="AI158" s="109"/>
      <c r="AJ158" s="108">
        <f t="shared" si="165"/>
        <v>0</v>
      </c>
      <c r="AK158" s="108">
        <f t="shared" si="166"/>
        <v>0</v>
      </c>
      <c r="AL158" s="108">
        <f t="shared" si="167"/>
        <v>0</v>
      </c>
      <c r="AN158" s="100">
        <v>15</v>
      </c>
      <c r="AO158" s="100">
        <f t="shared" si="176"/>
        <v>0</v>
      </c>
      <c r="AP158" s="100">
        <f t="shared" si="177"/>
        <v>0</v>
      </c>
      <c r="AQ158" s="111" t="s">
        <v>7</v>
      </c>
      <c r="AV158" s="100">
        <f t="shared" si="168"/>
        <v>0</v>
      </c>
      <c r="AW158" s="100">
        <f t="shared" si="169"/>
        <v>0</v>
      </c>
      <c r="AX158" s="100">
        <f t="shared" si="170"/>
        <v>0</v>
      </c>
      <c r="AY158" s="110" t="s">
        <v>1701</v>
      </c>
      <c r="AZ158" s="110" t="s">
        <v>1730</v>
      </c>
      <c r="BA158" s="109" t="s">
        <v>1737</v>
      </c>
      <c r="BC158" s="100">
        <f t="shared" si="171"/>
        <v>0</v>
      </c>
      <c r="BD158" s="100">
        <f t="shared" si="172"/>
        <v>0</v>
      </c>
      <c r="BE158" s="100">
        <v>0</v>
      </c>
      <c r="BF158" s="100">
        <f>158</f>
        <v>158</v>
      </c>
      <c r="BH158" s="108">
        <f t="shared" si="173"/>
        <v>0</v>
      </c>
      <c r="BI158" s="108">
        <f t="shared" si="174"/>
        <v>0</v>
      </c>
      <c r="BJ158" s="108">
        <f t="shared" si="175"/>
        <v>0</v>
      </c>
    </row>
    <row r="159" spans="1:62" x14ac:dyDescent="0.2">
      <c r="A159" s="117" t="s">
        <v>126</v>
      </c>
      <c r="B159" s="117" t="s">
        <v>680</v>
      </c>
      <c r="C159" s="304" t="s">
        <v>2472</v>
      </c>
      <c r="D159" s="305"/>
      <c r="E159" s="305"/>
      <c r="F159" s="117" t="s">
        <v>1645</v>
      </c>
      <c r="G159" s="116">
        <v>65.236000000000004</v>
      </c>
      <c r="H159" s="159"/>
      <c r="I159" s="108">
        <f t="shared" si="154"/>
        <v>0</v>
      </c>
      <c r="J159" s="108">
        <f t="shared" si="155"/>
        <v>0</v>
      </c>
      <c r="K159" s="108">
        <f t="shared" si="156"/>
        <v>0</v>
      </c>
      <c r="L159" s="111" t="s">
        <v>1671</v>
      </c>
      <c r="Z159" s="100">
        <f t="shared" si="157"/>
        <v>0</v>
      </c>
      <c r="AB159" s="100">
        <f t="shared" si="158"/>
        <v>0</v>
      </c>
      <c r="AC159" s="100">
        <f t="shared" si="159"/>
        <v>0</v>
      </c>
      <c r="AD159" s="100">
        <f t="shared" si="160"/>
        <v>0</v>
      </c>
      <c r="AE159" s="100">
        <f t="shared" si="161"/>
        <v>0</v>
      </c>
      <c r="AF159" s="100">
        <f t="shared" si="162"/>
        <v>0</v>
      </c>
      <c r="AG159" s="100">
        <f t="shared" si="163"/>
        <v>0</v>
      </c>
      <c r="AH159" s="100">
        <f t="shared" si="164"/>
        <v>0</v>
      </c>
      <c r="AI159" s="109"/>
      <c r="AJ159" s="108">
        <f t="shared" si="165"/>
        <v>0</v>
      </c>
      <c r="AK159" s="108">
        <f t="shared" si="166"/>
        <v>0</v>
      </c>
      <c r="AL159" s="108">
        <f t="shared" si="167"/>
        <v>0</v>
      </c>
      <c r="AN159" s="100">
        <v>15</v>
      </c>
      <c r="AO159" s="100">
        <f t="shared" si="176"/>
        <v>0</v>
      </c>
      <c r="AP159" s="100">
        <f t="shared" si="177"/>
        <v>0</v>
      </c>
      <c r="AQ159" s="111" t="s">
        <v>7</v>
      </c>
      <c r="AV159" s="100">
        <f t="shared" si="168"/>
        <v>0</v>
      </c>
      <c r="AW159" s="100">
        <f t="shared" si="169"/>
        <v>0</v>
      </c>
      <c r="AX159" s="100">
        <f t="shared" si="170"/>
        <v>0</v>
      </c>
      <c r="AY159" s="110" t="s">
        <v>1701</v>
      </c>
      <c r="AZ159" s="110" t="s">
        <v>1730</v>
      </c>
      <c r="BA159" s="109" t="s">
        <v>1737</v>
      </c>
      <c r="BC159" s="100">
        <f t="shared" si="171"/>
        <v>0</v>
      </c>
      <c r="BD159" s="100">
        <f t="shared" si="172"/>
        <v>0</v>
      </c>
      <c r="BE159" s="100">
        <v>0</v>
      </c>
      <c r="BF159" s="100">
        <f>159</f>
        <v>159</v>
      </c>
      <c r="BH159" s="108">
        <f t="shared" si="173"/>
        <v>0</v>
      </c>
      <c r="BI159" s="108">
        <f t="shared" si="174"/>
        <v>0</v>
      </c>
      <c r="BJ159" s="108">
        <f t="shared" si="175"/>
        <v>0</v>
      </c>
    </row>
    <row r="160" spans="1:62" x14ac:dyDescent="0.2">
      <c r="A160" s="117" t="s">
        <v>127</v>
      </c>
      <c r="B160" s="117" t="s">
        <v>680</v>
      </c>
      <c r="C160" s="304" t="s">
        <v>1189</v>
      </c>
      <c r="D160" s="305"/>
      <c r="E160" s="305"/>
      <c r="F160" s="117" t="s">
        <v>1645</v>
      </c>
      <c r="G160" s="116">
        <v>479.11200000000002</v>
      </c>
      <c r="H160" s="159"/>
      <c r="I160" s="108">
        <f t="shared" si="154"/>
        <v>0</v>
      </c>
      <c r="J160" s="108">
        <f t="shared" si="155"/>
        <v>0</v>
      </c>
      <c r="K160" s="108">
        <f t="shared" si="156"/>
        <v>0</v>
      </c>
      <c r="L160" s="111" t="s">
        <v>1671</v>
      </c>
      <c r="Z160" s="100">
        <f t="shared" si="157"/>
        <v>0</v>
      </c>
      <c r="AB160" s="100">
        <f t="shared" si="158"/>
        <v>0</v>
      </c>
      <c r="AC160" s="100">
        <f t="shared" si="159"/>
        <v>0</v>
      </c>
      <c r="AD160" s="100">
        <f t="shared" si="160"/>
        <v>0</v>
      </c>
      <c r="AE160" s="100">
        <f t="shared" si="161"/>
        <v>0</v>
      </c>
      <c r="AF160" s="100">
        <f t="shared" si="162"/>
        <v>0</v>
      </c>
      <c r="AG160" s="100">
        <f t="shared" si="163"/>
        <v>0</v>
      </c>
      <c r="AH160" s="100">
        <f t="shared" si="164"/>
        <v>0</v>
      </c>
      <c r="AI160" s="109"/>
      <c r="AJ160" s="108">
        <f t="shared" si="165"/>
        <v>0</v>
      </c>
      <c r="AK160" s="108">
        <f t="shared" si="166"/>
        <v>0</v>
      </c>
      <c r="AL160" s="108">
        <f t="shared" si="167"/>
        <v>0</v>
      </c>
      <c r="AN160" s="100">
        <v>15</v>
      </c>
      <c r="AO160" s="100">
        <f t="shared" si="176"/>
        <v>0</v>
      </c>
      <c r="AP160" s="100">
        <f t="shared" si="177"/>
        <v>0</v>
      </c>
      <c r="AQ160" s="111" t="s">
        <v>7</v>
      </c>
      <c r="AV160" s="100">
        <f t="shared" si="168"/>
        <v>0</v>
      </c>
      <c r="AW160" s="100">
        <f t="shared" si="169"/>
        <v>0</v>
      </c>
      <c r="AX160" s="100">
        <f t="shared" si="170"/>
        <v>0</v>
      </c>
      <c r="AY160" s="110" t="s">
        <v>1701</v>
      </c>
      <c r="AZ160" s="110" t="s">
        <v>1730</v>
      </c>
      <c r="BA160" s="109" t="s">
        <v>1737</v>
      </c>
      <c r="BC160" s="100">
        <f t="shared" si="171"/>
        <v>0</v>
      </c>
      <c r="BD160" s="100">
        <f t="shared" si="172"/>
        <v>0</v>
      </c>
      <c r="BE160" s="100">
        <v>0</v>
      </c>
      <c r="BF160" s="100">
        <f>160</f>
        <v>160</v>
      </c>
      <c r="BH160" s="108">
        <f t="shared" si="173"/>
        <v>0</v>
      </c>
      <c r="BI160" s="108">
        <f t="shared" si="174"/>
        <v>0</v>
      </c>
      <c r="BJ160" s="108">
        <f t="shared" si="175"/>
        <v>0</v>
      </c>
    </row>
    <row r="161" spans="1:62" x14ac:dyDescent="0.2">
      <c r="A161" s="117" t="s">
        <v>128</v>
      </c>
      <c r="B161" s="117" t="s">
        <v>681</v>
      </c>
      <c r="C161" s="304" t="s">
        <v>1190</v>
      </c>
      <c r="D161" s="305"/>
      <c r="E161" s="305"/>
      <c r="F161" s="117" t="s">
        <v>1645</v>
      </c>
      <c r="G161" s="116">
        <v>479.11200000000002</v>
      </c>
      <c r="H161" s="159"/>
      <c r="I161" s="108">
        <f t="shared" si="154"/>
        <v>0</v>
      </c>
      <c r="J161" s="108">
        <f t="shared" si="155"/>
        <v>0</v>
      </c>
      <c r="K161" s="108">
        <f t="shared" si="156"/>
        <v>0</v>
      </c>
      <c r="L161" s="111" t="s">
        <v>1671</v>
      </c>
      <c r="Z161" s="100">
        <f t="shared" si="157"/>
        <v>0</v>
      </c>
      <c r="AB161" s="100">
        <f t="shared" si="158"/>
        <v>0</v>
      </c>
      <c r="AC161" s="100">
        <f t="shared" si="159"/>
        <v>0</v>
      </c>
      <c r="AD161" s="100">
        <f t="shared" si="160"/>
        <v>0</v>
      </c>
      <c r="AE161" s="100">
        <f t="shared" si="161"/>
        <v>0</v>
      </c>
      <c r="AF161" s="100">
        <f t="shared" si="162"/>
        <v>0</v>
      </c>
      <c r="AG161" s="100">
        <f t="shared" si="163"/>
        <v>0</v>
      </c>
      <c r="AH161" s="100">
        <f t="shared" si="164"/>
        <v>0</v>
      </c>
      <c r="AI161" s="109"/>
      <c r="AJ161" s="108">
        <f t="shared" si="165"/>
        <v>0</v>
      </c>
      <c r="AK161" s="108">
        <f t="shared" si="166"/>
        <v>0</v>
      </c>
      <c r="AL161" s="108">
        <f t="shared" si="167"/>
        <v>0</v>
      </c>
      <c r="AN161" s="100">
        <v>15</v>
      </c>
      <c r="AO161" s="100">
        <f t="shared" si="176"/>
        <v>0</v>
      </c>
      <c r="AP161" s="100">
        <f t="shared" si="177"/>
        <v>0</v>
      </c>
      <c r="AQ161" s="111" t="s">
        <v>7</v>
      </c>
      <c r="AV161" s="100">
        <f t="shared" si="168"/>
        <v>0</v>
      </c>
      <c r="AW161" s="100">
        <f t="shared" si="169"/>
        <v>0</v>
      </c>
      <c r="AX161" s="100">
        <f t="shared" si="170"/>
        <v>0</v>
      </c>
      <c r="AY161" s="110" t="s">
        <v>1701</v>
      </c>
      <c r="AZ161" s="110" t="s">
        <v>1730</v>
      </c>
      <c r="BA161" s="109" t="s">
        <v>1737</v>
      </c>
      <c r="BC161" s="100">
        <f t="shared" si="171"/>
        <v>0</v>
      </c>
      <c r="BD161" s="100">
        <f t="shared" si="172"/>
        <v>0</v>
      </c>
      <c r="BE161" s="100">
        <v>0</v>
      </c>
      <c r="BF161" s="100">
        <f>161</f>
        <v>161</v>
      </c>
      <c r="BH161" s="108">
        <f t="shared" si="173"/>
        <v>0</v>
      </c>
      <c r="BI161" s="108">
        <f t="shared" si="174"/>
        <v>0</v>
      </c>
      <c r="BJ161" s="108">
        <f t="shared" si="175"/>
        <v>0</v>
      </c>
    </row>
    <row r="162" spans="1:62" x14ac:dyDescent="0.2">
      <c r="A162" s="117" t="s">
        <v>129</v>
      </c>
      <c r="B162" s="117" t="s">
        <v>2471</v>
      </c>
      <c r="C162" s="304" t="s">
        <v>2470</v>
      </c>
      <c r="D162" s="305"/>
      <c r="E162" s="305"/>
      <c r="F162" s="117" t="s">
        <v>1645</v>
      </c>
      <c r="G162" s="116">
        <v>9.0449999999999999</v>
      </c>
      <c r="H162" s="159"/>
      <c r="I162" s="108">
        <f t="shared" si="154"/>
        <v>0</v>
      </c>
      <c r="J162" s="108">
        <f t="shared" si="155"/>
        <v>0</v>
      </c>
      <c r="K162" s="108">
        <f t="shared" si="156"/>
        <v>0</v>
      </c>
      <c r="L162" s="111" t="s">
        <v>1671</v>
      </c>
      <c r="Z162" s="100">
        <f t="shared" si="157"/>
        <v>0</v>
      </c>
      <c r="AB162" s="100">
        <f t="shared" si="158"/>
        <v>0</v>
      </c>
      <c r="AC162" s="100">
        <f t="shared" si="159"/>
        <v>0</v>
      </c>
      <c r="AD162" s="100">
        <f t="shared" si="160"/>
        <v>0</v>
      </c>
      <c r="AE162" s="100">
        <f t="shared" si="161"/>
        <v>0</v>
      </c>
      <c r="AF162" s="100">
        <f t="shared" si="162"/>
        <v>0</v>
      </c>
      <c r="AG162" s="100">
        <f t="shared" si="163"/>
        <v>0</v>
      </c>
      <c r="AH162" s="100">
        <f t="shared" si="164"/>
        <v>0</v>
      </c>
      <c r="AI162" s="109"/>
      <c r="AJ162" s="108">
        <f t="shared" si="165"/>
        <v>0</v>
      </c>
      <c r="AK162" s="108">
        <f t="shared" si="166"/>
        <v>0</v>
      </c>
      <c r="AL162" s="108">
        <f t="shared" si="167"/>
        <v>0</v>
      </c>
      <c r="AN162" s="100">
        <v>15</v>
      </c>
      <c r="AO162" s="100">
        <f t="shared" si="176"/>
        <v>0</v>
      </c>
      <c r="AP162" s="100">
        <f t="shared" si="177"/>
        <v>0</v>
      </c>
      <c r="AQ162" s="111" t="s">
        <v>7</v>
      </c>
      <c r="AV162" s="100">
        <f t="shared" si="168"/>
        <v>0</v>
      </c>
      <c r="AW162" s="100">
        <f t="shared" si="169"/>
        <v>0</v>
      </c>
      <c r="AX162" s="100">
        <f t="shared" si="170"/>
        <v>0</v>
      </c>
      <c r="AY162" s="110" t="s">
        <v>1701</v>
      </c>
      <c r="AZ162" s="110" t="s">
        <v>1730</v>
      </c>
      <c r="BA162" s="109" t="s">
        <v>1737</v>
      </c>
      <c r="BC162" s="100">
        <f t="shared" si="171"/>
        <v>0</v>
      </c>
      <c r="BD162" s="100">
        <f t="shared" si="172"/>
        <v>0</v>
      </c>
      <c r="BE162" s="100">
        <v>0</v>
      </c>
      <c r="BF162" s="100">
        <f>162</f>
        <v>162</v>
      </c>
      <c r="BH162" s="108">
        <f t="shared" si="173"/>
        <v>0</v>
      </c>
      <c r="BI162" s="108">
        <f t="shared" si="174"/>
        <v>0</v>
      </c>
      <c r="BJ162" s="108">
        <f t="shared" si="175"/>
        <v>0</v>
      </c>
    </row>
    <row r="163" spans="1:62" x14ac:dyDescent="0.2">
      <c r="A163" s="117" t="s">
        <v>130</v>
      </c>
      <c r="B163" s="117" t="s">
        <v>682</v>
      </c>
      <c r="C163" s="304" t="s">
        <v>1191</v>
      </c>
      <c r="D163" s="305"/>
      <c r="E163" s="305"/>
      <c r="F163" s="117" t="s">
        <v>1645</v>
      </c>
      <c r="G163" s="116">
        <v>108.25700000000001</v>
      </c>
      <c r="H163" s="159"/>
      <c r="I163" s="108">
        <f t="shared" si="154"/>
        <v>0</v>
      </c>
      <c r="J163" s="108">
        <f t="shared" si="155"/>
        <v>0</v>
      </c>
      <c r="K163" s="108">
        <f t="shared" si="156"/>
        <v>0</v>
      </c>
      <c r="L163" s="111" t="s">
        <v>1671</v>
      </c>
      <c r="Z163" s="100">
        <f t="shared" si="157"/>
        <v>0</v>
      </c>
      <c r="AB163" s="100">
        <f t="shared" si="158"/>
        <v>0</v>
      </c>
      <c r="AC163" s="100">
        <f t="shared" si="159"/>
        <v>0</v>
      </c>
      <c r="AD163" s="100">
        <f t="shared" si="160"/>
        <v>0</v>
      </c>
      <c r="AE163" s="100">
        <f t="shared" si="161"/>
        <v>0</v>
      </c>
      <c r="AF163" s="100">
        <f t="shared" si="162"/>
        <v>0</v>
      </c>
      <c r="AG163" s="100">
        <f t="shared" si="163"/>
        <v>0</v>
      </c>
      <c r="AH163" s="100">
        <f t="shared" si="164"/>
        <v>0</v>
      </c>
      <c r="AI163" s="109"/>
      <c r="AJ163" s="108">
        <f t="shared" si="165"/>
        <v>0</v>
      </c>
      <c r="AK163" s="108">
        <f t="shared" si="166"/>
        <v>0</v>
      </c>
      <c r="AL163" s="108">
        <f t="shared" si="167"/>
        <v>0</v>
      </c>
      <c r="AN163" s="100">
        <v>15</v>
      </c>
      <c r="AO163" s="100">
        <f t="shared" si="176"/>
        <v>0</v>
      </c>
      <c r="AP163" s="100">
        <f t="shared" si="177"/>
        <v>0</v>
      </c>
      <c r="AQ163" s="111" t="s">
        <v>7</v>
      </c>
      <c r="AV163" s="100">
        <f t="shared" si="168"/>
        <v>0</v>
      </c>
      <c r="AW163" s="100">
        <f t="shared" si="169"/>
        <v>0</v>
      </c>
      <c r="AX163" s="100">
        <f t="shared" si="170"/>
        <v>0</v>
      </c>
      <c r="AY163" s="110" t="s">
        <v>1701</v>
      </c>
      <c r="AZ163" s="110" t="s">
        <v>1730</v>
      </c>
      <c r="BA163" s="109" t="s">
        <v>1737</v>
      </c>
      <c r="BC163" s="100">
        <f t="shared" si="171"/>
        <v>0</v>
      </c>
      <c r="BD163" s="100">
        <f t="shared" si="172"/>
        <v>0</v>
      </c>
      <c r="BE163" s="100">
        <v>0</v>
      </c>
      <c r="BF163" s="100">
        <f>163</f>
        <v>163</v>
      </c>
      <c r="BH163" s="108">
        <f t="shared" si="173"/>
        <v>0</v>
      </c>
      <c r="BI163" s="108">
        <f t="shared" si="174"/>
        <v>0</v>
      </c>
      <c r="BJ163" s="108">
        <f t="shared" si="175"/>
        <v>0</v>
      </c>
    </row>
    <row r="164" spans="1:62" x14ac:dyDescent="0.2">
      <c r="A164" s="117" t="s">
        <v>131</v>
      </c>
      <c r="B164" s="117" t="s">
        <v>682</v>
      </c>
      <c r="C164" s="304" t="s">
        <v>1192</v>
      </c>
      <c r="D164" s="305"/>
      <c r="E164" s="305"/>
      <c r="F164" s="117" t="s">
        <v>1645</v>
      </c>
      <c r="G164" s="116">
        <v>67.39</v>
      </c>
      <c r="H164" s="159"/>
      <c r="I164" s="108">
        <f t="shared" si="154"/>
        <v>0</v>
      </c>
      <c r="J164" s="108">
        <f t="shared" si="155"/>
        <v>0</v>
      </c>
      <c r="K164" s="108">
        <f t="shared" si="156"/>
        <v>0</v>
      </c>
      <c r="L164" s="111" t="s">
        <v>1671</v>
      </c>
      <c r="Z164" s="100">
        <f t="shared" si="157"/>
        <v>0</v>
      </c>
      <c r="AB164" s="100">
        <f t="shared" si="158"/>
        <v>0</v>
      </c>
      <c r="AC164" s="100">
        <f t="shared" si="159"/>
        <v>0</v>
      </c>
      <c r="AD164" s="100">
        <f t="shared" si="160"/>
        <v>0</v>
      </c>
      <c r="AE164" s="100">
        <f t="shared" si="161"/>
        <v>0</v>
      </c>
      <c r="AF164" s="100">
        <f t="shared" si="162"/>
        <v>0</v>
      </c>
      <c r="AG164" s="100">
        <f t="shared" si="163"/>
        <v>0</v>
      </c>
      <c r="AH164" s="100">
        <f t="shared" si="164"/>
        <v>0</v>
      </c>
      <c r="AI164" s="109"/>
      <c r="AJ164" s="108">
        <f t="shared" si="165"/>
        <v>0</v>
      </c>
      <c r="AK164" s="108">
        <f t="shared" si="166"/>
        <v>0</v>
      </c>
      <c r="AL164" s="108">
        <f t="shared" si="167"/>
        <v>0</v>
      </c>
      <c r="AN164" s="100">
        <v>15</v>
      </c>
      <c r="AO164" s="100">
        <f t="shared" si="176"/>
        <v>0</v>
      </c>
      <c r="AP164" s="100">
        <f t="shared" si="177"/>
        <v>0</v>
      </c>
      <c r="AQ164" s="111" t="s">
        <v>7</v>
      </c>
      <c r="AV164" s="100">
        <f t="shared" si="168"/>
        <v>0</v>
      </c>
      <c r="AW164" s="100">
        <f t="shared" si="169"/>
        <v>0</v>
      </c>
      <c r="AX164" s="100">
        <f t="shared" si="170"/>
        <v>0</v>
      </c>
      <c r="AY164" s="110" t="s">
        <v>1701</v>
      </c>
      <c r="AZ164" s="110" t="s">
        <v>1730</v>
      </c>
      <c r="BA164" s="109" t="s">
        <v>1737</v>
      </c>
      <c r="BC164" s="100">
        <f t="shared" si="171"/>
        <v>0</v>
      </c>
      <c r="BD164" s="100">
        <f t="shared" si="172"/>
        <v>0</v>
      </c>
      <c r="BE164" s="100">
        <v>0</v>
      </c>
      <c r="BF164" s="100">
        <f>164</f>
        <v>164</v>
      </c>
      <c r="BH164" s="108">
        <f t="shared" si="173"/>
        <v>0</v>
      </c>
      <c r="BI164" s="108">
        <f t="shared" si="174"/>
        <v>0</v>
      </c>
      <c r="BJ164" s="108">
        <f t="shared" si="175"/>
        <v>0</v>
      </c>
    </row>
    <row r="165" spans="1:62" x14ac:dyDescent="0.2">
      <c r="A165" s="117" t="s">
        <v>132</v>
      </c>
      <c r="B165" s="117" t="s">
        <v>683</v>
      </c>
      <c r="C165" s="304" t="s">
        <v>1194</v>
      </c>
      <c r="D165" s="305"/>
      <c r="E165" s="305"/>
      <c r="F165" s="117" t="s">
        <v>1645</v>
      </c>
      <c r="G165" s="116">
        <v>19.77</v>
      </c>
      <c r="H165" s="159"/>
      <c r="I165" s="108">
        <f t="shared" si="154"/>
        <v>0</v>
      </c>
      <c r="J165" s="108">
        <f t="shared" si="155"/>
        <v>0</v>
      </c>
      <c r="K165" s="108">
        <f t="shared" si="156"/>
        <v>0</v>
      </c>
      <c r="L165" s="111" t="s">
        <v>1671</v>
      </c>
      <c r="Z165" s="100">
        <f t="shared" si="157"/>
        <v>0</v>
      </c>
      <c r="AB165" s="100">
        <f t="shared" si="158"/>
        <v>0</v>
      </c>
      <c r="AC165" s="100">
        <f t="shared" si="159"/>
        <v>0</v>
      </c>
      <c r="AD165" s="100">
        <f t="shared" si="160"/>
        <v>0</v>
      </c>
      <c r="AE165" s="100">
        <f t="shared" si="161"/>
        <v>0</v>
      </c>
      <c r="AF165" s="100">
        <f t="shared" si="162"/>
        <v>0</v>
      </c>
      <c r="AG165" s="100">
        <f t="shared" si="163"/>
        <v>0</v>
      </c>
      <c r="AH165" s="100">
        <f t="shared" si="164"/>
        <v>0</v>
      </c>
      <c r="AI165" s="109"/>
      <c r="AJ165" s="108">
        <f t="shared" si="165"/>
        <v>0</v>
      </c>
      <c r="AK165" s="108">
        <f t="shared" si="166"/>
        <v>0</v>
      </c>
      <c r="AL165" s="108">
        <f t="shared" si="167"/>
        <v>0</v>
      </c>
      <c r="AN165" s="100">
        <v>15</v>
      </c>
      <c r="AO165" s="100">
        <f t="shared" si="176"/>
        <v>0</v>
      </c>
      <c r="AP165" s="100">
        <f t="shared" si="177"/>
        <v>0</v>
      </c>
      <c r="AQ165" s="111" t="s">
        <v>7</v>
      </c>
      <c r="AV165" s="100">
        <f t="shared" si="168"/>
        <v>0</v>
      </c>
      <c r="AW165" s="100">
        <f t="shared" si="169"/>
        <v>0</v>
      </c>
      <c r="AX165" s="100">
        <f t="shared" si="170"/>
        <v>0</v>
      </c>
      <c r="AY165" s="110" t="s">
        <v>1701</v>
      </c>
      <c r="AZ165" s="110" t="s">
        <v>1730</v>
      </c>
      <c r="BA165" s="109" t="s">
        <v>1737</v>
      </c>
      <c r="BC165" s="100">
        <f t="shared" si="171"/>
        <v>0</v>
      </c>
      <c r="BD165" s="100">
        <f t="shared" si="172"/>
        <v>0</v>
      </c>
      <c r="BE165" s="100">
        <v>0</v>
      </c>
      <c r="BF165" s="100">
        <f>165</f>
        <v>165</v>
      </c>
      <c r="BH165" s="108">
        <f t="shared" si="173"/>
        <v>0</v>
      </c>
      <c r="BI165" s="108">
        <f t="shared" si="174"/>
        <v>0</v>
      </c>
      <c r="BJ165" s="108">
        <f t="shared" si="175"/>
        <v>0</v>
      </c>
    </row>
    <row r="166" spans="1:62" x14ac:dyDescent="0.2">
      <c r="A166" s="119"/>
      <c r="B166" s="120" t="s">
        <v>686</v>
      </c>
      <c r="C166" s="306" t="s">
        <v>1198</v>
      </c>
      <c r="D166" s="307"/>
      <c r="E166" s="307"/>
      <c r="F166" s="119" t="s">
        <v>6</v>
      </c>
      <c r="G166" s="119" t="s">
        <v>6</v>
      </c>
      <c r="H166" s="119" t="s">
        <v>6</v>
      </c>
      <c r="I166" s="118">
        <f>SUM(I167:I181)</f>
        <v>0</v>
      </c>
      <c r="J166" s="118">
        <f>SUM(J167:J181)</f>
        <v>0</v>
      </c>
      <c r="K166" s="118">
        <f>SUM(K167:K181)</f>
        <v>0</v>
      </c>
      <c r="L166" s="109"/>
      <c r="AI166" s="109"/>
      <c r="AS166" s="118">
        <f>SUM(AJ167:AJ181)</f>
        <v>0</v>
      </c>
      <c r="AT166" s="118">
        <f>SUM(AK167:AK181)</f>
        <v>0</v>
      </c>
      <c r="AU166" s="118">
        <f>SUM(AL167:AL181)</f>
        <v>0</v>
      </c>
    </row>
    <row r="167" spans="1:62" x14ac:dyDescent="0.2">
      <c r="A167" s="117" t="s">
        <v>133</v>
      </c>
      <c r="B167" s="117" t="s">
        <v>687</v>
      </c>
      <c r="C167" s="304" t="s">
        <v>1199</v>
      </c>
      <c r="D167" s="305"/>
      <c r="E167" s="305"/>
      <c r="F167" s="117" t="s">
        <v>1648</v>
      </c>
      <c r="G167" s="116">
        <v>24.672000000000001</v>
      </c>
      <c r="H167" s="159"/>
      <c r="I167" s="108">
        <f t="shared" ref="I167:I181" si="178">G167*AO167</f>
        <v>0</v>
      </c>
      <c r="J167" s="108">
        <f t="shared" ref="J167:J181" si="179">G167*AP167</f>
        <v>0</v>
      </c>
      <c r="K167" s="108">
        <f t="shared" ref="K167:K181" si="180">G167*H167</f>
        <v>0</v>
      </c>
      <c r="L167" s="111" t="s">
        <v>1671</v>
      </c>
      <c r="Z167" s="100">
        <f t="shared" ref="Z167:Z181" si="181">IF(AQ167="5",BJ167,0)</f>
        <v>0</v>
      </c>
      <c r="AB167" s="100">
        <f t="shared" ref="AB167:AB181" si="182">IF(AQ167="1",BH167,0)</f>
        <v>0</v>
      </c>
      <c r="AC167" s="100">
        <f t="shared" ref="AC167:AC181" si="183">IF(AQ167="1",BI167,0)</f>
        <v>0</v>
      </c>
      <c r="AD167" s="100">
        <f t="shared" ref="AD167:AD181" si="184">IF(AQ167="7",BH167,0)</f>
        <v>0</v>
      </c>
      <c r="AE167" s="100">
        <f t="shared" ref="AE167:AE181" si="185">IF(AQ167="7",BI167,0)</f>
        <v>0</v>
      </c>
      <c r="AF167" s="100">
        <f t="shared" ref="AF167:AF181" si="186">IF(AQ167="2",BH167,0)</f>
        <v>0</v>
      </c>
      <c r="AG167" s="100">
        <f t="shared" ref="AG167:AG181" si="187">IF(AQ167="2",BI167,0)</f>
        <v>0</v>
      </c>
      <c r="AH167" s="100">
        <f t="shared" ref="AH167:AH181" si="188">IF(AQ167="0",BJ167,0)</f>
        <v>0</v>
      </c>
      <c r="AI167" s="109"/>
      <c r="AJ167" s="108">
        <f t="shared" ref="AJ167:AJ181" si="189">IF(AN167=0,K167,0)</f>
        <v>0</v>
      </c>
      <c r="AK167" s="108">
        <f t="shared" ref="AK167:AK181" si="190">IF(AN167=15,K167,0)</f>
        <v>0</v>
      </c>
      <c r="AL167" s="108">
        <f t="shared" ref="AL167:AL181" si="191">IF(AN167=21,K167,0)</f>
        <v>0</v>
      </c>
      <c r="AN167" s="100">
        <v>15</v>
      </c>
      <c r="AO167" s="100">
        <f t="shared" ref="AO167:AO181" si="192">H167*0</f>
        <v>0</v>
      </c>
      <c r="AP167" s="100">
        <f t="shared" ref="AP167:AP181" si="193">H167*(1-0)</f>
        <v>0</v>
      </c>
      <c r="AQ167" s="111" t="s">
        <v>11</v>
      </c>
      <c r="AV167" s="100">
        <f t="shared" ref="AV167:AV181" si="194">AW167+AX167</f>
        <v>0</v>
      </c>
      <c r="AW167" s="100">
        <f t="shared" ref="AW167:AW181" si="195">G167*AO167</f>
        <v>0</v>
      </c>
      <c r="AX167" s="100">
        <f t="shared" ref="AX167:AX181" si="196">G167*AP167</f>
        <v>0</v>
      </c>
      <c r="AY167" s="110" t="s">
        <v>1703</v>
      </c>
      <c r="AZ167" s="110" t="s">
        <v>1730</v>
      </c>
      <c r="BA167" s="109" t="s">
        <v>1737</v>
      </c>
      <c r="BC167" s="100">
        <f t="shared" ref="BC167:BC181" si="197">AW167+AX167</f>
        <v>0</v>
      </c>
      <c r="BD167" s="100">
        <f t="shared" ref="BD167:BD181" si="198">H167/(100-BE167)*100</f>
        <v>0</v>
      </c>
      <c r="BE167" s="100">
        <v>0</v>
      </c>
      <c r="BF167" s="100">
        <f>167</f>
        <v>167</v>
      </c>
      <c r="BH167" s="108">
        <f t="shared" ref="BH167:BH181" si="199">G167*AO167</f>
        <v>0</v>
      </c>
      <c r="BI167" s="108">
        <f t="shared" ref="BI167:BI181" si="200">G167*AP167</f>
        <v>0</v>
      </c>
      <c r="BJ167" s="108">
        <f t="shared" ref="BJ167:BJ181" si="201">G167*H167</f>
        <v>0</v>
      </c>
    </row>
    <row r="168" spans="1:62" x14ac:dyDescent="0.2">
      <c r="A168" s="117" t="s">
        <v>134</v>
      </c>
      <c r="B168" s="117" t="s">
        <v>688</v>
      </c>
      <c r="C168" s="304" t="s">
        <v>1200</v>
      </c>
      <c r="D168" s="305"/>
      <c r="E168" s="305"/>
      <c r="F168" s="117" t="s">
        <v>1648</v>
      </c>
      <c r="G168" s="116">
        <v>14.803000000000001</v>
      </c>
      <c r="H168" s="159"/>
      <c r="I168" s="108">
        <f t="shared" si="178"/>
        <v>0</v>
      </c>
      <c r="J168" s="108">
        <f t="shared" si="179"/>
        <v>0</v>
      </c>
      <c r="K168" s="108">
        <f t="shared" si="180"/>
        <v>0</v>
      </c>
      <c r="L168" s="111" t="s">
        <v>1671</v>
      </c>
      <c r="Z168" s="100">
        <f t="shared" si="181"/>
        <v>0</v>
      </c>
      <c r="AB168" s="100">
        <f t="shared" si="182"/>
        <v>0</v>
      </c>
      <c r="AC168" s="100">
        <f t="shared" si="183"/>
        <v>0</v>
      </c>
      <c r="AD168" s="100">
        <f t="shared" si="184"/>
        <v>0</v>
      </c>
      <c r="AE168" s="100">
        <f t="shared" si="185"/>
        <v>0</v>
      </c>
      <c r="AF168" s="100">
        <f t="shared" si="186"/>
        <v>0</v>
      </c>
      <c r="AG168" s="100">
        <f t="shared" si="187"/>
        <v>0</v>
      </c>
      <c r="AH168" s="100">
        <f t="shared" si="188"/>
        <v>0</v>
      </c>
      <c r="AI168" s="109"/>
      <c r="AJ168" s="108">
        <f t="shared" si="189"/>
        <v>0</v>
      </c>
      <c r="AK168" s="108">
        <f t="shared" si="190"/>
        <v>0</v>
      </c>
      <c r="AL168" s="108">
        <f t="shared" si="191"/>
        <v>0</v>
      </c>
      <c r="AN168" s="100">
        <v>15</v>
      </c>
      <c r="AO168" s="100">
        <f t="shared" si="192"/>
        <v>0</v>
      </c>
      <c r="AP168" s="100">
        <f t="shared" si="193"/>
        <v>0</v>
      </c>
      <c r="AQ168" s="111" t="s">
        <v>11</v>
      </c>
      <c r="AV168" s="100">
        <f t="shared" si="194"/>
        <v>0</v>
      </c>
      <c r="AW168" s="100">
        <f t="shared" si="195"/>
        <v>0</v>
      </c>
      <c r="AX168" s="100">
        <f t="shared" si="196"/>
        <v>0</v>
      </c>
      <c r="AY168" s="110" t="s">
        <v>1703</v>
      </c>
      <c r="AZ168" s="110" t="s">
        <v>1730</v>
      </c>
      <c r="BA168" s="109" t="s">
        <v>1737</v>
      </c>
      <c r="BC168" s="100">
        <f t="shared" si="197"/>
        <v>0</v>
      </c>
      <c r="BD168" s="100">
        <f t="shared" si="198"/>
        <v>0</v>
      </c>
      <c r="BE168" s="100">
        <v>0</v>
      </c>
      <c r="BF168" s="100">
        <f>168</f>
        <v>168</v>
      </c>
      <c r="BH168" s="108">
        <f t="shared" si="199"/>
        <v>0</v>
      </c>
      <c r="BI168" s="108">
        <f t="shared" si="200"/>
        <v>0</v>
      </c>
      <c r="BJ168" s="108">
        <f t="shared" si="201"/>
        <v>0</v>
      </c>
    </row>
    <row r="169" spans="1:62" x14ac:dyDescent="0.2">
      <c r="A169" s="117" t="s">
        <v>135</v>
      </c>
      <c r="B169" s="117" t="s">
        <v>689</v>
      </c>
      <c r="C169" s="304" t="s">
        <v>1201</v>
      </c>
      <c r="D169" s="305"/>
      <c r="E169" s="305"/>
      <c r="F169" s="117" t="s">
        <v>1648</v>
      </c>
      <c r="G169" s="116">
        <v>74.015000000000001</v>
      </c>
      <c r="H169" s="159"/>
      <c r="I169" s="108">
        <f t="shared" si="178"/>
        <v>0</v>
      </c>
      <c r="J169" s="108">
        <f t="shared" si="179"/>
        <v>0</v>
      </c>
      <c r="K169" s="108">
        <f t="shared" si="180"/>
        <v>0</v>
      </c>
      <c r="L169" s="111" t="s">
        <v>1671</v>
      </c>
      <c r="Z169" s="100">
        <f t="shared" si="181"/>
        <v>0</v>
      </c>
      <c r="AB169" s="100">
        <f t="shared" si="182"/>
        <v>0</v>
      </c>
      <c r="AC169" s="100">
        <f t="shared" si="183"/>
        <v>0</v>
      </c>
      <c r="AD169" s="100">
        <f t="shared" si="184"/>
        <v>0</v>
      </c>
      <c r="AE169" s="100">
        <f t="shared" si="185"/>
        <v>0</v>
      </c>
      <c r="AF169" s="100">
        <f t="shared" si="186"/>
        <v>0</v>
      </c>
      <c r="AG169" s="100">
        <f t="shared" si="187"/>
        <v>0</v>
      </c>
      <c r="AH169" s="100">
        <f t="shared" si="188"/>
        <v>0</v>
      </c>
      <c r="AI169" s="109"/>
      <c r="AJ169" s="108">
        <f t="shared" si="189"/>
        <v>0</v>
      </c>
      <c r="AK169" s="108">
        <f t="shared" si="190"/>
        <v>0</v>
      </c>
      <c r="AL169" s="108">
        <f t="shared" si="191"/>
        <v>0</v>
      </c>
      <c r="AN169" s="100">
        <v>15</v>
      </c>
      <c r="AO169" s="100">
        <f t="shared" si="192"/>
        <v>0</v>
      </c>
      <c r="AP169" s="100">
        <f t="shared" si="193"/>
        <v>0</v>
      </c>
      <c r="AQ169" s="111" t="s">
        <v>11</v>
      </c>
      <c r="AV169" s="100">
        <f t="shared" si="194"/>
        <v>0</v>
      </c>
      <c r="AW169" s="100">
        <f t="shared" si="195"/>
        <v>0</v>
      </c>
      <c r="AX169" s="100">
        <f t="shared" si="196"/>
        <v>0</v>
      </c>
      <c r="AY169" s="110" t="s">
        <v>1703</v>
      </c>
      <c r="AZ169" s="110" t="s">
        <v>1730</v>
      </c>
      <c r="BA169" s="109" t="s">
        <v>1737</v>
      </c>
      <c r="BC169" s="100">
        <f t="shared" si="197"/>
        <v>0</v>
      </c>
      <c r="BD169" s="100">
        <f t="shared" si="198"/>
        <v>0</v>
      </c>
      <c r="BE169" s="100">
        <v>0</v>
      </c>
      <c r="BF169" s="100">
        <f>169</f>
        <v>169</v>
      </c>
      <c r="BH169" s="108">
        <f t="shared" si="199"/>
        <v>0</v>
      </c>
      <c r="BI169" s="108">
        <f t="shared" si="200"/>
        <v>0</v>
      </c>
      <c r="BJ169" s="108">
        <f t="shared" si="201"/>
        <v>0</v>
      </c>
    </row>
    <row r="170" spans="1:62" x14ac:dyDescent="0.2">
      <c r="A170" s="117" t="s">
        <v>136</v>
      </c>
      <c r="B170" s="117" t="s">
        <v>690</v>
      </c>
      <c r="C170" s="304" t="s">
        <v>1202</v>
      </c>
      <c r="D170" s="305"/>
      <c r="E170" s="305"/>
      <c r="F170" s="117" t="s">
        <v>1648</v>
      </c>
      <c r="G170" s="116">
        <v>666.13499999999999</v>
      </c>
      <c r="H170" s="159"/>
      <c r="I170" s="108">
        <f t="shared" si="178"/>
        <v>0</v>
      </c>
      <c r="J170" s="108">
        <f t="shared" si="179"/>
        <v>0</v>
      </c>
      <c r="K170" s="108">
        <f t="shared" si="180"/>
        <v>0</v>
      </c>
      <c r="L170" s="111" t="s">
        <v>1671</v>
      </c>
      <c r="Z170" s="100">
        <f t="shared" si="181"/>
        <v>0</v>
      </c>
      <c r="AB170" s="100">
        <f t="shared" si="182"/>
        <v>0</v>
      </c>
      <c r="AC170" s="100">
        <f t="shared" si="183"/>
        <v>0</v>
      </c>
      <c r="AD170" s="100">
        <f t="shared" si="184"/>
        <v>0</v>
      </c>
      <c r="AE170" s="100">
        <f t="shared" si="185"/>
        <v>0</v>
      </c>
      <c r="AF170" s="100">
        <f t="shared" si="186"/>
        <v>0</v>
      </c>
      <c r="AG170" s="100">
        <f t="shared" si="187"/>
        <v>0</v>
      </c>
      <c r="AH170" s="100">
        <f t="shared" si="188"/>
        <v>0</v>
      </c>
      <c r="AI170" s="109"/>
      <c r="AJ170" s="108">
        <f t="shared" si="189"/>
        <v>0</v>
      </c>
      <c r="AK170" s="108">
        <f t="shared" si="190"/>
        <v>0</v>
      </c>
      <c r="AL170" s="108">
        <f t="shared" si="191"/>
        <v>0</v>
      </c>
      <c r="AN170" s="100">
        <v>15</v>
      </c>
      <c r="AO170" s="100">
        <f t="shared" si="192"/>
        <v>0</v>
      </c>
      <c r="AP170" s="100">
        <f t="shared" si="193"/>
        <v>0</v>
      </c>
      <c r="AQ170" s="111" t="s">
        <v>11</v>
      </c>
      <c r="AV170" s="100">
        <f t="shared" si="194"/>
        <v>0</v>
      </c>
      <c r="AW170" s="100">
        <f t="shared" si="195"/>
        <v>0</v>
      </c>
      <c r="AX170" s="100">
        <f t="shared" si="196"/>
        <v>0</v>
      </c>
      <c r="AY170" s="110" t="s">
        <v>1703</v>
      </c>
      <c r="AZ170" s="110" t="s">
        <v>1730</v>
      </c>
      <c r="BA170" s="109" t="s">
        <v>1737</v>
      </c>
      <c r="BC170" s="100">
        <f t="shared" si="197"/>
        <v>0</v>
      </c>
      <c r="BD170" s="100">
        <f t="shared" si="198"/>
        <v>0</v>
      </c>
      <c r="BE170" s="100">
        <v>0</v>
      </c>
      <c r="BF170" s="100">
        <f>170</f>
        <v>170</v>
      </c>
      <c r="BH170" s="108">
        <f t="shared" si="199"/>
        <v>0</v>
      </c>
      <c r="BI170" s="108">
        <f t="shared" si="200"/>
        <v>0</v>
      </c>
      <c r="BJ170" s="108">
        <f t="shared" si="201"/>
        <v>0</v>
      </c>
    </row>
    <row r="171" spans="1:62" x14ac:dyDescent="0.2">
      <c r="A171" s="117" t="s">
        <v>137</v>
      </c>
      <c r="B171" s="117" t="s">
        <v>691</v>
      </c>
      <c r="C171" s="304" t="s">
        <v>1203</v>
      </c>
      <c r="D171" s="305"/>
      <c r="E171" s="305"/>
      <c r="F171" s="117" t="s">
        <v>1648</v>
      </c>
      <c r="G171" s="116">
        <v>74.015000000000001</v>
      </c>
      <c r="H171" s="159"/>
      <c r="I171" s="108">
        <f t="shared" si="178"/>
        <v>0</v>
      </c>
      <c r="J171" s="108">
        <f t="shared" si="179"/>
        <v>0</v>
      </c>
      <c r="K171" s="108">
        <f t="shared" si="180"/>
        <v>0</v>
      </c>
      <c r="L171" s="111" t="s">
        <v>1671</v>
      </c>
      <c r="Z171" s="100">
        <f t="shared" si="181"/>
        <v>0</v>
      </c>
      <c r="AB171" s="100">
        <f t="shared" si="182"/>
        <v>0</v>
      </c>
      <c r="AC171" s="100">
        <f t="shared" si="183"/>
        <v>0</v>
      </c>
      <c r="AD171" s="100">
        <f t="shared" si="184"/>
        <v>0</v>
      </c>
      <c r="AE171" s="100">
        <f t="shared" si="185"/>
        <v>0</v>
      </c>
      <c r="AF171" s="100">
        <f t="shared" si="186"/>
        <v>0</v>
      </c>
      <c r="AG171" s="100">
        <f t="shared" si="187"/>
        <v>0</v>
      </c>
      <c r="AH171" s="100">
        <f t="shared" si="188"/>
        <v>0</v>
      </c>
      <c r="AI171" s="109"/>
      <c r="AJ171" s="108">
        <f t="shared" si="189"/>
        <v>0</v>
      </c>
      <c r="AK171" s="108">
        <f t="shared" si="190"/>
        <v>0</v>
      </c>
      <c r="AL171" s="108">
        <f t="shared" si="191"/>
        <v>0</v>
      </c>
      <c r="AN171" s="100">
        <v>15</v>
      </c>
      <c r="AO171" s="100">
        <f t="shared" si="192"/>
        <v>0</v>
      </c>
      <c r="AP171" s="100">
        <f t="shared" si="193"/>
        <v>0</v>
      </c>
      <c r="AQ171" s="111" t="s">
        <v>11</v>
      </c>
      <c r="AV171" s="100">
        <f t="shared" si="194"/>
        <v>0</v>
      </c>
      <c r="AW171" s="100">
        <f t="shared" si="195"/>
        <v>0</v>
      </c>
      <c r="AX171" s="100">
        <f t="shared" si="196"/>
        <v>0</v>
      </c>
      <c r="AY171" s="110" t="s">
        <v>1703</v>
      </c>
      <c r="AZ171" s="110" t="s">
        <v>1730</v>
      </c>
      <c r="BA171" s="109" t="s">
        <v>1737</v>
      </c>
      <c r="BC171" s="100">
        <f t="shared" si="197"/>
        <v>0</v>
      </c>
      <c r="BD171" s="100">
        <f t="shared" si="198"/>
        <v>0</v>
      </c>
      <c r="BE171" s="100">
        <v>0</v>
      </c>
      <c r="BF171" s="100">
        <f>171</f>
        <v>171</v>
      </c>
      <c r="BH171" s="108">
        <f t="shared" si="199"/>
        <v>0</v>
      </c>
      <c r="BI171" s="108">
        <f t="shared" si="200"/>
        <v>0</v>
      </c>
      <c r="BJ171" s="108">
        <f t="shared" si="201"/>
        <v>0</v>
      </c>
    </row>
    <row r="172" spans="1:62" x14ac:dyDescent="0.2">
      <c r="A172" s="117" t="s">
        <v>138</v>
      </c>
      <c r="B172" s="117" t="s">
        <v>692</v>
      </c>
      <c r="C172" s="304" t="s">
        <v>1204</v>
      </c>
      <c r="D172" s="305"/>
      <c r="E172" s="305"/>
      <c r="F172" s="117" t="s">
        <v>1648</v>
      </c>
      <c r="G172" s="116">
        <v>296.06</v>
      </c>
      <c r="H172" s="159"/>
      <c r="I172" s="108">
        <f t="shared" si="178"/>
        <v>0</v>
      </c>
      <c r="J172" s="108">
        <f t="shared" si="179"/>
        <v>0</v>
      </c>
      <c r="K172" s="108">
        <f t="shared" si="180"/>
        <v>0</v>
      </c>
      <c r="L172" s="111" t="s">
        <v>1671</v>
      </c>
      <c r="Z172" s="100">
        <f t="shared" si="181"/>
        <v>0</v>
      </c>
      <c r="AB172" s="100">
        <f t="shared" si="182"/>
        <v>0</v>
      </c>
      <c r="AC172" s="100">
        <f t="shared" si="183"/>
        <v>0</v>
      </c>
      <c r="AD172" s="100">
        <f t="shared" si="184"/>
        <v>0</v>
      </c>
      <c r="AE172" s="100">
        <f t="shared" si="185"/>
        <v>0</v>
      </c>
      <c r="AF172" s="100">
        <f t="shared" si="186"/>
        <v>0</v>
      </c>
      <c r="AG172" s="100">
        <f t="shared" si="187"/>
        <v>0</v>
      </c>
      <c r="AH172" s="100">
        <f t="shared" si="188"/>
        <v>0</v>
      </c>
      <c r="AI172" s="109"/>
      <c r="AJ172" s="108">
        <f t="shared" si="189"/>
        <v>0</v>
      </c>
      <c r="AK172" s="108">
        <f t="shared" si="190"/>
        <v>0</v>
      </c>
      <c r="AL172" s="108">
        <f t="shared" si="191"/>
        <v>0</v>
      </c>
      <c r="AN172" s="100">
        <v>15</v>
      </c>
      <c r="AO172" s="100">
        <f t="shared" si="192"/>
        <v>0</v>
      </c>
      <c r="AP172" s="100">
        <f t="shared" si="193"/>
        <v>0</v>
      </c>
      <c r="AQ172" s="111" t="s">
        <v>11</v>
      </c>
      <c r="AV172" s="100">
        <f t="shared" si="194"/>
        <v>0</v>
      </c>
      <c r="AW172" s="100">
        <f t="shared" si="195"/>
        <v>0</v>
      </c>
      <c r="AX172" s="100">
        <f t="shared" si="196"/>
        <v>0</v>
      </c>
      <c r="AY172" s="110" t="s">
        <v>1703</v>
      </c>
      <c r="AZ172" s="110" t="s">
        <v>1730</v>
      </c>
      <c r="BA172" s="109" t="s">
        <v>1737</v>
      </c>
      <c r="BC172" s="100">
        <f t="shared" si="197"/>
        <v>0</v>
      </c>
      <c r="BD172" s="100">
        <f t="shared" si="198"/>
        <v>0</v>
      </c>
      <c r="BE172" s="100">
        <v>0</v>
      </c>
      <c r="BF172" s="100">
        <f>172</f>
        <v>172</v>
      </c>
      <c r="BH172" s="108">
        <f t="shared" si="199"/>
        <v>0</v>
      </c>
      <c r="BI172" s="108">
        <f t="shared" si="200"/>
        <v>0</v>
      </c>
      <c r="BJ172" s="108">
        <f t="shared" si="201"/>
        <v>0</v>
      </c>
    </row>
    <row r="173" spans="1:62" x14ac:dyDescent="0.2">
      <c r="A173" s="117" t="s">
        <v>139</v>
      </c>
      <c r="B173" s="117" t="s">
        <v>693</v>
      </c>
      <c r="C173" s="304" t="s">
        <v>1205</v>
      </c>
      <c r="D173" s="305"/>
      <c r="E173" s="305"/>
      <c r="F173" s="117" t="s">
        <v>1648</v>
      </c>
      <c r="G173" s="116">
        <v>74.015000000000001</v>
      </c>
      <c r="H173" s="159"/>
      <c r="I173" s="108">
        <f t="shared" si="178"/>
        <v>0</v>
      </c>
      <c r="J173" s="108">
        <f t="shared" si="179"/>
        <v>0</v>
      </c>
      <c r="K173" s="108">
        <f t="shared" si="180"/>
        <v>0</v>
      </c>
      <c r="L173" s="111" t="s">
        <v>1671</v>
      </c>
      <c r="Z173" s="100">
        <f t="shared" si="181"/>
        <v>0</v>
      </c>
      <c r="AB173" s="100">
        <f t="shared" si="182"/>
        <v>0</v>
      </c>
      <c r="AC173" s="100">
        <f t="shared" si="183"/>
        <v>0</v>
      </c>
      <c r="AD173" s="100">
        <f t="shared" si="184"/>
        <v>0</v>
      </c>
      <c r="AE173" s="100">
        <f t="shared" si="185"/>
        <v>0</v>
      </c>
      <c r="AF173" s="100">
        <f t="shared" si="186"/>
        <v>0</v>
      </c>
      <c r="AG173" s="100">
        <f t="shared" si="187"/>
        <v>0</v>
      </c>
      <c r="AH173" s="100">
        <f t="shared" si="188"/>
        <v>0</v>
      </c>
      <c r="AI173" s="109"/>
      <c r="AJ173" s="108">
        <f t="shared" si="189"/>
        <v>0</v>
      </c>
      <c r="AK173" s="108">
        <f t="shared" si="190"/>
        <v>0</v>
      </c>
      <c r="AL173" s="108">
        <f t="shared" si="191"/>
        <v>0</v>
      </c>
      <c r="AN173" s="100">
        <v>15</v>
      </c>
      <c r="AO173" s="100">
        <f t="shared" si="192"/>
        <v>0</v>
      </c>
      <c r="AP173" s="100">
        <f t="shared" si="193"/>
        <v>0</v>
      </c>
      <c r="AQ173" s="111" t="s">
        <v>11</v>
      </c>
      <c r="AV173" s="100">
        <f t="shared" si="194"/>
        <v>0</v>
      </c>
      <c r="AW173" s="100">
        <f t="shared" si="195"/>
        <v>0</v>
      </c>
      <c r="AX173" s="100">
        <f t="shared" si="196"/>
        <v>0</v>
      </c>
      <c r="AY173" s="110" t="s">
        <v>1703</v>
      </c>
      <c r="AZ173" s="110" t="s">
        <v>1730</v>
      </c>
      <c r="BA173" s="109" t="s">
        <v>1737</v>
      </c>
      <c r="BC173" s="100">
        <f t="shared" si="197"/>
        <v>0</v>
      </c>
      <c r="BD173" s="100">
        <f t="shared" si="198"/>
        <v>0</v>
      </c>
      <c r="BE173" s="100">
        <v>0</v>
      </c>
      <c r="BF173" s="100">
        <f>173</f>
        <v>173</v>
      </c>
      <c r="BH173" s="108">
        <f t="shared" si="199"/>
        <v>0</v>
      </c>
      <c r="BI173" s="108">
        <f t="shared" si="200"/>
        <v>0</v>
      </c>
      <c r="BJ173" s="108">
        <f t="shared" si="201"/>
        <v>0</v>
      </c>
    </row>
    <row r="174" spans="1:62" x14ac:dyDescent="0.2">
      <c r="A174" s="117" t="s">
        <v>140</v>
      </c>
      <c r="B174" s="117" t="s">
        <v>694</v>
      </c>
      <c r="C174" s="304" t="s">
        <v>1206</v>
      </c>
      <c r="D174" s="305"/>
      <c r="E174" s="305"/>
      <c r="F174" s="117" t="s">
        <v>1648</v>
      </c>
      <c r="G174" s="116">
        <v>74.015000000000001</v>
      </c>
      <c r="H174" s="159"/>
      <c r="I174" s="108">
        <f t="shared" si="178"/>
        <v>0</v>
      </c>
      <c r="J174" s="108">
        <f t="shared" si="179"/>
        <v>0</v>
      </c>
      <c r="K174" s="108">
        <f t="shared" si="180"/>
        <v>0</v>
      </c>
      <c r="L174" s="111" t="s">
        <v>1671</v>
      </c>
      <c r="Z174" s="100">
        <f t="shared" si="181"/>
        <v>0</v>
      </c>
      <c r="AB174" s="100">
        <f t="shared" si="182"/>
        <v>0</v>
      </c>
      <c r="AC174" s="100">
        <f t="shared" si="183"/>
        <v>0</v>
      </c>
      <c r="AD174" s="100">
        <f t="shared" si="184"/>
        <v>0</v>
      </c>
      <c r="AE174" s="100">
        <f t="shared" si="185"/>
        <v>0</v>
      </c>
      <c r="AF174" s="100">
        <f t="shared" si="186"/>
        <v>0</v>
      </c>
      <c r="AG174" s="100">
        <f t="shared" si="187"/>
        <v>0</v>
      </c>
      <c r="AH174" s="100">
        <f t="shared" si="188"/>
        <v>0</v>
      </c>
      <c r="AI174" s="109"/>
      <c r="AJ174" s="108">
        <f t="shared" si="189"/>
        <v>0</v>
      </c>
      <c r="AK174" s="108">
        <f t="shared" si="190"/>
        <v>0</v>
      </c>
      <c r="AL174" s="108">
        <f t="shared" si="191"/>
        <v>0</v>
      </c>
      <c r="AN174" s="100">
        <v>15</v>
      </c>
      <c r="AO174" s="100">
        <f t="shared" si="192"/>
        <v>0</v>
      </c>
      <c r="AP174" s="100">
        <f t="shared" si="193"/>
        <v>0</v>
      </c>
      <c r="AQ174" s="111" t="s">
        <v>11</v>
      </c>
      <c r="AV174" s="100">
        <f t="shared" si="194"/>
        <v>0</v>
      </c>
      <c r="AW174" s="100">
        <f t="shared" si="195"/>
        <v>0</v>
      </c>
      <c r="AX174" s="100">
        <f t="shared" si="196"/>
        <v>0</v>
      </c>
      <c r="AY174" s="110" t="s">
        <v>1703</v>
      </c>
      <c r="AZ174" s="110" t="s">
        <v>1730</v>
      </c>
      <c r="BA174" s="109" t="s">
        <v>1737</v>
      </c>
      <c r="BC174" s="100">
        <f t="shared" si="197"/>
        <v>0</v>
      </c>
      <c r="BD174" s="100">
        <f t="shared" si="198"/>
        <v>0</v>
      </c>
      <c r="BE174" s="100">
        <v>0</v>
      </c>
      <c r="BF174" s="100">
        <f>174</f>
        <v>174</v>
      </c>
      <c r="BH174" s="108">
        <f t="shared" si="199"/>
        <v>0</v>
      </c>
      <c r="BI174" s="108">
        <f t="shared" si="200"/>
        <v>0</v>
      </c>
      <c r="BJ174" s="108">
        <f t="shared" si="201"/>
        <v>0</v>
      </c>
    </row>
    <row r="175" spans="1:62" x14ac:dyDescent="0.2">
      <c r="A175" s="117" t="s">
        <v>141</v>
      </c>
      <c r="B175" s="117" t="s">
        <v>695</v>
      </c>
      <c r="C175" s="304" t="s">
        <v>1207</v>
      </c>
      <c r="D175" s="305"/>
      <c r="E175" s="305"/>
      <c r="F175" s="117" t="s">
        <v>1648</v>
      </c>
      <c r="G175" s="116">
        <v>3.4119999999999999</v>
      </c>
      <c r="H175" s="159"/>
      <c r="I175" s="108">
        <f t="shared" si="178"/>
        <v>0</v>
      </c>
      <c r="J175" s="108">
        <f t="shared" si="179"/>
        <v>0</v>
      </c>
      <c r="K175" s="108">
        <f t="shared" si="180"/>
        <v>0</v>
      </c>
      <c r="L175" s="111" t="s">
        <v>1671</v>
      </c>
      <c r="Z175" s="100">
        <f t="shared" si="181"/>
        <v>0</v>
      </c>
      <c r="AB175" s="100">
        <f t="shared" si="182"/>
        <v>0</v>
      </c>
      <c r="AC175" s="100">
        <f t="shared" si="183"/>
        <v>0</v>
      </c>
      <c r="AD175" s="100">
        <f t="shared" si="184"/>
        <v>0</v>
      </c>
      <c r="AE175" s="100">
        <f t="shared" si="185"/>
        <v>0</v>
      </c>
      <c r="AF175" s="100">
        <f t="shared" si="186"/>
        <v>0</v>
      </c>
      <c r="AG175" s="100">
        <f t="shared" si="187"/>
        <v>0</v>
      </c>
      <c r="AH175" s="100">
        <f t="shared" si="188"/>
        <v>0</v>
      </c>
      <c r="AI175" s="109"/>
      <c r="AJ175" s="108">
        <f t="shared" si="189"/>
        <v>0</v>
      </c>
      <c r="AK175" s="108">
        <f t="shared" si="190"/>
        <v>0</v>
      </c>
      <c r="AL175" s="108">
        <f t="shared" si="191"/>
        <v>0</v>
      </c>
      <c r="AN175" s="100">
        <v>15</v>
      </c>
      <c r="AO175" s="100">
        <f t="shared" si="192"/>
        <v>0</v>
      </c>
      <c r="AP175" s="100">
        <f t="shared" si="193"/>
        <v>0</v>
      </c>
      <c r="AQ175" s="111" t="s">
        <v>11</v>
      </c>
      <c r="AV175" s="100">
        <f t="shared" si="194"/>
        <v>0</v>
      </c>
      <c r="AW175" s="100">
        <f t="shared" si="195"/>
        <v>0</v>
      </c>
      <c r="AX175" s="100">
        <f t="shared" si="196"/>
        <v>0</v>
      </c>
      <c r="AY175" s="110" t="s">
        <v>1703</v>
      </c>
      <c r="AZ175" s="110" t="s">
        <v>1730</v>
      </c>
      <c r="BA175" s="109" t="s">
        <v>1737</v>
      </c>
      <c r="BC175" s="100">
        <f t="shared" si="197"/>
        <v>0</v>
      </c>
      <c r="BD175" s="100">
        <f t="shared" si="198"/>
        <v>0</v>
      </c>
      <c r="BE175" s="100">
        <v>0</v>
      </c>
      <c r="BF175" s="100">
        <f>175</f>
        <v>175</v>
      </c>
      <c r="BH175" s="108">
        <f t="shared" si="199"/>
        <v>0</v>
      </c>
      <c r="BI175" s="108">
        <f t="shared" si="200"/>
        <v>0</v>
      </c>
      <c r="BJ175" s="108">
        <f t="shared" si="201"/>
        <v>0</v>
      </c>
    </row>
    <row r="176" spans="1:62" x14ac:dyDescent="0.2">
      <c r="A176" s="117" t="s">
        <v>142</v>
      </c>
      <c r="B176" s="117" t="s">
        <v>696</v>
      </c>
      <c r="C176" s="304" t="s">
        <v>1208</v>
      </c>
      <c r="D176" s="305"/>
      <c r="E176" s="305"/>
      <c r="F176" s="117" t="s">
        <v>1648</v>
      </c>
      <c r="G176" s="116">
        <v>8.0960000000000001</v>
      </c>
      <c r="H176" s="159"/>
      <c r="I176" s="108">
        <f t="shared" si="178"/>
        <v>0</v>
      </c>
      <c r="J176" s="108">
        <f t="shared" si="179"/>
        <v>0</v>
      </c>
      <c r="K176" s="108">
        <f t="shared" si="180"/>
        <v>0</v>
      </c>
      <c r="L176" s="111" t="s">
        <v>1671</v>
      </c>
      <c r="Z176" s="100">
        <f t="shared" si="181"/>
        <v>0</v>
      </c>
      <c r="AB176" s="100">
        <f t="shared" si="182"/>
        <v>0</v>
      </c>
      <c r="AC176" s="100">
        <f t="shared" si="183"/>
        <v>0</v>
      </c>
      <c r="AD176" s="100">
        <f t="shared" si="184"/>
        <v>0</v>
      </c>
      <c r="AE176" s="100">
        <f t="shared" si="185"/>
        <v>0</v>
      </c>
      <c r="AF176" s="100">
        <f t="shared" si="186"/>
        <v>0</v>
      </c>
      <c r="AG176" s="100">
        <f t="shared" si="187"/>
        <v>0</v>
      </c>
      <c r="AH176" s="100">
        <f t="shared" si="188"/>
        <v>0</v>
      </c>
      <c r="AI176" s="109"/>
      <c r="AJ176" s="108">
        <f t="shared" si="189"/>
        <v>0</v>
      </c>
      <c r="AK176" s="108">
        <f t="shared" si="190"/>
        <v>0</v>
      </c>
      <c r="AL176" s="108">
        <f t="shared" si="191"/>
        <v>0</v>
      </c>
      <c r="AN176" s="100">
        <v>15</v>
      </c>
      <c r="AO176" s="100">
        <f t="shared" si="192"/>
        <v>0</v>
      </c>
      <c r="AP176" s="100">
        <f t="shared" si="193"/>
        <v>0</v>
      </c>
      <c r="AQ176" s="111" t="s">
        <v>11</v>
      </c>
      <c r="AV176" s="100">
        <f t="shared" si="194"/>
        <v>0</v>
      </c>
      <c r="AW176" s="100">
        <f t="shared" si="195"/>
        <v>0</v>
      </c>
      <c r="AX176" s="100">
        <f t="shared" si="196"/>
        <v>0</v>
      </c>
      <c r="AY176" s="110" t="s">
        <v>1703</v>
      </c>
      <c r="AZ176" s="110" t="s">
        <v>1730</v>
      </c>
      <c r="BA176" s="109" t="s">
        <v>1737</v>
      </c>
      <c r="BC176" s="100">
        <f t="shared" si="197"/>
        <v>0</v>
      </c>
      <c r="BD176" s="100">
        <f t="shared" si="198"/>
        <v>0</v>
      </c>
      <c r="BE176" s="100">
        <v>0</v>
      </c>
      <c r="BF176" s="100">
        <f>176</f>
        <v>176</v>
      </c>
      <c r="BH176" s="108">
        <f t="shared" si="199"/>
        <v>0</v>
      </c>
      <c r="BI176" s="108">
        <f t="shared" si="200"/>
        <v>0</v>
      </c>
      <c r="BJ176" s="108">
        <f t="shared" si="201"/>
        <v>0</v>
      </c>
    </row>
    <row r="177" spans="1:62" x14ac:dyDescent="0.2">
      <c r="A177" s="117" t="s">
        <v>143</v>
      </c>
      <c r="B177" s="117" t="s">
        <v>697</v>
      </c>
      <c r="C177" s="304" t="s">
        <v>1209</v>
      </c>
      <c r="D177" s="305"/>
      <c r="E177" s="305"/>
      <c r="F177" s="117" t="s">
        <v>1648</v>
      </c>
      <c r="G177" s="116">
        <v>29.991</v>
      </c>
      <c r="H177" s="159"/>
      <c r="I177" s="108">
        <f t="shared" si="178"/>
        <v>0</v>
      </c>
      <c r="J177" s="108">
        <f t="shared" si="179"/>
        <v>0</v>
      </c>
      <c r="K177" s="108">
        <f t="shared" si="180"/>
        <v>0</v>
      </c>
      <c r="L177" s="111" t="s">
        <v>1671</v>
      </c>
      <c r="Z177" s="100">
        <f t="shared" si="181"/>
        <v>0</v>
      </c>
      <c r="AB177" s="100">
        <f t="shared" si="182"/>
        <v>0</v>
      </c>
      <c r="AC177" s="100">
        <f t="shared" si="183"/>
        <v>0</v>
      </c>
      <c r="AD177" s="100">
        <f t="shared" si="184"/>
        <v>0</v>
      </c>
      <c r="AE177" s="100">
        <f t="shared" si="185"/>
        <v>0</v>
      </c>
      <c r="AF177" s="100">
        <f t="shared" si="186"/>
        <v>0</v>
      </c>
      <c r="AG177" s="100">
        <f t="shared" si="187"/>
        <v>0</v>
      </c>
      <c r="AH177" s="100">
        <f t="shared" si="188"/>
        <v>0</v>
      </c>
      <c r="AI177" s="109"/>
      <c r="AJ177" s="108">
        <f t="shared" si="189"/>
        <v>0</v>
      </c>
      <c r="AK177" s="108">
        <f t="shared" si="190"/>
        <v>0</v>
      </c>
      <c r="AL177" s="108">
        <f t="shared" si="191"/>
        <v>0</v>
      </c>
      <c r="AN177" s="100">
        <v>15</v>
      </c>
      <c r="AO177" s="100">
        <f t="shared" si="192"/>
        <v>0</v>
      </c>
      <c r="AP177" s="100">
        <f t="shared" si="193"/>
        <v>0</v>
      </c>
      <c r="AQ177" s="111" t="s">
        <v>11</v>
      </c>
      <c r="AV177" s="100">
        <f t="shared" si="194"/>
        <v>0</v>
      </c>
      <c r="AW177" s="100">
        <f t="shared" si="195"/>
        <v>0</v>
      </c>
      <c r="AX177" s="100">
        <f t="shared" si="196"/>
        <v>0</v>
      </c>
      <c r="AY177" s="110" t="s">
        <v>1703</v>
      </c>
      <c r="AZ177" s="110" t="s">
        <v>1730</v>
      </c>
      <c r="BA177" s="109" t="s">
        <v>1737</v>
      </c>
      <c r="BC177" s="100">
        <f t="shared" si="197"/>
        <v>0</v>
      </c>
      <c r="BD177" s="100">
        <f t="shared" si="198"/>
        <v>0</v>
      </c>
      <c r="BE177" s="100">
        <v>0</v>
      </c>
      <c r="BF177" s="100">
        <f>177</f>
        <v>177</v>
      </c>
      <c r="BH177" s="108">
        <f t="shared" si="199"/>
        <v>0</v>
      </c>
      <c r="BI177" s="108">
        <f t="shared" si="200"/>
        <v>0</v>
      </c>
      <c r="BJ177" s="108">
        <f t="shared" si="201"/>
        <v>0</v>
      </c>
    </row>
    <row r="178" spans="1:62" x14ac:dyDescent="0.2">
      <c r="A178" s="117" t="s">
        <v>144</v>
      </c>
      <c r="B178" s="117" t="s">
        <v>698</v>
      </c>
      <c r="C178" s="304" t="s">
        <v>1210</v>
      </c>
      <c r="D178" s="305"/>
      <c r="E178" s="305"/>
      <c r="F178" s="117" t="s">
        <v>1648</v>
      </c>
      <c r="G178" s="116">
        <v>19.983000000000001</v>
      </c>
      <c r="H178" s="159"/>
      <c r="I178" s="108">
        <f t="shared" si="178"/>
        <v>0</v>
      </c>
      <c r="J178" s="108">
        <f t="shared" si="179"/>
        <v>0</v>
      </c>
      <c r="K178" s="108">
        <f t="shared" si="180"/>
        <v>0</v>
      </c>
      <c r="L178" s="111" t="s">
        <v>1671</v>
      </c>
      <c r="Z178" s="100">
        <f t="shared" si="181"/>
        <v>0</v>
      </c>
      <c r="AB178" s="100">
        <f t="shared" si="182"/>
        <v>0</v>
      </c>
      <c r="AC178" s="100">
        <f t="shared" si="183"/>
        <v>0</v>
      </c>
      <c r="AD178" s="100">
        <f t="shared" si="184"/>
        <v>0</v>
      </c>
      <c r="AE178" s="100">
        <f t="shared" si="185"/>
        <v>0</v>
      </c>
      <c r="AF178" s="100">
        <f t="shared" si="186"/>
        <v>0</v>
      </c>
      <c r="AG178" s="100">
        <f t="shared" si="187"/>
        <v>0</v>
      </c>
      <c r="AH178" s="100">
        <f t="shared" si="188"/>
        <v>0</v>
      </c>
      <c r="AI178" s="109"/>
      <c r="AJ178" s="108">
        <f t="shared" si="189"/>
        <v>0</v>
      </c>
      <c r="AK178" s="108">
        <f t="shared" si="190"/>
        <v>0</v>
      </c>
      <c r="AL178" s="108">
        <f t="shared" si="191"/>
        <v>0</v>
      </c>
      <c r="AN178" s="100">
        <v>15</v>
      </c>
      <c r="AO178" s="100">
        <f t="shared" si="192"/>
        <v>0</v>
      </c>
      <c r="AP178" s="100">
        <f t="shared" si="193"/>
        <v>0</v>
      </c>
      <c r="AQ178" s="111" t="s">
        <v>11</v>
      </c>
      <c r="AV178" s="100">
        <f t="shared" si="194"/>
        <v>0</v>
      </c>
      <c r="AW178" s="100">
        <f t="shared" si="195"/>
        <v>0</v>
      </c>
      <c r="AX178" s="100">
        <f t="shared" si="196"/>
        <v>0</v>
      </c>
      <c r="AY178" s="110" t="s">
        <v>1703</v>
      </c>
      <c r="AZ178" s="110" t="s">
        <v>1730</v>
      </c>
      <c r="BA178" s="109" t="s">
        <v>1737</v>
      </c>
      <c r="BC178" s="100">
        <f t="shared" si="197"/>
        <v>0</v>
      </c>
      <c r="BD178" s="100">
        <f t="shared" si="198"/>
        <v>0</v>
      </c>
      <c r="BE178" s="100">
        <v>0</v>
      </c>
      <c r="BF178" s="100">
        <f>178</f>
        <v>178</v>
      </c>
      <c r="BH178" s="108">
        <f t="shared" si="199"/>
        <v>0</v>
      </c>
      <c r="BI178" s="108">
        <f t="shared" si="200"/>
        <v>0</v>
      </c>
      <c r="BJ178" s="108">
        <f t="shared" si="201"/>
        <v>0</v>
      </c>
    </row>
    <row r="179" spans="1:62" x14ac:dyDescent="0.2">
      <c r="A179" s="117" t="s">
        <v>145</v>
      </c>
      <c r="B179" s="117" t="s">
        <v>700</v>
      </c>
      <c r="C179" s="304" t="s">
        <v>1212</v>
      </c>
      <c r="D179" s="305"/>
      <c r="E179" s="305"/>
      <c r="F179" s="117" t="s">
        <v>1648</v>
      </c>
      <c r="G179" s="116">
        <v>0.222</v>
      </c>
      <c r="H179" s="159"/>
      <c r="I179" s="108">
        <f t="shared" si="178"/>
        <v>0</v>
      </c>
      <c r="J179" s="108">
        <f t="shared" si="179"/>
        <v>0</v>
      </c>
      <c r="K179" s="108">
        <f t="shared" si="180"/>
        <v>0</v>
      </c>
      <c r="L179" s="111" t="s">
        <v>1671</v>
      </c>
      <c r="Z179" s="100">
        <f t="shared" si="181"/>
        <v>0</v>
      </c>
      <c r="AB179" s="100">
        <f t="shared" si="182"/>
        <v>0</v>
      </c>
      <c r="AC179" s="100">
        <f t="shared" si="183"/>
        <v>0</v>
      </c>
      <c r="AD179" s="100">
        <f t="shared" si="184"/>
        <v>0</v>
      </c>
      <c r="AE179" s="100">
        <f t="shared" si="185"/>
        <v>0</v>
      </c>
      <c r="AF179" s="100">
        <f t="shared" si="186"/>
        <v>0</v>
      </c>
      <c r="AG179" s="100">
        <f t="shared" si="187"/>
        <v>0</v>
      </c>
      <c r="AH179" s="100">
        <f t="shared" si="188"/>
        <v>0</v>
      </c>
      <c r="AI179" s="109"/>
      <c r="AJ179" s="108">
        <f t="shared" si="189"/>
        <v>0</v>
      </c>
      <c r="AK179" s="108">
        <f t="shared" si="190"/>
        <v>0</v>
      </c>
      <c r="AL179" s="108">
        <f t="shared" si="191"/>
        <v>0</v>
      </c>
      <c r="AN179" s="100">
        <v>15</v>
      </c>
      <c r="AO179" s="100">
        <f t="shared" si="192"/>
        <v>0</v>
      </c>
      <c r="AP179" s="100">
        <f t="shared" si="193"/>
        <v>0</v>
      </c>
      <c r="AQ179" s="111" t="s">
        <v>11</v>
      </c>
      <c r="AV179" s="100">
        <f t="shared" si="194"/>
        <v>0</v>
      </c>
      <c r="AW179" s="100">
        <f t="shared" si="195"/>
        <v>0</v>
      </c>
      <c r="AX179" s="100">
        <f t="shared" si="196"/>
        <v>0</v>
      </c>
      <c r="AY179" s="110" t="s">
        <v>1703</v>
      </c>
      <c r="AZ179" s="110" t="s">
        <v>1730</v>
      </c>
      <c r="BA179" s="109" t="s">
        <v>1737</v>
      </c>
      <c r="BC179" s="100">
        <f t="shared" si="197"/>
        <v>0</v>
      </c>
      <c r="BD179" s="100">
        <f t="shared" si="198"/>
        <v>0</v>
      </c>
      <c r="BE179" s="100">
        <v>0</v>
      </c>
      <c r="BF179" s="100">
        <f>179</f>
        <v>179</v>
      </c>
      <c r="BH179" s="108">
        <f t="shared" si="199"/>
        <v>0</v>
      </c>
      <c r="BI179" s="108">
        <f t="shared" si="200"/>
        <v>0</v>
      </c>
      <c r="BJ179" s="108">
        <f t="shared" si="201"/>
        <v>0</v>
      </c>
    </row>
    <row r="180" spans="1:62" x14ac:dyDescent="0.2">
      <c r="A180" s="117" t="s">
        <v>146</v>
      </c>
      <c r="B180" s="117" t="s">
        <v>701</v>
      </c>
      <c r="C180" s="304" t="s">
        <v>1213</v>
      </c>
      <c r="D180" s="305"/>
      <c r="E180" s="305"/>
      <c r="F180" s="117" t="s">
        <v>1648</v>
      </c>
      <c r="G180" s="116">
        <v>4.6589999999999998</v>
      </c>
      <c r="H180" s="159"/>
      <c r="I180" s="108">
        <f t="shared" si="178"/>
        <v>0</v>
      </c>
      <c r="J180" s="108">
        <f t="shared" si="179"/>
        <v>0</v>
      </c>
      <c r="K180" s="108">
        <f t="shared" si="180"/>
        <v>0</v>
      </c>
      <c r="L180" s="111" t="s">
        <v>1671</v>
      </c>
      <c r="Z180" s="100">
        <f t="shared" si="181"/>
        <v>0</v>
      </c>
      <c r="AB180" s="100">
        <f t="shared" si="182"/>
        <v>0</v>
      </c>
      <c r="AC180" s="100">
        <f t="shared" si="183"/>
        <v>0</v>
      </c>
      <c r="AD180" s="100">
        <f t="shared" si="184"/>
        <v>0</v>
      </c>
      <c r="AE180" s="100">
        <f t="shared" si="185"/>
        <v>0</v>
      </c>
      <c r="AF180" s="100">
        <f t="shared" si="186"/>
        <v>0</v>
      </c>
      <c r="AG180" s="100">
        <f t="shared" si="187"/>
        <v>0</v>
      </c>
      <c r="AH180" s="100">
        <f t="shared" si="188"/>
        <v>0</v>
      </c>
      <c r="AI180" s="109"/>
      <c r="AJ180" s="108">
        <f t="shared" si="189"/>
        <v>0</v>
      </c>
      <c r="AK180" s="108">
        <f t="shared" si="190"/>
        <v>0</v>
      </c>
      <c r="AL180" s="108">
        <f t="shared" si="191"/>
        <v>0</v>
      </c>
      <c r="AN180" s="100">
        <v>15</v>
      </c>
      <c r="AO180" s="100">
        <f t="shared" si="192"/>
        <v>0</v>
      </c>
      <c r="AP180" s="100">
        <f t="shared" si="193"/>
        <v>0</v>
      </c>
      <c r="AQ180" s="111" t="s">
        <v>11</v>
      </c>
      <c r="AV180" s="100">
        <f t="shared" si="194"/>
        <v>0</v>
      </c>
      <c r="AW180" s="100">
        <f t="shared" si="195"/>
        <v>0</v>
      </c>
      <c r="AX180" s="100">
        <f t="shared" si="196"/>
        <v>0</v>
      </c>
      <c r="AY180" s="110" t="s">
        <v>1703</v>
      </c>
      <c r="AZ180" s="110" t="s">
        <v>1730</v>
      </c>
      <c r="BA180" s="109" t="s">
        <v>1737</v>
      </c>
      <c r="BC180" s="100">
        <f t="shared" si="197"/>
        <v>0</v>
      </c>
      <c r="BD180" s="100">
        <f t="shared" si="198"/>
        <v>0</v>
      </c>
      <c r="BE180" s="100">
        <v>0</v>
      </c>
      <c r="BF180" s="100">
        <f>180</f>
        <v>180</v>
      </c>
      <c r="BH180" s="108">
        <f t="shared" si="199"/>
        <v>0</v>
      </c>
      <c r="BI180" s="108">
        <f t="shared" si="200"/>
        <v>0</v>
      </c>
      <c r="BJ180" s="108">
        <f t="shared" si="201"/>
        <v>0</v>
      </c>
    </row>
    <row r="181" spans="1:62" x14ac:dyDescent="0.2">
      <c r="A181" s="117" t="s">
        <v>147</v>
      </c>
      <c r="B181" s="117" t="s">
        <v>702</v>
      </c>
      <c r="C181" s="304" t="s">
        <v>1214</v>
      </c>
      <c r="D181" s="305"/>
      <c r="E181" s="305"/>
      <c r="F181" s="117" t="s">
        <v>1648</v>
      </c>
      <c r="G181" s="116">
        <v>7.6520000000000001</v>
      </c>
      <c r="H181" s="159"/>
      <c r="I181" s="108">
        <f t="shared" si="178"/>
        <v>0</v>
      </c>
      <c r="J181" s="108">
        <f t="shared" si="179"/>
        <v>0</v>
      </c>
      <c r="K181" s="108">
        <f t="shared" si="180"/>
        <v>0</v>
      </c>
      <c r="L181" s="111" t="s">
        <v>1671</v>
      </c>
      <c r="Z181" s="100">
        <f t="shared" si="181"/>
        <v>0</v>
      </c>
      <c r="AB181" s="100">
        <f t="shared" si="182"/>
        <v>0</v>
      </c>
      <c r="AC181" s="100">
        <f t="shared" si="183"/>
        <v>0</v>
      </c>
      <c r="AD181" s="100">
        <f t="shared" si="184"/>
        <v>0</v>
      </c>
      <c r="AE181" s="100">
        <f t="shared" si="185"/>
        <v>0</v>
      </c>
      <c r="AF181" s="100">
        <f t="shared" si="186"/>
        <v>0</v>
      </c>
      <c r="AG181" s="100">
        <f t="shared" si="187"/>
        <v>0</v>
      </c>
      <c r="AH181" s="100">
        <f t="shared" si="188"/>
        <v>0</v>
      </c>
      <c r="AI181" s="109"/>
      <c r="AJ181" s="108">
        <f t="shared" si="189"/>
        <v>0</v>
      </c>
      <c r="AK181" s="108">
        <f t="shared" si="190"/>
        <v>0</v>
      </c>
      <c r="AL181" s="108">
        <f t="shared" si="191"/>
        <v>0</v>
      </c>
      <c r="AN181" s="100">
        <v>15</v>
      </c>
      <c r="AO181" s="100">
        <f t="shared" si="192"/>
        <v>0</v>
      </c>
      <c r="AP181" s="100">
        <f t="shared" si="193"/>
        <v>0</v>
      </c>
      <c r="AQ181" s="111" t="s">
        <v>11</v>
      </c>
      <c r="AV181" s="100">
        <f t="shared" si="194"/>
        <v>0</v>
      </c>
      <c r="AW181" s="100">
        <f t="shared" si="195"/>
        <v>0</v>
      </c>
      <c r="AX181" s="100">
        <f t="shared" si="196"/>
        <v>0</v>
      </c>
      <c r="AY181" s="110" t="s">
        <v>1703</v>
      </c>
      <c r="AZ181" s="110" t="s">
        <v>1730</v>
      </c>
      <c r="BA181" s="109" t="s">
        <v>1737</v>
      </c>
      <c r="BC181" s="100">
        <f t="shared" si="197"/>
        <v>0</v>
      </c>
      <c r="BD181" s="100">
        <f t="shared" si="198"/>
        <v>0</v>
      </c>
      <c r="BE181" s="100">
        <v>0</v>
      </c>
      <c r="BF181" s="100">
        <f>181</f>
        <v>181</v>
      </c>
      <c r="BH181" s="108">
        <f t="shared" si="199"/>
        <v>0</v>
      </c>
      <c r="BI181" s="108">
        <f t="shared" si="200"/>
        <v>0</v>
      </c>
      <c r="BJ181" s="108">
        <f t="shared" si="201"/>
        <v>0</v>
      </c>
    </row>
    <row r="182" spans="1:62" x14ac:dyDescent="0.2">
      <c r="A182" s="119"/>
      <c r="B182" s="120" t="s">
        <v>703</v>
      </c>
      <c r="C182" s="306" t="s">
        <v>1215</v>
      </c>
      <c r="D182" s="307"/>
      <c r="E182" s="307"/>
      <c r="F182" s="119" t="s">
        <v>6</v>
      </c>
      <c r="G182" s="119" t="s">
        <v>6</v>
      </c>
      <c r="H182" s="119" t="s">
        <v>6</v>
      </c>
      <c r="I182" s="118">
        <f>SUM(I183:I183)</f>
        <v>0</v>
      </c>
      <c r="J182" s="118">
        <f>SUM(J183:J183)</f>
        <v>0</v>
      </c>
      <c r="K182" s="118">
        <f>SUM(K183:K183)</f>
        <v>0</v>
      </c>
      <c r="L182" s="109"/>
      <c r="AI182" s="109"/>
      <c r="AS182" s="118">
        <f>SUM(AJ183:AJ183)</f>
        <v>0</v>
      </c>
      <c r="AT182" s="118">
        <f>SUM(AK183:AK183)</f>
        <v>0</v>
      </c>
      <c r="AU182" s="118">
        <f>SUM(AL183:AL183)</f>
        <v>0</v>
      </c>
    </row>
    <row r="183" spans="1:62" x14ac:dyDescent="0.2">
      <c r="A183" s="117" t="s">
        <v>148</v>
      </c>
      <c r="B183" s="117" t="s">
        <v>704</v>
      </c>
      <c r="C183" s="304" t="s">
        <v>1216</v>
      </c>
      <c r="D183" s="305"/>
      <c r="E183" s="305"/>
      <c r="F183" s="117" t="s">
        <v>1648</v>
      </c>
      <c r="G183" s="116">
        <v>175.21299999999999</v>
      </c>
      <c r="H183" s="159"/>
      <c r="I183" s="108">
        <f>G183*AO183</f>
        <v>0</v>
      </c>
      <c r="J183" s="108">
        <f>G183*AP183</f>
        <v>0</v>
      </c>
      <c r="K183" s="108">
        <f>G183*H183</f>
        <v>0</v>
      </c>
      <c r="L183" s="111" t="s">
        <v>1671</v>
      </c>
      <c r="Z183" s="100">
        <f>IF(AQ183="5",BJ183,0)</f>
        <v>0</v>
      </c>
      <c r="AB183" s="100">
        <f>IF(AQ183="1",BH183,0)</f>
        <v>0</v>
      </c>
      <c r="AC183" s="100">
        <f>IF(AQ183="1",BI183,0)</f>
        <v>0</v>
      </c>
      <c r="AD183" s="100">
        <f>IF(AQ183="7",BH183,0)</f>
        <v>0</v>
      </c>
      <c r="AE183" s="100">
        <f>IF(AQ183="7",BI183,0)</f>
        <v>0</v>
      </c>
      <c r="AF183" s="100">
        <f>IF(AQ183="2",BH183,0)</f>
        <v>0</v>
      </c>
      <c r="AG183" s="100">
        <f>IF(AQ183="2",BI183,0)</f>
        <v>0</v>
      </c>
      <c r="AH183" s="100">
        <f>IF(AQ183="0",BJ183,0)</f>
        <v>0</v>
      </c>
      <c r="AI183" s="109"/>
      <c r="AJ183" s="108">
        <f>IF(AN183=0,K183,0)</f>
        <v>0</v>
      </c>
      <c r="AK183" s="108">
        <f>IF(AN183=15,K183,0)</f>
        <v>0</v>
      </c>
      <c r="AL183" s="108">
        <f>IF(AN183=21,K183,0)</f>
        <v>0</v>
      </c>
      <c r="AN183" s="100">
        <v>15</v>
      </c>
      <c r="AO183" s="100">
        <f>H183*0</f>
        <v>0</v>
      </c>
      <c r="AP183" s="100">
        <f>H183*(1-0)</f>
        <v>0</v>
      </c>
      <c r="AQ183" s="111" t="s">
        <v>11</v>
      </c>
      <c r="AV183" s="100">
        <f>AW183+AX183</f>
        <v>0</v>
      </c>
      <c r="AW183" s="100">
        <f>G183*AO183</f>
        <v>0</v>
      </c>
      <c r="AX183" s="100">
        <f>G183*AP183</f>
        <v>0</v>
      </c>
      <c r="AY183" s="110" t="s">
        <v>1704</v>
      </c>
      <c r="AZ183" s="110" t="s">
        <v>1730</v>
      </c>
      <c r="BA183" s="109" t="s">
        <v>1737</v>
      </c>
      <c r="BC183" s="100">
        <f>AW183+AX183</f>
        <v>0</v>
      </c>
      <c r="BD183" s="100">
        <f>H183/(100-BE183)*100</f>
        <v>0</v>
      </c>
      <c r="BE183" s="100">
        <v>0</v>
      </c>
      <c r="BF183" s="100">
        <f>183</f>
        <v>183</v>
      </c>
      <c r="BH183" s="108">
        <f>G183*AO183</f>
        <v>0</v>
      </c>
      <c r="BI183" s="108">
        <f>G183*AP183</f>
        <v>0</v>
      </c>
      <c r="BJ183" s="108">
        <f>G183*H183</f>
        <v>0</v>
      </c>
    </row>
    <row r="184" spans="1:62" x14ac:dyDescent="0.2">
      <c r="A184" s="119"/>
      <c r="B184" s="120" t="s">
        <v>705</v>
      </c>
      <c r="C184" s="306" t="s">
        <v>1217</v>
      </c>
      <c r="D184" s="307"/>
      <c r="E184" s="307"/>
      <c r="F184" s="119" t="s">
        <v>6</v>
      </c>
      <c r="G184" s="119" t="s">
        <v>6</v>
      </c>
      <c r="H184" s="119" t="s">
        <v>6</v>
      </c>
      <c r="I184" s="118">
        <f>SUM(I185:I191)</f>
        <v>0</v>
      </c>
      <c r="J184" s="118">
        <f>SUM(J185:J191)</f>
        <v>0</v>
      </c>
      <c r="K184" s="118">
        <f>SUM(K185:K191)</f>
        <v>0</v>
      </c>
      <c r="L184" s="109"/>
      <c r="AI184" s="109"/>
      <c r="AS184" s="118">
        <f>SUM(AJ185:AJ191)</f>
        <v>0</v>
      </c>
      <c r="AT184" s="118">
        <f>SUM(AK185:AK191)</f>
        <v>0</v>
      </c>
      <c r="AU184" s="118">
        <f>SUM(AL185:AL191)</f>
        <v>0</v>
      </c>
    </row>
    <row r="185" spans="1:62" x14ac:dyDescent="0.2">
      <c r="A185" s="117" t="s">
        <v>149</v>
      </c>
      <c r="B185" s="117" t="s">
        <v>706</v>
      </c>
      <c r="C185" s="304" t="s">
        <v>1218</v>
      </c>
      <c r="D185" s="305"/>
      <c r="E185" s="305"/>
      <c r="F185" s="117" t="s">
        <v>1645</v>
      </c>
      <c r="G185" s="116">
        <v>344.89400000000001</v>
      </c>
      <c r="H185" s="159"/>
      <c r="I185" s="108">
        <f t="shared" ref="I185:I191" si="202">G185*AO185</f>
        <v>0</v>
      </c>
      <c r="J185" s="108">
        <f t="shared" ref="J185:J191" si="203">G185*AP185</f>
        <v>0</v>
      </c>
      <c r="K185" s="108">
        <f t="shared" ref="K185:K191" si="204">G185*H185</f>
        <v>0</v>
      </c>
      <c r="L185" s="111" t="s">
        <v>1671</v>
      </c>
      <c r="Z185" s="100">
        <f t="shared" ref="Z185:Z191" si="205">IF(AQ185="5",BJ185,0)</f>
        <v>0</v>
      </c>
      <c r="AB185" s="100">
        <f t="shared" ref="AB185:AB191" si="206">IF(AQ185="1",BH185,0)</f>
        <v>0</v>
      </c>
      <c r="AC185" s="100">
        <f t="shared" ref="AC185:AC191" si="207">IF(AQ185="1",BI185,0)</f>
        <v>0</v>
      </c>
      <c r="AD185" s="100">
        <f t="shared" ref="AD185:AD191" si="208">IF(AQ185="7",BH185,0)</f>
        <v>0</v>
      </c>
      <c r="AE185" s="100">
        <f t="shared" ref="AE185:AE191" si="209">IF(AQ185="7",BI185,0)</f>
        <v>0</v>
      </c>
      <c r="AF185" s="100">
        <f t="shared" ref="AF185:AF191" si="210">IF(AQ185="2",BH185,0)</f>
        <v>0</v>
      </c>
      <c r="AG185" s="100">
        <f t="shared" ref="AG185:AG191" si="211">IF(AQ185="2",BI185,0)</f>
        <v>0</v>
      </c>
      <c r="AH185" s="100">
        <f t="shared" ref="AH185:AH191" si="212">IF(AQ185="0",BJ185,0)</f>
        <v>0</v>
      </c>
      <c r="AI185" s="109"/>
      <c r="AJ185" s="108">
        <f t="shared" ref="AJ185:AJ191" si="213">IF(AN185=0,K185,0)</f>
        <v>0</v>
      </c>
      <c r="AK185" s="108">
        <f t="shared" ref="AK185:AK191" si="214">IF(AN185=15,K185,0)</f>
        <v>0</v>
      </c>
      <c r="AL185" s="108">
        <f t="shared" ref="AL185:AL191" si="215">IF(AN185=21,K185,0)</f>
        <v>0</v>
      </c>
      <c r="AN185" s="100">
        <v>15</v>
      </c>
      <c r="AO185" s="100">
        <f>H185*0</f>
        <v>0</v>
      </c>
      <c r="AP185" s="100">
        <f>H185*(1-0)</f>
        <v>0</v>
      </c>
      <c r="AQ185" s="111" t="s">
        <v>13</v>
      </c>
      <c r="AV185" s="100">
        <f t="shared" ref="AV185:AV191" si="216">AW185+AX185</f>
        <v>0</v>
      </c>
      <c r="AW185" s="100">
        <f t="shared" ref="AW185:AW191" si="217">G185*AO185</f>
        <v>0</v>
      </c>
      <c r="AX185" s="100">
        <f t="shared" ref="AX185:AX191" si="218">G185*AP185</f>
        <v>0</v>
      </c>
      <c r="AY185" s="110" t="s">
        <v>1705</v>
      </c>
      <c r="AZ185" s="110" t="s">
        <v>1731</v>
      </c>
      <c r="BA185" s="109" t="s">
        <v>1737</v>
      </c>
      <c r="BC185" s="100">
        <f t="shared" ref="BC185:BC191" si="219">AW185+AX185</f>
        <v>0</v>
      </c>
      <c r="BD185" s="100">
        <f t="shared" ref="BD185:BD191" si="220">H185/(100-BE185)*100</f>
        <v>0</v>
      </c>
      <c r="BE185" s="100">
        <v>0</v>
      </c>
      <c r="BF185" s="100">
        <f>185</f>
        <v>185</v>
      </c>
      <c r="BH185" s="108">
        <f t="shared" ref="BH185:BH191" si="221">G185*AO185</f>
        <v>0</v>
      </c>
      <c r="BI185" s="108">
        <f t="shared" ref="BI185:BI191" si="222">G185*AP185</f>
        <v>0</v>
      </c>
      <c r="BJ185" s="108">
        <f t="shared" ref="BJ185:BJ191" si="223">G185*H185</f>
        <v>0</v>
      </c>
    </row>
    <row r="186" spans="1:62" x14ac:dyDescent="0.2">
      <c r="A186" s="117" t="s">
        <v>150</v>
      </c>
      <c r="B186" s="117" t="s">
        <v>706</v>
      </c>
      <c r="C186" s="304" t="s">
        <v>2469</v>
      </c>
      <c r="D186" s="305"/>
      <c r="E186" s="305"/>
      <c r="F186" s="117" t="s">
        <v>1645</v>
      </c>
      <c r="G186" s="116">
        <v>9.4079999999999995</v>
      </c>
      <c r="H186" s="159"/>
      <c r="I186" s="108">
        <f t="shared" si="202"/>
        <v>0</v>
      </c>
      <c r="J186" s="108">
        <f t="shared" si="203"/>
        <v>0</v>
      </c>
      <c r="K186" s="108">
        <f t="shared" si="204"/>
        <v>0</v>
      </c>
      <c r="L186" s="111" t="s">
        <v>1671</v>
      </c>
      <c r="Z186" s="100">
        <f t="shared" si="205"/>
        <v>0</v>
      </c>
      <c r="AB186" s="100">
        <f t="shared" si="206"/>
        <v>0</v>
      </c>
      <c r="AC186" s="100">
        <f t="shared" si="207"/>
        <v>0</v>
      </c>
      <c r="AD186" s="100">
        <f t="shared" si="208"/>
        <v>0</v>
      </c>
      <c r="AE186" s="100">
        <f t="shared" si="209"/>
        <v>0</v>
      </c>
      <c r="AF186" s="100">
        <f t="shared" si="210"/>
        <v>0</v>
      </c>
      <c r="AG186" s="100">
        <f t="shared" si="211"/>
        <v>0</v>
      </c>
      <c r="AH186" s="100">
        <f t="shared" si="212"/>
        <v>0</v>
      </c>
      <c r="AI186" s="109"/>
      <c r="AJ186" s="108">
        <f t="shared" si="213"/>
        <v>0</v>
      </c>
      <c r="AK186" s="108">
        <f t="shared" si="214"/>
        <v>0</v>
      </c>
      <c r="AL186" s="108">
        <f t="shared" si="215"/>
        <v>0</v>
      </c>
      <c r="AN186" s="100">
        <v>15</v>
      </c>
      <c r="AO186" s="100">
        <f>H186*0</f>
        <v>0</v>
      </c>
      <c r="AP186" s="100">
        <f>H186*(1-0)</f>
        <v>0</v>
      </c>
      <c r="AQ186" s="111" t="s">
        <v>13</v>
      </c>
      <c r="AV186" s="100">
        <f t="shared" si="216"/>
        <v>0</v>
      </c>
      <c r="AW186" s="100">
        <f t="shared" si="217"/>
        <v>0</v>
      </c>
      <c r="AX186" s="100">
        <f t="shared" si="218"/>
        <v>0</v>
      </c>
      <c r="AY186" s="110" t="s">
        <v>1705</v>
      </c>
      <c r="AZ186" s="110" t="s">
        <v>1731</v>
      </c>
      <c r="BA186" s="109" t="s">
        <v>1737</v>
      </c>
      <c r="BC186" s="100">
        <f t="shared" si="219"/>
        <v>0</v>
      </c>
      <c r="BD186" s="100">
        <f t="shared" si="220"/>
        <v>0</v>
      </c>
      <c r="BE186" s="100">
        <v>0</v>
      </c>
      <c r="BF186" s="100">
        <f>186</f>
        <v>186</v>
      </c>
      <c r="BH186" s="108">
        <f t="shared" si="221"/>
        <v>0</v>
      </c>
      <c r="BI186" s="108">
        <f t="shared" si="222"/>
        <v>0</v>
      </c>
      <c r="BJ186" s="108">
        <f t="shared" si="223"/>
        <v>0</v>
      </c>
    </row>
    <row r="187" spans="1:62" x14ac:dyDescent="0.2">
      <c r="A187" s="117" t="s">
        <v>151</v>
      </c>
      <c r="B187" s="117" t="s">
        <v>707</v>
      </c>
      <c r="C187" s="304" t="s">
        <v>1219</v>
      </c>
      <c r="D187" s="305"/>
      <c r="E187" s="305"/>
      <c r="F187" s="117" t="s">
        <v>1644</v>
      </c>
      <c r="G187" s="116">
        <v>6</v>
      </c>
      <c r="H187" s="159"/>
      <c r="I187" s="108">
        <f t="shared" si="202"/>
        <v>0</v>
      </c>
      <c r="J187" s="108">
        <f t="shared" si="203"/>
        <v>0</v>
      </c>
      <c r="K187" s="108">
        <f t="shared" si="204"/>
        <v>0</v>
      </c>
      <c r="L187" s="111" t="s">
        <v>1671</v>
      </c>
      <c r="Z187" s="100">
        <f t="shared" si="205"/>
        <v>0</v>
      </c>
      <c r="AB187" s="100">
        <f t="shared" si="206"/>
        <v>0</v>
      </c>
      <c r="AC187" s="100">
        <f t="shared" si="207"/>
        <v>0</v>
      </c>
      <c r="AD187" s="100">
        <f t="shared" si="208"/>
        <v>0</v>
      </c>
      <c r="AE187" s="100">
        <f t="shared" si="209"/>
        <v>0</v>
      </c>
      <c r="AF187" s="100">
        <f t="shared" si="210"/>
        <v>0</v>
      </c>
      <c r="AG187" s="100">
        <f t="shared" si="211"/>
        <v>0</v>
      </c>
      <c r="AH187" s="100">
        <f t="shared" si="212"/>
        <v>0</v>
      </c>
      <c r="AI187" s="109"/>
      <c r="AJ187" s="108">
        <f t="shared" si="213"/>
        <v>0</v>
      </c>
      <c r="AK187" s="108">
        <f t="shared" si="214"/>
        <v>0</v>
      </c>
      <c r="AL187" s="108">
        <f t="shared" si="215"/>
        <v>0</v>
      </c>
      <c r="AN187" s="100">
        <v>15</v>
      </c>
      <c r="AO187" s="100">
        <f>H187*0.846349462365591</f>
        <v>0</v>
      </c>
      <c r="AP187" s="100">
        <f>H187*(1-0.846349462365591)</f>
        <v>0</v>
      </c>
      <c r="AQ187" s="111" t="s">
        <v>13</v>
      </c>
      <c r="AV187" s="100">
        <f t="shared" si="216"/>
        <v>0</v>
      </c>
      <c r="AW187" s="100">
        <f t="shared" si="217"/>
        <v>0</v>
      </c>
      <c r="AX187" s="100">
        <f t="shared" si="218"/>
        <v>0</v>
      </c>
      <c r="AY187" s="110" t="s">
        <v>1705</v>
      </c>
      <c r="AZ187" s="110" t="s">
        <v>1731</v>
      </c>
      <c r="BA187" s="109" t="s">
        <v>1737</v>
      </c>
      <c r="BC187" s="100">
        <f t="shared" si="219"/>
        <v>0</v>
      </c>
      <c r="BD187" s="100">
        <f t="shared" si="220"/>
        <v>0</v>
      </c>
      <c r="BE187" s="100">
        <v>0</v>
      </c>
      <c r="BF187" s="100">
        <f>187</f>
        <v>187</v>
      </c>
      <c r="BH187" s="108">
        <f t="shared" si="221"/>
        <v>0</v>
      </c>
      <c r="BI187" s="108">
        <f t="shared" si="222"/>
        <v>0</v>
      </c>
      <c r="BJ187" s="108">
        <f t="shared" si="223"/>
        <v>0</v>
      </c>
    </row>
    <row r="188" spans="1:62" x14ac:dyDescent="0.2">
      <c r="A188" s="117" t="s">
        <v>152</v>
      </c>
      <c r="B188" s="117" t="s">
        <v>2467</v>
      </c>
      <c r="C188" s="304" t="s">
        <v>2468</v>
      </c>
      <c r="D188" s="305"/>
      <c r="E188" s="305"/>
      <c r="F188" s="117" t="s">
        <v>1645</v>
      </c>
      <c r="G188" s="116">
        <v>1.1830000000000001</v>
      </c>
      <c r="H188" s="159"/>
      <c r="I188" s="108">
        <f t="shared" si="202"/>
        <v>0</v>
      </c>
      <c r="J188" s="108">
        <f t="shared" si="203"/>
        <v>0</v>
      </c>
      <c r="K188" s="108">
        <f t="shared" si="204"/>
        <v>0</v>
      </c>
      <c r="L188" s="111" t="s">
        <v>1671</v>
      </c>
      <c r="Z188" s="100">
        <f t="shared" si="205"/>
        <v>0</v>
      </c>
      <c r="AB188" s="100">
        <f t="shared" si="206"/>
        <v>0</v>
      </c>
      <c r="AC188" s="100">
        <f t="shared" si="207"/>
        <v>0</v>
      </c>
      <c r="AD188" s="100">
        <f t="shared" si="208"/>
        <v>0</v>
      </c>
      <c r="AE188" s="100">
        <f t="shared" si="209"/>
        <v>0</v>
      </c>
      <c r="AF188" s="100">
        <f t="shared" si="210"/>
        <v>0</v>
      </c>
      <c r="AG188" s="100">
        <f t="shared" si="211"/>
        <v>0</v>
      </c>
      <c r="AH188" s="100">
        <f t="shared" si="212"/>
        <v>0</v>
      </c>
      <c r="AI188" s="109"/>
      <c r="AJ188" s="108">
        <f t="shared" si="213"/>
        <v>0</v>
      </c>
      <c r="AK188" s="108">
        <f t="shared" si="214"/>
        <v>0</v>
      </c>
      <c r="AL188" s="108">
        <f t="shared" si="215"/>
        <v>0</v>
      </c>
      <c r="AN188" s="100">
        <v>15</v>
      </c>
      <c r="AO188" s="100">
        <f>H188*0.403292853058891</f>
        <v>0</v>
      </c>
      <c r="AP188" s="100">
        <f>H188*(1-0.403292853058891)</f>
        <v>0</v>
      </c>
      <c r="AQ188" s="111" t="s">
        <v>13</v>
      </c>
      <c r="AV188" s="100">
        <f t="shared" si="216"/>
        <v>0</v>
      </c>
      <c r="AW188" s="100">
        <f t="shared" si="217"/>
        <v>0</v>
      </c>
      <c r="AX188" s="100">
        <f t="shared" si="218"/>
        <v>0</v>
      </c>
      <c r="AY188" s="110" t="s">
        <v>1705</v>
      </c>
      <c r="AZ188" s="110" t="s">
        <v>1731</v>
      </c>
      <c r="BA188" s="109" t="s">
        <v>1737</v>
      </c>
      <c r="BC188" s="100">
        <f t="shared" si="219"/>
        <v>0</v>
      </c>
      <c r="BD188" s="100">
        <f t="shared" si="220"/>
        <v>0</v>
      </c>
      <c r="BE188" s="100">
        <v>0</v>
      </c>
      <c r="BF188" s="100">
        <f>188</f>
        <v>188</v>
      </c>
      <c r="BH188" s="108">
        <f t="shared" si="221"/>
        <v>0</v>
      </c>
      <c r="BI188" s="108">
        <f t="shared" si="222"/>
        <v>0</v>
      </c>
      <c r="BJ188" s="108">
        <f t="shared" si="223"/>
        <v>0</v>
      </c>
    </row>
    <row r="189" spans="1:62" x14ac:dyDescent="0.2">
      <c r="A189" s="117" t="s">
        <v>153</v>
      </c>
      <c r="B189" s="117" t="s">
        <v>2467</v>
      </c>
      <c r="C189" s="304" t="s">
        <v>2466</v>
      </c>
      <c r="D189" s="305"/>
      <c r="E189" s="305"/>
      <c r="F189" s="117" t="s">
        <v>1645</v>
      </c>
      <c r="G189" s="116">
        <v>9.4079999999999995</v>
      </c>
      <c r="H189" s="159"/>
      <c r="I189" s="108">
        <f t="shared" si="202"/>
        <v>0</v>
      </c>
      <c r="J189" s="108">
        <f t="shared" si="203"/>
        <v>0</v>
      </c>
      <c r="K189" s="108">
        <f t="shared" si="204"/>
        <v>0</v>
      </c>
      <c r="L189" s="111" t="s">
        <v>1671</v>
      </c>
      <c r="Z189" s="100">
        <f t="shared" si="205"/>
        <v>0</v>
      </c>
      <c r="AB189" s="100">
        <f t="shared" si="206"/>
        <v>0</v>
      </c>
      <c r="AC189" s="100">
        <f t="shared" si="207"/>
        <v>0</v>
      </c>
      <c r="AD189" s="100">
        <f t="shared" si="208"/>
        <v>0</v>
      </c>
      <c r="AE189" s="100">
        <f t="shared" si="209"/>
        <v>0</v>
      </c>
      <c r="AF189" s="100">
        <f t="shared" si="210"/>
        <v>0</v>
      </c>
      <c r="AG189" s="100">
        <f t="shared" si="211"/>
        <v>0</v>
      </c>
      <c r="AH189" s="100">
        <f t="shared" si="212"/>
        <v>0</v>
      </c>
      <c r="AI189" s="109"/>
      <c r="AJ189" s="108">
        <f t="shared" si="213"/>
        <v>0</v>
      </c>
      <c r="AK189" s="108">
        <f t="shared" si="214"/>
        <v>0</v>
      </c>
      <c r="AL189" s="108">
        <f t="shared" si="215"/>
        <v>0</v>
      </c>
      <c r="AN189" s="100">
        <v>15</v>
      </c>
      <c r="AO189" s="100">
        <f>H189*0.403292612866511</f>
        <v>0</v>
      </c>
      <c r="AP189" s="100">
        <f>H189*(1-0.403292612866511)</f>
        <v>0</v>
      </c>
      <c r="AQ189" s="111" t="s">
        <v>13</v>
      </c>
      <c r="AV189" s="100">
        <f t="shared" si="216"/>
        <v>0</v>
      </c>
      <c r="AW189" s="100">
        <f t="shared" si="217"/>
        <v>0</v>
      </c>
      <c r="AX189" s="100">
        <f t="shared" si="218"/>
        <v>0</v>
      </c>
      <c r="AY189" s="110" t="s">
        <v>1705</v>
      </c>
      <c r="AZ189" s="110" t="s">
        <v>1731</v>
      </c>
      <c r="BA189" s="109" t="s">
        <v>1737</v>
      </c>
      <c r="BC189" s="100">
        <f t="shared" si="219"/>
        <v>0</v>
      </c>
      <c r="BD189" s="100">
        <f t="shared" si="220"/>
        <v>0</v>
      </c>
      <c r="BE189" s="100">
        <v>0</v>
      </c>
      <c r="BF189" s="100">
        <f>189</f>
        <v>189</v>
      </c>
      <c r="BH189" s="108">
        <f t="shared" si="221"/>
        <v>0</v>
      </c>
      <c r="BI189" s="108">
        <f t="shared" si="222"/>
        <v>0</v>
      </c>
      <c r="BJ189" s="108">
        <f t="shared" si="223"/>
        <v>0</v>
      </c>
    </row>
    <row r="190" spans="1:62" x14ac:dyDescent="0.2">
      <c r="A190" s="117" t="s">
        <v>154</v>
      </c>
      <c r="B190" s="117" t="s">
        <v>708</v>
      </c>
      <c r="C190" s="304" t="s">
        <v>1220</v>
      </c>
      <c r="D190" s="305"/>
      <c r="E190" s="305"/>
      <c r="F190" s="117" t="s">
        <v>1645</v>
      </c>
      <c r="G190" s="116">
        <v>345.786</v>
      </c>
      <c r="H190" s="159"/>
      <c r="I190" s="108">
        <f t="shared" si="202"/>
        <v>0</v>
      </c>
      <c r="J190" s="108">
        <f t="shared" si="203"/>
        <v>0</v>
      </c>
      <c r="K190" s="108">
        <f t="shared" si="204"/>
        <v>0</v>
      </c>
      <c r="L190" s="111" t="s">
        <v>1671</v>
      </c>
      <c r="Z190" s="100">
        <f t="shared" si="205"/>
        <v>0</v>
      </c>
      <c r="AB190" s="100">
        <f t="shared" si="206"/>
        <v>0</v>
      </c>
      <c r="AC190" s="100">
        <f t="shared" si="207"/>
        <v>0</v>
      </c>
      <c r="AD190" s="100">
        <f t="shared" si="208"/>
        <v>0</v>
      </c>
      <c r="AE190" s="100">
        <f t="shared" si="209"/>
        <v>0</v>
      </c>
      <c r="AF190" s="100">
        <f t="shared" si="210"/>
        <v>0</v>
      </c>
      <c r="AG190" s="100">
        <f t="shared" si="211"/>
        <v>0</v>
      </c>
      <c r="AH190" s="100">
        <f t="shared" si="212"/>
        <v>0</v>
      </c>
      <c r="AI190" s="109"/>
      <c r="AJ190" s="108">
        <f t="shared" si="213"/>
        <v>0</v>
      </c>
      <c r="AK190" s="108">
        <f t="shared" si="214"/>
        <v>0</v>
      </c>
      <c r="AL190" s="108">
        <f t="shared" si="215"/>
        <v>0</v>
      </c>
      <c r="AN190" s="100">
        <v>15</v>
      </c>
      <c r="AO190" s="100">
        <f>H190*0.427372183898706</f>
        <v>0</v>
      </c>
      <c r="AP190" s="100">
        <f>H190*(1-0.427372183898706)</f>
        <v>0</v>
      </c>
      <c r="AQ190" s="111" t="s">
        <v>13</v>
      </c>
      <c r="AV190" s="100">
        <f t="shared" si="216"/>
        <v>0</v>
      </c>
      <c r="AW190" s="100">
        <f t="shared" si="217"/>
        <v>0</v>
      </c>
      <c r="AX190" s="100">
        <f t="shared" si="218"/>
        <v>0</v>
      </c>
      <c r="AY190" s="110" t="s">
        <v>1705</v>
      </c>
      <c r="AZ190" s="110" t="s">
        <v>1731</v>
      </c>
      <c r="BA190" s="109" t="s">
        <v>1737</v>
      </c>
      <c r="BC190" s="100">
        <f t="shared" si="219"/>
        <v>0</v>
      </c>
      <c r="BD190" s="100">
        <f t="shared" si="220"/>
        <v>0</v>
      </c>
      <c r="BE190" s="100">
        <v>0</v>
      </c>
      <c r="BF190" s="100">
        <f>190</f>
        <v>190</v>
      </c>
      <c r="BH190" s="108">
        <f t="shared" si="221"/>
        <v>0</v>
      </c>
      <c r="BI190" s="108">
        <f t="shared" si="222"/>
        <v>0</v>
      </c>
      <c r="BJ190" s="108">
        <f t="shared" si="223"/>
        <v>0</v>
      </c>
    </row>
    <row r="191" spans="1:62" x14ac:dyDescent="0.2">
      <c r="A191" s="117" t="s">
        <v>155</v>
      </c>
      <c r="B191" s="117" t="s">
        <v>709</v>
      </c>
      <c r="C191" s="304" t="s">
        <v>1221</v>
      </c>
      <c r="D191" s="305"/>
      <c r="E191" s="305"/>
      <c r="F191" s="117" t="s">
        <v>1648</v>
      </c>
      <c r="G191" s="116">
        <v>4.3570000000000002</v>
      </c>
      <c r="H191" s="159"/>
      <c r="I191" s="108">
        <f t="shared" si="202"/>
        <v>0</v>
      </c>
      <c r="J191" s="108">
        <f t="shared" si="203"/>
        <v>0</v>
      </c>
      <c r="K191" s="108">
        <f t="shared" si="204"/>
        <v>0</v>
      </c>
      <c r="L191" s="111" t="s">
        <v>1671</v>
      </c>
      <c r="Z191" s="100">
        <f t="shared" si="205"/>
        <v>0</v>
      </c>
      <c r="AB191" s="100">
        <f t="shared" si="206"/>
        <v>0</v>
      </c>
      <c r="AC191" s="100">
        <f t="shared" si="207"/>
        <v>0</v>
      </c>
      <c r="AD191" s="100">
        <f t="shared" si="208"/>
        <v>0</v>
      </c>
      <c r="AE191" s="100">
        <f t="shared" si="209"/>
        <v>0</v>
      </c>
      <c r="AF191" s="100">
        <f t="shared" si="210"/>
        <v>0</v>
      </c>
      <c r="AG191" s="100">
        <f t="shared" si="211"/>
        <v>0</v>
      </c>
      <c r="AH191" s="100">
        <f t="shared" si="212"/>
        <v>0</v>
      </c>
      <c r="AI191" s="109"/>
      <c r="AJ191" s="108">
        <f t="shared" si="213"/>
        <v>0</v>
      </c>
      <c r="AK191" s="108">
        <f t="shared" si="214"/>
        <v>0</v>
      </c>
      <c r="AL191" s="108">
        <f t="shared" si="215"/>
        <v>0</v>
      </c>
      <c r="AN191" s="100">
        <v>15</v>
      </c>
      <c r="AO191" s="100">
        <f>H191*0</f>
        <v>0</v>
      </c>
      <c r="AP191" s="100">
        <f>H191*(1-0)</f>
        <v>0</v>
      </c>
      <c r="AQ191" s="111" t="s">
        <v>11</v>
      </c>
      <c r="AV191" s="100">
        <f t="shared" si="216"/>
        <v>0</v>
      </c>
      <c r="AW191" s="100">
        <f t="shared" si="217"/>
        <v>0</v>
      </c>
      <c r="AX191" s="100">
        <f t="shared" si="218"/>
        <v>0</v>
      </c>
      <c r="AY191" s="110" t="s">
        <v>1705</v>
      </c>
      <c r="AZ191" s="110" t="s">
        <v>1731</v>
      </c>
      <c r="BA191" s="109" t="s">
        <v>1737</v>
      </c>
      <c r="BC191" s="100">
        <f t="shared" si="219"/>
        <v>0</v>
      </c>
      <c r="BD191" s="100">
        <f t="shared" si="220"/>
        <v>0</v>
      </c>
      <c r="BE191" s="100">
        <v>0</v>
      </c>
      <c r="BF191" s="100">
        <f>191</f>
        <v>191</v>
      </c>
      <c r="BH191" s="108">
        <f t="shared" si="221"/>
        <v>0</v>
      </c>
      <c r="BI191" s="108">
        <f t="shared" si="222"/>
        <v>0</v>
      </c>
      <c r="BJ191" s="108">
        <f t="shared" si="223"/>
        <v>0</v>
      </c>
    </row>
    <row r="192" spans="1:62" x14ac:dyDescent="0.2">
      <c r="A192" s="119"/>
      <c r="B192" s="120" t="s">
        <v>710</v>
      </c>
      <c r="C192" s="306" t="s">
        <v>1222</v>
      </c>
      <c r="D192" s="307"/>
      <c r="E192" s="307"/>
      <c r="F192" s="119" t="s">
        <v>6</v>
      </c>
      <c r="G192" s="119" t="s">
        <v>6</v>
      </c>
      <c r="H192" s="119" t="s">
        <v>6</v>
      </c>
      <c r="I192" s="118">
        <f>SUM(I193:I200)</f>
        <v>0</v>
      </c>
      <c r="J192" s="118">
        <f>SUM(J193:J200)</f>
        <v>0</v>
      </c>
      <c r="K192" s="118">
        <f>SUM(K193:K200)</f>
        <v>0</v>
      </c>
      <c r="L192" s="109"/>
      <c r="AI192" s="109"/>
      <c r="AS192" s="118">
        <f>SUM(AJ193:AJ200)</f>
        <v>0</v>
      </c>
      <c r="AT192" s="118">
        <f>SUM(AK193:AK200)</f>
        <v>0</v>
      </c>
      <c r="AU192" s="118">
        <f>SUM(AL193:AL200)</f>
        <v>0</v>
      </c>
    </row>
    <row r="193" spans="1:62" x14ac:dyDescent="0.2">
      <c r="A193" s="117" t="s">
        <v>156</v>
      </c>
      <c r="B193" s="117" t="s">
        <v>711</v>
      </c>
      <c r="C193" s="304" t="s">
        <v>1223</v>
      </c>
      <c r="D193" s="305"/>
      <c r="E193" s="305"/>
      <c r="F193" s="117" t="s">
        <v>1645</v>
      </c>
      <c r="G193" s="116">
        <v>302</v>
      </c>
      <c r="H193" s="159"/>
      <c r="I193" s="108">
        <f t="shared" ref="I193:I200" si="224">G193*AO193</f>
        <v>0</v>
      </c>
      <c r="J193" s="108">
        <f t="shared" ref="J193:J200" si="225">G193*AP193</f>
        <v>0</v>
      </c>
      <c r="K193" s="108">
        <f t="shared" ref="K193:K200" si="226">G193*H193</f>
        <v>0</v>
      </c>
      <c r="L193" s="111" t="s">
        <v>1671</v>
      </c>
      <c r="Z193" s="100">
        <f t="shared" ref="Z193:Z200" si="227">IF(AQ193="5",BJ193,0)</f>
        <v>0</v>
      </c>
      <c r="AB193" s="100">
        <f t="shared" ref="AB193:AB200" si="228">IF(AQ193="1",BH193,0)</f>
        <v>0</v>
      </c>
      <c r="AC193" s="100">
        <f t="shared" ref="AC193:AC200" si="229">IF(AQ193="1",BI193,0)</f>
        <v>0</v>
      </c>
      <c r="AD193" s="100">
        <f t="shared" ref="AD193:AD200" si="230">IF(AQ193="7",BH193,0)</f>
        <v>0</v>
      </c>
      <c r="AE193" s="100">
        <f t="shared" ref="AE193:AE200" si="231">IF(AQ193="7",BI193,0)</f>
        <v>0</v>
      </c>
      <c r="AF193" s="100">
        <f t="shared" ref="AF193:AF200" si="232">IF(AQ193="2",BH193,0)</f>
        <v>0</v>
      </c>
      <c r="AG193" s="100">
        <f t="shared" ref="AG193:AG200" si="233">IF(AQ193="2",BI193,0)</f>
        <v>0</v>
      </c>
      <c r="AH193" s="100">
        <f t="shared" ref="AH193:AH200" si="234">IF(AQ193="0",BJ193,0)</f>
        <v>0</v>
      </c>
      <c r="AI193" s="109"/>
      <c r="AJ193" s="108">
        <f t="shared" ref="AJ193:AJ200" si="235">IF(AN193=0,K193,0)</f>
        <v>0</v>
      </c>
      <c r="AK193" s="108">
        <f t="shared" ref="AK193:AK200" si="236">IF(AN193=15,K193,0)</f>
        <v>0</v>
      </c>
      <c r="AL193" s="108">
        <f t="shared" ref="AL193:AL200" si="237">IF(AN193=21,K193,0)</f>
        <v>0</v>
      </c>
      <c r="AN193" s="100">
        <v>15</v>
      </c>
      <c r="AO193" s="100">
        <f>H193*0</f>
        <v>0</v>
      </c>
      <c r="AP193" s="100">
        <f>H193*(1-0)</f>
        <v>0</v>
      </c>
      <c r="AQ193" s="111" t="s">
        <v>13</v>
      </c>
      <c r="AV193" s="100">
        <f t="shared" ref="AV193:AV200" si="238">AW193+AX193</f>
        <v>0</v>
      </c>
      <c r="AW193" s="100">
        <f t="shared" ref="AW193:AW200" si="239">G193*AO193</f>
        <v>0</v>
      </c>
      <c r="AX193" s="100">
        <f t="shared" ref="AX193:AX200" si="240">G193*AP193</f>
        <v>0</v>
      </c>
      <c r="AY193" s="110" t="s">
        <v>1706</v>
      </c>
      <c r="AZ193" s="110" t="s">
        <v>1731</v>
      </c>
      <c r="BA193" s="109" t="s">
        <v>1737</v>
      </c>
      <c r="BC193" s="100">
        <f t="shared" ref="BC193:BC200" si="241">AW193+AX193</f>
        <v>0</v>
      </c>
      <c r="BD193" s="100">
        <f t="shared" ref="BD193:BD200" si="242">H193/(100-BE193)*100</f>
        <v>0</v>
      </c>
      <c r="BE193" s="100">
        <v>0</v>
      </c>
      <c r="BF193" s="100">
        <f>193</f>
        <v>193</v>
      </c>
      <c r="BH193" s="108">
        <f t="shared" ref="BH193:BH200" si="243">G193*AO193</f>
        <v>0</v>
      </c>
      <c r="BI193" s="108">
        <f t="shared" ref="BI193:BI200" si="244">G193*AP193</f>
        <v>0</v>
      </c>
      <c r="BJ193" s="108">
        <f t="shared" ref="BJ193:BJ200" si="245">G193*H193</f>
        <v>0</v>
      </c>
    </row>
    <row r="194" spans="1:62" x14ac:dyDescent="0.2">
      <c r="A194" s="124" t="s">
        <v>157</v>
      </c>
      <c r="B194" s="124" t="s">
        <v>712</v>
      </c>
      <c r="C194" s="311" t="s">
        <v>1224</v>
      </c>
      <c r="D194" s="312"/>
      <c r="E194" s="312"/>
      <c r="F194" s="124" t="s">
        <v>1645</v>
      </c>
      <c r="G194" s="123">
        <v>332.2</v>
      </c>
      <c r="H194" s="160"/>
      <c r="I194" s="121">
        <f t="shared" si="224"/>
        <v>0</v>
      </c>
      <c r="J194" s="121">
        <f t="shared" si="225"/>
        <v>0</v>
      </c>
      <c r="K194" s="121">
        <f t="shared" si="226"/>
        <v>0</v>
      </c>
      <c r="L194" s="122" t="s">
        <v>1671</v>
      </c>
      <c r="Z194" s="100">
        <f t="shared" si="227"/>
        <v>0</v>
      </c>
      <c r="AB194" s="100">
        <f t="shared" si="228"/>
        <v>0</v>
      </c>
      <c r="AC194" s="100">
        <f t="shared" si="229"/>
        <v>0</v>
      </c>
      <c r="AD194" s="100">
        <f t="shared" si="230"/>
        <v>0</v>
      </c>
      <c r="AE194" s="100">
        <f t="shared" si="231"/>
        <v>0</v>
      </c>
      <c r="AF194" s="100">
        <f t="shared" si="232"/>
        <v>0</v>
      </c>
      <c r="AG194" s="100">
        <f t="shared" si="233"/>
        <v>0</v>
      </c>
      <c r="AH194" s="100">
        <f t="shared" si="234"/>
        <v>0</v>
      </c>
      <c r="AI194" s="109"/>
      <c r="AJ194" s="121">
        <f t="shared" si="235"/>
        <v>0</v>
      </c>
      <c r="AK194" s="121">
        <f t="shared" si="236"/>
        <v>0</v>
      </c>
      <c r="AL194" s="121">
        <f t="shared" si="237"/>
        <v>0</v>
      </c>
      <c r="AN194" s="100">
        <v>15</v>
      </c>
      <c r="AO194" s="100">
        <f>H194*1</f>
        <v>0</v>
      </c>
      <c r="AP194" s="100">
        <f>H194*(1-1)</f>
        <v>0</v>
      </c>
      <c r="AQ194" s="122" t="s">
        <v>13</v>
      </c>
      <c r="AV194" s="100">
        <f t="shared" si="238"/>
        <v>0</v>
      </c>
      <c r="AW194" s="100">
        <f t="shared" si="239"/>
        <v>0</v>
      </c>
      <c r="AX194" s="100">
        <f t="shared" si="240"/>
        <v>0</v>
      </c>
      <c r="AY194" s="110" t="s">
        <v>1706</v>
      </c>
      <c r="AZ194" s="110" t="s">
        <v>1731</v>
      </c>
      <c r="BA194" s="109" t="s">
        <v>1737</v>
      </c>
      <c r="BC194" s="100">
        <f t="shared" si="241"/>
        <v>0</v>
      </c>
      <c r="BD194" s="100">
        <f t="shared" si="242"/>
        <v>0</v>
      </c>
      <c r="BE194" s="100">
        <v>0</v>
      </c>
      <c r="BF194" s="100">
        <f>194</f>
        <v>194</v>
      </c>
      <c r="BH194" s="121">
        <f t="shared" si="243"/>
        <v>0</v>
      </c>
      <c r="BI194" s="121">
        <f t="shared" si="244"/>
        <v>0</v>
      </c>
      <c r="BJ194" s="121">
        <f t="shared" si="245"/>
        <v>0</v>
      </c>
    </row>
    <row r="195" spans="1:62" x14ac:dyDescent="0.2">
      <c r="A195" s="124" t="s">
        <v>158</v>
      </c>
      <c r="B195" s="124" t="s">
        <v>713</v>
      </c>
      <c r="C195" s="311" t="s">
        <v>1225</v>
      </c>
      <c r="D195" s="312"/>
      <c r="E195" s="312"/>
      <c r="F195" s="124" t="s">
        <v>1645</v>
      </c>
      <c r="G195" s="123">
        <v>332.2</v>
      </c>
      <c r="H195" s="160"/>
      <c r="I195" s="121">
        <f t="shared" si="224"/>
        <v>0</v>
      </c>
      <c r="J195" s="121">
        <f t="shared" si="225"/>
        <v>0</v>
      </c>
      <c r="K195" s="121">
        <f t="shared" si="226"/>
        <v>0</v>
      </c>
      <c r="L195" s="122" t="s">
        <v>1671</v>
      </c>
      <c r="Z195" s="100">
        <f t="shared" si="227"/>
        <v>0</v>
      </c>
      <c r="AB195" s="100">
        <f t="shared" si="228"/>
        <v>0</v>
      </c>
      <c r="AC195" s="100">
        <f t="shared" si="229"/>
        <v>0</v>
      </c>
      <c r="AD195" s="100">
        <f t="shared" si="230"/>
        <v>0</v>
      </c>
      <c r="AE195" s="100">
        <f t="shared" si="231"/>
        <v>0</v>
      </c>
      <c r="AF195" s="100">
        <f t="shared" si="232"/>
        <v>0</v>
      </c>
      <c r="AG195" s="100">
        <f t="shared" si="233"/>
        <v>0</v>
      </c>
      <c r="AH195" s="100">
        <f t="shared" si="234"/>
        <v>0</v>
      </c>
      <c r="AI195" s="109"/>
      <c r="AJ195" s="121">
        <f t="shared" si="235"/>
        <v>0</v>
      </c>
      <c r="AK195" s="121">
        <f t="shared" si="236"/>
        <v>0</v>
      </c>
      <c r="AL195" s="121">
        <f t="shared" si="237"/>
        <v>0</v>
      </c>
      <c r="AN195" s="100">
        <v>15</v>
      </c>
      <c r="AO195" s="100">
        <f>H195*1</f>
        <v>0</v>
      </c>
      <c r="AP195" s="100">
        <f>H195*(1-1)</f>
        <v>0</v>
      </c>
      <c r="AQ195" s="122" t="s">
        <v>13</v>
      </c>
      <c r="AV195" s="100">
        <f t="shared" si="238"/>
        <v>0</v>
      </c>
      <c r="AW195" s="100">
        <f t="shared" si="239"/>
        <v>0</v>
      </c>
      <c r="AX195" s="100">
        <f t="shared" si="240"/>
        <v>0</v>
      </c>
      <c r="AY195" s="110" t="s">
        <v>1706</v>
      </c>
      <c r="AZ195" s="110" t="s">
        <v>1731</v>
      </c>
      <c r="BA195" s="109" t="s">
        <v>1737</v>
      </c>
      <c r="BC195" s="100">
        <f t="shared" si="241"/>
        <v>0</v>
      </c>
      <c r="BD195" s="100">
        <f t="shared" si="242"/>
        <v>0</v>
      </c>
      <c r="BE195" s="100">
        <v>0</v>
      </c>
      <c r="BF195" s="100">
        <f>195</f>
        <v>195</v>
      </c>
      <c r="BH195" s="121">
        <f t="shared" si="243"/>
        <v>0</v>
      </c>
      <c r="BI195" s="121">
        <f t="shared" si="244"/>
        <v>0</v>
      </c>
      <c r="BJ195" s="121">
        <f t="shared" si="245"/>
        <v>0</v>
      </c>
    </row>
    <row r="196" spans="1:62" x14ac:dyDescent="0.2">
      <c r="A196" s="117" t="s">
        <v>159</v>
      </c>
      <c r="B196" s="117" t="s">
        <v>714</v>
      </c>
      <c r="C196" s="304" t="s">
        <v>1226</v>
      </c>
      <c r="D196" s="305"/>
      <c r="E196" s="305"/>
      <c r="F196" s="117" t="s">
        <v>1646</v>
      </c>
      <c r="G196" s="116">
        <v>62.5</v>
      </c>
      <c r="H196" s="159"/>
      <c r="I196" s="108">
        <f t="shared" si="224"/>
        <v>0</v>
      </c>
      <c r="J196" s="108">
        <f t="shared" si="225"/>
        <v>0</v>
      </c>
      <c r="K196" s="108">
        <f t="shared" si="226"/>
        <v>0</v>
      </c>
      <c r="L196" s="111" t="s">
        <v>1671</v>
      </c>
      <c r="Z196" s="100">
        <f t="shared" si="227"/>
        <v>0</v>
      </c>
      <c r="AB196" s="100">
        <f t="shared" si="228"/>
        <v>0</v>
      </c>
      <c r="AC196" s="100">
        <f t="shared" si="229"/>
        <v>0</v>
      </c>
      <c r="AD196" s="100">
        <f t="shared" si="230"/>
        <v>0</v>
      </c>
      <c r="AE196" s="100">
        <f t="shared" si="231"/>
        <v>0</v>
      </c>
      <c r="AF196" s="100">
        <f t="shared" si="232"/>
        <v>0</v>
      </c>
      <c r="AG196" s="100">
        <f t="shared" si="233"/>
        <v>0</v>
      </c>
      <c r="AH196" s="100">
        <f t="shared" si="234"/>
        <v>0</v>
      </c>
      <c r="AI196" s="109"/>
      <c r="AJ196" s="108">
        <f t="shared" si="235"/>
        <v>0</v>
      </c>
      <c r="AK196" s="108">
        <f t="shared" si="236"/>
        <v>0</v>
      </c>
      <c r="AL196" s="108">
        <f t="shared" si="237"/>
        <v>0</v>
      </c>
      <c r="AN196" s="100">
        <v>15</v>
      </c>
      <c r="AO196" s="100">
        <f>H196*0</f>
        <v>0</v>
      </c>
      <c r="AP196" s="100">
        <f>H196*(1-0)</f>
        <v>0</v>
      </c>
      <c r="AQ196" s="111" t="s">
        <v>13</v>
      </c>
      <c r="AV196" s="100">
        <f t="shared" si="238"/>
        <v>0</v>
      </c>
      <c r="AW196" s="100">
        <f t="shared" si="239"/>
        <v>0</v>
      </c>
      <c r="AX196" s="100">
        <f t="shared" si="240"/>
        <v>0</v>
      </c>
      <c r="AY196" s="110" t="s">
        <v>1706</v>
      </c>
      <c r="AZ196" s="110" t="s">
        <v>1731</v>
      </c>
      <c r="BA196" s="109" t="s">
        <v>1737</v>
      </c>
      <c r="BC196" s="100">
        <f t="shared" si="241"/>
        <v>0</v>
      </c>
      <c r="BD196" s="100">
        <f t="shared" si="242"/>
        <v>0</v>
      </c>
      <c r="BE196" s="100">
        <v>0</v>
      </c>
      <c r="BF196" s="100">
        <f>196</f>
        <v>196</v>
      </c>
      <c r="BH196" s="108">
        <f t="shared" si="243"/>
        <v>0</v>
      </c>
      <c r="BI196" s="108">
        <f t="shared" si="244"/>
        <v>0</v>
      </c>
      <c r="BJ196" s="108">
        <f t="shared" si="245"/>
        <v>0</v>
      </c>
    </row>
    <row r="197" spans="1:62" x14ac:dyDescent="0.2">
      <c r="A197" s="117" t="s">
        <v>160</v>
      </c>
      <c r="B197" s="117" t="s">
        <v>715</v>
      </c>
      <c r="C197" s="304" t="s">
        <v>1227</v>
      </c>
      <c r="D197" s="305"/>
      <c r="E197" s="305"/>
      <c r="F197" s="117" t="s">
        <v>1645</v>
      </c>
      <c r="G197" s="116">
        <v>302</v>
      </c>
      <c r="H197" s="159"/>
      <c r="I197" s="108">
        <f t="shared" si="224"/>
        <v>0</v>
      </c>
      <c r="J197" s="108">
        <f t="shared" si="225"/>
        <v>0</v>
      </c>
      <c r="K197" s="108">
        <f t="shared" si="226"/>
        <v>0</v>
      </c>
      <c r="L197" s="111" t="s">
        <v>1671</v>
      </c>
      <c r="Z197" s="100">
        <f t="shared" si="227"/>
        <v>0</v>
      </c>
      <c r="AB197" s="100">
        <f t="shared" si="228"/>
        <v>0</v>
      </c>
      <c r="AC197" s="100">
        <f t="shared" si="229"/>
        <v>0</v>
      </c>
      <c r="AD197" s="100">
        <f t="shared" si="230"/>
        <v>0</v>
      </c>
      <c r="AE197" s="100">
        <f t="shared" si="231"/>
        <v>0</v>
      </c>
      <c r="AF197" s="100">
        <f t="shared" si="232"/>
        <v>0</v>
      </c>
      <c r="AG197" s="100">
        <f t="shared" si="233"/>
        <v>0</v>
      </c>
      <c r="AH197" s="100">
        <f t="shared" si="234"/>
        <v>0</v>
      </c>
      <c r="AI197" s="109"/>
      <c r="AJ197" s="108">
        <f t="shared" si="235"/>
        <v>0</v>
      </c>
      <c r="AK197" s="108">
        <f t="shared" si="236"/>
        <v>0</v>
      </c>
      <c r="AL197" s="108">
        <f t="shared" si="237"/>
        <v>0</v>
      </c>
      <c r="AN197" s="100">
        <v>15</v>
      </c>
      <c r="AO197" s="100">
        <f>H197*0.155846501128668</f>
        <v>0</v>
      </c>
      <c r="AP197" s="100">
        <f>H197*(1-0.155846501128668)</f>
        <v>0</v>
      </c>
      <c r="AQ197" s="111" t="s">
        <v>13</v>
      </c>
      <c r="AV197" s="100">
        <f t="shared" si="238"/>
        <v>0</v>
      </c>
      <c r="AW197" s="100">
        <f t="shared" si="239"/>
        <v>0</v>
      </c>
      <c r="AX197" s="100">
        <f t="shared" si="240"/>
        <v>0</v>
      </c>
      <c r="AY197" s="110" t="s">
        <v>1706</v>
      </c>
      <c r="AZ197" s="110" t="s">
        <v>1731</v>
      </c>
      <c r="BA197" s="109" t="s">
        <v>1737</v>
      </c>
      <c r="BC197" s="100">
        <f t="shared" si="241"/>
        <v>0</v>
      </c>
      <c r="BD197" s="100">
        <f t="shared" si="242"/>
        <v>0</v>
      </c>
      <c r="BE197" s="100">
        <v>0</v>
      </c>
      <c r="BF197" s="100">
        <f>197</f>
        <v>197</v>
      </c>
      <c r="BH197" s="108">
        <f t="shared" si="243"/>
        <v>0</v>
      </c>
      <c r="BI197" s="108">
        <f t="shared" si="244"/>
        <v>0</v>
      </c>
      <c r="BJ197" s="108">
        <f t="shared" si="245"/>
        <v>0</v>
      </c>
    </row>
    <row r="198" spans="1:62" x14ac:dyDescent="0.2">
      <c r="A198" s="117" t="s">
        <v>161</v>
      </c>
      <c r="B198" s="117" t="s">
        <v>716</v>
      </c>
      <c r="C198" s="304" t="s">
        <v>1228</v>
      </c>
      <c r="D198" s="305"/>
      <c r="E198" s="305"/>
      <c r="F198" s="117" t="s">
        <v>1645</v>
      </c>
      <c r="G198" s="116">
        <v>302</v>
      </c>
      <c r="H198" s="159"/>
      <c r="I198" s="108">
        <f t="shared" si="224"/>
        <v>0</v>
      </c>
      <c r="J198" s="108">
        <f t="shared" si="225"/>
        <v>0</v>
      </c>
      <c r="K198" s="108">
        <f t="shared" si="226"/>
        <v>0</v>
      </c>
      <c r="L198" s="111" t="s">
        <v>1671</v>
      </c>
      <c r="Z198" s="100">
        <f t="shared" si="227"/>
        <v>0</v>
      </c>
      <c r="AB198" s="100">
        <f t="shared" si="228"/>
        <v>0</v>
      </c>
      <c r="AC198" s="100">
        <f t="shared" si="229"/>
        <v>0</v>
      </c>
      <c r="AD198" s="100">
        <f t="shared" si="230"/>
        <v>0</v>
      </c>
      <c r="AE198" s="100">
        <f t="shared" si="231"/>
        <v>0</v>
      </c>
      <c r="AF198" s="100">
        <f t="shared" si="232"/>
        <v>0</v>
      </c>
      <c r="AG198" s="100">
        <f t="shared" si="233"/>
        <v>0</v>
      </c>
      <c r="AH198" s="100">
        <f t="shared" si="234"/>
        <v>0</v>
      </c>
      <c r="AI198" s="109"/>
      <c r="AJ198" s="108">
        <f t="shared" si="235"/>
        <v>0</v>
      </c>
      <c r="AK198" s="108">
        <f t="shared" si="236"/>
        <v>0</v>
      </c>
      <c r="AL198" s="108">
        <f t="shared" si="237"/>
        <v>0</v>
      </c>
      <c r="AN198" s="100">
        <v>15</v>
      </c>
      <c r="AO198" s="100">
        <f>H198*0.160103092783505</f>
        <v>0</v>
      </c>
      <c r="AP198" s="100">
        <f>H198*(1-0.160103092783505)</f>
        <v>0</v>
      </c>
      <c r="AQ198" s="111" t="s">
        <v>13</v>
      </c>
      <c r="AV198" s="100">
        <f t="shared" si="238"/>
        <v>0</v>
      </c>
      <c r="AW198" s="100">
        <f t="shared" si="239"/>
        <v>0</v>
      </c>
      <c r="AX198" s="100">
        <f t="shared" si="240"/>
        <v>0</v>
      </c>
      <c r="AY198" s="110" t="s">
        <v>1706</v>
      </c>
      <c r="AZ198" s="110" t="s">
        <v>1731</v>
      </c>
      <c r="BA198" s="109" t="s">
        <v>1737</v>
      </c>
      <c r="BC198" s="100">
        <f t="shared" si="241"/>
        <v>0</v>
      </c>
      <c r="BD198" s="100">
        <f t="shared" si="242"/>
        <v>0</v>
      </c>
      <c r="BE198" s="100">
        <v>0</v>
      </c>
      <c r="BF198" s="100">
        <f>198</f>
        <v>198</v>
      </c>
      <c r="BH198" s="108">
        <f t="shared" si="243"/>
        <v>0</v>
      </c>
      <c r="BI198" s="108">
        <f t="shared" si="244"/>
        <v>0</v>
      </c>
      <c r="BJ198" s="108">
        <f t="shared" si="245"/>
        <v>0</v>
      </c>
    </row>
    <row r="199" spans="1:62" x14ac:dyDescent="0.2">
      <c r="A199" s="117" t="s">
        <v>162</v>
      </c>
      <c r="B199" s="117" t="s">
        <v>717</v>
      </c>
      <c r="C199" s="304" t="s">
        <v>2465</v>
      </c>
      <c r="D199" s="305"/>
      <c r="E199" s="305"/>
      <c r="F199" s="117" t="s">
        <v>1645</v>
      </c>
      <c r="G199" s="116">
        <v>356.37700000000001</v>
      </c>
      <c r="H199" s="159"/>
      <c r="I199" s="108">
        <f t="shared" si="224"/>
        <v>0</v>
      </c>
      <c r="J199" s="108">
        <f t="shared" si="225"/>
        <v>0</v>
      </c>
      <c r="K199" s="108">
        <f t="shared" si="226"/>
        <v>0</v>
      </c>
      <c r="L199" s="111" t="s">
        <v>1671</v>
      </c>
      <c r="Z199" s="100">
        <f t="shared" si="227"/>
        <v>0</v>
      </c>
      <c r="AB199" s="100">
        <f t="shared" si="228"/>
        <v>0</v>
      </c>
      <c r="AC199" s="100">
        <f t="shared" si="229"/>
        <v>0</v>
      </c>
      <c r="AD199" s="100">
        <f t="shared" si="230"/>
        <v>0</v>
      </c>
      <c r="AE199" s="100">
        <f t="shared" si="231"/>
        <v>0</v>
      </c>
      <c r="AF199" s="100">
        <f t="shared" si="232"/>
        <v>0</v>
      </c>
      <c r="AG199" s="100">
        <f t="shared" si="233"/>
        <v>0</v>
      </c>
      <c r="AH199" s="100">
        <f t="shared" si="234"/>
        <v>0</v>
      </c>
      <c r="AI199" s="109"/>
      <c r="AJ199" s="108">
        <f t="shared" si="235"/>
        <v>0</v>
      </c>
      <c r="AK199" s="108">
        <f t="shared" si="236"/>
        <v>0</v>
      </c>
      <c r="AL199" s="108">
        <f t="shared" si="237"/>
        <v>0</v>
      </c>
      <c r="AN199" s="100">
        <v>15</v>
      </c>
      <c r="AO199" s="100">
        <f>H199*0.421192107768915</f>
        <v>0</v>
      </c>
      <c r="AP199" s="100">
        <f>H199*(1-0.421192107768915)</f>
        <v>0</v>
      </c>
      <c r="AQ199" s="111" t="s">
        <v>13</v>
      </c>
      <c r="AV199" s="100">
        <f t="shared" si="238"/>
        <v>0</v>
      </c>
      <c r="AW199" s="100">
        <f t="shared" si="239"/>
        <v>0</v>
      </c>
      <c r="AX199" s="100">
        <f t="shared" si="240"/>
        <v>0</v>
      </c>
      <c r="AY199" s="110" t="s">
        <v>1706</v>
      </c>
      <c r="AZ199" s="110" t="s">
        <v>1731</v>
      </c>
      <c r="BA199" s="109" t="s">
        <v>1737</v>
      </c>
      <c r="BC199" s="100">
        <f t="shared" si="241"/>
        <v>0</v>
      </c>
      <c r="BD199" s="100">
        <f t="shared" si="242"/>
        <v>0</v>
      </c>
      <c r="BE199" s="100">
        <v>0</v>
      </c>
      <c r="BF199" s="100">
        <f>199</f>
        <v>199</v>
      </c>
      <c r="BH199" s="108">
        <f t="shared" si="243"/>
        <v>0</v>
      </c>
      <c r="BI199" s="108">
        <f t="shared" si="244"/>
        <v>0</v>
      </c>
      <c r="BJ199" s="108">
        <f t="shared" si="245"/>
        <v>0</v>
      </c>
    </row>
    <row r="200" spans="1:62" x14ac:dyDescent="0.2">
      <c r="A200" s="117" t="s">
        <v>163</v>
      </c>
      <c r="B200" s="117" t="s">
        <v>718</v>
      </c>
      <c r="C200" s="304" t="s">
        <v>1230</v>
      </c>
      <c r="D200" s="305"/>
      <c r="E200" s="305"/>
      <c r="F200" s="117" t="s">
        <v>1648</v>
      </c>
      <c r="G200" s="116">
        <v>1.44</v>
      </c>
      <c r="H200" s="159"/>
      <c r="I200" s="108">
        <f t="shared" si="224"/>
        <v>0</v>
      </c>
      <c r="J200" s="108">
        <f t="shared" si="225"/>
        <v>0</v>
      </c>
      <c r="K200" s="108">
        <f t="shared" si="226"/>
        <v>0</v>
      </c>
      <c r="L200" s="111" t="s">
        <v>1671</v>
      </c>
      <c r="Z200" s="100">
        <f t="shared" si="227"/>
        <v>0</v>
      </c>
      <c r="AB200" s="100">
        <f t="shared" si="228"/>
        <v>0</v>
      </c>
      <c r="AC200" s="100">
        <f t="shared" si="229"/>
        <v>0</v>
      </c>
      <c r="AD200" s="100">
        <f t="shared" si="230"/>
        <v>0</v>
      </c>
      <c r="AE200" s="100">
        <f t="shared" si="231"/>
        <v>0</v>
      </c>
      <c r="AF200" s="100">
        <f t="shared" si="232"/>
        <v>0</v>
      </c>
      <c r="AG200" s="100">
        <f t="shared" si="233"/>
        <v>0</v>
      </c>
      <c r="AH200" s="100">
        <f t="shared" si="234"/>
        <v>0</v>
      </c>
      <c r="AI200" s="109"/>
      <c r="AJ200" s="108">
        <f t="shared" si="235"/>
        <v>0</v>
      </c>
      <c r="AK200" s="108">
        <f t="shared" si="236"/>
        <v>0</v>
      </c>
      <c r="AL200" s="108">
        <f t="shared" si="237"/>
        <v>0</v>
      </c>
      <c r="AN200" s="100">
        <v>15</v>
      </c>
      <c r="AO200" s="100">
        <f>H200*0</f>
        <v>0</v>
      </c>
      <c r="AP200" s="100">
        <f>H200*(1-0)</f>
        <v>0</v>
      </c>
      <c r="AQ200" s="111" t="s">
        <v>11</v>
      </c>
      <c r="AV200" s="100">
        <f t="shared" si="238"/>
        <v>0</v>
      </c>
      <c r="AW200" s="100">
        <f t="shared" si="239"/>
        <v>0</v>
      </c>
      <c r="AX200" s="100">
        <f t="shared" si="240"/>
        <v>0</v>
      </c>
      <c r="AY200" s="110" t="s">
        <v>1706</v>
      </c>
      <c r="AZ200" s="110" t="s">
        <v>1731</v>
      </c>
      <c r="BA200" s="109" t="s">
        <v>1737</v>
      </c>
      <c r="BC200" s="100">
        <f t="shared" si="241"/>
        <v>0</v>
      </c>
      <c r="BD200" s="100">
        <f t="shared" si="242"/>
        <v>0</v>
      </c>
      <c r="BE200" s="100">
        <v>0</v>
      </c>
      <c r="BF200" s="100">
        <f>200</f>
        <v>200</v>
      </c>
      <c r="BH200" s="108">
        <f t="shared" si="243"/>
        <v>0</v>
      </c>
      <c r="BI200" s="108">
        <f t="shared" si="244"/>
        <v>0</v>
      </c>
      <c r="BJ200" s="108">
        <f t="shared" si="245"/>
        <v>0</v>
      </c>
    </row>
    <row r="201" spans="1:62" x14ac:dyDescent="0.2">
      <c r="A201" s="119"/>
      <c r="B201" s="120" t="s">
        <v>719</v>
      </c>
      <c r="C201" s="306" t="s">
        <v>1231</v>
      </c>
      <c r="D201" s="307"/>
      <c r="E201" s="307"/>
      <c r="F201" s="119" t="s">
        <v>6</v>
      </c>
      <c r="G201" s="119" t="s">
        <v>6</v>
      </c>
      <c r="H201" s="119" t="s">
        <v>6</v>
      </c>
      <c r="I201" s="118">
        <f>SUM(I202:I224)</f>
        <v>0</v>
      </c>
      <c r="J201" s="118">
        <f>SUM(J202:J224)</f>
        <v>0</v>
      </c>
      <c r="K201" s="118">
        <f>SUM(K202:K224)</f>
        <v>0</v>
      </c>
      <c r="L201" s="109"/>
      <c r="AI201" s="109"/>
      <c r="AS201" s="118">
        <f>SUM(AJ202:AJ224)</f>
        <v>0</v>
      </c>
      <c r="AT201" s="118">
        <f>SUM(AK202:AK224)</f>
        <v>0</v>
      </c>
      <c r="AU201" s="118">
        <f>SUM(AL202:AL224)</f>
        <v>0</v>
      </c>
    </row>
    <row r="202" spans="1:62" x14ac:dyDescent="0.2">
      <c r="A202" s="117" t="s">
        <v>164</v>
      </c>
      <c r="B202" s="117" t="s">
        <v>720</v>
      </c>
      <c r="C202" s="304" t="s">
        <v>1232</v>
      </c>
      <c r="D202" s="305"/>
      <c r="E202" s="305"/>
      <c r="F202" s="117" t="s">
        <v>1646</v>
      </c>
      <c r="G202" s="116">
        <v>3.5</v>
      </c>
      <c r="H202" s="159"/>
      <c r="I202" s="108">
        <f t="shared" ref="I202:I224" si="246">G202*AO202</f>
        <v>0</v>
      </c>
      <c r="J202" s="108">
        <f t="shared" ref="J202:J224" si="247">G202*AP202</f>
        <v>0</v>
      </c>
      <c r="K202" s="108">
        <f t="shared" ref="K202:K224" si="248">G202*H202</f>
        <v>0</v>
      </c>
      <c r="L202" s="111"/>
      <c r="Z202" s="100">
        <f t="shared" ref="Z202:Z224" si="249">IF(AQ202="5",BJ202,0)</f>
        <v>0</v>
      </c>
      <c r="AB202" s="100">
        <f t="shared" ref="AB202:AB224" si="250">IF(AQ202="1",BH202,0)</f>
        <v>0</v>
      </c>
      <c r="AC202" s="100">
        <f t="shared" ref="AC202:AC224" si="251">IF(AQ202="1",BI202,0)</f>
        <v>0</v>
      </c>
      <c r="AD202" s="100">
        <f t="shared" ref="AD202:AD224" si="252">IF(AQ202="7",BH202,0)</f>
        <v>0</v>
      </c>
      <c r="AE202" s="100">
        <f t="shared" ref="AE202:AE224" si="253">IF(AQ202="7",BI202,0)</f>
        <v>0</v>
      </c>
      <c r="AF202" s="100">
        <f t="shared" ref="AF202:AF224" si="254">IF(AQ202="2",BH202,0)</f>
        <v>0</v>
      </c>
      <c r="AG202" s="100">
        <f t="shared" ref="AG202:AG224" si="255">IF(AQ202="2",BI202,0)</f>
        <v>0</v>
      </c>
      <c r="AH202" s="100">
        <f t="shared" ref="AH202:AH224" si="256">IF(AQ202="0",BJ202,0)</f>
        <v>0</v>
      </c>
      <c r="AI202" s="109"/>
      <c r="AJ202" s="108">
        <f t="shared" ref="AJ202:AJ224" si="257">IF(AN202=0,K202,0)</f>
        <v>0</v>
      </c>
      <c r="AK202" s="108">
        <f t="shared" ref="AK202:AK224" si="258">IF(AN202=15,K202,0)</f>
        <v>0</v>
      </c>
      <c r="AL202" s="108">
        <f t="shared" ref="AL202:AL224" si="259">IF(AN202=21,K202,0)</f>
        <v>0</v>
      </c>
      <c r="AN202" s="100">
        <v>15</v>
      </c>
      <c r="AO202" s="100">
        <f t="shared" ref="AO202:AO224" si="260">H202*0</f>
        <v>0</v>
      </c>
      <c r="AP202" s="100">
        <f t="shared" ref="AP202:AP224" si="261">H202*(1-0)</f>
        <v>0</v>
      </c>
      <c r="AQ202" s="111" t="s">
        <v>13</v>
      </c>
      <c r="AV202" s="100">
        <f t="shared" ref="AV202:AV224" si="262">AW202+AX202</f>
        <v>0</v>
      </c>
      <c r="AW202" s="100">
        <f t="shared" ref="AW202:AW224" si="263">G202*AO202</f>
        <v>0</v>
      </c>
      <c r="AX202" s="100">
        <f t="shared" ref="AX202:AX224" si="264">G202*AP202</f>
        <v>0</v>
      </c>
      <c r="AY202" s="110" t="s">
        <v>1707</v>
      </c>
      <c r="AZ202" s="110" t="s">
        <v>1732</v>
      </c>
      <c r="BA202" s="109" t="s">
        <v>1737</v>
      </c>
      <c r="BC202" s="100">
        <f t="shared" ref="BC202:BC224" si="265">AW202+AX202</f>
        <v>0</v>
      </c>
      <c r="BD202" s="100">
        <f t="shared" ref="BD202:BD224" si="266">H202/(100-BE202)*100</f>
        <v>0</v>
      </c>
      <c r="BE202" s="100">
        <v>0</v>
      </c>
      <c r="BF202" s="100">
        <f>202</f>
        <v>202</v>
      </c>
      <c r="BH202" s="108">
        <f t="shared" ref="BH202:BH224" si="267">G202*AO202</f>
        <v>0</v>
      </c>
      <c r="BI202" s="108">
        <f t="shared" ref="BI202:BI224" si="268">G202*AP202</f>
        <v>0</v>
      </c>
      <c r="BJ202" s="108">
        <f t="shared" ref="BJ202:BJ224" si="269">G202*H202</f>
        <v>0</v>
      </c>
    </row>
    <row r="203" spans="1:62" x14ac:dyDescent="0.2">
      <c r="A203" s="117" t="s">
        <v>165</v>
      </c>
      <c r="B203" s="117" t="s">
        <v>721</v>
      </c>
      <c r="C203" s="304" t="s">
        <v>1233</v>
      </c>
      <c r="D203" s="305"/>
      <c r="E203" s="305"/>
      <c r="F203" s="117" t="s">
        <v>1646</v>
      </c>
      <c r="G203" s="116">
        <v>3</v>
      </c>
      <c r="H203" s="159"/>
      <c r="I203" s="108">
        <f t="shared" si="246"/>
        <v>0</v>
      </c>
      <c r="J203" s="108">
        <f t="shared" si="247"/>
        <v>0</v>
      </c>
      <c r="K203" s="108">
        <f t="shared" si="248"/>
        <v>0</v>
      </c>
      <c r="L203" s="111"/>
      <c r="Z203" s="100">
        <f t="shared" si="249"/>
        <v>0</v>
      </c>
      <c r="AB203" s="100">
        <f t="shared" si="250"/>
        <v>0</v>
      </c>
      <c r="AC203" s="100">
        <f t="shared" si="251"/>
        <v>0</v>
      </c>
      <c r="AD203" s="100">
        <f t="shared" si="252"/>
        <v>0</v>
      </c>
      <c r="AE203" s="100">
        <f t="shared" si="253"/>
        <v>0</v>
      </c>
      <c r="AF203" s="100">
        <f t="shared" si="254"/>
        <v>0</v>
      </c>
      <c r="AG203" s="100">
        <f t="shared" si="255"/>
        <v>0</v>
      </c>
      <c r="AH203" s="100">
        <f t="shared" si="256"/>
        <v>0</v>
      </c>
      <c r="AI203" s="109"/>
      <c r="AJ203" s="108">
        <f t="shared" si="257"/>
        <v>0</v>
      </c>
      <c r="AK203" s="108">
        <f t="shared" si="258"/>
        <v>0</v>
      </c>
      <c r="AL203" s="108">
        <f t="shared" si="259"/>
        <v>0</v>
      </c>
      <c r="AN203" s="100">
        <v>15</v>
      </c>
      <c r="AO203" s="100">
        <f t="shared" si="260"/>
        <v>0</v>
      </c>
      <c r="AP203" s="100">
        <f t="shared" si="261"/>
        <v>0</v>
      </c>
      <c r="AQ203" s="111" t="s">
        <v>13</v>
      </c>
      <c r="AV203" s="100">
        <f t="shared" si="262"/>
        <v>0</v>
      </c>
      <c r="AW203" s="100">
        <f t="shared" si="263"/>
        <v>0</v>
      </c>
      <c r="AX203" s="100">
        <f t="shared" si="264"/>
        <v>0</v>
      </c>
      <c r="AY203" s="110" t="s">
        <v>1707</v>
      </c>
      <c r="AZ203" s="110" t="s">
        <v>1732</v>
      </c>
      <c r="BA203" s="109" t="s">
        <v>1737</v>
      </c>
      <c r="BC203" s="100">
        <f t="shared" si="265"/>
        <v>0</v>
      </c>
      <c r="BD203" s="100">
        <f t="shared" si="266"/>
        <v>0</v>
      </c>
      <c r="BE203" s="100">
        <v>0</v>
      </c>
      <c r="BF203" s="100">
        <f>203</f>
        <v>203</v>
      </c>
      <c r="BH203" s="108">
        <f t="shared" si="267"/>
        <v>0</v>
      </c>
      <c r="BI203" s="108">
        <f t="shared" si="268"/>
        <v>0</v>
      </c>
      <c r="BJ203" s="108">
        <f t="shared" si="269"/>
        <v>0</v>
      </c>
    </row>
    <row r="204" spans="1:62" x14ac:dyDescent="0.2">
      <c r="A204" s="117" t="s">
        <v>166</v>
      </c>
      <c r="B204" s="117" t="s">
        <v>722</v>
      </c>
      <c r="C204" s="304" t="s">
        <v>1234</v>
      </c>
      <c r="D204" s="305"/>
      <c r="E204" s="305"/>
      <c r="F204" s="117" t="s">
        <v>1646</v>
      </c>
      <c r="G204" s="116">
        <v>1.5</v>
      </c>
      <c r="H204" s="159"/>
      <c r="I204" s="108">
        <f t="shared" si="246"/>
        <v>0</v>
      </c>
      <c r="J204" s="108">
        <f t="shared" si="247"/>
        <v>0</v>
      </c>
      <c r="K204" s="108">
        <f t="shared" si="248"/>
        <v>0</v>
      </c>
      <c r="L204" s="111"/>
      <c r="Z204" s="100">
        <f t="shared" si="249"/>
        <v>0</v>
      </c>
      <c r="AB204" s="100">
        <f t="shared" si="250"/>
        <v>0</v>
      </c>
      <c r="AC204" s="100">
        <f t="shared" si="251"/>
        <v>0</v>
      </c>
      <c r="AD204" s="100">
        <f t="shared" si="252"/>
        <v>0</v>
      </c>
      <c r="AE204" s="100">
        <f t="shared" si="253"/>
        <v>0</v>
      </c>
      <c r="AF204" s="100">
        <f t="shared" si="254"/>
        <v>0</v>
      </c>
      <c r="AG204" s="100">
        <f t="shared" si="255"/>
        <v>0</v>
      </c>
      <c r="AH204" s="100">
        <f t="shared" si="256"/>
        <v>0</v>
      </c>
      <c r="AI204" s="109"/>
      <c r="AJ204" s="108">
        <f t="shared" si="257"/>
        <v>0</v>
      </c>
      <c r="AK204" s="108">
        <f t="shared" si="258"/>
        <v>0</v>
      </c>
      <c r="AL204" s="108">
        <f t="shared" si="259"/>
        <v>0</v>
      </c>
      <c r="AN204" s="100">
        <v>15</v>
      </c>
      <c r="AO204" s="100">
        <f t="shared" si="260"/>
        <v>0</v>
      </c>
      <c r="AP204" s="100">
        <f t="shared" si="261"/>
        <v>0</v>
      </c>
      <c r="AQ204" s="111" t="s">
        <v>13</v>
      </c>
      <c r="AV204" s="100">
        <f t="shared" si="262"/>
        <v>0</v>
      </c>
      <c r="AW204" s="100">
        <f t="shared" si="263"/>
        <v>0</v>
      </c>
      <c r="AX204" s="100">
        <f t="shared" si="264"/>
        <v>0</v>
      </c>
      <c r="AY204" s="110" t="s">
        <v>1707</v>
      </c>
      <c r="AZ204" s="110" t="s">
        <v>1732</v>
      </c>
      <c r="BA204" s="109" t="s">
        <v>1737</v>
      </c>
      <c r="BC204" s="100">
        <f t="shared" si="265"/>
        <v>0</v>
      </c>
      <c r="BD204" s="100">
        <f t="shared" si="266"/>
        <v>0</v>
      </c>
      <c r="BE204" s="100">
        <v>0</v>
      </c>
      <c r="BF204" s="100">
        <f>204</f>
        <v>204</v>
      </c>
      <c r="BH204" s="108">
        <f t="shared" si="267"/>
        <v>0</v>
      </c>
      <c r="BI204" s="108">
        <f t="shared" si="268"/>
        <v>0</v>
      </c>
      <c r="BJ204" s="108">
        <f t="shared" si="269"/>
        <v>0</v>
      </c>
    </row>
    <row r="205" spans="1:62" x14ac:dyDescent="0.2">
      <c r="A205" s="117" t="s">
        <v>167</v>
      </c>
      <c r="B205" s="117" t="s">
        <v>723</v>
      </c>
      <c r="C205" s="304" t="s">
        <v>1235</v>
      </c>
      <c r="D205" s="305"/>
      <c r="E205" s="305"/>
      <c r="F205" s="117" t="s">
        <v>1646</v>
      </c>
      <c r="G205" s="116">
        <v>3</v>
      </c>
      <c r="H205" s="159"/>
      <c r="I205" s="108">
        <f t="shared" si="246"/>
        <v>0</v>
      </c>
      <c r="J205" s="108">
        <f t="shared" si="247"/>
        <v>0</v>
      </c>
      <c r="K205" s="108">
        <f t="shared" si="248"/>
        <v>0</v>
      </c>
      <c r="L205" s="111"/>
      <c r="Z205" s="100">
        <f t="shared" si="249"/>
        <v>0</v>
      </c>
      <c r="AB205" s="100">
        <f t="shared" si="250"/>
        <v>0</v>
      </c>
      <c r="AC205" s="100">
        <f t="shared" si="251"/>
        <v>0</v>
      </c>
      <c r="AD205" s="100">
        <f t="shared" si="252"/>
        <v>0</v>
      </c>
      <c r="AE205" s="100">
        <f t="shared" si="253"/>
        <v>0</v>
      </c>
      <c r="AF205" s="100">
        <f t="shared" si="254"/>
        <v>0</v>
      </c>
      <c r="AG205" s="100">
        <f t="shared" si="255"/>
        <v>0</v>
      </c>
      <c r="AH205" s="100">
        <f t="shared" si="256"/>
        <v>0</v>
      </c>
      <c r="AI205" s="109"/>
      <c r="AJ205" s="108">
        <f t="shared" si="257"/>
        <v>0</v>
      </c>
      <c r="AK205" s="108">
        <f t="shared" si="258"/>
        <v>0</v>
      </c>
      <c r="AL205" s="108">
        <f t="shared" si="259"/>
        <v>0</v>
      </c>
      <c r="AN205" s="100">
        <v>15</v>
      </c>
      <c r="AO205" s="100">
        <f t="shared" si="260"/>
        <v>0</v>
      </c>
      <c r="AP205" s="100">
        <f t="shared" si="261"/>
        <v>0</v>
      </c>
      <c r="AQ205" s="111" t="s">
        <v>13</v>
      </c>
      <c r="AV205" s="100">
        <f t="shared" si="262"/>
        <v>0</v>
      </c>
      <c r="AW205" s="100">
        <f t="shared" si="263"/>
        <v>0</v>
      </c>
      <c r="AX205" s="100">
        <f t="shared" si="264"/>
        <v>0</v>
      </c>
      <c r="AY205" s="110" t="s">
        <v>1707</v>
      </c>
      <c r="AZ205" s="110" t="s">
        <v>1732</v>
      </c>
      <c r="BA205" s="109" t="s">
        <v>1737</v>
      </c>
      <c r="BC205" s="100">
        <f t="shared" si="265"/>
        <v>0</v>
      </c>
      <c r="BD205" s="100">
        <f t="shared" si="266"/>
        <v>0</v>
      </c>
      <c r="BE205" s="100">
        <v>0</v>
      </c>
      <c r="BF205" s="100">
        <f>205</f>
        <v>205</v>
      </c>
      <c r="BH205" s="108">
        <f t="shared" si="267"/>
        <v>0</v>
      </c>
      <c r="BI205" s="108">
        <f t="shared" si="268"/>
        <v>0</v>
      </c>
      <c r="BJ205" s="108">
        <f t="shared" si="269"/>
        <v>0</v>
      </c>
    </row>
    <row r="206" spans="1:62" x14ac:dyDescent="0.2">
      <c r="A206" s="117" t="s">
        <v>168</v>
      </c>
      <c r="B206" s="117" t="s">
        <v>724</v>
      </c>
      <c r="C206" s="304" t="s">
        <v>1236</v>
      </c>
      <c r="D206" s="305"/>
      <c r="E206" s="305"/>
      <c r="F206" s="117" t="s">
        <v>1646</v>
      </c>
      <c r="G206" s="116">
        <v>1</v>
      </c>
      <c r="H206" s="159"/>
      <c r="I206" s="108">
        <f t="shared" si="246"/>
        <v>0</v>
      </c>
      <c r="J206" s="108">
        <f t="shared" si="247"/>
        <v>0</v>
      </c>
      <c r="K206" s="108">
        <f t="shared" si="248"/>
        <v>0</v>
      </c>
      <c r="L206" s="111"/>
      <c r="Z206" s="100">
        <f t="shared" si="249"/>
        <v>0</v>
      </c>
      <c r="AB206" s="100">
        <f t="shared" si="250"/>
        <v>0</v>
      </c>
      <c r="AC206" s="100">
        <f t="shared" si="251"/>
        <v>0</v>
      </c>
      <c r="AD206" s="100">
        <f t="shared" si="252"/>
        <v>0</v>
      </c>
      <c r="AE206" s="100">
        <f t="shared" si="253"/>
        <v>0</v>
      </c>
      <c r="AF206" s="100">
        <f t="shared" si="254"/>
        <v>0</v>
      </c>
      <c r="AG206" s="100">
        <f t="shared" si="255"/>
        <v>0</v>
      </c>
      <c r="AH206" s="100">
        <f t="shared" si="256"/>
        <v>0</v>
      </c>
      <c r="AI206" s="109"/>
      <c r="AJ206" s="108">
        <f t="shared" si="257"/>
        <v>0</v>
      </c>
      <c r="AK206" s="108">
        <f t="shared" si="258"/>
        <v>0</v>
      </c>
      <c r="AL206" s="108">
        <f t="shared" si="259"/>
        <v>0</v>
      </c>
      <c r="AN206" s="100">
        <v>15</v>
      </c>
      <c r="AO206" s="100">
        <f t="shared" si="260"/>
        <v>0</v>
      </c>
      <c r="AP206" s="100">
        <f t="shared" si="261"/>
        <v>0</v>
      </c>
      <c r="AQ206" s="111" t="s">
        <v>13</v>
      </c>
      <c r="AV206" s="100">
        <f t="shared" si="262"/>
        <v>0</v>
      </c>
      <c r="AW206" s="100">
        <f t="shared" si="263"/>
        <v>0</v>
      </c>
      <c r="AX206" s="100">
        <f t="shared" si="264"/>
        <v>0</v>
      </c>
      <c r="AY206" s="110" t="s">
        <v>1707</v>
      </c>
      <c r="AZ206" s="110" t="s">
        <v>1732</v>
      </c>
      <c r="BA206" s="109" t="s">
        <v>1737</v>
      </c>
      <c r="BC206" s="100">
        <f t="shared" si="265"/>
        <v>0</v>
      </c>
      <c r="BD206" s="100">
        <f t="shared" si="266"/>
        <v>0</v>
      </c>
      <c r="BE206" s="100">
        <v>0</v>
      </c>
      <c r="BF206" s="100">
        <f>206</f>
        <v>206</v>
      </c>
      <c r="BH206" s="108">
        <f t="shared" si="267"/>
        <v>0</v>
      </c>
      <c r="BI206" s="108">
        <f t="shared" si="268"/>
        <v>0</v>
      </c>
      <c r="BJ206" s="108">
        <f t="shared" si="269"/>
        <v>0</v>
      </c>
    </row>
    <row r="207" spans="1:62" x14ac:dyDescent="0.2">
      <c r="A207" s="117" t="s">
        <v>169</v>
      </c>
      <c r="B207" s="117" t="s">
        <v>725</v>
      </c>
      <c r="C207" s="304" t="s">
        <v>1237</v>
      </c>
      <c r="D207" s="305"/>
      <c r="E207" s="305"/>
      <c r="F207" s="117" t="s">
        <v>1646</v>
      </c>
      <c r="G207" s="116">
        <v>29</v>
      </c>
      <c r="H207" s="159"/>
      <c r="I207" s="108">
        <f t="shared" si="246"/>
        <v>0</v>
      </c>
      <c r="J207" s="108">
        <f t="shared" si="247"/>
        <v>0</v>
      </c>
      <c r="K207" s="108">
        <f t="shared" si="248"/>
        <v>0</v>
      </c>
      <c r="L207" s="111"/>
      <c r="Z207" s="100">
        <f t="shared" si="249"/>
        <v>0</v>
      </c>
      <c r="AB207" s="100">
        <f t="shared" si="250"/>
        <v>0</v>
      </c>
      <c r="AC207" s="100">
        <f t="shared" si="251"/>
        <v>0</v>
      </c>
      <c r="AD207" s="100">
        <f t="shared" si="252"/>
        <v>0</v>
      </c>
      <c r="AE207" s="100">
        <f t="shared" si="253"/>
        <v>0</v>
      </c>
      <c r="AF207" s="100">
        <f t="shared" si="254"/>
        <v>0</v>
      </c>
      <c r="AG207" s="100">
        <f t="shared" si="255"/>
        <v>0</v>
      </c>
      <c r="AH207" s="100">
        <f t="shared" si="256"/>
        <v>0</v>
      </c>
      <c r="AI207" s="109"/>
      <c r="AJ207" s="108">
        <f t="shared" si="257"/>
        <v>0</v>
      </c>
      <c r="AK207" s="108">
        <f t="shared" si="258"/>
        <v>0</v>
      </c>
      <c r="AL207" s="108">
        <f t="shared" si="259"/>
        <v>0</v>
      </c>
      <c r="AN207" s="100">
        <v>15</v>
      </c>
      <c r="AO207" s="100">
        <f t="shared" si="260"/>
        <v>0</v>
      </c>
      <c r="AP207" s="100">
        <f t="shared" si="261"/>
        <v>0</v>
      </c>
      <c r="AQ207" s="111" t="s">
        <v>13</v>
      </c>
      <c r="AV207" s="100">
        <f t="shared" si="262"/>
        <v>0</v>
      </c>
      <c r="AW207" s="100">
        <f t="shared" si="263"/>
        <v>0</v>
      </c>
      <c r="AX207" s="100">
        <f t="shared" si="264"/>
        <v>0</v>
      </c>
      <c r="AY207" s="110" t="s">
        <v>1707</v>
      </c>
      <c r="AZ207" s="110" t="s">
        <v>1732</v>
      </c>
      <c r="BA207" s="109" t="s">
        <v>1737</v>
      </c>
      <c r="BC207" s="100">
        <f t="shared" si="265"/>
        <v>0</v>
      </c>
      <c r="BD207" s="100">
        <f t="shared" si="266"/>
        <v>0</v>
      </c>
      <c r="BE207" s="100">
        <v>0</v>
      </c>
      <c r="BF207" s="100">
        <f>207</f>
        <v>207</v>
      </c>
      <c r="BH207" s="108">
        <f t="shared" si="267"/>
        <v>0</v>
      </c>
      <c r="BI207" s="108">
        <f t="shared" si="268"/>
        <v>0</v>
      </c>
      <c r="BJ207" s="108">
        <f t="shared" si="269"/>
        <v>0</v>
      </c>
    </row>
    <row r="208" spans="1:62" x14ac:dyDescent="0.2">
      <c r="A208" s="117" t="s">
        <v>170</v>
      </c>
      <c r="B208" s="117" t="s">
        <v>726</v>
      </c>
      <c r="C208" s="304" t="s">
        <v>1238</v>
      </c>
      <c r="D208" s="305"/>
      <c r="E208" s="305"/>
      <c r="F208" s="117" t="s">
        <v>1644</v>
      </c>
      <c r="G208" s="116">
        <v>2</v>
      </c>
      <c r="H208" s="159"/>
      <c r="I208" s="108">
        <f t="shared" si="246"/>
        <v>0</v>
      </c>
      <c r="J208" s="108">
        <f t="shared" si="247"/>
        <v>0</v>
      </c>
      <c r="K208" s="108">
        <f t="shared" si="248"/>
        <v>0</v>
      </c>
      <c r="L208" s="111"/>
      <c r="Z208" s="100">
        <f t="shared" si="249"/>
        <v>0</v>
      </c>
      <c r="AB208" s="100">
        <f t="shared" si="250"/>
        <v>0</v>
      </c>
      <c r="AC208" s="100">
        <f t="shared" si="251"/>
        <v>0</v>
      </c>
      <c r="AD208" s="100">
        <f t="shared" si="252"/>
        <v>0</v>
      </c>
      <c r="AE208" s="100">
        <f t="shared" si="253"/>
        <v>0</v>
      </c>
      <c r="AF208" s="100">
        <f t="shared" si="254"/>
        <v>0</v>
      </c>
      <c r="AG208" s="100">
        <f t="shared" si="255"/>
        <v>0</v>
      </c>
      <c r="AH208" s="100">
        <f t="shared" si="256"/>
        <v>0</v>
      </c>
      <c r="AI208" s="109"/>
      <c r="AJ208" s="108">
        <f t="shared" si="257"/>
        <v>0</v>
      </c>
      <c r="AK208" s="108">
        <f t="shared" si="258"/>
        <v>0</v>
      </c>
      <c r="AL208" s="108">
        <f t="shared" si="259"/>
        <v>0</v>
      </c>
      <c r="AN208" s="100">
        <v>15</v>
      </c>
      <c r="AO208" s="100">
        <f t="shared" si="260"/>
        <v>0</v>
      </c>
      <c r="AP208" s="100">
        <f t="shared" si="261"/>
        <v>0</v>
      </c>
      <c r="AQ208" s="111" t="s">
        <v>13</v>
      </c>
      <c r="AV208" s="100">
        <f t="shared" si="262"/>
        <v>0</v>
      </c>
      <c r="AW208" s="100">
        <f t="shared" si="263"/>
        <v>0</v>
      </c>
      <c r="AX208" s="100">
        <f t="shared" si="264"/>
        <v>0</v>
      </c>
      <c r="AY208" s="110" t="s">
        <v>1707</v>
      </c>
      <c r="AZ208" s="110" t="s">
        <v>1732</v>
      </c>
      <c r="BA208" s="109" t="s">
        <v>1737</v>
      </c>
      <c r="BC208" s="100">
        <f t="shared" si="265"/>
        <v>0</v>
      </c>
      <c r="BD208" s="100">
        <f t="shared" si="266"/>
        <v>0</v>
      </c>
      <c r="BE208" s="100">
        <v>0</v>
      </c>
      <c r="BF208" s="100">
        <f>208</f>
        <v>208</v>
      </c>
      <c r="BH208" s="108">
        <f t="shared" si="267"/>
        <v>0</v>
      </c>
      <c r="BI208" s="108">
        <f t="shared" si="268"/>
        <v>0</v>
      </c>
      <c r="BJ208" s="108">
        <f t="shared" si="269"/>
        <v>0</v>
      </c>
    </row>
    <row r="209" spans="1:62" x14ac:dyDescent="0.2">
      <c r="A209" s="117" t="s">
        <v>171</v>
      </c>
      <c r="B209" s="117" t="s">
        <v>727</v>
      </c>
      <c r="C209" s="304" t="s">
        <v>1239</v>
      </c>
      <c r="D209" s="305"/>
      <c r="E209" s="305"/>
      <c r="F209" s="117" t="s">
        <v>1644</v>
      </c>
      <c r="G209" s="116">
        <v>1</v>
      </c>
      <c r="H209" s="159"/>
      <c r="I209" s="108">
        <f t="shared" si="246"/>
        <v>0</v>
      </c>
      <c r="J209" s="108">
        <f t="shared" si="247"/>
        <v>0</v>
      </c>
      <c r="K209" s="108">
        <f t="shared" si="248"/>
        <v>0</v>
      </c>
      <c r="L209" s="111"/>
      <c r="Z209" s="100">
        <f t="shared" si="249"/>
        <v>0</v>
      </c>
      <c r="AB209" s="100">
        <f t="shared" si="250"/>
        <v>0</v>
      </c>
      <c r="AC209" s="100">
        <f t="shared" si="251"/>
        <v>0</v>
      </c>
      <c r="AD209" s="100">
        <f t="shared" si="252"/>
        <v>0</v>
      </c>
      <c r="AE209" s="100">
        <f t="shared" si="253"/>
        <v>0</v>
      </c>
      <c r="AF209" s="100">
        <f t="shared" si="254"/>
        <v>0</v>
      </c>
      <c r="AG209" s="100">
        <f t="shared" si="255"/>
        <v>0</v>
      </c>
      <c r="AH209" s="100">
        <f t="shared" si="256"/>
        <v>0</v>
      </c>
      <c r="AI209" s="109"/>
      <c r="AJ209" s="108">
        <f t="shared" si="257"/>
        <v>0</v>
      </c>
      <c r="AK209" s="108">
        <f t="shared" si="258"/>
        <v>0</v>
      </c>
      <c r="AL209" s="108">
        <f t="shared" si="259"/>
        <v>0</v>
      </c>
      <c r="AN209" s="100">
        <v>15</v>
      </c>
      <c r="AO209" s="100">
        <f t="shared" si="260"/>
        <v>0</v>
      </c>
      <c r="AP209" s="100">
        <f t="shared" si="261"/>
        <v>0</v>
      </c>
      <c r="AQ209" s="111" t="s">
        <v>13</v>
      </c>
      <c r="AV209" s="100">
        <f t="shared" si="262"/>
        <v>0</v>
      </c>
      <c r="AW209" s="100">
        <f t="shared" si="263"/>
        <v>0</v>
      </c>
      <c r="AX209" s="100">
        <f t="shared" si="264"/>
        <v>0</v>
      </c>
      <c r="AY209" s="110" t="s">
        <v>1707</v>
      </c>
      <c r="AZ209" s="110" t="s">
        <v>1732</v>
      </c>
      <c r="BA209" s="109" t="s">
        <v>1737</v>
      </c>
      <c r="BC209" s="100">
        <f t="shared" si="265"/>
        <v>0</v>
      </c>
      <c r="BD209" s="100">
        <f t="shared" si="266"/>
        <v>0</v>
      </c>
      <c r="BE209" s="100">
        <v>0</v>
      </c>
      <c r="BF209" s="100">
        <f>209</f>
        <v>209</v>
      </c>
      <c r="BH209" s="108">
        <f t="shared" si="267"/>
        <v>0</v>
      </c>
      <c r="BI209" s="108">
        <f t="shared" si="268"/>
        <v>0</v>
      </c>
      <c r="BJ209" s="108">
        <f t="shared" si="269"/>
        <v>0</v>
      </c>
    </row>
    <row r="210" spans="1:62" x14ac:dyDescent="0.2">
      <c r="A210" s="117" t="s">
        <v>172</v>
      </c>
      <c r="B210" s="117" t="s">
        <v>728</v>
      </c>
      <c r="C210" s="304" t="s">
        <v>1240</v>
      </c>
      <c r="D210" s="305"/>
      <c r="E210" s="305"/>
      <c r="F210" s="117" t="s">
        <v>1644</v>
      </c>
      <c r="G210" s="116">
        <v>1</v>
      </c>
      <c r="H210" s="159"/>
      <c r="I210" s="108">
        <f t="shared" si="246"/>
        <v>0</v>
      </c>
      <c r="J210" s="108">
        <f t="shared" si="247"/>
        <v>0</v>
      </c>
      <c r="K210" s="108">
        <f t="shared" si="248"/>
        <v>0</v>
      </c>
      <c r="L210" s="111"/>
      <c r="Z210" s="100">
        <f t="shared" si="249"/>
        <v>0</v>
      </c>
      <c r="AB210" s="100">
        <f t="shared" si="250"/>
        <v>0</v>
      </c>
      <c r="AC210" s="100">
        <f t="shared" si="251"/>
        <v>0</v>
      </c>
      <c r="AD210" s="100">
        <f t="shared" si="252"/>
        <v>0</v>
      </c>
      <c r="AE210" s="100">
        <f t="shared" si="253"/>
        <v>0</v>
      </c>
      <c r="AF210" s="100">
        <f t="shared" si="254"/>
        <v>0</v>
      </c>
      <c r="AG210" s="100">
        <f t="shared" si="255"/>
        <v>0</v>
      </c>
      <c r="AH210" s="100">
        <f t="shared" si="256"/>
        <v>0</v>
      </c>
      <c r="AI210" s="109"/>
      <c r="AJ210" s="108">
        <f t="shared" si="257"/>
        <v>0</v>
      </c>
      <c r="AK210" s="108">
        <f t="shared" si="258"/>
        <v>0</v>
      </c>
      <c r="AL210" s="108">
        <f t="shared" si="259"/>
        <v>0</v>
      </c>
      <c r="AN210" s="100">
        <v>15</v>
      </c>
      <c r="AO210" s="100">
        <f t="shared" si="260"/>
        <v>0</v>
      </c>
      <c r="AP210" s="100">
        <f t="shared" si="261"/>
        <v>0</v>
      </c>
      <c r="AQ210" s="111" t="s">
        <v>13</v>
      </c>
      <c r="AV210" s="100">
        <f t="shared" si="262"/>
        <v>0</v>
      </c>
      <c r="AW210" s="100">
        <f t="shared" si="263"/>
        <v>0</v>
      </c>
      <c r="AX210" s="100">
        <f t="shared" si="264"/>
        <v>0</v>
      </c>
      <c r="AY210" s="110" t="s">
        <v>1707</v>
      </c>
      <c r="AZ210" s="110" t="s">
        <v>1732</v>
      </c>
      <c r="BA210" s="109" t="s">
        <v>1737</v>
      </c>
      <c r="BC210" s="100">
        <f t="shared" si="265"/>
        <v>0</v>
      </c>
      <c r="BD210" s="100">
        <f t="shared" si="266"/>
        <v>0</v>
      </c>
      <c r="BE210" s="100">
        <v>0</v>
      </c>
      <c r="BF210" s="100">
        <f>210</f>
        <v>210</v>
      </c>
      <c r="BH210" s="108">
        <f t="shared" si="267"/>
        <v>0</v>
      </c>
      <c r="BI210" s="108">
        <f t="shared" si="268"/>
        <v>0</v>
      </c>
      <c r="BJ210" s="108">
        <f t="shared" si="269"/>
        <v>0</v>
      </c>
    </row>
    <row r="211" spans="1:62" x14ac:dyDescent="0.2">
      <c r="A211" s="117" t="s">
        <v>173</v>
      </c>
      <c r="B211" s="117" t="s">
        <v>729</v>
      </c>
      <c r="C211" s="304" t="s">
        <v>1241</v>
      </c>
      <c r="D211" s="305"/>
      <c r="E211" s="305"/>
      <c r="F211" s="117" t="s">
        <v>1644</v>
      </c>
      <c r="G211" s="116">
        <v>1</v>
      </c>
      <c r="H211" s="159"/>
      <c r="I211" s="108">
        <f t="shared" si="246"/>
        <v>0</v>
      </c>
      <c r="J211" s="108">
        <f t="shared" si="247"/>
        <v>0</v>
      </c>
      <c r="K211" s="108">
        <f t="shared" si="248"/>
        <v>0</v>
      </c>
      <c r="L211" s="111"/>
      <c r="Z211" s="100">
        <f t="shared" si="249"/>
        <v>0</v>
      </c>
      <c r="AB211" s="100">
        <f t="shared" si="250"/>
        <v>0</v>
      </c>
      <c r="AC211" s="100">
        <f t="shared" si="251"/>
        <v>0</v>
      </c>
      <c r="AD211" s="100">
        <f t="shared" si="252"/>
        <v>0</v>
      </c>
      <c r="AE211" s="100">
        <f t="shared" si="253"/>
        <v>0</v>
      </c>
      <c r="AF211" s="100">
        <f t="shared" si="254"/>
        <v>0</v>
      </c>
      <c r="AG211" s="100">
        <f t="shared" si="255"/>
        <v>0</v>
      </c>
      <c r="AH211" s="100">
        <f t="shared" si="256"/>
        <v>0</v>
      </c>
      <c r="AI211" s="109"/>
      <c r="AJ211" s="108">
        <f t="shared" si="257"/>
        <v>0</v>
      </c>
      <c r="AK211" s="108">
        <f t="shared" si="258"/>
        <v>0</v>
      </c>
      <c r="AL211" s="108">
        <f t="shared" si="259"/>
        <v>0</v>
      </c>
      <c r="AN211" s="100">
        <v>15</v>
      </c>
      <c r="AO211" s="100">
        <f t="shared" si="260"/>
        <v>0</v>
      </c>
      <c r="AP211" s="100">
        <f t="shared" si="261"/>
        <v>0</v>
      </c>
      <c r="AQ211" s="111" t="s">
        <v>13</v>
      </c>
      <c r="AV211" s="100">
        <f t="shared" si="262"/>
        <v>0</v>
      </c>
      <c r="AW211" s="100">
        <f t="shared" si="263"/>
        <v>0</v>
      </c>
      <c r="AX211" s="100">
        <f t="shared" si="264"/>
        <v>0</v>
      </c>
      <c r="AY211" s="110" t="s">
        <v>1707</v>
      </c>
      <c r="AZ211" s="110" t="s">
        <v>1732</v>
      </c>
      <c r="BA211" s="109" t="s">
        <v>1737</v>
      </c>
      <c r="BC211" s="100">
        <f t="shared" si="265"/>
        <v>0</v>
      </c>
      <c r="BD211" s="100">
        <f t="shared" si="266"/>
        <v>0</v>
      </c>
      <c r="BE211" s="100">
        <v>0</v>
      </c>
      <c r="BF211" s="100">
        <f>211</f>
        <v>211</v>
      </c>
      <c r="BH211" s="108">
        <f t="shared" si="267"/>
        <v>0</v>
      </c>
      <c r="BI211" s="108">
        <f t="shared" si="268"/>
        <v>0</v>
      </c>
      <c r="BJ211" s="108">
        <f t="shared" si="269"/>
        <v>0</v>
      </c>
    </row>
    <row r="212" spans="1:62" x14ac:dyDescent="0.2">
      <c r="A212" s="117" t="s">
        <v>174</v>
      </c>
      <c r="B212" s="117" t="s">
        <v>730</v>
      </c>
      <c r="C212" s="304" t="s">
        <v>1242</v>
      </c>
      <c r="D212" s="305"/>
      <c r="E212" s="305"/>
      <c r="F212" s="117" t="s">
        <v>1644</v>
      </c>
      <c r="G212" s="116">
        <v>2</v>
      </c>
      <c r="H212" s="159"/>
      <c r="I212" s="108">
        <f t="shared" si="246"/>
        <v>0</v>
      </c>
      <c r="J212" s="108">
        <f t="shared" si="247"/>
        <v>0</v>
      </c>
      <c r="K212" s="108">
        <f t="shared" si="248"/>
        <v>0</v>
      </c>
      <c r="L212" s="111"/>
      <c r="Z212" s="100">
        <f t="shared" si="249"/>
        <v>0</v>
      </c>
      <c r="AB212" s="100">
        <f t="shared" si="250"/>
        <v>0</v>
      </c>
      <c r="AC212" s="100">
        <f t="shared" si="251"/>
        <v>0</v>
      </c>
      <c r="AD212" s="100">
        <f t="shared" si="252"/>
        <v>0</v>
      </c>
      <c r="AE212" s="100">
        <f t="shared" si="253"/>
        <v>0</v>
      </c>
      <c r="AF212" s="100">
        <f t="shared" si="254"/>
        <v>0</v>
      </c>
      <c r="AG212" s="100">
        <f t="shared" si="255"/>
        <v>0</v>
      </c>
      <c r="AH212" s="100">
        <f t="shared" si="256"/>
        <v>0</v>
      </c>
      <c r="AI212" s="109"/>
      <c r="AJ212" s="108">
        <f t="shared" si="257"/>
        <v>0</v>
      </c>
      <c r="AK212" s="108">
        <f t="shared" si="258"/>
        <v>0</v>
      </c>
      <c r="AL212" s="108">
        <f t="shared" si="259"/>
        <v>0</v>
      </c>
      <c r="AN212" s="100">
        <v>15</v>
      </c>
      <c r="AO212" s="100">
        <f t="shared" si="260"/>
        <v>0</v>
      </c>
      <c r="AP212" s="100">
        <f t="shared" si="261"/>
        <v>0</v>
      </c>
      <c r="AQ212" s="111" t="s">
        <v>13</v>
      </c>
      <c r="AV212" s="100">
        <f t="shared" si="262"/>
        <v>0</v>
      </c>
      <c r="AW212" s="100">
        <f t="shared" si="263"/>
        <v>0</v>
      </c>
      <c r="AX212" s="100">
        <f t="shared" si="264"/>
        <v>0</v>
      </c>
      <c r="AY212" s="110" t="s">
        <v>1707</v>
      </c>
      <c r="AZ212" s="110" t="s">
        <v>1732</v>
      </c>
      <c r="BA212" s="109" t="s">
        <v>1737</v>
      </c>
      <c r="BC212" s="100">
        <f t="shared" si="265"/>
        <v>0</v>
      </c>
      <c r="BD212" s="100">
        <f t="shared" si="266"/>
        <v>0</v>
      </c>
      <c r="BE212" s="100">
        <v>0</v>
      </c>
      <c r="BF212" s="100">
        <f>212</f>
        <v>212</v>
      </c>
      <c r="BH212" s="108">
        <f t="shared" si="267"/>
        <v>0</v>
      </c>
      <c r="BI212" s="108">
        <f t="shared" si="268"/>
        <v>0</v>
      </c>
      <c r="BJ212" s="108">
        <f t="shared" si="269"/>
        <v>0</v>
      </c>
    </row>
    <row r="213" spans="1:62" x14ac:dyDescent="0.2">
      <c r="A213" s="117" t="s">
        <v>175</v>
      </c>
      <c r="B213" s="117" t="s">
        <v>731</v>
      </c>
      <c r="C213" s="304" t="s">
        <v>1243</v>
      </c>
      <c r="D213" s="305"/>
      <c r="E213" s="305"/>
      <c r="F213" s="117" t="s">
        <v>1651</v>
      </c>
      <c r="G213" s="116">
        <v>1</v>
      </c>
      <c r="H213" s="159"/>
      <c r="I213" s="108">
        <f t="shared" si="246"/>
        <v>0</v>
      </c>
      <c r="J213" s="108">
        <f t="shared" si="247"/>
        <v>0</v>
      </c>
      <c r="K213" s="108">
        <f t="shared" si="248"/>
        <v>0</v>
      </c>
      <c r="L213" s="111"/>
      <c r="Z213" s="100">
        <f t="shared" si="249"/>
        <v>0</v>
      </c>
      <c r="AB213" s="100">
        <f t="shared" si="250"/>
        <v>0</v>
      </c>
      <c r="AC213" s="100">
        <f t="shared" si="251"/>
        <v>0</v>
      </c>
      <c r="AD213" s="100">
        <f t="shared" si="252"/>
        <v>0</v>
      </c>
      <c r="AE213" s="100">
        <f t="shared" si="253"/>
        <v>0</v>
      </c>
      <c r="AF213" s="100">
        <f t="shared" si="254"/>
        <v>0</v>
      </c>
      <c r="AG213" s="100">
        <f t="shared" si="255"/>
        <v>0</v>
      </c>
      <c r="AH213" s="100">
        <f t="shared" si="256"/>
        <v>0</v>
      </c>
      <c r="AI213" s="109"/>
      <c r="AJ213" s="108">
        <f t="shared" si="257"/>
        <v>0</v>
      </c>
      <c r="AK213" s="108">
        <f t="shared" si="258"/>
        <v>0</v>
      </c>
      <c r="AL213" s="108">
        <f t="shared" si="259"/>
        <v>0</v>
      </c>
      <c r="AN213" s="100">
        <v>15</v>
      </c>
      <c r="AO213" s="100">
        <f t="shared" si="260"/>
        <v>0</v>
      </c>
      <c r="AP213" s="100">
        <f t="shared" si="261"/>
        <v>0</v>
      </c>
      <c r="AQ213" s="111" t="s">
        <v>13</v>
      </c>
      <c r="AV213" s="100">
        <f t="shared" si="262"/>
        <v>0</v>
      </c>
      <c r="AW213" s="100">
        <f t="shared" si="263"/>
        <v>0</v>
      </c>
      <c r="AX213" s="100">
        <f t="shared" si="264"/>
        <v>0</v>
      </c>
      <c r="AY213" s="110" t="s">
        <v>1707</v>
      </c>
      <c r="AZ213" s="110" t="s">
        <v>1732</v>
      </c>
      <c r="BA213" s="109" t="s">
        <v>1737</v>
      </c>
      <c r="BC213" s="100">
        <f t="shared" si="265"/>
        <v>0</v>
      </c>
      <c r="BD213" s="100">
        <f t="shared" si="266"/>
        <v>0</v>
      </c>
      <c r="BE213" s="100">
        <v>0</v>
      </c>
      <c r="BF213" s="100">
        <f>213</f>
        <v>213</v>
      </c>
      <c r="BH213" s="108">
        <f t="shared" si="267"/>
        <v>0</v>
      </c>
      <c r="BI213" s="108">
        <f t="shared" si="268"/>
        <v>0</v>
      </c>
      <c r="BJ213" s="108">
        <f t="shared" si="269"/>
        <v>0</v>
      </c>
    </row>
    <row r="214" spans="1:62" x14ac:dyDescent="0.2">
      <c r="A214" s="117" t="s">
        <v>176</v>
      </c>
      <c r="B214" s="117" t="s">
        <v>732</v>
      </c>
      <c r="C214" s="304" t="s">
        <v>1244</v>
      </c>
      <c r="D214" s="305"/>
      <c r="E214" s="305"/>
      <c r="F214" s="117" t="s">
        <v>1651</v>
      </c>
      <c r="G214" s="116">
        <v>1</v>
      </c>
      <c r="H214" s="159"/>
      <c r="I214" s="108">
        <f t="shared" si="246"/>
        <v>0</v>
      </c>
      <c r="J214" s="108">
        <f t="shared" si="247"/>
        <v>0</v>
      </c>
      <c r="K214" s="108">
        <f t="shared" si="248"/>
        <v>0</v>
      </c>
      <c r="L214" s="111"/>
      <c r="Z214" s="100">
        <f t="shared" si="249"/>
        <v>0</v>
      </c>
      <c r="AB214" s="100">
        <f t="shared" si="250"/>
        <v>0</v>
      </c>
      <c r="AC214" s="100">
        <f t="shared" si="251"/>
        <v>0</v>
      </c>
      <c r="AD214" s="100">
        <f t="shared" si="252"/>
        <v>0</v>
      </c>
      <c r="AE214" s="100">
        <f t="shared" si="253"/>
        <v>0</v>
      </c>
      <c r="AF214" s="100">
        <f t="shared" si="254"/>
        <v>0</v>
      </c>
      <c r="AG214" s="100">
        <f t="shared" si="255"/>
        <v>0</v>
      </c>
      <c r="AH214" s="100">
        <f t="shared" si="256"/>
        <v>0</v>
      </c>
      <c r="AI214" s="109"/>
      <c r="AJ214" s="108">
        <f t="shared" si="257"/>
        <v>0</v>
      </c>
      <c r="AK214" s="108">
        <f t="shared" si="258"/>
        <v>0</v>
      </c>
      <c r="AL214" s="108">
        <f t="shared" si="259"/>
        <v>0</v>
      </c>
      <c r="AN214" s="100">
        <v>15</v>
      </c>
      <c r="AO214" s="100">
        <f t="shared" si="260"/>
        <v>0</v>
      </c>
      <c r="AP214" s="100">
        <f t="shared" si="261"/>
        <v>0</v>
      </c>
      <c r="AQ214" s="111" t="s">
        <v>13</v>
      </c>
      <c r="AV214" s="100">
        <f t="shared" si="262"/>
        <v>0</v>
      </c>
      <c r="AW214" s="100">
        <f t="shared" si="263"/>
        <v>0</v>
      </c>
      <c r="AX214" s="100">
        <f t="shared" si="264"/>
        <v>0</v>
      </c>
      <c r="AY214" s="110" t="s">
        <v>1707</v>
      </c>
      <c r="AZ214" s="110" t="s">
        <v>1732</v>
      </c>
      <c r="BA214" s="109" t="s">
        <v>1737</v>
      </c>
      <c r="BC214" s="100">
        <f t="shared" si="265"/>
        <v>0</v>
      </c>
      <c r="BD214" s="100">
        <f t="shared" si="266"/>
        <v>0</v>
      </c>
      <c r="BE214" s="100">
        <v>0</v>
      </c>
      <c r="BF214" s="100">
        <f>214</f>
        <v>214</v>
      </c>
      <c r="BH214" s="108">
        <f t="shared" si="267"/>
        <v>0</v>
      </c>
      <c r="BI214" s="108">
        <f t="shared" si="268"/>
        <v>0</v>
      </c>
      <c r="BJ214" s="108">
        <f t="shared" si="269"/>
        <v>0</v>
      </c>
    </row>
    <row r="215" spans="1:62" x14ac:dyDescent="0.2">
      <c r="A215" s="117" t="s">
        <v>177</v>
      </c>
      <c r="B215" s="117" t="s">
        <v>733</v>
      </c>
      <c r="C215" s="304" t="s">
        <v>1245</v>
      </c>
      <c r="D215" s="305"/>
      <c r="E215" s="305"/>
      <c r="F215" s="117" t="s">
        <v>1644</v>
      </c>
      <c r="G215" s="116">
        <v>3</v>
      </c>
      <c r="H215" s="159"/>
      <c r="I215" s="108">
        <f t="shared" si="246"/>
        <v>0</v>
      </c>
      <c r="J215" s="108">
        <f t="shared" si="247"/>
        <v>0</v>
      </c>
      <c r="K215" s="108">
        <f t="shared" si="248"/>
        <v>0</v>
      </c>
      <c r="L215" s="111"/>
      <c r="Z215" s="100">
        <f t="shared" si="249"/>
        <v>0</v>
      </c>
      <c r="AB215" s="100">
        <f t="shared" si="250"/>
        <v>0</v>
      </c>
      <c r="AC215" s="100">
        <f t="shared" si="251"/>
        <v>0</v>
      </c>
      <c r="AD215" s="100">
        <f t="shared" si="252"/>
        <v>0</v>
      </c>
      <c r="AE215" s="100">
        <f t="shared" si="253"/>
        <v>0</v>
      </c>
      <c r="AF215" s="100">
        <f t="shared" si="254"/>
        <v>0</v>
      </c>
      <c r="AG215" s="100">
        <f t="shared" si="255"/>
        <v>0</v>
      </c>
      <c r="AH215" s="100">
        <f t="shared" si="256"/>
        <v>0</v>
      </c>
      <c r="AI215" s="109"/>
      <c r="AJ215" s="108">
        <f t="shared" si="257"/>
        <v>0</v>
      </c>
      <c r="AK215" s="108">
        <f t="shared" si="258"/>
        <v>0</v>
      </c>
      <c r="AL215" s="108">
        <f t="shared" si="259"/>
        <v>0</v>
      </c>
      <c r="AN215" s="100">
        <v>15</v>
      </c>
      <c r="AO215" s="100">
        <f t="shared" si="260"/>
        <v>0</v>
      </c>
      <c r="AP215" s="100">
        <f t="shared" si="261"/>
        <v>0</v>
      </c>
      <c r="AQ215" s="111" t="s">
        <v>13</v>
      </c>
      <c r="AV215" s="100">
        <f t="shared" si="262"/>
        <v>0</v>
      </c>
      <c r="AW215" s="100">
        <f t="shared" si="263"/>
        <v>0</v>
      </c>
      <c r="AX215" s="100">
        <f t="shared" si="264"/>
        <v>0</v>
      </c>
      <c r="AY215" s="110" t="s">
        <v>1707</v>
      </c>
      <c r="AZ215" s="110" t="s">
        <v>1732</v>
      </c>
      <c r="BA215" s="109" t="s">
        <v>1737</v>
      </c>
      <c r="BC215" s="100">
        <f t="shared" si="265"/>
        <v>0</v>
      </c>
      <c r="BD215" s="100">
        <f t="shared" si="266"/>
        <v>0</v>
      </c>
      <c r="BE215" s="100">
        <v>0</v>
      </c>
      <c r="BF215" s="100">
        <f>215</f>
        <v>215</v>
      </c>
      <c r="BH215" s="108">
        <f t="shared" si="267"/>
        <v>0</v>
      </c>
      <c r="BI215" s="108">
        <f t="shared" si="268"/>
        <v>0</v>
      </c>
      <c r="BJ215" s="108">
        <f t="shared" si="269"/>
        <v>0</v>
      </c>
    </row>
    <row r="216" spans="1:62" x14ac:dyDescent="0.2">
      <c r="A216" s="117" t="s">
        <v>178</v>
      </c>
      <c r="B216" s="117" t="s">
        <v>2138</v>
      </c>
      <c r="C216" s="304" t="s">
        <v>2137</v>
      </c>
      <c r="D216" s="305"/>
      <c r="E216" s="305"/>
      <c r="F216" s="117" t="s">
        <v>1644</v>
      </c>
      <c r="G216" s="116">
        <v>2</v>
      </c>
      <c r="H216" s="159"/>
      <c r="I216" s="108">
        <f t="shared" si="246"/>
        <v>0</v>
      </c>
      <c r="J216" s="108">
        <f t="shared" si="247"/>
        <v>0</v>
      </c>
      <c r="K216" s="108">
        <f t="shared" si="248"/>
        <v>0</v>
      </c>
      <c r="L216" s="111"/>
      <c r="Z216" s="100">
        <f t="shared" si="249"/>
        <v>0</v>
      </c>
      <c r="AB216" s="100">
        <f t="shared" si="250"/>
        <v>0</v>
      </c>
      <c r="AC216" s="100">
        <f t="shared" si="251"/>
        <v>0</v>
      </c>
      <c r="AD216" s="100">
        <f t="shared" si="252"/>
        <v>0</v>
      </c>
      <c r="AE216" s="100">
        <f t="shared" si="253"/>
        <v>0</v>
      </c>
      <c r="AF216" s="100">
        <f t="shared" si="254"/>
        <v>0</v>
      </c>
      <c r="AG216" s="100">
        <f t="shared" si="255"/>
        <v>0</v>
      </c>
      <c r="AH216" s="100">
        <f t="shared" si="256"/>
        <v>0</v>
      </c>
      <c r="AI216" s="109"/>
      <c r="AJ216" s="108">
        <f t="shared" si="257"/>
        <v>0</v>
      </c>
      <c r="AK216" s="108">
        <f t="shared" si="258"/>
        <v>0</v>
      </c>
      <c r="AL216" s="108">
        <f t="shared" si="259"/>
        <v>0</v>
      </c>
      <c r="AN216" s="100">
        <v>15</v>
      </c>
      <c r="AO216" s="100">
        <f t="shared" si="260"/>
        <v>0</v>
      </c>
      <c r="AP216" s="100">
        <f t="shared" si="261"/>
        <v>0</v>
      </c>
      <c r="AQ216" s="111" t="s">
        <v>13</v>
      </c>
      <c r="AV216" s="100">
        <f t="shared" si="262"/>
        <v>0</v>
      </c>
      <c r="AW216" s="100">
        <f t="shared" si="263"/>
        <v>0</v>
      </c>
      <c r="AX216" s="100">
        <f t="shared" si="264"/>
        <v>0</v>
      </c>
      <c r="AY216" s="110" t="s">
        <v>1707</v>
      </c>
      <c r="AZ216" s="110" t="s">
        <v>1732</v>
      </c>
      <c r="BA216" s="109" t="s">
        <v>1737</v>
      </c>
      <c r="BC216" s="100">
        <f t="shared" si="265"/>
        <v>0</v>
      </c>
      <c r="BD216" s="100">
        <f t="shared" si="266"/>
        <v>0</v>
      </c>
      <c r="BE216" s="100">
        <v>0</v>
      </c>
      <c r="BF216" s="100">
        <f>216</f>
        <v>216</v>
      </c>
      <c r="BH216" s="108">
        <f t="shared" si="267"/>
        <v>0</v>
      </c>
      <c r="BI216" s="108">
        <f t="shared" si="268"/>
        <v>0</v>
      </c>
      <c r="BJ216" s="108">
        <f t="shared" si="269"/>
        <v>0</v>
      </c>
    </row>
    <row r="217" spans="1:62" x14ac:dyDescent="0.2">
      <c r="A217" s="117" t="s">
        <v>179</v>
      </c>
      <c r="B217" s="117" t="s">
        <v>734</v>
      </c>
      <c r="C217" s="304" t="s">
        <v>1246</v>
      </c>
      <c r="D217" s="305"/>
      <c r="E217" s="305"/>
      <c r="F217" s="117" t="s">
        <v>1644</v>
      </c>
      <c r="G217" s="116">
        <v>2</v>
      </c>
      <c r="H217" s="159"/>
      <c r="I217" s="108">
        <f t="shared" si="246"/>
        <v>0</v>
      </c>
      <c r="J217" s="108">
        <f t="shared" si="247"/>
        <v>0</v>
      </c>
      <c r="K217" s="108">
        <f t="shared" si="248"/>
        <v>0</v>
      </c>
      <c r="L217" s="111"/>
      <c r="Z217" s="100">
        <f t="shared" si="249"/>
        <v>0</v>
      </c>
      <c r="AB217" s="100">
        <f t="shared" si="250"/>
        <v>0</v>
      </c>
      <c r="AC217" s="100">
        <f t="shared" si="251"/>
        <v>0</v>
      </c>
      <c r="AD217" s="100">
        <f t="shared" si="252"/>
        <v>0</v>
      </c>
      <c r="AE217" s="100">
        <f t="shared" si="253"/>
        <v>0</v>
      </c>
      <c r="AF217" s="100">
        <f t="shared" si="254"/>
        <v>0</v>
      </c>
      <c r="AG217" s="100">
        <f t="shared" si="255"/>
        <v>0</v>
      </c>
      <c r="AH217" s="100">
        <f t="shared" si="256"/>
        <v>0</v>
      </c>
      <c r="AI217" s="109"/>
      <c r="AJ217" s="108">
        <f t="shared" si="257"/>
        <v>0</v>
      </c>
      <c r="AK217" s="108">
        <f t="shared" si="258"/>
        <v>0</v>
      </c>
      <c r="AL217" s="108">
        <f t="shared" si="259"/>
        <v>0</v>
      </c>
      <c r="AN217" s="100">
        <v>15</v>
      </c>
      <c r="AO217" s="100">
        <f t="shared" si="260"/>
        <v>0</v>
      </c>
      <c r="AP217" s="100">
        <f t="shared" si="261"/>
        <v>0</v>
      </c>
      <c r="AQ217" s="111" t="s">
        <v>13</v>
      </c>
      <c r="AV217" s="100">
        <f t="shared" si="262"/>
        <v>0</v>
      </c>
      <c r="AW217" s="100">
        <f t="shared" si="263"/>
        <v>0</v>
      </c>
      <c r="AX217" s="100">
        <f t="shared" si="264"/>
        <v>0</v>
      </c>
      <c r="AY217" s="110" t="s">
        <v>1707</v>
      </c>
      <c r="AZ217" s="110" t="s">
        <v>1732</v>
      </c>
      <c r="BA217" s="109" t="s">
        <v>1737</v>
      </c>
      <c r="BC217" s="100">
        <f t="shared" si="265"/>
        <v>0</v>
      </c>
      <c r="BD217" s="100">
        <f t="shared" si="266"/>
        <v>0</v>
      </c>
      <c r="BE217" s="100">
        <v>0</v>
      </c>
      <c r="BF217" s="100">
        <f>217</f>
        <v>217</v>
      </c>
      <c r="BH217" s="108">
        <f t="shared" si="267"/>
        <v>0</v>
      </c>
      <c r="BI217" s="108">
        <f t="shared" si="268"/>
        <v>0</v>
      </c>
      <c r="BJ217" s="108">
        <f t="shared" si="269"/>
        <v>0</v>
      </c>
    </row>
    <row r="218" spans="1:62" x14ac:dyDescent="0.2">
      <c r="A218" s="117" t="s">
        <v>180</v>
      </c>
      <c r="B218" s="117" t="s">
        <v>735</v>
      </c>
      <c r="C218" s="304" t="s">
        <v>1247</v>
      </c>
      <c r="D218" s="305"/>
      <c r="E218" s="305"/>
      <c r="F218" s="117" t="s">
        <v>1650</v>
      </c>
      <c r="G218" s="116">
        <v>30</v>
      </c>
      <c r="H218" s="159"/>
      <c r="I218" s="108">
        <f t="shared" si="246"/>
        <v>0</v>
      </c>
      <c r="J218" s="108">
        <f t="shared" si="247"/>
        <v>0</v>
      </c>
      <c r="K218" s="108">
        <f t="shared" si="248"/>
        <v>0</v>
      </c>
      <c r="L218" s="111"/>
      <c r="Z218" s="100">
        <f t="shared" si="249"/>
        <v>0</v>
      </c>
      <c r="AB218" s="100">
        <f t="shared" si="250"/>
        <v>0</v>
      </c>
      <c r="AC218" s="100">
        <f t="shared" si="251"/>
        <v>0</v>
      </c>
      <c r="AD218" s="100">
        <f t="shared" si="252"/>
        <v>0</v>
      </c>
      <c r="AE218" s="100">
        <f t="shared" si="253"/>
        <v>0</v>
      </c>
      <c r="AF218" s="100">
        <f t="shared" si="254"/>
        <v>0</v>
      </c>
      <c r="AG218" s="100">
        <f t="shared" si="255"/>
        <v>0</v>
      </c>
      <c r="AH218" s="100">
        <f t="shared" si="256"/>
        <v>0</v>
      </c>
      <c r="AI218" s="109"/>
      <c r="AJ218" s="108">
        <f t="shared" si="257"/>
        <v>0</v>
      </c>
      <c r="AK218" s="108">
        <f t="shared" si="258"/>
        <v>0</v>
      </c>
      <c r="AL218" s="108">
        <f t="shared" si="259"/>
        <v>0</v>
      </c>
      <c r="AN218" s="100">
        <v>15</v>
      </c>
      <c r="AO218" s="100">
        <f t="shared" si="260"/>
        <v>0</v>
      </c>
      <c r="AP218" s="100">
        <f t="shared" si="261"/>
        <v>0</v>
      </c>
      <c r="AQ218" s="111" t="s">
        <v>13</v>
      </c>
      <c r="AV218" s="100">
        <f t="shared" si="262"/>
        <v>0</v>
      </c>
      <c r="AW218" s="100">
        <f t="shared" si="263"/>
        <v>0</v>
      </c>
      <c r="AX218" s="100">
        <f t="shared" si="264"/>
        <v>0</v>
      </c>
      <c r="AY218" s="110" t="s">
        <v>1707</v>
      </c>
      <c r="AZ218" s="110" t="s">
        <v>1732</v>
      </c>
      <c r="BA218" s="109" t="s">
        <v>1737</v>
      </c>
      <c r="BC218" s="100">
        <f t="shared" si="265"/>
        <v>0</v>
      </c>
      <c r="BD218" s="100">
        <f t="shared" si="266"/>
        <v>0</v>
      </c>
      <c r="BE218" s="100">
        <v>0</v>
      </c>
      <c r="BF218" s="100">
        <f>218</f>
        <v>218</v>
      </c>
      <c r="BH218" s="108">
        <f t="shared" si="267"/>
        <v>0</v>
      </c>
      <c r="BI218" s="108">
        <f t="shared" si="268"/>
        <v>0</v>
      </c>
      <c r="BJ218" s="108">
        <f t="shared" si="269"/>
        <v>0</v>
      </c>
    </row>
    <row r="219" spans="1:62" x14ac:dyDescent="0.2">
      <c r="A219" s="117" t="s">
        <v>181</v>
      </c>
      <c r="B219" s="117" t="s">
        <v>736</v>
      </c>
      <c r="C219" s="304" t="s">
        <v>1248</v>
      </c>
      <c r="D219" s="305"/>
      <c r="E219" s="305"/>
      <c r="F219" s="117" t="s">
        <v>1646</v>
      </c>
      <c r="G219" s="116">
        <v>41</v>
      </c>
      <c r="H219" s="159"/>
      <c r="I219" s="108">
        <f t="shared" si="246"/>
        <v>0</v>
      </c>
      <c r="J219" s="108">
        <f t="shared" si="247"/>
        <v>0</v>
      </c>
      <c r="K219" s="108">
        <f t="shared" si="248"/>
        <v>0</v>
      </c>
      <c r="L219" s="111"/>
      <c r="Z219" s="100">
        <f t="shared" si="249"/>
        <v>0</v>
      </c>
      <c r="AB219" s="100">
        <f t="shared" si="250"/>
        <v>0</v>
      </c>
      <c r="AC219" s="100">
        <f t="shared" si="251"/>
        <v>0</v>
      </c>
      <c r="AD219" s="100">
        <f t="shared" si="252"/>
        <v>0</v>
      </c>
      <c r="AE219" s="100">
        <f t="shared" si="253"/>
        <v>0</v>
      </c>
      <c r="AF219" s="100">
        <f t="shared" si="254"/>
        <v>0</v>
      </c>
      <c r="AG219" s="100">
        <f t="shared" si="255"/>
        <v>0</v>
      </c>
      <c r="AH219" s="100">
        <f t="shared" si="256"/>
        <v>0</v>
      </c>
      <c r="AI219" s="109"/>
      <c r="AJ219" s="108">
        <f t="shared" si="257"/>
        <v>0</v>
      </c>
      <c r="AK219" s="108">
        <f t="shared" si="258"/>
        <v>0</v>
      </c>
      <c r="AL219" s="108">
        <f t="shared" si="259"/>
        <v>0</v>
      </c>
      <c r="AN219" s="100">
        <v>15</v>
      </c>
      <c r="AO219" s="100">
        <f t="shared" si="260"/>
        <v>0</v>
      </c>
      <c r="AP219" s="100">
        <f t="shared" si="261"/>
        <v>0</v>
      </c>
      <c r="AQ219" s="111" t="s">
        <v>13</v>
      </c>
      <c r="AV219" s="100">
        <f t="shared" si="262"/>
        <v>0</v>
      </c>
      <c r="AW219" s="100">
        <f t="shared" si="263"/>
        <v>0</v>
      </c>
      <c r="AX219" s="100">
        <f t="shared" si="264"/>
        <v>0</v>
      </c>
      <c r="AY219" s="110" t="s">
        <v>1707</v>
      </c>
      <c r="AZ219" s="110" t="s">
        <v>1732</v>
      </c>
      <c r="BA219" s="109" t="s">
        <v>1737</v>
      </c>
      <c r="BC219" s="100">
        <f t="shared" si="265"/>
        <v>0</v>
      </c>
      <c r="BD219" s="100">
        <f t="shared" si="266"/>
        <v>0</v>
      </c>
      <c r="BE219" s="100">
        <v>0</v>
      </c>
      <c r="BF219" s="100">
        <f>219</f>
        <v>219</v>
      </c>
      <c r="BH219" s="108">
        <f t="shared" si="267"/>
        <v>0</v>
      </c>
      <c r="BI219" s="108">
        <f t="shared" si="268"/>
        <v>0</v>
      </c>
      <c r="BJ219" s="108">
        <f t="shared" si="269"/>
        <v>0</v>
      </c>
    </row>
    <row r="220" spans="1:62" x14ac:dyDescent="0.2">
      <c r="A220" s="117" t="s">
        <v>182</v>
      </c>
      <c r="B220" s="117" t="s">
        <v>737</v>
      </c>
      <c r="C220" s="304" t="s">
        <v>1249</v>
      </c>
      <c r="D220" s="305"/>
      <c r="E220" s="305"/>
      <c r="F220" s="117" t="s">
        <v>1646</v>
      </c>
      <c r="G220" s="116">
        <v>41</v>
      </c>
      <c r="H220" s="159"/>
      <c r="I220" s="108">
        <f t="shared" si="246"/>
        <v>0</v>
      </c>
      <c r="J220" s="108">
        <f t="shared" si="247"/>
        <v>0</v>
      </c>
      <c r="K220" s="108">
        <f t="shared" si="248"/>
        <v>0</v>
      </c>
      <c r="L220" s="111"/>
      <c r="Z220" s="100">
        <f t="shared" si="249"/>
        <v>0</v>
      </c>
      <c r="AB220" s="100">
        <f t="shared" si="250"/>
        <v>0</v>
      </c>
      <c r="AC220" s="100">
        <f t="shared" si="251"/>
        <v>0</v>
      </c>
      <c r="AD220" s="100">
        <f t="shared" si="252"/>
        <v>0</v>
      </c>
      <c r="AE220" s="100">
        <f t="shared" si="253"/>
        <v>0</v>
      </c>
      <c r="AF220" s="100">
        <f t="shared" si="254"/>
        <v>0</v>
      </c>
      <c r="AG220" s="100">
        <f t="shared" si="255"/>
        <v>0</v>
      </c>
      <c r="AH220" s="100">
        <f t="shared" si="256"/>
        <v>0</v>
      </c>
      <c r="AI220" s="109"/>
      <c r="AJ220" s="108">
        <f t="shared" si="257"/>
        <v>0</v>
      </c>
      <c r="AK220" s="108">
        <f t="shared" si="258"/>
        <v>0</v>
      </c>
      <c r="AL220" s="108">
        <f t="shared" si="259"/>
        <v>0</v>
      </c>
      <c r="AN220" s="100">
        <v>15</v>
      </c>
      <c r="AO220" s="100">
        <f t="shared" si="260"/>
        <v>0</v>
      </c>
      <c r="AP220" s="100">
        <f t="shared" si="261"/>
        <v>0</v>
      </c>
      <c r="AQ220" s="111" t="s">
        <v>13</v>
      </c>
      <c r="AV220" s="100">
        <f t="shared" si="262"/>
        <v>0</v>
      </c>
      <c r="AW220" s="100">
        <f t="shared" si="263"/>
        <v>0</v>
      </c>
      <c r="AX220" s="100">
        <f t="shared" si="264"/>
        <v>0</v>
      </c>
      <c r="AY220" s="110" t="s">
        <v>1707</v>
      </c>
      <c r="AZ220" s="110" t="s">
        <v>1732</v>
      </c>
      <c r="BA220" s="109" t="s">
        <v>1737</v>
      </c>
      <c r="BC220" s="100">
        <f t="shared" si="265"/>
        <v>0</v>
      </c>
      <c r="BD220" s="100">
        <f t="shared" si="266"/>
        <v>0</v>
      </c>
      <c r="BE220" s="100">
        <v>0</v>
      </c>
      <c r="BF220" s="100">
        <f>220</f>
        <v>220</v>
      </c>
      <c r="BH220" s="108">
        <f t="shared" si="267"/>
        <v>0</v>
      </c>
      <c r="BI220" s="108">
        <f t="shared" si="268"/>
        <v>0</v>
      </c>
      <c r="BJ220" s="108">
        <f t="shared" si="269"/>
        <v>0</v>
      </c>
    </row>
    <row r="221" spans="1:62" x14ac:dyDescent="0.2">
      <c r="A221" s="117" t="s">
        <v>183</v>
      </c>
      <c r="B221" s="117" t="s">
        <v>738</v>
      </c>
      <c r="C221" s="304" t="s">
        <v>1250</v>
      </c>
      <c r="D221" s="305"/>
      <c r="E221" s="305"/>
      <c r="F221" s="117" t="s">
        <v>1646</v>
      </c>
      <c r="G221" s="116">
        <v>41</v>
      </c>
      <c r="H221" s="159"/>
      <c r="I221" s="108">
        <f t="shared" si="246"/>
        <v>0</v>
      </c>
      <c r="J221" s="108">
        <f t="shared" si="247"/>
        <v>0</v>
      </c>
      <c r="K221" s="108">
        <f t="shared" si="248"/>
        <v>0</v>
      </c>
      <c r="L221" s="111"/>
      <c r="Z221" s="100">
        <f t="shared" si="249"/>
        <v>0</v>
      </c>
      <c r="AB221" s="100">
        <f t="shared" si="250"/>
        <v>0</v>
      </c>
      <c r="AC221" s="100">
        <f t="shared" si="251"/>
        <v>0</v>
      </c>
      <c r="AD221" s="100">
        <f t="shared" si="252"/>
        <v>0</v>
      </c>
      <c r="AE221" s="100">
        <f t="shared" si="253"/>
        <v>0</v>
      </c>
      <c r="AF221" s="100">
        <f t="shared" si="254"/>
        <v>0</v>
      </c>
      <c r="AG221" s="100">
        <f t="shared" si="255"/>
        <v>0</v>
      </c>
      <c r="AH221" s="100">
        <f t="shared" si="256"/>
        <v>0</v>
      </c>
      <c r="AI221" s="109"/>
      <c r="AJ221" s="108">
        <f t="shared" si="257"/>
        <v>0</v>
      </c>
      <c r="AK221" s="108">
        <f t="shared" si="258"/>
        <v>0</v>
      </c>
      <c r="AL221" s="108">
        <f t="shared" si="259"/>
        <v>0</v>
      </c>
      <c r="AN221" s="100">
        <v>15</v>
      </c>
      <c r="AO221" s="100">
        <f t="shared" si="260"/>
        <v>0</v>
      </c>
      <c r="AP221" s="100">
        <f t="shared" si="261"/>
        <v>0</v>
      </c>
      <c r="AQ221" s="111" t="s">
        <v>13</v>
      </c>
      <c r="AV221" s="100">
        <f t="shared" si="262"/>
        <v>0</v>
      </c>
      <c r="AW221" s="100">
        <f t="shared" si="263"/>
        <v>0</v>
      </c>
      <c r="AX221" s="100">
        <f t="shared" si="264"/>
        <v>0</v>
      </c>
      <c r="AY221" s="110" t="s">
        <v>1707</v>
      </c>
      <c r="AZ221" s="110" t="s">
        <v>1732</v>
      </c>
      <c r="BA221" s="109" t="s">
        <v>1737</v>
      </c>
      <c r="BC221" s="100">
        <f t="shared" si="265"/>
        <v>0</v>
      </c>
      <c r="BD221" s="100">
        <f t="shared" si="266"/>
        <v>0</v>
      </c>
      <c r="BE221" s="100">
        <v>0</v>
      </c>
      <c r="BF221" s="100">
        <f>221</f>
        <v>221</v>
      </c>
      <c r="BH221" s="108">
        <f t="shared" si="267"/>
        <v>0</v>
      </c>
      <c r="BI221" s="108">
        <f t="shared" si="268"/>
        <v>0</v>
      </c>
      <c r="BJ221" s="108">
        <f t="shared" si="269"/>
        <v>0</v>
      </c>
    </row>
    <row r="222" spans="1:62" x14ac:dyDescent="0.2">
      <c r="A222" s="117" t="s">
        <v>184</v>
      </c>
      <c r="B222" s="117" t="s">
        <v>739</v>
      </c>
      <c r="C222" s="304" t="s">
        <v>1251</v>
      </c>
      <c r="D222" s="305"/>
      <c r="E222" s="305"/>
      <c r="F222" s="117" t="s">
        <v>1650</v>
      </c>
      <c r="G222" s="116">
        <v>10</v>
      </c>
      <c r="H222" s="159"/>
      <c r="I222" s="108">
        <f t="shared" si="246"/>
        <v>0</v>
      </c>
      <c r="J222" s="108">
        <f t="shared" si="247"/>
        <v>0</v>
      </c>
      <c r="K222" s="108">
        <f t="shared" si="248"/>
        <v>0</v>
      </c>
      <c r="L222" s="111"/>
      <c r="Z222" s="100">
        <f t="shared" si="249"/>
        <v>0</v>
      </c>
      <c r="AB222" s="100">
        <f t="shared" si="250"/>
        <v>0</v>
      </c>
      <c r="AC222" s="100">
        <f t="shared" si="251"/>
        <v>0</v>
      </c>
      <c r="AD222" s="100">
        <f t="shared" si="252"/>
        <v>0</v>
      </c>
      <c r="AE222" s="100">
        <f t="shared" si="253"/>
        <v>0</v>
      </c>
      <c r="AF222" s="100">
        <f t="shared" si="254"/>
        <v>0</v>
      </c>
      <c r="AG222" s="100">
        <f t="shared" si="255"/>
        <v>0</v>
      </c>
      <c r="AH222" s="100">
        <f t="shared" si="256"/>
        <v>0</v>
      </c>
      <c r="AI222" s="109"/>
      <c r="AJ222" s="108">
        <f t="shared" si="257"/>
        <v>0</v>
      </c>
      <c r="AK222" s="108">
        <f t="shared" si="258"/>
        <v>0</v>
      </c>
      <c r="AL222" s="108">
        <f t="shared" si="259"/>
        <v>0</v>
      </c>
      <c r="AN222" s="100">
        <v>15</v>
      </c>
      <c r="AO222" s="100">
        <f t="shared" si="260"/>
        <v>0</v>
      </c>
      <c r="AP222" s="100">
        <f t="shared" si="261"/>
        <v>0</v>
      </c>
      <c r="AQ222" s="111" t="s">
        <v>13</v>
      </c>
      <c r="AV222" s="100">
        <f t="shared" si="262"/>
        <v>0</v>
      </c>
      <c r="AW222" s="100">
        <f t="shared" si="263"/>
        <v>0</v>
      </c>
      <c r="AX222" s="100">
        <f t="shared" si="264"/>
        <v>0</v>
      </c>
      <c r="AY222" s="110" t="s">
        <v>1707</v>
      </c>
      <c r="AZ222" s="110" t="s">
        <v>1732</v>
      </c>
      <c r="BA222" s="109" t="s">
        <v>1737</v>
      </c>
      <c r="BC222" s="100">
        <f t="shared" si="265"/>
        <v>0</v>
      </c>
      <c r="BD222" s="100">
        <f t="shared" si="266"/>
        <v>0</v>
      </c>
      <c r="BE222" s="100">
        <v>0</v>
      </c>
      <c r="BF222" s="100">
        <f>222</f>
        <v>222</v>
      </c>
      <c r="BH222" s="108">
        <f t="shared" si="267"/>
        <v>0</v>
      </c>
      <c r="BI222" s="108">
        <f t="shared" si="268"/>
        <v>0</v>
      </c>
      <c r="BJ222" s="108">
        <f t="shared" si="269"/>
        <v>0</v>
      </c>
    </row>
    <row r="223" spans="1:62" x14ac:dyDescent="0.2">
      <c r="A223" s="117" t="s">
        <v>185</v>
      </c>
      <c r="B223" s="117" t="s">
        <v>740</v>
      </c>
      <c r="C223" s="304" t="s">
        <v>1252</v>
      </c>
      <c r="D223" s="305"/>
      <c r="E223" s="305"/>
      <c r="F223" s="117" t="s">
        <v>1644</v>
      </c>
      <c r="G223" s="116">
        <v>1</v>
      </c>
      <c r="H223" s="159"/>
      <c r="I223" s="108">
        <f t="shared" si="246"/>
        <v>0</v>
      </c>
      <c r="J223" s="108">
        <f t="shared" si="247"/>
        <v>0</v>
      </c>
      <c r="K223" s="108">
        <f t="shared" si="248"/>
        <v>0</v>
      </c>
      <c r="L223" s="111"/>
      <c r="Z223" s="100">
        <f t="shared" si="249"/>
        <v>0</v>
      </c>
      <c r="AB223" s="100">
        <f t="shared" si="250"/>
        <v>0</v>
      </c>
      <c r="AC223" s="100">
        <f t="shared" si="251"/>
        <v>0</v>
      </c>
      <c r="AD223" s="100">
        <f t="shared" si="252"/>
        <v>0</v>
      </c>
      <c r="AE223" s="100">
        <f t="shared" si="253"/>
        <v>0</v>
      </c>
      <c r="AF223" s="100">
        <f t="shared" si="254"/>
        <v>0</v>
      </c>
      <c r="AG223" s="100">
        <f t="shared" si="255"/>
        <v>0</v>
      </c>
      <c r="AH223" s="100">
        <f t="shared" si="256"/>
        <v>0</v>
      </c>
      <c r="AI223" s="109"/>
      <c r="AJ223" s="108">
        <f t="shared" si="257"/>
        <v>0</v>
      </c>
      <c r="AK223" s="108">
        <f t="shared" si="258"/>
        <v>0</v>
      </c>
      <c r="AL223" s="108">
        <f t="shared" si="259"/>
        <v>0</v>
      </c>
      <c r="AN223" s="100">
        <v>15</v>
      </c>
      <c r="AO223" s="100">
        <f t="shared" si="260"/>
        <v>0</v>
      </c>
      <c r="AP223" s="100">
        <f t="shared" si="261"/>
        <v>0</v>
      </c>
      <c r="AQ223" s="111" t="s">
        <v>13</v>
      </c>
      <c r="AV223" s="100">
        <f t="shared" si="262"/>
        <v>0</v>
      </c>
      <c r="AW223" s="100">
        <f t="shared" si="263"/>
        <v>0</v>
      </c>
      <c r="AX223" s="100">
        <f t="shared" si="264"/>
        <v>0</v>
      </c>
      <c r="AY223" s="110" t="s">
        <v>1707</v>
      </c>
      <c r="AZ223" s="110" t="s">
        <v>1732</v>
      </c>
      <c r="BA223" s="109" t="s">
        <v>1737</v>
      </c>
      <c r="BC223" s="100">
        <f t="shared" si="265"/>
        <v>0</v>
      </c>
      <c r="BD223" s="100">
        <f t="shared" si="266"/>
        <v>0</v>
      </c>
      <c r="BE223" s="100">
        <v>0</v>
      </c>
      <c r="BF223" s="100">
        <f>223</f>
        <v>223</v>
      </c>
      <c r="BH223" s="108">
        <f t="shared" si="267"/>
        <v>0</v>
      </c>
      <c r="BI223" s="108">
        <f t="shared" si="268"/>
        <v>0</v>
      </c>
      <c r="BJ223" s="108">
        <f t="shared" si="269"/>
        <v>0</v>
      </c>
    </row>
    <row r="224" spans="1:62" x14ac:dyDescent="0.2">
      <c r="A224" s="117" t="s">
        <v>186</v>
      </c>
      <c r="B224" s="117" t="s">
        <v>741</v>
      </c>
      <c r="C224" s="304" t="s">
        <v>1253</v>
      </c>
      <c r="D224" s="305"/>
      <c r="E224" s="305"/>
      <c r="F224" s="117" t="s">
        <v>1644</v>
      </c>
      <c r="G224" s="116">
        <v>1</v>
      </c>
      <c r="H224" s="159"/>
      <c r="I224" s="108">
        <f t="shared" si="246"/>
        <v>0</v>
      </c>
      <c r="J224" s="108">
        <f t="shared" si="247"/>
        <v>0</v>
      </c>
      <c r="K224" s="108">
        <f t="shared" si="248"/>
        <v>0</v>
      </c>
      <c r="L224" s="111"/>
      <c r="Z224" s="100">
        <f t="shared" si="249"/>
        <v>0</v>
      </c>
      <c r="AB224" s="100">
        <f t="shared" si="250"/>
        <v>0</v>
      </c>
      <c r="AC224" s="100">
        <f t="shared" si="251"/>
        <v>0</v>
      </c>
      <c r="AD224" s="100">
        <f t="shared" si="252"/>
        <v>0</v>
      </c>
      <c r="AE224" s="100">
        <f t="shared" si="253"/>
        <v>0</v>
      </c>
      <c r="AF224" s="100">
        <f t="shared" si="254"/>
        <v>0</v>
      </c>
      <c r="AG224" s="100">
        <f t="shared" si="255"/>
        <v>0</v>
      </c>
      <c r="AH224" s="100">
        <f t="shared" si="256"/>
        <v>0</v>
      </c>
      <c r="AI224" s="109"/>
      <c r="AJ224" s="108">
        <f t="shared" si="257"/>
        <v>0</v>
      </c>
      <c r="AK224" s="108">
        <f t="shared" si="258"/>
        <v>0</v>
      </c>
      <c r="AL224" s="108">
        <f t="shared" si="259"/>
        <v>0</v>
      </c>
      <c r="AN224" s="100">
        <v>15</v>
      </c>
      <c r="AO224" s="100">
        <f t="shared" si="260"/>
        <v>0</v>
      </c>
      <c r="AP224" s="100">
        <f t="shared" si="261"/>
        <v>0</v>
      </c>
      <c r="AQ224" s="111" t="s">
        <v>13</v>
      </c>
      <c r="AV224" s="100">
        <f t="shared" si="262"/>
        <v>0</v>
      </c>
      <c r="AW224" s="100">
        <f t="shared" si="263"/>
        <v>0</v>
      </c>
      <c r="AX224" s="100">
        <f t="shared" si="264"/>
        <v>0</v>
      </c>
      <c r="AY224" s="110" t="s">
        <v>1707</v>
      </c>
      <c r="AZ224" s="110" t="s">
        <v>1732</v>
      </c>
      <c r="BA224" s="109" t="s">
        <v>1737</v>
      </c>
      <c r="BC224" s="100">
        <f t="shared" si="265"/>
        <v>0</v>
      </c>
      <c r="BD224" s="100">
        <f t="shared" si="266"/>
        <v>0</v>
      </c>
      <c r="BE224" s="100">
        <v>0</v>
      </c>
      <c r="BF224" s="100">
        <f>224</f>
        <v>224</v>
      </c>
      <c r="BH224" s="108">
        <f t="shared" si="267"/>
        <v>0</v>
      </c>
      <c r="BI224" s="108">
        <f t="shared" si="268"/>
        <v>0</v>
      </c>
      <c r="BJ224" s="108">
        <f t="shared" si="269"/>
        <v>0</v>
      </c>
    </row>
    <row r="225" spans="1:62" x14ac:dyDescent="0.2">
      <c r="A225" s="119"/>
      <c r="B225" s="120" t="s">
        <v>744</v>
      </c>
      <c r="C225" s="306" t="s">
        <v>1256</v>
      </c>
      <c r="D225" s="307"/>
      <c r="E225" s="307"/>
      <c r="F225" s="119" t="s">
        <v>6</v>
      </c>
      <c r="G225" s="119" t="s">
        <v>6</v>
      </c>
      <c r="H225" s="119" t="s">
        <v>6</v>
      </c>
      <c r="I225" s="118">
        <f>SUM(I226:I240)</f>
        <v>0</v>
      </c>
      <c r="J225" s="118">
        <f>SUM(J226:J240)</f>
        <v>0</v>
      </c>
      <c r="K225" s="118">
        <f>SUM(K226:K240)</f>
        <v>0</v>
      </c>
      <c r="L225" s="109"/>
      <c r="AI225" s="109"/>
      <c r="AS225" s="118">
        <f>SUM(AJ226:AJ240)</f>
        <v>0</v>
      </c>
      <c r="AT225" s="118">
        <f>SUM(AK226:AK240)</f>
        <v>0</v>
      </c>
      <c r="AU225" s="118">
        <f>SUM(AL226:AL240)</f>
        <v>0</v>
      </c>
    </row>
    <row r="226" spans="1:62" x14ac:dyDescent="0.2">
      <c r="A226" s="117" t="s">
        <v>187</v>
      </c>
      <c r="B226" s="117" t="s">
        <v>2464</v>
      </c>
      <c r="C226" s="304" t="s">
        <v>1257</v>
      </c>
      <c r="D226" s="305"/>
      <c r="E226" s="305"/>
      <c r="F226" s="117" t="s">
        <v>1646</v>
      </c>
      <c r="G226" s="116">
        <v>1</v>
      </c>
      <c r="H226" s="159"/>
      <c r="I226" s="108">
        <f t="shared" ref="I226:I240" si="270">G226*AO226</f>
        <v>0</v>
      </c>
      <c r="J226" s="108">
        <f t="shared" ref="J226:J240" si="271">G226*AP226</f>
        <v>0</v>
      </c>
      <c r="K226" s="108">
        <f t="shared" ref="K226:K240" si="272">G226*H226</f>
        <v>0</v>
      </c>
      <c r="L226" s="111"/>
      <c r="Z226" s="100">
        <f t="shared" ref="Z226:Z240" si="273">IF(AQ226="5",BJ226,0)</f>
        <v>0</v>
      </c>
      <c r="AB226" s="100">
        <f t="shared" ref="AB226:AB240" si="274">IF(AQ226="1",BH226,0)</f>
        <v>0</v>
      </c>
      <c r="AC226" s="100">
        <f t="shared" ref="AC226:AC240" si="275">IF(AQ226="1",BI226,0)</f>
        <v>0</v>
      </c>
      <c r="AD226" s="100">
        <f t="shared" ref="AD226:AD240" si="276">IF(AQ226="7",BH226,0)</f>
        <v>0</v>
      </c>
      <c r="AE226" s="100">
        <f t="shared" ref="AE226:AE240" si="277">IF(AQ226="7",BI226,0)</f>
        <v>0</v>
      </c>
      <c r="AF226" s="100">
        <f t="shared" ref="AF226:AF240" si="278">IF(AQ226="2",BH226,0)</f>
        <v>0</v>
      </c>
      <c r="AG226" s="100">
        <f t="shared" ref="AG226:AG240" si="279">IF(AQ226="2",BI226,0)</f>
        <v>0</v>
      </c>
      <c r="AH226" s="100">
        <f t="shared" ref="AH226:AH240" si="280">IF(AQ226="0",BJ226,0)</f>
        <v>0</v>
      </c>
      <c r="AI226" s="109"/>
      <c r="AJ226" s="108">
        <f t="shared" ref="AJ226:AJ240" si="281">IF(AN226=0,K226,0)</f>
        <v>0</v>
      </c>
      <c r="AK226" s="108">
        <f t="shared" ref="AK226:AK240" si="282">IF(AN226=15,K226,0)</f>
        <v>0</v>
      </c>
      <c r="AL226" s="108">
        <f t="shared" ref="AL226:AL240" si="283">IF(AN226=21,K226,0)</f>
        <v>0</v>
      </c>
      <c r="AN226" s="100">
        <v>15</v>
      </c>
      <c r="AO226" s="100">
        <f t="shared" ref="AO226:AO240" si="284">H226*0</f>
        <v>0</v>
      </c>
      <c r="AP226" s="100">
        <f t="shared" ref="AP226:AP240" si="285">H226*(1-0)</f>
        <v>0</v>
      </c>
      <c r="AQ226" s="111" t="s">
        <v>13</v>
      </c>
      <c r="AV226" s="100">
        <f t="shared" ref="AV226:AV240" si="286">AW226+AX226</f>
        <v>0</v>
      </c>
      <c r="AW226" s="100">
        <f t="shared" ref="AW226:AW240" si="287">G226*AO226</f>
        <v>0</v>
      </c>
      <c r="AX226" s="100">
        <f t="shared" ref="AX226:AX240" si="288">G226*AP226</f>
        <v>0</v>
      </c>
      <c r="AY226" s="110" t="s">
        <v>1708</v>
      </c>
      <c r="AZ226" s="110" t="s">
        <v>1732</v>
      </c>
      <c r="BA226" s="109" t="s">
        <v>1737</v>
      </c>
      <c r="BC226" s="100">
        <f t="shared" ref="BC226:BC240" si="289">AW226+AX226</f>
        <v>0</v>
      </c>
      <c r="BD226" s="100">
        <f t="shared" ref="BD226:BD240" si="290">H226/(100-BE226)*100</f>
        <v>0</v>
      </c>
      <c r="BE226" s="100">
        <v>0</v>
      </c>
      <c r="BF226" s="100">
        <f>226</f>
        <v>226</v>
      </c>
      <c r="BH226" s="108">
        <f t="shared" ref="BH226:BH240" si="291">G226*AO226</f>
        <v>0</v>
      </c>
      <c r="BI226" s="108">
        <f t="shared" ref="BI226:BI240" si="292">G226*AP226</f>
        <v>0</v>
      </c>
      <c r="BJ226" s="108">
        <f t="shared" ref="BJ226:BJ240" si="293">G226*H226</f>
        <v>0</v>
      </c>
    </row>
    <row r="227" spans="1:62" x14ac:dyDescent="0.2">
      <c r="A227" s="117" t="s">
        <v>188</v>
      </c>
      <c r="B227" s="117" t="s">
        <v>2463</v>
      </c>
      <c r="C227" s="304" t="s">
        <v>1258</v>
      </c>
      <c r="D227" s="305"/>
      <c r="E227" s="305"/>
      <c r="F227" s="117" t="s">
        <v>1646</v>
      </c>
      <c r="G227" s="116">
        <v>1.5</v>
      </c>
      <c r="H227" s="159"/>
      <c r="I227" s="108">
        <f t="shared" si="270"/>
        <v>0</v>
      </c>
      <c r="J227" s="108">
        <f t="shared" si="271"/>
        <v>0</v>
      </c>
      <c r="K227" s="108">
        <f t="shared" si="272"/>
        <v>0</v>
      </c>
      <c r="L227" s="111"/>
      <c r="Z227" s="100">
        <f t="shared" si="273"/>
        <v>0</v>
      </c>
      <c r="AB227" s="100">
        <f t="shared" si="274"/>
        <v>0</v>
      </c>
      <c r="AC227" s="100">
        <f t="shared" si="275"/>
        <v>0</v>
      </c>
      <c r="AD227" s="100">
        <f t="shared" si="276"/>
        <v>0</v>
      </c>
      <c r="AE227" s="100">
        <f t="shared" si="277"/>
        <v>0</v>
      </c>
      <c r="AF227" s="100">
        <f t="shared" si="278"/>
        <v>0</v>
      </c>
      <c r="AG227" s="100">
        <f t="shared" si="279"/>
        <v>0</v>
      </c>
      <c r="AH227" s="100">
        <f t="shared" si="280"/>
        <v>0</v>
      </c>
      <c r="AI227" s="109"/>
      <c r="AJ227" s="108">
        <f t="shared" si="281"/>
        <v>0</v>
      </c>
      <c r="AK227" s="108">
        <f t="shared" si="282"/>
        <v>0</v>
      </c>
      <c r="AL227" s="108">
        <f t="shared" si="283"/>
        <v>0</v>
      </c>
      <c r="AN227" s="100">
        <v>15</v>
      </c>
      <c r="AO227" s="100">
        <f t="shared" si="284"/>
        <v>0</v>
      </c>
      <c r="AP227" s="100">
        <f t="shared" si="285"/>
        <v>0</v>
      </c>
      <c r="AQ227" s="111" t="s">
        <v>13</v>
      </c>
      <c r="AV227" s="100">
        <f t="shared" si="286"/>
        <v>0</v>
      </c>
      <c r="AW227" s="100">
        <f t="shared" si="287"/>
        <v>0</v>
      </c>
      <c r="AX227" s="100">
        <f t="shared" si="288"/>
        <v>0</v>
      </c>
      <c r="AY227" s="110" t="s">
        <v>1708</v>
      </c>
      <c r="AZ227" s="110" t="s">
        <v>1732</v>
      </c>
      <c r="BA227" s="109" t="s">
        <v>1737</v>
      </c>
      <c r="BC227" s="100">
        <f t="shared" si="289"/>
        <v>0</v>
      </c>
      <c r="BD227" s="100">
        <f t="shared" si="290"/>
        <v>0</v>
      </c>
      <c r="BE227" s="100">
        <v>0</v>
      </c>
      <c r="BF227" s="100">
        <f>227</f>
        <v>227</v>
      </c>
      <c r="BH227" s="108">
        <f t="shared" si="291"/>
        <v>0</v>
      </c>
      <c r="BI227" s="108">
        <f t="shared" si="292"/>
        <v>0</v>
      </c>
      <c r="BJ227" s="108">
        <f t="shared" si="293"/>
        <v>0</v>
      </c>
    </row>
    <row r="228" spans="1:62" x14ac:dyDescent="0.2">
      <c r="A228" s="117" t="s">
        <v>189</v>
      </c>
      <c r="B228" s="117" t="s">
        <v>2462</v>
      </c>
      <c r="C228" s="304" t="s">
        <v>2133</v>
      </c>
      <c r="D228" s="305"/>
      <c r="E228" s="305"/>
      <c r="F228" s="117" t="s">
        <v>1646</v>
      </c>
      <c r="G228" s="116">
        <v>2</v>
      </c>
      <c r="H228" s="159"/>
      <c r="I228" s="108">
        <f t="shared" si="270"/>
        <v>0</v>
      </c>
      <c r="J228" s="108">
        <f t="shared" si="271"/>
        <v>0</v>
      </c>
      <c r="K228" s="108">
        <f t="shared" si="272"/>
        <v>0</v>
      </c>
      <c r="L228" s="111"/>
      <c r="Z228" s="100">
        <f t="shared" si="273"/>
        <v>0</v>
      </c>
      <c r="AB228" s="100">
        <f t="shared" si="274"/>
        <v>0</v>
      </c>
      <c r="AC228" s="100">
        <f t="shared" si="275"/>
        <v>0</v>
      </c>
      <c r="AD228" s="100">
        <f t="shared" si="276"/>
        <v>0</v>
      </c>
      <c r="AE228" s="100">
        <f t="shared" si="277"/>
        <v>0</v>
      </c>
      <c r="AF228" s="100">
        <f t="shared" si="278"/>
        <v>0</v>
      </c>
      <c r="AG228" s="100">
        <f t="shared" si="279"/>
        <v>0</v>
      </c>
      <c r="AH228" s="100">
        <f t="shared" si="280"/>
        <v>0</v>
      </c>
      <c r="AI228" s="109"/>
      <c r="AJ228" s="108">
        <f t="shared" si="281"/>
        <v>0</v>
      </c>
      <c r="AK228" s="108">
        <f t="shared" si="282"/>
        <v>0</v>
      </c>
      <c r="AL228" s="108">
        <f t="shared" si="283"/>
        <v>0</v>
      </c>
      <c r="AN228" s="100">
        <v>15</v>
      </c>
      <c r="AO228" s="100">
        <f t="shared" si="284"/>
        <v>0</v>
      </c>
      <c r="AP228" s="100">
        <f t="shared" si="285"/>
        <v>0</v>
      </c>
      <c r="AQ228" s="111" t="s">
        <v>13</v>
      </c>
      <c r="AV228" s="100">
        <f t="shared" si="286"/>
        <v>0</v>
      </c>
      <c r="AW228" s="100">
        <f t="shared" si="287"/>
        <v>0</v>
      </c>
      <c r="AX228" s="100">
        <f t="shared" si="288"/>
        <v>0</v>
      </c>
      <c r="AY228" s="110" t="s">
        <v>1708</v>
      </c>
      <c r="AZ228" s="110" t="s">
        <v>1732</v>
      </c>
      <c r="BA228" s="109" t="s">
        <v>1737</v>
      </c>
      <c r="BC228" s="100">
        <f t="shared" si="289"/>
        <v>0</v>
      </c>
      <c r="BD228" s="100">
        <f t="shared" si="290"/>
        <v>0</v>
      </c>
      <c r="BE228" s="100">
        <v>0</v>
      </c>
      <c r="BF228" s="100">
        <f>228</f>
        <v>228</v>
      </c>
      <c r="BH228" s="108">
        <f t="shared" si="291"/>
        <v>0</v>
      </c>
      <c r="BI228" s="108">
        <f t="shared" si="292"/>
        <v>0</v>
      </c>
      <c r="BJ228" s="108">
        <f t="shared" si="293"/>
        <v>0</v>
      </c>
    </row>
    <row r="229" spans="1:62" x14ac:dyDescent="0.2">
      <c r="A229" s="117" t="s">
        <v>190</v>
      </c>
      <c r="B229" s="117" t="s">
        <v>2461</v>
      </c>
      <c r="C229" s="304" t="s">
        <v>1262</v>
      </c>
      <c r="D229" s="305"/>
      <c r="E229" s="305"/>
      <c r="F229" s="117" t="s">
        <v>1644</v>
      </c>
      <c r="G229" s="116">
        <v>1</v>
      </c>
      <c r="H229" s="159"/>
      <c r="I229" s="108">
        <f t="shared" si="270"/>
        <v>0</v>
      </c>
      <c r="J229" s="108">
        <f t="shared" si="271"/>
        <v>0</v>
      </c>
      <c r="K229" s="108">
        <f t="shared" si="272"/>
        <v>0</v>
      </c>
      <c r="L229" s="111"/>
      <c r="Z229" s="100">
        <f t="shared" si="273"/>
        <v>0</v>
      </c>
      <c r="AB229" s="100">
        <f t="shared" si="274"/>
        <v>0</v>
      </c>
      <c r="AC229" s="100">
        <f t="shared" si="275"/>
        <v>0</v>
      </c>
      <c r="AD229" s="100">
        <f t="shared" si="276"/>
        <v>0</v>
      </c>
      <c r="AE229" s="100">
        <f t="shared" si="277"/>
        <v>0</v>
      </c>
      <c r="AF229" s="100">
        <f t="shared" si="278"/>
        <v>0</v>
      </c>
      <c r="AG229" s="100">
        <f t="shared" si="279"/>
        <v>0</v>
      </c>
      <c r="AH229" s="100">
        <f t="shared" si="280"/>
        <v>0</v>
      </c>
      <c r="AI229" s="109"/>
      <c r="AJ229" s="108">
        <f t="shared" si="281"/>
        <v>0</v>
      </c>
      <c r="AK229" s="108">
        <f t="shared" si="282"/>
        <v>0</v>
      </c>
      <c r="AL229" s="108">
        <f t="shared" si="283"/>
        <v>0</v>
      </c>
      <c r="AN229" s="100">
        <v>15</v>
      </c>
      <c r="AO229" s="100">
        <f t="shared" si="284"/>
        <v>0</v>
      </c>
      <c r="AP229" s="100">
        <f t="shared" si="285"/>
        <v>0</v>
      </c>
      <c r="AQ229" s="111" t="s">
        <v>13</v>
      </c>
      <c r="AV229" s="100">
        <f t="shared" si="286"/>
        <v>0</v>
      </c>
      <c r="AW229" s="100">
        <f t="shared" si="287"/>
        <v>0</v>
      </c>
      <c r="AX229" s="100">
        <f t="shared" si="288"/>
        <v>0</v>
      </c>
      <c r="AY229" s="110" t="s">
        <v>1708</v>
      </c>
      <c r="AZ229" s="110" t="s">
        <v>1732</v>
      </c>
      <c r="BA229" s="109" t="s">
        <v>1737</v>
      </c>
      <c r="BC229" s="100">
        <f t="shared" si="289"/>
        <v>0</v>
      </c>
      <c r="BD229" s="100">
        <f t="shared" si="290"/>
        <v>0</v>
      </c>
      <c r="BE229" s="100">
        <v>0</v>
      </c>
      <c r="BF229" s="100">
        <f>229</f>
        <v>229</v>
      </c>
      <c r="BH229" s="108">
        <f t="shared" si="291"/>
        <v>0</v>
      </c>
      <c r="BI229" s="108">
        <f t="shared" si="292"/>
        <v>0</v>
      </c>
      <c r="BJ229" s="108">
        <f t="shared" si="293"/>
        <v>0</v>
      </c>
    </row>
    <row r="230" spans="1:62" x14ac:dyDescent="0.2">
      <c r="A230" s="117" t="s">
        <v>191</v>
      </c>
      <c r="B230" s="117" t="s">
        <v>2460</v>
      </c>
      <c r="C230" s="304" t="s">
        <v>1263</v>
      </c>
      <c r="D230" s="305"/>
      <c r="E230" s="305"/>
      <c r="F230" s="117" t="s">
        <v>1644</v>
      </c>
      <c r="G230" s="116">
        <v>2</v>
      </c>
      <c r="H230" s="159"/>
      <c r="I230" s="108">
        <f t="shared" si="270"/>
        <v>0</v>
      </c>
      <c r="J230" s="108">
        <f t="shared" si="271"/>
        <v>0</v>
      </c>
      <c r="K230" s="108">
        <f t="shared" si="272"/>
        <v>0</v>
      </c>
      <c r="L230" s="111"/>
      <c r="Z230" s="100">
        <f t="shared" si="273"/>
        <v>0</v>
      </c>
      <c r="AB230" s="100">
        <f t="shared" si="274"/>
        <v>0</v>
      </c>
      <c r="AC230" s="100">
        <f t="shared" si="275"/>
        <v>0</v>
      </c>
      <c r="AD230" s="100">
        <f t="shared" si="276"/>
        <v>0</v>
      </c>
      <c r="AE230" s="100">
        <f t="shared" si="277"/>
        <v>0</v>
      </c>
      <c r="AF230" s="100">
        <f t="shared" si="278"/>
        <v>0</v>
      </c>
      <c r="AG230" s="100">
        <f t="shared" si="279"/>
        <v>0</v>
      </c>
      <c r="AH230" s="100">
        <f t="shared" si="280"/>
        <v>0</v>
      </c>
      <c r="AI230" s="109"/>
      <c r="AJ230" s="108">
        <f t="shared" si="281"/>
        <v>0</v>
      </c>
      <c r="AK230" s="108">
        <f t="shared" si="282"/>
        <v>0</v>
      </c>
      <c r="AL230" s="108">
        <f t="shared" si="283"/>
        <v>0</v>
      </c>
      <c r="AN230" s="100">
        <v>15</v>
      </c>
      <c r="AO230" s="100">
        <f t="shared" si="284"/>
        <v>0</v>
      </c>
      <c r="AP230" s="100">
        <f t="shared" si="285"/>
        <v>0</v>
      </c>
      <c r="AQ230" s="111" t="s">
        <v>13</v>
      </c>
      <c r="AV230" s="100">
        <f t="shared" si="286"/>
        <v>0</v>
      </c>
      <c r="AW230" s="100">
        <f t="shared" si="287"/>
        <v>0</v>
      </c>
      <c r="AX230" s="100">
        <f t="shared" si="288"/>
        <v>0</v>
      </c>
      <c r="AY230" s="110" t="s">
        <v>1708</v>
      </c>
      <c r="AZ230" s="110" t="s">
        <v>1732</v>
      </c>
      <c r="BA230" s="109" t="s">
        <v>1737</v>
      </c>
      <c r="BC230" s="100">
        <f t="shared" si="289"/>
        <v>0</v>
      </c>
      <c r="BD230" s="100">
        <f t="shared" si="290"/>
        <v>0</v>
      </c>
      <c r="BE230" s="100">
        <v>0</v>
      </c>
      <c r="BF230" s="100">
        <f>230</f>
        <v>230</v>
      </c>
      <c r="BH230" s="108">
        <f t="shared" si="291"/>
        <v>0</v>
      </c>
      <c r="BI230" s="108">
        <f t="shared" si="292"/>
        <v>0</v>
      </c>
      <c r="BJ230" s="108">
        <f t="shared" si="293"/>
        <v>0</v>
      </c>
    </row>
    <row r="231" spans="1:62" x14ac:dyDescent="0.2">
      <c r="A231" s="117" t="s">
        <v>192</v>
      </c>
      <c r="B231" s="117" t="s">
        <v>2459</v>
      </c>
      <c r="C231" s="304" t="s">
        <v>1269</v>
      </c>
      <c r="D231" s="305"/>
      <c r="E231" s="305"/>
      <c r="F231" s="117" t="s">
        <v>1644</v>
      </c>
      <c r="G231" s="116">
        <v>1</v>
      </c>
      <c r="H231" s="159"/>
      <c r="I231" s="108">
        <f t="shared" si="270"/>
        <v>0</v>
      </c>
      <c r="J231" s="108">
        <f t="shared" si="271"/>
        <v>0</v>
      </c>
      <c r="K231" s="108">
        <f t="shared" si="272"/>
        <v>0</v>
      </c>
      <c r="L231" s="111"/>
      <c r="Z231" s="100">
        <f t="shared" si="273"/>
        <v>0</v>
      </c>
      <c r="AB231" s="100">
        <f t="shared" si="274"/>
        <v>0</v>
      </c>
      <c r="AC231" s="100">
        <f t="shared" si="275"/>
        <v>0</v>
      </c>
      <c r="AD231" s="100">
        <f t="shared" si="276"/>
        <v>0</v>
      </c>
      <c r="AE231" s="100">
        <f t="shared" si="277"/>
        <v>0</v>
      </c>
      <c r="AF231" s="100">
        <f t="shared" si="278"/>
        <v>0</v>
      </c>
      <c r="AG231" s="100">
        <f t="shared" si="279"/>
        <v>0</v>
      </c>
      <c r="AH231" s="100">
        <f t="shared" si="280"/>
        <v>0</v>
      </c>
      <c r="AI231" s="109"/>
      <c r="AJ231" s="108">
        <f t="shared" si="281"/>
        <v>0</v>
      </c>
      <c r="AK231" s="108">
        <f t="shared" si="282"/>
        <v>0</v>
      </c>
      <c r="AL231" s="108">
        <f t="shared" si="283"/>
        <v>0</v>
      </c>
      <c r="AN231" s="100">
        <v>15</v>
      </c>
      <c r="AO231" s="100">
        <f t="shared" si="284"/>
        <v>0</v>
      </c>
      <c r="AP231" s="100">
        <f t="shared" si="285"/>
        <v>0</v>
      </c>
      <c r="AQ231" s="111" t="s">
        <v>13</v>
      </c>
      <c r="AV231" s="100">
        <f t="shared" si="286"/>
        <v>0</v>
      </c>
      <c r="AW231" s="100">
        <f t="shared" si="287"/>
        <v>0</v>
      </c>
      <c r="AX231" s="100">
        <f t="shared" si="288"/>
        <v>0</v>
      </c>
      <c r="AY231" s="110" t="s">
        <v>1708</v>
      </c>
      <c r="AZ231" s="110" t="s">
        <v>1732</v>
      </c>
      <c r="BA231" s="109" t="s">
        <v>1737</v>
      </c>
      <c r="BC231" s="100">
        <f t="shared" si="289"/>
        <v>0</v>
      </c>
      <c r="BD231" s="100">
        <f t="shared" si="290"/>
        <v>0</v>
      </c>
      <c r="BE231" s="100">
        <v>0</v>
      </c>
      <c r="BF231" s="100">
        <f>231</f>
        <v>231</v>
      </c>
      <c r="BH231" s="108">
        <f t="shared" si="291"/>
        <v>0</v>
      </c>
      <c r="BI231" s="108">
        <f t="shared" si="292"/>
        <v>0</v>
      </c>
      <c r="BJ231" s="108">
        <f t="shared" si="293"/>
        <v>0</v>
      </c>
    </row>
    <row r="232" spans="1:62" x14ac:dyDescent="0.2">
      <c r="A232" s="117" t="s">
        <v>193</v>
      </c>
      <c r="B232" s="117" t="s">
        <v>2458</v>
      </c>
      <c r="C232" s="304" t="s">
        <v>1270</v>
      </c>
      <c r="D232" s="305"/>
      <c r="E232" s="305"/>
      <c r="F232" s="117" t="s">
        <v>1644</v>
      </c>
      <c r="G232" s="116">
        <v>1</v>
      </c>
      <c r="H232" s="159"/>
      <c r="I232" s="108">
        <f t="shared" si="270"/>
        <v>0</v>
      </c>
      <c r="J232" s="108">
        <f t="shared" si="271"/>
        <v>0</v>
      </c>
      <c r="K232" s="108">
        <f t="shared" si="272"/>
        <v>0</v>
      </c>
      <c r="L232" s="111"/>
      <c r="Z232" s="100">
        <f t="shared" si="273"/>
        <v>0</v>
      </c>
      <c r="AB232" s="100">
        <f t="shared" si="274"/>
        <v>0</v>
      </c>
      <c r="AC232" s="100">
        <f t="shared" si="275"/>
        <v>0</v>
      </c>
      <c r="AD232" s="100">
        <f t="shared" si="276"/>
        <v>0</v>
      </c>
      <c r="AE232" s="100">
        <f t="shared" si="277"/>
        <v>0</v>
      </c>
      <c r="AF232" s="100">
        <f t="shared" si="278"/>
        <v>0</v>
      </c>
      <c r="AG232" s="100">
        <f t="shared" si="279"/>
        <v>0</v>
      </c>
      <c r="AH232" s="100">
        <f t="shared" si="280"/>
        <v>0</v>
      </c>
      <c r="AI232" s="109"/>
      <c r="AJ232" s="108">
        <f t="shared" si="281"/>
        <v>0</v>
      </c>
      <c r="AK232" s="108">
        <f t="shared" si="282"/>
        <v>0</v>
      </c>
      <c r="AL232" s="108">
        <f t="shared" si="283"/>
        <v>0</v>
      </c>
      <c r="AN232" s="100">
        <v>15</v>
      </c>
      <c r="AO232" s="100">
        <f t="shared" si="284"/>
        <v>0</v>
      </c>
      <c r="AP232" s="100">
        <f t="shared" si="285"/>
        <v>0</v>
      </c>
      <c r="AQ232" s="111" t="s">
        <v>13</v>
      </c>
      <c r="AV232" s="100">
        <f t="shared" si="286"/>
        <v>0</v>
      </c>
      <c r="AW232" s="100">
        <f t="shared" si="287"/>
        <v>0</v>
      </c>
      <c r="AX232" s="100">
        <f t="shared" si="288"/>
        <v>0</v>
      </c>
      <c r="AY232" s="110" t="s">
        <v>1708</v>
      </c>
      <c r="AZ232" s="110" t="s">
        <v>1732</v>
      </c>
      <c r="BA232" s="109" t="s">
        <v>1737</v>
      </c>
      <c r="BC232" s="100">
        <f t="shared" si="289"/>
        <v>0</v>
      </c>
      <c r="BD232" s="100">
        <f t="shared" si="290"/>
        <v>0</v>
      </c>
      <c r="BE232" s="100">
        <v>0</v>
      </c>
      <c r="BF232" s="100">
        <f>232</f>
        <v>232</v>
      </c>
      <c r="BH232" s="108">
        <f t="shared" si="291"/>
        <v>0</v>
      </c>
      <c r="BI232" s="108">
        <f t="shared" si="292"/>
        <v>0</v>
      </c>
      <c r="BJ232" s="108">
        <f t="shared" si="293"/>
        <v>0</v>
      </c>
    </row>
    <row r="233" spans="1:62" x14ac:dyDescent="0.2">
      <c r="A233" s="117" t="s">
        <v>194</v>
      </c>
      <c r="B233" s="117" t="s">
        <v>2457</v>
      </c>
      <c r="C233" s="304" t="s">
        <v>1271</v>
      </c>
      <c r="D233" s="305"/>
      <c r="E233" s="305"/>
      <c r="F233" s="117" t="s">
        <v>1644</v>
      </c>
      <c r="G233" s="116">
        <v>1</v>
      </c>
      <c r="H233" s="159"/>
      <c r="I233" s="108">
        <f t="shared" si="270"/>
        <v>0</v>
      </c>
      <c r="J233" s="108">
        <f t="shared" si="271"/>
        <v>0</v>
      </c>
      <c r="K233" s="108">
        <f t="shared" si="272"/>
        <v>0</v>
      </c>
      <c r="L233" s="111"/>
      <c r="Z233" s="100">
        <f t="shared" si="273"/>
        <v>0</v>
      </c>
      <c r="AB233" s="100">
        <f t="shared" si="274"/>
        <v>0</v>
      </c>
      <c r="AC233" s="100">
        <f t="shared" si="275"/>
        <v>0</v>
      </c>
      <c r="AD233" s="100">
        <f t="shared" si="276"/>
        <v>0</v>
      </c>
      <c r="AE233" s="100">
        <f t="shared" si="277"/>
        <v>0</v>
      </c>
      <c r="AF233" s="100">
        <f t="shared" si="278"/>
        <v>0</v>
      </c>
      <c r="AG233" s="100">
        <f t="shared" si="279"/>
        <v>0</v>
      </c>
      <c r="AH233" s="100">
        <f t="shared" si="280"/>
        <v>0</v>
      </c>
      <c r="AI233" s="109"/>
      <c r="AJ233" s="108">
        <f t="shared" si="281"/>
        <v>0</v>
      </c>
      <c r="AK233" s="108">
        <f t="shared" si="282"/>
        <v>0</v>
      </c>
      <c r="AL233" s="108">
        <f t="shared" si="283"/>
        <v>0</v>
      </c>
      <c r="AN233" s="100">
        <v>15</v>
      </c>
      <c r="AO233" s="100">
        <f t="shared" si="284"/>
        <v>0</v>
      </c>
      <c r="AP233" s="100">
        <f t="shared" si="285"/>
        <v>0</v>
      </c>
      <c r="AQ233" s="111" t="s">
        <v>13</v>
      </c>
      <c r="AV233" s="100">
        <f t="shared" si="286"/>
        <v>0</v>
      </c>
      <c r="AW233" s="100">
        <f t="shared" si="287"/>
        <v>0</v>
      </c>
      <c r="AX233" s="100">
        <f t="shared" si="288"/>
        <v>0</v>
      </c>
      <c r="AY233" s="110" t="s">
        <v>1708</v>
      </c>
      <c r="AZ233" s="110" t="s">
        <v>1732</v>
      </c>
      <c r="BA233" s="109" t="s">
        <v>1737</v>
      </c>
      <c r="BC233" s="100">
        <f t="shared" si="289"/>
        <v>0</v>
      </c>
      <c r="BD233" s="100">
        <f t="shared" si="290"/>
        <v>0</v>
      </c>
      <c r="BE233" s="100">
        <v>0</v>
      </c>
      <c r="BF233" s="100">
        <f>233</f>
        <v>233</v>
      </c>
      <c r="BH233" s="108">
        <f t="shared" si="291"/>
        <v>0</v>
      </c>
      <c r="BI233" s="108">
        <f t="shared" si="292"/>
        <v>0</v>
      </c>
      <c r="BJ233" s="108">
        <f t="shared" si="293"/>
        <v>0</v>
      </c>
    </row>
    <row r="234" spans="1:62" x14ac:dyDescent="0.2">
      <c r="A234" s="117" t="s">
        <v>195</v>
      </c>
      <c r="B234" s="117" t="s">
        <v>2456</v>
      </c>
      <c r="C234" s="304" t="s">
        <v>1272</v>
      </c>
      <c r="D234" s="305"/>
      <c r="E234" s="305"/>
      <c r="F234" s="117" t="s">
        <v>1644</v>
      </c>
      <c r="G234" s="116">
        <v>1</v>
      </c>
      <c r="H234" s="159"/>
      <c r="I234" s="108">
        <f t="shared" si="270"/>
        <v>0</v>
      </c>
      <c r="J234" s="108">
        <f t="shared" si="271"/>
        <v>0</v>
      </c>
      <c r="K234" s="108">
        <f t="shared" si="272"/>
        <v>0</v>
      </c>
      <c r="L234" s="111"/>
      <c r="Z234" s="100">
        <f t="shared" si="273"/>
        <v>0</v>
      </c>
      <c r="AB234" s="100">
        <f t="shared" si="274"/>
        <v>0</v>
      </c>
      <c r="AC234" s="100">
        <f t="shared" si="275"/>
        <v>0</v>
      </c>
      <c r="AD234" s="100">
        <f t="shared" si="276"/>
        <v>0</v>
      </c>
      <c r="AE234" s="100">
        <f t="shared" si="277"/>
        <v>0</v>
      </c>
      <c r="AF234" s="100">
        <f t="shared" si="278"/>
        <v>0</v>
      </c>
      <c r="AG234" s="100">
        <f t="shared" si="279"/>
        <v>0</v>
      </c>
      <c r="AH234" s="100">
        <f t="shared" si="280"/>
        <v>0</v>
      </c>
      <c r="AI234" s="109"/>
      <c r="AJ234" s="108">
        <f t="shared" si="281"/>
        <v>0</v>
      </c>
      <c r="AK234" s="108">
        <f t="shared" si="282"/>
        <v>0</v>
      </c>
      <c r="AL234" s="108">
        <f t="shared" si="283"/>
        <v>0</v>
      </c>
      <c r="AN234" s="100">
        <v>15</v>
      </c>
      <c r="AO234" s="100">
        <f t="shared" si="284"/>
        <v>0</v>
      </c>
      <c r="AP234" s="100">
        <f t="shared" si="285"/>
        <v>0</v>
      </c>
      <c r="AQ234" s="111" t="s">
        <v>13</v>
      </c>
      <c r="AV234" s="100">
        <f t="shared" si="286"/>
        <v>0</v>
      </c>
      <c r="AW234" s="100">
        <f t="shared" si="287"/>
        <v>0</v>
      </c>
      <c r="AX234" s="100">
        <f t="shared" si="288"/>
        <v>0</v>
      </c>
      <c r="AY234" s="110" t="s">
        <v>1708</v>
      </c>
      <c r="AZ234" s="110" t="s">
        <v>1732</v>
      </c>
      <c r="BA234" s="109" t="s">
        <v>1737</v>
      </c>
      <c r="BC234" s="100">
        <f t="shared" si="289"/>
        <v>0</v>
      </c>
      <c r="BD234" s="100">
        <f t="shared" si="290"/>
        <v>0</v>
      </c>
      <c r="BE234" s="100">
        <v>0</v>
      </c>
      <c r="BF234" s="100">
        <f>234</f>
        <v>234</v>
      </c>
      <c r="BH234" s="108">
        <f t="shared" si="291"/>
        <v>0</v>
      </c>
      <c r="BI234" s="108">
        <f t="shared" si="292"/>
        <v>0</v>
      </c>
      <c r="BJ234" s="108">
        <f t="shared" si="293"/>
        <v>0</v>
      </c>
    </row>
    <row r="235" spans="1:62" x14ac:dyDescent="0.2">
      <c r="A235" s="117" t="s">
        <v>196</v>
      </c>
      <c r="B235" s="117" t="s">
        <v>2455</v>
      </c>
      <c r="C235" s="304" t="s">
        <v>1276</v>
      </c>
      <c r="D235" s="305"/>
      <c r="E235" s="305"/>
      <c r="F235" s="117" t="s">
        <v>1644</v>
      </c>
      <c r="G235" s="116">
        <v>1</v>
      </c>
      <c r="H235" s="159"/>
      <c r="I235" s="108">
        <f t="shared" si="270"/>
        <v>0</v>
      </c>
      <c r="J235" s="108">
        <f t="shared" si="271"/>
        <v>0</v>
      </c>
      <c r="K235" s="108">
        <f t="shared" si="272"/>
        <v>0</v>
      </c>
      <c r="L235" s="111"/>
      <c r="Z235" s="100">
        <f t="shared" si="273"/>
        <v>0</v>
      </c>
      <c r="AB235" s="100">
        <f t="shared" si="274"/>
        <v>0</v>
      </c>
      <c r="AC235" s="100">
        <f t="shared" si="275"/>
        <v>0</v>
      </c>
      <c r="AD235" s="100">
        <f t="shared" si="276"/>
        <v>0</v>
      </c>
      <c r="AE235" s="100">
        <f t="shared" si="277"/>
        <v>0</v>
      </c>
      <c r="AF235" s="100">
        <f t="shared" si="278"/>
        <v>0</v>
      </c>
      <c r="AG235" s="100">
        <f t="shared" si="279"/>
        <v>0</v>
      </c>
      <c r="AH235" s="100">
        <f t="shared" si="280"/>
        <v>0</v>
      </c>
      <c r="AI235" s="109"/>
      <c r="AJ235" s="108">
        <f t="shared" si="281"/>
        <v>0</v>
      </c>
      <c r="AK235" s="108">
        <f t="shared" si="282"/>
        <v>0</v>
      </c>
      <c r="AL235" s="108">
        <f t="shared" si="283"/>
        <v>0</v>
      </c>
      <c r="AN235" s="100">
        <v>15</v>
      </c>
      <c r="AO235" s="100">
        <f t="shared" si="284"/>
        <v>0</v>
      </c>
      <c r="AP235" s="100">
        <f t="shared" si="285"/>
        <v>0</v>
      </c>
      <c r="AQ235" s="111" t="s">
        <v>13</v>
      </c>
      <c r="AV235" s="100">
        <f t="shared" si="286"/>
        <v>0</v>
      </c>
      <c r="AW235" s="100">
        <f t="shared" si="287"/>
        <v>0</v>
      </c>
      <c r="AX235" s="100">
        <f t="shared" si="288"/>
        <v>0</v>
      </c>
      <c r="AY235" s="110" t="s">
        <v>1708</v>
      </c>
      <c r="AZ235" s="110" t="s">
        <v>1732</v>
      </c>
      <c r="BA235" s="109" t="s">
        <v>1737</v>
      </c>
      <c r="BC235" s="100">
        <f t="shared" si="289"/>
        <v>0</v>
      </c>
      <c r="BD235" s="100">
        <f t="shared" si="290"/>
        <v>0</v>
      </c>
      <c r="BE235" s="100">
        <v>0</v>
      </c>
      <c r="BF235" s="100">
        <f>235</f>
        <v>235</v>
      </c>
      <c r="BH235" s="108">
        <f t="shared" si="291"/>
        <v>0</v>
      </c>
      <c r="BI235" s="108">
        <f t="shared" si="292"/>
        <v>0</v>
      </c>
      <c r="BJ235" s="108">
        <f t="shared" si="293"/>
        <v>0</v>
      </c>
    </row>
    <row r="236" spans="1:62" x14ac:dyDescent="0.2">
      <c r="A236" s="117" t="s">
        <v>197</v>
      </c>
      <c r="B236" s="117" t="s">
        <v>2454</v>
      </c>
      <c r="C236" s="304" t="s">
        <v>1278</v>
      </c>
      <c r="D236" s="305"/>
      <c r="E236" s="305"/>
      <c r="F236" s="117" t="s">
        <v>1644</v>
      </c>
      <c r="G236" s="116">
        <v>2</v>
      </c>
      <c r="H236" s="159"/>
      <c r="I236" s="108">
        <f t="shared" si="270"/>
        <v>0</v>
      </c>
      <c r="J236" s="108">
        <f t="shared" si="271"/>
        <v>0</v>
      </c>
      <c r="K236" s="108">
        <f t="shared" si="272"/>
        <v>0</v>
      </c>
      <c r="L236" s="111"/>
      <c r="Z236" s="100">
        <f t="shared" si="273"/>
        <v>0</v>
      </c>
      <c r="AB236" s="100">
        <f t="shared" si="274"/>
        <v>0</v>
      </c>
      <c r="AC236" s="100">
        <f t="shared" si="275"/>
        <v>0</v>
      </c>
      <c r="AD236" s="100">
        <f t="shared" si="276"/>
        <v>0</v>
      </c>
      <c r="AE236" s="100">
        <f t="shared" si="277"/>
        <v>0</v>
      </c>
      <c r="AF236" s="100">
        <f t="shared" si="278"/>
        <v>0</v>
      </c>
      <c r="AG236" s="100">
        <f t="shared" si="279"/>
        <v>0</v>
      </c>
      <c r="AH236" s="100">
        <f t="shared" si="280"/>
        <v>0</v>
      </c>
      <c r="AI236" s="109"/>
      <c r="AJ236" s="108">
        <f t="shared" si="281"/>
        <v>0</v>
      </c>
      <c r="AK236" s="108">
        <f t="shared" si="282"/>
        <v>0</v>
      </c>
      <c r="AL236" s="108">
        <f t="shared" si="283"/>
        <v>0</v>
      </c>
      <c r="AN236" s="100">
        <v>15</v>
      </c>
      <c r="AO236" s="100">
        <f t="shared" si="284"/>
        <v>0</v>
      </c>
      <c r="AP236" s="100">
        <f t="shared" si="285"/>
        <v>0</v>
      </c>
      <c r="AQ236" s="111" t="s">
        <v>13</v>
      </c>
      <c r="AV236" s="100">
        <f t="shared" si="286"/>
        <v>0</v>
      </c>
      <c r="AW236" s="100">
        <f t="shared" si="287"/>
        <v>0</v>
      </c>
      <c r="AX236" s="100">
        <f t="shared" si="288"/>
        <v>0</v>
      </c>
      <c r="AY236" s="110" t="s">
        <v>1708</v>
      </c>
      <c r="AZ236" s="110" t="s">
        <v>1732</v>
      </c>
      <c r="BA236" s="109" t="s">
        <v>1737</v>
      </c>
      <c r="BC236" s="100">
        <f t="shared" si="289"/>
        <v>0</v>
      </c>
      <c r="BD236" s="100">
        <f t="shared" si="290"/>
        <v>0</v>
      </c>
      <c r="BE236" s="100">
        <v>0</v>
      </c>
      <c r="BF236" s="100">
        <f>236</f>
        <v>236</v>
      </c>
      <c r="BH236" s="108">
        <f t="shared" si="291"/>
        <v>0</v>
      </c>
      <c r="BI236" s="108">
        <f t="shared" si="292"/>
        <v>0</v>
      </c>
      <c r="BJ236" s="108">
        <f t="shared" si="293"/>
        <v>0</v>
      </c>
    </row>
    <row r="237" spans="1:62" x14ac:dyDescent="0.2">
      <c r="A237" s="117" t="s">
        <v>198</v>
      </c>
      <c r="B237" s="117" t="s">
        <v>2453</v>
      </c>
      <c r="C237" s="304" t="s">
        <v>2123</v>
      </c>
      <c r="D237" s="305"/>
      <c r="E237" s="305"/>
      <c r="F237" s="117" t="s">
        <v>1644</v>
      </c>
      <c r="G237" s="116">
        <v>2</v>
      </c>
      <c r="H237" s="159"/>
      <c r="I237" s="108">
        <f t="shared" si="270"/>
        <v>0</v>
      </c>
      <c r="J237" s="108">
        <f t="shared" si="271"/>
        <v>0</v>
      </c>
      <c r="K237" s="108">
        <f t="shared" si="272"/>
        <v>0</v>
      </c>
      <c r="L237" s="111"/>
      <c r="Z237" s="100">
        <f t="shared" si="273"/>
        <v>0</v>
      </c>
      <c r="AB237" s="100">
        <f t="shared" si="274"/>
        <v>0</v>
      </c>
      <c r="AC237" s="100">
        <f t="shared" si="275"/>
        <v>0</v>
      </c>
      <c r="AD237" s="100">
        <f t="shared" si="276"/>
        <v>0</v>
      </c>
      <c r="AE237" s="100">
        <f t="shared" si="277"/>
        <v>0</v>
      </c>
      <c r="AF237" s="100">
        <f t="shared" si="278"/>
        <v>0</v>
      </c>
      <c r="AG237" s="100">
        <f t="shared" si="279"/>
        <v>0</v>
      </c>
      <c r="AH237" s="100">
        <f t="shared" si="280"/>
        <v>0</v>
      </c>
      <c r="AI237" s="109"/>
      <c r="AJ237" s="108">
        <f t="shared" si="281"/>
        <v>0</v>
      </c>
      <c r="AK237" s="108">
        <f t="shared" si="282"/>
        <v>0</v>
      </c>
      <c r="AL237" s="108">
        <f t="shared" si="283"/>
        <v>0</v>
      </c>
      <c r="AN237" s="100">
        <v>15</v>
      </c>
      <c r="AO237" s="100">
        <f t="shared" si="284"/>
        <v>0</v>
      </c>
      <c r="AP237" s="100">
        <f t="shared" si="285"/>
        <v>0</v>
      </c>
      <c r="AQ237" s="111" t="s">
        <v>13</v>
      </c>
      <c r="AV237" s="100">
        <f t="shared" si="286"/>
        <v>0</v>
      </c>
      <c r="AW237" s="100">
        <f t="shared" si="287"/>
        <v>0</v>
      </c>
      <c r="AX237" s="100">
        <f t="shared" si="288"/>
        <v>0</v>
      </c>
      <c r="AY237" s="110" t="s">
        <v>1708</v>
      </c>
      <c r="AZ237" s="110" t="s">
        <v>1732</v>
      </c>
      <c r="BA237" s="109" t="s">
        <v>1737</v>
      </c>
      <c r="BC237" s="100">
        <f t="shared" si="289"/>
        <v>0</v>
      </c>
      <c r="BD237" s="100">
        <f t="shared" si="290"/>
        <v>0</v>
      </c>
      <c r="BE237" s="100">
        <v>0</v>
      </c>
      <c r="BF237" s="100">
        <f>237</f>
        <v>237</v>
      </c>
      <c r="BH237" s="108">
        <f t="shared" si="291"/>
        <v>0</v>
      </c>
      <c r="BI237" s="108">
        <f t="shared" si="292"/>
        <v>0</v>
      </c>
      <c r="BJ237" s="108">
        <f t="shared" si="293"/>
        <v>0</v>
      </c>
    </row>
    <row r="238" spans="1:62" x14ac:dyDescent="0.2">
      <c r="A238" s="117" t="s">
        <v>199</v>
      </c>
      <c r="B238" s="117" t="s">
        <v>2452</v>
      </c>
      <c r="C238" s="304" t="s">
        <v>1280</v>
      </c>
      <c r="D238" s="305"/>
      <c r="E238" s="305"/>
      <c r="F238" s="117" t="s">
        <v>1646</v>
      </c>
      <c r="G238" s="116">
        <v>10</v>
      </c>
      <c r="H238" s="159"/>
      <c r="I238" s="108">
        <f t="shared" si="270"/>
        <v>0</v>
      </c>
      <c r="J238" s="108">
        <f t="shared" si="271"/>
        <v>0</v>
      </c>
      <c r="K238" s="108">
        <f t="shared" si="272"/>
        <v>0</v>
      </c>
      <c r="L238" s="111"/>
      <c r="Z238" s="100">
        <f t="shared" si="273"/>
        <v>0</v>
      </c>
      <c r="AB238" s="100">
        <f t="shared" si="274"/>
        <v>0</v>
      </c>
      <c r="AC238" s="100">
        <f t="shared" si="275"/>
        <v>0</v>
      </c>
      <c r="AD238" s="100">
        <f t="shared" si="276"/>
        <v>0</v>
      </c>
      <c r="AE238" s="100">
        <f t="shared" si="277"/>
        <v>0</v>
      </c>
      <c r="AF238" s="100">
        <f t="shared" si="278"/>
        <v>0</v>
      </c>
      <c r="AG238" s="100">
        <f t="shared" si="279"/>
        <v>0</v>
      </c>
      <c r="AH238" s="100">
        <f t="shared" si="280"/>
        <v>0</v>
      </c>
      <c r="AI238" s="109"/>
      <c r="AJ238" s="108">
        <f t="shared" si="281"/>
        <v>0</v>
      </c>
      <c r="AK238" s="108">
        <f t="shared" si="282"/>
        <v>0</v>
      </c>
      <c r="AL238" s="108">
        <f t="shared" si="283"/>
        <v>0</v>
      </c>
      <c r="AN238" s="100">
        <v>15</v>
      </c>
      <c r="AO238" s="100">
        <f t="shared" si="284"/>
        <v>0</v>
      </c>
      <c r="AP238" s="100">
        <f t="shared" si="285"/>
        <v>0</v>
      </c>
      <c r="AQ238" s="111" t="s">
        <v>13</v>
      </c>
      <c r="AV238" s="100">
        <f t="shared" si="286"/>
        <v>0</v>
      </c>
      <c r="AW238" s="100">
        <f t="shared" si="287"/>
        <v>0</v>
      </c>
      <c r="AX238" s="100">
        <f t="shared" si="288"/>
        <v>0</v>
      </c>
      <c r="AY238" s="110" t="s">
        <v>1708</v>
      </c>
      <c r="AZ238" s="110" t="s">
        <v>1732</v>
      </c>
      <c r="BA238" s="109" t="s">
        <v>1737</v>
      </c>
      <c r="BC238" s="100">
        <f t="shared" si="289"/>
        <v>0</v>
      </c>
      <c r="BD238" s="100">
        <f t="shared" si="290"/>
        <v>0</v>
      </c>
      <c r="BE238" s="100">
        <v>0</v>
      </c>
      <c r="BF238" s="100">
        <f>238</f>
        <v>238</v>
      </c>
      <c r="BH238" s="108">
        <f t="shared" si="291"/>
        <v>0</v>
      </c>
      <c r="BI238" s="108">
        <f t="shared" si="292"/>
        <v>0</v>
      </c>
      <c r="BJ238" s="108">
        <f t="shared" si="293"/>
        <v>0</v>
      </c>
    </row>
    <row r="239" spans="1:62" x14ac:dyDescent="0.2">
      <c r="A239" s="117" t="s">
        <v>200</v>
      </c>
      <c r="B239" s="117" t="s">
        <v>2451</v>
      </c>
      <c r="C239" s="304" t="s">
        <v>1281</v>
      </c>
      <c r="D239" s="305"/>
      <c r="E239" s="305"/>
      <c r="F239" s="117" t="s">
        <v>1646</v>
      </c>
      <c r="G239" s="116">
        <v>4</v>
      </c>
      <c r="H239" s="159"/>
      <c r="I239" s="108">
        <f t="shared" si="270"/>
        <v>0</v>
      </c>
      <c r="J239" s="108">
        <f t="shared" si="271"/>
        <v>0</v>
      </c>
      <c r="K239" s="108">
        <f t="shared" si="272"/>
        <v>0</v>
      </c>
      <c r="L239" s="111"/>
      <c r="Z239" s="100">
        <f t="shared" si="273"/>
        <v>0</v>
      </c>
      <c r="AB239" s="100">
        <f t="shared" si="274"/>
        <v>0</v>
      </c>
      <c r="AC239" s="100">
        <f t="shared" si="275"/>
        <v>0</v>
      </c>
      <c r="AD239" s="100">
        <f t="shared" si="276"/>
        <v>0</v>
      </c>
      <c r="AE239" s="100">
        <f t="shared" si="277"/>
        <v>0</v>
      </c>
      <c r="AF239" s="100">
        <f t="shared" si="278"/>
        <v>0</v>
      </c>
      <c r="AG239" s="100">
        <f t="shared" si="279"/>
        <v>0</v>
      </c>
      <c r="AH239" s="100">
        <f t="shared" si="280"/>
        <v>0</v>
      </c>
      <c r="AI239" s="109"/>
      <c r="AJ239" s="108">
        <f t="shared" si="281"/>
        <v>0</v>
      </c>
      <c r="AK239" s="108">
        <f t="shared" si="282"/>
        <v>0</v>
      </c>
      <c r="AL239" s="108">
        <f t="shared" si="283"/>
        <v>0</v>
      </c>
      <c r="AN239" s="100">
        <v>15</v>
      </c>
      <c r="AO239" s="100">
        <f t="shared" si="284"/>
        <v>0</v>
      </c>
      <c r="AP239" s="100">
        <f t="shared" si="285"/>
        <v>0</v>
      </c>
      <c r="AQ239" s="111" t="s">
        <v>13</v>
      </c>
      <c r="AV239" s="100">
        <f t="shared" si="286"/>
        <v>0</v>
      </c>
      <c r="AW239" s="100">
        <f t="shared" si="287"/>
        <v>0</v>
      </c>
      <c r="AX239" s="100">
        <f t="shared" si="288"/>
        <v>0</v>
      </c>
      <c r="AY239" s="110" t="s">
        <v>1708</v>
      </c>
      <c r="AZ239" s="110" t="s">
        <v>1732</v>
      </c>
      <c r="BA239" s="109" t="s">
        <v>1737</v>
      </c>
      <c r="BC239" s="100">
        <f t="shared" si="289"/>
        <v>0</v>
      </c>
      <c r="BD239" s="100">
        <f t="shared" si="290"/>
        <v>0</v>
      </c>
      <c r="BE239" s="100">
        <v>0</v>
      </c>
      <c r="BF239" s="100">
        <f>239</f>
        <v>239</v>
      </c>
      <c r="BH239" s="108">
        <f t="shared" si="291"/>
        <v>0</v>
      </c>
      <c r="BI239" s="108">
        <f t="shared" si="292"/>
        <v>0</v>
      </c>
      <c r="BJ239" s="108">
        <f t="shared" si="293"/>
        <v>0</v>
      </c>
    </row>
    <row r="240" spans="1:62" x14ac:dyDescent="0.2">
      <c r="A240" s="117" t="s">
        <v>201</v>
      </c>
      <c r="B240" s="117" t="s">
        <v>2450</v>
      </c>
      <c r="C240" s="304" t="s">
        <v>1282</v>
      </c>
      <c r="D240" s="305"/>
      <c r="E240" s="305"/>
      <c r="F240" s="117" t="s">
        <v>1644</v>
      </c>
      <c r="G240" s="116">
        <v>1</v>
      </c>
      <c r="H240" s="159"/>
      <c r="I240" s="108">
        <f t="shared" si="270"/>
        <v>0</v>
      </c>
      <c r="J240" s="108">
        <f t="shared" si="271"/>
        <v>0</v>
      </c>
      <c r="K240" s="108">
        <f t="shared" si="272"/>
        <v>0</v>
      </c>
      <c r="L240" s="111"/>
      <c r="Z240" s="100">
        <f t="shared" si="273"/>
        <v>0</v>
      </c>
      <c r="AB240" s="100">
        <f t="shared" si="274"/>
        <v>0</v>
      </c>
      <c r="AC240" s="100">
        <f t="shared" si="275"/>
        <v>0</v>
      </c>
      <c r="AD240" s="100">
        <f t="shared" si="276"/>
        <v>0</v>
      </c>
      <c r="AE240" s="100">
        <f t="shared" si="277"/>
        <v>0</v>
      </c>
      <c r="AF240" s="100">
        <f t="shared" si="278"/>
        <v>0</v>
      </c>
      <c r="AG240" s="100">
        <f t="shared" si="279"/>
        <v>0</v>
      </c>
      <c r="AH240" s="100">
        <f t="shared" si="280"/>
        <v>0</v>
      </c>
      <c r="AI240" s="109"/>
      <c r="AJ240" s="108">
        <f t="shared" si="281"/>
        <v>0</v>
      </c>
      <c r="AK240" s="108">
        <f t="shared" si="282"/>
        <v>0</v>
      </c>
      <c r="AL240" s="108">
        <f t="shared" si="283"/>
        <v>0</v>
      </c>
      <c r="AN240" s="100">
        <v>15</v>
      </c>
      <c r="AO240" s="100">
        <f t="shared" si="284"/>
        <v>0</v>
      </c>
      <c r="AP240" s="100">
        <f t="shared" si="285"/>
        <v>0</v>
      </c>
      <c r="AQ240" s="111" t="s">
        <v>13</v>
      </c>
      <c r="AV240" s="100">
        <f t="shared" si="286"/>
        <v>0</v>
      </c>
      <c r="AW240" s="100">
        <f t="shared" si="287"/>
        <v>0</v>
      </c>
      <c r="AX240" s="100">
        <f t="shared" si="288"/>
        <v>0</v>
      </c>
      <c r="AY240" s="110" t="s">
        <v>1708</v>
      </c>
      <c r="AZ240" s="110" t="s">
        <v>1732</v>
      </c>
      <c r="BA240" s="109" t="s">
        <v>1737</v>
      </c>
      <c r="BC240" s="100">
        <f t="shared" si="289"/>
        <v>0</v>
      </c>
      <c r="BD240" s="100">
        <f t="shared" si="290"/>
        <v>0</v>
      </c>
      <c r="BE240" s="100">
        <v>0</v>
      </c>
      <c r="BF240" s="100">
        <f>240</f>
        <v>240</v>
      </c>
      <c r="BH240" s="108">
        <f t="shared" si="291"/>
        <v>0</v>
      </c>
      <c r="BI240" s="108">
        <f t="shared" si="292"/>
        <v>0</v>
      </c>
      <c r="BJ240" s="108">
        <f t="shared" si="293"/>
        <v>0</v>
      </c>
    </row>
    <row r="241" spans="1:62" x14ac:dyDescent="0.2">
      <c r="A241" s="119"/>
      <c r="B241" s="120" t="s">
        <v>771</v>
      </c>
      <c r="C241" s="306" t="s">
        <v>1283</v>
      </c>
      <c r="D241" s="307"/>
      <c r="E241" s="307"/>
      <c r="F241" s="119" t="s">
        <v>6</v>
      </c>
      <c r="G241" s="119" t="s">
        <v>6</v>
      </c>
      <c r="H241" s="119" t="s">
        <v>6</v>
      </c>
      <c r="I241" s="118">
        <f>SUM(I242:I316)</f>
        <v>0</v>
      </c>
      <c r="J241" s="118">
        <f>SUM(J242:J316)</f>
        <v>0</v>
      </c>
      <c r="K241" s="118">
        <f>SUM(K242:K316)</f>
        <v>0</v>
      </c>
      <c r="L241" s="109"/>
      <c r="AI241" s="109"/>
      <c r="AS241" s="118">
        <f>SUM(AJ242:AJ316)</f>
        <v>0</v>
      </c>
      <c r="AT241" s="118">
        <f>SUM(AK242:AK316)</f>
        <v>0</v>
      </c>
      <c r="AU241" s="118">
        <f>SUM(AL242:AL316)</f>
        <v>0</v>
      </c>
    </row>
    <row r="242" spans="1:62" x14ac:dyDescent="0.2">
      <c r="A242" s="117" t="s">
        <v>202</v>
      </c>
      <c r="B242" s="117" t="s">
        <v>2449</v>
      </c>
      <c r="C242" s="304" t="s">
        <v>1284</v>
      </c>
      <c r="D242" s="305"/>
      <c r="E242" s="305"/>
      <c r="F242" s="117" t="s">
        <v>1644</v>
      </c>
      <c r="G242" s="116">
        <v>1</v>
      </c>
      <c r="H242" s="159"/>
      <c r="I242" s="108">
        <f t="shared" ref="I242:I273" si="294">G242*AO242</f>
        <v>0</v>
      </c>
      <c r="J242" s="108">
        <f t="shared" ref="J242:J273" si="295">G242*AP242</f>
        <v>0</v>
      </c>
      <c r="K242" s="108">
        <f t="shared" ref="K242:K273" si="296">G242*H242</f>
        <v>0</v>
      </c>
      <c r="L242" s="111"/>
      <c r="Z242" s="100">
        <f t="shared" ref="Z242:Z273" si="297">IF(AQ242="5",BJ242,0)</f>
        <v>0</v>
      </c>
      <c r="AB242" s="100">
        <f t="shared" ref="AB242:AB273" si="298">IF(AQ242="1",BH242,0)</f>
        <v>0</v>
      </c>
      <c r="AC242" s="100">
        <f t="shared" ref="AC242:AC273" si="299">IF(AQ242="1",BI242,0)</f>
        <v>0</v>
      </c>
      <c r="AD242" s="100">
        <f t="shared" ref="AD242:AD273" si="300">IF(AQ242="7",BH242,0)</f>
        <v>0</v>
      </c>
      <c r="AE242" s="100">
        <f t="shared" ref="AE242:AE273" si="301">IF(AQ242="7",BI242,0)</f>
        <v>0</v>
      </c>
      <c r="AF242" s="100">
        <f t="shared" ref="AF242:AF273" si="302">IF(AQ242="2",BH242,0)</f>
        <v>0</v>
      </c>
      <c r="AG242" s="100">
        <f t="shared" ref="AG242:AG273" si="303">IF(AQ242="2",BI242,0)</f>
        <v>0</v>
      </c>
      <c r="AH242" s="100">
        <f t="shared" ref="AH242:AH273" si="304">IF(AQ242="0",BJ242,0)</f>
        <v>0</v>
      </c>
      <c r="AI242" s="109"/>
      <c r="AJ242" s="108">
        <f t="shared" ref="AJ242:AJ273" si="305">IF(AN242=0,K242,0)</f>
        <v>0</v>
      </c>
      <c r="AK242" s="108">
        <f t="shared" ref="AK242:AK273" si="306">IF(AN242=15,K242,0)</f>
        <v>0</v>
      </c>
      <c r="AL242" s="108">
        <f t="shared" ref="AL242:AL273" si="307">IF(AN242=21,K242,0)</f>
        <v>0</v>
      </c>
      <c r="AN242" s="100">
        <v>15</v>
      </c>
      <c r="AO242" s="100">
        <f t="shared" ref="AO242:AO273" si="308">H242*0</f>
        <v>0</v>
      </c>
      <c r="AP242" s="100">
        <f t="shared" ref="AP242:AP273" si="309">H242*(1-0)</f>
        <v>0</v>
      </c>
      <c r="AQ242" s="111" t="s">
        <v>13</v>
      </c>
      <c r="AV242" s="100">
        <f t="shared" ref="AV242:AV273" si="310">AW242+AX242</f>
        <v>0</v>
      </c>
      <c r="AW242" s="100">
        <f t="shared" ref="AW242:AW273" si="311">G242*AO242</f>
        <v>0</v>
      </c>
      <c r="AX242" s="100">
        <f t="shared" ref="AX242:AX273" si="312">G242*AP242</f>
        <v>0</v>
      </c>
      <c r="AY242" s="110" t="s">
        <v>1709</v>
      </c>
      <c r="AZ242" s="110" t="s">
        <v>1733</v>
      </c>
      <c r="BA242" s="109" t="s">
        <v>1737</v>
      </c>
      <c r="BC242" s="100">
        <f t="shared" ref="BC242:BC273" si="313">AW242+AX242</f>
        <v>0</v>
      </c>
      <c r="BD242" s="100">
        <f t="shared" ref="BD242:BD273" si="314">H242/(100-BE242)*100</f>
        <v>0</v>
      </c>
      <c r="BE242" s="100">
        <v>0</v>
      </c>
      <c r="BF242" s="100">
        <f>242</f>
        <v>242</v>
      </c>
      <c r="BH242" s="108">
        <f t="shared" ref="BH242:BH273" si="315">G242*AO242</f>
        <v>0</v>
      </c>
      <c r="BI242" s="108">
        <f t="shared" ref="BI242:BI273" si="316">G242*AP242</f>
        <v>0</v>
      </c>
      <c r="BJ242" s="108">
        <f t="shared" ref="BJ242:BJ273" si="317">G242*H242</f>
        <v>0</v>
      </c>
    </row>
    <row r="243" spans="1:62" x14ac:dyDescent="0.2">
      <c r="A243" s="117" t="s">
        <v>203</v>
      </c>
      <c r="B243" s="117" t="s">
        <v>2448</v>
      </c>
      <c r="C243" s="304" t="s">
        <v>1285</v>
      </c>
      <c r="D243" s="305"/>
      <c r="E243" s="305"/>
      <c r="F243" s="117" t="s">
        <v>1644</v>
      </c>
      <c r="G243" s="116">
        <v>1</v>
      </c>
      <c r="H243" s="159"/>
      <c r="I243" s="108">
        <f t="shared" si="294"/>
        <v>0</v>
      </c>
      <c r="J243" s="108">
        <f t="shared" si="295"/>
        <v>0</v>
      </c>
      <c r="K243" s="108">
        <f t="shared" si="296"/>
        <v>0</v>
      </c>
      <c r="L243" s="111"/>
      <c r="Z243" s="100">
        <f t="shared" si="297"/>
        <v>0</v>
      </c>
      <c r="AB243" s="100">
        <f t="shared" si="298"/>
        <v>0</v>
      </c>
      <c r="AC243" s="100">
        <f t="shared" si="299"/>
        <v>0</v>
      </c>
      <c r="AD243" s="100">
        <f t="shared" si="300"/>
        <v>0</v>
      </c>
      <c r="AE243" s="100">
        <f t="shared" si="301"/>
        <v>0</v>
      </c>
      <c r="AF243" s="100">
        <f t="shared" si="302"/>
        <v>0</v>
      </c>
      <c r="AG243" s="100">
        <f t="shared" si="303"/>
        <v>0</v>
      </c>
      <c r="AH243" s="100">
        <f t="shared" si="304"/>
        <v>0</v>
      </c>
      <c r="AI243" s="109"/>
      <c r="AJ243" s="108">
        <f t="shared" si="305"/>
        <v>0</v>
      </c>
      <c r="AK243" s="108">
        <f t="shared" si="306"/>
        <v>0</v>
      </c>
      <c r="AL243" s="108">
        <f t="shared" si="307"/>
        <v>0</v>
      </c>
      <c r="AN243" s="100">
        <v>15</v>
      </c>
      <c r="AO243" s="100">
        <f t="shared" si="308"/>
        <v>0</v>
      </c>
      <c r="AP243" s="100">
        <f t="shared" si="309"/>
        <v>0</v>
      </c>
      <c r="AQ243" s="111" t="s">
        <v>13</v>
      </c>
      <c r="AV243" s="100">
        <f t="shared" si="310"/>
        <v>0</v>
      </c>
      <c r="AW243" s="100">
        <f t="shared" si="311"/>
        <v>0</v>
      </c>
      <c r="AX243" s="100">
        <f t="shared" si="312"/>
        <v>0</v>
      </c>
      <c r="AY243" s="110" t="s">
        <v>1709</v>
      </c>
      <c r="AZ243" s="110" t="s">
        <v>1733</v>
      </c>
      <c r="BA243" s="109" t="s">
        <v>1737</v>
      </c>
      <c r="BC243" s="100">
        <f t="shared" si="313"/>
        <v>0</v>
      </c>
      <c r="BD243" s="100">
        <f t="shared" si="314"/>
        <v>0</v>
      </c>
      <c r="BE243" s="100">
        <v>0</v>
      </c>
      <c r="BF243" s="100">
        <f>243</f>
        <v>243</v>
      </c>
      <c r="BH243" s="108">
        <f t="shared" si="315"/>
        <v>0</v>
      </c>
      <c r="BI243" s="108">
        <f t="shared" si="316"/>
        <v>0</v>
      </c>
      <c r="BJ243" s="108">
        <f t="shared" si="317"/>
        <v>0</v>
      </c>
    </row>
    <row r="244" spans="1:62" x14ac:dyDescent="0.2">
      <c r="A244" s="117" t="s">
        <v>204</v>
      </c>
      <c r="B244" s="117" t="s">
        <v>2447</v>
      </c>
      <c r="C244" s="304" t="s">
        <v>1286</v>
      </c>
      <c r="D244" s="305"/>
      <c r="E244" s="305"/>
      <c r="F244" s="117" t="s">
        <v>1644</v>
      </c>
      <c r="G244" s="116">
        <v>2</v>
      </c>
      <c r="H244" s="159"/>
      <c r="I244" s="108">
        <f t="shared" si="294"/>
        <v>0</v>
      </c>
      <c r="J244" s="108">
        <f t="shared" si="295"/>
        <v>0</v>
      </c>
      <c r="K244" s="108">
        <f t="shared" si="296"/>
        <v>0</v>
      </c>
      <c r="L244" s="111"/>
      <c r="Z244" s="100">
        <f t="shared" si="297"/>
        <v>0</v>
      </c>
      <c r="AB244" s="100">
        <f t="shared" si="298"/>
        <v>0</v>
      </c>
      <c r="AC244" s="100">
        <f t="shared" si="299"/>
        <v>0</v>
      </c>
      <c r="AD244" s="100">
        <f t="shared" si="300"/>
        <v>0</v>
      </c>
      <c r="AE244" s="100">
        <f t="shared" si="301"/>
        <v>0</v>
      </c>
      <c r="AF244" s="100">
        <f t="shared" si="302"/>
        <v>0</v>
      </c>
      <c r="AG244" s="100">
        <f t="shared" si="303"/>
        <v>0</v>
      </c>
      <c r="AH244" s="100">
        <f t="shared" si="304"/>
        <v>0</v>
      </c>
      <c r="AI244" s="109"/>
      <c r="AJ244" s="108">
        <f t="shared" si="305"/>
        <v>0</v>
      </c>
      <c r="AK244" s="108">
        <f t="shared" si="306"/>
        <v>0</v>
      </c>
      <c r="AL244" s="108">
        <f t="shared" si="307"/>
        <v>0</v>
      </c>
      <c r="AN244" s="100">
        <v>15</v>
      </c>
      <c r="AO244" s="100">
        <f t="shared" si="308"/>
        <v>0</v>
      </c>
      <c r="AP244" s="100">
        <f t="shared" si="309"/>
        <v>0</v>
      </c>
      <c r="AQ244" s="111" t="s">
        <v>13</v>
      </c>
      <c r="AV244" s="100">
        <f t="shared" si="310"/>
        <v>0</v>
      </c>
      <c r="AW244" s="100">
        <f t="shared" si="311"/>
        <v>0</v>
      </c>
      <c r="AX244" s="100">
        <f t="shared" si="312"/>
        <v>0</v>
      </c>
      <c r="AY244" s="110" t="s">
        <v>1709</v>
      </c>
      <c r="AZ244" s="110" t="s">
        <v>1733</v>
      </c>
      <c r="BA244" s="109" t="s">
        <v>1737</v>
      </c>
      <c r="BC244" s="100">
        <f t="shared" si="313"/>
        <v>0</v>
      </c>
      <c r="BD244" s="100">
        <f t="shared" si="314"/>
        <v>0</v>
      </c>
      <c r="BE244" s="100">
        <v>0</v>
      </c>
      <c r="BF244" s="100">
        <f>244</f>
        <v>244</v>
      </c>
      <c r="BH244" s="108">
        <f t="shared" si="315"/>
        <v>0</v>
      </c>
      <c r="BI244" s="108">
        <f t="shared" si="316"/>
        <v>0</v>
      </c>
      <c r="BJ244" s="108">
        <f t="shared" si="317"/>
        <v>0</v>
      </c>
    </row>
    <row r="245" spans="1:62" x14ac:dyDescent="0.2">
      <c r="A245" s="117" t="s">
        <v>205</v>
      </c>
      <c r="B245" s="117" t="s">
        <v>2446</v>
      </c>
      <c r="C245" s="304" t="s">
        <v>1287</v>
      </c>
      <c r="D245" s="305"/>
      <c r="E245" s="305"/>
      <c r="F245" s="117" t="s">
        <v>1644</v>
      </c>
      <c r="G245" s="116">
        <v>1</v>
      </c>
      <c r="H245" s="159"/>
      <c r="I245" s="108">
        <f t="shared" si="294"/>
        <v>0</v>
      </c>
      <c r="J245" s="108">
        <f t="shared" si="295"/>
        <v>0</v>
      </c>
      <c r="K245" s="108">
        <f t="shared" si="296"/>
        <v>0</v>
      </c>
      <c r="L245" s="111"/>
      <c r="Z245" s="100">
        <f t="shared" si="297"/>
        <v>0</v>
      </c>
      <c r="AB245" s="100">
        <f t="shared" si="298"/>
        <v>0</v>
      </c>
      <c r="AC245" s="100">
        <f t="shared" si="299"/>
        <v>0</v>
      </c>
      <c r="AD245" s="100">
        <f t="shared" si="300"/>
        <v>0</v>
      </c>
      <c r="AE245" s="100">
        <f t="shared" si="301"/>
        <v>0</v>
      </c>
      <c r="AF245" s="100">
        <f t="shared" si="302"/>
        <v>0</v>
      </c>
      <c r="AG245" s="100">
        <f t="shared" si="303"/>
        <v>0</v>
      </c>
      <c r="AH245" s="100">
        <f t="shared" si="304"/>
        <v>0</v>
      </c>
      <c r="AI245" s="109"/>
      <c r="AJ245" s="108">
        <f t="shared" si="305"/>
        <v>0</v>
      </c>
      <c r="AK245" s="108">
        <f t="shared" si="306"/>
        <v>0</v>
      </c>
      <c r="AL245" s="108">
        <f t="shared" si="307"/>
        <v>0</v>
      </c>
      <c r="AN245" s="100">
        <v>15</v>
      </c>
      <c r="AO245" s="100">
        <f t="shared" si="308"/>
        <v>0</v>
      </c>
      <c r="AP245" s="100">
        <f t="shared" si="309"/>
        <v>0</v>
      </c>
      <c r="AQ245" s="111" t="s">
        <v>13</v>
      </c>
      <c r="AV245" s="100">
        <f t="shared" si="310"/>
        <v>0</v>
      </c>
      <c r="AW245" s="100">
        <f t="shared" si="311"/>
        <v>0</v>
      </c>
      <c r="AX245" s="100">
        <f t="shared" si="312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313"/>
        <v>0</v>
      </c>
      <c r="BD245" s="100">
        <f t="shared" si="314"/>
        <v>0</v>
      </c>
      <c r="BE245" s="100">
        <v>0</v>
      </c>
      <c r="BF245" s="100">
        <f>245</f>
        <v>245</v>
      </c>
      <c r="BH245" s="108">
        <f t="shared" si="315"/>
        <v>0</v>
      </c>
      <c r="BI245" s="108">
        <f t="shared" si="316"/>
        <v>0</v>
      </c>
      <c r="BJ245" s="108">
        <f t="shared" si="317"/>
        <v>0</v>
      </c>
    </row>
    <row r="246" spans="1:62" x14ac:dyDescent="0.2">
      <c r="A246" s="117" t="s">
        <v>206</v>
      </c>
      <c r="B246" s="117" t="s">
        <v>2445</v>
      </c>
      <c r="C246" s="304" t="s">
        <v>1288</v>
      </c>
      <c r="D246" s="305"/>
      <c r="E246" s="305"/>
      <c r="F246" s="117" t="s">
        <v>1644</v>
      </c>
      <c r="G246" s="116">
        <v>1</v>
      </c>
      <c r="H246" s="159"/>
      <c r="I246" s="108">
        <f t="shared" si="294"/>
        <v>0</v>
      </c>
      <c r="J246" s="108">
        <f t="shared" si="295"/>
        <v>0</v>
      </c>
      <c r="K246" s="108">
        <f t="shared" si="296"/>
        <v>0</v>
      </c>
      <c r="L246" s="111"/>
      <c r="Z246" s="100">
        <f t="shared" si="297"/>
        <v>0</v>
      </c>
      <c r="AB246" s="100">
        <f t="shared" si="298"/>
        <v>0</v>
      </c>
      <c r="AC246" s="100">
        <f t="shared" si="299"/>
        <v>0</v>
      </c>
      <c r="AD246" s="100">
        <f t="shared" si="300"/>
        <v>0</v>
      </c>
      <c r="AE246" s="100">
        <f t="shared" si="301"/>
        <v>0</v>
      </c>
      <c r="AF246" s="100">
        <f t="shared" si="302"/>
        <v>0</v>
      </c>
      <c r="AG246" s="100">
        <f t="shared" si="303"/>
        <v>0</v>
      </c>
      <c r="AH246" s="100">
        <f t="shared" si="304"/>
        <v>0</v>
      </c>
      <c r="AI246" s="109"/>
      <c r="AJ246" s="108">
        <f t="shared" si="305"/>
        <v>0</v>
      </c>
      <c r="AK246" s="108">
        <f t="shared" si="306"/>
        <v>0</v>
      </c>
      <c r="AL246" s="108">
        <f t="shared" si="307"/>
        <v>0</v>
      </c>
      <c r="AN246" s="100">
        <v>15</v>
      </c>
      <c r="AO246" s="100">
        <f t="shared" si="308"/>
        <v>0</v>
      </c>
      <c r="AP246" s="100">
        <f t="shared" si="309"/>
        <v>0</v>
      </c>
      <c r="AQ246" s="111" t="s">
        <v>13</v>
      </c>
      <c r="AV246" s="100">
        <f t="shared" si="310"/>
        <v>0</v>
      </c>
      <c r="AW246" s="100">
        <f t="shared" si="311"/>
        <v>0</v>
      </c>
      <c r="AX246" s="100">
        <f t="shared" si="312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313"/>
        <v>0</v>
      </c>
      <c r="BD246" s="100">
        <f t="shared" si="314"/>
        <v>0</v>
      </c>
      <c r="BE246" s="100">
        <v>0</v>
      </c>
      <c r="BF246" s="100">
        <f>246</f>
        <v>246</v>
      </c>
      <c r="BH246" s="108">
        <f t="shared" si="315"/>
        <v>0</v>
      </c>
      <c r="BI246" s="108">
        <f t="shared" si="316"/>
        <v>0</v>
      </c>
      <c r="BJ246" s="108">
        <f t="shared" si="317"/>
        <v>0</v>
      </c>
    </row>
    <row r="247" spans="1:62" x14ac:dyDescent="0.2">
      <c r="A247" s="117" t="s">
        <v>207</v>
      </c>
      <c r="B247" s="117" t="s">
        <v>2444</v>
      </c>
      <c r="C247" s="304" t="s">
        <v>1289</v>
      </c>
      <c r="D247" s="305"/>
      <c r="E247" s="305"/>
      <c r="F247" s="117" t="s">
        <v>1644</v>
      </c>
      <c r="G247" s="116">
        <v>3</v>
      </c>
      <c r="H247" s="159"/>
      <c r="I247" s="108">
        <f t="shared" si="294"/>
        <v>0</v>
      </c>
      <c r="J247" s="108">
        <f t="shared" si="295"/>
        <v>0</v>
      </c>
      <c r="K247" s="108">
        <f t="shared" si="296"/>
        <v>0</v>
      </c>
      <c r="L247" s="111"/>
      <c r="Z247" s="100">
        <f t="shared" si="297"/>
        <v>0</v>
      </c>
      <c r="AB247" s="100">
        <f t="shared" si="298"/>
        <v>0</v>
      </c>
      <c r="AC247" s="100">
        <f t="shared" si="299"/>
        <v>0</v>
      </c>
      <c r="AD247" s="100">
        <f t="shared" si="300"/>
        <v>0</v>
      </c>
      <c r="AE247" s="100">
        <f t="shared" si="301"/>
        <v>0</v>
      </c>
      <c r="AF247" s="100">
        <f t="shared" si="302"/>
        <v>0</v>
      </c>
      <c r="AG247" s="100">
        <f t="shared" si="303"/>
        <v>0</v>
      </c>
      <c r="AH247" s="100">
        <f t="shared" si="304"/>
        <v>0</v>
      </c>
      <c r="AI247" s="109"/>
      <c r="AJ247" s="108">
        <f t="shared" si="305"/>
        <v>0</v>
      </c>
      <c r="AK247" s="108">
        <f t="shared" si="306"/>
        <v>0</v>
      </c>
      <c r="AL247" s="108">
        <f t="shared" si="307"/>
        <v>0</v>
      </c>
      <c r="AN247" s="100">
        <v>15</v>
      </c>
      <c r="AO247" s="100">
        <f t="shared" si="308"/>
        <v>0</v>
      </c>
      <c r="AP247" s="100">
        <f t="shared" si="309"/>
        <v>0</v>
      </c>
      <c r="AQ247" s="111" t="s">
        <v>13</v>
      </c>
      <c r="AV247" s="100">
        <f t="shared" si="310"/>
        <v>0</v>
      </c>
      <c r="AW247" s="100">
        <f t="shared" si="311"/>
        <v>0</v>
      </c>
      <c r="AX247" s="100">
        <f t="shared" si="312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313"/>
        <v>0</v>
      </c>
      <c r="BD247" s="100">
        <f t="shared" si="314"/>
        <v>0</v>
      </c>
      <c r="BE247" s="100">
        <v>0</v>
      </c>
      <c r="BF247" s="100">
        <f>247</f>
        <v>247</v>
      </c>
      <c r="BH247" s="108">
        <f t="shared" si="315"/>
        <v>0</v>
      </c>
      <c r="BI247" s="108">
        <f t="shared" si="316"/>
        <v>0</v>
      </c>
      <c r="BJ247" s="108">
        <f t="shared" si="317"/>
        <v>0</v>
      </c>
    </row>
    <row r="248" spans="1:62" x14ac:dyDescent="0.2">
      <c r="A248" s="117" t="s">
        <v>208</v>
      </c>
      <c r="B248" s="117" t="s">
        <v>2443</v>
      </c>
      <c r="C248" s="304" t="s">
        <v>1290</v>
      </c>
      <c r="D248" s="305"/>
      <c r="E248" s="305"/>
      <c r="F248" s="117" t="s">
        <v>1644</v>
      </c>
      <c r="G248" s="116">
        <v>2</v>
      </c>
      <c r="H248" s="159"/>
      <c r="I248" s="108">
        <f t="shared" si="294"/>
        <v>0</v>
      </c>
      <c r="J248" s="108">
        <f t="shared" si="295"/>
        <v>0</v>
      </c>
      <c r="K248" s="108">
        <f t="shared" si="296"/>
        <v>0</v>
      </c>
      <c r="L248" s="111"/>
      <c r="Z248" s="100">
        <f t="shared" si="297"/>
        <v>0</v>
      </c>
      <c r="AB248" s="100">
        <f t="shared" si="298"/>
        <v>0</v>
      </c>
      <c r="AC248" s="100">
        <f t="shared" si="299"/>
        <v>0</v>
      </c>
      <c r="AD248" s="100">
        <f t="shared" si="300"/>
        <v>0</v>
      </c>
      <c r="AE248" s="100">
        <f t="shared" si="301"/>
        <v>0</v>
      </c>
      <c r="AF248" s="100">
        <f t="shared" si="302"/>
        <v>0</v>
      </c>
      <c r="AG248" s="100">
        <f t="shared" si="303"/>
        <v>0</v>
      </c>
      <c r="AH248" s="100">
        <f t="shared" si="304"/>
        <v>0</v>
      </c>
      <c r="AI248" s="109"/>
      <c r="AJ248" s="108">
        <f t="shared" si="305"/>
        <v>0</v>
      </c>
      <c r="AK248" s="108">
        <f t="shared" si="306"/>
        <v>0</v>
      </c>
      <c r="AL248" s="108">
        <f t="shared" si="307"/>
        <v>0</v>
      </c>
      <c r="AN248" s="100">
        <v>15</v>
      </c>
      <c r="AO248" s="100">
        <f t="shared" si="308"/>
        <v>0</v>
      </c>
      <c r="AP248" s="100">
        <f t="shared" si="309"/>
        <v>0</v>
      </c>
      <c r="AQ248" s="111" t="s">
        <v>13</v>
      </c>
      <c r="AV248" s="100">
        <f t="shared" si="310"/>
        <v>0</v>
      </c>
      <c r="AW248" s="100">
        <f t="shared" si="311"/>
        <v>0</v>
      </c>
      <c r="AX248" s="100">
        <f t="shared" si="312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313"/>
        <v>0</v>
      </c>
      <c r="BD248" s="100">
        <f t="shared" si="314"/>
        <v>0</v>
      </c>
      <c r="BE248" s="100">
        <v>0</v>
      </c>
      <c r="BF248" s="100">
        <f>248</f>
        <v>248</v>
      </c>
      <c r="BH248" s="108">
        <f t="shared" si="315"/>
        <v>0</v>
      </c>
      <c r="BI248" s="108">
        <f t="shared" si="316"/>
        <v>0</v>
      </c>
      <c r="BJ248" s="108">
        <f t="shared" si="317"/>
        <v>0</v>
      </c>
    </row>
    <row r="249" spans="1:62" x14ac:dyDescent="0.2">
      <c r="A249" s="117" t="s">
        <v>209</v>
      </c>
      <c r="B249" s="117" t="s">
        <v>2442</v>
      </c>
      <c r="C249" s="304" t="s">
        <v>1291</v>
      </c>
      <c r="D249" s="305"/>
      <c r="E249" s="305"/>
      <c r="F249" s="117" t="s">
        <v>1644</v>
      </c>
      <c r="G249" s="116">
        <v>2</v>
      </c>
      <c r="H249" s="159"/>
      <c r="I249" s="108">
        <f t="shared" si="294"/>
        <v>0</v>
      </c>
      <c r="J249" s="108">
        <f t="shared" si="295"/>
        <v>0</v>
      </c>
      <c r="K249" s="108">
        <f t="shared" si="296"/>
        <v>0</v>
      </c>
      <c r="L249" s="111"/>
      <c r="Z249" s="100">
        <f t="shared" si="297"/>
        <v>0</v>
      </c>
      <c r="AB249" s="100">
        <f t="shared" si="298"/>
        <v>0</v>
      </c>
      <c r="AC249" s="100">
        <f t="shared" si="299"/>
        <v>0</v>
      </c>
      <c r="AD249" s="100">
        <f t="shared" si="300"/>
        <v>0</v>
      </c>
      <c r="AE249" s="100">
        <f t="shared" si="301"/>
        <v>0</v>
      </c>
      <c r="AF249" s="100">
        <f t="shared" si="302"/>
        <v>0</v>
      </c>
      <c r="AG249" s="100">
        <f t="shared" si="303"/>
        <v>0</v>
      </c>
      <c r="AH249" s="100">
        <f t="shared" si="304"/>
        <v>0</v>
      </c>
      <c r="AI249" s="109"/>
      <c r="AJ249" s="108">
        <f t="shared" si="305"/>
        <v>0</v>
      </c>
      <c r="AK249" s="108">
        <f t="shared" si="306"/>
        <v>0</v>
      </c>
      <c r="AL249" s="108">
        <f t="shared" si="307"/>
        <v>0</v>
      </c>
      <c r="AN249" s="100">
        <v>15</v>
      </c>
      <c r="AO249" s="100">
        <f t="shared" si="308"/>
        <v>0</v>
      </c>
      <c r="AP249" s="100">
        <f t="shared" si="309"/>
        <v>0</v>
      </c>
      <c r="AQ249" s="111" t="s">
        <v>13</v>
      </c>
      <c r="AV249" s="100">
        <f t="shared" si="310"/>
        <v>0</v>
      </c>
      <c r="AW249" s="100">
        <f t="shared" si="311"/>
        <v>0</v>
      </c>
      <c r="AX249" s="100">
        <f t="shared" si="312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313"/>
        <v>0</v>
      </c>
      <c r="BD249" s="100">
        <f t="shared" si="314"/>
        <v>0</v>
      </c>
      <c r="BE249" s="100">
        <v>0</v>
      </c>
      <c r="BF249" s="100">
        <f>249</f>
        <v>249</v>
      </c>
      <c r="BH249" s="108">
        <f t="shared" si="315"/>
        <v>0</v>
      </c>
      <c r="BI249" s="108">
        <f t="shared" si="316"/>
        <v>0</v>
      </c>
      <c r="BJ249" s="108">
        <f t="shared" si="317"/>
        <v>0</v>
      </c>
    </row>
    <row r="250" spans="1:62" x14ac:dyDescent="0.2">
      <c r="A250" s="117" t="s">
        <v>210</v>
      </c>
      <c r="B250" s="117" t="s">
        <v>2441</v>
      </c>
      <c r="C250" s="304" t="s">
        <v>1292</v>
      </c>
      <c r="D250" s="305"/>
      <c r="E250" s="305"/>
      <c r="F250" s="117" t="s">
        <v>1644</v>
      </c>
      <c r="G250" s="116">
        <v>1</v>
      </c>
      <c r="H250" s="159"/>
      <c r="I250" s="108">
        <f t="shared" si="294"/>
        <v>0</v>
      </c>
      <c r="J250" s="108">
        <f t="shared" si="295"/>
        <v>0</v>
      </c>
      <c r="K250" s="108">
        <f t="shared" si="296"/>
        <v>0</v>
      </c>
      <c r="L250" s="111"/>
      <c r="Z250" s="100">
        <f t="shared" si="297"/>
        <v>0</v>
      </c>
      <c r="AB250" s="100">
        <f t="shared" si="298"/>
        <v>0</v>
      </c>
      <c r="AC250" s="100">
        <f t="shared" si="299"/>
        <v>0</v>
      </c>
      <c r="AD250" s="100">
        <f t="shared" si="300"/>
        <v>0</v>
      </c>
      <c r="AE250" s="100">
        <f t="shared" si="301"/>
        <v>0</v>
      </c>
      <c r="AF250" s="100">
        <f t="shared" si="302"/>
        <v>0</v>
      </c>
      <c r="AG250" s="100">
        <f t="shared" si="303"/>
        <v>0</v>
      </c>
      <c r="AH250" s="100">
        <f t="shared" si="304"/>
        <v>0</v>
      </c>
      <c r="AI250" s="109"/>
      <c r="AJ250" s="108">
        <f t="shared" si="305"/>
        <v>0</v>
      </c>
      <c r="AK250" s="108">
        <f t="shared" si="306"/>
        <v>0</v>
      </c>
      <c r="AL250" s="108">
        <f t="shared" si="307"/>
        <v>0</v>
      </c>
      <c r="AN250" s="100">
        <v>15</v>
      </c>
      <c r="AO250" s="100">
        <f t="shared" si="308"/>
        <v>0</v>
      </c>
      <c r="AP250" s="100">
        <f t="shared" si="309"/>
        <v>0</v>
      </c>
      <c r="AQ250" s="111" t="s">
        <v>13</v>
      </c>
      <c r="AV250" s="100">
        <f t="shared" si="310"/>
        <v>0</v>
      </c>
      <c r="AW250" s="100">
        <f t="shared" si="311"/>
        <v>0</v>
      </c>
      <c r="AX250" s="100">
        <f t="shared" si="312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313"/>
        <v>0</v>
      </c>
      <c r="BD250" s="100">
        <f t="shared" si="314"/>
        <v>0</v>
      </c>
      <c r="BE250" s="100">
        <v>0</v>
      </c>
      <c r="BF250" s="100">
        <f>250</f>
        <v>250</v>
      </c>
      <c r="BH250" s="108">
        <f t="shared" si="315"/>
        <v>0</v>
      </c>
      <c r="BI250" s="108">
        <f t="shared" si="316"/>
        <v>0</v>
      </c>
      <c r="BJ250" s="108">
        <f t="shared" si="317"/>
        <v>0</v>
      </c>
    </row>
    <row r="251" spans="1:62" x14ac:dyDescent="0.2">
      <c r="A251" s="117" t="s">
        <v>211</v>
      </c>
      <c r="B251" s="117" t="s">
        <v>2440</v>
      </c>
      <c r="C251" s="304" t="s">
        <v>1293</v>
      </c>
      <c r="D251" s="305"/>
      <c r="E251" s="305"/>
      <c r="F251" s="117" t="s">
        <v>1644</v>
      </c>
      <c r="G251" s="116">
        <v>1</v>
      </c>
      <c r="H251" s="159"/>
      <c r="I251" s="108">
        <f t="shared" si="294"/>
        <v>0</v>
      </c>
      <c r="J251" s="108">
        <f t="shared" si="295"/>
        <v>0</v>
      </c>
      <c r="K251" s="108">
        <f t="shared" si="296"/>
        <v>0</v>
      </c>
      <c r="L251" s="111"/>
      <c r="Z251" s="100">
        <f t="shared" si="297"/>
        <v>0</v>
      </c>
      <c r="AB251" s="100">
        <f t="shared" si="298"/>
        <v>0</v>
      </c>
      <c r="AC251" s="100">
        <f t="shared" si="299"/>
        <v>0</v>
      </c>
      <c r="AD251" s="100">
        <f t="shared" si="300"/>
        <v>0</v>
      </c>
      <c r="AE251" s="100">
        <f t="shared" si="301"/>
        <v>0</v>
      </c>
      <c r="AF251" s="100">
        <f t="shared" si="302"/>
        <v>0</v>
      </c>
      <c r="AG251" s="100">
        <f t="shared" si="303"/>
        <v>0</v>
      </c>
      <c r="AH251" s="100">
        <f t="shared" si="304"/>
        <v>0</v>
      </c>
      <c r="AI251" s="109"/>
      <c r="AJ251" s="108">
        <f t="shared" si="305"/>
        <v>0</v>
      </c>
      <c r="AK251" s="108">
        <f t="shared" si="306"/>
        <v>0</v>
      </c>
      <c r="AL251" s="108">
        <f t="shared" si="307"/>
        <v>0</v>
      </c>
      <c r="AN251" s="100">
        <v>15</v>
      </c>
      <c r="AO251" s="100">
        <f t="shared" si="308"/>
        <v>0</v>
      </c>
      <c r="AP251" s="100">
        <f t="shared" si="309"/>
        <v>0</v>
      </c>
      <c r="AQ251" s="111" t="s">
        <v>13</v>
      </c>
      <c r="AV251" s="100">
        <f t="shared" si="310"/>
        <v>0</v>
      </c>
      <c r="AW251" s="100">
        <f t="shared" si="311"/>
        <v>0</v>
      </c>
      <c r="AX251" s="100">
        <f t="shared" si="312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313"/>
        <v>0</v>
      </c>
      <c r="BD251" s="100">
        <f t="shared" si="314"/>
        <v>0</v>
      </c>
      <c r="BE251" s="100">
        <v>0</v>
      </c>
      <c r="BF251" s="100">
        <f>251</f>
        <v>251</v>
      </c>
      <c r="BH251" s="108">
        <f t="shared" si="315"/>
        <v>0</v>
      </c>
      <c r="BI251" s="108">
        <f t="shared" si="316"/>
        <v>0</v>
      </c>
      <c r="BJ251" s="108">
        <f t="shared" si="317"/>
        <v>0</v>
      </c>
    </row>
    <row r="252" spans="1:62" x14ac:dyDescent="0.2">
      <c r="A252" s="117" t="s">
        <v>212</v>
      </c>
      <c r="B252" s="117" t="s">
        <v>2439</v>
      </c>
      <c r="C252" s="304" t="s">
        <v>1294</v>
      </c>
      <c r="D252" s="305"/>
      <c r="E252" s="305"/>
      <c r="F252" s="117" t="s">
        <v>1644</v>
      </c>
      <c r="G252" s="116">
        <v>1</v>
      </c>
      <c r="H252" s="159"/>
      <c r="I252" s="108">
        <f t="shared" si="294"/>
        <v>0</v>
      </c>
      <c r="J252" s="108">
        <f t="shared" si="295"/>
        <v>0</v>
      </c>
      <c r="K252" s="108">
        <f t="shared" si="296"/>
        <v>0</v>
      </c>
      <c r="L252" s="111"/>
      <c r="Z252" s="100">
        <f t="shared" si="297"/>
        <v>0</v>
      </c>
      <c r="AB252" s="100">
        <f t="shared" si="298"/>
        <v>0</v>
      </c>
      <c r="AC252" s="100">
        <f t="shared" si="299"/>
        <v>0</v>
      </c>
      <c r="AD252" s="100">
        <f t="shared" si="300"/>
        <v>0</v>
      </c>
      <c r="AE252" s="100">
        <f t="shared" si="301"/>
        <v>0</v>
      </c>
      <c r="AF252" s="100">
        <f t="shared" si="302"/>
        <v>0</v>
      </c>
      <c r="AG252" s="100">
        <f t="shared" si="303"/>
        <v>0</v>
      </c>
      <c r="AH252" s="100">
        <f t="shared" si="304"/>
        <v>0</v>
      </c>
      <c r="AI252" s="109"/>
      <c r="AJ252" s="108">
        <f t="shared" si="305"/>
        <v>0</v>
      </c>
      <c r="AK252" s="108">
        <f t="shared" si="306"/>
        <v>0</v>
      </c>
      <c r="AL252" s="108">
        <f t="shared" si="307"/>
        <v>0</v>
      </c>
      <c r="AN252" s="100">
        <v>15</v>
      </c>
      <c r="AO252" s="100">
        <f t="shared" si="308"/>
        <v>0</v>
      </c>
      <c r="AP252" s="100">
        <f t="shared" si="309"/>
        <v>0</v>
      </c>
      <c r="AQ252" s="111" t="s">
        <v>13</v>
      </c>
      <c r="AV252" s="100">
        <f t="shared" si="310"/>
        <v>0</v>
      </c>
      <c r="AW252" s="100">
        <f t="shared" si="311"/>
        <v>0</v>
      </c>
      <c r="AX252" s="100">
        <f t="shared" si="312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313"/>
        <v>0</v>
      </c>
      <c r="BD252" s="100">
        <f t="shared" si="314"/>
        <v>0</v>
      </c>
      <c r="BE252" s="100">
        <v>0</v>
      </c>
      <c r="BF252" s="100">
        <f>252</f>
        <v>252</v>
      </c>
      <c r="BH252" s="108">
        <f t="shared" si="315"/>
        <v>0</v>
      </c>
      <c r="BI252" s="108">
        <f t="shared" si="316"/>
        <v>0</v>
      </c>
      <c r="BJ252" s="108">
        <f t="shared" si="317"/>
        <v>0</v>
      </c>
    </row>
    <row r="253" spans="1:62" x14ac:dyDescent="0.2">
      <c r="A253" s="117" t="s">
        <v>213</v>
      </c>
      <c r="B253" s="117" t="s">
        <v>2438</v>
      </c>
      <c r="C253" s="304" t="s">
        <v>1295</v>
      </c>
      <c r="D253" s="305"/>
      <c r="E253" s="305"/>
      <c r="F253" s="117" t="s">
        <v>1644</v>
      </c>
      <c r="G253" s="116">
        <v>1</v>
      </c>
      <c r="H253" s="159"/>
      <c r="I253" s="108">
        <f t="shared" si="294"/>
        <v>0</v>
      </c>
      <c r="J253" s="108">
        <f t="shared" si="295"/>
        <v>0</v>
      </c>
      <c r="K253" s="108">
        <f t="shared" si="296"/>
        <v>0</v>
      </c>
      <c r="L253" s="111"/>
      <c r="Z253" s="100">
        <f t="shared" si="297"/>
        <v>0</v>
      </c>
      <c r="AB253" s="100">
        <f t="shared" si="298"/>
        <v>0</v>
      </c>
      <c r="AC253" s="100">
        <f t="shared" si="299"/>
        <v>0</v>
      </c>
      <c r="AD253" s="100">
        <f t="shared" si="300"/>
        <v>0</v>
      </c>
      <c r="AE253" s="100">
        <f t="shared" si="301"/>
        <v>0</v>
      </c>
      <c r="AF253" s="100">
        <f t="shared" si="302"/>
        <v>0</v>
      </c>
      <c r="AG253" s="100">
        <f t="shared" si="303"/>
        <v>0</v>
      </c>
      <c r="AH253" s="100">
        <f t="shared" si="304"/>
        <v>0</v>
      </c>
      <c r="AI253" s="109"/>
      <c r="AJ253" s="108">
        <f t="shared" si="305"/>
        <v>0</v>
      </c>
      <c r="AK253" s="108">
        <f t="shared" si="306"/>
        <v>0</v>
      </c>
      <c r="AL253" s="108">
        <f t="shared" si="307"/>
        <v>0</v>
      </c>
      <c r="AN253" s="100">
        <v>15</v>
      </c>
      <c r="AO253" s="100">
        <f t="shared" si="308"/>
        <v>0</v>
      </c>
      <c r="AP253" s="100">
        <f t="shared" si="309"/>
        <v>0</v>
      </c>
      <c r="AQ253" s="111" t="s">
        <v>13</v>
      </c>
      <c r="AV253" s="100">
        <f t="shared" si="310"/>
        <v>0</v>
      </c>
      <c r="AW253" s="100">
        <f t="shared" si="311"/>
        <v>0</v>
      </c>
      <c r="AX253" s="100">
        <f t="shared" si="312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313"/>
        <v>0</v>
      </c>
      <c r="BD253" s="100">
        <f t="shared" si="314"/>
        <v>0</v>
      </c>
      <c r="BE253" s="100">
        <v>0</v>
      </c>
      <c r="BF253" s="100">
        <f>253</f>
        <v>253</v>
      </c>
      <c r="BH253" s="108">
        <f t="shared" si="315"/>
        <v>0</v>
      </c>
      <c r="BI253" s="108">
        <f t="shared" si="316"/>
        <v>0</v>
      </c>
      <c r="BJ253" s="108">
        <f t="shared" si="317"/>
        <v>0</v>
      </c>
    </row>
    <row r="254" spans="1:62" x14ac:dyDescent="0.2">
      <c r="A254" s="117" t="s">
        <v>214</v>
      </c>
      <c r="B254" s="117" t="s">
        <v>2437</v>
      </c>
      <c r="C254" s="304" t="s">
        <v>1296</v>
      </c>
      <c r="D254" s="305"/>
      <c r="E254" s="305"/>
      <c r="F254" s="117" t="s">
        <v>1644</v>
      </c>
      <c r="G254" s="116">
        <v>2</v>
      </c>
      <c r="H254" s="159"/>
      <c r="I254" s="108">
        <f t="shared" si="294"/>
        <v>0</v>
      </c>
      <c r="J254" s="108">
        <f t="shared" si="295"/>
        <v>0</v>
      </c>
      <c r="K254" s="108">
        <f t="shared" si="296"/>
        <v>0</v>
      </c>
      <c r="L254" s="111"/>
      <c r="Z254" s="100">
        <f t="shared" si="297"/>
        <v>0</v>
      </c>
      <c r="AB254" s="100">
        <f t="shared" si="298"/>
        <v>0</v>
      </c>
      <c r="AC254" s="100">
        <f t="shared" si="299"/>
        <v>0</v>
      </c>
      <c r="AD254" s="100">
        <f t="shared" si="300"/>
        <v>0</v>
      </c>
      <c r="AE254" s="100">
        <f t="shared" si="301"/>
        <v>0</v>
      </c>
      <c r="AF254" s="100">
        <f t="shared" si="302"/>
        <v>0</v>
      </c>
      <c r="AG254" s="100">
        <f t="shared" si="303"/>
        <v>0</v>
      </c>
      <c r="AH254" s="100">
        <f t="shared" si="304"/>
        <v>0</v>
      </c>
      <c r="AI254" s="109"/>
      <c r="AJ254" s="108">
        <f t="shared" si="305"/>
        <v>0</v>
      </c>
      <c r="AK254" s="108">
        <f t="shared" si="306"/>
        <v>0</v>
      </c>
      <c r="AL254" s="108">
        <f t="shared" si="307"/>
        <v>0</v>
      </c>
      <c r="AN254" s="100">
        <v>15</v>
      </c>
      <c r="AO254" s="100">
        <f t="shared" si="308"/>
        <v>0</v>
      </c>
      <c r="AP254" s="100">
        <f t="shared" si="309"/>
        <v>0</v>
      </c>
      <c r="AQ254" s="111" t="s">
        <v>13</v>
      </c>
      <c r="AV254" s="100">
        <f t="shared" si="310"/>
        <v>0</v>
      </c>
      <c r="AW254" s="100">
        <f t="shared" si="311"/>
        <v>0</v>
      </c>
      <c r="AX254" s="100">
        <f t="shared" si="312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313"/>
        <v>0</v>
      </c>
      <c r="BD254" s="100">
        <f t="shared" si="314"/>
        <v>0</v>
      </c>
      <c r="BE254" s="100">
        <v>0</v>
      </c>
      <c r="BF254" s="100">
        <f>254</f>
        <v>254</v>
      </c>
      <c r="BH254" s="108">
        <f t="shared" si="315"/>
        <v>0</v>
      </c>
      <c r="BI254" s="108">
        <f t="shared" si="316"/>
        <v>0</v>
      </c>
      <c r="BJ254" s="108">
        <f t="shared" si="317"/>
        <v>0</v>
      </c>
    </row>
    <row r="255" spans="1:62" x14ac:dyDescent="0.2">
      <c r="A255" s="117" t="s">
        <v>215</v>
      </c>
      <c r="B255" s="117" t="s">
        <v>2436</v>
      </c>
      <c r="C255" s="304" t="s">
        <v>1297</v>
      </c>
      <c r="D255" s="305"/>
      <c r="E255" s="305"/>
      <c r="F255" s="117" t="s">
        <v>1644</v>
      </c>
      <c r="G255" s="116">
        <v>2</v>
      </c>
      <c r="H255" s="159"/>
      <c r="I255" s="108">
        <f t="shared" si="294"/>
        <v>0</v>
      </c>
      <c r="J255" s="108">
        <f t="shared" si="295"/>
        <v>0</v>
      </c>
      <c r="K255" s="108">
        <f t="shared" si="296"/>
        <v>0</v>
      </c>
      <c r="L255" s="111"/>
      <c r="Z255" s="100">
        <f t="shared" si="297"/>
        <v>0</v>
      </c>
      <c r="AB255" s="100">
        <f t="shared" si="298"/>
        <v>0</v>
      </c>
      <c r="AC255" s="100">
        <f t="shared" si="299"/>
        <v>0</v>
      </c>
      <c r="AD255" s="100">
        <f t="shared" si="300"/>
        <v>0</v>
      </c>
      <c r="AE255" s="100">
        <f t="shared" si="301"/>
        <v>0</v>
      </c>
      <c r="AF255" s="100">
        <f t="shared" si="302"/>
        <v>0</v>
      </c>
      <c r="AG255" s="100">
        <f t="shared" si="303"/>
        <v>0</v>
      </c>
      <c r="AH255" s="100">
        <f t="shared" si="304"/>
        <v>0</v>
      </c>
      <c r="AI255" s="109"/>
      <c r="AJ255" s="108">
        <f t="shared" si="305"/>
        <v>0</v>
      </c>
      <c r="AK255" s="108">
        <f t="shared" si="306"/>
        <v>0</v>
      </c>
      <c r="AL255" s="108">
        <f t="shared" si="307"/>
        <v>0</v>
      </c>
      <c r="AN255" s="100">
        <v>15</v>
      </c>
      <c r="AO255" s="100">
        <f t="shared" si="308"/>
        <v>0</v>
      </c>
      <c r="AP255" s="100">
        <f t="shared" si="309"/>
        <v>0</v>
      </c>
      <c r="AQ255" s="111" t="s">
        <v>13</v>
      </c>
      <c r="AV255" s="100">
        <f t="shared" si="310"/>
        <v>0</v>
      </c>
      <c r="AW255" s="100">
        <f t="shared" si="311"/>
        <v>0</v>
      </c>
      <c r="AX255" s="100">
        <f t="shared" si="312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313"/>
        <v>0</v>
      </c>
      <c r="BD255" s="100">
        <f t="shared" si="314"/>
        <v>0</v>
      </c>
      <c r="BE255" s="100">
        <v>0</v>
      </c>
      <c r="BF255" s="100">
        <f>255</f>
        <v>255</v>
      </c>
      <c r="BH255" s="108">
        <f t="shared" si="315"/>
        <v>0</v>
      </c>
      <c r="BI255" s="108">
        <f t="shared" si="316"/>
        <v>0</v>
      </c>
      <c r="BJ255" s="108">
        <f t="shared" si="317"/>
        <v>0</v>
      </c>
    </row>
    <row r="256" spans="1:62" x14ac:dyDescent="0.2">
      <c r="A256" s="117" t="s">
        <v>216</v>
      </c>
      <c r="B256" s="117" t="s">
        <v>2435</v>
      </c>
      <c r="C256" s="304" t="s">
        <v>1298</v>
      </c>
      <c r="D256" s="305"/>
      <c r="E256" s="305"/>
      <c r="F256" s="117" t="s">
        <v>1644</v>
      </c>
      <c r="G256" s="116">
        <v>1</v>
      </c>
      <c r="H256" s="159"/>
      <c r="I256" s="108">
        <f t="shared" si="294"/>
        <v>0</v>
      </c>
      <c r="J256" s="108">
        <f t="shared" si="295"/>
        <v>0</v>
      </c>
      <c r="K256" s="108">
        <f t="shared" si="296"/>
        <v>0</v>
      </c>
      <c r="L256" s="111"/>
      <c r="Z256" s="100">
        <f t="shared" si="297"/>
        <v>0</v>
      </c>
      <c r="AB256" s="100">
        <f t="shared" si="298"/>
        <v>0</v>
      </c>
      <c r="AC256" s="100">
        <f t="shared" si="299"/>
        <v>0</v>
      </c>
      <c r="AD256" s="100">
        <f t="shared" si="300"/>
        <v>0</v>
      </c>
      <c r="AE256" s="100">
        <f t="shared" si="301"/>
        <v>0</v>
      </c>
      <c r="AF256" s="100">
        <f t="shared" si="302"/>
        <v>0</v>
      </c>
      <c r="AG256" s="100">
        <f t="shared" si="303"/>
        <v>0</v>
      </c>
      <c r="AH256" s="100">
        <f t="shared" si="304"/>
        <v>0</v>
      </c>
      <c r="AI256" s="109"/>
      <c r="AJ256" s="108">
        <f t="shared" si="305"/>
        <v>0</v>
      </c>
      <c r="AK256" s="108">
        <f t="shared" si="306"/>
        <v>0</v>
      </c>
      <c r="AL256" s="108">
        <f t="shared" si="307"/>
        <v>0</v>
      </c>
      <c r="AN256" s="100">
        <v>15</v>
      </c>
      <c r="AO256" s="100">
        <f t="shared" si="308"/>
        <v>0</v>
      </c>
      <c r="AP256" s="100">
        <f t="shared" si="309"/>
        <v>0</v>
      </c>
      <c r="AQ256" s="111" t="s">
        <v>13</v>
      </c>
      <c r="AV256" s="100">
        <f t="shared" si="310"/>
        <v>0</v>
      </c>
      <c r="AW256" s="100">
        <f t="shared" si="311"/>
        <v>0</v>
      </c>
      <c r="AX256" s="100">
        <f t="shared" si="312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313"/>
        <v>0</v>
      </c>
      <c r="BD256" s="100">
        <f t="shared" si="314"/>
        <v>0</v>
      </c>
      <c r="BE256" s="100">
        <v>0</v>
      </c>
      <c r="BF256" s="100">
        <f>256</f>
        <v>256</v>
      </c>
      <c r="BH256" s="108">
        <f t="shared" si="315"/>
        <v>0</v>
      </c>
      <c r="BI256" s="108">
        <f t="shared" si="316"/>
        <v>0</v>
      </c>
      <c r="BJ256" s="108">
        <f t="shared" si="317"/>
        <v>0</v>
      </c>
    </row>
    <row r="257" spans="1:62" x14ac:dyDescent="0.2">
      <c r="A257" s="117" t="s">
        <v>217</v>
      </c>
      <c r="B257" s="117" t="s">
        <v>2434</v>
      </c>
      <c r="C257" s="304" t="s">
        <v>1299</v>
      </c>
      <c r="D257" s="305"/>
      <c r="E257" s="305"/>
      <c r="F257" s="117" t="s">
        <v>1646</v>
      </c>
      <c r="G257" s="116">
        <v>8</v>
      </c>
      <c r="H257" s="159"/>
      <c r="I257" s="108">
        <f t="shared" si="294"/>
        <v>0</v>
      </c>
      <c r="J257" s="108">
        <f t="shared" si="295"/>
        <v>0</v>
      </c>
      <c r="K257" s="108">
        <f t="shared" si="296"/>
        <v>0</v>
      </c>
      <c r="L257" s="111"/>
      <c r="Z257" s="100">
        <f t="shared" si="297"/>
        <v>0</v>
      </c>
      <c r="AB257" s="100">
        <f t="shared" si="298"/>
        <v>0</v>
      </c>
      <c r="AC257" s="100">
        <f t="shared" si="299"/>
        <v>0</v>
      </c>
      <c r="AD257" s="100">
        <f t="shared" si="300"/>
        <v>0</v>
      </c>
      <c r="AE257" s="100">
        <f t="shared" si="301"/>
        <v>0</v>
      </c>
      <c r="AF257" s="100">
        <f t="shared" si="302"/>
        <v>0</v>
      </c>
      <c r="AG257" s="100">
        <f t="shared" si="303"/>
        <v>0</v>
      </c>
      <c r="AH257" s="100">
        <f t="shared" si="304"/>
        <v>0</v>
      </c>
      <c r="AI257" s="109"/>
      <c r="AJ257" s="108">
        <f t="shared" si="305"/>
        <v>0</v>
      </c>
      <c r="AK257" s="108">
        <f t="shared" si="306"/>
        <v>0</v>
      </c>
      <c r="AL257" s="108">
        <f t="shared" si="307"/>
        <v>0</v>
      </c>
      <c r="AN257" s="100">
        <v>15</v>
      </c>
      <c r="AO257" s="100">
        <f t="shared" si="308"/>
        <v>0</v>
      </c>
      <c r="AP257" s="100">
        <f t="shared" si="309"/>
        <v>0</v>
      </c>
      <c r="AQ257" s="111" t="s">
        <v>13</v>
      </c>
      <c r="AV257" s="100">
        <f t="shared" si="310"/>
        <v>0</v>
      </c>
      <c r="AW257" s="100">
        <f t="shared" si="311"/>
        <v>0</v>
      </c>
      <c r="AX257" s="100">
        <f t="shared" si="312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313"/>
        <v>0</v>
      </c>
      <c r="BD257" s="100">
        <f t="shared" si="314"/>
        <v>0</v>
      </c>
      <c r="BE257" s="100">
        <v>0</v>
      </c>
      <c r="BF257" s="100">
        <f>257</f>
        <v>257</v>
      </c>
      <c r="BH257" s="108">
        <f t="shared" si="315"/>
        <v>0</v>
      </c>
      <c r="BI257" s="108">
        <f t="shared" si="316"/>
        <v>0</v>
      </c>
      <c r="BJ257" s="108">
        <f t="shared" si="317"/>
        <v>0</v>
      </c>
    </row>
    <row r="258" spans="1:62" x14ac:dyDescent="0.2">
      <c r="A258" s="117" t="s">
        <v>218</v>
      </c>
      <c r="B258" s="117" t="s">
        <v>2433</v>
      </c>
      <c r="C258" s="304" t="s">
        <v>1300</v>
      </c>
      <c r="D258" s="305"/>
      <c r="E258" s="305"/>
      <c r="F258" s="117" t="s">
        <v>1646</v>
      </c>
      <c r="G258" s="116">
        <v>15</v>
      </c>
      <c r="H258" s="159"/>
      <c r="I258" s="108">
        <f t="shared" si="294"/>
        <v>0</v>
      </c>
      <c r="J258" s="108">
        <f t="shared" si="295"/>
        <v>0</v>
      </c>
      <c r="K258" s="108">
        <f t="shared" si="296"/>
        <v>0</v>
      </c>
      <c r="L258" s="111"/>
      <c r="Z258" s="100">
        <f t="shared" si="297"/>
        <v>0</v>
      </c>
      <c r="AB258" s="100">
        <f t="shared" si="298"/>
        <v>0</v>
      </c>
      <c r="AC258" s="100">
        <f t="shared" si="299"/>
        <v>0</v>
      </c>
      <c r="AD258" s="100">
        <f t="shared" si="300"/>
        <v>0</v>
      </c>
      <c r="AE258" s="100">
        <f t="shared" si="301"/>
        <v>0</v>
      </c>
      <c r="AF258" s="100">
        <f t="shared" si="302"/>
        <v>0</v>
      </c>
      <c r="AG258" s="100">
        <f t="shared" si="303"/>
        <v>0</v>
      </c>
      <c r="AH258" s="100">
        <f t="shared" si="304"/>
        <v>0</v>
      </c>
      <c r="AI258" s="109"/>
      <c r="AJ258" s="108">
        <f t="shared" si="305"/>
        <v>0</v>
      </c>
      <c r="AK258" s="108">
        <f t="shared" si="306"/>
        <v>0</v>
      </c>
      <c r="AL258" s="108">
        <f t="shared" si="307"/>
        <v>0</v>
      </c>
      <c r="AN258" s="100">
        <v>15</v>
      </c>
      <c r="AO258" s="100">
        <f t="shared" si="308"/>
        <v>0</v>
      </c>
      <c r="AP258" s="100">
        <f t="shared" si="309"/>
        <v>0</v>
      </c>
      <c r="AQ258" s="111" t="s">
        <v>13</v>
      </c>
      <c r="AV258" s="100">
        <f t="shared" si="310"/>
        <v>0</v>
      </c>
      <c r="AW258" s="100">
        <f t="shared" si="311"/>
        <v>0</v>
      </c>
      <c r="AX258" s="100">
        <f t="shared" si="312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313"/>
        <v>0</v>
      </c>
      <c r="BD258" s="100">
        <f t="shared" si="314"/>
        <v>0</v>
      </c>
      <c r="BE258" s="100">
        <v>0</v>
      </c>
      <c r="BF258" s="100">
        <f>258</f>
        <v>258</v>
      </c>
      <c r="BH258" s="108">
        <f t="shared" si="315"/>
        <v>0</v>
      </c>
      <c r="BI258" s="108">
        <f t="shared" si="316"/>
        <v>0</v>
      </c>
      <c r="BJ258" s="108">
        <f t="shared" si="317"/>
        <v>0</v>
      </c>
    </row>
    <row r="259" spans="1:62" x14ac:dyDescent="0.2">
      <c r="A259" s="117" t="s">
        <v>219</v>
      </c>
      <c r="B259" s="117" t="s">
        <v>2432</v>
      </c>
      <c r="C259" s="304" t="s">
        <v>1301</v>
      </c>
      <c r="D259" s="305"/>
      <c r="E259" s="305"/>
      <c r="F259" s="117" t="s">
        <v>1646</v>
      </c>
      <c r="G259" s="116">
        <v>8</v>
      </c>
      <c r="H259" s="159"/>
      <c r="I259" s="108">
        <f t="shared" si="294"/>
        <v>0</v>
      </c>
      <c r="J259" s="108">
        <f t="shared" si="295"/>
        <v>0</v>
      </c>
      <c r="K259" s="108">
        <f t="shared" si="296"/>
        <v>0</v>
      </c>
      <c r="L259" s="111"/>
      <c r="Z259" s="100">
        <f t="shared" si="297"/>
        <v>0</v>
      </c>
      <c r="AB259" s="100">
        <f t="shared" si="298"/>
        <v>0</v>
      </c>
      <c r="AC259" s="100">
        <f t="shared" si="299"/>
        <v>0</v>
      </c>
      <c r="AD259" s="100">
        <f t="shared" si="300"/>
        <v>0</v>
      </c>
      <c r="AE259" s="100">
        <f t="shared" si="301"/>
        <v>0</v>
      </c>
      <c r="AF259" s="100">
        <f t="shared" si="302"/>
        <v>0</v>
      </c>
      <c r="AG259" s="100">
        <f t="shared" si="303"/>
        <v>0</v>
      </c>
      <c r="AH259" s="100">
        <f t="shared" si="304"/>
        <v>0</v>
      </c>
      <c r="AI259" s="109"/>
      <c r="AJ259" s="108">
        <f t="shared" si="305"/>
        <v>0</v>
      </c>
      <c r="AK259" s="108">
        <f t="shared" si="306"/>
        <v>0</v>
      </c>
      <c r="AL259" s="108">
        <f t="shared" si="307"/>
        <v>0</v>
      </c>
      <c r="AN259" s="100">
        <v>15</v>
      </c>
      <c r="AO259" s="100">
        <f t="shared" si="308"/>
        <v>0</v>
      </c>
      <c r="AP259" s="100">
        <f t="shared" si="309"/>
        <v>0</v>
      </c>
      <c r="AQ259" s="111" t="s">
        <v>13</v>
      </c>
      <c r="AV259" s="100">
        <f t="shared" si="310"/>
        <v>0</v>
      </c>
      <c r="AW259" s="100">
        <f t="shared" si="311"/>
        <v>0</v>
      </c>
      <c r="AX259" s="100">
        <f t="shared" si="312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313"/>
        <v>0</v>
      </c>
      <c r="BD259" s="100">
        <f t="shared" si="314"/>
        <v>0</v>
      </c>
      <c r="BE259" s="100">
        <v>0</v>
      </c>
      <c r="BF259" s="100">
        <f>259</f>
        <v>259</v>
      </c>
      <c r="BH259" s="108">
        <f t="shared" si="315"/>
        <v>0</v>
      </c>
      <c r="BI259" s="108">
        <f t="shared" si="316"/>
        <v>0</v>
      </c>
      <c r="BJ259" s="108">
        <f t="shared" si="317"/>
        <v>0</v>
      </c>
    </row>
    <row r="260" spans="1:62" x14ac:dyDescent="0.2">
      <c r="A260" s="117" t="s">
        <v>220</v>
      </c>
      <c r="B260" s="117" t="s">
        <v>2431</v>
      </c>
      <c r="C260" s="304" t="s">
        <v>1302</v>
      </c>
      <c r="D260" s="305"/>
      <c r="E260" s="305"/>
      <c r="F260" s="117" t="s">
        <v>1644</v>
      </c>
      <c r="G260" s="116">
        <v>1</v>
      </c>
      <c r="H260" s="159"/>
      <c r="I260" s="108">
        <f t="shared" si="294"/>
        <v>0</v>
      </c>
      <c r="J260" s="108">
        <f t="shared" si="295"/>
        <v>0</v>
      </c>
      <c r="K260" s="108">
        <f t="shared" si="296"/>
        <v>0</v>
      </c>
      <c r="L260" s="111"/>
      <c r="Z260" s="100">
        <f t="shared" si="297"/>
        <v>0</v>
      </c>
      <c r="AB260" s="100">
        <f t="shared" si="298"/>
        <v>0</v>
      </c>
      <c r="AC260" s="100">
        <f t="shared" si="299"/>
        <v>0</v>
      </c>
      <c r="AD260" s="100">
        <f t="shared" si="300"/>
        <v>0</v>
      </c>
      <c r="AE260" s="100">
        <f t="shared" si="301"/>
        <v>0</v>
      </c>
      <c r="AF260" s="100">
        <f t="shared" si="302"/>
        <v>0</v>
      </c>
      <c r="AG260" s="100">
        <f t="shared" si="303"/>
        <v>0</v>
      </c>
      <c r="AH260" s="100">
        <f t="shared" si="304"/>
        <v>0</v>
      </c>
      <c r="AI260" s="109"/>
      <c r="AJ260" s="108">
        <f t="shared" si="305"/>
        <v>0</v>
      </c>
      <c r="AK260" s="108">
        <f t="shared" si="306"/>
        <v>0</v>
      </c>
      <c r="AL260" s="108">
        <f t="shared" si="307"/>
        <v>0</v>
      </c>
      <c r="AN260" s="100">
        <v>15</v>
      </c>
      <c r="AO260" s="100">
        <f t="shared" si="308"/>
        <v>0</v>
      </c>
      <c r="AP260" s="100">
        <f t="shared" si="309"/>
        <v>0</v>
      </c>
      <c r="AQ260" s="111" t="s">
        <v>13</v>
      </c>
      <c r="AV260" s="100">
        <f t="shared" si="310"/>
        <v>0</v>
      </c>
      <c r="AW260" s="100">
        <f t="shared" si="311"/>
        <v>0</v>
      </c>
      <c r="AX260" s="100">
        <f t="shared" si="312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313"/>
        <v>0</v>
      </c>
      <c r="BD260" s="100">
        <f t="shared" si="314"/>
        <v>0</v>
      </c>
      <c r="BE260" s="100">
        <v>0</v>
      </c>
      <c r="BF260" s="100">
        <f>260</f>
        <v>260</v>
      </c>
      <c r="BH260" s="108">
        <f t="shared" si="315"/>
        <v>0</v>
      </c>
      <c r="BI260" s="108">
        <f t="shared" si="316"/>
        <v>0</v>
      </c>
      <c r="BJ260" s="108">
        <f t="shared" si="317"/>
        <v>0</v>
      </c>
    </row>
    <row r="261" spans="1:62" x14ac:dyDescent="0.2">
      <c r="A261" s="117" t="s">
        <v>221</v>
      </c>
      <c r="B261" s="117" t="s">
        <v>2430</v>
      </c>
      <c r="C261" s="304" t="s">
        <v>1303</v>
      </c>
      <c r="D261" s="305"/>
      <c r="E261" s="305"/>
      <c r="F261" s="117" t="s">
        <v>1644</v>
      </c>
      <c r="G261" s="116">
        <v>1</v>
      </c>
      <c r="H261" s="159"/>
      <c r="I261" s="108">
        <f t="shared" si="294"/>
        <v>0</v>
      </c>
      <c r="J261" s="108">
        <f t="shared" si="295"/>
        <v>0</v>
      </c>
      <c r="K261" s="108">
        <f t="shared" si="296"/>
        <v>0</v>
      </c>
      <c r="L261" s="111"/>
      <c r="Z261" s="100">
        <f t="shared" si="297"/>
        <v>0</v>
      </c>
      <c r="AB261" s="100">
        <f t="shared" si="298"/>
        <v>0</v>
      </c>
      <c r="AC261" s="100">
        <f t="shared" si="299"/>
        <v>0</v>
      </c>
      <c r="AD261" s="100">
        <f t="shared" si="300"/>
        <v>0</v>
      </c>
      <c r="AE261" s="100">
        <f t="shared" si="301"/>
        <v>0</v>
      </c>
      <c r="AF261" s="100">
        <f t="shared" si="302"/>
        <v>0</v>
      </c>
      <c r="AG261" s="100">
        <f t="shared" si="303"/>
        <v>0</v>
      </c>
      <c r="AH261" s="100">
        <f t="shared" si="304"/>
        <v>0</v>
      </c>
      <c r="AI261" s="109"/>
      <c r="AJ261" s="108">
        <f t="shared" si="305"/>
        <v>0</v>
      </c>
      <c r="AK261" s="108">
        <f t="shared" si="306"/>
        <v>0</v>
      </c>
      <c r="AL261" s="108">
        <f t="shared" si="307"/>
        <v>0</v>
      </c>
      <c r="AN261" s="100">
        <v>15</v>
      </c>
      <c r="AO261" s="100">
        <f t="shared" si="308"/>
        <v>0</v>
      </c>
      <c r="AP261" s="100">
        <f t="shared" si="309"/>
        <v>0</v>
      </c>
      <c r="AQ261" s="111" t="s">
        <v>13</v>
      </c>
      <c r="AV261" s="100">
        <f t="shared" si="310"/>
        <v>0</v>
      </c>
      <c r="AW261" s="100">
        <f t="shared" si="311"/>
        <v>0</v>
      </c>
      <c r="AX261" s="100">
        <f t="shared" si="312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313"/>
        <v>0</v>
      </c>
      <c r="BD261" s="100">
        <f t="shared" si="314"/>
        <v>0</v>
      </c>
      <c r="BE261" s="100">
        <v>0</v>
      </c>
      <c r="BF261" s="100">
        <f>261</f>
        <v>261</v>
      </c>
      <c r="BH261" s="108">
        <f t="shared" si="315"/>
        <v>0</v>
      </c>
      <c r="BI261" s="108">
        <f t="shared" si="316"/>
        <v>0</v>
      </c>
      <c r="BJ261" s="108">
        <f t="shared" si="317"/>
        <v>0</v>
      </c>
    </row>
    <row r="262" spans="1:62" x14ac:dyDescent="0.2">
      <c r="A262" s="117" t="s">
        <v>222</v>
      </c>
      <c r="B262" s="117" t="s">
        <v>2429</v>
      </c>
      <c r="C262" s="304" t="s">
        <v>1304</v>
      </c>
      <c r="D262" s="305"/>
      <c r="E262" s="305"/>
      <c r="F262" s="117" t="s">
        <v>1644</v>
      </c>
      <c r="G262" s="116">
        <v>1</v>
      </c>
      <c r="H262" s="159"/>
      <c r="I262" s="108">
        <f t="shared" si="294"/>
        <v>0</v>
      </c>
      <c r="J262" s="108">
        <f t="shared" si="295"/>
        <v>0</v>
      </c>
      <c r="K262" s="108">
        <f t="shared" si="296"/>
        <v>0</v>
      </c>
      <c r="L262" s="111"/>
      <c r="Z262" s="100">
        <f t="shared" si="297"/>
        <v>0</v>
      </c>
      <c r="AB262" s="100">
        <f t="shared" si="298"/>
        <v>0</v>
      </c>
      <c r="AC262" s="100">
        <f t="shared" si="299"/>
        <v>0</v>
      </c>
      <c r="AD262" s="100">
        <f t="shared" si="300"/>
        <v>0</v>
      </c>
      <c r="AE262" s="100">
        <f t="shared" si="301"/>
        <v>0</v>
      </c>
      <c r="AF262" s="100">
        <f t="shared" si="302"/>
        <v>0</v>
      </c>
      <c r="AG262" s="100">
        <f t="shared" si="303"/>
        <v>0</v>
      </c>
      <c r="AH262" s="100">
        <f t="shared" si="304"/>
        <v>0</v>
      </c>
      <c r="AI262" s="109"/>
      <c r="AJ262" s="108">
        <f t="shared" si="305"/>
        <v>0</v>
      </c>
      <c r="AK262" s="108">
        <f t="shared" si="306"/>
        <v>0</v>
      </c>
      <c r="AL262" s="108">
        <f t="shared" si="307"/>
        <v>0</v>
      </c>
      <c r="AN262" s="100">
        <v>15</v>
      </c>
      <c r="AO262" s="100">
        <f t="shared" si="308"/>
        <v>0</v>
      </c>
      <c r="AP262" s="100">
        <f t="shared" si="309"/>
        <v>0</v>
      </c>
      <c r="AQ262" s="111" t="s">
        <v>13</v>
      </c>
      <c r="AV262" s="100">
        <f t="shared" si="310"/>
        <v>0</v>
      </c>
      <c r="AW262" s="100">
        <f t="shared" si="311"/>
        <v>0</v>
      </c>
      <c r="AX262" s="100">
        <f t="shared" si="312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313"/>
        <v>0</v>
      </c>
      <c r="BD262" s="100">
        <f t="shared" si="314"/>
        <v>0</v>
      </c>
      <c r="BE262" s="100">
        <v>0</v>
      </c>
      <c r="BF262" s="100">
        <f>262</f>
        <v>262</v>
      </c>
      <c r="BH262" s="108">
        <f t="shared" si="315"/>
        <v>0</v>
      </c>
      <c r="BI262" s="108">
        <f t="shared" si="316"/>
        <v>0</v>
      </c>
      <c r="BJ262" s="108">
        <f t="shared" si="317"/>
        <v>0</v>
      </c>
    </row>
    <row r="263" spans="1:62" x14ac:dyDescent="0.2">
      <c r="A263" s="117" t="s">
        <v>223</v>
      </c>
      <c r="B263" s="117" t="s">
        <v>2428</v>
      </c>
      <c r="C263" s="304" t="s">
        <v>1305</v>
      </c>
      <c r="D263" s="305"/>
      <c r="E263" s="305"/>
      <c r="F263" s="117" t="s">
        <v>1644</v>
      </c>
      <c r="G263" s="116">
        <v>1</v>
      </c>
      <c r="H263" s="159"/>
      <c r="I263" s="108">
        <f t="shared" si="294"/>
        <v>0</v>
      </c>
      <c r="J263" s="108">
        <f t="shared" si="295"/>
        <v>0</v>
      </c>
      <c r="K263" s="108">
        <f t="shared" si="296"/>
        <v>0</v>
      </c>
      <c r="L263" s="111"/>
      <c r="Z263" s="100">
        <f t="shared" si="297"/>
        <v>0</v>
      </c>
      <c r="AB263" s="100">
        <f t="shared" si="298"/>
        <v>0</v>
      </c>
      <c r="AC263" s="100">
        <f t="shared" si="299"/>
        <v>0</v>
      </c>
      <c r="AD263" s="100">
        <f t="shared" si="300"/>
        <v>0</v>
      </c>
      <c r="AE263" s="100">
        <f t="shared" si="301"/>
        <v>0</v>
      </c>
      <c r="AF263" s="100">
        <f t="shared" si="302"/>
        <v>0</v>
      </c>
      <c r="AG263" s="100">
        <f t="shared" si="303"/>
        <v>0</v>
      </c>
      <c r="AH263" s="100">
        <f t="shared" si="304"/>
        <v>0</v>
      </c>
      <c r="AI263" s="109"/>
      <c r="AJ263" s="108">
        <f t="shared" si="305"/>
        <v>0</v>
      </c>
      <c r="AK263" s="108">
        <f t="shared" si="306"/>
        <v>0</v>
      </c>
      <c r="AL263" s="108">
        <f t="shared" si="307"/>
        <v>0</v>
      </c>
      <c r="AN263" s="100">
        <v>15</v>
      </c>
      <c r="AO263" s="100">
        <f t="shared" si="308"/>
        <v>0</v>
      </c>
      <c r="AP263" s="100">
        <f t="shared" si="309"/>
        <v>0</v>
      </c>
      <c r="AQ263" s="111" t="s">
        <v>13</v>
      </c>
      <c r="AV263" s="100">
        <f t="shared" si="310"/>
        <v>0</v>
      </c>
      <c r="AW263" s="100">
        <f t="shared" si="311"/>
        <v>0</v>
      </c>
      <c r="AX263" s="100">
        <f t="shared" si="312"/>
        <v>0</v>
      </c>
      <c r="AY263" s="110" t="s">
        <v>1709</v>
      </c>
      <c r="AZ263" s="110" t="s">
        <v>1733</v>
      </c>
      <c r="BA263" s="109" t="s">
        <v>1737</v>
      </c>
      <c r="BC263" s="100">
        <f t="shared" si="313"/>
        <v>0</v>
      </c>
      <c r="BD263" s="100">
        <f t="shared" si="314"/>
        <v>0</v>
      </c>
      <c r="BE263" s="100">
        <v>0</v>
      </c>
      <c r="BF263" s="100">
        <f>263</f>
        <v>263</v>
      </c>
      <c r="BH263" s="108">
        <f t="shared" si="315"/>
        <v>0</v>
      </c>
      <c r="BI263" s="108">
        <f t="shared" si="316"/>
        <v>0</v>
      </c>
      <c r="BJ263" s="108">
        <f t="shared" si="317"/>
        <v>0</v>
      </c>
    </row>
    <row r="264" spans="1:62" x14ac:dyDescent="0.2">
      <c r="A264" s="117" t="s">
        <v>224</v>
      </c>
      <c r="B264" s="117" t="s">
        <v>2427</v>
      </c>
      <c r="C264" s="304" t="s">
        <v>1306</v>
      </c>
      <c r="D264" s="305"/>
      <c r="E264" s="305"/>
      <c r="F264" s="117" t="s">
        <v>1646</v>
      </c>
      <c r="G264" s="116">
        <v>15</v>
      </c>
      <c r="H264" s="159"/>
      <c r="I264" s="108">
        <f t="shared" si="294"/>
        <v>0</v>
      </c>
      <c r="J264" s="108">
        <f t="shared" si="295"/>
        <v>0</v>
      </c>
      <c r="K264" s="108">
        <f t="shared" si="296"/>
        <v>0</v>
      </c>
      <c r="L264" s="111"/>
      <c r="Z264" s="100">
        <f t="shared" si="297"/>
        <v>0</v>
      </c>
      <c r="AB264" s="100">
        <f t="shared" si="298"/>
        <v>0</v>
      </c>
      <c r="AC264" s="100">
        <f t="shared" si="299"/>
        <v>0</v>
      </c>
      <c r="AD264" s="100">
        <f t="shared" si="300"/>
        <v>0</v>
      </c>
      <c r="AE264" s="100">
        <f t="shared" si="301"/>
        <v>0</v>
      </c>
      <c r="AF264" s="100">
        <f t="shared" si="302"/>
        <v>0</v>
      </c>
      <c r="AG264" s="100">
        <f t="shared" si="303"/>
        <v>0</v>
      </c>
      <c r="AH264" s="100">
        <f t="shared" si="304"/>
        <v>0</v>
      </c>
      <c r="AI264" s="109"/>
      <c r="AJ264" s="108">
        <f t="shared" si="305"/>
        <v>0</v>
      </c>
      <c r="AK264" s="108">
        <f t="shared" si="306"/>
        <v>0</v>
      </c>
      <c r="AL264" s="108">
        <f t="shared" si="307"/>
        <v>0</v>
      </c>
      <c r="AN264" s="100">
        <v>15</v>
      </c>
      <c r="AO264" s="100">
        <f t="shared" si="308"/>
        <v>0</v>
      </c>
      <c r="AP264" s="100">
        <f t="shared" si="309"/>
        <v>0</v>
      </c>
      <c r="AQ264" s="111" t="s">
        <v>13</v>
      </c>
      <c r="AV264" s="100">
        <f t="shared" si="310"/>
        <v>0</v>
      </c>
      <c r="AW264" s="100">
        <f t="shared" si="311"/>
        <v>0</v>
      </c>
      <c r="AX264" s="100">
        <f t="shared" si="312"/>
        <v>0</v>
      </c>
      <c r="AY264" s="110" t="s">
        <v>1709</v>
      </c>
      <c r="AZ264" s="110" t="s">
        <v>1733</v>
      </c>
      <c r="BA264" s="109" t="s">
        <v>1737</v>
      </c>
      <c r="BC264" s="100">
        <f t="shared" si="313"/>
        <v>0</v>
      </c>
      <c r="BD264" s="100">
        <f t="shared" si="314"/>
        <v>0</v>
      </c>
      <c r="BE264" s="100">
        <v>0</v>
      </c>
      <c r="BF264" s="100">
        <f>264</f>
        <v>264</v>
      </c>
      <c r="BH264" s="108">
        <f t="shared" si="315"/>
        <v>0</v>
      </c>
      <c r="BI264" s="108">
        <f t="shared" si="316"/>
        <v>0</v>
      </c>
      <c r="BJ264" s="108">
        <f t="shared" si="317"/>
        <v>0</v>
      </c>
    </row>
    <row r="265" spans="1:62" x14ac:dyDescent="0.2">
      <c r="A265" s="117" t="s">
        <v>225</v>
      </c>
      <c r="B265" s="117" t="s">
        <v>2426</v>
      </c>
      <c r="C265" s="304" t="s">
        <v>1286</v>
      </c>
      <c r="D265" s="305"/>
      <c r="E265" s="305"/>
      <c r="F265" s="117" t="s">
        <v>1644</v>
      </c>
      <c r="G265" s="116">
        <v>2</v>
      </c>
      <c r="H265" s="159"/>
      <c r="I265" s="108">
        <f t="shared" si="294"/>
        <v>0</v>
      </c>
      <c r="J265" s="108">
        <f t="shared" si="295"/>
        <v>0</v>
      </c>
      <c r="K265" s="108">
        <f t="shared" si="296"/>
        <v>0</v>
      </c>
      <c r="L265" s="111"/>
      <c r="Z265" s="100">
        <f t="shared" si="297"/>
        <v>0</v>
      </c>
      <c r="AB265" s="100">
        <f t="shared" si="298"/>
        <v>0</v>
      </c>
      <c r="AC265" s="100">
        <f t="shared" si="299"/>
        <v>0</v>
      </c>
      <c r="AD265" s="100">
        <f t="shared" si="300"/>
        <v>0</v>
      </c>
      <c r="AE265" s="100">
        <f t="shared" si="301"/>
        <v>0</v>
      </c>
      <c r="AF265" s="100">
        <f t="shared" si="302"/>
        <v>0</v>
      </c>
      <c r="AG265" s="100">
        <f t="shared" si="303"/>
        <v>0</v>
      </c>
      <c r="AH265" s="100">
        <f t="shared" si="304"/>
        <v>0</v>
      </c>
      <c r="AI265" s="109"/>
      <c r="AJ265" s="108">
        <f t="shared" si="305"/>
        <v>0</v>
      </c>
      <c r="AK265" s="108">
        <f t="shared" si="306"/>
        <v>0</v>
      </c>
      <c r="AL265" s="108">
        <f t="shared" si="307"/>
        <v>0</v>
      </c>
      <c r="AN265" s="100">
        <v>15</v>
      </c>
      <c r="AO265" s="100">
        <f t="shared" si="308"/>
        <v>0</v>
      </c>
      <c r="AP265" s="100">
        <f t="shared" si="309"/>
        <v>0</v>
      </c>
      <c r="AQ265" s="111" t="s">
        <v>13</v>
      </c>
      <c r="AV265" s="100">
        <f t="shared" si="310"/>
        <v>0</v>
      </c>
      <c r="AW265" s="100">
        <f t="shared" si="311"/>
        <v>0</v>
      </c>
      <c r="AX265" s="100">
        <f t="shared" si="312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313"/>
        <v>0</v>
      </c>
      <c r="BD265" s="100">
        <f t="shared" si="314"/>
        <v>0</v>
      </c>
      <c r="BE265" s="100">
        <v>0</v>
      </c>
      <c r="BF265" s="100">
        <f>265</f>
        <v>265</v>
      </c>
      <c r="BH265" s="108">
        <f t="shared" si="315"/>
        <v>0</v>
      </c>
      <c r="BI265" s="108">
        <f t="shared" si="316"/>
        <v>0</v>
      </c>
      <c r="BJ265" s="108">
        <f t="shared" si="317"/>
        <v>0</v>
      </c>
    </row>
    <row r="266" spans="1:62" x14ac:dyDescent="0.2">
      <c r="A266" s="117" t="s">
        <v>226</v>
      </c>
      <c r="B266" s="117" t="s">
        <v>2425</v>
      </c>
      <c r="C266" s="304" t="s">
        <v>1307</v>
      </c>
      <c r="D266" s="305"/>
      <c r="E266" s="305"/>
      <c r="F266" s="117" t="s">
        <v>1644</v>
      </c>
      <c r="G266" s="116">
        <v>1</v>
      </c>
      <c r="H266" s="159"/>
      <c r="I266" s="108">
        <f t="shared" si="294"/>
        <v>0</v>
      </c>
      <c r="J266" s="108">
        <f t="shared" si="295"/>
        <v>0</v>
      </c>
      <c r="K266" s="108">
        <f t="shared" si="296"/>
        <v>0</v>
      </c>
      <c r="L266" s="111"/>
      <c r="Z266" s="100">
        <f t="shared" si="297"/>
        <v>0</v>
      </c>
      <c r="AB266" s="100">
        <f t="shared" si="298"/>
        <v>0</v>
      </c>
      <c r="AC266" s="100">
        <f t="shared" si="299"/>
        <v>0</v>
      </c>
      <c r="AD266" s="100">
        <f t="shared" si="300"/>
        <v>0</v>
      </c>
      <c r="AE266" s="100">
        <f t="shared" si="301"/>
        <v>0</v>
      </c>
      <c r="AF266" s="100">
        <f t="shared" si="302"/>
        <v>0</v>
      </c>
      <c r="AG266" s="100">
        <f t="shared" si="303"/>
        <v>0</v>
      </c>
      <c r="AH266" s="100">
        <f t="shared" si="304"/>
        <v>0</v>
      </c>
      <c r="AI266" s="109"/>
      <c r="AJ266" s="108">
        <f t="shared" si="305"/>
        <v>0</v>
      </c>
      <c r="AK266" s="108">
        <f t="shared" si="306"/>
        <v>0</v>
      </c>
      <c r="AL266" s="108">
        <f t="shared" si="307"/>
        <v>0</v>
      </c>
      <c r="AN266" s="100">
        <v>15</v>
      </c>
      <c r="AO266" s="100">
        <f t="shared" si="308"/>
        <v>0</v>
      </c>
      <c r="AP266" s="100">
        <f t="shared" si="309"/>
        <v>0</v>
      </c>
      <c r="AQ266" s="111" t="s">
        <v>13</v>
      </c>
      <c r="AV266" s="100">
        <f t="shared" si="310"/>
        <v>0</v>
      </c>
      <c r="AW266" s="100">
        <f t="shared" si="311"/>
        <v>0</v>
      </c>
      <c r="AX266" s="100">
        <f t="shared" si="312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313"/>
        <v>0</v>
      </c>
      <c r="BD266" s="100">
        <f t="shared" si="314"/>
        <v>0</v>
      </c>
      <c r="BE266" s="100">
        <v>0</v>
      </c>
      <c r="BF266" s="100">
        <f>266</f>
        <v>266</v>
      </c>
      <c r="BH266" s="108">
        <f t="shared" si="315"/>
        <v>0</v>
      </c>
      <c r="BI266" s="108">
        <f t="shared" si="316"/>
        <v>0</v>
      </c>
      <c r="BJ266" s="108">
        <f t="shared" si="317"/>
        <v>0</v>
      </c>
    </row>
    <row r="267" spans="1:62" x14ac:dyDescent="0.2">
      <c r="A267" s="117" t="s">
        <v>227</v>
      </c>
      <c r="B267" s="117" t="s">
        <v>2424</v>
      </c>
      <c r="C267" s="304" t="s">
        <v>1308</v>
      </c>
      <c r="D267" s="305"/>
      <c r="E267" s="305"/>
      <c r="F267" s="117" t="s">
        <v>1644</v>
      </c>
      <c r="G267" s="116">
        <v>1</v>
      </c>
      <c r="H267" s="159"/>
      <c r="I267" s="108">
        <f t="shared" si="294"/>
        <v>0</v>
      </c>
      <c r="J267" s="108">
        <f t="shared" si="295"/>
        <v>0</v>
      </c>
      <c r="K267" s="108">
        <f t="shared" si="296"/>
        <v>0</v>
      </c>
      <c r="L267" s="111"/>
      <c r="Z267" s="100">
        <f t="shared" si="297"/>
        <v>0</v>
      </c>
      <c r="AB267" s="100">
        <f t="shared" si="298"/>
        <v>0</v>
      </c>
      <c r="AC267" s="100">
        <f t="shared" si="299"/>
        <v>0</v>
      </c>
      <c r="AD267" s="100">
        <f t="shared" si="300"/>
        <v>0</v>
      </c>
      <c r="AE267" s="100">
        <f t="shared" si="301"/>
        <v>0</v>
      </c>
      <c r="AF267" s="100">
        <f t="shared" si="302"/>
        <v>0</v>
      </c>
      <c r="AG267" s="100">
        <f t="shared" si="303"/>
        <v>0</v>
      </c>
      <c r="AH267" s="100">
        <f t="shared" si="304"/>
        <v>0</v>
      </c>
      <c r="AI267" s="109"/>
      <c r="AJ267" s="108">
        <f t="shared" si="305"/>
        <v>0</v>
      </c>
      <c r="AK267" s="108">
        <f t="shared" si="306"/>
        <v>0</v>
      </c>
      <c r="AL267" s="108">
        <f t="shared" si="307"/>
        <v>0</v>
      </c>
      <c r="AN267" s="100">
        <v>15</v>
      </c>
      <c r="AO267" s="100">
        <f t="shared" si="308"/>
        <v>0</v>
      </c>
      <c r="AP267" s="100">
        <f t="shared" si="309"/>
        <v>0</v>
      </c>
      <c r="AQ267" s="111" t="s">
        <v>13</v>
      </c>
      <c r="AV267" s="100">
        <f t="shared" si="310"/>
        <v>0</v>
      </c>
      <c r="AW267" s="100">
        <f t="shared" si="311"/>
        <v>0</v>
      </c>
      <c r="AX267" s="100">
        <f t="shared" si="312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313"/>
        <v>0</v>
      </c>
      <c r="BD267" s="100">
        <f t="shared" si="314"/>
        <v>0</v>
      </c>
      <c r="BE267" s="100">
        <v>0</v>
      </c>
      <c r="BF267" s="100">
        <f>267</f>
        <v>267</v>
      </c>
      <c r="BH267" s="108">
        <f t="shared" si="315"/>
        <v>0</v>
      </c>
      <c r="BI267" s="108">
        <f t="shared" si="316"/>
        <v>0</v>
      </c>
      <c r="BJ267" s="108">
        <f t="shared" si="317"/>
        <v>0</v>
      </c>
    </row>
    <row r="268" spans="1:62" x14ac:dyDescent="0.2">
      <c r="A268" s="117" t="s">
        <v>228</v>
      </c>
      <c r="B268" s="117" t="s">
        <v>2423</v>
      </c>
      <c r="C268" s="304" t="s">
        <v>1309</v>
      </c>
      <c r="D268" s="305"/>
      <c r="E268" s="305"/>
      <c r="F268" s="117" t="s">
        <v>1644</v>
      </c>
      <c r="G268" s="116">
        <v>1</v>
      </c>
      <c r="H268" s="159"/>
      <c r="I268" s="108">
        <f t="shared" si="294"/>
        <v>0</v>
      </c>
      <c r="J268" s="108">
        <f t="shared" si="295"/>
        <v>0</v>
      </c>
      <c r="K268" s="108">
        <f t="shared" si="296"/>
        <v>0</v>
      </c>
      <c r="L268" s="111"/>
      <c r="Z268" s="100">
        <f t="shared" si="297"/>
        <v>0</v>
      </c>
      <c r="AB268" s="100">
        <f t="shared" si="298"/>
        <v>0</v>
      </c>
      <c r="AC268" s="100">
        <f t="shared" si="299"/>
        <v>0</v>
      </c>
      <c r="AD268" s="100">
        <f t="shared" si="300"/>
        <v>0</v>
      </c>
      <c r="AE268" s="100">
        <f t="shared" si="301"/>
        <v>0</v>
      </c>
      <c r="AF268" s="100">
        <f t="shared" si="302"/>
        <v>0</v>
      </c>
      <c r="AG268" s="100">
        <f t="shared" si="303"/>
        <v>0</v>
      </c>
      <c r="AH268" s="100">
        <f t="shared" si="304"/>
        <v>0</v>
      </c>
      <c r="AI268" s="109"/>
      <c r="AJ268" s="108">
        <f t="shared" si="305"/>
        <v>0</v>
      </c>
      <c r="AK268" s="108">
        <f t="shared" si="306"/>
        <v>0</v>
      </c>
      <c r="AL268" s="108">
        <f t="shared" si="307"/>
        <v>0</v>
      </c>
      <c r="AN268" s="100">
        <v>15</v>
      </c>
      <c r="AO268" s="100">
        <f t="shared" si="308"/>
        <v>0</v>
      </c>
      <c r="AP268" s="100">
        <f t="shared" si="309"/>
        <v>0</v>
      </c>
      <c r="AQ268" s="111" t="s">
        <v>13</v>
      </c>
      <c r="AV268" s="100">
        <f t="shared" si="310"/>
        <v>0</v>
      </c>
      <c r="AW268" s="100">
        <f t="shared" si="311"/>
        <v>0</v>
      </c>
      <c r="AX268" s="100">
        <f t="shared" si="312"/>
        <v>0</v>
      </c>
      <c r="AY268" s="110" t="s">
        <v>1709</v>
      </c>
      <c r="AZ268" s="110" t="s">
        <v>1733</v>
      </c>
      <c r="BA268" s="109" t="s">
        <v>1737</v>
      </c>
      <c r="BC268" s="100">
        <f t="shared" si="313"/>
        <v>0</v>
      </c>
      <c r="BD268" s="100">
        <f t="shared" si="314"/>
        <v>0</v>
      </c>
      <c r="BE268" s="100">
        <v>0</v>
      </c>
      <c r="BF268" s="100">
        <f>268</f>
        <v>268</v>
      </c>
      <c r="BH268" s="108">
        <f t="shared" si="315"/>
        <v>0</v>
      </c>
      <c r="BI268" s="108">
        <f t="shared" si="316"/>
        <v>0</v>
      </c>
      <c r="BJ268" s="108">
        <f t="shared" si="317"/>
        <v>0</v>
      </c>
    </row>
    <row r="269" spans="1:62" x14ac:dyDescent="0.2">
      <c r="A269" s="117" t="s">
        <v>229</v>
      </c>
      <c r="B269" s="117" t="s">
        <v>2422</v>
      </c>
      <c r="C269" s="304" t="s">
        <v>1310</v>
      </c>
      <c r="D269" s="305"/>
      <c r="E269" s="305"/>
      <c r="F269" s="117" t="s">
        <v>1644</v>
      </c>
      <c r="G269" s="116">
        <v>1</v>
      </c>
      <c r="H269" s="159"/>
      <c r="I269" s="108">
        <f t="shared" si="294"/>
        <v>0</v>
      </c>
      <c r="J269" s="108">
        <f t="shared" si="295"/>
        <v>0</v>
      </c>
      <c r="K269" s="108">
        <f t="shared" si="296"/>
        <v>0</v>
      </c>
      <c r="L269" s="111"/>
      <c r="Z269" s="100">
        <f t="shared" si="297"/>
        <v>0</v>
      </c>
      <c r="AB269" s="100">
        <f t="shared" si="298"/>
        <v>0</v>
      </c>
      <c r="AC269" s="100">
        <f t="shared" si="299"/>
        <v>0</v>
      </c>
      <c r="AD269" s="100">
        <f t="shared" si="300"/>
        <v>0</v>
      </c>
      <c r="AE269" s="100">
        <f t="shared" si="301"/>
        <v>0</v>
      </c>
      <c r="AF269" s="100">
        <f t="shared" si="302"/>
        <v>0</v>
      </c>
      <c r="AG269" s="100">
        <f t="shared" si="303"/>
        <v>0</v>
      </c>
      <c r="AH269" s="100">
        <f t="shared" si="304"/>
        <v>0</v>
      </c>
      <c r="AI269" s="109"/>
      <c r="AJ269" s="108">
        <f t="shared" si="305"/>
        <v>0</v>
      </c>
      <c r="AK269" s="108">
        <f t="shared" si="306"/>
        <v>0</v>
      </c>
      <c r="AL269" s="108">
        <f t="shared" si="307"/>
        <v>0</v>
      </c>
      <c r="AN269" s="100">
        <v>15</v>
      </c>
      <c r="AO269" s="100">
        <f t="shared" si="308"/>
        <v>0</v>
      </c>
      <c r="AP269" s="100">
        <f t="shared" si="309"/>
        <v>0</v>
      </c>
      <c r="AQ269" s="111" t="s">
        <v>13</v>
      </c>
      <c r="AV269" s="100">
        <f t="shared" si="310"/>
        <v>0</v>
      </c>
      <c r="AW269" s="100">
        <f t="shared" si="311"/>
        <v>0</v>
      </c>
      <c r="AX269" s="100">
        <f t="shared" si="312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313"/>
        <v>0</v>
      </c>
      <c r="BD269" s="100">
        <f t="shared" si="314"/>
        <v>0</v>
      </c>
      <c r="BE269" s="100">
        <v>0</v>
      </c>
      <c r="BF269" s="100">
        <f>269</f>
        <v>269</v>
      </c>
      <c r="BH269" s="108">
        <f t="shared" si="315"/>
        <v>0</v>
      </c>
      <c r="BI269" s="108">
        <f t="shared" si="316"/>
        <v>0</v>
      </c>
      <c r="BJ269" s="108">
        <f t="shared" si="317"/>
        <v>0</v>
      </c>
    </row>
    <row r="270" spans="1:62" x14ac:dyDescent="0.2">
      <c r="A270" s="117" t="s">
        <v>230</v>
      </c>
      <c r="B270" s="117" t="s">
        <v>2421</v>
      </c>
      <c r="C270" s="304" t="s">
        <v>1311</v>
      </c>
      <c r="D270" s="305"/>
      <c r="E270" s="305"/>
      <c r="F270" s="117" t="s">
        <v>1644</v>
      </c>
      <c r="G270" s="116">
        <v>1</v>
      </c>
      <c r="H270" s="159"/>
      <c r="I270" s="108">
        <f t="shared" si="294"/>
        <v>0</v>
      </c>
      <c r="J270" s="108">
        <f t="shared" si="295"/>
        <v>0</v>
      </c>
      <c r="K270" s="108">
        <f t="shared" si="296"/>
        <v>0</v>
      </c>
      <c r="L270" s="111"/>
      <c r="Z270" s="100">
        <f t="shared" si="297"/>
        <v>0</v>
      </c>
      <c r="AB270" s="100">
        <f t="shared" si="298"/>
        <v>0</v>
      </c>
      <c r="AC270" s="100">
        <f t="shared" si="299"/>
        <v>0</v>
      </c>
      <c r="AD270" s="100">
        <f t="shared" si="300"/>
        <v>0</v>
      </c>
      <c r="AE270" s="100">
        <f t="shared" si="301"/>
        <v>0</v>
      </c>
      <c r="AF270" s="100">
        <f t="shared" si="302"/>
        <v>0</v>
      </c>
      <c r="AG270" s="100">
        <f t="shared" si="303"/>
        <v>0</v>
      </c>
      <c r="AH270" s="100">
        <f t="shared" si="304"/>
        <v>0</v>
      </c>
      <c r="AI270" s="109"/>
      <c r="AJ270" s="108">
        <f t="shared" si="305"/>
        <v>0</v>
      </c>
      <c r="AK270" s="108">
        <f t="shared" si="306"/>
        <v>0</v>
      </c>
      <c r="AL270" s="108">
        <f t="shared" si="307"/>
        <v>0</v>
      </c>
      <c r="AN270" s="100">
        <v>15</v>
      </c>
      <c r="AO270" s="100">
        <f t="shared" si="308"/>
        <v>0</v>
      </c>
      <c r="AP270" s="100">
        <f t="shared" si="309"/>
        <v>0</v>
      </c>
      <c r="AQ270" s="111" t="s">
        <v>13</v>
      </c>
      <c r="AV270" s="100">
        <f t="shared" si="310"/>
        <v>0</v>
      </c>
      <c r="AW270" s="100">
        <f t="shared" si="311"/>
        <v>0</v>
      </c>
      <c r="AX270" s="100">
        <f t="shared" si="312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313"/>
        <v>0</v>
      </c>
      <c r="BD270" s="100">
        <f t="shared" si="314"/>
        <v>0</v>
      </c>
      <c r="BE270" s="100">
        <v>0</v>
      </c>
      <c r="BF270" s="100">
        <f>270</f>
        <v>270</v>
      </c>
      <c r="BH270" s="108">
        <f t="shared" si="315"/>
        <v>0</v>
      </c>
      <c r="BI270" s="108">
        <f t="shared" si="316"/>
        <v>0</v>
      </c>
      <c r="BJ270" s="108">
        <f t="shared" si="317"/>
        <v>0</v>
      </c>
    </row>
    <row r="271" spans="1:62" x14ac:dyDescent="0.2">
      <c r="A271" s="117" t="s">
        <v>231</v>
      </c>
      <c r="B271" s="117" t="s">
        <v>2420</v>
      </c>
      <c r="C271" s="304" t="s">
        <v>1312</v>
      </c>
      <c r="D271" s="305"/>
      <c r="E271" s="305"/>
      <c r="F271" s="117" t="s">
        <v>1644</v>
      </c>
      <c r="G271" s="116">
        <v>2</v>
      </c>
      <c r="H271" s="159"/>
      <c r="I271" s="108">
        <f t="shared" si="294"/>
        <v>0</v>
      </c>
      <c r="J271" s="108">
        <f t="shared" si="295"/>
        <v>0</v>
      </c>
      <c r="K271" s="108">
        <f t="shared" si="296"/>
        <v>0</v>
      </c>
      <c r="L271" s="111"/>
      <c r="Z271" s="100">
        <f t="shared" si="297"/>
        <v>0</v>
      </c>
      <c r="AB271" s="100">
        <f t="shared" si="298"/>
        <v>0</v>
      </c>
      <c r="AC271" s="100">
        <f t="shared" si="299"/>
        <v>0</v>
      </c>
      <c r="AD271" s="100">
        <f t="shared" si="300"/>
        <v>0</v>
      </c>
      <c r="AE271" s="100">
        <f t="shared" si="301"/>
        <v>0</v>
      </c>
      <c r="AF271" s="100">
        <f t="shared" si="302"/>
        <v>0</v>
      </c>
      <c r="AG271" s="100">
        <f t="shared" si="303"/>
        <v>0</v>
      </c>
      <c r="AH271" s="100">
        <f t="shared" si="304"/>
        <v>0</v>
      </c>
      <c r="AI271" s="109"/>
      <c r="AJ271" s="108">
        <f t="shared" si="305"/>
        <v>0</v>
      </c>
      <c r="AK271" s="108">
        <f t="shared" si="306"/>
        <v>0</v>
      </c>
      <c r="AL271" s="108">
        <f t="shared" si="307"/>
        <v>0</v>
      </c>
      <c r="AN271" s="100">
        <v>15</v>
      </c>
      <c r="AO271" s="100">
        <f t="shared" si="308"/>
        <v>0</v>
      </c>
      <c r="AP271" s="100">
        <f t="shared" si="309"/>
        <v>0</v>
      </c>
      <c r="AQ271" s="111" t="s">
        <v>13</v>
      </c>
      <c r="AV271" s="100">
        <f t="shared" si="310"/>
        <v>0</v>
      </c>
      <c r="AW271" s="100">
        <f t="shared" si="311"/>
        <v>0</v>
      </c>
      <c r="AX271" s="100">
        <f t="shared" si="312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313"/>
        <v>0</v>
      </c>
      <c r="BD271" s="100">
        <f t="shared" si="314"/>
        <v>0</v>
      </c>
      <c r="BE271" s="100">
        <v>0</v>
      </c>
      <c r="BF271" s="100">
        <f>271</f>
        <v>271</v>
      </c>
      <c r="BH271" s="108">
        <f t="shared" si="315"/>
        <v>0</v>
      </c>
      <c r="BI271" s="108">
        <f t="shared" si="316"/>
        <v>0</v>
      </c>
      <c r="BJ271" s="108">
        <f t="shared" si="317"/>
        <v>0</v>
      </c>
    </row>
    <row r="272" spans="1:62" x14ac:dyDescent="0.2">
      <c r="A272" s="117" t="s">
        <v>232</v>
      </c>
      <c r="B272" s="117" t="s">
        <v>2419</v>
      </c>
      <c r="C272" s="304" t="s">
        <v>1313</v>
      </c>
      <c r="D272" s="305"/>
      <c r="E272" s="305"/>
      <c r="F272" s="117" t="s">
        <v>1644</v>
      </c>
      <c r="G272" s="116">
        <v>2</v>
      </c>
      <c r="H272" s="159"/>
      <c r="I272" s="108">
        <f t="shared" si="294"/>
        <v>0</v>
      </c>
      <c r="J272" s="108">
        <f t="shared" si="295"/>
        <v>0</v>
      </c>
      <c r="K272" s="108">
        <f t="shared" si="296"/>
        <v>0</v>
      </c>
      <c r="L272" s="111"/>
      <c r="Z272" s="100">
        <f t="shared" si="297"/>
        <v>0</v>
      </c>
      <c r="AB272" s="100">
        <f t="shared" si="298"/>
        <v>0</v>
      </c>
      <c r="AC272" s="100">
        <f t="shared" si="299"/>
        <v>0</v>
      </c>
      <c r="AD272" s="100">
        <f t="shared" si="300"/>
        <v>0</v>
      </c>
      <c r="AE272" s="100">
        <f t="shared" si="301"/>
        <v>0</v>
      </c>
      <c r="AF272" s="100">
        <f t="shared" si="302"/>
        <v>0</v>
      </c>
      <c r="AG272" s="100">
        <f t="shared" si="303"/>
        <v>0</v>
      </c>
      <c r="AH272" s="100">
        <f t="shared" si="304"/>
        <v>0</v>
      </c>
      <c r="AI272" s="109"/>
      <c r="AJ272" s="108">
        <f t="shared" si="305"/>
        <v>0</v>
      </c>
      <c r="AK272" s="108">
        <f t="shared" si="306"/>
        <v>0</v>
      </c>
      <c r="AL272" s="108">
        <f t="shared" si="307"/>
        <v>0</v>
      </c>
      <c r="AN272" s="100">
        <v>15</v>
      </c>
      <c r="AO272" s="100">
        <f t="shared" si="308"/>
        <v>0</v>
      </c>
      <c r="AP272" s="100">
        <f t="shared" si="309"/>
        <v>0</v>
      </c>
      <c r="AQ272" s="111" t="s">
        <v>13</v>
      </c>
      <c r="AV272" s="100">
        <f t="shared" si="310"/>
        <v>0</v>
      </c>
      <c r="AW272" s="100">
        <f t="shared" si="311"/>
        <v>0</v>
      </c>
      <c r="AX272" s="100">
        <f t="shared" si="312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313"/>
        <v>0</v>
      </c>
      <c r="BD272" s="100">
        <f t="shared" si="314"/>
        <v>0</v>
      </c>
      <c r="BE272" s="100">
        <v>0</v>
      </c>
      <c r="BF272" s="100">
        <f>272</f>
        <v>272</v>
      </c>
      <c r="BH272" s="108">
        <f t="shared" si="315"/>
        <v>0</v>
      </c>
      <c r="BI272" s="108">
        <f t="shared" si="316"/>
        <v>0</v>
      </c>
      <c r="BJ272" s="108">
        <f t="shared" si="317"/>
        <v>0</v>
      </c>
    </row>
    <row r="273" spans="1:62" x14ac:dyDescent="0.2">
      <c r="A273" s="117" t="s">
        <v>233</v>
      </c>
      <c r="B273" s="117" t="s">
        <v>2418</v>
      </c>
      <c r="C273" s="304" t="s">
        <v>1314</v>
      </c>
      <c r="D273" s="305"/>
      <c r="E273" s="305"/>
      <c r="F273" s="117" t="s">
        <v>1644</v>
      </c>
      <c r="G273" s="116">
        <v>1</v>
      </c>
      <c r="H273" s="159"/>
      <c r="I273" s="108">
        <f t="shared" si="294"/>
        <v>0</v>
      </c>
      <c r="J273" s="108">
        <f t="shared" si="295"/>
        <v>0</v>
      </c>
      <c r="K273" s="108">
        <f t="shared" si="296"/>
        <v>0</v>
      </c>
      <c r="L273" s="111"/>
      <c r="Z273" s="100">
        <f t="shared" si="297"/>
        <v>0</v>
      </c>
      <c r="AB273" s="100">
        <f t="shared" si="298"/>
        <v>0</v>
      </c>
      <c r="AC273" s="100">
        <f t="shared" si="299"/>
        <v>0</v>
      </c>
      <c r="AD273" s="100">
        <f t="shared" si="300"/>
        <v>0</v>
      </c>
      <c r="AE273" s="100">
        <f t="shared" si="301"/>
        <v>0</v>
      </c>
      <c r="AF273" s="100">
        <f t="shared" si="302"/>
        <v>0</v>
      </c>
      <c r="AG273" s="100">
        <f t="shared" si="303"/>
        <v>0</v>
      </c>
      <c r="AH273" s="100">
        <f t="shared" si="304"/>
        <v>0</v>
      </c>
      <c r="AI273" s="109"/>
      <c r="AJ273" s="108">
        <f t="shared" si="305"/>
        <v>0</v>
      </c>
      <c r="AK273" s="108">
        <f t="shared" si="306"/>
        <v>0</v>
      </c>
      <c r="AL273" s="108">
        <f t="shared" si="307"/>
        <v>0</v>
      </c>
      <c r="AN273" s="100">
        <v>15</v>
      </c>
      <c r="AO273" s="100">
        <f t="shared" si="308"/>
        <v>0</v>
      </c>
      <c r="AP273" s="100">
        <f t="shared" si="309"/>
        <v>0</v>
      </c>
      <c r="AQ273" s="111" t="s">
        <v>13</v>
      </c>
      <c r="AV273" s="100">
        <f t="shared" si="310"/>
        <v>0</v>
      </c>
      <c r="AW273" s="100">
        <f t="shared" si="311"/>
        <v>0</v>
      </c>
      <c r="AX273" s="100">
        <f t="shared" si="312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313"/>
        <v>0</v>
      </c>
      <c r="BD273" s="100">
        <f t="shared" si="314"/>
        <v>0</v>
      </c>
      <c r="BE273" s="100">
        <v>0</v>
      </c>
      <c r="BF273" s="100">
        <f>273</f>
        <v>273</v>
      </c>
      <c r="BH273" s="108">
        <f t="shared" si="315"/>
        <v>0</v>
      </c>
      <c r="BI273" s="108">
        <f t="shared" si="316"/>
        <v>0</v>
      </c>
      <c r="BJ273" s="108">
        <f t="shared" si="317"/>
        <v>0</v>
      </c>
    </row>
    <row r="274" spans="1:62" x14ac:dyDescent="0.2">
      <c r="A274" s="117" t="s">
        <v>234</v>
      </c>
      <c r="B274" s="117" t="s">
        <v>2417</v>
      </c>
      <c r="C274" s="304" t="s">
        <v>1315</v>
      </c>
      <c r="D274" s="305"/>
      <c r="E274" s="305"/>
      <c r="F274" s="117" t="s">
        <v>1644</v>
      </c>
      <c r="G274" s="116">
        <v>1</v>
      </c>
      <c r="H274" s="159"/>
      <c r="I274" s="108">
        <f t="shared" ref="I274:I305" si="318">G274*AO274</f>
        <v>0</v>
      </c>
      <c r="J274" s="108">
        <f t="shared" ref="J274:J305" si="319">G274*AP274</f>
        <v>0</v>
      </c>
      <c r="K274" s="108">
        <f t="shared" ref="K274:K305" si="320">G274*H274</f>
        <v>0</v>
      </c>
      <c r="L274" s="111"/>
      <c r="Z274" s="100">
        <f t="shared" ref="Z274:Z305" si="321">IF(AQ274="5",BJ274,0)</f>
        <v>0</v>
      </c>
      <c r="AB274" s="100">
        <f t="shared" ref="AB274:AB305" si="322">IF(AQ274="1",BH274,0)</f>
        <v>0</v>
      </c>
      <c r="AC274" s="100">
        <f t="shared" ref="AC274:AC305" si="323">IF(AQ274="1",BI274,0)</f>
        <v>0</v>
      </c>
      <c r="AD274" s="100">
        <f t="shared" ref="AD274:AD305" si="324">IF(AQ274="7",BH274,0)</f>
        <v>0</v>
      </c>
      <c r="AE274" s="100">
        <f t="shared" ref="AE274:AE305" si="325">IF(AQ274="7",BI274,0)</f>
        <v>0</v>
      </c>
      <c r="AF274" s="100">
        <f t="shared" ref="AF274:AF305" si="326">IF(AQ274="2",BH274,0)</f>
        <v>0</v>
      </c>
      <c r="AG274" s="100">
        <f t="shared" ref="AG274:AG305" si="327">IF(AQ274="2",BI274,0)</f>
        <v>0</v>
      </c>
      <c r="AH274" s="100">
        <f t="shared" ref="AH274:AH305" si="328">IF(AQ274="0",BJ274,0)</f>
        <v>0</v>
      </c>
      <c r="AI274" s="109"/>
      <c r="AJ274" s="108">
        <f t="shared" ref="AJ274:AJ305" si="329">IF(AN274=0,K274,0)</f>
        <v>0</v>
      </c>
      <c r="AK274" s="108">
        <f t="shared" ref="AK274:AK305" si="330">IF(AN274=15,K274,0)</f>
        <v>0</v>
      </c>
      <c r="AL274" s="108">
        <f t="shared" ref="AL274:AL305" si="331">IF(AN274=21,K274,0)</f>
        <v>0</v>
      </c>
      <c r="AN274" s="100">
        <v>15</v>
      </c>
      <c r="AO274" s="100">
        <f t="shared" ref="AO274:AO305" si="332">H274*0</f>
        <v>0</v>
      </c>
      <c r="AP274" s="100">
        <f t="shared" ref="AP274:AP305" si="333">H274*(1-0)</f>
        <v>0</v>
      </c>
      <c r="AQ274" s="111" t="s">
        <v>13</v>
      </c>
      <c r="AV274" s="100">
        <f t="shared" ref="AV274:AV305" si="334">AW274+AX274</f>
        <v>0</v>
      </c>
      <c r="AW274" s="100">
        <f t="shared" ref="AW274:AW305" si="335">G274*AO274</f>
        <v>0</v>
      </c>
      <c r="AX274" s="100">
        <f t="shared" ref="AX274:AX305" si="336">G274*AP274</f>
        <v>0</v>
      </c>
      <c r="AY274" s="110" t="s">
        <v>1709</v>
      </c>
      <c r="AZ274" s="110" t="s">
        <v>1733</v>
      </c>
      <c r="BA274" s="109" t="s">
        <v>1737</v>
      </c>
      <c r="BC274" s="100">
        <f t="shared" ref="BC274:BC305" si="337">AW274+AX274</f>
        <v>0</v>
      </c>
      <c r="BD274" s="100">
        <f t="shared" ref="BD274:BD305" si="338">H274/(100-BE274)*100</f>
        <v>0</v>
      </c>
      <c r="BE274" s="100">
        <v>0</v>
      </c>
      <c r="BF274" s="100">
        <f>274</f>
        <v>274</v>
      </c>
      <c r="BH274" s="108">
        <f t="shared" ref="BH274:BH305" si="339">G274*AO274</f>
        <v>0</v>
      </c>
      <c r="BI274" s="108">
        <f t="shared" ref="BI274:BI305" si="340">G274*AP274</f>
        <v>0</v>
      </c>
      <c r="BJ274" s="108">
        <f t="shared" ref="BJ274:BJ305" si="341">G274*H274</f>
        <v>0</v>
      </c>
    </row>
    <row r="275" spans="1:62" x14ac:dyDescent="0.2">
      <c r="A275" s="117" t="s">
        <v>235</v>
      </c>
      <c r="B275" s="117" t="s">
        <v>2416</v>
      </c>
      <c r="C275" s="304" t="s">
        <v>1316</v>
      </c>
      <c r="D275" s="305"/>
      <c r="E275" s="305"/>
      <c r="F275" s="117" t="s">
        <v>1644</v>
      </c>
      <c r="G275" s="116">
        <v>2</v>
      </c>
      <c r="H275" s="159"/>
      <c r="I275" s="108">
        <f t="shared" si="318"/>
        <v>0</v>
      </c>
      <c r="J275" s="108">
        <f t="shared" si="319"/>
        <v>0</v>
      </c>
      <c r="K275" s="108">
        <f t="shared" si="320"/>
        <v>0</v>
      </c>
      <c r="L275" s="111"/>
      <c r="Z275" s="100">
        <f t="shared" si="321"/>
        <v>0</v>
      </c>
      <c r="AB275" s="100">
        <f t="shared" si="322"/>
        <v>0</v>
      </c>
      <c r="AC275" s="100">
        <f t="shared" si="323"/>
        <v>0</v>
      </c>
      <c r="AD275" s="100">
        <f t="shared" si="324"/>
        <v>0</v>
      </c>
      <c r="AE275" s="100">
        <f t="shared" si="325"/>
        <v>0</v>
      </c>
      <c r="AF275" s="100">
        <f t="shared" si="326"/>
        <v>0</v>
      </c>
      <c r="AG275" s="100">
        <f t="shared" si="327"/>
        <v>0</v>
      </c>
      <c r="AH275" s="100">
        <f t="shared" si="328"/>
        <v>0</v>
      </c>
      <c r="AI275" s="109"/>
      <c r="AJ275" s="108">
        <f t="shared" si="329"/>
        <v>0</v>
      </c>
      <c r="AK275" s="108">
        <f t="shared" si="330"/>
        <v>0</v>
      </c>
      <c r="AL275" s="108">
        <f t="shared" si="331"/>
        <v>0</v>
      </c>
      <c r="AN275" s="100">
        <v>15</v>
      </c>
      <c r="AO275" s="100">
        <f t="shared" si="332"/>
        <v>0</v>
      </c>
      <c r="AP275" s="100">
        <f t="shared" si="333"/>
        <v>0</v>
      </c>
      <c r="AQ275" s="111" t="s">
        <v>13</v>
      </c>
      <c r="AV275" s="100">
        <f t="shared" si="334"/>
        <v>0</v>
      </c>
      <c r="AW275" s="100">
        <f t="shared" si="335"/>
        <v>0</v>
      </c>
      <c r="AX275" s="100">
        <f t="shared" si="336"/>
        <v>0</v>
      </c>
      <c r="AY275" s="110" t="s">
        <v>1709</v>
      </c>
      <c r="AZ275" s="110" t="s">
        <v>1733</v>
      </c>
      <c r="BA275" s="109" t="s">
        <v>1737</v>
      </c>
      <c r="BC275" s="100">
        <f t="shared" si="337"/>
        <v>0</v>
      </c>
      <c r="BD275" s="100">
        <f t="shared" si="338"/>
        <v>0</v>
      </c>
      <c r="BE275" s="100">
        <v>0</v>
      </c>
      <c r="BF275" s="100">
        <f>275</f>
        <v>275</v>
      </c>
      <c r="BH275" s="108">
        <f t="shared" si="339"/>
        <v>0</v>
      </c>
      <c r="BI275" s="108">
        <f t="shared" si="340"/>
        <v>0</v>
      </c>
      <c r="BJ275" s="108">
        <f t="shared" si="341"/>
        <v>0</v>
      </c>
    </row>
    <row r="276" spans="1:62" x14ac:dyDescent="0.2">
      <c r="A276" s="117" t="s">
        <v>236</v>
      </c>
      <c r="B276" s="117" t="s">
        <v>2415</v>
      </c>
      <c r="C276" s="304" t="s">
        <v>1317</v>
      </c>
      <c r="D276" s="305"/>
      <c r="E276" s="305"/>
      <c r="F276" s="117" t="s">
        <v>1644</v>
      </c>
      <c r="G276" s="116">
        <v>1</v>
      </c>
      <c r="H276" s="159"/>
      <c r="I276" s="108">
        <f t="shared" si="318"/>
        <v>0</v>
      </c>
      <c r="J276" s="108">
        <f t="shared" si="319"/>
        <v>0</v>
      </c>
      <c r="K276" s="108">
        <f t="shared" si="320"/>
        <v>0</v>
      </c>
      <c r="L276" s="111"/>
      <c r="Z276" s="100">
        <f t="shared" si="321"/>
        <v>0</v>
      </c>
      <c r="AB276" s="100">
        <f t="shared" si="322"/>
        <v>0</v>
      </c>
      <c r="AC276" s="100">
        <f t="shared" si="323"/>
        <v>0</v>
      </c>
      <c r="AD276" s="100">
        <f t="shared" si="324"/>
        <v>0</v>
      </c>
      <c r="AE276" s="100">
        <f t="shared" si="325"/>
        <v>0</v>
      </c>
      <c r="AF276" s="100">
        <f t="shared" si="326"/>
        <v>0</v>
      </c>
      <c r="AG276" s="100">
        <f t="shared" si="327"/>
        <v>0</v>
      </c>
      <c r="AH276" s="100">
        <f t="shared" si="328"/>
        <v>0</v>
      </c>
      <c r="AI276" s="109"/>
      <c r="AJ276" s="108">
        <f t="shared" si="329"/>
        <v>0</v>
      </c>
      <c r="AK276" s="108">
        <f t="shared" si="330"/>
        <v>0</v>
      </c>
      <c r="AL276" s="108">
        <f t="shared" si="331"/>
        <v>0</v>
      </c>
      <c r="AN276" s="100">
        <v>15</v>
      </c>
      <c r="AO276" s="100">
        <f t="shared" si="332"/>
        <v>0</v>
      </c>
      <c r="AP276" s="100">
        <f t="shared" si="333"/>
        <v>0</v>
      </c>
      <c r="AQ276" s="111" t="s">
        <v>13</v>
      </c>
      <c r="AV276" s="100">
        <f t="shared" si="334"/>
        <v>0</v>
      </c>
      <c r="AW276" s="100">
        <f t="shared" si="335"/>
        <v>0</v>
      </c>
      <c r="AX276" s="100">
        <f t="shared" si="336"/>
        <v>0</v>
      </c>
      <c r="AY276" s="110" t="s">
        <v>1709</v>
      </c>
      <c r="AZ276" s="110" t="s">
        <v>1733</v>
      </c>
      <c r="BA276" s="109" t="s">
        <v>1737</v>
      </c>
      <c r="BC276" s="100">
        <f t="shared" si="337"/>
        <v>0</v>
      </c>
      <c r="BD276" s="100">
        <f t="shared" si="338"/>
        <v>0</v>
      </c>
      <c r="BE276" s="100">
        <v>0</v>
      </c>
      <c r="BF276" s="100">
        <f>276</f>
        <v>276</v>
      </c>
      <c r="BH276" s="108">
        <f t="shared" si="339"/>
        <v>0</v>
      </c>
      <c r="BI276" s="108">
        <f t="shared" si="340"/>
        <v>0</v>
      </c>
      <c r="BJ276" s="108">
        <f t="shared" si="341"/>
        <v>0</v>
      </c>
    </row>
    <row r="277" spans="1:62" x14ac:dyDescent="0.2">
      <c r="A277" s="117" t="s">
        <v>237</v>
      </c>
      <c r="B277" s="117" t="s">
        <v>2414</v>
      </c>
      <c r="C277" s="304" t="s">
        <v>1318</v>
      </c>
      <c r="D277" s="305"/>
      <c r="E277" s="305"/>
      <c r="F277" s="117" t="s">
        <v>1644</v>
      </c>
      <c r="G277" s="116">
        <v>2</v>
      </c>
      <c r="H277" s="159"/>
      <c r="I277" s="108">
        <f t="shared" si="318"/>
        <v>0</v>
      </c>
      <c r="J277" s="108">
        <f t="shared" si="319"/>
        <v>0</v>
      </c>
      <c r="K277" s="108">
        <f t="shared" si="320"/>
        <v>0</v>
      </c>
      <c r="L277" s="111"/>
      <c r="Z277" s="100">
        <f t="shared" si="321"/>
        <v>0</v>
      </c>
      <c r="AB277" s="100">
        <f t="shared" si="322"/>
        <v>0</v>
      </c>
      <c r="AC277" s="100">
        <f t="shared" si="323"/>
        <v>0</v>
      </c>
      <c r="AD277" s="100">
        <f t="shared" si="324"/>
        <v>0</v>
      </c>
      <c r="AE277" s="100">
        <f t="shared" si="325"/>
        <v>0</v>
      </c>
      <c r="AF277" s="100">
        <f t="shared" si="326"/>
        <v>0</v>
      </c>
      <c r="AG277" s="100">
        <f t="shared" si="327"/>
        <v>0</v>
      </c>
      <c r="AH277" s="100">
        <f t="shared" si="328"/>
        <v>0</v>
      </c>
      <c r="AI277" s="109"/>
      <c r="AJ277" s="108">
        <f t="shared" si="329"/>
        <v>0</v>
      </c>
      <c r="AK277" s="108">
        <f t="shared" si="330"/>
        <v>0</v>
      </c>
      <c r="AL277" s="108">
        <f t="shared" si="331"/>
        <v>0</v>
      </c>
      <c r="AN277" s="100">
        <v>15</v>
      </c>
      <c r="AO277" s="100">
        <f t="shared" si="332"/>
        <v>0</v>
      </c>
      <c r="AP277" s="100">
        <f t="shared" si="333"/>
        <v>0</v>
      </c>
      <c r="AQ277" s="111" t="s">
        <v>13</v>
      </c>
      <c r="AV277" s="100">
        <f t="shared" si="334"/>
        <v>0</v>
      </c>
      <c r="AW277" s="100">
        <f t="shared" si="335"/>
        <v>0</v>
      </c>
      <c r="AX277" s="100">
        <f t="shared" si="336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337"/>
        <v>0</v>
      </c>
      <c r="BD277" s="100">
        <f t="shared" si="338"/>
        <v>0</v>
      </c>
      <c r="BE277" s="100">
        <v>0</v>
      </c>
      <c r="BF277" s="100">
        <f>277</f>
        <v>277</v>
      </c>
      <c r="BH277" s="108">
        <f t="shared" si="339"/>
        <v>0</v>
      </c>
      <c r="BI277" s="108">
        <f t="shared" si="340"/>
        <v>0</v>
      </c>
      <c r="BJ277" s="108">
        <f t="shared" si="341"/>
        <v>0</v>
      </c>
    </row>
    <row r="278" spans="1:62" x14ac:dyDescent="0.2">
      <c r="A278" s="117" t="s">
        <v>238</v>
      </c>
      <c r="B278" s="117" t="s">
        <v>2413</v>
      </c>
      <c r="C278" s="304" t="s">
        <v>1319</v>
      </c>
      <c r="D278" s="305"/>
      <c r="E278" s="305"/>
      <c r="F278" s="117" t="s">
        <v>1644</v>
      </c>
      <c r="G278" s="116">
        <v>6</v>
      </c>
      <c r="H278" s="159"/>
      <c r="I278" s="108">
        <f t="shared" si="318"/>
        <v>0</v>
      </c>
      <c r="J278" s="108">
        <f t="shared" si="319"/>
        <v>0</v>
      </c>
      <c r="K278" s="108">
        <f t="shared" si="320"/>
        <v>0</v>
      </c>
      <c r="L278" s="111"/>
      <c r="Z278" s="100">
        <f t="shared" si="321"/>
        <v>0</v>
      </c>
      <c r="AB278" s="100">
        <f t="shared" si="322"/>
        <v>0</v>
      </c>
      <c r="AC278" s="100">
        <f t="shared" si="323"/>
        <v>0</v>
      </c>
      <c r="AD278" s="100">
        <f t="shared" si="324"/>
        <v>0</v>
      </c>
      <c r="AE278" s="100">
        <f t="shared" si="325"/>
        <v>0</v>
      </c>
      <c r="AF278" s="100">
        <f t="shared" si="326"/>
        <v>0</v>
      </c>
      <c r="AG278" s="100">
        <f t="shared" si="327"/>
        <v>0</v>
      </c>
      <c r="AH278" s="100">
        <f t="shared" si="328"/>
        <v>0</v>
      </c>
      <c r="AI278" s="109"/>
      <c r="AJ278" s="108">
        <f t="shared" si="329"/>
        <v>0</v>
      </c>
      <c r="AK278" s="108">
        <f t="shared" si="330"/>
        <v>0</v>
      </c>
      <c r="AL278" s="108">
        <f t="shared" si="331"/>
        <v>0</v>
      </c>
      <c r="AN278" s="100">
        <v>15</v>
      </c>
      <c r="AO278" s="100">
        <f t="shared" si="332"/>
        <v>0</v>
      </c>
      <c r="AP278" s="100">
        <f t="shared" si="333"/>
        <v>0</v>
      </c>
      <c r="AQ278" s="111" t="s">
        <v>13</v>
      </c>
      <c r="AV278" s="100">
        <f t="shared" si="334"/>
        <v>0</v>
      </c>
      <c r="AW278" s="100">
        <f t="shared" si="335"/>
        <v>0</v>
      </c>
      <c r="AX278" s="100">
        <f t="shared" si="336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337"/>
        <v>0</v>
      </c>
      <c r="BD278" s="100">
        <f t="shared" si="338"/>
        <v>0</v>
      </c>
      <c r="BE278" s="100">
        <v>0</v>
      </c>
      <c r="BF278" s="100">
        <f>278</f>
        <v>278</v>
      </c>
      <c r="BH278" s="108">
        <f t="shared" si="339"/>
        <v>0</v>
      </c>
      <c r="BI278" s="108">
        <f t="shared" si="340"/>
        <v>0</v>
      </c>
      <c r="BJ278" s="108">
        <f t="shared" si="341"/>
        <v>0</v>
      </c>
    </row>
    <row r="279" spans="1:62" x14ac:dyDescent="0.2">
      <c r="A279" s="117" t="s">
        <v>239</v>
      </c>
      <c r="B279" s="117" t="s">
        <v>2412</v>
      </c>
      <c r="C279" s="304" t="s">
        <v>1320</v>
      </c>
      <c r="D279" s="305"/>
      <c r="E279" s="305"/>
      <c r="F279" s="117" t="s">
        <v>1644</v>
      </c>
      <c r="G279" s="116">
        <v>14</v>
      </c>
      <c r="H279" s="159"/>
      <c r="I279" s="108">
        <f t="shared" si="318"/>
        <v>0</v>
      </c>
      <c r="J279" s="108">
        <f t="shared" si="319"/>
        <v>0</v>
      </c>
      <c r="K279" s="108">
        <f t="shared" si="320"/>
        <v>0</v>
      </c>
      <c r="L279" s="111"/>
      <c r="Z279" s="100">
        <f t="shared" si="321"/>
        <v>0</v>
      </c>
      <c r="AB279" s="100">
        <f t="shared" si="322"/>
        <v>0</v>
      </c>
      <c r="AC279" s="100">
        <f t="shared" si="323"/>
        <v>0</v>
      </c>
      <c r="AD279" s="100">
        <f t="shared" si="324"/>
        <v>0</v>
      </c>
      <c r="AE279" s="100">
        <f t="shared" si="325"/>
        <v>0</v>
      </c>
      <c r="AF279" s="100">
        <f t="shared" si="326"/>
        <v>0</v>
      </c>
      <c r="AG279" s="100">
        <f t="shared" si="327"/>
        <v>0</v>
      </c>
      <c r="AH279" s="100">
        <f t="shared" si="328"/>
        <v>0</v>
      </c>
      <c r="AI279" s="109"/>
      <c r="AJ279" s="108">
        <f t="shared" si="329"/>
        <v>0</v>
      </c>
      <c r="AK279" s="108">
        <f t="shared" si="330"/>
        <v>0</v>
      </c>
      <c r="AL279" s="108">
        <f t="shared" si="331"/>
        <v>0</v>
      </c>
      <c r="AN279" s="100">
        <v>15</v>
      </c>
      <c r="AO279" s="100">
        <f t="shared" si="332"/>
        <v>0</v>
      </c>
      <c r="AP279" s="100">
        <f t="shared" si="333"/>
        <v>0</v>
      </c>
      <c r="AQ279" s="111" t="s">
        <v>13</v>
      </c>
      <c r="AV279" s="100">
        <f t="shared" si="334"/>
        <v>0</v>
      </c>
      <c r="AW279" s="100">
        <f t="shared" si="335"/>
        <v>0</v>
      </c>
      <c r="AX279" s="100">
        <f t="shared" si="336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337"/>
        <v>0</v>
      </c>
      <c r="BD279" s="100">
        <f t="shared" si="338"/>
        <v>0</v>
      </c>
      <c r="BE279" s="100">
        <v>0</v>
      </c>
      <c r="BF279" s="100">
        <f>279</f>
        <v>279</v>
      </c>
      <c r="BH279" s="108">
        <f t="shared" si="339"/>
        <v>0</v>
      </c>
      <c r="BI279" s="108">
        <f t="shared" si="340"/>
        <v>0</v>
      </c>
      <c r="BJ279" s="108">
        <f t="shared" si="341"/>
        <v>0</v>
      </c>
    </row>
    <row r="280" spans="1:62" x14ac:dyDescent="0.2">
      <c r="A280" s="117" t="s">
        <v>240</v>
      </c>
      <c r="B280" s="117" t="s">
        <v>2411</v>
      </c>
      <c r="C280" s="304" t="s">
        <v>1321</v>
      </c>
      <c r="D280" s="305"/>
      <c r="E280" s="305"/>
      <c r="F280" s="117" t="s">
        <v>1644</v>
      </c>
      <c r="G280" s="116">
        <v>1</v>
      </c>
      <c r="H280" s="159"/>
      <c r="I280" s="108">
        <f t="shared" si="318"/>
        <v>0</v>
      </c>
      <c r="J280" s="108">
        <f t="shared" si="319"/>
        <v>0</v>
      </c>
      <c r="K280" s="108">
        <f t="shared" si="320"/>
        <v>0</v>
      </c>
      <c r="L280" s="111"/>
      <c r="Z280" s="100">
        <f t="shared" si="321"/>
        <v>0</v>
      </c>
      <c r="AB280" s="100">
        <f t="shared" si="322"/>
        <v>0</v>
      </c>
      <c r="AC280" s="100">
        <f t="shared" si="323"/>
        <v>0</v>
      </c>
      <c r="AD280" s="100">
        <f t="shared" si="324"/>
        <v>0</v>
      </c>
      <c r="AE280" s="100">
        <f t="shared" si="325"/>
        <v>0</v>
      </c>
      <c r="AF280" s="100">
        <f t="shared" si="326"/>
        <v>0</v>
      </c>
      <c r="AG280" s="100">
        <f t="shared" si="327"/>
        <v>0</v>
      </c>
      <c r="AH280" s="100">
        <f t="shared" si="328"/>
        <v>0</v>
      </c>
      <c r="AI280" s="109"/>
      <c r="AJ280" s="108">
        <f t="shared" si="329"/>
        <v>0</v>
      </c>
      <c r="AK280" s="108">
        <f t="shared" si="330"/>
        <v>0</v>
      </c>
      <c r="AL280" s="108">
        <f t="shared" si="331"/>
        <v>0</v>
      </c>
      <c r="AN280" s="100">
        <v>15</v>
      </c>
      <c r="AO280" s="100">
        <f t="shared" si="332"/>
        <v>0</v>
      </c>
      <c r="AP280" s="100">
        <f t="shared" si="333"/>
        <v>0</v>
      </c>
      <c r="AQ280" s="111" t="s">
        <v>13</v>
      </c>
      <c r="AV280" s="100">
        <f t="shared" si="334"/>
        <v>0</v>
      </c>
      <c r="AW280" s="100">
        <f t="shared" si="335"/>
        <v>0</v>
      </c>
      <c r="AX280" s="100">
        <f t="shared" si="336"/>
        <v>0</v>
      </c>
      <c r="AY280" s="110" t="s">
        <v>1709</v>
      </c>
      <c r="AZ280" s="110" t="s">
        <v>1733</v>
      </c>
      <c r="BA280" s="109" t="s">
        <v>1737</v>
      </c>
      <c r="BC280" s="100">
        <f t="shared" si="337"/>
        <v>0</v>
      </c>
      <c r="BD280" s="100">
        <f t="shared" si="338"/>
        <v>0</v>
      </c>
      <c r="BE280" s="100">
        <v>0</v>
      </c>
      <c r="BF280" s="100">
        <f>280</f>
        <v>280</v>
      </c>
      <c r="BH280" s="108">
        <f t="shared" si="339"/>
        <v>0</v>
      </c>
      <c r="BI280" s="108">
        <f t="shared" si="340"/>
        <v>0</v>
      </c>
      <c r="BJ280" s="108">
        <f t="shared" si="341"/>
        <v>0</v>
      </c>
    </row>
    <row r="281" spans="1:62" x14ac:dyDescent="0.2">
      <c r="A281" s="117" t="s">
        <v>241</v>
      </c>
      <c r="B281" s="117" t="s">
        <v>2410</v>
      </c>
      <c r="C281" s="304" t="s">
        <v>1322</v>
      </c>
      <c r="D281" s="305"/>
      <c r="E281" s="305"/>
      <c r="F281" s="117" t="s">
        <v>1644</v>
      </c>
      <c r="G281" s="116">
        <v>2</v>
      </c>
      <c r="H281" s="159"/>
      <c r="I281" s="108">
        <f t="shared" si="318"/>
        <v>0</v>
      </c>
      <c r="J281" s="108">
        <f t="shared" si="319"/>
        <v>0</v>
      </c>
      <c r="K281" s="108">
        <f t="shared" si="320"/>
        <v>0</v>
      </c>
      <c r="L281" s="111"/>
      <c r="Z281" s="100">
        <f t="shared" si="321"/>
        <v>0</v>
      </c>
      <c r="AB281" s="100">
        <f t="shared" si="322"/>
        <v>0</v>
      </c>
      <c r="AC281" s="100">
        <f t="shared" si="323"/>
        <v>0</v>
      </c>
      <c r="AD281" s="100">
        <f t="shared" si="324"/>
        <v>0</v>
      </c>
      <c r="AE281" s="100">
        <f t="shared" si="325"/>
        <v>0</v>
      </c>
      <c r="AF281" s="100">
        <f t="shared" si="326"/>
        <v>0</v>
      </c>
      <c r="AG281" s="100">
        <f t="shared" si="327"/>
        <v>0</v>
      </c>
      <c r="AH281" s="100">
        <f t="shared" si="328"/>
        <v>0</v>
      </c>
      <c r="AI281" s="109"/>
      <c r="AJ281" s="108">
        <f t="shared" si="329"/>
        <v>0</v>
      </c>
      <c r="AK281" s="108">
        <f t="shared" si="330"/>
        <v>0</v>
      </c>
      <c r="AL281" s="108">
        <f t="shared" si="331"/>
        <v>0</v>
      </c>
      <c r="AN281" s="100">
        <v>15</v>
      </c>
      <c r="AO281" s="100">
        <f t="shared" si="332"/>
        <v>0</v>
      </c>
      <c r="AP281" s="100">
        <f t="shared" si="333"/>
        <v>0</v>
      </c>
      <c r="AQ281" s="111" t="s">
        <v>13</v>
      </c>
      <c r="AV281" s="100">
        <f t="shared" si="334"/>
        <v>0</v>
      </c>
      <c r="AW281" s="100">
        <f t="shared" si="335"/>
        <v>0</v>
      </c>
      <c r="AX281" s="100">
        <f t="shared" si="336"/>
        <v>0</v>
      </c>
      <c r="AY281" s="110" t="s">
        <v>1709</v>
      </c>
      <c r="AZ281" s="110" t="s">
        <v>1733</v>
      </c>
      <c r="BA281" s="109" t="s">
        <v>1737</v>
      </c>
      <c r="BC281" s="100">
        <f t="shared" si="337"/>
        <v>0</v>
      </c>
      <c r="BD281" s="100">
        <f t="shared" si="338"/>
        <v>0</v>
      </c>
      <c r="BE281" s="100">
        <v>0</v>
      </c>
      <c r="BF281" s="100">
        <f>281</f>
        <v>281</v>
      </c>
      <c r="BH281" s="108">
        <f t="shared" si="339"/>
        <v>0</v>
      </c>
      <c r="BI281" s="108">
        <f t="shared" si="340"/>
        <v>0</v>
      </c>
      <c r="BJ281" s="108">
        <f t="shared" si="341"/>
        <v>0</v>
      </c>
    </row>
    <row r="282" spans="1:62" x14ac:dyDescent="0.2">
      <c r="A282" s="117" t="s">
        <v>242</v>
      </c>
      <c r="B282" s="117" t="s">
        <v>2409</v>
      </c>
      <c r="C282" s="304" t="s">
        <v>1323</v>
      </c>
      <c r="D282" s="305"/>
      <c r="E282" s="305"/>
      <c r="F282" s="117" t="s">
        <v>1644</v>
      </c>
      <c r="G282" s="116">
        <v>1</v>
      </c>
      <c r="H282" s="159"/>
      <c r="I282" s="108">
        <f t="shared" si="318"/>
        <v>0</v>
      </c>
      <c r="J282" s="108">
        <f t="shared" si="319"/>
        <v>0</v>
      </c>
      <c r="K282" s="108">
        <f t="shared" si="320"/>
        <v>0</v>
      </c>
      <c r="L282" s="111"/>
      <c r="Z282" s="100">
        <f t="shared" si="321"/>
        <v>0</v>
      </c>
      <c r="AB282" s="100">
        <f t="shared" si="322"/>
        <v>0</v>
      </c>
      <c r="AC282" s="100">
        <f t="shared" si="323"/>
        <v>0</v>
      </c>
      <c r="AD282" s="100">
        <f t="shared" si="324"/>
        <v>0</v>
      </c>
      <c r="AE282" s="100">
        <f t="shared" si="325"/>
        <v>0</v>
      </c>
      <c r="AF282" s="100">
        <f t="shared" si="326"/>
        <v>0</v>
      </c>
      <c r="AG282" s="100">
        <f t="shared" si="327"/>
        <v>0</v>
      </c>
      <c r="AH282" s="100">
        <f t="shared" si="328"/>
        <v>0</v>
      </c>
      <c r="AI282" s="109"/>
      <c r="AJ282" s="108">
        <f t="shared" si="329"/>
        <v>0</v>
      </c>
      <c r="AK282" s="108">
        <f t="shared" si="330"/>
        <v>0</v>
      </c>
      <c r="AL282" s="108">
        <f t="shared" si="331"/>
        <v>0</v>
      </c>
      <c r="AN282" s="100">
        <v>15</v>
      </c>
      <c r="AO282" s="100">
        <f t="shared" si="332"/>
        <v>0</v>
      </c>
      <c r="AP282" s="100">
        <f t="shared" si="333"/>
        <v>0</v>
      </c>
      <c r="AQ282" s="111" t="s">
        <v>13</v>
      </c>
      <c r="AV282" s="100">
        <f t="shared" si="334"/>
        <v>0</v>
      </c>
      <c r="AW282" s="100">
        <f t="shared" si="335"/>
        <v>0</v>
      </c>
      <c r="AX282" s="100">
        <f t="shared" si="336"/>
        <v>0</v>
      </c>
      <c r="AY282" s="110" t="s">
        <v>1709</v>
      </c>
      <c r="AZ282" s="110" t="s">
        <v>1733</v>
      </c>
      <c r="BA282" s="109" t="s">
        <v>1737</v>
      </c>
      <c r="BC282" s="100">
        <f t="shared" si="337"/>
        <v>0</v>
      </c>
      <c r="BD282" s="100">
        <f t="shared" si="338"/>
        <v>0</v>
      </c>
      <c r="BE282" s="100">
        <v>0</v>
      </c>
      <c r="BF282" s="100">
        <f>282</f>
        <v>282</v>
      </c>
      <c r="BH282" s="108">
        <f t="shared" si="339"/>
        <v>0</v>
      </c>
      <c r="BI282" s="108">
        <f t="shared" si="340"/>
        <v>0</v>
      </c>
      <c r="BJ282" s="108">
        <f t="shared" si="341"/>
        <v>0</v>
      </c>
    </row>
    <row r="283" spans="1:62" x14ac:dyDescent="0.2">
      <c r="A283" s="117" t="s">
        <v>243</v>
      </c>
      <c r="B283" s="117" t="s">
        <v>2408</v>
      </c>
      <c r="C283" s="304" t="s">
        <v>1324</v>
      </c>
      <c r="D283" s="305"/>
      <c r="E283" s="305"/>
      <c r="F283" s="117" t="s">
        <v>1644</v>
      </c>
      <c r="G283" s="116">
        <v>2</v>
      </c>
      <c r="H283" s="159"/>
      <c r="I283" s="108">
        <f t="shared" si="318"/>
        <v>0</v>
      </c>
      <c r="J283" s="108">
        <f t="shared" si="319"/>
        <v>0</v>
      </c>
      <c r="K283" s="108">
        <f t="shared" si="320"/>
        <v>0</v>
      </c>
      <c r="L283" s="111"/>
      <c r="Z283" s="100">
        <f t="shared" si="321"/>
        <v>0</v>
      </c>
      <c r="AB283" s="100">
        <f t="shared" si="322"/>
        <v>0</v>
      </c>
      <c r="AC283" s="100">
        <f t="shared" si="323"/>
        <v>0</v>
      </c>
      <c r="AD283" s="100">
        <f t="shared" si="324"/>
        <v>0</v>
      </c>
      <c r="AE283" s="100">
        <f t="shared" si="325"/>
        <v>0</v>
      </c>
      <c r="AF283" s="100">
        <f t="shared" si="326"/>
        <v>0</v>
      </c>
      <c r="AG283" s="100">
        <f t="shared" si="327"/>
        <v>0</v>
      </c>
      <c r="AH283" s="100">
        <f t="shared" si="328"/>
        <v>0</v>
      </c>
      <c r="AI283" s="109"/>
      <c r="AJ283" s="108">
        <f t="shared" si="329"/>
        <v>0</v>
      </c>
      <c r="AK283" s="108">
        <f t="shared" si="330"/>
        <v>0</v>
      </c>
      <c r="AL283" s="108">
        <f t="shared" si="331"/>
        <v>0</v>
      </c>
      <c r="AN283" s="100">
        <v>15</v>
      </c>
      <c r="AO283" s="100">
        <f t="shared" si="332"/>
        <v>0</v>
      </c>
      <c r="AP283" s="100">
        <f t="shared" si="333"/>
        <v>0</v>
      </c>
      <c r="AQ283" s="111" t="s">
        <v>13</v>
      </c>
      <c r="AV283" s="100">
        <f t="shared" si="334"/>
        <v>0</v>
      </c>
      <c r="AW283" s="100">
        <f t="shared" si="335"/>
        <v>0</v>
      </c>
      <c r="AX283" s="100">
        <f t="shared" si="336"/>
        <v>0</v>
      </c>
      <c r="AY283" s="110" t="s">
        <v>1709</v>
      </c>
      <c r="AZ283" s="110" t="s">
        <v>1733</v>
      </c>
      <c r="BA283" s="109" t="s">
        <v>1737</v>
      </c>
      <c r="BC283" s="100">
        <f t="shared" si="337"/>
        <v>0</v>
      </c>
      <c r="BD283" s="100">
        <f t="shared" si="338"/>
        <v>0</v>
      </c>
      <c r="BE283" s="100">
        <v>0</v>
      </c>
      <c r="BF283" s="100">
        <f>283</f>
        <v>283</v>
      </c>
      <c r="BH283" s="108">
        <f t="shared" si="339"/>
        <v>0</v>
      </c>
      <c r="BI283" s="108">
        <f t="shared" si="340"/>
        <v>0</v>
      </c>
      <c r="BJ283" s="108">
        <f t="shared" si="341"/>
        <v>0</v>
      </c>
    </row>
    <row r="284" spans="1:62" x14ac:dyDescent="0.2">
      <c r="A284" s="117" t="s">
        <v>244</v>
      </c>
      <c r="B284" s="117" t="s">
        <v>2407</v>
      </c>
      <c r="C284" s="304" t="s">
        <v>1325</v>
      </c>
      <c r="D284" s="305"/>
      <c r="E284" s="305"/>
      <c r="F284" s="117" t="s">
        <v>1644</v>
      </c>
      <c r="G284" s="116">
        <v>1</v>
      </c>
      <c r="H284" s="159"/>
      <c r="I284" s="108">
        <f t="shared" si="318"/>
        <v>0</v>
      </c>
      <c r="J284" s="108">
        <f t="shared" si="319"/>
        <v>0</v>
      </c>
      <c r="K284" s="108">
        <f t="shared" si="320"/>
        <v>0</v>
      </c>
      <c r="L284" s="111"/>
      <c r="Z284" s="100">
        <f t="shared" si="321"/>
        <v>0</v>
      </c>
      <c r="AB284" s="100">
        <f t="shared" si="322"/>
        <v>0</v>
      </c>
      <c r="AC284" s="100">
        <f t="shared" si="323"/>
        <v>0</v>
      </c>
      <c r="AD284" s="100">
        <f t="shared" si="324"/>
        <v>0</v>
      </c>
      <c r="AE284" s="100">
        <f t="shared" si="325"/>
        <v>0</v>
      </c>
      <c r="AF284" s="100">
        <f t="shared" si="326"/>
        <v>0</v>
      </c>
      <c r="AG284" s="100">
        <f t="shared" si="327"/>
        <v>0</v>
      </c>
      <c r="AH284" s="100">
        <f t="shared" si="328"/>
        <v>0</v>
      </c>
      <c r="AI284" s="109"/>
      <c r="AJ284" s="108">
        <f t="shared" si="329"/>
        <v>0</v>
      </c>
      <c r="AK284" s="108">
        <f t="shared" si="330"/>
        <v>0</v>
      </c>
      <c r="AL284" s="108">
        <f t="shared" si="331"/>
        <v>0</v>
      </c>
      <c r="AN284" s="100">
        <v>15</v>
      </c>
      <c r="AO284" s="100">
        <f t="shared" si="332"/>
        <v>0</v>
      </c>
      <c r="AP284" s="100">
        <f t="shared" si="333"/>
        <v>0</v>
      </c>
      <c r="AQ284" s="111" t="s">
        <v>13</v>
      </c>
      <c r="AV284" s="100">
        <f t="shared" si="334"/>
        <v>0</v>
      </c>
      <c r="AW284" s="100">
        <f t="shared" si="335"/>
        <v>0</v>
      </c>
      <c r="AX284" s="100">
        <f t="shared" si="336"/>
        <v>0</v>
      </c>
      <c r="AY284" s="110" t="s">
        <v>1709</v>
      </c>
      <c r="AZ284" s="110" t="s">
        <v>1733</v>
      </c>
      <c r="BA284" s="109" t="s">
        <v>1737</v>
      </c>
      <c r="BC284" s="100">
        <f t="shared" si="337"/>
        <v>0</v>
      </c>
      <c r="BD284" s="100">
        <f t="shared" si="338"/>
        <v>0</v>
      </c>
      <c r="BE284" s="100">
        <v>0</v>
      </c>
      <c r="BF284" s="100">
        <f>284</f>
        <v>284</v>
      </c>
      <c r="BH284" s="108">
        <f t="shared" si="339"/>
        <v>0</v>
      </c>
      <c r="BI284" s="108">
        <f t="shared" si="340"/>
        <v>0</v>
      </c>
      <c r="BJ284" s="108">
        <f t="shared" si="341"/>
        <v>0</v>
      </c>
    </row>
    <row r="285" spans="1:62" x14ac:dyDescent="0.2">
      <c r="A285" s="117" t="s">
        <v>245</v>
      </c>
      <c r="B285" s="117" t="s">
        <v>2406</v>
      </c>
      <c r="C285" s="304" t="s">
        <v>1297</v>
      </c>
      <c r="D285" s="305"/>
      <c r="E285" s="305"/>
      <c r="F285" s="117" t="s">
        <v>1644</v>
      </c>
      <c r="G285" s="116">
        <v>8</v>
      </c>
      <c r="H285" s="159"/>
      <c r="I285" s="108">
        <f t="shared" si="318"/>
        <v>0</v>
      </c>
      <c r="J285" s="108">
        <f t="shared" si="319"/>
        <v>0</v>
      </c>
      <c r="K285" s="108">
        <f t="shared" si="320"/>
        <v>0</v>
      </c>
      <c r="L285" s="111"/>
      <c r="Z285" s="100">
        <f t="shared" si="321"/>
        <v>0</v>
      </c>
      <c r="AB285" s="100">
        <f t="shared" si="322"/>
        <v>0</v>
      </c>
      <c r="AC285" s="100">
        <f t="shared" si="323"/>
        <v>0</v>
      </c>
      <c r="AD285" s="100">
        <f t="shared" si="324"/>
        <v>0</v>
      </c>
      <c r="AE285" s="100">
        <f t="shared" si="325"/>
        <v>0</v>
      </c>
      <c r="AF285" s="100">
        <f t="shared" si="326"/>
        <v>0</v>
      </c>
      <c r="AG285" s="100">
        <f t="shared" si="327"/>
        <v>0</v>
      </c>
      <c r="AH285" s="100">
        <f t="shared" si="328"/>
        <v>0</v>
      </c>
      <c r="AI285" s="109"/>
      <c r="AJ285" s="108">
        <f t="shared" si="329"/>
        <v>0</v>
      </c>
      <c r="AK285" s="108">
        <f t="shared" si="330"/>
        <v>0</v>
      </c>
      <c r="AL285" s="108">
        <f t="shared" si="331"/>
        <v>0</v>
      </c>
      <c r="AN285" s="100">
        <v>15</v>
      </c>
      <c r="AO285" s="100">
        <f t="shared" si="332"/>
        <v>0</v>
      </c>
      <c r="AP285" s="100">
        <f t="shared" si="333"/>
        <v>0</v>
      </c>
      <c r="AQ285" s="111" t="s">
        <v>13</v>
      </c>
      <c r="AV285" s="100">
        <f t="shared" si="334"/>
        <v>0</v>
      </c>
      <c r="AW285" s="100">
        <f t="shared" si="335"/>
        <v>0</v>
      </c>
      <c r="AX285" s="100">
        <f t="shared" si="336"/>
        <v>0</v>
      </c>
      <c r="AY285" s="110" t="s">
        <v>1709</v>
      </c>
      <c r="AZ285" s="110" t="s">
        <v>1733</v>
      </c>
      <c r="BA285" s="109" t="s">
        <v>1737</v>
      </c>
      <c r="BC285" s="100">
        <f t="shared" si="337"/>
        <v>0</v>
      </c>
      <c r="BD285" s="100">
        <f t="shared" si="338"/>
        <v>0</v>
      </c>
      <c r="BE285" s="100">
        <v>0</v>
      </c>
      <c r="BF285" s="100">
        <f>285</f>
        <v>285</v>
      </c>
      <c r="BH285" s="108">
        <f t="shared" si="339"/>
        <v>0</v>
      </c>
      <c r="BI285" s="108">
        <f t="shared" si="340"/>
        <v>0</v>
      </c>
      <c r="BJ285" s="108">
        <f t="shared" si="341"/>
        <v>0</v>
      </c>
    </row>
    <row r="286" spans="1:62" x14ac:dyDescent="0.2">
      <c r="A286" s="117" t="s">
        <v>246</v>
      </c>
      <c r="B286" s="117" t="s">
        <v>2405</v>
      </c>
      <c r="C286" s="304" t="s">
        <v>1326</v>
      </c>
      <c r="D286" s="305"/>
      <c r="E286" s="305"/>
      <c r="F286" s="117" t="s">
        <v>1644</v>
      </c>
      <c r="G286" s="116">
        <v>8</v>
      </c>
      <c r="H286" s="159"/>
      <c r="I286" s="108">
        <f t="shared" si="318"/>
        <v>0</v>
      </c>
      <c r="J286" s="108">
        <f t="shared" si="319"/>
        <v>0</v>
      </c>
      <c r="K286" s="108">
        <f t="shared" si="320"/>
        <v>0</v>
      </c>
      <c r="L286" s="111"/>
      <c r="Z286" s="100">
        <f t="shared" si="321"/>
        <v>0</v>
      </c>
      <c r="AB286" s="100">
        <f t="shared" si="322"/>
        <v>0</v>
      </c>
      <c r="AC286" s="100">
        <f t="shared" si="323"/>
        <v>0</v>
      </c>
      <c r="AD286" s="100">
        <f t="shared" si="324"/>
        <v>0</v>
      </c>
      <c r="AE286" s="100">
        <f t="shared" si="325"/>
        <v>0</v>
      </c>
      <c r="AF286" s="100">
        <f t="shared" si="326"/>
        <v>0</v>
      </c>
      <c r="AG286" s="100">
        <f t="shared" si="327"/>
        <v>0</v>
      </c>
      <c r="AH286" s="100">
        <f t="shared" si="328"/>
        <v>0</v>
      </c>
      <c r="AI286" s="109"/>
      <c r="AJ286" s="108">
        <f t="shared" si="329"/>
        <v>0</v>
      </c>
      <c r="AK286" s="108">
        <f t="shared" si="330"/>
        <v>0</v>
      </c>
      <c r="AL286" s="108">
        <f t="shared" si="331"/>
        <v>0</v>
      </c>
      <c r="AN286" s="100">
        <v>15</v>
      </c>
      <c r="AO286" s="100">
        <f t="shared" si="332"/>
        <v>0</v>
      </c>
      <c r="AP286" s="100">
        <f t="shared" si="333"/>
        <v>0</v>
      </c>
      <c r="AQ286" s="111" t="s">
        <v>13</v>
      </c>
      <c r="AV286" s="100">
        <f t="shared" si="334"/>
        <v>0</v>
      </c>
      <c r="AW286" s="100">
        <f t="shared" si="335"/>
        <v>0</v>
      </c>
      <c r="AX286" s="100">
        <f t="shared" si="336"/>
        <v>0</v>
      </c>
      <c r="AY286" s="110" t="s">
        <v>1709</v>
      </c>
      <c r="AZ286" s="110" t="s">
        <v>1733</v>
      </c>
      <c r="BA286" s="109" t="s">
        <v>1737</v>
      </c>
      <c r="BC286" s="100">
        <f t="shared" si="337"/>
        <v>0</v>
      </c>
      <c r="BD286" s="100">
        <f t="shared" si="338"/>
        <v>0</v>
      </c>
      <c r="BE286" s="100">
        <v>0</v>
      </c>
      <c r="BF286" s="100">
        <f>286</f>
        <v>286</v>
      </c>
      <c r="BH286" s="108">
        <f t="shared" si="339"/>
        <v>0</v>
      </c>
      <c r="BI286" s="108">
        <f t="shared" si="340"/>
        <v>0</v>
      </c>
      <c r="BJ286" s="108">
        <f t="shared" si="341"/>
        <v>0</v>
      </c>
    </row>
    <row r="287" spans="1:62" x14ac:dyDescent="0.2">
      <c r="A287" s="117" t="s">
        <v>247</v>
      </c>
      <c r="B287" s="117" t="s">
        <v>2404</v>
      </c>
      <c r="C287" s="304" t="s">
        <v>1327</v>
      </c>
      <c r="D287" s="305"/>
      <c r="E287" s="305"/>
      <c r="F287" s="117" t="s">
        <v>1644</v>
      </c>
      <c r="G287" s="116">
        <v>6</v>
      </c>
      <c r="H287" s="159"/>
      <c r="I287" s="108">
        <f t="shared" si="318"/>
        <v>0</v>
      </c>
      <c r="J287" s="108">
        <f t="shared" si="319"/>
        <v>0</v>
      </c>
      <c r="K287" s="108">
        <f t="shared" si="320"/>
        <v>0</v>
      </c>
      <c r="L287" s="111"/>
      <c r="Z287" s="100">
        <f t="shared" si="321"/>
        <v>0</v>
      </c>
      <c r="AB287" s="100">
        <f t="shared" si="322"/>
        <v>0</v>
      </c>
      <c r="AC287" s="100">
        <f t="shared" si="323"/>
        <v>0</v>
      </c>
      <c r="AD287" s="100">
        <f t="shared" si="324"/>
        <v>0</v>
      </c>
      <c r="AE287" s="100">
        <f t="shared" si="325"/>
        <v>0</v>
      </c>
      <c r="AF287" s="100">
        <f t="shared" si="326"/>
        <v>0</v>
      </c>
      <c r="AG287" s="100">
        <f t="shared" si="327"/>
        <v>0</v>
      </c>
      <c r="AH287" s="100">
        <f t="shared" si="328"/>
        <v>0</v>
      </c>
      <c r="AI287" s="109"/>
      <c r="AJ287" s="108">
        <f t="shared" si="329"/>
        <v>0</v>
      </c>
      <c r="AK287" s="108">
        <f t="shared" si="330"/>
        <v>0</v>
      </c>
      <c r="AL287" s="108">
        <f t="shared" si="331"/>
        <v>0</v>
      </c>
      <c r="AN287" s="100">
        <v>15</v>
      </c>
      <c r="AO287" s="100">
        <f t="shared" si="332"/>
        <v>0</v>
      </c>
      <c r="AP287" s="100">
        <f t="shared" si="333"/>
        <v>0</v>
      </c>
      <c r="AQ287" s="111" t="s">
        <v>13</v>
      </c>
      <c r="AV287" s="100">
        <f t="shared" si="334"/>
        <v>0</v>
      </c>
      <c r="AW287" s="100">
        <f t="shared" si="335"/>
        <v>0</v>
      </c>
      <c r="AX287" s="100">
        <f t="shared" si="336"/>
        <v>0</v>
      </c>
      <c r="AY287" s="110" t="s">
        <v>1709</v>
      </c>
      <c r="AZ287" s="110" t="s">
        <v>1733</v>
      </c>
      <c r="BA287" s="109" t="s">
        <v>1737</v>
      </c>
      <c r="BC287" s="100">
        <f t="shared" si="337"/>
        <v>0</v>
      </c>
      <c r="BD287" s="100">
        <f t="shared" si="338"/>
        <v>0</v>
      </c>
      <c r="BE287" s="100">
        <v>0</v>
      </c>
      <c r="BF287" s="100">
        <f>287</f>
        <v>287</v>
      </c>
      <c r="BH287" s="108">
        <f t="shared" si="339"/>
        <v>0</v>
      </c>
      <c r="BI287" s="108">
        <f t="shared" si="340"/>
        <v>0</v>
      </c>
      <c r="BJ287" s="108">
        <f t="shared" si="341"/>
        <v>0</v>
      </c>
    </row>
    <row r="288" spans="1:62" x14ac:dyDescent="0.2">
      <c r="A288" s="117" t="s">
        <v>248</v>
      </c>
      <c r="B288" s="117" t="s">
        <v>2403</v>
      </c>
      <c r="C288" s="304" t="s">
        <v>1294</v>
      </c>
      <c r="D288" s="305"/>
      <c r="E288" s="305"/>
      <c r="F288" s="117" t="s">
        <v>1644</v>
      </c>
      <c r="G288" s="116">
        <v>2</v>
      </c>
      <c r="H288" s="159"/>
      <c r="I288" s="108">
        <f t="shared" si="318"/>
        <v>0</v>
      </c>
      <c r="J288" s="108">
        <f t="shared" si="319"/>
        <v>0</v>
      </c>
      <c r="K288" s="108">
        <f t="shared" si="320"/>
        <v>0</v>
      </c>
      <c r="L288" s="111"/>
      <c r="Z288" s="100">
        <f t="shared" si="321"/>
        <v>0</v>
      </c>
      <c r="AB288" s="100">
        <f t="shared" si="322"/>
        <v>0</v>
      </c>
      <c r="AC288" s="100">
        <f t="shared" si="323"/>
        <v>0</v>
      </c>
      <c r="AD288" s="100">
        <f t="shared" si="324"/>
        <v>0</v>
      </c>
      <c r="AE288" s="100">
        <f t="shared" si="325"/>
        <v>0</v>
      </c>
      <c r="AF288" s="100">
        <f t="shared" si="326"/>
        <v>0</v>
      </c>
      <c r="AG288" s="100">
        <f t="shared" si="327"/>
        <v>0</v>
      </c>
      <c r="AH288" s="100">
        <f t="shared" si="328"/>
        <v>0</v>
      </c>
      <c r="AI288" s="109"/>
      <c r="AJ288" s="108">
        <f t="shared" si="329"/>
        <v>0</v>
      </c>
      <c r="AK288" s="108">
        <f t="shared" si="330"/>
        <v>0</v>
      </c>
      <c r="AL288" s="108">
        <f t="shared" si="331"/>
        <v>0</v>
      </c>
      <c r="AN288" s="100">
        <v>15</v>
      </c>
      <c r="AO288" s="100">
        <f t="shared" si="332"/>
        <v>0</v>
      </c>
      <c r="AP288" s="100">
        <f t="shared" si="333"/>
        <v>0</v>
      </c>
      <c r="AQ288" s="111" t="s">
        <v>13</v>
      </c>
      <c r="AV288" s="100">
        <f t="shared" si="334"/>
        <v>0</v>
      </c>
      <c r="AW288" s="100">
        <f t="shared" si="335"/>
        <v>0</v>
      </c>
      <c r="AX288" s="100">
        <f t="shared" si="336"/>
        <v>0</v>
      </c>
      <c r="AY288" s="110" t="s">
        <v>1709</v>
      </c>
      <c r="AZ288" s="110" t="s">
        <v>1733</v>
      </c>
      <c r="BA288" s="109" t="s">
        <v>1737</v>
      </c>
      <c r="BC288" s="100">
        <f t="shared" si="337"/>
        <v>0</v>
      </c>
      <c r="BD288" s="100">
        <f t="shared" si="338"/>
        <v>0</v>
      </c>
      <c r="BE288" s="100">
        <v>0</v>
      </c>
      <c r="BF288" s="100">
        <f>288</f>
        <v>288</v>
      </c>
      <c r="BH288" s="108">
        <f t="shared" si="339"/>
        <v>0</v>
      </c>
      <c r="BI288" s="108">
        <f t="shared" si="340"/>
        <v>0</v>
      </c>
      <c r="BJ288" s="108">
        <f t="shared" si="341"/>
        <v>0</v>
      </c>
    </row>
    <row r="289" spans="1:62" x14ac:dyDescent="0.2">
      <c r="A289" s="117" t="s">
        <v>249</v>
      </c>
      <c r="B289" s="117" t="s">
        <v>2402</v>
      </c>
      <c r="C289" s="304" t="s">
        <v>1295</v>
      </c>
      <c r="D289" s="305"/>
      <c r="E289" s="305"/>
      <c r="F289" s="117" t="s">
        <v>1644</v>
      </c>
      <c r="G289" s="116">
        <v>2</v>
      </c>
      <c r="H289" s="159"/>
      <c r="I289" s="108">
        <f t="shared" si="318"/>
        <v>0</v>
      </c>
      <c r="J289" s="108">
        <f t="shared" si="319"/>
        <v>0</v>
      </c>
      <c r="K289" s="108">
        <f t="shared" si="320"/>
        <v>0</v>
      </c>
      <c r="L289" s="111"/>
      <c r="Z289" s="100">
        <f t="shared" si="321"/>
        <v>0</v>
      </c>
      <c r="AB289" s="100">
        <f t="shared" si="322"/>
        <v>0</v>
      </c>
      <c r="AC289" s="100">
        <f t="shared" si="323"/>
        <v>0</v>
      </c>
      <c r="AD289" s="100">
        <f t="shared" si="324"/>
        <v>0</v>
      </c>
      <c r="AE289" s="100">
        <f t="shared" si="325"/>
        <v>0</v>
      </c>
      <c r="AF289" s="100">
        <f t="shared" si="326"/>
        <v>0</v>
      </c>
      <c r="AG289" s="100">
        <f t="shared" si="327"/>
        <v>0</v>
      </c>
      <c r="AH289" s="100">
        <f t="shared" si="328"/>
        <v>0</v>
      </c>
      <c r="AI289" s="109"/>
      <c r="AJ289" s="108">
        <f t="shared" si="329"/>
        <v>0</v>
      </c>
      <c r="AK289" s="108">
        <f t="shared" si="330"/>
        <v>0</v>
      </c>
      <c r="AL289" s="108">
        <f t="shared" si="331"/>
        <v>0</v>
      </c>
      <c r="AN289" s="100">
        <v>15</v>
      </c>
      <c r="AO289" s="100">
        <f t="shared" si="332"/>
        <v>0</v>
      </c>
      <c r="AP289" s="100">
        <f t="shared" si="333"/>
        <v>0</v>
      </c>
      <c r="AQ289" s="111" t="s">
        <v>13</v>
      </c>
      <c r="AV289" s="100">
        <f t="shared" si="334"/>
        <v>0</v>
      </c>
      <c r="AW289" s="100">
        <f t="shared" si="335"/>
        <v>0</v>
      </c>
      <c r="AX289" s="100">
        <f t="shared" si="336"/>
        <v>0</v>
      </c>
      <c r="AY289" s="110" t="s">
        <v>1709</v>
      </c>
      <c r="AZ289" s="110" t="s">
        <v>1733</v>
      </c>
      <c r="BA289" s="109" t="s">
        <v>1737</v>
      </c>
      <c r="BC289" s="100">
        <f t="shared" si="337"/>
        <v>0</v>
      </c>
      <c r="BD289" s="100">
        <f t="shared" si="338"/>
        <v>0</v>
      </c>
      <c r="BE289" s="100">
        <v>0</v>
      </c>
      <c r="BF289" s="100">
        <f>289</f>
        <v>289</v>
      </c>
      <c r="BH289" s="108">
        <f t="shared" si="339"/>
        <v>0</v>
      </c>
      <c r="BI289" s="108">
        <f t="shared" si="340"/>
        <v>0</v>
      </c>
      <c r="BJ289" s="108">
        <f t="shared" si="341"/>
        <v>0</v>
      </c>
    </row>
    <row r="290" spans="1:62" x14ac:dyDescent="0.2">
      <c r="A290" s="117" t="s">
        <v>250</v>
      </c>
      <c r="B290" s="117" t="s">
        <v>2401</v>
      </c>
      <c r="C290" s="304" t="s">
        <v>1328</v>
      </c>
      <c r="D290" s="305"/>
      <c r="E290" s="305"/>
      <c r="F290" s="117" t="s">
        <v>1644</v>
      </c>
      <c r="G290" s="116">
        <v>22</v>
      </c>
      <c r="H290" s="159"/>
      <c r="I290" s="108">
        <f t="shared" si="318"/>
        <v>0</v>
      </c>
      <c r="J290" s="108">
        <f t="shared" si="319"/>
        <v>0</v>
      </c>
      <c r="K290" s="108">
        <f t="shared" si="320"/>
        <v>0</v>
      </c>
      <c r="L290" s="111"/>
      <c r="Z290" s="100">
        <f t="shared" si="321"/>
        <v>0</v>
      </c>
      <c r="AB290" s="100">
        <f t="shared" si="322"/>
        <v>0</v>
      </c>
      <c r="AC290" s="100">
        <f t="shared" si="323"/>
        <v>0</v>
      </c>
      <c r="AD290" s="100">
        <f t="shared" si="324"/>
        <v>0</v>
      </c>
      <c r="AE290" s="100">
        <f t="shared" si="325"/>
        <v>0</v>
      </c>
      <c r="AF290" s="100">
        <f t="shared" si="326"/>
        <v>0</v>
      </c>
      <c r="AG290" s="100">
        <f t="shared" si="327"/>
        <v>0</v>
      </c>
      <c r="AH290" s="100">
        <f t="shared" si="328"/>
        <v>0</v>
      </c>
      <c r="AI290" s="109"/>
      <c r="AJ290" s="108">
        <f t="shared" si="329"/>
        <v>0</v>
      </c>
      <c r="AK290" s="108">
        <f t="shared" si="330"/>
        <v>0</v>
      </c>
      <c r="AL290" s="108">
        <f t="shared" si="331"/>
        <v>0</v>
      </c>
      <c r="AN290" s="100">
        <v>15</v>
      </c>
      <c r="AO290" s="100">
        <f t="shared" si="332"/>
        <v>0</v>
      </c>
      <c r="AP290" s="100">
        <f t="shared" si="333"/>
        <v>0</v>
      </c>
      <c r="AQ290" s="111" t="s">
        <v>13</v>
      </c>
      <c r="AV290" s="100">
        <f t="shared" si="334"/>
        <v>0</v>
      </c>
      <c r="AW290" s="100">
        <f t="shared" si="335"/>
        <v>0</v>
      </c>
      <c r="AX290" s="100">
        <f t="shared" si="336"/>
        <v>0</v>
      </c>
      <c r="AY290" s="110" t="s">
        <v>1709</v>
      </c>
      <c r="AZ290" s="110" t="s">
        <v>1733</v>
      </c>
      <c r="BA290" s="109" t="s">
        <v>1737</v>
      </c>
      <c r="BC290" s="100">
        <f t="shared" si="337"/>
        <v>0</v>
      </c>
      <c r="BD290" s="100">
        <f t="shared" si="338"/>
        <v>0</v>
      </c>
      <c r="BE290" s="100">
        <v>0</v>
      </c>
      <c r="BF290" s="100">
        <f>290</f>
        <v>290</v>
      </c>
      <c r="BH290" s="108">
        <f t="shared" si="339"/>
        <v>0</v>
      </c>
      <c r="BI290" s="108">
        <f t="shared" si="340"/>
        <v>0</v>
      </c>
      <c r="BJ290" s="108">
        <f t="shared" si="341"/>
        <v>0</v>
      </c>
    </row>
    <row r="291" spans="1:62" x14ac:dyDescent="0.2">
      <c r="A291" s="117" t="s">
        <v>251</v>
      </c>
      <c r="B291" s="117" t="s">
        <v>2400</v>
      </c>
      <c r="C291" s="304" t="s">
        <v>1329</v>
      </c>
      <c r="D291" s="305"/>
      <c r="E291" s="305"/>
      <c r="F291" s="117" t="s">
        <v>1644</v>
      </c>
      <c r="G291" s="116">
        <v>1</v>
      </c>
      <c r="H291" s="159"/>
      <c r="I291" s="108">
        <f t="shared" si="318"/>
        <v>0</v>
      </c>
      <c r="J291" s="108">
        <f t="shared" si="319"/>
        <v>0</v>
      </c>
      <c r="K291" s="108">
        <f t="shared" si="320"/>
        <v>0</v>
      </c>
      <c r="L291" s="111"/>
      <c r="Z291" s="100">
        <f t="shared" si="321"/>
        <v>0</v>
      </c>
      <c r="AB291" s="100">
        <f t="shared" si="322"/>
        <v>0</v>
      </c>
      <c r="AC291" s="100">
        <f t="shared" si="323"/>
        <v>0</v>
      </c>
      <c r="AD291" s="100">
        <f t="shared" si="324"/>
        <v>0</v>
      </c>
      <c r="AE291" s="100">
        <f t="shared" si="325"/>
        <v>0</v>
      </c>
      <c r="AF291" s="100">
        <f t="shared" si="326"/>
        <v>0</v>
      </c>
      <c r="AG291" s="100">
        <f t="shared" si="327"/>
        <v>0</v>
      </c>
      <c r="AH291" s="100">
        <f t="shared" si="328"/>
        <v>0</v>
      </c>
      <c r="AI291" s="109"/>
      <c r="AJ291" s="108">
        <f t="shared" si="329"/>
        <v>0</v>
      </c>
      <c r="AK291" s="108">
        <f t="shared" si="330"/>
        <v>0</v>
      </c>
      <c r="AL291" s="108">
        <f t="shared" si="331"/>
        <v>0</v>
      </c>
      <c r="AN291" s="100">
        <v>15</v>
      </c>
      <c r="AO291" s="100">
        <f t="shared" si="332"/>
        <v>0</v>
      </c>
      <c r="AP291" s="100">
        <f t="shared" si="333"/>
        <v>0</v>
      </c>
      <c r="AQ291" s="111" t="s">
        <v>13</v>
      </c>
      <c r="AV291" s="100">
        <f t="shared" si="334"/>
        <v>0</v>
      </c>
      <c r="AW291" s="100">
        <f t="shared" si="335"/>
        <v>0</v>
      </c>
      <c r="AX291" s="100">
        <f t="shared" si="336"/>
        <v>0</v>
      </c>
      <c r="AY291" s="110" t="s">
        <v>1709</v>
      </c>
      <c r="AZ291" s="110" t="s">
        <v>1733</v>
      </c>
      <c r="BA291" s="109" t="s">
        <v>1737</v>
      </c>
      <c r="BC291" s="100">
        <f t="shared" si="337"/>
        <v>0</v>
      </c>
      <c r="BD291" s="100">
        <f t="shared" si="338"/>
        <v>0</v>
      </c>
      <c r="BE291" s="100">
        <v>0</v>
      </c>
      <c r="BF291" s="100">
        <f>291</f>
        <v>291</v>
      </c>
      <c r="BH291" s="108">
        <f t="shared" si="339"/>
        <v>0</v>
      </c>
      <c r="BI291" s="108">
        <f t="shared" si="340"/>
        <v>0</v>
      </c>
      <c r="BJ291" s="108">
        <f t="shared" si="341"/>
        <v>0</v>
      </c>
    </row>
    <row r="292" spans="1:62" x14ac:dyDescent="0.2">
      <c r="A292" s="117" t="s">
        <v>252</v>
      </c>
      <c r="B292" s="117" t="s">
        <v>2399</v>
      </c>
      <c r="C292" s="304" t="s">
        <v>1330</v>
      </c>
      <c r="D292" s="305"/>
      <c r="E292" s="305"/>
      <c r="F292" s="117" t="s">
        <v>1646</v>
      </c>
      <c r="G292" s="116">
        <v>60</v>
      </c>
      <c r="H292" s="159"/>
      <c r="I292" s="108">
        <f t="shared" si="318"/>
        <v>0</v>
      </c>
      <c r="J292" s="108">
        <f t="shared" si="319"/>
        <v>0</v>
      </c>
      <c r="K292" s="108">
        <f t="shared" si="320"/>
        <v>0</v>
      </c>
      <c r="L292" s="111"/>
      <c r="Z292" s="100">
        <f t="shared" si="321"/>
        <v>0</v>
      </c>
      <c r="AB292" s="100">
        <f t="shared" si="322"/>
        <v>0</v>
      </c>
      <c r="AC292" s="100">
        <f t="shared" si="323"/>
        <v>0</v>
      </c>
      <c r="AD292" s="100">
        <f t="shared" si="324"/>
        <v>0</v>
      </c>
      <c r="AE292" s="100">
        <f t="shared" si="325"/>
        <v>0</v>
      </c>
      <c r="AF292" s="100">
        <f t="shared" si="326"/>
        <v>0</v>
      </c>
      <c r="AG292" s="100">
        <f t="shared" si="327"/>
        <v>0</v>
      </c>
      <c r="AH292" s="100">
        <f t="shared" si="328"/>
        <v>0</v>
      </c>
      <c r="AI292" s="109"/>
      <c r="AJ292" s="108">
        <f t="shared" si="329"/>
        <v>0</v>
      </c>
      <c r="AK292" s="108">
        <f t="shared" si="330"/>
        <v>0</v>
      </c>
      <c r="AL292" s="108">
        <f t="shared" si="331"/>
        <v>0</v>
      </c>
      <c r="AN292" s="100">
        <v>15</v>
      </c>
      <c r="AO292" s="100">
        <f t="shared" si="332"/>
        <v>0</v>
      </c>
      <c r="AP292" s="100">
        <f t="shared" si="333"/>
        <v>0</v>
      </c>
      <c r="AQ292" s="111" t="s">
        <v>13</v>
      </c>
      <c r="AV292" s="100">
        <f t="shared" si="334"/>
        <v>0</v>
      </c>
      <c r="AW292" s="100">
        <f t="shared" si="335"/>
        <v>0</v>
      </c>
      <c r="AX292" s="100">
        <f t="shared" si="336"/>
        <v>0</v>
      </c>
      <c r="AY292" s="110" t="s">
        <v>1709</v>
      </c>
      <c r="AZ292" s="110" t="s">
        <v>1733</v>
      </c>
      <c r="BA292" s="109" t="s">
        <v>1737</v>
      </c>
      <c r="BC292" s="100">
        <f t="shared" si="337"/>
        <v>0</v>
      </c>
      <c r="BD292" s="100">
        <f t="shared" si="338"/>
        <v>0</v>
      </c>
      <c r="BE292" s="100">
        <v>0</v>
      </c>
      <c r="BF292" s="100">
        <f>292</f>
        <v>292</v>
      </c>
      <c r="BH292" s="108">
        <f t="shared" si="339"/>
        <v>0</v>
      </c>
      <c r="BI292" s="108">
        <f t="shared" si="340"/>
        <v>0</v>
      </c>
      <c r="BJ292" s="108">
        <f t="shared" si="341"/>
        <v>0</v>
      </c>
    </row>
    <row r="293" spans="1:62" x14ac:dyDescent="0.2">
      <c r="A293" s="117" t="s">
        <v>253</v>
      </c>
      <c r="B293" s="117" t="s">
        <v>2398</v>
      </c>
      <c r="C293" s="304" t="s">
        <v>1331</v>
      </c>
      <c r="D293" s="305"/>
      <c r="E293" s="305"/>
      <c r="F293" s="117" t="s">
        <v>1646</v>
      </c>
      <c r="G293" s="116">
        <v>24</v>
      </c>
      <c r="H293" s="159"/>
      <c r="I293" s="108">
        <f t="shared" si="318"/>
        <v>0</v>
      </c>
      <c r="J293" s="108">
        <f t="shared" si="319"/>
        <v>0</v>
      </c>
      <c r="K293" s="108">
        <f t="shared" si="320"/>
        <v>0</v>
      </c>
      <c r="L293" s="111"/>
      <c r="Z293" s="100">
        <f t="shared" si="321"/>
        <v>0</v>
      </c>
      <c r="AB293" s="100">
        <f t="shared" si="322"/>
        <v>0</v>
      </c>
      <c r="AC293" s="100">
        <f t="shared" si="323"/>
        <v>0</v>
      </c>
      <c r="AD293" s="100">
        <f t="shared" si="324"/>
        <v>0</v>
      </c>
      <c r="AE293" s="100">
        <f t="shared" si="325"/>
        <v>0</v>
      </c>
      <c r="AF293" s="100">
        <f t="shared" si="326"/>
        <v>0</v>
      </c>
      <c r="AG293" s="100">
        <f t="shared" si="327"/>
        <v>0</v>
      </c>
      <c r="AH293" s="100">
        <f t="shared" si="328"/>
        <v>0</v>
      </c>
      <c r="AI293" s="109"/>
      <c r="AJ293" s="108">
        <f t="shared" si="329"/>
        <v>0</v>
      </c>
      <c r="AK293" s="108">
        <f t="shared" si="330"/>
        <v>0</v>
      </c>
      <c r="AL293" s="108">
        <f t="shared" si="331"/>
        <v>0</v>
      </c>
      <c r="AN293" s="100">
        <v>15</v>
      </c>
      <c r="AO293" s="100">
        <f t="shared" si="332"/>
        <v>0</v>
      </c>
      <c r="AP293" s="100">
        <f t="shared" si="333"/>
        <v>0</v>
      </c>
      <c r="AQ293" s="111" t="s">
        <v>13</v>
      </c>
      <c r="AV293" s="100">
        <f t="shared" si="334"/>
        <v>0</v>
      </c>
      <c r="AW293" s="100">
        <f t="shared" si="335"/>
        <v>0</v>
      </c>
      <c r="AX293" s="100">
        <f t="shared" si="336"/>
        <v>0</v>
      </c>
      <c r="AY293" s="110" t="s">
        <v>1709</v>
      </c>
      <c r="AZ293" s="110" t="s">
        <v>1733</v>
      </c>
      <c r="BA293" s="109" t="s">
        <v>1737</v>
      </c>
      <c r="BC293" s="100">
        <f t="shared" si="337"/>
        <v>0</v>
      </c>
      <c r="BD293" s="100">
        <f t="shared" si="338"/>
        <v>0</v>
      </c>
      <c r="BE293" s="100">
        <v>0</v>
      </c>
      <c r="BF293" s="100">
        <f>293</f>
        <v>293</v>
      </c>
      <c r="BH293" s="108">
        <f t="shared" si="339"/>
        <v>0</v>
      </c>
      <c r="BI293" s="108">
        <f t="shared" si="340"/>
        <v>0</v>
      </c>
      <c r="BJ293" s="108">
        <f t="shared" si="341"/>
        <v>0</v>
      </c>
    </row>
    <row r="294" spans="1:62" x14ac:dyDescent="0.2">
      <c r="A294" s="117" t="s">
        <v>254</v>
      </c>
      <c r="B294" s="117" t="s">
        <v>2397</v>
      </c>
      <c r="C294" s="304" t="s">
        <v>1332</v>
      </c>
      <c r="D294" s="305"/>
      <c r="E294" s="305"/>
      <c r="F294" s="117" t="s">
        <v>1646</v>
      </c>
      <c r="G294" s="116">
        <v>4</v>
      </c>
      <c r="H294" s="159"/>
      <c r="I294" s="108">
        <f t="shared" si="318"/>
        <v>0</v>
      </c>
      <c r="J294" s="108">
        <f t="shared" si="319"/>
        <v>0</v>
      </c>
      <c r="K294" s="108">
        <f t="shared" si="320"/>
        <v>0</v>
      </c>
      <c r="L294" s="111"/>
      <c r="Z294" s="100">
        <f t="shared" si="321"/>
        <v>0</v>
      </c>
      <c r="AB294" s="100">
        <f t="shared" si="322"/>
        <v>0</v>
      </c>
      <c r="AC294" s="100">
        <f t="shared" si="323"/>
        <v>0</v>
      </c>
      <c r="AD294" s="100">
        <f t="shared" si="324"/>
        <v>0</v>
      </c>
      <c r="AE294" s="100">
        <f t="shared" si="325"/>
        <v>0</v>
      </c>
      <c r="AF294" s="100">
        <f t="shared" si="326"/>
        <v>0</v>
      </c>
      <c r="AG294" s="100">
        <f t="shared" si="327"/>
        <v>0</v>
      </c>
      <c r="AH294" s="100">
        <f t="shared" si="328"/>
        <v>0</v>
      </c>
      <c r="AI294" s="109"/>
      <c r="AJ294" s="108">
        <f t="shared" si="329"/>
        <v>0</v>
      </c>
      <c r="AK294" s="108">
        <f t="shared" si="330"/>
        <v>0</v>
      </c>
      <c r="AL294" s="108">
        <f t="shared" si="331"/>
        <v>0</v>
      </c>
      <c r="AN294" s="100">
        <v>15</v>
      </c>
      <c r="AO294" s="100">
        <f t="shared" si="332"/>
        <v>0</v>
      </c>
      <c r="AP294" s="100">
        <f t="shared" si="333"/>
        <v>0</v>
      </c>
      <c r="AQ294" s="111" t="s">
        <v>13</v>
      </c>
      <c r="AV294" s="100">
        <f t="shared" si="334"/>
        <v>0</v>
      </c>
      <c r="AW294" s="100">
        <f t="shared" si="335"/>
        <v>0</v>
      </c>
      <c r="AX294" s="100">
        <f t="shared" si="336"/>
        <v>0</v>
      </c>
      <c r="AY294" s="110" t="s">
        <v>1709</v>
      </c>
      <c r="AZ294" s="110" t="s">
        <v>1733</v>
      </c>
      <c r="BA294" s="109" t="s">
        <v>1737</v>
      </c>
      <c r="BC294" s="100">
        <f t="shared" si="337"/>
        <v>0</v>
      </c>
      <c r="BD294" s="100">
        <f t="shared" si="338"/>
        <v>0</v>
      </c>
      <c r="BE294" s="100">
        <v>0</v>
      </c>
      <c r="BF294" s="100">
        <f>294</f>
        <v>294</v>
      </c>
      <c r="BH294" s="108">
        <f t="shared" si="339"/>
        <v>0</v>
      </c>
      <c r="BI294" s="108">
        <f t="shared" si="340"/>
        <v>0</v>
      </c>
      <c r="BJ294" s="108">
        <f t="shared" si="341"/>
        <v>0</v>
      </c>
    </row>
    <row r="295" spans="1:62" x14ac:dyDescent="0.2">
      <c r="A295" s="117" t="s">
        <v>255</v>
      </c>
      <c r="B295" s="117" t="s">
        <v>2396</v>
      </c>
      <c r="C295" s="304" t="s">
        <v>1333</v>
      </c>
      <c r="D295" s="305"/>
      <c r="E295" s="305"/>
      <c r="F295" s="117" t="s">
        <v>1646</v>
      </c>
      <c r="G295" s="116">
        <v>60</v>
      </c>
      <c r="H295" s="159"/>
      <c r="I295" s="108">
        <f t="shared" si="318"/>
        <v>0</v>
      </c>
      <c r="J295" s="108">
        <f t="shared" si="319"/>
        <v>0</v>
      </c>
      <c r="K295" s="108">
        <f t="shared" si="320"/>
        <v>0</v>
      </c>
      <c r="L295" s="111"/>
      <c r="Z295" s="100">
        <f t="shared" si="321"/>
        <v>0</v>
      </c>
      <c r="AB295" s="100">
        <f t="shared" si="322"/>
        <v>0</v>
      </c>
      <c r="AC295" s="100">
        <f t="shared" si="323"/>
        <v>0</v>
      </c>
      <c r="AD295" s="100">
        <f t="shared" si="324"/>
        <v>0</v>
      </c>
      <c r="AE295" s="100">
        <f t="shared" si="325"/>
        <v>0</v>
      </c>
      <c r="AF295" s="100">
        <f t="shared" si="326"/>
        <v>0</v>
      </c>
      <c r="AG295" s="100">
        <f t="shared" si="327"/>
        <v>0</v>
      </c>
      <c r="AH295" s="100">
        <f t="shared" si="328"/>
        <v>0</v>
      </c>
      <c r="AI295" s="109"/>
      <c r="AJ295" s="108">
        <f t="shared" si="329"/>
        <v>0</v>
      </c>
      <c r="AK295" s="108">
        <f t="shared" si="330"/>
        <v>0</v>
      </c>
      <c r="AL295" s="108">
        <f t="shared" si="331"/>
        <v>0</v>
      </c>
      <c r="AN295" s="100">
        <v>15</v>
      </c>
      <c r="AO295" s="100">
        <f t="shared" si="332"/>
        <v>0</v>
      </c>
      <c r="AP295" s="100">
        <f t="shared" si="333"/>
        <v>0</v>
      </c>
      <c r="AQ295" s="111" t="s">
        <v>13</v>
      </c>
      <c r="AV295" s="100">
        <f t="shared" si="334"/>
        <v>0</v>
      </c>
      <c r="AW295" s="100">
        <f t="shared" si="335"/>
        <v>0</v>
      </c>
      <c r="AX295" s="100">
        <f t="shared" si="336"/>
        <v>0</v>
      </c>
      <c r="AY295" s="110" t="s">
        <v>1709</v>
      </c>
      <c r="AZ295" s="110" t="s">
        <v>1733</v>
      </c>
      <c r="BA295" s="109" t="s">
        <v>1737</v>
      </c>
      <c r="BC295" s="100">
        <f t="shared" si="337"/>
        <v>0</v>
      </c>
      <c r="BD295" s="100">
        <f t="shared" si="338"/>
        <v>0</v>
      </c>
      <c r="BE295" s="100">
        <v>0</v>
      </c>
      <c r="BF295" s="100">
        <f>295</f>
        <v>295</v>
      </c>
      <c r="BH295" s="108">
        <f t="shared" si="339"/>
        <v>0</v>
      </c>
      <c r="BI295" s="108">
        <f t="shared" si="340"/>
        <v>0</v>
      </c>
      <c r="BJ295" s="108">
        <f t="shared" si="341"/>
        <v>0</v>
      </c>
    </row>
    <row r="296" spans="1:62" x14ac:dyDescent="0.2">
      <c r="A296" s="117" t="s">
        <v>256</v>
      </c>
      <c r="B296" s="117" t="s">
        <v>2395</v>
      </c>
      <c r="C296" s="304" t="s">
        <v>1334</v>
      </c>
      <c r="D296" s="305"/>
      <c r="E296" s="305"/>
      <c r="F296" s="117" t="s">
        <v>1646</v>
      </c>
      <c r="G296" s="116">
        <v>24</v>
      </c>
      <c r="H296" s="159"/>
      <c r="I296" s="108">
        <f t="shared" si="318"/>
        <v>0</v>
      </c>
      <c r="J296" s="108">
        <f t="shared" si="319"/>
        <v>0</v>
      </c>
      <c r="K296" s="108">
        <f t="shared" si="320"/>
        <v>0</v>
      </c>
      <c r="L296" s="111"/>
      <c r="Z296" s="100">
        <f t="shared" si="321"/>
        <v>0</v>
      </c>
      <c r="AB296" s="100">
        <f t="shared" si="322"/>
        <v>0</v>
      </c>
      <c r="AC296" s="100">
        <f t="shared" si="323"/>
        <v>0</v>
      </c>
      <c r="AD296" s="100">
        <f t="shared" si="324"/>
        <v>0</v>
      </c>
      <c r="AE296" s="100">
        <f t="shared" si="325"/>
        <v>0</v>
      </c>
      <c r="AF296" s="100">
        <f t="shared" si="326"/>
        <v>0</v>
      </c>
      <c r="AG296" s="100">
        <f t="shared" si="327"/>
        <v>0</v>
      </c>
      <c r="AH296" s="100">
        <f t="shared" si="328"/>
        <v>0</v>
      </c>
      <c r="AI296" s="109"/>
      <c r="AJ296" s="108">
        <f t="shared" si="329"/>
        <v>0</v>
      </c>
      <c r="AK296" s="108">
        <f t="shared" si="330"/>
        <v>0</v>
      </c>
      <c r="AL296" s="108">
        <f t="shared" si="331"/>
        <v>0</v>
      </c>
      <c r="AN296" s="100">
        <v>15</v>
      </c>
      <c r="AO296" s="100">
        <f t="shared" si="332"/>
        <v>0</v>
      </c>
      <c r="AP296" s="100">
        <f t="shared" si="333"/>
        <v>0</v>
      </c>
      <c r="AQ296" s="111" t="s">
        <v>13</v>
      </c>
      <c r="AV296" s="100">
        <f t="shared" si="334"/>
        <v>0</v>
      </c>
      <c r="AW296" s="100">
        <f t="shared" si="335"/>
        <v>0</v>
      </c>
      <c r="AX296" s="100">
        <f t="shared" si="336"/>
        <v>0</v>
      </c>
      <c r="AY296" s="110" t="s">
        <v>1709</v>
      </c>
      <c r="AZ296" s="110" t="s">
        <v>1733</v>
      </c>
      <c r="BA296" s="109" t="s">
        <v>1737</v>
      </c>
      <c r="BC296" s="100">
        <f t="shared" si="337"/>
        <v>0</v>
      </c>
      <c r="BD296" s="100">
        <f t="shared" si="338"/>
        <v>0</v>
      </c>
      <c r="BE296" s="100">
        <v>0</v>
      </c>
      <c r="BF296" s="100">
        <f>296</f>
        <v>296</v>
      </c>
      <c r="BH296" s="108">
        <f t="shared" si="339"/>
        <v>0</v>
      </c>
      <c r="BI296" s="108">
        <f t="shared" si="340"/>
        <v>0</v>
      </c>
      <c r="BJ296" s="108">
        <f t="shared" si="341"/>
        <v>0</v>
      </c>
    </row>
    <row r="297" spans="1:62" x14ac:dyDescent="0.2">
      <c r="A297" s="117" t="s">
        <v>257</v>
      </c>
      <c r="B297" s="117" t="s">
        <v>2394</v>
      </c>
      <c r="C297" s="304" t="s">
        <v>1335</v>
      </c>
      <c r="D297" s="305"/>
      <c r="E297" s="305"/>
      <c r="F297" s="117" t="s">
        <v>1645</v>
      </c>
      <c r="G297" s="116">
        <v>0.7</v>
      </c>
      <c r="H297" s="159"/>
      <c r="I297" s="108">
        <f t="shared" si="318"/>
        <v>0</v>
      </c>
      <c r="J297" s="108">
        <f t="shared" si="319"/>
        <v>0</v>
      </c>
      <c r="K297" s="108">
        <f t="shared" si="320"/>
        <v>0</v>
      </c>
      <c r="L297" s="111"/>
      <c r="Z297" s="100">
        <f t="shared" si="321"/>
        <v>0</v>
      </c>
      <c r="AB297" s="100">
        <f t="shared" si="322"/>
        <v>0</v>
      </c>
      <c r="AC297" s="100">
        <f t="shared" si="323"/>
        <v>0</v>
      </c>
      <c r="AD297" s="100">
        <f t="shared" si="324"/>
        <v>0</v>
      </c>
      <c r="AE297" s="100">
        <f t="shared" si="325"/>
        <v>0</v>
      </c>
      <c r="AF297" s="100">
        <f t="shared" si="326"/>
        <v>0</v>
      </c>
      <c r="AG297" s="100">
        <f t="shared" si="327"/>
        <v>0</v>
      </c>
      <c r="AH297" s="100">
        <f t="shared" si="328"/>
        <v>0</v>
      </c>
      <c r="AI297" s="109"/>
      <c r="AJ297" s="108">
        <f t="shared" si="329"/>
        <v>0</v>
      </c>
      <c r="AK297" s="108">
        <f t="shared" si="330"/>
        <v>0</v>
      </c>
      <c r="AL297" s="108">
        <f t="shared" si="331"/>
        <v>0</v>
      </c>
      <c r="AN297" s="100">
        <v>15</v>
      </c>
      <c r="AO297" s="100">
        <f t="shared" si="332"/>
        <v>0</v>
      </c>
      <c r="AP297" s="100">
        <f t="shared" si="333"/>
        <v>0</v>
      </c>
      <c r="AQ297" s="111" t="s">
        <v>13</v>
      </c>
      <c r="AV297" s="100">
        <f t="shared" si="334"/>
        <v>0</v>
      </c>
      <c r="AW297" s="100">
        <f t="shared" si="335"/>
        <v>0</v>
      </c>
      <c r="AX297" s="100">
        <f t="shared" si="336"/>
        <v>0</v>
      </c>
      <c r="AY297" s="110" t="s">
        <v>1709</v>
      </c>
      <c r="AZ297" s="110" t="s">
        <v>1733</v>
      </c>
      <c r="BA297" s="109" t="s">
        <v>1737</v>
      </c>
      <c r="BC297" s="100">
        <f t="shared" si="337"/>
        <v>0</v>
      </c>
      <c r="BD297" s="100">
        <f t="shared" si="338"/>
        <v>0</v>
      </c>
      <c r="BE297" s="100">
        <v>0</v>
      </c>
      <c r="BF297" s="100">
        <f>297</f>
        <v>297</v>
      </c>
      <c r="BH297" s="108">
        <f t="shared" si="339"/>
        <v>0</v>
      </c>
      <c r="BI297" s="108">
        <f t="shared" si="340"/>
        <v>0</v>
      </c>
      <c r="BJ297" s="108">
        <f t="shared" si="341"/>
        <v>0</v>
      </c>
    </row>
    <row r="298" spans="1:62" x14ac:dyDescent="0.2">
      <c r="A298" s="117" t="s">
        <v>258</v>
      </c>
      <c r="B298" s="117" t="s">
        <v>2393</v>
      </c>
      <c r="C298" s="304" t="s">
        <v>1336</v>
      </c>
      <c r="D298" s="305"/>
      <c r="E298" s="305"/>
      <c r="F298" s="117" t="s">
        <v>1644</v>
      </c>
      <c r="G298" s="116">
        <v>1</v>
      </c>
      <c r="H298" s="159"/>
      <c r="I298" s="108">
        <f t="shared" si="318"/>
        <v>0</v>
      </c>
      <c r="J298" s="108">
        <f t="shared" si="319"/>
        <v>0</v>
      </c>
      <c r="K298" s="108">
        <f t="shared" si="320"/>
        <v>0</v>
      </c>
      <c r="L298" s="111"/>
      <c r="Z298" s="100">
        <f t="shared" si="321"/>
        <v>0</v>
      </c>
      <c r="AB298" s="100">
        <f t="shared" si="322"/>
        <v>0</v>
      </c>
      <c r="AC298" s="100">
        <f t="shared" si="323"/>
        <v>0</v>
      </c>
      <c r="AD298" s="100">
        <f t="shared" si="324"/>
        <v>0</v>
      </c>
      <c r="AE298" s="100">
        <f t="shared" si="325"/>
        <v>0</v>
      </c>
      <c r="AF298" s="100">
        <f t="shared" si="326"/>
        <v>0</v>
      </c>
      <c r="AG298" s="100">
        <f t="shared" si="327"/>
        <v>0</v>
      </c>
      <c r="AH298" s="100">
        <f t="shared" si="328"/>
        <v>0</v>
      </c>
      <c r="AI298" s="109"/>
      <c r="AJ298" s="108">
        <f t="shared" si="329"/>
        <v>0</v>
      </c>
      <c r="AK298" s="108">
        <f t="shared" si="330"/>
        <v>0</v>
      </c>
      <c r="AL298" s="108">
        <f t="shared" si="331"/>
        <v>0</v>
      </c>
      <c r="AN298" s="100">
        <v>15</v>
      </c>
      <c r="AO298" s="100">
        <f t="shared" si="332"/>
        <v>0</v>
      </c>
      <c r="AP298" s="100">
        <f t="shared" si="333"/>
        <v>0</v>
      </c>
      <c r="AQ298" s="111" t="s">
        <v>13</v>
      </c>
      <c r="AV298" s="100">
        <f t="shared" si="334"/>
        <v>0</v>
      </c>
      <c r="AW298" s="100">
        <f t="shared" si="335"/>
        <v>0</v>
      </c>
      <c r="AX298" s="100">
        <f t="shared" si="336"/>
        <v>0</v>
      </c>
      <c r="AY298" s="110" t="s">
        <v>1709</v>
      </c>
      <c r="AZ298" s="110" t="s">
        <v>1733</v>
      </c>
      <c r="BA298" s="109" t="s">
        <v>1737</v>
      </c>
      <c r="BC298" s="100">
        <f t="shared" si="337"/>
        <v>0</v>
      </c>
      <c r="BD298" s="100">
        <f t="shared" si="338"/>
        <v>0</v>
      </c>
      <c r="BE298" s="100">
        <v>0</v>
      </c>
      <c r="BF298" s="100">
        <f>298</f>
        <v>298</v>
      </c>
      <c r="BH298" s="108">
        <f t="shared" si="339"/>
        <v>0</v>
      </c>
      <c r="BI298" s="108">
        <f t="shared" si="340"/>
        <v>0</v>
      </c>
      <c r="BJ298" s="108">
        <f t="shared" si="341"/>
        <v>0</v>
      </c>
    </row>
    <row r="299" spans="1:62" x14ac:dyDescent="0.2">
      <c r="A299" s="117" t="s">
        <v>259</v>
      </c>
      <c r="B299" s="117" t="s">
        <v>2392</v>
      </c>
      <c r="C299" s="304" t="s">
        <v>1337</v>
      </c>
      <c r="D299" s="305"/>
      <c r="E299" s="305"/>
      <c r="F299" s="117" t="s">
        <v>1644</v>
      </c>
      <c r="G299" s="116">
        <v>1</v>
      </c>
      <c r="H299" s="159"/>
      <c r="I299" s="108">
        <f t="shared" si="318"/>
        <v>0</v>
      </c>
      <c r="J299" s="108">
        <f t="shared" si="319"/>
        <v>0</v>
      </c>
      <c r="K299" s="108">
        <f t="shared" si="320"/>
        <v>0</v>
      </c>
      <c r="L299" s="111"/>
      <c r="Z299" s="100">
        <f t="shared" si="321"/>
        <v>0</v>
      </c>
      <c r="AB299" s="100">
        <f t="shared" si="322"/>
        <v>0</v>
      </c>
      <c r="AC299" s="100">
        <f t="shared" si="323"/>
        <v>0</v>
      </c>
      <c r="AD299" s="100">
        <f t="shared" si="324"/>
        <v>0</v>
      </c>
      <c r="AE299" s="100">
        <f t="shared" si="325"/>
        <v>0</v>
      </c>
      <c r="AF299" s="100">
        <f t="shared" si="326"/>
        <v>0</v>
      </c>
      <c r="AG299" s="100">
        <f t="shared" si="327"/>
        <v>0</v>
      </c>
      <c r="AH299" s="100">
        <f t="shared" si="328"/>
        <v>0</v>
      </c>
      <c r="AI299" s="109"/>
      <c r="AJ299" s="108">
        <f t="shared" si="329"/>
        <v>0</v>
      </c>
      <c r="AK299" s="108">
        <f t="shared" si="330"/>
        <v>0</v>
      </c>
      <c r="AL299" s="108">
        <f t="shared" si="331"/>
        <v>0</v>
      </c>
      <c r="AN299" s="100">
        <v>15</v>
      </c>
      <c r="AO299" s="100">
        <f t="shared" si="332"/>
        <v>0</v>
      </c>
      <c r="AP299" s="100">
        <f t="shared" si="333"/>
        <v>0</v>
      </c>
      <c r="AQ299" s="111" t="s">
        <v>13</v>
      </c>
      <c r="AV299" s="100">
        <f t="shared" si="334"/>
        <v>0</v>
      </c>
      <c r="AW299" s="100">
        <f t="shared" si="335"/>
        <v>0</v>
      </c>
      <c r="AX299" s="100">
        <f t="shared" si="336"/>
        <v>0</v>
      </c>
      <c r="AY299" s="110" t="s">
        <v>1709</v>
      </c>
      <c r="AZ299" s="110" t="s">
        <v>1733</v>
      </c>
      <c r="BA299" s="109" t="s">
        <v>1737</v>
      </c>
      <c r="BC299" s="100">
        <f t="shared" si="337"/>
        <v>0</v>
      </c>
      <c r="BD299" s="100">
        <f t="shared" si="338"/>
        <v>0</v>
      </c>
      <c r="BE299" s="100">
        <v>0</v>
      </c>
      <c r="BF299" s="100">
        <f>299</f>
        <v>299</v>
      </c>
      <c r="BH299" s="108">
        <f t="shared" si="339"/>
        <v>0</v>
      </c>
      <c r="BI299" s="108">
        <f t="shared" si="340"/>
        <v>0</v>
      </c>
      <c r="BJ299" s="108">
        <f t="shared" si="341"/>
        <v>0</v>
      </c>
    </row>
    <row r="300" spans="1:62" x14ac:dyDescent="0.2">
      <c r="A300" s="117" t="s">
        <v>260</v>
      </c>
      <c r="B300" s="117" t="s">
        <v>2391</v>
      </c>
      <c r="C300" s="304" t="s">
        <v>1338</v>
      </c>
      <c r="D300" s="305"/>
      <c r="E300" s="305"/>
      <c r="F300" s="117" t="s">
        <v>1644</v>
      </c>
      <c r="G300" s="116">
        <v>1</v>
      </c>
      <c r="H300" s="159"/>
      <c r="I300" s="108">
        <f t="shared" si="318"/>
        <v>0</v>
      </c>
      <c r="J300" s="108">
        <f t="shared" si="319"/>
        <v>0</v>
      </c>
      <c r="K300" s="108">
        <f t="shared" si="320"/>
        <v>0</v>
      </c>
      <c r="L300" s="111"/>
      <c r="Z300" s="100">
        <f t="shared" si="321"/>
        <v>0</v>
      </c>
      <c r="AB300" s="100">
        <f t="shared" si="322"/>
        <v>0</v>
      </c>
      <c r="AC300" s="100">
        <f t="shared" si="323"/>
        <v>0</v>
      </c>
      <c r="AD300" s="100">
        <f t="shared" si="324"/>
        <v>0</v>
      </c>
      <c r="AE300" s="100">
        <f t="shared" si="325"/>
        <v>0</v>
      </c>
      <c r="AF300" s="100">
        <f t="shared" si="326"/>
        <v>0</v>
      </c>
      <c r="AG300" s="100">
        <f t="shared" si="327"/>
        <v>0</v>
      </c>
      <c r="AH300" s="100">
        <f t="shared" si="328"/>
        <v>0</v>
      </c>
      <c r="AI300" s="109"/>
      <c r="AJ300" s="108">
        <f t="shared" si="329"/>
        <v>0</v>
      </c>
      <c r="AK300" s="108">
        <f t="shared" si="330"/>
        <v>0</v>
      </c>
      <c r="AL300" s="108">
        <f t="shared" si="331"/>
        <v>0</v>
      </c>
      <c r="AN300" s="100">
        <v>15</v>
      </c>
      <c r="AO300" s="100">
        <f t="shared" si="332"/>
        <v>0</v>
      </c>
      <c r="AP300" s="100">
        <f t="shared" si="333"/>
        <v>0</v>
      </c>
      <c r="AQ300" s="111" t="s">
        <v>13</v>
      </c>
      <c r="AV300" s="100">
        <f t="shared" si="334"/>
        <v>0</v>
      </c>
      <c r="AW300" s="100">
        <f t="shared" si="335"/>
        <v>0</v>
      </c>
      <c r="AX300" s="100">
        <f t="shared" si="336"/>
        <v>0</v>
      </c>
      <c r="AY300" s="110" t="s">
        <v>1709</v>
      </c>
      <c r="AZ300" s="110" t="s">
        <v>1733</v>
      </c>
      <c r="BA300" s="109" t="s">
        <v>1737</v>
      </c>
      <c r="BC300" s="100">
        <f t="shared" si="337"/>
        <v>0</v>
      </c>
      <c r="BD300" s="100">
        <f t="shared" si="338"/>
        <v>0</v>
      </c>
      <c r="BE300" s="100">
        <v>0</v>
      </c>
      <c r="BF300" s="100">
        <f>300</f>
        <v>300</v>
      </c>
      <c r="BH300" s="108">
        <f t="shared" si="339"/>
        <v>0</v>
      </c>
      <c r="BI300" s="108">
        <f t="shared" si="340"/>
        <v>0</v>
      </c>
      <c r="BJ300" s="108">
        <f t="shared" si="341"/>
        <v>0</v>
      </c>
    </row>
    <row r="301" spans="1:62" x14ac:dyDescent="0.2">
      <c r="A301" s="117" t="s">
        <v>261</v>
      </c>
      <c r="B301" s="117" t="s">
        <v>2390</v>
      </c>
      <c r="C301" s="304" t="s">
        <v>2389</v>
      </c>
      <c r="D301" s="305"/>
      <c r="E301" s="305"/>
      <c r="F301" s="117" t="s">
        <v>1644</v>
      </c>
      <c r="G301" s="116">
        <v>1</v>
      </c>
      <c r="H301" s="159"/>
      <c r="I301" s="108">
        <f t="shared" si="318"/>
        <v>0</v>
      </c>
      <c r="J301" s="108">
        <f t="shared" si="319"/>
        <v>0</v>
      </c>
      <c r="K301" s="108">
        <f t="shared" si="320"/>
        <v>0</v>
      </c>
      <c r="L301" s="111"/>
      <c r="Z301" s="100">
        <f t="shared" si="321"/>
        <v>0</v>
      </c>
      <c r="AB301" s="100">
        <f t="shared" si="322"/>
        <v>0</v>
      </c>
      <c r="AC301" s="100">
        <f t="shared" si="323"/>
        <v>0</v>
      </c>
      <c r="AD301" s="100">
        <f t="shared" si="324"/>
        <v>0</v>
      </c>
      <c r="AE301" s="100">
        <f t="shared" si="325"/>
        <v>0</v>
      </c>
      <c r="AF301" s="100">
        <f t="shared" si="326"/>
        <v>0</v>
      </c>
      <c r="AG301" s="100">
        <f t="shared" si="327"/>
        <v>0</v>
      </c>
      <c r="AH301" s="100">
        <f t="shared" si="328"/>
        <v>0</v>
      </c>
      <c r="AI301" s="109"/>
      <c r="AJ301" s="108">
        <f t="shared" si="329"/>
        <v>0</v>
      </c>
      <c r="AK301" s="108">
        <f t="shared" si="330"/>
        <v>0</v>
      </c>
      <c r="AL301" s="108">
        <f t="shared" si="331"/>
        <v>0</v>
      </c>
      <c r="AN301" s="100">
        <v>15</v>
      </c>
      <c r="AO301" s="100">
        <f t="shared" si="332"/>
        <v>0</v>
      </c>
      <c r="AP301" s="100">
        <f t="shared" si="333"/>
        <v>0</v>
      </c>
      <c r="AQ301" s="111" t="s">
        <v>13</v>
      </c>
      <c r="AV301" s="100">
        <f t="shared" si="334"/>
        <v>0</v>
      </c>
      <c r="AW301" s="100">
        <f t="shared" si="335"/>
        <v>0</v>
      </c>
      <c r="AX301" s="100">
        <f t="shared" si="336"/>
        <v>0</v>
      </c>
      <c r="AY301" s="110" t="s">
        <v>1709</v>
      </c>
      <c r="AZ301" s="110" t="s">
        <v>1733</v>
      </c>
      <c r="BA301" s="109" t="s">
        <v>1737</v>
      </c>
      <c r="BC301" s="100">
        <f t="shared" si="337"/>
        <v>0</v>
      </c>
      <c r="BD301" s="100">
        <f t="shared" si="338"/>
        <v>0</v>
      </c>
      <c r="BE301" s="100">
        <v>0</v>
      </c>
      <c r="BF301" s="100">
        <f>301</f>
        <v>301</v>
      </c>
      <c r="BH301" s="108">
        <f t="shared" si="339"/>
        <v>0</v>
      </c>
      <c r="BI301" s="108">
        <f t="shared" si="340"/>
        <v>0</v>
      </c>
      <c r="BJ301" s="108">
        <f t="shared" si="341"/>
        <v>0</v>
      </c>
    </row>
    <row r="302" spans="1:62" x14ac:dyDescent="0.2">
      <c r="A302" s="117" t="s">
        <v>262</v>
      </c>
      <c r="B302" s="117" t="s">
        <v>2388</v>
      </c>
      <c r="C302" s="304" t="s">
        <v>1341</v>
      </c>
      <c r="D302" s="305"/>
      <c r="E302" s="305"/>
      <c r="F302" s="117" t="s">
        <v>1644</v>
      </c>
      <c r="G302" s="116">
        <v>1</v>
      </c>
      <c r="H302" s="159"/>
      <c r="I302" s="108">
        <f t="shared" si="318"/>
        <v>0</v>
      </c>
      <c r="J302" s="108">
        <f t="shared" si="319"/>
        <v>0</v>
      </c>
      <c r="K302" s="108">
        <f t="shared" si="320"/>
        <v>0</v>
      </c>
      <c r="L302" s="111"/>
      <c r="Z302" s="100">
        <f t="shared" si="321"/>
        <v>0</v>
      </c>
      <c r="AB302" s="100">
        <f t="shared" si="322"/>
        <v>0</v>
      </c>
      <c r="AC302" s="100">
        <f t="shared" si="323"/>
        <v>0</v>
      </c>
      <c r="AD302" s="100">
        <f t="shared" si="324"/>
        <v>0</v>
      </c>
      <c r="AE302" s="100">
        <f t="shared" si="325"/>
        <v>0</v>
      </c>
      <c r="AF302" s="100">
        <f t="shared" si="326"/>
        <v>0</v>
      </c>
      <c r="AG302" s="100">
        <f t="shared" si="327"/>
        <v>0</v>
      </c>
      <c r="AH302" s="100">
        <f t="shared" si="328"/>
        <v>0</v>
      </c>
      <c r="AI302" s="109"/>
      <c r="AJ302" s="108">
        <f t="shared" si="329"/>
        <v>0</v>
      </c>
      <c r="AK302" s="108">
        <f t="shared" si="330"/>
        <v>0</v>
      </c>
      <c r="AL302" s="108">
        <f t="shared" si="331"/>
        <v>0</v>
      </c>
      <c r="AN302" s="100">
        <v>15</v>
      </c>
      <c r="AO302" s="100">
        <f t="shared" si="332"/>
        <v>0</v>
      </c>
      <c r="AP302" s="100">
        <f t="shared" si="333"/>
        <v>0</v>
      </c>
      <c r="AQ302" s="111" t="s">
        <v>13</v>
      </c>
      <c r="AV302" s="100">
        <f t="shared" si="334"/>
        <v>0</v>
      </c>
      <c r="AW302" s="100">
        <f t="shared" si="335"/>
        <v>0</v>
      </c>
      <c r="AX302" s="100">
        <f t="shared" si="336"/>
        <v>0</v>
      </c>
      <c r="AY302" s="110" t="s">
        <v>1709</v>
      </c>
      <c r="AZ302" s="110" t="s">
        <v>1733</v>
      </c>
      <c r="BA302" s="109" t="s">
        <v>1737</v>
      </c>
      <c r="BC302" s="100">
        <f t="shared" si="337"/>
        <v>0</v>
      </c>
      <c r="BD302" s="100">
        <f t="shared" si="338"/>
        <v>0</v>
      </c>
      <c r="BE302" s="100">
        <v>0</v>
      </c>
      <c r="BF302" s="100">
        <f>302</f>
        <v>302</v>
      </c>
      <c r="BH302" s="108">
        <f t="shared" si="339"/>
        <v>0</v>
      </c>
      <c r="BI302" s="108">
        <f t="shared" si="340"/>
        <v>0</v>
      </c>
      <c r="BJ302" s="108">
        <f t="shared" si="341"/>
        <v>0</v>
      </c>
    </row>
    <row r="303" spans="1:62" x14ac:dyDescent="0.2">
      <c r="A303" s="117" t="s">
        <v>263</v>
      </c>
      <c r="B303" s="117" t="s">
        <v>2387</v>
      </c>
      <c r="C303" s="304" t="s">
        <v>1342</v>
      </c>
      <c r="D303" s="305"/>
      <c r="E303" s="305"/>
      <c r="F303" s="117" t="s">
        <v>1646</v>
      </c>
      <c r="G303" s="116">
        <v>5</v>
      </c>
      <c r="H303" s="159"/>
      <c r="I303" s="108">
        <f t="shared" si="318"/>
        <v>0</v>
      </c>
      <c r="J303" s="108">
        <f t="shared" si="319"/>
        <v>0</v>
      </c>
      <c r="K303" s="108">
        <f t="shared" si="320"/>
        <v>0</v>
      </c>
      <c r="L303" s="111"/>
      <c r="Z303" s="100">
        <f t="shared" si="321"/>
        <v>0</v>
      </c>
      <c r="AB303" s="100">
        <f t="shared" si="322"/>
        <v>0</v>
      </c>
      <c r="AC303" s="100">
        <f t="shared" si="323"/>
        <v>0</v>
      </c>
      <c r="AD303" s="100">
        <f t="shared" si="324"/>
        <v>0</v>
      </c>
      <c r="AE303" s="100">
        <f t="shared" si="325"/>
        <v>0</v>
      </c>
      <c r="AF303" s="100">
        <f t="shared" si="326"/>
        <v>0</v>
      </c>
      <c r="AG303" s="100">
        <f t="shared" si="327"/>
        <v>0</v>
      </c>
      <c r="AH303" s="100">
        <f t="shared" si="328"/>
        <v>0</v>
      </c>
      <c r="AI303" s="109"/>
      <c r="AJ303" s="108">
        <f t="shared" si="329"/>
        <v>0</v>
      </c>
      <c r="AK303" s="108">
        <f t="shared" si="330"/>
        <v>0</v>
      </c>
      <c r="AL303" s="108">
        <f t="shared" si="331"/>
        <v>0</v>
      </c>
      <c r="AN303" s="100">
        <v>15</v>
      </c>
      <c r="AO303" s="100">
        <f t="shared" si="332"/>
        <v>0</v>
      </c>
      <c r="AP303" s="100">
        <f t="shared" si="333"/>
        <v>0</v>
      </c>
      <c r="AQ303" s="111" t="s">
        <v>13</v>
      </c>
      <c r="AV303" s="100">
        <f t="shared" si="334"/>
        <v>0</v>
      </c>
      <c r="AW303" s="100">
        <f t="shared" si="335"/>
        <v>0</v>
      </c>
      <c r="AX303" s="100">
        <f t="shared" si="336"/>
        <v>0</v>
      </c>
      <c r="AY303" s="110" t="s">
        <v>1709</v>
      </c>
      <c r="AZ303" s="110" t="s">
        <v>1733</v>
      </c>
      <c r="BA303" s="109" t="s">
        <v>1737</v>
      </c>
      <c r="BC303" s="100">
        <f t="shared" si="337"/>
        <v>0</v>
      </c>
      <c r="BD303" s="100">
        <f t="shared" si="338"/>
        <v>0</v>
      </c>
      <c r="BE303" s="100">
        <v>0</v>
      </c>
      <c r="BF303" s="100">
        <f>303</f>
        <v>303</v>
      </c>
      <c r="BH303" s="108">
        <f t="shared" si="339"/>
        <v>0</v>
      </c>
      <c r="BI303" s="108">
        <f t="shared" si="340"/>
        <v>0</v>
      </c>
      <c r="BJ303" s="108">
        <f t="shared" si="341"/>
        <v>0</v>
      </c>
    </row>
    <row r="304" spans="1:62" x14ac:dyDescent="0.2">
      <c r="A304" s="117" t="s">
        <v>264</v>
      </c>
      <c r="B304" s="117" t="s">
        <v>2386</v>
      </c>
      <c r="C304" s="304" t="s">
        <v>1343</v>
      </c>
      <c r="D304" s="305"/>
      <c r="E304" s="305"/>
      <c r="F304" s="117" t="s">
        <v>1646</v>
      </c>
      <c r="G304" s="116">
        <v>9</v>
      </c>
      <c r="H304" s="159"/>
      <c r="I304" s="108">
        <f t="shared" si="318"/>
        <v>0</v>
      </c>
      <c r="J304" s="108">
        <f t="shared" si="319"/>
        <v>0</v>
      </c>
      <c r="K304" s="108">
        <f t="shared" si="320"/>
        <v>0</v>
      </c>
      <c r="L304" s="111"/>
      <c r="Z304" s="100">
        <f t="shared" si="321"/>
        <v>0</v>
      </c>
      <c r="AB304" s="100">
        <f t="shared" si="322"/>
        <v>0</v>
      </c>
      <c r="AC304" s="100">
        <f t="shared" si="323"/>
        <v>0</v>
      </c>
      <c r="AD304" s="100">
        <f t="shared" si="324"/>
        <v>0</v>
      </c>
      <c r="AE304" s="100">
        <f t="shared" si="325"/>
        <v>0</v>
      </c>
      <c r="AF304" s="100">
        <f t="shared" si="326"/>
        <v>0</v>
      </c>
      <c r="AG304" s="100">
        <f t="shared" si="327"/>
        <v>0</v>
      </c>
      <c r="AH304" s="100">
        <f t="shared" si="328"/>
        <v>0</v>
      </c>
      <c r="AI304" s="109"/>
      <c r="AJ304" s="108">
        <f t="shared" si="329"/>
        <v>0</v>
      </c>
      <c r="AK304" s="108">
        <f t="shared" si="330"/>
        <v>0</v>
      </c>
      <c r="AL304" s="108">
        <f t="shared" si="331"/>
        <v>0</v>
      </c>
      <c r="AN304" s="100">
        <v>15</v>
      </c>
      <c r="AO304" s="100">
        <f t="shared" si="332"/>
        <v>0</v>
      </c>
      <c r="AP304" s="100">
        <f t="shared" si="333"/>
        <v>0</v>
      </c>
      <c r="AQ304" s="111" t="s">
        <v>13</v>
      </c>
      <c r="AV304" s="100">
        <f t="shared" si="334"/>
        <v>0</v>
      </c>
      <c r="AW304" s="100">
        <f t="shared" si="335"/>
        <v>0</v>
      </c>
      <c r="AX304" s="100">
        <f t="shared" si="336"/>
        <v>0</v>
      </c>
      <c r="AY304" s="110" t="s">
        <v>1709</v>
      </c>
      <c r="AZ304" s="110" t="s">
        <v>1733</v>
      </c>
      <c r="BA304" s="109" t="s">
        <v>1737</v>
      </c>
      <c r="BC304" s="100">
        <f t="shared" si="337"/>
        <v>0</v>
      </c>
      <c r="BD304" s="100">
        <f t="shared" si="338"/>
        <v>0</v>
      </c>
      <c r="BE304" s="100">
        <v>0</v>
      </c>
      <c r="BF304" s="100">
        <f>304</f>
        <v>304</v>
      </c>
      <c r="BH304" s="108">
        <f t="shared" si="339"/>
        <v>0</v>
      </c>
      <c r="BI304" s="108">
        <f t="shared" si="340"/>
        <v>0</v>
      </c>
      <c r="BJ304" s="108">
        <f t="shared" si="341"/>
        <v>0</v>
      </c>
    </row>
    <row r="305" spans="1:62" x14ac:dyDescent="0.2">
      <c r="A305" s="117" t="s">
        <v>265</v>
      </c>
      <c r="B305" s="117" t="s">
        <v>2385</v>
      </c>
      <c r="C305" s="304" t="s">
        <v>1344</v>
      </c>
      <c r="D305" s="305"/>
      <c r="E305" s="305"/>
      <c r="F305" s="117" t="s">
        <v>1646</v>
      </c>
      <c r="G305" s="116">
        <v>20</v>
      </c>
      <c r="H305" s="159"/>
      <c r="I305" s="108">
        <f t="shared" si="318"/>
        <v>0</v>
      </c>
      <c r="J305" s="108">
        <f t="shared" si="319"/>
        <v>0</v>
      </c>
      <c r="K305" s="108">
        <f t="shared" si="320"/>
        <v>0</v>
      </c>
      <c r="L305" s="111"/>
      <c r="Z305" s="100">
        <f t="shared" si="321"/>
        <v>0</v>
      </c>
      <c r="AB305" s="100">
        <f t="shared" si="322"/>
        <v>0</v>
      </c>
      <c r="AC305" s="100">
        <f t="shared" si="323"/>
        <v>0</v>
      </c>
      <c r="AD305" s="100">
        <f t="shared" si="324"/>
        <v>0</v>
      </c>
      <c r="AE305" s="100">
        <f t="shared" si="325"/>
        <v>0</v>
      </c>
      <c r="AF305" s="100">
        <f t="shared" si="326"/>
        <v>0</v>
      </c>
      <c r="AG305" s="100">
        <f t="shared" si="327"/>
        <v>0</v>
      </c>
      <c r="AH305" s="100">
        <f t="shared" si="328"/>
        <v>0</v>
      </c>
      <c r="AI305" s="109"/>
      <c r="AJ305" s="108">
        <f t="shared" si="329"/>
        <v>0</v>
      </c>
      <c r="AK305" s="108">
        <f t="shared" si="330"/>
        <v>0</v>
      </c>
      <c r="AL305" s="108">
        <f t="shared" si="331"/>
        <v>0</v>
      </c>
      <c r="AN305" s="100">
        <v>15</v>
      </c>
      <c r="AO305" s="100">
        <f t="shared" si="332"/>
        <v>0</v>
      </c>
      <c r="AP305" s="100">
        <f t="shared" si="333"/>
        <v>0</v>
      </c>
      <c r="AQ305" s="111" t="s">
        <v>13</v>
      </c>
      <c r="AV305" s="100">
        <f t="shared" si="334"/>
        <v>0</v>
      </c>
      <c r="AW305" s="100">
        <f t="shared" si="335"/>
        <v>0</v>
      </c>
      <c r="AX305" s="100">
        <f t="shared" si="336"/>
        <v>0</v>
      </c>
      <c r="AY305" s="110" t="s">
        <v>1709</v>
      </c>
      <c r="AZ305" s="110" t="s">
        <v>1733</v>
      </c>
      <c r="BA305" s="109" t="s">
        <v>1737</v>
      </c>
      <c r="BC305" s="100">
        <f t="shared" si="337"/>
        <v>0</v>
      </c>
      <c r="BD305" s="100">
        <f t="shared" si="338"/>
        <v>0</v>
      </c>
      <c r="BE305" s="100">
        <v>0</v>
      </c>
      <c r="BF305" s="100">
        <f>305</f>
        <v>305</v>
      </c>
      <c r="BH305" s="108">
        <f t="shared" si="339"/>
        <v>0</v>
      </c>
      <c r="BI305" s="108">
        <f t="shared" si="340"/>
        <v>0</v>
      </c>
      <c r="BJ305" s="108">
        <f t="shared" si="341"/>
        <v>0</v>
      </c>
    </row>
    <row r="306" spans="1:62" x14ac:dyDescent="0.2">
      <c r="A306" s="117" t="s">
        <v>266</v>
      </c>
      <c r="B306" s="117" t="s">
        <v>2384</v>
      </c>
      <c r="C306" s="304" t="s">
        <v>1345</v>
      </c>
      <c r="D306" s="305"/>
      <c r="E306" s="305"/>
      <c r="F306" s="117" t="s">
        <v>1646</v>
      </c>
      <c r="G306" s="116">
        <v>20</v>
      </c>
      <c r="H306" s="159"/>
      <c r="I306" s="108">
        <f t="shared" ref="I306:I316" si="342">G306*AO306</f>
        <v>0</v>
      </c>
      <c r="J306" s="108">
        <f t="shared" ref="J306:J316" si="343">G306*AP306</f>
        <v>0</v>
      </c>
      <c r="K306" s="108">
        <f t="shared" ref="K306:K316" si="344">G306*H306</f>
        <v>0</v>
      </c>
      <c r="L306" s="111"/>
      <c r="Z306" s="100">
        <f t="shared" ref="Z306:Z316" si="345">IF(AQ306="5",BJ306,0)</f>
        <v>0</v>
      </c>
      <c r="AB306" s="100">
        <f t="shared" ref="AB306:AB316" si="346">IF(AQ306="1",BH306,0)</f>
        <v>0</v>
      </c>
      <c r="AC306" s="100">
        <f t="shared" ref="AC306:AC316" si="347">IF(AQ306="1",BI306,0)</f>
        <v>0</v>
      </c>
      <c r="AD306" s="100">
        <f t="shared" ref="AD306:AD316" si="348">IF(AQ306="7",BH306,0)</f>
        <v>0</v>
      </c>
      <c r="AE306" s="100">
        <f t="shared" ref="AE306:AE316" si="349">IF(AQ306="7",BI306,0)</f>
        <v>0</v>
      </c>
      <c r="AF306" s="100">
        <f t="shared" ref="AF306:AF316" si="350">IF(AQ306="2",BH306,0)</f>
        <v>0</v>
      </c>
      <c r="AG306" s="100">
        <f t="shared" ref="AG306:AG316" si="351">IF(AQ306="2",BI306,0)</f>
        <v>0</v>
      </c>
      <c r="AH306" s="100">
        <f t="shared" ref="AH306:AH316" si="352">IF(AQ306="0",BJ306,0)</f>
        <v>0</v>
      </c>
      <c r="AI306" s="109"/>
      <c r="AJ306" s="108">
        <f t="shared" ref="AJ306:AJ316" si="353">IF(AN306=0,K306,0)</f>
        <v>0</v>
      </c>
      <c r="AK306" s="108">
        <f t="shared" ref="AK306:AK316" si="354">IF(AN306=15,K306,0)</f>
        <v>0</v>
      </c>
      <c r="AL306" s="108">
        <f t="shared" ref="AL306:AL316" si="355">IF(AN306=21,K306,0)</f>
        <v>0</v>
      </c>
      <c r="AN306" s="100">
        <v>15</v>
      </c>
      <c r="AO306" s="100">
        <f t="shared" ref="AO306:AO316" si="356">H306*0</f>
        <v>0</v>
      </c>
      <c r="AP306" s="100">
        <f t="shared" ref="AP306:AP316" si="357">H306*(1-0)</f>
        <v>0</v>
      </c>
      <c r="AQ306" s="111" t="s">
        <v>13</v>
      </c>
      <c r="AV306" s="100">
        <f t="shared" ref="AV306:AV316" si="358">AW306+AX306</f>
        <v>0</v>
      </c>
      <c r="AW306" s="100">
        <f t="shared" ref="AW306:AW316" si="359">G306*AO306</f>
        <v>0</v>
      </c>
      <c r="AX306" s="100">
        <f t="shared" ref="AX306:AX316" si="360">G306*AP306</f>
        <v>0</v>
      </c>
      <c r="AY306" s="110" t="s">
        <v>1709</v>
      </c>
      <c r="AZ306" s="110" t="s">
        <v>1733</v>
      </c>
      <c r="BA306" s="109" t="s">
        <v>1737</v>
      </c>
      <c r="BC306" s="100">
        <f t="shared" ref="BC306:BC316" si="361">AW306+AX306</f>
        <v>0</v>
      </c>
      <c r="BD306" s="100">
        <f t="shared" ref="BD306:BD316" si="362">H306/(100-BE306)*100</f>
        <v>0</v>
      </c>
      <c r="BE306" s="100">
        <v>0</v>
      </c>
      <c r="BF306" s="100">
        <f>306</f>
        <v>306</v>
      </c>
      <c r="BH306" s="108">
        <f t="shared" ref="BH306:BH316" si="363">G306*AO306</f>
        <v>0</v>
      </c>
      <c r="BI306" s="108">
        <f t="shared" ref="BI306:BI316" si="364">G306*AP306</f>
        <v>0</v>
      </c>
      <c r="BJ306" s="108">
        <f t="shared" ref="BJ306:BJ316" si="365">G306*H306</f>
        <v>0</v>
      </c>
    </row>
    <row r="307" spans="1:62" x14ac:dyDescent="0.2">
      <c r="A307" s="117" t="s">
        <v>267</v>
      </c>
      <c r="B307" s="117" t="s">
        <v>2383</v>
      </c>
      <c r="C307" s="304" t="s">
        <v>1346</v>
      </c>
      <c r="D307" s="305"/>
      <c r="E307" s="305"/>
      <c r="F307" s="117" t="s">
        <v>1644</v>
      </c>
      <c r="G307" s="116">
        <v>1</v>
      </c>
      <c r="H307" s="159"/>
      <c r="I307" s="108">
        <f t="shared" si="342"/>
        <v>0</v>
      </c>
      <c r="J307" s="108">
        <f t="shared" si="343"/>
        <v>0</v>
      </c>
      <c r="K307" s="108">
        <f t="shared" si="344"/>
        <v>0</v>
      </c>
      <c r="L307" s="111"/>
      <c r="Z307" s="100">
        <f t="shared" si="345"/>
        <v>0</v>
      </c>
      <c r="AB307" s="100">
        <f t="shared" si="346"/>
        <v>0</v>
      </c>
      <c r="AC307" s="100">
        <f t="shared" si="347"/>
        <v>0</v>
      </c>
      <c r="AD307" s="100">
        <f t="shared" si="348"/>
        <v>0</v>
      </c>
      <c r="AE307" s="100">
        <f t="shared" si="349"/>
        <v>0</v>
      </c>
      <c r="AF307" s="100">
        <f t="shared" si="350"/>
        <v>0</v>
      </c>
      <c r="AG307" s="100">
        <f t="shared" si="351"/>
        <v>0</v>
      </c>
      <c r="AH307" s="100">
        <f t="shared" si="352"/>
        <v>0</v>
      </c>
      <c r="AI307" s="109"/>
      <c r="AJ307" s="108">
        <f t="shared" si="353"/>
        <v>0</v>
      </c>
      <c r="AK307" s="108">
        <f t="shared" si="354"/>
        <v>0</v>
      </c>
      <c r="AL307" s="108">
        <f t="shared" si="355"/>
        <v>0</v>
      </c>
      <c r="AN307" s="100">
        <v>15</v>
      </c>
      <c r="AO307" s="100">
        <f t="shared" si="356"/>
        <v>0</v>
      </c>
      <c r="AP307" s="100">
        <f t="shared" si="357"/>
        <v>0</v>
      </c>
      <c r="AQ307" s="111" t="s">
        <v>13</v>
      </c>
      <c r="AV307" s="100">
        <f t="shared" si="358"/>
        <v>0</v>
      </c>
      <c r="AW307" s="100">
        <f t="shared" si="359"/>
        <v>0</v>
      </c>
      <c r="AX307" s="100">
        <f t="shared" si="360"/>
        <v>0</v>
      </c>
      <c r="AY307" s="110" t="s">
        <v>1709</v>
      </c>
      <c r="AZ307" s="110" t="s">
        <v>1733</v>
      </c>
      <c r="BA307" s="109" t="s">
        <v>1737</v>
      </c>
      <c r="BC307" s="100">
        <f t="shared" si="361"/>
        <v>0</v>
      </c>
      <c r="BD307" s="100">
        <f t="shared" si="362"/>
        <v>0</v>
      </c>
      <c r="BE307" s="100">
        <v>0</v>
      </c>
      <c r="BF307" s="100">
        <f>307</f>
        <v>307</v>
      </c>
      <c r="BH307" s="108">
        <f t="shared" si="363"/>
        <v>0</v>
      </c>
      <c r="BI307" s="108">
        <f t="shared" si="364"/>
        <v>0</v>
      </c>
      <c r="BJ307" s="108">
        <f t="shared" si="365"/>
        <v>0</v>
      </c>
    </row>
    <row r="308" spans="1:62" x14ac:dyDescent="0.2">
      <c r="A308" s="117" t="s">
        <v>268</v>
      </c>
      <c r="B308" s="117" t="s">
        <v>2382</v>
      </c>
      <c r="C308" s="304" t="s">
        <v>1253</v>
      </c>
      <c r="D308" s="305"/>
      <c r="E308" s="305"/>
      <c r="F308" s="117" t="s">
        <v>1644</v>
      </c>
      <c r="G308" s="116">
        <v>1</v>
      </c>
      <c r="H308" s="159"/>
      <c r="I308" s="108">
        <f t="shared" si="342"/>
        <v>0</v>
      </c>
      <c r="J308" s="108">
        <f t="shared" si="343"/>
        <v>0</v>
      </c>
      <c r="K308" s="108">
        <f t="shared" si="344"/>
        <v>0</v>
      </c>
      <c r="L308" s="111"/>
      <c r="Z308" s="100">
        <f t="shared" si="345"/>
        <v>0</v>
      </c>
      <c r="AB308" s="100">
        <f t="shared" si="346"/>
        <v>0</v>
      </c>
      <c r="AC308" s="100">
        <f t="shared" si="347"/>
        <v>0</v>
      </c>
      <c r="AD308" s="100">
        <f t="shared" si="348"/>
        <v>0</v>
      </c>
      <c r="AE308" s="100">
        <f t="shared" si="349"/>
        <v>0</v>
      </c>
      <c r="AF308" s="100">
        <f t="shared" si="350"/>
        <v>0</v>
      </c>
      <c r="AG308" s="100">
        <f t="shared" si="351"/>
        <v>0</v>
      </c>
      <c r="AH308" s="100">
        <f t="shared" si="352"/>
        <v>0</v>
      </c>
      <c r="AI308" s="109"/>
      <c r="AJ308" s="108">
        <f t="shared" si="353"/>
        <v>0</v>
      </c>
      <c r="AK308" s="108">
        <f t="shared" si="354"/>
        <v>0</v>
      </c>
      <c r="AL308" s="108">
        <f t="shared" si="355"/>
        <v>0</v>
      </c>
      <c r="AN308" s="100">
        <v>15</v>
      </c>
      <c r="AO308" s="100">
        <f t="shared" si="356"/>
        <v>0</v>
      </c>
      <c r="AP308" s="100">
        <f t="shared" si="357"/>
        <v>0</v>
      </c>
      <c r="AQ308" s="111" t="s">
        <v>13</v>
      </c>
      <c r="AV308" s="100">
        <f t="shared" si="358"/>
        <v>0</v>
      </c>
      <c r="AW308" s="100">
        <f t="shared" si="359"/>
        <v>0</v>
      </c>
      <c r="AX308" s="100">
        <f t="shared" si="360"/>
        <v>0</v>
      </c>
      <c r="AY308" s="110" t="s">
        <v>1709</v>
      </c>
      <c r="AZ308" s="110" t="s">
        <v>1733</v>
      </c>
      <c r="BA308" s="109" t="s">
        <v>1737</v>
      </c>
      <c r="BC308" s="100">
        <f t="shared" si="361"/>
        <v>0</v>
      </c>
      <c r="BD308" s="100">
        <f t="shared" si="362"/>
        <v>0</v>
      </c>
      <c r="BE308" s="100">
        <v>0</v>
      </c>
      <c r="BF308" s="100">
        <f>308</f>
        <v>308</v>
      </c>
      <c r="BH308" s="108">
        <f t="shared" si="363"/>
        <v>0</v>
      </c>
      <c r="BI308" s="108">
        <f t="shared" si="364"/>
        <v>0</v>
      </c>
      <c r="BJ308" s="108">
        <f t="shared" si="365"/>
        <v>0</v>
      </c>
    </row>
    <row r="309" spans="1:62" x14ac:dyDescent="0.2">
      <c r="A309" s="117" t="s">
        <v>269</v>
      </c>
      <c r="B309" s="117" t="s">
        <v>2381</v>
      </c>
      <c r="C309" s="304" t="s">
        <v>1347</v>
      </c>
      <c r="D309" s="305"/>
      <c r="E309" s="305"/>
      <c r="F309" s="117" t="s">
        <v>1646</v>
      </c>
      <c r="G309" s="116">
        <v>103</v>
      </c>
      <c r="H309" s="159"/>
      <c r="I309" s="108">
        <f t="shared" si="342"/>
        <v>0</v>
      </c>
      <c r="J309" s="108">
        <f t="shared" si="343"/>
        <v>0</v>
      </c>
      <c r="K309" s="108">
        <f t="shared" si="344"/>
        <v>0</v>
      </c>
      <c r="L309" s="111"/>
      <c r="Z309" s="100">
        <f t="shared" si="345"/>
        <v>0</v>
      </c>
      <c r="AB309" s="100">
        <f t="shared" si="346"/>
        <v>0</v>
      </c>
      <c r="AC309" s="100">
        <f t="shared" si="347"/>
        <v>0</v>
      </c>
      <c r="AD309" s="100">
        <f t="shared" si="348"/>
        <v>0</v>
      </c>
      <c r="AE309" s="100">
        <f t="shared" si="349"/>
        <v>0</v>
      </c>
      <c r="AF309" s="100">
        <f t="shared" si="350"/>
        <v>0</v>
      </c>
      <c r="AG309" s="100">
        <f t="shared" si="351"/>
        <v>0</v>
      </c>
      <c r="AH309" s="100">
        <f t="shared" si="352"/>
        <v>0</v>
      </c>
      <c r="AI309" s="109"/>
      <c r="AJ309" s="108">
        <f t="shared" si="353"/>
        <v>0</v>
      </c>
      <c r="AK309" s="108">
        <f t="shared" si="354"/>
        <v>0</v>
      </c>
      <c r="AL309" s="108">
        <f t="shared" si="355"/>
        <v>0</v>
      </c>
      <c r="AN309" s="100">
        <v>15</v>
      </c>
      <c r="AO309" s="100">
        <f t="shared" si="356"/>
        <v>0</v>
      </c>
      <c r="AP309" s="100">
        <f t="shared" si="357"/>
        <v>0</v>
      </c>
      <c r="AQ309" s="111" t="s">
        <v>13</v>
      </c>
      <c r="AV309" s="100">
        <f t="shared" si="358"/>
        <v>0</v>
      </c>
      <c r="AW309" s="100">
        <f t="shared" si="359"/>
        <v>0</v>
      </c>
      <c r="AX309" s="100">
        <f t="shared" si="360"/>
        <v>0</v>
      </c>
      <c r="AY309" s="110" t="s">
        <v>1709</v>
      </c>
      <c r="AZ309" s="110" t="s">
        <v>1733</v>
      </c>
      <c r="BA309" s="109" t="s">
        <v>1737</v>
      </c>
      <c r="BC309" s="100">
        <f t="shared" si="361"/>
        <v>0</v>
      </c>
      <c r="BD309" s="100">
        <f t="shared" si="362"/>
        <v>0</v>
      </c>
      <c r="BE309" s="100">
        <v>0</v>
      </c>
      <c r="BF309" s="100">
        <f>309</f>
        <v>309</v>
      </c>
      <c r="BH309" s="108">
        <f t="shared" si="363"/>
        <v>0</v>
      </c>
      <c r="BI309" s="108">
        <f t="shared" si="364"/>
        <v>0</v>
      </c>
      <c r="BJ309" s="108">
        <f t="shared" si="365"/>
        <v>0</v>
      </c>
    </row>
    <row r="310" spans="1:62" x14ac:dyDescent="0.2">
      <c r="A310" s="117" t="s">
        <v>270</v>
      </c>
      <c r="B310" s="117" t="s">
        <v>2380</v>
      </c>
      <c r="C310" s="304" t="s">
        <v>1348</v>
      </c>
      <c r="D310" s="305"/>
      <c r="E310" s="305"/>
      <c r="F310" s="117" t="s">
        <v>1644</v>
      </c>
      <c r="G310" s="116">
        <v>1</v>
      </c>
      <c r="H310" s="159"/>
      <c r="I310" s="108">
        <f t="shared" si="342"/>
        <v>0</v>
      </c>
      <c r="J310" s="108">
        <f t="shared" si="343"/>
        <v>0</v>
      </c>
      <c r="K310" s="108">
        <f t="shared" si="344"/>
        <v>0</v>
      </c>
      <c r="L310" s="111"/>
      <c r="Z310" s="100">
        <f t="shared" si="345"/>
        <v>0</v>
      </c>
      <c r="AB310" s="100">
        <f t="shared" si="346"/>
        <v>0</v>
      </c>
      <c r="AC310" s="100">
        <f t="shared" si="347"/>
        <v>0</v>
      </c>
      <c r="AD310" s="100">
        <f t="shared" si="348"/>
        <v>0</v>
      </c>
      <c r="AE310" s="100">
        <f t="shared" si="349"/>
        <v>0</v>
      </c>
      <c r="AF310" s="100">
        <f t="shared" si="350"/>
        <v>0</v>
      </c>
      <c r="AG310" s="100">
        <f t="shared" si="351"/>
        <v>0</v>
      </c>
      <c r="AH310" s="100">
        <f t="shared" si="352"/>
        <v>0</v>
      </c>
      <c r="AI310" s="109"/>
      <c r="AJ310" s="108">
        <f t="shared" si="353"/>
        <v>0</v>
      </c>
      <c r="AK310" s="108">
        <f t="shared" si="354"/>
        <v>0</v>
      </c>
      <c r="AL310" s="108">
        <f t="shared" si="355"/>
        <v>0</v>
      </c>
      <c r="AN310" s="100">
        <v>15</v>
      </c>
      <c r="AO310" s="100">
        <f t="shared" si="356"/>
        <v>0</v>
      </c>
      <c r="AP310" s="100">
        <f t="shared" si="357"/>
        <v>0</v>
      </c>
      <c r="AQ310" s="111" t="s">
        <v>13</v>
      </c>
      <c r="AV310" s="100">
        <f t="shared" si="358"/>
        <v>0</v>
      </c>
      <c r="AW310" s="100">
        <f t="shared" si="359"/>
        <v>0</v>
      </c>
      <c r="AX310" s="100">
        <f t="shared" si="360"/>
        <v>0</v>
      </c>
      <c r="AY310" s="110" t="s">
        <v>1709</v>
      </c>
      <c r="AZ310" s="110" t="s">
        <v>1733</v>
      </c>
      <c r="BA310" s="109" t="s">
        <v>1737</v>
      </c>
      <c r="BC310" s="100">
        <f t="shared" si="361"/>
        <v>0</v>
      </c>
      <c r="BD310" s="100">
        <f t="shared" si="362"/>
        <v>0</v>
      </c>
      <c r="BE310" s="100">
        <v>0</v>
      </c>
      <c r="BF310" s="100">
        <f>310</f>
        <v>310</v>
      </c>
      <c r="BH310" s="108">
        <f t="shared" si="363"/>
        <v>0</v>
      </c>
      <c r="BI310" s="108">
        <f t="shared" si="364"/>
        <v>0</v>
      </c>
      <c r="BJ310" s="108">
        <f t="shared" si="365"/>
        <v>0</v>
      </c>
    </row>
    <row r="311" spans="1:62" x14ac:dyDescent="0.2">
      <c r="A311" s="117" t="s">
        <v>271</v>
      </c>
      <c r="B311" s="117" t="s">
        <v>2379</v>
      </c>
      <c r="C311" s="304" t="s">
        <v>1349</v>
      </c>
      <c r="D311" s="305"/>
      <c r="E311" s="305"/>
      <c r="F311" s="117" t="s">
        <v>1644</v>
      </c>
      <c r="G311" s="116">
        <v>2</v>
      </c>
      <c r="H311" s="159"/>
      <c r="I311" s="108">
        <f t="shared" si="342"/>
        <v>0</v>
      </c>
      <c r="J311" s="108">
        <f t="shared" si="343"/>
        <v>0</v>
      </c>
      <c r="K311" s="108">
        <f t="shared" si="344"/>
        <v>0</v>
      </c>
      <c r="L311" s="111"/>
      <c r="Z311" s="100">
        <f t="shared" si="345"/>
        <v>0</v>
      </c>
      <c r="AB311" s="100">
        <f t="shared" si="346"/>
        <v>0</v>
      </c>
      <c r="AC311" s="100">
        <f t="shared" si="347"/>
        <v>0</v>
      </c>
      <c r="AD311" s="100">
        <f t="shared" si="348"/>
        <v>0</v>
      </c>
      <c r="AE311" s="100">
        <f t="shared" si="349"/>
        <v>0</v>
      </c>
      <c r="AF311" s="100">
        <f t="shared" si="350"/>
        <v>0</v>
      </c>
      <c r="AG311" s="100">
        <f t="shared" si="351"/>
        <v>0</v>
      </c>
      <c r="AH311" s="100">
        <f t="shared" si="352"/>
        <v>0</v>
      </c>
      <c r="AI311" s="109"/>
      <c r="AJ311" s="108">
        <f t="shared" si="353"/>
        <v>0</v>
      </c>
      <c r="AK311" s="108">
        <f t="shared" si="354"/>
        <v>0</v>
      </c>
      <c r="AL311" s="108">
        <f t="shared" si="355"/>
        <v>0</v>
      </c>
      <c r="AN311" s="100">
        <v>15</v>
      </c>
      <c r="AO311" s="100">
        <f t="shared" si="356"/>
        <v>0</v>
      </c>
      <c r="AP311" s="100">
        <f t="shared" si="357"/>
        <v>0</v>
      </c>
      <c r="AQ311" s="111" t="s">
        <v>13</v>
      </c>
      <c r="AV311" s="100">
        <f t="shared" si="358"/>
        <v>0</v>
      </c>
      <c r="AW311" s="100">
        <f t="shared" si="359"/>
        <v>0</v>
      </c>
      <c r="AX311" s="100">
        <f t="shared" si="360"/>
        <v>0</v>
      </c>
      <c r="AY311" s="110" t="s">
        <v>1709</v>
      </c>
      <c r="AZ311" s="110" t="s">
        <v>1733</v>
      </c>
      <c r="BA311" s="109" t="s">
        <v>1737</v>
      </c>
      <c r="BC311" s="100">
        <f t="shared" si="361"/>
        <v>0</v>
      </c>
      <c r="BD311" s="100">
        <f t="shared" si="362"/>
        <v>0</v>
      </c>
      <c r="BE311" s="100">
        <v>0</v>
      </c>
      <c r="BF311" s="100">
        <f>311</f>
        <v>311</v>
      </c>
      <c r="BH311" s="108">
        <f t="shared" si="363"/>
        <v>0</v>
      </c>
      <c r="BI311" s="108">
        <f t="shared" si="364"/>
        <v>0</v>
      </c>
      <c r="BJ311" s="108">
        <f t="shared" si="365"/>
        <v>0</v>
      </c>
    </row>
    <row r="312" spans="1:62" x14ac:dyDescent="0.2">
      <c r="A312" s="117" t="s">
        <v>272</v>
      </c>
      <c r="B312" s="117" t="s">
        <v>2378</v>
      </c>
      <c r="C312" s="304" t="s">
        <v>1350</v>
      </c>
      <c r="D312" s="305"/>
      <c r="E312" s="305"/>
      <c r="F312" s="117" t="s">
        <v>1644</v>
      </c>
      <c r="G312" s="116">
        <v>1</v>
      </c>
      <c r="H312" s="159"/>
      <c r="I312" s="108">
        <f t="shared" si="342"/>
        <v>0</v>
      </c>
      <c r="J312" s="108">
        <f t="shared" si="343"/>
        <v>0</v>
      </c>
      <c r="K312" s="108">
        <f t="shared" si="344"/>
        <v>0</v>
      </c>
      <c r="L312" s="111"/>
      <c r="Z312" s="100">
        <f t="shared" si="345"/>
        <v>0</v>
      </c>
      <c r="AB312" s="100">
        <f t="shared" si="346"/>
        <v>0</v>
      </c>
      <c r="AC312" s="100">
        <f t="shared" si="347"/>
        <v>0</v>
      </c>
      <c r="AD312" s="100">
        <f t="shared" si="348"/>
        <v>0</v>
      </c>
      <c r="AE312" s="100">
        <f t="shared" si="349"/>
        <v>0</v>
      </c>
      <c r="AF312" s="100">
        <f t="shared" si="350"/>
        <v>0</v>
      </c>
      <c r="AG312" s="100">
        <f t="shared" si="351"/>
        <v>0</v>
      </c>
      <c r="AH312" s="100">
        <f t="shared" si="352"/>
        <v>0</v>
      </c>
      <c r="AI312" s="109"/>
      <c r="AJ312" s="108">
        <f t="shared" si="353"/>
        <v>0</v>
      </c>
      <c r="AK312" s="108">
        <f t="shared" si="354"/>
        <v>0</v>
      </c>
      <c r="AL312" s="108">
        <f t="shared" si="355"/>
        <v>0</v>
      </c>
      <c r="AN312" s="100">
        <v>15</v>
      </c>
      <c r="AO312" s="100">
        <f t="shared" si="356"/>
        <v>0</v>
      </c>
      <c r="AP312" s="100">
        <f t="shared" si="357"/>
        <v>0</v>
      </c>
      <c r="AQ312" s="111" t="s">
        <v>13</v>
      </c>
      <c r="AV312" s="100">
        <f t="shared" si="358"/>
        <v>0</v>
      </c>
      <c r="AW312" s="100">
        <f t="shared" si="359"/>
        <v>0</v>
      </c>
      <c r="AX312" s="100">
        <f t="shared" si="360"/>
        <v>0</v>
      </c>
      <c r="AY312" s="110" t="s">
        <v>1709</v>
      </c>
      <c r="AZ312" s="110" t="s">
        <v>1733</v>
      </c>
      <c r="BA312" s="109" t="s">
        <v>1737</v>
      </c>
      <c r="BC312" s="100">
        <f t="shared" si="361"/>
        <v>0</v>
      </c>
      <c r="BD312" s="100">
        <f t="shared" si="362"/>
        <v>0</v>
      </c>
      <c r="BE312" s="100">
        <v>0</v>
      </c>
      <c r="BF312" s="100">
        <f>312</f>
        <v>312</v>
      </c>
      <c r="BH312" s="108">
        <f t="shared" si="363"/>
        <v>0</v>
      </c>
      <c r="BI312" s="108">
        <f t="shared" si="364"/>
        <v>0</v>
      </c>
      <c r="BJ312" s="108">
        <f t="shared" si="365"/>
        <v>0</v>
      </c>
    </row>
    <row r="313" spans="1:62" x14ac:dyDescent="0.2">
      <c r="A313" s="117" t="s">
        <v>273</v>
      </c>
      <c r="B313" s="117" t="s">
        <v>2377</v>
      </c>
      <c r="C313" s="304" t="s">
        <v>1351</v>
      </c>
      <c r="D313" s="305"/>
      <c r="E313" s="305"/>
      <c r="F313" s="117" t="s">
        <v>1644</v>
      </c>
      <c r="G313" s="116">
        <v>1</v>
      </c>
      <c r="H313" s="159"/>
      <c r="I313" s="108">
        <f t="shared" si="342"/>
        <v>0</v>
      </c>
      <c r="J313" s="108">
        <f t="shared" si="343"/>
        <v>0</v>
      </c>
      <c r="K313" s="108">
        <f t="shared" si="344"/>
        <v>0</v>
      </c>
      <c r="L313" s="111"/>
      <c r="Z313" s="100">
        <f t="shared" si="345"/>
        <v>0</v>
      </c>
      <c r="AB313" s="100">
        <f t="shared" si="346"/>
        <v>0</v>
      </c>
      <c r="AC313" s="100">
        <f t="shared" si="347"/>
        <v>0</v>
      </c>
      <c r="AD313" s="100">
        <f t="shared" si="348"/>
        <v>0</v>
      </c>
      <c r="AE313" s="100">
        <f t="shared" si="349"/>
        <v>0</v>
      </c>
      <c r="AF313" s="100">
        <f t="shared" si="350"/>
        <v>0</v>
      </c>
      <c r="AG313" s="100">
        <f t="shared" si="351"/>
        <v>0</v>
      </c>
      <c r="AH313" s="100">
        <f t="shared" si="352"/>
        <v>0</v>
      </c>
      <c r="AI313" s="109"/>
      <c r="AJ313" s="108">
        <f t="shared" si="353"/>
        <v>0</v>
      </c>
      <c r="AK313" s="108">
        <f t="shared" si="354"/>
        <v>0</v>
      </c>
      <c r="AL313" s="108">
        <f t="shared" si="355"/>
        <v>0</v>
      </c>
      <c r="AN313" s="100">
        <v>15</v>
      </c>
      <c r="AO313" s="100">
        <f t="shared" si="356"/>
        <v>0</v>
      </c>
      <c r="AP313" s="100">
        <f t="shared" si="357"/>
        <v>0</v>
      </c>
      <c r="AQ313" s="111" t="s">
        <v>13</v>
      </c>
      <c r="AV313" s="100">
        <f t="shared" si="358"/>
        <v>0</v>
      </c>
      <c r="AW313" s="100">
        <f t="shared" si="359"/>
        <v>0</v>
      </c>
      <c r="AX313" s="100">
        <f t="shared" si="360"/>
        <v>0</v>
      </c>
      <c r="AY313" s="110" t="s">
        <v>1709</v>
      </c>
      <c r="AZ313" s="110" t="s">
        <v>1733</v>
      </c>
      <c r="BA313" s="109" t="s">
        <v>1737</v>
      </c>
      <c r="BC313" s="100">
        <f t="shared" si="361"/>
        <v>0</v>
      </c>
      <c r="BD313" s="100">
        <f t="shared" si="362"/>
        <v>0</v>
      </c>
      <c r="BE313" s="100">
        <v>0</v>
      </c>
      <c r="BF313" s="100">
        <f>313</f>
        <v>313</v>
      </c>
      <c r="BH313" s="108">
        <f t="shared" si="363"/>
        <v>0</v>
      </c>
      <c r="BI313" s="108">
        <f t="shared" si="364"/>
        <v>0</v>
      </c>
      <c r="BJ313" s="108">
        <f t="shared" si="365"/>
        <v>0</v>
      </c>
    </row>
    <row r="314" spans="1:62" x14ac:dyDescent="0.2">
      <c r="A314" s="117" t="s">
        <v>274</v>
      </c>
      <c r="B314" s="117" t="s">
        <v>2376</v>
      </c>
      <c r="C314" s="304" t="s">
        <v>1352</v>
      </c>
      <c r="D314" s="305"/>
      <c r="E314" s="305"/>
      <c r="F314" s="117" t="s">
        <v>1644</v>
      </c>
      <c r="G314" s="116">
        <v>16</v>
      </c>
      <c r="H314" s="159"/>
      <c r="I314" s="108">
        <f t="shared" si="342"/>
        <v>0</v>
      </c>
      <c r="J314" s="108">
        <f t="shared" si="343"/>
        <v>0</v>
      </c>
      <c r="K314" s="108">
        <f t="shared" si="344"/>
        <v>0</v>
      </c>
      <c r="L314" s="111"/>
      <c r="Z314" s="100">
        <f t="shared" si="345"/>
        <v>0</v>
      </c>
      <c r="AB314" s="100">
        <f t="shared" si="346"/>
        <v>0</v>
      </c>
      <c r="AC314" s="100">
        <f t="shared" si="347"/>
        <v>0</v>
      </c>
      <c r="AD314" s="100">
        <f t="shared" si="348"/>
        <v>0</v>
      </c>
      <c r="AE314" s="100">
        <f t="shared" si="349"/>
        <v>0</v>
      </c>
      <c r="AF314" s="100">
        <f t="shared" si="350"/>
        <v>0</v>
      </c>
      <c r="AG314" s="100">
        <f t="shared" si="351"/>
        <v>0</v>
      </c>
      <c r="AH314" s="100">
        <f t="shared" si="352"/>
        <v>0</v>
      </c>
      <c r="AI314" s="109"/>
      <c r="AJ314" s="108">
        <f t="shared" si="353"/>
        <v>0</v>
      </c>
      <c r="AK314" s="108">
        <f t="shared" si="354"/>
        <v>0</v>
      </c>
      <c r="AL314" s="108">
        <f t="shared" si="355"/>
        <v>0</v>
      </c>
      <c r="AN314" s="100">
        <v>15</v>
      </c>
      <c r="AO314" s="100">
        <f t="shared" si="356"/>
        <v>0</v>
      </c>
      <c r="AP314" s="100">
        <f t="shared" si="357"/>
        <v>0</v>
      </c>
      <c r="AQ314" s="111" t="s">
        <v>13</v>
      </c>
      <c r="AV314" s="100">
        <f t="shared" si="358"/>
        <v>0</v>
      </c>
      <c r="AW314" s="100">
        <f t="shared" si="359"/>
        <v>0</v>
      </c>
      <c r="AX314" s="100">
        <f t="shared" si="360"/>
        <v>0</v>
      </c>
      <c r="AY314" s="110" t="s">
        <v>1709</v>
      </c>
      <c r="AZ314" s="110" t="s">
        <v>1733</v>
      </c>
      <c r="BA314" s="109" t="s">
        <v>1737</v>
      </c>
      <c r="BC314" s="100">
        <f t="shared" si="361"/>
        <v>0</v>
      </c>
      <c r="BD314" s="100">
        <f t="shared" si="362"/>
        <v>0</v>
      </c>
      <c r="BE314" s="100">
        <v>0</v>
      </c>
      <c r="BF314" s="100">
        <f>314</f>
        <v>314</v>
      </c>
      <c r="BH314" s="108">
        <f t="shared" si="363"/>
        <v>0</v>
      </c>
      <c r="BI314" s="108">
        <f t="shared" si="364"/>
        <v>0</v>
      </c>
      <c r="BJ314" s="108">
        <f t="shared" si="365"/>
        <v>0</v>
      </c>
    </row>
    <row r="315" spans="1:62" x14ac:dyDescent="0.2">
      <c r="A315" s="117" t="s">
        <v>275</v>
      </c>
      <c r="B315" s="117" t="s">
        <v>2375</v>
      </c>
      <c r="C315" s="304" t="s">
        <v>1353</v>
      </c>
      <c r="D315" s="305"/>
      <c r="E315" s="305"/>
      <c r="F315" s="117" t="s">
        <v>1644</v>
      </c>
      <c r="G315" s="116">
        <v>1</v>
      </c>
      <c r="H315" s="159"/>
      <c r="I315" s="108">
        <f t="shared" si="342"/>
        <v>0</v>
      </c>
      <c r="J315" s="108">
        <f t="shared" si="343"/>
        <v>0</v>
      </c>
      <c r="K315" s="108">
        <f t="shared" si="344"/>
        <v>0</v>
      </c>
      <c r="L315" s="111"/>
      <c r="Z315" s="100">
        <f t="shared" si="345"/>
        <v>0</v>
      </c>
      <c r="AB315" s="100">
        <f t="shared" si="346"/>
        <v>0</v>
      </c>
      <c r="AC315" s="100">
        <f t="shared" si="347"/>
        <v>0</v>
      </c>
      <c r="AD315" s="100">
        <f t="shared" si="348"/>
        <v>0</v>
      </c>
      <c r="AE315" s="100">
        <f t="shared" si="349"/>
        <v>0</v>
      </c>
      <c r="AF315" s="100">
        <f t="shared" si="350"/>
        <v>0</v>
      </c>
      <c r="AG315" s="100">
        <f t="shared" si="351"/>
        <v>0</v>
      </c>
      <c r="AH315" s="100">
        <f t="shared" si="352"/>
        <v>0</v>
      </c>
      <c r="AI315" s="109"/>
      <c r="AJ315" s="108">
        <f t="shared" si="353"/>
        <v>0</v>
      </c>
      <c r="AK315" s="108">
        <f t="shared" si="354"/>
        <v>0</v>
      </c>
      <c r="AL315" s="108">
        <f t="shared" si="355"/>
        <v>0</v>
      </c>
      <c r="AN315" s="100">
        <v>15</v>
      </c>
      <c r="AO315" s="100">
        <f t="shared" si="356"/>
        <v>0</v>
      </c>
      <c r="AP315" s="100">
        <f t="shared" si="357"/>
        <v>0</v>
      </c>
      <c r="AQ315" s="111" t="s">
        <v>13</v>
      </c>
      <c r="AV315" s="100">
        <f t="shared" si="358"/>
        <v>0</v>
      </c>
      <c r="AW315" s="100">
        <f t="shared" si="359"/>
        <v>0</v>
      </c>
      <c r="AX315" s="100">
        <f t="shared" si="360"/>
        <v>0</v>
      </c>
      <c r="AY315" s="110" t="s">
        <v>1709</v>
      </c>
      <c r="AZ315" s="110" t="s">
        <v>1733</v>
      </c>
      <c r="BA315" s="109" t="s">
        <v>1737</v>
      </c>
      <c r="BC315" s="100">
        <f t="shared" si="361"/>
        <v>0</v>
      </c>
      <c r="BD315" s="100">
        <f t="shared" si="362"/>
        <v>0</v>
      </c>
      <c r="BE315" s="100">
        <v>0</v>
      </c>
      <c r="BF315" s="100">
        <f>315</f>
        <v>315</v>
      </c>
      <c r="BH315" s="108">
        <f t="shared" si="363"/>
        <v>0</v>
      </c>
      <c r="BI315" s="108">
        <f t="shared" si="364"/>
        <v>0</v>
      </c>
      <c r="BJ315" s="108">
        <f t="shared" si="365"/>
        <v>0</v>
      </c>
    </row>
    <row r="316" spans="1:62" x14ac:dyDescent="0.2">
      <c r="A316" s="117" t="s">
        <v>276</v>
      </c>
      <c r="B316" s="117" t="s">
        <v>2374</v>
      </c>
      <c r="C316" s="304" t="s">
        <v>1354</v>
      </c>
      <c r="D316" s="305"/>
      <c r="E316" s="305"/>
      <c r="F316" s="117" t="s">
        <v>1644</v>
      </c>
      <c r="G316" s="116">
        <v>1</v>
      </c>
      <c r="H316" s="159"/>
      <c r="I316" s="108">
        <f t="shared" si="342"/>
        <v>0</v>
      </c>
      <c r="J316" s="108">
        <f t="shared" si="343"/>
        <v>0</v>
      </c>
      <c r="K316" s="108">
        <f t="shared" si="344"/>
        <v>0</v>
      </c>
      <c r="L316" s="111"/>
      <c r="Z316" s="100">
        <f t="shared" si="345"/>
        <v>0</v>
      </c>
      <c r="AB316" s="100">
        <f t="shared" si="346"/>
        <v>0</v>
      </c>
      <c r="AC316" s="100">
        <f t="shared" si="347"/>
        <v>0</v>
      </c>
      <c r="AD316" s="100">
        <f t="shared" si="348"/>
        <v>0</v>
      </c>
      <c r="AE316" s="100">
        <f t="shared" si="349"/>
        <v>0</v>
      </c>
      <c r="AF316" s="100">
        <f t="shared" si="350"/>
        <v>0</v>
      </c>
      <c r="AG316" s="100">
        <f t="shared" si="351"/>
        <v>0</v>
      </c>
      <c r="AH316" s="100">
        <f t="shared" si="352"/>
        <v>0</v>
      </c>
      <c r="AI316" s="109"/>
      <c r="AJ316" s="108">
        <f t="shared" si="353"/>
        <v>0</v>
      </c>
      <c r="AK316" s="108">
        <f t="shared" si="354"/>
        <v>0</v>
      </c>
      <c r="AL316" s="108">
        <f t="shared" si="355"/>
        <v>0</v>
      </c>
      <c r="AN316" s="100">
        <v>15</v>
      </c>
      <c r="AO316" s="100">
        <f t="shared" si="356"/>
        <v>0</v>
      </c>
      <c r="AP316" s="100">
        <f t="shared" si="357"/>
        <v>0</v>
      </c>
      <c r="AQ316" s="111" t="s">
        <v>13</v>
      </c>
      <c r="AV316" s="100">
        <f t="shared" si="358"/>
        <v>0</v>
      </c>
      <c r="AW316" s="100">
        <f t="shared" si="359"/>
        <v>0</v>
      </c>
      <c r="AX316" s="100">
        <f t="shared" si="360"/>
        <v>0</v>
      </c>
      <c r="AY316" s="110" t="s">
        <v>1709</v>
      </c>
      <c r="AZ316" s="110" t="s">
        <v>1733</v>
      </c>
      <c r="BA316" s="109" t="s">
        <v>1737</v>
      </c>
      <c r="BC316" s="100">
        <f t="shared" si="361"/>
        <v>0</v>
      </c>
      <c r="BD316" s="100">
        <f t="shared" si="362"/>
        <v>0</v>
      </c>
      <c r="BE316" s="100">
        <v>0</v>
      </c>
      <c r="BF316" s="100">
        <f>316</f>
        <v>316</v>
      </c>
      <c r="BH316" s="108">
        <f t="shared" si="363"/>
        <v>0</v>
      </c>
      <c r="BI316" s="108">
        <f t="shared" si="364"/>
        <v>0</v>
      </c>
      <c r="BJ316" s="108">
        <f t="shared" si="365"/>
        <v>0</v>
      </c>
    </row>
    <row r="317" spans="1:62" x14ac:dyDescent="0.2">
      <c r="A317" s="119"/>
      <c r="B317" s="120" t="s">
        <v>772</v>
      </c>
      <c r="C317" s="306" t="s">
        <v>1355</v>
      </c>
      <c r="D317" s="307"/>
      <c r="E317" s="307"/>
      <c r="F317" s="119" t="s">
        <v>6</v>
      </c>
      <c r="G317" s="119" t="s">
        <v>6</v>
      </c>
      <c r="H317" s="119" t="s">
        <v>6</v>
      </c>
      <c r="I317" s="118">
        <f>SUM(I318:I340)</f>
        <v>0</v>
      </c>
      <c r="J317" s="118">
        <f>SUM(J318:J340)</f>
        <v>0</v>
      </c>
      <c r="K317" s="118">
        <f>SUM(K318:K340)</f>
        <v>0</v>
      </c>
      <c r="L317" s="109"/>
      <c r="AI317" s="109"/>
      <c r="AS317" s="118">
        <f>SUM(AJ318:AJ340)</f>
        <v>0</v>
      </c>
      <c r="AT317" s="118">
        <f>SUM(AK318:AK340)</f>
        <v>0</v>
      </c>
      <c r="AU317" s="118">
        <f>SUM(AL318:AL340)</f>
        <v>0</v>
      </c>
    </row>
    <row r="318" spans="1:62" x14ac:dyDescent="0.2">
      <c r="A318" s="117" t="s">
        <v>277</v>
      </c>
      <c r="B318" s="117" t="s">
        <v>2373</v>
      </c>
      <c r="C318" s="304" t="s">
        <v>1356</v>
      </c>
      <c r="D318" s="305"/>
      <c r="E318" s="305"/>
      <c r="F318" s="117" t="s">
        <v>1644</v>
      </c>
      <c r="G318" s="116">
        <v>1</v>
      </c>
      <c r="H318" s="159"/>
      <c r="I318" s="108">
        <f t="shared" ref="I318:I340" si="366">G318*AO318</f>
        <v>0</v>
      </c>
      <c r="J318" s="108">
        <f t="shared" ref="J318:J340" si="367">G318*AP318</f>
        <v>0</v>
      </c>
      <c r="K318" s="108">
        <f t="shared" ref="K318:K340" si="368">G318*H318</f>
        <v>0</v>
      </c>
      <c r="L318" s="111"/>
      <c r="Z318" s="100">
        <f t="shared" ref="Z318:Z340" si="369">IF(AQ318="5",BJ318,0)</f>
        <v>0</v>
      </c>
      <c r="AB318" s="100">
        <f t="shared" ref="AB318:AB340" si="370">IF(AQ318="1",BH318,0)</f>
        <v>0</v>
      </c>
      <c r="AC318" s="100">
        <f t="shared" ref="AC318:AC340" si="371">IF(AQ318="1",BI318,0)</f>
        <v>0</v>
      </c>
      <c r="AD318" s="100">
        <f t="shared" ref="AD318:AD340" si="372">IF(AQ318="7",BH318,0)</f>
        <v>0</v>
      </c>
      <c r="AE318" s="100">
        <f t="shared" ref="AE318:AE340" si="373">IF(AQ318="7",BI318,0)</f>
        <v>0</v>
      </c>
      <c r="AF318" s="100">
        <f t="shared" ref="AF318:AF340" si="374">IF(AQ318="2",BH318,0)</f>
        <v>0</v>
      </c>
      <c r="AG318" s="100">
        <f t="shared" ref="AG318:AG340" si="375">IF(AQ318="2",BI318,0)</f>
        <v>0</v>
      </c>
      <c r="AH318" s="100">
        <f t="shared" ref="AH318:AH340" si="376">IF(AQ318="0",BJ318,0)</f>
        <v>0</v>
      </c>
      <c r="AI318" s="109"/>
      <c r="AJ318" s="108">
        <f t="shared" ref="AJ318:AJ340" si="377">IF(AN318=0,K318,0)</f>
        <v>0</v>
      </c>
      <c r="AK318" s="108">
        <f t="shared" ref="AK318:AK340" si="378">IF(AN318=15,K318,0)</f>
        <v>0</v>
      </c>
      <c r="AL318" s="108">
        <f t="shared" ref="AL318:AL340" si="379">IF(AN318=21,K318,0)</f>
        <v>0</v>
      </c>
      <c r="AN318" s="100">
        <v>15</v>
      </c>
      <c r="AO318" s="100">
        <f t="shared" ref="AO318:AO340" si="380">H318*0</f>
        <v>0</v>
      </c>
      <c r="AP318" s="100">
        <f t="shared" ref="AP318:AP340" si="381">H318*(1-0)</f>
        <v>0</v>
      </c>
      <c r="AQ318" s="111" t="s">
        <v>13</v>
      </c>
      <c r="AV318" s="100">
        <f t="shared" ref="AV318:AV340" si="382">AW318+AX318</f>
        <v>0</v>
      </c>
      <c r="AW318" s="100">
        <f t="shared" ref="AW318:AW340" si="383">G318*AO318</f>
        <v>0</v>
      </c>
      <c r="AX318" s="100">
        <f t="shared" ref="AX318:AX340" si="384">G318*AP318</f>
        <v>0</v>
      </c>
      <c r="AY318" s="110" t="s">
        <v>1710</v>
      </c>
      <c r="AZ318" s="110" t="s">
        <v>1733</v>
      </c>
      <c r="BA318" s="109" t="s">
        <v>1737</v>
      </c>
      <c r="BC318" s="100">
        <f t="shared" ref="BC318:BC340" si="385">AW318+AX318</f>
        <v>0</v>
      </c>
      <c r="BD318" s="100">
        <f t="shared" ref="BD318:BD340" si="386">H318/(100-BE318)*100</f>
        <v>0</v>
      </c>
      <c r="BE318" s="100">
        <v>0</v>
      </c>
      <c r="BF318" s="100">
        <f>318</f>
        <v>318</v>
      </c>
      <c r="BH318" s="108">
        <f t="shared" ref="BH318:BH340" si="387">G318*AO318</f>
        <v>0</v>
      </c>
      <c r="BI318" s="108">
        <f t="shared" ref="BI318:BI340" si="388">G318*AP318</f>
        <v>0</v>
      </c>
      <c r="BJ318" s="108">
        <f t="shared" ref="BJ318:BJ340" si="389">G318*H318</f>
        <v>0</v>
      </c>
    </row>
    <row r="319" spans="1:62" x14ac:dyDescent="0.2">
      <c r="A319" s="117" t="s">
        <v>278</v>
      </c>
      <c r="B319" s="117" t="s">
        <v>2372</v>
      </c>
      <c r="C319" s="304" t="s">
        <v>1357</v>
      </c>
      <c r="D319" s="305"/>
      <c r="E319" s="305"/>
      <c r="F319" s="117" t="s">
        <v>1644</v>
      </c>
      <c r="G319" s="116">
        <v>1</v>
      </c>
      <c r="H319" s="159"/>
      <c r="I319" s="108">
        <f t="shared" si="366"/>
        <v>0</v>
      </c>
      <c r="J319" s="108">
        <f t="shared" si="367"/>
        <v>0</v>
      </c>
      <c r="K319" s="108">
        <f t="shared" si="368"/>
        <v>0</v>
      </c>
      <c r="L319" s="111"/>
      <c r="Z319" s="100">
        <f t="shared" si="369"/>
        <v>0</v>
      </c>
      <c r="AB319" s="100">
        <f t="shared" si="370"/>
        <v>0</v>
      </c>
      <c r="AC319" s="100">
        <f t="shared" si="371"/>
        <v>0</v>
      </c>
      <c r="AD319" s="100">
        <f t="shared" si="372"/>
        <v>0</v>
      </c>
      <c r="AE319" s="100">
        <f t="shared" si="373"/>
        <v>0</v>
      </c>
      <c r="AF319" s="100">
        <f t="shared" si="374"/>
        <v>0</v>
      </c>
      <c r="AG319" s="100">
        <f t="shared" si="375"/>
        <v>0</v>
      </c>
      <c r="AH319" s="100">
        <f t="shared" si="376"/>
        <v>0</v>
      </c>
      <c r="AI319" s="109"/>
      <c r="AJ319" s="108">
        <f t="shared" si="377"/>
        <v>0</v>
      </c>
      <c r="AK319" s="108">
        <f t="shared" si="378"/>
        <v>0</v>
      </c>
      <c r="AL319" s="108">
        <f t="shared" si="379"/>
        <v>0</v>
      </c>
      <c r="AN319" s="100">
        <v>15</v>
      </c>
      <c r="AO319" s="100">
        <f t="shared" si="380"/>
        <v>0</v>
      </c>
      <c r="AP319" s="100">
        <f t="shared" si="381"/>
        <v>0</v>
      </c>
      <c r="AQ319" s="111" t="s">
        <v>13</v>
      </c>
      <c r="AV319" s="100">
        <f t="shared" si="382"/>
        <v>0</v>
      </c>
      <c r="AW319" s="100">
        <f t="shared" si="383"/>
        <v>0</v>
      </c>
      <c r="AX319" s="100">
        <f t="shared" si="384"/>
        <v>0</v>
      </c>
      <c r="AY319" s="110" t="s">
        <v>1710</v>
      </c>
      <c r="AZ319" s="110" t="s">
        <v>1733</v>
      </c>
      <c r="BA319" s="109" t="s">
        <v>1737</v>
      </c>
      <c r="BC319" s="100">
        <f t="shared" si="385"/>
        <v>0</v>
      </c>
      <c r="BD319" s="100">
        <f t="shared" si="386"/>
        <v>0</v>
      </c>
      <c r="BE319" s="100">
        <v>0</v>
      </c>
      <c r="BF319" s="100">
        <f>319</f>
        <v>319</v>
      </c>
      <c r="BH319" s="108">
        <f t="shared" si="387"/>
        <v>0</v>
      </c>
      <c r="BI319" s="108">
        <f t="shared" si="388"/>
        <v>0</v>
      </c>
      <c r="BJ319" s="108">
        <f t="shared" si="389"/>
        <v>0</v>
      </c>
    </row>
    <row r="320" spans="1:62" x14ac:dyDescent="0.2">
      <c r="A320" s="117" t="s">
        <v>279</v>
      </c>
      <c r="B320" s="117" t="s">
        <v>2371</v>
      </c>
      <c r="C320" s="304" t="s">
        <v>1358</v>
      </c>
      <c r="D320" s="305"/>
      <c r="E320" s="305"/>
      <c r="F320" s="117" t="s">
        <v>1644</v>
      </c>
      <c r="G320" s="116">
        <v>1</v>
      </c>
      <c r="H320" s="159"/>
      <c r="I320" s="108">
        <f t="shared" si="366"/>
        <v>0</v>
      </c>
      <c r="J320" s="108">
        <f t="shared" si="367"/>
        <v>0</v>
      </c>
      <c r="K320" s="108">
        <f t="shared" si="368"/>
        <v>0</v>
      </c>
      <c r="L320" s="111"/>
      <c r="Z320" s="100">
        <f t="shared" si="369"/>
        <v>0</v>
      </c>
      <c r="AB320" s="100">
        <f t="shared" si="370"/>
        <v>0</v>
      </c>
      <c r="AC320" s="100">
        <f t="shared" si="371"/>
        <v>0</v>
      </c>
      <c r="AD320" s="100">
        <f t="shared" si="372"/>
        <v>0</v>
      </c>
      <c r="AE320" s="100">
        <f t="shared" si="373"/>
        <v>0</v>
      </c>
      <c r="AF320" s="100">
        <f t="shared" si="374"/>
        <v>0</v>
      </c>
      <c r="AG320" s="100">
        <f t="shared" si="375"/>
        <v>0</v>
      </c>
      <c r="AH320" s="100">
        <f t="shared" si="376"/>
        <v>0</v>
      </c>
      <c r="AI320" s="109"/>
      <c r="AJ320" s="108">
        <f t="shared" si="377"/>
        <v>0</v>
      </c>
      <c r="AK320" s="108">
        <f t="shared" si="378"/>
        <v>0</v>
      </c>
      <c r="AL320" s="108">
        <f t="shared" si="379"/>
        <v>0</v>
      </c>
      <c r="AN320" s="100">
        <v>15</v>
      </c>
      <c r="AO320" s="100">
        <f t="shared" si="380"/>
        <v>0</v>
      </c>
      <c r="AP320" s="100">
        <f t="shared" si="381"/>
        <v>0</v>
      </c>
      <c r="AQ320" s="111" t="s">
        <v>13</v>
      </c>
      <c r="AV320" s="100">
        <f t="shared" si="382"/>
        <v>0</v>
      </c>
      <c r="AW320" s="100">
        <f t="shared" si="383"/>
        <v>0</v>
      </c>
      <c r="AX320" s="100">
        <f t="shared" si="384"/>
        <v>0</v>
      </c>
      <c r="AY320" s="110" t="s">
        <v>1710</v>
      </c>
      <c r="AZ320" s="110" t="s">
        <v>1733</v>
      </c>
      <c r="BA320" s="109" t="s">
        <v>1737</v>
      </c>
      <c r="BC320" s="100">
        <f t="shared" si="385"/>
        <v>0</v>
      </c>
      <c r="BD320" s="100">
        <f t="shared" si="386"/>
        <v>0</v>
      </c>
      <c r="BE320" s="100">
        <v>0</v>
      </c>
      <c r="BF320" s="100">
        <f>320</f>
        <v>320</v>
      </c>
      <c r="BH320" s="108">
        <f t="shared" si="387"/>
        <v>0</v>
      </c>
      <c r="BI320" s="108">
        <f t="shared" si="388"/>
        <v>0</v>
      </c>
      <c r="BJ320" s="108">
        <f t="shared" si="389"/>
        <v>0</v>
      </c>
    </row>
    <row r="321" spans="1:62" x14ac:dyDescent="0.2">
      <c r="A321" s="117" t="s">
        <v>280</v>
      </c>
      <c r="B321" s="117" t="s">
        <v>2370</v>
      </c>
      <c r="C321" s="304" t="s">
        <v>1359</v>
      </c>
      <c r="D321" s="305"/>
      <c r="E321" s="305"/>
      <c r="F321" s="117" t="s">
        <v>1644</v>
      </c>
      <c r="G321" s="116">
        <v>1</v>
      </c>
      <c r="H321" s="159"/>
      <c r="I321" s="108">
        <f t="shared" si="366"/>
        <v>0</v>
      </c>
      <c r="J321" s="108">
        <f t="shared" si="367"/>
        <v>0</v>
      </c>
      <c r="K321" s="108">
        <f t="shared" si="368"/>
        <v>0</v>
      </c>
      <c r="L321" s="111"/>
      <c r="Z321" s="100">
        <f t="shared" si="369"/>
        <v>0</v>
      </c>
      <c r="AB321" s="100">
        <f t="shared" si="370"/>
        <v>0</v>
      </c>
      <c r="AC321" s="100">
        <f t="shared" si="371"/>
        <v>0</v>
      </c>
      <c r="AD321" s="100">
        <f t="shared" si="372"/>
        <v>0</v>
      </c>
      <c r="AE321" s="100">
        <f t="shared" si="373"/>
        <v>0</v>
      </c>
      <c r="AF321" s="100">
        <f t="shared" si="374"/>
        <v>0</v>
      </c>
      <c r="AG321" s="100">
        <f t="shared" si="375"/>
        <v>0</v>
      </c>
      <c r="AH321" s="100">
        <f t="shared" si="376"/>
        <v>0</v>
      </c>
      <c r="AI321" s="109"/>
      <c r="AJ321" s="108">
        <f t="shared" si="377"/>
        <v>0</v>
      </c>
      <c r="AK321" s="108">
        <f t="shared" si="378"/>
        <v>0</v>
      </c>
      <c r="AL321" s="108">
        <f t="shared" si="379"/>
        <v>0</v>
      </c>
      <c r="AN321" s="100">
        <v>15</v>
      </c>
      <c r="AO321" s="100">
        <f t="shared" si="380"/>
        <v>0</v>
      </c>
      <c r="AP321" s="100">
        <f t="shared" si="381"/>
        <v>0</v>
      </c>
      <c r="AQ321" s="111" t="s">
        <v>13</v>
      </c>
      <c r="AV321" s="100">
        <f t="shared" si="382"/>
        <v>0</v>
      </c>
      <c r="AW321" s="100">
        <f t="shared" si="383"/>
        <v>0</v>
      </c>
      <c r="AX321" s="100">
        <f t="shared" si="384"/>
        <v>0</v>
      </c>
      <c r="AY321" s="110" t="s">
        <v>1710</v>
      </c>
      <c r="AZ321" s="110" t="s">
        <v>1733</v>
      </c>
      <c r="BA321" s="109" t="s">
        <v>1737</v>
      </c>
      <c r="BC321" s="100">
        <f t="shared" si="385"/>
        <v>0</v>
      </c>
      <c r="BD321" s="100">
        <f t="shared" si="386"/>
        <v>0</v>
      </c>
      <c r="BE321" s="100">
        <v>0</v>
      </c>
      <c r="BF321" s="100">
        <f>321</f>
        <v>321</v>
      </c>
      <c r="BH321" s="108">
        <f t="shared" si="387"/>
        <v>0</v>
      </c>
      <c r="BI321" s="108">
        <f t="shared" si="388"/>
        <v>0</v>
      </c>
      <c r="BJ321" s="108">
        <f t="shared" si="389"/>
        <v>0</v>
      </c>
    </row>
    <row r="322" spans="1:62" x14ac:dyDescent="0.2">
      <c r="A322" s="117" t="s">
        <v>281</v>
      </c>
      <c r="B322" s="117" t="s">
        <v>2369</v>
      </c>
      <c r="C322" s="304" t="s">
        <v>1360</v>
      </c>
      <c r="D322" s="305"/>
      <c r="E322" s="305"/>
      <c r="F322" s="117" t="s">
        <v>1644</v>
      </c>
      <c r="G322" s="116">
        <v>1</v>
      </c>
      <c r="H322" s="159"/>
      <c r="I322" s="108">
        <f t="shared" si="366"/>
        <v>0</v>
      </c>
      <c r="J322" s="108">
        <f t="shared" si="367"/>
        <v>0</v>
      </c>
      <c r="K322" s="108">
        <f t="shared" si="368"/>
        <v>0</v>
      </c>
      <c r="L322" s="111"/>
      <c r="Z322" s="100">
        <f t="shared" si="369"/>
        <v>0</v>
      </c>
      <c r="AB322" s="100">
        <f t="shared" si="370"/>
        <v>0</v>
      </c>
      <c r="AC322" s="100">
        <f t="shared" si="371"/>
        <v>0</v>
      </c>
      <c r="AD322" s="100">
        <f t="shared" si="372"/>
        <v>0</v>
      </c>
      <c r="AE322" s="100">
        <f t="shared" si="373"/>
        <v>0</v>
      </c>
      <c r="AF322" s="100">
        <f t="shared" si="374"/>
        <v>0</v>
      </c>
      <c r="AG322" s="100">
        <f t="shared" si="375"/>
        <v>0</v>
      </c>
      <c r="AH322" s="100">
        <f t="shared" si="376"/>
        <v>0</v>
      </c>
      <c r="AI322" s="109"/>
      <c r="AJ322" s="108">
        <f t="shared" si="377"/>
        <v>0</v>
      </c>
      <c r="AK322" s="108">
        <f t="shared" si="378"/>
        <v>0</v>
      </c>
      <c r="AL322" s="108">
        <f t="shared" si="379"/>
        <v>0</v>
      </c>
      <c r="AN322" s="100">
        <v>15</v>
      </c>
      <c r="AO322" s="100">
        <f t="shared" si="380"/>
        <v>0</v>
      </c>
      <c r="AP322" s="100">
        <f t="shared" si="381"/>
        <v>0</v>
      </c>
      <c r="AQ322" s="111" t="s">
        <v>13</v>
      </c>
      <c r="AV322" s="100">
        <f t="shared" si="382"/>
        <v>0</v>
      </c>
      <c r="AW322" s="100">
        <f t="shared" si="383"/>
        <v>0</v>
      </c>
      <c r="AX322" s="100">
        <f t="shared" si="384"/>
        <v>0</v>
      </c>
      <c r="AY322" s="110" t="s">
        <v>1710</v>
      </c>
      <c r="AZ322" s="110" t="s">
        <v>1733</v>
      </c>
      <c r="BA322" s="109" t="s">
        <v>1737</v>
      </c>
      <c r="BC322" s="100">
        <f t="shared" si="385"/>
        <v>0</v>
      </c>
      <c r="BD322" s="100">
        <f t="shared" si="386"/>
        <v>0</v>
      </c>
      <c r="BE322" s="100">
        <v>0</v>
      </c>
      <c r="BF322" s="100">
        <f>322</f>
        <v>322</v>
      </c>
      <c r="BH322" s="108">
        <f t="shared" si="387"/>
        <v>0</v>
      </c>
      <c r="BI322" s="108">
        <f t="shared" si="388"/>
        <v>0</v>
      </c>
      <c r="BJ322" s="108">
        <f t="shared" si="389"/>
        <v>0</v>
      </c>
    </row>
    <row r="323" spans="1:62" x14ac:dyDescent="0.2">
      <c r="A323" s="117" t="s">
        <v>282</v>
      </c>
      <c r="B323" s="117" t="s">
        <v>2368</v>
      </c>
      <c r="C323" s="304" t="s">
        <v>1361</v>
      </c>
      <c r="D323" s="305"/>
      <c r="E323" s="305"/>
      <c r="F323" s="117" t="s">
        <v>1644</v>
      </c>
      <c r="G323" s="116">
        <v>1</v>
      </c>
      <c r="H323" s="159"/>
      <c r="I323" s="108">
        <f t="shared" si="366"/>
        <v>0</v>
      </c>
      <c r="J323" s="108">
        <f t="shared" si="367"/>
        <v>0</v>
      </c>
      <c r="K323" s="108">
        <f t="shared" si="368"/>
        <v>0</v>
      </c>
      <c r="L323" s="111"/>
      <c r="Z323" s="100">
        <f t="shared" si="369"/>
        <v>0</v>
      </c>
      <c r="AB323" s="100">
        <f t="shared" si="370"/>
        <v>0</v>
      </c>
      <c r="AC323" s="100">
        <f t="shared" si="371"/>
        <v>0</v>
      </c>
      <c r="AD323" s="100">
        <f t="shared" si="372"/>
        <v>0</v>
      </c>
      <c r="AE323" s="100">
        <f t="shared" si="373"/>
        <v>0</v>
      </c>
      <c r="AF323" s="100">
        <f t="shared" si="374"/>
        <v>0</v>
      </c>
      <c r="AG323" s="100">
        <f t="shared" si="375"/>
        <v>0</v>
      </c>
      <c r="AH323" s="100">
        <f t="shared" si="376"/>
        <v>0</v>
      </c>
      <c r="AI323" s="109"/>
      <c r="AJ323" s="108">
        <f t="shared" si="377"/>
        <v>0</v>
      </c>
      <c r="AK323" s="108">
        <f t="shared" si="378"/>
        <v>0</v>
      </c>
      <c r="AL323" s="108">
        <f t="shared" si="379"/>
        <v>0</v>
      </c>
      <c r="AN323" s="100">
        <v>15</v>
      </c>
      <c r="AO323" s="100">
        <f t="shared" si="380"/>
        <v>0</v>
      </c>
      <c r="AP323" s="100">
        <f t="shared" si="381"/>
        <v>0</v>
      </c>
      <c r="AQ323" s="111" t="s">
        <v>13</v>
      </c>
      <c r="AV323" s="100">
        <f t="shared" si="382"/>
        <v>0</v>
      </c>
      <c r="AW323" s="100">
        <f t="shared" si="383"/>
        <v>0</v>
      </c>
      <c r="AX323" s="100">
        <f t="shared" si="384"/>
        <v>0</v>
      </c>
      <c r="AY323" s="110" t="s">
        <v>1710</v>
      </c>
      <c r="AZ323" s="110" t="s">
        <v>1733</v>
      </c>
      <c r="BA323" s="109" t="s">
        <v>1737</v>
      </c>
      <c r="BC323" s="100">
        <f t="shared" si="385"/>
        <v>0</v>
      </c>
      <c r="BD323" s="100">
        <f t="shared" si="386"/>
        <v>0</v>
      </c>
      <c r="BE323" s="100">
        <v>0</v>
      </c>
      <c r="BF323" s="100">
        <f>323</f>
        <v>323</v>
      </c>
      <c r="BH323" s="108">
        <f t="shared" si="387"/>
        <v>0</v>
      </c>
      <c r="BI323" s="108">
        <f t="shared" si="388"/>
        <v>0</v>
      </c>
      <c r="BJ323" s="108">
        <f t="shared" si="389"/>
        <v>0</v>
      </c>
    </row>
    <row r="324" spans="1:62" x14ac:dyDescent="0.2">
      <c r="A324" s="117" t="s">
        <v>283</v>
      </c>
      <c r="B324" s="117" t="s">
        <v>2367</v>
      </c>
      <c r="C324" s="304" t="s">
        <v>1362</v>
      </c>
      <c r="D324" s="305"/>
      <c r="E324" s="305"/>
      <c r="F324" s="117" t="s">
        <v>1644</v>
      </c>
      <c r="G324" s="116">
        <v>1</v>
      </c>
      <c r="H324" s="159"/>
      <c r="I324" s="108">
        <f t="shared" si="366"/>
        <v>0</v>
      </c>
      <c r="J324" s="108">
        <f t="shared" si="367"/>
        <v>0</v>
      </c>
      <c r="K324" s="108">
        <f t="shared" si="368"/>
        <v>0</v>
      </c>
      <c r="L324" s="111"/>
      <c r="Z324" s="100">
        <f t="shared" si="369"/>
        <v>0</v>
      </c>
      <c r="AB324" s="100">
        <f t="shared" si="370"/>
        <v>0</v>
      </c>
      <c r="AC324" s="100">
        <f t="shared" si="371"/>
        <v>0</v>
      </c>
      <c r="AD324" s="100">
        <f t="shared" si="372"/>
        <v>0</v>
      </c>
      <c r="AE324" s="100">
        <f t="shared" si="373"/>
        <v>0</v>
      </c>
      <c r="AF324" s="100">
        <f t="shared" si="374"/>
        <v>0</v>
      </c>
      <c r="AG324" s="100">
        <f t="shared" si="375"/>
        <v>0</v>
      </c>
      <c r="AH324" s="100">
        <f t="shared" si="376"/>
        <v>0</v>
      </c>
      <c r="AI324" s="109"/>
      <c r="AJ324" s="108">
        <f t="shared" si="377"/>
        <v>0</v>
      </c>
      <c r="AK324" s="108">
        <f t="shared" si="378"/>
        <v>0</v>
      </c>
      <c r="AL324" s="108">
        <f t="shared" si="379"/>
        <v>0</v>
      </c>
      <c r="AN324" s="100">
        <v>15</v>
      </c>
      <c r="AO324" s="100">
        <f t="shared" si="380"/>
        <v>0</v>
      </c>
      <c r="AP324" s="100">
        <f t="shared" si="381"/>
        <v>0</v>
      </c>
      <c r="AQ324" s="111" t="s">
        <v>13</v>
      </c>
      <c r="AV324" s="100">
        <f t="shared" si="382"/>
        <v>0</v>
      </c>
      <c r="AW324" s="100">
        <f t="shared" si="383"/>
        <v>0</v>
      </c>
      <c r="AX324" s="100">
        <f t="shared" si="384"/>
        <v>0</v>
      </c>
      <c r="AY324" s="110" t="s">
        <v>1710</v>
      </c>
      <c r="AZ324" s="110" t="s">
        <v>1733</v>
      </c>
      <c r="BA324" s="109" t="s">
        <v>1737</v>
      </c>
      <c r="BC324" s="100">
        <f t="shared" si="385"/>
        <v>0</v>
      </c>
      <c r="BD324" s="100">
        <f t="shared" si="386"/>
        <v>0</v>
      </c>
      <c r="BE324" s="100">
        <v>0</v>
      </c>
      <c r="BF324" s="100">
        <f>324</f>
        <v>324</v>
      </c>
      <c r="BH324" s="108">
        <f t="shared" si="387"/>
        <v>0</v>
      </c>
      <c r="BI324" s="108">
        <f t="shared" si="388"/>
        <v>0</v>
      </c>
      <c r="BJ324" s="108">
        <f t="shared" si="389"/>
        <v>0</v>
      </c>
    </row>
    <row r="325" spans="1:62" x14ac:dyDescent="0.2">
      <c r="A325" s="117" t="s">
        <v>284</v>
      </c>
      <c r="B325" s="117" t="s">
        <v>2366</v>
      </c>
      <c r="C325" s="304" t="s">
        <v>1363</v>
      </c>
      <c r="D325" s="305"/>
      <c r="E325" s="305"/>
      <c r="F325" s="117" t="s">
        <v>1644</v>
      </c>
      <c r="G325" s="116">
        <v>1</v>
      </c>
      <c r="H325" s="159"/>
      <c r="I325" s="108">
        <f t="shared" si="366"/>
        <v>0</v>
      </c>
      <c r="J325" s="108">
        <f t="shared" si="367"/>
        <v>0</v>
      </c>
      <c r="K325" s="108">
        <f t="shared" si="368"/>
        <v>0</v>
      </c>
      <c r="L325" s="111"/>
      <c r="Z325" s="100">
        <f t="shared" si="369"/>
        <v>0</v>
      </c>
      <c r="AB325" s="100">
        <f t="shared" si="370"/>
        <v>0</v>
      </c>
      <c r="AC325" s="100">
        <f t="shared" si="371"/>
        <v>0</v>
      </c>
      <c r="AD325" s="100">
        <f t="shared" si="372"/>
        <v>0</v>
      </c>
      <c r="AE325" s="100">
        <f t="shared" si="373"/>
        <v>0</v>
      </c>
      <c r="AF325" s="100">
        <f t="shared" si="374"/>
        <v>0</v>
      </c>
      <c r="AG325" s="100">
        <f t="shared" si="375"/>
        <v>0</v>
      </c>
      <c r="AH325" s="100">
        <f t="shared" si="376"/>
        <v>0</v>
      </c>
      <c r="AI325" s="109"/>
      <c r="AJ325" s="108">
        <f t="shared" si="377"/>
        <v>0</v>
      </c>
      <c r="AK325" s="108">
        <f t="shared" si="378"/>
        <v>0</v>
      </c>
      <c r="AL325" s="108">
        <f t="shared" si="379"/>
        <v>0</v>
      </c>
      <c r="AN325" s="100">
        <v>15</v>
      </c>
      <c r="AO325" s="100">
        <f t="shared" si="380"/>
        <v>0</v>
      </c>
      <c r="AP325" s="100">
        <f t="shared" si="381"/>
        <v>0</v>
      </c>
      <c r="AQ325" s="111" t="s">
        <v>13</v>
      </c>
      <c r="AV325" s="100">
        <f t="shared" si="382"/>
        <v>0</v>
      </c>
      <c r="AW325" s="100">
        <f t="shared" si="383"/>
        <v>0</v>
      </c>
      <c r="AX325" s="100">
        <f t="shared" si="384"/>
        <v>0</v>
      </c>
      <c r="AY325" s="110" t="s">
        <v>1710</v>
      </c>
      <c r="AZ325" s="110" t="s">
        <v>1733</v>
      </c>
      <c r="BA325" s="109" t="s">
        <v>1737</v>
      </c>
      <c r="BC325" s="100">
        <f t="shared" si="385"/>
        <v>0</v>
      </c>
      <c r="BD325" s="100">
        <f t="shared" si="386"/>
        <v>0</v>
      </c>
      <c r="BE325" s="100">
        <v>0</v>
      </c>
      <c r="BF325" s="100">
        <f>325</f>
        <v>325</v>
      </c>
      <c r="BH325" s="108">
        <f t="shared" si="387"/>
        <v>0</v>
      </c>
      <c r="BI325" s="108">
        <f t="shared" si="388"/>
        <v>0</v>
      </c>
      <c r="BJ325" s="108">
        <f t="shared" si="389"/>
        <v>0</v>
      </c>
    </row>
    <row r="326" spans="1:62" x14ac:dyDescent="0.2">
      <c r="A326" s="117" t="s">
        <v>285</v>
      </c>
      <c r="B326" s="117" t="s">
        <v>2365</v>
      </c>
      <c r="C326" s="304" t="s">
        <v>1364</v>
      </c>
      <c r="D326" s="305"/>
      <c r="E326" s="305"/>
      <c r="F326" s="117" t="s">
        <v>1644</v>
      </c>
      <c r="G326" s="116">
        <v>2</v>
      </c>
      <c r="H326" s="159"/>
      <c r="I326" s="108">
        <f t="shared" si="366"/>
        <v>0</v>
      </c>
      <c r="J326" s="108">
        <f t="shared" si="367"/>
        <v>0</v>
      </c>
      <c r="K326" s="108">
        <f t="shared" si="368"/>
        <v>0</v>
      </c>
      <c r="L326" s="111"/>
      <c r="Z326" s="100">
        <f t="shared" si="369"/>
        <v>0</v>
      </c>
      <c r="AB326" s="100">
        <f t="shared" si="370"/>
        <v>0</v>
      </c>
      <c r="AC326" s="100">
        <f t="shared" si="371"/>
        <v>0</v>
      </c>
      <c r="AD326" s="100">
        <f t="shared" si="372"/>
        <v>0</v>
      </c>
      <c r="AE326" s="100">
        <f t="shared" si="373"/>
        <v>0</v>
      </c>
      <c r="AF326" s="100">
        <f t="shared" si="374"/>
        <v>0</v>
      </c>
      <c r="AG326" s="100">
        <f t="shared" si="375"/>
        <v>0</v>
      </c>
      <c r="AH326" s="100">
        <f t="shared" si="376"/>
        <v>0</v>
      </c>
      <c r="AI326" s="109"/>
      <c r="AJ326" s="108">
        <f t="shared" si="377"/>
        <v>0</v>
      </c>
      <c r="AK326" s="108">
        <f t="shared" si="378"/>
        <v>0</v>
      </c>
      <c r="AL326" s="108">
        <f t="shared" si="379"/>
        <v>0</v>
      </c>
      <c r="AN326" s="100">
        <v>15</v>
      </c>
      <c r="AO326" s="100">
        <f t="shared" si="380"/>
        <v>0</v>
      </c>
      <c r="AP326" s="100">
        <f t="shared" si="381"/>
        <v>0</v>
      </c>
      <c r="AQ326" s="111" t="s">
        <v>13</v>
      </c>
      <c r="AV326" s="100">
        <f t="shared" si="382"/>
        <v>0</v>
      </c>
      <c r="AW326" s="100">
        <f t="shared" si="383"/>
        <v>0</v>
      </c>
      <c r="AX326" s="100">
        <f t="shared" si="384"/>
        <v>0</v>
      </c>
      <c r="AY326" s="110" t="s">
        <v>1710</v>
      </c>
      <c r="AZ326" s="110" t="s">
        <v>1733</v>
      </c>
      <c r="BA326" s="109" t="s">
        <v>1737</v>
      </c>
      <c r="BC326" s="100">
        <f t="shared" si="385"/>
        <v>0</v>
      </c>
      <c r="BD326" s="100">
        <f t="shared" si="386"/>
        <v>0</v>
      </c>
      <c r="BE326" s="100">
        <v>0</v>
      </c>
      <c r="BF326" s="100">
        <f>326</f>
        <v>326</v>
      </c>
      <c r="BH326" s="108">
        <f t="shared" si="387"/>
        <v>0</v>
      </c>
      <c r="BI326" s="108">
        <f t="shared" si="388"/>
        <v>0</v>
      </c>
      <c r="BJ326" s="108">
        <f t="shared" si="389"/>
        <v>0</v>
      </c>
    </row>
    <row r="327" spans="1:62" x14ac:dyDescent="0.2">
      <c r="A327" s="117" t="s">
        <v>286</v>
      </c>
      <c r="B327" s="117" t="s">
        <v>2364</v>
      </c>
      <c r="C327" s="304" t="s">
        <v>1365</v>
      </c>
      <c r="D327" s="305"/>
      <c r="E327" s="305"/>
      <c r="F327" s="117" t="s">
        <v>1644</v>
      </c>
      <c r="G327" s="116">
        <v>1</v>
      </c>
      <c r="H327" s="159"/>
      <c r="I327" s="108">
        <f t="shared" si="366"/>
        <v>0</v>
      </c>
      <c r="J327" s="108">
        <f t="shared" si="367"/>
        <v>0</v>
      </c>
      <c r="K327" s="108">
        <f t="shared" si="368"/>
        <v>0</v>
      </c>
      <c r="L327" s="111"/>
      <c r="Z327" s="100">
        <f t="shared" si="369"/>
        <v>0</v>
      </c>
      <c r="AB327" s="100">
        <f t="shared" si="370"/>
        <v>0</v>
      </c>
      <c r="AC327" s="100">
        <f t="shared" si="371"/>
        <v>0</v>
      </c>
      <c r="AD327" s="100">
        <f t="shared" si="372"/>
        <v>0</v>
      </c>
      <c r="AE327" s="100">
        <f t="shared" si="373"/>
        <v>0</v>
      </c>
      <c r="AF327" s="100">
        <f t="shared" si="374"/>
        <v>0</v>
      </c>
      <c r="AG327" s="100">
        <f t="shared" si="375"/>
        <v>0</v>
      </c>
      <c r="AH327" s="100">
        <f t="shared" si="376"/>
        <v>0</v>
      </c>
      <c r="AI327" s="109"/>
      <c r="AJ327" s="108">
        <f t="shared" si="377"/>
        <v>0</v>
      </c>
      <c r="AK327" s="108">
        <f t="shared" si="378"/>
        <v>0</v>
      </c>
      <c r="AL327" s="108">
        <f t="shared" si="379"/>
        <v>0</v>
      </c>
      <c r="AN327" s="100">
        <v>15</v>
      </c>
      <c r="AO327" s="100">
        <f t="shared" si="380"/>
        <v>0</v>
      </c>
      <c r="AP327" s="100">
        <f t="shared" si="381"/>
        <v>0</v>
      </c>
      <c r="AQ327" s="111" t="s">
        <v>13</v>
      </c>
      <c r="AV327" s="100">
        <f t="shared" si="382"/>
        <v>0</v>
      </c>
      <c r="AW327" s="100">
        <f t="shared" si="383"/>
        <v>0</v>
      </c>
      <c r="AX327" s="100">
        <f t="shared" si="384"/>
        <v>0</v>
      </c>
      <c r="AY327" s="110" t="s">
        <v>1710</v>
      </c>
      <c r="AZ327" s="110" t="s">
        <v>1733</v>
      </c>
      <c r="BA327" s="109" t="s">
        <v>1737</v>
      </c>
      <c r="BC327" s="100">
        <f t="shared" si="385"/>
        <v>0</v>
      </c>
      <c r="BD327" s="100">
        <f t="shared" si="386"/>
        <v>0</v>
      </c>
      <c r="BE327" s="100">
        <v>0</v>
      </c>
      <c r="BF327" s="100">
        <f>327</f>
        <v>327</v>
      </c>
      <c r="BH327" s="108">
        <f t="shared" si="387"/>
        <v>0</v>
      </c>
      <c r="BI327" s="108">
        <f t="shared" si="388"/>
        <v>0</v>
      </c>
      <c r="BJ327" s="108">
        <f t="shared" si="389"/>
        <v>0</v>
      </c>
    </row>
    <row r="328" spans="1:62" x14ac:dyDescent="0.2">
      <c r="A328" s="117" t="s">
        <v>287</v>
      </c>
      <c r="B328" s="117" t="s">
        <v>2363</v>
      </c>
      <c r="C328" s="304" t="s">
        <v>1366</v>
      </c>
      <c r="D328" s="305"/>
      <c r="E328" s="305"/>
      <c r="F328" s="117" t="s">
        <v>1644</v>
      </c>
      <c r="G328" s="116">
        <v>1</v>
      </c>
      <c r="H328" s="159"/>
      <c r="I328" s="108">
        <f t="shared" si="366"/>
        <v>0</v>
      </c>
      <c r="J328" s="108">
        <f t="shared" si="367"/>
        <v>0</v>
      </c>
      <c r="K328" s="108">
        <f t="shared" si="368"/>
        <v>0</v>
      </c>
      <c r="L328" s="111"/>
      <c r="Z328" s="100">
        <f t="shared" si="369"/>
        <v>0</v>
      </c>
      <c r="AB328" s="100">
        <f t="shared" si="370"/>
        <v>0</v>
      </c>
      <c r="AC328" s="100">
        <f t="shared" si="371"/>
        <v>0</v>
      </c>
      <c r="AD328" s="100">
        <f t="shared" si="372"/>
        <v>0</v>
      </c>
      <c r="AE328" s="100">
        <f t="shared" si="373"/>
        <v>0</v>
      </c>
      <c r="AF328" s="100">
        <f t="shared" si="374"/>
        <v>0</v>
      </c>
      <c r="AG328" s="100">
        <f t="shared" si="375"/>
        <v>0</v>
      </c>
      <c r="AH328" s="100">
        <f t="shared" si="376"/>
        <v>0</v>
      </c>
      <c r="AI328" s="109"/>
      <c r="AJ328" s="108">
        <f t="shared" si="377"/>
        <v>0</v>
      </c>
      <c r="AK328" s="108">
        <f t="shared" si="378"/>
        <v>0</v>
      </c>
      <c r="AL328" s="108">
        <f t="shared" si="379"/>
        <v>0</v>
      </c>
      <c r="AN328" s="100">
        <v>15</v>
      </c>
      <c r="AO328" s="100">
        <f t="shared" si="380"/>
        <v>0</v>
      </c>
      <c r="AP328" s="100">
        <f t="shared" si="381"/>
        <v>0</v>
      </c>
      <c r="AQ328" s="111" t="s">
        <v>13</v>
      </c>
      <c r="AV328" s="100">
        <f t="shared" si="382"/>
        <v>0</v>
      </c>
      <c r="AW328" s="100">
        <f t="shared" si="383"/>
        <v>0</v>
      </c>
      <c r="AX328" s="100">
        <f t="shared" si="384"/>
        <v>0</v>
      </c>
      <c r="AY328" s="110" t="s">
        <v>1710</v>
      </c>
      <c r="AZ328" s="110" t="s">
        <v>1733</v>
      </c>
      <c r="BA328" s="109" t="s">
        <v>1737</v>
      </c>
      <c r="BC328" s="100">
        <f t="shared" si="385"/>
        <v>0</v>
      </c>
      <c r="BD328" s="100">
        <f t="shared" si="386"/>
        <v>0</v>
      </c>
      <c r="BE328" s="100">
        <v>0</v>
      </c>
      <c r="BF328" s="100">
        <f>328</f>
        <v>328</v>
      </c>
      <c r="BH328" s="108">
        <f t="shared" si="387"/>
        <v>0</v>
      </c>
      <c r="BI328" s="108">
        <f t="shared" si="388"/>
        <v>0</v>
      </c>
      <c r="BJ328" s="108">
        <f t="shared" si="389"/>
        <v>0</v>
      </c>
    </row>
    <row r="329" spans="1:62" x14ac:dyDescent="0.2">
      <c r="A329" s="117" t="s">
        <v>288</v>
      </c>
      <c r="B329" s="117" t="s">
        <v>2362</v>
      </c>
      <c r="C329" s="304" t="s">
        <v>1367</v>
      </c>
      <c r="D329" s="305"/>
      <c r="E329" s="305"/>
      <c r="F329" s="117" t="s">
        <v>1644</v>
      </c>
      <c r="G329" s="116">
        <v>1</v>
      </c>
      <c r="H329" s="159"/>
      <c r="I329" s="108">
        <f t="shared" si="366"/>
        <v>0</v>
      </c>
      <c r="J329" s="108">
        <f t="shared" si="367"/>
        <v>0</v>
      </c>
      <c r="K329" s="108">
        <f t="shared" si="368"/>
        <v>0</v>
      </c>
      <c r="L329" s="111"/>
      <c r="Z329" s="100">
        <f t="shared" si="369"/>
        <v>0</v>
      </c>
      <c r="AB329" s="100">
        <f t="shared" si="370"/>
        <v>0</v>
      </c>
      <c r="AC329" s="100">
        <f t="shared" si="371"/>
        <v>0</v>
      </c>
      <c r="AD329" s="100">
        <f t="shared" si="372"/>
        <v>0</v>
      </c>
      <c r="AE329" s="100">
        <f t="shared" si="373"/>
        <v>0</v>
      </c>
      <c r="AF329" s="100">
        <f t="shared" si="374"/>
        <v>0</v>
      </c>
      <c r="AG329" s="100">
        <f t="shared" si="375"/>
        <v>0</v>
      </c>
      <c r="AH329" s="100">
        <f t="shared" si="376"/>
        <v>0</v>
      </c>
      <c r="AI329" s="109"/>
      <c r="AJ329" s="108">
        <f t="shared" si="377"/>
        <v>0</v>
      </c>
      <c r="AK329" s="108">
        <f t="shared" si="378"/>
        <v>0</v>
      </c>
      <c r="AL329" s="108">
        <f t="shared" si="379"/>
        <v>0</v>
      </c>
      <c r="AN329" s="100">
        <v>15</v>
      </c>
      <c r="AO329" s="100">
        <f t="shared" si="380"/>
        <v>0</v>
      </c>
      <c r="AP329" s="100">
        <f t="shared" si="381"/>
        <v>0</v>
      </c>
      <c r="AQ329" s="111" t="s">
        <v>13</v>
      </c>
      <c r="AV329" s="100">
        <f t="shared" si="382"/>
        <v>0</v>
      </c>
      <c r="AW329" s="100">
        <f t="shared" si="383"/>
        <v>0</v>
      </c>
      <c r="AX329" s="100">
        <f t="shared" si="384"/>
        <v>0</v>
      </c>
      <c r="AY329" s="110" t="s">
        <v>1710</v>
      </c>
      <c r="AZ329" s="110" t="s">
        <v>1733</v>
      </c>
      <c r="BA329" s="109" t="s">
        <v>1737</v>
      </c>
      <c r="BC329" s="100">
        <f t="shared" si="385"/>
        <v>0</v>
      </c>
      <c r="BD329" s="100">
        <f t="shared" si="386"/>
        <v>0</v>
      </c>
      <c r="BE329" s="100">
        <v>0</v>
      </c>
      <c r="BF329" s="100">
        <f>329</f>
        <v>329</v>
      </c>
      <c r="BH329" s="108">
        <f t="shared" si="387"/>
        <v>0</v>
      </c>
      <c r="BI329" s="108">
        <f t="shared" si="388"/>
        <v>0</v>
      </c>
      <c r="BJ329" s="108">
        <f t="shared" si="389"/>
        <v>0</v>
      </c>
    </row>
    <row r="330" spans="1:62" x14ac:dyDescent="0.2">
      <c r="A330" s="117" t="s">
        <v>289</v>
      </c>
      <c r="B330" s="117" t="s">
        <v>2361</v>
      </c>
      <c r="C330" s="304" t="s">
        <v>1368</v>
      </c>
      <c r="D330" s="305"/>
      <c r="E330" s="305"/>
      <c r="F330" s="117" t="s">
        <v>1644</v>
      </c>
      <c r="G330" s="116">
        <v>5</v>
      </c>
      <c r="H330" s="159"/>
      <c r="I330" s="108">
        <f t="shared" si="366"/>
        <v>0</v>
      </c>
      <c r="J330" s="108">
        <f t="shared" si="367"/>
        <v>0</v>
      </c>
      <c r="K330" s="108">
        <f t="shared" si="368"/>
        <v>0</v>
      </c>
      <c r="L330" s="111"/>
      <c r="Z330" s="100">
        <f t="shared" si="369"/>
        <v>0</v>
      </c>
      <c r="AB330" s="100">
        <f t="shared" si="370"/>
        <v>0</v>
      </c>
      <c r="AC330" s="100">
        <f t="shared" si="371"/>
        <v>0</v>
      </c>
      <c r="AD330" s="100">
        <f t="shared" si="372"/>
        <v>0</v>
      </c>
      <c r="AE330" s="100">
        <f t="shared" si="373"/>
        <v>0</v>
      </c>
      <c r="AF330" s="100">
        <f t="shared" si="374"/>
        <v>0</v>
      </c>
      <c r="AG330" s="100">
        <f t="shared" si="375"/>
        <v>0</v>
      </c>
      <c r="AH330" s="100">
        <f t="shared" si="376"/>
        <v>0</v>
      </c>
      <c r="AI330" s="109"/>
      <c r="AJ330" s="108">
        <f t="shared" si="377"/>
        <v>0</v>
      </c>
      <c r="AK330" s="108">
        <f t="shared" si="378"/>
        <v>0</v>
      </c>
      <c r="AL330" s="108">
        <f t="shared" si="379"/>
        <v>0</v>
      </c>
      <c r="AN330" s="100">
        <v>15</v>
      </c>
      <c r="AO330" s="100">
        <f t="shared" si="380"/>
        <v>0</v>
      </c>
      <c r="AP330" s="100">
        <f t="shared" si="381"/>
        <v>0</v>
      </c>
      <c r="AQ330" s="111" t="s">
        <v>13</v>
      </c>
      <c r="AV330" s="100">
        <f t="shared" si="382"/>
        <v>0</v>
      </c>
      <c r="AW330" s="100">
        <f t="shared" si="383"/>
        <v>0</v>
      </c>
      <c r="AX330" s="100">
        <f t="shared" si="384"/>
        <v>0</v>
      </c>
      <c r="AY330" s="110" t="s">
        <v>1710</v>
      </c>
      <c r="AZ330" s="110" t="s">
        <v>1733</v>
      </c>
      <c r="BA330" s="109" t="s">
        <v>1737</v>
      </c>
      <c r="BC330" s="100">
        <f t="shared" si="385"/>
        <v>0</v>
      </c>
      <c r="BD330" s="100">
        <f t="shared" si="386"/>
        <v>0</v>
      </c>
      <c r="BE330" s="100">
        <v>0</v>
      </c>
      <c r="BF330" s="100">
        <f>330</f>
        <v>330</v>
      </c>
      <c r="BH330" s="108">
        <f t="shared" si="387"/>
        <v>0</v>
      </c>
      <c r="BI330" s="108">
        <f t="shared" si="388"/>
        <v>0</v>
      </c>
      <c r="BJ330" s="108">
        <f t="shared" si="389"/>
        <v>0</v>
      </c>
    </row>
    <row r="331" spans="1:62" x14ac:dyDescent="0.2">
      <c r="A331" s="117" t="s">
        <v>290</v>
      </c>
      <c r="B331" s="117" t="s">
        <v>2360</v>
      </c>
      <c r="C331" s="304" t="s">
        <v>1369</v>
      </c>
      <c r="D331" s="305"/>
      <c r="E331" s="305"/>
      <c r="F331" s="117" t="s">
        <v>1644</v>
      </c>
      <c r="G331" s="116">
        <v>2</v>
      </c>
      <c r="H331" s="159"/>
      <c r="I331" s="108">
        <f t="shared" si="366"/>
        <v>0</v>
      </c>
      <c r="J331" s="108">
        <f t="shared" si="367"/>
        <v>0</v>
      </c>
      <c r="K331" s="108">
        <f t="shared" si="368"/>
        <v>0</v>
      </c>
      <c r="L331" s="111"/>
      <c r="Z331" s="100">
        <f t="shared" si="369"/>
        <v>0</v>
      </c>
      <c r="AB331" s="100">
        <f t="shared" si="370"/>
        <v>0</v>
      </c>
      <c r="AC331" s="100">
        <f t="shared" si="371"/>
        <v>0</v>
      </c>
      <c r="AD331" s="100">
        <f t="shared" si="372"/>
        <v>0</v>
      </c>
      <c r="AE331" s="100">
        <f t="shared" si="373"/>
        <v>0</v>
      </c>
      <c r="AF331" s="100">
        <f t="shared" si="374"/>
        <v>0</v>
      </c>
      <c r="AG331" s="100">
        <f t="shared" si="375"/>
        <v>0</v>
      </c>
      <c r="AH331" s="100">
        <f t="shared" si="376"/>
        <v>0</v>
      </c>
      <c r="AI331" s="109"/>
      <c r="AJ331" s="108">
        <f t="shared" si="377"/>
        <v>0</v>
      </c>
      <c r="AK331" s="108">
        <f t="shared" si="378"/>
        <v>0</v>
      </c>
      <c r="AL331" s="108">
        <f t="shared" si="379"/>
        <v>0</v>
      </c>
      <c r="AN331" s="100">
        <v>15</v>
      </c>
      <c r="AO331" s="100">
        <f t="shared" si="380"/>
        <v>0</v>
      </c>
      <c r="AP331" s="100">
        <f t="shared" si="381"/>
        <v>0</v>
      </c>
      <c r="AQ331" s="111" t="s">
        <v>13</v>
      </c>
      <c r="AV331" s="100">
        <f t="shared" si="382"/>
        <v>0</v>
      </c>
      <c r="AW331" s="100">
        <f t="shared" si="383"/>
        <v>0</v>
      </c>
      <c r="AX331" s="100">
        <f t="shared" si="384"/>
        <v>0</v>
      </c>
      <c r="AY331" s="110" t="s">
        <v>1710</v>
      </c>
      <c r="AZ331" s="110" t="s">
        <v>1733</v>
      </c>
      <c r="BA331" s="109" t="s">
        <v>1737</v>
      </c>
      <c r="BC331" s="100">
        <f t="shared" si="385"/>
        <v>0</v>
      </c>
      <c r="BD331" s="100">
        <f t="shared" si="386"/>
        <v>0</v>
      </c>
      <c r="BE331" s="100">
        <v>0</v>
      </c>
      <c r="BF331" s="100">
        <f>331</f>
        <v>331</v>
      </c>
      <c r="BH331" s="108">
        <f t="shared" si="387"/>
        <v>0</v>
      </c>
      <c r="BI331" s="108">
        <f t="shared" si="388"/>
        <v>0</v>
      </c>
      <c r="BJ331" s="108">
        <f t="shared" si="389"/>
        <v>0</v>
      </c>
    </row>
    <row r="332" spans="1:62" x14ac:dyDescent="0.2">
      <c r="A332" s="117" t="s">
        <v>291</v>
      </c>
      <c r="B332" s="117" t="s">
        <v>2359</v>
      </c>
      <c r="C332" s="304" t="s">
        <v>1326</v>
      </c>
      <c r="D332" s="305"/>
      <c r="E332" s="305"/>
      <c r="F332" s="117" t="s">
        <v>1644</v>
      </c>
      <c r="G332" s="116">
        <v>1</v>
      </c>
      <c r="H332" s="159"/>
      <c r="I332" s="108">
        <f t="shared" si="366"/>
        <v>0</v>
      </c>
      <c r="J332" s="108">
        <f t="shared" si="367"/>
        <v>0</v>
      </c>
      <c r="K332" s="108">
        <f t="shared" si="368"/>
        <v>0</v>
      </c>
      <c r="L332" s="111"/>
      <c r="Z332" s="100">
        <f t="shared" si="369"/>
        <v>0</v>
      </c>
      <c r="AB332" s="100">
        <f t="shared" si="370"/>
        <v>0</v>
      </c>
      <c r="AC332" s="100">
        <f t="shared" si="371"/>
        <v>0</v>
      </c>
      <c r="AD332" s="100">
        <f t="shared" si="372"/>
        <v>0</v>
      </c>
      <c r="AE332" s="100">
        <f t="shared" si="373"/>
        <v>0</v>
      </c>
      <c r="AF332" s="100">
        <f t="shared" si="374"/>
        <v>0</v>
      </c>
      <c r="AG332" s="100">
        <f t="shared" si="375"/>
        <v>0</v>
      </c>
      <c r="AH332" s="100">
        <f t="shared" si="376"/>
        <v>0</v>
      </c>
      <c r="AI332" s="109"/>
      <c r="AJ332" s="108">
        <f t="shared" si="377"/>
        <v>0</v>
      </c>
      <c r="AK332" s="108">
        <f t="shared" si="378"/>
        <v>0</v>
      </c>
      <c r="AL332" s="108">
        <f t="shared" si="379"/>
        <v>0</v>
      </c>
      <c r="AN332" s="100">
        <v>15</v>
      </c>
      <c r="AO332" s="100">
        <f t="shared" si="380"/>
        <v>0</v>
      </c>
      <c r="AP332" s="100">
        <f t="shared" si="381"/>
        <v>0</v>
      </c>
      <c r="AQ332" s="111" t="s">
        <v>13</v>
      </c>
      <c r="AV332" s="100">
        <f t="shared" si="382"/>
        <v>0</v>
      </c>
      <c r="AW332" s="100">
        <f t="shared" si="383"/>
        <v>0</v>
      </c>
      <c r="AX332" s="100">
        <f t="shared" si="384"/>
        <v>0</v>
      </c>
      <c r="AY332" s="110" t="s">
        <v>1710</v>
      </c>
      <c r="AZ332" s="110" t="s">
        <v>1733</v>
      </c>
      <c r="BA332" s="109" t="s">
        <v>1737</v>
      </c>
      <c r="BC332" s="100">
        <f t="shared" si="385"/>
        <v>0</v>
      </c>
      <c r="BD332" s="100">
        <f t="shared" si="386"/>
        <v>0</v>
      </c>
      <c r="BE332" s="100">
        <v>0</v>
      </c>
      <c r="BF332" s="100">
        <f>332</f>
        <v>332</v>
      </c>
      <c r="BH332" s="108">
        <f t="shared" si="387"/>
        <v>0</v>
      </c>
      <c r="BI332" s="108">
        <f t="shared" si="388"/>
        <v>0</v>
      </c>
      <c r="BJ332" s="108">
        <f t="shared" si="389"/>
        <v>0</v>
      </c>
    </row>
    <row r="333" spans="1:62" x14ac:dyDescent="0.2">
      <c r="A333" s="117" t="s">
        <v>292</v>
      </c>
      <c r="B333" s="117" t="s">
        <v>2358</v>
      </c>
      <c r="C333" s="304" t="s">
        <v>1327</v>
      </c>
      <c r="D333" s="305"/>
      <c r="E333" s="305"/>
      <c r="F333" s="117" t="s">
        <v>1644</v>
      </c>
      <c r="G333" s="116">
        <v>1</v>
      </c>
      <c r="H333" s="159"/>
      <c r="I333" s="108">
        <f t="shared" si="366"/>
        <v>0</v>
      </c>
      <c r="J333" s="108">
        <f t="shared" si="367"/>
        <v>0</v>
      </c>
      <c r="K333" s="108">
        <f t="shared" si="368"/>
        <v>0</v>
      </c>
      <c r="L333" s="111"/>
      <c r="Z333" s="100">
        <f t="shared" si="369"/>
        <v>0</v>
      </c>
      <c r="AB333" s="100">
        <f t="shared" si="370"/>
        <v>0</v>
      </c>
      <c r="AC333" s="100">
        <f t="shared" si="371"/>
        <v>0</v>
      </c>
      <c r="AD333" s="100">
        <f t="shared" si="372"/>
        <v>0</v>
      </c>
      <c r="AE333" s="100">
        <f t="shared" si="373"/>
        <v>0</v>
      </c>
      <c r="AF333" s="100">
        <f t="shared" si="374"/>
        <v>0</v>
      </c>
      <c r="AG333" s="100">
        <f t="shared" si="375"/>
        <v>0</v>
      </c>
      <c r="AH333" s="100">
        <f t="shared" si="376"/>
        <v>0</v>
      </c>
      <c r="AI333" s="109"/>
      <c r="AJ333" s="108">
        <f t="shared" si="377"/>
        <v>0</v>
      </c>
      <c r="AK333" s="108">
        <f t="shared" si="378"/>
        <v>0</v>
      </c>
      <c r="AL333" s="108">
        <f t="shared" si="379"/>
        <v>0</v>
      </c>
      <c r="AN333" s="100">
        <v>15</v>
      </c>
      <c r="AO333" s="100">
        <f t="shared" si="380"/>
        <v>0</v>
      </c>
      <c r="AP333" s="100">
        <f t="shared" si="381"/>
        <v>0</v>
      </c>
      <c r="AQ333" s="111" t="s">
        <v>13</v>
      </c>
      <c r="AV333" s="100">
        <f t="shared" si="382"/>
        <v>0</v>
      </c>
      <c r="AW333" s="100">
        <f t="shared" si="383"/>
        <v>0</v>
      </c>
      <c r="AX333" s="100">
        <f t="shared" si="384"/>
        <v>0</v>
      </c>
      <c r="AY333" s="110" t="s">
        <v>1710</v>
      </c>
      <c r="AZ333" s="110" t="s">
        <v>1733</v>
      </c>
      <c r="BA333" s="109" t="s">
        <v>1737</v>
      </c>
      <c r="BC333" s="100">
        <f t="shared" si="385"/>
        <v>0</v>
      </c>
      <c r="BD333" s="100">
        <f t="shared" si="386"/>
        <v>0</v>
      </c>
      <c r="BE333" s="100">
        <v>0</v>
      </c>
      <c r="BF333" s="100">
        <f>333</f>
        <v>333</v>
      </c>
      <c r="BH333" s="108">
        <f t="shared" si="387"/>
        <v>0</v>
      </c>
      <c r="BI333" s="108">
        <f t="shared" si="388"/>
        <v>0</v>
      </c>
      <c r="BJ333" s="108">
        <f t="shared" si="389"/>
        <v>0</v>
      </c>
    </row>
    <row r="334" spans="1:62" x14ac:dyDescent="0.2">
      <c r="A334" s="117" t="s">
        <v>293</v>
      </c>
      <c r="B334" s="117" t="s">
        <v>2357</v>
      </c>
      <c r="C334" s="304" t="s">
        <v>1372</v>
      </c>
      <c r="D334" s="305"/>
      <c r="E334" s="305"/>
      <c r="F334" s="117" t="s">
        <v>1646</v>
      </c>
      <c r="G334" s="116">
        <v>16</v>
      </c>
      <c r="H334" s="159"/>
      <c r="I334" s="108">
        <f t="shared" si="366"/>
        <v>0</v>
      </c>
      <c r="J334" s="108">
        <f t="shared" si="367"/>
        <v>0</v>
      </c>
      <c r="K334" s="108">
        <f t="shared" si="368"/>
        <v>0</v>
      </c>
      <c r="L334" s="111"/>
      <c r="Z334" s="100">
        <f t="shared" si="369"/>
        <v>0</v>
      </c>
      <c r="AB334" s="100">
        <f t="shared" si="370"/>
        <v>0</v>
      </c>
      <c r="AC334" s="100">
        <f t="shared" si="371"/>
        <v>0</v>
      </c>
      <c r="AD334" s="100">
        <f t="shared" si="372"/>
        <v>0</v>
      </c>
      <c r="AE334" s="100">
        <f t="shared" si="373"/>
        <v>0</v>
      </c>
      <c r="AF334" s="100">
        <f t="shared" si="374"/>
        <v>0</v>
      </c>
      <c r="AG334" s="100">
        <f t="shared" si="375"/>
        <v>0</v>
      </c>
      <c r="AH334" s="100">
        <f t="shared" si="376"/>
        <v>0</v>
      </c>
      <c r="AI334" s="109"/>
      <c r="AJ334" s="108">
        <f t="shared" si="377"/>
        <v>0</v>
      </c>
      <c r="AK334" s="108">
        <f t="shared" si="378"/>
        <v>0</v>
      </c>
      <c r="AL334" s="108">
        <f t="shared" si="379"/>
        <v>0</v>
      </c>
      <c r="AN334" s="100">
        <v>15</v>
      </c>
      <c r="AO334" s="100">
        <f t="shared" si="380"/>
        <v>0</v>
      </c>
      <c r="AP334" s="100">
        <f t="shared" si="381"/>
        <v>0</v>
      </c>
      <c r="AQ334" s="111" t="s">
        <v>13</v>
      </c>
      <c r="AV334" s="100">
        <f t="shared" si="382"/>
        <v>0</v>
      </c>
      <c r="AW334" s="100">
        <f t="shared" si="383"/>
        <v>0</v>
      </c>
      <c r="AX334" s="100">
        <f t="shared" si="384"/>
        <v>0</v>
      </c>
      <c r="AY334" s="110" t="s">
        <v>1710</v>
      </c>
      <c r="AZ334" s="110" t="s">
        <v>1733</v>
      </c>
      <c r="BA334" s="109" t="s">
        <v>1737</v>
      </c>
      <c r="BC334" s="100">
        <f t="shared" si="385"/>
        <v>0</v>
      </c>
      <c r="BD334" s="100">
        <f t="shared" si="386"/>
        <v>0</v>
      </c>
      <c r="BE334" s="100">
        <v>0</v>
      </c>
      <c r="BF334" s="100">
        <f>334</f>
        <v>334</v>
      </c>
      <c r="BH334" s="108">
        <f t="shared" si="387"/>
        <v>0</v>
      </c>
      <c r="BI334" s="108">
        <f t="shared" si="388"/>
        <v>0</v>
      </c>
      <c r="BJ334" s="108">
        <f t="shared" si="389"/>
        <v>0</v>
      </c>
    </row>
    <row r="335" spans="1:62" x14ac:dyDescent="0.2">
      <c r="A335" s="117" t="s">
        <v>294</v>
      </c>
      <c r="B335" s="117" t="s">
        <v>2356</v>
      </c>
      <c r="C335" s="304" t="s">
        <v>1373</v>
      </c>
      <c r="D335" s="305"/>
      <c r="E335" s="305"/>
      <c r="F335" s="117" t="s">
        <v>1646</v>
      </c>
      <c r="G335" s="116">
        <v>8</v>
      </c>
      <c r="H335" s="159"/>
      <c r="I335" s="108">
        <f t="shared" si="366"/>
        <v>0</v>
      </c>
      <c r="J335" s="108">
        <f t="shared" si="367"/>
        <v>0</v>
      </c>
      <c r="K335" s="108">
        <f t="shared" si="368"/>
        <v>0</v>
      </c>
      <c r="L335" s="111"/>
      <c r="Z335" s="100">
        <f t="shared" si="369"/>
        <v>0</v>
      </c>
      <c r="AB335" s="100">
        <f t="shared" si="370"/>
        <v>0</v>
      </c>
      <c r="AC335" s="100">
        <f t="shared" si="371"/>
        <v>0</v>
      </c>
      <c r="AD335" s="100">
        <f t="shared" si="372"/>
        <v>0</v>
      </c>
      <c r="AE335" s="100">
        <f t="shared" si="373"/>
        <v>0</v>
      </c>
      <c r="AF335" s="100">
        <f t="shared" si="374"/>
        <v>0</v>
      </c>
      <c r="AG335" s="100">
        <f t="shared" si="375"/>
        <v>0</v>
      </c>
      <c r="AH335" s="100">
        <f t="shared" si="376"/>
        <v>0</v>
      </c>
      <c r="AI335" s="109"/>
      <c r="AJ335" s="108">
        <f t="shared" si="377"/>
        <v>0</v>
      </c>
      <c r="AK335" s="108">
        <f t="shared" si="378"/>
        <v>0</v>
      </c>
      <c r="AL335" s="108">
        <f t="shared" si="379"/>
        <v>0</v>
      </c>
      <c r="AN335" s="100">
        <v>15</v>
      </c>
      <c r="AO335" s="100">
        <f t="shared" si="380"/>
        <v>0</v>
      </c>
      <c r="AP335" s="100">
        <f t="shared" si="381"/>
        <v>0</v>
      </c>
      <c r="AQ335" s="111" t="s">
        <v>13</v>
      </c>
      <c r="AV335" s="100">
        <f t="shared" si="382"/>
        <v>0</v>
      </c>
      <c r="AW335" s="100">
        <f t="shared" si="383"/>
        <v>0</v>
      </c>
      <c r="AX335" s="100">
        <f t="shared" si="384"/>
        <v>0</v>
      </c>
      <c r="AY335" s="110" t="s">
        <v>1710</v>
      </c>
      <c r="AZ335" s="110" t="s">
        <v>1733</v>
      </c>
      <c r="BA335" s="109" t="s">
        <v>1737</v>
      </c>
      <c r="BC335" s="100">
        <f t="shared" si="385"/>
        <v>0</v>
      </c>
      <c r="BD335" s="100">
        <f t="shared" si="386"/>
        <v>0</v>
      </c>
      <c r="BE335" s="100">
        <v>0</v>
      </c>
      <c r="BF335" s="100">
        <f>335</f>
        <v>335</v>
      </c>
      <c r="BH335" s="108">
        <f t="shared" si="387"/>
        <v>0</v>
      </c>
      <c r="BI335" s="108">
        <f t="shared" si="388"/>
        <v>0</v>
      </c>
      <c r="BJ335" s="108">
        <f t="shared" si="389"/>
        <v>0</v>
      </c>
    </row>
    <row r="336" spans="1:62" x14ac:dyDescent="0.2">
      <c r="A336" s="117" t="s">
        <v>295</v>
      </c>
      <c r="B336" s="117" t="s">
        <v>2355</v>
      </c>
      <c r="C336" s="304" t="s">
        <v>1374</v>
      </c>
      <c r="D336" s="305"/>
      <c r="E336" s="305"/>
      <c r="F336" s="117" t="s">
        <v>1646</v>
      </c>
      <c r="G336" s="116">
        <v>8</v>
      </c>
      <c r="H336" s="159"/>
      <c r="I336" s="108">
        <f t="shared" si="366"/>
        <v>0</v>
      </c>
      <c r="J336" s="108">
        <f t="shared" si="367"/>
        <v>0</v>
      </c>
      <c r="K336" s="108">
        <f t="shared" si="368"/>
        <v>0</v>
      </c>
      <c r="L336" s="111"/>
      <c r="Z336" s="100">
        <f t="shared" si="369"/>
        <v>0</v>
      </c>
      <c r="AB336" s="100">
        <f t="shared" si="370"/>
        <v>0</v>
      </c>
      <c r="AC336" s="100">
        <f t="shared" si="371"/>
        <v>0</v>
      </c>
      <c r="AD336" s="100">
        <f t="shared" si="372"/>
        <v>0</v>
      </c>
      <c r="AE336" s="100">
        <f t="shared" si="373"/>
        <v>0</v>
      </c>
      <c r="AF336" s="100">
        <f t="shared" si="374"/>
        <v>0</v>
      </c>
      <c r="AG336" s="100">
        <f t="shared" si="375"/>
        <v>0</v>
      </c>
      <c r="AH336" s="100">
        <f t="shared" si="376"/>
        <v>0</v>
      </c>
      <c r="AI336" s="109"/>
      <c r="AJ336" s="108">
        <f t="shared" si="377"/>
        <v>0</v>
      </c>
      <c r="AK336" s="108">
        <f t="shared" si="378"/>
        <v>0</v>
      </c>
      <c r="AL336" s="108">
        <f t="shared" si="379"/>
        <v>0</v>
      </c>
      <c r="AN336" s="100">
        <v>15</v>
      </c>
      <c r="AO336" s="100">
        <f t="shared" si="380"/>
        <v>0</v>
      </c>
      <c r="AP336" s="100">
        <f t="shared" si="381"/>
        <v>0</v>
      </c>
      <c r="AQ336" s="111" t="s">
        <v>13</v>
      </c>
      <c r="AV336" s="100">
        <f t="shared" si="382"/>
        <v>0</v>
      </c>
      <c r="AW336" s="100">
        <f t="shared" si="383"/>
        <v>0</v>
      </c>
      <c r="AX336" s="100">
        <f t="shared" si="384"/>
        <v>0</v>
      </c>
      <c r="AY336" s="110" t="s">
        <v>1710</v>
      </c>
      <c r="AZ336" s="110" t="s">
        <v>1733</v>
      </c>
      <c r="BA336" s="109" t="s">
        <v>1737</v>
      </c>
      <c r="BC336" s="100">
        <f t="shared" si="385"/>
        <v>0</v>
      </c>
      <c r="BD336" s="100">
        <f t="shared" si="386"/>
        <v>0</v>
      </c>
      <c r="BE336" s="100">
        <v>0</v>
      </c>
      <c r="BF336" s="100">
        <f>336</f>
        <v>336</v>
      </c>
      <c r="BH336" s="108">
        <f t="shared" si="387"/>
        <v>0</v>
      </c>
      <c r="BI336" s="108">
        <f t="shared" si="388"/>
        <v>0</v>
      </c>
      <c r="BJ336" s="108">
        <f t="shared" si="389"/>
        <v>0</v>
      </c>
    </row>
    <row r="337" spans="1:62" x14ac:dyDescent="0.2">
      <c r="A337" s="117" t="s">
        <v>296</v>
      </c>
      <c r="B337" s="117" t="s">
        <v>2354</v>
      </c>
      <c r="C337" s="304" t="s">
        <v>1375</v>
      </c>
      <c r="D337" s="305"/>
      <c r="E337" s="305"/>
      <c r="F337" s="117" t="s">
        <v>1646</v>
      </c>
      <c r="G337" s="116">
        <v>8</v>
      </c>
      <c r="H337" s="159"/>
      <c r="I337" s="108">
        <f t="shared" si="366"/>
        <v>0</v>
      </c>
      <c r="J337" s="108">
        <f t="shared" si="367"/>
        <v>0</v>
      </c>
      <c r="K337" s="108">
        <f t="shared" si="368"/>
        <v>0</v>
      </c>
      <c r="L337" s="111"/>
      <c r="Z337" s="100">
        <f t="shared" si="369"/>
        <v>0</v>
      </c>
      <c r="AB337" s="100">
        <f t="shared" si="370"/>
        <v>0</v>
      </c>
      <c r="AC337" s="100">
        <f t="shared" si="371"/>
        <v>0</v>
      </c>
      <c r="AD337" s="100">
        <f t="shared" si="372"/>
        <v>0</v>
      </c>
      <c r="AE337" s="100">
        <f t="shared" si="373"/>
        <v>0</v>
      </c>
      <c r="AF337" s="100">
        <f t="shared" si="374"/>
        <v>0</v>
      </c>
      <c r="AG337" s="100">
        <f t="shared" si="375"/>
        <v>0</v>
      </c>
      <c r="AH337" s="100">
        <f t="shared" si="376"/>
        <v>0</v>
      </c>
      <c r="AI337" s="109"/>
      <c r="AJ337" s="108">
        <f t="shared" si="377"/>
        <v>0</v>
      </c>
      <c r="AK337" s="108">
        <f t="shared" si="378"/>
        <v>0</v>
      </c>
      <c r="AL337" s="108">
        <f t="shared" si="379"/>
        <v>0</v>
      </c>
      <c r="AN337" s="100">
        <v>15</v>
      </c>
      <c r="AO337" s="100">
        <f t="shared" si="380"/>
        <v>0</v>
      </c>
      <c r="AP337" s="100">
        <f t="shared" si="381"/>
        <v>0</v>
      </c>
      <c r="AQ337" s="111" t="s">
        <v>13</v>
      </c>
      <c r="AV337" s="100">
        <f t="shared" si="382"/>
        <v>0</v>
      </c>
      <c r="AW337" s="100">
        <f t="shared" si="383"/>
        <v>0</v>
      </c>
      <c r="AX337" s="100">
        <f t="shared" si="384"/>
        <v>0</v>
      </c>
      <c r="AY337" s="110" t="s">
        <v>1710</v>
      </c>
      <c r="AZ337" s="110" t="s">
        <v>1733</v>
      </c>
      <c r="BA337" s="109" t="s">
        <v>1737</v>
      </c>
      <c r="BC337" s="100">
        <f t="shared" si="385"/>
        <v>0</v>
      </c>
      <c r="BD337" s="100">
        <f t="shared" si="386"/>
        <v>0</v>
      </c>
      <c r="BE337" s="100">
        <v>0</v>
      </c>
      <c r="BF337" s="100">
        <f>337</f>
        <v>337</v>
      </c>
      <c r="BH337" s="108">
        <f t="shared" si="387"/>
        <v>0</v>
      </c>
      <c r="BI337" s="108">
        <f t="shared" si="388"/>
        <v>0</v>
      </c>
      <c r="BJ337" s="108">
        <f t="shared" si="389"/>
        <v>0</v>
      </c>
    </row>
    <row r="338" spans="1:62" x14ac:dyDescent="0.2">
      <c r="A338" s="117" t="s">
        <v>297</v>
      </c>
      <c r="B338" s="117" t="s">
        <v>2353</v>
      </c>
      <c r="C338" s="304" t="s">
        <v>1376</v>
      </c>
      <c r="D338" s="305"/>
      <c r="E338" s="305"/>
      <c r="F338" s="117" t="s">
        <v>1646</v>
      </c>
      <c r="G338" s="116">
        <v>8</v>
      </c>
      <c r="H338" s="159"/>
      <c r="I338" s="108">
        <f t="shared" si="366"/>
        <v>0</v>
      </c>
      <c r="J338" s="108">
        <f t="shared" si="367"/>
        <v>0</v>
      </c>
      <c r="K338" s="108">
        <f t="shared" si="368"/>
        <v>0</v>
      </c>
      <c r="L338" s="111"/>
      <c r="Z338" s="100">
        <f t="shared" si="369"/>
        <v>0</v>
      </c>
      <c r="AB338" s="100">
        <f t="shared" si="370"/>
        <v>0</v>
      </c>
      <c r="AC338" s="100">
        <f t="shared" si="371"/>
        <v>0</v>
      </c>
      <c r="AD338" s="100">
        <f t="shared" si="372"/>
        <v>0</v>
      </c>
      <c r="AE338" s="100">
        <f t="shared" si="373"/>
        <v>0</v>
      </c>
      <c r="AF338" s="100">
        <f t="shared" si="374"/>
        <v>0</v>
      </c>
      <c r="AG338" s="100">
        <f t="shared" si="375"/>
        <v>0</v>
      </c>
      <c r="AH338" s="100">
        <f t="shared" si="376"/>
        <v>0</v>
      </c>
      <c r="AI338" s="109"/>
      <c r="AJ338" s="108">
        <f t="shared" si="377"/>
        <v>0</v>
      </c>
      <c r="AK338" s="108">
        <f t="shared" si="378"/>
        <v>0</v>
      </c>
      <c r="AL338" s="108">
        <f t="shared" si="379"/>
        <v>0</v>
      </c>
      <c r="AN338" s="100">
        <v>15</v>
      </c>
      <c r="AO338" s="100">
        <f t="shared" si="380"/>
        <v>0</v>
      </c>
      <c r="AP338" s="100">
        <f t="shared" si="381"/>
        <v>0</v>
      </c>
      <c r="AQ338" s="111" t="s">
        <v>13</v>
      </c>
      <c r="AV338" s="100">
        <f t="shared" si="382"/>
        <v>0</v>
      </c>
      <c r="AW338" s="100">
        <f t="shared" si="383"/>
        <v>0</v>
      </c>
      <c r="AX338" s="100">
        <f t="shared" si="384"/>
        <v>0</v>
      </c>
      <c r="AY338" s="110" t="s">
        <v>1710</v>
      </c>
      <c r="AZ338" s="110" t="s">
        <v>1733</v>
      </c>
      <c r="BA338" s="109" t="s">
        <v>1737</v>
      </c>
      <c r="BC338" s="100">
        <f t="shared" si="385"/>
        <v>0</v>
      </c>
      <c r="BD338" s="100">
        <f t="shared" si="386"/>
        <v>0</v>
      </c>
      <c r="BE338" s="100">
        <v>0</v>
      </c>
      <c r="BF338" s="100">
        <f>338</f>
        <v>338</v>
      </c>
      <c r="BH338" s="108">
        <f t="shared" si="387"/>
        <v>0</v>
      </c>
      <c r="BI338" s="108">
        <f t="shared" si="388"/>
        <v>0</v>
      </c>
      <c r="BJ338" s="108">
        <f t="shared" si="389"/>
        <v>0</v>
      </c>
    </row>
    <row r="339" spans="1:62" x14ac:dyDescent="0.2">
      <c r="A339" s="117" t="s">
        <v>298</v>
      </c>
      <c r="B339" s="117" t="s">
        <v>2352</v>
      </c>
      <c r="C339" s="304" t="s">
        <v>1377</v>
      </c>
      <c r="D339" s="305"/>
      <c r="E339" s="305"/>
      <c r="F339" s="117" t="s">
        <v>1646</v>
      </c>
      <c r="G339" s="116">
        <v>24</v>
      </c>
      <c r="H339" s="159"/>
      <c r="I339" s="108">
        <f t="shared" si="366"/>
        <v>0</v>
      </c>
      <c r="J339" s="108">
        <f t="shared" si="367"/>
        <v>0</v>
      </c>
      <c r="K339" s="108">
        <f t="shared" si="368"/>
        <v>0</v>
      </c>
      <c r="L339" s="111"/>
      <c r="Z339" s="100">
        <f t="shared" si="369"/>
        <v>0</v>
      </c>
      <c r="AB339" s="100">
        <f t="shared" si="370"/>
        <v>0</v>
      </c>
      <c r="AC339" s="100">
        <f t="shared" si="371"/>
        <v>0</v>
      </c>
      <c r="AD339" s="100">
        <f t="shared" si="372"/>
        <v>0</v>
      </c>
      <c r="AE339" s="100">
        <f t="shared" si="373"/>
        <v>0</v>
      </c>
      <c r="AF339" s="100">
        <f t="shared" si="374"/>
        <v>0</v>
      </c>
      <c r="AG339" s="100">
        <f t="shared" si="375"/>
        <v>0</v>
      </c>
      <c r="AH339" s="100">
        <f t="shared" si="376"/>
        <v>0</v>
      </c>
      <c r="AI339" s="109"/>
      <c r="AJ339" s="108">
        <f t="shared" si="377"/>
        <v>0</v>
      </c>
      <c r="AK339" s="108">
        <f t="shared" si="378"/>
        <v>0</v>
      </c>
      <c r="AL339" s="108">
        <f t="shared" si="379"/>
        <v>0</v>
      </c>
      <c r="AN339" s="100">
        <v>15</v>
      </c>
      <c r="AO339" s="100">
        <f t="shared" si="380"/>
        <v>0</v>
      </c>
      <c r="AP339" s="100">
        <f t="shared" si="381"/>
        <v>0</v>
      </c>
      <c r="AQ339" s="111" t="s">
        <v>13</v>
      </c>
      <c r="AV339" s="100">
        <f t="shared" si="382"/>
        <v>0</v>
      </c>
      <c r="AW339" s="100">
        <f t="shared" si="383"/>
        <v>0</v>
      </c>
      <c r="AX339" s="100">
        <f t="shared" si="384"/>
        <v>0</v>
      </c>
      <c r="AY339" s="110" t="s">
        <v>1710</v>
      </c>
      <c r="AZ339" s="110" t="s">
        <v>1733</v>
      </c>
      <c r="BA339" s="109" t="s">
        <v>1737</v>
      </c>
      <c r="BC339" s="100">
        <f t="shared" si="385"/>
        <v>0</v>
      </c>
      <c r="BD339" s="100">
        <f t="shared" si="386"/>
        <v>0</v>
      </c>
      <c r="BE339" s="100">
        <v>0</v>
      </c>
      <c r="BF339" s="100">
        <f>339</f>
        <v>339</v>
      </c>
      <c r="BH339" s="108">
        <f t="shared" si="387"/>
        <v>0</v>
      </c>
      <c r="BI339" s="108">
        <f t="shared" si="388"/>
        <v>0</v>
      </c>
      <c r="BJ339" s="108">
        <f t="shared" si="389"/>
        <v>0</v>
      </c>
    </row>
    <row r="340" spans="1:62" x14ac:dyDescent="0.2">
      <c r="A340" s="117" t="s">
        <v>299</v>
      </c>
      <c r="B340" s="117" t="s">
        <v>2351</v>
      </c>
      <c r="C340" s="304" t="s">
        <v>1378</v>
      </c>
      <c r="D340" s="305"/>
      <c r="E340" s="305"/>
      <c r="F340" s="117" t="s">
        <v>1646</v>
      </c>
      <c r="G340" s="116">
        <v>8</v>
      </c>
      <c r="H340" s="159"/>
      <c r="I340" s="108">
        <f t="shared" si="366"/>
        <v>0</v>
      </c>
      <c r="J340" s="108">
        <f t="shared" si="367"/>
        <v>0</v>
      </c>
      <c r="K340" s="108">
        <f t="shared" si="368"/>
        <v>0</v>
      </c>
      <c r="L340" s="111"/>
      <c r="Z340" s="100">
        <f t="shared" si="369"/>
        <v>0</v>
      </c>
      <c r="AB340" s="100">
        <f t="shared" si="370"/>
        <v>0</v>
      </c>
      <c r="AC340" s="100">
        <f t="shared" si="371"/>
        <v>0</v>
      </c>
      <c r="AD340" s="100">
        <f t="shared" si="372"/>
        <v>0</v>
      </c>
      <c r="AE340" s="100">
        <f t="shared" si="373"/>
        <v>0</v>
      </c>
      <c r="AF340" s="100">
        <f t="shared" si="374"/>
        <v>0</v>
      </c>
      <c r="AG340" s="100">
        <f t="shared" si="375"/>
        <v>0</v>
      </c>
      <c r="AH340" s="100">
        <f t="shared" si="376"/>
        <v>0</v>
      </c>
      <c r="AI340" s="109"/>
      <c r="AJ340" s="108">
        <f t="shared" si="377"/>
        <v>0</v>
      </c>
      <c r="AK340" s="108">
        <f t="shared" si="378"/>
        <v>0</v>
      </c>
      <c r="AL340" s="108">
        <f t="shared" si="379"/>
        <v>0</v>
      </c>
      <c r="AN340" s="100">
        <v>15</v>
      </c>
      <c r="AO340" s="100">
        <f t="shared" si="380"/>
        <v>0</v>
      </c>
      <c r="AP340" s="100">
        <f t="shared" si="381"/>
        <v>0</v>
      </c>
      <c r="AQ340" s="111" t="s">
        <v>13</v>
      </c>
      <c r="AV340" s="100">
        <f t="shared" si="382"/>
        <v>0</v>
      </c>
      <c r="AW340" s="100">
        <f t="shared" si="383"/>
        <v>0</v>
      </c>
      <c r="AX340" s="100">
        <f t="shared" si="384"/>
        <v>0</v>
      </c>
      <c r="AY340" s="110" t="s">
        <v>1710</v>
      </c>
      <c r="AZ340" s="110" t="s">
        <v>1733</v>
      </c>
      <c r="BA340" s="109" t="s">
        <v>1737</v>
      </c>
      <c r="BC340" s="100">
        <f t="shared" si="385"/>
        <v>0</v>
      </c>
      <c r="BD340" s="100">
        <f t="shared" si="386"/>
        <v>0</v>
      </c>
      <c r="BE340" s="100">
        <v>0</v>
      </c>
      <c r="BF340" s="100">
        <f>340</f>
        <v>340</v>
      </c>
      <c r="BH340" s="108">
        <f t="shared" si="387"/>
        <v>0</v>
      </c>
      <c r="BI340" s="108">
        <f t="shared" si="388"/>
        <v>0</v>
      </c>
      <c r="BJ340" s="108">
        <f t="shared" si="389"/>
        <v>0</v>
      </c>
    </row>
    <row r="341" spans="1:62" x14ac:dyDescent="0.2">
      <c r="A341" s="119"/>
      <c r="B341" s="120" t="s">
        <v>798</v>
      </c>
      <c r="C341" s="306" t="s">
        <v>1379</v>
      </c>
      <c r="D341" s="307"/>
      <c r="E341" s="307"/>
      <c r="F341" s="119" t="s">
        <v>6</v>
      </c>
      <c r="G341" s="119" t="s">
        <v>6</v>
      </c>
      <c r="H341" s="119" t="s">
        <v>6</v>
      </c>
      <c r="I341" s="118">
        <f>SUM(I342:I364)</f>
        <v>0</v>
      </c>
      <c r="J341" s="118">
        <f>SUM(J342:J364)</f>
        <v>0</v>
      </c>
      <c r="K341" s="118">
        <f>SUM(K342:K364)</f>
        <v>0</v>
      </c>
      <c r="L341" s="109"/>
      <c r="AI341" s="109"/>
      <c r="AS341" s="118">
        <f>SUM(AJ342:AJ364)</f>
        <v>0</v>
      </c>
      <c r="AT341" s="118">
        <f>SUM(AK342:AK364)</f>
        <v>0</v>
      </c>
      <c r="AU341" s="118">
        <f>SUM(AL342:AL364)</f>
        <v>0</v>
      </c>
    </row>
    <row r="342" spans="1:62" x14ac:dyDescent="0.2">
      <c r="A342" s="117" t="s">
        <v>300</v>
      </c>
      <c r="B342" s="117" t="s">
        <v>2350</v>
      </c>
      <c r="C342" s="304" t="s">
        <v>1380</v>
      </c>
      <c r="D342" s="305"/>
      <c r="E342" s="305"/>
      <c r="F342" s="117" t="s">
        <v>1646</v>
      </c>
      <c r="G342" s="116">
        <v>1.5</v>
      </c>
      <c r="H342" s="159"/>
      <c r="I342" s="108">
        <f t="shared" ref="I342:I364" si="390">G342*AO342</f>
        <v>0</v>
      </c>
      <c r="J342" s="108">
        <f t="shared" ref="J342:J364" si="391">G342*AP342</f>
        <v>0</v>
      </c>
      <c r="K342" s="108">
        <f t="shared" ref="K342:K364" si="392">G342*H342</f>
        <v>0</v>
      </c>
      <c r="L342" s="111"/>
      <c r="Z342" s="100">
        <f t="shared" ref="Z342:Z364" si="393">IF(AQ342="5",BJ342,0)</f>
        <v>0</v>
      </c>
      <c r="AB342" s="100">
        <f t="shared" ref="AB342:AB364" si="394">IF(AQ342="1",BH342,0)</f>
        <v>0</v>
      </c>
      <c r="AC342" s="100">
        <f t="shared" ref="AC342:AC364" si="395">IF(AQ342="1",BI342,0)</f>
        <v>0</v>
      </c>
      <c r="AD342" s="100">
        <f t="shared" ref="AD342:AD364" si="396">IF(AQ342="7",BH342,0)</f>
        <v>0</v>
      </c>
      <c r="AE342" s="100">
        <f t="shared" ref="AE342:AE364" si="397">IF(AQ342="7",BI342,0)</f>
        <v>0</v>
      </c>
      <c r="AF342" s="100">
        <f t="shared" ref="AF342:AF364" si="398">IF(AQ342="2",BH342,0)</f>
        <v>0</v>
      </c>
      <c r="AG342" s="100">
        <f t="shared" ref="AG342:AG364" si="399">IF(AQ342="2",BI342,0)</f>
        <v>0</v>
      </c>
      <c r="AH342" s="100">
        <f t="shared" ref="AH342:AH364" si="400">IF(AQ342="0",BJ342,0)</f>
        <v>0</v>
      </c>
      <c r="AI342" s="109"/>
      <c r="AJ342" s="108">
        <f t="shared" ref="AJ342:AJ364" si="401">IF(AN342=0,K342,0)</f>
        <v>0</v>
      </c>
      <c r="AK342" s="108">
        <f t="shared" ref="AK342:AK364" si="402">IF(AN342=15,K342,0)</f>
        <v>0</v>
      </c>
      <c r="AL342" s="108">
        <f t="shared" ref="AL342:AL364" si="403">IF(AN342=21,K342,0)</f>
        <v>0</v>
      </c>
      <c r="AN342" s="100">
        <v>15</v>
      </c>
      <c r="AO342" s="100">
        <f t="shared" ref="AO342:AO364" si="404">H342*0</f>
        <v>0</v>
      </c>
      <c r="AP342" s="100">
        <f t="shared" ref="AP342:AP364" si="405">H342*(1-0)</f>
        <v>0</v>
      </c>
      <c r="AQ342" s="111" t="s">
        <v>13</v>
      </c>
      <c r="AV342" s="100">
        <f t="shared" ref="AV342:AV364" si="406">AW342+AX342</f>
        <v>0</v>
      </c>
      <c r="AW342" s="100">
        <f t="shared" ref="AW342:AW364" si="407">G342*AO342</f>
        <v>0</v>
      </c>
      <c r="AX342" s="100">
        <f t="shared" ref="AX342:AX364" si="408">G342*AP342</f>
        <v>0</v>
      </c>
      <c r="AY342" s="110" t="s">
        <v>1711</v>
      </c>
      <c r="AZ342" s="110" t="s">
        <v>1733</v>
      </c>
      <c r="BA342" s="109" t="s">
        <v>1737</v>
      </c>
      <c r="BC342" s="100">
        <f t="shared" ref="BC342:BC364" si="409">AW342+AX342</f>
        <v>0</v>
      </c>
      <c r="BD342" s="100">
        <f t="shared" ref="BD342:BD364" si="410">H342/(100-BE342)*100</f>
        <v>0</v>
      </c>
      <c r="BE342" s="100">
        <v>0</v>
      </c>
      <c r="BF342" s="100">
        <f>342</f>
        <v>342</v>
      </c>
      <c r="BH342" s="108">
        <f t="shared" ref="BH342:BH364" si="411">G342*AO342</f>
        <v>0</v>
      </c>
      <c r="BI342" s="108">
        <f t="shared" ref="BI342:BI364" si="412">G342*AP342</f>
        <v>0</v>
      </c>
      <c r="BJ342" s="108">
        <f t="shared" ref="BJ342:BJ364" si="413">G342*H342</f>
        <v>0</v>
      </c>
    </row>
    <row r="343" spans="1:62" x14ac:dyDescent="0.2">
      <c r="A343" s="117" t="s">
        <v>301</v>
      </c>
      <c r="B343" s="117" t="s">
        <v>2349</v>
      </c>
      <c r="C343" s="304" t="s">
        <v>1381</v>
      </c>
      <c r="D343" s="305"/>
      <c r="E343" s="305"/>
      <c r="F343" s="117" t="s">
        <v>1644</v>
      </c>
      <c r="G343" s="116">
        <v>1</v>
      </c>
      <c r="H343" s="159"/>
      <c r="I343" s="108">
        <f t="shared" si="390"/>
        <v>0</v>
      </c>
      <c r="J343" s="108">
        <f t="shared" si="391"/>
        <v>0</v>
      </c>
      <c r="K343" s="108">
        <f t="shared" si="392"/>
        <v>0</v>
      </c>
      <c r="L343" s="111"/>
      <c r="Z343" s="100">
        <f t="shared" si="393"/>
        <v>0</v>
      </c>
      <c r="AB343" s="100">
        <f t="shared" si="394"/>
        <v>0</v>
      </c>
      <c r="AC343" s="100">
        <f t="shared" si="395"/>
        <v>0</v>
      </c>
      <c r="AD343" s="100">
        <f t="shared" si="396"/>
        <v>0</v>
      </c>
      <c r="AE343" s="100">
        <f t="shared" si="397"/>
        <v>0</v>
      </c>
      <c r="AF343" s="100">
        <f t="shared" si="398"/>
        <v>0</v>
      </c>
      <c r="AG343" s="100">
        <f t="shared" si="399"/>
        <v>0</v>
      </c>
      <c r="AH343" s="100">
        <f t="shared" si="400"/>
        <v>0</v>
      </c>
      <c r="AI343" s="109"/>
      <c r="AJ343" s="108">
        <f t="shared" si="401"/>
        <v>0</v>
      </c>
      <c r="AK343" s="108">
        <f t="shared" si="402"/>
        <v>0</v>
      </c>
      <c r="AL343" s="108">
        <f t="shared" si="403"/>
        <v>0</v>
      </c>
      <c r="AN343" s="100">
        <v>15</v>
      </c>
      <c r="AO343" s="100">
        <f t="shared" si="404"/>
        <v>0</v>
      </c>
      <c r="AP343" s="100">
        <f t="shared" si="405"/>
        <v>0</v>
      </c>
      <c r="AQ343" s="111" t="s">
        <v>13</v>
      </c>
      <c r="AV343" s="100">
        <f t="shared" si="406"/>
        <v>0</v>
      </c>
      <c r="AW343" s="100">
        <f t="shared" si="407"/>
        <v>0</v>
      </c>
      <c r="AX343" s="100">
        <f t="shared" si="408"/>
        <v>0</v>
      </c>
      <c r="AY343" s="110" t="s">
        <v>1711</v>
      </c>
      <c r="AZ343" s="110" t="s">
        <v>1733</v>
      </c>
      <c r="BA343" s="109" t="s">
        <v>1737</v>
      </c>
      <c r="BC343" s="100">
        <f t="shared" si="409"/>
        <v>0</v>
      </c>
      <c r="BD343" s="100">
        <f t="shared" si="410"/>
        <v>0</v>
      </c>
      <c r="BE343" s="100">
        <v>0</v>
      </c>
      <c r="BF343" s="100">
        <f>343</f>
        <v>343</v>
      </c>
      <c r="BH343" s="108">
        <f t="shared" si="411"/>
        <v>0</v>
      </c>
      <c r="BI343" s="108">
        <f t="shared" si="412"/>
        <v>0</v>
      </c>
      <c r="BJ343" s="108">
        <f t="shared" si="413"/>
        <v>0</v>
      </c>
    </row>
    <row r="344" spans="1:62" x14ac:dyDescent="0.2">
      <c r="A344" s="117" t="s">
        <v>302</v>
      </c>
      <c r="B344" s="117" t="s">
        <v>2348</v>
      </c>
      <c r="C344" s="304" t="s">
        <v>1382</v>
      </c>
      <c r="D344" s="305"/>
      <c r="E344" s="305"/>
      <c r="F344" s="117" t="s">
        <v>1644</v>
      </c>
      <c r="G344" s="116">
        <v>1</v>
      </c>
      <c r="H344" s="159"/>
      <c r="I344" s="108">
        <f t="shared" si="390"/>
        <v>0</v>
      </c>
      <c r="J344" s="108">
        <f t="shared" si="391"/>
        <v>0</v>
      </c>
      <c r="K344" s="108">
        <f t="shared" si="392"/>
        <v>0</v>
      </c>
      <c r="L344" s="111"/>
      <c r="Z344" s="100">
        <f t="shared" si="393"/>
        <v>0</v>
      </c>
      <c r="AB344" s="100">
        <f t="shared" si="394"/>
        <v>0</v>
      </c>
      <c r="AC344" s="100">
        <f t="shared" si="395"/>
        <v>0</v>
      </c>
      <c r="AD344" s="100">
        <f t="shared" si="396"/>
        <v>0</v>
      </c>
      <c r="AE344" s="100">
        <f t="shared" si="397"/>
        <v>0</v>
      </c>
      <c r="AF344" s="100">
        <f t="shared" si="398"/>
        <v>0</v>
      </c>
      <c r="AG344" s="100">
        <f t="shared" si="399"/>
        <v>0</v>
      </c>
      <c r="AH344" s="100">
        <f t="shared" si="400"/>
        <v>0</v>
      </c>
      <c r="AI344" s="109"/>
      <c r="AJ344" s="108">
        <f t="shared" si="401"/>
        <v>0</v>
      </c>
      <c r="AK344" s="108">
        <f t="shared" si="402"/>
        <v>0</v>
      </c>
      <c r="AL344" s="108">
        <f t="shared" si="403"/>
        <v>0</v>
      </c>
      <c r="AN344" s="100">
        <v>15</v>
      </c>
      <c r="AO344" s="100">
        <f t="shared" si="404"/>
        <v>0</v>
      </c>
      <c r="AP344" s="100">
        <f t="shared" si="405"/>
        <v>0</v>
      </c>
      <c r="AQ344" s="111" t="s">
        <v>13</v>
      </c>
      <c r="AV344" s="100">
        <f t="shared" si="406"/>
        <v>0</v>
      </c>
      <c r="AW344" s="100">
        <f t="shared" si="407"/>
        <v>0</v>
      </c>
      <c r="AX344" s="100">
        <f t="shared" si="408"/>
        <v>0</v>
      </c>
      <c r="AY344" s="110" t="s">
        <v>1711</v>
      </c>
      <c r="AZ344" s="110" t="s">
        <v>1733</v>
      </c>
      <c r="BA344" s="109" t="s">
        <v>1737</v>
      </c>
      <c r="BC344" s="100">
        <f t="shared" si="409"/>
        <v>0</v>
      </c>
      <c r="BD344" s="100">
        <f t="shared" si="410"/>
        <v>0</v>
      </c>
      <c r="BE344" s="100">
        <v>0</v>
      </c>
      <c r="BF344" s="100">
        <f>344</f>
        <v>344</v>
      </c>
      <c r="BH344" s="108">
        <f t="shared" si="411"/>
        <v>0</v>
      </c>
      <c r="BI344" s="108">
        <f t="shared" si="412"/>
        <v>0</v>
      </c>
      <c r="BJ344" s="108">
        <f t="shared" si="413"/>
        <v>0</v>
      </c>
    </row>
    <row r="345" spans="1:62" x14ac:dyDescent="0.2">
      <c r="A345" s="117" t="s">
        <v>303</v>
      </c>
      <c r="B345" s="117" t="s">
        <v>2347</v>
      </c>
      <c r="C345" s="304" t="s">
        <v>1383</v>
      </c>
      <c r="D345" s="305"/>
      <c r="E345" s="305"/>
      <c r="F345" s="117" t="s">
        <v>1644</v>
      </c>
      <c r="G345" s="116">
        <v>1</v>
      </c>
      <c r="H345" s="159"/>
      <c r="I345" s="108">
        <f t="shared" si="390"/>
        <v>0</v>
      </c>
      <c r="J345" s="108">
        <f t="shared" si="391"/>
        <v>0</v>
      </c>
      <c r="K345" s="108">
        <f t="shared" si="392"/>
        <v>0</v>
      </c>
      <c r="L345" s="111"/>
      <c r="Z345" s="100">
        <f t="shared" si="393"/>
        <v>0</v>
      </c>
      <c r="AB345" s="100">
        <f t="shared" si="394"/>
        <v>0</v>
      </c>
      <c r="AC345" s="100">
        <f t="shared" si="395"/>
        <v>0</v>
      </c>
      <c r="AD345" s="100">
        <f t="shared" si="396"/>
        <v>0</v>
      </c>
      <c r="AE345" s="100">
        <f t="shared" si="397"/>
        <v>0</v>
      </c>
      <c r="AF345" s="100">
        <f t="shared" si="398"/>
        <v>0</v>
      </c>
      <c r="AG345" s="100">
        <f t="shared" si="399"/>
        <v>0</v>
      </c>
      <c r="AH345" s="100">
        <f t="shared" si="400"/>
        <v>0</v>
      </c>
      <c r="AI345" s="109"/>
      <c r="AJ345" s="108">
        <f t="shared" si="401"/>
        <v>0</v>
      </c>
      <c r="AK345" s="108">
        <f t="shared" si="402"/>
        <v>0</v>
      </c>
      <c r="AL345" s="108">
        <f t="shared" si="403"/>
        <v>0</v>
      </c>
      <c r="AN345" s="100">
        <v>15</v>
      </c>
      <c r="AO345" s="100">
        <f t="shared" si="404"/>
        <v>0</v>
      </c>
      <c r="AP345" s="100">
        <f t="shared" si="405"/>
        <v>0</v>
      </c>
      <c r="AQ345" s="111" t="s">
        <v>13</v>
      </c>
      <c r="AV345" s="100">
        <f t="shared" si="406"/>
        <v>0</v>
      </c>
      <c r="AW345" s="100">
        <f t="shared" si="407"/>
        <v>0</v>
      </c>
      <c r="AX345" s="100">
        <f t="shared" si="408"/>
        <v>0</v>
      </c>
      <c r="AY345" s="110" t="s">
        <v>1711</v>
      </c>
      <c r="AZ345" s="110" t="s">
        <v>1733</v>
      </c>
      <c r="BA345" s="109" t="s">
        <v>1737</v>
      </c>
      <c r="BC345" s="100">
        <f t="shared" si="409"/>
        <v>0</v>
      </c>
      <c r="BD345" s="100">
        <f t="shared" si="410"/>
        <v>0</v>
      </c>
      <c r="BE345" s="100">
        <v>0</v>
      </c>
      <c r="BF345" s="100">
        <f>345</f>
        <v>345</v>
      </c>
      <c r="BH345" s="108">
        <f t="shared" si="411"/>
        <v>0</v>
      </c>
      <c r="BI345" s="108">
        <f t="shared" si="412"/>
        <v>0</v>
      </c>
      <c r="BJ345" s="108">
        <f t="shared" si="413"/>
        <v>0</v>
      </c>
    </row>
    <row r="346" spans="1:62" x14ac:dyDescent="0.2">
      <c r="A346" s="117" t="s">
        <v>304</v>
      </c>
      <c r="B346" s="117" t="s">
        <v>2346</v>
      </c>
      <c r="C346" s="304" t="s">
        <v>1384</v>
      </c>
      <c r="D346" s="305"/>
      <c r="E346" s="305"/>
      <c r="F346" s="117" t="s">
        <v>1644</v>
      </c>
      <c r="G346" s="116">
        <v>1</v>
      </c>
      <c r="H346" s="159"/>
      <c r="I346" s="108">
        <f t="shared" si="390"/>
        <v>0</v>
      </c>
      <c r="J346" s="108">
        <f t="shared" si="391"/>
        <v>0</v>
      </c>
      <c r="K346" s="108">
        <f t="shared" si="392"/>
        <v>0</v>
      </c>
      <c r="L346" s="111"/>
      <c r="Z346" s="100">
        <f t="shared" si="393"/>
        <v>0</v>
      </c>
      <c r="AB346" s="100">
        <f t="shared" si="394"/>
        <v>0</v>
      </c>
      <c r="AC346" s="100">
        <f t="shared" si="395"/>
        <v>0</v>
      </c>
      <c r="AD346" s="100">
        <f t="shared" si="396"/>
        <v>0</v>
      </c>
      <c r="AE346" s="100">
        <f t="shared" si="397"/>
        <v>0</v>
      </c>
      <c r="AF346" s="100">
        <f t="shared" si="398"/>
        <v>0</v>
      </c>
      <c r="AG346" s="100">
        <f t="shared" si="399"/>
        <v>0</v>
      </c>
      <c r="AH346" s="100">
        <f t="shared" si="400"/>
        <v>0</v>
      </c>
      <c r="AI346" s="109"/>
      <c r="AJ346" s="108">
        <f t="shared" si="401"/>
        <v>0</v>
      </c>
      <c r="AK346" s="108">
        <f t="shared" si="402"/>
        <v>0</v>
      </c>
      <c r="AL346" s="108">
        <f t="shared" si="403"/>
        <v>0</v>
      </c>
      <c r="AN346" s="100">
        <v>15</v>
      </c>
      <c r="AO346" s="100">
        <f t="shared" si="404"/>
        <v>0</v>
      </c>
      <c r="AP346" s="100">
        <f t="shared" si="405"/>
        <v>0</v>
      </c>
      <c r="AQ346" s="111" t="s">
        <v>13</v>
      </c>
      <c r="AV346" s="100">
        <f t="shared" si="406"/>
        <v>0</v>
      </c>
      <c r="AW346" s="100">
        <f t="shared" si="407"/>
        <v>0</v>
      </c>
      <c r="AX346" s="100">
        <f t="shared" si="408"/>
        <v>0</v>
      </c>
      <c r="AY346" s="110" t="s">
        <v>1711</v>
      </c>
      <c r="AZ346" s="110" t="s">
        <v>1733</v>
      </c>
      <c r="BA346" s="109" t="s">
        <v>1737</v>
      </c>
      <c r="BC346" s="100">
        <f t="shared" si="409"/>
        <v>0</v>
      </c>
      <c r="BD346" s="100">
        <f t="shared" si="410"/>
        <v>0</v>
      </c>
      <c r="BE346" s="100">
        <v>0</v>
      </c>
      <c r="BF346" s="100">
        <f>346</f>
        <v>346</v>
      </c>
      <c r="BH346" s="108">
        <f t="shared" si="411"/>
        <v>0</v>
      </c>
      <c r="BI346" s="108">
        <f t="shared" si="412"/>
        <v>0</v>
      </c>
      <c r="BJ346" s="108">
        <f t="shared" si="413"/>
        <v>0</v>
      </c>
    </row>
    <row r="347" spans="1:62" x14ac:dyDescent="0.2">
      <c r="A347" s="117" t="s">
        <v>305</v>
      </c>
      <c r="B347" s="117" t="s">
        <v>2345</v>
      </c>
      <c r="C347" s="304" t="s">
        <v>1385</v>
      </c>
      <c r="D347" s="305"/>
      <c r="E347" s="305"/>
      <c r="F347" s="117" t="s">
        <v>1646</v>
      </c>
      <c r="G347" s="116">
        <v>9</v>
      </c>
      <c r="H347" s="159"/>
      <c r="I347" s="108">
        <f t="shared" si="390"/>
        <v>0</v>
      </c>
      <c r="J347" s="108">
        <f t="shared" si="391"/>
        <v>0</v>
      </c>
      <c r="K347" s="108">
        <f t="shared" si="392"/>
        <v>0</v>
      </c>
      <c r="L347" s="111"/>
      <c r="Z347" s="100">
        <f t="shared" si="393"/>
        <v>0</v>
      </c>
      <c r="AB347" s="100">
        <f t="shared" si="394"/>
        <v>0</v>
      </c>
      <c r="AC347" s="100">
        <f t="shared" si="395"/>
        <v>0</v>
      </c>
      <c r="AD347" s="100">
        <f t="shared" si="396"/>
        <v>0</v>
      </c>
      <c r="AE347" s="100">
        <f t="shared" si="397"/>
        <v>0</v>
      </c>
      <c r="AF347" s="100">
        <f t="shared" si="398"/>
        <v>0</v>
      </c>
      <c r="AG347" s="100">
        <f t="shared" si="399"/>
        <v>0</v>
      </c>
      <c r="AH347" s="100">
        <f t="shared" si="400"/>
        <v>0</v>
      </c>
      <c r="AI347" s="109"/>
      <c r="AJ347" s="108">
        <f t="shared" si="401"/>
        <v>0</v>
      </c>
      <c r="AK347" s="108">
        <f t="shared" si="402"/>
        <v>0</v>
      </c>
      <c r="AL347" s="108">
        <f t="shared" si="403"/>
        <v>0</v>
      </c>
      <c r="AN347" s="100">
        <v>15</v>
      </c>
      <c r="AO347" s="100">
        <f t="shared" si="404"/>
        <v>0</v>
      </c>
      <c r="AP347" s="100">
        <f t="shared" si="405"/>
        <v>0</v>
      </c>
      <c r="AQ347" s="111" t="s">
        <v>13</v>
      </c>
      <c r="AV347" s="100">
        <f t="shared" si="406"/>
        <v>0</v>
      </c>
      <c r="AW347" s="100">
        <f t="shared" si="407"/>
        <v>0</v>
      </c>
      <c r="AX347" s="100">
        <f t="shared" si="408"/>
        <v>0</v>
      </c>
      <c r="AY347" s="110" t="s">
        <v>1711</v>
      </c>
      <c r="AZ347" s="110" t="s">
        <v>1733</v>
      </c>
      <c r="BA347" s="109" t="s">
        <v>1737</v>
      </c>
      <c r="BC347" s="100">
        <f t="shared" si="409"/>
        <v>0</v>
      </c>
      <c r="BD347" s="100">
        <f t="shared" si="410"/>
        <v>0</v>
      </c>
      <c r="BE347" s="100">
        <v>0</v>
      </c>
      <c r="BF347" s="100">
        <f>347</f>
        <v>347</v>
      </c>
      <c r="BH347" s="108">
        <f t="shared" si="411"/>
        <v>0</v>
      </c>
      <c r="BI347" s="108">
        <f t="shared" si="412"/>
        <v>0</v>
      </c>
      <c r="BJ347" s="108">
        <f t="shared" si="413"/>
        <v>0</v>
      </c>
    </row>
    <row r="348" spans="1:62" x14ac:dyDescent="0.2">
      <c r="A348" s="117" t="s">
        <v>306</v>
      </c>
      <c r="B348" s="117" t="s">
        <v>2344</v>
      </c>
      <c r="C348" s="304" t="s">
        <v>1386</v>
      </c>
      <c r="D348" s="305"/>
      <c r="E348" s="305"/>
      <c r="F348" s="117" t="s">
        <v>1644</v>
      </c>
      <c r="G348" s="116">
        <v>1</v>
      </c>
      <c r="H348" s="159"/>
      <c r="I348" s="108">
        <f t="shared" si="390"/>
        <v>0</v>
      </c>
      <c r="J348" s="108">
        <f t="shared" si="391"/>
        <v>0</v>
      </c>
      <c r="K348" s="108">
        <f t="shared" si="392"/>
        <v>0</v>
      </c>
      <c r="L348" s="111"/>
      <c r="Z348" s="100">
        <f t="shared" si="393"/>
        <v>0</v>
      </c>
      <c r="AB348" s="100">
        <f t="shared" si="394"/>
        <v>0</v>
      </c>
      <c r="AC348" s="100">
        <f t="shared" si="395"/>
        <v>0</v>
      </c>
      <c r="AD348" s="100">
        <f t="shared" si="396"/>
        <v>0</v>
      </c>
      <c r="AE348" s="100">
        <f t="shared" si="397"/>
        <v>0</v>
      </c>
      <c r="AF348" s="100">
        <f t="shared" si="398"/>
        <v>0</v>
      </c>
      <c r="AG348" s="100">
        <f t="shared" si="399"/>
        <v>0</v>
      </c>
      <c r="AH348" s="100">
        <f t="shared" si="400"/>
        <v>0</v>
      </c>
      <c r="AI348" s="109"/>
      <c r="AJ348" s="108">
        <f t="shared" si="401"/>
        <v>0</v>
      </c>
      <c r="AK348" s="108">
        <f t="shared" si="402"/>
        <v>0</v>
      </c>
      <c r="AL348" s="108">
        <f t="shared" si="403"/>
        <v>0</v>
      </c>
      <c r="AN348" s="100">
        <v>15</v>
      </c>
      <c r="AO348" s="100">
        <f t="shared" si="404"/>
        <v>0</v>
      </c>
      <c r="AP348" s="100">
        <f t="shared" si="405"/>
        <v>0</v>
      </c>
      <c r="AQ348" s="111" t="s">
        <v>13</v>
      </c>
      <c r="AV348" s="100">
        <f t="shared" si="406"/>
        <v>0</v>
      </c>
      <c r="AW348" s="100">
        <f t="shared" si="407"/>
        <v>0</v>
      </c>
      <c r="AX348" s="100">
        <f t="shared" si="408"/>
        <v>0</v>
      </c>
      <c r="AY348" s="110" t="s">
        <v>1711</v>
      </c>
      <c r="AZ348" s="110" t="s">
        <v>1733</v>
      </c>
      <c r="BA348" s="109" t="s">
        <v>1737</v>
      </c>
      <c r="BC348" s="100">
        <f t="shared" si="409"/>
        <v>0</v>
      </c>
      <c r="BD348" s="100">
        <f t="shared" si="410"/>
        <v>0</v>
      </c>
      <c r="BE348" s="100">
        <v>0</v>
      </c>
      <c r="BF348" s="100">
        <f>348</f>
        <v>348</v>
      </c>
      <c r="BH348" s="108">
        <f t="shared" si="411"/>
        <v>0</v>
      </c>
      <c r="BI348" s="108">
        <f t="shared" si="412"/>
        <v>0</v>
      </c>
      <c r="BJ348" s="108">
        <f t="shared" si="413"/>
        <v>0</v>
      </c>
    </row>
    <row r="349" spans="1:62" x14ac:dyDescent="0.2">
      <c r="A349" s="117" t="s">
        <v>307</v>
      </c>
      <c r="B349" s="117" t="s">
        <v>2343</v>
      </c>
      <c r="C349" s="304" t="s">
        <v>1387</v>
      </c>
      <c r="D349" s="305"/>
      <c r="E349" s="305"/>
      <c r="F349" s="117" t="s">
        <v>1644</v>
      </c>
      <c r="G349" s="116">
        <v>1</v>
      </c>
      <c r="H349" s="159"/>
      <c r="I349" s="108">
        <f t="shared" si="390"/>
        <v>0</v>
      </c>
      <c r="J349" s="108">
        <f t="shared" si="391"/>
        <v>0</v>
      </c>
      <c r="K349" s="108">
        <f t="shared" si="392"/>
        <v>0</v>
      </c>
      <c r="L349" s="111"/>
      <c r="Z349" s="100">
        <f t="shared" si="393"/>
        <v>0</v>
      </c>
      <c r="AB349" s="100">
        <f t="shared" si="394"/>
        <v>0</v>
      </c>
      <c r="AC349" s="100">
        <f t="shared" si="395"/>
        <v>0</v>
      </c>
      <c r="AD349" s="100">
        <f t="shared" si="396"/>
        <v>0</v>
      </c>
      <c r="AE349" s="100">
        <f t="shared" si="397"/>
        <v>0</v>
      </c>
      <c r="AF349" s="100">
        <f t="shared" si="398"/>
        <v>0</v>
      </c>
      <c r="AG349" s="100">
        <f t="shared" si="399"/>
        <v>0</v>
      </c>
      <c r="AH349" s="100">
        <f t="shared" si="400"/>
        <v>0</v>
      </c>
      <c r="AI349" s="109"/>
      <c r="AJ349" s="108">
        <f t="shared" si="401"/>
        <v>0</v>
      </c>
      <c r="AK349" s="108">
        <f t="shared" si="402"/>
        <v>0</v>
      </c>
      <c r="AL349" s="108">
        <f t="shared" si="403"/>
        <v>0</v>
      </c>
      <c r="AN349" s="100">
        <v>15</v>
      </c>
      <c r="AO349" s="100">
        <f t="shared" si="404"/>
        <v>0</v>
      </c>
      <c r="AP349" s="100">
        <f t="shared" si="405"/>
        <v>0</v>
      </c>
      <c r="AQ349" s="111" t="s">
        <v>13</v>
      </c>
      <c r="AV349" s="100">
        <f t="shared" si="406"/>
        <v>0</v>
      </c>
      <c r="AW349" s="100">
        <f t="shared" si="407"/>
        <v>0</v>
      </c>
      <c r="AX349" s="100">
        <f t="shared" si="408"/>
        <v>0</v>
      </c>
      <c r="AY349" s="110" t="s">
        <v>1711</v>
      </c>
      <c r="AZ349" s="110" t="s">
        <v>1733</v>
      </c>
      <c r="BA349" s="109" t="s">
        <v>1737</v>
      </c>
      <c r="BC349" s="100">
        <f t="shared" si="409"/>
        <v>0</v>
      </c>
      <c r="BD349" s="100">
        <f t="shared" si="410"/>
        <v>0</v>
      </c>
      <c r="BE349" s="100">
        <v>0</v>
      </c>
      <c r="BF349" s="100">
        <f>349</f>
        <v>349</v>
      </c>
      <c r="BH349" s="108">
        <f t="shared" si="411"/>
        <v>0</v>
      </c>
      <c r="BI349" s="108">
        <f t="shared" si="412"/>
        <v>0</v>
      </c>
      <c r="BJ349" s="108">
        <f t="shared" si="413"/>
        <v>0</v>
      </c>
    </row>
    <row r="350" spans="1:62" x14ac:dyDescent="0.2">
      <c r="A350" s="117" t="s">
        <v>308</v>
      </c>
      <c r="B350" s="117" t="s">
        <v>2342</v>
      </c>
      <c r="C350" s="304" t="s">
        <v>1388</v>
      </c>
      <c r="D350" s="305"/>
      <c r="E350" s="305"/>
      <c r="F350" s="117" t="s">
        <v>1644</v>
      </c>
      <c r="G350" s="116">
        <v>1</v>
      </c>
      <c r="H350" s="159"/>
      <c r="I350" s="108">
        <f t="shared" si="390"/>
        <v>0</v>
      </c>
      <c r="J350" s="108">
        <f t="shared" si="391"/>
        <v>0</v>
      </c>
      <c r="K350" s="108">
        <f t="shared" si="392"/>
        <v>0</v>
      </c>
      <c r="L350" s="111"/>
      <c r="Z350" s="100">
        <f t="shared" si="393"/>
        <v>0</v>
      </c>
      <c r="AB350" s="100">
        <f t="shared" si="394"/>
        <v>0</v>
      </c>
      <c r="AC350" s="100">
        <f t="shared" si="395"/>
        <v>0</v>
      </c>
      <c r="AD350" s="100">
        <f t="shared" si="396"/>
        <v>0</v>
      </c>
      <c r="AE350" s="100">
        <f t="shared" si="397"/>
        <v>0</v>
      </c>
      <c r="AF350" s="100">
        <f t="shared" si="398"/>
        <v>0</v>
      </c>
      <c r="AG350" s="100">
        <f t="shared" si="399"/>
        <v>0</v>
      </c>
      <c r="AH350" s="100">
        <f t="shared" si="400"/>
        <v>0</v>
      </c>
      <c r="AI350" s="109"/>
      <c r="AJ350" s="108">
        <f t="shared" si="401"/>
        <v>0</v>
      </c>
      <c r="AK350" s="108">
        <f t="shared" si="402"/>
        <v>0</v>
      </c>
      <c r="AL350" s="108">
        <f t="shared" si="403"/>
        <v>0</v>
      </c>
      <c r="AN350" s="100">
        <v>15</v>
      </c>
      <c r="AO350" s="100">
        <f t="shared" si="404"/>
        <v>0</v>
      </c>
      <c r="AP350" s="100">
        <f t="shared" si="405"/>
        <v>0</v>
      </c>
      <c r="AQ350" s="111" t="s">
        <v>13</v>
      </c>
      <c r="AV350" s="100">
        <f t="shared" si="406"/>
        <v>0</v>
      </c>
      <c r="AW350" s="100">
        <f t="shared" si="407"/>
        <v>0</v>
      </c>
      <c r="AX350" s="100">
        <f t="shared" si="408"/>
        <v>0</v>
      </c>
      <c r="AY350" s="110" t="s">
        <v>1711</v>
      </c>
      <c r="AZ350" s="110" t="s">
        <v>1733</v>
      </c>
      <c r="BA350" s="109" t="s">
        <v>1737</v>
      </c>
      <c r="BC350" s="100">
        <f t="shared" si="409"/>
        <v>0</v>
      </c>
      <c r="BD350" s="100">
        <f t="shared" si="410"/>
        <v>0</v>
      </c>
      <c r="BE350" s="100">
        <v>0</v>
      </c>
      <c r="BF350" s="100">
        <f>350</f>
        <v>350</v>
      </c>
      <c r="BH350" s="108">
        <f t="shared" si="411"/>
        <v>0</v>
      </c>
      <c r="BI350" s="108">
        <f t="shared" si="412"/>
        <v>0</v>
      </c>
      <c r="BJ350" s="108">
        <f t="shared" si="413"/>
        <v>0</v>
      </c>
    </row>
    <row r="351" spans="1:62" x14ac:dyDescent="0.2">
      <c r="A351" s="117" t="s">
        <v>309</v>
      </c>
      <c r="B351" s="117" t="s">
        <v>2341</v>
      </c>
      <c r="C351" s="304" t="s">
        <v>1389</v>
      </c>
      <c r="D351" s="305"/>
      <c r="E351" s="305"/>
      <c r="F351" s="117" t="s">
        <v>1644</v>
      </c>
      <c r="G351" s="116">
        <v>1</v>
      </c>
      <c r="H351" s="159"/>
      <c r="I351" s="108">
        <f t="shared" si="390"/>
        <v>0</v>
      </c>
      <c r="J351" s="108">
        <f t="shared" si="391"/>
        <v>0</v>
      </c>
      <c r="K351" s="108">
        <f t="shared" si="392"/>
        <v>0</v>
      </c>
      <c r="L351" s="111"/>
      <c r="Z351" s="100">
        <f t="shared" si="393"/>
        <v>0</v>
      </c>
      <c r="AB351" s="100">
        <f t="shared" si="394"/>
        <v>0</v>
      </c>
      <c r="AC351" s="100">
        <f t="shared" si="395"/>
        <v>0</v>
      </c>
      <c r="AD351" s="100">
        <f t="shared" si="396"/>
        <v>0</v>
      </c>
      <c r="AE351" s="100">
        <f t="shared" si="397"/>
        <v>0</v>
      </c>
      <c r="AF351" s="100">
        <f t="shared" si="398"/>
        <v>0</v>
      </c>
      <c r="AG351" s="100">
        <f t="shared" si="399"/>
        <v>0</v>
      </c>
      <c r="AH351" s="100">
        <f t="shared" si="400"/>
        <v>0</v>
      </c>
      <c r="AI351" s="109"/>
      <c r="AJ351" s="108">
        <f t="shared" si="401"/>
        <v>0</v>
      </c>
      <c r="AK351" s="108">
        <f t="shared" si="402"/>
        <v>0</v>
      </c>
      <c r="AL351" s="108">
        <f t="shared" si="403"/>
        <v>0</v>
      </c>
      <c r="AN351" s="100">
        <v>15</v>
      </c>
      <c r="AO351" s="100">
        <f t="shared" si="404"/>
        <v>0</v>
      </c>
      <c r="AP351" s="100">
        <f t="shared" si="405"/>
        <v>0</v>
      </c>
      <c r="AQ351" s="111" t="s">
        <v>13</v>
      </c>
      <c r="AV351" s="100">
        <f t="shared" si="406"/>
        <v>0</v>
      </c>
      <c r="AW351" s="100">
        <f t="shared" si="407"/>
        <v>0</v>
      </c>
      <c r="AX351" s="100">
        <f t="shared" si="408"/>
        <v>0</v>
      </c>
      <c r="AY351" s="110" t="s">
        <v>1711</v>
      </c>
      <c r="AZ351" s="110" t="s">
        <v>1733</v>
      </c>
      <c r="BA351" s="109" t="s">
        <v>1737</v>
      </c>
      <c r="BC351" s="100">
        <f t="shared" si="409"/>
        <v>0</v>
      </c>
      <c r="BD351" s="100">
        <f t="shared" si="410"/>
        <v>0</v>
      </c>
      <c r="BE351" s="100">
        <v>0</v>
      </c>
      <c r="BF351" s="100">
        <f>351</f>
        <v>351</v>
      </c>
      <c r="BH351" s="108">
        <f t="shared" si="411"/>
        <v>0</v>
      </c>
      <c r="BI351" s="108">
        <f t="shared" si="412"/>
        <v>0</v>
      </c>
      <c r="BJ351" s="108">
        <f t="shared" si="413"/>
        <v>0</v>
      </c>
    </row>
    <row r="352" spans="1:62" x14ac:dyDescent="0.2">
      <c r="A352" s="117" t="s">
        <v>310</v>
      </c>
      <c r="B352" s="117" t="s">
        <v>2340</v>
      </c>
      <c r="C352" s="304" t="s">
        <v>1380</v>
      </c>
      <c r="D352" s="305"/>
      <c r="E352" s="305"/>
      <c r="F352" s="117" t="s">
        <v>1646</v>
      </c>
      <c r="G352" s="116">
        <v>1.5</v>
      </c>
      <c r="H352" s="159"/>
      <c r="I352" s="108">
        <f t="shared" si="390"/>
        <v>0</v>
      </c>
      <c r="J352" s="108">
        <f t="shared" si="391"/>
        <v>0</v>
      </c>
      <c r="K352" s="108">
        <f t="shared" si="392"/>
        <v>0</v>
      </c>
      <c r="L352" s="111"/>
      <c r="Z352" s="100">
        <f t="shared" si="393"/>
        <v>0</v>
      </c>
      <c r="AB352" s="100">
        <f t="shared" si="394"/>
        <v>0</v>
      </c>
      <c r="AC352" s="100">
        <f t="shared" si="395"/>
        <v>0</v>
      </c>
      <c r="AD352" s="100">
        <f t="shared" si="396"/>
        <v>0</v>
      </c>
      <c r="AE352" s="100">
        <f t="shared" si="397"/>
        <v>0</v>
      </c>
      <c r="AF352" s="100">
        <f t="shared" si="398"/>
        <v>0</v>
      </c>
      <c r="AG352" s="100">
        <f t="shared" si="399"/>
        <v>0</v>
      </c>
      <c r="AH352" s="100">
        <f t="shared" si="400"/>
        <v>0</v>
      </c>
      <c r="AI352" s="109"/>
      <c r="AJ352" s="108">
        <f t="shared" si="401"/>
        <v>0</v>
      </c>
      <c r="AK352" s="108">
        <f t="shared" si="402"/>
        <v>0</v>
      </c>
      <c r="AL352" s="108">
        <f t="shared" si="403"/>
        <v>0</v>
      </c>
      <c r="AN352" s="100">
        <v>15</v>
      </c>
      <c r="AO352" s="100">
        <f t="shared" si="404"/>
        <v>0</v>
      </c>
      <c r="AP352" s="100">
        <f t="shared" si="405"/>
        <v>0</v>
      </c>
      <c r="AQ352" s="111" t="s">
        <v>13</v>
      </c>
      <c r="AV352" s="100">
        <f t="shared" si="406"/>
        <v>0</v>
      </c>
      <c r="AW352" s="100">
        <f t="shared" si="407"/>
        <v>0</v>
      </c>
      <c r="AX352" s="100">
        <f t="shared" si="408"/>
        <v>0</v>
      </c>
      <c r="AY352" s="110" t="s">
        <v>1711</v>
      </c>
      <c r="AZ352" s="110" t="s">
        <v>1733</v>
      </c>
      <c r="BA352" s="109" t="s">
        <v>1737</v>
      </c>
      <c r="BC352" s="100">
        <f t="shared" si="409"/>
        <v>0</v>
      </c>
      <c r="BD352" s="100">
        <f t="shared" si="410"/>
        <v>0</v>
      </c>
      <c r="BE352" s="100">
        <v>0</v>
      </c>
      <c r="BF352" s="100">
        <f>352</f>
        <v>352</v>
      </c>
      <c r="BH352" s="108">
        <f t="shared" si="411"/>
        <v>0</v>
      </c>
      <c r="BI352" s="108">
        <f t="shared" si="412"/>
        <v>0</v>
      </c>
      <c r="BJ352" s="108">
        <f t="shared" si="413"/>
        <v>0</v>
      </c>
    </row>
    <row r="353" spans="1:62" x14ac:dyDescent="0.2">
      <c r="A353" s="117" t="s">
        <v>311</v>
      </c>
      <c r="B353" s="117" t="s">
        <v>2339</v>
      </c>
      <c r="C353" s="304" t="s">
        <v>1390</v>
      </c>
      <c r="D353" s="305"/>
      <c r="E353" s="305"/>
      <c r="F353" s="117" t="s">
        <v>1644</v>
      </c>
      <c r="G353" s="116">
        <v>1</v>
      </c>
      <c r="H353" s="159"/>
      <c r="I353" s="108">
        <f t="shared" si="390"/>
        <v>0</v>
      </c>
      <c r="J353" s="108">
        <f t="shared" si="391"/>
        <v>0</v>
      </c>
      <c r="K353" s="108">
        <f t="shared" si="392"/>
        <v>0</v>
      </c>
      <c r="L353" s="111"/>
      <c r="Z353" s="100">
        <f t="shared" si="393"/>
        <v>0</v>
      </c>
      <c r="AB353" s="100">
        <f t="shared" si="394"/>
        <v>0</v>
      </c>
      <c r="AC353" s="100">
        <f t="shared" si="395"/>
        <v>0</v>
      </c>
      <c r="AD353" s="100">
        <f t="shared" si="396"/>
        <v>0</v>
      </c>
      <c r="AE353" s="100">
        <f t="shared" si="397"/>
        <v>0</v>
      </c>
      <c r="AF353" s="100">
        <f t="shared" si="398"/>
        <v>0</v>
      </c>
      <c r="AG353" s="100">
        <f t="shared" si="399"/>
        <v>0</v>
      </c>
      <c r="AH353" s="100">
        <f t="shared" si="400"/>
        <v>0</v>
      </c>
      <c r="AI353" s="109"/>
      <c r="AJ353" s="108">
        <f t="shared" si="401"/>
        <v>0</v>
      </c>
      <c r="AK353" s="108">
        <f t="shared" si="402"/>
        <v>0</v>
      </c>
      <c r="AL353" s="108">
        <f t="shared" si="403"/>
        <v>0</v>
      </c>
      <c r="AN353" s="100">
        <v>15</v>
      </c>
      <c r="AO353" s="100">
        <f t="shared" si="404"/>
        <v>0</v>
      </c>
      <c r="AP353" s="100">
        <f t="shared" si="405"/>
        <v>0</v>
      </c>
      <c r="AQ353" s="111" t="s">
        <v>13</v>
      </c>
      <c r="AV353" s="100">
        <f t="shared" si="406"/>
        <v>0</v>
      </c>
      <c r="AW353" s="100">
        <f t="shared" si="407"/>
        <v>0</v>
      </c>
      <c r="AX353" s="100">
        <f t="shared" si="408"/>
        <v>0</v>
      </c>
      <c r="AY353" s="110" t="s">
        <v>1711</v>
      </c>
      <c r="AZ353" s="110" t="s">
        <v>1733</v>
      </c>
      <c r="BA353" s="109" t="s">
        <v>1737</v>
      </c>
      <c r="BC353" s="100">
        <f t="shared" si="409"/>
        <v>0</v>
      </c>
      <c r="BD353" s="100">
        <f t="shared" si="410"/>
        <v>0</v>
      </c>
      <c r="BE353" s="100">
        <v>0</v>
      </c>
      <c r="BF353" s="100">
        <f>353</f>
        <v>353</v>
      </c>
      <c r="BH353" s="108">
        <f t="shared" si="411"/>
        <v>0</v>
      </c>
      <c r="BI353" s="108">
        <f t="shared" si="412"/>
        <v>0</v>
      </c>
      <c r="BJ353" s="108">
        <f t="shared" si="413"/>
        <v>0</v>
      </c>
    </row>
    <row r="354" spans="1:62" x14ac:dyDescent="0.2">
      <c r="A354" s="117" t="s">
        <v>312</v>
      </c>
      <c r="B354" s="117" t="s">
        <v>2338</v>
      </c>
      <c r="C354" s="304" t="s">
        <v>1391</v>
      </c>
      <c r="D354" s="305"/>
      <c r="E354" s="305"/>
      <c r="F354" s="117" t="s">
        <v>1644</v>
      </c>
      <c r="G354" s="116">
        <v>3</v>
      </c>
      <c r="H354" s="159"/>
      <c r="I354" s="108">
        <f t="shared" si="390"/>
        <v>0</v>
      </c>
      <c r="J354" s="108">
        <f t="shared" si="391"/>
        <v>0</v>
      </c>
      <c r="K354" s="108">
        <f t="shared" si="392"/>
        <v>0</v>
      </c>
      <c r="L354" s="111"/>
      <c r="Z354" s="100">
        <f t="shared" si="393"/>
        <v>0</v>
      </c>
      <c r="AB354" s="100">
        <f t="shared" si="394"/>
        <v>0</v>
      </c>
      <c r="AC354" s="100">
        <f t="shared" si="395"/>
        <v>0</v>
      </c>
      <c r="AD354" s="100">
        <f t="shared" si="396"/>
        <v>0</v>
      </c>
      <c r="AE354" s="100">
        <f t="shared" si="397"/>
        <v>0</v>
      </c>
      <c r="AF354" s="100">
        <f t="shared" si="398"/>
        <v>0</v>
      </c>
      <c r="AG354" s="100">
        <f t="shared" si="399"/>
        <v>0</v>
      </c>
      <c r="AH354" s="100">
        <f t="shared" si="400"/>
        <v>0</v>
      </c>
      <c r="AI354" s="109"/>
      <c r="AJ354" s="108">
        <f t="shared" si="401"/>
        <v>0</v>
      </c>
      <c r="AK354" s="108">
        <f t="shared" si="402"/>
        <v>0</v>
      </c>
      <c r="AL354" s="108">
        <f t="shared" si="403"/>
        <v>0</v>
      </c>
      <c r="AN354" s="100">
        <v>15</v>
      </c>
      <c r="AO354" s="100">
        <f t="shared" si="404"/>
        <v>0</v>
      </c>
      <c r="AP354" s="100">
        <f t="shared" si="405"/>
        <v>0</v>
      </c>
      <c r="AQ354" s="111" t="s">
        <v>13</v>
      </c>
      <c r="AV354" s="100">
        <f t="shared" si="406"/>
        <v>0</v>
      </c>
      <c r="AW354" s="100">
        <f t="shared" si="407"/>
        <v>0</v>
      </c>
      <c r="AX354" s="100">
        <f t="shared" si="408"/>
        <v>0</v>
      </c>
      <c r="AY354" s="110" t="s">
        <v>1711</v>
      </c>
      <c r="AZ354" s="110" t="s">
        <v>1733</v>
      </c>
      <c r="BA354" s="109" t="s">
        <v>1737</v>
      </c>
      <c r="BC354" s="100">
        <f t="shared" si="409"/>
        <v>0</v>
      </c>
      <c r="BD354" s="100">
        <f t="shared" si="410"/>
        <v>0</v>
      </c>
      <c r="BE354" s="100">
        <v>0</v>
      </c>
      <c r="BF354" s="100">
        <f>354</f>
        <v>354</v>
      </c>
      <c r="BH354" s="108">
        <f t="shared" si="411"/>
        <v>0</v>
      </c>
      <c r="BI354" s="108">
        <f t="shared" si="412"/>
        <v>0</v>
      </c>
      <c r="BJ354" s="108">
        <f t="shared" si="413"/>
        <v>0</v>
      </c>
    </row>
    <row r="355" spans="1:62" x14ac:dyDescent="0.2">
      <c r="A355" s="117" t="s">
        <v>313</v>
      </c>
      <c r="B355" s="117" t="s">
        <v>2337</v>
      </c>
      <c r="C355" s="304" t="s">
        <v>1388</v>
      </c>
      <c r="D355" s="305"/>
      <c r="E355" s="305"/>
      <c r="F355" s="117" t="s">
        <v>1644</v>
      </c>
      <c r="G355" s="116">
        <v>1</v>
      </c>
      <c r="H355" s="159"/>
      <c r="I355" s="108">
        <f t="shared" si="390"/>
        <v>0</v>
      </c>
      <c r="J355" s="108">
        <f t="shared" si="391"/>
        <v>0</v>
      </c>
      <c r="K355" s="108">
        <f t="shared" si="392"/>
        <v>0</v>
      </c>
      <c r="L355" s="111"/>
      <c r="Z355" s="100">
        <f t="shared" si="393"/>
        <v>0</v>
      </c>
      <c r="AB355" s="100">
        <f t="shared" si="394"/>
        <v>0</v>
      </c>
      <c r="AC355" s="100">
        <f t="shared" si="395"/>
        <v>0</v>
      </c>
      <c r="AD355" s="100">
        <f t="shared" si="396"/>
        <v>0</v>
      </c>
      <c r="AE355" s="100">
        <f t="shared" si="397"/>
        <v>0</v>
      </c>
      <c r="AF355" s="100">
        <f t="shared" si="398"/>
        <v>0</v>
      </c>
      <c r="AG355" s="100">
        <f t="shared" si="399"/>
        <v>0</v>
      </c>
      <c r="AH355" s="100">
        <f t="shared" si="400"/>
        <v>0</v>
      </c>
      <c r="AI355" s="109"/>
      <c r="AJ355" s="108">
        <f t="shared" si="401"/>
        <v>0</v>
      </c>
      <c r="AK355" s="108">
        <f t="shared" si="402"/>
        <v>0</v>
      </c>
      <c r="AL355" s="108">
        <f t="shared" si="403"/>
        <v>0</v>
      </c>
      <c r="AN355" s="100">
        <v>15</v>
      </c>
      <c r="AO355" s="100">
        <f t="shared" si="404"/>
        <v>0</v>
      </c>
      <c r="AP355" s="100">
        <f t="shared" si="405"/>
        <v>0</v>
      </c>
      <c r="AQ355" s="111" t="s">
        <v>13</v>
      </c>
      <c r="AV355" s="100">
        <f t="shared" si="406"/>
        <v>0</v>
      </c>
      <c r="AW355" s="100">
        <f t="shared" si="407"/>
        <v>0</v>
      </c>
      <c r="AX355" s="100">
        <f t="shared" si="408"/>
        <v>0</v>
      </c>
      <c r="AY355" s="110" t="s">
        <v>1711</v>
      </c>
      <c r="AZ355" s="110" t="s">
        <v>1733</v>
      </c>
      <c r="BA355" s="109" t="s">
        <v>1737</v>
      </c>
      <c r="BC355" s="100">
        <f t="shared" si="409"/>
        <v>0</v>
      </c>
      <c r="BD355" s="100">
        <f t="shared" si="410"/>
        <v>0</v>
      </c>
      <c r="BE355" s="100">
        <v>0</v>
      </c>
      <c r="BF355" s="100">
        <f>355</f>
        <v>355</v>
      </c>
      <c r="BH355" s="108">
        <f t="shared" si="411"/>
        <v>0</v>
      </c>
      <c r="BI355" s="108">
        <f t="shared" si="412"/>
        <v>0</v>
      </c>
      <c r="BJ355" s="108">
        <f t="shared" si="413"/>
        <v>0</v>
      </c>
    </row>
    <row r="356" spans="1:62" x14ac:dyDescent="0.2">
      <c r="A356" s="117" t="s">
        <v>314</v>
      </c>
      <c r="B356" s="117" t="s">
        <v>2336</v>
      </c>
      <c r="C356" s="304" t="s">
        <v>1383</v>
      </c>
      <c r="D356" s="305"/>
      <c r="E356" s="305"/>
      <c r="F356" s="117" t="s">
        <v>1644</v>
      </c>
      <c r="G356" s="116">
        <v>1</v>
      </c>
      <c r="H356" s="159"/>
      <c r="I356" s="108">
        <f t="shared" si="390"/>
        <v>0</v>
      </c>
      <c r="J356" s="108">
        <f t="shared" si="391"/>
        <v>0</v>
      </c>
      <c r="K356" s="108">
        <f t="shared" si="392"/>
        <v>0</v>
      </c>
      <c r="L356" s="111"/>
      <c r="Z356" s="100">
        <f t="shared" si="393"/>
        <v>0</v>
      </c>
      <c r="AB356" s="100">
        <f t="shared" si="394"/>
        <v>0</v>
      </c>
      <c r="AC356" s="100">
        <f t="shared" si="395"/>
        <v>0</v>
      </c>
      <c r="AD356" s="100">
        <f t="shared" si="396"/>
        <v>0</v>
      </c>
      <c r="AE356" s="100">
        <f t="shared" si="397"/>
        <v>0</v>
      </c>
      <c r="AF356" s="100">
        <f t="shared" si="398"/>
        <v>0</v>
      </c>
      <c r="AG356" s="100">
        <f t="shared" si="399"/>
        <v>0</v>
      </c>
      <c r="AH356" s="100">
        <f t="shared" si="400"/>
        <v>0</v>
      </c>
      <c r="AI356" s="109"/>
      <c r="AJ356" s="108">
        <f t="shared" si="401"/>
        <v>0</v>
      </c>
      <c r="AK356" s="108">
        <f t="shared" si="402"/>
        <v>0</v>
      </c>
      <c r="AL356" s="108">
        <f t="shared" si="403"/>
        <v>0</v>
      </c>
      <c r="AN356" s="100">
        <v>15</v>
      </c>
      <c r="AO356" s="100">
        <f t="shared" si="404"/>
        <v>0</v>
      </c>
      <c r="AP356" s="100">
        <f t="shared" si="405"/>
        <v>0</v>
      </c>
      <c r="AQ356" s="111" t="s">
        <v>13</v>
      </c>
      <c r="AV356" s="100">
        <f t="shared" si="406"/>
        <v>0</v>
      </c>
      <c r="AW356" s="100">
        <f t="shared" si="407"/>
        <v>0</v>
      </c>
      <c r="AX356" s="100">
        <f t="shared" si="408"/>
        <v>0</v>
      </c>
      <c r="AY356" s="110" t="s">
        <v>1711</v>
      </c>
      <c r="AZ356" s="110" t="s">
        <v>1733</v>
      </c>
      <c r="BA356" s="109" t="s">
        <v>1737</v>
      </c>
      <c r="BC356" s="100">
        <f t="shared" si="409"/>
        <v>0</v>
      </c>
      <c r="BD356" s="100">
        <f t="shared" si="410"/>
        <v>0</v>
      </c>
      <c r="BE356" s="100">
        <v>0</v>
      </c>
      <c r="BF356" s="100">
        <f>356</f>
        <v>356</v>
      </c>
      <c r="BH356" s="108">
        <f t="shared" si="411"/>
        <v>0</v>
      </c>
      <c r="BI356" s="108">
        <f t="shared" si="412"/>
        <v>0</v>
      </c>
      <c r="BJ356" s="108">
        <f t="shared" si="413"/>
        <v>0</v>
      </c>
    </row>
    <row r="357" spans="1:62" x14ac:dyDescent="0.2">
      <c r="A357" s="117" t="s">
        <v>315</v>
      </c>
      <c r="B357" s="117" t="s">
        <v>2335</v>
      </c>
      <c r="C357" s="304" t="s">
        <v>1385</v>
      </c>
      <c r="D357" s="305"/>
      <c r="E357" s="305"/>
      <c r="F357" s="117" t="s">
        <v>1646</v>
      </c>
      <c r="G357" s="116">
        <v>9</v>
      </c>
      <c r="H357" s="159"/>
      <c r="I357" s="108">
        <f t="shared" si="390"/>
        <v>0</v>
      </c>
      <c r="J357" s="108">
        <f t="shared" si="391"/>
        <v>0</v>
      </c>
      <c r="K357" s="108">
        <f t="shared" si="392"/>
        <v>0</v>
      </c>
      <c r="L357" s="111"/>
      <c r="Z357" s="100">
        <f t="shared" si="393"/>
        <v>0</v>
      </c>
      <c r="AB357" s="100">
        <f t="shared" si="394"/>
        <v>0</v>
      </c>
      <c r="AC357" s="100">
        <f t="shared" si="395"/>
        <v>0</v>
      </c>
      <c r="AD357" s="100">
        <f t="shared" si="396"/>
        <v>0</v>
      </c>
      <c r="AE357" s="100">
        <f t="shared" si="397"/>
        <v>0</v>
      </c>
      <c r="AF357" s="100">
        <f t="shared" si="398"/>
        <v>0</v>
      </c>
      <c r="AG357" s="100">
        <f t="shared" si="399"/>
        <v>0</v>
      </c>
      <c r="AH357" s="100">
        <f t="shared" si="400"/>
        <v>0</v>
      </c>
      <c r="AI357" s="109"/>
      <c r="AJ357" s="108">
        <f t="shared" si="401"/>
        <v>0</v>
      </c>
      <c r="AK357" s="108">
        <f t="shared" si="402"/>
        <v>0</v>
      </c>
      <c r="AL357" s="108">
        <f t="shared" si="403"/>
        <v>0</v>
      </c>
      <c r="AN357" s="100">
        <v>15</v>
      </c>
      <c r="AO357" s="100">
        <f t="shared" si="404"/>
        <v>0</v>
      </c>
      <c r="AP357" s="100">
        <f t="shared" si="405"/>
        <v>0</v>
      </c>
      <c r="AQ357" s="111" t="s">
        <v>13</v>
      </c>
      <c r="AV357" s="100">
        <f t="shared" si="406"/>
        <v>0</v>
      </c>
      <c r="AW357" s="100">
        <f t="shared" si="407"/>
        <v>0</v>
      </c>
      <c r="AX357" s="100">
        <f t="shared" si="408"/>
        <v>0</v>
      </c>
      <c r="AY357" s="110" t="s">
        <v>1711</v>
      </c>
      <c r="AZ357" s="110" t="s">
        <v>1733</v>
      </c>
      <c r="BA357" s="109" t="s">
        <v>1737</v>
      </c>
      <c r="BC357" s="100">
        <f t="shared" si="409"/>
        <v>0</v>
      </c>
      <c r="BD357" s="100">
        <f t="shared" si="410"/>
        <v>0</v>
      </c>
      <c r="BE357" s="100">
        <v>0</v>
      </c>
      <c r="BF357" s="100">
        <f>357</f>
        <v>357</v>
      </c>
      <c r="BH357" s="108">
        <f t="shared" si="411"/>
        <v>0</v>
      </c>
      <c r="BI357" s="108">
        <f t="shared" si="412"/>
        <v>0</v>
      </c>
      <c r="BJ357" s="108">
        <f t="shared" si="413"/>
        <v>0</v>
      </c>
    </row>
    <row r="358" spans="1:62" x14ac:dyDescent="0.2">
      <c r="A358" s="117" t="s">
        <v>316</v>
      </c>
      <c r="B358" s="117" t="s">
        <v>2334</v>
      </c>
      <c r="C358" s="304" t="s">
        <v>1386</v>
      </c>
      <c r="D358" s="305"/>
      <c r="E358" s="305"/>
      <c r="F358" s="117" t="s">
        <v>1644</v>
      </c>
      <c r="G358" s="116">
        <v>1</v>
      </c>
      <c r="H358" s="159"/>
      <c r="I358" s="108">
        <f t="shared" si="390"/>
        <v>0</v>
      </c>
      <c r="J358" s="108">
        <f t="shared" si="391"/>
        <v>0</v>
      </c>
      <c r="K358" s="108">
        <f t="shared" si="392"/>
        <v>0</v>
      </c>
      <c r="L358" s="111"/>
      <c r="Z358" s="100">
        <f t="shared" si="393"/>
        <v>0</v>
      </c>
      <c r="AB358" s="100">
        <f t="shared" si="394"/>
        <v>0</v>
      </c>
      <c r="AC358" s="100">
        <f t="shared" si="395"/>
        <v>0</v>
      </c>
      <c r="AD358" s="100">
        <f t="shared" si="396"/>
        <v>0</v>
      </c>
      <c r="AE358" s="100">
        <f t="shared" si="397"/>
        <v>0</v>
      </c>
      <c r="AF358" s="100">
        <f t="shared" si="398"/>
        <v>0</v>
      </c>
      <c r="AG358" s="100">
        <f t="shared" si="399"/>
        <v>0</v>
      </c>
      <c r="AH358" s="100">
        <f t="shared" si="400"/>
        <v>0</v>
      </c>
      <c r="AI358" s="109"/>
      <c r="AJ358" s="108">
        <f t="shared" si="401"/>
        <v>0</v>
      </c>
      <c r="AK358" s="108">
        <f t="shared" si="402"/>
        <v>0</v>
      </c>
      <c r="AL358" s="108">
        <f t="shared" si="403"/>
        <v>0</v>
      </c>
      <c r="AN358" s="100">
        <v>15</v>
      </c>
      <c r="AO358" s="100">
        <f t="shared" si="404"/>
        <v>0</v>
      </c>
      <c r="AP358" s="100">
        <f t="shared" si="405"/>
        <v>0</v>
      </c>
      <c r="AQ358" s="111" t="s">
        <v>13</v>
      </c>
      <c r="AV358" s="100">
        <f t="shared" si="406"/>
        <v>0</v>
      </c>
      <c r="AW358" s="100">
        <f t="shared" si="407"/>
        <v>0</v>
      </c>
      <c r="AX358" s="100">
        <f t="shared" si="408"/>
        <v>0</v>
      </c>
      <c r="AY358" s="110" t="s">
        <v>1711</v>
      </c>
      <c r="AZ358" s="110" t="s">
        <v>1733</v>
      </c>
      <c r="BA358" s="109" t="s">
        <v>1737</v>
      </c>
      <c r="BC358" s="100">
        <f t="shared" si="409"/>
        <v>0</v>
      </c>
      <c r="BD358" s="100">
        <f t="shared" si="410"/>
        <v>0</v>
      </c>
      <c r="BE358" s="100">
        <v>0</v>
      </c>
      <c r="BF358" s="100">
        <f>358</f>
        <v>358</v>
      </c>
      <c r="BH358" s="108">
        <f t="shared" si="411"/>
        <v>0</v>
      </c>
      <c r="BI358" s="108">
        <f t="shared" si="412"/>
        <v>0</v>
      </c>
      <c r="BJ358" s="108">
        <f t="shared" si="413"/>
        <v>0</v>
      </c>
    </row>
    <row r="359" spans="1:62" x14ac:dyDescent="0.2">
      <c r="A359" s="117" t="s">
        <v>317</v>
      </c>
      <c r="B359" s="117" t="s">
        <v>2333</v>
      </c>
      <c r="C359" s="304" t="s">
        <v>1387</v>
      </c>
      <c r="D359" s="305"/>
      <c r="E359" s="305"/>
      <c r="F359" s="117" t="s">
        <v>1644</v>
      </c>
      <c r="G359" s="116">
        <v>1</v>
      </c>
      <c r="H359" s="159"/>
      <c r="I359" s="108">
        <f t="shared" si="390"/>
        <v>0</v>
      </c>
      <c r="J359" s="108">
        <f t="shared" si="391"/>
        <v>0</v>
      </c>
      <c r="K359" s="108">
        <f t="shared" si="392"/>
        <v>0</v>
      </c>
      <c r="L359" s="111"/>
      <c r="Z359" s="100">
        <f t="shared" si="393"/>
        <v>0</v>
      </c>
      <c r="AB359" s="100">
        <f t="shared" si="394"/>
        <v>0</v>
      </c>
      <c r="AC359" s="100">
        <f t="shared" si="395"/>
        <v>0</v>
      </c>
      <c r="AD359" s="100">
        <f t="shared" si="396"/>
        <v>0</v>
      </c>
      <c r="AE359" s="100">
        <f t="shared" si="397"/>
        <v>0</v>
      </c>
      <c r="AF359" s="100">
        <f t="shared" si="398"/>
        <v>0</v>
      </c>
      <c r="AG359" s="100">
        <f t="shared" si="399"/>
        <v>0</v>
      </c>
      <c r="AH359" s="100">
        <f t="shared" si="400"/>
        <v>0</v>
      </c>
      <c r="AI359" s="109"/>
      <c r="AJ359" s="108">
        <f t="shared" si="401"/>
        <v>0</v>
      </c>
      <c r="AK359" s="108">
        <f t="shared" si="402"/>
        <v>0</v>
      </c>
      <c r="AL359" s="108">
        <f t="shared" si="403"/>
        <v>0</v>
      </c>
      <c r="AN359" s="100">
        <v>15</v>
      </c>
      <c r="AO359" s="100">
        <f t="shared" si="404"/>
        <v>0</v>
      </c>
      <c r="AP359" s="100">
        <f t="shared" si="405"/>
        <v>0</v>
      </c>
      <c r="AQ359" s="111" t="s">
        <v>13</v>
      </c>
      <c r="AV359" s="100">
        <f t="shared" si="406"/>
        <v>0</v>
      </c>
      <c r="AW359" s="100">
        <f t="shared" si="407"/>
        <v>0</v>
      </c>
      <c r="AX359" s="100">
        <f t="shared" si="408"/>
        <v>0</v>
      </c>
      <c r="AY359" s="110" t="s">
        <v>1711</v>
      </c>
      <c r="AZ359" s="110" t="s">
        <v>1733</v>
      </c>
      <c r="BA359" s="109" t="s">
        <v>1737</v>
      </c>
      <c r="BC359" s="100">
        <f t="shared" si="409"/>
        <v>0</v>
      </c>
      <c r="BD359" s="100">
        <f t="shared" si="410"/>
        <v>0</v>
      </c>
      <c r="BE359" s="100">
        <v>0</v>
      </c>
      <c r="BF359" s="100">
        <f>359</f>
        <v>359</v>
      </c>
      <c r="BH359" s="108">
        <f t="shared" si="411"/>
        <v>0</v>
      </c>
      <c r="BI359" s="108">
        <f t="shared" si="412"/>
        <v>0</v>
      </c>
      <c r="BJ359" s="108">
        <f t="shared" si="413"/>
        <v>0</v>
      </c>
    </row>
    <row r="360" spans="1:62" x14ac:dyDescent="0.2">
      <c r="A360" s="117" t="s">
        <v>318</v>
      </c>
      <c r="B360" s="117" t="s">
        <v>2332</v>
      </c>
      <c r="C360" s="304" t="s">
        <v>1388</v>
      </c>
      <c r="D360" s="305"/>
      <c r="E360" s="305"/>
      <c r="F360" s="117" t="s">
        <v>1644</v>
      </c>
      <c r="G360" s="116">
        <v>1</v>
      </c>
      <c r="H360" s="159"/>
      <c r="I360" s="108">
        <f t="shared" si="390"/>
        <v>0</v>
      </c>
      <c r="J360" s="108">
        <f t="shared" si="391"/>
        <v>0</v>
      </c>
      <c r="K360" s="108">
        <f t="shared" si="392"/>
        <v>0</v>
      </c>
      <c r="L360" s="111"/>
      <c r="Z360" s="100">
        <f t="shared" si="393"/>
        <v>0</v>
      </c>
      <c r="AB360" s="100">
        <f t="shared" si="394"/>
        <v>0</v>
      </c>
      <c r="AC360" s="100">
        <f t="shared" si="395"/>
        <v>0</v>
      </c>
      <c r="AD360" s="100">
        <f t="shared" si="396"/>
        <v>0</v>
      </c>
      <c r="AE360" s="100">
        <f t="shared" si="397"/>
        <v>0</v>
      </c>
      <c r="AF360" s="100">
        <f t="shared" si="398"/>
        <v>0</v>
      </c>
      <c r="AG360" s="100">
        <f t="shared" si="399"/>
        <v>0</v>
      </c>
      <c r="AH360" s="100">
        <f t="shared" si="400"/>
        <v>0</v>
      </c>
      <c r="AI360" s="109"/>
      <c r="AJ360" s="108">
        <f t="shared" si="401"/>
        <v>0</v>
      </c>
      <c r="AK360" s="108">
        <f t="shared" si="402"/>
        <v>0</v>
      </c>
      <c r="AL360" s="108">
        <f t="shared" si="403"/>
        <v>0</v>
      </c>
      <c r="AN360" s="100">
        <v>15</v>
      </c>
      <c r="AO360" s="100">
        <f t="shared" si="404"/>
        <v>0</v>
      </c>
      <c r="AP360" s="100">
        <f t="shared" si="405"/>
        <v>0</v>
      </c>
      <c r="AQ360" s="111" t="s">
        <v>13</v>
      </c>
      <c r="AV360" s="100">
        <f t="shared" si="406"/>
        <v>0</v>
      </c>
      <c r="AW360" s="100">
        <f t="shared" si="407"/>
        <v>0</v>
      </c>
      <c r="AX360" s="100">
        <f t="shared" si="408"/>
        <v>0</v>
      </c>
      <c r="AY360" s="110" t="s">
        <v>1711</v>
      </c>
      <c r="AZ360" s="110" t="s">
        <v>1733</v>
      </c>
      <c r="BA360" s="109" t="s">
        <v>1737</v>
      </c>
      <c r="BC360" s="100">
        <f t="shared" si="409"/>
        <v>0</v>
      </c>
      <c r="BD360" s="100">
        <f t="shared" si="410"/>
        <v>0</v>
      </c>
      <c r="BE360" s="100">
        <v>0</v>
      </c>
      <c r="BF360" s="100">
        <f>360</f>
        <v>360</v>
      </c>
      <c r="BH360" s="108">
        <f t="shared" si="411"/>
        <v>0</v>
      </c>
      <c r="BI360" s="108">
        <f t="shared" si="412"/>
        <v>0</v>
      </c>
      <c r="BJ360" s="108">
        <f t="shared" si="413"/>
        <v>0</v>
      </c>
    </row>
    <row r="361" spans="1:62" x14ac:dyDescent="0.2">
      <c r="A361" s="117" t="s">
        <v>319</v>
      </c>
      <c r="B361" s="117" t="s">
        <v>2331</v>
      </c>
      <c r="C361" s="304" t="s">
        <v>1389</v>
      </c>
      <c r="D361" s="305"/>
      <c r="E361" s="305"/>
      <c r="F361" s="117" t="s">
        <v>1644</v>
      </c>
      <c r="G361" s="116">
        <v>1</v>
      </c>
      <c r="H361" s="159"/>
      <c r="I361" s="108">
        <f t="shared" si="390"/>
        <v>0</v>
      </c>
      <c r="J361" s="108">
        <f t="shared" si="391"/>
        <v>0</v>
      </c>
      <c r="K361" s="108">
        <f t="shared" si="392"/>
        <v>0</v>
      </c>
      <c r="L361" s="111"/>
      <c r="Z361" s="100">
        <f t="shared" si="393"/>
        <v>0</v>
      </c>
      <c r="AB361" s="100">
        <f t="shared" si="394"/>
        <v>0</v>
      </c>
      <c r="AC361" s="100">
        <f t="shared" si="395"/>
        <v>0</v>
      </c>
      <c r="AD361" s="100">
        <f t="shared" si="396"/>
        <v>0</v>
      </c>
      <c r="AE361" s="100">
        <f t="shared" si="397"/>
        <v>0</v>
      </c>
      <c r="AF361" s="100">
        <f t="shared" si="398"/>
        <v>0</v>
      </c>
      <c r="AG361" s="100">
        <f t="shared" si="399"/>
        <v>0</v>
      </c>
      <c r="AH361" s="100">
        <f t="shared" si="400"/>
        <v>0</v>
      </c>
      <c r="AI361" s="109"/>
      <c r="AJ361" s="108">
        <f t="shared" si="401"/>
        <v>0</v>
      </c>
      <c r="AK361" s="108">
        <f t="shared" si="402"/>
        <v>0</v>
      </c>
      <c r="AL361" s="108">
        <f t="shared" si="403"/>
        <v>0</v>
      </c>
      <c r="AN361" s="100">
        <v>15</v>
      </c>
      <c r="AO361" s="100">
        <f t="shared" si="404"/>
        <v>0</v>
      </c>
      <c r="AP361" s="100">
        <f t="shared" si="405"/>
        <v>0</v>
      </c>
      <c r="AQ361" s="111" t="s">
        <v>13</v>
      </c>
      <c r="AV361" s="100">
        <f t="shared" si="406"/>
        <v>0</v>
      </c>
      <c r="AW361" s="100">
        <f t="shared" si="407"/>
        <v>0</v>
      </c>
      <c r="AX361" s="100">
        <f t="shared" si="408"/>
        <v>0</v>
      </c>
      <c r="AY361" s="110" t="s">
        <v>1711</v>
      </c>
      <c r="AZ361" s="110" t="s">
        <v>1733</v>
      </c>
      <c r="BA361" s="109" t="s">
        <v>1737</v>
      </c>
      <c r="BC361" s="100">
        <f t="shared" si="409"/>
        <v>0</v>
      </c>
      <c r="BD361" s="100">
        <f t="shared" si="410"/>
        <v>0</v>
      </c>
      <c r="BE361" s="100">
        <v>0</v>
      </c>
      <c r="BF361" s="100">
        <f>361</f>
        <v>361</v>
      </c>
      <c r="BH361" s="108">
        <f t="shared" si="411"/>
        <v>0</v>
      </c>
      <c r="BI361" s="108">
        <f t="shared" si="412"/>
        <v>0</v>
      </c>
      <c r="BJ361" s="108">
        <f t="shared" si="413"/>
        <v>0</v>
      </c>
    </row>
    <row r="362" spans="1:62" x14ac:dyDescent="0.2">
      <c r="A362" s="117" t="s">
        <v>320</v>
      </c>
      <c r="B362" s="117" t="s">
        <v>2330</v>
      </c>
      <c r="C362" s="304" t="s">
        <v>1392</v>
      </c>
      <c r="D362" s="305"/>
      <c r="E362" s="305"/>
      <c r="F362" s="117" t="s">
        <v>1644</v>
      </c>
      <c r="G362" s="116">
        <v>2</v>
      </c>
      <c r="H362" s="159"/>
      <c r="I362" s="108">
        <f t="shared" si="390"/>
        <v>0</v>
      </c>
      <c r="J362" s="108">
        <f t="shared" si="391"/>
        <v>0</v>
      </c>
      <c r="K362" s="108">
        <f t="shared" si="392"/>
        <v>0</v>
      </c>
      <c r="L362" s="111"/>
      <c r="Z362" s="100">
        <f t="shared" si="393"/>
        <v>0</v>
      </c>
      <c r="AB362" s="100">
        <f t="shared" si="394"/>
        <v>0</v>
      </c>
      <c r="AC362" s="100">
        <f t="shared" si="395"/>
        <v>0</v>
      </c>
      <c r="AD362" s="100">
        <f t="shared" si="396"/>
        <v>0</v>
      </c>
      <c r="AE362" s="100">
        <f t="shared" si="397"/>
        <v>0</v>
      </c>
      <c r="AF362" s="100">
        <f t="shared" si="398"/>
        <v>0</v>
      </c>
      <c r="AG362" s="100">
        <f t="shared" si="399"/>
        <v>0</v>
      </c>
      <c r="AH362" s="100">
        <f t="shared" si="400"/>
        <v>0</v>
      </c>
      <c r="AI362" s="109"/>
      <c r="AJ362" s="108">
        <f t="shared" si="401"/>
        <v>0</v>
      </c>
      <c r="AK362" s="108">
        <f t="shared" si="402"/>
        <v>0</v>
      </c>
      <c r="AL362" s="108">
        <f t="shared" si="403"/>
        <v>0</v>
      </c>
      <c r="AN362" s="100">
        <v>15</v>
      </c>
      <c r="AO362" s="100">
        <f t="shared" si="404"/>
        <v>0</v>
      </c>
      <c r="AP362" s="100">
        <f t="shared" si="405"/>
        <v>0</v>
      </c>
      <c r="AQ362" s="111" t="s">
        <v>13</v>
      </c>
      <c r="AV362" s="100">
        <f t="shared" si="406"/>
        <v>0</v>
      </c>
      <c r="AW362" s="100">
        <f t="shared" si="407"/>
        <v>0</v>
      </c>
      <c r="AX362" s="100">
        <f t="shared" si="408"/>
        <v>0</v>
      </c>
      <c r="AY362" s="110" t="s">
        <v>1711</v>
      </c>
      <c r="AZ362" s="110" t="s">
        <v>1733</v>
      </c>
      <c r="BA362" s="109" t="s">
        <v>1737</v>
      </c>
      <c r="BC362" s="100">
        <f t="shared" si="409"/>
        <v>0</v>
      </c>
      <c r="BD362" s="100">
        <f t="shared" si="410"/>
        <v>0</v>
      </c>
      <c r="BE362" s="100">
        <v>0</v>
      </c>
      <c r="BF362" s="100">
        <f>362</f>
        <v>362</v>
      </c>
      <c r="BH362" s="108">
        <f t="shared" si="411"/>
        <v>0</v>
      </c>
      <c r="BI362" s="108">
        <f t="shared" si="412"/>
        <v>0</v>
      </c>
      <c r="BJ362" s="108">
        <f t="shared" si="413"/>
        <v>0</v>
      </c>
    </row>
    <row r="363" spans="1:62" x14ac:dyDescent="0.2">
      <c r="A363" s="117" t="s">
        <v>321</v>
      </c>
      <c r="B363" s="117" t="s">
        <v>2329</v>
      </c>
      <c r="C363" s="304" t="s">
        <v>1393</v>
      </c>
      <c r="D363" s="305"/>
      <c r="E363" s="305"/>
      <c r="F363" s="117" t="s">
        <v>1644</v>
      </c>
      <c r="G363" s="116">
        <v>1</v>
      </c>
      <c r="H363" s="159"/>
      <c r="I363" s="108">
        <f t="shared" si="390"/>
        <v>0</v>
      </c>
      <c r="J363" s="108">
        <f t="shared" si="391"/>
        <v>0</v>
      </c>
      <c r="K363" s="108">
        <f t="shared" si="392"/>
        <v>0</v>
      </c>
      <c r="L363" s="111"/>
      <c r="Z363" s="100">
        <f t="shared" si="393"/>
        <v>0</v>
      </c>
      <c r="AB363" s="100">
        <f t="shared" si="394"/>
        <v>0</v>
      </c>
      <c r="AC363" s="100">
        <f t="shared" si="395"/>
        <v>0</v>
      </c>
      <c r="AD363" s="100">
        <f t="shared" si="396"/>
        <v>0</v>
      </c>
      <c r="AE363" s="100">
        <f t="shared" si="397"/>
        <v>0</v>
      </c>
      <c r="AF363" s="100">
        <f t="shared" si="398"/>
        <v>0</v>
      </c>
      <c r="AG363" s="100">
        <f t="shared" si="399"/>
        <v>0</v>
      </c>
      <c r="AH363" s="100">
        <f t="shared" si="400"/>
        <v>0</v>
      </c>
      <c r="AI363" s="109"/>
      <c r="AJ363" s="108">
        <f t="shared" si="401"/>
        <v>0</v>
      </c>
      <c r="AK363" s="108">
        <f t="shared" si="402"/>
        <v>0</v>
      </c>
      <c r="AL363" s="108">
        <f t="shared" si="403"/>
        <v>0</v>
      </c>
      <c r="AN363" s="100">
        <v>15</v>
      </c>
      <c r="AO363" s="100">
        <f t="shared" si="404"/>
        <v>0</v>
      </c>
      <c r="AP363" s="100">
        <f t="shared" si="405"/>
        <v>0</v>
      </c>
      <c r="AQ363" s="111" t="s">
        <v>13</v>
      </c>
      <c r="AV363" s="100">
        <f t="shared" si="406"/>
        <v>0</v>
      </c>
      <c r="AW363" s="100">
        <f t="shared" si="407"/>
        <v>0</v>
      </c>
      <c r="AX363" s="100">
        <f t="shared" si="408"/>
        <v>0</v>
      </c>
      <c r="AY363" s="110" t="s">
        <v>1711</v>
      </c>
      <c r="AZ363" s="110" t="s">
        <v>1733</v>
      </c>
      <c r="BA363" s="109" t="s">
        <v>1737</v>
      </c>
      <c r="BC363" s="100">
        <f t="shared" si="409"/>
        <v>0</v>
      </c>
      <c r="BD363" s="100">
        <f t="shared" si="410"/>
        <v>0</v>
      </c>
      <c r="BE363" s="100">
        <v>0</v>
      </c>
      <c r="BF363" s="100">
        <f>363</f>
        <v>363</v>
      </c>
      <c r="BH363" s="108">
        <f t="shared" si="411"/>
        <v>0</v>
      </c>
      <c r="BI363" s="108">
        <f t="shared" si="412"/>
        <v>0</v>
      </c>
      <c r="BJ363" s="108">
        <f t="shared" si="413"/>
        <v>0</v>
      </c>
    </row>
    <row r="364" spans="1:62" x14ac:dyDescent="0.2">
      <c r="A364" s="117" t="s">
        <v>322</v>
      </c>
      <c r="B364" s="117" t="s">
        <v>2328</v>
      </c>
      <c r="C364" s="304" t="s">
        <v>1394</v>
      </c>
      <c r="D364" s="305"/>
      <c r="E364" s="305"/>
      <c r="F364" s="117" t="s">
        <v>1644</v>
      </c>
      <c r="G364" s="116">
        <v>1</v>
      </c>
      <c r="H364" s="159"/>
      <c r="I364" s="108">
        <f t="shared" si="390"/>
        <v>0</v>
      </c>
      <c r="J364" s="108">
        <f t="shared" si="391"/>
        <v>0</v>
      </c>
      <c r="K364" s="108">
        <f t="shared" si="392"/>
        <v>0</v>
      </c>
      <c r="L364" s="111"/>
      <c r="Z364" s="100">
        <f t="shared" si="393"/>
        <v>0</v>
      </c>
      <c r="AB364" s="100">
        <f t="shared" si="394"/>
        <v>0</v>
      </c>
      <c r="AC364" s="100">
        <f t="shared" si="395"/>
        <v>0</v>
      </c>
      <c r="AD364" s="100">
        <f t="shared" si="396"/>
        <v>0</v>
      </c>
      <c r="AE364" s="100">
        <f t="shared" si="397"/>
        <v>0</v>
      </c>
      <c r="AF364" s="100">
        <f t="shared" si="398"/>
        <v>0</v>
      </c>
      <c r="AG364" s="100">
        <f t="shared" si="399"/>
        <v>0</v>
      </c>
      <c r="AH364" s="100">
        <f t="shared" si="400"/>
        <v>0</v>
      </c>
      <c r="AI364" s="109"/>
      <c r="AJ364" s="108">
        <f t="shared" si="401"/>
        <v>0</v>
      </c>
      <c r="AK364" s="108">
        <f t="shared" si="402"/>
        <v>0</v>
      </c>
      <c r="AL364" s="108">
        <f t="shared" si="403"/>
        <v>0</v>
      </c>
      <c r="AN364" s="100">
        <v>15</v>
      </c>
      <c r="AO364" s="100">
        <f t="shared" si="404"/>
        <v>0</v>
      </c>
      <c r="AP364" s="100">
        <f t="shared" si="405"/>
        <v>0</v>
      </c>
      <c r="AQ364" s="111" t="s">
        <v>13</v>
      </c>
      <c r="AV364" s="100">
        <f t="shared" si="406"/>
        <v>0</v>
      </c>
      <c r="AW364" s="100">
        <f t="shared" si="407"/>
        <v>0</v>
      </c>
      <c r="AX364" s="100">
        <f t="shared" si="408"/>
        <v>0</v>
      </c>
      <c r="AY364" s="110" t="s">
        <v>1711</v>
      </c>
      <c r="AZ364" s="110" t="s">
        <v>1733</v>
      </c>
      <c r="BA364" s="109" t="s">
        <v>1737</v>
      </c>
      <c r="BC364" s="100">
        <f t="shared" si="409"/>
        <v>0</v>
      </c>
      <c r="BD364" s="100">
        <f t="shared" si="410"/>
        <v>0</v>
      </c>
      <c r="BE364" s="100">
        <v>0</v>
      </c>
      <c r="BF364" s="100">
        <f>364</f>
        <v>364</v>
      </c>
      <c r="BH364" s="108">
        <f t="shared" si="411"/>
        <v>0</v>
      </c>
      <c r="BI364" s="108">
        <f t="shared" si="412"/>
        <v>0</v>
      </c>
      <c r="BJ364" s="108">
        <f t="shared" si="413"/>
        <v>0</v>
      </c>
    </row>
    <row r="365" spans="1:62" x14ac:dyDescent="0.2">
      <c r="A365" s="119"/>
      <c r="B365" s="120" t="s">
        <v>822</v>
      </c>
      <c r="C365" s="306" t="s">
        <v>2229</v>
      </c>
      <c r="D365" s="307"/>
      <c r="E365" s="307"/>
      <c r="F365" s="119" t="s">
        <v>6</v>
      </c>
      <c r="G365" s="119" t="s">
        <v>6</v>
      </c>
      <c r="H365" s="119" t="s">
        <v>6</v>
      </c>
      <c r="I365" s="118">
        <f>SUM(I366:I393)</f>
        <v>0</v>
      </c>
      <c r="J365" s="118">
        <f>SUM(J366:J393)</f>
        <v>0</v>
      </c>
      <c r="K365" s="118">
        <f>SUM(K366:K393)</f>
        <v>0</v>
      </c>
      <c r="L365" s="109"/>
      <c r="AI365" s="109"/>
      <c r="AS365" s="118">
        <f>SUM(AJ366:AJ393)</f>
        <v>0</v>
      </c>
      <c r="AT365" s="118">
        <f>SUM(AK366:AK393)</f>
        <v>0</v>
      </c>
      <c r="AU365" s="118">
        <f>SUM(AL366:AL393)</f>
        <v>0</v>
      </c>
    </row>
    <row r="366" spans="1:62" x14ac:dyDescent="0.2">
      <c r="A366" s="117" t="s">
        <v>323</v>
      </c>
      <c r="B366" s="117" t="s">
        <v>117</v>
      </c>
      <c r="C366" s="304" t="s">
        <v>1396</v>
      </c>
      <c r="D366" s="305"/>
      <c r="E366" s="305"/>
      <c r="F366" s="117" t="s">
        <v>1652</v>
      </c>
      <c r="G366" s="116">
        <v>1</v>
      </c>
      <c r="H366" s="159"/>
      <c r="I366" s="108">
        <f t="shared" ref="I366:I393" si="414">G366*AO366</f>
        <v>0</v>
      </c>
      <c r="J366" s="108">
        <f t="shared" ref="J366:J393" si="415">G366*AP366</f>
        <v>0</v>
      </c>
      <c r="K366" s="108">
        <f t="shared" ref="K366:K393" si="416">G366*H366</f>
        <v>0</v>
      </c>
      <c r="L366" s="111"/>
      <c r="Z366" s="100">
        <f t="shared" ref="Z366:Z393" si="417">IF(AQ366="5",BJ366,0)</f>
        <v>0</v>
      </c>
      <c r="AB366" s="100">
        <f t="shared" ref="AB366:AB393" si="418">IF(AQ366="1",BH366,0)</f>
        <v>0</v>
      </c>
      <c r="AC366" s="100">
        <f t="shared" ref="AC366:AC393" si="419">IF(AQ366="1",BI366,0)</f>
        <v>0</v>
      </c>
      <c r="AD366" s="100">
        <f t="shared" ref="AD366:AD393" si="420">IF(AQ366="7",BH366,0)</f>
        <v>0</v>
      </c>
      <c r="AE366" s="100">
        <f t="shared" ref="AE366:AE393" si="421">IF(AQ366="7",BI366,0)</f>
        <v>0</v>
      </c>
      <c r="AF366" s="100">
        <f t="shared" ref="AF366:AF393" si="422">IF(AQ366="2",BH366,0)</f>
        <v>0</v>
      </c>
      <c r="AG366" s="100">
        <f t="shared" ref="AG366:AG393" si="423">IF(AQ366="2",BI366,0)</f>
        <v>0</v>
      </c>
      <c r="AH366" s="100">
        <f t="shared" ref="AH366:AH393" si="424">IF(AQ366="0",BJ366,0)</f>
        <v>0</v>
      </c>
      <c r="AI366" s="109"/>
      <c r="AJ366" s="108">
        <f t="shared" ref="AJ366:AJ393" si="425">IF(AN366=0,K366,0)</f>
        <v>0</v>
      </c>
      <c r="AK366" s="108">
        <f t="shared" ref="AK366:AK393" si="426">IF(AN366=15,K366,0)</f>
        <v>0</v>
      </c>
      <c r="AL366" s="108">
        <f t="shared" ref="AL366:AL393" si="427">IF(AN366=21,K366,0)</f>
        <v>0</v>
      </c>
      <c r="AN366" s="100">
        <v>15</v>
      </c>
      <c r="AO366" s="100">
        <f t="shared" ref="AO366:AO393" si="428">H366*0</f>
        <v>0</v>
      </c>
      <c r="AP366" s="100">
        <f t="shared" ref="AP366:AP393" si="429">H366*(1-0)</f>
        <v>0</v>
      </c>
      <c r="AQ366" s="111" t="s">
        <v>13</v>
      </c>
      <c r="AV366" s="100">
        <f t="shared" ref="AV366:AV393" si="430">AW366+AX366</f>
        <v>0</v>
      </c>
      <c r="AW366" s="100">
        <f t="shared" ref="AW366:AW393" si="431">G366*AO366</f>
        <v>0</v>
      </c>
      <c r="AX366" s="100">
        <f t="shared" ref="AX366:AX393" si="432">G366*AP366</f>
        <v>0</v>
      </c>
      <c r="AY366" s="110" t="s">
        <v>1712</v>
      </c>
      <c r="AZ366" s="110" t="s">
        <v>1733</v>
      </c>
      <c r="BA366" s="109" t="s">
        <v>1737</v>
      </c>
      <c r="BC366" s="100">
        <f t="shared" ref="BC366:BC393" si="433">AW366+AX366</f>
        <v>0</v>
      </c>
      <c r="BD366" s="100">
        <f t="shared" ref="BD366:BD393" si="434">H366/(100-BE366)*100</f>
        <v>0</v>
      </c>
      <c r="BE366" s="100">
        <v>0</v>
      </c>
      <c r="BF366" s="100">
        <f>366</f>
        <v>366</v>
      </c>
      <c r="BH366" s="108">
        <f t="shared" ref="BH366:BH393" si="435">G366*AO366</f>
        <v>0</v>
      </c>
      <c r="BI366" s="108">
        <f t="shared" ref="BI366:BI393" si="436">G366*AP366</f>
        <v>0</v>
      </c>
      <c r="BJ366" s="108">
        <f t="shared" ref="BJ366:BJ393" si="437">G366*H366</f>
        <v>0</v>
      </c>
    </row>
    <row r="367" spans="1:62" x14ac:dyDescent="0.2">
      <c r="A367" s="117" t="s">
        <v>324</v>
      </c>
      <c r="B367" s="117" t="s">
        <v>118</v>
      </c>
      <c r="C367" s="304" t="s">
        <v>1397</v>
      </c>
      <c r="D367" s="305"/>
      <c r="E367" s="305"/>
      <c r="F367" s="117" t="s">
        <v>1652</v>
      </c>
      <c r="G367" s="116">
        <v>1</v>
      </c>
      <c r="H367" s="159"/>
      <c r="I367" s="108">
        <f t="shared" si="414"/>
        <v>0</v>
      </c>
      <c r="J367" s="108">
        <f t="shared" si="415"/>
        <v>0</v>
      </c>
      <c r="K367" s="108">
        <f t="shared" si="416"/>
        <v>0</v>
      </c>
      <c r="L367" s="111"/>
      <c r="Z367" s="100">
        <f t="shared" si="417"/>
        <v>0</v>
      </c>
      <c r="AB367" s="100">
        <f t="shared" si="418"/>
        <v>0</v>
      </c>
      <c r="AC367" s="100">
        <f t="shared" si="419"/>
        <v>0</v>
      </c>
      <c r="AD367" s="100">
        <f t="shared" si="420"/>
        <v>0</v>
      </c>
      <c r="AE367" s="100">
        <f t="shared" si="421"/>
        <v>0</v>
      </c>
      <c r="AF367" s="100">
        <f t="shared" si="422"/>
        <v>0</v>
      </c>
      <c r="AG367" s="100">
        <f t="shared" si="423"/>
        <v>0</v>
      </c>
      <c r="AH367" s="100">
        <f t="shared" si="424"/>
        <v>0</v>
      </c>
      <c r="AI367" s="109"/>
      <c r="AJ367" s="108">
        <f t="shared" si="425"/>
        <v>0</v>
      </c>
      <c r="AK367" s="108">
        <f t="shared" si="426"/>
        <v>0</v>
      </c>
      <c r="AL367" s="108">
        <f t="shared" si="427"/>
        <v>0</v>
      </c>
      <c r="AN367" s="100">
        <v>15</v>
      </c>
      <c r="AO367" s="100">
        <f t="shared" si="428"/>
        <v>0</v>
      </c>
      <c r="AP367" s="100">
        <f t="shared" si="429"/>
        <v>0</v>
      </c>
      <c r="AQ367" s="111" t="s">
        <v>13</v>
      </c>
      <c r="AV367" s="100">
        <f t="shared" si="430"/>
        <v>0</v>
      </c>
      <c r="AW367" s="100">
        <f t="shared" si="431"/>
        <v>0</v>
      </c>
      <c r="AX367" s="100">
        <f t="shared" si="432"/>
        <v>0</v>
      </c>
      <c r="AY367" s="110" t="s">
        <v>1712</v>
      </c>
      <c r="AZ367" s="110" t="s">
        <v>1733</v>
      </c>
      <c r="BA367" s="109" t="s">
        <v>1737</v>
      </c>
      <c r="BC367" s="100">
        <f t="shared" si="433"/>
        <v>0</v>
      </c>
      <c r="BD367" s="100">
        <f t="shared" si="434"/>
        <v>0</v>
      </c>
      <c r="BE367" s="100">
        <v>0</v>
      </c>
      <c r="BF367" s="100">
        <f>367</f>
        <v>367</v>
      </c>
      <c r="BH367" s="108">
        <f t="shared" si="435"/>
        <v>0</v>
      </c>
      <c r="BI367" s="108">
        <f t="shared" si="436"/>
        <v>0</v>
      </c>
      <c r="BJ367" s="108">
        <f t="shared" si="437"/>
        <v>0</v>
      </c>
    </row>
    <row r="368" spans="1:62" x14ac:dyDescent="0.2">
      <c r="A368" s="117" t="s">
        <v>325</v>
      </c>
      <c r="B368" s="117" t="s">
        <v>119</v>
      </c>
      <c r="C368" s="304" t="s">
        <v>1398</v>
      </c>
      <c r="D368" s="305"/>
      <c r="E368" s="305"/>
      <c r="F368" s="117" t="s">
        <v>1652</v>
      </c>
      <c r="G368" s="116">
        <v>1</v>
      </c>
      <c r="H368" s="159"/>
      <c r="I368" s="108">
        <f t="shared" si="414"/>
        <v>0</v>
      </c>
      <c r="J368" s="108">
        <f t="shared" si="415"/>
        <v>0</v>
      </c>
      <c r="K368" s="108">
        <f t="shared" si="416"/>
        <v>0</v>
      </c>
      <c r="L368" s="111"/>
      <c r="Z368" s="100">
        <f t="shared" si="417"/>
        <v>0</v>
      </c>
      <c r="AB368" s="100">
        <f t="shared" si="418"/>
        <v>0</v>
      </c>
      <c r="AC368" s="100">
        <f t="shared" si="419"/>
        <v>0</v>
      </c>
      <c r="AD368" s="100">
        <f t="shared" si="420"/>
        <v>0</v>
      </c>
      <c r="AE368" s="100">
        <f t="shared" si="421"/>
        <v>0</v>
      </c>
      <c r="AF368" s="100">
        <f t="shared" si="422"/>
        <v>0</v>
      </c>
      <c r="AG368" s="100">
        <f t="shared" si="423"/>
        <v>0</v>
      </c>
      <c r="AH368" s="100">
        <f t="shared" si="424"/>
        <v>0</v>
      </c>
      <c r="AI368" s="109"/>
      <c r="AJ368" s="108">
        <f t="shared" si="425"/>
        <v>0</v>
      </c>
      <c r="AK368" s="108">
        <f t="shared" si="426"/>
        <v>0</v>
      </c>
      <c r="AL368" s="108">
        <f t="shared" si="427"/>
        <v>0</v>
      </c>
      <c r="AN368" s="100">
        <v>15</v>
      </c>
      <c r="AO368" s="100">
        <f t="shared" si="428"/>
        <v>0</v>
      </c>
      <c r="AP368" s="100">
        <f t="shared" si="429"/>
        <v>0</v>
      </c>
      <c r="AQ368" s="111" t="s">
        <v>13</v>
      </c>
      <c r="AV368" s="100">
        <f t="shared" si="430"/>
        <v>0</v>
      </c>
      <c r="AW368" s="100">
        <f t="shared" si="431"/>
        <v>0</v>
      </c>
      <c r="AX368" s="100">
        <f t="shared" si="432"/>
        <v>0</v>
      </c>
      <c r="AY368" s="110" t="s">
        <v>1712</v>
      </c>
      <c r="AZ368" s="110" t="s">
        <v>1733</v>
      </c>
      <c r="BA368" s="109" t="s">
        <v>1737</v>
      </c>
      <c r="BC368" s="100">
        <f t="shared" si="433"/>
        <v>0</v>
      </c>
      <c r="BD368" s="100">
        <f t="shared" si="434"/>
        <v>0</v>
      </c>
      <c r="BE368" s="100">
        <v>0</v>
      </c>
      <c r="BF368" s="100">
        <f>368</f>
        <v>368</v>
      </c>
      <c r="BH368" s="108">
        <f t="shared" si="435"/>
        <v>0</v>
      </c>
      <c r="BI368" s="108">
        <f t="shared" si="436"/>
        <v>0</v>
      </c>
      <c r="BJ368" s="108">
        <f t="shared" si="437"/>
        <v>0</v>
      </c>
    </row>
    <row r="369" spans="1:62" x14ac:dyDescent="0.2">
      <c r="A369" s="117" t="s">
        <v>326</v>
      </c>
      <c r="B369" s="117" t="s">
        <v>120</v>
      </c>
      <c r="C369" s="304" t="s">
        <v>1399</v>
      </c>
      <c r="D369" s="305"/>
      <c r="E369" s="305"/>
      <c r="F369" s="117" t="s">
        <v>1652</v>
      </c>
      <c r="G369" s="116">
        <v>1</v>
      </c>
      <c r="H369" s="159"/>
      <c r="I369" s="108">
        <f t="shared" si="414"/>
        <v>0</v>
      </c>
      <c r="J369" s="108">
        <f t="shared" si="415"/>
        <v>0</v>
      </c>
      <c r="K369" s="108">
        <f t="shared" si="416"/>
        <v>0</v>
      </c>
      <c r="L369" s="111"/>
      <c r="Z369" s="100">
        <f t="shared" si="417"/>
        <v>0</v>
      </c>
      <c r="AB369" s="100">
        <f t="shared" si="418"/>
        <v>0</v>
      </c>
      <c r="AC369" s="100">
        <f t="shared" si="419"/>
        <v>0</v>
      </c>
      <c r="AD369" s="100">
        <f t="shared" si="420"/>
        <v>0</v>
      </c>
      <c r="AE369" s="100">
        <f t="shared" si="421"/>
        <v>0</v>
      </c>
      <c r="AF369" s="100">
        <f t="shared" si="422"/>
        <v>0</v>
      </c>
      <c r="AG369" s="100">
        <f t="shared" si="423"/>
        <v>0</v>
      </c>
      <c r="AH369" s="100">
        <f t="shared" si="424"/>
        <v>0</v>
      </c>
      <c r="AI369" s="109"/>
      <c r="AJ369" s="108">
        <f t="shared" si="425"/>
        <v>0</v>
      </c>
      <c r="AK369" s="108">
        <f t="shared" si="426"/>
        <v>0</v>
      </c>
      <c r="AL369" s="108">
        <f t="shared" si="427"/>
        <v>0</v>
      </c>
      <c r="AN369" s="100">
        <v>15</v>
      </c>
      <c r="AO369" s="100">
        <f t="shared" si="428"/>
        <v>0</v>
      </c>
      <c r="AP369" s="100">
        <f t="shared" si="429"/>
        <v>0</v>
      </c>
      <c r="AQ369" s="111" t="s">
        <v>13</v>
      </c>
      <c r="AV369" s="100">
        <f t="shared" si="430"/>
        <v>0</v>
      </c>
      <c r="AW369" s="100">
        <f t="shared" si="431"/>
        <v>0</v>
      </c>
      <c r="AX369" s="100">
        <f t="shared" si="432"/>
        <v>0</v>
      </c>
      <c r="AY369" s="110" t="s">
        <v>1712</v>
      </c>
      <c r="AZ369" s="110" t="s">
        <v>1733</v>
      </c>
      <c r="BA369" s="109" t="s">
        <v>1737</v>
      </c>
      <c r="BC369" s="100">
        <f t="shared" si="433"/>
        <v>0</v>
      </c>
      <c r="BD369" s="100">
        <f t="shared" si="434"/>
        <v>0</v>
      </c>
      <c r="BE369" s="100">
        <v>0</v>
      </c>
      <c r="BF369" s="100">
        <f>369</f>
        <v>369</v>
      </c>
      <c r="BH369" s="108">
        <f t="shared" si="435"/>
        <v>0</v>
      </c>
      <c r="BI369" s="108">
        <f t="shared" si="436"/>
        <v>0</v>
      </c>
      <c r="BJ369" s="108">
        <f t="shared" si="437"/>
        <v>0</v>
      </c>
    </row>
    <row r="370" spans="1:62" x14ac:dyDescent="0.2">
      <c r="A370" s="117" t="s">
        <v>327</v>
      </c>
      <c r="B370" s="117" t="s">
        <v>121</v>
      </c>
      <c r="C370" s="304" t="s">
        <v>1400</v>
      </c>
      <c r="D370" s="305"/>
      <c r="E370" s="305"/>
      <c r="F370" s="117" t="s">
        <v>1652</v>
      </c>
      <c r="G370" s="116">
        <v>1</v>
      </c>
      <c r="H370" s="159"/>
      <c r="I370" s="108">
        <f t="shared" si="414"/>
        <v>0</v>
      </c>
      <c r="J370" s="108">
        <f t="shared" si="415"/>
        <v>0</v>
      </c>
      <c r="K370" s="108">
        <f t="shared" si="416"/>
        <v>0</v>
      </c>
      <c r="L370" s="111"/>
      <c r="Z370" s="100">
        <f t="shared" si="417"/>
        <v>0</v>
      </c>
      <c r="AB370" s="100">
        <f t="shared" si="418"/>
        <v>0</v>
      </c>
      <c r="AC370" s="100">
        <f t="shared" si="419"/>
        <v>0</v>
      </c>
      <c r="AD370" s="100">
        <f t="shared" si="420"/>
        <v>0</v>
      </c>
      <c r="AE370" s="100">
        <f t="shared" si="421"/>
        <v>0</v>
      </c>
      <c r="AF370" s="100">
        <f t="shared" si="422"/>
        <v>0</v>
      </c>
      <c r="AG370" s="100">
        <f t="shared" si="423"/>
        <v>0</v>
      </c>
      <c r="AH370" s="100">
        <f t="shared" si="424"/>
        <v>0</v>
      </c>
      <c r="AI370" s="109"/>
      <c r="AJ370" s="108">
        <f t="shared" si="425"/>
        <v>0</v>
      </c>
      <c r="AK370" s="108">
        <f t="shared" si="426"/>
        <v>0</v>
      </c>
      <c r="AL370" s="108">
        <f t="shared" si="427"/>
        <v>0</v>
      </c>
      <c r="AN370" s="100">
        <v>15</v>
      </c>
      <c r="AO370" s="100">
        <f t="shared" si="428"/>
        <v>0</v>
      </c>
      <c r="AP370" s="100">
        <f t="shared" si="429"/>
        <v>0</v>
      </c>
      <c r="AQ370" s="111" t="s">
        <v>13</v>
      </c>
      <c r="AV370" s="100">
        <f t="shared" si="430"/>
        <v>0</v>
      </c>
      <c r="AW370" s="100">
        <f t="shared" si="431"/>
        <v>0</v>
      </c>
      <c r="AX370" s="100">
        <f t="shared" si="432"/>
        <v>0</v>
      </c>
      <c r="AY370" s="110" t="s">
        <v>1712</v>
      </c>
      <c r="AZ370" s="110" t="s">
        <v>1733</v>
      </c>
      <c r="BA370" s="109" t="s">
        <v>1737</v>
      </c>
      <c r="BC370" s="100">
        <f t="shared" si="433"/>
        <v>0</v>
      </c>
      <c r="BD370" s="100">
        <f t="shared" si="434"/>
        <v>0</v>
      </c>
      <c r="BE370" s="100">
        <v>0</v>
      </c>
      <c r="BF370" s="100">
        <f>370</f>
        <v>370</v>
      </c>
      <c r="BH370" s="108">
        <f t="shared" si="435"/>
        <v>0</v>
      </c>
      <c r="BI370" s="108">
        <f t="shared" si="436"/>
        <v>0</v>
      </c>
      <c r="BJ370" s="108">
        <f t="shared" si="437"/>
        <v>0</v>
      </c>
    </row>
    <row r="371" spans="1:62" x14ac:dyDescent="0.2">
      <c r="A371" s="117" t="s">
        <v>328</v>
      </c>
      <c r="B371" s="117" t="s">
        <v>122</v>
      </c>
      <c r="C371" s="304" t="s">
        <v>1401</v>
      </c>
      <c r="D371" s="305"/>
      <c r="E371" s="305"/>
      <c r="F371" s="117" t="s">
        <v>1652</v>
      </c>
      <c r="G371" s="116">
        <v>1</v>
      </c>
      <c r="H371" s="159"/>
      <c r="I371" s="108">
        <f t="shared" si="414"/>
        <v>0</v>
      </c>
      <c r="J371" s="108">
        <f t="shared" si="415"/>
        <v>0</v>
      </c>
      <c r="K371" s="108">
        <f t="shared" si="416"/>
        <v>0</v>
      </c>
      <c r="L371" s="111"/>
      <c r="Z371" s="100">
        <f t="shared" si="417"/>
        <v>0</v>
      </c>
      <c r="AB371" s="100">
        <f t="shared" si="418"/>
        <v>0</v>
      </c>
      <c r="AC371" s="100">
        <f t="shared" si="419"/>
        <v>0</v>
      </c>
      <c r="AD371" s="100">
        <f t="shared" si="420"/>
        <v>0</v>
      </c>
      <c r="AE371" s="100">
        <f t="shared" si="421"/>
        <v>0</v>
      </c>
      <c r="AF371" s="100">
        <f t="shared" si="422"/>
        <v>0</v>
      </c>
      <c r="AG371" s="100">
        <f t="shared" si="423"/>
        <v>0</v>
      </c>
      <c r="AH371" s="100">
        <f t="shared" si="424"/>
        <v>0</v>
      </c>
      <c r="AI371" s="109"/>
      <c r="AJ371" s="108">
        <f t="shared" si="425"/>
        <v>0</v>
      </c>
      <c r="AK371" s="108">
        <f t="shared" si="426"/>
        <v>0</v>
      </c>
      <c r="AL371" s="108">
        <f t="shared" si="427"/>
        <v>0</v>
      </c>
      <c r="AN371" s="100">
        <v>15</v>
      </c>
      <c r="AO371" s="100">
        <f t="shared" si="428"/>
        <v>0</v>
      </c>
      <c r="AP371" s="100">
        <f t="shared" si="429"/>
        <v>0</v>
      </c>
      <c r="AQ371" s="111" t="s">
        <v>13</v>
      </c>
      <c r="AV371" s="100">
        <f t="shared" si="430"/>
        <v>0</v>
      </c>
      <c r="AW371" s="100">
        <f t="shared" si="431"/>
        <v>0</v>
      </c>
      <c r="AX371" s="100">
        <f t="shared" si="432"/>
        <v>0</v>
      </c>
      <c r="AY371" s="110" t="s">
        <v>1712</v>
      </c>
      <c r="AZ371" s="110" t="s">
        <v>1733</v>
      </c>
      <c r="BA371" s="109" t="s">
        <v>1737</v>
      </c>
      <c r="BC371" s="100">
        <f t="shared" si="433"/>
        <v>0</v>
      </c>
      <c r="BD371" s="100">
        <f t="shared" si="434"/>
        <v>0</v>
      </c>
      <c r="BE371" s="100">
        <v>0</v>
      </c>
      <c r="BF371" s="100">
        <f>371</f>
        <v>371</v>
      </c>
      <c r="BH371" s="108">
        <f t="shared" si="435"/>
        <v>0</v>
      </c>
      <c r="BI371" s="108">
        <f t="shared" si="436"/>
        <v>0</v>
      </c>
      <c r="BJ371" s="108">
        <f t="shared" si="437"/>
        <v>0</v>
      </c>
    </row>
    <row r="372" spans="1:62" x14ac:dyDescent="0.2">
      <c r="A372" s="117" t="s">
        <v>329</v>
      </c>
      <c r="B372" s="117" t="s">
        <v>123</v>
      </c>
      <c r="C372" s="304" t="s">
        <v>1402</v>
      </c>
      <c r="D372" s="305"/>
      <c r="E372" s="305"/>
      <c r="F372" s="117" t="s">
        <v>1652</v>
      </c>
      <c r="G372" s="116">
        <v>1</v>
      </c>
      <c r="H372" s="159"/>
      <c r="I372" s="108">
        <f t="shared" si="414"/>
        <v>0</v>
      </c>
      <c r="J372" s="108">
        <f t="shared" si="415"/>
        <v>0</v>
      </c>
      <c r="K372" s="108">
        <f t="shared" si="416"/>
        <v>0</v>
      </c>
      <c r="L372" s="111"/>
      <c r="Z372" s="100">
        <f t="shared" si="417"/>
        <v>0</v>
      </c>
      <c r="AB372" s="100">
        <f t="shared" si="418"/>
        <v>0</v>
      </c>
      <c r="AC372" s="100">
        <f t="shared" si="419"/>
        <v>0</v>
      </c>
      <c r="AD372" s="100">
        <f t="shared" si="420"/>
        <v>0</v>
      </c>
      <c r="AE372" s="100">
        <f t="shared" si="421"/>
        <v>0</v>
      </c>
      <c r="AF372" s="100">
        <f t="shared" si="422"/>
        <v>0</v>
      </c>
      <c r="AG372" s="100">
        <f t="shared" si="423"/>
        <v>0</v>
      </c>
      <c r="AH372" s="100">
        <f t="shared" si="424"/>
        <v>0</v>
      </c>
      <c r="AI372" s="109"/>
      <c r="AJ372" s="108">
        <f t="shared" si="425"/>
        <v>0</v>
      </c>
      <c r="AK372" s="108">
        <f t="shared" si="426"/>
        <v>0</v>
      </c>
      <c r="AL372" s="108">
        <f t="shared" si="427"/>
        <v>0</v>
      </c>
      <c r="AN372" s="100">
        <v>15</v>
      </c>
      <c r="AO372" s="100">
        <f t="shared" si="428"/>
        <v>0</v>
      </c>
      <c r="AP372" s="100">
        <f t="shared" si="429"/>
        <v>0</v>
      </c>
      <c r="AQ372" s="111" t="s">
        <v>13</v>
      </c>
      <c r="AV372" s="100">
        <f t="shared" si="430"/>
        <v>0</v>
      </c>
      <c r="AW372" s="100">
        <f t="shared" si="431"/>
        <v>0</v>
      </c>
      <c r="AX372" s="100">
        <f t="shared" si="432"/>
        <v>0</v>
      </c>
      <c r="AY372" s="110" t="s">
        <v>1712</v>
      </c>
      <c r="AZ372" s="110" t="s">
        <v>1733</v>
      </c>
      <c r="BA372" s="109" t="s">
        <v>1737</v>
      </c>
      <c r="BC372" s="100">
        <f t="shared" si="433"/>
        <v>0</v>
      </c>
      <c r="BD372" s="100">
        <f t="shared" si="434"/>
        <v>0</v>
      </c>
      <c r="BE372" s="100">
        <v>0</v>
      </c>
      <c r="BF372" s="100">
        <f>372</f>
        <v>372</v>
      </c>
      <c r="BH372" s="108">
        <f t="shared" si="435"/>
        <v>0</v>
      </c>
      <c r="BI372" s="108">
        <f t="shared" si="436"/>
        <v>0</v>
      </c>
      <c r="BJ372" s="108">
        <f t="shared" si="437"/>
        <v>0</v>
      </c>
    </row>
    <row r="373" spans="1:62" x14ac:dyDescent="0.2">
      <c r="A373" s="117" t="s">
        <v>330</v>
      </c>
      <c r="B373" s="117" t="s">
        <v>124</v>
      </c>
      <c r="C373" s="304" t="s">
        <v>1403</v>
      </c>
      <c r="D373" s="305"/>
      <c r="E373" s="305"/>
      <c r="F373" s="117" t="s">
        <v>1652</v>
      </c>
      <c r="G373" s="116">
        <v>1</v>
      </c>
      <c r="H373" s="159"/>
      <c r="I373" s="108">
        <f t="shared" si="414"/>
        <v>0</v>
      </c>
      <c r="J373" s="108">
        <f t="shared" si="415"/>
        <v>0</v>
      </c>
      <c r="K373" s="108">
        <f t="shared" si="416"/>
        <v>0</v>
      </c>
      <c r="L373" s="111"/>
      <c r="Z373" s="100">
        <f t="shared" si="417"/>
        <v>0</v>
      </c>
      <c r="AB373" s="100">
        <f t="shared" si="418"/>
        <v>0</v>
      </c>
      <c r="AC373" s="100">
        <f t="shared" si="419"/>
        <v>0</v>
      </c>
      <c r="AD373" s="100">
        <f t="shared" si="420"/>
        <v>0</v>
      </c>
      <c r="AE373" s="100">
        <f t="shared" si="421"/>
        <v>0</v>
      </c>
      <c r="AF373" s="100">
        <f t="shared" si="422"/>
        <v>0</v>
      </c>
      <c r="AG373" s="100">
        <f t="shared" si="423"/>
        <v>0</v>
      </c>
      <c r="AH373" s="100">
        <f t="shared" si="424"/>
        <v>0</v>
      </c>
      <c r="AI373" s="109"/>
      <c r="AJ373" s="108">
        <f t="shared" si="425"/>
        <v>0</v>
      </c>
      <c r="AK373" s="108">
        <f t="shared" si="426"/>
        <v>0</v>
      </c>
      <c r="AL373" s="108">
        <f t="shared" si="427"/>
        <v>0</v>
      </c>
      <c r="AN373" s="100">
        <v>15</v>
      </c>
      <c r="AO373" s="100">
        <f t="shared" si="428"/>
        <v>0</v>
      </c>
      <c r="AP373" s="100">
        <f t="shared" si="429"/>
        <v>0</v>
      </c>
      <c r="AQ373" s="111" t="s">
        <v>13</v>
      </c>
      <c r="AV373" s="100">
        <f t="shared" si="430"/>
        <v>0</v>
      </c>
      <c r="AW373" s="100">
        <f t="shared" si="431"/>
        <v>0</v>
      </c>
      <c r="AX373" s="100">
        <f t="shared" si="432"/>
        <v>0</v>
      </c>
      <c r="AY373" s="110" t="s">
        <v>1712</v>
      </c>
      <c r="AZ373" s="110" t="s">
        <v>1733</v>
      </c>
      <c r="BA373" s="109" t="s">
        <v>1737</v>
      </c>
      <c r="BC373" s="100">
        <f t="shared" si="433"/>
        <v>0</v>
      </c>
      <c r="BD373" s="100">
        <f t="shared" si="434"/>
        <v>0</v>
      </c>
      <c r="BE373" s="100">
        <v>0</v>
      </c>
      <c r="BF373" s="100">
        <f>373</f>
        <v>373</v>
      </c>
      <c r="BH373" s="108">
        <f t="shared" si="435"/>
        <v>0</v>
      </c>
      <c r="BI373" s="108">
        <f t="shared" si="436"/>
        <v>0</v>
      </c>
      <c r="BJ373" s="108">
        <f t="shared" si="437"/>
        <v>0</v>
      </c>
    </row>
    <row r="374" spans="1:62" x14ac:dyDescent="0.2">
      <c r="A374" s="117" t="s">
        <v>331</v>
      </c>
      <c r="B374" s="117" t="s">
        <v>125</v>
      </c>
      <c r="C374" s="304" t="s">
        <v>1404</v>
      </c>
      <c r="D374" s="305"/>
      <c r="E374" s="305"/>
      <c r="F374" s="117" t="s">
        <v>1646</v>
      </c>
      <c r="G374" s="116">
        <v>450</v>
      </c>
      <c r="H374" s="159"/>
      <c r="I374" s="108">
        <f t="shared" si="414"/>
        <v>0</v>
      </c>
      <c r="J374" s="108">
        <f t="shared" si="415"/>
        <v>0</v>
      </c>
      <c r="K374" s="108">
        <f t="shared" si="416"/>
        <v>0</v>
      </c>
      <c r="L374" s="111"/>
      <c r="Z374" s="100">
        <f t="shared" si="417"/>
        <v>0</v>
      </c>
      <c r="AB374" s="100">
        <f t="shared" si="418"/>
        <v>0</v>
      </c>
      <c r="AC374" s="100">
        <f t="shared" si="419"/>
        <v>0</v>
      </c>
      <c r="AD374" s="100">
        <f t="shared" si="420"/>
        <v>0</v>
      </c>
      <c r="AE374" s="100">
        <f t="shared" si="421"/>
        <v>0</v>
      </c>
      <c r="AF374" s="100">
        <f t="shared" si="422"/>
        <v>0</v>
      </c>
      <c r="AG374" s="100">
        <f t="shared" si="423"/>
        <v>0</v>
      </c>
      <c r="AH374" s="100">
        <f t="shared" si="424"/>
        <v>0</v>
      </c>
      <c r="AI374" s="109"/>
      <c r="AJ374" s="108">
        <f t="shared" si="425"/>
        <v>0</v>
      </c>
      <c r="AK374" s="108">
        <f t="shared" si="426"/>
        <v>0</v>
      </c>
      <c r="AL374" s="108">
        <f t="shared" si="427"/>
        <v>0</v>
      </c>
      <c r="AN374" s="100">
        <v>15</v>
      </c>
      <c r="AO374" s="100">
        <f t="shared" si="428"/>
        <v>0</v>
      </c>
      <c r="AP374" s="100">
        <f t="shared" si="429"/>
        <v>0</v>
      </c>
      <c r="AQ374" s="111" t="s">
        <v>13</v>
      </c>
      <c r="AV374" s="100">
        <f t="shared" si="430"/>
        <v>0</v>
      </c>
      <c r="AW374" s="100">
        <f t="shared" si="431"/>
        <v>0</v>
      </c>
      <c r="AX374" s="100">
        <f t="shared" si="432"/>
        <v>0</v>
      </c>
      <c r="AY374" s="110" t="s">
        <v>1712</v>
      </c>
      <c r="AZ374" s="110" t="s">
        <v>1733</v>
      </c>
      <c r="BA374" s="109" t="s">
        <v>1737</v>
      </c>
      <c r="BC374" s="100">
        <f t="shared" si="433"/>
        <v>0</v>
      </c>
      <c r="BD374" s="100">
        <f t="shared" si="434"/>
        <v>0</v>
      </c>
      <c r="BE374" s="100">
        <v>0</v>
      </c>
      <c r="BF374" s="100">
        <f>374</f>
        <v>374</v>
      </c>
      <c r="BH374" s="108">
        <f t="shared" si="435"/>
        <v>0</v>
      </c>
      <c r="BI374" s="108">
        <f t="shared" si="436"/>
        <v>0</v>
      </c>
      <c r="BJ374" s="108">
        <f t="shared" si="437"/>
        <v>0</v>
      </c>
    </row>
    <row r="375" spans="1:62" x14ac:dyDescent="0.2">
      <c r="A375" s="117" t="s">
        <v>332</v>
      </c>
      <c r="B375" s="117" t="s">
        <v>823</v>
      </c>
      <c r="C375" s="304" t="s">
        <v>1405</v>
      </c>
      <c r="D375" s="305"/>
      <c r="E375" s="305"/>
      <c r="F375" s="117" t="s">
        <v>1646</v>
      </c>
      <c r="G375" s="116">
        <v>180</v>
      </c>
      <c r="H375" s="159"/>
      <c r="I375" s="108">
        <f t="shared" si="414"/>
        <v>0</v>
      </c>
      <c r="J375" s="108">
        <f t="shared" si="415"/>
        <v>0</v>
      </c>
      <c r="K375" s="108">
        <f t="shared" si="416"/>
        <v>0</v>
      </c>
      <c r="L375" s="111"/>
      <c r="Z375" s="100">
        <f t="shared" si="417"/>
        <v>0</v>
      </c>
      <c r="AB375" s="100">
        <f t="shared" si="418"/>
        <v>0</v>
      </c>
      <c r="AC375" s="100">
        <f t="shared" si="419"/>
        <v>0</v>
      </c>
      <c r="AD375" s="100">
        <f t="shared" si="420"/>
        <v>0</v>
      </c>
      <c r="AE375" s="100">
        <f t="shared" si="421"/>
        <v>0</v>
      </c>
      <c r="AF375" s="100">
        <f t="shared" si="422"/>
        <v>0</v>
      </c>
      <c r="AG375" s="100">
        <f t="shared" si="423"/>
        <v>0</v>
      </c>
      <c r="AH375" s="100">
        <f t="shared" si="424"/>
        <v>0</v>
      </c>
      <c r="AI375" s="109"/>
      <c r="AJ375" s="108">
        <f t="shared" si="425"/>
        <v>0</v>
      </c>
      <c r="AK375" s="108">
        <f t="shared" si="426"/>
        <v>0</v>
      </c>
      <c r="AL375" s="108">
        <f t="shared" si="427"/>
        <v>0</v>
      </c>
      <c r="AN375" s="100">
        <v>15</v>
      </c>
      <c r="AO375" s="100">
        <f t="shared" si="428"/>
        <v>0</v>
      </c>
      <c r="AP375" s="100">
        <f t="shared" si="429"/>
        <v>0</v>
      </c>
      <c r="AQ375" s="111" t="s">
        <v>13</v>
      </c>
      <c r="AV375" s="100">
        <f t="shared" si="430"/>
        <v>0</v>
      </c>
      <c r="AW375" s="100">
        <f t="shared" si="431"/>
        <v>0</v>
      </c>
      <c r="AX375" s="100">
        <f t="shared" si="432"/>
        <v>0</v>
      </c>
      <c r="AY375" s="110" t="s">
        <v>1712</v>
      </c>
      <c r="AZ375" s="110" t="s">
        <v>1733</v>
      </c>
      <c r="BA375" s="109" t="s">
        <v>1737</v>
      </c>
      <c r="BC375" s="100">
        <f t="shared" si="433"/>
        <v>0</v>
      </c>
      <c r="BD375" s="100">
        <f t="shared" si="434"/>
        <v>0</v>
      </c>
      <c r="BE375" s="100">
        <v>0</v>
      </c>
      <c r="BF375" s="100">
        <f>375</f>
        <v>375</v>
      </c>
      <c r="BH375" s="108">
        <f t="shared" si="435"/>
        <v>0</v>
      </c>
      <c r="BI375" s="108">
        <f t="shared" si="436"/>
        <v>0</v>
      </c>
      <c r="BJ375" s="108">
        <f t="shared" si="437"/>
        <v>0</v>
      </c>
    </row>
    <row r="376" spans="1:62" x14ac:dyDescent="0.2">
      <c r="A376" s="117" t="s">
        <v>333</v>
      </c>
      <c r="B376" s="117" t="s">
        <v>824</v>
      </c>
      <c r="C376" s="304" t="s">
        <v>1406</v>
      </c>
      <c r="D376" s="305"/>
      <c r="E376" s="305"/>
      <c r="F376" s="117" t="s">
        <v>1652</v>
      </c>
      <c r="G376" s="116">
        <v>3</v>
      </c>
      <c r="H376" s="159"/>
      <c r="I376" s="108">
        <f t="shared" si="414"/>
        <v>0</v>
      </c>
      <c r="J376" s="108">
        <f t="shared" si="415"/>
        <v>0</v>
      </c>
      <c r="K376" s="108">
        <f t="shared" si="416"/>
        <v>0</v>
      </c>
      <c r="L376" s="111"/>
      <c r="Z376" s="100">
        <f t="shared" si="417"/>
        <v>0</v>
      </c>
      <c r="AB376" s="100">
        <f t="shared" si="418"/>
        <v>0</v>
      </c>
      <c r="AC376" s="100">
        <f t="shared" si="419"/>
        <v>0</v>
      </c>
      <c r="AD376" s="100">
        <f t="shared" si="420"/>
        <v>0</v>
      </c>
      <c r="AE376" s="100">
        <f t="shared" si="421"/>
        <v>0</v>
      </c>
      <c r="AF376" s="100">
        <f t="shared" si="422"/>
        <v>0</v>
      </c>
      <c r="AG376" s="100">
        <f t="shared" si="423"/>
        <v>0</v>
      </c>
      <c r="AH376" s="100">
        <f t="shared" si="424"/>
        <v>0</v>
      </c>
      <c r="AI376" s="109"/>
      <c r="AJ376" s="108">
        <f t="shared" si="425"/>
        <v>0</v>
      </c>
      <c r="AK376" s="108">
        <f t="shared" si="426"/>
        <v>0</v>
      </c>
      <c r="AL376" s="108">
        <f t="shared" si="427"/>
        <v>0</v>
      </c>
      <c r="AN376" s="100">
        <v>15</v>
      </c>
      <c r="AO376" s="100">
        <f t="shared" si="428"/>
        <v>0</v>
      </c>
      <c r="AP376" s="100">
        <f t="shared" si="429"/>
        <v>0</v>
      </c>
      <c r="AQ376" s="111" t="s">
        <v>13</v>
      </c>
      <c r="AV376" s="100">
        <f t="shared" si="430"/>
        <v>0</v>
      </c>
      <c r="AW376" s="100">
        <f t="shared" si="431"/>
        <v>0</v>
      </c>
      <c r="AX376" s="100">
        <f t="shared" si="432"/>
        <v>0</v>
      </c>
      <c r="AY376" s="110" t="s">
        <v>1712</v>
      </c>
      <c r="AZ376" s="110" t="s">
        <v>1733</v>
      </c>
      <c r="BA376" s="109" t="s">
        <v>1737</v>
      </c>
      <c r="BC376" s="100">
        <f t="shared" si="433"/>
        <v>0</v>
      </c>
      <c r="BD376" s="100">
        <f t="shared" si="434"/>
        <v>0</v>
      </c>
      <c r="BE376" s="100">
        <v>0</v>
      </c>
      <c r="BF376" s="100">
        <f>376</f>
        <v>376</v>
      </c>
      <c r="BH376" s="108">
        <f t="shared" si="435"/>
        <v>0</v>
      </c>
      <c r="BI376" s="108">
        <f t="shared" si="436"/>
        <v>0</v>
      </c>
      <c r="BJ376" s="108">
        <f t="shared" si="437"/>
        <v>0</v>
      </c>
    </row>
    <row r="377" spans="1:62" x14ac:dyDescent="0.2">
      <c r="A377" s="117" t="s">
        <v>334</v>
      </c>
      <c r="B377" s="117" t="s">
        <v>825</v>
      </c>
      <c r="C377" s="304" t="s">
        <v>1407</v>
      </c>
      <c r="D377" s="305"/>
      <c r="E377" s="305"/>
      <c r="F377" s="117" t="s">
        <v>1644</v>
      </c>
      <c r="G377" s="116">
        <v>3</v>
      </c>
      <c r="H377" s="159"/>
      <c r="I377" s="108">
        <f t="shared" si="414"/>
        <v>0</v>
      </c>
      <c r="J377" s="108">
        <f t="shared" si="415"/>
        <v>0</v>
      </c>
      <c r="K377" s="108">
        <f t="shared" si="416"/>
        <v>0</v>
      </c>
      <c r="L377" s="111"/>
      <c r="Z377" s="100">
        <f t="shared" si="417"/>
        <v>0</v>
      </c>
      <c r="AB377" s="100">
        <f t="shared" si="418"/>
        <v>0</v>
      </c>
      <c r="AC377" s="100">
        <f t="shared" si="419"/>
        <v>0</v>
      </c>
      <c r="AD377" s="100">
        <f t="shared" si="420"/>
        <v>0</v>
      </c>
      <c r="AE377" s="100">
        <f t="shared" si="421"/>
        <v>0</v>
      </c>
      <c r="AF377" s="100">
        <f t="shared" si="422"/>
        <v>0</v>
      </c>
      <c r="AG377" s="100">
        <f t="shared" si="423"/>
        <v>0</v>
      </c>
      <c r="AH377" s="100">
        <f t="shared" si="424"/>
        <v>0</v>
      </c>
      <c r="AI377" s="109"/>
      <c r="AJ377" s="108">
        <f t="shared" si="425"/>
        <v>0</v>
      </c>
      <c r="AK377" s="108">
        <f t="shared" si="426"/>
        <v>0</v>
      </c>
      <c r="AL377" s="108">
        <f t="shared" si="427"/>
        <v>0</v>
      </c>
      <c r="AN377" s="100">
        <v>15</v>
      </c>
      <c r="AO377" s="100">
        <f t="shared" si="428"/>
        <v>0</v>
      </c>
      <c r="AP377" s="100">
        <f t="shared" si="429"/>
        <v>0</v>
      </c>
      <c r="AQ377" s="111" t="s">
        <v>13</v>
      </c>
      <c r="AV377" s="100">
        <f t="shared" si="430"/>
        <v>0</v>
      </c>
      <c r="AW377" s="100">
        <f t="shared" si="431"/>
        <v>0</v>
      </c>
      <c r="AX377" s="100">
        <f t="shared" si="432"/>
        <v>0</v>
      </c>
      <c r="AY377" s="110" t="s">
        <v>1712</v>
      </c>
      <c r="AZ377" s="110" t="s">
        <v>1733</v>
      </c>
      <c r="BA377" s="109" t="s">
        <v>1737</v>
      </c>
      <c r="BC377" s="100">
        <f t="shared" si="433"/>
        <v>0</v>
      </c>
      <c r="BD377" s="100">
        <f t="shared" si="434"/>
        <v>0</v>
      </c>
      <c r="BE377" s="100">
        <v>0</v>
      </c>
      <c r="BF377" s="100">
        <f>377</f>
        <v>377</v>
      </c>
      <c r="BH377" s="108">
        <f t="shared" si="435"/>
        <v>0</v>
      </c>
      <c r="BI377" s="108">
        <f t="shared" si="436"/>
        <v>0</v>
      </c>
      <c r="BJ377" s="108">
        <f t="shared" si="437"/>
        <v>0</v>
      </c>
    </row>
    <row r="378" spans="1:62" x14ac:dyDescent="0.2">
      <c r="A378" s="117" t="s">
        <v>335</v>
      </c>
      <c r="B378" s="117" t="s">
        <v>826</v>
      </c>
      <c r="C378" s="304" t="s">
        <v>1408</v>
      </c>
      <c r="D378" s="305"/>
      <c r="E378" s="305"/>
      <c r="F378" s="117" t="s">
        <v>1644</v>
      </c>
      <c r="G378" s="116">
        <v>3</v>
      </c>
      <c r="H378" s="159"/>
      <c r="I378" s="108">
        <f t="shared" si="414"/>
        <v>0</v>
      </c>
      <c r="J378" s="108">
        <f t="shared" si="415"/>
        <v>0</v>
      </c>
      <c r="K378" s="108">
        <f t="shared" si="416"/>
        <v>0</v>
      </c>
      <c r="L378" s="111"/>
      <c r="Z378" s="100">
        <f t="shared" si="417"/>
        <v>0</v>
      </c>
      <c r="AB378" s="100">
        <f t="shared" si="418"/>
        <v>0</v>
      </c>
      <c r="AC378" s="100">
        <f t="shared" si="419"/>
        <v>0</v>
      </c>
      <c r="AD378" s="100">
        <f t="shared" si="420"/>
        <v>0</v>
      </c>
      <c r="AE378" s="100">
        <f t="shared" si="421"/>
        <v>0</v>
      </c>
      <c r="AF378" s="100">
        <f t="shared" si="422"/>
        <v>0</v>
      </c>
      <c r="AG378" s="100">
        <f t="shared" si="423"/>
        <v>0</v>
      </c>
      <c r="AH378" s="100">
        <f t="shared" si="424"/>
        <v>0</v>
      </c>
      <c r="AI378" s="109"/>
      <c r="AJ378" s="108">
        <f t="shared" si="425"/>
        <v>0</v>
      </c>
      <c r="AK378" s="108">
        <f t="shared" si="426"/>
        <v>0</v>
      </c>
      <c r="AL378" s="108">
        <f t="shared" si="427"/>
        <v>0</v>
      </c>
      <c r="AN378" s="100">
        <v>15</v>
      </c>
      <c r="AO378" s="100">
        <f t="shared" si="428"/>
        <v>0</v>
      </c>
      <c r="AP378" s="100">
        <f t="shared" si="429"/>
        <v>0</v>
      </c>
      <c r="AQ378" s="111" t="s">
        <v>13</v>
      </c>
      <c r="AV378" s="100">
        <f t="shared" si="430"/>
        <v>0</v>
      </c>
      <c r="AW378" s="100">
        <f t="shared" si="431"/>
        <v>0</v>
      </c>
      <c r="AX378" s="100">
        <f t="shared" si="432"/>
        <v>0</v>
      </c>
      <c r="AY378" s="110" t="s">
        <v>1712</v>
      </c>
      <c r="AZ378" s="110" t="s">
        <v>1733</v>
      </c>
      <c r="BA378" s="109" t="s">
        <v>1737</v>
      </c>
      <c r="BC378" s="100">
        <f t="shared" si="433"/>
        <v>0</v>
      </c>
      <c r="BD378" s="100">
        <f t="shared" si="434"/>
        <v>0</v>
      </c>
      <c r="BE378" s="100">
        <v>0</v>
      </c>
      <c r="BF378" s="100">
        <f>378</f>
        <v>378</v>
      </c>
      <c r="BH378" s="108">
        <f t="shared" si="435"/>
        <v>0</v>
      </c>
      <c r="BI378" s="108">
        <f t="shared" si="436"/>
        <v>0</v>
      </c>
      <c r="BJ378" s="108">
        <f t="shared" si="437"/>
        <v>0</v>
      </c>
    </row>
    <row r="379" spans="1:62" x14ac:dyDescent="0.2">
      <c r="A379" s="117" t="s">
        <v>336</v>
      </c>
      <c r="B379" s="117" t="s">
        <v>827</v>
      </c>
      <c r="C379" s="304" t="s">
        <v>1409</v>
      </c>
      <c r="D379" s="305"/>
      <c r="E379" s="305"/>
      <c r="F379" s="117" t="s">
        <v>1644</v>
      </c>
      <c r="G379" s="116">
        <v>3</v>
      </c>
      <c r="H379" s="159"/>
      <c r="I379" s="108">
        <f t="shared" si="414"/>
        <v>0</v>
      </c>
      <c r="J379" s="108">
        <f t="shared" si="415"/>
        <v>0</v>
      </c>
      <c r="K379" s="108">
        <f t="shared" si="416"/>
        <v>0</v>
      </c>
      <c r="L379" s="111"/>
      <c r="Z379" s="100">
        <f t="shared" si="417"/>
        <v>0</v>
      </c>
      <c r="AB379" s="100">
        <f t="shared" si="418"/>
        <v>0</v>
      </c>
      <c r="AC379" s="100">
        <f t="shared" si="419"/>
        <v>0</v>
      </c>
      <c r="AD379" s="100">
        <f t="shared" si="420"/>
        <v>0</v>
      </c>
      <c r="AE379" s="100">
        <f t="shared" si="421"/>
        <v>0</v>
      </c>
      <c r="AF379" s="100">
        <f t="shared" si="422"/>
        <v>0</v>
      </c>
      <c r="AG379" s="100">
        <f t="shared" si="423"/>
        <v>0</v>
      </c>
      <c r="AH379" s="100">
        <f t="shared" si="424"/>
        <v>0</v>
      </c>
      <c r="AI379" s="109"/>
      <c r="AJ379" s="108">
        <f t="shared" si="425"/>
        <v>0</v>
      </c>
      <c r="AK379" s="108">
        <f t="shared" si="426"/>
        <v>0</v>
      </c>
      <c r="AL379" s="108">
        <f t="shared" si="427"/>
        <v>0</v>
      </c>
      <c r="AN379" s="100">
        <v>15</v>
      </c>
      <c r="AO379" s="100">
        <f t="shared" si="428"/>
        <v>0</v>
      </c>
      <c r="AP379" s="100">
        <f t="shared" si="429"/>
        <v>0</v>
      </c>
      <c r="AQ379" s="111" t="s">
        <v>13</v>
      </c>
      <c r="AV379" s="100">
        <f t="shared" si="430"/>
        <v>0</v>
      </c>
      <c r="AW379" s="100">
        <f t="shared" si="431"/>
        <v>0</v>
      </c>
      <c r="AX379" s="100">
        <f t="shared" si="432"/>
        <v>0</v>
      </c>
      <c r="AY379" s="110" t="s">
        <v>1712</v>
      </c>
      <c r="AZ379" s="110" t="s">
        <v>1733</v>
      </c>
      <c r="BA379" s="109" t="s">
        <v>1737</v>
      </c>
      <c r="BC379" s="100">
        <f t="shared" si="433"/>
        <v>0</v>
      </c>
      <c r="BD379" s="100">
        <f t="shared" si="434"/>
        <v>0</v>
      </c>
      <c r="BE379" s="100">
        <v>0</v>
      </c>
      <c r="BF379" s="100">
        <f>379</f>
        <v>379</v>
      </c>
      <c r="BH379" s="108">
        <f t="shared" si="435"/>
        <v>0</v>
      </c>
      <c r="BI379" s="108">
        <f t="shared" si="436"/>
        <v>0</v>
      </c>
      <c r="BJ379" s="108">
        <f t="shared" si="437"/>
        <v>0</v>
      </c>
    </row>
    <row r="380" spans="1:62" x14ac:dyDescent="0.2">
      <c r="A380" s="117" t="s">
        <v>337</v>
      </c>
      <c r="B380" s="117" t="s">
        <v>828</v>
      </c>
      <c r="C380" s="304" t="s">
        <v>1410</v>
      </c>
      <c r="D380" s="305"/>
      <c r="E380" s="305"/>
      <c r="F380" s="117" t="s">
        <v>1652</v>
      </c>
      <c r="G380" s="116">
        <v>3</v>
      </c>
      <c r="H380" s="159"/>
      <c r="I380" s="108">
        <f t="shared" si="414"/>
        <v>0</v>
      </c>
      <c r="J380" s="108">
        <f t="shared" si="415"/>
        <v>0</v>
      </c>
      <c r="K380" s="108">
        <f t="shared" si="416"/>
        <v>0</v>
      </c>
      <c r="L380" s="111"/>
      <c r="Z380" s="100">
        <f t="shared" si="417"/>
        <v>0</v>
      </c>
      <c r="AB380" s="100">
        <f t="shared" si="418"/>
        <v>0</v>
      </c>
      <c r="AC380" s="100">
        <f t="shared" si="419"/>
        <v>0</v>
      </c>
      <c r="AD380" s="100">
        <f t="shared" si="420"/>
        <v>0</v>
      </c>
      <c r="AE380" s="100">
        <f t="shared" si="421"/>
        <v>0</v>
      </c>
      <c r="AF380" s="100">
        <f t="shared" si="422"/>
        <v>0</v>
      </c>
      <c r="AG380" s="100">
        <f t="shared" si="423"/>
        <v>0</v>
      </c>
      <c r="AH380" s="100">
        <f t="shared" si="424"/>
        <v>0</v>
      </c>
      <c r="AI380" s="109"/>
      <c r="AJ380" s="108">
        <f t="shared" si="425"/>
        <v>0</v>
      </c>
      <c r="AK380" s="108">
        <f t="shared" si="426"/>
        <v>0</v>
      </c>
      <c r="AL380" s="108">
        <f t="shared" si="427"/>
        <v>0</v>
      </c>
      <c r="AN380" s="100">
        <v>15</v>
      </c>
      <c r="AO380" s="100">
        <f t="shared" si="428"/>
        <v>0</v>
      </c>
      <c r="AP380" s="100">
        <f t="shared" si="429"/>
        <v>0</v>
      </c>
      <c r="AQ380" s="111" t="s">
        <v>13</v>
      </c>
      <c r="AV380" s="100">
        <f t="shared" si="430"/>
        <v>0</v>
      </c>
      <c r="AW380" s="100">
        <f t="shared" si="431"/>
        <v>0</v>
      </c>
      <c r="AX380" s="100">
        <f t="shared" si="432"/>
        <v>0</v>
      </c>
      <c r="AY380" s="110" t="s">
        <v>1712</v>
      </c>
      <c r="AZ380" s="110" t="s">
        <v>1733</v>
      </c>
      <c r="BA380" s="109" t="s">
        <v>1737</v>
      </c>
      <c r="BC380" s="100">
        <f t="shared" si="433"/>
        <v>0</v>
      </c>
      <c r="BD380" s="100">
        <f t="shared" si="434"/>
        <v>0</v>
      </c>
      <c r="BE380" s="100">
        <v>0</v>
      </c>
      <c r="BF380" s="100">
        <f>380</f>
        <v>380</v>
      </c>
      <c r="BH380" s="108">
        <f t="shared" si="435"/>
        <v>0</v>
      </c>
      <c r="BI380" s="108">
        <f t="shared" si="436"/>
        <v>0</v>
      </c>
      <c r="BJ380" s="108">
        <f t="shared" si="437"/>
        <v>0</v>
      </c>
    </row>
    <row r="381" spans="1:62" x14ac:dyDescent="0.2">
      <c r="A381" s="117" t="s">
        <v>338</v>
      </c>
      <c r="B381" s="117" t="s">
        <v>829</v>
      </c>
      <c r="C381" s="304" t="s">
        <v>1411</v>
      </c>
      <c r="D381" s="305"/>
      <c r="E381" s="305"/>
      <c r="F381" s="117" t="s">
        <v>1652</v>
      </c>
      <c r="G381" s="116">
        <v>3</v>
      </c>
      <c r="H381" s="159"/>
      <c r="I381" s="108">
        <f t="shared" si="414"/>
        <v>0</v>
      </c>
      <c r="J381" s="108">
        <f t="shared" si="415"/>
        <v>0</v>
      </c>
      <c r="K381" s="108">
        <f t="shared" si="416"/>
        <v>0</v>
      </c>
      <c r="L381" s="111"/>
      <c r="Z381" s="100">
        <f t="shared" si="417"/>
        <v>0</v>
      </c>
      <c r="AB381" s="100">
        <f t="shared" si="418"/>
        <v>0</v>
      </c>
      <c r="AC381" s="100">
        <f t="shared" si="419"/>
        <v>0</v>
      </c>
      <c r="AD381" s="100">
        <f t="shared" si="420"/>
        <v>0</v>
      </c>
      <c r="AE381" s="100">
        <f t="shared" si="421"/>
        <v>0</v>
      </c>
      <c r="AF381" s="100">
        <f t="shared" si="422"/>
        <v>0</v>
      </c>
      <c r="AG381" s="100">
        <f t="shared" si="423"/>
        <v>0</v>
      </c>
      <c r="AH381" s="100">
        <f t="shared" si="424"/>
        <v>0</v>
      </c>
      <c r="AI381" s="109"/>
      <c r="AJ381" s="108">
        <f t="shared" si="425"/>
        <v>0</v>
      </c>
      <c r="AK381" s="108">
        <f t="shared" si="426"/>
        <v>0</v>
      </c>
      <c r="AL381" s="108">
        <f t="shared" si="427"/>
        <v>0</v>
      </c>
      <c r="AN381" s="100">
        <v>15</v>
      </c>
      <c r="AO381" s="100">
        <f t="shared" si="428"/>
        <v>0</v>
      </c>
      <c r="AP381" s="100">
        <f t="shared" si="429"/>
        <v>0</v>
      </c>
      <c r="AQ381" s="111" t="s">
        <v>13</v>
      </c>
      <c r="AV381" s="100">
        <f t="shared" si="430"/>
        <v>0</v>
      </c>
      <c r="AW381" s="100">
        <f t="shared" si="431"/>
        <v>0</v>
      </c>
      <c r="AX381" s="100">
        <f t="shared" si="432"/>
        <v>0</v>
      </c>
      <c r="AY381" s="110" t="s">
        <v>1712</v>
      </c>
      <c r="AZ381" s="110" t="s">
        <v>1733</v>
      </c>
      <c r="BA381" s="109" t="s">
        <v>1737</v>
      </c>
      <c r="BC381" s="100">
        <f t="shared" si="433"/>
        <v>0</v>
      </c>
      <c r="BD381" s="100">
        <f t="shared" si="434"/>
        <v>0</v>
      </c>
      <c r="BE381" s="100">
        <v>0</v>
      </c>
      <c r="BF381" s="100">
        <f>381</f>
        <v>381</v>
      </c>
      <c r="BH381" s="108">
        <f t="shared" si="435"/>
        <v>0</v>
      </c>
      <c r="BI381" s="108">
        <f t="shared" si="436"/>
        <v>0</v>
      </c>
      <c r="BJ381" s="108">
        <f t="shared" si="437"/>
        <v>0</v>
      </c>
    </row>
    <row r="382" spans="1:62" x14ac:dyDescent="0.2">
      <c r="A382" s="117" t="s">
        <v>339</v>
      </c>
      <c r="B382" s="117" t="s">
        <v>830</v>
      </c>
      <c r="C382" s="304" t="s">
        <v>1412</v>
      </c>
      <c r="D382" s="305"/>
      <c r="E382" s="305"/>
      <c r="F382" s="117" t="s">
        <v>1647</v>
      </c>
      <c r="G382" s="116">
        <v>7</v>
      </c>
      <c r="H382" s="159"/>
      <c r="I382" s="108">
        <f t="shared" si="414"/>
        <v>0</v>
      </c>
      <c r="J382" s="108">
        <f t="shared" si="415"/>
        <v>0</v>
      </c>
      <c r="K382" s="108">
        <f t="shared" si="416"/>
        <v>0</v>
      </c>
      <c r="L382" s="111"/>
      <c r="Z382" s="100">
        <f t="shared" si="417"/>
        <v>0</v>
      </c>
      <c r="AB382" s="100">
        <f t="shared" si="418"/>
        <v>0</v>
      </c>
      <c r="AC382" s="100">
        <f t="shared" si="419"/>
        <v>0</v>
      </c>
      <c r="AD382" s="100">
        <f t="shared" si="420"/>
        <v>0</v>
      </c>
      <c r="AE382" s="100">
        <f t="shared" si="421"/>
        <v>0</v>
      </c>
      <c r="AF382" s="100">
        <f t="shared" si="422"/>
        <v>0</v>
      </c>
      <c r="AG382" s="100">
        <f t="shared" si="423"/>
        <v>0</v>
      </c>
      <c r="AH382" s="100">
        <f t="shared" si="424"/>
        <v>0</v>
      </c>
      <c r="AI382" s="109"/>
      <c r="AJ382" s="108">
        <f t="shared" si="425"/>
        <v>0</v>
      </c>
      <c r="AK382" s="108">
        <f t="shared" si="426"/>
        <v>0</v>
      </c>
      <c r="AL382" s="108">
        <f t="shared" si="427"/>
        <v>0</v>
      </c>
      <c r="AN382" s="100">
        <v>15</v>
      </c>
      <c r="AO382" s="100">
        <f t="shared" si="428"/>
        <v>0</v>
      </c>
      <c r="AP382" s="100">
        <f t="shared" si="429"/>
        <v>0</v>
      </c>
      <c r="AQ382" s="111" t="s">
        <v>13</v>
      </c>
      <c r="AV382" s="100">
        <f t="shared" si="430"/>
        <v>0</v>
      </c>
      <c r="AW382" s="100">
        <f t="shared" si="431"/>
        <v>0</v>
      </c>
      <c r="AX382" s="100">
        <f t="shared" si="432"/>
        <v>0</v>
      </c>
      <c r="AY382" s="110" t="s">
        <v>1712</v>
      </c>
      <c r="AZ382" s="110" t="s">
        <v>1733</v>
      </c>
      <c r="BA382" s="109" t="s">
        <v>1737</v>
      </c>
      <c r="BC382" s="100">
        <f t="shared" si="433"/>
        <v>0</v>
      </c>
      <c r="BD382" s="100">
        <f t="shared" si="434"/>
        <v>0</v>
      </c>
      <c r="BE382" s="100">
        <v>0</v>
      </c>
      <c r="BF382" s="100">
        <f>382</f>
        <v>382</v>
      </c>
      <c r="BH382" s="108">
        <f t="shared" si="435"/>
        <v>0</v>
      </c>
      <c r="BI382" s="108">
        <f t="shared" si="436"/>
        <v>0</v>
      </c>
      <c r="BJ382" s="108">
        <f t="shared" si="437"/>
        <v>0</v>
      </c>
    </row>
    <row r="383" spans="1:62" x14ac:dyDescent="0.2">
      <c r="A383" s="117" t="s">
        <v>340</v>
      </c>
      <c r="B383" s="117" t="s">
        <v>831</v>
      </c>
      <c r="C383" s="304" t="s">
        <v>1413</v>
      </c>
      <c r="D383" s="305"/>
      <c r="E383" s="305"/>
      <c r="F383" s="117" t="s">
        <v>1652</v>
      </c>
      <c r="G383" s="116">
        <v>1</v>
      </c>
      <c r="H383" s="159"/>
      <c r="I383" s="108">
        <f t="shared" si="414"/>
        <v>0</v>
      </c>
      <c r="J383" s="108">
        <f t="shared" si="415"/>
        <v>0</v>
      </c>
      <c r="K383" s="108">
        <f t="shared" si="416"/>
        <v>0</v>
      </c>
      <c r="L383" s="111"/>
      <c r="Z383" s="100">
        <f t="shared" si="417"/>
        <v>0</v>
      </c>
      <c r="AB383" s="100">
        <f t="shared" si="418"/>
        <v>0</v>
      </c>
      <c r="AC383" s="100">
        <f t="shared" si="419"/>
        <v>0</v>
      </c>
      <c r="AD383" s="100">
        <f t="shared" si="420"/>
        <v>0</v>
      </c>
      <c r="AE383" s="100">
        <f t="shared" si="421"/>
        <v>0</v>
      </c>
      <c r="AF383" s="100">
        <f t="shared" si="422"/>
        <v>0</v>
      </c>
      <c r="AG383" s="100">
        <f t="shared" si="423"/>
        <v>0</v>
      </c>
      <c r="AH383" s="100">
        <f t="shared" si="424"/>
        <v>0</v>
      </c>
      <c r="AI383" s="109"/>
      <c r="AJ383" s="108">
        <f t="shared" si="425"/>
        <v>0</v>
      </c>
      <c r="AK383" s="108">
        <f t="shared" si="426"/>
        <v>0</v>
      </c>
      <c r="AL383" s="108">
        <f t="shared" si="427"/>
        <v>0</v>
      </c>
      <c r="AN383" s="100">
        <v>15</v>
      </c>
      <c r="AO383" s="100">
        <f t="shared" si="428"/>
        <v>0</v>
      </c>
      <c r="AP383" s="100">
        <f t="shared" si="429"/>
        <v>0</v>
      </c>
      <c r="AQ383" s="111" t="s">
        <v>13</v>
      </c>
      <c r="AV383" s="100">
        <f t="shared" si="430"/>
        <v>0</v>
      </c>
      <c r="AW383" s="100">
        <f t="shared" si="431"/>
        <v>0</v>
      </c>
      <c r="AX383" s="100">
        <f t="shared" si="432"/>
        <v>0</v>
      </c>
      <c r="AY383" s="110" t="s">
        <v>1712</v>
      </c>
      <c r="AZ383" s="110" t="s">
        <v>1733</v>
      </c>
      <c r="BA383" s="109" t="s">
        <v>1737</v>
      </c>
      <c r="BC383" s="100">
        <f t="shared" si="433"/>
        <v>0</v>
      </c>
      <c r="BD383" s="100">
        <f t="shared" si="434"/>
        <v>0</v>
      </c>
      <c r="BE383" s="100">
        <v>0</v>
      </c>
      <c r="BF383" s="100">
        <f>383</f>
        <v>383</v>
      </c>
      <c r="BH383" s="108">
        <f t="shared" si="435"/>
        <v>0</v>
      </c>
      <c r="BI383" s="108">
        <f t="shared" si="436"/>
        <v>0</v>
      </c>
      <c r="BJ383" s="108">
        <f t="shared" si="437"/>
        <v>0</v>
      </c>
    </row>
    <row r="384" spans="1:62" x14ac:dyDescent="0.2">
      <c r="A384" s="117" t="s">
        <v>341</v>
      </c>
      <c r="B384" s="117" t="s">
        <v>832</v>
      </c>
      <c r="C384" s="304" t="s">
        <v>1414</v>
      </c>
      <c r="D384" s="305"/>
      <c r="E384" s="305"/>
      <c r="F384" s="117" t="s">
        <v>1652</v>
      </c>
      <c r="G384" s="116">
        <v>1</v>
      </c>
      <c r="H384" s="159"/>
      <c r="I384" s="108">
        <f t="shared" si="414"/>
        <v>0</v>
      </c>
      <c r="J384" s="108">
        <f t="shared" si="415"/>
        <v>0</v>
      </c>
      <c r="K384" s="108">
        <f t="shared" si="416"/>
        <v>0</v>
      </c>
      <c r="L384" s="111"/>
      <c r="Z384" s="100">
        <f t="shared" si="417"/>
        <v>0</v>
      </c>
      <c r="AB384" s="100">
        <f t="shared" si="418"/>
        <v>0</v>
      </c>
      <c r="AC384" s="100">
        <f t="shared" si="419"/>
        <v>0</v>
      </c>
      <c r="AD384" s="100">
        <f t="shared" si="420"/>
        <v>0</v>
      </c>
      <c r="AE384" s="100">
        <f t="shared" si="421"/>
        <v>0</v>
      </c>
      <c r="AF384" s="100">
        <f t="shared" si="422"/>
        <v>0</v>
      </c>
      <c r="AG384" s="100">
        <f t="shared" si="423"/>
        <v>0</v>
      </c>
      <c r="AH384" s="100">
        <f t="shared" si="424"/>
        <v>0</v>
      </c>
      <c r="AI384" s="109"/>
      <c r="AJ384" s="108">
        <f t="shared" si="425"/>
        <v>0</v>
      </c>
      <c r="AK384" s="108">
        <f t="shared" si="426"/>
        <v>0</v>
      </c>
      <c r="AL384" s="108">
        <f t="shared" si="427"/>
        <v>0</v>
      </c>
      <c r="AN384" s="100">
        <v>15</v>
      </c>
      <c r="AO384" s="100">
        <f t="shared" si="428"/>
        <v>0</v>
      </c>
      <c r="AP384" s="100">
        <f t="shared" si="429"/>
        <v>0</v>
      </c>
      <c r="AQ384" s="111" t="s">
        <v>13</v>
      </c>
      <c r="AV384" s="100">
        <f t="shared" si="430"/>
        <v>0</v>
      </c>
      <c r="AW384" s="100">
        <f t="shared" si="431"/>
        <v>0</v>
      </c>
      <c r="AX384" s="100">
        <f t="shared" si="432"/>
        <v>0</v>
      </c>
      <c r="AY384" s="110" t="s">
        <v>1712</v>
      </c>
      <c r="AZ384" s="110" t="s">
        <v>1733</v>
      </c>
      <c r="BA384" s="109" t="s">
        <v>1737</v>
      </c>
      <c r="BC384" s="100">
        <f t="shared" si="433"/>
        <v>0</v>
      </c>
      <c r="BD384" s="100">
        <f t="shared" si="434"/>
        <v>0</v>
      </c>
      <c r="BE384" s="100">
        <v>0</v>
      </c>
      <c r="BF384" s="100">
        <f>384</f>
        <v>384</v>
      </c>
      <c r="BH384" s="108">
        <f t="shared" si="435"/>
        <v>0</v>
      </c>
      <c r="BI384" s="108">
        <f t="shared" si="436"/>
        <v>0</v>
      </c>
      <c r="BJ384" s="108">
        <f t="shared" si="437"/>
        <v>0</v>
      </c>
    </row>
    <row r="385" spans="1:62" x14ac:dyDescent="0.2">
      <c r="A385" s="117" t="s">
        <v>342</v>
      </c>
      <c r="B385" s="117" t="s">
        <v>833</v>
      </c>
      <c r="C385" s="304" t="s">
        <v>1415</v>
      </c>
      <c r="D385" s="305"/>
      <c r="E385" s="305"/>
      <c r="F385" s="117" t="s">
        <v>1652</v>
      </c>
      <c r="G385" s="116">
        <v>1</v>
      </c>
      <c r="H385" s="159"/>
      <c r="I385" s="108">
        <f t="shared" si="414"/>
        <v>0</v>
      </c>
      <c r="J385" s="108">
        <f t="shared" si="415"/>
        <v>0</v>
      </c>
      <c r="K385" s="108">
        <f t="shared" si="416"/>
        <v>0</v>
      </c>
      <c r="L385" s="111"/>
      <c r="Z385" s="100">
        <f t="shared" si="417"/>
        <v>0</v>
      </c>
      <c r="AB385" s="100">
        <f t="shared" si="418"/>
        <v>0</v>
      </c>
      <c r="AC385" s="100">
        <f t="shared" si="419"/>
        <v>0</v>
      </c>
      <c r="AD385" s="100">
        <f t="shared" si="420"/>
        <v>0</v>
      </c>
      <c r="AE385" s="100">
        <f t="shared" si="421"/>
        <v>0</v>
      </c>
      <c r="AF385" s="100">
        <f t="shared" si="422"/>
        <v>0</v>
      </c>
      <c r="AG385" s="100">
        <f t="shared" si="423"/>
        <v>0</v>
      </c>
      <c r="AH385" s="100">
        <f t="shared" si="424"/>
        <v>0</v>
      </c>
      <c r="AI385" s="109"/>
      <c r="AJ385" s="108">
        <f t="shared" si="425"/>
        <v>0</v>
      </c>
      <c r="AK385" s="108">
        <f t="shared" si="426"/>
        <v>0</v>
      </c>
      <c r="AL385" s="108">
        <f t="shared" si="427"/>
        <v>0</v>
      </c>
      <c r="AN385" s="100">
        <v>15</v>
      </c>
      <c r="AO385" s="100">
        <f t="shared" si="428"/>
        <v>0</v>
      </c>
      <c r="AP385" s="100">
        <f t="shared" si="429"/>
        <v>0</v>
      </c>
      <c r="AQ385" s="111" t="s">
        <v>13</v>
      </c>
      <c r="AV385" s="100">
        <f t="shared" si="430"/>
        <v>0</v>
      </c>
      <c r="AW385" s="100">
        <f t="shared" si="431"/>
        <v>0</v>
      </c>
      <c r="AX385" s="100">
        <f t="shared" si="432"/>
        <v>0</v>
      </c>
      <c r="AY385" s="110" t="s">
        <v>1712</v>
      </c>
      <c r="AZ385" s="110" t="s">
        <v>1733</v>
      </c>
      <c r="BA385" s="109" t="s">
        <v>1737</v>
      </c>
      <c r="BC385" s="100">
        <f t="shared" si="433"/>
        <v>0</v>
      </c>
      <c r="BD385" s="100">
        <f t="shared" si="434"/>
        <v>0</v>
      </c>
      <c r="BE385" s="100">
        <v>0</v>
      </c>
      <c r="BF385" s="100">
        <f>385</f>
        <v>385</v>
      </c>
      <c r="BH385" s="108">
        <f t="shared" si="435"/>
        <v>0</v>
      </c>
      <c r="BI385" s="108">
        <f t="shared" si="436"/>
        <v>0</v>
      </c>
      <c r="BJ385" s="108">
        <f t="shared" si="437"/>
        <v>0</v>
      </c>
    </row>
    <row r="386" spans="1:62" x14ac:dyDescent="0.2">
      <c r="A386" s="117" t="s">
        <v>343</v>
      </c>
      <c r="B386" s="117" t="s">
        <v>834</v>
      </c>
      <c r="C386" s="304" t="s">
        <v>1416</v>
      </c>
      <c r="D386" s="305"/>
      <c r="E386" s="305"/>
      <c r="F386" s="117" t="s">
        <v>1652</v>
      </c>
      <c r="G386" s="116">
        <v>6</v>
      </c>
      <c r="H386" s="159"/>
      <c r="I386" s="108">
        <f t="shared" si="414"/>
        <v>0</v>
      </c>
      <c r="J386" s="108">
        <f t="shared" si="415"/>
        <v>0</v>
      </c>
      <c r="K386" s="108">
        <f t="shared" si="416"/>
        <v>0</v>
      </c>
      <c r="L386" s="111"/>
      <c r="Z386" s="100">
        <f t="shared" si="417"/>
        <v>0</v>
      </c>
      <c r="AB386" s="100">
        <f t="shared" si="418"/>
        <v>0</v>
      </c>
      <c r="AC386" s="100">
        <f t="shared" si="419"/>
        <v>0</v>
      </c>
      <c r="AD386" s="100">
        <f t="shared" si="420"/>
        <v>0</v>
      </c>
      <c r="AE386" s="100">
        <f t="shared" si="421"/>
        <v>0</v>
      </c>
      <c r="AF386" s="100">
        <f t="shared" si="422"/>
        <v>0</v>
      </c>
      <c r="AG386" s="100">
        <f t="shared" si="423"/>
        <v>0</v>
      </c>
      <c r="AH386" s="100">
        <f t="shared" si="424"/>
        <v>0</v>
      </c>
      <c r="AI386" s="109"/>
      <c r="AJ386" s="108">
        <f t="shared" si="425"/>
        <v>0</v>
      </c>
      <c r="AK386" s="108">
        <f t="shared" si="426"/>
        <v>0</v>
      </c>
      <c r="AL386" s="108">
        <f t="shared" si="427"/>
        <v>0</v>
      </c>
      <c r="AN386" s="100">
        <v>15</v>
      </c>
      <c r="AO386" s="100">
        <f t="shared" si="428"/>
        <v>0</v>
      </c>
      <c r="AP386" s="100">
        <f t="shared" si="429"/>
        <v>0</v>
      </c>
      <c r="AQ386" s="111" t="s">
        <v>13</v>
      </c>
      <c r="AV386" s="100">
        <f t="shared" si="430"/>
        <v>0</v>
      </c>
      <c r="AW386" s="100">
        <f t="shared" si="431"/>
        <v>0</v>
      </c>
      <c r="AX386" s="100">
        <f t="shared" si="432"/>
        <v>0</v>
      </c>
      <c r="AY386" s="110" t="s">
        <v>1712</v>
      </c>
      <c r="AZ386" s="110" t="s">
        <v>1733</v>
      </c>
      <c r="BA386" s="109" t="s">
        <v>1737</v>
      </c>
      <c r="BC386" s="100">
        <f t="shared" si="433"/>
        <v>0</v>
      </c>
      <c r="BD386" s="100">
        <f t="shared" si="434"/>
        <v>0</v>
      </c>
      <c r="BE386" s="100">
        <v>0</v>
      </c>
      <c r="BF386" s="100">
        <f>386</f>
        <v>386</v>
      </c>
      <c r="BH386" s="108">
        <f t="shared" si="435"/>
        <v>0</v>
      </c>
      <c r="BI386" s="108">
        <f t="shared" si="436"/>
        <v>0</v>
      </c>
      <c r="BJ386" s="108">
        <f t="shared" si="437"/>
        <v>0</v>
      </c>
    </row>
    <row r="387" spans="1:62" x14ac:dyDescent="0.2">
      <c r="A387" s="117" t="s">
        <v>344</v>
      </c>
      <c r="B387" s="117" t="s">
        <v>835</v>
      </c>
      <c r="C387" s="304" t="s">
        <v>1417</v>
      </c>
      <c r="D387" s="305"/>
      <c r="E387" s="305"/>
      <c r="F387" s="117" t="s">
        <v>1653</v>
      </c>
      <c r="G387" s="116">
        <v>6</v>
      </c>
      <c r="H387" s="159"/>
      <c r="I387" s="108">
        <f t="shared" si="414"/>
        <v>0</v>
      </c>
      <c r="J387" s="108">
        <f t="shared" si="415"/>
        <v>0</v>
      </c>
      <c r="K387" s="108">
        <f t="shared" si="416"/>
        <v>0</v>
      </c>
      <c r="L387" s="111"/>
      <c r="Z387" s="100">
        <f t="shared" si="417"/>
        <v>0</v>
      </c>
      <c r="AB387" s="100">
        <f t="shared" si="418"/>
        <v>0</v>
      </c>
      <c r="AC387" s="100">
        <f t="shared" si="419"/>
        <v>0</v>
      </c>
      <c r="AD387" s="100">
        <f t="shared" si="420"/>
        <v>0</v>
      </c>
      <c r="AE387" s="100">
        <f t="shared" si="421"/>
        <v>0</v>
      </c>
      <c r="AF387" s="100">
        <f t="shared" si="422"/>
        <v>0</v>
      </c>
      <c r="AG387" s="100">
        <f t="shared" si="423"/>
        <v>0</v>
      </c>
      <c r="AH387" s="100">
        <f t="shared" si="424"/>
        <v>0</v>
      </c>
      <c r="AI387" s="109"/>
      <c r="AJ387" s="108">
        <f t="shared" si="425"/>
        <v>0</v>
      </c>
      <c r="AK387" s="108">
        <f t="shared" si="426"/>
        <v>0</v>
      </c>
      <c r="AL387" s="108">
        <f t="shared" si="427"/>
        <v>0</v>
      </c>
      <c r="AN387" s="100">
        <v>15</v>
      </c>
      <c r="AO387" s="100">
        <f t="shared" si="428"/>
        <v>0</v>
      </c>
      <c r="AP387" s="100">
        <f t="shared" si="429"/>
        <v>0</v>
      </c>
      <c r="AQ387" s="111" t="s">
        <v>13</v>
      </c>
      <c r="AV387" s="100">
        <f t="shared" si="430"/>
        <v>0</v>
      </c>
      <c r="AW387" s="100">
        <f t="shared" si="431"/>
        <v>0</v>
      </c>
      <c r="AX387" s="100">
        <f t="shared" si="432"/>
        <v>0</v>
      </c>
      <c r="AY387" s="110" t="s">
        <v>1712</v>
      </c>
      <c r="AZ387" s="110" t="s">
        <v>1733</v>
      </c>
      <c r="BA387" s="109" t="s">
        <v>1737</v>
      </c>
      <c r="BC387" s="100">
        <f t="shared" si="433"/>
        <v>0</v>
      </c>
      <c r="BD387" s="100">
        <f t="shared" si="434"/>
        <v>0</v>
      </c>
      <c r="BE387" s="100">
        <v>0</v>
      </c>
      <c r="BF387" s="100">
        <f>387</f>
        <v>387</v>
      </c>
      <c r="BH387" s="108">
        <f t="shared" si="435"/>
        <v>0</v>
      </c>
      <c r="BI387" s="108">
        <f t="shared" si="436"/>
        <v>0</v>
      </c>
      <c r="BJ387" s="108">
        <f t="shared" si="437"/>
        <v>0</v>
      </c>
    </row>
    <row r="388" spans="1:62" x14ac:dyDescent="0.2">
      <c r="A388" s="117" t="s">
        <v>345</v>
      </c>
      <c r="B388" s="117" t="s">
        <v>836</v>
      </c>
      <c r="C388" s="304" t="s">
        <v>1418</v>
      </c>
      <c r="D388" s="305"/>
      <c r="E388" s="305"/>
      <c r="F388" s="117" t="s">
        <v>1652</v>
      </c>
      <c r="G388" s="116">
        <v>1</v>
      </c>
      <c r="H388" s="159"/>
      <c r="I388" s="108">
        <f t="shared" si="414"/>
        <v>0</v>
      </c>
      <c r="J388" s="108">
        <f t="shared" si="415"/>
        <v>0</v>
      </c>
      <c r="K388" s="108">
        <f t="shared" si="416"/>
        <v>0</v>
      </c>
      <c r="L388" s="111"/>
      <c r="Z388" s="100">
        <f t="shared" si="417"/>
        <v>0</v>
      </c>
      <c r="AB388" s="100">
        <f t="shared" si="418"/>
        <v>0</v>
      </c>
      <c r="AC388" s="100">
        <f t="shared" si="419"/>
        <v>0</v>
      </c>
      <c r="AD388" s="100">
        <f t="shared" si="420"/>
        <v>0</v>
      </c>
      <c r="AE388" s="100">
        <f t="shared" si="421"/>
        <v>0</v>
      </c>
      <c r="AF388" s="100">
        <f t="shared" si="422"/>
        <v>0</v>
      </c>
      <c r="AG388" s="100">
        <f t="shared" si="423"/>
        <v>0</v>
      </c>
      <c r="AH388" s="100">
        <f t="shared" si="424"/>
        <v>0</v>
      </c>
      <c r="AI388" s="109"/>
      <c r="AJ388" s="108">
        <f t="shared" si="425"/>
        <v>0</v>
      </c>
      <c r="AK388" s="108">
        <f t="shared" si="426"/>
        <v>0</v>
      </c>
      <c r="AL388" s="108">
        <f t="shared" si="427"/>
        <v>0</v>
      </c>
      <c r="AN388" s="100">
        <v>15</v>
      </c>
      <c r="AO388" s="100">
        <f t="shared" si="428"/>
        <v>0</v>
      </c>
      <c r="AP388" s="100">
        <f t="shared" si="429"/>
        <v>0</v>
      </c>
      <c r="AQ388" s="111" t="s">
        <v>13</v>
      </c>
      <c r="AV388" s="100">
        <f t="shared" si="430"/>
        <v>0</v>
      </c>
      <c r="AW388" s="100">
        <f t="shared" si="431"/>
        <v>0</v>
      </c>
      <c r="AX388" s="100">
        <f t="shared" si="432"/>
        <v>0</v>
      </c>
      <c r="AY388" s="110" t="s">
        <v>1712</v>
      </c>
      <c r="AZ388" s="110" t="s">
        <v>1733</v>
      </c>
      <c r="BA388" s="109" t="s">
        <v>1737</v>
      </c>
      <c r="BC388" s="100">
        <f t="shared" si="433"/>
        <v>0</v>
      </c>
      <c r="BD388" s="100">
        <f t="shared" si="434"/>
        <v>0</v>
      </c>
      <c r="BE388" s="100">
        <v>0</v>
      </c>
      <c r="BF388" s="100">
        <f>388</f>
        <v>388</v>
      </c>
      <c r="BH388" s="108">
        <f t="shared" si="435"/>
        <v>0</v>
      </c>
      <c r="BI388" s="108">
        <f t="shared" si="436"/>
        <v>0</v>
      </c>
      <c r="BJ388" s="108">
        <f t="shared" si="437"/>
        <v>0</v>
      </c>
    </row>
    <row r="389" spans="1:62" x14ac:dyDescent="0.2">
      <c r="A389" s="117" t="s">
        <v>346</v>
      </c>
      <c r="B389" s="117" t="s">
        <v>837</v>
      </c>
      <c r="C389" s="304" t="s">
        <v>1419</v>
      </c>
      <c r="D389" s="305"/>
      <c r="E389" s="305"/>
      <c r="F389" s="117" t="s">
        <v>1652</v>
      </c>
      <c r="G389" s="116">
        <v>1</v>
      </c>
      <c r="H389" s="159"/>
      <c r="I389" s="108">
        <f t="shared" si="414"/>
        <v>0</v>
      </c>
      <c r="J389" s="108">
        <f t="shared" si="415"/>
        <v>0</v>
      </c>
      <c r="K389" s="108">
        <f t="shared" si="416"/>
        <v>0</v>
      </c>
      <c r="L389" s="111"/>
      <c r="Z389" s="100">
        <f t="shared" si="417"/>
        <v>0</v>
      </c>
      <c r="AB389" s="100">
        <f t="shared" si="418"/>
        <v>0</v>
      </c>
      <c r="AC389" s="100">
        <f t="shared" si="419"/>
        <v>0</v>
      </c>
      <c r="AD389" s="100">
        <f t="shared" si="420"/>
        <v>0</v>
      </c>
      <c r="AE389" s="100">
        <f t="shared" si="421"/>
        <v>0</v>
      </c>
      <c r="AF389" s="100">
        <f t="shared" si="422"/>
        <v>0</v>
      </c>
      <c r="AG389" s="100">
        <f t="shared" si="423"/>
        <v>0</v>
      </c>
      <c r="AH389" s="100">
        <f t="shared" si="424"/>
        <v>0</v>
      </c>
      <c r="AI389" s="109"/>
      <c r="AJ389" s="108">
        <f t="shared" si="425"/>
        <v>0</v>
      </c>
      <c r="AK389" s="108">
        <f t="shared" si="426"/>
        <v>0</v>
      </c>
      <c r="AL389" s="108">
        <f t="shared" si="427"/>
        <v>0</v>
      </c>
      <c r="AN389" s="100">
        <v>15</v>
      </c>
      <c r="AO389" s="100">
        <f t="shared" si="428"/>
        <v>0</v>
      </c>
      <c r="AP389" s="100">
        <f t="shared" si="429"/>
        <v>0</v>
      </c>
      <c r="AQ389" s="111" t="s">
        <v>13</v>
      </c>
      <c r="AV389" s="100">
        <f t="shared" si="430"/>
        <v>0</v>
      </c>
      <c r="AW389" s="100">
        <f t="shared" si="431"/>
        <v>0</v>
      </c>
      <c r="AX389" s="100">
        <f t="shared" si="432"/>
        <v>0</v>
      </c>
      <c r="AY389" s="110" t="s">
        <v>1712</v>
      </c>
      <c r="AZ389" s="110" t="s">
        <v>1733</v>
      </c>
      <c r="BA389" s="109" t="s">
        <v>1737</v>
      </c>
      <c r="BC389" s="100">
        <f t="shared" si="433"/>
        <v>0</v>
      </c>
      <c r="BD389" s="100">
        <f t="shared" si="434"/>
        <v>0</v>
      </c>
      <c r="BE389" s="100">
        <v>0</v>
      </c>
      <c r="BF389" s="100">
        <f>389</f>
        <v>389</v>
      </c>
      <c r="BH389" s="108">
        <f t="shared" si="435"/>
        <v>0</v>
      </c>
      <c r="BI389" s="108">
        <f t="shared" si="436"/>
        <v>0</v>
      </c>
      <c r="BJ389" s="108">
        <f t="shared" si="437"/>
        <v>0</v>
      </c>
    </row>
    <row r="390" spans="1:62" x14ac:dyDescent="0.2">
      <c r="A390" s="117" t="s">
        <v>347</v>
      </c>
      <c r="B390" s="117" t="s">
        <v>838</v>
      </c>
      <c r="C390" s="304" t="s">
        <v>1420</v>
      </c>
      <c r="D390" s="305"/>
      <c r="E390" s="305"/>
      <c r="F390" s="117" t="s">
        <v>1652</v>
      </c>
      <c r="G390" s="116">
        <v>1</v>
      </c>
      <c r="H390" s="159"/>
      <c r="I390" s="108">
        <f t="shared" si="414"/>
        <v>0</v>
      </c>
      <c r="J390" s="108">
        <f t="shared" si="415"/>
        <v>0</v>
      </c>
      <c r="K390" s="108">
        <f t="shared" si="416"/>
        <v>0</v>
      </c>
      <c r="L390" s="111"/>
      <c r="Z390" s="100">
        <f t="shared" si="417"/>
        <v>0</v>
      </c>
      <c r="AB390" s="100">
        <f t="shared" si="418"/>
        <v>0</v>
      </c>
      <c r="AC390" s="100">
        <f t="shared" si="419"/>
        <v>0</v>
      </c>
      <c r="AD390" s="100">
        <f t="shared" si="420"/>
        <v>0</v>
      </c>
      <c r="AE390" s="100">
        <f t="shared" si="421"/>
        <v>0</v>
      </c>
      <c r="AF390" s="100">
        <f t="shared" si="422"/>
        <v>0</v>
      </c>
      <c r="AG390" s="100">
        <f t="shared" si="423"/>
        <v>0</v>
      </c>
      <c r="AH390" s="100">
        <f t="shared" si="424"/>
        <v>0</v>
      </c>
      <c r="AI390" s="109"/>
      <c r="AJ390" s="108">
        <f t="shared" si="425"/>
        <v>0</v>
      </c>
      <c r="AK390" s="108">
        <f t="shared" si="426"/>
        <v>0</v>
      </c>
      <c r="AL390" s="108">
        <f t="shared" si="427"/>
        <v>0</v>
      </c>
      <c r="AN390" s="100">
        <v>15</v>
      </c>
      <c r="AO390" s="100">
        <f t="shared" si="428"/>
        <v>0</v>
      </c>
      <c r="AP390" s="100">
        <f t="shared" si="429"/>
        <v>0</v>
      </c>
      <c r="AQ390" s="111" t="s">
        <v>13</v>
      </c>
      <c r="AV390" s="100">
        <f t="shared" si="430"/>
        <v>0</v>
      </c>
      <c r="AW390" s="100">
        <f t="shared" si="431"/>
        <v>0</v>
      </c>
      <c r="AX390" s="100">
        <f t="shared" si="432"/>
        <v>0</v>
      </c>
      <c r="AY390" s="110" t="s">
        <v>1712</v>
      </c>
      <c r="AZ390" s="110" t="s">
        <v>1733</v>
      </c>
      <c r="BA390" s="109" t="s">
        <v>1737</v>
      </c>
      <c r="BC390" s="100">
        <f t="shared" si="433"/>
        <v>0</v>
      </c>
      <c r="BD390" s="100">
        <f t="shared" si="434"/>
        <v>0</v>
      </c>
      <c r="BE390" s="100">
        <v>0</v>
      </c>
      <c r="BF390" s="100">
        <f>390</f>
        <v>390</v>
      </c>
      <c r="BH390" s="108">
        <f t="shared" si="435"/>
        <v>0</v>
      </c>
      <c r="BI390" s="108">
        <f t="shared" si="436"/>
        <v>0</v>
      </c>
      <c r="BJ390" s="108">
        <f t="shared" si="437"/>
        <v>0</v>
      </c>
    </row>
    <row r="391" spans="1:62" x14ac:dyDescent="0.2">
      <c r="A391" s="117" t="s">
        <v>348</v>
      </c>
      <c r="B391" s="117" t="s">
        <v>839</v>
      </c>
      <c r="C391" s="304" t="s">
        <v>1421</v>
      </c>
      <c r="D391" s="305"/>
      <c r="E391" s="305"/>
      <c r="F391" s="117" t="s">
        <v>1652</v>
      </c>
      <c r="G391" s="116">
        <v>1</v>
      </c>
      <c r="H391" s="159"/>
      <c r="I391" s="108">
        <f t="shared" si="414"/>
        <v>0</v>
      </c>
      <c r="J391" s="108">
        <f t="shared" si="415"/>
        <v>0</v>
      </c>
      <c r="K391" s="108">
        <f t="shared" si="416"/>
        <v>0</v>
      </c>
      <c r="L391" s="111"/>
      <c r="Z391" s="100">
        <f t="shared" si="417"/>
        <v>0</v>
      </c>
      <c r="AB391" s="100">
        <f t="shared" si="418"/>
        <v>0</v>
      </c>
      <c r="AC391" s="100">
        <f t="shared" si="419"/>
        <v>0</v>
      </c>
      <c r="AD391" s="100">
        <f t="shared" si="420"/>
        <v>0</v>
      </c>
      <c r="AE391" s="100">
        <f t="shared" si="421"/>
        <v>0</v>
      </c>
      <c r="AF391" s="100">
        <f t="shared" si="422"/>
        <v>0</v>
      </c>
      <c r="AG391" s="100">
        <f t="shared" si="423"/>
        <v>0</v>
      </c>
      <c r="AH391" s="100">
        <f t="shared" si="424"/>
        <v>0</v>
      </c>
      <c r="AI391" s="109"/>
      <c r="AJ391" s="108">
        <f t="shared" si="425"/>
        <v>0</v>
      </c>
      <c r="AK391" s="108">
        <f t="shared" si="426"/>
        <v>0</v>
      </c>
      <c r="AL391" s="108">
        <f t="shared" si="427"/>
        <v>0</v>
      </c>
      <c r="AN391" s="100">
        <v>15</v>
      </c>
      <c r="AO391" s="100">
        <f t="shared" si="428"/>
        <v>0</v>
      </c>
      <c r="AP391" s="100">
        <f t="shared" si="429"/>
        <v>0</v>
      </c>
      <c r="AQ391" s="111" t="s">
        <v>13</v>
      </c>
      <c r="AV391" s="100">
        <f t="shared" si="430"/>
        <v>0</v>
      </c>
      <c r="AW391" s="100">
        <f t="shared" si="431"/>
        <v>0</v>
      </c>
      <c r="AX391" s="100">
        <f t="shared" si="432"/>
        <v>0</v>
      </c>
      <c r="AY391" s="110" t="s">
        <v>1712</v>
      </c>
      <c r="AZ391" s="110" t="s">
        <v>1733</v>
      </c>
      <c r="BA391" s="109" t="s">
        <v>1737</v>
      </c>
      <c r="BC391" s="100">
        <f t="shared" si="433"/>
        <v>0</v>
      </c>
      <c r="BD391" s="100">
        <f t="shared" si="434"/>
        <v>0</v>
      </c>
      <c r="BE391" s="100">
        <v>0</v>
      </c>
      <c r="BF391" s="100">
        <f>391</f>
        <v>391</v>
      </c>
      <c r="BH391" s="108">
        <f t="shared" si="435"/>
        <v>0</v>
      </c>
      <c r="BI391" s="108">
        <f t="shared" si="436"/>
        <v>0</v>
      </c>
      <c r="BJ391" s="108">
        <f t="shared" si="437"/>
        <v>0</v>
      </c>
    </row>
    <row r="392" spans="1:62" x14ac:dyDescent="0.2">
      <c r="A392" s="117" t="s">
        <v>349</v>
      </c>
      <c r="B392" s="117" t="s">
        <v>840</v>
      </c>
      <c r="C392" s="304" t="s">
        <v>1422</v>
      </c>
      <c r="D392" s="305"/>
      <c r="E392" s="305"/>
      <c r="F392" s="117" t="s">
        <v>1652</v>
      </c>
      <c r="G392" s="116">
        <v>1</v>
      </c>
      <c r="H392" s="159"/>
      <c r="I392" s="108">
        <f t="shared" si="414"/>
        <v>0</v>
      </c>
      <c r="J392" s="108">
        <f t="shared" si="415"/>
        <v>0</v>
      </c>
      <c r="K392" s="108">
        <f t="shared" si="416"/>
        <v>0</v>
      </c>
      <c r="L392" s="111"/>
      <c r="Z392" s="100">
        <f t="shared" si="417"/>
        <v>0</v>
      </c>
      <c r="AB392" s="100">
        <f t="shared" si="418"/>
        <v>0</v>
      </c>
      <c r="AC392" s="100">
        <f t="shared" si="419"/>
        <v>0</v>
      </c>
      <c r="AD392" s="100">
        <f t="shared" si="420"/>
        <v>0</v>
      </c>
      <c r="AE392" s="100">
        <f t="shared" si="421"/>
        <v>0</v>
      </c>
      <c r="AF392" s="100">
        <f t="shared" si="422"/>
        <v>0</v>
      </c>
      <c r="AG392" s="100">
        <f t="shared" si="423"/>
        <v>0</v>
      </c>
      <c r="AH392" s="100">
        <f t="shared" si="424"/>
        <v>0</v>
      </c>
      <c r="AI392" s="109"/>
      <c r="AJ392" s="108">
        <f t="shared" si="425"/>
        <v>0</v>
      </c>
      <c r="AK392" s="108">
        <f t="shared" si="426"/>
        <v>0</v>
      </c>
      <c r="AL392" s="108">
        <f t="shared" si="427"/>
        <v>0</v>
      </c>
      <c r="AN392" s="100">
        <v>15</v>
      </c>
      <c r="AO392" s="100">
        <f t="shared" si="428"/>
        <v>0</v>
      </c>
      <c r="AP392" s="100">
        <f t="shared" si="429"/>
        <v>0</v>
      </c>
      <c r="AQ392" s="111" t="s">
        <v>13</v>
      </c>
      <c r="AV392" s="100">
        <f t="shared" si="430"/>
        <v>0</v>
      </c>
      <c r="AW392" s="100">
        <f t="shared" si="431"/>
        <v>0</v>
      </c>
      <c r="AX392" s="100">
        <f t="shared" si="432"/>
        <v>0</v>
      </c>
      <c r="AY392" s="110" t="s">
        <v>1712</v>
      </c>
      <c r="AZ392" s="110" t="s">
        <v>1733</v>
      </c>
      <c r="BA392" s="109" t="s">
        <v>1737</v>
      </c>
      <c r="BC392" s="100">
        <f t="shared" si="433"/>
        <v>0</v>
      </c>
      <c r="BD392" s="100">
        <f t="shared" si="434"/>
        <v>0</v>
      </c>
      <c r="BE392" s="100">
        <v>0</v>
      </c>
      <c r="BF392" s="100">
        <f>392</f>
        <v>392</v>
      </c>
      <c r="BH392" s="108">
        <f t="shared" si="435"/>
        <v>0</v>
      </c>
      <c r="BI392" s="108">
        <f t="shared" si="436"/>
        <v>0</v>
      </c>
      <c r="BJ392" s="108">
        <f t="shared" si="437"/>
        <v>0</v>
      </c>
    </row>
    <row r="393" spans="1:62" x14ac:dyDescent="0.2">
      <c r="A393" s="117" t="s">
        <v>350</v>
      </c>
      <c r="B393" s="117" t="s">
        <v>841</v>
      </c>
      <c r="C393" s="304" t="s">
        <v>1423</v>
      </c>
      <c r="D393" s="305"/>
      <c r="E393" s="305"/>
      <c r="F393" s="117" t="s">
        <v>1652</v>
      </c>
      <c r="G393" s="116">
        <v>1</v>
      </c>
      <c r="H393" s="159"/>
      <c r="I393" s="108">
        <f t="shared" si="414"/>
        <v>0</v>
      </c>
      <c r="J393" s="108">
        <f t="shared" si="415"/>
        <v>0</v>
      </c>
      <c r="K393" s="108">
        <f t="shared" si="416"/>
        <v>0</v>
      </c>
      <c r="L393" s="111"/>
      <c r="Z393" s="100">
        <f t="shared" si="417"/>
        <v>0</v>
      </c>
      <c r="AB393" s="100">
        <f t="shared" si="418"/>
        <v>0</v>
      </c>
      <c r="AC393" s="100">
        <f t="shared" si="419"/>
        <v>0</v>
      </c>
      <c r="AD393" s="100">
        <f t="shared" si="420"/>
        <v>0</v>
      </c>
      <c r="AE393" s="100">
        <f t="shared" si="421"/>
        <v>0</v>
      </c>
      <c r="AF393" s="100">
        <f t="shared" si="422"/>
        <v>0</v>
      </c>
      <c r="AG393" s="100">
        <f t="shared" si="423"/>
        <v>0</v>
      </c>
      <c r="AH393" s="100">
        <f t="shared" si="424"/>
        <v>0</v>
      </c>
      <c r="AI393" s="109"/>
      <c r="AJ393" s="108">
        <f t="shared" si="425"/>
        <v>0</v>
      </c>
      <c r="AK393" s="108">
        <f t="shared" si="426"/>
        <v>0</v>
      </c>
      <c r="AL393" s="108">
        <f t="shared" si="427"/>
        <v>0</v>
      </c>
      <c r="AN393" s="100">
        <v>15</v>
      </c>
      <c r="AO393" s="100">
        <f t="shared" si="428"/>
        <v>0</v>
      </c>
      <c r="AP393" s="100">
        <f t="shared" si="429"/>
        <v>0</v>
      </c>
      <c r="AQ393" s="111" t="s">
        <v>13</v>
      </c>
      <c r="AV393" s="100">
        <f t="shared" si="430"/>
        <v>0</v>
      </c>
      <c r="AW393" s="100">
        <f t="shared" si="431"/>
        <v>0</v>
      </c>
      <c r="AX393" s="100">
        <f t="shared" si="432"/>
        <v>0</v>
      </c>
      <c r="AY393" s="110" t="s">
        <v>1712</v>
      </c>
      <c r="AZ393" s="110" t="s">
        <v>1733</v>
      </c>
      <c r="BA393" s="109" t="s">
        <v>1737</v>
      </c>
      <c r="BC393" s="100">
        <f t="shared" si="433"/>
        <v>0</v>
      </c>
      <c r="BD393" s="100">
        <f t="shared" si="434"/>
        <v>0</v>
      </c>
      <c r="BE393" s="100">
        <v>0</v>
      </c>
      <c r="BF393" s="100">
        <f>393</f>
        <v>393</v>
      </c>
      <c r="BH393" s="108">
        <f t="shared" si="435"/>
        <v>0</v>
      </c>
      <c r="BI393" s="108">
        <f t="shared" si="436"/>
        <v>0</v>
      </c>
      <c r="BJ393" s="108">
        <f t="shared" si="437"/>
        <v>0</v>
      </c>
    </row>
    <row r="394" spans="1:62" x14ac:dyDescent="0.2">
      <c r="A394" s="119"/>
      <c r="B394" s="120" t="s">
        <v>842</v>
      </c>
      <c r="C394" s="306" t="s">
        <v>1424</v>
      </c>
      <c r="D394" s="307"/>
      <c r="E394" s="307"/>
      <c r="F394" s="119" t="s">
        <v>6</v>
      </c>
      <c r="G394" s="119" t="s">
        <v>6</v>
      </c>
      <c r="H394" s="119" t="s">
        <v>6</v>
      </c>
      <c r="I394" s="118">
        <f>SUM(I395:I430)</f>
        <v>0</v>
      </c>
      <c r="J394" s="118">
        <f>SUM(J395:J430)</f>
        <v>0</v>
      </c>
      <c r="K394" s="118">
        <f>SUM(K395:K430)</f>
        <v>0</v>
      </c>
      <c r="L394" s="109"/>
      <c r="AI394" s="109"/>
      <c r="AS394" s="118">
        <f>SUM(AJ395:AJ430)</f>
        <v>0</v>
      </c>
      <c r="AT394" s="118">
        <f>SUM(AK395:AK430)</f>
        <v>0</v>
      </c>
      <c r="AU394" s="118">
        <f>SUM(AL395:AL430)</f>
        <v>0</v>
      </c>
    </row>
    <row r="395" spans="1:62" x14ac:dyDescent="0.2">
      <c r="A395" s="117" t="s">
        <v>351</v>
      </c>
      <c r="B395" s="117" t="s">
        <v>127</v>
      </c>
      <c r="C395" s="304" t="s">
        <v>1425</v>
      </c>
      <c r="D395" s="305"/>
      <c r="E395" s="305"/>
      <c r="F395" s="117" t="s">
        <v>1644</v>
      </c>
      <c r="G395" s="116">
        <v>6</v>
      </c>
      <c r="H395" s="159"/>
      <c r="I395" s="108">
        <f t="shared" ref="I395:I430" si="438">G395*AO395</f>
        <v>0</v>
      </c>
      <c r="J395" s="108">
        <f t="shared" ref="J395:J430" si="439">G395*AP395</f>
        <v>0</v>
      </c>
      <c r="K395" s="108">
        <f t="shared" ref="K395:K430" si="440">G395*H395</f>
        <v>0</v>
      </c>
      <c r="L395" s="111"/>
      <c r="Z395" s="100">
        <f t="shared" ref="Z395:Z430" si="441">IF(AQ395="5",BJ395,0)</f>
        <v>0</v>
      </c>
      <c r="AB395" s="100">
        <f t="shared" ref="AB395:AB430" si="442">IF(AQ395="1",BH395,0)</f>
        <v>0</v>
      </c>
      <c r="AC395" s="100">
        <f t="shared" ref="AC395:AC430" si="443">IF(AQ395="1",BI395,0)</f>
        <v>0</v>
      </c>
      <c r="AD395" s="100">
        <f t="shared" ref="AD395:AD430" si="444">IF(AQ395="7",BH395,0)</f>
        <v>0</v>
      </c>
      <c r="AE395" s="100">
        <f t="shared" ref="AE395:AE430" si="445">IF(AQ395="7",BI395,0)</f>
        <v>0</v>
      </c>
      <c r="AF395" s="100">
        <f t="shared" ref="AF395:AF430" si="446">IF(AQ395="2",BH395,0)</f>
        <v>0</v>
      </c>
      <c r="AG395" s="100">
        <f t="shared" ref="AG395:AG430" si="447">IF(AQ395="2",BI395,0)</f>
        <v>0</v>
      </c>
      <c r="AH395" s="100">
        <f t="shared" ref="AH395:AH430" si="448">IF(AQ395="0",BJ395,0)</f>
        <v>0</v>
      </c>
      <c r="AI395" s="109"/>
      <c r="AJ395" s="108">
        <f t="shared" ref="AJ395:AJ430" si="449">IF(AN395=0,K395,0)</f>
        <v>0</v>
      </c>
      <c r="AK395" s="108">
        <f t="shared" ref="AK395:AK430" si="450">IF(AN395=15,K395,0)</f>
        <v>0</v>
      </c>
      <c r="AL395" s="108">
        <f t="shared" ref="AL395:AL430" si="451">IF(AN395=21,K395,0)</f>
        <v>0</v>
      </c>
      <c r="AN395" s="100">
        <v>15</v>
      </c>
      <c r="AO395" s="100">
        <f t="shared" ref="AO395:AO430" si="452">H395*0</f>
        <v>0</v>
      </c>
      <c r="AP395" s="100">
        <f t="shared" ref="AP395:AP430" si="453">H395*(1-0)</f>
        <v>0</v>
      </c>
      <c r="AQ395" s="111" t="s">
        <v>13</v>
      </c>
      <c r="AV395" s="100">
        <f t="shared" ref="AV395:AV430" si="454">AW395+AX395</f>
        <v>0</v>
      </c>
      <c r="AW395" s="100">
        <f t="shared" ref="AW395:AW430" si="455">G395*AO395</f>
        <v>0</v>
      </c>
      <c r="AX395" s="100">
        <f t="shared" ref="AX395:AX430" si="456">G395*AP395</f>
        <v>0</v>
      </c>
      <c r="AY395" s="110" t="s">
        <v>1713</v>
      </c>
      <c r="AZ395" s="110" t="s">
        <v>1733</v>
      </c>
      <c r="BA395" s="109" t="s">
        <v>1737</v>
      </c>
      <c r="BC395" s="100">
        <f t="shared" ref="BC395:BC430" si="457">AW395+AX395</f>
        <v>0</v>
      </c>
      <c r="BD395" s="100">
        <f t="shared" ref="BD395:BD430" si="458">H395/(100-BE395)*100</f>
        <v>0</v>
      </c>
      <c r="BE395" s="100">
        <v>0</v>
      </c>
      <c r="BF395" s="100">
        <f>395</f>
        <v>395</v>
      </c>
      <c r="BH395" s="108">
        <f t="shared" ref="BH395:BH430" si="459">G395*AO395</f>
        <v>0</v>
      </c>
      <c r="BI395" s="108">
        <f t="shared" ref="BI395:BI430" si="460">G395*AP395</f>
        <v>0</v>
      </c>
      <c r="BJ395" s="108">
        <f t="shared" ref="BJ395:BJ430" si="461">G395*H395</f>
        <v>0</v>
      </c>
    </row>
    <row r="396" spans="1:62" x14ac:dyDescent="0.2">
      <c r="A396" s="117" t="s">
        <v>352</v>
      </c>
      <c r="B396" s="117" t="s">
        <v>128</v>
      </c>
      <c r="C396" s="304" t="s">
        <v>1426</v>
      </c>
      <c r="D396" s="305"/>
      <c r="E396" s="305"/>
      <c r="F396" s="117" t="s">
        <v>1646</v>
      </c>
      <c r="G396" s="116">
        <v>80</v>
      </c>
      <c r="H396" s="159"/>
      <c r="I396" s="108">
        <f t="shared" si="438"/>
        <v>0</v>
      </c>
      <c r="J396" s="108">
        <f t="shared" si="439"/>
        <v>0</v>
      </c>
      <c r="K396" s="108">
        <f t="shared" si="440"/>
        <v>0</v>
      </c>
      <c r="L396" s="111"/>
      <c r="Z396" s="100">
        <f t="shared" si="441"/>
        <v>0</v>
      </c>
      <c r="AB396" s="100">
        <f t="shared" si="442"/>
        <v>0</v>
      </c>
      <c r="AC396" s="100">
        <f t="shared" si="443"/>
        <v>0</v>
      </c>
      <c r="AD396" s="100">
        <f t="shared" si="444"/>
        <v>0</v>
      </c>
      <c r="AE396" s="100">
        <f t="shared" si="445"/>
        <v>0</v>
      </c>
      <c r="AF396" s="100">
        <f t="shared" si="446"/>
        <v>0</v>
      </c>
      <c r="AG396" s="100">
        <f t="shared" si="447"/>
        <v>0</v>
      </c>
      <c r="AH396" s="100">
        <f t="shared" si="448"/>
        <v>0</v>
      </c>
      <c r="AI396" s="109"/>
      <c r="AJ396" s="108">
        <f t="shared" si="449"/>
        <v>0</v>
      </c>
      <c r="AK396" s="108">
        <f t="shared" si="450"/>
        <v>0</v>
      </c>
      <c r="AL396" s="108">
        <f t="shared" si="451"/>
        <v>0</v>
      </c>
      <c r="AN396" s="100">
        <v>15</v>
      </c>
      <c r="AO396" s="100">
        <f t="shared" si="452"/>
        <v>0</v>
      </c>
      <c r="AP396" s="100">
        <f t="shared" si="453"/>
        <v>0</v>
      </c>
      <c r="AQ396" s="111" t="s">
        <v>13</v>
      </c>
      <c r="AV396" s="100">
        <f t="shared" si="454"/>
        <v>0</v>
      </c>
      <c r="AW396" s="100">
        <f t="shared" si="455"/>
        <v>0</v>
      </c>
      <c r="AX396" s="100">
        <f t="shared" si="456"/>
        <v>0</v>
      </c>
      <c r="AY396" s="110" t="s">
        <v>1713</v>
      </c>
      <c r="AZ396" s="110" t="s">
        <v>1733</v>
      </c>
      <c r="BA396" s="109" t="s">
        <v>1737</v>
      </c>
      <c r="BC396" s="100">
        <f t="shared" si="457"/>
        <v>0</v>
      </c>
      <c r="BD396" s="100">
        <f t="shared" si="458"/>
        <v>0</v>
      </c>
      <c r="BE396" s="100">
        <v>0</v>
      </c>
      <c r="BF396" s="100">
        <f>396</f>
        <v>396</v>
      </c>
      <c r="BH396" s="108">
        <f t="shared" si="459"/>
        <v>0</v>
      </c>
      <c r="BI396" s="108">
        <f t="shared" si="460"/>
        <v>0</v>
      </c>
      <c r="BJ396" s="108">
        <f t="shared" si="461"/>
        <v>0</v>
      </c>
    </row>
    <row r="397" spans="1:62" x14ac:dyDescent="0.2">
      <c r="A397" s="117" t="s">
        <v>353</v>
      </c>
      <c r="B397" s="117" t="s">
        <v>129</v>
      </c>
      <c r="C397" s="304" t="s">
        <v>1427</v>
      </c>
      <c r="D397" s="305"/>
      <c r="E397" s="305"/>
      <c r="F397" s="117" t="s">
        <v>1644</v>
      </c>
      <c r="G397" s="116">
        <v>6</v>
      </c>
      <c r="H397" s="159"/>
      <c r="I397" s="108">
        <f t="shared" si="438"/>
        <v>0</v>
      </c>
      <c r="J397" s="108">
        <f t="shared" si="439"/>
        <v>0</v>
      </c>
      <c r="K397" s="108">
        <f t="shared" si="440"/>
        <v>0</v>
      </c>
      <c r="L397" s="111"/>
      <c r="Z397" s="100">
        <f t="shared" si="441"/>
        <v>0</v>
      </c>
      <c r="AB397" s="100">
        <f t="shared" si="442"/>
        <v>0</v>
      </c>
      <c r="AC397" s="100">
        <f t="shared" si="443"/>
        <v>0</v>
      </c>
      <c r="AD397" s="100">
        <f t="shared" si="444"/>
        <v>0</v>
      </c>
      <c r="AE397" s="100">
        <f t="shared" si="445"/>
        <v>0</v>
      </c>
      <c r="AF397" s="100">
        <f t="shared" si="446"/>
        <v>0</v>
      </c>
      <c r="AG397" s="100">
        <f t="shared" si="447"/>
        <v>0</v>
      </c>
      <c r="AH397" s="100">
        <f t="shared" si="448"/>
        <v>0</v>
      </c>
      <c r="AI397" s="109"/>
      <c r="AJ397" s="108">
        <f t="shared" si="449"/>
        <v>0</v>
      </c>
      <c r="AK397" s="108">
        <f t="shared" si="450"/>
        <v>0</v>
      </c>
      <c r="AL397" s="108">
        <f t="shared" si="451"/>
        <v>0</v>
      </c>
      <c r="AN397" s="100">
        <v>15</v>
      </c>
      <c r="AO397" s="100">
        <f t="shared" si="452"/>
        <v>0</v>
      </c>
      <c r="AP397" s="100">
        <f t="shared" si="453"/>
        <v>0</v>
      </c>
      <c r="AQ397" s="111" t="s">
        <v>13</v>
      </c>
      <c r="AV397" s="100">
        <f t="shared" si="454"/>
        <v>0</v>
      </c>
      <c r="AW397" s="100">
        <f t="shared" si="455"/>
        <v>0</v>
      </c>
      <c r="AX397" s="100">
        <f t="shared" si="456"/>
        <v>0</v>
      </c>
      <c r="AY397" s="110" t="s">
        <v>1713</v>
      </c>
      <c r="AZ397" s="110" t="s">
        <v>1733</v>
      </c>
      <c r="BA397" s="109" t="s">
        <v>1737</v>
      </c>
      <c r="BC397" s="100">
        <f t="shared" si="457"/>
        <v>0</v>
      </c>
      <c r="BD397" s="100">
        <f t="shared" si="458"/>
        <v>0</v>
      </c>
      <c r="BE397" s="100">
        <v>0</v>
      </c>
      <c r="BF397" s="100">
        <f>397</f>
        <v>397</v>
      </c>
      <c r="BH397" s="108">
        <f t="shared" si="459"/>
        <v>0</v>
      </c>
      <c r="BI397" s="108">
        <f t="shared" si="460"/>
        <v>0</v>
      </c>
      <c r="BJ397" s="108">
        <f t="shared" si="461"/>
        <v>0</v>
      </c>
    </row>
    <row r="398" spans="1:62" x14ac:dyDescent="0.2">
      <c r="A398" s="117" t="s">
        <v>354</v>
      </c>
      <c r="B398" s="117" t="s">
        <v>130</v>
      </c>
      <c r="C398" s="304" t="s">
        <v>1430</v>
      </c>
      <c r="D398" s="305"/>
      <c r="E398" s="305"/>
      <c r="F398" s="117" t="s">
        <v>1644</v>
      </c>
      <c r="G398" s="116">
        <v>1</v>
      </c>
      <c r="H398" s="159"/>
      <c r="I398" s="108">
        <f t="shared" si="438"/>
        <v>0</v>
      </c>
      <c r="J398" s="108">
        <f t="shared" si="439"/>
        <v>0</v>
      </c>
      <c r="K398" s="108">
        <f t="shared" si="440"/>
        <v>0</v>
      </c>
      <c r="L398" s="111"/>
      <c r="Z398" s="100">
        <f t="shared" si="441"/>
        <v>0</v>
      </c>
      <c r="AB398" s="100">
        <f t="shared" si="442"/>
        <v>0</v>
      </c>
      <c r="AC398" s="100">
        <f t="shared" si="443"/>
        <v>0</v>
      </c>
      <c r="AD398" s="100">
        <f t="shared" si="444"/>
        <v>0</v>
      </c>
      <c r="AE398" s="100">
        <f t="shared" si="445"/>
        <v>0</v>
      </c>
      <c r="AF398" s="100">
        <f t="shared" si="446"/>
        <v>0</v>
      </c>
      <c r="AG398" s="100">
        <f t="shared" si="447"/>
        <v>0</v>
      </c>
      <c r="AH398" s="100">
        <f t="shared" si="448"/>
        <v>0</v>
      </c>
      <c r="AI398" s="109"/>
      <c r="AJ398" s="108">
        <f t="shared" si="449"/>
        <v>0</v>
      </c>
      <c r="AK398" s="108">
        <f t="shared" si="450"/>
        <v>0</v>
      </c>
      <c r="AL398" s="108">
        <f t="shared" si="451"/>
        <v>0</v>
      </c>
      <c r="AN398" s="100">
        <v>15</v>
      </c>
      <c r="AO398" s="100">
        <f t="shared" si="452"/>
        <v>0</v>
      </c>
      <c r="AP398" s="100">
        <f t="shared" si="453"/>
        <v>0</v>
      </c>
      <c r="AQ398" s="111" t="s">
        <v>13</v>
      </c>
      <c r="AV398" s="100">
        <f t="shared" si="454"/>
        <v>0</v>
      </c>
      <c r="AW398" s="100">
        <f t="shared" si="455"/>
        <v>0</v>
      </c>
      <c r="AX398" s="100">
        <f t="shared" si="456"/>
        <v>0</v>
      </c>
      <c r="AY398" s="110" t="s">
        <v>1713</v>
      </c>
      <c r="AZ398" s="110" t="s">
        <v>1733</v>
      </c>
      <c r="BA398" s="109" t="s">
        <v>1737</v>
      </c>
      <c r="BC398" s="100">
        <f t="shared" si="457"/>
        <v>0</v>
      </c>
      <c r="BD398" s="100">
        <f t="shared" si="458"/>
        <v>0</v>
      </c>
      <c r="BE398" s="100">
        <v>0</v>
      </c>
      <c r="BF398" s="100">
        <f>398</f>
        <v>398</v>
      </c>
      <c r="BH398" s="108">
        <f t="shared" si="459"/>
        <v>0</v>
      </c>
      <c r="BI398" s="108">
        <f t="shared" si="460"/>
        <v>0</v>
      </c>
      <c r="BJ398" s="108">
        <f t="shared" si="461"/>
        <v>0</v>
      </c>
    </row>
    <row r="399" spans="1:62" x14ac:dyDescent="0.2">
      <c r="A399" s="117" t="s">
        <v>355</v>
      </c>
      <c r="B399" s="117" t="s">
        <v>131</v>
      </c>
      <c r="C399" s="304" t="s">
        <v>1431</v>
      </c>
      <c r="D399" s="305"/>
      <c r="E399" s="305"/>
      <c r="F399" s="117" t="s">
        <v>1646</v>
      </c>
      <c r="G399" s="116">
        <v>35</v>
      </c>
      <c r="H399" s="159"/>
      <c r="I399" s="108">
        <f t="shared" si="438"/>
        <v>0</v>
      </c>
      <c r="J399" s="108">
        <f t="shared" si="439"/>
        <v>0</v>
      </c>
      <c r="K399" s="108">
        <f t="shared" si="440"/>
        <v>0</v>
      </c>
      <c r="L399" s="111"/>
      <c r="Z399" s="100">
        <f t="shared" si="441"/>
        <v>0</v>
      </c>
      <c r="AB399" s="100">
        <f t="shared" si="442"/>
        <v>0</v>
      </c>
      <c r="AC399" s="100">
        <f t="shared" si="443"/>
        <v>0</v>
      </c>
      <c r="AD399" s="100">
        <f t="shared" si="444"/>
        <v>0</v>
      </c>
      <c r="AE399" s="100">
        <f t="shared" si="445"/>
        <v>0</v>
      </c>
      <c r="AF399" s="100">
        <f t="shared" si="446"/>
        <v>0</v>
      </c>
      <c r="AG399" s="100">
        <f t="shared" si="447"/>
        <v>0</v>
      </c>
      <c r="AH399" s="100">
        <f t="shared" si="448"/>
        <v>0</v>
      </c>
      <c r="AI399" s="109"/>
      <c r="AJ399" s="108">
        <f t="shared" si="449"/>
        <v>0</v>
      </c>
      <c r="AK399" s="108">
        <f t="shared" si="450"/>
        <v>0</v>
      </c>
      <c r="AL399" s="108">
        <f t="shared" si="451"/>
        <v>0</v>
      </c>
      <c r="AN399" s="100">
        <v>15</v>
      </c>
      <c r="AO399" s="100">
        <f t="shared" si="452"/>
        <v>0</v>
      </c>
      <c r="AP399" s="100">
        <f t="shared" si="453"/>
        <v>0</v>
      </c>
      <c r="AQ399" s="111" t="s">
        <v>13</v>
      </c>
      <c r="AV399" s="100">
        <f t="shared" si="454"/>
        <v>0</v>
      </c>
      <c r="AW399" s="100">
        <f t="shared" si="455"/>
        <v>0</v>
      </c>
      <c r="AX399" s="100">
        <f t="shared" si="456"/>
        <v>0</v>
      </c>
      <c r="AY399" s="110" t="s">
        <v>1713</v>
      </c>
      <c r="AZ399" s="110" t="s">
        <v>1733</v>
      </c>
      <c r="BA399" s="109" t="s">
        <v>1737</v>
      </c>
      <c r="BC399" s="100">
        <f t="shared" si="457"/>
        <v>0</v>
      </c>
      <c r="BD399" s="100">
        <f t="shared" si="458"/>
        <v>0</v>
      </c>
      <c r="BE399" s="100">
        <v>0</v>
      </c>
      <c r="BF399" s="100">
        <f>399</f>
        <v>399</v>
      </c>
      <c r="BH399" s="108">
        <f t="shared" si="459"/>
        <v>0</v>
      </c>
      <c r="BI399" s="108">
        <f t="shared" si="460"/>
        <v>0</v>
      </c>
      <c r="BJ399" s="108">
        <f t="shared" si="461"/>
        <v>0</v>
      </c>
    </row>
    <row r="400" spans="1:62" x14ac:dyDescent="0.2">
      <c r="A400" s="117" t="s">
        <v>356</v>
      </c>
      <c r="B400" s="117" t="s">
        <v>132</v>
      </c>
      <c r="C400" s="304" t="s">
        <v>1432</v>
      </c>
      <c r="D400" s="305"/>
      <c r="E400" s="305"/>
      <c r="F400" s="117" t="s">
        <v>1644</v>
      </c>
      <c r="G400" s="116">
        <v>4</v>
      </c>
      <c r="H400" s="159"/>
      <c r="I400" s="108">
        <f t="shared" si="438"/>
        <v>0</v>
      </c>
      <c r="J400" s="108">
        <f t="shared" si="439"/>
        <v>0</v>
      </c>
      <c r="K400" s="108">
        <f t="shared" si="440"/>
        <v>0</v>
      </c>
      <c r="L400" s="111"/>
      <c r="Z400" s="100">
        <f t="shared" si="441"/>
        <v>0</v>
      </c>
      <c r="AB400" s="100">
        <f t="shared" si="442"/>
        <v>0</v>
      </c>
      <c r="AC400" s="100">
        <f t="shared" si="443"/>
        <v>0</v>
      </c>
      <c r="AD400" s="100">
        <f t="shared" si="444"/>
        <v>0</v>
      </c>
      <c r="AE400" s="100">
        <f t="shared" si="445"/>
        <v>0</v>
      </c>
      <c r="AF400" s="100">
        <f t="shared" si="446"/>
        <v>0</v>
      </c>
      <c r="AG400" s="100">
        <f t="shared" si="447"/>
        <v>0</v>
      </c>
      <c r="AH400" s="100">
        <f t="shared" si="448"/>
        <v>0</v>
      </c>
      <c r="AI400" s="109"/>
      <c r="AJ400" s="108">
        <f t="shared" si="449"/>
        <v>0</v>
      </c>
      <c r="AK400" s="108">
        <f t="shared" si="450"/>
        <v>0</v>
      </c>
      <c r="AL400" s="108">
        <f t="shared" si="451"/>
        <v>0</v>
      </c>
      <c r="AN400" s="100">
        <v>15</v>
      </c>
      <c r="AO400" s="100">
        <f t="shared" si="452"/>
        <v>0</v>
      </c>
      <c r="AP400" s="100">
        <f t="shared" si="453"/>
        <v>0</v>
      </c>
      <c r="AQ400" s="111" t="s">
        <v>13</v>
      </c>
      <c r="AV400" s="100">
        <f t="shared" si="454"/>
        <v>0</v>
      </c>
      <c r="AW400" s="100">
        <f t="shared" si="455"/>
        <v>0</v>
      </c>
      <c r="AX400" s="100">
        <f t="shared" si="456"/>
        <v>0</v>
      </c>
      <c r="AY400" s="110" t="s">
        <v>1713</v>
      </c>
      <c r="AZ400" s="110" t="s">
        <v>1733</v>
      </c>
      <c r="BA400" s="109" t="s">
        <v>1737</v>
      </c>
      <c r="BC400" s="100">
        <f t="shared" si="457"/>
        <v>0</v>
      </c>
      <c r="BD400" s="100">
        <f t="shared" si="458"/>
        <v>0</v>
      </c>
      <c r="BE400" s="100">
        <v>0</v>
      </c>
      <c r="BF400" s="100">
        <f>400</f>
        <v>400</v>
      </c>
      <c r="BH400" s="108">
        <f t="shared" si="459"/>
        <v>0</v>
      </c>
      <c r="BI400" s="108">
        <f t="shared" si="460"/>
        <v>0</v>
      </c>
      <c r="BJ400" s="108">
        <f t="shared" si="461"/>
        <v>0</v>
      </c>
    </row>
    <row r="401" spans="1:62" x14ac:dyDescent="0.2">
      <c r="A401" s="117" t="s">
        <v>357</v>
      </c>
      <c r="B401" s="117" t="s">
        <v>133</v>
      </c>
      <c r="C401" s="304" t="s">
        <v>1996</v>
      </c>
      <c r="D401" s="305"/>
      <c r="E401" s="305"/>
      <c r="F401" s="117" t="s">
        <v>1644</v>
      </c>
      <c r="G401" s="116">
        <v>6</v>
      </c>
      <c r="H401" s="159"/>
      <c r="I401" s="108">
        <f t="shared" si="438"/>
        <v>0</v>
      </c>
      <c r="J401" s="108">
        <f t="shared" si="439"/>
        <v>0</v>
      </c>
      <c r="K401" s="108">
        <f t="shared" si="440"/>
        <v>0</v>
      </c>
      <c r="L401" s="111"/>
      <c r="Z401" s="100">
        <f t="shared" si="441"/>
        <v>0</v>
      </c>
      <c r="AB401" s="100">
        <f t="shared" si="442"/>
        <v>0</v>
      </c>
      <c r="AC401" s="100">
        <f t="shared" si="443"/>
        <v>0</v>
      </c>
      <c r="AD401" s="100">
        <f t="shared" si="444"/>
        <v>0</v>
      </c>
      <c r="AE401" s="100">
        <f t="shared" si="445"/>
        <v>0</v>
      </c>
      <c r="AF401" s="100">
        <f t="shared" si="446"/>
        <v>0</v>
      </c>
      <c r="AG401" s="100">
        <f t="shared" si="447"/>
        <v>0</v>
      </c>
      <c r="AH401" s="100">
        <f t="shared" si="448"/>
        <v>0</v>
      </c>
      <c r="AI401" s="109"/>
      <c r="AJ401" s="108">
        <f t="shared" si="449"/>
        <v>0</v>
      </c>
      <c r="AK401" s="108">
        <f t="shared" si="450"/>
        <v>0</v>
      </c>
      <c r="AL401" s="108">
        <f t="shared" si="451"/>
        <v>0</v>
      </c>
      <c r="AN401" s="100">
        <v>15</v>
      </c>
      <c r="AO401" s="100">
        <f t="shared" si="452"/>
        <v>0</v>
      </c>
      <c r="AP401" s="100">
        <f t="shared" si="453"/>
        <v>0</v>
      </c>
      <c r="AQ401" s="111" t="s">
        <v>13</v>
      </c>
      <c r="AV401" s="100">
        <f t="shared" si="454"/>
        <v>0</v>
      </c>
      <c r="AW401" s="100">
        <f t="shared" si="455"/>
        <v>0</v>
      </c>
      <c r="AX401" s="100">
        <f t="shared" si="456"/>
        <v>0</v>
      </c>
      <c r="AY401" s="110" t="s">
        <v>1713</v>
      </c>
      <c r="AZ401" s="110" t="s">
        <v>1733</v>
      </c>
      <c r="BA401" s="109" t="s">
        <v>1737</v>
      </c>
      <c r="BC401" s="100">
        <f t="shared" si="457"/>
        <v>0</v>
      </c>
      <c r="BD401" s="100">
        <f t="shared" si="458"/>
        <v>0</v>
      </c>
      <c r="BE401" s="100">
        <v>0</v>
      </c>
      <c r="BF401" s="100">
        <f>401</f>
        <v>401</v>
      </c>
      <c r="BH401" s="108">
        <f t="shared" si="459"/>
        <v>0</v>
      </c>
      <c r="BI401" s="108">
        <f t="shared" si="460"/>
        <v>0</v>
      </c>
      <c r="BJ401" s="108">
        <f t="shared" si="461"/>
        <v>0</v>
      </c>
    </row>
    <row r="402" spans="1:62" x14ac:dyDescent="0.2">
      <c r="A402" s="117" t="s">
        <v>358</v>
      </c>
      <c r="B402" s="117" t="s">
        <v>134</v>
      </c>
      <c r="C402" s="304" t="s">
        <v>1433</v>
      </c>
      <c r="D402" s="305"/>
      <c r="E402" s="305"/>
      <c r="F402" s="117" t="s">
        <v>1646</v>
      </c>
      <c r="G402" s="116">
        <v>35</v>
      </c>
      <c r="H402" s="159"/>
      <c r="I402" s="108">
        <f t="shared" si="438"/>
        <v>0</v>
      </c>
      <c r="J402" s="108">
        <f t="shared" si="439"/>
        <v>0</v>
      </c>
      <c r="K402" s="108">
        <f t="shared" si="440"/>
        <v>0</v>
      </c>
      <c r="L402" s="111"/>
      <c r="Z402" s="100">
        <f t="shared" si="441"/>
        <v>0</v>
      </c>
      <c r="AB402" s="100">
        <f t="shared" si="442"/>
        <v>0</v>
      </c>
      <c r="AC402" s="100">
        <f t="shared" si="443"/>
        <v>0</v>
      </c>
      <c r="AD402" s="100">
        <f t="shared" si="444"/>
        <v>0</v>
      </c>
      <c r="AE402" s="100">
        <f t="shared" si="445"/>
        <v>0</v>
      </c>
      <c r="AF402" s="100">
        <f t="shared" si="446"/>
        <v>0</v>
      </c>
      <c r="AG402" s="100">
        <f t="shared" si="447"/>
        <v>0</v>
      </c>
      <c r="AH402" s="100">
        <f t="shared" si="448"/>
        <v>0</v>
      </c>
      <c r="AI402" s="109"/>
      <c r="AJ402" s="108">
        <f t="shared" si="449"/>
        <v>0</v>
      </c>
      <c r="AK402" s="108">
        <f t="shared" si="450"/>
        <v>0</v>
      </c>
      <c r="AL402" s="108">
        <f t="shared" si="451"/>
        <v>0</v>
      </c>
      <c r="AN402" s="100">
        <v>15</v>
      </c>
      <c r="AO402" s="100">
        <f t="shared" si="452"/>
        <v>0</v>
      </c>
      <c r="AP402" s="100">
        <f t="shared" si="453"/>
        <v>0</v>
      </c>
      <c r="AQ402" s="111" t="s">
        <v>13</v>
      </c>
      <c r="AV402" s="100">
        <f t="shared" si="454"/>
        <v>0</v>
      </c>
      <c r="AW402" s="100">
        <f t="shared" si="455"/>
        <v>0</v>
      </c>
      <c r="AX402" s="100">
        <f t="shared" si="456"/>
        <v>0</v>
      </c>
      <c r="AY402" s="110" t="s">
        <v>1713</v>
      </c>
      <c r="AZ402" s="110" t="s">
        <v>1733</v>
      </c>
      <c r="BA402" s="109" t="s">
        <v>1737</v>
      </c>
      <c r="BC402" s="100">
        <f t="shared" si="457"/>
        <v>0</v>
      </c>
      <c r="BD402" s="100">
        <f t="shared" si="458"/>
        <v>0</v>
      </c>
      <c r="BE402" s="100">
        <v>0</v>
      </c>
      <c r="BF402" s="100">
        <f>402</f>
        <v>402</v>
      </c>
      <c r="BH402" s="108">
        <f t="shared" si="459"/>
        <v>0</v>
      </c>
      <c r="BI402" s="108">
        <f t="shared" si="460"/>
        <v>0</v>
      </c>
      <c r="BJ402" s="108">
        <f t="shared" si="461"/>
        <v>0</v>
      </c>
    </row>
    <row r="403" spans="1:62" x14ac:dyDescent="0.2">
      <c r="A403" s="117" t="s">
        <v>359</v>
      </c>
      <c r="B403" s="117" t="s">
        <v>135</v>
      </c>
      <c r="C403" s="304" t="s">
        <v>1434</v>
      </c>
      <c r="D403" s="305"/>
      <c r="E403" s="305"/>
      <c r="F403" s="117" t="s">
        <v>1646</v>
      </c>
      <c r="G403" s="116">
        <v>35</v>
      </c>
      <c r="H403" s="159"/>
      <c r="I403" s="108">
        <f t="shared" si="438"/>
        <v>0</v>
      </c>
      <c r="J403" s="108">
        <f t="shared" si="439"/>
        <v>0</v>
      </c>
      <c r="K403" s="108">
        <f t="shared" si="440"/>
        <v>0</v>
      </c>
      <c r="L403" s="111"/>
      <c r="Z403" s="100">
        <f t="shared" si="441"/>
        <v>0</v>
      </c>
      <c r="AB403" s="100">
        <f t="shared" si="442"/>
        <v>0</v>
      </c>
      <c r="AC403" s="100">
        <f t="shared" si="443"/>
        <v>0</v>
      </c>
      <c r="AD403" s="100">
        <f t="shared" si="444"/>
        <v>0</v>
      </c>
      <c r="AE403" s="100">
        <f t="shared" si="445"/>
        <v>0</v>
      </c>
      <c r="AF403" s="100">
        <f t="shared" si="446"/>
        <v>0</v>
      </c>
      <c r="AG403" s="100">
        <f t="shared" si="447"/>
        <v>0</v>
      </c>
      <c r="AH403" s="100">
        <f t="shared" si="448"/>
        <v>0</v>
      </c>
      <c r="AI403" s="109"/>
      <c r="AJ403" s="108">
        <f t="shared" si="449"/>
        <v>0</v>
      </c>
      <c r="AK403" s="108">
        <f t="shared" si="450"/>
        <v>0</v>
      </c>
      <c r="AL403" s="108">
        <f t="shared" si="451"/>
        <v>0</v>
      </c>
      <c r="AN403" s="100">
        <v>15</v>
      </c>
      <c r="AO403" s="100">
        <f t="shared" si="452"/>
        <v>0</v>
      </c>
      <c r="AP403" s="100">
        <f t="shared" si="453"/>
        <v>0</v>
      </c>
      <c r="AQ403" s="111" t="s">
        <v>13</v>
      </c>
      <c r="AV403" s="100">
        <f t="shared" si="454"/>
        <v>0</v>
      </c>
      <c r="AW403" s="100">
        <f t="shared" si="455"/>
        <v>0</v>
      </c>
      <c r="AX403" s="100">
        <f t="shared" si="456"/>
        <v>0</v>
      </c>
      <c r="AY403" s="110" t="s">
        <v>1713</v>
      </c>
      <c r="AZ403" s="110" t="s">
        <v>1733</v>
      </c>
      <c r="BA403" s="109" t="s">
        <v>1737</v>
      </c>
      <c r="BC403" s="100">
        <f t="shared" si="457"/>
        <v>0</v>
      </c>
      <c r="BD403" s="100">
        <f t="shared" si="458"/>
        <v>0</v>
      </c>
      <c r="BE403" s="100">
        <v>0</v>
      </c>
      <c r="BF403" s="100">
        <f>403</f>
        <v>403</v>
      </c>
      <c r="BH403" s="108">
        <f t="shared" si="459"/>
        <v>0</v>
      </c>
      <c r="BI403" s="108">
        <f t="shared" si="460"/>
        <v>0</v>
      </c>
      <c r="BJ403" s="108">
        <f t="shared" si="461"/>
        <v>0</v>
      </c>
    </row>
    <row r="404" spans="1:62" x14ac:dyDescent="0.2">
      <c r="A404" s="117" t="s">
        <v>360</v>
      </c>
      <c r="B404" s="117" t="s">
        <v>843</v>
      </c>
      <c r="C404" s="304" t="s">
        <v>1435</v>
      </c>
      <c r="D404" s="305"/>
      <c r="E404" s="305"/>
      <c r="F404" s="117" t="s">
        <v>1652</v>
      </c>
      <c r="G404" s="116">
        <v>1</v>
      </c>
      <c r="H404" s="159"/>
      <c r="I404" s="108">
        <f t="shared" si="438"/>
        <v>0</v>
      </c>
      <c r="J404" s="108">
        <f t="shared" si="439"/>
        <v>0</v>
      </c>
      <c r="K404" s="108">
        <f t="shared" si="440"/>
        <v>0</v>
      </c>
      <c r="L404" s="111"/>
      <c r="Z404" s="100">
        <f t="shared" si="441"/>
        <v>0</v>
      </c>
      <c r="AB404" s="100">
        <f t="shared" si="442"/>
        <v>0</v>
      </c>
      <c r="AC404" s="100">
        <f t="shared" si="443"/>
        <v>0</v>
      </c>
      <c r="AD404" s="100">
        <f t="shared" si="444"/>
        <v>0</v>
      </c>
      <c r="AE404" s="100">
        <f t="shared" si="445"/>
        <v>0</v>
      </c>
      <c r="AF404" s="100">
        <f t="shared" si="446"/>
        <v>0</v>
      </c>
      <c r="AG404" s="100">
        <f t="shared" si="447"/>
        <v>0</v>
      </c>
      <c r="AH404" s="100">
        <f t="shared" si="448"/>
        <v>0</v>
      </c>
      <c r="AI404" s="109"/>
      <c r="AJ404" s="108">
        <f t="shared" si="449"/>
        <v>0</v>
      </c>
      <c r="AK404" s="108">
        <f t="shared" si="450"/>
        <v>0</v>
      </c>
      <c r="AL404" s="108">
        <f t="shared" si="451"/>
        <v>0</v>
      </c>
      <c r="AN404" s="100">
        <v>15</v>
      </c>
      <c r="AO404" s="100">
        <f t="shared" si="452"/>
        <v>0</v>
      </c>
      <c r="AP404" s="100">
        <f t="shared" si="453"/>
        <v>0</v>
      </c>
      <c r="AQ404" s="111" t="s">
        <v>13</v>
      </c>
      <c r="AV404" s="100">
        <f t="shared" si="454"/>
        <v>0</v>
      </c>
      <c r="AW404" s="100">
        <f t="shared" si="455"/>
        <v>0</v>
      </c>
      <c r="AX404" s="100">
        <f t="shared" si="456"/>
        <v>0</v>
      </c>
      <c r="AY404" s="110" t="s">
        <v>1713</v>
      </c>
      <c r="AZ404" s="110" t="s">
        <v>1733</v>
      </c>
      <c r="BA404" s="109" t="s">
        <v>1737</v>
      </c>
      <c r="BC404" s="100">
        <f t="shared" si="457"/>
        <v>0</v>
      </c>
      <c r="BD404" s="100">
        <f t="shared" si="458"/>
        <v>0</v>
      </c>
      <c r="BE404" s="100">
        <v>0</v>
      </c>
      <c r="BF404" s="100">
        <f>404</f>
        <v>404</v>
      </c>
      <c r="BH404" s="108">
        <f t="shared" si="459"/>
        <v>0</v>
      </c>
      <c r="BI404" s="108">
        <f t="shared" si="460"/>
        <v>0</v>
      </c>
      <c r="BJ404" s="108">
        <f t="shared" si="461"/>
        <v>0</v>
      </c>
    </row>
    <row r="405" spans="1:62" x14ac:dyDescent="0.2">
      <c r="A405" s="117" t="s">
        <v>361</v>
      </c>
      <c r="B405" s="117" t="s">
        <v>844</v>
      </c>
      <c r="C405" s="304" t="s">
        <v>2327</v>
      </c>
      <c r="D405" s="305"/>
      <c r="E405" s="305"/>
      <c r="F405" s="117" t="s">
        <v>1652</v>
      </c>
      <c r="G405" s="116">
        <v>1</v>
      </c>
      <c r="H405" s="159"/>
      <c r="I405" s="108">
        <f t="shared" si="438"/>
        <v>0</v>
      </c>
      <c r="J405" s="108">
        <f t="shared" si="439"/>
        <v>0</v>
      </c>
      <c r="K405" s="108">
        <f t="shared" si="440"/>
        <v>0</v>
      </c>
      <c r="L405" s="111"/>
      <c r="Z405" s="100">
        <f t="shared" si="441"/>
        <v>0</v>
      </c>
      <c r="AB405" s="100">
        <f t="shared" si="442"/>
        <v>0</v>
      </c>
      <c r="AC405" s="100">
        <f t="shared" si="443"/>
        <v>0</v>
      </c>
      <c r="AD405" s="100">
        <f t="shared" si="444"/>
        <v>0</v>
      </c>
      <c r="AE405" s="100">
        <f t="shared" si="445"/>
        <v>0</v>
      </c>
      <c r="AF405" s="100">
        <f t="shared" si="446"/>
        <v>0</v>
      </c>
      <c r="AG405" s="100">
        <f t="shared" si="447"/>
        <v>0</v>
      </c>
      <c r="AH405" s="100">
        <f t="shared" si="448"/>
        <v>0</v>
      </c>
      <c r="AI405" s="109"/>
      <c r="AJ405" s="108">
        <f t="shared" si="449"/>
        <v>0</v>
      </c>
      <c r="AK405" s="108">
        <f t="shared" si="450"/>
        <v>0</v>
      </c>
      <c r="AL405" s="108">
        <f t="shared" si="451"/>
        <v>0</v>
      </c>
      <c r="AN405" s="100">
        <v>15</v>
      </c>
      <c r="AO405" s="100">
        <f t="shared" si="452"/>
        <v>0</v>
      </c>
      <c r="AP405" s="100">
        <f t="shared" si="453"/>
        <v>0</v>
      </c>
      <c r="AQ405" s="111" t="s">
        <v>13</v>
      </c>
      <c r="AV405" s="100">
        <f t="shared" si="454"/>
        <v>0</v>
      </c>
      <c r="AW405" s="100">
        <f t="shared" si="455"/>
        <v>0</v>
      </c>
      <c r="AX405" s="100">
        <f t="shared" si="456"/>
        <v>0</v>
      </c>
      <c r="AY405" s="110" t="s">
        <v>1713</v>
      </c>
      <c r="AZ405" s="110" t="s">
        <v>1733</v>
      </c>
      <c r="BA405" s="109" t="s">
        <v>1737</v>
      </c>
      <c r="BC405" s="100">
        <f t="shared" si="457"/>
        <v>0</v>
      </c>
      <c r="BD405" s="100">
        <f t="shared" si="458"/>
        <v>0</v>
      </c>
      <c r="BE405" s="100">
        <v>0</v>
      </c>
      <c r="BF405" s="100">
        <f>405</f>
        <v>405</v>
      </c>
      <c r="BH405" s="108">
        <f t="shared" si="459"/>
        <v>0</v>
      </c>
      <c r="BI405" s="108">
        <f t="shared" si="460"/>
        <v>0</v>
      </c>
      <c r="BJ405" s="108">
        <f t="shared" si="461"/>
        <v>0</v>
      </c>
    </row>
    <row r="406" spans="1:62" x14ac:dyDescent="0.2">
      <c r="A406" s="117" t="s">
        <v>362</v>
      </c>
      <c r="B406" s="117" t="s">
        <v>845</v>
      </c>
      <c r="C406" s="304" t="s">
        <v>1437</v>
      </c>
      <c r="D406" s="305"/>
      <c r="E406" s="305"/>
      <c r="F406" s="117" t="s">
        <v>1654</v>
      </c>
      <c r="G406" s="116">
        <v>360</v>
      </c>
      <c r="H406" s="159"/>
      <c r="I406" s="108">
        <f t="shared" si="438"/>
        <v>0</v>
      </c>
      <c r="J406" s="108">
        <f t="shared" si="439"/>
        <v>0</v>
      </c>
      <c r="K406" s="108">
        <f t="shared" si="440"/>
        <v>0</v>
      </c>
      <c r="L406" s="111"/>
      <c r="Z406" s="100">
        <f t="shared" si="441"/>
        <v>0</v>
      </c>
      <c r="AB406" s="100">
        <f t="shared" si="442"/>
        <v>0</v>
      </c>
      <c r="AC406" s="100">
        <f t="shared" si="443"/>
        <v>0</v>
      </c>
      <c r="AD406" s="100">
        <f t="shared" si="444"/>
        <v>0</v>
      </c>
      <c r="AE406" s="100">
        <f t="shared" si="445"/>
        <v>0</v>
      </c>
      <c r="AF406" s="100">
        <f t="shared" si="446"/>
        <v>0</v>
      </c>
      <c r="AG406" s="100">
        <f t="shared" si="447"/>
        <v>0</v>
      </c>
      <c r="AH406" s="100">
        <f t="shared" si="448"/>
        <v>0</v>
      </c>
      <c r="AI406" s="109"/>
      <c r="AJ406" s="108">
        <f t="shared" si="449"/>
        <v>0</v>
      </c>
      <c r="AK406" s="108">
        <f t="shared" si="450"/>
        <v>0</v>
      </c>
      <c r="AL406" s="108">
        <f t="shared" si="451"/>
        <v>0</v>
      </c>
      <c r="AN406" s="100">
        <v>15</v>
      </c>
      <c r="AO406" s="100">
        <f t="shared" si="452"/>
        <v>0</v>
      </c>
      <c r="AP406" s="100">
        <f t="shared" si="453"/>
        <v>0</v>
      </c>
      <c r="AQ406" s="111" t="s">
        <v>13</v>
      </c>
      <c r="AV406" s="100">
        <f t="shared" si="454"/>
        <v>0</v>
      </c>
      <c r="AW406" s="100">
        <f t="shared" si="455"/>
        <v>0</v>
      </c>
      <c r="AX406" s="100">
        <f t="shared" si="456"/>
        <v>0</v>
      </c>
      <c r="AY406" s="110" t="s">
        <v>1713</v>
      </c>
      <c r="AZ406" s="110" t="s">
        <v>1733</v>
      </c>
      <c r="BA406" s="109" t="s">
        <v>1737</v>
      </c>
      <c r="BC406" s="100">
        <f t="shared" si="457"/>
        <v>0</v>
      </c>
      <c r="BD406" s="100">
        <f t="shared" si="458"/>
        <v>0</v>
      </c>
      <c r="BE406" s="100">
        <v>0</v>
      </c>
      <c r="BF406" s="100">
        <f>406</f>
        <v>406</v>
      </c>
      <c r="BH406" s="108">
        <f t="shared" si="459"/>
        <v>0</v>
      </c>
      <c r="BI406" s="108">
        <f t="shared" si="460"/>
        <v>0</v>
      </c>
      <c r="BJ406" s="108">
        <f t="shared" si="461"/>
        <v>0</v>
      </c>
    </row>
    <row r="407" spans="1:62" x14ac:dyDescent="0.2">
      <c r="A407" s="117" t="s">
        <v>363</v>
      </c>
      <c r="B407" s="117" t="s">
        <v>846</v>
      </c>
      <c r="C407" s="304" t="s">
        <v>1438</v>
      </c>
      <c r="D407" s="305"/>
      <c r="E407" s="305"/>
      <c r="F407" s="117" t="s">
        <v>1652</v>
      </c>
      <c r="G407" s="116">
        <v>1</v>
      </c>
      <c r="H407" s="159"/>
      <c r="I407" s="108">
        <f t="shared" si="438"/>
        <v>0</v>
      </c>
      <c r="J407" s="108">
        <f t="shared" si="439"/>
        <v>0</v>
      </c>
      <c r="K407" s="108">
        <f t="shared" si="440"/>
        <v>0</v>
      </c>
      <c r="L407" s="111"/>
      <c r="Z407" s="100">
        <f t="shared" si="441"/>
        <v>0</v>
      </c>
      <c r="AB407" s="100">
        <f t="shared" si="442"/>
        <v>0</v>
      </c>
      <c r="AC407" s="100">
        <f t="shared" si="443"/>
        <v>0</v>
      </c>
      <c r="AD407" s="100">
        <f t="shared" si="444"/>
        <v>0</v>
      </c>
      <c r="AE407" s="100">
        <f t="shared" si="445"/>
        <v>0</v>
      </c>
      <c r="AF407" s="100">
        <f t="shared" si="446"/>
        <v>0</v>
      </c>
      <c r="AG407" s="100">
        <f t="shared" si="447"/>
        <v>0</v>
      </c>
      <c r="AH407" s="100">
        <f t="shared" si="448"/>
        <v>0</v>
      </c>
      <c r="AI407" s="109"/>
      <c r="AJ407" s="108">
        <f t="shared" si="449"/>
        <v>0</v>
      </c>
      <c r="AK407" s="108">
        <f t="shared" si="450"/>
        <v>0</v>
      </c>
      <c r="AL407" s="108">
        <f t="shared" si="451"/>
        <v>0</v>
      </c>
      <c r="AN407" s="100">
        <v>15</v>
      </c>
      <c r="AO407" s="100">
        <f t="shared" si="452"/>
        <v>0</v>
      </c>
      <c r="AP407" s="100">
        <f t="shared" si="453"/>
        <v>0</v>
      </c>
      <c r="AQ407" s="111" t="s">
        <v>13</v>
      </c>
      <c r="AV407" s="100">
        <f t="shared" si="454"/>
        <v>0</v>
      </c>
      <c r="AW407" s="100">
        <f t="shared" si="455"/>
        <v>0</v>
      </c>
      <c r="AX407" s="100">
        <f t="shared" si="456"/>
        <v>0</v>
      </c>
      <c r="AY407" s="110" t="s">
        <v>1713</v>
      </c>
      <c r="AZ407" s="110" t="s">
        <v>1733</v>
      </c>
      <c r="BA407" s="109" t="s">
        <v>1737</v>
      </c>
      <c r="BC407" s="100">
        <f t="shared" si="457"/>
        <v>0</v>
      </c>
      <c r="BD407" s="100">
        <f t="shared" si="458"/>
        <v>0</v>
      </c>
      <c r="BE407" s="100">
        <v>0</v>
      </c>
      <c r="BF407" s="100">
        <f>407</f>
        <v>407</v>
      </c>
      <c r="BH407" s="108">
        <f t="shared" si="459"/>
        <v>0</v>
      </c>
      <c r="BI407" s="108">
        <f t="shared" si="460"/>
        <v>0</v>
      </c>
      <c r="BJ407" s="108">
        <f t="shared" si="461"/>
        <v>0</v>
      </c>
    </row>
    <row r="408" spans="1:62" x14ac:dyDescent="0.2">
      <c r="A408" s="117" t="s">
        <v>364</v>
      </c>
      <c r="B408" s="117" t="s">
        <v>847</v>
      </c>
      <c r="C408" s="304" t="s">
        <v>1439</v>
      </c>
      <c r="D408" s="305"/>
      <c r="E408" s="305"/>
      <c r="F408" s="117" t="s">
        <v>1652</v>
      </c>
      <c r="G408" s="116">
        <v>1</v>
      </c>
      <c r="H408" s="159"/>
      <c r="I408" s="108">
        <f t="shared" si="438"/>
        <v>0</v>
      </c>
      <c r="J408" s="108">
        <f t="shared" si="439"/>
        <v>0</v>
      </c>
      <c r="K408" s="108">
        <f t="shared" si="440"/>
        <v>0</v>
      </c>
      <c r="L408" s="111"/>
      <c r="Z408" s="100">
        <f t="shared" si="441"/>
        <v>0</v>
      </c>
      <c r="AB408" s="100">
        <f t="shared" si="442"/>
        <v>0</v>
      </c>
      <c r="AC408" s="100">
        <f t="shared" si="443"/>
        <v>0</v>
      </c>
      <c r="AD408" s="100">
        <f t="shared" si="444"/>
        <v>0</v>
      </c>
      <c r="AE408" s="100">
        <f t="shared" si="445"/>
        <v>0</v>
      </c>
      <c r="AF408" s="100">
        <f t="shared" si="446"/>
        <v>0</v>
      </c>
      <c r="AG408" s="100">
        <f t="shared" si="447"/>
        <v>0</v>
      </c>
      <c r="AH408" s="100">
        <f t="shared" si="448"/>
        <v>0</v>
      </c>
      <c r="AI408" s="109"/>
      <c r="AJ408" s="108">
        <f t="shared" si="449"/>
        <v>0</v>
      </c>
      <c r="AK408" s="108">
        <f t="shared" si="450"/>
        <v>0</v>
      </c>
      <c r="AL408" s="108">
        <f t="shared" si="451"/>
        <v>0</v>
      </c>
      <c r="AN408" s="100">
        <v>15</v>
      </c>
      <c r="AO408" s="100">
        <f t="shared" si="452"/>
        <v>0</v>
      </c>
      <c r="AP408" s="100">
        <f t="shared" si="453"/>
        <v>0</v>
      </c>
      <c r="AQ408" s="111" t="s">
        <v>13</v>
      </c>
      <c r="AV408" s="100">
        <f t="shared" si="454"/>
        <v>0</v>
      </c>
      <c r="AW408" s="100">
        <f t="shared" si="455"/>
        <v>0</v>
      </c>
      <c r="AX408" s="100">
        <f t="shared" si="456"/>
        <v>0</v>
      </c>
      <c r="AY408" s="110" t="s">
        <v>1713</v>
      </c>
      <c r="AZ408" s="110" t="s">
        <v>1733</v>
      </c>
      <c r="BA408" s="109" t="s">
        <v>1737</v>
      </c>
      <c r="BC408" s="100">
        <f t="shared" si="457"/>
        <v>0</v>
      </c>
      <c r="BD408" s="100">
        <f t="shared" si="458"/>
        <v>0</v>
      </c>
      <c r="BE408" s="100">
        <v>0</v>
      </c>
      <c r="BF408" s="100">
        <f>408</f>
        <v>408</v>
      </c>
      <c r="BH408" s="108">
        <f t="shared" si="459"/>
        <v>0</v>
      </c>
      <c r="BI408" s="108">
        <f t="shared" si="460"/>
        <v>0</v>
      </c>
      <c r="BJ408" s="108">
        <f t="shared" si="461"/>
        <v>0</v>
      </c>
    </row>
    <row r="409" spans="1:62" x14ac:dyDescent="0.2">
      <c r="A409" s="117" t="s">
        <v>365</v>
      </c>
      <c r="B409" s="117" t="s">
        <v>848</v>
      </c>
      <c r="C409" s="304" t="s">
        <v>1440</v>
      </c>
      <c r="D409" s="305"/>
      <c r="E409" s="305"/>
      <c r="F409" s="117" t="s">
        <v>1652</v>
      </c>
      <c r="G409" s="116">
        <v>1</v>
      </c>
      <c r="H409" s="159"/>
      <c r="I409" s="108">
        <f t="shared" si="438"/>
        <v>0</v>
      </c>
      <c r="J409" s="108">
        <f t="shared" si="439"/>
        <v>0</v>
      </c>
      <c r="K409" s="108">
        <f t="shared" si="440"/>
        <v>0</v>
      </c>
      <c r="L409" s="111"/>
      <c r="Z409" s="100">
        <f t="shared" si="441"/>
        <v>0</v>
      </c>
      <c r="AB409" s="100">
        <f t="shared" si="442"/>
        <v>0</v>
      </c>
      <c r="AC409" s="100">
        <f t="shared" si="443"/>
        <v>0</v>
      </c>
      <c r="AD409" s="100">
        <f t="shared" si="444"/>
        <v>0</v>
      </c>
      <c r="AE409" s="100">
        <f t="shared" si="445"/>
        <v>0</v>
      </c>
      <c r="AF409" s="100">
        <f t="shared" si="446"/>
        <v>0</v>
      </c>
      <c r="AG409" s="100">
        <f t="shared" si="447"/>
        <v>0</v>
      </c>
      <c r="AH409" s="100">
        <f t="shared" si="448"/>
        <v>0</v>
      </c>
      <c r="AI409" s="109"/>
      <c r="AJ409" s="108">
        <f t="shared" si="449"/>
        <v>0</v>
      </c>
      <c r="AK409" s="108">
        <f t="shared" si="450"/>
        <v>0</v>
      </c>
      <c r="AL409" s="108">
        <f t="shared" si="451"/>
        <v>0</v>
      </c>
      <c r="AN409" s="100">
        <v>15</v>
      </c>
      <c r="AO409" s="100">
        <f t="shared" si="452"/>
        <v>0</v>
      </c>
      <c r="AP409" s="100">
        <f t="shared" si="453"/>
        <v>0</v>
      </c>
      <c r="AQ409" s="111" t="s">
        <v>13</v>
      </c>
      <c r="AV409" s="100">
        <f t="shared" si="454"/>
        <v>0</v>
      </c>
      <c r="AW409" s="100">
        <f t="shared" si="455"/>
        <v>0</v>
      </c>
      <c r="AX409" s="100">
        <f t="shared" si="456"/>
        <v>0</v>
      </c>
      <c r="AY409" s="110" t="s">
        <v>1713</v>
      </c>
      <c r="AZ409" s="110" t="s">
        <v>1733</v>
      </c>
      <c r="BA409" s="109" t="s">
        <v>1737</v>
      </c>
      <c r="BC409" s="100">
        <f t="shared" si="457"/>
        <v>0</v>
      </c>
      <c r="BD409" s="100">
        <f t="shared" si="458"/>
        <v>0</v>
      </c>
      <c r="BE409" s="100">
        <v>0</v>
      </c>
      <c r="BF409" s="100">
        <f>409</f>
        <v>409</v>
      </c>
      <c r="BH409" s="108">
        <f t="shared" si="459"/>
        <v>0</v>
      </c>
      <c r="BI409" s="108">
        <f t="shared" si="460"/>
        <v>0</v>
      </c>
      <c r="BJ409" s="108">
        <f t="shared" si="461"/>
        <v>0</v>
      </c>
    </row>
    <row r="410" spans="1:62" x14ac:dyDescent="0.2">
      <c r="A410" s="117" t="s">
        <v>366</v>
      </c>
      <c r="B410" s="117" t="s">
        <v>849</v>
      </c>
      <c r="C410" s="304" t="s">
        <v>1441</v>
      </c>
      <c r="D410" s="305"/>
      <c r="E410" s="305"/>
      <c r="F410" s="117" t="s">
        <v>1652</v>
      </c>
      <c r="G410" s="116">
        <v>1</v>
      </c>
      <c r="H410" s="159"/>
      <c r="I410" s="108">
        <f t="shared" si="438"/>
        <v>0</v>
      </c>
      <c r="J410" s="108">
        <f t="shared" si="439"/>
        <v>0</v>
      </c>
      <c r="K410" s="108">
        <f t="shared" si="440"/>
        <v>0</v>
      </c>
      <c r="L410" s="111"/>
      <c r="Z410" s="100">
        <f t="shared" si="441"/>
        <v>0</v>
      </c>
      <c r="AB410" s="100">
        <f t="shared" si="442"/>
        <v>0</v>
      </c>
      <c r="AC410" s="100">
        <f t="shared" si="443"/>
        <v>0</v>
      </c>
      <c r="AD410" s="100">
        <f t="shared" si="444"/>
        <v>0</v>
      </c>
      <c r="AE410" s="100">
        <f t="shared" si="445"/>
        <v>0</v>
      </c>
      <c r="AF410" s="100">
        <f t="shared" si="446"/>
        <v>0</v>
      </c>
      <c r="AG410" s="100">
        <f t="shared" si="447"/>
        <v>0</v>
      </c>
      <c r="AH410" s="100">
        <f t="shared" si="448"/>
        <v>0</v>
      </c>
      <c r="AI410" s="109"/>
      <c r="AJ410" s="108">
        <f t="shared" si="449"/>
        <v>0</v>
      </c>
      <c r="AK410" s="108">
        <f t="shared" si="450"/>
        <v>0</v>
      </c>
      <c r="AL410" s="108">
        <f t="shared" si="451"/>
        <v>0</v>
      </c>
      <c r="AN410" s="100">
        <v>15</v>
      </c>
      <c r="AO410" s="100">
        <f t="shared" si="452"/>
        <v>0</v>
      </c>
      <c r="AP410" s="100">
        <f t="shared" si="453"/>
        <v>0</v>
      </c>
      <c r="AQ410" s="111" t="s">
        <v>13</v>
      </c>
      <c r="AV410" s="100">
        <f t="shared" si="454"/>
        <v>0</v>
      </c>
      <c r="AW410" s="100">
        <f t="shared" si="455"/>
        <v>0</v>
      </c>
      <c r="AX410" s="100">
        <f t="shared" si="456"/>
        <v>0</v>
      </c>
      <c r="AY410" s="110" t="s">
        <v>1713</v>
      </c>
      <c r="AZ410" s="110" t="s">
        <v>1733</v>
      </c>
      <c r="BA410" s="109" t="s">
        <v>1737</v>
      </c>
      <c r="BC410" s="100">
        <f t="shared" si="457"/>
        <v>0</v>
      </c>
      <c r="BD410" s="100">
        <f t="shared" si="458"/>
        <v>0</v>
      </c>
      <c r="BE410" s="100">
        <v>0</v>
      </c>
      <c r="BF410" s="100">
        <f>410</f>
        <v>410</v>
      </c>
      <c r="BH410" s="108">
        <f t="shared" si="459"/>
        <v>0</v>
      </c>
      <c r="BI410" s="108">
        <f t="shared" si="460"/>
        <v>0</v>
      </c>
      <c r="BJ410" s="108">
        <f t="shared" si="461"/>
        <v>0</v>
      </c>
    </row>
    <row r="411" spans="1:62" x14ac:dyDescent="0.2">
      <c r="A411" s="117" t="s">
        <v>367</v>
      </c>
      <c r="B411" s="117" t="s">
        <v>850</v>
      </c>
      <c r="C411" s="304" t="s">
        <v>1442</v>
      </c>
      <c r="D411" s="305"/>
      <c r="E411" s="305"/>
      <c r="F411" s="117" t="s">
        <v>1652</v>
      </c>
      <c r="G411" s="116">
        <v>1</v>
      </c>
      <c r="H411" s="159"/>
      <c r="I411" s="108">
        <f t="shared" si="438"/>
        <v>0</v>
      </c>
      <c r="J411" s="108">
        <f t="shared" si="439"/>
        <v>0</v>
      </c>
      <c r="K411" s="108">
        <f t="shared" si="440"/>
        <v>0</v>
      </c>
      <c r="L411" s="111"/>
      <c r="Z411" s="100">
        <f t="shared" si="441"/>
        <v>0</v>
      </c>
      <c r="AB411" s="100">
        <f t="shared" si="442"/>
        <v>0</v>
      </c>
      <c r="AC411" s="100">
        <f t="shared" si="443"/>
        <v>0</v>
      </c>
      <c r="AD411" s="100">
        <f t="shared" si="444"/>
        <v>0</v>
      </c>
      <c r="AE411" s="100">
        <f t="shared" si="445"/>
        <v>0</v>
      </c>
      <c r="AF411" s="100">
        <f t="shared" si="446"/>
        <v>0</v>
      </c>
      <c r="AG411" s="100">
        <f t="shared" si="447"/>
        <v>0</v>
      </c>
      <c r="AH411" s="100">
        <f t="shared" si="448"/>
        <v>0</v>
      </c>
      <c r="AI411" s="109"/>
      <c r="AJ411" s="108">
        <f t="shared" si="449"/>
        <v>0</v>
      </c>
      <c r="AK411" s="108">
        <f t="shared" si="450"/>
        <v>0</v>
      </c>
      <c r="AL411" s="108">
        <f t="shared" si="451"/>
        <v>0</v>
      </c>
      <c r="AN411" s="100">
        <v>15</v>
      </c>
      <c r="AO411" s="100">
        <f t="shared" si="452"/>
        <v>0</v>
      </c>
      <c r="AP411" s="100">
        <f t="shared" si="453"/>
        <v>0</v>
      </c>
      <c r="AQ411" s="111" t="s">
        <v>13</v>
      </c>
      <c r="AV411" s="100">
        <f t="shared" si="454"/>
        <v>0</v>
      </c>
      <c r="AW411" s="100">
        <f t="shared" si="455"/>
        <v>0</v>
      </c>
      <c r="AX411" s="100">
        <f t="shared" si="456"/>
        <v>0</v>
      </c>
      <c r="AY411" s="110" t="s">
        <v>1713</v>
      </c>
      <c r="AZ411" s="110" t="s">
        <v>1733</v>
      </c>
      <c r="BA411" s="109" t="s">
        <v>1737</v>
      </c>
      <c r="BC411" s="100">
        <f t="shared" si="457"/>
        <v>0</v>
      </c>
      <c r="BD411" s="100">
        <f t="shared" si="458"/>
        <v>0</v>
      </c>
      <c r="BE411" s="100">
        <v>0</v>
      </c>
      <c r="BF411" s="100">
        <f>411</f>
        <v>411</v>
      </c>
      <c r="BH411" s="108">
        <f t="shared" si="459"/>
        <v>0</v>
      </c>
      <c r="BI411" s="108">
        <f t="shared" si="460"/>
        <v>0</v>
      </c>
      <c r="BJ411" s="108">
        <f t="shared" si="461"/>
        <v>0</v>
      </c>
    </row>
    <row r="412" spans="1:62" x14ac:dyDescent="0.2">
      <c r="A412" s="117" t="s">
        <v>368</v>
      </c>
      <c r="B412" s="117" t="s">
        <v>851</v>
      </c>
      <c r="C412" s="304" t="s">
        <v>1443</v>
      </c>
      <c r="D412" s="305"/>
      <c r="E412" s="305"/>
      <c r="F412" s="117" t="s">
        <v>1645</v>
      </c>
      <c r="G412" s="116">
        <v>13</v>
      </c>
      <c r="H412" s="159"/>
      <c r="I412" s="108">
        <f t="shared" si="438"/>
        <v>0</v>
      </c>
      <c r="J412" s="108">
        <f t="shared" si="439"/>
        <v>0</v>
      </c>
      <c r="K412" s="108">
        <f t="shared" si="440"/>
        <v>0</v>
      </c>
      <c r="L412" s="111"/>
      <c r="Z412" s="100">
        <f t="shared" si="441"/>
        <v>0</v>
      </c>
      <c r="AB412" s="100">
        <f t="shared" si="442"/>
        <v>0</v>
      </c>
      <c r="AC412" s="100">
        <f t="shared" si="443"/>
        <v>0</v>
      </c>
      <c r="AD412" s="100">
        <f t="shared" si="444"/>
        <v>0</v>
      </c>
      <c r="AE412" s="100">
        <f t="shared" si="445"/>
        <v>0</v>
      </c>
      <c r="AF412" s="100">
        <f t="shared" si="446"/>
        <v>0</v>
      </c>
      <c r="AG412" s="100">
        <f t="shared" si="447"/>
        <v>0</v>
      </c>
      <c r="AH412" s="100">
        <f t="shared" si="448"/>
        <v>0</v>
      </c>
      <c r="AI412" s="109"/>
      <c r="AJ412" s="108">
        <f t="shared" si="449"/>
        <v>0</v>
      </c>
      <c r="AK412" s="108">
        <f t="shared" si="450"/>
        <v>0</v>
      </c>
      <c r="AL412" s="108">
        <f t="shared" si="451"/>
        <v>0</v>
      </c>
      <c r="AN412" s="100">
        <v>15</v>
      </c>
      <c r="AO412" s="100">
        <f t="shared" si="452"/>
        <v>0</v>
      </c>
      <c r="AP412" s="100">
        <f t="shared" si="453"/>
        <v>0</v>
      </c>
      <c r="AQ412" s="111" t="s">
        <v>13</v>
      </c>
      <c r="AV412" s="100">
        <f t="shared" si="454"/>
        <v>0</v>
      </c>
      <c r="AW412" s="100">
        <f t="shared" si="455"/>
        <v>0</v>
      </c>
      <c r="AX412" s="100">
        <f t="shared" si="456"/>
        <v>0</v>
      </c>
      <c r="AY412" s="110" t="s">
        <v>1713</v>
      </c>
      <c r="AZ412" s="110" t="s">
        <v>1733</v>
      </c>
      <c r="BA412" s="109" t="s">
        <v>1737</v>
      </c>
      <c r="BC412" s="100">
        <f t="shared" si="457"/>
        <v>0</v>
      </c>
      <c r="BD412" s="100">
        <f t="shared" si="458"/>
        <v>0</v>
      </c>
      <c r="BE412" s="100">
        <v>0</v>
      </c>
      <c r="BF412" s="100">
        <f>412</f>
        <v>412</v>
      </c>
      <c r="BH412" s="108">
        <f t="shared" si="459"/>
        <v>0</v>
      </c>
      <c r="BI412" s="108">
        <f t="shared" si="460"/>
        <v>0</v>
      </c>
      <c r="BJ412" s="108">
        <f t="shared" si="461"/>
        <v>0</v>
      </c>
    </row>
    <row r="413" spans="1:62" x14ac:dyDescent="0.2">
      <c r="A413" s="117" t="s">
        <v>369</v>
      </c>
      <c r="B413" s="117" t="s">
        <v>852</v>
      </c>
      <c r="C413" s="304" t="s">
        <v>2326</v>
      </c>
      <c r="D413" s="305"/>
      <c r="E413" s="305"/>
      <c r="F413" s="117" t="s">
        <v>1645</v>
      </c>
      <c r="G413" s="116">
        <v>1</v>
      </c>
      <c r="H413" s="159"/>
      <c r="I413" s="108">
        <f t="shared" si="438"/>
        <v>0</v>
      </c>
      <c r="J413" s="108">
        <f t="shared" si="439"/>
        <v>0</v>
      </c>
      <c r="K413" s="108">
        <f t="shared" si="440"/>
        <v>0</v>
      </c>
      <c r="L413" s="111"/>
      <c r="Z413" s="100">
        <f t="shared" si="441"/>
        <v>0</v>
      </c>
      <c r="AB413" s="100">
        <f t="shared" si="442"/>
        <v>0</v>
      </c>
      <c r="AC413" s="100">
        <f t="shared" si="443"/>
        <v>0</v>
      </c>
      <c r="AD413" s="100">
        <f t="shared" si="444"/>
        <v>0</v>
      </c>
      <c r="AE413" s="100">
        <f t="shared" si="445"/>
        <v>0</v>
      </c>
      <c r="AF413" s="100">
        <f t="shared" si="446"/>
        <v>0</v>
      </c>
      <c r="AG413" s="100">
        <f t="shared" si="447"/>
        <v>0</v>
      </c>
      <c r="AH413" s="100">
        <f t="shared" si="448"/>
        <v>0</v>
      </c>
      <c r="AI413" s="109"/>
      <c r="AJ413" s="108">
        <f t="shared" si="449"/>
        <v>0</v>
      </c>
      <c r="AK413" s="108">
        <f t="shared" si="450"/>
        <v>0</v>
      </c>
      <c r="AL413" s="108">
        <f t="shared" si="451"/>
        <v>0</v>
      </c>
      <c r="AN413" s="100">
        <v>15</v>
      </c>
      <c r="AO413" s="100">
        <f t="shared" si="452"/>
        <v>0</v>
      </c>
      <c r="AP413" s="100">
        <f t="shared" si="453"/>
        <v>0</v>
      </c>
      <c r="AQ413" s="111" t="s">
        <v>13</v>
      </c>
      <c r="AV413" s="100">
        <f t="shared" si="454"/>
        <v>0</v>
      </c>
      <c r="AW413" s="100">
        <f t="shared" si="455"/>
        <v>0</v>
      </c>
      <c r="AX413" s="100">
        <f t="shared" si="456"/>
        <v>0</v>
      </c>
      <c r="AY413" s="110" t="s">
        <v>1713</v>
      </c>
      <c r="AZ413" s="110" t="s">
        <v>1733</v>
      </c>
      <c r="BA413" s="109" t="s">
        <v>1737</v>
      </c>
      <c r="BC413" s="100">
        <f t="shared" si="457"/>
        <v>0</v>
      </c>
      <c r="BD413" s="100">
        <f t="shared" si="458"/>
        <v>0</v>
      </c>
      <c r="BE413" s="100">
        <v>0</v>
      </c>
      <c r="BF413" s="100">
        <f>413</f>
        <v>413</v>
      </c>
      <c r="BH413" s="108">
        <f t="shared" si="459"/>
        <v>0</v>
      </c>
      <c r="BI413" s="108">
        <f t="shared" si="460"/>
        <v>0</v>
      </c>
      <c r="BJ413" s="108">
        <f t="shared" si="461"/>
        <v>0</v>
      </c>
    </row>
    <row r="414" spans="1:62" x14ac:dyDescent="0.2">
      <c r="A414" s="117" t="s">
        <v>370</v>
      </c>
      <c r="B414" s="117" t="s">
        <v>853</v>
      </c>
      <c r="C414" s="304" t="s">
        <v>1444</v>
      </c>
      <c r="D414" s="305"/>
      <c r="E414" s="305"/>
      <c r="F414" s="117" t="s">
        <v>1647</v>
      </c>
      <c r="G414" s="116">
        <v>13</v>
      </c>
      <c r="H414" s="159"/>
      <c r="I414" s="108">
        <f t="shared" si="438"/>
        <v>0</v>
      </c>
      <c r="J414" s="108">
        <f t="shared" si="439"/>
        <v>0</v>
      </c>
      <c r="K414" s="108">
        <f t="shared" si="440"/>
        <v>0</v>
      </c>
      <c r="L414" s="111"/>
      <c r="Z414" s="100">
        <f t="shared" si="441"/>
        <v>0</v>
      </c>
      <c r="AB414" s="100">
        <f t="shared" si="442"/>
        <v>0</v>
      </c>
      <c r="AC414" s="100">
        <f t="shared" si="443"/>
        <v>0</v>
      </c>
      <c r="AD414" s="100">
        <f t="shared" si="444"/>
        <v>0</v>
      </c>
      <c r="AE414" s="100">
        <f t="shared" si="445"/>
        <v>0</v>
      </c>
      <c r="AF414" s="100">
        <f t="shared" si="446"/>
        <v>0</v>
      </c>
      <c r="AG414" s="100">
        <f t="shared" si="447"/>
        <v>0</v>
      </c>
      <c r="AH414" s="100">
        <f t="shared" si="448"/>
        <v>0</v>
      </c>
      <c r="AI414" s="109"/>
      <c r="AJ414" s="108">
        <f t="shared" si="449"/>
        <v>0</v>
      </c>
      <c r="AK414" s="108">
        <f t="shared" si="450"/>
        <v>0</v>
      </c>
      <c r="AL414" s="108">
        <f t="shared" si="451"/>
        <v>0</v>
      </c>
      <c r="AN414" s="100">
        <v>15</v>
      </c>
      <c r="AO414" s="100">
        <f t="shared" si="452"/>
        <v>0</v>
      </c>
      <c r="AP414" s="100">
        <f t="shared" si="453"/>
        <v>0</v>
      </c>
      <c r="AQ414" s="111" t="s">
        <v>13</v>
      </c>
      <c r="AV414" s="100">
        <f t="shared" si="454"/>
        <v>0</v>
      </c>
      <c r="AW414" s="100">
        <f t="shared" si="455"/>
        <v>0</v>
      </c>
      <c r="AX414" s="100">
        <f t="shared" si="456"/>
        <v>0</v>
      </c>
      <c r="AY414" s="110" t="s">
        <v>1713</v>
      </c>
      <c r="AZ414" s="110" t="s">
        <v>1733</v>
      </c>
      <c r="BA414" s="109" t="s">
        <v>1737</v>
      </c>
      <c r="BC414" s="100">
        <f t="shared" si="457"/>
        <v>0</v>
      </c>
      <c r="BD414" s="100">
        <f t="shared" si="458"/>
        <v>0</v>
      </c>
      <c r="BE414" s="100">
        <v>0</v>
      </c>
      <c r="BF414" s="100">
        <f>414</f>
        <v>414</v>
      </c>
      <c r="BH414" s="108">
        <f t="shared" si="459"/>
        <v>0</v>
      </c>
      <c r="BI414" s="108">
        <f t="shared" si="460"/>
        <v>0</v>
      </c>
      <c r="BJ414" s="108">
        <f t="shared" si="461"/>
        <v>0</v>
      </c>
    </row>
    <row r="415" spans="1:62" x14ac:dyDescent="0.2">
      <c r="A415" s="117" t="s">
        <v>371</v>
      </c>
      <c r="B415" s="117" t="s">
        <v>854</v>
      </c>
      <c r="C415" s="304" t="s">
        <v>1445</v>
      </c>
      <c r="D415" s="305"/>
      <c r="E415" s="305"/>
      <c r="F415" s="117" t="s">
        <v>1647</v>
      </c>
      <c r="G415" s="116">
        <v>1</v>
      </c>
      <c r="H415" s="159"/>
      <c r="I415" s="108">
        <f t="shared" si="438"/>
        <v>0</v>
      </c>
      <c r="J415" s="108">
        <f t="shared" si="439"/>
        <v>0</v>
      </c>
      <c r="K415" s="108">
        <f t="shared" si="440"/>
        <v>0</v>
      </c>
      <c r="L415" s="111"/>
      <c r="Z415" s="100">
        <f t="shared" si="441"/>
        <v>0</v>
      </c>
      <c r="AB415" s="100">
        <f t="shared" si="442"/>
        <v>0</v>
      </c>
      <c r="AC415" s="100">
        <f t="shared" si="443"/>
        <v>0</v>
      </c>
      <c r="AD415" s="100">
        <f t="shared" si="444"/>
        <v>0</v>
      </c>
      <c r="AE415" s="100">
        <f t="shared" si="445"/>
        <v>0</v>
      </c>
      <c r="AF415" s="100">
        <f t="shared" si="446"/>
        <v>0</v>
      </c>
      <c r="AG415" s="100">
        <f t="shared" si="447"/>
        <v>0</v>
      </c>
      <c r="AH415" s="100">
        <f t="shared" si="448"/>
        <v>0</v>
      </c>
      <c r="AI415" s="109"/>
      <c r="AJ415" s="108">
        <f t="shared" si="449"/>
        <v>0</v>
      </c>
      <c r="AK415" s="108">
        <f t="shared" si="450"/>
        <v>0</v>
      </c>
      <c r="AL415" s="108">
        <f t="shared" si="451"/>
        <v>0</v>
      </c>
      <c r="AN415" s="100">
        <v>15</v>
      </c>
      <c r="AO415" s="100">
        <f t="shared" si="452"/>
        <v>0</v>
      </c>
      <c r="AP415" s="100">
        <f t="shared" si="453"/>
        <v>0</v>
      </c>
      <c r="AQ415" s="111" t="s">
        <v>13</v>
      </c>
      <c r="AV415" s="100">
        <f t="shared" si="454"/>
        <v>0</v>
      </c>
      <c r="AW415" s="100">
        <f t="shared" si="455"/>
        <v>0</v>
      </c>
      <c r="AX415" s="100">
        <f t="shared" si="456"/>
        <v>0</v>
      </c>
      <c r="AY415" s="110" t="s">
        <v>1713</v>
      </c>
      <c r="AZ415" s="110" t="s">
        <v>1733</v>
      </c>
      <c r="BA415" s="109" t="s">
        <v>1737</v>
      </c>
      <c r="BC415" s="100">
        <f t="shared" si="457"/>
        <v>0</v>
      </c>
      <c r="BD415" s="100">
        <f t="shared" si="458"/>
        <v>0</v>
      </c>
      <c r="BE415" s="100">
        <v>0</v>
      </c>
      <c r="BF415" s="100">
        <f>415</f>
        <v>415</v>
      </c>
      <c r="BH415" s="108">
        <f t="shared" si="459"/>
        <v>0</v>
      </c>
      <c r="BI415" s="108">
        <f t="shared" si="460"/>
        <v>0</v>
      </c>
      <c r="BJ415" s="108">
        <f t="shared" si="461"/>
        <v>0</v>
      </c>
    </row>
    <row r="416" spans="1:62" x14ac:dyDescent="0.2">
      <c r="A416" s="117" t="s">
        <v>372</v>
      </c>
      <c r="B416" s="117" t="s">
        <v>855</v>
      </c>
      <c r="C416" s="304" t="s">
        <v>1446</v>
      </c>
      <c r="D416" s="305"/>
      <c r="E416" s="305"/>
      <c r="F416" s="117" t="s">
        <v>1647</v>
      </c>
      <c r="G416" s="116">
        <v>14</v>
      </c>
      <c r="H416" s="159"/>
      <c r="I416" s="108">
        <f t="shared" si="438"/>
        <v>0</v>
      </c>
      <c r="J416" s="108">
        <f t="shared" si="439"/>
        <v>0</v>
      </c>
      <c r="K416" s="108">
        <f t="shared" si="440"/>
        <v>0</v>
      </c>
      <c r="L416" s="111"/>
      <c r="Z416" s="100">
        <f t="shared" si="441"/>
        <v>0</v>
      </c>
      <c r="AB416" s="100">
        <f t="shared" si="442"/>
        <v>0</v>
      </c>
      <c r="AC416" s="100">
        <f t="shared" si="443"/>
        <v>0</v>
      </c>
      <c r="AD416" s="100">
        <f t="shared" si="444"/>
        <v>0</v>
      </c>
      <c r="AE416" s="100">
        <f t="shared" si="445"/>
        <v>0</v>
      </c>
      <c r="AF416" s="100">
        <f t="shared" si="446"/>
        <v>0</v>
      </c>
      <c r="AG416" s="100">
        <f t="shared" si="447"/>
        <v>0</v>
      </c>
      <c r="AH416" s="100">
        <f t="shared" si="448"/>
        <v>0</v>
      </c>
      <c r="AI416" s="109"/>
      <c r="AJ416" s="108">
        <f t="shared" si="449"/>
        <v>0</v>
      </c>
      <c r="AK416" s="108">
        <f t="shared" si="450"/>
        <v>0</v>
      </c>
      <c r="AL416" s="108">
        <f t="shared" si="451"/>
        <v>0</v>
      </c>
      <c r="AN416" s="100">
        <v>15</v>
      </c>
      <c r="AO416" s="100">
        <f t="shared" si="452"/>
        <v>0</v>
      </c>
      <c r="AP416" s="100">
        <f t="shared" si="453"/>
        <v>0</v>
      </c>
      <c r="AQ416" s="111" t="s">
        <v>13</v>
      </c>
      <c r="AV416" s="100">
        <f t="shared" si="454"/>
        <v>0</v>
      </c>
      <c r="AW416" s="100">
        <f t="shared" si="455"/>
        <v>0</v>
      </c>
      <c r="AX416" s="100">
        <f t="shared" si="456"/>
        <v>0</v>
      </c>
      <c r="AY416" s="110" t="s">
        <v>1713</v>
      </c>
      <c r="AZ416" s="110" t="s">
        <v>1733</v>
      </c>
      <c r="BA416" s="109" t="s">
        <v>1737</v>
      </c>
      <c r="BC416" s="100">
        <f t="shared" si="457"/>
        <v>0</v>
      </c>
      <c r="BD416" s="100">
        <f t="shared" si="458"/>
        <v>0</v>
      </c>
      <c r="BE416" s="100">
        <v>0</v>
      </c>
      <c r="BF416" s="100">
        <f>416</f>
        <v>416</v>
      </c>
      <c r="BH416" s="108">
        <f t="shared" si="459"/>
        <v>0</v>
      </c>
      <c r="BI416" s="108">
        <f t="shared" si="460"/>
        <v>0</v>
      </c>
      <c r="BJ416" s="108">
        <f t="shared" si="461"/>
        <v>0</v>
      </c>
    </row>
    <row r="417" spans="1:62" x14ac:dyDescent="0.2">
      <c r="A417" s="117" t="s">
        <v>373</v>
      </c>
      <c r="B417" s="117" t="s">
        <v>856</v>
      </c>
      <c r="C417" s="304" t="s">
        <v>1447</v>
      </c>
      <c r="D417" s="305"/>
      <c r="E417" s="305"/>
      <c r="F417" s="117" t="s">
        <v>1647</v>
      </c>
      <c r="G417" s="116">
        <v>14</v>
      </c>
      <c r="H417" s="159"/>
      <c r="I417" s="108">
        <f t="shared" si="438"/>
        <v>0</v>
      </c>
      <c r="J417" s="108">
        <f t="shared" si="439"/>
        <v>0</v>
      </c>
      <c r="K417" s="108">
        <f t="shared" si="440"/>
        <v>0</v>
      </c>
      <c r="L417" s="111"/>
      <c r="Z417" s="100">
        <f t="shared" si="441"/>
        <v>0</v>
      </c>
      <c r="AB417" s="100">
        <f t="shared" si="442"/>
        <v>0</v>
      </c>
      <c r="AC417" s="100">
        <f t="shared" si="443"/>
        <v>0</v>
      </c>
      <c r="AD417" s="100">
        <f t="shared" si="444"/>
        <v>0</v>
      </c>
      <c r="AE417" s="100">
        <f t="shared" si="445"/>
        <v>0</v>
      </c>
      <c r="AF417" s="100">
        <f t="shared" si="446"/>
        <v>0</v>
      </c>
      <c r="AG417" s="100">
        <f t="shared" si="447"/>
        <v>0</v>
      </c>
      <c r="AH417" s="100">
        <f t="shared" si="448"/>
        <v>0</v>
      </c>
      <c r="AI417" s="109"/>
      <c r="AJ417" s="108">
        <f t="shared" si="449"/>
        <v>0</v>
      </c>
      <c r="AK417" s="108">
        <f t="shared" si="450"/>
        <v>0</v>
      </c>
      <c r="AL417" s="108">
        <f t="shared" si="451"/>
        <v>0</v>
      </c>
      <c r="AN417" s="100">
        <v>15</v>
      </c>
      <c r="AO417" s="100">
        <f t="shared" si="452"/>
        <v>0</v>
      </c>
      <c r="AP417" s="100">
        <f t="shared" si="453"/>
        <v>0</v>
      </c>
      <c r="AQ417" s="111" t="s">
        <v>13</v>
      </c>
      <c r="AV417" s="100">
        <f t="shared" si="454"/>
        <v>0</v>
      </c>
      <c r="AW417" s="100">
        <f t="shared" si="455"/>
        <v>0</v>
      </c>
      <c r="AX417" s="100">
        <f t="shared" si="456"/>
        <v>0</v>
      </c>
      <c r="AY417" s="110" t="s">
        <v>1713</v>
      </c>
      <c r="AZ417" s="110" t="s">
        <v>1733</v>
      </c>
      <c r="BA417" s="109" t="s">
        <v>1737</v>
      </c>
      <c r="BC417" s="100">
        <f t="shared" si="457"/>
        <v>0</v>
      </c>
      <c r="BD417" s="100">
        <f t="shared" si="458"/>
        <v>0</v>
      </c>
      <c r="BE417" s="100">
        <v>0</v>
      </c>
      <c r="BF417" s="100">
        <f>417</f>
        <v>417</v>
      </c>
      <c r="BH417" s="108">
        <f t="shared" si="459"/>
        <v>0</v>
      </c>
      <c r="BI417" s="108">
        <f t="shared" si="460"/>
        <v>0</v>
      </c>
      <c r="BJ417" s="108">
        <f t="shared" si="461"/>
        <v>0</v>
      </c>
    </row>
    <row r="418" spans="1:62" x14ac:dyDescent="0.2">
      <c r="A418" s="117" t="s">
        <v>374</v>
      </c>
      <c r="B418" s="117" t="s">
        <v>857</v>
      </c>
      <c r="C418" s="304" t="s">
        <v>1448</v>
      </c>
      <c r="D418" s="305"/>
      <c r="E418" s="305"/>
      <c r="F418" s="117" t="s">
        <v>1647</v>
      </c>
      <c r="G418" s="116">
        <v>3</v>
      </c>
      <c r="H418" s="159"/>
      <c r="I418" s="108">
        <f t="shared" si="438"/>
        <v>0</v>
      </c>
      <c r="J418" s="108">
        <f t="shared" si="439"/>
        <v>0</v>
      </c>
      <c r="K418" s="108">
        <f t="shared" si="440"/>
        <v>0</v>
      </c>
      <c r="L418" s="111"/>
      <c r="Z418" s="100">
        <f t="shared" si="441"/>
        <v>0</v>
      </c>
      <c r="AB418" s="100">
        <f t="shared" si="442"/>
        <v>0</v>
      </c>
      <c r="AC418" s="100">
        <f t="shared" si="443"/>
        <v>0</v>
      </c>
      <c r="AD418" s="100">
        <f t="shared" si="444"/>
        <v>0</v>
      </c>
      <c r="AE418" s="100">
        <f t="shared" si="445"/>
        <v>0</v>
      </c>
      <c r="AF418" s="100">
        <f t="shared" si="446"/>
        <v>0</v>
      </c>
      <c r="AG418" s="100">
        <f t="shared" si="447"/>
        <v>0</v>
      </c>
      <c r="AH418" s="100">
        <f t="shared" si="448"/>
        <v>0</v>
      </c>
      <c r="AI418" s="109"/>
      <c r="AJ418" s="108">
        <f t="shared" si="449"/>
        <v>0</v>
      </c>
      <c r="AK418" s="108">
        <f t="shared" si="450"/>
        <v>0</v>
      </c>
      <c r="AL418" s="108">
        <f t="shared" si="451"/>
        <v>0</v>
      </c>
      <c r="AN418" s="100">
        <v>15</v>
      </c>
      <c r="AO418" s="100">
        <f t="shared" si="452"/>
        <v>0</v>
      </c>
      <c r="AP418" s="100">
        <f t="shared" si="453"/>
        <v>0</v>
      </c>
      <c r="AQ418" s="111" t="s">
        <v>13</v>
      </c>
      <c r="AV418" s="100">
        <f t="shared" si="454"/>
        <v>0</v>
      </c>
      <c r="AW418" s="100">
        <f t="shared" si="455"/>
        <v>0</v>
      </c>
      <c r="AX418" s="100">
        <f t="shared" si="456"/>
        <v>0</v>
      </c>
      <c r="AY418" s="110" t="s">
        <v>1713</v>
      </c>
      <c r="AZ418" s="110" t="s">
        <v>1733</v>
      </c>
      <c r="BA418" s="109" t="s">
        <v>1737</v>
      </c>
      <c r="BC418" s="100">
        <f t="shared" si="457"/>
        <v>0</v>
      </c>
      <c r="BD418" s="100">
        <f t="shared" si="458"/>
        <v>0</v>
      </c>
      <c r="BE418" s="100">
        <v>0</v>
      </c>
      <c r="BF418" s="100">
        <f>418</f>
        <v>418</v>
      </c>
      <c r="BH418" s="108">
        <f t="shared" si="459"/>
        <v>0</v>
      </c>
      <c r="BI418" s="108">
        <f t="shared" si="460"/>
        <v>0</v>
      </c>
      <c r="BJ418" s="108">
        <f t="shared" si="461"/>
        <v>0</v>
      </c>
    </row>
    <row r="419" spans="1:62" x14ac:dyDescent="0.2">
      <c r="A419" s="117" t="s">
        <v>375</v>
      </c>
      <c r="B419" s="117" t="s">
        <v>858</v>
      </c>
      <c r="C419" s="304" t="s">
        <v>1449</v>
      </c>
      <c r="D419" s="305"/>
      <c r="E419" s="305"/>
      <c r="F419" s="117" t="s">
        <v>1647</v>
      </c>
      <c r="G419" s="116">
        <v>3</v>
      </c>
      <c r="H419" s="159"/>
      <c r="I419" s="108">
        <f t="shared" si="438"/>
        <v>0</v>
      </c>
      <c r="J419" s="108">
        <f t="shared" si="439"/>
        <v>0</v>
      </c>
      <c r="K419" s="108">
        <f t="shared" si="440"/>
        <v>0</v>
      </c>
      <c r="L419" s="111"/>
      <c r="Z419" s="100">
        <f t="shared" si="441"/>
        <v>0</v>
      </c>
      <c r="AB419" s="100">
        <f t="shared" si="442"/>
        <v>0</v>
      </c>
      <c r="AC419" s="100">
        <f t="shared" si="443"/>
        <v>0</v>
      </c>
      <c r="AD419" s="100">
        <f t="shared" si="444"/>
        <v>0</v>
      </c>
      <c r="AE419" s="100">
        <f t="shared" si="445"/>
        <v>0</v>
      </c>
      <c r="AF419" s="100">
        <f t="shared" si="446"/>
        <v>0</v>
      </c>
      <c r="AG419" s="100">
        <f t="shared" si="447"/>
        <v>0</v>
      </c>
      <c r="AH419" s="100">
        <f t="shared" si="448"/>
        <v>0</v>
      </c>
      <c r="AI419" s="109"/>
      <c r="AJ419" s="108">
        <f t="shared" si="449"/>
        <v>0</v>
      </c>
      <c r="AK419" s="108">
        <f t="shared" si="450"/>
        <v>0</v>
      </c>
      <c r="AL419" s="108">
        <f t="shared" si="451"/>
        <v>0</v>
      </c>
      <c r="AN419" s="100">
        <v>15</v>
      </c>
      <c r="AO419" s="100">
        <f t="shared" si="452"/>
        <v>0</v>
      </c>
      <c r="AP419" s="100">
        <f t="shared" si="453"/>
        <v>0</v>
      </c>
      <c r="AQ419" s="111" t="s">
        <v>13</v>
      </c>
      <c r="AV419" s="100">
        <f t="shared" si="454"/>
        <v>0</v>
      </c>
      <c r="AW419" s="100">
        <f t="shared" si="455"/>
        <v>0</v>
      </c>
      <c r="AX419" s="100">
        <f t="shared" si="456"/>
        <v>0</v>
      </c>
      <c r="AY419" s="110" t="s">
        <v>1713</v>
      </c>
      <c r="AZ419" s="110" t="s">
        <v>1733</v>
      </c>
      <c r="BA419" s="109" t="s">
        <v>1737</v>
      </c>
      <c r="BC419" s="100">
        <f t="shared" si="457"/>
        <v>0</v>
      </c>
      <c r="BD419" s="100">
        <f t="shared" si="458"/>
        <v>0</v>
      </c>
      <c r="BE419" s="100">
        <v>0</v>
      </c>
      <c r="BF419" s="100">
        <f>419</f>
        <v>419</v>
      </c>
      <c r="BH419" s="108">
        <f t="shared" si="459"/>
        <v>0</v>
      </c>
      <c r="BI419" s="108">
        <f t="shared" si="460"/>
        <v>0</v>
      </c>
      <c r="BJ419" s="108">
        <f t="shared" si="461"/>
        <v>0</v>
      </c>
    </row>
    <row r="420" spans="1:62" x14ac:dyDescent="0.2">
      <c r="A420" s="117" t="s">
        <v>376</v>
      </c>
      <c r="B420" s="117" t="s">
        <v>859</v>
      </c>
      <c r="C420" s="304" t="s">
        <v>1450</v>
      </c>
      <c r="D420" s="305"/>
      <c r="E420" s="305"/>
      <c r="F420" s="117" t="s">
        <v>1647</v>
      </c>
      <c r="G420" s="116">
        <v>3</v>
      </c>
      <c r="H420" s="159"/>
      <c r="I420" s="108">
        <f t="shared" si="438"/>
        <v>0</v>
      </c>
      <c r="J420" s="108">
        <f t="shared" si="439"/>
        <v>0</v>
      </c>
      <c r="K420" s="108">
        <f t="shared" si="440"/>
        <v>0</v>
      </c>
      <c r="L420" s="111"/>
      <c r="Z420" s="100">
        <f t="shared" si="441"/>
        <v>0</v>
      </c>
      <c r="AB420" s="100">
        <f t="shared" si="442"/>
        <v>0</v>
      </c>
      <c r="AC420" s="100">
        <f t="shared" si="443"/>
        <v>0</v>
      </c>
      <c r="AD420" s="100">
        <f t="shared" si="444"/>
        <v>0</v>
      </c>
      <c r="AE420" s="100">
        <f t="shared" si="445"/>
        <v>0</v>
      </c>
      <c r="AF420" s="100">
        <f t="shared" si="446"/>
        <v>0</v>
      </c>
      <c r="AG420" s="100">
        <f t="shared" si="447"/>
        <v>0</v>
      </c>
      <c r="AH420" s="100">
        <f t="shared" si="448"/>
        <v>0</v>
      </c>
      <c r="AI420" s="109"/>
      <c r="AJ420" s="108">
        <f t="shared" si="449"/>
        <v>0</v>
      </c>
      <c r="AK420" s="108">
        <f t="shared" si="450"/>
        <v>0</v>
      </c>
      <c r="AL420" s="108">
        <f t="shared" si="451"/>
        <v>0</v>
      </c>
      <c r="AN420" s="100">
        <v>15</v>
      </c>
      <c r="AO420" s="100">
        <f t="shared" si="452"/>
        <v>0</v>
      </c>
      <c r="AP420" s="100">
        <f t="shared" si="453"/>
        <v>0</v>
      </c>
      <c r="AQ420" s="111" t="s">
        <v>13</v>
      </c>
      <c r="AV420" s="100">
        <f t="shared" si="454"/>
        <v>0</v>
      </c>
      <c r="AW420" s="100">
        <f t="shared" si="455"/>
        <v>0</v>
      </c>
      <c r="AX420" s="100">
        <f t="shared" si="456"/>
        <v>0</v>
      </c>
      <c r="AY420" s="110" t="s">
        <v>1713</v>
      </c>
      <c r="AZ420" s="110" t="s">
        <v>1733</v>
      </c>
      <c r="BA420" s="109" t="s">
        <v>1737</v>
      </c>
      <c r="BC420" s="100">
        <f t="shared" si="457"/>
        <v>0</v>
      </c>
      <c r="BD420" s="100">
        <f t="shared" si="458"/>
        <v>0</v>
      </c>
      <c r="BE420" s="100">
        <v>0</v>
      </c>
      <c r="BF420" s="100">
        <f>420</f>
        <v>420</v>
      </c>
      <c r="BH420" s="108">
        <f t="shared" si="459"/>
        <v>0</v>
      </c>
      <c r="BI420" s="108">
        <f t="shared" si="460"/>
        <v>0</v>
      </c>
      <c r="BJ420" s="108">
        <f t="shared" si="461"/>
        <v>0</v>
      </c>
    </row>
    <row r="421" spans="1:62" x14ac:dyDescent="0.2">
      <c r="A421" s="117" t="s">
        <v>377</v>
      </c>
      <c r="B421" s="117" t="s">
        <v>860</v>
      </c>
      <c r="C421" s="304" t="s">
        <v>1451</v>
      </c>
      <c r="D421" s="305"/>
      <c r="E421" s="305"/>
      <c r="F421" s="117" t="s">
        <v>1647</v>
      </c>
      <c r="G421" s="116">
        <v>14</v>
      </c>
      <c r="H421" s="159"/>
      <c r="I421" s="108">
        <f t="shared" si="438"/>
        <v>0</v>
      </c>
      <c r="J421" s="108">
        <f t="shared" si="439"/>
        <v>0</v>
      </c>
      <c r="K421" s="108">
        <f t="shared" si="440"/>
        <v>0</v>
      </c>
      <c r="L421" s="111"/>
      <c r="Z421" s="100">
        <f t="shared" si="441"/>
        <v>0</v>
      </c>
      <c r="AB421" s="100">
        <f t="shared" si="442"/>
        <v>0</v>
      </c>
      <c r="AC421" s="100">
        <f t="shared" si="443"/>
        <v>0</v>
      </c>
      <c r="AD421" s="100">
        <f t="shared" si="444"/>
        <v>0</v>
      </c>
      <c r="AE421" s="100">
        <f t="shared" si="445"/>
        <v>0</v>
      </c>
      <c r="AF421" s="100">
        <f t="shared" si="446"/>
        <v>0</v>
      </c>
      <c r="AG421" s="100">
        <f t="shared" si="447"/>
        <v>0</v>
      </c>
      <c r="AH421" s="100">
        <f t="shared" si="448"/>
        <v>0</v>
      </c>
      <c r="AI421" s="109"/>
      <c r="AJ421" s="108">
        <f t="shared" si="449"/>
        <v>0</v>
      </c>
      <c r="AK421" s="108">
        <f t="shared" si="450"/>
        <v>0</v>
      </c>
      <c r="AL421" s="108">
        <f t="shared" si="451"/>
        <v>0</v>
      </c>
      <c r="AN421" s="100">
        <v>15</v>
      </c>
      <c r="AO421" s="100">
        <f t="shared" si="452"/>
        <v>0</v>
      </c>
      <c r="AP421" s="100">
        <f t="shared" si="453"/>
        <v>0</v>
      </c>
      <c r="AQ421" s="111" t="s">
        <v>13</v>
      </c>
      <c r="AV421" s="100">
        <f t="shared" si="454"/>
        <v>0</v>
      </c>
      <c r="AW421" s="100">
        <f t="shared" si="455"/>
        <v>0</v>
      </c>
      <c r="AX421" s="100">
        <f t="shared" si="456"/>
        <v>0</v>
      </c>
      <c r="AY421" s="110" t="s">
        <v>1713</v>
      </c>
      <c r="AZ421" s="110" t="s">
        <v>1733</v>
      </c>
      <c r="BA421" s="109" t="s">
        <v>1737</v>
      </c>
      <c r="BC421" s="100">
        <f t="shared" si="457"/>
        <v>0</v>
      </c>
      <c r="BD421" s="100">
        <f t="shared" si="458"/>
        <v>0</v>
      </c>
      <c r="BE421" s="100">
        <v>0</v>
      </c>
      <c r="BF421" s="100">
        <f>421</f>
        <v>421</v>
      </c>
      <c r="BH421" s="108">
        <f t="shared" si="459"/>
        <v>0</v>
      </c>
      <c r="BI421" s="108">
        <f t="shared" si="460"/>
        <v>0</v>
      </c>
      <c r="BJ421" s="108">
        <f t="shared" si="461"/>
        <v>0</v>
      </c>
    </row>
    <row r="422" spans="1:62" x14ac:dyDescent="0.2">
      <c r="A422" s="117" t="s">
        <v>378</v>
      </c>
      <c r="B422" s="117" t="s">
        <v>861</v>
      </c>
      <c r="C422" s="304" t="s">
        <v>1452</v>
      </c>
      <c r="D422" s="305"/>
      <c r="E422" s="305"/>
      <c r="F422" s="117" t="s">
        <v>1644</v>
      </c>
      <c r="G422" s="116">
        <v>1</v>
      </c>
      <c r="H422" s="159"/>
      <c r="I422" s="108">
        <f t="shared" si="438"/>
        <v>0</v>
      </c>
      <c r="J422" s="108">
        <f t="shared" si="439"/>
        <v>0</v>
      </c>
      <c r="K422" s="108">
        <f t="shared" si="440"/>
        <v>0</v>
      </c>
      <c r="L422" s="111"/>
      <c r="Z422" s="100">
        <f t="shared" si="441"/>
        <v>0</v>
      </c>
      <c r="AB422" s="100">
        <f t="shared" si="442"/>
        <v>0</v>
      </c>
      <c r="AC422" s="100">
        <f t="shared" si="443"/>
        <v>0</v>
      </c>
      <c r="AD422" s="100">
        <f t="shared" si="444"/>
        <v>0</v>
      </c>
      <c r="AE422" s="100">
        <f t="shared" si="445"/>
        <v>0</v>
      </c>
      <c r="AF422" s="100">
        <f t="shared" si="446"/>
        <v>0</v>
      </c>
      <c r="AG422" s="100">
        <f t="shared" si="447"/>
        <v>0</v>
      </c>
      <c r="AH422" s="100">
        <f t="shared" si="448"/>
        <v>0</v>
      </c>
      <c r="AI422" s="109"/>
      <c r="AJ422" s="108">
        <f t="shared" si="449"/>
        <v>0</v>
      </c>
      <c r="AK422" s="108">
        <f t="shared" si="450"/>
        <v>0</v>
      </c>
      <c r="AL422" s="108">
        <f t="shared" si="451"/>
        <v>0</v>
      </c>
      <c r="AN422" s="100">
        <v>15</v>
      </c>
      <c r="AO422" s="100">
        <f t="shared" si="452"/>
        <v>0</v>
      </c>
      <c r="AP422" s="100">
        <f t="shared" si="453"/>
        <v>0</v>
      </c>
      <c r="AQ422" s="111" t="s">
        <v>13</v>
      </c>
      <c r="AV422" s="100">
        <f t="shared" si="454"/>
        <v>0</v>
      </c>
      <c r="AW422" s="100">
        <f t="shared" si="455"/>
        <v>0</v>
      </c>
      <c r="AX422" s="100">
        <f t="shared" si="456"/>
        <v>0</v>
      </c>
      <c r="AY422" s="110" t="s">
        <v>1713</v>
      </c>
      <c r="AZ422" s="110" t="s">
        <v>1733</v>
      </c>
      <c r="BA422" s="109" t="s">
        <v>1737</v>
      </c>
      <c r="BC422" s="100">
        <f t="shared" si="457"/>
        <v>0</v>
      </c>
      <c r="BD422" s="100">
        <f t="shared" si="458"/>
        <v>0</v>
      </c>
      <c r="BE422" s="100">
        <v>0</v>
      </c>
      <c r="BF422" s="100">
        <f>422</f>
        <v>422</v>
      </c>
      <c r="BH422" s="108">
        <f t="shared" si="459"/>
        <v>0</v>
      </c>
      <c r="BI422" s="108">
        <f t="shared" si="460"/>
        <v>0</v>
      </c>
      <c r="BJ422" s="108">
        <f t="shared" si="461"/>
        <v>0</v>
      </c>
    </row>
    <row r="423" spans="1:62" x14ac:dyDescent="0.2">
      <c r="A423" s="117" t="s">
        <v>379</v>
      </c>
      <c r="B423" s="117" t="s">
        <v>862</v>
      </c>
      <c r="C423" s="304" t="s">
        <v>1453</v>
      </c>
      <c r="D423" s="305"/>
      <c r="E423" s="305"/>
      <c r="F423" s="117" t="s">
        <v>1645</v>
      </c>
      <c r="G423" s="116">
        <v>13</v>
      </c>
      <c r="H423" s="159"/>
      <c r="I423" s="108">
        <f t="shared" si="438"/>
        <v>0</v>
      </c>
      <c r="J423" s="108">
        <f t="shared" si="439"/>
        <v>0</v>
      </c>
      <c r="K423" s="108">
        <f t="shared" si="440"/>
        <v>0</v>
      </c>
      <c r="L423" s="111"/>
      <c r="Z423" s="100">
        <f t="shared" si="441"/>
        <v>0</v>
      </c>
      <c r="AB423" s="100">
        <f t="shared" si="442"/>
        <v>0</v>
      </c>
      <c r="AC423" s="100">
        <f t="shared" si="443"/>
        <v>0</v>
      </c>
      <c r="AD423" s="100">
        <f t="shared" si="444"/>
        <v>0</v>
      </c>
      <c r="AE423" s="100">
        <f t="shared" si="445"/>
        <v>0</v>
      </c>
      <c r="AF423" s="100">
        <f t="shared" si="446"/>
        <v>0</v>
      </c>
      <c r="AG423" s="100">
        <f t="shared" si="447"/>
        <v>0</v>
      </c>
      <c r="AH423" s="100">
        <f t="shared" si="448"/>
        <v>0</v>
      </c>
      <c r="AI423" s="109"/>
      <c r="AJ423" s="108">
        <f t="shared" si="449"/>
        <v>0</v>
      </c>
      <c r="AK423" s="108">
        <f t="shared" si="450"/>
        <v>0</v>
      </c>
      <c r="AL423" s="108">
        <f t="shared" si="451"/>
        <v>0</v>
      </c>
      <c r="AN423" s="100">
        <v>15</v>
      </c>
      <c r="AO423" s="100">
        <f t="shared" si="452"/>
        <v>0</v>
      </c>
      <c r="AP423" s="100">
        <f t="shared" si="453"/>
        <v>0</v>
      </c>
      <c r="AQ423" s="111" t="s">
        <v>13</v>
      </c>
      <c r="AV423" s="100">
        <f t="shared" si="454"/>
        <v>0</v>
      </c>
      <c r="AW423" s="100">
        <f t="shared" si="455"/>
        <v>0</v>
      </c>
      <c r="AX423" s="100">
        <f t="shared" si="456"/>
        <v>0</v>
      </c>
      <c r="AY423" s="110" t="s">
        <v>1713</v>
      </c>
      <c r="AZ423" s="110" t="s">
        <v>1733</v>
      </c>
      <c r="BA423" s="109" t="s">
        <v>1737</v>
      </c>
      <c r="BC423" s="100">
        <f t="shared" si="457"/>
        <v>0</v>
      </c>
      <c r="BD423" s="100">
        <f t="shared" si="458"/>
        <v>0</v>
      </c>
      <c r="BE423" s="100">
        <v>0</v>
      </c>
      <c r="BF423" s="100">
        <f>423</f>
        <v>423</v>
      </c>
      <c r="BH423" s="108">
        <f t="shared" si="459"/>
        <v>0</v>
      </c>
      <c r="BI423" s="108">
        <f t="shared" si="460"/>
        <v>0</v>
      </c>
      <c r="BJ423" s="108">
        <f t="shared" si="461"/>
        <v>0</v>
      </c>
    </row>
    <row r="424" spans="1:62" x14ac:dyDescent="0.2">
      <c r="A424" s="117" t="s">
        <v>380</v>
      </c>
      <c r="B424" s="117" t="s">
        <v>863</v>
      </c>
      <c r="C424" s="304" t="s">
        <v>2325</v>
      </c>
      <c r="D424" s="305"/>
      <c r="E424" s="305"/>
      <c r="F424" s="117" t="s">
        <v>1645</v>
      </c>
      <c r="G424" s="116">
        <v>1</v>
      </c>
      <c r="H424" s="159"/>
      <c r="I424" s="108">
        <f t="shared" si="438"/>
        <v>0</v>
      </c>
      <c r="J424" s="108">
        <f t="shared" si="439"/>
        <v>0</v>
      </c>
      <c r="K424" s="108">
        <f t="shared" si="440"/>
        <v>0</v>
      </c>
      <c r="L424" s="111"/>
      <c r="Z424" s="100">
        <f t="shared" si="441"/>
        <v>0</v>
      </c>
      <c r="AB424" s="100">
        <f t="shared" si="442"/>
        <v>0</v>
      </c>
      <c r="AC424" s="100">
        <f t="shared" si="443"/>
        <v>0</v>
      </c>
      <c r="AD424" s="100">
        <f t="shared" si="444"/>
        <v>0</v>
      </c>
      <c r="AE424" s="100">
        <f t="shared" si="445"/>
        <v>0</v>
      </c>
      <c r="AF424" s="100">
        <f t="shared" si="446"/>
        <v>0</v>
      </c>
      <c r="AG424" s="100">
        <f t="shared" si="447"/>
        <v>0</v>
      </c>
      <c r="AH424" s="100">
        <f t="shared" si="448"/>
        <v>0</v>
      </c>
      <c r="AI424" s="109"/>
      <c r="AJ424" s="108">
        <f t="shared" si="449"/>
        <v>0</v>
      </c>
      <c r="AK424" s="108">
        <f t="shared" si="450"/>
        <v>0</v>
      </c>
      <c r="AL424" s="108">
        <f t="shared" si="451"/>
        <v>0</v>
      </c>
      <c r="AN424" s="100">
        <v>15</v>
      </c>
      <c r="AO424" s="100">
        <f t="shared" si="452"/>
        <v>0</v>
      </c>
      <c r="AP424" s="100">
        <f t="shared" si="453"/>
        <v>0</v>
      </c>
      <c r="AQ424" s="111" t="s">
        <v>13</v>
      </c>
      <c r="AV424" s="100">
        <f t="shared" si="454"/>
        <v>0</v>
      </c>
      <c r="AW424" s="100">
        <f t="shared" si="455"/>
        <v>0</v>
      </c>
      <c r="AX424" s="100">
        <f t="shared" si="456"/>
        <v>0</v>
      </c>
      <c r="AY424" s="110" t="s">
        <v>1713</v>
      </c>
      <c r="AZ424" s="110" t="s">
        <v>1733</v>
      </c>
      <c r="BA424" s="109" t="s">
        <v>1737</v>
      </c>
      <c r="BC424" s="100">
        <f t="shared" si="457"/>
        <v>0</v>
      </c>
      <c r="BD424" s="100">
        <f t="shared" si="458"/>
        <v>0</v>
      </c>
      <c r="BE424" s="100">
        <v>0</v>
      </c>
      <c r="BF424" s="100">
        <f>424</f>
        <v>424</v>
      </c>
      <c r="BH424" s="108">
        <f t="shared" si="459"/>
        <v>0</v>
      </c>
      <c r="BI424" s="108">
        <f t="shared" si="460"/>
        <v>0</v>
      </c>
      <c r="BJ424" s="108">
        <f t="shared" si="461"/>
        <v>0</v>
      </c>
    </row>
    <row r="425" spans="1:62" x14ac:dyDescent="0.2">
      <c r="A425" s="117" t="s">
        <v>381</v>
      </c>
      <c r="B425" s="117" t="s">
        <v>864</v>
      </c>
      <c r="C425" s="304" t="s">
        <v>1454</v>
      </c>
      <c r="D425" s="305"/>
      <c r="E425" s="305"/>
      <c r="F425" s="117" t="s">
        <v>1652</v>
      </c>
      <c r="G425" s="116">
        <v>1</v>
      </c>
      <c r="H425" s="159"/>
      <c r="I425" s="108">
        <f t="shared" si="438"/>
        <v>0</v>
      </c>
      <c r="J425" s="108">
        <f t="shared" si="439"/>
        <v>0</v>
      </c>
      <c r="K425" s="108">
        <f t="shared" si="440"/>
        <v>0</v>
      </c>
      <c r="L425" s="111"/>
      <c r="Z425" s="100">
        <f t="shared" si="441"/>
        <v>0</v>
      </c>
      <c r="AB425" s="100">
        <f t="shared" si="442"/>
        <v>0</v>
      </c>
      <c r="AC425" s="100">
        <f t="shared" si="443"/>
        <v>0</v>
      </c>
      <c r="AD425" s="100">
        <f t="shared" si="444"/>
        <v>0</v>
      </c>
      <c r="AE425" s="100">
        <f t="shared" si="445"/>
        <v>0</v>
      </c>
      <c r="AF425" s="100">
        <f t="shared" si="446"/>
        <v>0</v>
      </c>
      <c r="AG425" s="100">
        <f t="shared" si="447"/>
        <v>0</v>
      </c>
      <c r="AH425" s="100">
        <f t="shared" si="448"/>
        <v>0</v>
      </c>
      <c r="AI425" s="109"/>
      <c r="AJ425" s="108">
        <f t="shared" si="449"/>
        <v>0</v>
      </c>
      <c r="AK425" s="108">
        <f t="shared" si="450"/>
        <v>0</v>
      </c>
      <c r="AL425" s="108">
        <f t="shared" si="451"/>
        <v>0</v>
      </c>
      <c r="AN425" s="100">
        <v>15</v>
      </c>
      <c r="AO425" s="100">
        <f t="shared" si="452"/>
        <v>0</v>
      </c>
      <c r="AP425" s="100">
        <f t="shared" si="453"/>
        <v>0</v>
      </c>
      <c r="AQ425" s="111" t="s">
        <v>13</v>
      </c>
      <c r="AV425" s="100">
        <f t="shared" si="454"/>
        <v>0</v>
      </c>
      <c r="AW425" s="100">
        <f t="shared" si="455"/>
        <v>0</v>
      </c>
      <c r="AX425" s="100">
        <f t="shared" si="456"/>
        <v>0</v>
      </c>
      <c r="AY425" s="110" t="s">
        <v>1713</v>
      </c>
      <c r="AZ425" s="110" t="s">
        <v>1733</v>
      </c>
      <c r="BA425" s="109" t="s">
        <v>1737</v>
      </c>
      <c r="BC425" s="100">
        <f t="shared" si="457"/>
        <v>0</v>
      </c>
      <c r="BD425" s="100">
        <f t="shared" si="458"/>
        <v>0</v>
      </c>
      <c r="BE425" s="100">
        <v>0</v>
      </c>
      <c r="BF425" s="100">
        <f>425</f>
        <v>425</v>
      </c>
      <c r="BH425" s="108">
        <f t="shared" si="459"/>
        <v>0</v>
      </c>
      <c r="BI425" s="108">
        <f t="shared" si="460"/>
        <v>0</v>
      </c>
      <c r="BJ425" s="108">
        <f t="shared" si="461"/>
        <v>0</v>
      </c>
    </row>
    <row r="426" spans="1:62" x14ac:dyDescent="0.2">
      <c r="A426" s="117" t="s">
        <v>382</v>
      </c>
      <c r="B426" s="117" t="s">
        <v>865</v>
      </c>
      <c r="C426" s="304" t="s">
        <v>1455</v>
      </c>
      <c r="D426" s="305"/>
      <c r="E426" s="305"/>
      <c r="F426" s="117" t="s">
        <v>1652</v>
      </c>
      <c r="G426" s="116">
        <v>1</v>
      </c>
      <c r="H426" s="159"/>
      <c r="I426" s="108">
        <f t="shared" si="438"/>
        <v>0</v>
      </c>
      <c r="J426" s="108">
        <f t="shared" si="439"/>
        <v>0</v>
      </c>
      <c r="K426" s="108">
        <f t="shared" si="440"/>
        <v>0</v>
      </c>
      <c r="L426" s="111"/>
      <c r="Z426" s="100">
        <f t="shared" si="441"/>
        <v>0</v>
      </c>
      <c r="AB426" s="100">
        <f t="shared" si="442"/>
        <v>0</v>
      </c>
      <c r="AC426" s="100">
        <f t="shared" si="443"/>
        <v>0</v>
      </c>
      <c r="AD426" s="100">
        <f t="shared" si="444"/>
        <v>0</v>
      </c>
      <c r="AE426" s="100">
        <f t="shared" si="445"/>
        <v>0</v>
      </c>
      <c r="AF426" s="100">
        <f t="shared" si="446"/>
        <v>0</v>
      </c>
      <c r="AG426" s="100">
        <f t="shared" si="447"/>
        <v>0</v>
      </c>
      <c r="AH426" s="100">
        <f t="shared" si="448"/>
        <v>0</v>
      </c>
      <c r="AI426" s="109"/>
      <c r="AJ426" s="108">
        <f t="shared" si="449"/>
        <v>0</v>
      </c>
      <c r="AK426" s="108">
        <f t="shared" si="450"/>
        <v>0</v>
      </c>
      <c r="AL426" s="108">
        <f t="shared" si="451"/>
        <v>0</v>
      </c>
      <c r="AN426" s="100">
        <v>15</v>
      </c>
      <c r="AO426" s="100">
        <f t="shared" si="452"/>
        <v>0</v>
      </c>
      <c r="AP426" s="100">
        <f t="shared" si="453"/>
        <v>0</v>
      </c>
      <c r="AQ426" s="111" t="s">
        <v>13</v>
      </c>
      <c r="AV426" s="100">
        <f t="shared" si="454"/>
        <v>0</v>
      </c>
      <c r="AW426" s="100">
        <f t="shared" si="455"/>
        <v>0</v>
      </c>
      <c r="AX426" s="100">
        <f t="shared" si="456"/>
        <v>0</v>
      </c>
      <c r="AY426" s="110" t="s">
        <v>1713</v>
      </c>
      <c r="AZ426" s="110" t="s">
        <v>1733</v>
      </c>
      <c r="BA426" s="109" t="s">
        <v>1737</v>
      </c>
      <c r="BC426" s="100">
        <f t="shared" si="457"/>
        <v>0</v>
      </c>
      <c r="BD426" s="100">
        <f t="shared" si="458"/>
        <v>0</v>
      </c>
      <c r="BE426" s="100">
        <v>0</v>
      </c>
      <c r="BF426" s="100">
        <f>426</f>
        <v>426</v>
      </c>
      <c r="BH426" s="108">
        <f t="shared" si="459"/>
        <v>0</v>
      </c>
      <c r="BI426" s="108">
        <f t="shared" si="460"/>
        <v>0</v>
      </c>
      <c r="BJ426" s="108">
        <f t="shared" si="461"/>
        <v>0</v>
      </c>
    </row>
    <row r="427" spans="1:62" x14ac:dyDescent="0.2">
      <c r="A427" s="117" t="s">
        <v>383</v>
      </c>
      <c r="B427" s="117" t="s">
        <v>866</v>
      </c>
      <c r="C427" s="304" t="s">
        <v>1456</v>
      </c>
      <c r="D427" s="305"/>
      <c r="E427" s="305"/>
      <c r="F427" s="117" t="s">
        <v>1652</v>
      </c>
      <c r="G427" s="116">
        <v>1</v>
      </c>
      <c r="H427" s="159"/>
      <c r="I427" s="108">
        <f t="shared" si="438"/>
        <v>0</v>
      </c>
      <c r="J427" s="108">
        <f t="shared" si="439"/>
        <v>0</v>
      </c>
      <c r="K427" s="108">
        <f t="shared" si="440"/>
        <v>0</v>
      </c>
      <c r="L427" s="111"/>
      <c r="Z427" s="100">
        <f t="shared" si="441"/>
        <v>0</v>
      </c>
      <c r="AB427" s="100">
        <f t="shared" si="442"/>
        <v>0</v>
      </c>
      <c r="AC427" s="100">
        <f t="shared" si="443"/>
        <v>0</v>
      </c>
      <c r="AD427" s="100">
        <f t="shared" si="444"/>
        <v>0</v>
      </c>
      <c r="AE427" s="100">
        <f t="shared" si="445"/>
        <v>0</v>
      </c>
      <c r="AF427" s="100">
        <f t="shared" si="446"/>
        <v>0</v>
      </c>
      <c r="AG427" s="100">
        <f t="shared" si="447"/>
        <v>0</v>
      </c>
      <c r="AH427" s="100">
        <f t="shared" si="448"/>
        <v>0</v>
      </c>
      <c r="AI427" s="109"/>
      <c r="AJ427" s="108">
        <f t="shared" si="449"/>
        <v>0</v>
      </c>
      <c r="AK427" s="108">
        <f t="shared" si="450"/>
        <v>0</v>
      </c>
      <c r="AL427" s="108">
        <f t="shared" si="451"/>
        <v>0</v>
      </c>
      <c r="AN427" s="100">
        <v>15</v>
      </c>
      <c r="AO427" s="100">
        <f t="shared" si="452"/>
        <v>0</v>
      </c>
      <c r="AP427" s="100">
        <f t="shared" si="453"/>
        <v>0</v>
      </c>
      <c r="AQ427" s="111" t="s">
        <v>13</v>
      </c>
      <c r="AV427" s="100">
        <f t="shared" si="454"/>
        <v>0</v>
      </c>
      <c r="AW427" s="100">
        <f t="shared" si="455"/>
        <v>0</v>
      </c>
      <c r="AX427" s="100">
        <f t="shared" si="456"/>
        <v>0</v>
      </c>
      <c r="AY427" s="110" t="s">
        <v>1713</v>
      </c>
      <c r="AZ427" s="110" t="s">
        <v>1733</v>
      </c>
      <c r="BA427" s="109" t="s">
        <v>1737</v>
      </c>
      <c r="BC427" s="100">
        <f t="shared" si="457"/>
        <v>0</v>
      </c>
      <c r="BD427" s="100">
        <f t="shared" si="458"/>
        <v>0</v>
      </c>
      <c r="BE427" s="100">
        <v>0</v>
      </c>
      <c r="BF427" s="100">
        <f>427</f>
        <v>427</v>
      </c>
      <c r="BH427" s="108">
        <f t="shared" si="459"/>
        <v>0</v>
      </c>
      <c r="BI427" s="108">
        <f t="shared" si="460"/>
        <v>0</v>
      </c>
      <c r="BJ427" s="108">
        <f t="shared" si="461"/>
        <v>0</v>
      </c>
    </row>
    <row r="428" spans="1:62" x14ac:dyDescent="0.2">
      <c r="A428" s="117" t="s">
        <v>384</v>
      </c>
      <c r="B428" s="117" t="s">
        <v>867</v>
      </c>
      <c r="C428" s="304" t="s">
        <v>1420</v>
      </c>
      <c r="D428" s="305"/>
      <c r="E428" s="305"/>
      <c r="F428" s="117" t="s">
        <v>1652</v>
      </c>
      <c r="G428" s="116">
        <v>1</v>
      </c>
      <c r="H428" s="159"/>
      <c r="I428" s="108">
        <f t="shared" si="438"/>
        <v>0</v>
      </c>
      <c r="J428" s="108">
        <f t="shared" si="439"/>
        <v>0</v>
      </c>
      <c r="K428" s="108">
        <f t="shared" si="440"/>
        <v>0</v>
      </c>
      <c r="L428" s="111"/>
      <c r="Z428" s="100">
        <f t="shared" si="441"/>
        <v>0</v>
      </c>
      <c r="AB428" s="100">
        <f t="shared" si="442"/>
        <v>0</v>
      </c>
      <c r="AC428" s="100">
        <f t="shared" si="443"/>
        <v>0</v>
      </c>
      <c r="AD428" s="100">
        <f t="shared" si="444"/>
        <v>0</v>
      </c>
      <c r="AE428" s="100">
        <f t="shared" si="445"/>
        <v>0</v>
      </c>
      <c r="AF428" s="100">
        <f t="shared" si="446"/>
        <v>0</v>
      </c>
      <c r="AG428" s="100">
        <f t="shared" si="447"/>
        <v>0</v>
      </c>
      <c r="AH428" s="100">
        <f t="shared" si="448"/>
        <v>0</v>
      </c>
      <c r="AI428" s="109"/>
      <c r="AJ428" s="108">
        <f t="shared" si="449"/>
        <v>0</v>
      </c>
      <c r="AK428" s="108">
        <f t="shared" si="450"/>
        <v>0</v>
      </c>
      <c r="AL428" s="108">
        <f t="shared" si="451"/>
        <v>0</v>
      </c>
      <c r="AN428" s="100">
        <v>15</v>
      </c>
      <c r="AO428" s="100">
        <f t="shared" si="452"/>
        <v>0</v>
      </c>
      <c r="AP428" s="100">
        <f t="shared" si="453"/>
        <v>0</v>
      </c>
      <c r="AQ428" s="111" t="s">
        <v>13</v>
      </c>
      <c r="AV428" s="100">
        <f t="shared" si="454"/>
        <v>0</v>
      </c>
      <c r="AW428" s="100">
        <f t="shared" si="455"/>
        <v>0</v>
      </c>
      <c r="AX428" s="100">
        <f t="shared" si="456"/>
        <v>0</v>
      </c>
      <c r="AY428" s="110" t="s">
        <v>1713</v>
      </c>
      <c r="AZ428" s="110" t="s">
        <v>1733</v>
      </c>
      <c r="BA428" s="109" t="s">
        <v>1737</v>
      </c>
      <c r="BC428" s="100">
        <f t="shared" si="457"/>
        <v>0</v>
      </c>
      <c r="BD428" s="100">
        <f t="shared" si="458"/>
        <v>0</v>
      </c>
      <c r="BE428" s="100">
        <v>0</v>
      </c>
      <c r="BF428" s="100">
        <f>428</f>
        <v>428</v>
      </c>
      <c r="BH428" s="108">
        <f t="shared" si="459"/>
        <v>0</v>
      </c>
      <c r="BI428" s="108">
        <f t="shared" si="460"/>
        <v>0</v>
      </c>
      <c r="BJ428" s="108">
        <f t="shared" si="461"/>
        <v>0</v>
      </c>
    </row>
    <row r="429" spans="1:62" x14ac:dyDescent="0.2">
      <c r="A429" s="117" t="s">
        <v>385</v>
      </c>
      <c r="B429" s="117" t="s">
        <v>868</v>
      </c>
      <c r="C429" s="304" t="s">
        <v>1421</v>
      </c>
      <c r="D429" s="305"/>
      <c r="E429" s="305"/>
      <c r="F429" s="117" t="s">
        <v>1652</v>
      </c>
      <c r="G429" s="116">
        <v>1</v>
      </c>
      <c r="H429" s="159"/>
      <c r="I429" s="108">
        <f t="shared" si="438"/>
        <v>0</v>
      </c>
      <c r="J429" s="108">
        <f t="shared" si="439"/>
        <v>0</v>
      </c>
      <c r="K429" s="108">
        <f t="shared" si="440"/>
        <v>0</v>
      </c>
      <c r="L429" s="111"/>
      <c r="Z429" s="100">
        <f t="shared" si="441"/>
        <v>0</v>
      </c>
      <c r="AB429" s="100">
        <f t="shared" si="442"/>
        <v>0</v>
      </c>
      <c r="AC429" s="100">
        <f t="shared" si="443"/>
        <v>0</v>
      </c>
      <c r="AD429" s="100">
        <f t="shared" si="444"/>
        <v>0</v>
      </c>
      <c r="AE429" s="100">
        <f t="shared" si="445"/>
        <v>0</v>
      </c>
      <c r="AF429" s="100">
        <f t="shared" si="446"/>
        <v>0</v>
      </c>
      <c r="AG429" s="100">
        <f t="shared" si="447"/>
        <v>0</v>
      </c>
      <c r="AH429" s="100">
        <f t="shared" si="448"/>
        <v>0</v>
      </c>
      <c r="AI429" s="109"/>
      <c r="AJ429" s="108">
        <f t="shared" si="449"/>
        <v>0</v>
      </c>
      <c r="AK429" s="108">
        <f t="shared" si="450"/>
        <v>0</v>
      </c>
      <c r="AL429" s="108">
        <f t="shared" si="451"/>
        <v>0</v>
      </c>
      <c r="AN429" s="100">
        <v>15</v>
      </c>
      <c r="AO429" s="100">
        <f t="shared" si="452"/>
        <v>0</v>
      </c>
      <c r="AP429" s="100">
        <f t="shared" si="453"/>
        <v>0</v>
      </c>
      <c r="AQ429" s="111" t="s">
        <v>13</v>
      </c>
      <c r="AV429" s="100">
        <f t="shared" si="454"/>
        <v>0</v>
      </c>
      <c r="AW429" s="100">
        <f t="shared" si="455"/>
        <v>0</v>
      </c>
      <c r="AX429" s="100">
        <f t="shared" si="456"/>
        <v>0</v>
      </c>
      <c r="AY429" s="110" t="s">
        <v>1713</v>
      </c>
      <c r="AZ429" s="110" t="s">
        <v>1733</v>
      </c>
      <c r="BA429" s="109" t="s">
        <v>1737</v>
      </c>
      <c r="BC429" s="100">
        <f t="shared" si="457"/>
        <v>0</v>
      </c>
      <c r="BD429" s="100">
        <f t="shared" si="458"/>
        <v>0</v>
      </c>
      <c r="BE429" s="100">
        <v>0</v>
      </c>
      <c r="BF429" s="100">
        <f>429</f>
        <v>429</v>
      </c>
      <c r="BH429" s="108">
        <f t="shared" si="459"/>
        <v>0</v>
      </c>
      <c r="BI429" s="108">
        <f t="shared" si="460"/>
        <v>0</v>
      </c>
      <c r="BJ429" s="108">
        <f t="shared" si="461"/>
        <v>0</v>
      </c>
    </row>
    <row r="430" spans="1:62" x14ac:dyDescent="0.2">
      <c r="A430" s="117" t="s">
        <v>386</v>
      </c>
      <c r="B430" s="117" t="s">
        <v>1992</v>
      </c>
      <c r="C430" s="304" t="s">
        <v>1457</v>
      </c>
      <c r="D430" s="305"/>
      <c r="E430" s="305"/>
      <c r="F430" s="117" t="s">
        <v>1652</v>
      </c>
      <c r="G430" s="116">
        <v>1</v>
      </c>
      <c r="H430" s="159"/>
      <c r="I430" s="108">
        <f t="shared" si="438"/>
        <v>0</v>
      </c>
      <c r="J430" s="108">
        <f t="shared" si="439"/>
        <v>0</v>
      </c>
      <c r="K430" s="108">
        <f t="shared" si="440"/>
        <v>0</v>
      </c>
      <c r="L430" s="111"/>
      <c r="Z430" s="100">
        <f t="shared" si="441"/>
        <v>0</v>
      </c>
      <c r="AB430" s="100">
        <f t="shared" si="442"/>
        <v>0</v>
      </c>
      <c r="AC430" s="100">
        <f t="shared" si="443"/>
        <v>0</v>
      </c>
      <c r="AD430" s="100">
        <f t="shared" si="444"/>
        <v>0</v>
      </c>
      <c r="AE430" s="100">
        <f t="shared" si="445"/>
        <v>0</v>
      </c>
      <c r="AF430" s="100">
        <f t="shared" si="446"/>
        <v>0</v>
      </c>
      <c r="AG430" s="100">
        <f t="shared" si="447"/>
        <v>0</v>
      </c>
      <c r="AH430" s="100">
        <f t="shared" si="448"/>
        <v>0</v>
      </c>
      <c r="AI430" s="109"/>
      <c r="AJ430" s="108">
        <f t="shared" si="449"/>
        <v>0</v>
      </c>
      <c r="AK430" s="108">
        <f t="shared" si="450"/>
        <v>0</v>
      </c>
      <c r="AL430" s="108">
        <f t="shared" si="451"/>
        <v>0</v>
      </c>
      <c r="AN430" s="100">
        <v>15</v>
      </c>
      <c r="AO430" s="100">
        <f t="shared" si="452"/>
        <v>0</v>
      </c>
      <c r="AP430" s="100">
        <f t="shared" si="453"/>
        <v>0</v>
      </c>
      <c r="AQ430" s="111" t="s">
        <v>13</v>
      </c>
      <c r="AV430" s="100">
        <f t="shared" si="454"/>
        <v>0</v>
      </c>
      <c r="AW430" s="100">
        <f t="shared" si="455"/>
        <v>0</v>
      </c>
      <c r="AX430" s="100">
        <f t="shared" si="456"/>
        <v>0</v>
      </c>
      <c r="AY430" s="110" t="s">
        <v>1713</v>
      </c>
      <c r="AZ430" s="110" t="s">
        <v>1733</v>
      </c>
      <c r="BA430" s="109" t="s">
        <v>1737</v>
      </c>
      <c r="BC430" s="100">
        <f t="shared" si="457"/>
        <v>0</v>
      </c>
      <c r="BD430" s="100">
        <f t="shared" si="458"/>
        <v>0</v>
      </c>
      <c r="BE430" s="100">
        <v>0</v>
      </c>
      <c r="BF430" s="100">
        <f>430</f>
        <v>430</v>
      </c>
      <c r="BH430" s="108">
        <f t="shared" si="459"/>
        <v>0</v>
      </c>
      <c r="BI430" s="108">
        <f t="shared" si="460"/>
        <v>0</v>
      </c>
      <c r="BJ430" s="108">
        <f t="shared" si="461"/>
        <v>0</v>
      </c>
    </row>
    <row r="431" spans="1:62" x14ac:dyDescent="0.2">
      <c r="A431" s="119"/>
      <c r="B431" s="120" t="s">
        <v>869</v>
      </c>
      <c r="C431" s="306" t="s">
        <v>1458</v>
      </c>
      <c r="D431" s="307"/>
      <c r="E431" s="307"/>
      <c r="F431" s="119" t="s">
        <v>6</v>
      </c>
      <c r="G431" s="119" t="s">
        <v>6</v>
      </c>
      <c r="H431" s="119" t="s">
        <v>6</v>
      </c>
      <c r="I431" s="118">
        <f>SUM(I432:I446)</f>
        <v>0</v>
      </c>
      <c r="J431" s="118">
        <f>SUM(J432:J446)</f>
        <v>0</v>
      </c>
      <c r="K431" s="118">
        <f>SUM(K432:K446)</f>
        <v>0</v>
      </c>
      <c r="L431" s="109"/>
      <c r="AI431" s="109"/>
      <c r="AS431" s="118">
        <f>SUM(AJ432:AJ446)</f>
        <v>0</v>
      </c>
      <c r="AT431" s="118">
        <f>SUM(AK432:AK446)</f>
        <v>0</v>
      </c>
      <c r="AU431" s="118">
        <f>SUM(AL432:AL446)</f>
        <v>0</v>
      </c>
    </row>
    <row r="432" spans="1:62" x14ac:dyDescent="0.2">
      <c r="A432" s="117" t="s">
        <v>387</v>
      </c>
      <c r="B432" s="117" t="s">
        <v>870</v>
      </c>
      <c r="C432" s="304" t="s">
        <v>1459</v>
      </c>
      <c r="D432" s="305"/>
      <c r="E432" s="305"/>
      <c r="F432" s="117" t="s">
        <v>1644</v>
      </c>
      <c r="G432" s="116">
        <v>3</v>
      </c>
      <c r="H432" s="159"/>
      <c r="I432" s="108">
        <f t="shared" ref="I432:I446" si="462">G432*AO432</f>
        <v>0</v>
      </c>
      <c r="J432" s="108">
        <f t="shared" ref="J432:J446" si="463">G432*AP432</f>
        <v>0</v>
      </c>
      <c r="K432" s="108">
        <f t="shared" ref="K432:K446" si="464">G432*H432</f>
        <v>0</v>
      </c>
      <c r="L432" s="111" t="s">
        <v>1671</v>
      </c>
      <c r="Z432" s="100">
        <f t="shared" ref="Z432:Z446" si="465">IF(AQ432="5",BJ432,0)</f>
        <v>0</v>
      </c>
      <c r="AB432" s="100">
        <f t="shared" ref="AB432:AB446" si="466">IF(AQ432="1",BH432,0)</f>
        <v>0</v>
      </c>
      <c r="AC432" s="100">
        <f t="shared" ref="AC432:AC446" si="467">IF(AQ432="1",BI432,0)</f>
        <v>0</v>
      </c>
      <c r="AD432" s="100">
        <f t="shared" ref="AD432:AD446" si="468">IF(AQ432="7",BH432,0)</f>
        <v>0</v>
      </c>
      <c r="AE432" s="100">
        <f t="shared" ref="AE432:AE446" si="469">IF(AQ432="7",BI432,0)</f>
        <v>0</v>
      </c>
      <c r="AF432" s="100">
        <f t="shared" ref="AF432:AF446" si="470">IF(AQ432="2",BH432,0)</f>
        <v>0</v>
      </c>
      <c r="AG432" s="100">
        <f t="shared" ref="AG432:AG446" si="471">IF(AQ432="2",BI432,0)</f>
        <v>0</v>
      </c>
      <c r="AH432" s="100">
        <f t="shared" ref="AH432:AH446" si="472">IF(AQ432="0",BJ432,0)</f>
        <v>0</v>
      </c>
      <c r="AI432" s="109"/>
      <c r="AJ432" s="108">
        <f t="shared" ref="AJ432:AJ446" si="473">IF(AN432=0,K432,0)</f>
        <v>0</v>
      </c>
      <c r="AK432" s="108">
        <f t="shared" ref="AK432:AK446" si="474">IF(AN432=15,K432,0)</f>
        <v>0</v>
      </c>
      <c r="AL432" s="108">
        <f t="shared" ref="AL432:AL446" si="475">IF(AN432=21,K432,0)</f>
        <v>0</v>
      </c>
      <c r="AN432" s="100">
        <v>15</v>
      </c>
      <c r="AO432" s="100">
        <f>H432*0.0692044609665427</f>
        <v>0</v>
      </c>
      <c r="AP432" s="100">
        <f>H432*(1-0.0692044609665427)</f>
        <v>0</v>
      </c>
      <c r="AQ432" s="111" t="s">
        <v>13</v>
      </c>
      <c r="AV432" s="100">
        <f t="shared" ref="AV432:AV446" si="476">AW432+AX432</f>
        <v>0</v>
      </c>
      <c r="AW432" s="100">
        <f t="shared" ref="AW432:AW446" si="477">G432*AO432</f>
        <v>0</v>
      </c>
      <c r="AX432" s="100">
        <f t="shared" ref="AX432:AX446" si="478">G432*AP432</f>
        <v>0</v>
      </c>
      <c r="AY432" s="110" t="s">
        <v>1714</v>
      </c>
      <c r="AZ432" s="110" t="s">
        <v>1734</v>
      </c>
      <c r="BA432" s="109" t="s">
        <v>1737</v>
      </c>
      <c r="BC432" s="100">
        <f t="shared" ref="BC432:BC446" si="479">AW432+AX432</f>
        <v>0</v>
      </c>
      <c r="BD432" s="100">
        <f t="shared" ref="BD432:BD446" si="480">H432/(100-BE432)*100</f>
        <v>0</v>
      </c>
      <c r="BE432" s="100">
        <v>0</v>
      </c>
      <c r="BF432" s="100">
        <f>432</f>
        <v>432</v>
      </c>
      <c r="BH432" s="108">
        <f t="shared" ref="BH432:BH446" si="481">G432*AO432</f>
        <v>0</v>
      </c>
      <c r="BI432" s="108">
        <f t="shared" ref="BI432:BI446" si="482">G432*AP432</f>
        <v>0</v>
      </c>
      <c r="BJ432" s="108">
        <f t="shared" ref="BJ432:BJ446" si="483">G432*H432</f>
        <v>0</v>
      </c>
    </row>
    <row r="433" spans="1:62" x14ac:dyDescent="0.2">
      <c r="A433" s="117" t="s">
        <v>388</v>
      </c>
      <c r="B433" s="117" t="s">
        <v>871</v>
      </c>
      <c r="C433" s="304" t="s">
        <v>1460</v>
      </c>
      <c r="D433" s="305"/>
      <c r="E433" s="305"/>
      <c r="F433" s="117" t="s">
        <v>1645</v>
      </c>
      <c r="G433" s="116">
        <v>302</v>
      </c>
      <c r="H433" s="159"/>
      <c r="I433" s="108">
        <f t="shared" si="462"/>
        <v>0</v>
      </c>
      <c r="J433" s="108">
        <f t="shared" si="463"/>
        <v>0</v>
      </c>
      <c r="K433" s="108">
        <f t="shared" si="464"/>
        <v>0</v>
      </c>
      <c r="L433" s="111" t="s">
        <v>1671</v>
      </c>
      <c r="Z433" s="100">
        <f t="shared" si="465"/>
        <v>0</v>
      </c>
      <c r="AB433" s="100">
        <f t="shared" si="466"/>
        <v>0</v>
      </c>
      <c r="AC433" s="100">
        <f t="shared" si="467"/>
        <v>0</v>
      </c>
      <c r="AD433" s="100">
        <f t="shared" si="468"/>
        <v>0</v>
      </c>
      <c r="AE433" s="100">
        <f t="shared" si="469"/>
        <v>0</v>
      </c>
      <c r="AF433" s="100">
        <f t="shared" si="470"/>
        <v>0</v>
      </c>
      <c r="AG433" s="100">
        <f t="shared" si="471"/>
        <v>0</v>
      </c>
      <c r="AH433" s="100">
        <f t="shared" si="472"/>
        <v>0</v>
      </c>
      <c r="AI433" s="109"/>
      <c r="AJ433" s="108">
        <f t="shared" si="473"/>
        <v>0</v>
      </c>
      <c r="AK433" s="108">
        <f t="shared" si="474"/>
        <v>0</v>
      </c>
      <c r="AL433" s="108">
        <f t="shared" si="475"/>
        <v>0</v>
      </c>
      <c r="AN433" s="100">
        <v>15</v>
      </c>
      <c r="AO433" s="100">
        <f>H433*0.493473684210526</f>
        <v>0</v>
      </c>
      <c r="AP433" s="100">
        <f>H433*(1-0.493473684210526)</f>
        <v>0</v>
      </c>
      <c r="AQ433" s="111" t="s">
        <v>13</v>
      </c>
      <c r="AV433" s="100">
        <f t="shared" si="476"/>
        <v>0</v>
      </c>
      <c r="AW433" s="100">
        <f t="shared" si="477"/>
        <v>0</v>
      </c>
      <c r="AX433" s="100">
        <f t="shared" si="478"/>
        <v>0</v>
      </c>
      <c r="AY433" s="110" t="s">
        <v>1714</v>
      </c>
      <c r="AZ433" s="110" t="s">
        <v>1734</v>
      </c>
      <c r="BA433" s="109" t="s">
        <v>1737</v>
      </c>
      <c r="BC433" s="100">
        <f t="shared" si="479"/>
        <v>0</v>
      </c>
      <c r="BD433" s="100">
        <f t="shared" si="480"/>
        <v>0</v>
      </c>
      <c r="BE433" s="100">
        <v>0</v>
      </c>
      <c r="BF433" s="100">
        <f>433</f>
        <v>433</v>
      </c>
      <c r="BH433" s="108">
        <f t="shared" si="481"/>
        <v>0</v>
      </c>
      <c r="BI433" s="108">
        <f t="shared" si="482"/>
        <v>0</v>
      </c>
      <c r="BJ433" s="108">
        <f t="shared" si="483"/>
        <v>0</v>
      </c>
    </row>
    <row r="434" spans="1:62" x14ac:dyDescent="0.2">
      <c r="A434" s="117" t="s">
        <v>389</v>
      </c>
      <c r="B434" s="117" t="s">
        <v>872</v>
      </c>
      <c r="C434" s="304" t="s">
        <v>1461</v>
      </c>
      <c r="D434" s="305"/>
      <c r="E434" s="305"/>
      <c r="F434" s="117" t="s">
        <v>1645</v>
      </c>
      <c r="G434" s="116">
        <v>345.786</v>
      </c>
      <c r="H434" s="159"/>
      <c r="I434" s="108">
        <f t="shared" si="462"/>
        <v>0</v>
      </c>
      <c r="J434" s="108">
        <f t="shared" si="463"/>
        <v>0</v>
      </c>
      <c r="K434" s="108">
        <f t="shared" si="464"/>
        <v>0</v>
      </c>
      <c r="L434" s="111" t="s">
        <v>1671</v>
      </c>
      <c r="Z434" s="100">
        <f t="shared" si="465"/>
        <v>0</v>
      </c>
      <c r="AB434" s="100">
        <f t="shared" si="466"/>
        <v>0</v>
      </c>
      <c r="AC434" s="100">
        <f t="shared" si="467"/>
        <v>0</v>
      </c>
      <c r="AD434" s="100">
        <f t="shared" si="468"/>
        <v>0</v>
      </c>
      <c r="AE434" s="100">
        <f t="shared" si="469"/>
        <v>0</v>
      </c>
      <c r="AF434" s="100">
        <f t="shared" si="470"/>
        <v>0</v>
      </c>
      <c r="AG434" s="100">
        <f t="shared" si="471"/>
        <v>0</v>
      </c>
      <c r="AH434" s="100">
        <f t="shared" si="472"/>
        <v>0</v>
      </c>
      <c r="AI434" s="109"/>
      <c r="AJ434" s="108">
        <f t="shared" si="473"/>
        <v>0</v>
      </c>
      <c r="AK434" s="108">
        <f t="shared" si="474"/>
        <v>0</v>
      </c>
      <c r="AL434" s="108">
        <f t="shared" si="475"/>
        <v>0</v>
      </c>
      <c r="AN434" s="100">
        <v>15</v>
      </c>
      <c r="AO434" s="100">
        <f>H434*0.493506493506494</f>
        <v>0</v>
      </c>
      <c r="AP434" s="100">
        <f>H434*(1-0.493506493506494)</f>
        <v>0</v>
      </c>
      <c r="AQ434" s="111" t="s">
        <v>13</v>
      </c>
      <c r="AV434" s="100">
        <f t="shared" si="476"/>
        <v>0</v>
      </c>
      <c r="AW434" s="100">
        <f t="shared" si="477"/>
        <v>0</v>
      </c>
      <c r="AX434" s="100">
        <f t="shared" si="478"/>
        <v>0</v>
      </c>
      <c r="AY434" s="110" t="s">
        <v>1714</v>
      </c>
      <c r="AZ434" s="110" t="s">
        <v>1734</v>
      </c>
      <c r="BA434" s="109" t="s">
        <v>1737</v>
      </c>
      <c r="BC434" s="100">
        <f t="shared" si="479"/>
        <v>0</v>
      </c>
      <c r="BD434" s="100">
        <f t="shared" si="480"/>
        <v>0</v>
      </c>
      <c r="BE434" s="100">
        <v>0</v>
      </c>
      <c r="BF434" s="100">
        <f>434</f>
        <v>434</v>
      </c>
      <c r="BH434" s="108">
        <f t="shared" si="481"/>
        <v>0</v>
      </c>
      <c r="BI434" s="108">
        <f t="shared" si="482"/>
        <v>0</v>
      </c>
      <c r="BJ434" s="108">
        <f t="shared" si="483"/>
        <v>0</v>
      </c>
    </row>
    <row r="435" spans="1:62" x14ac:dyDescent="0.2">
      <c r="A435" s="117" t="s">
        <v>390</v>
      </c>
      <c r="B435" s="117" t="s">
        <v>873</v>
      </c>
      <c r="C435" s="304" t="s">
        <v>1462</v>
      </c>
      <c r="D435" s="305"/>
      <c r="E435" s="305"/>
      <c r="F435" s="117" t="s">
        <v>1645</v>
      </c>
      <c r="G435" s="116">
        <v>345.786</v>
      </c>
      <c r="H435" s="159"/>
      <c r="I435" s="108">
        <f t="shared" si="462"/>
        <v>0</v>
      </c>
      <c r="J435" s="108">
        <f t="shared" si="463"/>
        <v>0</v>
      </c>
      <c r="K435" s="108">
        <f t="shared" si="464"/>
        <v>0</v>
      </c>
      <c r="L435" s="111" t="s">
        <v>1671</v>
      </c>
      <c r="Z435" s="100">
        <f t="shared" si="465"/>
        <v>0</v>
      </c>
      <c r="AB435" s="100">
        <f t="shared" si="466"/>
        <v>0</v>
      </c>
      <c r="AC435" s="100">
        <f t="shared" si="467"/>
        <v>0</v>
      </c>
      <c r="AD435" s="100">
        <f t="shared" si="468"/>
        <v>0</v>
      </c>
      <c r="AE435" s="100">
        <f t="shared" si="469"/>
        <v>0</v>
      </c>
      <c r="AF435" s="100">
        <f t="shared" si="470"/>
        <v>0</v>
      </c>
      <c r="AG435" s="100">
        <f t="shared" si="471"/>
        <v>0</v>
      </c>
      <c r="AH435" s="100">
        <f t="shared" si="472"/>
        <v>0</v>
      </c>
      <c r="AI435" s="109"/>
      <c r="AJ435" s="108">
        <f t="shared" si="473"/>
        <v>0</v>
      </c>
      <c r="AK435" s="108">
        <f t="shared" si="474"/>
        <v>0</v>
      </c>
      <c r="AL435" s="108">
        <f t="shared" si="475"/>
        <v>0</v>
      </c>
      <c r="AN435" s="100">
        <v>15</v>
      </c>
      <c r="AO435" s="100">
        <f>H435*0.493489101019164</f>
        <v>0</v>
      </c>
      <c r="AP435" s="100">
        <f>H435*(1-0.493489101019164)</f>
        <v>0</v>
      </c>
      <c r="AQ435" s="111" t="s">
        <v>13</v>
      </c>
      <c r="AV435" s="100">
        <f t="shared" si="476"/>
        <v>0</v>
      </c>
      <c r="AW435" s="100">
        <f t="shared" si="477"/>
        <v>0</v>
      </c>
      <c r="AX435" s="100">
        <f t="shared" si="478"/>
        <v>0</v>
      </c>
      <c r="AY435" s="110" t="s">
        <v>1714</v>
      </c>
      <c r="AZ435" s="110" t="s">
        <v>1734</v>
      </c>
      <c r="BA435" s="109" t="s">
        <v>1737</v>
      </c>
      <c r="BC435" s="100">
        <f t="shared" si="479"/>
        <v>0</v>
      </c>
      <c r="BD435" s="100">
        <f t="shared" si="480"/>
        <v>0</v>
      </c>
      <c r="BE435" s="100">
        <v>0</v>
      </c>
      <c r="BF435" s="100">
        <f>435</f>
        <v>435</v>
      </c>
      <c r="BH435" s="108">
        <f t="shared" si="481"/>
        <v>0</v>
      </c>
      <c r="BI435" s="108">
        <f t="shared" si="482"/>
        <v>0</v>
      </c>
      <c r="BJ435" s="108">
        <f t="shared" si="483"/>
        <v>0</v>
      </c>
    </row>
    <row r="436" spans="1:62" x14ac:dyDescent="0.2">
      <c r="A436" s="117" t="s">
        <v>391</v>
      </c>
      <c r="B436" s="117" t="s">
        <v>2324</v>
      </c>
      <c r="C436" s="304" t="s">
        <v>2323</v>
      </c>
      <c r="D436" s="305"/>
      <c r="E436" s="305"/>
      <c r="F436" s="117" t="s">
        <v>1645</v>
      </c>
      <c r="G436" s="116">
        <v>1.1830000000000001</v>
      </c>
      <c r="H436" s="159"/>
      <c r="I436" s="108">
        <f t="shared" si="462"/>
        <v>0</v>
      </c>
      <c r="J436" s="108">
        <f t="shared" si="463"/>
        <v>0</v>
      </c>
      <c r="K436" s="108">
        <f t="shared" si="464"/>
        <v>0</v>
      </c>
      <c r="L436" s="111" t="s">
        <v>1671</v>
      </c>
      <c r="Z436" s="100">
        <f t="shared" si="465"/>
        <v>0</v>
      </c>
      <c r="AB436" s="100">
        <f t="shared" si="466"/>
        <v>0</v>
      </c>
      <c r="AC436" s="100">
        <f t="shared" si="467"/>
        <v>0</v>
      </c>
      <c r="AD436" s="100">
        <f t="shared" si="468"/>
        <v>0</v>
      </c>
      <c r="AE436" s="100">
        <f t="shared" si="469"/>
        <v>0</v>
      </c>
      <c r="AF436" s="100">
        <f t="shared" si="470"/>
        <v>0</v>
      </c>
      <c r="AG436" s="100">
        <f t="shared" si="471"/>
        <v>0</v>
      </c>
      <c r="AH436" s="100">
        <f t="shared" si="472"/>
        <v>0</v>
      </c>
      <c r="AI436" s="109"/>
      <c r="AJ436" s="108">
        <f t="shared" si="473"/>
        <v>0</v>
      </c>
      <c r="AK436" s="108">
        <f t="shared" si="474"/>
        <v>0</v>
      </c>
      <c r="AL436" s="108">
        <f t="shared" si="475"/>
        <v>0</v>
      </c>
      <c r="AN436" s="100">
        <v>15</v>
      </c>
      <c r="AO436" s="100">
        <f>H436*0</f>
        <v>0</v>
      </c>
      <c r="AP436" s="100">
        <f>H436*(1-0)</f>
        <v>0</v>
      </c>
      <c r="AQ436" s="111" t="s">
        <v>13</v>
      </c>
      <c r="AV436" s="100">
        <f t="shared" si="476"/>
        <v>0</v>
      </c>
      <c r="AW436" s="100">
        <f t="shared" si="477"/>
        <v>0</v>
      </c>
      <c r="AX436" s="100">
        <f t="shared" si="478"/>
        <v>0</v>
      </c>
      <c r="AY436" s="110" t="s">
        <v>1714</v>
      </c>
      <c r="AZ436" s="110" t="s">
        <v>1734</v>
      </c>
      <c r="BA436" s="109" t="s">
        <v>1737</v>
      </c>
      <c r="BC436" s="100">
        <f t="shared" si="479"/>
        <v>0</v>
      </c>
      <c r="BD436" s="100">
        <f t="shared" si="480"/>
        <v>0</v>
      </c>
      <c r="BE436" s="100">
        <v>0</v>
      </c>
      <c r="BF436" s="100">
        <f>436</f>
        <v>436</v>
      </c>
      <c r="BH436" s="108">
        <f t="shared" si="481"/>
        <v>0</v>
      </c>
      <c r="BI436" s="108">
        <f t="shared" si="482"/>
        <v>0</v>
      </c>
      <c r="BJ436" s="108">
        <f t="shared" si="483"/>
        <v>0</v>
      </c>
    </row>
    <row r="437" spans="1:62" x14ac:dyDescent="0.2">
      <c r="A437" s="117" t="s">
        <v>392</v>
      </c>
      <c r="B437" s="117" t="s">
        <v>874</v>
      </c>
      <c r="C437" s="304" t="s">
        <v>1463</v>
      </c>
      <c r="D437" s="305"/>
      <c r="E437" s="305"/>
      <c r="F437" s="117" t="s">
        <v>1645</v>
      </c>
      <c r="G437" s="116">
        <v>345.786</v>
      </c>
      <c r="H437" s="159"/>
      <c r="I437" s="108">
        <f t="shared" si="462"/>
        <v>0</v>
      </c>
      <c r="J437" s="108">
        <f t="shared" si="463"/>
        <v>0</v>
      </c>
      <c r="K437" s="108">
        <f t="shared" si="464"/>
        <v>0</v>
      </c>
      <c r="L437" s="111" t="s">
        <v>1671</v>
      </c>
      <c r="Z437" s="100">
        <f t="shared" si="465"/>
        <v>0</v>
      </c>
      <c r="AB437" s="100">
        <f t="shared" si="466"/>
        <v>0</v>
      </c>
      <c r="AC437" s="100">
        <f t="shared" si="467"/>
        <v>0</v>
      </c>
      <c r="AD437" s="100">
        <f t="shared" si="468"/>
        <v>0</v>
      </c>
      <c r="AE437" s="100">
        <f t="shared" si="469"/>
        <v>0</v>
      </c>
      <c r="AF437" s="100">
        <f t="shared" si="470"/>
        <v>0</v>
      </c>
      <c r="AG437" s="100">
        <f t="shared" si="471"/>
        <v>0</v>
      </c>
      <c r="AH437" s="100">
        <f t="shared" si="472"/>
        <v>0</v>
      </c>
      <c r="AI437" s="109"/>
      <c r="AJ437" s="108">
        <f t="shared" si="473"/>
        <v>0</v>
      </c>
      <c r="AK437" s="108">
        <f t="shared" si="474"/>
        <v>0</v>
      </c>
      <c r="AL437" s="108">
        <f t="shared" si="475"/>
        <v>0</v>
      </c>
      <c r="AN437" s="100">
        <v>15</v>
      </c>
      <c r="AO437" s="100">
        <f>H437*0</f>
        <v>0</v>
      </c>
      <c r="AP437" s="100">
        <f>H437*(1-0)</f>
        <v>0</v>
      </c>
      <c r="AQ437" s="111" t="s">
        <v>13</v>
      </c>
      <c r="AV437" s="100">
        <f t="shared" si="476"/>
        <v>0</v>
      </c>
      <c r="AW437" s="100">
        <f t="shared" si="477"/>
        <v>0</v>
      </c>
      <c r="AX437" s="100">
        <f t="shared" si="478"/>
        <v>0</v>
      </c>
      <c r="AY437" s="110" t="s">
        <v>1714</v>
      </c>
      <c r="AZ437" s="110" t="s">
        <v>1734</v>
      </c>
      <c r="BA437" s="109" t="s">
        <v>1737</v>
      </c>
      <c r="BC437" s="100">
        <f t="shared" si="479"/>
        <v>0</v>
      </c>
      <c r="BD437" s="100">
        <f t="shared" si="480"/>
        <v>0</v>
      </c>
      <c r="BE437" s="100">
        <v>0</v>
      </c>
      <c r="BF437" s="100">
        <f>437</f>
        <v>437</v>
      </c>
      <c r="BH437" s="108">
        <f t="shared" si="481"/>
        <v>0</v>
      </c>
      <c r="BI437" s="108">
        <f t="shared" si="482"/>
        <v>0</v>
      </c>
      <c r="BJ437" s="108">
        <f t="shared" si="483"/>
        <v>0</v>
      </c>
    </row>
    <row r="438" spans="1:62" x14ac:dyDescent="0.2">
      <c r="A438" s="124" t="s">
        <v>393</v>
      </c>
      <c r="B438" s="124" t="s">
        <v>875</v>
      </c>
      <c r="C438" s="311" t="s">
        <v>1464</v>
      </c>
      <c r="D438" s="312"/>
      <c r="E438" s="312"/>
      <c r="F438" s="124" t="s">
        <v>1645</v>
      </c>
      <c r="G438" s="123">
        <v>363.07499999999999</v>
      </c>
      <c r="H438" s="160"/>
      <c r="I438" s="121">
        <f t="shared" si="462"/>
        <v>0</v>
      </c>
      <c r="J438" s="121">
        <f t="shared" si="463"/>
        <v>0</v>
      </c>
      <c r="K438" s="121">
        <f t="shared" si="464"/>
        <v>0</v>
      </c>
      <c r="L438" s="122" t="s">
        <v>1671</v>
      </c>
      <c r="Z438" s="100">
        <f t="shared" si="465"/>
        <v>0</v>
      </c>
      <c r="AB438" s="100">
        <f t="shared" si="466"/>
        <v>0</v>
      </c>
      <c r="AC438" s="100">
        <f t="shared" si="467"/>
        <v>0</v>
      </c>
      <c r="AD438" s="100">
        <f t="shared" si="468"/>
        <v>0</v>
      </c>
      <c r="AE438" s="100">
        <f t="shared" si="469"/>
        <v>0</v>
      </c>
      <c r="AF438" s="100">
        <f t="shared" si="470"/>
        <v>0</v>
      </c>
      <c r="AG438" s="100">
        <f t="shared" si="471"/>
        <v>0</v>
      </c>
      <c r="AH438" s="100">
        <f t="shared" si="472"/>
        <v>0</v>
      </c>
      <c r="AI438" s="109"/>
      <c r="AJ438" s="121">
        <f t="shared" si="473"/>
        <v>0</v>
      </c>
      <c r="AK438" s="121">
        <f t="shared" si="474"/>
        <v>0</v>
      </c>
      <c r="AL438" s="121">
        <f t="shared" si="475"/>
        <v>0</v>
      </c>
      <c r="AN438" s="100">
        <v>15</v>
      </c>
      <c r="AO438" s="100">
        <f>H438*1</f>
        <v>0</v>
      </c>
      <c r="AP438" s="100">
        <f>H438*(1-1)</f>
        <v>0</v>
      </c>
      <c r="AQ438" s="122" t="s">
        <v>13</v>
      </c>
      <c r="AV438" s="100">
        <f t="shared" si="476"/>
        <v>0</v>
      </c>
      <c r="AW438" s="100">
        <f t="shared" si="477"/>
        <v>0</v>
      </c>
      <c r="AX438" s="100">
        <f t="shared" si="478"/>
        <v>0</v>
      </c>
      <c r="AY438" s="110" t="s">
        <v>1714</v>
      </c>
      <c r="AZ438" s="110" t="s">
        <v>1734</v>
      </c>
      <c r="BA438" s="109" t="s">
        <v>1737</v>
      </c>
      <c r="BC438" s="100">
        <f t="shared" si="479"/>
        <v>0</v>
      </c>
      <c r="BD438" s="100">
        <f t="shared" si="480"/>
        <v>0</v>
      </c>
      <c r="BE438" s="100">
        <v>0</v>
      </c>
      <c r="BF438" s="100">
        <f>438</f>
        <v>438</v>
      </c>
      <c r="BH438" s="121">
        <f t="shared" si="481"/>
        <v>0</v>
      </c>
      <c r="BI438" s="121">
        <f t="shared" si="482"/>
        <v>0</v>
      </c>
      <c r="BJ438" s="121">
        <f t="shared" si="483"/>
        <v>0</v>
      </c>
    </row>
    <row r="439" spans="1:62" x14ac:dyDescent="0.2">
      <c r="A439" s="117" t="s">
        <v>394</v>
      </c>
      <c r="B439" s="117" t="s">
        <v>2322</v>
      </c>
      <c r="C439" s="304" t="s">
        <v>2321</v>
      </c>
      <c r="D439" s="305"/>
      <c r="E439" s="305"/>
      <c r="F439" s="117" t="s">
        <v>1645</v>
      </c>
      <c r="G439" s="116">
        <v>1.1830000000000001</v>
      </c>
      <c r="H439" s="159"/>
      <c r="I439" s="108">
        <f t="shared" si="462"/>
        <v>0</v>
      </c>
      <c r="J439" s="108">
        <f t="shared" si="463"/>
        <v>0</v>
      </c>
      <c r="K439" s="108">
        <f t="shared" si="464"/>
        <v>0</v>
      </c>
      <c r="L439" s="111" t="s">
        <v>1671</v>
      </c>
      <c r="Z439" s="100">
        <f t="shared" si="465"/>
        <v>0</v>
      </c>
      <c r="AB439" s="100">
        <f t="shared" si="466"/>
        <v>0</v>
      </c>
      <c r="AC439" s="100">
        <f t="shared" si="467"/>
        <v>0</v>
      </c>
      <c r="AD439" s="100">
        <f t="shared" si="468"/>
        <v>0</v>
      </c>
      <c r="AE439" s="100">
        <f t="shared" si="469"/>
        <v>0</v>
      </c>
      <c r="AF439" s="100">
        <f t="shared" si="470"/>
        <v>0</v>
      </c>
      <c r="AG439" s="100">
        <f t="shared" si="471"/>
        <v>0</v>
      </c>
      <c r="AH439" s="100">
        <f t="shared" si="472"/>
        <v>0</v>
      </c>
      <c r="AI439" s="109"/>
      <c r="AJ439" s="108">
        <f t="shared" si="473"/>
        <v>0</v>
      </c>
      <c r="AK439" s="108">
        <f t="shared" si="474"/>
        <v>0</v>
      </c>
      <c r="AL439" s="108">
        <f t="shared" si="475"/>
        <v>0</v>
      </c>
      <c r="AN439" s="100">
        <v>15</v>
      </c>
      <c r="AO439" s="100">
        <f>H439*0</f>
        <v>0</v>
      </c>
      <c r="AP439" s="100">
        <f>H439*(1-0)</f>
        <v>0</v>
      </c>
      <c r="AQ439" s="111" t="s">
        <v>13</v>
      </c>
      <c r="AV439" s="100">
        <f t="shared" si="476"/>
        <v>0</v>
      </c>
      <c r="AW439" s="100">
        <f t="shared" si="477"/>
        <v>0</v>
      </c>
      <c r="AX439" s="100">
        <f t="shared" si="478"/>
        <v>0</v>
      </c>
      <c r="AY439" s="110" t="s">
        <v>1714</v>
      </c>
      <c r="AZ439" s="110" t="s">
        <v>1734</v>
      </c>
      <c r="BA439" s="109" t="s">
        <v>1737</v>
      </c>
      <c r="BC439" s="100">
        <f t="shared" si="479"/>
        <v>0</v>
      </c>
      <c r="BD439" s="100">
        <f t="shared" si="480"/>
        <v>0</v>
      </c>
      <c r="BE439" s="100">
        <v>0</v>
      </c>
      <c r="BF439" s="100">
        <f>439</f>
        <v>439</v>
      </c>
      <c r="BH439" s="108">
        <f t="shared" si="481"/>
        <v>0</v>
      </c>
      <c r="BI439" s="108">
        <f t="shared" si="482"/>
        <v>0</v>
      </c>
      <c r="BJ439" s="108">
        <f t="shared" si="483"/>
        <v>0</v>
      </c>
    </row>
    <row r="440" spans="1:62" x14ac:dyDescent="0.2">
      <c r="A440" s="124" t="s">
        <v>395</v>
      </c>
      <c r="B440" s="124" t="s">
        <v>2320</v>
      </c>
      <c r="C440" s="311" t="s">
        <v>2319</v>
      </c>
      <c r="D440" s="312"/>
      <c r="E440" s="312"/>
      <c r="F440" s="124" t="s">
        <v>1645</v>
      </c>
      <c r="G440" s="123">
        <v>1.3009999999999999</v>
      </c>
      <c r="H440" s="160"/>
      <c r="I440" s="121">
        <f t="shared" si="462"/>
        <v>0</v>
      </c>
      <c r="J440" s="121">
        <f t="shared" si="463"/>
        <v>0</v>
      </c>
      <c r="K440" s="121">
        <f t="shared" si="464"/>
        <v>0</v>
      </c>
      <c r="L440" s="122" t="s">
        <v>1671</v>
      </c>
      <c r="Z440" s="100">
        <f t="shared" si="465"/>
        <v>0</v>
      </c>
      <c r="AB440" s="100">
        <f t="shared" si="466"/>
        <v>0</v>
      </c>
      <c r="AC440" s="100">
        <f t="shared" si="467"/>
        <v>0</v>
      </c>
      <c r="AD440" s="100">
        <f t="shared" si="468"/>
        <v>0</v>
      </c>
      <c r="AE440" s="100">
        <f t="shared" si="469"/>
        <v>0</v>
      </c>
      <c r="AF440" s="100">
        <f t="shared" si="470"/>
        <v>0</v>
      </c>
      <c r="AG440" s="100">
        <f t="shared" si="471"/>
        <v>0</v>
      </c>
      <c r="AH440" s="100">
        <f t="shared" si="472"/>
        <v>0</v>
      </c>
      <c r="AI440" s="109"/>
      <c r="AJ440" s="121">
        <f t="shared" si="473"/>
        <v>0</v>
      </c>
      <c r="AK440" s="121">
        <f t="shared" si="474"/>
        <v>0</v>
      </c>
      <c r="AL440" s="121">
        <f t="shared" si="475"/>
        <v>0</v>
      </c>
      <c r="AN440" s="100">
        <v>15</v>
      </c>
      <c r="AO440" s="100">
        <f>H440*1</f>
        <v>0</v>
      </c>
      <c r="AP440" s="100">
        <f>H440*(1-1)</f>
        <v>0</v>
      </c>
      <c r="AQ440" s="122" t="s">
        <v>13</v>
      </c>
      <c r="AV440" s="100">
        <f t="shared" si="476"/>
        <v>0</v>
      </c>
      <c r="AW440" s="100">
        <f t="shared" si="477"/>
        <v>0</v>
      </c>
      <c r="AX440" s="100">
        <f t="shared" si="478"/>
        <v>0</v>
      </c>
      <c r="AY440" s="110" t="s">
        <v>1714</v>
      </c>
      <c r="AZ440" s="110" t="s">
        <v>1734</v>
      </c>
      <c r="BA440" s="109" t="s">
        <v>1737</v>
      </c>
      <c r="BC440" s="100">
        <f t="shared" si="479"/>
        <v>0</v>
      </c>
      <c r="BD440" s="100">
        <f t="shared" si="480"/>
        <v>0</v>
      </c>
      <c r="BE440" s="100">
        <v>0</v>
      </c>
      <c r="BF440" s="100">
        <f>440</f>
        <v>440</v>
      </c>
      <c r="BH440" s="121">
        <f t="shared" si="481"/>
        <v>0</v>
      </c>
      <c r="BI440" s="121">
        <f t="shared" si="482"/>
        <v>0</v>
      </c>
      <c r="BJ440" s="121">
        <f t="shared" si="483"/>
        <v>0</v>
      </c>
    </row>
    <row r="441" spans="1:62" x14ac:dyDescent="0.2">
      <c r="A441" s="117" t="s">
        <v>396</v>
      </c>
      <c r="B441" s="117" t="s">
        <v>876</v>
      </c>
      <c r="C441" s="304" t="s">
        <v>1465</v>
      </c>
      <c r="D441" s="305"/>
      <c r="E441" s="305"/>
      <c r="F441" s="117" t="s">
        <v>1645</v>
      </c>
      <c r="G441" s="116">
        <v>344.89400000000001</v>
      </c>
      <c r="H441" s="159"/>
      <c r="I441" s="108">
        <f t="shared" si="462"/>
        <v>0</v>
      </c>
      <c r="J441" s="108">
        <f t="shared" si="463"/>
        <v>0</v>
      </c>
      <c r="K441" s="108">
        <f t="shared" si="464"/>
        <v>0</v>
      </c>
      <c r="L441" s="111" t="s">
        <v>1671</v>
      </c>
      <c r="Z441" s="100">
        <f t="shared" si="465"/>
        <v>0</v>
      </c>
      <c r="AB441" s="100">
        <f t="shared" si="466"/>
        <v>0</v>
      </c>
      <c r="AC441" s="100">
        <f t="shared" si="467"/>
        <v>0</v>
      </c>
      <c r="AD441" s="100">
        <f t="shared" si="468"/>
        <v>0</v>
      </c>
      <c r="AE441" s="100">
        <f t="shared" si="469"/>
        <v>0</v>
      </c>
      <c r="AF441" s="100">
        <f t="shared" si="470"/>
        <v>0</v>
      </c>
      <c r="AG441" s="100">
        <f t="shared" si="471"/>
        <v>0</v>
      </c>
      <c r="AH441" s="100">
        <f t="shared" si="472"/>
        <v>0</v>
      </c>
      <c r="AI441" s="109"/>
      <c r="AJ441" s="108">
        <f t="shared" si="473"/>
        <v>0</v>
      </c>
      <c r="AK441" s="108">
        <f t="shared" si="474"/>
        <v>0</v>
      </c>
      <c r="AL441" s="108">
        <f t="shared" si="475"/>
        <v>0</v>
      </c>
      <c r="AN441" s="100">
        <v>15</v>
      </c>
      <c r="AO441" s="100">
        <f>H441*0</f>
        <v>0</v>
      </c>
      <c r="AP441" s="100">
        <f>H441*(1-0)</f>
        <v>0</v>
      </c>
      <c r="AQ441" s="111" t="s">
        <v>13</v>
      </c>
      <c r="AV441" s="100">
        <f t="shared" si="476"/>
        <v>0</v>
      </c>
      <c r="AW441" s="100">
        <f t="shared" si="477"/>
        <v>0</v>
      </c>
      <c r="AX441" s="100">
        <f t="shared" si="478"/>
        <v>0</v>
      </c>
      <c r="AY441" s="110" t="s">
        <v>1714</v>
      </c>
      <c r="AZ441" s="110" t="s">
        <v>1734</v>
      </c>
      <c r="BA441" s="109" t="s">
        <v>1737</v>
      </c>
      <c r="BC441" s="100">
        <f t="shared" si="479"/>
        <v>0</v>
      </c>
      <c r="BD441" s="100">
        <f t="shared" si="480"/>
        <v>0</v>
      </c>
      <c r="BE441" s="100">
        <v>0</v>
      </c>
      <c r="BF441" s="100">
        <f>441</f>
        <v>441</v>
      </c>
      <c r="BH441" s="108">
        <f t="shared" si="481"/>
        <v>0</v>
      </c>
      <c r="BI441" s="108">
        <f t="shared" si="482"/>
        <v>0</v>
      </c>
      <c r="BJ441" s="108">
        <f t="shared" si="483"/>
        <v>0</v>
      </c>
    </row>
    <row r="442" spans="1:62" x14ac:dyDescent="0.2">
      <c r="A442" s="117" t="s">
        <v>397</v>
      </c>
      <c r="B442" s="117" t="s">
        <v>877</v>
      </c>
      <c r="C442" s="304" t="s">
        <v>1466</v>
      </c>
      <c r="D442" s="305"/>
      <c r="E442" s="305"/>
      <c r="F442" s="117" t="s">
        <v>1647</v>
      </c>
      <c r="G442" s="116">
        <v>7.6360000000000001</v>
      </c>
      <c r="H442" s="159"/>
      <c r="I442" s="108">
        <f t="shared" si="462"/>
        <v>0</v>
      </c>
      <c r="J442" s="108">
        <f t="shared" si="463"/>
        <v>0</v>
      </c>
      <c r="K442" s="108">
        <f t="shared" si="464"/>
        <v>0</v>
      </c>
      <c r="L442" s="111" t="s">
        <v>1671</v>
      </c>
      <c r="Z442" s="100">
        <f t="shared" si="465"/>
        <v>0</v>
      </c>
      <c r="AB442" s="100">
        <f t="shared" si="466"/>
        <v>0</v>
      </c>
      <c r="AC442" s="100">
        <f t="shared" si="467"/>
        <v>0</v>
      </c>
      <c r="AD442" s="100">
        <f t="shared" si="468"/>
        <v>0</v>
      </c>
      <c r="AE442" s="100">
        <f t="shared" si="469"/>
        <v>0</v>
      </c>
      <c r="AF442" s="100">
        <f t="shared" si="470"/>
        <v>0</v>
      </c>
      <c r="AG442" s="100">
        <f t="shared" si="471"/>
        <v>0</v>
      </c>
      <c r="AH442" s="100">
        <f t="shared" si="472"/>
        <v>0</v>
      </c>
      <c r="AI442" s="109"/>
      <c r="AJ442" s="108">
        <f t="shared" si="473"/>
        <v>0</v>
      </c>
      <c r="AK442" s="108">
        <f t="shared" si="474"/>
        <v>0</v>
      </c>
      <c r="AL442" s="108">
        <f t="shared" si="475"/>
        <v>0</v>
      </c>
      <c r="AN442" s="100">
        <v>15</v>
      </c>
      <c r="AO442" s="100">
        <f>H442*0.999999804976037</f>
        <v>0</v>
      </c>
      <c r="AP442" s="100">
        <f>H442*(1-0.999999804976037)</f>
        <v>0</v>
      </c>
      <c r="AQ442" s="111" t="s">
        <v>13</v>
      </c>
      <c r="AV442" s="100">
        <f t="shared" si="476"/>
        <v>0</v>
      </c>
      <c r="AW442" s="100">
        <f t="shared" si="477"/>
        <v>0</v>
      </c>
      <c r="AX442" s="100">
        <f t="shared" si="478"/>
        <v>0</v>
      </c>
      <c r="AY442" s="110" t="s">
        <v>1714</v>
      </c>
      <c r="AZ442" s="110" t="s">
        <v>1734</v>
      </c>
      <c r="BA442" s="109" t="s">
        <v>1737</v>
      </c>
      <c r="BC442" s="100">
        <f t="shared" si="479"/>
        <v>0</v>
      </c>
      <c r="BD442" s="100">
        <f t="shared" si="480"/>
        <v>0</v>
      </c>
      <c r="BE442" s="100">
        <v>0</v>
      </c>
      <c r="BF442" s="100">
        <f>442</f>
        <v>442</v>
      </c>
      <c r="BH442" s="108">
        <f t="shared" si="481"/>
        <v>0</v>
      </c>
      <c r="BI442" s="108">
        <f t="shared" si="482"/>
        <v>0</v>
      </c>
      <c r="BJ442" s="108">
        <f t="shared" si="483"/>
        <v>0</v>
      </c>
    </row>
    <row r="443" spans="1:62" x14ac:dyDescent="0.2">
      <c r="A443" s="117" t="s">
        <v>398</v>
      </c>
      <c r="B443" s="117" t="s">
        <v>878</v>
      </c>
      <c r="C443" s="304" t="s">
        <v>1467</v>
      </c>
      <c r="D443" s="305"/>
      <c r="E443" s="305"/>
      <c r="F443" s="117" t="s">
        <v>1645</v>
      </c>
      <c r="G443" s="116">
        <v>54.9</v>
      </c>
      <c r="H443" s="159"/>
      <c r="I443" s="108">
        <f t="shared" si="462"/>
        <v>0</v>
      </c>
      <c r="J443" s="108">
        <f t="shared" si="463"/>
        <v>0</v>
      </c>
      <c r="K443" s="108">
        <f t="shared" si="464"/>
        <v>0</v>
      </c>
      <c r="L443" s="111" t="s">
        <v>1671</v>
      </c>
      <c r="Z443" s="100">
        <f t="shared" si="465"/>
        <v>0</v>
      </c>
      <c r="AB443" s="100">
        <f t="shared" si="466"/>
        <v>0</v>
      </c>
      <c r="AC443" s="100">
        <f t="shared" si="467"/>
        <v>0</v>
      </c>
      <c r="AD443" s="100">
        <f t="shared" si="468"/>
        <v>0</v>
      </c>
      <c r="AE443" s="100">
        <f t="shared" si="469"/>
        <v>0</v>
      </c>
      <c r="AF443" s="100">
        <f t="shared" si="470"/>
        <v>0</v>
      </c>
      <c r="AG443" s="100">
        <f t="shared" si="471"/>
        <v>0</v>
      </c>
      <c r="AH443" s="100">
        <f t="shared" si="472"/>
        <v>0</v>
      </c>
      <c r="AI443" s="109"/>
      <c r="AJ443" s="108">
        <f t="shared" si="473"/>
        <v>0</v>
      </c>
      <c r="AK443" s="108">
        <f t="shared" si="474"/>
        <v>0</v>
      </c>
      <c r="AL443" s="108">
        <f t="shared" si="475"/>
        <v>0</v>
      </c>
      <c r="AN443" s="100">
        <v>15</v>
      </c>
      <c r="AO443" s="100">
        <f>H443*0.650037878787879</f>
        <v>0</v>
      </c>
      <c r="AP443" s="100">
        <f>H443*(1-0.650037878787879)</f>
        <v>0</v>
      </c>
      <c r="AQ443" s="111" t="s">
        <v>13</v>
      </c>
      <c r="AV443" s="100">
        <f t="shared" si="476"/>
        <v>0</v>
      </c>
      <c r="AW443" s="100">
        <f t="shared" si="477"/>
        <v>0</v>
      </c>
      <c r="AX443" s="100">
        <f t="shared" si="478"/>
        <v>0</v>
      </c>
      <c r="AY443" s="110" t="s">
        <v>1714</v>
      </c>
      <c r="AZ443" s="110" t="s">
        <v>1734</v>
      </c>
      <c r="BA443" s="109" t="s">
        <v>1737</v>
      </c>
      <c r="BC443" s="100">
        <f t="shared" si="479"/>
        <v>0</v>
      </c>
      <c r="BD443" s="100">
        <f t="shared" si="480"/>
        <v>0</v>
      </c>
      <c r="BE443" s="100">
        <v>0</v>
      </c>
      <c r="BF443" s="100">
        <f>443</f>
        <v>443</v>
      </c>
      <c r="BH443" s="108">
        <f t="shared" si="481"/>
        <v>0</v>
      </c>
      <c r="BI443" s="108">
        <f t="shared" si="482"/>
        <v>0</v>
      </c>
      <c r="BJ443" s="108">
        <f t="shared" si="483"/>
        <v>0</v>
      </c>
    </row>
    <row r="444" spans="1:62" x14ac:dyDescent="0.2">
      <c r="A444" s="117" t="s">
        <v>399</v>
      </c>
      <c r="B444" s="117" t="s">
        <v>879</v>
      </c>
      <c r="C444" s="304" t="s">
        <v>1468</v>
      </c>
      <c r="D444" s="305"/>
      <c r="E444" s="305"/>
      <c r="F444" s="117" t="s">
        <v>1645</v>
      </c>
      <c r="G444" s="116">
        <v>54.9</v>
      </c>
      <c r="H444" s="159"/>
      <c r="I444" s="108">
        <f t="shared" si="462"/>
        <v>0</v>
      </c>
      <c r="J444" s="108">
        <f t="shared" si="463"/>
        <v>0</v>
      </c>
      <c r="K444" s="108">
        <f t="shared" si="464"/>
        <v>0</v>
      </c>
      <c r="L444" s="111" t="s">
        <v>1671</v>
      </c>
      <c r="Z444" s="100">
        <f t="shared" si="465"/>
        <v>0</v>
      </c>
      <c r="AB444" s="100">
        <f t="shared" si="466"/>
        <v>0</v>
      </c>
      <c r="AC444" s="100">
        <f t="shared" si="467"/>
        <v>0</v>
      </c>
      <c r="AD444" s="100">
        <f t="shared" si="468"/>
        <v>0</v>
      </c>
      <c r="AE444" s="100">
        <f t="shared" si="469"/>
        <v>0</v>
      </c>
      <c r="AF444" s="100">
        <f t="shared" si="470"/>
        <v>0</v>
      </c>
      <c r="AG444" s="100">
        <f t="shared" si="471"/>
        <v>0</v>
      </c>
      <c r="AH444" s="100">
        <f t="shared" si="472"/>
        <v>0</v>
      </c>
      <c r="AI444" s="109"/>
      <c r="AJ444" s="108">
        <f t="shared" si="473"/>
        <v>0</v>
      </c>
      <c r="AK444" s="108">
        <f t="shared" si="474"/>
        <v>0</v>
      </c>
      <c r="AL444" s="108">
        <f t="shared" si="475"/>
        <v>0</v>
      </c>
      <c r="AN444" s="100">
        <v>15</v>
      </c>
      <c r="AO444" s="100">
        <f>H444*0.0505464480874317</f>
        <v>0</v>
      </c>
      <c r="AP444" s="100">
        <f>H444*(1-0.0505464480874317)</f>
        <v>0</v>
      </c>
      <c r="AQ444" s="111" t="s">
        <v>13</v>
      </c>
      <c r="AV444" s="100">
        <f t="shared" si="476"/>
        <v>0</v>
      </c>
      <c r="AW444" s="100">
        <f t="shared" si="477"/>
        <v>0</v>
      </c>
      <c r="AX444" s="100">
        <f t="shared" si="478"/>
        <v>0</v>
      </c>
      <c r="AY444" s="110" t="s">
        <v>1714</v>
      </c>
      <c r="AZ444" s="110" t="s">
        <v>1734</v>
      </c>
      <c r="BA444" s="109" t="s">
        <v>1737</v>
      </c>
      <c r="BC444" s="100">
        <f t="shared" si="479"/>
        <v>0</v>
      </c>
      <c r="BD444" s="100">
        <f t="shared" si="480"/>
        <v>0</v>
      </c>
      <c r="BE444" s="100">
        <v>0</v>
      </c>
      <c r="BF444" s="100">
        <f>444</f>
        <v>444</v>
      </c>
      <c r="BH444" s="108">
        <f t="shared" si="481"/>
        <v>0</v>
      </c>
      <c r="BI444" s="108">
        <f t="shared" si="482"/>
        <v>0</v>
      </c>
      <c r="BJ444" s="108">
        <f t="shared" si="483"/>
        <v>0</v>
      </c>
    </row>
    <row r="445" spans="1:62" x14ac:dyDescent="0.2">
      <c r="A445" s="117" t="s">
        <v>400</v>
      </c>
      <c r="B445" s="117" t="s">
        <v>880</v>
      </c>
      <c r="C445" s="304" t="s">
        <v>1469</v>
      </c>
      <c r="D445" s="305"/>
      <c r="E445" s="305"/>
      <c r="F445" s="117" t="s">
        <v>1647</v>
      </c>
      <c r="G445" s="116">
        <v>1.0429999999999999</v>
      </c>
      <c r="H445" s="159"/>
      <c r="I445" s="108">
        <f t="shared" si="462"/>
        <v>0</v>
      </c>
      <c r="J445" s="108">
        <f t="shared" si="463"/>
        <v>0</v>
      </c>
      <c r="K445" s="108">
        <f t="shared" si="464"/>
        <v>0</v>
      </c>
      <c r="L445" s="111" t="s">
        <v>1671</v>
      </c>
      <c r="Z445" s="100">
        <f t="shared" si="465"/>
        <v>0</v>
      </c>
      <c r="AB445" s="100">
        <f t="shared" si="466"/>
        <v>0</v>
      </c>
      <c r="AC445" s="100">
        <f t="shared" si="467"/>
        <v>0</v>
      </c>
      <c r="AD445" s="100">
        <f t="shared" si="468"/>
        <v>0</v>
      </c>
      <c r="AE445" s="100">
        <f t="shared" si="469"/>
        <v>0</v>
      </c>
      <c r="AF445" s="100">
        <f t="shared" si="470"/>
        <v>0</v>
      </c>
      <c r="AG445" s="100">
        <f t="shared" si="471"/>
        <v>0</v>
      </c>
      <c r="AH445" s="100">
        <f t="shared" si="472"/>
        <v>0</v>
      </c>
      <c r="AI445" s="109"/>
      <c r="AJ445" s="108">
        <f t="shared" si="473"/>
        <v>0</v>
      </c>
      <c r="AK445" s="108">
        <f t="shared" si="474"/>
        <v>0</v>
      </c>
      <c r="AL445" s="108">
        <f t="shared" si="475"/>
        <v>0</v>
      </c>
      <c r="AN445" s="100">
        <v>15</v>
      </c>
      <c r="AO445" s="100">
        <f>H445*1.00000541682466</f>
        <v>0</v>
      </c>
      <c r="AP445" s="100">
        <f>H445*(1-1.00000541682466)</f>
        <v>0</v>
      </c>
      <c r="AQ445" s="111" t="s">
        <v>13</v>
      </c>
      <c r="AV445" s="100">
        <f t="shared" si="476"/>
        <v>0</v>
      </c>
      <c r="AW445" s="100">
        <f t="shared" si="477"/>
        <v>0</v>
      </c>
      <c r="AX445" s="100">
        <f t="shared" si="478"/>
        <v>0</v>
      </c>
      <c r="AY445" s="110" t="s">
        <v>1714</v>
      </c>
      <c r="AZ445" s="110" t="s">
        <v>1734</v>
      </c>
      <c r="BA445" s="109" t="s">
        <v>1737</v>
      </c>
      <c r="BC445" s="100">
        <f t="shared" si="479"/>
        <v>0</v>
      </c>
      <c r="BD445" s="100">
        <f t="shared" si="480"/>
        <v>0</v>
      </c>
      <c r="BE445" s="100">
        <v>0</v>
      </c>
      <c r="BF445" s="100">
        <f>445</f>
        <v>445</v>
      </c>
      <c r="BH445" s="108">
        <f t="shared" si="481"/>
        <v>0</v>
      </c>
      <c r="BI445" s="108">
        <f t="shared" si="482"/>
        <v>0</v>
      </c>
      <c r="BJ445" s="108">
        <f t="shared" si="483"/>
        <v>0</v>
      </c>
    </row>
    <row r="446" spans="1:62" x14ac:dyDescent="0.2">
      <c r="A446" s="117" t="s">
        <v>401</v>
      </c>
      <c r="B446" s="117" t="s">
        <v>881</v>
      </c>
      <c r="C446" s="304" t="s">
        <v>1470</v>
      </c>
      <c r="D446" s="305"/>
      <c r="E446" s="305"/>
      <c r="F446" s="117" t="s">
        <v>1648</v>
      </c>
      <c r="G446" s="116">
        <v>31.645</v>
      </c>
      <c r="H446" s="159"/>
      <c r="I446" s="108">
        <f t="shared" si="462"/>
        <v>0</v>
      </c>
      <c r="J446" s="108">
        <f t="shared" si="463"/>
        <v>0</v>
      </c>
      <c r="K446" s="108">
        <f t="shared" si="464"/>
        <v>0</v>
      </c>
      <c r="L446" s="111" t="s">
        <v>1671</v>
      </c>
      <c r="Z446" s="100">
        <f t="shared" si="465"/>
        <v>0</v>
      </c>
      <c r="AB446" s="100">
        <f t="shared" si="466"/>
        <v>0</v>
      </c>
      <c r="AC446" s="100">
        <f t="shared" si="467"/>
        <v>0</v>
      </c>
      <c r="AD446" s="100">
        <f t="shared" si="468"/>
        <v>0</v>
      </c>
      <c r="AE446" s="100">
        <f t="shared" si="469"/>
        <v>0</v>
      </c>
      <c r="AF446" s="100">
        <f t="shared" si="470"/>
        <v>0</v>
      </c>
      <c r="AG446" s="100">
        <f t="shared" si="471"/>
        <v>0</v>
      </c>
      <c r="AH446" s="100">
        <f t="shared" si="472"/>
        <v>0</v>
      </c>
      <c r="AI446" s="109"/>
      <c r="AJ446" s="108">
        <f t="shared" si="473"/>
        <v>0</v>
      </c>
      <c r="AK446" s="108">
        <f t="shared" si="474"/>
        <v>0</v>
      </c>
      <c r="AL446" s="108">
        <f t="shared" si="475"/>
        <v>0</v>
      </c>
      <c r="AN446" s="100">
        <v>15</v>
      </c>
      <c r="AO446" s="100">
        <f>H446*0</f>
        <v>0</v>
      </c>
      <c r="AP446" s="100">
        <f>H446*(1-0)</f>
        <v>0</v>
      </c>
      <c r="AQ446" s="111" t="s">
        <v>11</v>
      </c>
      <c r="AV446" s="100">
        <f t="shared" si="476"/>
        <v>0</v>
      </c>
      <c r="AW446" s="100">
        <f t="shared" si="477"/>
        <v>0</v>
      </c>
      <c r="AX446" s="100">
        <f t="shared" si="478"/>
        <v>0</v>
      </c>
      <c r="AY446" s="110" t="s">
        <v>1714</v>
      </c>
      <c r="AZ446" s="110" t="s">
        <v>1734</v>
      </c>
      <c r="BA446" s="109" t="s">
        <v>1737</v>
      </c>
      <c r="BC446" s="100">
        <f t="shared" si="479"/>
        <v>0</v>
      </c>
      <c r="BD446" s="100">
        <f t="shared" si="480"/>
        <v>0</v>
      </c>
      <c r="BE446" s="100">
        <v>0</v>
      </c>
      <c r="BF446" s="100">
        <f>446</f>
        <v>446</v>
      </c>
      <c r="BH446" s="108">
        <f t="shared" si="481"/>
        <v>0</v>
      </c>
      <c r="BI446" s="108">
        <f t="shared" si="482"/>
        <v>0</v>
      </c>
      <c r="BJ446" s="108">
        <f t="shared" si="483"/>
        <v>0</v>
      </c>
    </row>
    <row r="447" spans="1:62" x14ac:dyDescent="0.2">
      <c r="A447" s="119"/>
      <c r="B447" s="120" t="s">
        <v>882</v>
      </c>
      <c r="C447" s="306" t="s">
        <v>1471</v>
      </c>
      <c r="D447" s="307"/>
      <c r="E447" s="307"/>
      <c r="F447" s="119" t="s">
        <v>6</v>
      </c>
      <c r="G447" s="119" t="s">
        <v>6</v>
      </c>
      <c r="H447" s="119" t="s">
        <v>6</v>
      </c>
      <c r="I447" s="118">
        <f>SUM(I448:I472)</f>
        <v>0</v>
      </c>
      <c r="J447" s="118">
        <f>SUM(J448:J472)</f>
        <v>0</v>
      </c>
      <c r="K447" s="118">
        <f>SUM(K448:K472)</f>
        <v>0</v>
      </c>
      <c r="L447" s="109"/>
      <c r="AI447" s="109"/>
      <c r="AS447" s="118">
        <f>SUM(AJ448:AJ472)</f>
        <v>0</v>
      </c>
      <c r="AT447" s="118">
        <f>SUM(AK448:AK472)</f>
        <v>0</v>
      </c>
      <c r="AU447" s="118">
        <f>SUM(AL448:AL472)</f>
        <v>0</v>
      </c>
    </row>
    <row r="448" spans="1:62" x14ac:dyDescent="0.2">
      <c r="A448" s="117" t="s">
        <v>402</v>
      </c>
      <c r="B448" s="117" t="s">
        <v>883</v>
      </c>
      <c r="C448" s="304" t="s">
        <v>1472</v>
      </c>
      <c r="D448" s="305"/>
      <c r="E448" s="305"/>
      <c r="F448" s="117" t="s">
        <v>1645</v>
      </c>
      <c r="G448" s="116">
        <v>344.89400000000001</v>
      </c>
      <c r="H448" s="159"/>
      <c r="I448" s="108">
        <f t="shared" ref="I448:I472" si="484">G448*AO448</f>
        <v>0</v>
      </c>
      <c r="J448" s="108">
        <f t="shared" ref="J448:J472" si="485">G448*AP448</f>
        <v>0</v>
      </c>
      <c r="K448" s="108">
        <f t="shared" ref="K448:K472" si="486">G448*H448</f>
        <v>0</v>
      </c>
      <c r="L448" s="111" t="s">
        <v>1671</v>
      </c>
      <c r="Z448" s="100">
        <f t="shared" ref="Z448:Z472" si="487">IF(AQ448="5",BJ448,0)</f>
        <v>0</v>
      </c>
      <c r="AB448" s="100">
        <f t="shared" ref="AB448:AB472" si="488">IF(AQ448="1",BH448,0)</f>
        <v>0</v>
      </c>
      <c r="AC448" s="100">
        <f t="shared" ref="AC448:AC472" si="489">IF(AQ448="1",BI448,0)</f>
        <v>0</v>
      </c>
      <c r="AD448" s="100">
        <f t="shared" ref="AD448:AD472" si="490">IF(AQ448="7",BH448,0)</f>
        <v>0</v>
      </c>
      <c r="AE448" s="100">
        <f t="shared" ref="AE448:AE472" si="491">IF(AQ448="7",BI448,0)</f>
        <v>0</v>
      </c>
      <c r="AF448" s="100">
        <f t="shared" ref="AF448:AF472" si="492">IF(AQ448="2",BH448,0)</f>
        <v>0</v>
      </c>
      <c r="AG448" s="100">
        <f t="shared" ref="AG448:AG472" si="493">IF(AQ448="2",BI448,0)</f>
        <v>0</v>
      </c>
      <c r="AH448" s="100">
        <f t="shared" ref="AH448:AH472" si="494">IF(AQ448="0",BJ448,0)</f>
        <v>0</v>
      </c>
      <c r="AI448" s="109"/>
      <c r="AJ448" s="108">
        <f t="shared" ref="AJ448:AJ472" si="495">IF(AN448=0,K448,0)</f>
        <v>0</v>
      </c>
      <c r="AK448" s="108">
        <f t="shared" ref="AK448:AK472" si="496">IF(AN448=15,K448,0)</f>
        <v>0</v>
      </c>
      <c r="AL448" s="108">
        <f t="shared" ref="AL448:AL472" si="497">IF(AN448=21,K448,0)</f>
        <v>0</v>
      </c>
      <c r="AN448" s="100">
        <v>15</v>
      </c>
      <c r="AO448" s="100">
        <f t="shared" ref="AO448:AO453" si="498">H448*0</f>
        <v>0</v>
      </c>
      <c r="AP448" s="100">
        <f t="shared" ref="AP448:AP453" si="499">H448*(1-0)</f>
        <v>0</v>
      </c>
      <c r="AQ448" s="111" t="s">
        <v>13</v>
      </c>
      <c r="AV448" s="100">
        <f t="shared" ref="AV448:AV472" si="500">AW448+AX448</f>
        <v>0</v>
      </c>
      <c r="AW448" s="100">
        <f t="shared" ref="AW448:AW472" si="501">G448*AO448</f>
        <v>0</v>
      </c>
      <c r="AX448" s="100">
        <f t="shared" ref="AX448:AX472" si="502">G448*AP448</f>
        <v>0</v>
      </c>
      <c r="AY448" s="110" t="s">
        <v>1715</v>
      </c>
      <c r="AZ448" s="110" t="s">
        <v>1734</v>
      </c>
      <c r="BA448" s="109" t="s">
        <v>1737</v>
      </c>
      <c r="BC448" s="100">
        <f t="shared" ref="BC448:BC472" si="503">AW448+AX448</f>
        <v>0</v>
      </c>
      <c r="BD448" s="100">
        <f t="shared" ref="BD448:BD472" si="504">H448/(100-BE448)*100</f>
        <v>0</v>
      </c>
      <c r="BE448" s="100">
        <v>0</v>
      </c>
      <c r="BF448" s="100">
        <f>448</f>
        <v>448</v>
      </c>
      <c r="BH448" s="108">
        <f t="shared" ref="BH448:BH472" si="505">G448*AO448</f>
        <v>0</v>
      </c>
      <c r="BI448" s="108">
        <f t="shared" ref="BI448:BI472" si="506">G448*AP448</f>
        <v>0</v>
      </c>
      <c r="BJ448" s="108">
        <f t="shared" ref="BJ448:BJ472" si="507">G448*H448</f>
        <v>0</v>
      </c>
    </row>
    <row r="449" spans="1:62" x14ac:dyDescent="0.2">
      <c r="A449" s="117" t="s">
        <v>403</v>
      </c>
      <c r="B449" s="117" t="s">
        <v>884</v>
      </c>
      <c r="C449" s="304" t="s">
        <v>1473</v>
      </c>
      <c r="D449" s="305"/>
      <c r="E449" s="305"/>
      <c r="F449" s="117" t="s">
        <v>1646</v>
      </c>
      <c r="G449" s="116">
        <v>106</v>
      </c>
      <c r="H449" s="159"/>
      <c r="I449" s="108">
        <f t="shared" si="484"/>
        <v>0</v>
      </c>
      <c r="J449" s="108">
        <f t="shared" si="485"/>
        <v>0</v>
      </c>
      <c r="K449" s="108">
        <f t="shared" si="486"/>
        <v>0</v>
      </c>
      <c r="L449" s="111" t="s">
        <v>1671</v>
      </c>
      <c r="Z449" s="100">
        <f t="shared" si="487"/>
        <v>0</v>
      </c>
      <c r="AB449" s="100">
        <f t="shared" si="488"/>
        <v>0</v>
      </c>
      <c r="AC449" s="100">
        <f t="shared" si="489"/>
        <v>0</v>
      </c>
      <c r="AD449" s="100">
        <f t="shared" si="490"/>
        <v>0</v>
      </c>
      <c r="AE449" s="100">
        <f t="shared" si="491"/>
        <v>0</v>
      </c>
      <c r="AF449" s="100">
        <f t="shared" si="492"/>
        <v>0</v>
      </c>
      <c r="AG449" s="100">
        <f t="shared" si="493"/>
        <v>0</v>
      </c>
      <c r="AH449" s="100">
        <f t="shared" si="494"/>
        <v>0</v>
      </c>
      <c r="AI449" s="109"/>
      <c r="AJ449" s="108">
        <f t="shared" si="495"/>
        <v>0</v>
      </c>
      <c r="AK449" s="108">
        <f t="shared" si="496"/>
        <v>0</v>
      </c>
      <c r="AL449" s="108">
        <f t="shared" si="497"/>
        <v>0</v>
      </c>
      <c r="AN449" s="100">
        <v>15</v>
      </c>
      <c r="AO449" s="100">
        <f t="shared" si="498"/>
        <v>0</v>
      </c>
      <c r="AP449" s="100">
        <f t="shared" si="499"/>
        <v>0</v>
      </c>
      <c r="AQ449" s="111" t="s">
        <v>13</v>
      </c>
      <c r="AV449" s="100">
        <f t="shared" si="500"/>
        <v>0</v>
      </c>
      <c r="AW449" s="100">
        <f t="shared" si="501"/>
        <v>0</v>
      </c>
      <c r="AX449" s="100">
        <f t="shared" si="502"/>
        <v>0</v>
      </c>
      <c r="AY449" s="110" t="s">
        <v>1715</v>
      </c>
      <c r="AZ449" s="110" t="s">
        <v>1734</v>
      </c>
      <c r="BA449" s="109" t="s">
        <v>1737</v>
      </c>
      <c r="BC449" s="100">
        <f t="shared" si="503"/>
        <v>0</v>
      </c>
      <c r="BD449" s="100">
        <f t="shared" si="504"/>
        <v>0</v>
      </c>
      <c r="BE449" s="100">
        <v>0</v>
      </c>
      <c r="BF449" s="100">
        <f>449</f>
        <v>449</v>
      </c>
      <c r="BH449" s="108">
        <f t="shared" si="505"/>
        <v>0</v>
      </c>
      <c r="BI449" s="108">
        <f t="shared" si="506"/>
        <v>0</v>
      </c>
      <c r="BJ449" s="108">
        <f t="shared" si="507"/>
        <v>0</v>
      </c>
    </row>
    <row r="450" spans="1:62" x14ac:dyDescent="0.2">
      <c r="A450" s="117" t="s">
        <v>404</v>
      </c>
      <c r="B450" s="117" t="s">
        <v>885</v>
      </c>
      <c r="C450" s="304" t="s">
        <v>1474</v>
      </c>
      <c r="D450" s="305"/>
      <c r="E450" s="305"/>
      <c r="F450" s="117" t="s">
        <v>1645</v>
      </c>
      <c r="G450" s="116">
        <v>1.952</v>
      </c>
      <c r="H450" s="159"/>
      <c r="I450" s="108">
        <f t="shared" si="484"/>
        <v>0</v>
      </c>
      <c r="J450" s="108">
        <f t="shared" si="485"/>
        <v>0</v>
      </c>
      <c r="K450" s="108">
        <f t="shared" si="486"/>
        <v>0</v>
      </c>
      <c r="L450" s="111" t="s">
        <v>1671</v>
      </c>
      <c r="Z450" s="100">
        <f t="shared" si="487"/>
        <v>0</v>
      </c>
      <c r="AB450" s="100">
        <f t="shared" si="488"/>
        <v>0</v>
      </c>
      <c r="AC450" s="100">
        <f t="shared" si="489"/>
        <v>0</v>
      </c>
      <c r="AD450" s="100">
        <f t="shared" si="490"/>
        <v>0</v>
      </c>
      <c r="AE450" s="100">
        <f t="shared" si="491"/>
        <v>0</v>
      </c>
      <c r="AF450" s="100">
        <f t="shared" si="492"/>
        <v>0</v>
      </c>
      <c r="AG450" s="100">
        <f t="shared" si="493"/>
        <v>0</v>
      </c>
      <c r="AH450" s="100">
        <f t="shared" si="494"/>
        <v>0</v>
      </c>
      <c r="AI450" s="109"/>
      <c r="AJ450" s="108">
        <f t="shared" si="495"/>
        <v>0</v>
      </c>
      <c r="AK450" s="108">
        <f t="shared" si="496"/>
        <v>0</v>
      </c>
      <c r="AL450" s="108">
        <f t="shared" si="497"/>
        <v>0</v>
      </c>
      <c r="AN450" s="100">
        <v>15</v>
      </c>
      <c r="AO450" s="100">
        <f t="shared" si="498"/>
        <v>0</v>
      </c>
      <c r="AP450" s="100">
        <f t="shared" si="499"/>
        <v>0</v>
      </c>
      <c r="AQ450" s="111" t="s">
        <v>13</v>
      </c>
      <c r="AV450" s="100">
        <f t="shared" si="500"/>
        <v>0</v>
      </c>
      <c r="AW450" s="100">
        <f t="shared" si="501"/>
        <v>0</v>
      </c>
      <c r="AX450" s="100">
        <f t="shared" si="502"/>
        <v>0</v>
      </c>
      <c r="AY450" s="110" t="s">
        <v>1715</v>
      </c>
      <c r="AZ450" s="110" t="s">
        <v>1734</v>
      </c>
      <c r="BA450" s="109" t="s">
        <v>1737</v>
      </c>
      <c r="BC450" s="100">
        <f t="shared" si="503"/>
        <v>0</v>
      </c>
      <c r="BD450" s="100">
        <f t="shared" si="504"/>
        <v>0</v>
      </c>
      <c r="BE450" s="100">
        <v>0</v>
      </c>
      <c r="BF450" s="100">
        <f>450</f>
        <v>450</v>
      </c>
      <c r="BH450" s="108">
        <f t="shared" si="505"/>
        <v>0</v>
      </c>
      <c r="BI450" s="108">
        <f t="shared" si="506"/>
        <v>0</v>
      </c>
      <c r="BJ450" s="108">
        <f t="shared" si="507"/>
        <v>0</v>
      </c>
    </row>
    <row r="451" spans="1:62" x14ac:dyDescent="0.2">
      <c r="A451" s="117" t="s">
        <v>405</v>
      </c>
      <c r="B451" s="117" t="s">
        <v>2318</v>
      </c>
      <c r="C451" s="304" t="s">
        <v>2317</v>
      </c>
      <c r="D451" s="305"/>
      <c r="E451" s="305"/>
      <c r="F451" s="117" t="s">
        <v>1646</v>
      </c>
      <c r="G451" s="116">
        <v>6</v>
      </c>
      <c r="H451" s="159"/>
      <c r="I451" s="108">
        <f t="shared" si="484"/>
        <v>0</v>
      </c>
      <c r="J451" s="108">
        <f t="shared" si="485"/>
        <v>0</v>
      </c>
      <c r="K451" s="108">
        <f t="shared" si="486"/>
        <v>0</v>
      </c>
      <c r="L451" s="111" t="s">
        <v>1671</v>
      </c>
      <c r="Z451" s="100">
        <f t="shared" si="487"/>
        <v>0</v>
      </c>
      <c r="AB451" s="100">
        <f t="shared" si="488"/>
        <v>0</v>
      </c>
      <c r="AC451" s="100">
        <f t="shared" si="489"/>
        <v>0</v>
      </c>
      <c r="AD451" s="100">
        <f t="shared" si="490"/>
        <v>0</v>
      </c>
      <c r="AE451" s="100">
        <f t="shared" si="491"/>
        <v>0</v>
      </c>
      <c r="AF451" s="100">
        <f t="shared" si="492"/>
        <v>0</v>
      </c>
      <c r="AG451" s="100">
        <f t="shared" si="493"/>
        <v>0</v>
      </c>
      <c r="AH451" s="100">
        <f t="shared" si="494"/>
        <v>0</v>
      </c>
      <c r="AI451" s="109"/>
      <c r="AJ451" s="108">
        <f t="shared" si="495"/>
        <v>0</v>
      </c>
      <c r="AK451" s="108">
        <f t="shared" si="496"/>
        <v>0</v>
      </c>
      <c r="AL451" s="108">
        <f t="shared" si="497"/>
        <v>0</v>
      </c>
      <c r="AN451" s="100">
        <v>15</v>
      </c>
      <c r="AO451" s="100">
        <f t="shared" si="498"/>
        <v>0</v>
      </c>
      <c r="AP451" s="100">
        <f t="shared" si="499"/>
        <v>0</v>
      </c>
      <c r="AQ451" s="111" t="s">
        <v>13</v>
      </c>
      <c r="AV451" s="100">
        <f t="shared" si="500"/>
        <v>0</v>
      </c>
      <c r="AW451" s="100">
        <f t="shared" si="501"/>
        <v>0</v>
      </c>
      <c r="AX451" s="100">
        <f t="shared" si="502"/>
        <v>0</v>
      </c>
      <c r="AY451" s="110" t="s">
        <v>1715</v>
      </c>
      <c r="AZ451" s="110" t="s">
        <v>1734</v>
      </c>
      <c r="BA451" s="109" t="s">
        <v>1737</v>
      </c>
      <c r="BC451" s="100">
        <f t="shared" si="503"/>
        <v>0</v>
      </c>
      <c r="BD451" s="100">
        <f t="shared" si="504"/>
        <v>0</v>
      </c>
      <c r="BE451" s="100">
        <v>0</v>
      </c>
      <c r="BF451" s="100">
        <f>451</f>
        <v>451</v>
      </c>
      <c r="BH451" s="108">
        <f t="shared" si="505"/>
        <v>0</v>
      </c>
      <c r="BI451" s="108">
        <f t="shared" si="506"/>
        <v>0</v>
      </c>
      <c r="BJ451" s="108">
        <f t="shared" si="507"/>
        <v>0</v>
      </c>
    </row>
    <row r="452" spans="1:62" x14ac:dyDescent="0.2">
      <c r="A452" s="117" t="s">
        <v>406</v>
      </c>
      <c r="B452" s="117" t="s">
        <v>886</v>
      </c>
      <c r="C452" s="304" t="s">
        <v>1475</v>
      </c>
      <c r="D452" s="305"/>
      <c r="E452" s="305"/>
      <c r="F452" s="117" t="s">
        <v>1646</v>
      </c>
      <c r="G452" s="116">
        <v>62.5</v>
      </c>
      <c r="H452" s="159"/>
      <c r="I452" s="108">
        <f t="shared" si="484"/>
        <v>0</v>
      </c>
      <c r="J452" s="108">
        <f t="shared" si="485"/>
        <v>0</v>
      </c>
      <c r="K452" s="108">
        <f t="shared" si="486"/>
        <v>0</v>
      </c>
      <c r="L452" s="111" t="s">
        <v>1671</v>
      </c>
      <c r="Z452" s="100">
        <f t="shared" si="487"/>
        <v>0</v>
      </c>
      <c r="AB452" s="100">
        <f t="shared" si="488"/>
        <v>0</v>
      </c>
      <c r="AC452" s="100">
        <f t="shared" si="489"/>
        <v>0</v>
      </c>
      <c r="AD452" s="100">
        <f t="shared" si="490"/>
        <v>0</v>
      </c>
      <c r="AE452" s="100">
        <f t="shared" si="491"/>
        <v>0</v>
      </c>
      <c r="AF452" s="100">
        <f t="shared" si="492"/>
        <v>0</v>
      </c>
      <c r="AG452" s="100">
        <f t="shared" si="493"/>
        <v>0</v>
      </c>
      <c r="AH452" s="100">
        <f t="shared" si="494"/>
        <v>0</v>
      </c>
      <c r="AI452" s="109"/>
      <c r="AJ452" s="108">
        <f t="shared" si="495"/>
        <v>0</v>
      </c>
      <c r="AK452" s="108">
        <f t="shared" si="496"/>
        <v>0</v>
      </c>
      <c r="AL452" s="108">
        <f t="shared" si="497"/>
        <v>0</v>
      </c>
      <c r="AN452" s="100">
        <v>15</v>
      </c>
      <c r="AO452" s="100">
        <f t="shared" si="498"/>
        <v>0</v>
      </c>
      <c r="AP452" s="100">
        <f t="shared" si="499"/>
        <v>0</v>
      </c>
      <c r="AQ452" s="111" t="s">
        <v>13</v>
      </c>
      <c r="AV452" s="100">
        <f t="shared" si="500"/>
        <v>0</v>
      </c>
      <c r="AW452" s="100">
        <f t="shared" si="501"/>
        <v>0</v>
      </c>
      <c r="AX452" s="100">
        <f t="shared" si="502"/>
        <v>0</v>
      </c>
      <c r="AY452" s="110" t="s">
        <v>1715</v>
      </c>
      <c r="AZ452" s="110" t="s">
        <v>1734</v>
      </c>
      <c r="BA452" s="109" t="s">
        <v>1737</v>
      </c>
      <c r="BC452" s="100">
        <f t="shared" si="503"/>
        <v>0</v>
      </c>
      <c r="BD452" s="100">
        <f t="shared" si="504"/>
        <v>0</v>
      </c>
      <c r="BE452" s="100">
        <v>0</v>
      </c>
      <c r="BF452" s="100">
        <f>452</f>
        <v>452</v>
      </c>
      <c r="BH452" s="108">
        <f t="shared" si="505"/>
        <v>0</v>
      </c>
      <c r="BI452" s="108">
        <f t="shared" si="506"/>
        <v>0</v>
      </c>
      <c r="BJ452" s="108">
        <f t="shared" si="507"/>
        <v>0</v>
      </c>
    </row>
    <row r="453" spans="1:62" x14ac:dyDescent="0.2">
      <c r="A453" s="117" t="s">
        <v>407</v>
      </c>
      <c r="B453" s="117" t="s">
        <v>887</v>
      </c>
      <c r="C453" s="304" t="s">
        <v>1476</v>
      </c>
      <c r="D453" s="305"/>
      <c r="E453" s="305"/>
      <c r="F453" s="117" t="s">
        <v>1644</v>
      </c>
      <c r="G453" s="116">
        <v>6</v>
      </c>
      <c r="H453" s="159"/>
      <c r="I453" s="108">
        <f t="shared" si="484"/>
        <v>0</v>
      </c>
      <c r="J453" s="108">
        <f t="shared" si="485"/>
        <v>0</v>
      </c>
      <c r="K453" s="108">
        <f t="shared" si="486"/>
        <v>0</v>
      </c>
      <c r="L453" s="111" t="s">
        <v>1671</v>
      </c>
      <c r="Z453" s="100">
        <f t="shared" si="487"/>
        <v>0</v>
      </c>
      <c r="AB453" s="100">
        <f t="shared" si="488"/>
        <v>0</v>
      </c>
      <c r="AC453" s="100">
        <f t="shared" si="489"/>
        <v>0</v>
      </c>
      <c r="AD453" s="100">
        <f t="shared" si="490"/>
        <v>0</v>
      </c>
      <c r="AE453" s="100">
        <f t="shared" si="491"/>
        <v>0</v>
      </c>
      <c r="AF453" s="100">
        <f t="shared" si="492"/>
        <v>0</v>
      </c>
      <c r="AG453" s="100">
        <f t="shared" si="493"/>
        <v>0</v>
      </c>
      <c r="AH453" s="100">
        <f t="shared" si="494"/>
        <v>0</v>
      </c>
      <c r="AI453" s="109"/>
      <c r="AJ453" s="108">
        <f t="shared" si="495"/>
        <v>0</v>
      </c>
      <c r="AK453" s="108">
        <f t="shared" si="496"/>
        <v>0</v>
      </c>
      <c r="AL453" s="108">
        <f t="shared" si="497"/>
        <v>0</v>
      </c>
      <c r="AN453" s="100">
        <v>15</v>
      </c>
      <c r="AO453" s="100">
        <f t="shared" si="498"/>
        <v>0</v>
      </c>
      <c r="AP453" s="100">
        <f t="shared" si="499"/>
        <v>0</v>
      </c>
      <c r="AQ453" s="111" t="s">
        <v>13</v>
      </c>
      <c r="AV453" s="100">
        <f t="shared" si="500"/>
        <v>0</v>
      </c>
      <c r="AW453" s="100">
        <f t="shared" si="501"/>
        <v>0</v>
      </c>
      <c r="AX453" s="100">
        <f t="shared" si="502"/>
        <v>0</v>
      </c>
      <c r="AY453" s="110" t="s">
        <v>1715</v>
      </c>
      <c r="AZ453" s="110" t="s">
        <v>1734</v>
      </c>
      <c r="BA453" s="109" t="s">
        <v>1737</v>
      </c>
      <c r="BC453" s="100">
        <f t="shared" si="503"/>
        <v>0</v>
      </c>
      <c r="BD453" s="100">
        <f t="shared" si="504"/>
        <v>0</v>
      </c>
      <c r="BE453" s="100">
        <v>0</v>
      </c>
      <c r="BF453" s="100">
        <f>453</f>
        <v>453</v>
      </c>
      <c r="BH453" s="108">
        <f t="shared" si="505"/>
        <v>0</v>
      </c>
      <c r="BI453" s="108">
        <f t="shared" si="506"/>
        <v>0</v>
      </c>
      <c r="BJ453" s="108">
        <f t="shared" si="507"/>
        <v>0</v>
      </c>
    </row>
    <row r="454" spans="1:62" x14ac:dyDescent="0.2">
      <c r="A454" s="117" t="s">
        <v>408</v>
      </c>
      <c r="B454" s="117" t="s">
        <v>888</v>
      </c>
      <c r="C454" s="304" t="s">
        <v>1477</v>
      </c>
      <c r="D454" s="305"/>
      <c r="E454" s="305"/>
      <c r="F454" s="117" t="s">
        <v>1644</v>
      </c>
      <c r="G454" s="116">
        <v>1</v>
      </c>
      <c r="H454" s="159"/>
      <c r="I454" s="108">
        <f t="shared" si="484"/>
        <v>0</v>
      </c>
      <c r="J454" s="108">
        <f t="shared" si="485"/>
        <v>0</v>
      </c>
      <c r="K454" s="108">
        <f t="shared" si="486"/>
        <v>0</v>
      </c>
      <c r="L454" s="111" t="s">
        <v>1671</v>
      </c>
      <c r="Z454" s="100">
        <f t="shared" si="487"/>
        <v>0</v>
      </c>
      <c r="AB454" s="100">
        <f t="shared" si="488"/>
        <v>0</v>
      </c>
      <c r="AC454" s="100">
        <f t="shared" si="489"/>
        <v>0</v>
      </c>
      <c r="AD454" s="100">
        <f t="shared" si="490"/>
        <v>0</v>
      </c>
      <c r="AE454" s="100">
        <f t="shared" si="491"/>
        <v>0</v>
      </c>
      <c r="AF454" s="100">
        <f t="shared" si="492"/>
        <v>0</v>
      </c>
      <c r="AG454" s="100">
        <f t="shared" si="493"/>
        <v>0</v>
      </c>
      <c r="AH454" s="100">
        <f t="shared" si="494"/>
        <v>0</v>
      </c>
      <c r="AI454" s="109"/>
      <c r="AJ454" s="108">
        <f t="shared" si="495"/>
        <v>0</v>
      </c>
      <c r="AK454" s="108">
        <f t="shared" si="496"/>
        <v>0</v>
      </c>
      <c r="AL454" s="108">
        <f t="shared" si="497"/>
        <v>0</v>
      </c>
      <c r="AN454" s="100">
        <v>15</v>
      </c>
      <c r="AO454" s="100">
        <f>H454*0.270879136690647</f>
        <v>0</v>
      </c>
      <c r="AP454" s="100">
        <f>H454*(1-0.270879136690647)</f>
        <v>0</v>
      </c>
      <c r="AQ454" s="111" t="s">
        <v>13</v>
      </c>
      <c r="AV454" s="100">
        <f t="shared" si="500"/>
        <v>0</v>
      </c>
      <c r="AW454" s="100">
        <f t="shared" si="501"/>
        <v>0</v>
      </c>
      <c r="AX454" s="100">
        <f t="shared" si="502"/>
        <v>0</v>
      </c>
      <c r="AY454" s="110" t="s">
        <v>1715</v>
      </c>
      <c r="AZ454" s="110" t="s">
        <v>1734</v>
      </c>
      <c r="BA454" s="109" t="s">
        <v>1737</v>
      </c>
      <c r="BC454" s="100">
        <f t="shared" si="503"/>
        <v>0</v>
      </c>
      <c r="BD454" s="100">
        <f t="shared" si="504"/>
        <v>0</v>
      </c>
      <c r="BE454" s="100">
        <v>0</v>
      </c>
      <c r="BF454" s="100">
        <f>454</f>
        <v>454</v>
      </c>
      <c r="BH454" s="108">
        <f t="shared" si="505"/>
        <v>0</v>
      </c>
      <c r="BI454" s="108">
        <f t="shared" si="506"/>
        <v>0</v>
      </c>
      <c r="BJ454" s="108">
        <f t="shared" si="507"/>
        <v>0</v>
      </c>
    </row>
    <row r="455" spans="1:62" x14ac:dyDescent="0.2">
      <c r="A455" s="117" t="s">
        <v>409</v>
      </c>
      <c r="B455" s="117" t="s">
        <v>889</v>
      </c>
      <c r="C455" s="304" t="s">
        <v>1478</v>
      </c>
      <c r="D455" s="305"/>
      <c r="E455" s="305"/>
      <c r="F455" s="117" t="s">
        <v>1646</v>
      </c>
      <c r="G455" s="116">
        <v>47</v>
      </c>
      <c r="H455" s="159"/>
      <c r="I455" s="108">
        <f t="shared" si="484"/>
        <v>0</v>
      </c>
      <c r="J455" s="108">
        <f t="shared" si="485"/>
        <v>0</v>
      </c>
      <c r="K455" s="108">
        <f t="shared" si="486"/>
        <v>0</v>
      </c>
      <c r="L455" s="111" t="s">
        <v>1671</v>
      </c>
      <c r="Z455" s="100">
        <f t="shared" si="487"/>
        <v>0</v>
      </c>
      <c r="AB455" s="100">
        <f t="shared" si="488"/>
        <v>0</v>
      </c>
      <c r="AC455" s="100">
        <f t="shared" si="489"/>
        <v>0</v>
      </c>
      <c r="AD455" s="100">
        <f t="shared" si="490"/>
        <v>0</v>
      </c>
      <c r="AE455" s="100">
        <f t="shared" si="491"/>
        <v>0</v>
      </c>
      <c r="AF455" s="100">
        <f t="shared" si="492"/>
        <v>0</v>
      </c>
      <c r="AG455" s="100">
        <f t="shared" si="493"/>
        <v>0</v>
      </c>
      <c r="AH455" s="100">
        <f t="shared" si="494"/>
        <v>0</v>
      </c>
      <c r="AI455" s="109"/>
      <c r="AJ455" s="108">
        <f t="shared" si="495"/>
        <v>0</v>
      </c>
      <c r="AK455" s="108">
        <f t="shared" si="496"/>
        <v>0</v>
      </c>
      <c r="AL455" s="108">
        <f t="shared" si="497"/>
        <v>0</v>
      </c>
      <c r="AN455" s="100">
        <v>15</v>
      </c>
      <c r="AO455" s="100">
        <f>H455*0.281701361941195</f>
        <v>0</v>
      </c>
      <c r="AP455" s="100">
        <f>H455*(1-0.281701361941195)</f>
        <v>0</v>
      </c>
      <c r="AQ455" s="111" t="s">
        <v>13</v>
      </c>
      <c r="AV455" s="100">
        <f t="shared" si="500"/>
        <v>0</v>
      </c>
      <c r="AW455" s="100">
        <f t="shared" si="501"/>
        <v>0</v>
      </c>
      <c r="AX455" s="100">
        <f t="shared" si="502"/>
        <v>0</v>
      </c>
      <c r="AY455" s="110" t="s">
        <v>1715</v>
      </c>
      <c r="AZ455" s="110" t="s">
        <v>1734</v>
      </c>
      <c r="BA455" s="109" t="s">
        <v>1737</v>
      </c>
      <c r="BC455" s="100">
        <f t="shared" si="503"/>
        <v>0</v>
      </c>
      <c r="BD455" s="100">
        <f t="shared" si="504"/>
        <v>0</v>
      </c>
      <c r="BE455" s="100">
        <v>0</v>
      </c>
      <c r="BF455" s="100">
        <f>455</f>
        <v>455</v>
      </c>
      <c r="BH455" s="108">
        <f t="shared" si="505"/>
        <v>0</v>
      </c>
      <c r="BI455" s="108">
        <f t="shared" si="506"/>
        <v>0</v>
      </c>
      <c r="BJ455" s="108">
        <f t="shared" si="507"/>
        <v>0</v>
      </c>
    </row>
    <row r="456" spans="1:62" x14ac:dyDescent="0.2">
      <c r="A456" s="117" t="s">
        <v>410</v>
      </c>
      <c r="B456" s="117" t="s">
        <v>890</v>
      </c>
      <c r="C456" s="304" t="s">
        <v>1479</v>
      </c>
      <c r="D456" s="305"/>
      <c r="E456" s="305"/>
      <c r="F456" s="117" t="s">
        <v>1646</v>
      </c>
      <c r="G456" s="116">
        <v>18</v>
      </c>
      <c r="H456" s="159"/>
      <c r="I456" s="108">
        <f t="shared" si="484"/>
        <v>0</v>
      </c>
      <c r="J456" s="108">
        <f t="shared" si="485"/>
        <v>0</v>
      </c>
      <c r="K456" s="108">
        <f t="shared" si="486"/>
        <v>0</v>
      </c>
      <c r="L456" s="111" t="s">
        <v>1671</v>
      </c>
      <c r="Z456" s="100">
        <f t="shared" si="487"/>
        <v>0</v>
      </c>
      <c r="AB456" s="100">
        <f t="shared" si="488"/>
        <v>0</v>
      </c>
      <c r="AC456" s="100">
        <f t="shared" si="489"/>
        <v>0</v>
      </c>
      <c r="AD456" s="100">
        <f t="shared" si="490"/>
        <v>0</v>
      </c>
      <c r="AE456" s="100">
        <f t="shared" si="491"/>
        <v>0</v>
      </c>
      <c r="AF456" s="100">
        <f t="shared" si="492"/>
        <v>0</v>
      </c>
      <c r="AG456" s="100">
        <f t="shared" si="493"/>
        <v>0</v>
      </c>
      <c r="AH456" s="100">
        <f t="shared" si="494"/>
        <v>0</v>
      </c>
      <c r="AI456" s="109"/>
      <c r="AJ456" s="108">
        <f t="shared" si="495"/>
        <v>0</v>
      </c>
      <c r="AK456" s="108">
        <f t="shared" si="496"/>
        <v>0</v>
      </c>
      <c r="AL456" s="108">
        <f t="shared" si="497"/>
        <v>0</v>
      </c>
      <c r="AN456" s="100">
        <v>15</v>
      </c>
      <c r="AO456" s="100">
        <f>H456*0.31016318537859</f>
        <v>0</v>
      </c>
      <c r="AP456" s="100">
        <f>H456*(1-0.31016318537859)</f>
        <v>0</v>
      </c>
      <c r="AQ456" s="111" t="s">
        <v>13</v>
      </c>
      <c r="AV456" s="100">
        <f t="shared" si="500"/>
        <v>0</v>
      </c>
      <c r="AW456" s="100">
        <f t="shared" si="501"/>
        <v>0</v>
      </c>
      <c r="AX456" s="100">
        <f t="shared" si="502"/>
        <v>0</v>
      </c>
      <c r="AY456" s="110" t="s">
        <v>1715</v>
      </c>
      <c r="AZ456" s="110" t="s">
        <v>1734</v>
      </c>
      <c r="BA456" s="109" t="s">
        <v>1737</v>
      </c>
      <c r="BC456" s="100">
        <f t="shared" si="503"/>
        <v>0</v>
      </c>
      <c r="BD456" s="100">
        <f t="shared" si="504"/>
        <v>0</v>
      </c>
      <c r="BE456" s="100">
        <v>0</v>
      </c>
      <c r="BF456" s="100">
        <f>456</f>
        <v>456</v>
      </c>
      <c r="BH456" s="108">
        <f t="shared" si="505"/>
        <v>0</v>
      </c>
      <c r="BI456" s="108">
        <f t="shared" si="506"/>
        <v>0</v>
      </c>
      <c r="BJ456" s="108">
        <f t="shared" si="507"/>
        <v>0</v>
      </c>
    </row>
    <row r="457" spans="1:62" x14ac:dyDescent="0.2">
      <c r="A457" s="117" t="s">
        <v>411</v>
      </c>
      <c r="B457" s="117" t="s">
        <v>891</v>
      </c>
      <c r="C457" s="304" t="s">
        <v>1480</v>
      </c>
      <c r="D457" s="305"/>
      <c r="E457" s="305"/>
      <c r="F457" s="117" t="s">
        <v>1646</v>
      </c>
      <c r="G457" s="116">
        <v>65.004999999999995</v>
      </c>
      <c r="H457" s="159"/>
      <c r="I457" s="108">
        <f t="shared" si="484"/>
        <v>0</v>
      </c>
      <c r="J457" s="108">
        <f t="shared" si="485"/>
        <v>0</v>
      </c>
      <c r="K457" s="108">
        <f t="shared" si="486"/>
        <v>0</v>
      </c>
      <c r="L457" s="111" t="s">
        <v>1671</v>
      </c>
      <c r="Z457" s="100">
        <f t="shared" si="487"/>
        <v>0</v>
      </c>
      <c r="AB457" s="100">
        <f t="shared" si="488"/>
        <v>0</v>
      </c>
      <c r="AC457" s="100">
        <f t="shared" si="489"/>
        <v>0</v>
      </c>
      <c r="AD457" s="100">
        <f t="shared" si="490"/>
        <v>0</v>
      </c>
      <c r="AE457" s="100">
        <f t="shared" si="491"/>
        <v>0</v>
      </c>
      <c r="AF457" s="100">
        <f t="shared" si="492"/>
        <v>0</v>
      </c>
      <c r="AG457" s="100">
        <f t="shared" si="493"/>
        <v>0</v>
      </c>
      <c r="AH457" s="100">
        <f t="shared" si="494"/>
        <v>0</v>
      </c>
      <c r="AI457" s="109"/>
      <c r="AJ457" s="108">
        <f t="shared" si="495"/>
        <v>0</v>
      </c>
      <c r="AK457" s="108">
        <f t="shared" si="496"/>
        <v>0</v>
      </c>
      <c r="AL457" s="108">
        <f t="shared" si="497"/>
        <v>0</v>
      </c>
      <c r="AN457" s="100">
        <v>15</v>
      </c>
      <c r="AO457" s="100">
        <f>H457*0</f>
        <v>0</v>
      </c>
      <c r="AP457" s="100">
        <f>H457*(1-0)</f>
        <v>0</v>
      </c>
      <c r="AQ457" s="111" t="s">
        <v>13</v>
      </c>
      <c r="AV457" s="100">
        <f t="shared" si="500"/>
        <v>0</v>
      </c>
      <c r="AW457" s="100">
        <f t="shared" si="501"/>
        <v>0</v>
      </c>
      <c r="AX457" s="100">
        <f t="shared" si="502"/>
        <v>0</v>
      </c>
      <c r="AY457" s="110" t="s">
        <v>1715</v>
      </c>
      <c r="AZ457" s="110" t="s">
        <v>1734</v>
      </c>
      <c r="BA457" s="109" t="s">
        <v>1737</v>
      </c>
      <c r="BC457" s="100">
        <f t="shared" si="503"/>
        <v>0</v>
      </c>
      <c r="BD457" s="100">
        <f t="shared" si="504"/>
        <v>0</v>
      </c>
      <c r="BE457" s="100">
        <v>0</v>
      </c>
      <c r="BF457" s="100">
        <f>457</f>
        <v>457</v>
      </c>
      <c r="BH457" s="108">
        <f t="shared" si="505"/>
        <v>0</v>
      </c>
      <c r="BI457" s="108">
        <f t="shared" si="506"/>
        <v>0</v>
      </c>
      <c r="BJ457" s="108">
        <f t="shared" si="507"/>
        <v>0</v>
      </c>
    </row>
    <row r="458" spans="1:62" x14ac:dyDescent="0.2">
      <c r="A458" s="117" t="s">
        <v>412</v>
      </c>
      <c r="B458" s="117" t="s">
        <v>892</v>
      </c>
      <c r="C458" s="304" t="s">
        <v>1481</v>
      </c>
      <c r="D458" s="305"/>
      <c r="E458" s="305"/>
      <c r="F458" s="117" t="s">
        <v>1646</v>
      </c>
      <c r="G458" s="116">
        <v>46.5</v>
      </c>
      <c r="H458" s="159"/>
      <c r="I458" s="108">
        <f t="shared" si="484"/>
        <v>0</v>
      </c>
      <c r="J458" s="108">
        <f t="shared" si="485"/>
        <v>0</v>
      </c>
      <c r="K458" s="108">
        <f t="shared" si="486"/>
        <v>0</v>
      </c>
      <c r="L458" s="111" t="s">
        <v>1671</v>
      </c>
      <c r="Z458" s="100">
        <f t="shared" si="487"/>
        <v>0</v>
      </c>
      <c r="AB458" s="100">
        <f t="shared" si="488"/>
        <v>0</v>
      </c>
      <c r="AC458" s="100">
        <f t="shared" si="489"/>
        <v>0</v>
      </c>
      <c r="AD458" s="100">
        <f t="shared" si="490"/>
        <v>0</v>
      </c>
      <c r="AE458" s="100">
        <f t="shared" si="491"/>
        <v>0</v>
      </c>
      <c r="AF458" s="100">
        <f t="shared" si="492"/>
        <v>0</v>
      </c>
      <c r="AG458" s="100">
        <f t="shared" si="493"/>
        <v>0</v>
      </c>
      <c r="AH458" s="100">
        <f t="shared" si="494"/>
        <v>0</v>
      </c>
      <c r="AI458" s="109"/>
      <c r="AJ458" s="108">
        <f t="shared" si="495"/>
        <v>0</v>
      </c>
      <c r="AK458" s="108">
        <f t="shared" si="496"/>
        <v>0</v>
      </c>
      <c r="AL458" s="108">
        <f t="shared" si="497"/>
        <v>0</v>
      </c>
      <c r="AN458" s="100">
        <v>15</v>
      </c>
      <c r="AO458" s="100">
        <f>H458*0</f>
        <v>0</v>
      </c>
      <c r="AP458" s="100">
        <f>H458*(1-0)</f>
        <v>0</v>
      </c>
      <c r="AQ458" s="111" t="s">
        <v>13</v>
      </c>
      <c r="AV458" s="100">
        <f t="shared" si="500"/>
        <v>0</v>
      </c>
      <c r="AW458" s="100">
        <f t="shared" si="501"/>
        <v>0</v>
      </c>
      <c r="AX458" s="100">
        <f t="shared" si="502"/>
        <v>0</v>
      </c>
      <c r="AY458" s="110" t="s">
        <v>1715</v>
      </c>
      <c r="AZ458" s="110" t="s">
        <v>1734</v>
      </c>
      <c r="BA458" s="109" t="s">
        <v>1737</v>
      </c>
      <c r="BC458" s="100">
        <f t="shared" si="503"/>
        <v>0</v>
      </c>
      <c r="BD458" s="100">
        <f t="shared" si="504"/>
        <v>0</v>
      </c>
      <c r="BE458" s="100">
        <v>0</v>
      </c>
      <c r="BF458" s="100">
        <f>458</f>
        <v>458</v>
      </c>
      <c r="BH458" s="108">
        <f t="shared" si="505"/>
        <v>0</v>
      </c>
      <c r="BI458" s="108">
        <f t="shared" si="506"/>
        <v>0</v>
      </c>
      <c r="BJ458" s="108">
        <f t="shared" si="507"/>
        <v>0</v>
      </c>
    </row>
    <row r="459" spans="1:62" x14ac:dyDescent="0.2">
      <c r="A459" s="117" t="s">
        <v>413</v>
      </c>
      <c r="B459" s="117" t="s">
        <v>2316</v>
      </c>
      <c r="C459" s="304" t="s">
        <v>2315</v>
      </c>
      <c r="D459" s="305"/>
      <c r="E459" s="305"/>
      <c r="F459" s="117" t="s">
        <v>1646</v>
      </c>
      <c r="G459" s="116">
        <v>6</v>
      </c>
      <c r="H459" s="159"/>
      <c r="I459" s="108">
        <f t="shared" si="484"/>
        <v>0</v>
      </c>
      <c r="J459" s="108">
        <f t="shared" si="485"/>
        <v>0</v>
      </c>
      <c r="K459" s="108">
        <f t="shared" si="486"/>
        <v>0</v>
      </c>
      <c r="L459" s="111" t="s">
        <v>1671</v>
      </c>
      <c r="Z459" s="100">
        <f t="shared" si="487"/>
        <v>0</v>
      </c>
      <c r="AB459" s="100">
        <f t="shared" si="488"/>
        <v>0</v>
      </c>
      <c r="AC459" s="100">
        <f t="shared" si="489"/>
        <v>0</v>
      </c>
      <c r="AD459" s="100">
        <f t="shared" si="490"/>
        <v>0</v>
      </c>
      <c r="AE459" s="100">
        <f t="shared" si="491"/>
        <v>0</v>
      </c>
      <c r="AF459" s="100">
        <f t="shared" si="492"/>
        <v>0</v>
      </c>
      <c r="AG459" s="100">
        <f t="shared" si="493"/>
        <v>0</v>
      </c>
      <c r="AH459" s="100">
        <f t="shared" si="494"/>
        <v>0</v>
      </c>
      <c r="AI459" s="109"/>
      <c r="AJ459" s="108">
        <f t="shared" si="495"/>
        <v>0</v>
      </c>
      <c r="AK459" s="108">
        <f t="shared" si="496"/>
        <v>0</v>
      </c>
      <c r="AL459" s="108">
        <f t="shared" si="497"/>
        <v>0</v>
      </c>
      <c r="AN459" s="100">
        <v>15</v>
      </c>
      <c r="AO459" s="100">
        <f>H459*0.57475113122172</f>
        <v>0</v>
      </c>
      <c r="AP459" s="100">
        <f>H459*(1-0.57475113122172)</f>
        <v>0</v>
      </c>
      <c r="AQ459" s="111" t="s">
        <v>13</v>
      </c>
      <c r="AV459" s="100">
        <f t="shared" si="500"/>
        <v>0</v>
      </c>
      <c r="AW459" s="100">
        <f t="shared" si="501"/>
        <v>0</v>
      </c>
      <c r="AX459" s="100">
        <f t="shared" si="502"/>
        <v>0</v>
      </c>
      <c r="AY459" s="110" t="s">
        <v>1715</v>
      </c>
      <c r="AZ459" s="110" t="s">
        <v>1734</v>
      </c>
      <c r="BA459" s="109" t="s">
        <v>1737</v>
      </c>
      <c r="BC459" s="100">
        <f t="shared" si="503"/>
        <v>0</v>
      </c>
      <c r="BD459" s="100">
        <f t="shared" si="504"/>
        <v>0</v>
      </c>
      <c r="BE459" s="100">
        <v>0</v>
      </c>
      <c r="BF459" s="100">
        <f>459</f>
        <v>459</v>
      </c>
      <c r="BH459" s="108">
        <f t="shared" si="505"/>
        <v>0</v>
      </c>
      <c r="BI459" s="108">
        <f t="shared" si="506"/>
        <v>0</v>
      </c>
      <c r="BJ459" s="108">
        <f t="shared" si="507"/>
        <v>0</v>
      </c>
    </row>
    <row r="460" spans="1:62" x14ac:dyDescent="0.2">
      <c r="A460" s="117" t="s">
        <v>414</v>
      </c>
      <c r="B460" s="117" t="s">
        <v>893</v>
      </c>
      <c r="C460" s="304" t="s">
        <v>1482</v>
      </c>
      <c r="D460" s="305"/>
      <c r="E460" s="305"/>
      <c r="F460" s="117" t="s">
        <v>1646</v>
      </c>
      <c r="G460" s="116">
        <v>62.5</v>
      </c>
      <c r="H460" s="159"/>
      <c r="I460" s="108">
        <f t="shared" si="484"/>
        <v>0</v>
      </c>
      <c r="J460" s="108">
        <f t="shared" si="485"/>
        <v>0</v>
      </c>
      <c r="K460" s="108">
        <f t="shared" si="486"/>
        <v>0</v>
      </c>
      <c r="L460" s="111" t="s">
        <v>1671</v>
      </c>
      <c r="Z460" s="100">
        <f t="shared" si="487"/>
        <v>0</v>
      </c>
      <c r="AB460" s="100">
        <f t="shared" si="488"/>
        <v>0</v>
      </c>
      <c r="AC460" s="100">
        <f t="shared" si="489"/>
        <v>0</v>
      </c>
      <c r="AD460" s="100">
        <f t="shared" si="490"/>
        <v>0</v>
      </c>
      <c r="AE460" s="100">
        <f t="shared" si="491"/>
        <v>0</v>
      </c>
      <c r="AF460" s="100">
        <f t="shared" si="492"/>
        <v>0</v>
      </c>
      <c r="AG460" s="100">
        <f t="shared" si="493"/>
        <v>0</v>
      </c>
      <c r="AH460" s="100">
        <f t="shared" si="494"/>
        <v>0</v>
      </c>
      <c r="AI460" s="109"/>
      <c r="AJ460" s="108">
        <f t="shared" si="495"/>
        <v>0</v>
      </c>
      <c r="AK460" s="108">
        <f t="shared" si="496"/>
        <v>0</v>
      </c>
      <c r="AL460" s="108">
        <f t="shared" si="497"/>
        <v>0</v>
      </c>
      <c r="AN460" s="100">
        <v>15</v>
      </c>
      <c r="AO460" s="100">
        <f>H460*0.603371428571429</f>
        <v>0</v>
      </c>
      <c r="AP460" s="100">
        <f>H460*(1-0.603371428571429)</f>
        <v>0</v>
      </c>
      <c r="AQ460" s="111" t="s">
        <v>13</v>
      </c>
      <c r="AV460" s="100">
        <f t="shared" si="500"/>
        <v>0</v>
      </c>
      <c r="AW460" s="100">
        <f t="shared" si="501"/>
        <v>0</v>
      </c>
      <c r="AX460" s="100">
        <f t="shared" si="502"/>
        <v>0</v>
      </c>
      <c r="AY460" s="110" t="s">
        <v>1715</v>
      </c>
      <c r="AZ460" s="110" t="s">
        <v>1734</v>
      </c>
      <c r="BA460" s="109" t="s">
        <v>1737</v>
      </c>
      <c r="BC460" s="100">
        <f t="shared" si="503"/>
        <v>0</v>
      </c>
      <c r="BD460" s="100">
        <f t="shared" si="504"/>
        <v>0</v>
      </c>
      <c r="BE460" s="100">
        <v>0</v>
      </c>
      <c r="BF460" s="100">
        <f>460</f>
        <v>460</v>
      </c>
      <c r="BH460" s="108">
        <f t="shared" si="505"/>
        <v>0</v>
      </c>
      <c r="BI460" s="108">
        <f t="shared" si="506"/>
        <v>0</v>
      </c>
      <c r="BJ460" s="108">
        <f t="shared" si="507"/>
        <v>0</v>
      </c>
    </row>
    <row r="461" spans="1:62" x14ac:dyDescent="0.2">
      <c r="A461" s="117" t="s">
        <v>415</v>
      </c>
      <c r="B461" s="117" t="s">
        <v>2314</v>
      </c>
      <c r="C461" s="304" t="s">
        <v>2313</v>
      </c>
      <c r="D461" s="305"/>
      <c r="E461" s="305"/>
      <c r="F461" s="117" t="s">
        <v>1644</v>
      </c>
      <c r="G461" s="116">
        <v>2</v>
      </c>
      <c r="H461" s="159"/>
      <c r="I461" s="108">
        <f t="shared" si="484"/>
        <v>0</v>
      </c>
      <c r="J461" s="108">
        <f t="shared" si="485"/>
        <v>0</v>
      </c>
      <c r="K461" s="108">
        <f t="shared" si="486"/>
        <v>0</v>
      </c>
      <c r="L461" s="111" t="s">
        <v>1671</v>
      </c>
      <c r="Z461" s="100">
        <f t="shared" si="487"/>
        <v>0</v>
      </c>
      <c r="AB461" s="100">
        <f t="shared" si="488"/>
        <v>0</v>
      </c>
      <c r="AC461" s="100">
        <f t="shared" si="489"/>
        <v>0</v>
      </c>
      <c r="AD461" s="100">
        <f t="shared" si="490"/>
        <v>0</v>
      </c>
      <c r="AE461" s="100">
        <f t="shared" si="491"/>
        <v>0</v>
      </c>
      <c r="AF461" s="100">
        <f t="shared" si="492"/>
        <v>0</v>
      </c>
      <c r="AG461" s="100">
        <f t="shared" si="493"/>
        <v>0</v>
      </c>
      <c r="AH461" s="100">
        <f t="shared" si="494"/>
        <v>0</v>
      </c>
      <c r="AI461" s="109"/>
      <c r="AJ461" s="108">
        <f t="shared" si="495"/>
        <v>0</v>
      </c>
      <c r="AK461" s="108">
        <f t="shared" si="496"/>
        <v>0</v>
      </c>
      <c r="AL461" s="108">
        <f t="shared" si="497"/>
        <v>0</v>
      </c>
      <c r="AN461" s="100">
        <v>15</v>
      </c>
      <c r="AO461" s="100">
        <f>H461*0.464767726161369</f>
        <v>0</v>
      </c>
      <c r="AP461" s="100">
        <f>H461*(1-0.464767726161369)</f>
        <v>0</v>
      </c>
      <c r="AQ461" s="111" t="s">
        <v>13</v>
      </c>
      <c r="AV461" s="100">
        <f t="shared" si="500"/>
        <v>0</v>
      </c>
      <c r="AW461" s="100">
        <f t="shared" si="501"/>
        <v>0</v>
      </c>
      <c r="AX461" s="100">
        <f t="shared" si="502"/>
        <v>0</v>
      </c>
      <c r="AY461" s="110" t="s">
        <v>1715</v>
      </c>
      <c r="AZ461" s="110" t="s">
        <v>1734</v>
      </c>
      <c r="BA461" s="109" t="s">
        <v>1737</v>
      </c>
      <c r="BC461" s="100">
        <f t="shared" si="503"/>
        <v>0</v>
      </c>
      <c r="BD461" s="100">
        <f t="shared" si="504"/>
        <v>0</v>
      </c>
      <c r="BE461" s="100">
        <v>0</v>
      </c>
      <c r="BF461" s="100">
        <f>461</f>
        <v>461</v>
      </c>
      <c r="BH461" s="108">
        <f t="shared" si="505"/>
        <v>0</v>
      </c>
      <c r="BI461" s="108">
        <f t="shared" si="506"/>
        <v>0</v>
      </c>
      <c r="BJ461" s="108">
        <f t="shared" si="507"/>
        <v>0</v>
      </c>
    </row>
    <row r="462" spans="1:62" x14ac:dyDescent="0.2">
      <c r="A462" s="117" t="s">
        <v>416</v>
      </c>
      <c r="B462" s="117" t="s">
        <v>894</v>
      </c>
      <c r="C462" s="304" t="s">
        <v>1483</v>
      </c>
      <c r="D462" s="305"/>
      <c r="E462" s="305"/>
      <c r="F462" s="117" t="s">
        <v>1644</v>
      </c>
      <c r="G462" s="116">
        <v>4</v>
      </c>
      <c r="H462" s="159"/>
      <c r="I462" s="108">
        <f t="shared" si="484"/>
        <v>0</v>
      </c>
      <c r="J462" s="108">
        <f t="shared" si="485"/>
        <v>0</v>
      </c>
      <c r="K462" s="108">
        <f t="shared" si="486"/>
        <v>0</v>
      </c>
      <c r="L462" s="111" t="s">
        <v>1671</v>
      </c>
      <c r="Z462" s="100">
        <f t="shared" si="487"/>
        <v>0</v>
      </c>
      <c r="AB462" s="100">
        <f t="shared" si="488"/>
        <v>0</v>
      </c>
      <c r="AC462" s="100">
        <f t="shared" si="489"/>
        <v>0</v>
      </c>
      <c r="AD462" s="100">
        <f t="shared" si="490"/>
        <v>0</v>
      </c>
      <c r="AE462" s="100">
        <f t="shared" si="491"/>
        <v>0</v>
      </c>
      <c r="AF462" s="100">
        <f t="shared" si="492"/>
        <v>0</v>
      </c>
      <c r="AG462" s="100">
        <f t="shared" si="493"/>
        <v>0</v>
      </c>
      <c r="AH462" s="100">
        <f t="shared" si="494"/>
        <v>0</v>
      </c>
      <c r="AI462" s="109"/>
      <c r="AJ462" s="108">
        <f t="shared" si="495"/>
        <v>0</v>
      </c>
      <c r="AK462" s="108">
        <f t="shared" si="496"/>
        <v>0</v>
      </c>
      <c r="AL462" s="108">
        <f t="shared" si="497"/>
        <v>0</v>
      </c>
      <c r="AN462" s="100">
        <v>15</v>
      </c>
      <c r="AO462" s="100">
        <f>H462*0.568224852071006</f>
        <v>0</v>
      </c>
      <c r="AP462" s="100">
        <f>H462*(1-0.568224852071006)</f>
        <v>0</v>
      </c>
      <c r="AQ462" s="111" t="s">
        <v>13</v>
      </c>
      <c r="AV462" s="100">
        <f t="shared" si="500"/>
        <v>0</v>
      </c>
      <c r="AW462" s="100">
        <f t="shared" si="501"/>
        <v>0</v>
      </c>
      <c r="AX462" s="100">
        <f t="shared" si="502"/>
        <v>0</v>
      </c>
      <c r="AY462" s="110" t="s">
        <v>1715</v>
      </c>
      <c r="AZ462" s="110" t="s">
        <v>1734</v>
      </c>
      <c r="BA462" s="109" t="s">
        <v>1737</v>
      </c>
      <c r="BC462" s="100">
        <f t="shared" si="503"/>
        <v>0</v>
      </c>
      <c r="BD462" s="100">
        <f t="shared" si="504"/>
        <v>0</v>
      </c>
      <c r="BE462" s="100">
        <v>0</v>
      </c>
      <c r="BF462" s="100">
        <f>462</f>
        <v>462</v>
      </c>
      <c r="BH462" s="108">
        <f t="shared" si="505"/>
        <v>0</v>
      </c>
      <c r="BI462" s="108">
        <f t="shared" si="506"/>
        <v>0</v>
      </c>
      <c r="BJ462" s="108">
        <f t="shared" si="507"/>
        <v>0</v>
      </c>
    </row>
    <row r="463" spans="1:62" x14ac:dyDescent="0.2">
      <c r="A463" s="117" t="s">
        <v>417</v>
      </c>
      <c r="B463" s="117" t="s">
        <v>2312</v>
      </c>
      <c r="C463" s="304" t="s">
        <v>2311</v>
      </c>
      <c r="D463" s="305"/>
      <c r="E463" s="305"/>
      <c r="F463" s="117" t="s">
        <v>1646</v>
      </c>
      <c r="G463" s="116">
        <v>15.5</v>
      </c>
      <c r="H463" s="159"/>
      <c r="I463" s="108">
        <f t="shared" si="484"/>
        <v>0</v>
      </c>
      <c r="J463" s="108">
        <f t="shared" si="485"/>
        <v>0</v>
      </c>
      <c r="K463" s="108">
        <f t="shared" si="486"/>
        <v>0</v>
      </c>
      <c r="L463" s="111" t="s">
        <v>1671</v>
      </c>
      <c r="Z463" s="100">
        <f t="shared" si="487"/>
        <v>0</v>
      </c>
      <c r="AB463" s="100">
        <f t="shared" si="488"/>
        <v>0</v>
      </c>
      <c r="AC463" s="100">
        <f t="shared" si="489"/>
        <v>0</v>
      </c>
      <c r="AD463" s="100">
        <f t="shared" si="490"/>
        <v>0</v>
      </c>
      <c r="AE463" s="100">
        <f t="shared" si="491"/>
        <v>0</v>
      </c>
      <c r="AF463" s="100">
        <f t="shared" si="492"/>
        <v>0</v>
      </c>
      <c r="AG463" s="100">
        <f t="shared" si="493"/>
        <v>0</v>
      </c>
      <c r="AH463" s="100">
        <f t="shared" si="494"/>
        <v>0</v>
      </c>
      <c r="AI463" s="109"/>
      <c r="AJ463" s="108">
        <f t="shared" si="495"/>
        <v>0</v>
      </c>
      <c r="AK463" s="108">
        <f t="shared" si="496"/>
        <v>0</v>
      </c>
      <c r="AL463" s="108">
        <f t="shared" si="497"/>
        <v>0</v>
      </c>
      <c r="AN463" s="100">
        <v>15</v>
      </c>
      <c r="AO463" s="100">
        <f>H463*0.664928366762178</f>
        <v>0</v>
      </c>
      <c r="AP463" s="100">
        <f>H463*(1-0.664928366762178)</f>
        <v>0</v>
      </c>
      <c r="AQ463" s="111" t="s">
        <v>13</v>
      </c>
      <c r="AV463" s="100">
        <f t="shared" si="500"/>
        <v>0</v>
      </c>
      <c r="AW463" s="100">
        <f t="shared" si="501"/>
        <v>0</v>
      </c>
      <c r="AX463" s="100">
        <f t="shared" si="502"/>
        <v>0</v>
      </c>
      <c r="AY463" s="110" t="s">
        <v>1715</v>
      </c>
      <c r="AZ463" s="110" t="s">
        <v>1734</v>
      </c>
      <c r="BA463" s="109" t="s">
        <v>1737</v>
      </c>
      <c r="BC463" s="100">
        <f t="shared" si="503"/>
        <v>0</v>
      </c>
      <c r="BD463" s="100">
        <f t="shared" si="504"/>
        <v>0</v>
      </c>
      <c r="BE463" s="100">
        <v>0</v>
      </c>
      <c r="BF463" s="100">
        <f>463</f>
        <v>463</v>
      </c>
      <c r="BH463" s="108">
        <f t="shared" si="505"/>
        <v>0</v>
      </c>
      <c r="BI463" s="108">
        <f t="shared" si="506"/>
        <v>0</v>
      </c>
      <c r="BJ463" s="108">
        <f t="shared" si="507"/>
        <v>0</v>
      </c>
    </row>
    <row r="464" spans="1:62" x14ac:dyDescent="0.2">
      <c r="A464" s="117" t="s">
        <v>418</v>
      </c>
      <c r="B464" s="117" t="s">
        <v>895</v>
      </c>
      <c r="C464" s="304" t="s">
        <v>1484</v>
      </c>
      <c r="D464" s="305"/>
      <c r="E464" s="305"/>
      <c r="F464" s="117" t="s">
        <v>1646</v>
      </c>
      <c r="G464" s="116">
        <v>31</v>
      </c>
      <c r="H464" s="159"/>
      <c r="I464" s="108">
        <f t="shared" si="484"/>
        <v>0</v>
      </c>
      <c r="J464" s="108">
        <f t="shared" si="485"/>
        <v>0</v>
      </c>
      <c r="K464" s="108">
        <f t="shared" si="486"/>
        <v>0</v>
      </c>
      <c r="L464" s="111" t="s">
        <v>1671</v>
      </c>
      <c r="Z464" s="100">
        <f t="shared" si="487"/>
        <v>0</v>
      </c>
      <c r="AB464" s="100">
        <f t="shared" si="488"/>
        <v>0</v>
      </c>
      <c r="AC464" s="100">
        <f t="shared" si="489"/>
        <v>0</v>
      </c>
      <c r="AD464" s="100">
        <f t="shared" si="490"/>
        <v>0</v>
      </c>
      <c r="AE464" s="100">
        <f t="shared" si="491"/>
        <v>0</v>
      </c>
      <c r="AF464" s="100">
        <f t="shared" si="492"/>
        <v>0</v>
      </c>
      <c r="AG464" s="100">
        <f t="shared" si="493"/>
        <v>0</v>
      </c>
      <c r="AH464" s="100">
        <f t="shared" si="494"/>
        <v>0</v>
      </c>
      <c r="AI464" s="109"/>
      <c r="AJ464" s="108">
        <f t="shared" si="495"/>
        <v>0</v>
      </c>
      <c r="AK464" s="108">
        <f t="shared" si="496"/>
        <v>0</v>
      </c>
      <c r="AL464" s="108">
        <f t="shared" si="497"/>
        <v>0</v>
      </c>
      <c r="AN464" s="100">
        <v>15</v>
      </c>
      <c r="AO464" s="100">
        <f>H464*0.772046783625731</f>
        <v>0</v>
      </c>
      <c r="AP464" s="100">
        <f>H464*(1-0.772046783625731)</f>
        <v>0</v>
      </c>
      <c r="AQ464" s="111" t="s">
        <v>13</v>
      </c>
      <c r="AV464" s="100">
        <f t="shared" si="500"/>
        <v>0</v>
      </c>
      <c r="AW464" s="100">
        <f t="shared" si="501"/>
        <v>0</v>
      </c>
      <c r="AX464" s="100">
        <f t="shared" si="502"/>
        <v>0</v>
      </c>
      <c r="AY464" s="110" t="s">
        <v>1715</v>
      </c>
      <c r="AZ464" s="110" t="s">
        <v>1734</v>
      </c>
      <c r="BA464" s="109" t="s">
        <v>1737</v>
      </c>
      <c r="BC464" s="100">
        <f t="shared" si="503"/>
        <v>0</v>
      </c>
      <c r="BD464" s="100">
        <f t="shared" si="504"/>
        <v>0</v>
      </c>
      <c r="BE464" s="100">
        <v>0</v>
      </c>
      <c r="BF464" s="100">
        <f>464</f>
        <v>464</v>
      </c>
      <c r="BH464" s="108">
        <f t="shared" si="505"/>
        <v>0</v>
      </c>
      <c r="BI464" s="108">
        <f t="shared" si="506"/>
        <v>0</v>
      </c>
      <c r="BJ464" s="108">
        <f t="shared" si="507"/>
        <v>0</v>
      </c>
    </row>
    <row r="465" spans="1:62" x14ac:dyDescent="0.2">
      <c r="A465" s="117" t="s">
        <v>419</v>
      </c>
      <c r="B465" s="117" t="s">
        <v>896</v>
      </c>
      <c r="C465" s="304" t="s">
        <v>1990</v>
      </c>
      <c r="D465" s="305"/>
      <c r="E465" s="305"/>
      <c r="F465" s="117" t="s">
        <v>1646</v>
      </c>
      <c r="G465" s="116">
        <v>106</v>
      </c>
      <c r="H465" s="159"/>
      <c r="I465" s="108">
        <f t="shared" si="484"/>
        <v>0</v>
      </c>
      <c r="J465" s="108">
        <f t="shared" si="485"/>
        <v>0</v>
      </c>
      <c r="K465" s="108">
        <f t="shared" si="486"/>
        <v>0</v>
      </c>
      <c r="L465" s="111" t="s">
        <v>1671</v>
      </c>
      <c r="Z465" s="100">
        <f t="shared" si="487"/>
        <v>0</v>
      </c>
      <c r="AB465" s="100">
        <f t="shared" si="488"/>
        <v>0</v>
      </c>
      <c r="AC465" s="100">
        <f t="shared" si="489"/>
        <v>0</v>
      </c>
      <c r="AD465" s="100">
        <f t="shared" si="490"/>
        <v>0</v>
      </c>
      <c r="AE465" s="100">
        <f t="shared" si="491"/>
        <v>0</v>
      </c>
      <c r="AF465" s="100">
        <f t="shared" si="492"/>
        <v>0</v>
      </c>
      <c r="AG465" s="100">
        <f t="shared" si="493"/>
        <v>0</v>
      </c>
      <c r="AH465" s="100">
        <f t="shared" si="494"/>
        <v>0</v>
      </c>
      <c r="AI465" s="109"/>
      <c r="AJ465" s="108">
        <f t="shared" si="495"/>
        <v>0</v>
      </c>
      <c r="AK465" s="108">
        <f t="shared" si="496"/>
        <v>0</v>
      </c>
      <c r="AL465" s="108">
        <f t="shared" si="497"/>
        <v>0</v>
      </c>
      <c r="AN465" s="100">
        <v>15</v>
      </c>
      <c r="AO465" s="100">
        <f>H465*0.816326164874552</f>
        <v>0</v>
      </c>
      <c r="AP465" s="100">
        <f>H465*(1-0.816326164874552)</f>
        <v>0</v>
      </c>
      <c r="AQ465" s="111" t="s">
        <v>13</v>
      </c>
      <c r="AV465" s="100">
        <f t="shared" si="500"/>
        <v>0</v>
      </c>
      <c r="AW465" s="100">
        <f t="shared" si="501"/>
        <v>0</v>
      </c>
      <c r="AX465" s="100">
        <f t="shared" si="502"/>
        <v>0</v>
      </c>
      <c r="AY465" s="110" t="s">
        <v>1715</v>
      </c>
      <c r="AZ465" s="110" t="s">
        <v>1734</v>
      </c>
      <c r="BA465" s="109" t="s">
        <v>1737</v>
      </c>
      <c r="BC465" s="100">
        <f t="shared" si="503"/>
        <v>0</v>
      </c>
      <c r="BD465" s="100">
        <f t="shared" si="504"/>
        <v>0</v>
      </c>
      <c r="BE465" s="100">
        <v>0</v>
      </c>
      <c r="BF465" s="100">
        <f>465</f>
        <v>465</v>
      </c>
      <c r="BH465" s="108">
        <f t="shared" si="505"/>
        <v>0</v>
      </c>
      <c r="BI465" s="108">
        <f t="shared" si="506"/>
        <v>0</v>
      </c>
      <c r="BJ465" s="108">
        <f t="shared" si="507"/>
        <v>0</v>
      </c>
    </row>
    <row r="466" spans="1:62" x14ac:dyDescent="0.2">
      <c r="A466" s="117" t="s">
        <v>420</v>
      </c>
      <c r="B466" s="117" t="s">
        <v>897</v>
      </c>
      <c r="C466" s="304" t="s">
        <v>2310</v>
      </c>
      <c r="D466" s="305"/>
      <c r="E466" s="305"/>
      <c r="F466" s="117" t="s">
        <v>1646</v>
      </c>
      <c r="G466" s="116">
        <v>6.2</v>
      </c>
      <c r="H466" s="159"/>
      <c r="I466" s="108">
        <f t="shared" si="484"/>
        <v>0</v>
      </c>
      <c r="J466" s="108">
        <f t="shared" si="485"/>
        <v>0</v>
      </c>
      <c r="K466" s="108">
        <f t="shared" si="486"/>
        <v>0</v>
      </c>
      <c r="L466" s="111" t="s">
        <v>1671</v>
      </c>
      <c r="Z466" s="100">
        <f t="shared" si="487"/>
        <v>0</v>
      </c>
      <c r="AB466" s="100">
        <f t="shared" si="488"/>
        <v>0</v>
      </c>
      <c r="AC466" s="100">
        <f t="shared" si="489"/>
        <v>0</v>
      </c>
      <c r="AD466" s="100">
        <f t="shared" si="490"/>
        <v>0</v>
      </c>
      <c r="AE466" s="100">
        <f t="shared" si="491"/>
        <v>0</v>
      </c>
      <c r="AF466" s="100">
        <f t="shared" si="492"/>
        <v>0</v>
      </c>
      <c r="AG466" s="100">
        <f t="shared" si="493"/>
        <v>0</v>
      </c>
      <c r="AH466" s="100">
        <f t="shared" si="494"/>
        <v>0</v>
      </c>
      <c r="AI466" s="109"/>
      <c r="AJ466" s="108">
        <f t="shared" si="495"/>
        <v>0</v>
      </c>
      <c r="AK466" s="108">
        <f t="shared" si="496"/>
        <v>0</v>
      </c>
      <c r="AL466" s="108">
        <f t="shared" si="497"/>
        <v>0</v>
      </c>
      <c r="AN466" s="100">
        <v>15</v>
      </c>
      <c r="AO466" s="100">
        <f>H466*0.816325503355705</f>
        <v>0</v>
      </c>
      <c r="AP466" s="100">
        <f>H466*(1-0.816325503355705)</f>
        <v>0</v>
      </c>
      <c r="AQ466" s="111" t="s">
        <v>13</v>
      </c>
      <c r="AV466" s="100">
        <f t="shared" si="500"/>
        <v>0</v>
      </c>
      <c r="AW466" s="100">
        <f t="shared" si="501"/>
        <v>0</v>
      </c>
      <c r="AX466" s="100">
        <f t="shared" si="502"/>
        <v>0</v>
      </c>
      <c r="AY466" s="110" t="s">
        <v>1715</v>
      </c>
      <c r="AZ466" s="110" t="s">
        <v>1734</v>
      </c>
      <c r="BA466" s="109" t="s">
        <v>1737</v>
      </c>
      <c r="BC466" s="100">
        <f t="shared" si="503"/>
        <v>0</v>
      </c>
      <c r="BD466" s="100">
        <f t="shared" si="504"/>
        <v>0</v>
      </c>
      <c r="BE466" s="100">
        <v>0</v>
      </c>
      <c r="BF466" s="100">
        <f>466</f>
        <v>466</v>
      </c>
      <c r="BH466" s="108">
        <f t="shared" si="505"/>
        <v>0</v>
      </c>
      <c r="BI466" s="108">
        <f t="shared" si="506"/>
        <v>0</v>
      </c>
      <c r="BJ466" s="108">
        <f t="shared" si="507"/>
        <v>0</v>
      </c>
    </row>
    <row r="467" spans="1:62" x14ac:dyDescent="0.2">
      <c r="A467" s="117" t="s">
        <v>421</v>
      </c>
      <c r="B467" s="117" t="s">
        <v>898</v>
      </c>
      <c r="C467" s="304" t="s">
        <v>1487</v>
      </c>
      <c r="D467" s="305"/>
      <c r="E467" s="305"/>
      <c r="F467" s="117" t="s">
        <v>1646</v>
      </c>
      <c r="G467" s="116">
        <v>3.2</v>
      </c>
      <c r="H467" s="159"/>
      <c r="I467" s="108">
        <f t="shared" si="484"/>
        <v>0</v>
      </c>
      <c r="J467" s="108">
        <f t="shared" si="485"/>
        <v>0</v>
      </c>
      <c r="K467" s="108">
        <f t="shared" si="486"/>
        <v>0</v>
      </c>
      <c r="L467" s="111" t="s">
        <v>1671</v>
      </c>
      <c r="Z467" s="100">
        <f t="shared" si="487"/>
        <v>0</v>
      </c>
      <c r="AB467" s="100">
        <f t="shared" si="488"/>
        <v>0</v>
      </c>
      <c r="AC467" s="100">
        <f t="shared" si="489"/>
        <v>0</v>
      </c>
      <c r="AD467" s="100">
        <f t="shared" si="490"/>
        <v>0</v>
      </c>
      <c r="AE467" s="100">
        <f t="shared" si="491"/>
        <v>0</v>
      </c>
      <c r="AF467" s="100">
        <f t="shared" si="492"/>
        <v>0</v>
      </c>
      <c r="AG467" s="100">
        <f t="shared" si="493"/>
        <v>0</v>
      </c>
      <c r="AH467" s="100">
        <f t="shared" si="494"/>
        <v>0</v>
      </c>
      <c r="AI467" s="109"/>
      <c r="AJ467" s="108">
        <f t="shared" si="495"/>
        <v>0</v>
      </c>
      <c r="AK467" s="108">
        <f t="shared" si="496"/>
        <v>0</v>
      </c>
      <c r="AL467" s="108">
        <f t="shared" si="497"/>
        <v>0</v>
      </c>
      <c r="AN467" s="100">
        <v>15</v>
      </c>
      <c r="AO467" s="100">
        <f>H467*0.816330128205128</f>
        <v>0</v>
      </c>
      <c r="AP467" s="100">
        <f>H467*(1-0.816330128205128)</f>
        <v>0</v>
      </c>
      <c r="AQ467" s="111" t="s">
        <v>13</v>
      </c>
      <c r="AV467" s="100">
        <f t="shared" si="500"/>
        <v>0</v>
      </c>
      <c r="AW467" s="100">
        <f t="shared" si="501"/>
        <v>0</v>
      </c>
      <c r="AX467" s="100">
        <f t="shared" si="502"/>
        <v>0</v>
      </c>
      <c r="AY467" s="110" t="s">
        <v>1715</v>
      </c>
      <c r="AZ467" s="110" t="s">
        <v>1734</v>
      </c>
      <c r="BA467" s="109" t="s">
        <v>1737</v>
      </c>
      <c r="BC467" s="100">
        <f t="shared" si="503"/>
        <v>0</v>
      </c>
      <c r="BD467" s="100">
        <f t="shared" si="504"/>
        <v>0</v>
      </c>
      <c r="BE467" s="100">
        <v>0</v>
      </c>
      <c r="BF467" s="100">
        <f>467</f>
        <v>467</v>
      </c>
      <c r="BH467" s="108">
        <f t="shared" si="505"/>
        <v>0</v>
      </c>
      <c r="BI467" s="108">
        <f t="shared" si="506"/>
        <v>0</v>
      </c>
      <c r="BJ467" s="108">
        <f t="shared" si="507"/>
        <v>0</v>
      </c>
    </row>
    <row r="468" spans="1:62" x14ac:dyDescent="0.2">
      <c r="A468" s="117" t="s">
        <v>422</v>
      </c>
      <c r="B468" s="117" t="s">
        <v>899</v>
      </c>
      <c r="C468" s="304" t="s">
        <v>2309</v>
      </c>
      <c r="D468" s="305"/>
      <c r="E468" s="305"/>
      <c r="F468" s="117" t="s">
        <v>1646</v>
      </c>
      <c r="G468" s="116">
        <v>31.18</v>
      </c>
      <c r="H468" s="159"/>
      <c r="I468" s="108">
        <f t="shared" si="484"/>
        <v>0</v>
      </c>
      <c r="J468" s="108">
        <f t="shared" si="485"/>
        <v>0</v>
      </c>
      <c r="K468" s="108">
        <f t="shared" si="486"/>
        <v>0</v>
      </c>
      <c r="L468" s="111" t="s">
        <v>1671</v>
      </c>
      <c r="Z468" s="100">
        <f t="shared" si="487"/>
        <v>0</v>
      </c>
      <c r="AB468" s="100">
        <f t="shared" si="488"/>
        <v>0</v>
      </c>
      <c r="AC468" s="100">
        <f t="shared" si="489"/>
        <v>0</v>
      </c>
      <c r="AD468" s="100">
        <f t="shared" si="490"/>
        <v>0</v>
      </c>
      <c r="AE468" s="100">
        <f t="shared" si="491"/>
        <v>0</v>
      </c>
      <c r="AF468" s="100">
        <f t="shared" si="492"/>
        <v>0</v>
      </c>
      <c r="AG468" s="100">
        <f t="shared" si="493"/>
        <v>0</v>
      </c>
      <c r="AH468" s="100">
        <f t="shared" si="494"/>
        <v>0</v>
      </c>
      <c r="AI468" s="109"/>
      <c r="AJ468" s="108">
        <f t="shared" si="495"/>
        <v>0</v>
      </c>
      <c r="AK468" s="108">
        <f t="shared" si="496"/>
        <v>0</v>
      </c>
      <c r="AL468" s="108">
        <f t="shared" si="497"/>
        <v>0</v>
      </c>
      <c r="AN468" s="100">
        <v>15</v>
      </c>
      <c r="AO468" s="100">
        <f>H468*0.857614814814815</f>
        <v>0</v>
      </c>
      <c r="AP468" s="100">
        <f>H468*(1-0.857614814814815)</f>
        <v>0</v>
      </c>
      <c r="AQ468" s="111" t="s">
        <v>13</v>
      </c>
      <c r="AV468" s="100">
        <f t="shared" si="500"/>
        <v>0</v>
      </c>
      <c r="AW468" s="100">
        <f t="shared" si="501"/>
        <v>0</v>
      </c>
      <c r="AX468" s="100">
        <f t="shared" si="502"/>
        <v>0</v>
      </c>
      <c r="AY468" s="110" t="s">
        <v>1715</v>
      </c>
      <c r="AZ468" s="110" t="s">
        <v>1734</v>
      </c>
      <c r="BA468" s="109" t="s">
        <v>1737</v>
      </c>
      <c r="BC468" s="100">
        <f t="shared" si="503"/>
        <v>0</v>
      </c>
      <c r="BD468" s="100">
        <f t="shared" si="504"/>
        <v>0</v>
      </c>
      <c r="BE468" s="100">
        <v>0</v>
      </c>
      <c r="BF468" s="100">
        <f>468</f>
        <v>468</v>
      </c>
      <c r="BH468" s="108">
        <f t="shared" si="505"/>
        <v>0</v>
      </c>
      <c r="BI468" s="108">
        <f t="shared" si="506"/>
        <v>0</v>
      </c>
      <c r="BJ468" s="108">
        <f t="shared" si="507"/>
        <v>0</v>
      </c>
    </row>
    <row r="469" spans="1:62" x14ac:dyDescent="0.2">
      <c r="A469" s="117" t="s">
        <v>423</v>
      </c>
      <c r="B469" s="117" t="s">
        <v>900</v>
      </c>
      <c r="C469" s="304" t="s">
        <v>1489</v>
      </c>
      <c r="D469" s="305"/>
      <c r="E469" s="305"/>
      <c r="F469" s="117" t="s">
        <v>1646</v>
      </c>
      <c r="G469" s="116">
        <v>31.18</v>
      </c>
      <c r="H469" s="159"/>
      <c r="I469" s="108">
        <f t="shared" si="484"/>
        <v>0</v>
      </c>
      <c r="J469" s="108">
        <f t="shared" si="485"/>
        <v>0</v>
      </c>
      <c r="K469" s="108">
        <f t="shared" si="486"/>
        <v>0</v>
      </c>
      <c r="L469" s="111" t="s">
        <v>1671</v>
      </c>
      <c r="Z469" s="100">
        <f t="shared" si="487"/>
        <v>0</v>
      </c>
      <c r="AB469" s="100">
        <f t="shared" si="488"/>
        <v>0</v>
      </c>
      <c r="AC469" s="100">
        <f t="shared" si="489"/>
        <v>0</v>
      </c>
      <c r="AD469" s="100">
        <f t="shared" si="490"/>
        <v>0</v>
      </c>
      <c r="AE469" s="100">
        <f t="shared" si="491"/>
        <v>0</v>
      </c>
      <c r="AF469" s="100">
        <f t="shared" si="492"/>
        <v>0</v>
      </c>
      <c r="AG469" s="100">
        <f t="shared" si="493"/>
        <v>0</v>
      </c>
      <c r="AH469" s="100">
        <f t="shared" si="494"/>
        <v>0</v>
      </c>
      <c r="AI469" s="109"/>
      <c r="AJ469" s="108">
        <f t="shared" si="495"/>
        <v>0</v>
      </c>
      <c r="AK469" s="108">
        <f t="shared" si="496"/>
        <v>0</v>
      </c>
      <c r="AL469" s="108">
        <f t="shared" si="497"/>
        <v>0</v>
      </c>
      <c r="AN469" s="100">
        <v>15</v>
      </c>
      <c r="AO469" s="100">
        <f>H469*0.417402597402597</f>
        <v>0</v>
      </c>
      <c r="AP469" s="100">
        <f>H469*(1-0.417402597402597)</f>
        <v>0</v>
      </c>
      <c r="AQ469" s="111" t="s">
        <v>13</v>
      </c>
      <c r="AV469" s="100">
        <f t="shared" si="500"/>
        <v>0</v>
      </c>
      <c r="AW469" s="100">
        <f t="shared" si="501"/>
        <v>0</v>
      </c>
      <c r="AX469" s="100">
        <f t="shared" si="502"/>
        <v>0</v>
      </c>
      <c r="AY469" s="110" t="s">
        <v>1715</v>
      </c>
      <c r="AZ469" s="110" t="s">
        <v>1734</v>
      </c>
      <c r="BA469" s="109" t="s">
        <v>1737</v>
      </c>
      <c r="BC469" s="100">
        <f t="shared" si="503"/>
        <v>0</v>
      </c>
      <c r="BD469" s="100">
        <f t="shared" si="504"/>
        <v>0</v>
      </c>
      <c r="BE469" s="100">
        <v>0</v>
      </c>
      <c r="BF469" s="100">
        <f>469</f>
        <v>469</v>
      </c>
      <c r="BH469" s="108">
        <f t="shared" si="505"/>
        <v>0</v>
      </c>
      <c r="BI469" s="108">
        <f t="shared" si="506"/>
        <v>0</v>
      </c>
      <c r="BJ469" s="108">
        <f t="shared" si="507"/>
        <v>0</v>
      </c>
    </row>
    <row r="470" spans="1:62" x14ac:dyDescent="0.2">
      <c r="A470" s="117" t="s">
        <v>424</v>
      </c>
      <c r="B470" s="117" t="s">
        <v>901</v>
      </c>
      <c r="C470" s="304" t="s">
        <v>1490</v>
      </c>
      <c r="D470" s="305"/>
      <c r="E470" s="305"/>
      <c r="F470" s="117" t="s">
        <v>1646</v>
      </c>
      <c r="G470" s="116">
        <v>0</v>
      </c>
      <c r="H470" s="159"/>
      <c r="I470" s="108">
        <f t="shared" si="484"/>
        <v>0</v>
      </c>
      <c r="J470" s="108">
        <f t="shared" si="485"/>
        <v>0</v>
      </c>
      <c r="K470" s="108">
        <f t="shared" si="486"/>
        <v>0</v>
      </c>
      <c r="L470" s="111" t="s">
        <v>1671</v>
      </c>
      <c r="Z470" s="100">
        <f t="shared" si="487"/>
        <v>0</v>
      </c>
      <c r="AB470" s="100">
        <f t="shared" si="488"/>
        <v>0</v>
      </c>
      <c r="AC470" s="100">
        <f t="shared" si="489"/>
        <v>0</v>
      </c>
      <c r="AD470" s="100">
        <f t="shared" si="490"/>
        <v>0</v>
      </c>
      <c r="AE470" s="100">
        <f t="shared" si="491"/>
        <v>0</v>
      </c>
      <c r="AF470" s="100">
        <f t="shared" si="492"/>
        <v>0</v>
      </c>
      <c r="AG470" s="100">
        <f t="shared" si="493"/>
        <v>0</v>
      </c>
      <c r="AH470" s="100">
        <f t="shared" si="494"/>
        <v>0</v>
      </c>
      <c r="AI470" s="109"/>
      <c r="AJ470" s="108">
        <f t="shared" si="495"/>
        <v>0</v>
      </c>
      <c r="AK470" s="108">
        <f t="shared" si="496"/>
        <v>0</v>
      </c>
      <c r="AL470" s="108">
        <f t="shared" si="497"/>
        <v>0</v>
      </c>
      <c r="AN470" s="100">
        <v>15</v>
      </c>
      <c r="AO470" s="100">
        <f>H470*0</f>
        <v>0</v>
      </c>
      <c r="AP470" s="100">
        <f>H470*(1-0)</f>
        <v>0</v>
      </c>
      <c r="AQ470" s="111" t="s">
        <v>13</v>
      </c>
      <c r="AV470" s="100">
        <f t="shared" si="500"/>
        <v>0</v>
      </c>
      <c r="AW470" s="100">
        <f t="shared" si="501"/>
        <v>0</v>
      </c>
      <c r="AX470" s="100">
        <f t="shared" si="502"/>
        <v>0</v>
      </c>
      <c r="AY470" s="110" t="s">
        <v>1715</v>
      </c>
      <c r="AZ470" s="110" t="s">
        <v>1734</v>
      </c>
      <c r="BA470" s="109" t="s">
        <v>1737</v>
      </c>
      <c r="BC470" s="100">
        <f t="shared" si="503"/>
        <v>0</v>
      </c>
      <c r="BD470" s="100">
        <f t="shared" si="504"/>
        <v>0</v>
      </c>
      <c r="BE470" s="100">
        <v>0</v>
      </c>
      <c r="BF470" s="100">
        <f>470</f>
        <v>470</v>
      </c>
      <c r="BH470" s="108">
        <f t="shared" si="505"/>
        <v>0</v>
      </c>
      <c r="BI470" s="108">
        <f t="shared" si="506"/>
        <v>0</v>
      </c>
      <c r="BJ470" s="108">
        <f t="shared" si="507"/>
        <v>0</v>
      </c>
    </row>
    <row r="471" spans="1:62" x14ac:dyDescent="0.2">
      <c r="A471" s="117" t="s">
        <v>425</v>
      </c>
      <c r="B471" s="117" t="s">
        <v>2308</v>
      </c>
      <c r="C471" s="304" t="s">
        <v>2307</v>
      </c>
      <c r="D471" s="305"/>
      <c r="E471" s="305"/>
      <c r="F471" s="117" t="s">
        <v>1646</v>
      </c>
      <c r="G471" s="116">
        <v>3.5</v>
      </c>
      <c r="H471" s="159"/>
      <c r="I471" s="108">
        <f t="shared" si="484"/>
        <v>0</v>
      </c>
      <c r="J471" s="108">
        <f t="shared" si="485"/>
        <v>0</v>
      </c>
      <c r="K471" s="108">
        <f t="shared" si="486"/>
        <v>0</v>
      </c>
      <c r="L471" s="111" t="s">
        <v>1671</v>
      </c>
      <c r="Z471" s="100">
        <f t="shared" si="487"/>
        <v>0</v>
      </c>
      <c r="AB471" s="100">
        <f t="shared" si="488"/>
        <v>0</v>
      </c>
      <c r="AC471" s="100">
        <f t="shared" si="489"/>
        <v>0</v>
      </c>
      <c r="AD471" s="100">
        <f t="shared" si="490"/>
        <v>0</v>
      </c>
      <c r="AE471" s="100">
        <f t="shared" si="491"/>
        <v>0</v>
      </c>
      <c r="AF471" s="100">
        <f t="shared" si="492"/>
        <v>0</v>
      </c>
      <c r="AG471" s="100">
        <f t="shared" si="493"/>
        <v>0</v>
      </c>
      <c r="AH471" s="100">
        <f t="shared" si="494"/>
        <v>0</v>
      </c>
      <c r="AI471" s="109"/>
      <c r="AJ471" s="108">
        <f t="shared" si="495"/>
        <v>0</v>
      </c>
      <c r="AK471" s="108">
        <f t="shared" si="496"/>
        <v>0</v>
      </c>
      <c r="AL471" s="108">
        <f t="shared" si="497"/>
        <v>0</v>
      </c>
      <c r="AN471" s="100">
        <v>15</v>
      </c>
      <c r="AO471" s="100">
        <f>H471*0.661990521327014</f>
        <v>0</v>
      </c>
      <c r="AP471" s="100">
        <f>H471*(1-0.661990521327014)</f>
        <v>0</v>
      </c>
      <c r="AQ471" s="111" t="s">
        <v>13</v>
      </c>
      <c r="AV471" s="100">
        <f t="shared" si="500"/>
        <v>0</v>
      </c>
      <c r="AW471" s="100">
        <f t="shared" si="501"/>
        <v>0</v>
      </c>
      <c r="AX471" s="100">
        <f t="shared" si="502"/>
        <v>0</v>
      </c>
      <c r="AY471" s="110" t="s">
        <v>1715</v>
      </c>
      <c r="AZ471" s="110" t="s">
        <v>1734</v>
      </c>
      <c r="BA471" s="109" t="s">
        <v>1737</v>
      </c>
      <c r="BC471" s="100">
        <f t="shared" si="503"/>
        <v>0</v>
      </c>
      <c r="BD471" s="100">
        <f t="shared" si="504"/>
        <v>0</v>
      </c>
      <c r="BE471" s="100">
        <v>0</v>
      </c>
      <c r="BF471" s="100">
        <f>471</f>
        <v>471</v>
      </c>
      <c r="BH471" s="108">
        <f t="shared" si="505"/>
        <v>0</v>
      </c>
      <c r="BI471" s="108">
        <f t="shared" si="506"/>
        <v>0</v>
      </c>
      <c r="BJ471" s="108">
        <f t="shared" si="507"/>
        <v>0</v>
      </c>
    </row>
    <row r="472" spans="1:62" x14ac:dyDescent="0.2">
      <c r="A472" s="117" t="s">
        <v>426</v>
      </c>
      <c r="B472" s="117" t="s">
        <v>902</v>
      </c>
      <c r="C472" s="304" t="s">
        <v>1491</v>
      </c>
      <c r="D472" s="305"/>
      <c r="E472" s="305"/>
      <c r="F472" s="117" t="s">
        <v>1648</v>
      </c>
      <c r="G472" s="116">
        <v>4.8550000000000004</v>
      </c>
      <c r="H472" s="159"/>
      <c r="I472" s="108">
        <f t="shared" si="484"/>
        <v>0</v>
      </c>
      <c r="J472" s="108">
        <f t="shared" si="485"/>
        <v>0</v>
      </c>
      <c r="K472" s="108">
        <f t="shared" si="486"/>
        <v>0</v>
      </c>
      <c r="L472" s="111" t="s">
        <v>1671</v>
      </c>
      <c r="Z472" s="100">
        <f t="shared" si="487"/>
        <v>0</v>
      </c>
      <c r="AB472" s="100">
        <f t="shared" si="488"/>
        <v>0</v>
      </c>
      <c r="AC472" s="100">
        <f t="shared" si="489"/>
        <v>0</v>
      </c>
      <c r="AD472" s="100">
        <f t="shared" si="490"/>
        <v>0</v>
      </c>
      <c r="AE472" s="100">
        <f t="shared" si="491"/>
        <v>0</v>
      </c>
      <c r="AF472" s="100">
        <f t="shared" si="492"/>
        <v>0</v>
      </c>
      <c r="AG472" s="100">
        <f t="shared" si="493"/>
        <v>0</v>
      </c>
      <c r="AH472" s="100">
        <f t="shared" si="494"/>
        <v>0</v>
      </c>
      <c r="AI472" s="109"/>
      <c r="AJ472" s="108">
        <f t="shared" si="495"/>
        <v>0</v>
      </c>
      <c r="AK472" s="108">
        <f t="shared" si="496"/>
        <v>0</v>
      </c>
      <c r="AL472" s="108">
        <f t="shared" si="497"/>
        <v>0</v>
      </c>
      <c r="AN472" s="100">
        <v>15</v>
      </c>
      <c r="AO472" s="100">
        <f>H472*0</f>
        <v>0</v>
      </c>
      <c r="AP472" s="100">
        <f>H472*(1-0)</f>
        <v>0</v>
      </c>
      <c r="AQ472" s="111" t="s">
        <v>11</v>
      </c>
      <c r="AV472" s="100">
        <f t="shared" si="500"/>
        <v>0</v>
      </c>
      <c r="AW472" s="100">
        <f t="shared" si="501"/>
        <v>0</v>
      </c>
      <c r="AX472" s="100">
        <f t="shared" si="502"/>
        <v>0</v>
      </c>
      <c r="AY472" s="110" t="s">
        <v>1715</v>
      </c>
      <c r="AZ472" s="110" t="s">
        <v>1734</v>
      </c>
      <c r="BA472" s="109" t="s">
        <v>1737</v>
      </c>
      <c r="BC472" s="100">
        <f t="shared" si="503"/>
        <v>0</v>
      </c>
      <c r="BD472" s="100">
        <f t="shared" si="504"/>
        <v>0</v>
      </c>
      <c r="BE472" s="100">
        <v>0</v>
      </c>
      <c r="BF472" s="100">
        <f>472</f>
        <v>472</v>
      </c>
      <c r="BH472" s="108">
        <f t="shared" si="505"/>
        <v>0</v>
      </c>
      <c r="BI472" s="108">
        <f t="shared" si="506"/>
        <v>0</v>
      </c>
      <c r="BJ472" s="108">
        <f t="shared" si="507"/>
        <v>0</v>
      </c>
    </row>
    <row r="473" spans="1:62" x14ac:dyDescent="0.2">
      <c r="A473" s="119"/>
      <c r="B473" s="120" t="s">
        <v>903</v>
      </c>
      <c r="C473" s="306" t="s">
        <v>1492</v>
      </c>
      <c r="D473" s="307"/>
      <c r="E473" s="307"/>
      <c r="F473" s="119" t="s">
        <v>6</v>
      </c>
      <c r="G473" s="119" t="s">
        <v>6</v>
      </c>
      <c r="H473" s="119" t="s">
        <v>6</v>
      </c>
      <c r="I473" s="118">
        <f>SUM(I474:I478)</f>
        <v>0</v>
      </c>
      <c r="J473" s="118">
        <f>SUM(J474:J478)</f>
        <v>0</v>
      </c>
      <c r="K473" s="118">
        <f>SUM(K474:K478)</f>
        <v>0</v>
      </c>
      <c r="L473" s="109"/>
      <c r="AI473" s="109"/>
      <c r="AS473" s="118">
        <f>SUM(AJ474:AJ478)</f>
        <v>0</v>
      </c>
      <c r="AT473" s="118">
        <f>SUM(AK474:AK478)</f>
        <v>0</v>
      </c>
      <c r="AU473" s="118">
        <f>SUM(AL474:AL478)</f>
        <v>0</v>
      </c>
    </row>
    <row r="474" spans="1:62" x14ac:dyDescent="0.2">
      <c r="A474" s="117" t="s">
        <v>427</v>
      </c>
      <c r="B474" s="117" t="s">
        <v>2306</v>
      </c>
      <c r="C474" s="304" t="s">
        <v>2305</v>
      </c>
      <c r="D474" s="305"/>
      <c r="E474" s="305"/>
      <c r="F474" s="117" t="s">
        <v>1645</v>
      </c>
      <c r="G474" s="116">
        <v>1.1830000000000001</v>
      </c>
      <c r="H474" s="159"/>
      <c r="I474" s="108">
        <f>G474*AO474</f>
        <v>0</v>
      </c>
      <c r="J474" s="108">
        <f>G474*AP474</f>
        <v>0</v>
      </c>
      <c r="K474" s="108">
        <f>G474*H474</f>
        <v>0</v>
      </c>
      <c r="L474" s="111" t="s">
        <v>1671</v>
      </c>
      <c r="Z474" s="100">
        <f>IF(AQ474="5",BJ474,0)</f>
        <v>0</v>
      </c>
      <c r="AB474" s="100">
        <f>IF(AQ474="1",BH474,0)</f>
        <v>0</v>
      </c>
      <c r="AC474" s="100">
        <f>IF(AQ474="1",BI474,0)</f>
        <v>0</v>
      </c>
      <c r="AD474" s="100">
        <f>IF(AQ474="7",BH474,0)</f>
        <v>0</v>
      </c>
      <c r="AE474" s="100">
        <f>IF(AQ474="7",BI474,0)</f>
        <v>0</v>
      </c>
      <c r="AF474" s="100">
        <f>IF(AQ474="2",BH474,0)</f>
        <v>0</v>
      </c>
      <c r="AG474" s="100">
        <f>IF(AQ474="2",BI474,0)</f>
        <v>0</v>
      </c>
      <c r="AH474" s="100">
        <f>IF(AQ474="0",BJ474,0)</f>
        <v>0</v>
      </c>
      <c r="AI474" s="109"/>
      <c r="AJ474" s="108">
        <f>IF(AN474=0,K474,0)</f>
        <v>0</v>
      </c>
      <c r="AK474" s="108">
        <f>IF(AN474=15,K474,0)</f>
        <v>0</v>
      </c>
      <c r="AL474" s="108">
        <f>IF(AN474=21,K474,0)</f>
        <v>0</v>
      </c>
      <c r="AN474" s="100">
        <v>15</v>
      </c>
      <c r="AO474" s="100">
        <f>H474*0.0288963898986402</f>
        <v>0</v>
      </c>
      <c r="AP474" s="100">
        <f>H474*(1-0.0288963898986402)</f>
        <v>0</v>
      </c>
      <c r="AQ474" s="111" t="s">
        <v>13</v>
      </c>
      <c r="AV474" s="100">
        <f>AW474+AX474</f>
        <v>0</v>
      </c>
      <c r="AW474" s="100">
        <f>G474*AO474</f>
        <v>0</v>
      </c>
      <c r="AX474" s="100">
        <f>G474*AP474</f>
        <v>0</v>
      </c>
      <c r="AY474" s="110" t="s">
        <v>1716</v>
      </c>
      <c r="AZ474" s="110" t="s">
        <v>1734</v>
      </c>
      <c r="BA474" s="109" t="s">
        <v>1737</v>
      </c>
      <c r="BC474" s="100">
        <f>AW474+AX474</f>
        <v>0</v>
      </c>
      <c r="BD474" s="100">
        <f>H474/(100-BE474)*100</f>
        <v>0</v>
      </c>
      <c r="BE474" s="100">
        <v>0</v>
      </c>
      <c r="BF474" s="100">
        <f>474</f>
        <v>474</v>
      </c>
      <c r="BH474" s="108">
        <f>G474*AO474</f>
        <v>0</v>
      </c>
      <c r="BI474" s="108">
        <f>G474*AP474</f>
        <v>0</v>
      </c>
      <c r="BJ474" s="108">
        <f>G474*H474</f>
        <v>0</v>
      </c>
    </row>
    <row r="475" spans="1:62" x14ac:dyDescent="0.2">
      <c r="A475" s="124" t="s">
        <v>428</v>
      </c>
      <c r="B475" s="124" t="s">
        <v>2304</v>
      </c>
      <c r="C475" s="311" t="s">
        <v>2303</v>
      </c>
      <c r="D475" s="312"/>
      <c r="E475" s="312"/>
      <c r="F475" s="124" t="s">
        <v>1645</v>
      </c>
      <c r="G475" s="123">
        <v>1.3009999999999999</v>
      </c>
      <c r="H475" s="160"/>
      <c r="I475" s="121">
        <f>G475*AO475</f>
        <v>0</v>
      </c>
      <c r="J475" s="121">
        <f>G475*AP475</f>
        <v>0</v>
      </c>
      <c r="K475" s="121">
        <f>G475*H475</f>
        <v>0</v>
      </c>
      <c r="L475" s="122" t="s">
        <v>1671</v>
      </c>
      <c r="Z475" s="100">
        <f>IF(AQ475="5",BJ475,0)</f>
        <v>0</v>
      </c>
      <c r="AB475" s="100">
        <f>IF(AQ475="1",BH475,0)</f>
        <v>0</v>
      </c>
      <c r="AC475" s="100">
        <f>IF(AQ475="1",BI475,0)</f>
        <v>0</v>
      </c>
      <c r="AD475" s="100">
        <f>IF(AQ475="7",BH475,0)</f>
        <v>0</v>
      </c>
      <c r="AE475" s="100">
        <f>IF(AQ475="7",BI475,0)</f>
        <v>0</v>
      </c>
      <c r="AF475" s="100">
        <f>IF(AQ475="2",BH475,0)</f>
        <v>0</v>
      </c>
      <c r="AG475" s="100">
        <f>IF(AQ475="2",BI475,0)</f>
        <v>0</v>
      </c>
      <c r="AH475" s="100">
        <f>IF(AQ475="0",BJ475,0)</f>
        <v>0</v>
      </c>
      <c r="AI475" s="109"/>
      <c r="AJ475" s="121">
        <f>IF(AN475=0,K475,0)</f>
        <v>0</v>
      </c>
      <c r="AK475" s="121">
        <f>IF(AN475=15,K475,0)</f>
        <v>0</v>
      </c>
      <c r="AL475" s="121">
        <f>IF(AN475=21,K475,0)</f>
        <v>0</v>
      </c>
      <c r="AN475" s="100">
        <v>15</v>
      </c>
      <c r="AO475" s="100">
        <f>H475*1</f>
        <v>0</v>
      </c>
      <c r="AP475" s="100">
        <f>H475*(1-1)</f>
        <v>0</v>
      </c>
      <c r="AQ475" s="122" t="s">
        <v>13</v>
      </c>
      <c r="AV475" s="100">
        <f>AW475+AX475</f>
        <v>0</v>
      </c>
      <c r="AW475" s="100">
        <f>G475*AO475</f>
        <v>0</v>
      </c>
      <c r="AX475" s="100">
        <f>G475*AP475</f>
        <v>0</v>
      </c>
      <c r="AY475" s="110" t="s">
        <v>1716</v>
      </c>
      <c r="AZ475" s="110" t="s">
        <v>1734</v>
      </c>
      <c r="BA475" s="109" t="s">
        <v>1737</v>
      </c>
      <c r="BC475" s="100">
        <f>AW475+AX475</f>
        <v>0</v>
      </c>
      <c r="BD475" s="100">
        <f>H475/(100-BE475)*100</f>
        <v>0</v>
      </c>
      <c r="BE475" s="100">
        <v>0</v>
      </c>
      <c r="BF475" s="100">
        <f>475</f>
        <v>475</v>
      </c>
      <c r="BH475" s="121">
        <f>G475*AO475</f>
        <v>0</v>
      </c>
      <c r="BI475" s="121">
        <f>G475*AP475</f>
        <v>0</v>
      </c>
      <c r="BJ475" s="121">
        <f>G475*H475</f>
        <v>0</v>
      </c>
    </row>
    <row r="476" spans="1:62" x14ac:dyDescent="0.2">
      <c r="A476" s="117" t="s">
        <v>429</v>
      </c>
      <c r="B476" s="117" t="s">
        <v>904</v>
      </c>
      <c r="C476" s="304" t="s">
        <v>1493</v>
      </c>
      <c r="D476" s="305"/>
      <c r="E476" s="305"/>
      <c r="F476" s="117" t="s">
        <v>1644</v>
      </c>
      <c r="G476" s="116">
        <v>1</v>
      </c>
      <c r="H476" s="159"/>
      <c r="I476" s="108">
        <f>G476*AO476</f>
        <v>0</v>
      </c>
      <c r="J476" s="108">
        <f>G476*AP476</f>
        <v>0</v>
      </c>
      <c r="K476" s="108">
        <f>G476*H476</f>
        <v>0</v>
      </c>
      <c r="L476" s="111" t="s">
        <v>1671</v>
      </c>
      <c r="Z476" s="100">
        <f>IF(AQ476="5",BJ476,0)</f>
        <v>0</v>
      </c>
      <c r="AB476" s="100">
        <f>IF(AQ476="1",BH476,0)</f>
        <v>0</v>
      </c>
      <c r="AC476" s="100">
        <f>IF(AQ476="1",BI476,0)</f>
        <v>0</v>
      </c>
      <c r="AD476" s="100">
        <f>IF(AQ476="7",BH476,0)</f>
        <v>0</v>
      </c>
      <c r="AE476" s="100">
        <f>IF(AQ476="7",BI476,0)</f>
        <v>0</v>
      </c>
      <c r="AF476" s="100">
        <f>IF(AQ476="2",BH476,0)</f>
        <v>0</v>
      </c>
      <c r="AG476" s="100">
        <f>IF(AQ476="2",BI476,0)</f>
        <v>0</v>
      </c>
      <c r="AH476" s="100">
        <f>IF(AQ476="0",BJ476,0)</f>
        <v>0</v>
      </c>
      <c r="AI476" s="109"/>
      <c r="AJ476" s="108">
        <f>IF(AN476=0,K476,0)</f>
        <v>0</v>
      </c>
      <c r="AK476" s="108">
        <f>IF(AN476=15,K476,0)</f>
        <v>0</v>
      </c>
      <c r="AL476" s="108">
        <f>IF(AN476=21,K476,0)</f>
        <v>0</v>
      </c>
      <c r="AN476" s="100">
        <v>15</v>
      </c>
      <c r="AO476" s="100">
        <f>H476*0.007425</f>
        <v>0</v>
      </c>
      <c r="AP476" s="100">
        <f>H476*(1-0.007425)</f>
        <v>0</v>
      </c>
      <c r="AQ476" s="111" t="s">
        <v>13</v>
      </c>
      <c r="AV476" s="100">
        <f>AW476+AX476</f>
        <v>0</v>
      </c>
      <c r="AW476" s="100">
        <f>G476*AO476</f>
        <v>0</v>
      </c>
      <c r="AX476" s="100">
        <f>G476*AP476</f>
        <v>0</v>
      </c>
      <c r="AY476" s="110" t="s">
        <v>1716</v>
      </c>
      <c r="AZ476" s="110" t="s">
        <v>1734</v>
      </c>
      <c r="BA476" s="109" t="s">
        <v>1737</v>
      </c>
      <c r="BC476" s="100">
        <f>AW476+AX476</f>
        <v>0</v>
      </c>
      <c r="BD476" s="100">
        <f>H476/(100-BE476)*100</f>
        <v>0</v>
      </c>
      <c r="BE476" s="100">
        <v>0</v>
      </c>
      <c r="BF476" s="100">
        <f>476</f>
        <v>476</v>
      </c>
      <c r="BH476" s="108">
        <f>G476*AO476</f>
        <v>0</v>
      </c>
      <c r="BI476" s="108">
        <f>G476*AP476</f>
        <v>0</v>
      </c>
      <c r="BJ476" s="108">
        <f>G476*H476</f>
        <v>0</v>
      </c>
    </row>
    <row r="477" spans="1:62" x14ac:dyDescent="0.2">
      <c r="A477" s="117" t="s">
        <v>430</v>
      </c>
      <c r="B477" s="117" t="s">
        <v>905</v>
      </c>
      <c r="C477" s="304" t="s">
        <v>1987</v>
      </c>
      <c r="D477" s="305"/>
      <c r="E477" s="305"/>
      <c r="F477" s="117" t="s">
        <v>1644</v>
      </c>
      <c r="G477" s="116">
        <v>1</v>
      </c>
      <c r="H477" s="159"/>
      <c r="I477" s="108">
        <f>G477*AO477</f>
        <v>0</v>
      </c>
      <c r="J477" s="108">
        <f>G477*AP477</f>
        <v>0</v>
      </c>
      <c r="K477" s="108">
        <f>G477*H477</f>
        <v>0</v>
      </c>
      <c r="L477" s="111" t="s">
        <v>1671</v>
      </c>
      <c r="Z477" s="100">
        <f>IF(AQ477="5",BJ477,0)</f>
        <v>0</v>
      </c>
      <c r="AB477" s="100">
        <f>IF(AQ477="1",BH477,0)</f>
        <v>0</v>
      </c>
      <c r="AC477" s="100">
        <f>IF(AQ477="1",BI477,0)</f>
        <v>0</v>
      </c>
      <c r="AD477" s="100">
        <f>IF(AQ477="7",BH477,0)</f>
        <v>0</v>
      </c>
      <c r="AE477" s="100">
        <f>IF(AQ477="7",BI477,0)</f>
        <v>0</v>
      </c>
      <c r="AF477" s="100">
        <f>IF(AQ477="2",BH477,0)</f>
        <v>0</v>
      </c>
      <c r="AG477" s="100">
        <f>IF(AQ477="2",BI477,0)</f>
        <v>0</v>
      </c>
      <c r="AH477" s="100">
        <f>IF(AQ477="0",BJ477,0)</f>
        <v>0</v>
      </c>
      <c r="AI477" s="109"/>
      <c r="AJ477" s="108">
        <f>IF(AN477=0,K477,0)</f>
        <v>0</v>
      </c>
      <c r="AK477" s="108">
        <f>IF(AN477=15,K477,0)</f>
        <v>0</v>
      </c>
      <c r="AL477" s="108">
        <f>IF(AN477=21,K477,0)</f>
        <v>0</v>
      </c>
      <c r="AN477" s="100">
        <v>15</v>
      </c>
      <c r="AO477" s="100">
        <f>H477*0.0040695652173913</f>
        <v>0</v>
      </c>
      <c r="AP477" s="100">
        <f>H477*(1-0.0040695652173913)</f>
        <v>0</v>
      </c>
      <c r="AQ477" s="111" t="s">
        <v>13</v>
      </c>
      <c r="AV477" s="100">
        <f>AW477+AX477</f>
        <v>0</v>
      </c>
      <c r="AW477" s="100">
        <f>G477*AO477</f>
        <v>0</v>
      </c>
      <c r="AX477" s="100">
        <f>G477*AP477</f>
        <v>0</v>
      </c>
      <c r="AY477" s="110" t="s">
        <v>1716</v>
      </c>
      <c r="AZ477" s="110" t="s">
        <v>1734</v>
      </c>
      <c r="BA477" s="109" t="s">
        <v>1737</v>
      </c>
      <c r="BC477" s="100">
        <f>AW477+AX477</f>
        <v>0</v>
      </c>
      <c r="BD477" s="100">
        <f>H477/(100-BE477)*100</f>
        <v>0</v>
      </c>
      <c r="BE477" s="100">
        <v>0</v>
      </c>
      <c r="BF477" s="100">
        <f>477</f>
        <v>477</v>
      </c>
      <c r="BH477" s="108">
        <f>G477*AO477</f>
        <v>0</v>
      </c>
      <c r="BI477" s="108">
        <f>G477*AP477</f>
        <v>0</v>
      </c>
      <c r="BJ477" s="108">
        <f>G477*H477</f>
        <v>0</v>
      </c>
    </row>
    <row r="478" spans="1:62" x14ac:dyDescent="0.2">
      <c r="A478" s="117" t="s">
        <v>431</v>
      </c>
      <c r="B478" s="117" t="s">
        <v>906</v>
      </c>
      <c r="C478" s="304" t="s">
        <v>1495</v>
      </c>
      <c r="D478" s="305"/>
      <c r="E478" s="305"/>
      <c r="F478" s="117" t="s">
        <v>1648</v>
      </c>
      <c r="G478" s="116">
        <v>7.1999999999999995E-2</v>
      </c>
      <c r="H478" s="159"/>
      <c r="I478" s="108">
        <f>G478*AO478</f>
        <v>0</v>
      </c>
      <c r="J478" s="108">
        <f>G478*AP478</f>
        <v>0</v>
      </c>
      <c r="K478" s="108">
        <f>G478*H478</f>
        <v>0</v>
      </c>
      <c r="L478" s="111" t="s">
        <v>1671</v>
      </c>
      <c r="Z478" s="100">
        <f>IF(AQ478="5",BJ478,0)</f>
        <v>0</v>
      </c>
      <c r="AB478" s="100">
        <f>IF(AQ478="1",BH478,0)</f>
        <v>0</v>
      </c>
      <c r="AC478" s="100">
        <f>IF(AQ478="1",BI478,0)</f>
        <v>0</v>
      </c>
      <c r="AD478" s="100">
        <f>IF(AQ478="7",BH478,0)</f>
        <v>0</v>
      </c>
      <c r="AE478" s="100">
        <f>IF(AQ478="7",BI478,0)</f>
        <v>0</v>
      </c>
      <c r="AF478" s="100">
        <f>IF(AQ478="2",BH478,0)</f>
        <v>0</v>
      </c>
      <c r="AG478" s="100">
        <f>IF(AQ478="2",BI478,0)</f>
        <v>0</v>
      </c>
      <c r="AH478" s="100">
        <f>IF(AQ478="0",BJ478,0)</f>
        <v>0</v>
      </c>
      <c r="AI478" s="109"/>
      <c r="AJ478" s="108">
        <f>IF(AN478=0,K478,0)</f>
        <v>0</v>
      </c>
      <c r="AK478" s="108">
        <f>IF(AN478=15,K478,0)</f>
        <v>0</v>
      </c>
      <c r="AL478" s="108">
        <f>IF(AN478=21,K478,0)</f>
        <v>0</v>
      </c>
      <c r="AN478" s="100">
        <v>15</v>
      </c>
      <c r="AO478" s="100">
        <f>H478*0</f>
        <v>0</v>
      </c>
      <c r="AP478" s="100">
        <f>H478*(1-0)</f>
        <v>0</v>
      </c>
      <c r="AQ478" s="111" t="s">
        <v>11</v>
      </c>
      <c r="AV478" s="100">
        <f>AW478+AX478</f>
        <v>0</v>
      </c>
      <c r="AW478" s="100">
        <f>G478*AO478</f>
        <v>0</v>
      </c>
      <c r="AX478" s="100">
        <f>G478*AP478</f>
        <v>0</v>
      </c>
      <c r="AY478" s="110" t="s">
        <v>1716</v>
      </c>
      <c r="AZ478" s="110" t="s">
        <v>1734</v>
      </c>
      <c r="BA478" s="109" t="s">
        <v>1737</v>
      </c>
      <c r="BC478" s="100">
        <f>AW478+AX478</f>
        <v>0</v>
      </c>
      <c r="BD478" s="100">
        <f>H478/(100-BE478)*100</f>
        <v>0</v>
      </c>
      <c r="BE478" s="100">
        <v>0</v>
      </c>
      <c r="BF478" s="100">
        <f>478</f>
        <v>478</v>
      </c>
      <c r="BH478" s="108">
        <f>G478*AO478</f>
        <v>0</v>
      </c>
      <c r="BI478" s="108">
        <f>G478*AP478</f>
        <v>0</v>
      </c>
      <c r="BJ478" s="108">
        <f>G478*H478</f>
        <v>0</v>
      </c>
    </row>
    <row r="479" spans="1:62" x14ac:dyDescent="0.2">
      <c r="A479" s="119"/>
      <c r="B479" s="120" t="s">
        <v>907</v>
      </c>
      <c r="C479" s="306" t="s">
        <v>1496</v>
      </c>
      <c r="D479" s="307"/>
      <c r="E479" s="307"/>
      <c r="F479" s="119" t="s">
        <v>6</v>
      </c>
      <c r="G479" s="119" t="s">
        <v>6</v>
      </c>
      <c r="H479" s="119" t="s">
        <v>6</v>
      </c>
      <c r="I479" s="118">
        <f>SUM(I480:I492)</f>
        <v>0</v>
      </c>
      <c r="J479" s="118">
        <f>SUM(J480:J492)</f>
        <v>0</v>
      </c>
      <c r="K479" s="118">
        <f>SUM(K480:K492)</f>
        <v>0</v>
      </c>
      <c r="L479" s="109"/>
      <c r="AI479" s="109"/>
      <c r="AS479" s="118">
        <f>SUM(AJ480:AJ492)</f>
        <v>0</v>
      </c>
      <c r="AT479" s="118">
        <f>SUM(AK480:AK492)</f>
        <v>0</v>
      </c>
      <c r="AU479" s="118">
        <f>SUM(AL480:AL492)</f>
        <v>0</v>
      </c>
    </row>
    <row r="480" spans="1:62" x14ac:dyDescent="0.2">
      <c r="A480" s="117" t="s">
        <v>432</v>
      </c>
      <c r="B480" s="117" t="s">
        <v>2302</v>
      </c>
      <c r="C480" s="304" t="s">
        <v>2301</v>
      </c>
      <c r="D480" s="305"/>
      <c r="E480" s="305"/>
      <c r="F480" s="117" t="s">
        <v>1644</v>
      </c>
      <c r="G480" s="116">
        <v>1</v>
      </c>
      <c r="H480" s="159"/>
      <c r="I480" s="108">
        <f t="shared" ref="I480:I492" si="508">G480*AO480</f>
        <v>0</v>
      </c>
      <c r="J480" s="108">
        <f t="shared" ref="J480:J492" si="509">G480*AP480</f>
        <v>0</v>
      </c>
      <c r="K480" s="108">
        <f t="shared" ref="K480:K492" si="510">G480*H480</f>
        <v>0</v>
      </c>
      <c r="L480" s="111" t="s">
        <v>1671</v>
      </c>
      <c r="Z480" s="100">
        <f t="shared" ref="Z480:Z492" si="511">IF(AQ480="5",BJ480,0)</f>
        <v>0</v>
      </c>
      <c r="AB480" s="100">
        <f t="shared" ref="AB480:AB492" si="512">IF(AQ480="1",BH480,0)</f>
        <v>0</v>
      </c>
      <c r="AC480" s="100">
        <f t="shared" ref="AC480:AC492" si="513">IF(AQ480="1",BI480,0)</f>
        <v>0</v>
      </c>
      <c r="AD480" s="100">
        <f t="shared" ref="AD480:AD492" si="514">IF(AQ480="7",BH480,0)</f>
        <v>0</v>
      </c>
      <c r="AE480" s="100">
        <f t="shared" ref="AE480:AE492" si="515">IF(AQ480="7",BI480,0)</f>
        <v>0</v>
      </c>
      <c r="AF480" s="100">
        <f t="shared" ref="AF480:AF492" si="516">IF(AQ480="2",BH480,0)</f>
        <v>0</v>
      </c>
      <c r="AG480" s="100">
        <f t="shared" ref="AG480:AG492" si="517">IF(AQ480="2",BI480,0)</f>
        <v>0</v>
      </c>
      <c r="AH480" s="100">
        <f t="shared" ref="AH480:AH492" si="518">IF(AQ480="0",BJ480,0)</f>
        <v>0</v>
      </c>
      <c r="AI480" s="109"/>
      <c r="AJ480" s="108">
        <f t="shared" ref="AJ480:AJ492" si="519">IF(AN480=0,K480,0)</f>
        <v>0</v>
      </c>
      <c r="AK480" s="108">
        <f t="shared" ref="AK480:AK492" si="520">IF(AN480=15,K480,0)</f>
        <v>0</v>
      </c>
      <c r="AL480" s="108">
        <f t="shared" ref="AL480:AL492" si="521">IF(AN480=21,K480,0)</f>
        <v>0</v>
      </c>
      <c r="AN480" s="100">
        <v>15</v>
      </c>
      <c r="AO480" s="100">
        <f>H480*0.1341</f>
        <v>0</v>
      </c>
      <c r="AP480" s="100">
        <f>H480*(1-0.1341)</f>
        <v>0</v>
      </c>
      <c r="AQ480" s="111" t="s">
        <v>13</v>
      </c>
      <c r="AV480" s="100">
        <f t="shared" ref="AV480:AV492" si="522">AW480+AX480</f>
        <v>0</v>
      </c>
      <c r="AW480" s="100">
        <f t="shared" ref="AW480:AW492" si="523">G480*AO480</f>
        <v>0</v>
      </c>
      <c r="AX480" s="100">
        <f t="shared" ref="AX480:AX492" si="524">G480*AP480</f>
        <v>0</v>
      </c>
      <c r="AY480" s="110" t="s">
        <v>1717</v>
      </c>
      <c r="AZ480" s="110" t="s">
        <v>1734</v>
      </c>
      <c r="BA480" s="109" t="s">
        <v>1737</v>
      </c>
      <c r="BC480" s="100">
        <f t="shared" ref="BC480:BC492" si="525">AW480+AX480</f>
        <v>0</v>
      </c>
      <c r="BD480" s="100">
        <f t="shared" ref="BD480:BD492" si="526">H480/(100-BE480)*100</f>
        <v>0</v>
      </c>
      <c r="BE480" s="100">
        <v>0</v>
      </c>
      <c r="BF480" s="100">
        <f>480</f>
        <v>480</v>
      </c>
      <c r="BH480" s="108">
        <f t="shared" ref="BH480:BH492" si="527">G480*AO480</f>
        <v>0</v>
      </c>
      <c r="BI480" s="108">
        <f t="shared" ref="BI480:BI492" si="528">G480*AP480</f>
        <v>0</v>
      </c>
      <c r="BJ480" s="108">
        <f t="shared" ref="BJ480:BJ492" si="529">G480*H480</f>
        <v>0</v>
      </c>
    </row>
    <row r="481" spans="1:62" x14ac:dyDescent="0.2">
      <c r="A481" s="117" t="s">
        <v>433</v>
      </c>
      <c r="B481" s="117" t="s">
        <v>2300</v>
      </c>
      <c r="C481" s="304" t="s">
        <v>2299</v>
      </c>
      <c r="D481" s="305"/>
      <c r="E481" s="305"/>
      <c r="F481" s="117" t="s">
        <v>1644</v>
      </c>
      <c r="G481" s="116">
        <v>2</v>
      </c>
      <c r="H481" s="159"/>
      <c r="I481" s="108">
        <f t="shared" si="508"/>
        <v>0</v>
      </c>
      <c r="J481" s="108">
        <f t="shared" si="509"/>
        <v>0</v>
      </c>
      <c r="K481" s="108">
        <f t="shared" si="510"/>
        <v>0</v>
      </c>
      <c r="L481" s="111" t="s">
        <v>1671</v>
      </c>
      <c r="Z481" s="100">
        <f t="shared" si="511"/>
        <v>0</v>
      </c>
      <c r="AB481" s="100">
        <f t="shared" si="512"/>
        <v>0</v>
      </c>
      <c r="AC481" s="100">
        <f t="shared" si="513"/>
        <v>0</v>
      </c>
      <c r="AD481" s="100">
        <f t="shared" si="514"/>
        <v>0</v>
      </c>
      <c r="AE481" s="100">
        <f t="shared" si="515"/>
        <v>0</v>
      </c>
      <c r="AF481" s="100">
        <f t="shared" si="516"/>
        <v>0</v>
      </c>
      <c r="AG481" s="100">
        <f t="shared" si="517"/>
        <v>0</v>
      </c>
      <c r="AH481" s="100">
        <f t="shared" si="518"/>
        <v>0</v>
      </c>
      <c r="AI481" s="109"/>
      <c r="AJ481" s="108">
        <f t="shared" si="519"/>
        <v>0</v>
      </c>
      <c r="AK481" s="108">
        <f t="shared" si="520"/>
        <v>0</v>
      </c>
      <c r="AL481" s="108">
        <f t="shared" si="521"/>
        <v>0</v>
      </c>
      <c r="AN481" s="100">
        <v>15</v>
      </c>
      <c r="AO481" s="100">
        <f>H481*0.1341</f>
        <v>0</v>
      </c>
      <c r="AP481" s="100">
        <f>H481*(1-0.1341)</f>
        <v>0</v>
      </c>
      <c r="AQ481" s="111" t="s">
        <v>13</v>
      </c>
      <c r="AV481" s="100">
        <f t="shared" si="522"/>
        <v>0</v>
      </c>
      <c r="AW481" s="100">
        <f t="shared" si="523"/>
        <v>0</v>
      </c>
      <c r="AX481" s="100">
        <f t="shared" si="524"/>
        <v>0</v>
      </c>
      <c r="AY481" s="110" t="s">
        <v>1717</v>
      </c>
      <c r="AZ481" s="110" t="s">
        <v>1734</v>
      </c>
      <c r="BA481" s="109" t="s">
        <v>1737</v>
      </c>
      <c r="BC481" s="100">
        <f t="shared" si="525"/>
        <v>0</v>
      </c>
      <c r="BD481" s="100">
        <f t="shared" si="526"/>
        <v>0</v>
      </c>
      <c r="BE481" s="100">
        <v>0</v>
      </c>
      <c r="BF481" s="100">
        <f>481</f>
        <v>481</v>
      </c>
      <c r="BH481" s="108">
        <f t="shared" si="527"/>
        <v>0</v>
      </c>
      <c r="BI481" s="108">
        <f t="shared" si="528"/>
        <v>0</v>
      </c>
      <c r="BJ481" s="108">
        <f t="shared" si="529"/>
        <v>0</v>
      </c>
    </row>
    <row r="482" spans="1:62" x14ac:dyDescent="0.2">
      <c r="A482" s="117" t="s">
        <v>434</v>
      </c>
      <c r="B482" s="117" t="s">
        <v>908</v>
      </c>
      <c r="C482" s="304" t="s">
        <v>1497</v>
      </c>
      <c r="D482" s="305"/>
      <c r="E482" s="305"/>
      <c r="F482" s="117" t="s">
        <v>1644</v>
      </c>
      <c r="G482" s="116">
        <v>1</v>
      </c>
      <c r="H482" s="159"/>
      <c r="I482" s="108">
        <f t="shared" si="508"/>
        <v>0</v>
      </c>
      <c r="J482" s="108">
        <f t="shared" si="509"/>
        <v>0</v>
      </c>
      <c r="K482" s="108">
        <f t="shared" si="510"/>
        <v>0</v>
      </c>
      <c r="L482" s="111" t="s">
        <v>1671</v>
      </c>
      <c r="Z482" s="100">
        <f t="shared" si="511"/>
        <v>0</v>
      </c>
      <c r="AB482" s="100">
        <f t="shared" si="512"/>
        <v>0</v>
      </c>
      <c r="AC482" s="100">
        <f t="shared" si="513"/>
        <v>0</v>
      </c>
      <c r="AD482" s="100">
        <f t="shared" si="514"/>
        <v>0</v>
      </c>
      <c r="AE482" s="100">
        <f t="shared" si="515"/>
        <v>0</v>
      </c>
      <c r="AF482" s="100">
        <f t="shared" si="516"/>
        <v>0</v>
      </c>
      <c r="AG482" s="100">
        <f t="shared" si="517"/>
        <v>0</v>
      </c>
      <c r="AH482" s="100">
        <f t="shared" si="518"/>
        <v>0</v>
      </c>
      <c r="AI482" s="109"/>
      <c r="AJ482" s="108">
        <f t="shared" si="519"/>
        <v>0</v>
      </c>
      <c r="AK482" s="108">
        <f t="shared" si="520"/>
        <v>0</v>
      </c>
      <c r="AL482" s="108">
        <f t="shared" si="521"/>
        <v>0</v>
      </c>
      <c r="AN482" s="100">
        <v>15</v>
      </c>
      <c r="AO482" s="100">
        <f>H482*0.0305007936507936</f>
        <v>0</v>
      </c>
      <c r="AP482" s="100">
        <f>H482*(1-0.0305007936507936)</f>
        <v>0</v>
      </c>
      <c r="AQ482" s="111" t="s">
        <v>13</v>
      </c>
      <c r="AV482" s="100">
        <f t="shared" si="522"/>
        <v>0</v>
      </c>
      <c r="AW482" s="100">
        <f t="shared" si="523"/>
        <v>0</v>
      </c>
      <c r="AX482" s="100">
        <f t="shared" si="524"/>
        <v>0</v>
      </c>
      <c r="AY482" s="110" t="s">
        <v>1717</v>
      </c>
      <c r="AZ482" s="110" t="s">
        <v>1734</v>
      </c>
      <c r="BA482" s="109" t="s">
        <v>1737</v>
      </c>
      <c r="BC482" s="100">
        <f t="shared" si="525"/>
        <v>0</v>
      </c>
      <c r="BD482" s="100">
        <f t="shared" si="526"/>
        <v>0</v>
      </c>
      <c r="BE482" s="100">
        <v>0</v>
      </c>
      <c r="BF482" s="100">
        <f>482</f>
        <v>482</v>
      </c>
      <c r="BH482" s="108">
        <f t="shared" si="527"/>
        <v>0</v>
      </c>
      <c r="BI482" s="108">
        <f t="shared" si="528"/>
        <v>0</v>
      </c>
      <c r="BJ482" s="108">
        <f t="shared" si="529"/>
        <v>0</v>
      </c>
    </row>
    <row r="483" spans="1:62" x14ac:dyDescent="0.2">
      <c r="A483" s="117" t="s">
        <v>435</v>
      </c>
      <c r="B483" s="117" t="s">
        <v>909</v>
      </c>
      <c r="C483" s="304" t="s">
        <v>1498</v>
      </c>
      <c r="D483" s="305"/>
      <c r="E483" s="305"/>
      <c r="F483" s="117" t="s">
        <v>1644</v>
      </c>
      <c r="G483" s="116">
        <v>1</v>
      </c>
      <c r="H483" s="159"/>
      <c r="I483" s="108">
        <f t="shared" si="508"/>
        <v>0</v>
      </c>
      <c r="J483" s="108">
        <f t="shared" si="509"/>
        <v>0</v>
      </c>
      <c r="K483" s="108">
        <f t="shared" si="510"/>
        <v>0</v>
      </c>
      <c r="L483" s="111" t="s">
        <v>1671</v>
      </c>
      <c r="Z483" s="100">
        <f t="shared" si="511"/>
        <v>0</v>
      </c>
      <c r="AB483" s="100">
        <f t="shared" si="512"/>
        <v>0</v>
      </c>
      <c r="AC483" s="100">
        <f t="shared" si="513"/>
        <v>0</v>
      </c>
      <c r="AD483" s="100">
        <f t="shared" si="514"/>
        <v>0</v>
      </c>
      <c r="AE483" s="100">
        <f t="shared" si="515"/>
        <v>0</v>
      </c>
      <c r="AF483" s="100">
        <f t="shared" si="516"/>
        <v>0</v>
      </c>
      <c r="AG483" s="100">
        <f t="shared" si="517"/>
        <v>0</v>
      </c>
      <c r="AH483" s="100">
        <f t="shared" si="518"/>
        <v>0</v>
      </c>
      <c r="AI483" s="109"/>
      <c r="AJ483" s="108">
        <f t="shared" si="519"/>
        <v>0</v>
      </c>
      <c r="AK483" s="108">
        <f t="shared" si="520"/>
        <v>0</v>
      </c>
      <c r="AL483" s="108">
        <f t="shared" si="521"/>
        <v>0</v>
      </c>
      <c r="AN483" s="100">
        <v>15</v>
      </c>
      <c r="AO483" s="100">
        <f>H483*0</f>
        <v>0</v>
      </c>
      <c r="AP483" s="100">
        <f>H483*(1-0)</f>
        <v>0</v>
      </c>
      <c r="AQ483" s="111" t="s">
        <v>13</v>
      </c>
      <c r="AV483" s="100">
        <f t="shared" si="522"/>
        <v>0</v>
      </c>
      <c r="AW483" s="100">
        <f t="shared" si="523"/>
        <v>0</v>
      </c>
      <c r="AX483" s="100">
        <f t="shared" si="524"/>
        <v>0</v>
      </c>
      <c r="AY483" s="110" t="s">
        <v>1717</v>
      </c>
      <c r="AZ483" s="110" t="s">
        <v>1734</v>
      </c>
      <c r="BA483" s="109" t="s">
        <v>1737</v>
      </c>
      <c r="BC483" s="100">
        <f t="shared" si="525"/>
        <v>0</v>
      </c>
      <c r="BD483" s="100">
        <f t="shared" si="526"/>
        <v>0</v>
      </c>
      <c r="BE483" s="100">
        <v>0</v>
      </c>
      <c r="BF483" s="100">
        <f>483</f>
        <v>483</v>
      </c>
      <c r="BH483" s="108">
        <f t="shared" si="527"/>
        <v>0</v>
      </c>
      <c r="BI483" s="108">
        <f t="shared" si="528"/>
        <v>0</v>
      </c>
      <c r="BJ483" s="108">
        <f t="shared" si="529"/>
        <v>0</v>
      </c>
    </row>
    <row r="484" spans="1:62" x14ac:dyDescent="0.2">
      <c r="A484" s="117" t="s">
        <v>436</v>
      </c>
      <c r="B484" s="117" t="s">
        <v>910</v>
      </c>
      <c r="C484" s="304" t="s">
        <v>1499</v>
      </c>
      <c r="D484" s="305"/>
      <c r="E484" s="305"/>
      <c r="F484" s="117" t="s">
        <v>1644</v>
      </c>
      <c r="G484" s="116">
        <v>10</v>
      </c>
      <c r="H484" s="159"/>
      <c r="I484" s="108">
        <f t="shared" si="508"/>
        <v>0</v>
      </c>
      <c r="J484" s="108">
        <f t="shared" si="509"/>
        <v>0</v>
      </c>
      <c r="K484" s="108">
        <f t="shared" si="510"/>
        <v>0</v>
      </c>
      <c r="L484" s="111" t="s">
        <v>1671</v>
      </c>
      <c r="Z484" s="100">
        <f t="shared" si="511"/>
        <v>0</v>
      </c>
      <c r="AB484" s="100">
        <f t="shared" si="512"/>
        <v>0</v>
      </c>
      <c r="AC484" s="100">
        <f t="shared" si="513"/>
        <v>0</v>
      </c>
      <c r="AD484" s="100">
        <f t="shared" si="514"/>
        <v>0</v>
      </c>
      <c r="AE484" s="100">
        <f t="shared" si="515"/>
        <v>0</v>
      </c>
      <c r="AF484" s="100">
        <f t="shared" si="516"/>
        <v>0</v>
      </c>
      <c r="AG484" s="100">
        <f t="shared" si="517"/>
        <v>0</v>
      </c>
      <c r="AH484" s="100">
        <f t="shared" si="518"/>
        <v>0</v>
      </c>
      <c r="AI484" s="109"/>
      <c r="AJ484" s="108">
        <f t="shared" si="519"/>
        <v>0</v>
      </c>
      <c r="AK484" s="108">
        <f t="shared" si="520"/>
        <v>0</v>
      </c>
      <c r="AL484" s="108">
        <f t="shared" si="521"/>
        <v>0</v>
      </c>
      <c r="AN484" s="100">
        <v>15</v>
      </c>
      <c r="AO484" s="100">
        <f>H484*0</f>
        <v>0</v>
      </c>
      <c r="AP484" s="100">
        <f>H484*(1-0)</f>
        <v>0</v>
      </c>
      <c r="AQ484" s="111" t="s">
        <v>13</v>
      </c>
      <c r="AV484" s="100">
        <f t="shared" si="522"/>
        <v>0</v>
      </c>
      <c r="AW484" s="100">
        <f t="shared" si="523"/>
        <v>0</v>
      </c>
      <c r="AX484" s="100">
        <f t="shared" si="524"/>
        <v>0</v>
      </c>
      <c r="AY484" s="110" t="s">
        <v>1717</v>
      </c>
      <c r="AZ484" s="110" t="s">
        <v>1734</v>
      </c>
      <c r="BA484" s="109" t="s">
        <v>1737</v>
      </c>
      <c r="BC484" s="100">
        <f t="shared" si="525"/>
        <v>0</v>
      </c>
      <c r="BD484" s="100">
        <f t="shared" si="526"/>
        <v>0</v>
      </c>
      <c r="BE484" s="100">
        <v>0</v>
      </c>
      <c r="BF484" s="100">
        <f>484</f>
        <v>484</v>
      </c>
      <c r="BH484" s="108">
        <f t="shared" si="527"/>
        <v>0</v>
      </c>
      <c r="BI484" s="108">
        <f t="shared" si="528"/>
        <v>0</v>
      </c>
      <c r="BJ484" s="108">
        <f t="shared" si="529"/>
        <v>0</v>
      </c>
    </row>
    <row r="485" spans="1:62" x14ac:dyDescent="0.2">
      <c r="A485" s="117" t="s">
        <v>437</v>
      </c>
      <c r="B485" s="117" t="s">
        <v>911</v>
      </c>
      <c r="C485" s="304" t="s">
        <v>1500</v>
      </c>
      <c r="D485" s="305"/>
      <c r="E485" s="305"/>
      <c r="F485" s="117" t="s">
        <v>1644</v>
      </c>
      <c r="G485" s="116">
        <v>1</v>
      </c>
      <c r="H485" s="159"/>
      <c r="I485" s="108">
        <f t="shared" si="508"/>
        <v>0</v>
      </c>
      <c r="J485" s="108">
        <f t="shared" si="509"/>
        <v>0</v>
      </c>
      <c r="K485" s="108">
        <f t="shared" si="510"/>
        <v>0</v>
      </c>
      <c r="L485" s="111" t="s">
        <v>1671</v>
      </c>
      <c r="Z485" s="100">
        <f t="shared" si="511"/>
        <v>0</v>
      </c>
      <c r="AB485" s="100">
        <f t="shared" si="512"/>
        <v>0</v>
      </c>
      <c r="AC485" s="100">
        <f t="shared" si="513"/>
        <v>0</v>
      </c>
      <c r="AD485" s="100">
        <f t="shared" si="514"/>
        <v>0</v>
      </c>
      <c r="AE485" s="100">
        <f t="shared" si="515"/>
        <v>0</v>
      </c>
      <c r="AF485" s="100">
        <f t="shared" si="516"/>
        <v>0</v>
      </c>
      <c r="AG485" s="100">
        <f t="shared" si="517"/>
        <v>0</v>
      </c>
      <c r="AH485" s="100">
        <f t="shared" si="518"/>
        <v>0</v>
      </c>
      <c r="AI485" s="109"/>
      <c r="AJ485" s="108">
        <f t="shared" si="519"/>
        <v>0</v>
      </c>
      <c r="AK485" s="108">
        <f t="shared" si="520"/>
        <v>0</v>
      </c>
      <c r="AL485" s="108">
        <f t="shared" si="521"/>
        <v>0</v>
      </c>
      <c r="AN485" s="100">
        <v>15</v>
      </c>
      <c r="AO485" s="100">
        <f>H485*0</f>
        <v>0</v>
      </c>
      <c r="AP485" s="100">
        <f>H485*(1-0)</f>
        <v>0</v>
      </c>
      <c r="AQ485" s="111" t="s">
        <v>13</v>
      </c>
      <c r="AV485" s="100">
        <f t="shared" si="522"/>
        <v>0</v>
      </c>
      <c r="AW485" s="100">
        <f t="shared" si="523"/>
        <v>0</v>
      </c>
      <c r="AX485" s="100">
        <f t="shared" si="524"/>
        <v>0</v>
      </c>
      <c r="AY485" s="110" t="s">
        <v>1717</v>
      </c>
      <c r="AZ485" s="110" t="s">
        <v>1734</v>
      </c>
      <c r="BA485" s="109" t="s">
        <v>1737</v>
      </c>
      <c r="BC485" s="100">
        <f t="shared" si="525"/>
        <v>0</v>
      </c>
      <c r="BD485" s="100">
        <f t="shared" si="526"/>
        <v>0</v>
      </c>
      <c r="BE485" s="100">
        <v>0</v>
      </c>
      <c r="BF485" s="100">
        <f>485</f>
        <v>485</v>
      </c>
      <c r="BH485" s="108">
        <f t="shared" si="527"/>
        <v>0</v>
      </c>
      <c r="BI485" s="108">
        <f t="shared" si="528"/>
        <v>0</v>
      </c>
      <c r="BJ485" s="108">
        <f t="shared" si="529"/>
        <v>0</v>
      </c>
    </row>
    <row r="486" spans="1:62" x14ac:dyDescent="0.2">
      <c r="A486" s="117" t="s">
        <v>438</v>
      </c>
      <c r="B486" s="117" t="s">
        <v>913</v>
      </c>
      <c r="C486" s="304" t="s">
        <v>1502</v>
      </c>
      <c r="D486" s="305"/>
      <c r="E486" s="305"/>
      <c r="F486" s="117" t="s">
        <v>1644</v>
      </c>
      <c r="G486" s="116">
        <v>4</v>
      </c>
      <c r="H486" s="159"/>
      <c r="I486" s="108">
        <f t="shared" si="508"/>
        <v>0</v>
      </c>
      <c r="J486" s="108">
        <f t="shared" si="509"/>
        <v>0</v>
      </c>
      <c r="K486" s="108">
        <f t="shared" si="510"/>
        <v>0</v>
      </c>
      <c r="L486" s="111" t="s">
        <v>1671</v>
      </c>
      <c r="Z486" s="100">
        <f t="shared" si="511"/>
        <v>0</v>
      </c>
      <c r="AB486" s="100">
        <f t="shared" si="512"/>
        <v>0</v>
      </c>
      <c r="AC486" s="100">
        <f t="shared" si="513"/>
        <v>0</v>
      </c>
      <c r="AD486" s="100">
        <f t="shared" si="514"/>
        <v>0</v>
      </c>
      <c r="AE486" s="100">
        <f t="shared" si="515"/>
        <v>0</v>
      </c>
      <c r="AF486" s="100">
        <f t="shared" si="516"/>
        <v>0</v>
      </c>
      <c r="AG486" s="100">
        <f t="shared" si="517"/>
        <v>0</v>
      </c>
      <c r="AH486" s="100">
        <f t="shared" si="518"/>
        <v>0</v>
      </c>
      <c r="AI486" s="109"/>
      <c r="AJ486" s="108">
        <f t="shared" si="519"/>
        <v>0</v>
      </c>
      <c r="AK486" s="108">
        <f t="shared" si="520"/>
        <v>0</v>
      </c>
      <c r="AL486" s="108">
        <f t="shared" si="521"/>
        <v>0</v>
      </c>
      <c r="AN486" s="100">
        <v>15</v>
      </c>
      <c r="AO486" s="100">
        <f>H486*0</f>
        <v>0</v>
      </c>
      <c r="AP486" s="100">
        <f>H486*(1-0)</f>
        <v>0</v>
      </c>
      <c r="AQ486" s="111" t="s">
        <v>13</v>
      </c>
      <c r="AV486" s="100">
        <f t="shared" si="522"/>
        <v>0</v>
      </c>
      <c r="AW486" s="100">
        <f t="shared" si="523"/>
        <v>0</v>
      </c>
      <c r="AX486" s="100">
        <f t="shared" si="524"/>
        <v>0</v>
      </c>
      <c r="AY486" s="110" t="s">
        <v>1717</v>
      </c>
      <c r="AZ486" s="110" t="s">
        <v>1734</v>
      </c>
      <c r="BA486" s="109" t="s">
        <v>1737</v>
      </c>
      <c r="BC486" s="100">
        <f t="shared" si="525"/>
        <v>0</v>
      </c>
      <c r="BD486" s="100">
        <f t="shared" si="526"/>
        <v>0</v>
      </c>
      <c r="BE486" s="100">
        <v>0</v>
      </c>
      <c r="BF486" s="100">
        <f>486</f>
        <v>486</v>
      </c>
      <c r="BH486" s="108">
        <f t="shared" si="527"/>
        <v>0</v>
      </c>
      <c r="BI486" s="108">
        <f t="shared" si="528"/>
        <v>0</v>
      </c>
      <c r="BJ486" s="108">
        <f t="shared" si="529"/>
        <v>0</v>
      </c>
    </row>
    <row r="487" spans="1:62" x14ac:dyDescent="0.2">
      <c r="A487" s="117" t="s">
        <v>439</v>
      </c>
      <c r="B487" s="117" t="s">
        <v>916</v>
      </c>
      <c r="C487" s="304" t="s">
        <v>2298</v>
      </c>
      <c r="D487" s="305"/>
      <c r="E487" s="305"/>
      <c r="F487" s="117" t="s">
        <v>1644</v>
      </c>
      <c r="G487" s="116">
        <v>1</v>
      </c>
      <c r="H487" s="159"/>
      <c r="I487" s="108">
        <f t="shared" si="508"/>
        <v>0</v>
      </c>
      <c r="J487" s="108">
        <f t="shared" si="509"/>
        <v>0</v>
      </c>
      <c r="K487" s="108">
        <f t="shared" si="510"/>
        <v>0</v>
      </c>
      <c r="L487" s="111" t="s">
        <v>1671</v>
      </c>
      <c r="Z487" s="100">
        <f t="shared" si="511"/>
        <v>0</v>
      </c>
      <c r="AB487" s="100">
        <f t="shared" si="512"/>
        <v>0</v>
      </c>
      <c r="AC487" s="100">
        <f t="shared" si="513"/>
        <v>0</v>
      </c>
      <c r="AD487" s="100">
        <f t="shared" si="514"/>
        <v>0</v>
      </c>
      <c r="AE487" s="100">
        <f t="shared" si="515"/>
        <v>0</v>
      </c>
      <c r="AF487" s="100">
        <f t="shared" si="516"/>
        <v>0</v>
      </c>
      <c r="AG487" s="100">
        <f t="shared" si="517"/>
        <v>0</v>
      </c>
      <c r="AH487" s="100">
        <f t="shared" si="518"/>
        <v>0</v>
      </c>
      <c r="AI487" s="109"/>
      <c r="AJ487" s="108">
        <f t="shared" si="519"/>
        <v>0</v>
      </c>
      <c r="AK487" s="108">
        <f t="shared" si="520"/>
        <v>0</v>
      </c>
      <c r="AL487" s="108">
        <f t="shared" si="521"/>
        <v>0</v>
      </c>
      <c r="AN487" s="100">
        <v>15</v>
      </c>
      <c r="AO487" s="100">
        <f>H487*0.0282374100719424</f>
        <v>0</v>
      </c>
      <c r="AP487" s="100">
        <f>H487*(1-0.0282374100719424)</f>
        <v>0</v>
      </c>
      <c r="AQ487" s="111" t="s">
        <v>13</v>
      </c>
      <c r="AV487" s="100">
        <f t="shared" si="522"/>
        <v>0</v>
      </c>
      <c r="AW487" s="100">
        <f t="shared" si="523"/>
        <v>0</v>
      </c>
      <c r="AX487" s="100">
        <f t="shared" si="524"/>
        <v>0</v>
      </c>
      <c r="AY487" s="110" t="s">
        <v>1717</v>
      </c>
      <c r="AZ487" s="110" t="s">
        <v>1734</v>
      </c>
      <c r="BA487" s="109" t="s">
        <v>1737</v>
      </c>
      <c r="BC487" s="100">
        <f t="shared" si="525"/>
        <v>0</v>
      </c>
      <c r="BD487" s="100">
        <f t="shared" si="526"/>
        <v>0</v>
      </c>
      <c r="BE487" s="100">
        <v>0</v>
      </c>
      <c r="BF487" s="100">
        <f>487</f>
        <v>487</v>
      </c>
      <c r="BH487" s="108">
        <f t="shared" si="527"/>
        <v>0</v>
      </c>
      <c r="BI487" s="108">
        <f t="shared" si="528"/>
        <v>0</v>
      </c>
      <c r="BJ487" s="108">
        <f t="shared" si="529"/>
        <v>0</v>
      </c>
    </row>
    <row r="488" spans="1:62" x14ac:dyDescent="0.2">
      <c r="A488" s="117" t="s">
        <v>440</v>
      </c>
      <c r="B488" s="117" t="s">
        <v>918</v>
      </c>
      <c r="C488" s="304" t="s">
        <v>1986</v>
      </c>
      <c r="D488" s="305"/>
      <c r="E488" s="305"/>
      <c r="F488" s="117" t="s">
        <v>1644</v>
      </c>
      <c r="G488" s="116">
        <v>1</v>
      </c>
      <c r="H488" s="159"/>
      <c r="I488" s="108">
        <f t="shared" si="508"/>
        <v>0</v>
      </c>
      <c r="J488" s="108">
        <f t="shared" si="509"/>
        <v>0</v>
      </c>
      <c r="K488" s="108">
        <f t="shared" si="510"/>
        <v>0</v>
      </c>
      <c r="L488" s="111" t="s">
        <v>1671</v>
      </c>
      <c r="Z488" s="100">
        <f t="shared" si="511"/>
        <v>0</v>
      </c>
      <c r="AB488" s="100">
        <f t="shared" si="512"/>
        <v>0</v>
      </c>
      <c r="AC488" s="100">
        <f t="shared" si="513"/>
        <v>0</v>
      </c>
      <c r="AD488" s="100">
        <f t="shared" si="514"/>
        <v>0</v>
      </c>
      <c r="AE488" s="100">
        <f t="shared" si="515"/>
        <v>0</v>
      </c>
      <c r="AF488" s="100">
        <f t="shared" si="516"/>
        <v>0</v>
      </c>
      <c r="AG488" s="100">
        <f t="shared" si="517"/>
        <v>0</v>
      </c>
      <c r="AH488" s="100">
        <f t="shared" si="518"/>
        <v>0</v>
      </c>
      <c r="AI488" s="109"/>
      <c r="AJ488" s="108">
        <f t="shared" si="519"/>
        <v>0</v>
      </c>
      <c r="AK488" s="108">
        <f t="shared" si="520"/>
        <v>0</v>
      </c>
      <c r="AL488" s="108">
        <f t="shared" si="521"/>
        <v>0</v>
      </c>
      <c r="AN488" s="100">
        <v>15</v>
      </c>
      <c r="AO488" s="100">
        <f>H488*0.719816666666667</f>
        <v>0</v>
      </c>
      <c r="AP488" s="100">
        <f>H488*(1-0.719816666666667)</f>
        <v>0</v>
      </c>
      <c r="AQ488" s="111" t="s">
        <v>13</v>
      </c>
      <c r="AV488" s="100">
        <f t="shared" si="522"/>
        <v>0</v>
      </c>
      <c r="AW488" s="100">
        <f t="shared" si="523"/>
        <v>0</v>
      </c>
      <c r="AX488" s="100">
        <f t="shared" si="524"/>
        <v>0</v>
      </c>
      <c r="AY488" s="110" t="s">
        <v>1717</v>
      </c>
      <c r="AZ488" s="110" t="s">
        <v>1734</v>
      </c>
      <c r="BA488" s="109" t="s">
        <v>1737</v>
      </c>
      <c r="BC488" s="100">
        <f t="shared" si="525"/>
        <v>0</v>
      </c>
      <c r="BD488" s="100">
        <f t="shared" si="526"/>
        <v>0</v>
      </c>
      <c r="BE488" s="100">
        <v>0</v>
      </c>
      <c r="BF488" s="100">
        <f>488</f>
        <v>488</v>
      </c>
      <c r="BH488" s="108">
        <f t="shared" si="527"/>
        <v>0</v>
      </c>
      <c r="BI488" s="108">
        <f t="shared" si="528"/>
        <v>0</v>
      </c>
      <c r="BJ488" s="108">
        <f t="shared" si="529"/>
        <v>0</v>
      </c>
    </row>
    <row r="489" spans="1:62" x14ac:dyDescent="0.2">
      <c r="A489" s="117" t="s">
        <v>441</v>
      </c>
      <c r="B489" s="117" t="s">
        <v>919</v>
      </c>
      <c r="C489" s="304" t="s">
        <v>1508</v>
      </c>
      <c r="D489" s="305"/>
      <c r="E489" s="305"/>
      <c r="F489" s="117" t="s">
        <v>1644</v>
      </c>
      <c r="G489" s="116">
        <v>2</v>
      </c>
      <c r="H489" s="159"/>
      <c r="I489" s="108">
        <f t="shared" si="508"/>
        <v>0</v>
      </c>
      <c r="J489" s="108">
        <f t="shared" si="509"/>
        <v>0</v>
      </c>
      <c r="K489" s="108">
        <f t="shared" si="510"/>
        <v>0</v>
      </c>
      <c r="L489" s="111" t="s">
        <v>1671</v>
      </c>
      <c r="Z489" s="100">
        <f t="shared" si="511"/>
        <v>0</v>
      </c>
      <c r="AB489" s="100">
        <f t="shared" si="512"/>
        <v>0</v>
      </c>
      <c r="AC489" s="100">
        <f t="shared" si="513"/>
        <v>0</v>
      </c>
      <c r="AD489" s="100">
        <f t="shared" si="514"/>
        <v>0</v>
      </c>
      <c r="AE489" s="100">
        <f t="shared" si="515"/>
        <v>0</v>
      </c>
      <c r="AF489" s="100">
        <f t="shared" si="516"/>
        <v>0</v>
      </c>
      <c r="AG489" s="100">
        <f t="shared" si="517"/>
        <v>0</v>
      </c>
      <c r="AH489" s="100">
        <f t="shared" si="518"/>
        <v>0</v>
      </c>
      <c r="AI489" s="109"/>
      <c r="AJ489" s="108">
        <f t="shared" si="519"/>
        <v>0</v>
      </c>
      <c r="AK489" s="108">
        <f t="shared" si="520"/>
        <v>0</v>
      </c>
      <c r="AL489" s="108">
        <f t="shared" si="521"/>
        <v>0</v>
      </c>
      <c r="AN489" s="100">
        <v>15</v>
      </c>
      <c r="AO489" s="100">
        <f>H489*0.71976</f>
        <v>0</v>
      </c>
      <c r="AP489" s="100">
        <f>H489*(1-0.71976)</f>
        <v>0</v>
      </c>
      <c r="AQ489" s="111" t="s">
        <v>13</v>
      </c>
      <c r="AV489" s="100">
        <f t="shared" si="522"/>
        <v>0</v>
      </c>
      <c r="AW489" s="100">
        <f t="shared" si="523"/>
        <v>0</v>
      </c>
      <c r="AX489" s="100">
        <f t="shared" si="524"/>
        <v>0</v>
      </c>
      <c r="AY489" s="110" t="s">
        <v>1717</v>
      </c>
      <c r="AZ489" s="110" t="s">
        <v>1734</v>
      </c>
      <c r="BA489" s="109" t="s">
        <v>1737</v>
      </c>
      <c r="BC489" s="100">
        <f t="shared" si="525"/>
        <v>0</v>
      </c>
      <c r="BD489" s="100">
        <f t="shared" si="526"/>
        <v>0</v>
      </c>
      <c r="BE489" s="100">
        <v>0</v>
      </c>
      <c r="BF489" s="100">
        <f>489</f>
        <v>489</v>
      </c>
      <c r="BH489" s="108">
        <f t="shared" si="527"/>
        <v>0</v>
      </c>
      <c r="BI489" s="108">
        <f t="shared" si="528"/>
        <v>0</v>
      </c>
      <c r="BJ489" s="108">
        <f t="shared" si="529"/>
        <v>0</v>
      </c>
    </row>
    <row r="490" spans="1:62" x14ac:dyDescent="0.2">
      <c r="A490" s="117" t="s">
        <v>442</v>
      </c>
      <c r="B490" s="117" t="s">
        <v>917</v>
      </c>
      <c r="C490" s="304" t="s">
        <v>1506</v>
      </c>
      <c r="D490" s="305"/>
      <c r="E490" s="305"/>
      <c r="F490" s="117" t="s">
        <v>1644</v>
      </c>
      <c r="G490" s="116">
        <v>1</v>
      </c>
      <c r="H490" s="159"/>
      <c r="I490" s="108">
        <f t="shared" si="508"/>
        <v>0</v>
      </c>
      <c r="J490" s="108">
        <f t="shared" si="509"/>
        <v>0</v>
      </c>
      <c r="K490" s="108">
        <f t="shared" si="510"/>
        <v>0</v>
      </c>
      <c r="L490" s="111" t="s">
        <v>1671</v>
      </c>
      <c r="Z490" s="100">
        <f t="shared" si="511"/>
        <v>0</v>
      </c>
      <c r="AB490" s="100">
        <f t="shared" si="512"/>
        <v>0</v>
      </c>
      <c r="AC490" s="100">
        <f t="shared" si="513"/>
        <v>0</v>
      </c>
      <c r="AD490" s="100">
        <f t="shared" si="514"/>
        <v>0</v>
      </c>
      <c r="AE490" s="100">
        <f t="shared" si="515"/>
        <v>0</v>
      </c>
      <c r="AF490" s="100">
        <f t="shared" si="516"/>
        <v>0</v>
      </c>
      <c r="AG490" s="100">
        <f t="shared" si="517"/>
        <v>0</v>
      </c>
      <c r="AH490" s="100">
        <f t="shared" si="518"/>
        <v>0</v>
      </c>
      <c r="AI490" s="109"/>
      <c r="AJ490" s="108">
        <f t="shared" si="519"/>
        <v>0</v>
      </c>
      <c r="AK490" s="108">
        <f t="shared" si="520"/>
        <v>0</v>
      </c>
      <c r="AL490" s="108">
        <f t="shared" si="521"/>
        <v>0</v>
      </c>
      <c r="AN490" s="100">
        <v>15</v>
      </c>
      <c r="AO490" s="100">
        <f>H490*0.781246328125</f>
        <v>0</v>
      </c>
      <c r="AP490" s="100">
        <f>H490*(1-0.781246328125)</f>
        <v>0</v>
      </c>
      <c r="AQ490" s="111" t="s">
        <v>13</v>
      </c>
      <c r="AV490" s="100">
        <f t="shared" si="522"/>
        <v>0</v>
      </c>
      <c r="AW490" s="100">
        <f t="shared" si="523"/>
        <v>0</v>
      </c>
      <c r="AX490" s="100">
        <f t="shared" si="524"/>
        <v>0</v>
      </c>
      <c r="AY490" s="110" t="s">
        <v>1717</v>
      </c>
      <c r="AZ490" s="110" t="s">
        <v>1734</v>
      </c>
      <c r="BA490" s="109" t="s">
        <v>1737</v>
      </c>
      <c r="BC490" s="100">
        <f t="shared" si="525"/>
        <v>0</v>
      </c>
      <c r="BD490" s="100">
        <f t="shared" si="526"/>
        <v>0</v>
      </c>
      <c r="BE490" s="100">
        <v>0</v>
      </c>
      <c r="BF490" s="100">
        <f>490</f>
        <v>490</v>
      </c>
      <c r="BH490" s="108">
        <f t="shared" si="527"/>
        <v>0</v>
      </c>
      <c r="BI490" s="108">
        <f t="shared" si="528"/>
        <v>0</v>
      </c>
      <c r="BJ490" s="108">
        <f t="shared" si="529"/>
        <v>0</v>
      </c>
    </row>
    <row r="491" spans="1:62" x14ac:dyDescent="0.2">
      <c r="A491" s="117" t="s">
        <v>443</v>
      </c>
      <c r="B491" s="117" t="s">
        <v>920</v>
      </c>
      <c r="C491" s="304" t="s">
        <v>1509</v>
      </c>
      <c r="D491" s="305"/>
      <c r="E491" s="305"/>
      <c r="F491" s="117" t="s">
        <v>1644</v>
      </c>
      <c r="G491" s="116">
        <v>2</v>
      </c>
      <c r="H491" s="159"/>
      <c r="I491" s="108">
        <f t="shared" si="508"/>
        <v>0</v>
      </c>
      <c r="J491" s="108">
        <f t="shared" si="509"/>
        <v>0</v>
      </c>
      <c r="K491" s="108">
        <f t="shared" si="510"/>
        <v>0</v>
      </c>
      <c r="L491" s="111" t="s">
        <v>1671</v>
      </c>
      <c r="Z491" s="100">
        <f t="shared" si="511"/>
        <v>0</v>
      </c>
      <c r="AB491" s="100">
        <f t="shared" si="512"/>
        <v>0</v>
      </c>
      <c r="AC491" s="100">
        <f t="shared" si="513"/>
        <v>0</v>
      </c>
      <c r="AD491" s="100">
        <f t="shared" si="514"/>
        <v>0</v>
      </c>
      <c r="AE491" s="100">
        <f t="shared" si="515"/>
        <v>0</v>
      </c>
      <c r="AF491" s="100">
        <f t="shared" si="516"/>
        <v>0</v>
      </c>
      <c r="AG491" s="100">
        <f t="shared" si="517"/>
        <v>0</v>
      </c>
      <c r="AH491" s="100">
        <f t="shared" si="518"/>
        <v>0</v>
      </c>
      <c r="AI491" s="109"/>
      <c r="AJ491" s="108">
        <f t="shared" si="519"/>
        <v>0</v>
      </c>
      <c r="AK491" s="108">
        <f t="shared" si="520"/>
        <v>0</v>
      </c>
      <c r="AL491" s="108">
        <f t="shared" si="521"/>
        <v>0</v>
      </c>
      <c r="AN491" s="100">
        <v>15</v>
      </c>
      <c r="AO491" s="100">
        <f>H491*0</f>
        <v>0</v>
      </c>
      <c r="AP491" s="100">
        <f>H491*(1-0)</f>
        <v>0</v>
      </c>
      <c r="AQ491" s="111" t="s">
        <v>13</v>
      </c>
      <c r="AV491" s="100">
        <f t="shared" si="522"/>
        <v>0</v>
      </c>
      <c r="AW491" s="100">
        <f t="shared" si="523"/>
        <v>0</v>
      </c>
      <c r="AX491" s="100">
        <f t="shared" si="524"/>
        <v>0</v>
      </c>
      <c r="AY491" s="110" t="s">
        <v>1717</v>
      </c>
      <c r="AZ491" s="110" t="s">
        <v>1734</v>
      </c>
      <c r="BA491" s="109" t="s">
        <v>1737</v>
      </c>
      <c r="BC491" s="100">
        <f t="shared" si="525"/>
        <v>0</v>
      </c>
      <c r="BD491" s="100">
        <f t="shared" si="526"/>
        <v>0</v>
      </c>
      <c r="BE491" s="100">
        <v>0</v>
      </c>
      <c r="BF491" s="100">
        <f>491</f>
        <v>491</v>
      </c>
      <c r="BH491" s="108">
        <f t="shared" si="527"/>
        <v>0</v>
      </c>
      <c r="BI491" s="108">
        <f t="shared" si="528"/>
        <v>0</v>
      </c>
      <c r="BJ491" s="108">
        <f t="shared" si="529"/>
        <v>0</v>
      </c>
    </row>
    <row r="492" spans="1:62" x14ac:dyDescent="0.2">
      <c r="A492" s="117" t="s">
        <v>444</v>
      </c>
      <c r="B492" s="117" t="s">
        <v>921</v>
      </c>
      <c r="C492" s="304" t="s">
        <v>1510</v>
      </c>
      <c r="D492" s="305"/>
      <c r="E492" s="305"/>
      <c r="F492" s="117" t="s">
        <v>1648</v>
      </c>
      <c r="G492" s="116">
        <v>0.78400000000000003</v>
      </c>
      <c r="H492" s="159"/>
      <c r="I492" s="108">
        <f t="shared" si="508"/>
        <v>0</v>
      </c>
      <c r="J492" s="108">
        <f t="shared" si="509"/>
        <v>0</v>
      </c>
      <c r="K492" s="108">
        <f t="shared" si="510"/>
        <v>0</v>
      </c>
      <c r="L492" s="111" t="s">
        <v>1671</v>
      </c>
      <c r="Z492" s="100">
        <f t="shared" si="511"/>
        <v>0</v>
      </c>
      <c r="AB492" s="100">
        <f t="shared" si="512"/>
        <v>0</v>
      </c>
      <c r="AC492" s="100">
        <f t="shared" si="513"/>
        <v>0</v>
      </c>
      <c r="AD492" s="100">
        <f t="shared" si="514"/>
        <v>0</v>
      </c>
      <c r="AE492" s="100">
        <f t="shared" si="515"/>
        <v>0</v>
      </c>
      <c r="AF492" s="100">
        <f t="shared" si="516"/>
        <v>0</v>
      </c>
      <c r="AG492" s="100">
        <f t="shared" si="517"/>
        <v>0</v>
      </c>
      <c r="AH492" s="100">
        <f t="shared" si="518"/>
        <v>0</v>
      </c>
      <c r="AI492" s="109"/>
      <c r="AJ492" s="108">
        <f t="shared" si="519"/>
        <v>0</v>
      </c>
      <c r="AK492" s="108">
        <f t="shared" si="520"/>
        <v>0</v>
      </c>
      <c r="AL492" s="108">
        <f t="shared" si="521"/>
        <v>0</v>
      </c>
      <c r="AN492" s="100">
        <v>15</v>
      </c>
      <c r="AO492" s="100">
        <f>H492*0</f>
        <v>0</v>
      </c>
      <c r="AP492" s="100">
        <f>H492*(1-0)</f>
        <v>0</v>
      </c>
      <c r="AQ492" s="111" t="s">
        <v>11</v>
      </c>
      <c r="AV492" s="100">
        <f t="shared" si="522"/>
        <v>0</v>
      </c>
      <c r="AW492" s="100">
        <f t="shared" si="523"/>
        <v>0</v>
      </c>
      <c r="AX492" s="100">
        <f t="shared" si="524"/>
        <v>0</v>
      </c>
      <c r="AY492" s="110" t="s">
        <v>1717</v>
      </c>
      <c r="AZ492" s="110" t="s">
        <v>1734</v>
      </c>
      <c r="BA492" s="109" t="s">
        <v>1737</v>
      </c>
      <c r="BC492" s="100">
        <f t="shared" si="525"/>
        <v>0</v>
      </c>
      <c r="BD492" s="100">
        <f t="shared" si="526"/>
        <v>0</v>
      </c>
      <c r="BE492" s="100">
        <v>0</v>
      </c>
      <c r="BF492" s="100">
        <f>492</f>
        <v>492</v>
      </c>
      <c r="BH492" s="108">
        <f t="shared" si="527"/>
        <v>0</v>
      </c>
      <c r="BI492" s="108">
        <f t="shared" si="528"/>
        <v>0</v>
      </c>
      <c r="BJ492" s="108">
        <f t="shared" si="529"/>
        <v>0</v>
      </c>
    </row>
    <row r="493" spans="1:62" x14ac:dyDescent="0.2">
      <c r="A493" s="119"/>
      <c r="B493" s="120" t="s">
        <v>922</v>
      </c>
      <c r="C493" s="306" t="s">
        <v>1511</v>
      </c>
      <c r="D493" s="307"/>
      <c r="E493" s="307"/>
      <c r="F493" s="119" t="s">
        <v>6</v>
      </c>
      <c r="G493" s="119" t="s">
        <v>6</v>
      </c>
      <c r="H493" s="119" t="s">
        <v>6</v>
      </c>
      <c r="I493" s="118">
        <f>SUM(I494:I500)</f>
        <v>0</v>
      </c>
      <c r="J493" s="118">
        <f>SUM(J494:J500)</f>
        <v>0</v>
      </c>
      <c r="K493" s="118">
        <f>SUM(K494:K500)</f>
        <v>0</v>
      </c>
      <c r="L493" s="109"/>
      <c r="AI493" s="109"/>
      <c r="AS493" s="118">
        <f>SUM(AJ494:AJ500)</f>
        <v>0</v>
      </c>
      <c r="AT493" s="118">
        <f>SUM(AK494:AK500)</f>
        <v>0</v>
      </c>
      <c r="AU493" s="118">
        <f>SUM(AL494:AL500)</f>
        <v>0</v>
      </c>
    </row>
    <row r="494" spans="1:62" x14ac:dyDescent="0.2">
      <c r="A494" s="117" t="s">
        <v>445</v>
      </c>
      <c r="B494" s="117" t="s">
        <v>923</v>
      </c>
      <c r="C494" s="304" t="s">
        <v>1512</v>
      </c>
      <c r="D494" s="305"/>
      <c r="E494" s="305"/>
      <c r="F494" s="117" t="s">
        <v>1645</v>
      </c>
      <c r="G494" s="116">
        <v>8.9760000000000009</v>
      </c>
      <c r="H494" s="159"/>
      <c r="I494" s="108">
        <f t="shared" ref="I494:I500" si="530">G494*AO494</f>
        <v>0</v>
      </c>
      <c r="J494" s="108">
        <f t="shared" ref="J494:J500" si="531">G494*AP494</f>
        <v>0</v>
      </c>
      <c r="K494" s="108">
        <f t="shared" ref="K494:K500" si="532">G494*H494</f>
        <v>0</v>
      </c>
      <c r="L494" s="111" t="s">
        <v>1671</v>
      </c>
      <c r="Z494" s="100">
        <f t="shared" ref="Z494:Z500" si="533">IF(AQ494="5",BJ494,0)</f>
        <v>0</v>
      </c>
      <c r="AB494" s="100">
        <f t="shared" ref="AB494:AB500" si="534">IF(AQ494="1",BH494,0)</f>
        <v>0</v>
      </c>
      <c r="AC494" s="100">
        <f t="shared" ref="AC494:AC500" si="535">IF(AQ494="1",BI494,0)</f>
        <v>0</v>
      </c>
      <c r="AD494" s="100">
        <f t="shared" ref="AD494:AD500" si="536">IF(AQ494="7",BH494,0)</f>
        <v>0</v>
      </c>
      <c r="AE494" s="100">
        <f t="shared" ref="AE494:AE500" si="537">IF(AQ494="7",BI494,0)</f>
        <v>0</v>
      </c>
      <c r="AF494" s="100">
        <f t="shared" ref="AF494:AF500" si="538">IF(AQ494="2",BH494,0)</f>
        <v>0</v>
      </c>
      <c r="AG494" s="100">
        <f t="shared" ref="AG494:AG500" si="539">IF(AQ494="2",BI494,0)</f>
        <v>0</v>
      </c>
      <c r="AH494" s="100">
        <f t="shared" ref="AH494:AH500" si="540">IF(AQ494="0",BJ494,0)</f>
        <v>0</v>
      </c>
      <c r="AI494" s="109"/>
      <c r="AJ494" s="108">
        <f t="shared" ref="AJ494:AJ500" si="541">IF(AN494=0,K494,0)</f>
        <v>0</v>
      </c>
      <c r="AK494" s="108">
        <f t="shared" ref="AK494:AK500" si="542">IF(AN494=15,K494,0)</f>
        <v>0</v>
      </c>
      <c r="AL494" s="108">
        <f t="shared" ref="AL494:AL500" si="543">IF(AN494=21,K494,0)</f>
        <v>0</v>
      </c>
      <c r="AN494" s="100">
        <v>15</v>
      </c>
      <c r="AO494" s="100">
        <f>H494*0</f>
        <v>0</v>
      </c>
      <c r="AP494" s="100">
        <f>H494*(1-0)</f>
        <v>0</v>
      </c>
      <c r="AQ494" s="111" t="s">
        <v>13</v>
      </c>
      <c r="AV494" s="100">
        <f t="shared" ref="AV494:AV500" si="544">AW494+AX494</f>
        <v>0</v>
      </c>
      <c r="AW494" s="100">
        <f t="shared" ref="AW494:AW500" si="545">G494*AO494</f>
        <v>0</v>
      </c>
      <c r="AX494" s="100">
        <f t="shared" ref="AX494:AX500" si="546">G494*AP494</f>
        <v>0</v>
      </c>
      <c r="AY494" s="110" t="s">
        <v>1718</v>
      </c>
      <c r="AZ494" s="110" t="s">
        <v>1735</v>
      </c>
      <c r="BA494" s="109" t="s">
        <v>1737</v>
      </c>
      <c r="BC494" s="100">
        <f t="shared" ref="BC494:BC500" si="547">AW494+AX494</f>
        <v>0</v>
      </c>
      <c r="BD494" s="100">
        <f t="shared" ref="BD494:BD500" si="548">H494/(100-BE494)*100</f>
        <v>0</v>
      </c>
      <c r="BE494" s="100">
        <v>0</v>
      </c>
      <c r="BF494" s="100">
        <f>494</f>
        <v>494</v>
      </c>
      <c r="BH494" s="108">
        <f t="shared" ref="BH494:BH500" si="549">G494*AO494</f>
        <v>0</v>
      </c>
      <c r="BI494" s="108">
        <f t="shared" ref="BI494:BI500" si="550">G494*AP494</f>
        <v>0</v>
      </c>
      <c r="BJ494" s="108">
        <f t="shared" ref="BJ494:BJ500" si="551">G494*H494</f>
        <v>0</v>
      </c>
    </row>
    <row r="495" spans="1:62" x14ac:dyDescent="0.2">
      <c r="A495" s="117" t="s">
        <v>446</v>
      </c>
      <c r="B495" s="117" t="s">
        <v>924</v>
      </c>
      <c r="C495" s="304" t="s">
        <v>1513</v>
      </c>
      <c r="D495" s="305"/>
      <c r="E495" s="305"/>
      <c r="F495" s="117" t="s">
        <v>1645</v>
      </c>
      <c r="G495" s="116">
        <v>8.9760000000000009</v>
      </c>
      <c r="H495" s="159"/>
      <c r="I495" s="108">
        <f t="shared" si="530"/>
        <v>0</v>
      </c>
      <c r="J495" s="108">
        <f t="shared" si="531"/>
        <v>0</v>
      </c>
      <c r="K495" s="108">
        <f t="shared" si="532"/>
        <v>0</v>
      </c>
      <c r="L495" s="111" t="s">
        <v>1671</v>
      </c>
      <c r="Z495" s="100">
        <f t="shared" si="533"/>
        <v>0</v>
      </c>
      <c r="AB495" s="100">
        <f t="shared" si="534"/>
        <v>0</v>
      </c>
      <c r="AC495" s="100">
        <f t="shared" si="535"/>
        <v>0</v>
      </c>
      <c r="AD495" s="100">
        <f t="shared" si="536"/>
        <v>0</v>
      </c>
      <c r="AE495" s="100">
        <f t="shared" si="537"/>
        <v>0</v>
      </c>
      <c r="AF495" s="100">
        <f t="shared" si="538"/>
        <v>0</v>
      </c>
      <c r="AG495" s="100">
        <f t="shared" si="539"/>
        <v>0</v>
      </c>
      <c r="AH495" s="100">
        <f t="shared" si="540"/>
        <v>0</v>
      </c>
      <c r="AI495" s="109"/>
      <c r="AJ495" s="108">
        <f t="shared" si="541"/>
        <v>0</v>
      </c>
      <c r="AK495" s="108">
        <f t="shared" si="542"/>
        <v>0</v>
      </c>
      <c r="AL495" s="108">
        <f t="shared" si="543"/>
        <v>0</v>
      </c>
      <c r="AN495" s="100">
        <v>15</v>
      </c>
      <c r="AO495" s="100">
        <f>H495*0.476933856502242</f>
        <v>0</v>
      </c>
      <c r="AP495" s="100">
        <f>H495*(1-0.476933856502242)</f>
        <v>0</v>
      </c>
      <c r="AQ495" s="111" t="s">
        <v>13</v>
      </c>
      <c r="AV495" s="100">
        <f t="shared" si="544"/>
        <v>0</v>
      </c>
      <c r="AW495" s="100">
        <f t="shared" si="545"/>
        <v>0</v>
      </c>
      <c r="AX495" s="100">
        <f t="shared" si="546"/>
        <v>0</v>
      </c>
      <c r="AY495" s="110" t="s">
        <v>1718</v>
      </c>
      <c r="AZ495" s="110" t="s">
        <v>1735</v>
      </c>
      <c r="BA495" s="109" t="s">
        <v>1737</v>
      </c>
      <c r="BC495" s="100">
        <f t="shared" si="547"/>
        <v>0</v>
      </c>
      <c r="BD495" s="100">
        <f t="shared" si="548"/>
        <v>0</v>
      </c>
      <c r="BE495" s="100">
        <v>0</v>
      </c>
      <c r="BF495" s="100">
        <f>495</f>
        <v>495</v>
      </c>
      <c r="BH495" s="108">
        <f t="shared" si="549"/>
        <v>0</v>
      </c>
      <c r="BI495" s="108">
        <f t="shared" si="550"/>
        <v>0</v>
      </c>
      <c r="BJ495" s="108">
        <f t="shared" si="551"/>
        <v>0</v>
      </c>
    </row>
    <row r="496" spans="1:62" x14ac:dyDescent="0.2">
      <c r="A496" s="117" t="s">
        <v>447</v>
      </c>
      <c r="B496" s="117" t="s">
        <v>925</v>
      </c>
      <c r="C496" s="304" t="s">
        <v>1514</v>
      </c>
      <c r="D496" s="305"/>
      <c r="E496" s="305"/>
      <c r="F496" s="117" t="s">
        <v>1645</v>
      </c>
      <c r="G496" s="116">
        <v>8.9760000000000009</v>
      </c>
      <c r="H496" s="159"/>
      <c r="I496" s="108">
        <f t="shared" si="530"/>
        <v>0</v>
      </c>
      <c r="J496" s="108">
        <f t="shared" si="531"/>
        <v>0</v>
      </c>
      <c r="K496" s="108">
        <f t="shared" si="532"/>
        <v>0</v>
      </c>
      <c r="L496" s="111" t="s">
        <v>1671</v>
      </c>
      <c r="Z496" s="100">
        <f t="shared" si="533"/>
        <v>0</v>
      </c>
      <c r="AB496" s="100">
        <f t="shared" si="534"/>
        <v>0</v>
      </c>
      <c r="AC496" s="100">
        <f t="shared" si="535"/>
        <v>0</v>
      </c>
      <c r="AD496" s="100">
        <f t="shared" si="536"/>
        <v>0</v>
      </c>
      <c r="AE496" s="100">
        <f t="shared" si="537"/>
        <v>0</v>
      </c>
      <c r="AF496" s="100">
        <f t="shared" si="538"/>
        <v>0</v>
      </c>
      <c r="AG496" s="100">
        <f t="shared" si="539"/>
        <v>0</v>
      </c>
      <c r="AH496" s="100">
        <f t="shared" si="540"/>
        <v>0</v>
      </c>
      <c r="AI496" s="109"/>
      <c r="AJ496" s="108">
        <f t="shared" si="541"/>
        <v>0</v>
      </c>
      <c r="AK496" s="108">
        <f t="shared" si="542"/>
        <v>0</v>
      </c>
      <c r="AL496" s="108">
        <f t="shared" si="543"/>
        <v>0</v>
      </c>
      <c r="AN496" s="100">
        <v>15</v>
      </c>
      <c r="AO496" s="100">
        <f>H496*0</f>
        <v>0</v>
      </c>
      <c r="AP496" s="100">
        <f>H496*(1-0)</f>
        <v>0</v>
      </c>
      <c r="AQ496" s="111" t="s">
        <v>13</v>
      </c>
      <c r="AV496" s="100">
        <f t="shared" si="544"/>
        <v>0</v>
      </c>
      <c r="AW496" s="100">
        <f t="shared" si="545"/>
        <v>0</v>
      </c>
      <c r="AX496" s="100">
        <f t="shared" si="546"/>
        <v>0</v>
      </c>
      <c r="AY496" s="110" t="s">
        <v>1718</v>
      </c>
      <c r="AZ496" s="110" t="s">
        <v>1735</v>
      </c>
      <c r="BA496" s="109" t="s">
        <v>1737</v>
      </c>
      <c r="BC496" s="100">
        <f t="shared" si="547"/>
        <v>0</v>
      </c>
      <c r="BD496" s="100">
        <f t="shared" si="548"/>
        <v>0</v>
      </c>
      <c r="BE496" s="100">
        <v>0</v>
      </c>
      <c r="BF496" s="100">
        <f>496</f>
        <v>496</v>
      </c>
      <c r="BH496" s="108">
        <f t="shared" si="549"/>
        <v>0</v>
      </c>
      <c r="BI496" s="108">
        <f t="shared" si="550"/>
        <v>0</v>
      </c>
      <c r="BJ496" s="108">
        <f t="shared" si="551"/>
        <v>0</v>
      </c>
    </row>
    <row r="497" spans="1:62" x14ac:dyDescent="0.2">
      <c r="A497" s="124" t="s">
        <v>448</v>
      </c>
      <c r="B497" s="124" t="s">
        <v>926</v>
      </c>
      <c r="C497" s="311" t="s">
        <v>1515</v>
      </c>
      <c r="D497" s="312"/>
      <c r="E497" s="312"/>
      <c r="F497" s="124" t="s">
        <v>1645</v>
      </c>
      <c r="G497" s="123">
        <v>9.4250000000000007</v>
      </c>
      <c r="H497" s="160"/>
      <c r="I497" s="121">
        <f t="shared" si="530"/>
        <v>0</v>
      </c>
      <c r="J497" s="121">
        <f t="shared" si="531"/>
        <v>0</v>
      </c>
      <c r="K497" s="121">
        <f t="shared" si="532"/>
        <v>0</v>
      </c>
      <c r="L497" s="122" t="s">
        <v>1671</v>
      </c>
      <c r="Z497" s="100">
        <f t="shared" si="533"/>
        <v>0</v>
      </c>
      <c r="AB497" s="100">
        <f t="shared" si="534"/>
        <v>0</v>
      </c>
      <c r="AC497" s="100">
        <f t="shared" si="535"/>
        <v>0</v>
      </c>
      <c r="AD497" s="100">
        <f t="shared" si="536"/>
        <v>0</v>
      </c>
      <c r="AE497" s="100">
        <f t="shared" si="537"/>
        <v>0</v>
      </c>
      <c r="AF497" s="100">
        <f t="shared" si="538"/>
        <v>0</v>
      </c>
      <c r="AG497" s="100">
        <f t="shared" si="539"/>
        <v>0</v>
      </c>
      <c r="AH497" s="100">
        <f t="shared" si="540"/>
        <v>0</v>
      </c>
      <c r="AI497" s="109"/>
      <c r="AJ497" s="121">
        <f t="shared" si="541"/>
        <v>0</v>
      </c>
      <c r="AK497" s="121">
        <f t="shared" si="542"/>
        <v>0</v>
      </c>
      <c r="AL497" s="121">
        <f t="shared" si="543"/>
        <v>0</v>
      </c>
      <c r="AN497" s="100">
        <v>15</v>
      </c>
      <c r="AO497" s="100">
        <f>H497*1</f>
        <v>0</v>
      </c>
      <c r="AP497" s="100">
        <f>H497*(1-1)</f>
        <v>0</v>
      </c>
      <c r="AQ497" s="122" t="s">
        <v>13</v>
      </c>
      <c r="AV497" s="100">
        <f t="shared" si="544"/>
        <v>0</v>
      </c>
      <c r="AW497" s="100">
        <f t="shared" si="545"/>
        <v>0</v>
      </c>
      <c r="AX497" s="100">
        <f t="shared" si="546"/>
        <v>0</v>
      </c>
      <c r="AY497" s="110" t="s">
        <v>1718</v>
      </c>
      <c r="AZ497" s="110" t="s">
        <v>1735</v>
      </c>
      <c r="BA497" s="109" t="s">
        <v>1737</v>
      </c>
      <c r="BC497" s="100">
        <f t="shared" si="547"/>
        <v>0</v>
      </c>
      <c r="BD497" s="100">
        <f t="shared" si="548"/>
        <v>0</v>
      </c>
      <c r="BE497" s="100">
        <v>0</v>
      </c>
      <c r="BF497" s="100">
        <f>497</f>
        <v>497</v>
      </c>
      <c r="BH497" s="121">
        <f t="shared" si="549"/>
        <v>0</v>
      </c>
      <c r="BI497" s="121">
        <f t="shared" si="550"/>
        <v>0</v>
      </c>
      <c r="BJ497" s="121">
        <f t="shared" si="551"/>
        <v>0</v>
      </c>
    </row>
    <row r="498" spans="1:62" x14ac:dyDescent="0.2">
      <c r="A498" s="117" t="s">
        <v>449</v>
      </c>
      <c r="B498" s="117" t="s">
        <v>927</v>
      </c>
      <c r="C498" s="304" t="s">
        <v>1516</v>
      </c>
      <c r="D498" s="305"/>
      <c r="E498" s="305"/>
      <c r="F498" s="117" t="s">
        <v>1646</v>
      </c>
      <c r="G498" s="116">
        <v>16.68</v>
      </c>
      <c r="H498" s="159"/>
      <c r="I498" s="108">
        <f t="shared" si="530"/>
        <v>0</v>
      </c>
      <c r="J498" s="108">
        <f t="shared" si="531"/>
        <v>0</v>
      </c>
      <c r="K498" s="108">
        <f t="shared" si="532"/>
        <v>0</v>
      </c>
      <c r="L498" s="111" t="s">
        <v>1671</v>
      </c>
      <c r="Z498" s="100">
        <f t="shared" si="533"/>
        <v>0</v>
      </c>
      <c r="AB498" s="100">
        <f t="shared" si="534"/>
        <v>0</v>
      </c>
      <c r="AC498" s="100">
        <f t="shared" si="535"/>
        <v>0</v>
      </c>
      <c r="AD498" s="100">
        <f t="shared" si="536"/>
        <v>0</v>
      </c>
      <c r="AE498" s="100">
        <f t="shared" si="537"/>
        <v>0</v>
      </c>
      <c r="AF498" s="100">
        <f t="shared" si="538"/>
        <v>0</v>
      </c>
      <c r="AG498" s="100">
        <f t="shared" si="539"/>
        <v>0</v>
      </c>
      <c r="AH498" s="100">
        <f t="shared" si="540"/>
        <v>0</v>
      </c>
      <c r="AI498" s="109"/>
      <c r="AJ498" s="108">
        <f t="shared" si="541"/>
        <v>0</v>
      </c>
      <c r="AK498" s="108">
        <f t="shared" si="542"/>
        <v>0</v>
      </c>
      <c r="AL498" s="108">
        <f t="shared" si="543"/>
        <v>0</v>
      </c>
      <c r="AN498" s="100">
        <v>15</v>
      </c>
      <c r="AO498" s="100">
        <f>H498*0.0774901960784314</f>
        <v>0</v>
      </c>
      <c r="AP498" s="100">
        <f>H498*(1-0.0774901960784314)</f>
        <v>0</v>
      </c>
      <c r="AQ498" s="111" t="s">
        <v>13</v>
      </c>
      <c r="AV498" s="100">
        <f t="shared" si="544"/>
        <v>0</v>
      </c>
      <c r="AW498" s="100">
        <f t="shared" si="545"/>
        <v>0</v>
      </c>
      <c r="AX498" s="100">
        <f t="shared" si="546"/>
        <v>0</v>
      </c>
      <c r="AY498" s="110" t="s">
        <v>1718</v>
      </c>
      <c r="AZ498" s="110" t="s">
        <v>1735</v>
      </c>
      <c r="BA498" s="109" t="s">
        <v>1737</v>
      </c>
      <c r="BC498" s="100">
        <f t="shared" si="547"/>
        <v>0</v>
      </c>
      <c r="BD498" s="100">
        <f t="shared" si="548"/>
        <v>0</v>
      </c>
      <c r="BE498" s="100">
        <v>0</v>
      </c>
      <c r="BF498" s="100">
        <f>498</f>
        <v>498</v>
      </c>
      <c r="BH498" s="108">
        <f t="shared" si="549"/>
        <v>0</v>
      </c>
      <c r="BI498" s="108">
        <f t="shared" si="550"/>
        <v>0</v>
      </c>
      <c r="BJ498" s="108">
        <f t="shared" si="551"/>
        <v>0</v>
      </c>
    </row>
    <row r="499" spans="1:62" x14ac:dyDescent="0.2">
      <c r="A499" s="124" t="s">
        <v>450</v>
      </c>
      <c r="B499" s="124" t="s">
        <v>928</v>
      </c>
      <c r="C499" s="311" t="s">
        <v>1517</v>
      </c>
      <c r="D499" s="312"/>
      <c r="E499" s="312"/>
      <c r="F499" s="124" t="s">
        <v>1645</v>
      </c>
      <c r="G499" s="123">
        <v>2.085</v>
      </c>
      <c r="H499" s="160"/>
      <c r="I499" s="121">
        <f t="shared" si="530"/>
        <v>0</v>
      </c>
      <c r="J499" s="121">
        <f t="shared" si="531"/>
        <v>0</v>
      </c>
      <c r="K499" s="121">
        <f t="shared" si="532"/>
        <v>0</v>
      </c>
      <c r="L499" s="122" t="s">
        <v>1671</v>
      </c>
      <c r="Z499" s="100">
        <f t="shared" si="533"/>
        <v>0</v>
      </c>
      <c r="AB499" s="100">
        <f t="shared" si="534"/>
        <v>0</v>
      </c>
      <c r="AC499" s="100">
        <f t="shared" si="535"/>
        <v>0</v>
      </c>
      <c r="AD499" s="100">
        <f t="shared" si="536"/>
        <v>0</v>
      </c>
      <c r="AE499" s="100">
        <f t="shared" si="537"/>
        <v>0</v>
      </c>
      <c r="AF499" s="100">
        <f t="shared" si="538"/>
        <v>0</v>
      </c>
      <c r="AG499" s="100">
        <f t="shared" si="539"/>
        <v>0</v>
      </c>
      <c r="AH499" s="100">
        <f t="shared" si="540"/>
        <v>0</v>
      </c>
      <c r="AI499" s="109"/>
      <c r="AJ499" s="121">
        <f t="shared" si="541"/>
        <v>0</v>
      </c>
      <c r="AK499" s="121">
        <f t="shared" si="542"/>
        <v>0</v>
      </c>
      <c r="AL499" s="121">
        <f t="shared" si="543"/>
        <v>0</v>
      </c>
      <c r="AN499" s="100">
        <v>15</v>
      </c>
      <c r="AO499" s="100">
        <f>H499*1</f>
        <v>0</v>
      </c>
      <c r="AP499" s="100">
        <f>H499*(1-1)</f>
        <v>0</v>
      </c>
      <c r="AQ499" s="122" t="s">
        <v>13</v>
      </c>
      <c r="AV499" s="100">
        <f t="shared" si="544"/>
        <v>0</v>
      </c>
      <c r="AW499" s="100">
        <f t="shared" si="545"/>
        <v>0</v>
      </c>
      <c r="AX499" s="100">
        <f t="shared" si="546"/>
        <v>0</v>
      </c>
      <c r="AY499" s="110" t="s">
        <v>1718</v>
      </c>
      <c r="AZ499" s="110" t="s">
        <v>1735</v>
      </c>
      <c r="BA499" s="109" t="s">
        <v>1737</v>
      </c>
      <c r="BC499" s="100">
        <f t="shared" si="547"/>
        <v>0</v>
      </c>
      <c r="BD499" s="100">
        <f t="shared" si="548"/>
        <v>0</v>
      </c>
      <c r="BE499" s="100">
        <v>0</v>
      </c>
      <c r="BF499" s="100">
        <f>499</f>
        <v>499</v>
      </c>
      <c r="BH499" s="121">
        <f t="shared" si="549"/>
        <v>0</v>
      </c>
      <c r="BI499" s="121">
        <f t="shared" si="550"/>
        <v>0</v>
      </c>
      <c r="BJ499" s="121">
        <f t="shared" si="551"/>
        <v>0</v>
      </c>
    </row>
    <row r="500" spans="1:62" x14ac:dyDescent="0.2">
      <c r="A500" s="117" t="s">
        <v>451</v>
      </c>
      <c r="B500" s="117" t="s">
        <v>929</v>
      </c>
      <c r="C500" s="304" t="s">
        <v>1518</v>
      </c>
      <c r="D500" s="305"/>
      <c r="E500" s="305"/>
      <c r="F500" s="117" t="s">
        <v>1648</v>
      </c>
      <c r="G500" s="116">
        <v>0.27300000000000002</v>
      </c>
      <c r="H500" s="159"/>
      <c r="I500" s="108">
        <f t="shared" si="530"/>
        <v>0</v>
      </c>
      <c r="J500" s="108">
        <f t="shared" si="531"/>
        <v>0</v>
      </c>
      <c r="K500" s="108">
        <f t="shared" si="532"/>
        <v>0</v>
      </c>
      <c r="L500" s="111" t="s">
        <v>1671</v>
      </c>
      <c r="Z500" s="100">
        <f t="shared" si="533"/>
        <v>0</v>
      </c>
      <c r="AB500" s="100">
        <f t="shared" si="534"/>
        <v>0</v>
      </c>
      <c r="AC500" s="100">
        <f t="shared" si="535"/>
        <v>0</v>
      </c>
      <c r="AD500" s="100">
        <f t="shared" si="536"/>
        <v>0</v>
      </c>
      <c r="AE500" s="100">
        <f t="shared" si="537"/>
        <v>0</v>
      </c>
      <c r="AF500" s="100">
        <f t="shared" si="538"/>
        <v>0</v>
      </c>
      <c r="AG500" s="100">
        <f t="shared" si="539"/>
        <v>0</v>
      </c>
      <c r="AH500" s="100">
        <f t="shared" si="540"/>
        <v>0</v>
      </c>
      <c r="AI500" s="109"/>
      <c r="AJ500" s="108">
        <f t="shared" si="541"/>
        <v>0</v>
      </c>
      <c r="AK500" s="108">
        <f t="shared" si="542"/>
        <v>0</v>
      </c>
      <c r="AL500" s="108">
        <f t="shared" si="543"/>
        <v>0</v>
      </c>
      <c r="AN500" s="100">
        <v>15</v>
      </c>
      <c r="AO500" s="100">
        <f>H500*0</f>
        <v>0</v>
      </c>
      <c r="AP500" s="100">
        <f>H500*(1-0)</f>
        <v>0</v>
      </c>
      <c r="AQ500" s="111" t="s">
        <v>11</v>
      </c>
      <c r="AV500" s="100">
        <f t="shared" si="544"/>
        <v>0</v>
      </c>
      <c r="AW500" s="100">
        <f t="shared" si="545"/>
        <v>0</v>
      </c>
      <c r="AX500" s="100">
        <f t="shared" si="546"/>
        <v>0</v>
      </c>
      <c r="AY500" s="110" t="s">
        <v>1718</v>
      </c>
      <c r="AZ500" s="110" t="s">
        <v>1735</v>
      </c>
      <c r="BA500" s="109" t="s">
        <v>1737</v>
      </c>
      <c r="BC500" s="100">
        <f t="shared" si="547"/>
        <v>0</v>
      </c>
      <c r="BD500" s="100">
        <f t="shared" si="548"/>
        <v>0</v>
      </c>
      <c r="BE500" s="100">
        <v>0</v>
      </c>
      <c r="BF500" s="100">
        <f>500</f>
        <v>500</v>
      </c>
      <c r="BH500" s="108">
        <f t="shared" si="549"/>
        <v>0</v>
      </c>
      <c r="BI500" s="108">
        <f t="shared" si="550"/>
        <v>0</v>
      </c>
      <c r="BJ500" s="108">
        <f t="shared" si="551"/>
        <v>0</v>
      </c>
    </row>
    <row r="501" spans="1:62" x14ac:dyDescent="0.2">
      <c r="A501" s="119"/>
      <c r="B501" s="120" t="s">
        <v>930</v>
      </c>
      <c r="C501" s="306" t="s">
        <v>1519</v>
      </c>
      <c r="D501" s="307"/>
      <c r="E501" s="307"/>
      <c r="F501" s="119" t="s">
        <v>6</v>
      </c>
      <c r="G501" s="119" t="s">
        <v>6</v>
      </c>
      <c r="H501" s="119" t="s">
        <v>6</v>
      </c>
      <c r="I501" s="118">
        <f>SUM(I502:I506)</f>
        <v>0</v>
      </c>
      <c r="J501" s="118">
        <f>SUM(J502:J506)</f>
        <v>0</v>
      </c>
      <c r="K501" s="118">
        <f>SUM(K502:K506)</f>
        <v>0</v>
      </c>
      <c r="L501" s="109"/>
      <c r="AI501" s="109"/>
      <c r="AS501" s="118">
        <f>SUM(AJ502:AJ506)</f>
        <v>0</v>
      </c>
      <c r="AT501" s="118">
        <f>SUM(AK502:AK506)</f>
        <v>0</v>
      </c>
      <c r="AU501" s="118">
        <f>SUM(AL502:AL506)</f>
        <v>0</v>
      </c>
    </row>
    <row r="502" spans="1:62" x14ac:dyDescent="0.2">
      <c r="A502" s="117" t="s">
        <v>452</v>
      </c>
      <c r="B502" s="117" t="s">
        <v>931</v>
      </c>
      <c r="C502" s="304" t="s">
        <v>1520</v>
      </c>
      <c r="D502" s="305"/>
      <c r="E502" s="305"/>
      <c r="F502" s="117" t="s">
        <v>1645</v>
      </c>
      <c r="G502" s="116">
        <v>839.04499999999996</v>
      </c>
      <c r="H502" s="159"/>
      <c r="I502" s="108">
        <f>G502*AO502</f>
        <v>0</v>
      </c>
      <c r="J502" s="108">
        <f>G502*AP502</f>
        <v>0</v>
      </c>
      <c r="K502" s="108">
        <f>G502*H502</f>
        <v>0</v>
      </c>
      <c r="L502" s="111" t="s">
        <v>1671</v>
      </c>
      <c r="Z502" s="100">
        <f>IF(AQ502="5",BJ502,0)</f>
        <v>0</v>
      </c>
      <c r="AB502" s="100">
        <f>IF(AQ502="1",BH502,0)</f>
        <v>0</v>
      </c>
      <c r="AC502" s="100">
        <f>IF(AQ502="1",BI502,0)</f>
        <v>0</v>
      </c>
      <c r="AD502" s="100">
        <f>IF(AQ502="7",BH502,0)</f>
        <v>0</v>
      </c>
      <c r="AE502" s="100">
        <f>IF(AQ502="7",BI502,0)</f>
        <v>0</v>
      </c>
      <c r="AF502" s="100">
        <f>IF(AQ502="2",BH502,0)</f>
        <v>0</v>
      </c>
      <c r="AG502" s="100">
        <f>IF(AQ502="2",BI502,0)</f>
        <v>0</v>
      </c>
      <c r="AH502" s="100">
        <f>IF(AQ502="0",BJ502,0)</f>
        <v>0</v>
      </c>
      <c r="AI502" s="109"/>
      <c r="AJ502" s="108">
        <f>IF(AN502=0,K502,0)</f>
        <v>0</v>
      </c>
      <c r="AK502" s="108">
        <f>IF(AN502=15,K502,0)</f>
        <v>0</v>
      </c>
      <c r="AL502" s="108">
        <f>IF(AN502=21,K502,0)</f>
        <v>0</v>
      </c>
      <c r="AN502" s="100">
        <v>15</v>
      </c>
      <c r="AO502" s="100">
        <f>H502*0</f>
        <v>0</v>
      </c>
      <c r="AP502" s="100">
        <f>H502*(1-0)</f>
        <v>0</v>
      </c>
      <c r="AQ502" s="111" t="s">
        <v>13</v>
      </c>
      <c r="AV502" s="100">
        <f>AW502+AX502</f>
        <v>0</v>
      </c>
      <c r="AW502" s="100">
        <f>G502*AO502</f>
        <v>0</v>
      </c>
      <c r="AX502" s="100">
        <f>G502*AP502</f>
        <v>0</v>
      </c>
      <c r="AY502" s="110" t="s">
        <v>1719</v>
      </c>
      <c r="AZ502" s="110" t="s">
        <v>1736</v>
      </c>
      <c r="BA502" s="109" t="s">
        <v>1737</v>
      </c>
      <c r="BC502" s="100">
        <f>AW502+AX502</f>
        <v>0</v>
      </c>
      <c r="BD502" s="100">
        <f>H502/(100-BE502)*100</f>
        <v>0</v>
      </c>
      <c r="BE502" s="100">
        <v>0</v>
      </c>
      <c r="BF502" s="100">
        <f>502</f>
        <v>502</v>
      </c>
      <c r="BH502" s="108">
        <f>G502*AO502</f>
        <v>0</v>
      </c>
      <c r="BI502" s="108">
        <f>G502*AP502</f>
        <v>0</v>
      </c>
      <c r="BJ502" s="108">
        <f>G502*H502</f>
        <v>0</v>
      </c>
    </row>
    <row r="503" spans="1:62" x14ac:dyDescent="0.2">
      <c r="A503" s="117" t="s">
        <v>453</v>
      </c>
      <c r="B503" s="117" t="s">
        <v>932</v>
      </c>
      <c r="C503" s="304" t="s">
        <v>1521</v>
      </c>
      <c r="D503" s="305"/>
      <c r="E503" s="305"/>
      <c r="F503" s="117" t="s">
        <v>1645</v>
      </c>
      <c r="G503" s="116">
        <v>433.59699999999998</v>
      </c>
      <c r="H503" s="159"/>
      <c r="I503" s="108">
        <f>G503*AO503</f>
        <v>0</v>
      </c>
      <c r="J503" s="108">
        <f>G503*AP503</f>
        <v>0</v>
      </c>
      <c r="K503" s="108">
        <f>G503*H503</f>
        <v>0</v>
      </c>
      <c r="L503" s="111" t="s">
        <v>1671</v>
      </c>
      <c r="Z503" s="100">
        <f>IF(AQ503="5",BJ503,0)</f>
        <v>0</v>
      </c>
      <c r="AB503" s="100">
        <f>IF(AQ503="1",BH503,0)</f>
        <v>0</v>
      </c>
      <c r="AC503" s="100">
        <f>IF(AQ503="1",BI503,0)</f>
        <v>0</v>
      </c>
      <c r="AD503" s="100">
        <f>IF(AQ503="7",BH503,0)</f>
        <v>0</v>
      </c>
      <c r="AE503" s="100">
        <f>IF(AQ503="7",BI503,0)</f>
        <v>0</v>
      </c>
      <c r="AF503" s="100">
        <f>IF(AQ503="2",BH503,0)</f>
        <v>0</v>
      </c>
      <c r="AG503" s="100">
        <f>IF(AQ503="2",BI503,0)</f>
        <v>0</v>
      </c>
      <c r="AH503" s="100">
        <f>IF(AQ503="0",BJ503,0)</f>
        <v>0</v>
      </c>
      <c r="AI503" s="109"/>
      <c r="AJ503" s="108">
        <f>IF(AN503=0,K503,0)</f>
        <v>0</v>
      </c>
      <c r="AK503" s="108">
        <f>IF(AN503=15,K503,0)</f>
        <v>0</v>
      </c>
      <c r="AL503" s="108">
        <f>IF(AN503=21,K503,0)</f>
        <v>0</v>
      </c>
      <c r="AN503" s="100">
        <v>15</v>
      </c>
      <c r="AO503" s="100">
        <f>H503*0.59082191311659</f>
        <v>0</v>
      </c>
      <c r="AP503" s="100">
        <f>H503*(1-0.59082191311659)</f>
        <v>0</v>
      </c>
      <c r="AQ503" s="111" t="s">
        <v>13</v>
      </c>
      <c r="AV503" s="100">
        <f>AW503+AX503</f>
        <v>0</v>
      </c>
      <c r="AW503" s="100">
        <f>G503*AO503</f>
        <v>0</v>
      </c>
      <c r="AX503" s="100">
        <f>G503*AP503</f>
        <v>0</v>
      </c>
      <c r="AY503" s="110" t="s">
        <v>1719</v>
      </c>
      <c r="AZ503" s="110" t="s">
        <v>1736</v>
      </c>
      <c r="BA503" s="109" t="s">
        <v>1737</v>
      </c>
      <c r="BC503" s="100">
        <f>AW503+AX503</f>
        <v>0</v>
      </c>
      <c r="BD503" s="100">
        <f>H503/(100-BE503)*100</f>
        <v>0</v>
      </c>
      <c r="BE503" s="100">
        <v>0</v>
      </c>
      <c r="BF503" s="100">
        <f>503</f>
        <v>503</v>
      </c>
      <c r="BH503" s="108">
        <f>G503*AO503</f>
        <v>0</v>
      </c>
      <c r="BI503" s="108">
        <f>G503*AP503</f>
        <v>0</v>
      </c>
      <c r="BJ503" s="108">
        <f>G503*H503</f>
        <v>0</v>
      </c>
    </row>
    <row r="504" spans="1:62" x14ac:dyDescent="0.2">
      <c r="A504" s="117" t="s">
        <v>454</v>
      </c>
      <c r="B504" s="117" t="s">
        <v>933</v>
      </c>
      <c r="C504" s="304" t="s">
        <v>1522</v>
      </c>
      <c r="D504" s="305"/>
      <c r="E504" s="305"/>
      <c r="F504" s="117" t="s">
        <v>1645</v>
      </c>
      <c r="G504" s="116">
        <v>839.04499999999996</v>
      </c>
      <c r="H504" s="159"/>
      <c r="I504" s="108">
        <f>G504*AO504</f>
        <v>0</v>
      </c>
      <c r="J504" s="108">
        <f>G504*AP504</f>
        <v>0</v>
      </c>
      <c r="K504" s="108">
        <f>G504*H504</f>
        <v>0</v>
      </c>
      <c r="L504" s="111" t="s">
        <v>1671</v>
      </c>
      <c r="Z504" s="100">
        <f>IF(AQ504="5",BJ504,0)</f>
        <v>0</v>
      </c>
      <c r="AB504" s="100">
        <f>IF(AQ504="1",BH504,0)</f>
        <v>0</v>
      </c>
      <c r="AC504" s="100">
        <f>IF(AQ504="1",BI504,0)</f>
        <v>0</v>
      </c>
      <c r="AD504" s="100">
        <f>IF(AQ504="7",BH504,0)</f>
        <v>0</v>
      </c>
      <c r="AE504" s="100">
        <f>IF(AQ504="7",BI504,0)</f>
        <v>0</v>
      </c>
      <c r="AF504" s="100">
        <f>IF(AQ504="2",BH504,0)</f>
        <v>0</v>
      </c>
      <c r="AG504" s="100">
        <f>IF(AQ504="2",BI504,0)</f>
        <v>0</v>
      </c>
      <c r="AH504" s="100">
        <f>IF(AQ504="0",BJ504,0)</f>
        <v>0</v>
      </c>
      <c r="AI504" s="109"/>
      <c r="AJ504" s="108">
        <f>IF(AN504=0,K504,0)</f>
        <v>0</v>
      </c>
      <c r="AK504" s="108">
        <f>IF(AN504=15,K504,0)</f>
        <v>0</v>
      </c>
      <c r="AL504" s="108">
        <f>IF(AN504=21,K504,0)</f>
        <v>0</v>
      </c>
      <c r="AN504" s="100">
        <v>15</v>
      </c>
      <c r="AO504" s="100">
        <f>H504*0.400704191720299</f>
        <v>0</v>
      </c>
      <c r="AP504" s="100">
        <f>H504*(1-0.400704191720299)</f>
        <v>0</v>
      </c>
      <c r="AQ504" s="111" t="s">
        <v>13</v>
      </c>
      <c r="AV504" s="100">
        <f>AW504+AX504</f>
        <v>0</v>
      </c>
      <c r="AW504" s="100">
        <f>G504*AO504</f>
        <v>0</v>
      </c>
      <c r="AX504" s="100">
        <f>G504*AP504</f>
        <v>0</v>
      </c>
      <c r="AY504" s="110" t="s">
        <v>1719</v>
      </c>
      <c r="AZ504" s="110" t="s">
        <v>1736</v>
      </c>
      <c r="BA504" s="109" t="s">
        <v>1737</v>
      </c>
      <c r="BC504" s="100">
        <f>AW504+AX504</f>
        <v>0</v>
      </c>
      <c r="BD504" s="100">
        <f>H504/(100-BE504)*100</f>
        <v>0</v>
      </c>
      <c r="BE504" s="100">
        <v>0</v>
      </c>
      <c r="BF504" s="100">
        <f>504</f>
        <v>504</v>
      </c>
      <c r="BH504" s="108">
        <f>G504*AO504</f>
        <v>0</v>
      </c>
      <c r="BI504" s="108">
        <f>G504*AP504</f>
        <v>0</v>
      </c>
      <c r="BJ504" s="108">
        <f>G504*H504</f>
        <v>0</v>
      </c>
    </row>
    <row r="505" spans="1:62" x14ac:dyDescent="0.2">
      <c r="A505" s="117" t="s">
        <v>455</v>
      </c>
      <c r="B505" s="117" t="s">
        <v>934</v>
      </c>
      <c r="C505" s="304" t="s">
        <v>1523</v>
      </c>
      <c r="D505" s="305"/>
      <c r="E505" s="305"/>
      <c r="F505" s="117" t="s">
        <v>1645</v>
      </c>
      <c r="G505" s="116">
        <v>241.65700000000001</v>
      </c>
      <c r="H505" s="159"/>
      <c r="I505" s="108">
        <f>G505*AO505</f>
        <v>0</v>
      </c>
      <c r="J505" s="108">
        <f>G505*AP505</f>
        <v>0</v>
      </c>
      <c r="K505" s="108">
        <f>G505*H505</f>
        <v>0</v>
      </c>
      <c r="L505" s="111" t="s">
        <v>1671</v>
      </c>
      <c r="Z505" s="100">
        <f>IF(AQ505="5",BJ505,0)</f>
        <v>0</v>
      </c>
      <c r="AB505" s="100">
        <f>IF(AQ505="1",BH505,0)</f>
        <v>0</v>
      </c>
      <c r="AC505" s="100">
        <f>IF(AQ505="1",BI505,0)</f>
        <v>0</v>
      </c>
      <c r="AD505" s="100">
        <f>IF(AQ505="7",BH505,0)</f>
        <v>0</v>
      </c>
      <c r="AE505" s="100">
        <f>IF(AQ505="7",BI505,0)</f>
        <v>0</v>
      </c>
      <c r="AF505" s="100">
        <f>IF(AQ505="2",BH505,0)</f>
        <v>0</v>
      </c>
      <c r="AG505" s="100">
        <f>IF(AQ505="2",BI505,0)</f>
        <v>0</v>
      </c>
      <c r="AH505" s="100">
        <f>IF(AQ505="0",BJ505,0)</f>
        <v>0</v>
      </c>
      <c r="AI505" s="109"/>
      <c r="AJ505" s="108">
        <f>IF(AN505=0,K505,0)</f>
        <v>0</v>
      </c>
      <c r="AK505" s="108">
        <f>IF(AN505=15,K505,0)</f>
        <v>0</v>
      </c>
      <c r="AL505" s="108">
        <f>IF(AN505=21,K505,0)</f>
        <v>0</v>
      </c>
      <c r="AN505" s="100">
        <v>15</v>
      </c>
      <c r="AO505" s="100">
        <f>H505*0.122818181818182</f>
        <v>0</v>
      </c>
      <c r="AP505" s="100">
        <f>H505*(1-0.122818181818182)</f>
        <v>0</v>
      </c>
      <c r="AQ505" s="111" t="s">
        <v>13</v>
      </c>
      <c r="AV505" s="100">
        <f>AW505+AX505</f>
        <v>0</v>
      </c>
      <c r="AW505" s="100">
        <f>G505*AO505</f>
        <v>0</v>
      </c>
      <c r="AX505" s="100">
        <f>G505*AP505</f>
        <v>0</v>
      </c>
      <c r="AY505" s="110" t="s">
        <v>1719</v>
      </c>
      <c r="AZ505" s="110" t="s">
        <v>1736</v>
      </c>
      <c r="BA505" s="109" t="s">
        <v>1737</v>
      </c>
      <c r="BC505" s="100">
        <f>AW505+AX505</f>
        <v>0</v>
      </c>
      <c r="BD505" s="100">
        <f>H505/(100-BE505)*100</f>
        <v>0</v>
      </c>
      <c r="BE505" s="100">
        <v>0</v>
      </c>
      <c r="BF505" s="100">
        <f>505</f>
        <v>505</v>
      </c>
      <c r="BH505" s="108">
        <f>G505*AO505</f>
        <v>0</v>
      </c>
      <c r="BI505" s="108">
        <f>G505*AP505</f>
        <v>0</v>
      </c>
      <c r="BJ505" s="108">
        <f>G505*H505</f>
        <v>0</v>
      </c>
    </row>
    <row r="506" spans="1:62" x14ac:dyDescent="0.2">
      <c r="A506" s="117" t="s">
        <v>456</v>
      </c>
      <c r="B506" s="117" t="s">
        <v>935</v>
      </c>
      <c r="C506" s="304" t="s">
        <v>1524</v>
      </c>
      <c r="D506" s="305"/>
      <c r="E506" s="305"/>
      <c r="F506" s="117" t="s">
        <v>1645</v>
      </c>
      <c r="G506" s="116">
        <v>597.38800000000003</v>
      </c>
      <c r="H506" s="159"/>
      <c r="I506" s="108">
        <f>G506*AO506</f>
        <v>0</v>
      </c>
      <c r="J506" s="108">
        <f>G506*AP506</f>
        <v>0</v>
      </c>
      <c r="K506" s="108">
        <f>G506*H506</f>
        <v>0</v>
      </c>
      <c r="L506" s="111" t="s">
        <v>1671</v>
      </c>
      <c r="Z506" s="100">
        <f>IF(AQ506="5",BJ506,0)</f>
        <v>0</v>
      </c>
      <c r="AB506" s="100">
        <f>IF(AQ506="1",BH506,0)</f>
        <v>0</v>
      </c>
      <c r="AC506" s="100">
        <f>IF(AQ506="1",BI506,0)</f>
        <v>0</v>
      </c>
      <c r="AD506" s="100">
        <f>IF(AQ506="7",BH506,0)</f>
        <v>0</v>
      </c>
      <c r="AE506" s="100">
        <f>IF(AQ506="7",BI506,0)</f>
        <v>0</v>
      </c>
      <c r="AF506" s="100">
        <f>IF(AQ506="2",BH506,0)</f>
        <v>0</v>
      </c>
      <c r="AG506" s="100">
        <f>IF(AQ506="2",BI506,0)</f>
        <v>0</v>
      </c>
      <c r="AH506" s="100">
        <f>IF(AQ506="0",BJ506,0)</f>
        <v>0</v>
      </c>
      <c r="AI506" s="109"/>
      <c r="AJ506" s="108">
        <f>IF(AN506=0,K506,0)</f>
        <v>0</v>
      </c>
      <c r="AK506" s="108">
        <f>IF(AN506=15,K506,0)</f>
        <v>0</v>
      </c>
      <c r="AL506" s="108">
        <f>IF(AN506=21,K506,0)</f>
        <v>0</v>
      </c>
      <c r="AN506" s="100">
        <v>15</v>
      </c>
      <c r="AO506" s="100">
        <f>H506*0.0909911572676622</f>
        <v>0</v>
      </c>
      <c r="AP506" s="100">
        <f>H506*(1-0.0909911572676622)</f>
        <v>0</v>
      </c>
      <c r="AQ506" s="111" t="s">
        <v>13</v>
      </c>
      <c r="AV506" s="100">
        <f>AW506+AX506</f>
        <v>0</v>
      </c>
      <c r="AW506" s="100">
        <f>G506*AO506</f>
        <v>0</v>
      </c>
      <c r="AX506" s="100">
        <f>G506*AP506</f>
        <v>0</v>
      </c>
      <c r="AY506" s="110" t="s">
        <v>1719</v>
      </c>
      <c r="AZ506" s="110" t="s">
        <v>1736</v>
      </c>
      <c r="BA506" s="109" t="s">
        <v>1737</v>
      </c>
      <c r="BC506" s="100">
        <f>AW506+AX506</f>
        <v>0</v>
      </c>
      <c r="BD506" s="100">
        <f>H506/(100-BE506)*100</f>
        <v>0</v>
      </c>
      <c r="BE506" s="100">
        <v>0</v>
      </c>
      <c r="BF506" s="100">
        <f>506</f>
        <v>506</v>
      </c>
      <c r="BH506" s="108">
        <f>G506*AO506</f>
        <v>0</v>
      </c>
      <c r="BI506" s="108">
        <f>G506*AP506</f>
        <v>0</v>
      </c>
      <c r="BJ506" s="108">
        <f>G506*H506</f>
        <v>0</v>
      </c>
    </row>
    <row r="507" spans="1:62" x14ac:dyDescent="0.2">
      <c r="A507" s="119"/>
      <c r="B507" s="120" t="s">
        <v>936</v>
      </c>
      <c r="C507" s="306" t="s">
        <v>1525</v>
      </c>
      <c r="D507" s="307"/>
      <c r="E507" s="307"/>
      <c r="F507" s="119" t="s">
        <v>6</v>
      </c>
      <c r="G507" s="119" t="s">
        <v>6</v>
      </c>
      <c r="H507" s="119" t="s">
        <v>6</v>
      </c>
      <c r="I507" s="118">
        <f>SUM(I508:I537)</f>
        <v>0</v>
      </c>
      <c r="J507" s="118">
        <f>SUM(J508:J537)</f>
        <v>0</v>
      </c>
      <c r="K507" s="118">
        <f>SUM(K508:K537)</f>
        <v>0</v>
      </c>
      <c r="L507" s="109"/>
      <c r="AI507" s="109"/>
      <c r="AS507" s="118">
        <f>SUM(AJ508:AJ537)</f>
        <v>0</v>
      </c>
      <c r="AT507" s="118">
        <f>SUM(AK508:AK537)</f>
        <v>0</v>
      </c>
      <c r="AU507" s="118">
        <f>SUM(AL508:AL537)</f>
        <v>0</v>
      </c>
    </row>
    <row r="508" spans="1:62" x14ac:dyDescent="0.2">
      <c r="A508" s="117" t="s">
        <v>457</v>
      </c>
      <c r="B508" s="117" t="s">
        <v>937</v>
      </c>
      <c r="C508" s="304" t="s">
        <v>1526</v>
      </c>
      <c r="D508" s="305"/>
      <c r="E508" s="305"/>
      <c r="F508" s="117" t="s">
        <v>1644</v>
      </c>
      <c r="G508" s="116">
        <v>2</v>
      </c>
      <c r="H508" s="159"/>
      <c r="I508" s="108">
        <f t="shared" ref="I508:I537" si="552">G508*AO508</f>
        <v>0</v>
      </c>
      <c r="J508" s="108">
        <f t="shared" ref="J508:J537" si="553">G508*AP508</f>
        <v>0</v>
      </c>
      <c r="K508" s="108">
        <f t="shared" ref="K508:K537" si="554">G508*H508</f>
        <v>0</v>
      </c>
      <c r="L508" s="111" t="s">
        <v>1671</v>
      </c>
      <c r="Z508" s="100">
        <f t="shared" ref="Z508:Z537" si="555">IF(AQ508="5",BJ508,0)</f>
        <v>0</v>
      </c>
      <c r="AB508" s="100">
        <f t="shared" ref="AB508:AB537" si="556">IF(AQ508="1",BH508,0)</f>
        <v>0</v>
      </c>
      <c r="AC508" s="100">
        <f t="shared" ref="AC508:AC537" si="557">IF(AQ508="1",BI508,0)</f>
        <v>0</v>
      </c>
      <c r="AD508" s="100">
        <f t="shared" ref="AD508:AD537" si="558">IF(AQ508="7",BH508,0)</f>
        <v>0</v>
      </c>
      <c r="AE508" s="100">
        <f t="shared" ref="AE508:AE537" si="559">IF(AQ508="7",BI508,0)</f>
        <v>0</v>
      </c>
      <c r="AF508" s="100">
        <f t="shared" ref="AF508:AF537" si="560">IF(AQ508="2",BH508,0)</f>
        <v>0</v>
      </c>
      <c r="AG508" s="100">
        <f t="shared" ref="AG508:AG537" si="561">IF(AQ508="2",BI508,0)</f>
        <v>0</v>
      </c>
      <c r="AH508" s="100">
        <f t="shared" ref="AH508:AH537" si="562">IF(AQ508="0",BJ508,0)</f>
        <v>0</v>
      </c>
      <c r="AI508" s="109"/>
      <c r="AJ508" s="108">
        <f t="shared" ref="AJ508:AJ537" si="563">IF(AN508=0,K508,0)</f>
        <v>0</v>
      </c>
      <c r="AK508" s="108">
        <f t="shared" ref="AK508:AK537" si="564">IF(AN508=15,K508,0)</f>
        <v>0</v>
      </c>
      <c r="AL508" s="108">
        <f t="shared" ref="AL508:AL537" si="565">IF(AN508=21,K508,0)</f>
        <v>0</v>
      </c>
      <c r="AN508" s="100">
        <v>15</v>
      </c>
      <c r="AO508" s="100">
        <f t="shared" ref="AO508:AO537" si="566">H508*0</f>
        <v>0</v>
      </c>
      <c r="AP508" s="100">
        <f t="shared" ref="AP508:AP537" si="567">H508*(1-0)</f>
        <v>0</v>
      </c>
      <c r="AQ508" s="111" t="s">
        <v>8</v>
      </c>
      <c r="AV508" s="100">
        <f t="shared" ref="AV508:AV537" si="568">AW508+AX508</f>
        <v>0</v>
      </c>
      <c r="AW508" s="100">
        <f t="shared" ref="AW508:AW537" si="569">G508*AO508</f>
        <v>0</v>
      </c>
      <c r="AX508" s="100">
        <f t="shared" ref="AX508:AX537" si="570">G508*AP508</f>
        <v>0</v>
      </c>
      <c r="AY508" s="110" t="s">
        <v>1720</v>
      </c>
      <c r="AZ508" s="110" t="s">
        <v>1730</v>
      </c>
      <c r="BA508" s="109" t="s">
        <v>1737</v>
      </c>
      <c r="BC508" s="100">
        <f t="shared" ref="BC508:BC537" si="571">AW508+AX508</f>
        <v>0</v>
      </c>
      <c r="BD508" s="100">
        <f t="shared" ref="BD508:BD537" si="572">H508/(100-BE508)*100</f>
        <v>0</v>
      </c>
      <c r="BE508" s="100">
        <v>0</v>
      </c>
      <c r="BF508" s="100">
        <f>508</f>
        <v>508</v>
      </c>
      <c r="BH508" s="108">
        <f t="shared" ref="BH508:BH537" si="573">G508*AO508</f>
        <v>0</v>
      </c>
      <c r="BI508" s="108">
        <f t="shared" ref="BI508:BI537" si="574">G508*AP508</f>
        <v>0</v>
      </c>
      <c r="BJ508" s="108">
        <f t="shared" ref="BJ508:BJ537" si="575">G508*H508</f>
        <v>0</v>
      </c>
    </row>
    <row r="509" spans="1:62" x14ac:dyDescent="0.2">
      <c r="A509" s="117" t="s">
        <v>458</v>
      </c>
      <c r="B509" s="117" t="s">
        <v>939</v>
      </c>
      <c r="C509" s="304" t="s">
        <v>1528</v>
      </c>
      <c r="D509" s="305"/>
      <c r="E509" s="305"/>
      <c r="F509" s="117" t="s">
        <v>1644</v>
      </c>
      <c r="G509" s="116">
        <v>1</v>
      </c>
      <c r="H509" s="159"/>
      <c r="I509" s="108">
        <f t="shared" si="552"/>
        <v>0</v>
      </c>
      <c r="J509" s="108">
        <f t="shared" si="553"/>
        <v>0</v>
      </c>
      <c r="K509" s="108">
        <f t="shared" si="554"/>
        <v>0</v>
      </c>
      <c r="L509" s="111" t="s">
        <v>1671</v>
      </c>
      <c r="Z509" s="100">
        <f t="shared" si="555"/>
        <v>0</v>
      </c>
      <c r="AB509" s="100">
        <f t="shared" si="556"/>
        <v>0</v>
      </c>
      <c r="AC509" s="100">
        <f t="shared" si="557"/>
        <v>0</v>
      </c>
      <c r="AD509" s="100">
        <f t="shared" si="558"/>
        <v>0</v>
      </c>
      <c r="AE509" s="100">
        <f t="shared" si="559"/>
        <v>0</v>
      </c>
      <c r="AF509" s="100">
        <f t="shared" si="560"/>
        <v>0</v>
      </c>
      <c r="AG509" s="100">
        <f t="shared" si="561"/>
        <v>0</v>
      </c>
      <c r="AH509" s="100">
        <f t="shared" si="562"/>
        <v>0</v>
      </c>
      <c r="AI509" s="109"/>
      <c r="AJ509" s="108">
        <f t="shared" si="563"/>
        <v>0</v>
      </c>
      <c r="AK509" s="108">
        <f t="shared" si="564"/>
        <v>0</v>
      </c>
      <c r="AL509" s="108">
        <f t="shared" si="565"/>
        <v>0</v>
      </c>
      <c r="AN509" s="100">
        <v>15</v>
      </c>
      <c r="AO509" s="100">
        <f t="shared" si="566"/>
        <v>0</v>
      </c>
      <c r="AP509" s="100">
        <f t="shared" si="567"/>
        <v>0</v>
      </c>
      <c r="AQ509" s="111" t="s">
        <v>8</v>
      </c>
      <c r="AV509" s="100">
        <f t="shared" si="568"/>
        <v>0</v>
      </c>
      <c r="AW509" s="100">
        <f t="shared" si="569"/>
        <v>0</v>
      </c>
      <c r="AX509" s="100">
        <f t="shared" si="570"/>
        <v>0</v>
      </c>
      <c r="AY509" s="110" t="s">
        <v>1720</v>
      </c>
      <c r="AZ509" s="110" t="s">
        <v>1730</v>
      </c>
      <c r="BA509" s="109" t="s">
        <v>1737</v>
      </c>
      <c r="BC509" s="100">
        <f t="shared" si="571"/>
        <v>0</v>
      </c>
      <c r="BD509" s="100">
        <f t="shared" si="572"/>
        <v>0</v>
      </c>
      <c r="BE509" s="100">
        <v>0</v>
      </c>
      <c r="BF509" s="100">
        <f>509</f>
        <v>509</v>
      </c>
      <c r="BH509" s="108">
        <f t="shared" si="573"/>
        <v>0</v>
      </c>
      <c r="BI509" s="108">
        <f t="shared" si="574"/>
        <v>0</v>
      </c>
      <c r="BJ509" s="108">
        <f t="shared" si="575"/>
        <v>0</v>
      </c>
    </row>
    <row r="510" spans="1:62" x14ac:dyDescent="0.2">
      <c r="A510" s="117" t="s">
        <v>459</v>
      </c>
      <c r="B510" s="117" t="s">
        <v>2297</v>
      </c>
      <c r="C510" s="304" t="s">
        <v>2296</v>
      </c>
      <c r="D510" s="305"/>
      <c r="E510" s="305"/>
      <c r="F510" s="117" t="s">
        <v>1644</v>
      </c>
      <c r="G510" s="116">
        <v>2</v>
      </c>
      <c r="H510" s="159"/>
      <c r="I510" s="108">
        <f t="shared" si="552"/>
        <v>0</v>
      </c>
      <c r="J510" s="108">
        <f t="shared" si="553"/>
        <v>0</v>
      </c>
      <c r="K510" s="108">
        <f t="shared" si="554"/>
        <v>0</v>
      </c>
      <c r="L510" s="111" t="s">
        <v>1671</v>
      </c>
      <c r="Z510" s="100">
        <f t="shared" si="555"/>
        <v>0</v>
      </c>
      <c r="AB510" s="100">
        <f t="shared" si="556"/>
        <v>0</v>
      </c>
      <c r="AC510" s="100">
        <f t="shared" si="557"/>
        <v>0</v>
      </c>
      <c r="AD510" s="100">
        <f t="shared" si="558"/>
        <v>0</v>
      </c>
      <c r="AE510" s="100">
        <f t="shared" si="559"/>
        <v>0</v>
      </c>
      <c r="AF510" s="100">
        <f t="shared" si="560"/>
        <v>0</v>
      </c>
      <c r="AG510" s="100">
        <f t="shared" si="561"/>
        <v>0</v>
      </c>
      <c r="AH510" s="100">
        <f t="shared" si="562"/>
        <v>0</v>
      </c>
      <c r="AI510" s="109"/>
      <c r="AJ510" s="108">
        <f t="shared" si="563"/>
        <v>0</v>
      </c>
      <c r="AK510" s="108">
        <f t="shared" si="564"/>
        <v>0</v>
      </c>
      <c r="AL510" s="108">
        <f t="shared" si="565"/>
        <v>0</v>
      </c>
      <c r="AN510" s="100">
        <v>15</v>
      </c>
      <c r="AO510" s="100">
        <f t="shared" si="566"/>
        <v>0</v>
      </c>
      <c r="AP510" s="100">
        <f t="shared" si="567"/>
        <v>0</v>
      </c>
      <c r="AQ510" s="111" t="s">
        <v>8</v>
      </c>
      <c r="AV510" s="100">
        <f t="shared" si="568"/>
        <v>0</v>
      </c>
      <c r="AW510" s="100">
        <f t="shared" si="569"/>
        <v>0</v>
      </c>
      <c r="AX510" s="100">
        <f t="shared" si="570"/>
        <v>0</v>
      </c>
      <c r="AY510" s="110" t="s">
        <v>1720</v>
      </c>
      <c r="AZ510" s="110" t="s">
        <v>1730</v>
      </c>
      <c r="BA510" s="109" t="s">
        <v>1737</v>
      </c>
      <c r="BC510" s="100">
        <f t="shared" si="571"/>
        <v>0</v>
      </c>
      <c r="BD510" s="100">
        <f t="shared" si="572"/>
        <v>0</v>
      </c>
      <c r="BE510" s="100">
        <v>0</v>
      </c>
      <c r="BF510" s="100">
        <f>510</f>
        <v>510</v>
      </c>
      <c r="BH510" s="108">
        <f t="shared" si="573"/>
        <v>0</v>
      </c>
      <c r="BI510" s="108">
        <f t="shared" si="574"/>
        <v>0</v>
      </c>
      <c r="BJ510" s="108">
        <f t="shared" si="575"/>
        <v>0</v>
      </c>
    </row>
    <row r="511" spans="1:62" x14ac:dyDescent="0.2">
      <c r="A511" s="117" t="s">
        <v>460</v>
      </c>
      <c r="B511" s="117" t="s">
        <v>940</v>
      </c>
      <c r="C511" s="304" t="s">
        <v>1529</v>
      </c>
      <c r="D511" s="305"/>
      <c r="E511" s="305"/>
      <c r="F511" s="117" t="s">
        <v>1644</v>
      </c>
      <c r="G511" s="116">
        <v>1</v>
      </c>
      <c r="H511" s="159"/>
      <c r="I511" s="108">
        <f t="shared" si="552"/>
        <v>0</v>
      </c>
      <c r="J511" s="108">
        <f t="shared" si="553"/>
        <v>0</v>
      </c>
      <c r="K511" s="108">
        <f t="shared" si="554"/>
        <v>0</v>
      </c>
      <c r="L511" s="111" t="s">
        <v>1671</v>
      </c>
      <c r="Z511" s="100">
        <f t="shared" si="555"/>
        <v>0</v>
      </c>
      <c r="AB511" s="100">
        <f t="shared" si="556"/>
        <v>0</v>
      </c>
      <c r="AC511" s="100">
        <f t="shared" si="557"/>
        <v>0</v>
      </c>
      <c r="AD511" s="100">
        <f t="shared" si="558"/>
        <v>0</v>
      </c>
      <c r="AE511" s="100">
        <f t="shared" si="559"/>
        <v>0</v>
      </c>
      <c r="AF511" s="100">
        <f t="shared" si="560"/>
        <v>0</v>
      </c>
      <c r="AG511" s="100">
        <f t="shared" si="561"/>
        <v>0</v>
      </c>
      <c r="AH511" s="100">
        <f t="shared" si="562"/>
        <v>0</v>
      </c>
      <c r="AI511" s="109"/>
      <c r="AJ511" s="108">
        <f t="shared" si="563"/>
        <v>0</v>
      </c>
      <c r="AK511" s="108">
        <f t="shared" si="564"/>
        <v>0</v>
      </c>
      <c r="AL511" s="108">
        <f t="shared" si="565"/>
        <v>0</v>
      </c>
      <c r="AN511" s="100">
        <v>15</v>
      </c>
      <c r="AO511" s="100">
        <f t="shared" si="566"/>
        <v>0</v>
      </c>
      <c r="AP511" s="100">
        <f t="shared" si="567"/>
        <v>0</v>
      </c>
      <c r="AQ511" s="111" t="s">
        <v>8</v>
      </c>
      <c r="AV511" s="100">
        <f t="shared" si="568"/>
        <v>0</v>
      </c>
      <c r="AW511" s="100">
        <f t="shared" si="569"/>
        <v>0</v>
      </c>
      <c r="AX511" s="100">
        <f t="shared" si="570"/>
        <v>0</v>
      </c>
      <c r="AY511" s="110" t="s">
        <v>1720</v>
      </c>
      <c r="AZ511" s="110" t="s">
        <v>1730</v>
      </c>
      <c r="BA511" s="109" t="s">
        <v>1737</v>
      </c>
      <c r="BC511" s="100">
        <f t="shared" si="571"/>
        <v>0</v>
      </c>
      <c r="BD511" s="100">
        <f t="shared" si="572"/>
        <v>0</v>
      </c>
      <c r="BE511" s="100">
        <v>0</v>
      </c>
      <c r="BF511" s="100">
        <f>511</f>
        <v>511</v>
      </c>
      <c r="BH511" s="108">
        <f t="shared" si="573"/>
        <v>0</v>
      </c>
      <c r="BI511" s="108">
        <f t="shared" si="574"/>
        <v>0</v>
      </c>
      <c r="BJ511" s="108">
        <f t="shared" si="575"/>
        <v>0</v>
      </c>
    </row>
    <row r="512" spans="1:62" x14ac:dyDescent="0.2">
      <c r="A512" s="117" t="s">
        <v>461</v>
      </c>
      <c r="B512" s="117" t="s">
        <v>941</v>
      </c>
      <c r="C512" s="304" t="s">
        <v>1530</v>
      </c>
      <c r="D512" s="305"/>
      <c r="E512" s="305"/>
      <c r="F512" s="117" t="s">
        <v>1644</v>
      </c>
      <c r="G512" s="116">
        <v>1</v>
      </c>
      <c r="H512" s="159"/>
      <c r="I512" s="108">
        <f t="shared" si="552"/>
        <v>0</v>
      </c>
      <c r="J512" s="108">
        <f t="shared" si="553"/>
        <v>0</v>
      </c>
      <c r="K512" s="108">
        <f t="shared" si="554"/>
        <v>0</v>
      </c>
      <c r="L512" s="111" t="s">
        <v>1671</v>
      </c>
      <c r="Z512" s="100">
        <f t="shared" si="555"/>
        <v>0</v>
      </c>
      <c r="AB512" s="100">
        <f t="shared" si="556"/>
        <v>0</v>
      </c>
      <c r="AC512" s="100">
        <f t="shared" si="557"/>
        <v>0</v>
      </c>
      <c r="AD512" s="100">
        <f t="shared" si="558"/>
        <v>0</v>
      </c>
      <c r="AE512" s="100">
        <f t="shared" si="559"/>
        <v>0</v>
      </c>
      <c r="AF512" s="100">
        <f t="shared" si="560"/>
        <v>0</v>
      </c>
      <c r="AG512" s="100">
        <f t="shared" si="561"/>
        <v>0</v>
      </c>
      <c r="AH512" s="100">
        <f t="shared" si="562"/>
        <v>0</v>
      </c>
      <c r="AI512" s="109"/>
      <c r="AJ512" s="108">
        <f t="shared" si="563"/>
        <v>0</v>
      </c>
      <c r="AK512" s="108">
        <f t="shared" si="564"/>
        <v>0</v>
      </c>
      <c r="AL512" s="108">
        <f t="shared" si="565"/>
        <v>0</v>
      </c>
      <c r="AN512" s="100">
        <v>15</v>
      </c>
      <c r="AO512" s="100">
        <f t="shared" si="566"/>
        <v>0</v>
      </c>
      <c r="AP512" s="100">
        <f t="shared" si="567"/>
        <v>0</v>
      </c>
      <c r="AQ512" s="111" t="s">
        <v>8</v>
      </c>
      <c r="AV512" s="100">
        <f t="shared" si="568"/>
        <v>0</v>
      </c>
      <c r="AW512" s="100">
        <f t="shared" si="569"/>
        <v>0</v>
      </c>
      <c r="AX512" s="100">
        <f t="shared" si="570"/>
        <v>0</v>
      </c>
      <c r="AY512" s="110" t="s">
        <v>1720</v>
      </c>
      <c r="AZ512" s="110" t="s">
        <v>1730</v>
      </c>
      <c r="BA512" s="109" t="s">
        <v>1737</v>
      </c>
      <c r="BC512" s="100">
        <f t="shared" si="571"/>
        <v>0</v>
      </c>
      <c r="BD512" s="100">
        <f t="shared" si="572"/>
        <v>0</v>
      </c>
      <c r="BE512" s="100">
        <v>0</v>
      </c>
      <c r="BF512" s="100">
        <f>512</f>
        <v>512</v>
      </c>
      <c r="BH512" s="108">
        <f t="shared" si="573"/>
        <v>0</v>
      </c>
      <c r="BI512" s="108">
        <f t="shared" si="574"/>
        <v>0</v>
      </c>
      <c r="BJ512" s="108">
        <f t="shared" si="575"/>
        <v>0</v>
      </c>
    </row>
    <row r="513" spans="1:62" x14ac:dyDescent="0.2">
      <c r="A513" s="117" t="s">
        <v>462</v>
      </c>
      <c r="B513" s="117" t="s">
        <v>2295</v>
      </c>
      <c r="C513" s="304" t="s">
        <v>1531</v>
      </c>
      <c r="D513" s="305"/>
      <c r="E513" s="305"/>
      <c r="F513" s="117" t="s">
        <v>1644</v>
      </c>
      <c r="G513" s="116">
        <v>1</v>
      </c>
      <c r="H513" s="159"/>
      <c r="I513" s="108">
        <f t="shared" si="552"/>
        <v>0</v>
      </c>
      <c r="J513" s="108">
        <f t="shared" si="553"/>
        <v>0</v>
      </c>
      <c r="K513" s="108">
        <f t="shared" si="554"/>
        <v>0</v>
      </c>
      <c r="L513" s="111"/>
      <c r="Z513" s="100">
        <f t="shared" si="555"/>
        <v>0</v>
      </c>
      <c r="AB513" s="100">
        <f t="shared" si="556"/>
        <v>0</v>
      </c>
      <c r="AC513" s="100">
        <f t="shared" si="557"/>
        <v>0</v>
      </c>
      <c r="AD513" s="100">
        <f t="shared" si="558"/>
        <v>0</v>
      </c>
      <c r="AE513" s="100">
        <f t="shared" si="559"/>
        <v>0</v>
      </c>
      <c r="AF513" s="100">
        <f t="shared" si="560"/>
        <v>0</v>
      </c>
      <c r="AG513" s="100">
        <f t="shared" si="561"/>
        <v>0</v>
      </c>
      <c r="AH513" s="100">
        <f t="shared" si="562"/>
        <v>0</v>
      </c>
      <c r="AI513" s="109"/>
      <c r="AJ513" s="108">
        <f t="shared" si="563"/>
        <v>0</v>
      </c>
      <c r="AK513" s="108">
        <f t="shared" si="564"/>
        <v>0</v>
      </c>
      <c r="AL513" s="108">
        <f t="shared" si="565"/>
        <v>0</v>
      </c>
      <c r="AN513" s="100">
        <v>15</v>
      </c>
      <c r="AO513" s="100">
        <f t="shared" si="566"/>
        <v>0</v>
      </c>
      <c r="AP513" s="100">
        <f t="shared" si="567"/>
        <v>0</v>
      </c>
      <c r="AQ513" s="111" t="s">
        <v>7</v>
      </c>
      <c r="AV513" s="100">
        <f t="shared" si="568"/>
        <v>0</v>
      </c>
      <c r="AW513" s="100">
        <f t="shared" si="569"/>
        <v>0</v>
      </c>
      <c r="AX513" s="100">
        <f t="shared" si="570"/>
        <v>0</v>
      </c>
      <c r="AY513" s="110" t="s">
        <v>1720</v>
      </c>
      <c r="AZ513" s="110" t="s">
        <v>1730</v>
      </c>
      <c r="BA513" s="109" t="s">
        <v>1737</v>
      </c>
      <c r="BC513" s="100">
        <f t="shared" si="571"/>
        <v>0</v>
      </c>
      <c r="BD513" s="100">
        <f t="shared" si="572"/>
        <v>0</v>
      </c>
      <c r="BE513" s="100">
        <v>0</v>
      </c>
      <c r="BF513" s="100">
        <f>513</f>
        <v>513</v>
      </c>
      <c r="BH513" s="108">
        <f t="shared" si="573"/>
        <v>0</v>
      </c>
      <c r="BI513" s="108">
        <f t="shared" si="574"/>
        <v>0</v>
      </c>
      <c r="BJ513" s="108">
        <f t="shared" si="575"/>
        <v>0</v>
      </c>
    </row>
    <row r="514" spans="1:62" x14ac:dyDescent="0.2">
      <c r="A514" s="117" t="s">
        <v>463</v>
      </c>
      <c r="B514" s="117" t="s">
        <v>2294</v>
      </c>
      <c r="C514" s="304" t="s">
        <v>1532</v>
      </c>
      <c r="D514" s="305"/>
      <c r="E514" s="305"/>
      <c r="F514" s="117" t="s">
        <v>1646</v>
      </c>
      <c r="G514" s="116">
        <v>60</v>
      </c>
      <c r="H514" s="159"/>
      <c r="I514" s="108">
        <f t="shared" si="552"/>
        <v>0</v>
      </c>
      <c r="J514" s="108">
        <f t="shared" si="553"/>
        <v>0</v>
      </c>
      <c r="K514" s="108">
        <f t="shared" si="554"/>
        <v>0</v>
      </c>
      <c r="L514" s="111"/>
      <c r="Z514" s="100">
        <f t="shared" si="555"/>
        <v>0</v>
      </c>
      <c r="AB514" s="100">
        <f t="shared" si="556"/>
        <v>0</v>
      </c>
      <c r="AC514" s="100">
        <f t="shared" si="557"/>
        <v>0</v>
      </c>
      <c r="AD514" s="100">
        <f t="shared" si="558"/>
        <v>0</v>
      </c>
      <c r="AE514" s="100">
        <f t="shared" si="559"/>
        <v>0</v>
      </c>
      <c r="AF514" s="100">
        <f t="shared" si="560"/>
        <v>0</v>
      </c>
      <c r="AG514" s="100">
        <f t="shared" si="561"/>
        <v>0</v>
      </c>
      <c r="AH514" s="100">
        <f t="shared" si="562"/>
        <v>0</v>
      </c>
      <c r="AI514" s="109"/>
      <c r="AJ514" s="108">
        <f t="shared" si="563"/>
        <v>0</v>
      </c>
      <c r="AK514" s="108">
        <f t="shared" si="564"/>
        <v>0</v>
      </c>
      <c r="AL514" s="108">
        <f t="shared" si="565"/>
        <v>0</v>
      </c>
      <c r="AN514" s="100">
        <v>15</v>
      </c>
      <c r="AO514" s="100">
        <f t="shared" si="566"/>
        <v>0</v>
      </c>
      <c r="AP514" s="100">
        <f t="shared" si="567"/>
        <v>0</v>
      </c>
      <c r="AQ514" s="111" t="s">
        <v>7</v>
      </c>
      <c r="AV514" s="100">
        <f t="shared" si="568"/>
        <v>0</v>
      </c>
      <c r="AW514" s="100">
        <f t="shared" si="569"/>
        <v>0</v>
      </c>
      <c r="AX514" s="100">
        <f t="shared" si="570"/>
        <v>0</v>
      </c>
      <c r="AY514" s="110" t="s">
        <v>1720</v>
      </c>
      <c r="AZ514" s="110" t="s">
        <v>1730</v>
      </c>
      <c r="BA514" s="109" t="s">
        <v>1737</v>
      </c>
      <c r="BC514" s="100">
        <f t="shared" si="571"/>
        <v>0</v>
      </c>
      <c r="BD514" s="100">
        <f t="shared" si="572"/>
        <v>0</v>
      </c>
      <c r="BE514" s="100">
        <v>0</v>
      </c>
      <c r="BF514" s="100">
        <f>514</f>
        <v>514</v>
      </c>
      <c r="BH514" s="108">
        <f t="shared" si="573"/>
        <v>0</v>
      </c>
      <c r="BI514" s="108">
        <f t="shared" si="574"/>
        <v>0</v>
      </c>
      <c r="BJ514" s="108">
        <f t="shared" si="575"/>
        <v>0</v>
      </c>
    </row>
    <row r="515" spans="1:62" x14ac:dyDescent="0.2">
      <c r="A515" s="117" t="s">
        <v>464</v>
      </c>
      <c r="B515" s="117" t="s">
        <v>2293</v>
      </c>
      <c r="C515" s="304" t="s">
        <v>1533</v>
      </c>
      <c r="D515" s="305"/>
      <c r="E515" s="305"/>
      <c r="F515" s="117" t="s">
        <v>1646</v>
      </c>
      <c r="G515" s="116">
        <v>30</v>
      </c>
      <c r="H515" s="159"/>
      <c r="I515" s="108">
        <f t="shared" si="552"/>
        <v>0</v>
      </c>
      <c r="J515" s="108">
        <f t="shared" si="553"/>
        <v>0</v>
      </c>
      <c r="K515" s="108">
        <f t="shared" si="554"/>
        <v>0</v>
      </c>
      <c r="L515" s="111"/>
      <c r="Z515" s="100">
        <f t="shared" si="555"/>
        <v>0</v>
      </c>
      <c r="AB515" s="100">
        <f t="shared" si="556"/>
        <v>0</v>
      </c>
      <c r="AC515" s="100">
        <f t="shared" si="557"/>
        <v>0</v>
      </c>
      <c r="AD515" s="100">
        <f t="shared" si="558"/>
        <v>0</v>
      </c>
      <c r="AE515" s="100">
        <f t="shared" si="559"/>
        <v>0</v>
      </c>
      <c r="AF515" s="100">
        <f t="shared" si="560"/>
        <v>0</v>
      </c>
      <c r="AG515" s="100">
        <f t="shared" si="561"/>
        <v>0</v>
      </c>
      <c r="AH515" s="100">
        <f t="shared" si="562"/>
        <v>0</v>
      </c>
      <c r="AI515" s="109"/>
      <c r="AJ515" s="108">
        <f t="shared" si="563"/>
        <v>0</v>
      </c>
      <c r="AK515" s="108">
        <f t="shared" si="564"/>
        <v>0</v>
      </c>
      <c r="AL515" s="108">
        <f t="shared" si="565"/>
        <v>0</v>
      </c>
      <c r="AN515" s="100">
        <v>15</v>
      </c>
      <c r="AO515" s="100">
        <f t="shared" si="566"/>
        <v>0</v>
      </c>
      <c r="AP515" s="100">
        <f t="shared" si="567"/>
        <v>0</v>
      </c>
      <c r="AQ515" s="111" t="s">
        <v>7</v>
      </c>
      <c r="AV515" s="100">
        <f t="shared" si="568"/>
        <v>0</v>
      </c>
      <c r="AW515" s="100">
        <f t="shared" si="569"/>
        <v>0</v>
      </c>
      <c r="AX515" s="100">
        <f t="shared" si="570"/>
        <v>0</v>
      </c>
      <c r="AY515" s="110" t="s">
        <v>1720</v>
      </c>
      <c r="AZ515" s="110" t="s">
        <v>1730</v>
      </c>
      <c r="BA515" s="109" t="s">
        <v>1737</v>
      </c>
      <c r="BC515" s="100">
        <f t="shared" si="571"/>
        <v>0</v>
      </c>
      <c r="BD515" s="100">
        <f t="shared" si="572"/>
        <v>0</v>
      </c>
      <c r="BE515" s="100">
        <v>0</v>
      </c>
      <c r="BF515" s="100">
        <f>515</f>
        <v>515</v>
      </c>
      <c r="BH515" s="108">
        <f t="shared" si="573"/>
        <v>0</v>
      </c>
      <c r="BI515" s="108">
        <f t="shared" si="574"/>
        <v>0</v>
      </c>
      <c r="BJ515" s="108">
        <f t="shared" si="575"/>
        <v>0</v>
      </c>
    </row>
    <row r="516" spans="1:62" x14ac:dyDescent="0.2">
      <c r="A516" s="117" t="s">
        <v>465</v>
      </c>
      <c r="B516" s="117" t="s">
        <v>2292</v>
      </c>
      <c r="C516" s="304" t="s">
        <v>1534</v>
      </c>
      <c r="D516" s="305"/>
      <c r="E516" s="305"/>
      <c r="F516" s="117" t="s">
        <v>1644</v>
      </c>
      <c r="G516" s="116">
        <v>5</v>
      </c>
      <c r="H516" s="159"/>
      <c r="I516" s="108">
        <f t="shared" si="552"/>
        <v>0</v>
      </c>
      <c r="J516" s="108">
        <f t="shared" si="553"/>
        <v>0</v>
      </c>
      <c r="K516" s="108">
        <f t="shared" si="554"/>
        <v>0</v>
      </c>
      <c r="L516" s="111"/>
      <c r="Z516" s="100">
        <f t="shared" si="555"/>
        <v>0</v>
      </c>
      <c r="AB516" s="100">
        <f t="shared" si="556"/>
        <v>0</v>
      </c>
      <c r="AC516" s="100">
        <f t="shared" si="557"/>
        <v>0</v>
      </c>
      <c r="AD516" s="100">
        <f t="shared" si="558"/>
        <v>0</v>
      </c>
      <c r="AE516" s="100">
        <f t="shared" si="559"/>
        <v>0</v>
      </c>
      <c r="AF516" s="100">
        <f t="shared" si="560"/>
        <v>0</v>
      </c>
      <c r="AG516" s="100">
        <f t="shared" si="561"/>
        <v>0</v>
      </c>
      <c r="AH516" s="100">
        <f t="shared" si="562"/>
        <v>0</v>
      </c>
      <c r="AI516" s="109"/>
      <c r="AJ516" s="108">
        <f t="shared" si="563"/>
        <v>0</v>
      </c>
      <c r="AK516" s="108">
        <f t="shared" si="564"/>
        <v>0</v>
      </c>
      <c r="AL516" s="108">
        <f t="shared" si="565"/>
        <v>0</v>
      </c>
      <c r="AN516" s="100">
        <v>15</v>
      </c>
      <c r="AO516" s="100">
        <f t="shared" si="566"/>
        <v>0</v>
      </c>
      <c r="AP516" s="100">
        <f t="shared" si="567"/>
        <v>0</v>
      </c>
      <c r="AQ516" s="111" t="s">
        <v>7</v>
      </c>
      <c r="AV516" s="100">
        <f t="shared" si="568"/>
        <v>0</v>
      </c>
      <c r="AW516" s="100">
        <f t="shared" si="569"/>
        <v>0</v>
      </c>
      <c r="AX516" s="100">
        <f t="shared" si="570"/>
        <v>0</v>
      </c>
      <c r="AY516" s="110" t="s">
        <v>1720</v>
      </c>
      <c r="AZ516" s="110" t="s">
        <v>1730</v>
      </c>
      <c r="BA516" s="109" t="s">
        <v>1737</v>
      </c>
      <c r="BC516" s="100">
        <f t="shared" si="571"/>
        <v>0</v>
      </c>
      <c r="BD516" s="100">
        <f t="shared" si="572"/>
        <v>0</v>
      </c>
      <c r="BE516" s="100">
        <v>0</v>
      </c>
      <c r="BF516" s="100">
        <f>516</f>
        <v>516</v>
      </c>
      <c r="BH516" s="108">
        <f t="shared" si="573"/>
        <v>0</v>
      </c>
      <c r="BI516" s="108">
        <f t="shared" si="574"/>
        <v>0</v>
      </c>
      <c r="BJ516" s="108">
        <f t="shared" si="575"/>
        <v>0</v>
      </c>
    </row>
    <row r="517" spans="1:62" x14ac:dyDescent="0.2">
      <c r="A517" s="117" t="s">
        <v>466</v>
      </c>
      <c r="B517" s="117" t="s">
        <v>2291</v>
      </c>
      <c r="C517" s="304" t="s">
        <v>1535</v>
      </c>
      <c r="D517" s="305"/>
      <c r="E517" s="305"/>
      <c r="F517" s="117" t="s">
        <v>1644</v>
      </c>
      <c r="G517" s="116">
        <v>3</v>
      </c>
      <c r="H517" s="159"/>
      <c r="I517" s="108">
        <f t="shared" si="552"/>
        <v>0</v>
      </c>
      <c r="J517" s="108">
        <f t="shared" si="553"/>
        <v>0</v>
      </c>
      <c r="K517" s="108">
        <f t="shared" si="554"/>
        <v>0</v>
      </c>
      <c r="L517" s="111"/>
      <c r="Z517" s="100">
        <f t="shared" si="555"/>
        <v>0</v>
      </c>
      <c r="AB517" s="100">
        <f t="shared" si="556"/>
        <v>0</v>
      </c>
      <c r="AC517" s="100">
        <f t="shared" si="557"/>
        <v>0</v>
      </c>
      <c r="AD517" s="100">
        <f t="shared" si="558"/>
        <v>0</v>
      </c>
      <c r="AE517" s="100">
        <f t="shared" si="559"/>
        <v>0</v>
      </c>
      <c r="AF517" s="100">
        <f t="shared" si="560"/>
        <v>0</v>
      </c>
      <c r="AG517" s="100">
        <f t="shared" si="561"/>
        <v>0</v>
      </c>
      <c r="AH517" s="100">
        <f t="shared" si="562"/>
        <v>0</v>
      </c>
      <c r="AI517" s="109"/>
      <c r="AJ517" s="108">
        <f t="shared" si="563"/>
        <v>0</v>
      </c>
      <c r="AK517" s="108">
        <f t="shared" si="564"/>
        <v>0</v>
      </c>
      <c r="AL517" s="108">
        <f t="shared" si="565"/>
        <v>0</v>
      </c>
      <c r="AN517" s="100">
        <v>15</v>
      </c>
      <c r="AO517" s="100">
        <f t="shared" si="566"/>
        <v>0</v>
      </c>
      <c r="AP517" s="100">
        <f t="shared" si="567"/>
        <v>0</v>
      </c>
      <c r="AQ517" s="111" t="s">
        <v>7</v>
      </c>
      <c r="AV517" s="100">
        <f t="shared" si="568"/>
        <v>0</v>
      </c>
      <c r="AW517" s="100">
        <f t="shared" si="569"/>
        <v>0</v>
      </c>
      <c r="AX517" s="100">
        <f t="shared" si="570"/>
        <v>0</v>
      </c>
      <c r="AY517" s="110" t="s">
        <v>1720</v>
      </c>
      <c r="AZ517" s="110" t="s">
        <v>1730</v>
      </c>
      <c r="BA517" s="109" t="s">
        <v>1737</v>
      </c>
      <c r="BC517" s="100">
        <f t="shared" si="571"/>
        <v>0</v>
      </c>
      <c r="BD517" s="100">
        <f t="shared" si="572"/>
        <v>0</v>
      </c>
      <c r="BE517" s="100">
        <v>0</v>
      </c>
      <c r="BF517" s="100">
        <f>517</f>
        <v>517</v>
      </c>
      <c r="BH517" s="108">
        <f t="shared" si="573"/>
        <v>0</v>
      </c>
      <c r="BI517" s="108">
        <f t="shared" si="574"/>
        <v>0</v>
      </c>
      <c r="BJ517" s="108">
        <f t="shared" si="575"/>
        <v>0</v>
      </c>
    </row>
    <row r="518" spans="1:62" x14ac:dyDescent="0.2">
      <c r="A518" s="117" t="s">
        <v>467</v>
      </c>
      <c r="B518" s="117" t="s">
        <v>2290</v>
      </c>
      <c r="C518" s="304" t="s">
        <v>1536</v>
      </c>
      <c r="D518" s="305"/>
      <c r="E518" s="305"/>
      <c r="F518" s="117" t="s">
        <v>1644</v>
      </c>
      <c r="G518" s="116">
        <v>24</v>
      </c>
      <c r="H518" s="159"/>
      <c r="I518" s="108">
        <f t="shared" si="552"/>
        <v>0</v>
      </c>
      <c r="J518" s="108">
        <f t="shared" si="553"/>
        <v>0</v>
      </c>
      <c r="K518" s="108">
        <f t="shared" si="554"/>
        <v>0</v>
      </c>
      <c r="L518" s="111"/>
      <c r="Z518" s="100">
        <f t="shared" si="555"/>
        <v>0</v>
      </c>
      <c r="AB518" s="100">
        <f t="shared" si="556"/>
        <v>0</v>
      </c>
      <c r="AC518" s="100">
        <f t="shared" si="557"/>
        <v>0</v>
      </c>
      <c r="AD518" s="100">
        <f t="shared" si="558"/>
        <v>0</v>
      </c>
      <c r="AE518" s="100">
        <f t="shared" si="559"/>
        <v>0</v>
      </c>
      <c r="AF518" s="100">
        <f t="shared" si="560"/>
        <v>0</v>
      </c>
      <c r="AG518" s="100">
        <f t="shared" si="561"/>
        <v>0</v>
      </c>
      <c r="AH518" s="100">
        <f t="shared" si="562"/>
        <v>0</v>
      </c>
      <c r="AI518" s="109"/>
      <c r="AJ518" s="108">
        <f t="shared" si="563"/>
        <v>0</v>
      </c>
      <c r="AK518" s="108">
        <f t="shared" si="564"/>
        <v>0</v>
      </c>
      <c r="AL518" s="108">
        <f t="shared" si="565"/>
        <v>0</v>
      </c>
      <c r="AN518" s="100">
        <v>15</v>
      </c>
      <c r="AO518" s="100">
        <f t="shared" si="566"/>
        <v>0</v>
      </c>
      <c r="AP518" s="100">
        <f t="shared" si="567"/>
        <v>0</v>
      </c>
      <c r="AQ518" s="111" t="s">
        <v>7</v>
      </c>
      <c r="AV518" s="100">
        <f t="shared" si="568"/>
        <v>0</v>
      </c>
      <c r="AW518" s="100">
        <f t="shared" si="569"/>
        <v>0</v>
      </c>
      <c r="AX518" s="100">
        <f t="shared" si="570"/>
        <v>0</v>
      </c>
      <c r="AY518" s="110" t="s">
        <v>1720</v>
      </c>
      <c r="AZ518" s="110" t="s">
        <v>1730</v>
      </c>
      <c r="BA518" s="109" t="s">
        <v>1737</v>
      </c>
      <c r="BC518" s="100">
        <f t="shared" si="571"/>
        <v>0</v>
      </c>
      <c r="BD518" s="100">
        <f t="shared" si="572"/>
        <v>0</v>
      </c>
      <c r="BE518" s="100">
        <v>0</v>
      </c>
      <c r="BF518" s="100">
        <f>518</f>
        <v>518</v>
      </c>
      <c r="BH518" s="108">
        <f t="shared" si="573"/>
        <v>0</v>
      </c>
      <c r="BI518" s="108">
        <f t="shared" si="574"/>
        <v>0</v>
      </c>
      <c r="BJ518" s="108">
        <f t="shared" si="575"/>
        <v>0</v>
      </c>
    </row>
    <row r="519" spans="1:62" x14ac:dyDescent="0.2">
      <c r="A519" s="117" t="s">
        <v>468</v>
      </c>
      <c r="B519" s="117" t="s">
        <v>2289</v>
      </c>
      <c r="C519" s="304" t="s">
        <v>1537</v>
      </c>
      <c r="D519" s="305"/>
      <c r="E519" s="305"/>
      <c r="F519" s="117" t="s">
        <v>1644</v>
      </c>
      <c r="G519" s="116">
        <v>1</v>
      </c>
      <c r="H519" s="159"/>
      <c r="I519" s="108">
        <f t="shared" si="552"/>
        <v>0</v>
      </c>
      <c r="J519" s="108">
        <f t="shared" si="553"/>
        <v>0</v>
      </c>
      <c r="K519" s="108">
        <f t="shared" si="554"/>
        <v>0</v>
      </c>
      <c r="L519" s="111"/>
      <c r="Z519" s="100">
        <f t="shared" si="555"/>
        <v>0</v>
      </c>
      <c r="AB519" s="100">
        <f t="shared" si="556"/>
        <v>0</v>
      </c>
      <c r="AC519" s="100">
        <f t="shared" si="557"/>
        <v>0</v>
      </c>
      <c r="AD519" s="100">
        <f t="shared" si="558"/>
        <v>0</v>
      </c>
      <c r="AE519" s="100">
        <f t="shared" si="559"/>
        <v>0</v>
      </c>
      <c r="AF519" s="100">
        <f t="shared" si="560"/>
        <v>0</v>
      </c>
      <c r="AG519" s="100">
        <f t="shared" si="561"/>
        <v>0</v>
      </c>
      <c r="AH519" s="100">
        <f t="shared" si="562"/>
        <v>0</v>
      </c>
      <c r="AI519" s="109"/>
      <c r="AJ519" s="108">
        <f t="shared" si="563"/>
        <v>0</v>
      </c>
      <c r="AK519" s="108">
        <f t="shared" si="564"/>
        <v>0</v>
      </c>
      <c r="AL519" s="108">
        <f t="shared" si="565"/>
        <v>0</v>
      </c>
      <c r="AN519" s="100">
        <v>15</v>
      </c>
      <c r="AO519" s="100">
        <f t="shared" si="566"/>
        <v>0</v>
      </c>
      <c r="AP519" s="100">
        <f t="shared" si="567"/>
        <v>0</v>
      </c>
      <c r="AQ519" s="111" t="s">
        <v>7</v>
      </c>
      <c r="AV519" s="100">
        <f t="shared" si="568"/>
        <v>0</v>
      </c>
      <c r="AW519" s="100">
        <f t="shared" si="569"/>
        <v>0</v>
      </c>
      <c r="AX519" s="100">
        <f t="shared" si="570"/>
        <v>0</v>
      </c>
      <c r="AY519" s="110" t="s">
        <v>1720</v>
      </c>
      <c r="AZ519" s="110" t="s">
        <v>1730</v>
      </c>
      <c r="BA519" s="109" t="s">
        <v>1737</v>
      </c>
      <c r="BC519" s="100">
        <f t="shared" si="571"/>
        <v>0</v>
      </c>
      <c r="BD519" s="100">
        <f t="shared" si="572"/>
        <v>0</v>
      </c>
      <c r="BE519" s="100">
        <v>0</v>
      </c>
      <c r="BF519" s="100">
        <f>519</f>
        <v>519</v>
      </c>
      <c r="BH519" s="108">
        <f t="shared" si="573"/>
        <v>0</v>
      </c>
      <c r="BI519" s="108">
        <f t="shared" si="574"/>
        <v>0</v>
      </c>
      <c r="BJ519" s="108">
        <f t="shared" si="575"/>
        <v>0</v>
      </c>
    </row>
    <row r="520" spans="1:62" x14ac:dyDescent="0.2">
      <c r="A520" s="117" t="s">
        <v>469</v>
      </c>
      <c r="B520" s="117" t="s">
        <v>2288</v>
      </c>
      <c r="C520" s="304" t="s">
        <v>1538</v>
      </c>
      <c r="D520" s="305"/>
      <c r="E520" s="305"/>
      <c r="F520" s="117" t="s">
        <v>1646</v>
      </c>
      <c r="G520" s="116">
        <v>10</v>
      </c>
      <c r="H520" s="159"/>
      <c r="I520" s="108">
        <f t="shared" si="552"/>
        <v>0</v>
      </c>
      <c r="J520" s="108">
        <f t="shared" si="553"/>
        <v>0</v>
      </c>
      <c r="K520" s="108">
        <f t="shared" si="554"/>
        <v>0</v>
      </c>
      <c r="L520" s="111"/>
      <c r="Z520" s="100">
        <f t="shared" si="555"/>
        <v>0</v>
      </c>
      <c r="AB520" s="100">
        <f t="shared" si="556"/>
        <v>0</v>
      </c>
      <c r="AC520" s="100">
        <f t="shared" si="557"/>
        <v>0</v>
      </c>
      <c r="AD520" s="100">
        <f t="shared" si="558"/>
        <v>0</v>
      </c>
      <c r="AE520" s="100">
        <f t="shared" si="559"/>
        <v>0</v>
      </c>
      <c r="AF520" s="100">
        <f t="shared" si="560"/>
        <v>0</v>
      </c>
      <c r="AG520" s="100">
        <f t="shared" si="561"/>
        <v>0</v>
      </c>
      <c r="AH520" s="100">
        <f t="shared" si="562"/>
        <v>0</v>
      </c>
      <c r="AI520" s="109"/>
      <c r="AJ520" s="108">
        <f t="shared" si="563"/>
        <v>0</v>
      </c>
      <c r="AK520" s="108">
        <f t="shared" si="564"/>
        <v>0</v>
      </c>
      <c r="AL520" s="108">
        <f t="shared" si="565"/>
        <v>0</v>
      </c>
      <c r="AN520" s="100">
        <v>15</v>
      </c>
      <c r="AO520" s="100">
        <f t="shared" si="566"/>
        <v>0</v>
      </c>
      <c r="AP520" s="100">
        <f t="shared" si="567"/>
        <v>0</v>
      </c>
      <c r="AQ520" s="111" t="s">
        <v>7</v>
      </c>
      <c r="AV520" s="100">
        <f t="shared" si="568"/>
        <v>0</v>
      </c>
      <c r="AW520" s="100">
        <f t="shared" si="569"/>
        <v>0</v>
      </c>
      <c r="AX520" s="100">
        <f t="shared" si="570"/>
        <v>0</v>
      </c>
      <c r="AY520" s="110" t="s">
        <v>1720</v>
      </c>
      <c r="AZ520" s="110" t="s">
        <v>1730</v>
      </c>
      <c r="BA520" s="109" t="s">
        <v>1737</v>
      </c>
      <c r="BC520" s="100">
        <f t="shared" si="571"/>
        <v>0</v>
      </c>
      <c r="BD520" s="100">
        <f t="shared" si="572"/>
        <v>0</v>
      </c>
      <c r="BE520" s="100">
        <v>0</v>
      </c>
      <c r="BF520" s="100">
        <f>520</f>
        <v>520</v>
      </c>
      <c r="BH520" s="108">
        <f t="shared" si="573"/>
        <v>0</v>
      </c>
      <c r="BI520" s="108">
        <f t="shared" si="574"/>
        <v>0</v>
      </c>
      <c r="BJ520" s="108">
        <f t="shared" si="575"/>
        <v>0</v>
      </c>
    </row>
    <row r="521" spans="1:62" x14ac:dyDescent="0.2">
      <c r="A521" s="117" t="s">
        <v>470</v>
      </c>
      <c r="B521" s="117" t="s">
        <v>2287</v>
      </c>
      <c r="C521" s="304" t="s">
        <v>1539</v>
      </c>
      <c r="D521" s="305"/>
      <c r="E521" s="305"/>
      <c r="F521" s="117" t="s">
        <v>1646</v>
      </c>
      <c r="G521" s="116">
        <v>30</v>
      </c>
      <c r="H521" s="159"/>
      <c r="I521" s="108">
        <f t="shared" si="552"/>
        <v>0</v>
      </c>
      <c r="J521" s="108">
        <f t="shared" si="553"/>
        <v>0</v>
      </c>
      <c r="K521" s="108">
        <f t="shared" si="554"/>
        <v>0</v>
      </c>
      <c r="L521" s="111"/>
      <c r="Z521" s="100">
        <f t="shared" si="555"/>
        <v>0</v>
      </c>
      <c r="AB521" s="100">
        <f t="shared" si="556"/>
        <v>0</v>
      </c>
      <c r="AC521" s="100">
        <f t="shared" si="557"/>
        <v>0</v>
      </c>
      <c r="AD521" s="100">
        <f t="shared" si="558"/>
        <v>0</v>
      </c>
      <c r="AE521" s="100">
        <f t="shared" si="559"/>
        <v>0</v>
      </c>
      <c r="AF521" s="100">
        <f t="shared" si="560"/>
        <v>0</v>
      </c>
      <c r="AG521" s="100">
        <f t="shared" si="561"/>
        <v>0</v>
      </c>
      <c r="AH521" s="100">
        <f t="shared" si="562"/>
        <v>0</v>
      </c>
      <c r="AI521" s="109"/>
      <c r="AJ521" s="108">
        <f t="shared" si="563"/>
        <v>0</v>
      </c>
      <c r="AK521" s="108">
        <f t="shared" si="564"/>
        <v>0</v>
      </c>
      <c r="AL521" s="108">
        <f t="shared" si="565"/>
        <v>0</v>
      </c>
      <c r="AN521" s="100">
        <v>15</v>
      </c>
      <c r="AO521" s="100">
        <f t="shared" si="566"/>
        <v>0</v>
      </c>
      <c r="AP521" s="100">
        <f t="shared" si="567"/>
        <v>0</v>
      </c>
      <c r="AQ521" s="111" t="s">
        <v>7</v>
      </c>
      <c r="AV521" s="100">
        <f t="shared" si="568"/>
        <v>0</v>
      </c>
      <c r="AW521" s="100">
        <f t="shared" si="569"/>
        <v>0</v>
      </c>
      <c r="AX521" s="100">
        <f t="shared" si="570"/>
        <v>0</v>
      </c>
      <c r="AY521" s="110" t="s">
        <v>1720</v>
      </c>
      <c r="AZ521" s="110" t="s">
        <v>1730</v>
      </c>
      <c r="BA521" s="109" t="s">
        <v>1737</v>
      </c>
      <c r="BC521" s="100">
        <f t="shared" si="571"/>
        <v>0</v>
      </c>
      <c r="BD521" s="100">
        <f t="shared" si="572"/>
        <v>0</v>
      </c>
      <c r="BE521" s="100">
        <v>0</v>
      </c>
      <c r="BF521" s="100">
        <f>521</f>
        <v>521</v>
      </c>
      <c r="BH521" s="108">
        <f t="shared" si="573"/>
        <v>0</v>
      </c>
      <c r="BI521" s="108">
        <f t="shared" si="574"/>
        <v>0</v>
      </c>
      <c r="BJ521" s="108">
        <f t="shared" si="575"/>
        <v>0</v>
      </c>
    </row>
    <row r="522" spans="1:62" x14ac:dyDescent="0.2">
      <c r="A522" s="117" t="s">
        <v>471</v>
      </c>
      <c r="B522" s="117" t="s">
        <v>2286</v>
      </c>
      <c r="C522" s="304" t="s">
        <v>1540</v>
      </c>
      <c r="D522" s="305"/>
      <c r="E522" s="305"/>
      <c r="F522" s="117" t="s">
        <v>1646</v>
      </c>
      <c r="G522" s="116">
        <v>40</v>
      </c>
      <c r="H522" s="159"/>
      <c r="I522" s="108">
        <f t="shared" si="552"/>
        <v>0</v>
      </c>
      <c r="J522" s="108">
        <f t="shared" si="553"/>
        <v>0</v>
      </c>
      <c r="K522" s="108">
        <f t="shared" si="554"/>
        <v>0</v>
      </c>
      <c r="L522" s="111"/>
      <c r="Z522" s="100">
        <f t="shared" si="555"/>
        <v>0</v>
      </c>
      <c r="AB522" s="100">
        <f t="shared" si="556"/>
        <v>0</v>
      </c>
      <c r="AC522" s="100">
        <f t="shared" si="557"/>
        <v>0</v>
      </c>
      <c r="AD522" s="100">
        <f t="shared" si="558"/>
        <v>0</v>
      </c>
      <c r="AE522" s="100">
        <f t="shared" si="559"/>
        <v>0</v>
      </c>
      <c r="AF522" s="100">
        <f t="shared" si="560"/>
        <v>0</v>
      </c>
      <c r="AG522" s="100">
        <f t="shared" si="561"/>
        <v>0</v>
      </c>
      <c r="AH522" s="100">
        <f t="shared" si="562"/>
        <v>0</v>
      </c>
      <c r="AI522" s="109"/>
      <c r="AJ522" s="108">
        <f t="shared" si="563"/>
        <v>0</v>
      </c>
      <c r="AK522" s="108">
        <f t="shared" si="564"/>
        <v>0</v>
      </c>
      <c r="AL522" s="108">
        <f t="shared" si="565"/>
        <v>0</v>
      </c>
      <c r="AN522" s="100">
        <v>15</v>
      </c>
      <c r="AO522" s="100">
        <f t="shared" si="566"/>
        <v>0</v>
      </c>
      <c r="AP522" s="100">
        <f t="shared" si="567"/>
        <v>0</v>
      </c>
      <c r="AQ522" s="111" t="s">
        <v>7</v>
      </c>
      <c r="AV522" s="100">
        <f t="shared" si="568"/>
        <v>0</v>
      </c>
      <c r="AW522" s="100">
        <f t="shared" si="569"/>
        <v>0</v>
      </c>
      <c r="AX522" s="100">
        <f t="shared" si="570"/>
        <v>0</v>
      </c>
      <c r="AY522" s="110" t="s">
        <v>1720</v>
      </c>
      <c r="AZ522" s="110" t="s">
        <v>1730</v>
      </c>
      <c r="BA522" s="109" t="s">
        <v>1737</v>
      </c>
      <c r="BC522" s="100">
        <f t="shared" si="571"/>
        <v>0</v>
      </c>
      <c r="BD522" s="100">
        <f t="shared" si="572"/>
        <v>0</v>
      </c>
      <c r="BE522" s="100">
        <v>0</v>
      </c>
      <c r="BF522" s="100">
        <f>522</f>
        <v>522</v>
      </c>
      <c r="BH522" s="108">
        <f t="shared" si="573"/>
        <v>0</v>
      </c>
      <c r="BI522" s="108">
        <f t="shared" si="574"/>
        <v>0</v>
      </c>
      <c r="BJ522" s="108">
        <f t="shared" si="575"/>
        <v>0</v>
      </c>
    </row>
    <row r="523" spans="1:62" x14ac:dyDescent="0.2">
      <c r="A523" s="117" t="s">
        <v>472</v>
      </c>
      <c r="B523" s="117" t="s">
        <v>2285</v>
      </c>
      <c r="C523" s="304" t="s">
        <v>1541</v>
      </c>
      <c r="D523" s="305"/>
      <c r="E523" s="305"/>
      <c r="F523" s="117" t="s">
        <v>1646</v>
      </c>
      <c r="G523" s="116">
        <v>40</v>
      </c>
      <c r="H523" s="159"/>
      <c r="I523" s="108">
        <f t="shared" si="552"/>
        <v>0</v>
      </c>
      <c r="J523" s="108">
        <f t="shared" si="553"/>
        <v>0</v>
      </c>
      <c r="K523" s="108">
        <f t="shared" si="554"/>
        <v>0</v>
      </c>
      <c r="L523" s="111"/>
      <c r="Z523" s="100">
        <f t="shared" si="555"/>
        <v>0</v>
      </c>
      <c r="AB523" s="100">
        <f t="shared" si="556"/>
        <v>0</v>
      </c>
      <c r="AC523" s="100">
        <f t="shared" si="557"/>
        <v>0</v>
      </c>
      <c r="AD523" s="100">
        <f t="shared" si="558"/>
        <v>0</v>
      </c>
      <c r="AE523" s="100">
        <f t="shared" si="559"/>
        <v>0</v>
      </c>
      <c r="AF523" s="100">
        <f t="shared" si="560"/>
        <v>0</v>
      </c>
      <c r="AG523" s="100">
        <f t="shared" si="561"/>
        <v>0</v>
      </c>
      <c r="AH523" s="100">
        <f t="shared" si="562"/>
        <v>0</v>
      </c>
      <c r="AI523" s="109"/>
      <c r="AJ523" s="108">
        <f t="shared" si="563"/>
        <v>0</v>
      </c>
      <c r="AK523" s="108">
        <f t="shared" si="564"/>
        <v>0</v>
      </c>
      <c r="AL523" s="108">
        <f t="shared" si="565"/>
        <v>0</v>
      </c>
      <c r="AN523" s="100">
        <v>15</v>
      </c>
      <c r="AO523" s="100">
        <f t="shared" si="566"/>
        <v>0</v>
      </c>
      <c r="AP523" s="100">
        <f t="shared" si="567"/>
        <v>0</v>
      </c>
      <c r="AQ523" s="111" t="s">
        <v>7</v>
      </c>
      <c r="AV523" s="100">
        <f t="shared" si="568"/>
        <v>0</v>
      </c>
      <c r="AW523" s="100">
        <f t="shared" si="569"/>
        <v>0</v>
      </c>
      <c r="AX523" s="100">
        <f t="shared" si="570"/>
        <v>0</v>
      </c>
      <c r="AY523" s="110" t="s">
        <v>1720</v>
      </c>
      <c r="AZ523" s="110" t="s">
        <v>1730</v>
      </c>
      <c r="BA523" s="109" t="s">
        <v>1737</v>
      </c>
      <c r="BC523" s="100">
        <f t="shared" si="571"/>
        <v>0</v>
      </c>
      <c r="BD523" s="100">
        <f t="shared" si="572"/>
        <v>0</v>
      </c>
      <c r="BE523" s="100">
        <v>0</v>
      </c>
      <c r="BF523" s="100">
        <f>523</f>
        <v>523</v>
      </c>
      <c r="BH523" s="108">
        <f t="shared" si="573"/>
        <v>0</v>
      </c>
      <c r="BI523" s="108">
        <f t="shared" si="574"/>
        <v>0</v>
      </c>
      <c r="BJ523" s="108">
        <f t="shared" si="575"/>
        <v>0</v>
      </c>
    </row>
    <row r="524" spans="1:62" x14ac:dyDescent="0.2">
      <c r="A524" s="117" t="s">
        <v>473</v>
      </c>
      <c r="B524" s="117" t="s">
        <v>2284</v>
      </c>
      <c r="C524" s="304" t="s">
        <v>1542</v>
      </c>
      <c r="D524" s="305"/>
      <c r="E524" s="305"/>
      <c r="F524" s="117" t="s">
        <v>1646</v>
      </c>
      <c r="G524" s="116">
        <v>30</v>
      </c>
      <c r="H524" s="159"/>
      <c r="I524" s="108">
        <f t="shared" si="552"/>
        <v>0</v>
      </c>
      <c r="J524" s="108">
        <f t="shared" si="553"/>
        <v>0</v>
      </c>
      <c r="K524" s="108">
        <f t="shared" si="554"/>
        <v>0</v>
      </c>
      <c r="L524" s="111"/>
      <c r="Z524" s="100">
        <f t="shared" si="555"/>
        <v>0</v>
      </c>
      <c r="AB524" s="100">
        <f t="shared" si="556"/>
        <v>0</v>
      </c>
      <c r="AC524" s="100">
        <f t="shared" si="557"/>
        <v>0</v>
      </c>
      <c r="AD524" s="100">
        <f t="shared" si="558"/>
        <v>0</v>
      </c>
      <c r="AE524" s="100">
        <f t="shared" si="559"/>
        <v>0</v>
      </c>
      <c r="AF524" s="100">
        <f t="shared" si="560"/>
        <v>0</v>
      </c>
      <c r="AG524" s="100">
        <f t="shared" si="561"/>
        <v>0</v>
      </c>
      <c r="AH524" s="100">
        <f t="shared" si="562"/>
        <v>0</v>
      </c>
      <c r="AI524" s="109"/>
      <c r="AJ524" s="108">
        <f t="shared" si="563"/>
        <v>0</v>
      </c>
      <c r="AK524" s="108">
        <f t="shared" si="564"/>
        <v>0</v>
      </c>
      <c r="AL524" s="108">
        <f t="shared" si="565"/>
        <v>0</v>
      </c>
      <c r="AN524" s="100">
        <v>15</v>
      </c>
      <c r="AO524" s="100">
        <f t="shared" si="566"/>
        <v>0</v>
      </c>
      <c r="AP524" s="100">
        <f t="shared" si="567"/>
        <v>0</v>
      </c>
      <c r="AQ524" s="111" t="s">
        <v>7</v>
      </c>
      <c r="AV524" s="100">
        <f t="shared" si="568"/>
        <v>0</v>
      </c>
      <c r="AW524" s="100">
        <f t="shared" si="569"/>
        <v>0</v>
      </c>
      <c r="AX524" s="100">
        <f t="shared" si="570"/>
        <v>0</v>
      </c>
      <c r="AY524" s="110" t="s">
        <v>1720</v>
      </c>
      <c r="AZ524" s="110" t="s">
        <v>1730</v>
      </c>
      <c r="BA524" s="109" t="s">
        <v>1737</v>
      </c>
      <c r="BC524" s="100">
        <f t="shared" si="571"/>
        <v>0</v>
      </c>
      <c r="BD524" s="100">
        <f t="shared" si="572"/>
        <v>0</v>
      </c>
      <c r="BE524" s="100">
        <v>0</v>
      </c>
      <c r="BF524" s="100">
        <f>524</f>
        <v>524</v>
      </c>
      <c r="BH524" s="108">
        <f t="shared" si="573"/>
        <v>0</v>
      </c>
      <c r="BI524" s="108">
        <f t="shared" si="574"/>
        <v>0</v>
      </c>
      <c r="BJ524" s="108">
        <f t="shared" si="575"/>
        <v>0</v>
      </c>
    </row>
    <row r="525" spans="1:62" x14ac:dyDescent="0.2">
      <c r="A525" s="117" t="s">
        <v>474</v>
      </c>
      <c r="B525" s="117" t="s">
        <v>2283</v>
      </c>
      <c r="C525" s="304" t="s">
        <v>1543</v>
      </c>
      <c r="D525" s="305"/>
      <c r="E525" s="305"/>
      <c r="F525" s="117" t="s">
        <v>1644</v>
      </c>
      <c r="G525" s="116">
        <v>1</v>
      </c>
      <c r="H525" s="159"/>
      <c r="I525" s="108">
        <f t="shared" si="552"/>
        <v>0</v>
      </c>
      <c r="J525" s="108">
        <f t="shared" si="553"/>
        <v>0</v>
      </c>
      <c r="K525" s="108">
        <f t="shared" si="554"/>
        <v>0</v>
      </c>
      <c r="L525" s="111"/>
      <c r="Z525" s="100">
        <f t="shared" si="555"/>
        <v>0</v>
      </c>
      <c r="AB525" s="100">
        <f t="shared" si="556"/>
        <v>0</v>
      </c>
      <c r="AC525" s="100">
        <f t="shared" si="557"/>
        <v>0</v>
      </c>
      <c r="AD525" s="100">
        <f t="shared" si="558"/>
        <v>0</v>
      </c>
      <c r="AE525" s="100">
        <f t="shared" si="559"/>
        <v>0</v>
      </c>
      <c r="AF525" s="100">
        <f t="shared" si="560"/>
        <v>0</v>
      </c>
      <c r="AG525" s="100">
        <f t="shared" si="561"/>
        <v>0</v>
      </c>
      <c r="AH525" s="100">
        <f t="shared" si="562"/>
        <v>0</v>
      </c>
      <c r="AI525" s="109"/>
      <c r="AJ525" s="108">
        <f t="shared" si="563"/>
        <v>0</v>
      </c>
      <c r="AK525" s="108">
        <f t="shared" si="564"/>
        <v>0</v>
      </c>
      <c r="AL525" s="108">
        <f t="shared" si="565"/>
        <v>0</v>
      </c>
      <c r="AN525" s="100">
        <v>15</v>
      </c>
      <c r="AO525" s="100">
        <f t="shared" si="566"/>
        <v>0</v>
      </c>
      <c r="AP525" s="100">
        <f t="shared" si="567"/>
        <v>0</v>
      </c>
      <c r="AQ525" s="111" t="s">
        <v>7</v>
      </c>
      <c r="AV525" s="100">
        <f t="shared" si="568"/>
        <v>0</v>
      </c>
      <c r="AW525" s="100">
        <f t="shared" si="569"/>
        <v>0</v>
      </c>
      <c r="AX525" s="100">
        <f t="shared" si="570"/>
        <v>0</v>
      </c>
      <c r="AY525" s="110" t="s">
        <v>1720</v>
      </c>
      <c r="AZ525" s="110" t="s">
        <v>1730</v>
      </c>
      <c r="BA525" s="109" t="s">
        <v>1737</v>
      </c>
      <c r="BC525" s="100">
        <f t="shared" si="571"/>
        <v>0</v>
      </c>
      <c r="BD525" s="100">
        <f t="shared" si="572"/>
        <v>0</v>
      </c>
      <c r="BE525" s="100">
        <v>0</v>
      </c>
      <c r="BF525" s="100">
        <f>525</f>
        <v>525</v>
      </c>
      <c r="BH525" s="108">
        <f t="shared" si="573"/>
        <v>0</v>
      </c>
      <c r="BI525" s="108">
        <f t="shared" si="574"/>
        <v>0</v>
      </c>
      <c r="BJ525" s="108">
        <f t="shared" si="575"/>
        <v>0</v>
      </c>
    </row>
    <row r="526" spans="1:62" x14ac:dyDescent="0.2">
      <c r="A526" s="117" t="s">
        <v>475</v>
      </c>
      <c r="B526" s="117" t="s">
        <v>2282</v>
      </c>
      <c r="C526" s="304" t="s">
        <v>1544</v>
      </c>
      <c r="D526" s="305"/>
      <c r="E526" s="305"/>
      <c r="F526" s="117" t="s">
        <v>1644</v>
      </c>
      <c r="G526" s="116">
        <v>4</v>
      </c>
      <c r="H526" s="159"/>
      <c r="I526" s="108">
        <f t="shared" si="552"/>
        <v>0</v>
      </c>
      <c r="J526" s="108">
        <f t="shared" si="553"/>
        <v>0</v>
      </c>
      <c r="K526" s="108">
        <f t="shared" si="554"/>
        <v>0</v>
      </c>
      <c r="L526" s="111"/>
      <c r="Z526" s="100">
        <f t="shared" si="555"/>
        <v>0</v>
      </c>
      <c r="AB526" s="100">
        <f t="shared" si="556"/>
        <v>0</v>
      </c>
      <c r="AC526" s="100">
        <f t="shared" si="557"/>
        <v>0</v>
      </c>
      <c r="AD526" s="100">
        <f t="shared" si="558"/>
        <v>0</v>
      </c>
      <c r="AE526" s="100">
        <f t="shared" si="559"/>
        <v>0</v>
      </c>
      <c r="AF526" s="100">
        <f t="shared" si="560"/>
        <v>0</v>
      </c>
      <c r="AG526" s="100">
        <f t="shared" si="561"/>
        <v>0</v>
      </c>
      <c r="AH526" s="100">
        <f t="shared" si="562"/>
        <v>0</v>
      </c>
      <c r="AI526" s="109"/>
      <c r="AJ526" s="108">
        <f t="shared" si="563"/>
        <v>0</v>
      </c>
      <c r="AK526" s="108">
        <f t="shared" si="564"/>
        <v>0</v>
      </c>
      <c r="AL526" s="108">
        <f t="shared" si="565"/>
        <v>0</v>
      </c>
      <c r="AN526" s="100">
        <v>15</v>
      </c>
      <c r="AO526" s="100">
        <f t="shared" si="566"/>
        <v>0</v>
      </c>
      <c r="AP526" s="100">
        <f t="shared" si="567"/>
        <v>0</v>
      </c>
      <c r="AQ526" s="111" t="s">
        <v>7</v>
      </c>
      <c r="AV526" s="100">
        <f t="shared" si="568"/>
        <v>0</v>
      </c>
      <c r="AW526" s="100">
        <f t="shared" si="569"/>
        <v>0</v>
      </c>
      <c r="AX526" s="100">
        <f t="shared" si="570"/>
        <v>0</v>
      </c>
      <c r="AY526" s="110" t="s">
        <v>1720</v>
      </c>
      <c r="AZ526" s="110" t="s">
        <v>1730</v>
      </c>
      <c r="BA526" s="109" t="s">
        <v>1737</v>
      </c>
      <c r="BC526" s="100">
        <f t="shared" si="571"/>
        <v>0</v>
      </c>
      <c r="BD526" s="100">
        <f t="shared" si="572"/>
        <v>0</v>
      </c>
      <c r="BE526" s="100">
        <v>0</v>
      </c>
      <c r="BF526" s="100">
        <f>526</f>
        <v>526</v>
      </c>
      <c r="BH526" s="108">
        <f t="shared" si="573"/>
        <v>0</v>
      </c>
      <c r="BI526" s="108">
        <f t="shared" si="574"/>
        <v>0</v>
      </c>
      <c r="BJ526" s="108">
        <f t="shared" si="575"/>
        <v>0</v>
      </c>
    </row>
    <row r="527" spans="1:62" x14ac:dyDescent="0.2">
      <c r="A527" s="117" t="s">
        <v>476</v>
      </c>
      <c r="B527" s="117" t="s">
        <v>2281</v>
      </c>
      <c r="C527" s="304" t="s">
        <v>1545</v>
      </c>
      <c r="D527" s="305"/>
      <c r="E527" s="305"/>
      <c r="F527" s="117" t="s">
        <v>1646</v>
      </c>
      <c r="G527" s="116">
        <v>120</v>
      </c>
      <c r="H527" s="159"/>
      <c r="I527" s="108">
        <f t="shared" si="552"/>
        <v>0</v>
      </c>
      <c r="J527" s="108">
        <f t="shared" si="553"/>
        <v>0</v>
      </c>
      <c r="K527" s="108">
        <f t="shared" si="554"/>
        <v>0</v>
      </c>
      <c r="L527" s="111"/>
      <c r="Z527" s="100">
        <f t="shared" si="555"/>
        <v>0</v>
      </c>
      <c r="AB527" s="100">
        <f t="shared" si="556"/>
        <v>0</v>
      </c>
      <c r="AC527" s="100">
        <f t="shared" si="557"/>
        <v>0</v>
      </c>
      <c r="AD527" s="100">
        <f t="shared" si="558"/>
        <v>0</v>
      </c>
      <c r="AE527" s="100">
        <f t="shared" si="559"/>
        <v>0</v>
      </c>
      <c r="AF527" s="100">
        <f t="shared" si="560"/>
        <v>0</v>
      </c>
      <c r="AG527" s="100">
        <f t="shared" si="561"/>
        <v>0</v>
      </c>
      <c r="AH527" s="100">
        <f t="shared" si="562"/>
        <v>0</v>
      </c>
      <c r="AI527" s="109"/>
      <c r="AJ527" s="108">
        <f t="shared" si="563"/>
        <v>0</v>
      </c>
      <c r="AK527" s="108">
        <f t="shared" si="564"/>
        <v>0</v>
      </c>
      <c r="AL527" s="108">
        <f t="shared" si="565"/>
        <v>0</v>
      </c>
      <c r="AN527" s="100">
        <v>15</v>
      </c>
      <c r="AO527" s="100">
        <f t="shared" si="566"/>
        <v>0</v>
      </c>
      <c r="AP527" s="100">
        <f t="shared" si="567"/>
        <v>0</v>
      </c>
      <c r="AQ527" s="111" t="s">
        <v>7</v>
      </c>
      <c r="AV527" s="100">
        <f t="shared" si="568"/>
        <v>0</v>
      </c>
      <c r="AW527" s="100">
        <f t="shared" si="569"/>
        <v>0</v>
      </c>
      <c r="AX527" s="100">
        <f t="shared" si="570"/>
        <v>0</v>
      </c>
      <c r="AY527" s="110" t="s">
        <v>1720</v>
      </c>
      <c r="AZ527" s="110" t="s">
        <v>1730</v>
      </c>
      <c r="BA527" s="109" t="s">
        <v>1737</v>
      </c>
      <c r="BC527" s="100">
        <f t="shared" si="571"/>
        <v>0</v>
      </c>
      <c r="BD527" s="100">
        <f t="shared" si="572"/>
        <v>0</v>
      </c>
      <c r="BE527" s="100">
        <v>0</v>
      </c>
      <c r="BF527" s="100">
        <f>527</f>
        <v>527</v>
      </c>
      <c r="BH527" s="108">
        <f t="shared" si="573"/>
        <v>0</v>
      </c>
      <c r="BI527" s="108">
        <f t="shared" si="574"/>
        <v>0</v>
      </c>
      <c r="BJ527" s="108">
        <f t="shared" si="575"/>
        <v>0</v>
      </c>
    </row>
    <row r="528" spans="1:62" x14ac:dyDescent="0.2">
      <c r="A528" s="117" t="s">
        <v>477</v>
      </c>
      <c r="B528" s="117" t="s">
        <v>2280</v>
      </c>
      <c r="C528" s="304" t="s">
        <v>1546</v>
      </c>
      <c r="D528" s="305"/>
      <c r="E528" s="305"/>
      <c r="F528" s="117" t="s">
        <v>1646</v>
      </c>
      <c r="G528" s="116">
        <v>30</v>
      </c>
      <c r="H528" s="159"/>
      <c r="I528" s="108">
        <f t="shared" si="552"/>
        <v>0</v>
      </c>
      <c r="J528" s="108">
        <f t="shared" si="553"/>
        <v>0</v>
      </c>
      <c r="K528" s="108">
        <f t="shared" si="554"/>
        <v>0</v>
      </c>
      <c r="L528" s="111"/>
      <c r="Z528" s="100">
        <f t="shared" si="555"/>
        <v>0</v>
      </c>
      <c r="AB528" s="100">
        <f t="shared" si="556"/>
        <v>0</v>
      </c>
      <c r="AC528" s="100">
        <f t="shared" si="557"/>
        <v>0</v>
      </c>
      <c r="AD528" s="100">
        <f t="shared" si="558"/>
        <v>0</v>
      </c>
      <c r="AE528" s="100">
        <f t="shared" si="559"/>
        <v>0</v>
      </c>
      <c r="AF528" s="100">
        <f t="shared" si="560"/>
        <v>0</v>
      </c>
      <c r="AG528" s="100">
        <f t="shared" si="561"/>
        <v>0</v>
      </c>
      <c r="AH528" s="100">
        <f t="shared" si="562"/>
        <v>0</v>
      </c>
      <c r="AI528" s="109"/>
      <c r="AJ528" s="108">
        <f t="shared" si="563"/>
        <v>0</v>
      </c>
      <c r="AK528" s="108">
        <f t="shared" si="564"/>
        <v>0</v>
      </c>
      <c r="AL528" s="108">
        <f t="shared" si="565"/>
        <v>0</v>
      </c>
      <c r="AN528" s="100">
        <v>15</v>
      </c>
      <c r="AO528" s="100">
        <f t="shared" si="566"/>
        <v>0</v>
      </c>
      <c r="AP528" s="100">
        <f t="shared" si="567"/>
        <v>0</v>
      </c>
      <c r="AQ528" s="111" t="s">
        <v>7</v>
      </c>
      <c r="AV528" s="100">
        <f t="shared" si="568"/>
        <v>0</v>
      </c>
      <c r="AW528" s="100">
        <f t="shared" si="569"/>
        <v>0</v>
      </c>
      <c r="AX528" s="100">
        <f t="shared" si="570"/>
        <v>0</v>
      </c>
      <c r="AY528" s="110" t="s">
        <v>1720</v>
      </c>
      <c r="AZ528" s="110" t="s">
        <v>1730</v>
      </c>
      <c r="BA528" s="109" t="s">
        <v>1737</v>
      </c>
      <c r="BC528" s="100">
        <f t="shared" si="571"/>
        <v>0</v>
      </c>
      <c r="BD528" s="100">
        <f t="shared" si="572"/>
        <v>0</v>
      </c>
      <c r="BE528" s="100">
        <v>0</v>
      </c>
      <c r="BF528" s="100">
        <f>528</f>
        <v>528</v>
      </c>
      <c r="BH528" s="108">
        <f t="shared" si="573"/>
        <v>0</v>
      </c>
      <c r="BI528" s="108">
        <f t="shared" si="574"/>
        <v>0</v>
      </c>
      <c r="BJ528" s="108">
        <f t="shared" si="575"/>
        <v>0</v>
      </c>
    </row>
    <row r="529" spans="1:62" x14ac:dyDescent="0.2">
      <c r="A529" s="117" t="s">
        <v>478</v>
      </c>
      <c r="B529" s="117" t="s">
        <v>2279</v>
      </c>
      <c r="C529" s="304" t="s">
        <v>1547</v>
      </c>
      <c r="D529" s="305"/>
      <c r="E529" s="305"/>
      <c r="F529" s="117" t="s">
        <v>1646</v>
      </c>
      <c r="G529" s="116">
        <v>100</v>
      </c>
      <c r="H529" s="159"/>
      <c r="I529" s="108">
        <f t="shared" si="552"/>
        <v>0</v>
      </c>
      <c r="J529" s="108">
        <f t="shared" si="553"/>
        <v>0</v>
      </c>
      <c r="K529" s="108">
        <f t="shared" si="554"/>
        <v>0</v>
      </c>
      <c r="L529" s="111"/>
      <c r="Z529" s="100">
        <f t="shared" si="555"/>
        <v>0</v>
      </c>
      <c r="AB529" s="100">
        <f t="shared" si="556"/>
        <v>0</v>
      </c>
      <c r="AC529" s="100">
        <f t="shared" si="557"/>
        <v>0</v>
      </c>
      <c r="AD529" s="100">
        <f t="shared" si="558"/>
        <v>0</v>
      </c>
      <c r="AE529" s="100">
        <f t="shared" si="559"/>
        <v>0</v>
      </c>
      <c r="AF529" s="100">
        <f t="shared" si="560"/>
        <v>0</v>
      </c>
      <c r="AG529" s="100">
        <f t="shared" si="561"/>
        <v>0</v>
      </c>
      <c r="AH529" s="100">
        <f t="shared" si="562"/>
        <v>0</v>
      </c>
      <c r="AI529" s="109"/>
      <c r="AJ529" s="108">
        <f t="shared" si="563"/>
        <v>0</v>
      </c>
      <c r="AK529" s="108">
        <f t="shared" si="564"/>
        <v>0</v>
      </c>
      <c r="AL529" s="108">
        <f t="shared" si="565"/>
        <v>0</v>
      </c>
      <c r="AN529" s="100">
        <v>15</v>
      </c>
      <c r="AO529" s="100">
        <f t="shared" si="566"/>
        <v>0</v>
      </c>
      <c r="AP529" s="100">
        <f t="shared" si="567"/>
        <v>0</v>
      </c>
      <c r="AQ529" s="111" t="s">
        <v>7</v>
      </c>
      <c r="AV529" s="100">
        <f t="shared" si="568"/>
        <v>0</v>
      </c>
      <c r="AW529" s="100">
        <f t="shared" si="569"/>
        <v>0</v>
      </c>
      <c r="AX529" s="100">
        <f t="shared" si="570"/>
        <v>0</v>
      </c>
      <c r="AY529" s="110" t="s">
        <v>1720</v>
      </c>
      <c r="AZ529" s="110" t="s">
        <v>1730</v>
      </c>
      <c r="BA529" s="109" t="s">
        <v>1737</v>
      </c>
      <c r="BC529" s="100">
        <f t="shared" si="571"/>
        <v>0</v>
      </c>
      <c r="BD529" s="100">
        <f t="shared" si="572"/>
        <v>0</v>
      </c>
      <c r="BE529" s="100">
        <v>0</v>
      </c>
      <c r="BF529" s="100">
        <f>529</f>
        <v>529</v>
      </c>
      <c r="BH529" s="108">
        <f t="shared" si="573"/>
        <v>0</v>
      </c>
      <c r="BI529" s="108">
        <f t="shared" si="574"/>
        <v>0</v>
      </c>
      <c r="BJ529" s="108">
        <f t="shared" si="575"/>
        <v>0</v>
      </c>
    </row>
    <row r="530" spans="1:62" x14ac:dyDescent="0.2">
      <c r="A530" s="117" t="s">
        <v>479</v>
      </c>
      <c r="B530" s="117" t="s">
        <v>2278</v>
      </c>
      <c r="C530" s="304" t="s">
        <v>1548</v>
      </c>
      <c r="D530" s="305"/>
      <c r="E530" s="305"/>
      <c r="F530" s="117" t="s">
        <v>1644</v>
      </c>
      <c r="G530" s="116">
        <v>4</v>
      </c>
      <c r="H530" s="159"/>
      <c r="I530" s="108">
        <f t="shared" si="552"/>
        <v>0</v>
      </c>
      <c r="J530" s="108">
        <f t="shared" si="553"/>
        <v>0</v>
      </c>
      <c r="K530" s="108">
        <f t="shared" si="554"/>
        <v>0</v>
      </c>
      <c r="L530" s="111"/>
      <c r="Z530" s="100">
        <f t="shared" si="555"/>
        <v>0</v>
      </c>
      <c r="AB530" s="100">
        <f t="shared" si="556"/>
        <v>0</v>
      </c>
      <c r="AC530" s="100">
        <f t="shared" si="557"/>
        <v>0</v>
      </c>
      <c r="AD530" s="100">
        <f t="shared" si="558"/>
        <v>0</v>
      </c>
      <c r="AE530" s="100">
        <f t="shared" si="559"/>
        <v>0</v>
      </c>
      <c r="AF530" s="100">
        <f t="shared" si="560"/>
        <v>0</v>
      </c>
      <c r="AG530" s="100">
        <f t="shared" si="561"/>
        <v>0</v>
      </c>
      <c r="AH530" s="100">
        <f t="shared" si="562"/>
        <v>0</v>
      </c>
      <c r="AI530" s="109"/>
      <c r="AJ530" s="108">
        <f t="shared" si="563"/>
        <v>0</v>
      </c>
      <c r="AK530" s="108">
        <f t="shared" si="564"/>
        <v>0</v>
      </c>
      <c r="AL530" s="108">
        <f t="shared" si="565"/>
        <v>0</v>
      </c>
      <c r="AN530" s="100">
        <v>15</v>
      </c>
      <c r="AO530" s="100">
        <f t="shared" si="566"/>
        <v>0</v>
      </c>
      <c r="AP530" s="100">
        <f t="shared" si="567"/>
        <v>0</v>
      </c>
      <c r="AQ530" s="111" t="s">
        <v>7</v>
      </c>
      <c r="AV530" s="100">
        <f t="shared" si="568"/>
        <v>0</v>
      </c>
      <c r="AW530" s="100">
        <f t="shared" si="569"/>
        <v>0</v>
      </c>
      <c r="AX530" s="100">
        <f t="shared" si="570"/>
        <v>0</v>
      </c>
      <c r="AY530" s="110" t="s">
        <v>1720</v>
      </c>
      <c r="AZ530" s="110" t="s">
        <v>1730</v>
      </c>
      <c r="BA530" s="109" t="s">
        <v>1737</v>
      </c>
      <c r="BC530" s="100">
        <f t="shared" si="571"/>
        <v>0</v>
      </c>
      <c r="BD530" s="100">
        <f t="shared" si="572"/>
        <v>0</v>
      </c>
      <c r="BE530" s="100">
        <v>0</v>
      </c>
      <c r="BF530" s="100">
        <f>530</f>
        <v>530</v>
      </c>
      <c r="BH530" s="108">
        <f t="shared" si="573"/>
        <v>0</v>
      </c>
      <c r="BI530" s="108">
        <f t="shared" si="574"/>
        <v>0</v>
      </c>
      <c r="BJ530" s="108">
        <f t="shared" si="575"/>
        <v>0</v>
      </c>
    </row>
    <row r="531" spans="1:62" x14ac:dyDescent="0.2">
      <c r="A531" s="117" t="s">
        <v>480</v>
      </c>
      <c r="B531" s="117" t="s">
        <v>2277</v>
      </c>
      <c r="C531" s="304" t="s">
        <v>1549</v>
      </c>
      <c r="D531" s="305"/>
      <c r="E531" s="305"/>
      <c r="F531" s="117" t="s">
        <v>1644</v>
      </c>
      <c r="G531" s="116">
        <v>5</v>
      </c>
      <c r="H531" s="159"/>
      <c r="I531" s="108">
        <f t="shared" si="552"/>
        <v>0</v>
      </c>
      <c r="J531" s="108">
        <f t="shared" si="553"/>
        <v>0</v>
      </c>
      <c r="K531" s="108">
        <f t="shared" si="554"/>
        <v>0</v>
      </c>
      <c r="L531" s="111"/>
      <c r="Z531" s="100">
        <f t="shared" si="555"/>
        <v>0</v>
      </c>
      <c r="AB531" s="100">
        <f t="shared" si="556"/>
        <v>0</v>
      </c>
      <c r="AC531" s="100">
        <f t="shared" si="557"/>
        <v>0</v>
      </c>
      <c r="AD531" s="100">
        <f t="shared" si="558"/>
        <v>0</v>
      </c>
      <c r="AE531" s="100">
        <f t="shared" si="559"/>
        <v>0</v>
      </c>
      <c r="AF531" s="100">
        <f t="shared" si="560"/>
        <v>0</v>
      </c>
      <c r="AG531" s="100">
        <f t="shared" si="561"/>
        <v>0</v>
      </c>
      <c r="AH531" s="100">
        <f t="shared" si="562"/>
        <v>0</v>
      </c>
      <c r="AI531" s="109"/>
      <c r="AJ531" s="108">
        <f t="shared" si="563"/>
        <v>0</v>
      </c>
      <c r="AK531" s="108">
        <f t="shared" si="564"/>
        <v>0</v>
      </c>
      <c r="AL531" s="108">
        <f t="shared" si="565"/>
        <v>0</v>
      </c>
      <c r="AN531" s="100">
        <v>15</v>
      </c>
      <c r="AO531" s="100">
        <f t="shared" si="566"/>
        <v>0</v>
      </c>
      <c r="AP531" s="100">
        <f t="shared" si="567"/>
        <v>0</v>
      </c>
      <c r="AQ531" s="111" t="s">
        <v>7</v>
      </c>
      <c r="AV531" s="100">
        <f t="shared" si="568"/>
        <v>0</v>
      </c>
      <c r="AW531" s="100">
        <f t="shared" si="569"/>
        <v>0</v>
      </c>
      <c r="AX531" s="100">
        <f t="shared" si="570"/>
        <v>0</v>
      </c>
      <c r="AY531" s="110" t="s">
        <v>1720</v>
      </c>
      <c r="AZ531" s="110" t="s">
        <v>1730</v>
      </c>
      <c r="BA531" s="109" t="s">
        <v>1737</v>
      </c>
      <c r="BC531" s="100">
        <f t="shared" si="571"/>
        <v>0</v>
      </c>
      <c r="BD531" s="100">
        <f t="shared" si="572"/>
        <v>0</v>
      </c>
      <c r="BE531" s="100">
        <v>0</v>
      </c>
      <c r="BF531" s="100">
        <f>531</f>
        <v>531</v>
      </c>
      <c r="BH531" s="108">
        <f t="shared" si="573"/>
        <v>0</v>
      </c>
      <c r="BI531" s="108">
        <f t="shared" si="574"/>
        <v>0</v>
      </c>
      <c r="BJ531" s="108">
        <f t="shared" si="575"/>
        <v>0</v>
      </c>
    </row>
    <row r="532" spans="1:62" x14ac:dyDescent="0.2">
      <c r="A532" s="117" t="s">
        <v>481</v>
      </c>
      <c r="B532" s="117" t="s">
        <v>2276</v>
      </c>
      <c r="C532" s="304" t="s">
        <v>1550</v>
      </c>
      <c r="D532" s="305"/>
      <c r="E532" s="305"/>
      <c r="F532" s="117" t="s">
        <v>1646</v>
      </c>
      <c r="G532" s="116">
        <v>80</v>
      </c>
      <c r="H532" s="159"/>
      <c r="I532" s="108">
        <f t="shared" si="552"/>
        <v>0</v>
      </c>
      <c r="J532" s="108">
        <f t="shared" si="553"/>
        <v>0</v>
      </c>
      <c r="K532" s="108">
        <f t="shared" si="554"/>
        <v>0</v>
      </c>
      <c r="L532" s="111"/>
      <c r="Z532" s="100">
        <f t="shared" si="555"/>
        <v>0</v>
      </c>
      <c r="AB532" s="100">
        <f t="shared" si="556"/>
        <v>0</v>
      </c>
      <c r="AC532" s="100">
        <f t="shared" si="557"/>
        <v>0</v>
      </c>
      <c r="AD532" s="100">
        <f t="shared" si="558"/>
        <v>0</v>
      </c>
      <c r="AE532" s="100">
        <f t="shared" si="559"/>
        <v>0</v>
      </c>
      <c r="AF532" s="100">
        <f t="shared" si="560"/>
        <v>0</v>
      </c>
      <c r="AG532" s="100">
        <f t="shared" si="561"/>
        <v>0</v>
      </c>
      <c r="AH532" s="100">
        <f t="shared" si="562"/>
        <v>0</v>
      </c>
      <c r="AI532" s="109"/>
      <c r="AJ532" s="108">
        <f t="shared" si="563"/>
        <v>0</v>
      </c>
      <c r="AK532" s="108">
        <f t="shared" si="564"/>
        <v>0</v>
      </c>
      <c r="AL532" s="108">
        <f t="shared" si="565"/>
        <v>0</v>
      </c>
      <c r="AN532" s="100">
        <v>15</v>
      </c>
      <c r="AO532" s="100">
        <f t="shared" si="566"/>
        <v>0</v>
      </c>
      <c r="AP532" s="100">
        <f t="shared" si="567"/>
        <v>0</v>
      </c>
      <c r="AQ532" s="111" t="s">
        <v>7</v>
      </c>
      <c r="AV532" s="100">
        <f t="shared" si="568"/>
        <v>0</v>
      </c>
      <c r="AW532" s="100">
        <f t="shared" si="569"/>
        <v>0</v>
      </c>
      <c r="AX532" s="100">
        <f t="shared" si="570"/>
        <v>0</v>
      </c>
      <c r="AY532" s="110" t="s">
        <v>1720</v>
      </c>
      <c r="AZ532" s="110" t="s">
        <v>1730</v>
      </c>
      <c r="BA532" s="109" t="s">
        <v>1737</v>
      </c>
      <c r="BC532" s="100">
        <f t="shared" si="571"/>
        <v>0</v>
      </c>
      <c r="BD532" s="100">
        <f t="shared" si="572"/>
        <v>0</v>
      </c>
      <c r="BE532" s="100">
        <v>0</v>
      </c>
      <c r="BF532" s="100">
        <f>532</f>
        <v>532</v>
      </c>
      <c r="BH532" s="108">
        <f t="shared" si="573"/>
        <v>0</v>
      </c>
      <c r="BI532" s="108">
        <f t="shared" si="574"/>
        <v>0</v>
      </c>
      <c r="BJ532" s="108">
        <f t="shared" si="575"/>
        <v>0</v>
      </c>
    </row>
    <row r="533" spans="1:62" x14ac:dyDescent="0.2">
      <c r="A533" s="117" t="s">
        <v>482</v>
      </c>
      <c r="B533" s="117" t="s">
        <v>2275</v>
      </c>
      <c r="C533" s="304" t="s">
        <v>1551</v>
      </c>
      <c r="D533" s="305"/>
      <c r="E533" s="305"/>
      <c r="F533" s="117" t="s">
        <v>1644</v>
      </c>
      <c r="G533" s="116">
        <v>1</v>
      </c>
      <c r="H533" s="159"/>
      <c r="I533" s="108">
        <f t="shared" si="552"/>
        <v>0</v>
      </c>
      <c r="J533" s="108">
        <f t="shared" si="553"/>
        <v>0</v>
      </c>
      <c r="K533" s="108">
        <f t="shared" si="554"/>
        <v>0</v>
      </c>
      <c r="L533" s="111"/>
      <c r="Z533" s="100">
        <f t="shared" si="555"/>
        <v>0</v>
      </c>
      <c r="AB533" s="100">
        <f t="shared" si="556"/>
        <v>0</v>
      </c>
      <c r="AC533" s="100">
        <f t="shared" si="557"/>
        <v>0</v>
      </c>
      <c r="AD533" s="100">
        <f t="shared" si="558"/>
        <v>0</v>
      </c>
      <c r="AE533" s="100">
        <f t="shared" si="559"/>
        <v>0</v>
      </c>
      <c r="AF533" s="100">
        <f t="shared" si="560"/>
        <v>0</v>
      </c>
      <c r="AG533" s="100">
        <f t="shared" si="561"/>
        <v>0</v>
      </c>
      <c r="AH533" s="100">
        <f t="shared" si="562"/>
        <v>0</v>
      </c>
      <c r="AI533" s="109"/>
      <c r="AJ533" s="108">
        <f t="shared" si="563"/>
        <v>0</v>
      </c>
      <c r="AK533" s="108">
        <f t="shared" si="564"/>
        <v>0</v>
      </c>
      <c r="AL533" s="108">
        <f t="shared" si="565"/>
        <v>0</v>
      </c>
      <c r="AN533" s="100">
        <v>15</v>
      </c>
      <c r="AO533" s="100">
        <f t="shared" si="566"/>
        <v>0</v>
      </c>
      <c r="AP533" s="100">
        <f t="shared" si="567"/>
        <v>0</v>
      </c>
      <c r="AQ533" s="111" t="s">
        <v>7</v>
      </c>
      <c r="AV533" s="100">
        <f t="shared" si="568"/>
        <v>0</v>
      </c>
      <c r="AW533" s="100">
        <f t="shared" si="569"/>
        <v>0</v>
      </c>
      <c r="AX533" s="100">
        <f t="shared" si="570"/>
        <v>0</v>
      </c>
      <c r="AY533" s="110" t="s">
        <v>1720</v>
      </c>
      <c r="AZ533" s="110" t="s">
        <v>1730</v>
      </c>
      <c r="BA533" s="109" t="s">
        <v>1737</v>
      </c>
      <c r="BC533" s="100">
        <f t="shared" si="571"/>
        <v>0</v>
      </c>
      <c r="BD533" s="100">
        <f t="shared" si="572"/>
        <v>0</v>
      </c>
      <c r="BE533" s="100">
        <v>0</v>
      </c>
      <c r="BF533" s="100">
        <f>533</f>
        <v>533</v>
      </c>
      <c r="BH533" s="108">
        <f t="shared" si="573"/>
        <v>0</v>
      </c>
      <c r="BI533" s="108">
        <f t="shared" si="574"/>
        <v>0</v>
      </c>
      <c r="BJ533" s="108">
        <f t="shared" si="575"/>
        <v>0</v>
      </c>
    </row>
    <row r="534" spans="1:62" x14ac:dyDescent="0.2">
      <c r="A534" s="117" t="s">
        <v>483</v>
      </c>
      <c r="B534" s="117" t="s">
        <v>2274</v>
      </c>
      <c r="C534" s="304" t="s">
        <v>1552</v>
      </c>
      <c r="D534" s="305"/>
      <c r="E534" s="305"/>
      <c r="F534" s="117" t="s">
        <v>1644</v>
      </c>
      <c r="G534" s="116">
        <v>1</v>
      </c>
      <c r="H534" s="159"/>
      <c r="I534" s="108">
        <f t="shared" si="552"/>
        <v>0</v>
      </c>
      <c r="J534" s="108">
        <f t="shared" si="553"/>
        <v>0</v>
      </c>
      <c r="K534" s="108">
        <f t="shared" si="554"/>
        <v>0</v>
      </c>
      <c r="L534" s="111"/>
      <c r="Z534" s="100">
        <f t="shared" si="555"/>
        <v>0</v>
      </c>
      <c r="AB534" s="100">
        <f t="shared" si="556"/>
        <v>0</v>
      </c>
      <c r="AC534" s="100">
        <f t="shared" si="557"/>
        <v>0</v>
      </c>
      <c r="AD534" s="100">
        <f t="shared" si="558"/>
        <v>0</v>
      </c>
      <c r="AE534" s="100">
        <f t="shared" si="559"/>
        <v>0</v>
      </c>
      <c r="AF534" s="100">
        <f t="shared" si="560"/>
        <v>0</v>
      </c>
      <c r="AG534" s="100">
        <f t="shared" si="561"/>
        <v>0</v>
      </c>
      <c r="AH534" s="100">
        <f t="shared" si="562"/>
        <v>0</v>
      </c>
      <c r="AI534" s="109"/>
      <c r="AJ534" s="108">
        <f t="shared" si="563"/>
        <v>0</v>
      </c>
      <c r="AK534" s="108">
        <f t="shared" si="564"/>
        <v>0</v>
      </c>
      <c r="AL534" s="108">
        <f t="shared" si="565"/>
        <v>0</v>
      </c>
      <c r="AN534" s="100">
        <v>15</v>
      </c>
      <c r="AO534" s="100">
        <f t="shared" si="566"/>
        <v>0</v>
      </c>
      <c r="AP534" s="100">
        <f t="shared" si="567"/>
        <v>0</v>
      </c>
      <c r="AQ534" s="111" t="s">
        <v>7</v>
      </c>
      <c r="AV534" s="100">
        <f t="shared" si="568"/>
        <v>0</v>
      </c>
      <c r="AW534" s="100">
        <f t="shared" si="569"/>
        <v>0</v>
      </c>
      <c r="AX534" s="100">
        <f t="shared" si="570"/>
        <v>0</v>
      </c>
      <c r="AY534" s="110" t="s">
        <v>1720</v>
      </c>
      <c r="AZ534" s="110" t="s">
        <v>1730</v>
      </c>
      <c r="BA534" s="109" t="s">
        <v>1737</v>
      </c>
      <c r="BC534" s="100">
        <f t="shared" si="571"/>
        <v>0</v>
      </c>
      <c r="BD534" s="100">
        <f t="shared" si="572"/>
        <v>0</v>
      </c>
      <c r="BE534" s="100">
        <v>0</v>
      </c>
      <c r="BF534" s="100">
        <f>534</f>
        <v>534</v>
      </c>
      <c r="BH534" s="108">
        <f t="shared" si="573"/>
        <v>0</v>
      </c>
      <c r="BI534" s="108">
        <f t="shared" si="574"/>
        <v>0</v>
      </c>
      <c r="BJ534" s="108">
        <f t="shared" si="575"/>
        <v>0</v>
      </c>
    </row>
    <row r="535" spans="1:62" x14ac:dyDescent="0.2">
      <c r="A535" s="117" t="s">
        <v>484</v>
      </c>
      <c r="B535" s="117" t="s">
        <v>2273</v>
      </c>
      <c r="C535" s="304" t="s">
        <v>1553</v>
      </c>
      <c r="D535" s="305"/>
      <c r="E535" s="305"/>
      <c r="F535" s="117" t="s">
        <v>1644</v>
      </c>
      <c r="G535" s="116">
        <v>1</v>
      </c>
      <c r="H535" s="159"/>
      <c r="I535" s="108">
        <f t="shared" si="552"/>
        <v>0</v>
      </c>
      <c r="J535" s="108">
        <f t="shared" si="553"/>
        <v>0</v>
      </c>
      <c r="K535" s="108">
        <f t="shared" si="554"/>
        <v>0</v>
      </c>
      <c r="L535" s="111"/>
      <c r="Z535" s="100">
        <f t="shared" si="555"/>
        <v>0</v>
      </c>
      <c r="AB535" s="100">
        <f t="shared" si="556"/>
        <v>0</v>
      </c>
      <c r="AC535" s="100">
        <f t="shared" si="557"/>
        <v>0</v>
      </c>
      <c r="AD535" s="100">
        <f t="shared" si="558"/>
        <v>0</v>
      </c>
      <c r="AE535" s="100">
        <f t="shared" si="559"/>
        <v>0</v>
      </c>
      <c r="AF535" s="100">
        <f t="shared" si="560"/>
        <v>0</v>
      </c>
      <c r="AG535" s="100">
        <f t="shared" si="561"/>
        <v>0</v>
      </c>
      <c r="AH535" s="100">
        <f t="shared" si="562"/>
        <v>0</v>
      </c>
      <c r="AI535" s="109"/>
      <c r="AJ535" s="108">
        <f t="shared" si="563"/>
        <v>0</v>
      </c>
      <c r="AK535" s="108">
        <f t="shared" si="564"/>
        <v>0</v>
      </c>
      <c r="AL535" s="108">
        <f t="shared" si="565"/>
        <v>0</v>
      </c>
      <c r="AN535" s="100">
        <v>15</v>
      </c>
      <c r="AO535" s="100">
        <f t="shared" si="566"/>
        <v>0</v>
      </c>
      <c r="AP535" s="100">
        <f t="shared" si="567"/>
        <v>0</v>
      </c>
      <c r="AQ535" s="111" t="s">
        <v>7</v>
      </c>
      <c r="AV535" s="100">
        <f t="shared" si="568"/>
        <v>0</v>
      </c>
      <c r="AW535" s="100">
        <f t="shared" si="569"/>
        <v>0</v>
      </c>
      <c r="AX535" s="100">
        <f t="shared" si="570"/>
        <v>0</v>
      </c>
      <c r="AY535" s="110" t="s">
        <v>1720</v>
      </c>
      <c r="AZ535" s="110" t="s">
        <v>1730</v>
      </c>
      <c r="BA535" s="109" t="s">
        <v>1737</v>
      </c>
      <c r="BC535" s="100">
        <f t="shared" si="571"/>
        <v>0</v>
      </c>
      <c r="BD535" s="100">
        <f t="shared" si="572"/>
        <v>0</v>
      </c>
      <c r="BE535" s="100">
        <v>0</v>
      </c>
      <c r="BF535" s="100">
        <f>535</f>
        <v>535</v>
      </c>
      <c r="BH535" s="108">
        <f t="shared" si="573"/>
        <v>0</v>
      </c>
      <c r="BI535" s="108">
        <f t="shared" si="574"/>
        <v>0</v>
      </c>
      <c r="BJ535" s="108">
        <f t="shared" si="575"/>
        <v>0</v>
      </c>
    </row>
    <row r="536" spans="1:62" x14ac:dyDescent="0.2">
      <c r="A536" s="117" t="s">
        <v>485</v>
      </c>
      <c r="B536" s="117" t="s">
        <v>2272</v>
      </c>
      <c r="C536" s="304" t="s">
        <v>1554</v>
      </c>
      <c r="D536" s="305"/>
      <c r="E536" s="305"/>
      <c r="F536" s="117" t="s">
        <v>1644</v>
      </c>
      <c r="G536" s="116">
        <v>1</v>
      </c>
      <c r="H536" s="159"/>
      <c r="I536" s="108">
        <f t="shared" si="552"/>
        <v>0</v>
      </c>
      <c r="J536" s="108">
        <f t="shared" si="553"/>
        <v>0</v>
      </c>
      <c r="K536" s="108">
        <f t="shared" si="554"/>
        <v>0</v>
      </c>
      <c r="L536" s="111"/>
      <c r="Z536" s="100">
        <f t="shared" si="555"/>
        <v>0</v>
      </c>
      <c r="AB536" s="100">
        <f t="shared" si="556"/>
        <v>0</v>
      </c>
      <c r="AC536" s="100">
        <f t="shared" si="557"/>
        <v>0</v>
      </c>
      <c r="AD536" s="100">
        <f t="shared" si="558"/>
        <v>0</v>
      </c>
      <c r="AE536" s="100">
        <f t="shared" si="559"/>
        <v>0</v>
      </c>
      <c r="AF536" s="100">
        <f t="shared" si="560"/>
        <v>0</v>
      </c>
      <c r="AG536" s="100">
        <f t="shared" si="561"/>
        <v>0</v>
      </c>
      <c r="AH536" s="100">
        <f t="shared" si="562"/>
        <v>0</v>
      </c>
      <c r="AI536" s="109"/>
      <c r="AJ536" s="108">
        <f t="shared" si="563"/>
        <v>0</v>
      </c>
      <c r="AK536" s="108">
        <f t="shared" si="564"/>
        <v>0</v>
      </c>
      <c r="AL536" s="108">
        <f t="shared" si="565"/>
        <v>0</v>
      </c>
      <c r="AN536" s="100">
        <v>15</v>
      </c>
      <c r="AO536" s="100">
        <f t="shared" si="566"/>
        <v>0</v>
      </c>
      <c r="AP536" s="100">
        <f t="shared" si="567"/>
        <v>0</v>
      </c>
      <c r="AQ536" s="111" t="s">
        <v>7</v>
      </c>
      <c r="AV536" s="100">
        <f t="shared" si="568"/>
        <v>0</v>
      </c>
      <c r="AW536" s="100">
        <f t="shared" si="569"/>
        <v>0</v>
      </c>
      <c r="AX536" s="100">
        <f t="shared" si="570"/>
        <v>0</v>
      </c>
      <c r="AY536" s="110" t="s">
        <v>1720</v>
      </c>
      <c r="AZ536" s="110" t="s">
        <v>1730</v>
      </c>
      <c r="BA536" s="109" t="s">
        <v>1737</v>
      </c>
      <c r="BC536" s="100">
        <f t="shared" si="571"/>
        <v>0</v>
      </c>
      <c r="BD536" s="100">
        <f t="shared" si="572"/>
        <v>0</v>
      </c>
      <c r="BE536" s="100">
        <v>0</v>
      </c>
      <c r="BF536" s="100">
        <f>536</f>
        <v>536</v>
      </c>
      <c r="BH536" s="108">
        <f t="shared" si="573"/>
        <v>0</v>
      </c>
      <c r="BI536" s="108">
        <f t="shared" si="574"/>
        <v>0</v>
      </c>
      <c r="BJ536" s="108">
        <f t="shared" si="575"/>
        <v>0</v>
      </c>
    </row>
    <row r="537" spans="1:62" x14ac:dyDescent="0.2">
      <c r="A537" s="117" t="s">
        <v>486</v>
      </c>
      <c r="B537" s="117" t="s">
        <v>2271</v>
      </c>
      <c r="C537" s="304" t="s">
        <v>1555</v>
      </c>
      <c r="D537" s="305"/>
      <c r="E537" s="305"/>
      <c r="F537" s="117" t="s">
        <v>1644</v>
      </c>
      <c r="G537" s="116">
        <v>1</v>
      </c>
      <c r="H537" s="159"/>
      <c r="I537" s="108">
        <f t="shared" si="552"/>
        <v>0</v>
      </c>
      <c r="J537" s="108">
        <f t="shared" si="553"/>
        <v>0</v>
      </c>
      <c r="K537" s="108">
        <f t="shared" si="554"/>
        <v>0</v>
      </c>
      <c r="L537" s="111"/>
      <c r="Z537" s="100">
        <f t="shared" si="555"/>
        <v>0</v>
      </c>
      <c r="AB537" s="100">
        <f t="shared" si="556"/>
        <v>0</v>
      </c>
      <c r="AC537" s="100">
        <f t="shared" si="557"/>
        <v>0</v>
      </c>
      <c r="AD537" s="100">
        <f t="shared" si="558"/>
        <v>0</v>
      </c>
      <c r="AE537" s="100">
        <f t="shared" si="559"/>
        <v>0</v>
      </c>
      <c r="AF537" s="100">
        <f t="shared" si="560"/>
        <v>0</v>
      </c>
      <c r="AG537" s="100">
        <f t="shared" si="561"/>
        <v>0</v>
      </c>
      <c r="AH537" s="100">
        <f t="shared" si="562"/>
        <v>0</v>
      </c>
      <c r="AI537" s="109"/>
      <c r="AJ537" s="108">
        <f t="shared" si="563"/>
        <v>0</v>
      </c>
      <c r="AK537" s="108">
        <f t="shared" si="564"/>
        <v>0</v>
      </c>
      <c r="AL537" s="108">
        <f t="shared" si="565"/>
        <v>0</v>
      </c>
      <c r="AN537" s="100">
        <v>15</v>
      </c>
      <c r="AO537" s="100">
        <f t="shared" si="566"/>
        <v>0</v>
      </c>
      <c r="AP537" s="100">
        <f t="shared" si="567"/>
        <v>0</v>
      </c>
      <c r="AQ537" s="111" t="s">
        <v>7</v>
      </c>
      <c r="AV537" s="100">
        <f t="shared" si="568"/>
        <v>0</v>
      </c>
      <c r="AW537" s="100">
        <f t="shared" si="569"/>
        <v>0</v>
      </c>
      <c r="AX537" s="100">
        <f t="shared" si="570"/>
        <v>0</v>
      </c>
      <c r="AY537" s="110" t="s">
        <v>1720</v>
      </c>
      <c r="AZ537" s="110" t="s">
        <v>1730</v>
      </c>
      <c r="BA537" s="109" t="s">
        <v>1737</v>
      </c>
      <c r="BC537" s="100">
        <f t="shared" si="571"/>
        <v>0</v>
      </c>
      <c r="BD537" s="100">
        <f t="shared" si="572"/>
        <v>0</v>
      </c>
      <c r="BE537" s="100">
        <v>0</v>
      </c>
      <c r="BF537" s="100">
        <f>537</f>
        <v>537</v>
      </c>
      <c r="BH537" s="108">
        <f t="shared" si="573"/>
        <v>0</v>
      </c>
      <c r="BI537" s="108">
        <f t="shared" si="574"/>
        <v>0</v>
      </c>
      <c r="BJ537" s="108">
        <f t="shared" si="575"/>
        <v>0</v>
      </c>
    </row>
    <row r="538" spans="1:62" x14ac:dyDescent="0.2">
      <c r="A538" s="119"/>
      <c r="B538" s="120" t="s">
        <v>967</v>
      </c>
      <c r="C538" s="306" t="s">
        <v>1556</v>
      </c>
      <c r="D538" s="307"/>
      <c r="E538" s="307"/>
      <c r="F538" s="119" t="s">
        <v>6</v>
      </c>
      <c r="G538" s="119" t="s">
        <v>6</v>
      </c>
      <c r="H538" s="119" t="s">
        <v>6</v>
      </c>
      <c r="I538" s="118">
        <f>SUM(I539:I540)</f>
        <v>0</v>
      </c>
      <c r="J538" s="118">
        <f>SUM(J539:J540)</f>
        <v>0</v>
      </c>
      <c r="K538" s="118">
        <f>SUM(K539:K540)</f>
        <v>0</v>
      </c>
      <c r="L538" s="109"/>
      <c r="AI538" s="109"/>
      <c r="AS538" s="118">
        <f>SUM(AJ539:AJ540)</f>
        <v>0</v>
      </c>
      <c r="AT538" s="118">
        <f>SUM(AK539:AK540)</f>
        <v>0</v>
      </c>
      <c r="AU538" s="118">
        <f>SUM(AL539:AL540)</f>
        <v>0</v>
      </c>
    </row>
    <row r="539" spans="1:62" x14ac:dyDescent="0.2">
      <c r="A539" s="117" t="s">
        <v>487</v>
      </c>
      <c r="B539" s="117" t="s">
        <v>968</v>
      </c>
      <c r="C539" s="304" t="s">
        <v>1557</v>
      </c>
      <c r="D539" s="305"/>
      <c r="E539" s="305"/>
      <c r="F539" s="117" t="s">
        <v>1644</v>
      </c>
      <c r="G539" s="116">
        <v>1</v>
      </c>
      <c r="H539" s="159"/>
      <c r="I539" s="108">
        <f>G539*AO539</f>
        <v>0</v>
      </c>
      <c r="J539" s="108">
        <f>G539*AP539</f>
        <v>0</v>
      </c>
      <c r="K539" s="108">
        <f>G539*H539</f>
        <v>0</v>
      </c>
      <c r="L539" s="111" t="s">
        <v>1671</v>
      </c>
      <c r="Z539" s="100">
        <f>IF(AQ539="5",BJ539,0)</f>
        <v>0</v>
      </c>
      <c r="AB539" s="100">
        <f>IF(AQ539="1",BH539,0)</f>
        <v>0</v>
      </c>
      <c r="AC539" s="100">
        <f>IF(AQ539="1",BI539,0)</f>
        <v>0</v>
      </c>
      <c r="AD539" s="100">
        <f>IF(AQ539="7",BH539,0)</f>
        <v>0</v>
      </c>
      <c r="AE539" s="100">
        <f>IF(AQ539="7",BI539,0)</f>
        <v>0</v>
      </c>
      <c r="AF539" s="100">
        <f>IF(AQ539="2",BH539,0)</f>
        <v>0</v>
      </c>
      <c r="AG539" s="100">
        <f>IF(AQ539="2",BI539,0)</f>
        <v>0</v>
      </c>
      <c r="AH539" s="100">
        <f>IF(AQ539="0",BJ539,0)</f>
        <v>0</v>
      </c>
      <c r="AI539" s="109"/>
      <c r="AJ539" s="108">
        <f>IF(AN539=0,K539,0)</f>
        <v>0</v>
      </c>
      <c r="AK539" s="108">
        <f>IF(AN539=15,K539,0)</f>
        <v>0</v>
      </c>
      <c r="AL539" s="108">
        <f>IF(AN539=21,K539,0)</f>
        <v>0</v>
      </c>
      <c r="AN539" s="100">
        <v>15</v>
      </c>
      <c r="AO539" s="100">
        <f>H539*0</f>
        <v>0</v>
      </c>
      <c r="AP539" s="100">
        <f>H539*(1-0)</f>
        <v>0</v>
      </c>
      <c r="AQ539" s="111" t="s">
        <v>8</v>
      </c>
      <c r="AV539" s="100">
        <f>AW539+AX539</f>
        <v>0</v>
      </c>
      <c r="AW539" s="100">
        <f>G539*AO539</f>
        <v>0</v>
      </c>
      <c r="AX539" s="100">
        <f>G539*AP539</f>
        <v>0</v>
      </c>
      <c r="AY539" s="110" t="s">
        <v>1721</v>
      </c>
      <c r="AZ539" s="110" t="s">
        <v>1730</v>
      </c>
      <c r="BA539" s="109" t="s">
        <v>1737</v>
      </c>
      <c r="BC539" s="100">
        <f>AW539+AX539</f>
        <v>0</v>
      </c>
      <c r="BD539" s="100">
        <f>H539/(100-BE539)*100</f>
        <v>0</v>
      </c>
      <c r="BE539" s="100">
        <v>0</v>
      </c>
      <c r="BF539" s="100">
        <f>539</f>
        <v>539</v>
      </c>
      <c r="BH539" s="108">
        <f>G539*AO539</f>
        <v>0</v>
      </c>
      <c r="BI539" s="108">
        <f>G539*AP539</f>
        <v>0</v>
      </c>
      <c r="BJ539" s="108">
        <f>G539*H539</f>
        <v>0</v>
      </c>
    </row>
    <row r="540" spans="1:62" x14ac:dyDescent="0.2">
      <c r="A540" s="117" t="s">
        <v>488</v>
      </c>
      <c r="B540" s="117" t="s">
        <v>969</v>
      </c>
      <c r="C540" s="304" t="s">
        <v>1558</v>
      </c>
      <c r="D540" s="305"/>
      <c r="E540" s="305"/>
      <c r="F540" s="117" t="s">
        <v>1644</v>
      </c>
      <c r="G540" s="116">
        <v>1</v>
      </c>
      <c r="H540" s="159"/>
      <c r="I540" s="108">
        <f>G540*AO540</f>
        <v>0</v>
      </c>
      <c r="J540" s="108">
        <f>G540*AP540</f>
        <v>0</v>
      </c>
      <c r="K540" s="108">
        <f>G540*H540</f>
        <v>0</v>
      </c>
      <c r="L540" s="111" t="s">
        <v>1671</v>
      </c>
      <c r="Z540" s="100">
        <f>IF(AQ540="5",BJ540,0)</f>
        <v>0</v>
      </c>
      <c r="AB540" s="100">
        <f>IF(AQ540="1",BH540,0)</f>
        <v>0</v>
      </c>
      <c r="AC540" s="100">
        <f>IF(AQ540="1",BI540,0)</f>
        <v>0</v>
      </c>
      <c r="AD540" s="100">
        <f>IF(AQ540="7",BH540,0)</f>
        <v>0</v>
      </c>
      <c r="AE540" s="100">
        <f>IF(AQ540="7",BI540,0)</f>
        <v>0</v>
      </c>
      <c r="AF540" s="100">
        <f>IF(AQ540="2",BH540,0)</f>
        <v>0</v>
      </c>
      <c r="AG540" s="100">
        <f>IF(AQ540="2",BI540,0)</f>
        <v>0</v>
      </c>
      <c r="AH540" s="100">
        <f>IF(AQ540="0",BJ540,0)</f>
        <v>0</v>
      </c>
      <c r="AI540" s="109"/>
      <c r="AJ540" s="108">
        <f>IF(AN540=0,K540,0)</f>
        <v>0</v>
      </c>
      <c r="AK540" s="108">
        <f>IF(AN540=15,K540,0)</f>
        <v>0</v>
      </c>
      <c r="AL540" s="108">
        <f>IF(AN540=21,K540,0)</f>
        <v>0</v>
      </c>
      <c r="AN540" s="100">
        <v>15</v>
      </c>
      <c r="AO540" s="100">
        <f>H540*0</f>
        <v>0</v>
      </c>
      <c r="AP540" s="100">
        <f>H540*(1-0)</f>
        <v>0</v>
      </c>
      <c r="AQ540" s="111" t="s">
        <v>8</v>
      </c>
      <c r="AV540" s="100">
        <f>AW540+AX540</f>
        <v>0</v>
      </c>
      <c r="AW540" s="100">
        <f>G540*AO540</f>
        <v>0</v>
      </c>
      <c r="AX540" s="100">
        <f>G540*AP540</f>
        <v>0</v>
      </c>
      <c r="AY540" s="110" t="s">
        <v>1721</v>
      </c>
      <c r="AZ540" s="110" t="s">
        <v>1730</v>
      </c>
      <c r="BA540" s="109" t="s">
        <v>1737</v>
      </c>
      <c r="BC540" s="100">
        <f>AW540+AX540</f>
        <v>0</v>
      </c>
      <c r="BD540" s="100">
        <f>H540/(100-BE540)*100</f>
        <v>0</v>
      </c>
      <c r="BE540" s="100">
        <v>0</v>
      </c>
      <c r="BF540" s="100">
        <f>540</f>
        <v>540</v>
      </c>
      <c r="BH540" s="108">
        <f>G540*AO540</f>
        <v>0</v>
      </c>
      <c r="BI540" s="108">
        <f>G540*AP540</f>
        <v>0</v>
      </c>
      <c r="BJ540" s="108">
        <f>G540*H540</f>
        <v>0</v>
      </c>
    </row>
    <row r="541" spans="1:62" x14ac:dyDescent="0.2">
      <c r="A541" s="119"/>
      <c r="B541" s="120" t="s">
        <v>970</v>
      </c>
      <c r="C541" s="306" t="s">
        <v>1559</v>
      </c>
      <c r="D541" s="307"/>
      <c r="E541" s="307"/>
      <c r="F541" s="119" t="s">
        <v>6</v>
      </c>
      <c r="G541" s="119" t="s">
        <v>6</v>
      </c>
      <c r="H541" s="119" t="s">
        <v>6</v>
      </c>
      <c r="I541" s="118">
        <f>SUM(I542:I616)</f>
        <v>0</v>
      </c>
      <c r="J541" s="118">
        <f>SUM(J542:J616)</f>
        <v>0</v>
      </c>
      <c r="K541" s="118">
        <f>SUM(K542:K616)</f>
        <v>0</v>
      </c>
      <c r="L541" s="109"/>
      <c r="AI541" s="109"/>
      <c r="AS541" s="118">
        <f>SUM(AJ542:AJ616)</f>
        <v>0</v>
      </c>
      <c r="AT541" s="118">
        <f>SUM(AK542:AK616)</f>
        <v>0</v>
      </c>
      <c r="AU541" s="118">
        <f>SUM(AL542:AL616)</f>
        <v>0</v>
      </c>
    </row>
    <row r="542" spans="1:62" x14ac:dyDescent="0.2">
      <c r="A542" s="117" t="s">
        <v>489</v>
      </c>
      <c r="B542" s="117" t="s">
        <v>2270</v>
      </c>
      <c r="C542" s="304" t="s">
        <v>1560</v>
      </c>
      <c r="D542" s="305"/>
      <c r="E542" s="305"/>
      <c r="F542" s="117" t="s">
        <v>1644</v>
      </c>
      <c r="G542" s="116">
        <v>1</v>
      </c>
      <c r="H542" s="159"/>
      <c r="I542" s="108">
        <f t="shared" ref="I542:I573" si="576">G542*AO542</f>
        <v>0</v>
      </c>
      <c r="J542" s="108">
        <f t="shared" ref="J542:J573" si="577">G542*AP542</f>
        <v>0</v>
      </c>
      <c r="K542" s="108">
        <f t="shared" ref="K542:K573" si="578">G542*H542</f>
        <v>0</v>
      </c>
      <c r="L542" s="111"/>
      <c r="Z542" s="100">
        <f t="shared" ref="Z542:Z573" si="579">IF(AQ542="5",BJ542,0)</f>
        <v>0</v>
      </c>
      <c r="AB542" s="100">
        <f t="shared" ref="AB542:AB573" si="580">IF(AQ542="1",BH542,0)</f>
        <v>0</v>
      </c>
      <c r="AC542" s="100">
        <f t="shared" ref="AC542:AC573" si="581">IF(AQ542="1",BI542,0)</f>
        <v>0</v>
      </c>
      <c r="AD542" s="100">
        <f t="shared" ref="AD542:AD573" si="582">IF(AQ542="7",BH542,0)</f>
        <v>0</v>
      </c>
      <c r="AE542" s="100">
        <f t="shared" ref="AE542:AE573" si="583">IF(AQ542="7",BI542,0)</f>
        <v>0</v>
      </c>
      <c r="AF542" s="100">
        <f t="shared" ref="AF542:AF573" si="584">IF(AQ542="2",BH542,0)</f>
        <v>0</v>
      </c>
      <c r="AG542" s="100">
        <f t="shared" ref="AG542:AG573" si="585">IF(AQ542="2",BI542,0)</f>
        <v>0</v>
      </c>
      <c r="AH542" s="100">
        <f t="shared" ref="AH542:AH573" si="586">IF(AQ542="0",BJ542,0)</f>
        <v>0</v>
      </c>
      <c r="AI542" s="109"/>
      <c r="AJ542" s="108">
        <f t="shared" ref="AJ542:AJ573" si="587">IF(AN542=0,K542,0)</f>
        <v>0</v>
      </c>
      <c r="AK542" s="108">
        <f t="shared" ref="AK542:AK573" si="588">IF(AN542=15,K542,0)</f>
        <v>0</v>
      </c>
      <c r="AL542" s="108">
        <f t="shared" ref="AL542:AL573" si="589">IF(AN542=21,K542,0)</f>
        <v>0</v>
      </c>
      <c r="AN542" s="100">
        <v>15</v>
      </c>
      <c r="AO542" s="100">
        <f t="shared" ref="AO542:AO573" si="590">H542*0</f>
        <v>0</v>
      </c>
      <c r="AP542" s="100">
        <f t="shared" ref="AP542:AP573" si="591">H542*(1-0)</f>
        <v>0</v>
      </c>
      <c r="AQ542" s="111" t="s">
        <v>7</v>
      </c>
      <c r="AV542" s="100">
        <f t="shared" ref="AV542:AV573" si="592">AW542+AX542</f>
        <v>0</v>
      </c>
      <c r="AW542" s="100">
        <f t="shared" ref="AW542:AW573" si="593">G542*AO542</f>
        <v>0</v>
      </c>
      <c r="AX542" s="100">
        <f t="shared" ref="AX542:AX573" si="594">G542*AP542</f>
        <v>0</v>
      </c>
      <c r="AY542" s="110" t="s">
        <v>1722</v>
      </c>
      <c r="AZ542" s="110" t="s">
        <v>1730</v>
      </c>
      <c r="BA542" s="109" t="s">
        <v>1737</v>
      </c>
      <c r="BC542" s="100">
        <f t="shared" ref="BC542:BC573" si="595">AW542+AX542</f>
        <v>0</v>
      </c>
      <c r="BD542" s="100">
        <f t="shared" ref="BD542:BD573" si="596">H542/(100-BE542)*100</f>
        <v>0</v>
      </c>
      <c r="BE542" s="100">
        <v>0</v>
      </c>
      <c r="BF542" s="100">
        <f>542</f>
        <v>542</v>
      </c>
      <c r="BH542" s="108">
        <f t="shared" ref="BH542:BH573" si="597">G542*AO542</f>
        <v>0</v>
      </c>
      <c r="BI542" s="108">
        <f t="shared" ref="BI542:BI573" si="598">G542*AP542</f>
        <v>0</v>
      </c>
      <c r="BJ542" s="108">
        <f t="shared" ref="BJ542:BJ573" si="599">G542*H542</f>
        <v>0</v>
      </c>
    </row>
    <row r="543" spans="1:62" x14ac:dyDescent="0.2">
      <c r="A543" s="117" t="s">
        <v>490</v>
      </c>
      <c r="B543" s="117" t="s">
        <v>2269</v>
      </c>
      <c r="C543" s="304" t="s">
        <v>1561</v>
      </c>
      <c r="D543" s="305"/>
      <c r="E543" s="305"/>
      <c r="F543" s="117" t="s">
        <v>1644</v>
      </c>
      <c r="G543" s="116">
        <v>1</v>
      </c>
      <c r="H543" s="159"/>
      <c r="I543" s="108">
        <f t="shared" si="576"/>
        <v>0</v>
      </c>
      <c r="J543" s="108">
        <f t="shared" si="577"/>
        <v>0</v>
      </c>
      <c r="K543" s="108">
        <f t="shared" si="578"/>
        <v>0</v>
      </c>
      <c r="L543" s="111"/>
      <c r="Z543" s="100">
        <f t="shared" si="579"/>
        <v>0</v>
      </c>
      <c r="AB543" s="100">
        <f t="shared" si="580"/>
        <v>0</v>
      </c>
      <c r="AC543" s="100">
        <f t="shared" si="581"/>
        <v>0</v>
      </c>
      <c r="AD543" s="100">
        <f t="shared" si="582"/>
        <v>0</v>
      </c>
      <c r="AE543" s="100">
        <f t="shared" si="583"/>
        <v>0</v>
      </c>
      <c r="AF543" s="100">
        <f t="shared" si="584"/>
        <v>0</v>
      </c>
      <c r="AG543" s="100">
        <f t="shared" si="585"/>
        <v>0</v>
      </c>
      <c r="AH543" s="100">
        <f t="shared" si="586"/>
        <v>0</v>
      </c>
      <c r="AI543" s="109"/>
      <c r="AJ543" s="108">
        <f t="shared" si="587"/>
        <v>0</v>
      </c>
      <c r="AK543" s="108">
        <f t="shared" si="588"/>
        <v>0</v>
      </c>
      <c r="AL543" s="108">
        <f t="shared" si="589"/>
        <v>0</v>
      </c>
      <c r="AN543" s="100">
        <v>15</v>
      </c>
      <c r="AO543" s="100">
        <f t="shared" si="590"/>
        <v>0</v>
      </c>
      <c r="AP543" s="100">
        <f t="shared" si="591"/>
        <v>0</v>
      </c>
      <c r="AQ543" s="111" t="s">
        <v>7</v>
      </c>
      <c r="AV543" s="100">
        <f t="shared" si="592"/>
        <v>0</v>
      </c>
      <c r="AW543" s="100">
        <f t="shared" si="593"/>
        <v>0</v>
      </c>
      <c r="AX543" s="100">
        <f t="shared" si="594"/>
        <v>0</v>
      </c>
      <c r="AY543" s="110" t="s">
        <v>1722</v>
      </c>
      <c r="AZ543" s="110" t="s">
        <v>1730</v>
      </c>
      <c r="BA543" s="109" t="s">
        <v>1737</v>
      </c>
      <c r="BC543" s="100">
        <f t="shared" si="595"/>
        <v>0</v>
      </c>
      <c r="BD543" s="100">
        <f t="shared" si="596"/>
        <v>0</v>
      </c>
      <c r="BE543" s="100">
        <v>0</v>
      </c>
      <c r="BF543" s="100">
        <f>543</f>
        <v>543</v>
      </c>
      <c r="BH543" s="108">
        <f t="shared" si="597"/>
        <v>0</v>
      </c>
      <c r="BI543" s="108">
        <f t="shared" si="598"/>
        <v>0</v>
      </c>
      <c r="BJ543" s="108">
        <f t="shared" si="599"/>
        <v>0</v>
      </c>
    </row>
    <row r="544" spans="1:62" x14ac:dyDescent="0.2">
      <c r="A544" s="117" t="s">
        <v>491</v>
      </c>
      <c r="B544" s="117" t="s">
        <v>973</v>
      </c>
      <c r="C544" s="304" t="s">
        <v>1562</v>
      </c>
      <c r="D544" s="305"/>
      <c r="E544" s="305"/>
      <c r="F544" s="117" t="s">
        <v>1644</v>
      </c>
      <c r="G544" s="116">
        <v>1</v>
      </c>
      <c r="H544" s="159"/>
      <c r="I544" s="108">
        <f t="shared" si="576"/>
        <v>0</v>
      </c>
      <c r="J544" s="108">
        <f t="shared" si="577"/>
        <v>0</v>
      </c>
      <c r="K544" s="108">
        <f t="shared" si="578"/>
        <v>0</v>
      </c>
      <c r="L544" s="111"/>
      <c r="Z544" s="100">
        <f t="shared" si="579"/>
        <v>0</v>
      </c>
      <c r="AB544" s="100">
        <f t="shared" si="580"/>
        <v>0</v>
      </c>
      <c r="AC544" s="100">
        <f t="shared" si="581"/>
        <v>0</v>
      </c>
      <c r="AD544" s="100">
        <f t="shared" si="582"/>
        <v>0</v>
      </c>
      <c r="AE544" s="100">
        <f t="shared" si="583"/>
        <v>0</v>
      </c>
      <c r="AF544" s="100">
        <f t="shared" si="584"/>
        <v>0</v>
      </c>
      <c r="AG544" s="100">
        <f t="shared" si="585"/>
        <v>0</v>
      </c>
      <c r="AH544" s="100">
        <f t="shared" si="586"/>
        <v>0</v>
      </c>
      <c r="AI544" s="109"/>
      <c r="AJ544" s="108">
        <f t="shared" si="587"/>
        <v>0</v>
      </c>
      <c r="AK544" s="108">
        <f t="shared" si="588"/>
        <v>0</v>
      </c>
      <c r="AL544" s="108">
        <f t="shared" si="589"/>
        <v>0</v>
      </c>
      <c r="AN544" s="100">
        <v>15</v>
      </c>
      <c r="AO544" s="100">
        <f t="shared" si="590"/>
        <v>0</v>
      </c>
      <c r="AP544" s="100">
        <f t="shared" si="591"/>
        <v>0</v>
      </c>
      <c r="AQ544" s="111" t="s">
        <v>7</v>
      </c>
      <c r="AV544" s="100">
        <f t="shared" si="592"/>
        <v>0</v>
      </c>
      <c r="AW544" s="100">
        <f t="shared" si="593"/>
        <v>0</v>
      </c>
      <c r="AX544" s="100">
        <f t="shared" si="594"/>
        <v>0</v>
      </c>
      <c r="AY544" s="110" t="s">
        <v>1722</v>
      </c>
      <c r="AZ544" s="110" t="s">
        <v>1730</v>
      </c>
      <c r="BA544" s="109" t="s">
        <v>1737</v>
      </c>
      <c r="BC544" s="100">
        <f t="shared" si="595"/>
        <v>0</v>
      </c>
      <c r="BD544" s="100">
        <f t="shared" si="596"/>
        <v>0</v>
      </c>
      <c r="BE544" s="100">
        <v>0</v>
      </c>
      <c r="BF544" s="100">
        <f>544</f>
        <v>544</v>
      </c>
      <c r="BH544" s="108">
        <f t="shared" si="597"/>
        <v>0</v>
      </c>
      <c r="BI544" s="108">
        <f t="shared" si="598"/>
        <v>0</v>
      </c>
      <c r="BJ544" s="108">
        <f t="shared" si="599"/>
        <v>0</v>
      </c>
    </row>
    <row r="545" spans="1:62" x14ac:dyDescent="0.2">
      <c r="A545" s="117" t="s">
        <v>492</v>
      </c>
      <c r="B545" s="117" t="s">
        <v>974</v>
      </c>
      <c r="C545" s="304" t="s">
        <v>1563</v>
      </c>
      <c r="D545" s="305"/>
      <c r="E545" s="305"/>
      <c r="F545" s="117" t="s">
        <v>1644</v>
      </c>
      <c r="G545" s="116">
        <v>1</v>
      </c>
      <c r="H545" s="159"/>
      <c r="I545" s="108">
        <f t="shared" si="576"/>
        <v>0</v>
      </c>
      <c r="J545" s="108">
        <f t="shared" si="577"/>
        <v>0</v>
      </c>
      <c r="K545" s="108">
        <f t="shared" si="578"/>
        <v>0</v>
      </c>
      <c r="L545" s="111"/>
      <c r="Z545" s="100">
        <f t="shared" si="579"/>
        <v>0</v>
      </c>
      <c r="AB545" s="100">
        <f t="shared" si="580"/>
        <v>0</v>
      </c>
      <c r="AC545" s="100">
        <f t="shared" si="581"/>
        <v>0</v>
      </c>
      <c r="AD545" s="100">
        <f t="shared" si="582"/>
        <v>0</v>
      </c>
      <c r="AE545" s="100">
        <f t="shared" si="583"/>
        <v>0</v>
      </c>
      <c r="AF545" s="100">
        <f t="shared" si="584"/>
        <v>0</v>
      </c>
      <c r="AG545" s="100">
        <f t="shared" si="585"/>
        <v>0</v>
      </c>
      <c r="AH545" s="100">
        <f t="shared" si="586"/>
        <v>0</v>
      </c>
      <c r="AI545" s="109"/>
      <c r="AJ545" s="108">
        <f t="shared" si="587"/>
        <v>0</v>
      </c>
      <c r="AK545" s="108">
        <f t="shared" si="588"/>
        <v>0</v>
      </c>
      <c r="AL545" s="108">
        <f t="shared" si="589"/>
        <v>0</v>
      </c>
      <c r="AN545" s="100">
        <v>15</v>
      </c>
      <c r="AO545" s="100">
        <f t="shared" si="590"/>
        <v>0</v>
      </c>
      <c r="AP545" s="100">
        <f t="shared" si="591"/>
        <v>0</v>
      </c>
      <c r="AQ545" s="111" t="s">
        <v>7</v>
      </c>
      <c r="AV545" s="100">
        <f t="shared" si="592"/>
        <v>0</v>
      </c>
      <c r="AW545" s="100">
        <f t="shared" si="593"/>
        <v>0</v>
      </c>
      <c r="AX545" s="100">
        <f t="shared" si="594"/>
        <v>0</v>
      </c>
      <c r="AY545" s="110" t="s">
        <v>1722</v>
      </c>
      <c r="AZ545" s="110" t="s">
        <v>1730</v>
      </c>
      <c r="BA545" s="109" t="s">
        <v>1737</v>
      </c>
      <c r="BC545" s="100">
        <f t="shared" si="595"/>
        <v>0</v>
      </c>
      <c r="BD545" s="100">
        <f t="shared" si="596"/>
        <v>0</v>
      </c>
      <c r="BE545" s="100">
        <v>0</v>
      </c>
      <c r="BF545" s="100">
        <f>545</f>
        <v>545</v>
      </c>
      <c r="BH545" s="108">
        <f t="shared" si="597"/>
        <v>0</v>
      </c>
      <c r="BI545" s="108">
        <f t="shared" si="598"/>
        <v>0</v>
      </c>
      <c r="BJ545" s="108">
        <f t="shared" si="599"/>
        <v>0</v>
      </c>
    </row>
    <row r="546" spans="1:62" x14ac:dyDescent="0.2">
      <c r="A546" s="117" t="s">
        <v>493</v>
      </c>
      <c r="B546" s="117" t="s">
        <v>975</v>
      </c>
      <c r="C546" s="304" t="s">
        <v>1564</v>
      </c>
      <c r="D546" s="305"/>
      <c r="E546" s="305"/>
      <c r="F546" s="117" t="s">
        <v>1644</v>
      </c>
      <c r="G546" s="116">
        <v>1</v>
      </c>
      <c r="H546" s="159"/>
      <c r="I546" s="108">
        <f t="shared" si="576"/>
        <v>0</v>
      </c>
      <c r="J546" s="108">
        <f t="shared" si="577"/>
        <v>0</v>
      </c>
      <c r="K546" s="108">
        <f t="shared" si="578"/>
        <v>0</v>
      </c>
      <c r="L546" s="111"/>
      <c r="Z546" s="100">
        <f t="shared" si="579"/>
        <v>0</v>
      </c>
      <c r="AB546" s="100">
        <f t="shared" si="580"/>
        <v>0</v>
      </c>
      <c r="AC546" s="100">
        <f t="shared" si="581"/>
        <v>0</v>
      </c>
      <c r="AD546" s="100">
        <f t="shared" si="582"/>
        <v>0</v>
      </c>
      <c r="AE546" s="100">
        <f t="shared" si="583"/>
        <v>0</v>
      </c>
      <c r="AF546" s="100">
        <f t="shared" si="584"/>
        <v>0</v>
      </c>
      <c r="AG546" s="100">
        <f t="shared" si="585"/>
        <v>0</v>
      </c>
      <c r="AH546" s="100">
        <f t="shared" si="586"/>
        <v>0</v>
      </c>
      <c r="AI546" s="109"/>
      <c r="AJ546" s="108">
        <f t="shared" si="587"/>
        <v>0</v>
      </c>
      <c r="AK546" s="108">
        <f t="shared" si="588"/>
        <v>0</v>
      </c>
      <c r="AL546" s="108">
        <f t="shared" si="589"/>
        <v>0</v>
      </c>
      <c r="AN546" s="100">
        <v>15</v>
      </c>
      <c r="AO546" s="100">
        <f t="shared" si="590"/>
        <v>0</v>
      </c>
      <c r="AP546" s="100">
        <f t="shared" si="591"/>
        <v>0</v>
      </c>
      <c r="AQ546" s="111" t="s">
        <v>7</v>
      </c>
      <c r="AV546" s="100">
        <f t="shared" si="592"/>
        <v>0</v>
      </c>
      <c r="AW546" s="100">
        <f t="shared" si="593"/>
        <v>0</v>
      </c>
      <c r="AX546" s="100">
        <f t="shared" si="594"/>
        <v>0</v>
      </c>
      <c r="AY546" s="110" t="s">
        <v>1722</v>
      </c>
      <c r="AZ546" s="110" t="s">
        <v>1730</v>
      </c>
      <c r="BA546" s="109" t="s">
        <v>1737</v>
      </c>
      <c r="BC546" s="100">
        <f t="shared" si="595"/>
        <v>0</v>
      </c>
      <c r="BD546" s="100">
        <f t="shared" si="596"/>
        <v>0</v>
      </c>
      <c r="BE546" s="100">
        <v>0</v>
      </c>
      <c r="BF546" s="100">
        <f>546</f>
        <v>546</v>
      </c>
      <c r="BH546" s="108">
        <f t="shared" si="597"/>
        <v>0</v>
      </c>
      <c r="BI546" s="108">
        <f t="shared" si="598"/>
        <v>0</v>
      </c>
      <c r="BJ546" s="108">
        <f t="shared" si="599"/>
        <v>0</v>
      </c>
    </row>
    <row r="547" spans="1:62" x14ac:dyDescent="0.2">
      <c r="A547" s="117" t="s">
        <v>494</v>
      </c>
      <c r="B547" s="117" t="s">
        <v>976</v>
      </c>
      <c r="C547" s="304" t="s">
        <v>1565</v>
      </c>
      <c r="D547" s="305"/>
      <c r="E547" s="305"/>
      <c r="F547" s="117" t="s">
        <v>1644</v>
      </c>
      <c r="G547" s="116">
        <v>2</v>
      </c>
      <c r="H547" s="159"/>
      <c r="I547" s="108">
        <f t="shared" si="576"/>
        <v>0</v>
      </c>
      <c r="J547" s="108">
        <f t="shared" si="577"/>
        <v>0</v>
      </c>
      <c r="K547" s="108">
        <f t="shared" si="578"/>
        <v>0</v>
      </c>
      <c r="L547" s="111"/>
      <c r="Z547" s="100">
        <f t="shared" si="579"/>
        <v>0</v>
      </c>
      <c r="AB547" s="100">
        <f t="shared" si="580"/>
        <v>0</v>
      </c>
      <c r="AC547" s="100">
        <f t="shared" si="581"/>
        <v>0</v>
      </c>
      <c r="AD547" s="100">
        <f t="shared" si="582"/>
        <v>0</v>
      </c>
      <c r="AE547" s="100">
        <f t="shared" si="583"/>
        <v>0</v>
      </c>
      <c r="AF547" s="100">
        <f t="shared" si="584"/>
        <v>0</v>
      </c>
      <c r="AG547" s="100">
        <f t="shared" si="585"/>
        <v>0</v>
      </c>
      <c r="AH547" s="100">
        <f t="shared" si="586"/>
        <v>0</v>
      </c>
      <c r="AI547" s="109"/>
      <c r="AJ547" s="108">
        <f t="shared" si="587"/>
        <v>0</v>
      </c>
      <c r="AK547" s="108">
        <f t="shared" si="588"/>
        <v>0</v>
      </c>
      <c r="AL547" s="108">
        <f t="shared" si="589"/>
        <v>0</v>
      </c>
      <c r="AN547" s="100">
        <v>15</v>
      </c>
      <c r="AO547" s="100">
        <f t="shared" si="590"/>
        <v>0</v>
      </c>
      <c r="AP547" s="100">
        <f t="shared" si="591"/>
        <v>0</v>
      </c>
      <c r="AQ547" s="111" t="s">
        <v>7</v>
      </c>
      <c r="AV547" s="100">
        <f t="shared" si="592"/>
        <v>0</v>
      </c>
      <c r="AW547" s="100">
        <f t="shared" si="593"/>
        <v>0</v>
      </c>
      <c r="AX547" s="100">
        <f t="shared" si="594"/>
        <v>0</v>
      </c>
      <c r="AY547" s="110" t="s">
        <v>1722</v>
      </c>
      <c r="AZ547" s="110" t="s">
        <v>1730</v>
      </c>
      <c r="BA547" s="109" t="s">
        <v>1737</v>
      </c>
      <c r="BC547" s="100">
        <f t="shared" si="595"/>
        <v>0</v>
      </c>
      <c r="BD547" s="100">
        <f t="shared" si="596"/>
        <v>0</v>
      </c>
      <c r="BE547" s="100">
        <v>0</v>
      </c>
      <c r="BF547" s="100">
        <f>547</f>
        <v>547</v>
      </c>
      <c r="BH547" s="108">
        <f t="shared" si="597"/>
        <v>0</v>
      </c>
      <c r="BI547" s="108">
        <f t="shared" si="598"/>
        <v>0</v>
      </c>
      <c r="BJ547" s="108">
        <f t="shared" si="599"/>
        <v>0</v>
      </c>
    </row>
    <row r="548" spans="1:62" x14ac:dyDescent="0.2">
      <c r="A548" s="117" t="s">
        <v>495</v>
      </c>
      <c r="B548" s="117" t="s">
        <v>977</v>
      </c>
      <c r="C548" s="304" t="s">
        <v>1566</v>
      </c>
      <c r="D548" s="305"/>
      <c r="E548" s="305"/>
      <c r="F548" s="117" t="s">
        <v>1644</v>
      </c>
      <c r="G548" s="116">
        <v>1</v>
      </c>
      <c r="H548" s="159"/>
      <c r="I548" s="108">
        <f t="shared" si="576"/>
        <v>0</v>
      </c>
      <c r="J548" s="108">
        <f t="shared" si="577"/>
        <v>0</v>
      </c>
      <c r="K548" s="108">
        <f t="shared" si="578"/>
        <v>0</v>
      </c>
      <c r="L548" s="111"/>
      <c r="Z548" s="100">
        <f t="shared" si="579"/>
        <v>0</v>
      </c>
      <c r="AB548" s="100">
        <f t="shared" si="580"/>
        <v>0</v>
      </c>
      <c r="AC548" s="100">
        <f t="shared" si="581"/>
        <v>0</v>
      </c>
      <c r="AD548" s="100">
        <f t="shared" si="582"/>
        <v>0</v>
      </c>
      <c r="AE548" s="100">
        <f t="shared" si="583"/>
        <v>0</v>
      </c>
      <c r="AF548" s="100">
        <f t="shared" si="584"/>
        <v>0</v>
      </c>
      <c r="AG548" s="100">
        <f t="shared" si="585"/>
        <v>0</v>
      </c>
      <c r="AH548" s="100">
        <f t="shared" si="586"/>
        <v>0</v>
      </c>
      <c r="AI548" s="109"/>
      <c r="AJ548" s="108">
        <f t="shared" si="587"/>
        <v>0</v>
      </c>
      <c r="AK548" s="108">
        <f t="shared" si="588"/>
        <v>0</v>
      </c>
      <c r="AL548" s="108">
        <f t="shared" si="589"/>
        <v>0</v>
      </c>
      <c r="AN548" s="100">
        <v>15</v>
      </c>
      <c r="AO548" s="100">
        <f t="shared" si="590"/>
        <v>0</v>
      </c>
      <c r="AP548" s="100">
        <f t="shared" si="591"/>
        <v>0</v>
      </c>
      <c r="AQ548" s="111" t="s">
        <v>7</v>
      </c>
      <c r="AV548" s="100">
        <f t="shared" si="592"/>
        <v>0</v>
      </c>
      <c r="AW548" s="100">
        <f t="shared" si="593"/>
        <v>0</v>
      </c>
      <c r="AX548" s="100">
        <f t="shared" si="594"/>
        <v>0</v>
      </c>
      <c r="AY548" s="110" t="s">
        <v>1722</v>
      </c>
      <c r="AZ548" s="110" t="s">
        <v>1730</v>
      </c>
      <c r="BA548" s="109" t="s">
        <v>1737</v>
      </c>
      <c r="BC548" s="100">
        <f t="shared" si="595"/>
        <v>0</v>
      </c>
      <c r="BD548" s="100">
        <f t="shared" si="596"/>
        <v>0</v>
      </c>
      <c r="BE548" s="100">
        <v>0</v>
      </c>
      <c r="BF548" s="100">
        <f>548</f>
        <v>548</v>
      </c>
      <c r="BH548" s="108">
        <f t="shared" si="597"/>
        <v>0</v>
      </c>
      <c r="BI548" s="108">
        <f t="shared" si="598"/>
        <v>0</v>
      </c>
      <c r="BJ548" s="108">
        <f t="shared" si="599"/>
        <v>0</v>
      </c>
    </row>
    <row r="549" spans="1:62" x14ac:dyDescent="0.2">
      <c r="A549" s="117" t="s">
        <v>496</v>
      </c>
      <c r="B549" s="117" t="s">
        <v>978</v>
      </c>
      <c r="C549" s="304" t="s">
        <v>1567</v>
      </c>
      <c r="D549" s="305"/>
      <c r="E549" s="305"/>
      <c r="F549" s="117" t="s">
        <v>1644</v>
      </c>
      <c r="G549" s="116">
        <v>1</v>
      </c>
      <c r="H549" s="159"/>
      <c r="I549" s="108">
        <f t="shared" si="576"/>
        <v>0</v>
      </c>
      <c r="J549" s="108">
        <f t="shared" si="577"/>
        <v>0</v>
      </c>
      <c r="K549" s="108">
        <f t="shared" si="578"/>
        <v>0</v>
      </c>
      <c r="L549" s="111"/>
      <c r="Z549" s="100">
        <f t="shared" si="579"/>
        <v>0</v>
      </c>
      <c r="AB549" s="100">
        <f t="shared" si="580"/>
        <v>0</v>
      </c>
      <c r="AC549" s="100">
        <f t="shared" si="581"/>
        <v>0</v>
      </c>
      <c r="AD549" s="100">
        <f t="shared" si="582"/>
        <v>0</v>
      </c>
      <c r="AE549" s="100">
        <f t="shared" si="583"/>
        <v>0</v>
      </c>
      <c r="AF549" s="100">
        <f t="shared" si="584"/>
        <v>0</v>
      </c>
      <c r="AG549" s="100">
        <f t="shared" si="585"/>
        <v>0</v>
      </c>
      <c r="AH549" s="100">
        <f t="shared" si="586"/>
        <v>0</v>
      </c>
      <c r="AI549" s="109"/>
      <c r="AJ549" s="108">
        <f t="shared" si="587"/>
        <v>0</v>
      </c>
      <c r="AK549" s="108">
        <f t="shared" si="588"/>
        <v>0</v>
      </c>
      <c r="AL549" s="108">
        <f t="shared" si="589"/>
        <v>0</v>
      </c>
      <c r="AN549" s="100">
        <v>15</v>
      </c>
      <c r="AO549" s="100">
        <f t="shared" si="590"/>
        <v>0</v>
      </c>
      <c r="AP549" s="100">
        <f t="shared" si="591"/>
        <v>0</v>
      </c>
      <c r="AQ549" s="111" t="s">
        <v>7</v>
      </c>
      <c r="AV549" s="100">
        <f t="shared" si="592"/>
        <v>0</v>
      </c>
      <c r="AW549" s="100">
        <f t="shared" si="593"/>
        <v>0</v>
      </c>
      <c r="AX549" s="100">
        <f t="shared" si="594"/>
        <v>0</v>
      </c>
      <c r="AY549" s="110" t="s">
        <v>1722</v>
      </c>
      <c r="AZ549" s="110" t="s">
        <v>1730</v>
      </c>
      <c r="BA549" s="109" t="s">
        <v>1737</v>
      </c>
      <c r="BC549" s="100">
        <f t="shared" si="595"/>
        <v>0</v>
      </c>
      <c r="BD549" s="100">
        <f t="shared" si="596"/>
        <v>0</v>
      </c>
      <c r="BE549" s="100">
        <v>0</v>
      </c>
      <c r="BF549" s="100">
        <f>549</f>
        <v>549</v>
      </c>
      <c r="BH549" s="108">
        <f t="shared" si="597"/>
        <v>0</v>
      </c>
      <c r="BI549" s="108">
        <f t="shared" si="598"/>
        <v>0</v>
      </c>
      <c r="BJ549" s="108">
        <f t="shared" si="599"/>
        <v>0</v>
      </c>
    </row>
    <row r="550" spans="1:62" x14ac:dyDescent="0.2">
      <c r="A550" s="117" t="s">
        <v>497</v>
      </c>
      <c r="B550" s="117" t="s">
        <v>979</v>
      </c>
      <c r="C550" s="304" t="s">
        <v>1568</v>
      </c>
      <c r="D550" s="305"/>
      <c r="E550" s="305"/>
      <c r="F550" s="117" t="s">
        <v>1644</v>
      </c>
      <c r="G550" s="116">
        <v>1</v>
      </c>
      <c r="H550" s="159"/>
      <c r="I550" s="108">
        <f t="shared" si="576"/>
        <v>0</v>
      </c>
      <c r="J550" s="108">
        <f t="shared" si="577"/>
        <v>0</v>
      </c>
      <c r="K550" s="108">
        <f t="shared" si="578"/>
        <v>0</v>
      </c>
      <c r="L550" s="111"/>
      <c r="Z550" s="100">
        <f t="shared" si="579"/>
        <v>0</v>
      </c>
      <c r="AB550" s="100">
        <f t="shared" si="580"/>
        <v>0</v>
      </c>
      <c r="AC550" s="100">
        <f t="shared" si="581"/>
        <v>0</v>
      </c>
      <c r="AD550" s="100">
        <f t="shared" si="582"/>
        <v>0</v>
      </c>
      <c r="AE550" s="100">
        <f t="shared" si="583"/>
        <v>0</v>
      </c>
      <c r="AF550" s="100">
        <f t="shared" si="584"/>
        <v>0</v>
      </c>
      <c r="AG550" s="100">
        <f t="shared" si="585"/>
        <v>0</v>
      </c>
      <c r="AH550" s="100">
        <f t="shared" si="586"/>
        <v>0</v>
      </c>
      <c r="AI550" s="109"/>
      <c r="AJ550" s="108">
        <f t="shared" si="587"/>
        <v>0</v>
      </c>
      <c r="AK550" s="108">
        <f t="shared" si="588"/>
        <v>0</v>
      </c>
      <c r="AL550" s="108">
        <f t="shared" si="589"/>
        <v>0</v>
      </c>
      <c r="AN550" s="100">
        <v>15</v>
      </c>
      <c r="AO550" s="100">
        <f t="shared" si="590"/>
        <v>0</v>
      </c>
      <c r="AP550" s="100">
        <f t="shared" si="591"/>
        <v>0</v>
      </c>
      <c r="AQ550" s="111" t="s">
        <v>7</v>
      </c>
      <c r="AV550" s="100">
        <f t="shared" si="592"/>
        <v>0</v>
      </c>
      <c r="AW550" s="100">
        <f t="shared" si="593"/>
        <v>0</v>
      </c>
      <c r="AX550" s="100">
        <f t="shared" si="594"/>
        <v>0</v>
      </c>
      <c r="AY550" s="110" t="s">
        <v>1722</v>
      </c>
      <c r="AZ550" s="110" t="s">
        <v>1730</v>
      </c>
      <c r="BA550" s="109" t="s">
        <v>1737</v>
      </c>
      <c r="BC550" s="100">
        <f t="shared" si="595"/>
        <v>0</v>
      </c>
      <c r="BD550" s="100">
        <f t="shared" si="596"/>
        <v>0</v>
      </c>
      <c r="BE550" s="100">
        <v>0</v>
      </c>
      <c r="BF550" s="100">
        <f>550</f>
        <v>550</v>
      </c>
      <c r="BH550" s="108">
        <f t="shared" si="597"/>
        <v>0</v>
      </c>
      <c r="BI550" s="108">
        <f t="shared" si="598"/>
        <v>0</v>
      </c>
      <c r="BJ550" s="108">
        <f t="shared" si="599"/>
        <v>0</v>
      </c>
    </row>
    <row r="551" spans="1:62" x14ac:dyDescent="0.2">
      <c r="A551" s="117" t="s">
        <v>498</v>
      </c>
      <c r="B551" s="117" t="s">
        <v>2268</v>
      </c>
      <c r="C551" s="304" t="s">
        <v>1569</v>
      </c>
      <c r="D551" s="305"/>
      <c r="E551" s="305"/>
      <c r="F551" s="117" t="s">
        <v>1644</v>
      </c>
      <c r="G551" s="116">
        <v>1</v>
      </c>
      <c r="H551" s="159"/>
      <c r="I551" s="108">
        <f t="shared" si="576"/>
        <v>0</v>
      </c>
      <c r="J551" s="108">
        <f t="shared" si="577"/>
        <v>0</v>
      </c>
      <c r="K551" s="108">
        <f t="shared" si="578"/>
        <v>0</v>
      </c>
      <c r="L551" s="111"/>
      <c r="Z551" s="100">
        <f t="shared" si="579"/>
        <v>0</v>
      </c>
      <c r="AB551" s="100">
        <f t="shared" si="580"/>
        <v>0</v>
      </c>
      <c r="AC551" s="100">
        <f t="shared" si="581"/>
        <v>0</v>
      </c>
      <c r="AD551" s="100">
        <f t="shared" si="582"/>
        <v>0</v>
      </c>
      <c r="AE551" s="100">
        <f t="shared" si="583"/>
        <v>0</v>
      </c>
      <c r="AF551" s="100">
        <f t="shared" si="584"/>
        <v>0</v>
      </c>
      <c r="AG551" s="100">
        <f t="shared" si="585"/>
        <v>0</v>
      </c>
      <c r="AH551" s="100">
        <f t="shared" si="586"/>
        <v>0</v>
      </c>
      <c r="AI551" s="109"/>
      <c r="AJ551" s="108">
        <f t="shared" si="587"/>
        <v>0</v>
      </c>
      <c r="AK551" s="108">
        <f t="shared" si="588"/>
        <v>0</v>
      </c>
      <c r="AL551" s="108">
        <f t="shared" si="589"/>
        <v>0</v>
      </c>
      <c r="AN551" s="100">
        <v>15</v>
      </c>
      <c r="AO551" s="100">
        <f t="shared" si="590"/>
        <v>0</v>
      </c>
      <c r="AP551" s="100">
        <f t="shared" si="591"/>
        <v>0</v>
      </c>
      <c r="AQ551" s="111" t="s">
        <v>7</v>
      </c>
      <c r="AV551" s="100">
        <f t="shared" si="592"/>
        <v>0</v>
      </c>
      <c r="AW551" s="100">
        <f t="shared" si="593"/>
        <v>0</v>
      </c>
      <c r="AX551" s="100">
        <f t="shared" si="594"/>
        <v>0</v>
      </c>
      <c r="AY551" s="110" t="s">
        <v>1722</v>
      </c>
      <c r="AZ551" s="110" t="s">
        <v>1730</v>
      </c>
      <c r="BA551" s="109" t="s">
        <v>1737</v>
      </c>
      <c r="BC551" s="100">
        <f t="shared" si="595"/>
        <v>0</v>
      </c>
      <c r="BD551" s="100">
        <f t="shared" si="596"/>
        <v>0</v>
      </c>
      <c r="BE551" s="100">
        <v>0</v>
      </c>
      <c r="BF551" s="100">
        <f>551</f>
        <v>551</v>
      </c>
      <c r="BH551" s="108">
        <f t="shared" si="597"/>
        <v>0</v>
      </c>
      <c r="BI551" s="108">
        <f t="shared" si="598"/>
        <v>0</v>
      </c>
      <c r="BJ551" s="108">
        <f t="shared" si="599"/>
        <v>0</v>
      </c>
    </row>
    <row r="552" spans="1:62" x14ac:dyDescent="0.2">
      <c r="A552" s="117" t="s">
        <v>499</v>
      </c>
      <c r="B552" s="117" t="s">
        <v>2267</v>
      </c>
      <c r="C552" s="304" t="s">
        <v>1570</v>
      </c>
      <c r="D552" s="305"/>
      <c r="E552" s="305"/>
      <c r="F552" s="117" t="s">
        <v>1644</v>
      </c>
      <c r="G552" s="116">
        <v>1</v>
      </c>
      <c r="H552" s="159"/>
      <c r="I552" s="108">
        <f t="shared" si="576"/>
        <v>0</v>
      </c>
      <c r="J552" s="108">
        <f t="shared" si="577"/>
        <v>0</v>
      </c>
      <c r="K552" s="108">
        <f t="shared" si="578"/>
        <v>0</v>
      </c>
      <c r="L552" s="111"/>
      <c r="Z552" s="100">
        <f t="shared" si="579"/>
        <v>0</v>
      </c>
      <c r="AB552" s="100">
        <f t="shared" si="580"/>
        <v>0</v>
      </c>
      <c r="AC552" s="100">
        <f t="shared" si="581"/>
        <v>0</v>
      </c>
      <c r="AD552" s="100">
        <f t="shared" si="582"/>
        <v>0</v>
      </c>
      <c r="AE552" s="100">
        <f t="shared" si="583"/>
        <v>0</v>
      </c>
      <c r="AF552" s="100">
        <f t="shared" si="584"/>
        <v>0</v>
      </c>
      <c r="AG552" s="100">
        <f t="shared" si="585"/>
        <v>0</v>
      </c>
      <c r="AH552" s="100">
        <f t="shared" si="586"/>
        <v>0</v>
      </c>
      <c r="AI552" s="109"/>
      <c r="AJ552" s="108">
        <f t="shared" si="587"/>
        <v>0</v>
      </c>
      <c r="AK552" s="108">
        <f t="shared" si="588"/>
        <v>0</v>
      </c>
      <c r="AL552" s="108">
        <f t="shared" si="589"/>
        <v>0</v>
      </c>
      <c r="AN552" s="100">
        <v>15</v>
      </c>
      <c r="AO552" s="100">
        <f t="shared" si="590"/>
        <v>0</v>
      </c>
      <c r="AP552" s="100">
        <f t="shared" si="591"/>
        <v>0</v>
      </c>
      <c r="AQ552" s="111" t="s">
        <v>7</v>
      </c>
      <c r="AV552" s="100">
        <f t="shared" si="592"/>
        <v>0</v>
      </c>
      <c r="AW552" s="100">
        <f t="shared" si="593"/>
        <v>0</v>
      </c>
      <c r="AX552" s="100">
        <f t="shared" si="594"/>
        <v>0</v>
      </c>
      <c r="AY552" s="110" t="s">
        <v>1722</v>
      </c>
      <c r="AZ552" s="110" t="s">
        <v>1730</v>
      </c>
      <c r="BA552" s="109" t="s">
        <v>1737</v>
      </c>
      <c r="BC552" s="100">
        <f t="shared" si="595"/>
        <v>0</v>
      </c>
      <c r="BD552" s="100">
        <f t="shared" si="596"/>
        <v>0</v>
      </c>
      <c r="BE552" s="100">
        <v>0</v>
      </c>
      <c r="BF552" s="100">
        <f>552</f>
        <v>552</v>
      </c>
      <c r="BH552" s="108">
        <f t="shared" si="597"/>
        <v>0</v>
      </c>
      <c r="BI552" s="108">
        <f t="shared" si="598"/>
        <v>0</v>
      </c>
      <c r="BJ552" s="108">
        <f t="shared" si="599"/>
        <v>0</v>
      </c>
    </row>
    <row r="553" spans="1:62" x14ac:dyDescent="0.2">
      <c r="A553" s="117" t="s">
        <v>500</v>
      </c>
      <c r="B553" s="117" t="s">
        <v>2266</v>
      </c>
      <c r="C553" s="304" t="s">
        <v>1571</v>
      </c>
      <c r="D553" s="305"/>
      <c r="E553" s="305"/>
      <c r="F553" s="117" t="s">
        <v>1644</v>
      </c>
      <c r="G553" s="116">
        <v>1</v>
      </c>
      <c r="H553" s="159"/>
      <c r="I553" s="108">
        <f t="shared" si="576"/>
        <v>0</v>
      </c>
      <c r="J553" s="108">
        <f t="shared" si="577"/>
        <v>0</v>
      </c>
      <c r="K553" s="108">
        <f t="shared" si="578"/>
        <v>0</v>
      </c>
      <c r="L553" s="111"/>
      <c r="Z553" s="100">
        <f t="shared" si="579"/>
        <v>0</v>
      </c>
      <c r="AB553" s="100">
        <f t="shared" si="580"/>
        <v>0</v>
      </c>
      <c r="AC553" s="100">
        <f t="shared" si="581"/>
        <v>0</v>
      </c>
      <c r="AD553" s="100">
        <f t="shared" si="582"/>
        <v>0</v>
      </c>
      <c r="AE553" s="100">
        <f t="shared" si="583"/>
        <v>0</v>
      </c>
      <c r="AF553" s="100">
        <f t="shared" si="584"/>
        <v>0</v>
      </c>
      <c r="AG553" s="100">
        <f t="shared" si="585"/>
        <v>0</v>
      </c>
      <c r="AH553" s="100">
        <f t="shared" si="586"/>
        <v>0</v>
      </c>
      <c r="AI553" s="109"/>
      <c r="AJ553" s="108">
        <f t="shared" si="587"/>
        <v>0</v>
      </c>
      <c r="AK553" s="108">
        <f t="shared" si="588"/>
        <v>0</v>
      </c>
      <c r="AL553" s="108">
        <f t="shared" si="589"/>
        <v>0</v>
      </c>
      <c r="AN553" s="100">
        <v>15</v>
      </c>
      <c r="AO553" s="100">
        <f t="shared" si="590"/>
        <v>0</v>
      </c>
      <c r="AP553" s="100">
        <f t="shared" si="591"/>
        <v>0</v>
      </c>
      <c r="AQ553" s="111" t="s">
        <v>7</v>
      </c>
      <c r="AV553" s="100">
        <f t="shared" si="592"/>
        <v>0</v>
      </c>
      <c r="AW553" s="100">
        <f t="shared" si="593"/>
        <v>0</v>
      </c>
      <c r="AX553" s="100">
        <f t="shared" si="594"/>
        <v>0</v>
      </c>
      <c r="AY553" s="110" t="s">
        <v>1722</v>
      </c>
      <c r="AZ553" s="110" t="s">
        <v>1730</v>
      </c>
      <c r="BA553" s="109" t="s">
        <v>1737</v>
      </c>
      <c r="BC553" s="100">
        <f t="shared" si="595"/>
        <v>0</v>
      </c>
      <c r="BD553" s="100">
        <f t="shared" si="596"/>
        <v>0</v>
      </c>
      <c r="BE553" s="100">
        <v>0</v>
      </c>
      <c r="BF553" s="100">
        <f>553</f>
        <v>553</v>
      </c>
      <c r="BH553" s="108">
        <f t="shared" si="597"/>
        <v>0</v>
      </c>
      <c r="BI553" s="108">
        <f t="shared" si="598"/>
        <v>0</v>
      </c>
      <c r="BJ553" s="108">
        <f t="shared" si="599"/>
        <v>0</v>
      </c>
    </row>
    <row r="554" spans="1:62" x14ac:dyDescent="0.2">
      <c r="A554" s="117" t="s">
        <v>501</v>
      </c>
      <c r="B554" s="117" t="s">
        <v>2265</v>
      </c>
      <c r="C554" s="304" t="s">
        <v>1572</v>
      </c>
      <c r="D554" s="305"/>
      <c r="E554" s="305"/>
      <c r="F554" s="117" t="s">
        <v>1644</v>
      </c>
      <c r="G554" s="116">
        <v>1</v>
      </c>
      <c r="H554" s="159"/>
      <c r="I554" s="108">
        <f t="shared" si="576"/>
        <v>0</v>
      </c>
      <c r="J554" s="108">
        <f t="shared" si="577"/>
        <v>0</v>
      </c>
      <c r="K554" s="108">
        <f t="shared" si="578"/>
        <v>0</v>
      </c>
      <c r="L554" s="111"/>
      <c r="Z554" s="100">
        <f t="shared" si="579"/>
        <v>0</v>
      </c>
      <c r="AB554" s="100">
        <f t="shared" si="580"/>
        <v>0</v>
      </c>
      <c r="AC554" s="100">
        <f t="shared" si="581"/>
        <v>0</v>
      </c>
      <c r="AD554" s="100">
        <f t="shared" si="582"/>
        <v>0</v>
      </c>
      <c r="AE554" s="100">
        <f t="shared" si="583"/>
        <v>0</v>
      </c>
      <c r="AF554" s="100">
        <f t="shared" si="584"/>
        <v>0</v>
      </c>
      <c r="AG554" s="100">
        <f t="shared" si="585"/>
        <v>0</v>
      </c>
      <c r="AH554" s="100">
        <f t="shared" si="586"/>
        <v>0</v>
      </c>
      <c r="AI554" s="109"/>
      <c r="AJ554" s="108">
        <f t="shared" si="587"/>
        <v>0</v>
      </c>
      <c r="AK554" s="108">
        <f t="shared" si="588"/>
        <v>0</v>
      </c>
      <c r="AL554" s="108">
        <f t="shared" si="589"/>
        <v>0</v>
      </c>
      <c r="AN554" s="100">
        <v>15</v>
      </c>
      <c r="AO554" s="100">
        <f t="shared" si="590"/>
        <v>0</v>
      </c>
      <c r="AP554" s="100">
        <f t="shared" si="591"/>
        <v>0</v>
      </c>
      <c r="AQ554" s="111" t="s">
        <v>7</v>
      </c>
      <c r="AV554" s="100">
        <f t="shared" si="592"/>
        <v>0</v>
      </c>
      <c r="AW554" s="100">
        <f t="shared" si="593"/>
        <v>0</v>
      </c>
      <c r="AX554" s="100">
        <f t="shared" si="594"/>
        <v>0</v>
      </c>
      <c r="AY554" s="110" t="s">
        <v>1722</v>
      </c>
      <c r="AZ554" s="110" t="s">
        <v>1730</v>
      </c>
      <c r="BA554" s="109" t="s">
        <v>1737</v>
      </c>
      <c r="BC554" s="100">
        <f t="shared" si="595"/>
        <v>0</v>
      </c>
      <c r="BD554" s="100">
        <f t="shared" si="596"/>
        <v>0</v>
      </c>
      <c r="BE554" s="100">
        <v>0</v>
      </c>
      <c r="BF554" s="100">
        <f>554</f>
        <v>554</v>
      </c>
      <c r="BH554" s="108">
        <f t="shared" si="597"/>
        <v>0</v>
      </c>
      <c r="BI554" s="108">
        <f t="shared" si="598"/>
        <v>0</v>
      </c>
      <c r="BJ554" s="108">
        <f t="shared" si="599"/>
        <v>0</v>
      </c>
    </row>
    <row r="555" spans="1:62" x14ac:dyDescent="0.2">
      <c r="A555" s="117" t="s">
        <v>502</v>
      </c>
      <c r="B555" s="117" t="s">
        <v>2264</v>
      </c>
      <c r="C555" s="304" t="s">
        <v>1573</v>
      </c>
      <c r="D555" s="305"/>
      <c r="E555" s="305"/>
      <c r="F555" s="117" t="s">
        <v>1644</v>
      </c>
      <c r="G555" s="116">
        <v>1</v>
      </c>
      <c r="H555" s="159"/>
      <c r="I555" s="108">
        <f t="shared" si="576"/>
        <v>0</v>
      </c>
      <c r="J555" s="108">
        <f t="shared" si="577"/>
        <v>0</v>
      </c>
      <c r="K555" s="108">
        <f t="shared" si="578"/>
        <v>0</v>
      </c>
      <c r="L555" s="111"/>
      <c r="Z555" s="100">
        <f t="shared" si="579"/>
        <v>0</v>
      </c>
      <c r="AB555" s="100">
        <f t="shared" si="580"/>
        <v>0</v>
      </c>
      <c r="AC555" s="100">
        <f t="shared" si="581"/>
        <v>0</v>
      </c>
      <c r="AD555" s="100">
        <f t="shared" si="582"/>
        <v>0</v>
      </c>
      <c r="AE555" s="100">
        <f t="shared" si="583"/>
        <v>0</v>
      </c>
      <c r="AF555" s="100">
        <f t="shared" si="584"/>
        <v>0</v>
      </c>
      <c r="AG555" s="100">
        <f t="shared" si="585"/>
        <v>0</v>
      </c>
      <c r="AH555" s="100">
        <f t="shared" si="586"/>
        <v>0</v>
      </c>
      <c r="AI555" s="109"/>
      <c r="AJ555" s="108">
        <f t="shared" si="587"/>
        <v>0</v>
      </c>
      <c r="AK555" s="108">
        <f t="shared" si="588"/>
        <v>0</v>
      </c>
      <c r="AL555" s="108">
        <f t="shared" si="589"/>
        <v>0</v>
      </c>
      <c r="AN555" s="100">
        <v>15</v>
      </c>
      <c r="AO555" s="100">
        <f t="shared" si="590"/>
        <v>0</v>
      </c>
      <c r="AP555" s="100">
        <f t="shared" si="591"/>
        <v>0</v>
      </c>
      <c r="AQ555" s="111" t="s">
        <v>7</v>
      </c>
      <c r="AV555" s="100">
        <f t="shared" si="592"/>
        <v>0</v>
      </c>
      <c r="AW555" s="100">
        <f t="shared" si="593"/>
        <v>0</v>
      </c>
      <c r="AX555" s="100">
        <f t="shared" si="594"/>
        <v>0</v>
      </c>
      <c r="AY555" s="110" t="s">
        <v>1722</v>
      </c>
      <c r="AZ555" s="110" t="s">
        <v>1730</v>
      </c>
      <c r="BA555" s="109" t="s">
        <v>1737</v>
      </c>
      <c r="BC555" s="100">
        <f t="shared" si="595"/>
        <v>0</v>
      </c>
      <c r="BD555" s="100">
        <f t="shared" si="596"/>
        <v>0</v>
      </c>
      <c r="BE555" s="100">
        <v>0</v>
      </c>
      <c r="BF555" s="100">
        <f>555</f>
        <v>555</v>
      </c>
      <c r="BH555" s="108">
        <f t="shared" si="597"/>
        <v>0</v>
      </c>
      <c r="BI555" s="108">
        <f t="shared" si="598"/>
        <v>0</v>
      </c>
      <c r="BJ555" s="108">
        <f t="shared" si="599"/>
        <v>0</v>
      </c>
    </row>
    <row r="556" spans="1:62" x14ac:dyDescent="0.2">
      <c r="A556" s="117" t="s">
        <v>503</v>
      </c>
      <c r="B556" s="117" t="s">
        <v>2263</v>
      </c>
      <c r="C556" s="304" t="s">
        <v>1574</v>
      </c>
      <c r="D556" s="305"/>
      <c r="E556" s="305"/>
      <c r="F556" s="117" t="s">
        <v>1644</v>
      </c>
      <c r="G556" s="116">
        <v>1</v>
      </c>
      <c r="H556" s="159"/>
      <c r="I556" s="108">
        <f t="shared" si="576"/>
        <v>0</v>
      </c>
      <c r="J556" s="108">
        <f t="shared" si="577"/>
        <v>0</v>
      </c>
      <c r="K556" s="108">
        <f t="shared" si="578"/>
        <v>0</v>
      </c>
      <c r="L556" s="111"/>
      <c r="Z556" s="100">
        <f t="shared" si="579"/>
        <v>0</v>
      </c>
      <c r="AB556" s="100">
        <f t="shared" si="580"/>
        <v>0</v>
      </c>
      <c r="AC556" s="100">
        <f t="shared" si="581"/>
        <v>0</v>
      </c>
      <c r="AD556" s="100">
        <f t="shared" si="582"/>
        <v>0</v>
      </c>
      <c r="AE556" s="100">
        <f t="shared" si="583"/>
        <v>0</v>
      </c>
      <c r="AF556" s="100">
        <f t="shared" si="584"/>
        <v>0</v>
      </c>
      <c r="AG556" s="100">
        <f t="shared" si="585"/>
        <v>0</v>
      </c>
      <c r="AH556" s="100">
        <f t="shared" si="586"/>
        <v>0</v>
      </c>
      <c r="AI556" s="109"/>
      <c r="AJ556" s="108">
        <f t="shared" si="587"/>
        <v>0</v>
      </c>
      <c r="AK556" s="108">
        <f t="shared" si="588"/>
        <v>0</v>
      </c>
      <c r="AL556" s="108">
        <f t="shared" si="589"/>
        <v>0</v>
      </c>
      <c r="AN556" s="100">
        <v>15</v>
      </c>
      <c r="AO556" s="100">
        <f t="shared" si="590"/>
        <v>0</v>
      </c>
      <c r="AP556" s="100">
        <f t="shared" si="591"/>
        <v>0</v>
      </c>
      <c r="AQ556" s="111" t="s">
        <v>7</v>
      </c>
      <c r="AV556" s="100">
        <f t="shared" si="592"/>
        <v>0</v>
      </c>
      <c r="AW556" s="100">
        <f t="shared" si="593"/>
        <v>0</v>
      </c>
      <c r="AX556" s="100">
        <f t="shared" si="594"/>
        <v>0</v>
      </c>
      <c r="AY556" s="110" t="s">
        <v>1722</v>
      </c>
      <c r="AZ556" s="110" t="s">
        <v>1730</v>
      </c>
      <c r="BA556" s="109" t="s">
        <v>1737</v>
      </c>
      <c r="BC556" s="100">
        <f t="shared" si="595"/>
        <v>0</v>
      </c>
      <c r="BD556" s="100">
        <f t="shared" si="596"/>
        <v>0</v>
      </c>
      <c r="BE556" s="100">
        <v>0</v>
      </c>
      <c r="BF556" s="100">
        <f>556</f>
        <v>556</v>
      </c>
      <c r="BH556" s="108">
        <f t="shared" si="597"/>
        <v>0</v>
      </c>
      <c r="BI556" s="108">
        <f t="shared" si="598"/>
        <v>0</v>
      </c>
      <c r="BJ556" s="108">
        <f t="shared" si="599"/>
        <v>0</v>
      </c>
    </row>
    <row r="557" spans="1:62" x14ac:dyDescent="0.2">
      <c r="A557" s="117" t="s">
        <v>504</v>
      </c>
      <c r="B557" s="117" t="s">
        <v>2262</v>
      </c>
      <c r="C557" s="304" t="s">
        <v>1575</v>
      </c>
      <c r="D557" s="305"/>
      <c r="E557" s="305"/>
      <c r="F557" s="117" t="s">
        <v>1644</v>
      </c>
      <c r="G557" s="116">
        <v>1</v>
      </c>
      <c r="H557" s="159"/>
      <c r="I557" s="108">
        <f t="shared" si="576"/>
        <v>0</v>
      </c>
      <c r="J557" s="108">
        <f t="shared" si="577"/>
        <v>0</v>
      </c>
      <c r="K557" s="108">
        <f t="shared" si="578"/>
        <v>0</v>
      </c>
      <c r="L557" s="111"/>
      <c r="Z557" s="100">
        <f t="shared" si="579"/>
        <v>0</v>
      </c>
      <c r="AB557" s="100">
        <f t="shared" si="580"/>
        <v>0</v>
      </c>
      <c r="AC557" s="100">
        <f t="shared" si="581"/>
        <v>0</v>
      </c>
      <c r="AD557" s="100">
        <f t="shared" si="582"/>
        <v>0</v>
      </c>
      <c r="AE557" s="100">
        <f t="shared" si="583"/>
        <v>0</v>
      </c>
      <c r="AF557" s="100">
        <f t="shared" si="584"/>
        <v>0</v>
      </c>
      <c r="AG557" s="100">
        <f t="shared" si="585"/>
        <v>0</v>
      </c>
      <c r="AH557" s="100">
        <f t="shared" si="586"/>
        <v>0</v>
      </c>
      <c r="AI557" s="109"/>
      <c r="AJ557" s="108">
        <f t="shared" si="587"/>
        <v>0</v>
      </c>
      <c r="AK557" s="108">
        <f t="shared" si="588"/>
        <v>0</v>
      </c>
      <c r="AL557" s="108">
        <f t="shared" si="589"/>
        <v>0</v>
      </c>
      <c r="AN557" s="100">
        <v>15</v>
      </c>
      <c r="AO557" s="100">
        <f t="shared" si="590"/>
        <v>0</v>
      </c>
      <c r="AP557" s="100">
        <f t="shared" si="591"/>
        <v>0</v>
      </c>
      <c r="AQ557" s="111" t="s">
        <v>7</v>
      </c>
      <c r="AV557" s="100">
        <f t="shared" si="592"/>
        <v>0</v>
      </c>
      <c r="AW557" s="100">
        <f t="shared" si="593"/>
        <v>0</v>
      </c>
      <c r="AX557" s="100">
        <f t="shared" si="594"/>
        <v>0</v>
      </c>
      <c r="AY557" s="110" t="s">
        <v>1722</v>
      </c>
      <c r="AZ557" s="110" t="s">
        <v>1730</v>
      </c>
      <c r="BA557" s="109" t="s">
        <v>1737</v>
      </c>
      <c r="BC557" s="100">
        <f t="shared" si="595"/>
        <v>0</v>
      </c>
      <c r="BD557" s="100">
        <f t="shared" si="596"/>
        <v>0</v>
      </c>
      <c r="BE557" s="100">
        <v>0</v>
      </c>
      <c r="BF557" s="100">
        <f>557</f>
        <v>557</v>
      </c>
      <c r="BH557" s="108">
        <f t="shared" si="597"/>
        <v>0</v>
      </c>
      <c r="BI557" s="108">
        <f t="shared" si="598"/>
        <v>0</v>
      </c>
      <c r="BJ557" s="108">
        <f t="shared" si="599"/>
        <v>0</v>
      </c>
    </row>
    <row r="558" spans="1:62" x14ac:dyDescent="0.2">
      <c r="A558" s="117" t="s">
        <v>505</v>
      </c>
      <c r="B558" s="117" t="s">
        <v>2261</v>
      </c>
      <c r="C558" s="304" t="s">
        <v>1576</v>
      </c>
      <c r="D558" s="305"/>
      <c r="E558" s="305"/>
      <c r="F558" s="117" t="s">
        <v>1644</v>
      </c>
      <c r="G558" s="116">
        <v>1</v>
      </c>
      <c r="H558" s="159"/>
      <c r="I558" s="108">
        <f t="shared" si="576"/>
        <v>0</v>
      </c>
      <c r="J558" s="108">
        <f t="shared" si="577"/>
        <v>0</v>
      </c>
      <c r="K558" s="108">
        <f t="shared" si="578"/>
        <v>0</v>
      </c>
      <c r="L558" s="111"/>
      <c r="Z558" s="100">
        <f t="shared" si="579"/>
        <v>0</v>
      </c>
      <c r="AB558" s="100">
        <f t="shared" si="580"/>
        <v>0</v>
      </c>
      <c r="AC558" s="100">
        <f t="shared" si="581"/>
        <v>0</v>
      </c>
      <c r="AD558" s="100">
        <f t="shared" si="582"/>
        <v>0</v>
      </c>
      <c r="AE558" s="100">
        <f t="shared" si="583"/>
        <v>0</v>
      </c>
      <c r="AF558" s="100">
        <f t="shared" si="584"/>
        <v>0</v>
      </c>
      <c r="AG558" s="100">
        <f t="shared" si="585"/>
        <v>0</v>
      </c>
      <c r="AH558" s="100">
        <f t="shared" si="586"/>
        <v>0</v>
      </c>
      <c r="AI558" s="109"/>
      <c r="AJ558" s="108">
        <f t="shared" si="587"/>
        <v>0</v>
      </c>
      <c r="AK558" s="108">
        <f t="shared" si="588"/>
        <v>0</v>
      </c>
      <c r="AL558" s="108">
        <f t="shared" si="589"/>
        <v>0</v>
      </c>
      <c r="AN558" s="100">
        <v>15</v>
      </c>
      <c r="AO558" s="100">
        <f t="shared" si="590"/>
        <v>0</v>
      </c>
      <c r="AP558" s="100">
        <f t="shared" si="591"/>
        <v>0</v>
      </c>
      <c r="AQ558" s="111" t="s">
        <v>7</v>
      </c>
      <c r="AV558" s="100">
        <f t="shared" si="592"/>
        <v>0</v>
      </c>
      <c r="AW558" s="100">
        <f t="shared" si="593"/>
        <v>0</v>
      </c>
      <c r="AX558" s="100">
        <f t="shared" si="594"/>
        <v>0</v>
      </c>
      <c r="AY558" s="110" t="s">
        <v>1722</v>
      </c>
      <c r="AZ558" s="110" t="s">
        <v>1730</v>
      </c>
      <c r="BA558" s="109" t="s">
        <v>1737</v>
      </c>
      <c r="BC558" s="100">
        <f t="shared" si="595"/>
        <v>0</v>
      </c>
      <c r="BD558" s="100">
        <f t="shared" si="596"/>
        <v>0</v>
      </c>
      <c r="BE558" s="100">
        <v>0</v>
      </c>
      <c r="BF558" s="100">
        <f>558</f>
        <v>558</v>
      </c>
      <c r="BH558" s="108">
        <f t="shared" si="597"/>
        <v>0</v>
      </c>
      <c r="BI558" s="108">
        <f t="shared" si="598"/>
        <v>0</v>
      </c>
      <c r="BJ558" s="108">
        <f t="shared" si="599"/>
        <v>0</v>
      </c>
    </row>
    <row r="559" spans="1:62" x14ac:dyDescent="0.2">
      <c r="A559" s="117" t="s">
        <v>506</v>
      </c>
      <c r="B559" s="117" t="s">
        <v>973</v>
      </c>
      <c r="C559" s="304" t="s">
        <v>1577</v>
      </c>
      <c r="D559" s="305"/>
      <c r="E559" s="305"/>
      <c r="F559" s="117" t="s">
        <v>1644</v>
      </c>
      <c r="G559" s="116">
        <v>1</v>
      </c>
      <c r="H559" s="159"/>
      <c r="I559" s="108">
        <f t="shared" si="576"/>
        <v>0</v>
      </c>
      <c r="J559" s="108">
        <f t="shared" si="577"/>
        <v>0</v>
      </c>
      <c r="K559" s="108">
        <f t="shared" si="578"/>
        <v>0</v>
      </c>
      <c r="L559" s="111"/>
      <c r="Z559" s="100">
        <f t="shared" si="579"/>
        <v>0</v>
      </c>
      <c r="AB559" s="100">
        <f t="shared" si="580"/>
        <v>0</v>
      </c>
      <c r="AC559" s="100">
        <f t="shared" si="581"/>
        <v>0</v>
      </c>
      <c r="AD559" s="100">
        <f t="shared" si="582"/>
        <v>0</v>
      </c>
      <c r="AE559" s="100">
        <f t="shared" si="583"/>
        <v>0</v>
      </c>
      <c r="AF559" s="100">
        <f t="shared" si="584"/>
        <v>0</v>
      </c>
      <c r="AG559" s="100">
        <f t="shared" si="585"/>
        <v>0</v>
      </c>
      <c r="AH559" s="100">
        <f t="shared" si="586"/>
        <v>0</v>
      </c>
      <c r="AI559" s="109"/>
      <c r="AJ559" s="108">
        <f t="shared" si="587"/>
        <v>0</v>
      </c>
      <c r="AK559" s="108">
        <f t="shared" si="588"/>
        <v>0</v>
      </c>
      <c r="AL559" s="108">
        <f t="shared" si="589"/>
        <v>0</v>
      </c>
      <c r="AN559" s="100">
        <v>15</v>
      </c>
      <c r="AO559" s="100">
        <f t="shared" si="590"/>
        <v>0</v>
      </c>
      <c r="AP559" s="100">
        <f t="shared" si="591"/>
        <v>0</v>
      </c>
      <c r="AQ559" s="111" t="s">
        <v>7</v>
      </c>
      <c r="AV559" s="100">
        <f t="shared" si="592"/>
        <v>0</v>
      </c>
      <c r="AW559" s="100">
        <f t="shared" si="593"/>
        <v>0</v>
      </c>
      <c r="AX559" s="100">
        <f t="shared" si="594"/>
        <v>0</v>
      </c>
      <c r="AY559" s="110" t="s">
        <v>1722</v>
      </c>
      <c r="AZ559" s="110" t="s">
        <v>1730</v>
      </c>
      <c r="BA559" s="109" t="s">
        <v>1737</v>
      </c>
      <c r="BC559" s="100">
        <f t="shared" si="595"/>
        <v>0</v>
      </c>
      <c r="BD559" s="100">
        <f t="shared" si="596"/>
        <v>0</v>
      </c>
      <c r="BE559" s="100">
        <v>0</v>
      </c>
      <c r="BF559" s="100">
        <f>559</f>
        <v>559</v>
      </c>
      <c r="BH559" s="108">
        <f t="shared" si="597"/>
        <v>0</v>
      </c>
      <c r="BI559" s="108">
        <f t="shared" si="598"/>
        <v>0</v>
      </c>
      <c r="BJ559" s="108">
        <f t="shared" si="599"/>
        <v>0</v>
      </c>
    </row>
    <row r="560" spans="1:62" x14ac:dyDescent="0.2">
      <c r="A560" s="117" t="s">
        <v>507</v>
      </c>
      <c r="B560" s="117" t="s">
        <v>988</v>
      </c>
      <c r="C560" s="304" t="s">
        <v>1578</v>
      </c>
      <c r="D560" s="305"/>
      <c r="E560" s="305"/>
      <c r="F560" s="117" t="s">
        <v>1644</v>
      </c>
      <c r="G560" s="116">
        <v>1</v>
      </c>
      <c r="H560" s="159"/>
      <c r="I560" s="108">
        <f t="shared" si="576"/>
        <v>0</v>
      </c>
      <c r="J560" s="108">
        <f t="shared" si="577"/>
        <v>0</v>
      </c>
      <c r="K560" s="108">
        <f t="shared" si="578"/>
        <v>0</v>
      </c>
      <c r="L560" s="111"/>
      <c r="Z560" s="100">
        <f t="shared" si="579"/>
        <v>0</v>
      </c>
      <c r="AB560" s="100">
        <f t="shared" si="580"/>
        <v>0</v>
      </c>
      <c r="AC560" s="100">
        <f t="shared" si="581"/>
        <v>0</v>
      </c>
      <c r="AD560" s="100">
        <f t="shared" si="582"/>
        <v>0</v>
      </c>
      <c r="AE560" s="100">
        <f t="shared" si="583"/>
        <v>0</v>
      </c>
      <c r="AF560" s="100">
        <f t="shared" si="584"/>
        <v>0</v>
      </c>
      <c r="AG560" s="100">
        <f t="shared" si="585"/>
        <v>0</v>
      </c>
      <c r="AH560" s="100">
        <f t="shared" si="586"/>
        <v>0</v>
      </c>
      <c r="AI560" s="109"/>
      <c r="AJ560" s="108">
        <f t="shared" si="587"/>
        <v>0</v>
      </c>
      <c r="AK560" s="108">
        <f t="shared" si="588"/>
        <v>0</v>
      </c>
      <c r="AL560" s="108">
        <f t="shared" si="589"/>
        <v>0</v>
      </c>
      <c r="AN560" s="100">
        <v>15</v>
      </c>
      <c r="AO560" s="100">
        <f t="shared" si="590"/>
        <v>0</v>
      </c>
      <c r="AP560" s="100">
        <f t="shared" si="591"/>
        <v>0</v>
      </c>
      <c r="AQ560" s="111" t="s">
        <v>7</v>
      </c>
      <c r="AV560" s="100">
        <f t="shared" si="592"/>
        <v>0</v>
      </c>
      <c r="AW560" s="100">
        <f t="shared" si="593"/>
        <v>0</v>
      </c>
      <c r="AX560" s="100">
        <f t="shared" si="594"/>
        <v>0</v>
      </c>
      <c r="AY560" s="110" t="s">
        <v>1722</v>
      </c>
      <c r="AZ560" s="110" t="s">
        <v>1730</v>
      </c>
      <c r="BA560" s="109" t="s">
        <v>1737</v>
      </c>
      <c r="BC560" s="100">
        <f t="shared" si="595"/>
        <v>0</v>
      </c>
      <c r="BD560" s="100">
        <f t="shared" si="596"/>
        <v>0</v>
      </c>
      <c r="BE560" s="100">
        <v>0</v>
      </c>
      <c r="BF560" s="100">
        <f>560</f>
        <v>560</v>
      </c>
      <c r="BH560" s="108">
        <f t="shared" si="597"/>
        <v>0</v>
      </c>
      <c r="BI560" s="108">
        <f t="shared" si="598"/>
        <v>0</v>
      </c>
      <c r="BJ560" s="108">
        <f t="shared" si="599"/>
        <v>0</v>
      </c>
    </row>
    <row r="561" spans="1:62" x14ac:dyDescent="0.2">
      <c r="A561" s="117" t="s">
        <v>508</v>
      </c>
      <c r="B561" s="117" t="s">
        <v>989</v>
      </c>
      <c r="C561" s="304" t="s">
        <v>1579</v>
      </c>
      <c r="D561" s="305"/>
      <c r="E561" s="305"/>
      <c r="F561" s="117" t="s">
        <v>1644</v>
      </c>
      <c r="G561" s="116">
        <v>1</v>
      </c>
      <c r="H561" s="159"/>
      <c r="I561" s="108">
        <f t="shared" si="576"/>
        <v>0</v>
      </c>
      <c r="J561" s="108">
        <f t="shared" si="577"/>
        <v>0</v>
      </c>
      <c r="K561" s="108">
        <f t="shared" si="578"/>
        <v>0</v>
      </c>
      <c r="L561" s="111"/>
      <c r="Z561" s="100">
        <f t="shared" si="579"/>
        <v>0</v>
      </c>
      <c r="AB561" s="100">
        <f t="shared" si="580"/>
        <v>0</v>
      </c>
      <c r="AC561" s="100">
        <f t="shared" si="581"/>
        <v>0</v>
      </c>
      <c r="AD561" s="100">
        <f t="shared" si="582"/>
        <v>0</v>
      </c>
      <c r="AE561" s="100">
        <f t="shared" si="583"/>
        <v>0</v>
      </c>
      <c r="AF561" s="100">
        <f t="shared" si="584"/>
        <v>0</v>
      </c>
      <c r="AG561" s="100">
        <f t="shared" si="585"/>
        <v>0</v>
      </c>
      <c r="AH561" s="100">
        <f t="shared" si="586"/>
        <v>0</v>
      </c>
      <c r="AI561" s="109"/>
      <c r="AJ561" s="108">
        <f t="shared" si="587"/>
        <v>0</v>
      </c>
      <c r="AK561" s="108">
        <f t="shared" si="588"/>
        <v>0</v>
      </c>
      <c r="AL561" s="108">
        <f t="shared" si="589"/>
        <v>0</v>
      </c>
      <c r="AN561" s="100">
        <v>15</v>
      </c>
      <c r="AO561" s="100">
        <f t="shared" si="590"/>
        <v>0</v>
      </c>
      <c r="AP561" s="100">
        <f t="shared" si="591"/>
        <v>0</v>
      </c>
      <c r="AQ561" s="111" t="s">
        <v>7</v>
      </c>
      <c r="AV561" s="100">
        <f t="shared" si="592"/>
        <v>0</v>
      </c>
      <c r="AW561" s="100">
        <f t="shared" si="593"/>
        <v>0</v>
      </c>
      <c r="AX561" s="100">
        <f t="shared" si="594"/>
        <v>0</v>
      </c>
      <c r="AY561" s="110" t="s">
        <v>1722</v>
      </c>
      <c r="AZ561" s="110" t="s">
        <v>1730</v>
      </c>
      <c r="BA561" s="109" t="s">
        <v>1737</v>
      </c>
      <c r="BC561" s="100">
        <f t="shared" si="595"/>
        <v>0</v>
      </c>
      <c r="BD561" s="100">
        <f t="shared" si="596"/>
        <v>0</v>
      </c>
      <c r="BE561" s="100">
        <v>0</v>
      </c>
      <c r="BF561" s="100">
        <f>561</f>
        <v>561</v>
      </c>
      <c r="BH561" s="108">
        <f t="shared" si="597"/>
        <v>0</v>
      </c>
      <c r="BI561" s="108">
        <f t="shared" si="598"/>
        <v>0</v>
      </c>
      <c r="BJ561" s="108">
        <f t="shared" si="599"/>
        <v>0</v>
      </c>
    </row>
    <row r="562" spans="1:62" x14ac:dyDescent="0.2">
      <c r="A562" s="117" t="s">
        <v>509</v>
      </c>
      <c r="B562" s="117" t="s">
        <v>990</v>
      </c>
      <c r="C562" s="304" t="s">
        <v>1580</v>
      </c>
      <c r="D562" s="305"/>
      <c r="E562" s="305"/>
      <c r="F562" s="117" t="s">
        <v>1644</v>
      </c>
      <c r="G562" s="116">
        <v>1</v>
      </c>
      <c r="H562" s="159"/>
      <c r="I562" s="108">
        <f t="shared" si="576"/>
        <v>0</v>
      </c>
      <c r="J562" s="108">
        <f t="shared" si="577"/>
        <v>0</v>
      </c>
      <c r="K562" s="108">
        <f t="shared" si="578"/>
        <v>0</v>
      </c>
      <c r="L562" s="111"/>
      <c r="Z562" s="100">
        <f t="shared" si="579"/>
        <v>0</v>
      </c>
      <c r="AB562" s="100">
        <f t="shared" si="580"/>
        <v>0</v>
      </c>
      <c r="AC562" s="100">
        <f t="shared" si="581"/>
        <v>0</v>
      </c>
      <c r="AD562" s="100">
        <f t="shared" si="582"/>
        <v>0</v>
      </c>
      <c r="AE562" s="100">
        <f t="shared" si="583"/>
        <v>0</v>
      </c>
      <c r="AF562" s="100">
        <f t="shared" si="584"/>
        <v>0</v>
      </c>
      <c r="AG562" s="100">
        <f t="shared" si="585"/>
        <v>0</v>
      </c>
      <c r="AH562" s="100">
        <f t="shared" si="586"/>
        <v>0</v>
      </c>
      <c r="AI562" s="109"/>
      <c r="AJ562" s="108">
        <f t="shared" si="587"/>
        <v>0</v>
      </c>
      <c r="AK562" s="108">
        <f t="shared" si="588"/>
        <v>0</v>
      </c>
      <c r="AL562" s="108">
        <f t="shared" si="589"/>
        <v>0</v>
      </c>
      <c r="AN562" s="100">
        <v>15</v>
      </c>
      <c r="AO562" s="100">
        <f t="shared" si="590"/>
        <v>0</v>
      </c>
      <c r="AP562" s="100">
        <f t="shared" si="591"/>
        <v>0</v>
      </c>
      <c r="AQ562" s="111" t="s">
        <v>7</v>
      </c>
      <c r="AV562" s="100">
        <f t="shared" si="592"/>
        <v>0</v>
      </c>
      <c r="AW562" s="100">
        <f t="shared" si="593"/>
        <v>0</v>
      </c>
      <c r="AX562" s="100">
        <f t="shared" si="594"/>
        <v>0</v>
      </c>
      <c r="AY562" s="110" t="s">
        <v>1722</v>
      </c>
      <c r="AZ562" s="110" t="s">
        <v>1730</v>
      </c>
      <c r="BA562" s="109" t="s">
        <v>1737</v>
      </c>
      <c r="BC562" s="100">
        <f t="shared" si="595"/>
        <v>0</v>
      </c>
      <c r="BD562" s="100">
        <f t="shared" si="596"/>
        <v>0</v>
      </c>
      <c r="BE562" s="100">
        <v>0</v>
      </c>
      <c r="BF562" s="100">
        <f>562</f>
        <v>562</v>
      </c>
      <c r="BH562" s="108">
        <f t="shared" si="597"/>
        <v>0</v>
      </c>
      <c r="BI562" s="108">
        <f t="shared" si="598"/>
        <v>0</v>
      </c>
      <c r="BJ562" s="108">
        <f t="shared" si="599"/>
        <v>0</v>
      </c>
    </row>
    <row r="563" spans="1:62" x14ac:dyDescent="0.2">
      <c r="A563" s="117" t="s">
        <v>510</v>
      </c>
      <c r="B563" s="117" t="s">
        <v>991</v>
      </c>
      <c r="C563" s="304" t="s">
        <v>1581</v>
      </c>
      <c r="D563" s="305"/>
      <c r="E563" s="305"/>
      <c r="F563" s="117" t="s">
        <v>1644</v>
      </c>
      <c r="G563" s="116">
        <v>2</v>
      </c>
      <c r="H563" s="159"/>
      <c r="I563" s="108">
        <f t="shared" si="576"/>
        <v>0</v>
      </c>
      <c r="J563" s="108">
        <f t="shared" si="577"/>
        <v>0</v>
      </c>
      <c r="K563" s="108">
        <f t="shared" si="578"/>
        <v>0</v>
      </c>
      <c r="L563" s="111"/>
      <c r="Z563" s="100">
        <f t="shared" si="579"/>
        <v>0</v>
      </c>
      <c r="AB563" s="100">
        <f t="shared" si="580"/>
        <v>0</v>
      </c>
      <c r="AC563" s="100">
        <f t="shared" si="581"/>
        <v>0</v>
      </c>
      <c r="AD563" s="100">
        <f t="shared" si="582"/>
        <v>0</v>
      </c>
      <c r="AE563" s="100">
        <f t="shared" si="583"/>
        <v>0</v>
      </c>
      <c r="AF563" s="100">
        <f t="shared" si="584"/>
        <v>0</v>
      </c>
      <c r="AG563" s="100">
        <f t="shared" si="585"/>
        <v>0</v>
      </c>
      <c r="AH563" s="100">
        <f t="shared" si="586"/>
        <v>0</v>
      </c>
      <c r="AI563" s="109"/>
      <c r="AJ563" s="108">
        <f t="shared" si="587"/>
        <v>0</v>
      </c>
      <c r="AK563" s="108">
        <f t="shared" si="588"/>
        <v>0</v>
      </c>
      <c r="AL563" s="108">
        <f t="shared" si="589"/>
        <v>0</v>
      </c>
      <c r="AN563" s="100">
        <v>15</v>
      </c>
      <c r="AO563" s="100">
        <f t="shared" si="590"/>
        <v>0</v>
      </c>
      <c r="AP563" s="100">
        <f t="shared" si="591"/>
        <v>0</v>
      </c>
      <c r="AQ563" s="111" t="s">
        <v>7</v>
      </c>
      <c r="AV563" s="100">
        <f t="shared" si="592"/>
        <v>0</v>
      </c>
      <c r="AW563" s="100">
        <f t="shared" si="593"/>
        <v>0</v>
      </c>
      <c r="AX563" s="100">
        <f t="shared" si="594"/>
        <v>0</v>
      </c>
      <c r="AY563" s="110" t="s">
        <v>1722</v>
      </c>
      <c r="AZ563" s="110" t="s">
        <v>1730</v>
      </c>
      <c r="BA563" s="109" t="s">
        <v>1737</v>
      </c>
      <c r="BC563" s="100">
        <f t="shared" si="595"/>
        <v>0</v>
      </c>
      <c r="BD563" s="100">
        <f t="shared" si="596"/>
        <v>0</v>
      </c>
      <c r="BE563" s="100">
        <v>0</v>
      </c>
      <c r="BF563" s="100">
        <f>563</f>
        <v>563</v>
      </c>
      <c r="BH563" s="108">
        <f t="shared" si="597"/>
        <v>0</v>
      </c>
      <c r="BI563" s="108">
        <f t="shared" si="598"/>
        <v>0</v>
      </c>
      <c r="BJ563" s="108">
        <f t="shared" si="599"/>
        <v>0</v>
      </c>
    </row>
    <row r="564" spans="1:62" x14ac:dyDescent="0.2">
      <c r="A564" s="117" t="s">
        <v>511</v>
      </c>
      <c r="B564" s="117" t="s">
        <v>992</v>
      </c>
      <c r="C564" s="304" t="s">
        <v>1582</v>
      </c>
      <c r="D564" s="305"/>
      <c r="E564" s="305"/>
      <c r="F564" s="117" t="s">
        <v>1644</v>
      </c>
      <c r="G564" s="116">
        <v>1</v>
      </c>
      <c r="H564" s="159"/>
      <c r="I564" s="108">
        <f t="shared" si="576"/>
        <v>0</v>
      </c>
      <c r="J564" s="108">
        <f t="shared" si="577"/>
        <v>0</v>
      </c>
      <c r="K564" s="108">
        <f t="shared" si="578"/>
        <v>0</v>
      </c>
      <c r="L564" s="111"/>
      <c r="Z564" s="100">
        <f t="shared" si="579"/>
        <v>0</v>
      </c>
      <c r="AB564" s="100">
        <f t="shared" si="580"/>
        <v>0</v>
      </c>
      <c r="AC564" s="100">
        <f t="shared" si="581"/>
        <v>0</v>
      </c>
      <c r="AD564" s="100">
        <f t="shared" si="582"/>
        <v>0</v>
      </c>
      <c r="AE564" s="100">
        <f t="shared" si="583"/>
        <v>0</v>
      </c>
      <c r="AF564" s="100">
        <f t="shared" si="584"/>
        <v>0</v>
      </c>
      <c r="AG564" s="100">
        <f t="shared" si="585"/>
        <v>0</v>
      </c>
      <c r="AH564" s="100">
        <f t="shared" si="586"/>
        <v>0</v>
      </c>
      <c r="AI564" s="109"/>
      <c r="AJ564" s="108">
        <f t="shared" si="587"/>
        <v>0</v>
      </c>
      <c r="AK564" s="108">
        <f t="shared" si="588"/>
        <v>0</v>
      </c>
      <c r="AL564" s="108">
        <f t="shared" si="589"/>
        <v>0</v>
      </c>
      <c r="AN564" s="100">
        <v>15</v>
      </c>
      <c r="AO564" s="100">
        <f t="shared" si="590"/>
        <v>0</v>
      </c>
      <c r="AP564" s="100">
        <f t="shared" si="591"/>
        <v>0</v>
      </c>
      <c r="AQ564" s="111" t="s">
        <v>7</v>
      </c>
      <c r="AV564" s="100">
        <f t="shared" si="592"/>
        <v>0</v>
      </c>
      <c r="AW564" s="100">
        <f t="shared" si="593"/>
        <v>0</v>
      </c>
      <c r="AX564" s="100">
        <f t="shared" si="594"/>
        <v>0</v>
      </c>
      <c r="AY564" s="110" t="s">
        <v>1722</v>
      </c>
      <c r="AZ564" s="110" t="s">
        <v>1730</v>
      </c>
      <c r="BA564" s="109" t="s">
        <v>1737</v>
      </c>
      <c r="BC564" s="100">
        <f t="shared" si="595"/>
        <v>0</v>
      </c>
      <c r="BD564" s="100">
        <f t="shared" si="596"/>
        <v>0</v>
      </c>
      <c r="BE564" s="100">
        <v>0</v>
      </c>
      <c r="BF564" s="100">
        <f>564</f>
        <v>564</v>
      </c>
      <c r="BH564" s="108">
        <f t="shared" si="597"/>
        <v>0</v>
      </c>
      <c r="BI564" s="108">
        <f t="shared" si="598"/>
        <v>0</v>
      </c>
      <c r="BJ564" s="108">
        <f t="shared" si="599"/>
        <v>0</v>
      </c>
    </row>
    <row r="565" spans="1:62" x14ac:dyDescent="0.2">
      <c r="A565" s="117" t="s">
        <v>512</v>
      </c>
      <c r="B565" s="117" t="s">
        <v>975</v>
      </c>
      <c r="C565" s="304" t="s">
        <v>1583</v>
      </c>
      <c r="D565" s="305"/>
      <c r="E565" s="305"/>
      <c r="F565" s="117" t="s">
        <v>1644</v>
      </c>
      <c r="G565" s="116">
        <v>1</v>
      </c>
      <c r="H565" s="159"/>
      <c r="I565" s="108">
        <f t="shared" si="576"/>
        <v>0</v>
      </c>
      <c r="J565" s="108">
        <f t="shared" si="577"/>
        <v>0</v>
      </c>
      <c r="K565" s="108">
        <f t="shared" si="578"/>
        <v>0</v>
      </c>
      <c r="L565" s="111"/>
      <c r="Z565" s="100">
        <f t="shared" si="579"/>
        <v>0</v>
      </c>
      <c r="AB565" s="100">
        <f t="shared" si="580"/>
        <v>0</v>
      </c>
      <c r="AC565" s="100">
        <f t="shared" si="581"/>
        <v>0</v>
      </c>
      <c r="AD565" s="100">
        <f t="shared" si="582"/>
        <v>0</v>
      </c>
      <c r="AE565" s="100">
        <f t="shared" si="583"/>
        <v>0</v>
      </c>
      <c r="AF565" s="100">
        <f t="shared" si="584"/>
        <v>0</v>
      </c>
      <c r="AG565" s="100">
        <f t="shared" si="585"/>
        <v>0</v>
      </c>
      <c r="AH565" s="100">
        <f t="shared" si="586"/>
        <v>0</v>
      </c>
      <c r="AI565" s="109"/>
      <c r="AJ565" s="108">
        <f t="shared" si="587"/>
        <v>0</v>
      </c>
      <c r="AK565" s="108">
        <f t="shared" si="588"/>
        <v>0</v>
      </c>
      <c r="AL565" s="108">
        <f t="shared" si="589"/>
        <v>0</v>
      </c>
      <c r="AN565" s="100">
        <v>15</v>
      </c>
      <c r="AO565" s="100">
        <f t="shared" si="590"/>
        <v>0</v>
      </c>
      <c r="AP565" s="100">
        <f t="shared" si="591"/>
        <v>0</v>
      </c>
      <c r="AQ565" s="111" t="s">
        <v>7</v>
      </c>
      <c r="AV565" s="100">
        <f t="shared" si="592"/>
        <v>0</v>
      </c>
      <c r="AW565" s="100">
        <f t="shared" si="593"/>
        <v>0</v>
      </c>
      <c r="AX565" s="100">
        <f t="shared" si="594"/>
        <v>0</v>
      </c>
      <c r="AY565" s="110" t="s">
        <v>1722</v>
      </c>
      <c r="AZ565" s="110" t="s">
        <v>1730</v>
      </c>
      <c r="BA565" s="109" t="s">
        <v>1737</v>
      </c>
      <c r="BC565" s="100">
        <f t="shared" si="595"/>
        <v>0</v>
      </c>
      <c r="BD565" s="100">
        <f t="shared" si="596"/>
        <v>0</v>
      </c>
      <c r="BE565" s="100">
        <v>0</v>
      </c>
      <c r="BF565" s="100">
        <f>565</f>
        <v>565</v>
      </c>
      <c r="BH565" s="108">
        <f t="shared" si="597"/>
        <v>0</v>
      </c>
      <c r="BI565" s="108">
        <f t="shared" si="598"/>
        <v>0</v>
      </c>
      <c r="BJ565" s="108">
        <f t="shared" si="599"/>
        <v>0</v>
      </c>
    </row>
    <row r="566" spans="1:62" x14ac:dyDescent="0.2">
      <c r="A566" s="117" t="s">
        <v>513</v>
      </c>
      <c r="B566" s="117" t="s">
        <v>993</v>
      </c>
      <c r="C566" s="304" t="s">
        <v>1581</v>
      </c>
      <c r="D566" s="305"/>
      <c r="E566" s="305"/>
      <c r="F566" s="117" t="s">
        <v>1644</v>
      </c>
      <c r="G566" s="116">
        <v>1</v>
      </c>
      <c r="H566" s="159"/>
      <c r="I566" s="108">
        <f t="shared" si="576"/>
        <v>0</v>
      </c>
      <c r="J566" s="108">
        <f t="shared" si="577"/>
        <v>0</v>
      </c>
      <c r="K566" s="108">
        <f t="shared" si="578"/>
        <v>0</v>
      </c>
      <c r="L566" s="111"/>
      <c r="Z566" s="100">
        <f t="shared" si="579"/>
        <v>0</v>
      </c>
      <c r="AB566" s="100">
        <f t="shared" si="580"/>
        <v>0</v>
      </c>
      <c r="AC566" s="100">
        <f t="shared" si="581"/>
        <v>0</v>
      </c>
      <c r="AD566" s="100">
        <f t="shared" si="582"/>
        <v>0</v>
      </c>
      <c r="AE566" s="100">
        <f t="shared" si="583"/>
        <v>0</v>
      </c>
      <c r="AF566" s="100">
        <f t="shared" si="584"/>
        <v>0</v>
      </c>
      <c r="AG566" s="100">
        <f t="shared" si="585"/>
        <v>0</v>
      </c>
      <c r="AH566" s="100">
        <f t="shared" si="586"/>
        <v>0</v>
      </c>
      <c r="AI566" s="109"/>
      <c r="AJ566" s="108">
        <f t="shared" si="587"/>
        <v>0</v>
      </c>
      <c r="AK566" s="108">
        <f t="shared" si="588"/>
        <v>0</v>
      </c>
      <c r="AL566" s="108">
        <f t="shared" si="589"/>
        <v>0</v>
      </c>
      <c r="AN566" s="100">
        <v>15</v>
      </c>
      <c r="AO566" s="100">
        <f t="shared" si="590"/>
        <v>0</v>
      </c>
      <c r="AP566" s="100">
        <f t="shared" si="591"/>
        <v>0</v>
      </c>
      <c r="AQ566" s="111" t="s">
        <v>7</v>
      </c>
      <c r="AV566" s="100">
        <f t="shared" si="592"/>
        <v>0</v>
      </c>
      <c r="AW566" s="100">
        <f t="shared" si="593"/>
        <v>0</v>
      </c>
      <c r="AX566" s="100">
        <f t="shared" si="594"/>
        <v>0</v>
      </c>
      <c r="AY566" s="110" t="s">
        <v>1722</v>
      </c>
      <c r="AZ566" s="110" t="s">
        <v>1730</v>
      </c>
      <c r="BA566" s="109" t="s">
        <v>1737</v>
      </c>
      <c r="BC566" s="100">
        <f t="shared" si="595"/>
        <v>0</v>
      </c>
      <c r="BD566" s="100">
        <f t="shared" si="596"/>
        <v>0</v>
      </c>
      <c r="BE566" s="100">
        <v>0</v>
      </c>
      <c r="BF566" s="100">
        <f>566</f>
        <v>566</v>
      </c>
      <c r="BH566" s="108">
        <f t="shared" si="597"/>
        <v>0</v>
      </c>
      <c r="BI566" s="108">
        <f t="shared" si="598"/>
        <v>0</v>
      </c>
      <c r="BJ566" s="108">
        <f t="shared" si="599"/>
        <v>0</v>
      </c>
    </row>
    <row r="567" spans="1:62" x14ac:dyDescent="0.2">
      <c r="A567" s="117" t="s">
        <v>514</v>
      </c>
      <c r="B567" s="117" t="s">
        <v>994</v>
      </c>
      <c r="C567" s="304" t="s">
        <v>1584</v>
      </c>
      <c r="D567" s="305"/>
      <c r="E567" s="305"/>
      <c r="F567" s="117" t="s">
        <v>1644</v>
      </c>
      <c r="G567" s="116">
        <v>2</v>
      </c>
      <c r="H567" s="159"/>
      <c r="I567" s="108">
        <f t="shared" si="576"/>
        <v>0</v>
      </c>
      <c r="J567" s="108">
        <f t="shared" si="577"/>
        <v>0</v>
      </c>
      <c r="K567" s="108">
        <f t="shared" si="578"/>
        <v>0</v>
      </c>
      <c r="L567" s="111"/>
      <c r="Z567" s="100">
        <f t="shared" si="579"/>
        <v>0</v>
      </c>
      <c r="AB567" s="100">
        <f t="shared" si="580"/>
        <v>0</v>
      </c>
      <c r="AC567" s="100">
        <f t="shared" si="581"/>
        <v>0</v>
      </c>
      <c r="AD567" s="100">
        <f t="shared" si="582"/>
        <v>0</v>
      </c>
      <c r="AE567" s="100">
        <f t="shared" si="583"/>
        <v>0</v>
      </c>
      <c r="AF567" s="100">
        <f t="shared" si="584"/>
        <v>0</v>
      </c>
      <c r="AG567" s="100">
        <f t="shared" si="585"/>
        <v>0</v>
      </c>
      <c r="AH567" s="100">
        <f t="shared" si="586"/>
        <v>0</v>
      </c>
      <c r="AI567" s="109"/>
      <c r="AJ567" s="108">
        <f t="shared" si="587"/>
        <v>0</v>
      </c>
      <c r="AK567" s="108">
        <f t="shared" si="588"/>
        <v>0</v>
      </c>
      <c r="AL567" s="108">
        <f t="shared" si="589"/>
        <v>0</v>
      </c>
      <c r="AN567" s="100">
        <v>15</v>
      </c>
      <c r="AO567" s="100">
        <f t="shared" si="590"/>
        <v>0</v>
      </c>
      <c r="AP567" s="100">
        <f t="shared" si="591"/>
        <v>0</v>
      </c>
      <c r="AQ567" s="111" t="s">
        <v>7</v>
      </c>
      <c r="AV567" s="100">
        <f t="shared" si="592"/>
        <v>0</v>
      </c>
      <c r="AW567" s="100">
        <f t="shared" si="593"/>
        <v>0</v>
      </c>
      <c r="AX567" s="100">
        <f t="shared" si="594"/>
        <v>0</v>
      </c>
      <c r="AY567" s="110" t="s">
        <v>1722</v>
      </c>
      <c r="AZ567" s="110" t="s">
        <v>1730</v>
      </c>
      <c r="BA567" s="109" t="s">
        <v>1737</v>
      </c>
      <c r="BC567" s="100">
        <f t="shared" si="595"/>
        <v>0</v>
      </c>
      <c r="BD567" s="100">
        <f t="shared" si="596"/>
        <v>0</v>
      </c>
      <c r="BE567" s="100">
        <v>0</v>
      </c>
      <c r="BF567" s="100">
        <f>567</f>
        <v>567</v>
      </c>
      <c r="BH567" s="108">
        <f t="shared" si="597"/>
        <v>0</v>
      </c>
      <c r="BI567" s="108">
        <f t="shared" si="598"/>
        <v>0</v>
      </c>
      <c r="BJ567" s="108">
        <f t="shared" si="599"/>
        <v>0</v>
      </c>
    </row>
    <row r="568" spans="1:62" x14ac:dyDescent="0.2">
      <c r="A568" s="117" t="s">
        <v>515</v>
      </c>
      <c r="B568" s="117" t="s">
        <v>995</v>
      </c>
      <c r="C568" s="304" t="s">
        <v>1585</v>
      </c>
      <c r="D568" s="305"/>
      <c r="E568" s="305"/>
      <c r="F568" s="117" t="s">
        <v>1644</v>
      </c>
      <c r="G568" s="116">
        <v>1</v>
      </c>
      <c r="H568" s="159"/>
      <c r="I568" s="108">
        <f t="shared" si="576"/>
        <v>0</v>
      </c>
      <c r="J568" s="108">
        <f t="shared" si="577"/>
        <v>0</v>
      </c>
      <c r="K568" s="108">
        <f t="shared" si="578"/>
        <v>0</v>
      </c>
      <c r="L568" s="111"/>
      <c r="Z568" s="100">
        <f t="shared" si="579"/>
        <v>0</v>
      </c>
      <c r="AB568" s="100">
        <f t="shared" si="580"/>
        <v>0</v>
      </c>
      <c r="AC568" s="100">
        <f t="shared" si="581"/>
        <v>0</v>
      </c>
      <c r="AD568" s="100">
        <f t="shared" si="582"/>
        <v>0</v>
      </c>
      <c r="AE568" s="100">
        <f t="shared" si="583"/>
        <v>0</v>
      </c>
      <c r="AF568" s="100">
        <f t="shared" si="584"/>
        <v>0</v>
      </c>
      <c r="AG568" s="100">
        <f t="shared" si="585"/>
        <v>0</v>
      </c>
      <c r="AH568" s="100">
        <f t="shared" si="586"/>
        <v>0</v>
      </c>
      <c r="AI568" s="109"/>
      <c r="AJ568" s="108">
        <f t="shared" si="587"/>
        <v>0</v>
      </c>
      <c r="AK568" s="108">
        <f t="shared" si="588"/>
        <v>0</v>
      </c>
      <c r="AL568" s="108">
        <f t="shared" si="589"/>
        <v>0</v>
      </c>
      <c r="AN568" s="100">
        <v>15</v>
      </c>
      <c r="AO568" s="100">
        <f t="shared" si="590"/>
        <v>0</v>
      </c>
      <c r="AP568" s="100">
        <f t="shared" si="591"/>
        <v>0</v>
      </c>
      <c r="AQ568" s="111" t="s">
        <v>7</v>
      </c>
      <c r="AV568" s="100">
        <f t="shared" si="592"/>
        <v>0</v>
      </c>
      <c r="AW568" s="100">
        <f t="shared" si="593"/>
        <v>0</v>
      </c>
      <c r="AX568" s="100">
        <f t="shared" si="594"/>
        <v>0</v>
      </c>
      <c r="AY568" s="110" t="s">
        <v>1722</v>
      </c>
      <c r="AZ568" s="110" t="s">
        <v>1730</v>
      </c>
      <c r="BA568" s="109" t="s">
        <v>1737</v>
      </c>
      <c r="BC568" s="100">
        <f t="shared" si="595"/>
        <v>0</v>
      </c>
      <c r="BD568" s="100">
        <f t="shared" si="596"/>
        <v>0</v>
      </c>
      <c r="BE568" s="100">
        <v>0</v>
      </c>
      <c r="BF568" s="100">
        <f>568</f>
        <v>568</v>
      </c>
      <c r="BH568" s="108">
        <f t="shared" si="597"/>
        <v>0</v>
      </c>
      <c r="BI568" s="108">
        <f t="shared" si="598"/>
        <v>0</v>
      </c>
      <c r="BJ568" s="108">
        <f t="shared" si="599"/>
        <v>0</v>
      </c>
    </row>
    <row r="569" spans="1:62" x14ac:dyDescent="0.2">
      <c r="A569" s="117" t="s">
        <v>516</v>
      </c>
      <c r="B569" s="117" t="s">
        <v>996</v>
      </c>
      <c r="C569" s="304" t="s">
        <v>1586</v>
      </c>
      <c r="D569" s="305"/>
      <c r="E569" s="305"/>
      <c r="F569" s="117" t="s">
        <v>1644</v>
      </c>
      <c r="G569" s="116">
        <v>1</v>
      </c>
      <c r="H569" s="159"/>
      <c r="I569" s="108">
        <f t="shared" si="576"/>
        <v>0</v>
      </c>
      <c r="J569" s="108">
        <f t="shared" si="577"/>
        <v>0</v>
      </c>
      <c r="K569" s="108">
        <f t="shared" si="578"/>
        <v>0</v>
      </c>
      <c r="L569" s="111"/>
      <c r="Z569" s="100">
        <f t="shared" si="579"/>
        <v>0</v>
      </c>
      <c r="AB569" s="100">
        <f t="shared" si="580"/>
        <v>0</v>
      </c>
      <c r="AC569" s="100">
        <f t="shared" si="581"/>
        <v>0</v>
      </c>
      <c r="AD569" s="100">
        <f t="shared" si="582"/>
        <v>0</v>
      </c>
      <c r="AE569" s="100">
        <f t="shared" si="583"/>
        <v>0</v>
      </c>
      <c r="AF569" s="100">
        <f t="shared" si="584"/>
        <v>0</v>
      </c>
      <c r="AG569" s="100">
        <f t="shared" si="585"/>
        <v>0</v>
      </c>
      <c r="AH569" s="100">
        <f t="shared" si="586"/>
        <v>0</v>
      </c>
      <c r="AI569" s="109"/>
      <c r="AJ569" s="108">
        <f t="shared" si="587"/>
        <v>0</v>
      </c>
      <c r="AK569" s="108">
        <f t="shared" si="588"/>
        <v>0</v>
      </c>
      <c r="AL569" s="108">
        <f t="shared" si="589"/>
        <v>0</v>
      </c>
      <c r="AN569" s="100">
        <v>15</v>
      </c>
      <c r="AO569" s="100">
        <f t="shared" si="590"/>
        <v>0</v>
      </c>
      <c r="AP569" s="100">
        <f t="shared" si="591"/>
        <v>0</v>
      </c>
      <c r="AQ569" s="111" t="s">
        <v>7</v>
      </c>
      <c r="AV569" s="100">
        <f t="shared" si="592"/>
        <v>0</v>
      </c>
      <c r="AW569" s="100">
        <f t="shared" si="593"/>
        <v>0</v>
      </c>
      <c r="AX569" s="100">
        <f t="shared" si="594"/>
        <v>0</v>
      </c>
      <c r="AY569" s="110" t="s">
        <v>1722</v>
      </c>
      <c r="AZ569" s="110" t="s">
        <v>1730</v>
      </c>
      <c r="BA569" s="109" t="s">
        <v>1737</v>
      </c>
      <c r="BC569" s="100">
        <f t="shared" si="595"/>
        <v>0</v>
      </c>
      <c r="BD569" s="100">
        <f t="shared" si="596"/>
        <v>0</v>
      </c>
      <c r="BE569" s="100">
        <v>0</v>
      </c>
      <c r="BF569" s="100">
        <f>569</f>
        <v>569</v>
      </c>
      <c r="BH569" s="108">
        <f t="shared" si="597"/>
        <v>0</v>
      </c>
      <c r="BI569" s="108">
        <f t="shared" si="598"/>
        <v>0</v>
      </c>
      <c r="BJ569" s="108">
        <f t="shared" si="599"/>
        <v>0</v>
      </c>
    </row>
    <row r="570" spans="1:62" x14ac:dyDescent="0.2">
      <c r="A570" s="117" t="s">
        <v>517</v>
      </c>
      <c r="B570" s="117" t="s">
        <v>996</v>
      </c>
      <c r="C570" s="304" t="s">
        <v>1587</v>
      </c>
      <c r="D570" s="305"/>
      <c r="E570" s="305"/>
      <c r="F570" s="117" t="s">
        <v>1644</v>
      </c>
      <c r="G570" s="116">
        <v>1</v>
      </c>
      <c r="H570" s="159"/>
      <c r="I570" s="108">
        <f t="shared" si="576"/>
        <v>0</v>
      </c>
      <c r="J570" s="108">
        <f t="shared" si="577"/>
        <v>0</v>
      </c>
      <c r="K570" s="108">
        <f t="shared" si="578"/>
        <v>0</v>
      </c>
      <c r="L570" s="111"/>
      <c r="Z570" s="100">
        <f t="shared" si="579"/>
        <v>0</v>
      </c>
      <c r="AB570" s="100">
        <f t="shared" si="580"/>
        <v>0</v>
      </c>
      <c r="AC570" s="100">
        <f t="shared" si="581"/>
        <v>0</v>
      </c>
      <c r="AD570" s="100">
        <f t="shared" si="582"/>
        <v>0</v>
      </c>
      <c r="AE570" s="100">
        <f t="shared" si="583"/>
        <v>0</v>
      </c>
      <c r="AF570" s="100">
        <f t="shared" si="584"/>
        <v>0</v>
      </c>
      <c r="AG570" s="100">
        <f t="shared" si="585"/>
        <v>0</v>
      </c>
      <c r="AH570" s="100">
        <f t="shared" si="586"/>
        <v>0</v>
      </c>
      <c r="AI570" s="109"/>
      <c r="AJ570" s="108">
        <f t="shared" si="587"/>
        <v>0</v>
      </c>
      <c r="AK570" s="108">
        <f t="shared" si="588"/>
        <v>0</v>
      </c>
      <c r="AL570" s="108">
        <f t="shared" si="589"/>
        <v>0</v>
      </c>
      <c r="AN570" s="100">
        <v>15</v>
      </c>
      <c r="AO570" s="100">
        <f t="shared" si="590"/>
        <v>0</v>
      </c>
      <c r="AP570" s="100">
        <f t="shared" si="591"/>
        <v>0</v>
      </c>
      <c r="AQ570" s="111" t="s">
        <v>7</v>
      </c>
      <c r="AV570" s="100">
        <f t="shared" si="592"/>
        <v>0</v>
      </c>
      <c r="AW570" s="100">
        <f t="shared" si="593"/>
        <v>0</v>
      </c>
      <c r="AX570" s="100">
        <f t="shared" si="594"/>
        <v>0</v>
      </c>
      <c r="AY570" s="110" t="s">
        <v>1722</v>
      </c>
      <c r="AZ570" s="110" t="s">
        <v>1730</v>
      </c>
      <c r="BA570" s="109" t="s">
        <v>1737</v>
      </c>
      <c r="BC570" s="100">
        <f t="shared" si="595"/>
        <v>0</v>
      </c>
      <c r="BD570" s="100">
        <f t="shared" si="596"/>
        <v>0</v>
      </c>
      <c r="BE570" s="100">
        <v>0</v>
      </c>
      <c r="BF570" s="100">
        <f>570</f>
        <v>570</v>
      </c>
      <c r="BH570" s="108">
        <f t="shared" si="597"/>
        <v>0</v>
      </c>
      <c r="BI570" s="108">
        <f t="shared" si="598"/>
        <v>0</v>
      </c>
      <c r="BJ570" s="108">
        <f t="shared" si="599"/>
        <v>0</v>
      </c>
    </row>
    <row r="571" spans="1:62" x14ac:dyDescent="0.2">
      <c r="A571" s="117" t="s">
        <v>518</v>
      </c>
      <c r="B571" s="117" t="s">
        <v>997</v>
      </c>
      <c r="C571" s="304" t="s">
        <v>1588</v>
      </c>
      <c r="D571" s="305"/>
      <c r="E571" s="305"/>
      <c r="F571" s="117" t="s">
        <v>1644</v>
      </c>
      <c r="G571" s="116">
        <v>1</v>
      </c>
      <c r="H571" s="159"/>
      <c r="I571" s="108">
        <f t="shared" si="576"/>
        <v>0</v>
      </c>
      <c r="J571" s="108">
        <f t="shared" si="577"/>
        <v>0</v>
      </c>
      <c r="K571" s="108">
        <f t="shared" si="578"/>
        <v>0</v>
      </c>
      <c r="L571" s="111"/>
      <c r="Z571" s="100">
        <f t="shared" si="579"/>
        <v>0</v>
      </c>
      <c r="AB571" s="100">
        <f t="shared" si="580"/>
        <v>0</v>
      </c>
      <c r="AC571" s="100">
        <f t="shared" si="581"/>
        <v>0</v>
      </c>
      <c r="AD571" s="100">
        <f t="shared" si="582"/>
        <v>0</v>
      </c>
      <c r="AE571" s="100">
        <f t="shared" si="583"/>
        <v>0</v>
      </c>
      <c r="AF571" s="100">
        <f t="shared" si="584"/>
        <v>0</v>
      </c>
      <c r="AG571" s="100">
        <f t="shared" si="585"/>
        <v>0</v>
      </c>
      <c r="AH571" s="100">
        <f t="shared" si="586"/>
        <v>0</v>
      </c>
      <c r="AI571" s="109"/>
      <c r="AJ571" s="108">
        <f t="shared" si="587"/>
        <v>0</v>
      </c>
      <c r="AK571" s="108">
        <f t="shared" si="588"/>
        <v>0</v>
      </c>
      <c r="AL571" s="108">
        <f t="shared" si="589"/>
        <v>0</v>
      </c>
      <c r="AN571" s="100">
        <v>15</v>
      </c>
      <c r="AO571" s="100">
        <f t="shared" si="590"/>
        <v>0</v>
      </c>
      <c r="AP571" s="100">
        <f t="shared" si="591"/>
        <v>0</v>
      </c>
      <c r="AQ571" s="111" t="s">
        <v>7</v>
      </c>
      <c r="AV571" s="100">
        <f t="shared" si="592"/>
        <v>0</v>
      </c>
      <c r="AW571" s="100">
        <f t="shared" si="593"/>
        <v>0</v>
      </c>
      <c r="AX571" s="100">
        <f t="shared" si="594"/>
        <v>0</v>
      </c>
      <c r="AY571" s="110" t="s">
        <v>1722</v>
      </c>
      <c r="AZ571" s="110" t="s">
        <v>1730</v>
      </c>
      <c r="BA571" s="109" t="s">
        <v>1737</v>
      </c>
      <c r="BC571" s="100">
        <f t="shared" si="595"/>
        <v>0</v>
      </c>
      <c r="BD571" s="100">
        <f t="shared" si="596"/>
        <v>0</v>
      </c>
      <c r="BE571" s="100">
        <v>0</v>
      </c>
      <c r="BF571" s="100">
        <f>571</f>
        <v>571</v>
      </c>
      <c r="BH571" s="108">
        <f t="shared" si="597"/>
        <v>0</v>
      </c>
      <c r="BI571" s="108">
        <f t="shared" si="598"/>
        <v>0</v>
      </c>
      <c r="BJ571" s="108">
        <f t="shared" si="599"/>
        <v>0</v>
      </c>
    </row>
    <row r="572" spans="1:62" x14ac:dyDescent="0.2">
      <c r="A572" s="117" t="s">
        <v>519</v>
      </c>
      <c r="B572" s="117" t="s">
        <v>997</v>
      </c>
      <c r="C572" s="304" t="s">
        <v>1589</v>
      </c>
      <c r="D572" s="305"/>
      <c r="E572" s="305"/>
      <c r="F572" s="117" t="s">
        <v>1644</v>
      </c>
      <c r="G572" s="116">
        <v>1</v>
      </c>
      <c r="H572" s="159"/>
      <c r="I572" s="108">
        <f t="shared" si="576"/>
        <v>0</v>
      </c>
      <c r="J572" s="108">
        <f t="shared" si="577"/>
        <v>0</v>
      </c>
      <c r="K572" s="108">
        <f t="shared" si="578"/>
        <v>0</v>
      </c>
      <c r="L572" s="111"/>
      <c r="Z572" s="100">
        <f t="shared" si="579"/>
        <v>0</v>
      </c>
      <c r="AB572" s="100">
        <f t="shared" si="580"/>
        <v>0</v>
      </c>
      <c r="AC572" s="100">
        <f t="shared" si="581"/>
        <v>0</v>
      </c>
      <c r="AD572" s="100">
        <f t="shared" si="582"/>
        <v>0</v>
      </c>
      <c r="AE572" s="100">
        <f t="shared" si="583"/>
        <v>0</v>
      </c>
      <c r="AF572" s="100">
        <f t="shared" si="584"/>
        <v>0</v>
      </c>
      <c r="AG572" s="100">
        <f t="shared" si="585"/>
        <v>0</v>
      </c>
      <c r="AH572" s="100">
        <f t="shared" si="586"/>
        <v>0</v>
      </c>
      <c r="AI572" s="109"/>
      <c r="AJ572" s="108">
        <f t="shared" si="587"/>
        <v>0</v>
      </c>
      <c r="AK572" s="108">
        <f t="shared" si="588"/>
        <v>0</v>
      </c>
      <c r="AL572" s="108">
        <f t="shared" si="589"/>
        <v>0</v>
      </c>
      <c r="AN572" s="100">
        <v>15</v>
      </c>
      <c r="AO572" s="100">
        <f t="shared" si="590"/>
        <v>0</v>
      </c>
      <c r="AP572" s="100">
        <f t="shared" si="591"/>
        <v>0</v>
      </c>
      <c r="AQ572" s="111" t="s">
        <v>7</v>
      </c>
      <c r="AV572" s="100">
        <f t="shared" si="592"/>
        <v>0</v>
      </c>
      <c r="AW572" s="100">
        <f t="shared" si="593"/>
        <v>0</v>
      </c>
      <c r="AX572" s="100">
        <f t="shared" si="594"/>
        <v>0</v>
      </c>
      <c r="AY572" s="110" t="s">
        <v>1722</v>
      </c>
      <c r="AZ572" s="110" t="s">
        <v>1730</v>
      </c>
      <c r="BA572" s="109" t="s">
        <v>1737</v>
      </c>
      <c r="BC572" s="100">
        <f t="shared" si="595"/>
        <v>0</v>
      </c>
      <c r="BD572" s="100">
        <f t="shared" si="596"/>
        <v>0</v>
      </c>
      <c r="BE572" s="100">
        <v>0</v>
      </c>
      <c r="BF572" s="100">
        <f>572</f>
        <v>572</v>
      </c>
      <c r="BH572" s="108">
        <f t="shared" si="597"/>
        <v>0</v>
      </c>
      <c r="BI572" s="108">
        <f t="shared" si="598"/>
        <v>0</v>
      </c>
      <c r="BJ572" s="108">
        <f t="shared" si="599"/>
        <v>0</v>
      </c>
    </row>
    <row r="573" spans="1:62" x14ac:dyDescent="0.2">
      <c r="A573" s="117" t="s">
        <v>520</v>
      </c>
      <c r="B573" s="117" t="s">
        <v>977</v>
      </c>
      <c r="C573" s="304" t="s">
        <v>1590</v>
      </c>
      <c r="D573" s="305"/>
      <c r="E573" s="305"/>
      <c r="F573" s="117" t="s">
        <v>1644</v>
      </c>
      <c r="G573" s="116">
        <v>1</v>
      </c>
      <c r="H573" s="159"/>
      <c r="I573" s="108">
        <f t="shared" si="576"/>
        <v>0</v>
      </c>
      <c r="J573" s="108">
        <f t="shared" si="577"/>
        <v>0</v>
      </c>
      <c r="K573" s="108">
        <f t="shared" si="578"/>
        <v>0</v>
      </c>
      <c r="L573" s="111"/>
      <c r="Z573" s="100">
        <f t="shared" si="579"/>
        <v>0</v>
      </c>
      <c r="AB573" s="100">
        <f t="shared" si="580"/>
        <v>0</v>
      </c>
      <c r="AC573" s="100">
        <f t="shared" si="581"/>
        <v>0</v>
      </c>
      <c r="AD573" s="100">
        <f t="shared" si="582"/>
        <v>0</v>
      </c>
      <c r="AE573" s="100">
        <f t="shared" si="583"/>
        <v>0</v>
      </c>
      <c r="AF573" s="100">
        <f t="shared" si="584"/>
        <v>0</v>
      </c>
      <c r="AG573" s="100">
        <f t="shared" si="585"/>
        <v>0</v>
      </c>
      <c r="AH573" s="100">
        <f t="shared" si="586"/>
        <v>0</v>
      </c>
      <c r="AI573" s="109"/>
      <c r="AJ573" s="108">
        <f t="shared" si="587"/>
        <v>0</v>
      </c>
      <c r="AK573" s="108">
        <f t="shared" si="588"/>
        <v>0</v>
      </c>
      <c r="AL573" s="108">
        <f t="shared" si="589"/>
        <v>0</v>
      </c>
      <c r="AN573" s="100">
        <v>15</v>
      </c>
      <c r="AO573" s="100">
        <f t="shared" si="590"/>
        <v>0</v>
      </c>
      <c r="AP573" s="100">
        <f t="shared" si="591"/>
        <v>0</v>
      </c>
      <c r="AQ573" s="111" t="s">
        <v>7</v>
      </c>
      <c r="AV573" s="100">
        <f t="shared" si="592"/>
        <v>0</v>
      </c>
      <c r="AW573" s="100">
        <f t="shared" si="593"/>
        <v>0</v>
      </c>
      <c r="AX573" s="100">
        <f t="shared" si="594"/>
        <v>0</v>
      </c>
      <c r="AY573" s="110" t="s">
        <v>1722</v>
      </c>
      <c r="AZ573" s="110" t="s">
        <v>1730</v>
      </c>
      <c r="BA573" s="109" t="s">
        <v>1737</v>
      </c>
      <c r="BC573" s="100">
        <f t="shared" si="595"/>
        <v>0</v>
      </c>
      <c r="BD573" s="100">
        <f t="shared" si="596"/>
        <v>0</v>
      </c>
      <c r="BE573" s="100">
        <v>0</v>
      </c>
      <c r="BF573" s="100">
        <f>573</f>
        <v>573</v>
      </c>
      <c r="BH573" s="108">
        <f t="shared" si="597"/>
        <v>0</v>
      </c>
      <c r="BI573" s="108">
        <f t="shared" si="598"/>
        <v>0</v>
      </c>
      <c r="BJ573" s="108">
        <f t="shared" si="599"/>
        <v>0</v>
      </c>
    </row>
    <row r="574" spans="1:62" x14ac:dyDescent="0.2">
      <c r="A574" s="117" t="s">
        <v>521</v>
      </c>
      <c r="B574" s="117" t="s">
        <v>998</v>
      </c>
      <c r="C574" s="304" t="s">
        <v>1591</v>
      </c>
      <c r="D574" s="305"/>
      <c r="E574" s="305"/>
      <c r="F574" s="117" t="s">
        <v>1644</v>
      </c>
      <c r="G574" s="116">
        <v>1</v>
      </c>
      <c r="H574" s="159"/>
      <c r="I574" s="108">
        <f t="shared" ref="I574:I605" si="600">G574*AO574</f>
        <v>0</v>
      </c>
      <c r="J574" s="108">
        <f t="shared" ref="J574:J605" si="601">G574*AP574</f>
        <v>0</v>
      </c>
      <c r="K574" s="108">
        <f t="shared" ref="K574:K605" si="602">G574*H574</f>
        <v>0</v>
      </c>
      <c r="L574" s="111"/>
      <c r="Z574" s="100">
        <f t="shared" ref="Z574:Z605" si="603">IF(AQ574="5",BJ574,0)</f>
        <v>0</v>
      </c>
      <c r="AB574" s="100">
        <f t="shared" ref="AB574:AB605" si="604">IF(AQ574="1",BH574,0)</f>
        <v>0</v>
      </c>
      <c r="AC574" s="100">
        <f t="shared" ref="AC574:AC605" si="605">IF(AQ574="1",BI574,0)</f>
        <v>0</v>
      </c>
      <c r="AD574" s="100">
        <f t="shared" ref="AD574:AD605" si="606">IF(AQ574="7",BH574,0)</f>
        <v>0</v>
      </c>
      <c r="AE574" s="100">
        <f t="shared" ref="AE574:AE605" si="607">IF(AQ574="7",BI574,0)</f>
        <v>0</v>
      </c>
      <c r="AF574" s="100">
        <f t="shared" ref="AF574:AF605" si="608">IF(AQ574="2",BH574,0)</f>
        <v>0</v>
      </c>
      <c r="AG574" s="100">
        <f t="shared" ref="AG574:AG605" si="609">IF(AQ574="2",BI574,0)</f>
        <v>0</v>
      </c>
      <c r="AH574" s="100">
        <f t="shared" ref="AH574:AH605" si="610">IF(AQ574="0",BJ574,0)</f>
        <v>0</v>
      </c>
      <c r="AI574" s="109"/>
      <c r="AJ574" s="108">
        <f t="shared" ref="AJ574:AJ605" si="611">IF(AN574=0,K574,0)</f>
        <v>0</v>
      </c>
      <c r="AK574" s="108">
        <f t="shared" ref="AK574:AK605" si="612">IF(AN574=15,K574,0)</f>
        <v>0</v>
      </c>
      <c r="AL574" s="108">
        <f t="shared" ref="AL574:AL605" si="613">IF(AN574=21,K574,0)</f>
        <v>0</v>
      </c>
      <c r="AN574" s="100">
        <v>15</v>
      </c>
      <c r="AO574" s="100">
        <f t="shared" ref="AO574:AO605" si="614">H574*0</f>
        <v>0</v>
      </c>
      <c r="AP574" s="100">
        <f t="shared" ref="AP574:AP605" si="615">H574*(1-0)</f>
        <v>0</v>
      </c>
      <c r="AQ574" s="111" t="s">
        <v>7</v>
      </c>
      <c r="AV574" s="100">
        <f t="shared" ref="AV574:AV605" si="616">AW574+AX574</f>
        <v>0</v>
      </c>
      <c r="AW574" s="100">
        <f t="shared" ref="AW574:AW605" si="617">G574*AO574</f>
        <v>0</v>
      </c>
      <c r="AX574" s="100">
        <f t="shared" ref="AX574:AX605" si="618">G574*AP574</f>
        <v>0</v>
      </c>
      <c r="AY574" s="110" t="s">
        <v>1722</v>
      </c>
      <c r="AZ574" s="110" t="s">
        <v>1730</v>
      </c>
      <c r="BA574" s="109" t="s">
        <v>1737</v>
      </c>
      <c r="BC574" s="100">
        <f t="shared" ref="BC574:BC605" si="619">AW574+AX574</f>
        <v>0</v>
      </c>
      <c r="BD574" s="100">
        <f t="shared" ref="BD574:BD605" si="620">H574/(100-BE574)*100</f>
        <v>0</v>
      </c>
      <c r="BE574" s="100">
        <v>0</v>
      </c>
      <c r="BF574" s="100">
        <f>574</f>
        <v>574</v>
      </c>
      <c r="BH574" s="108">
        <f t="shared" ref="BH574:BH605" si="621">G574*AO574</f>
        <v>0</v>
      </c>
      <c r="BI574" s="108">
        <f t="shared" ref="BI574:BI605" si="622">G574*AP574</f>
        <v>0</v>
      </c>
      <c r="BJ574" s="108">
        <f t="shared" ref="BJ574:BJ605" si="623">G574*H574</f>
        <v>0</v>
      </c>
    </row>
    <row r="575" spans="1:62" x14ac:dyDescent="0.2">
      <c r="A575" s="117" t="s">
        <v>522</v>
      </c>
      <c r="B575" s="117" t="s">
        <v>999</v>
      </c>
      <c r="C575" s="304" t="s">
        <v>1586</v>
      </c>
      <c r="D575" s="305"/>
      <c r="E575" s="305"/>
      <c r="F575" s="117" t="s">
        <v>1644</v>
      </c>
      <c r="G575" s="116">
        <v>2</v>
      </c>
      <c r="H575" s="159"/>
      <c r="I575" s="108">
        <f t="shared" si="600"/>
        <v>0</v>
      </c>
      <c r="J575" s="108">
        <f t="shared" si="601"/>
        <v>0</v>
      </c>
      <c r="K575" s="108">
        <f t="shared" si="602"/>
        <v>0</v>
      </c>
      <c r="L575" s="111"/>
      <c r="Z575" s="100">
        <f t="shared" si="603"/>
        <v>0</v>
      </c>
      <c r="AB575" s="100">
        <f t="shared" si="604"/>
        <v>0</v>
      </c>
      <c r="AC575" s="100">
        <f t="shared" si="605"/>
        <v>0</v>
      </c>
      <c r="AD575" s="100">
        <f t="shared" si="606"/>
        <v>0</v>
      </c>
      <c r="AE575" s="100">
        <f t="shared" si="607"/>
        <v>0</v>
      </c>
      <c r="AF575" s="100">
        <f t="shared" si="608"/>
        <v>0</v>
      </c>
      <c r="AG575" s="100">
        <f t="shared" si="609"/>
        <v>0</v>
      </c>
      <c r="AH575" s="100">
        <f t="shared" si="610"/>
        <v>0</v>
      </c>
      <c r="AI575" s="109"/>
      <c r="AJ575" s="108">
        <f t="shared" si="611"/>
        <v>0</v>
      </c>
      <c r="AK575" s="108">
        <f t="shared" si="612"/>
        <v>0</v>
      </c>
      <c r="AL575" s="108">
        <f t="shared" si="613"/>
        <v>0</v>
      </c>
      <c r="AN575" s="100">
        <v>15</v>
      </c>
      <c r="AO575" s="100">
        <f t="shared" si="614"/>
        <v>0</v>
      </c>
      <c r="AP575" s="100">
        <f t="shared" si="615"/>
        <v>0</v>
      </c>
      <c r="AQ575" s="111" t="s">
        <v>7</v>
      </c>
      <c r="AV575" s="100">
        <f t="shared" si="616"/>
        <v>0</v>
      </c>
      <c r="AW575" s="100">
        <f t="shared" si="617"/>
        <v>0</v>
      </c>
      <c r="AX575" s="100">
        <f t="shared" si="618"/>
        <v>0</v>
      </c>
      <c r="AY575" s="110" t="s">
        <v>1722</v>
      </c>
      <c r="AZ575" s="110" t="s">
        <v>1730</v>
      </c>
      <c r="BA575" s="109" t="s">
        <v>1737</v>
      </c>
      <c r="BC575" s="100">
        <f t="shared" si="619"/>
        <v>0</v>
      </c>
      <c r="BD575" s="100">
        <f t="shared" si="620"/>
        <v>0</v>
      </c>
      <c r="BE575" s="100">
        <v>0</v>
      </c>
      <c r="BF575" s="100">
        <f>575</f>
        <v>575</v>
      </c>
      <c r="BH575" s="108">
        <f t="shared" si="621"/>
        <v>0</v>
      </c>
      <c r="BI575" s="108">
        <f t="shared" si="622"/>
        <v>0</v>
      </c>
      <c r="BJ575" s="108">
        <f t="shared" si="623"/>
        <v>0</v>
      </c>
    </row>
    <row r="576" spans="1:62" x14ac:dyDescent="0.2">
      <c r="A576" s="117" t="s">
        <v>523</v>
      </c>
      <c r="B576" s="117" t="s">
        <v>999</v>
      </c>
      <c r="C576" s="304" t="s">
        <v>1587</v>
      </c>
      <c r="D576" s="305"/>
      <c r="E576" s="305"/>
      <c r="F576" s="117" t="s">
        <v>1644</v>
      </c>
      <c r="G576" s="116">
        <v>2</v>
      </c>
      <c r="H576" s="159"/>
      <c r="I576" s="108">
        <f t="shared" si="600"/>
        <v>0</v>
      </c>
      <c r="J576" s="108">
        <f t="shared" si="601"/>
        <v>0</v>
      </c>
      <c r="K576" s="108">
        <f t="shared" si="602"/>
        <v>0</v>
      </c>
      <c r="L576" s="111"/>
      <c r="Z576" s="100">
        <f t="shared" si="603"/>
        <v>0</v>
      </c>
      <c r="AB576" s="100">
        <f t="shared" si="604"/>
        <v>0</v>
      </c>
      <c r="AC576" s="100">
        <f t="shared" si="605"/>
        <v>0</v>
      </c>
      <c r="AD576" s="100">
        <f t="shared" si="606"/>
        <v>0</v>
      </c>
      <c r="AE576" s="100">
        <f t="shared" si="607"/>
        <v>0</v>
      </c>
      <c r="AF576" s="100">
        <f t="shared" si="608"/>
        <v>0</v>
      </c>
      <c r="AG576" s="100">
        <f t="shared" si="609"/>
        <v>0</v>
      </c>
      <c r="AH576" s="100">
        <f t="shared" si="610"/>
        <v>0</v>
      </c>
      <c r="AI576" s="109"/>
      <c r="AJ576" s="108">
        <f t="shared" si="611"/>
        <v>0</v>
      </c>
      <c r="AK576" s="108">
        <f t="shared" si="612"/>
        <v>0</v>
      </c>
      <c r="AL576" s="108">
        <f t="shared" si="613"/>
        <v>0</v>
      </c>
      <c r="AN576" s="100">
        <v>15</v>
      </c>
      <c r="AO576" s="100">
        <f t="shared" si="614"/>
        <v>0</v>
      </c>
      <c r="AP576" s="100">
        <f t="shared" si="615"/>
        <v>0</v>
      </c>
      <c r="AQ576" s="111" t="s">
        <v>7</v>
      </c>
      <c r="AV576" s="100">
        <f t="shared" si="616"/>
        <v>0</v>
      </c>
      <c r="AW576" s="100">
        <f t="shared" si="617"/>
        <v>0</v>
      </c>
      <c r="AX576" s="100">
        <f t="shared" si="618"/>
        <v>0</v>
      </c>
      <c r="AY576" s="110" t="s">
        <v>1722</v>
      </c>
      <c r="AZ576" s="110" t="s">
        <v>1730</v>
      </c>
      <c r="BA576" s="109" t="s">
        <v>1737</v>
      </c>
      <c r="BC576" s="100">
        <f t="shared" si="619"/>
        <v>0</v>
      </c>
      <c r="BD576" s="100">
        <f t="shared" si="620"/>
        <v>0</v>
      </c>
      <c r="BE576" s="100">
        <v>0</v>
      </c>
      <c r="BF576" s="100">
        <f>576</f>
        <v>576</v>
      </c>
      <c r="BH576" s="108">
        <f t="shared" si="621"/>
        <v>0</v>
      </c>
      <c r="BI576" s="108">
        <f t="shared" si="622"/>
        <v>0</v>
      </c>
      <c r="BJ576" s="108">
        <f t="shared" si="623"/>
        <v>0</v>
      </c>
    </row>
    <row r="577" spans="1:62" x14ac:dyDescent="0.2">
      <c r="A577" s="117" t="s">
        <v>524</v>
      </c>
      <c r="B577" s="117" t="s">
        <v>1000</v>
      </c>
      <c r="C577" s="304" t="s">
        <v>1581</v>
      </c>
      <c r="D577" s="305"/>
      <c r="E577" s="305"/>
      <c r="F577" s="117" t="s">
        <v>1644</v>
      </c>
      <c r="G577" s="116">
        <v>1</v>
      </c>
      <c r="H577" s="159"/>
      <c r="I577" s="108">
        <f t="shared" si="600"/>
        <v>0</v>
      </c>
      <c r="J577" s="108">
        <f t="shared" si="601"/>
        <v>0</v>
      </c>
      <c r="K577" s="108">
        <f t="shared" si="602"/>
        <v>0</v>
      </c>
      <c r="L577" s="111"/>
      <c r="Z577" s="100">
        <f t="shared" si="603"/>
        <v>0</v>
      </c>
      <c r="AB577" s="100">
        <f t="shared" si="604"/>
        <v>0</v>
      </c>
      <c r="AC577" s="100">
        <f t="shared" si="605"/>
        <v>0</v>
      </c>
      <c r="AD577" s="100">
        <f t="shared" si="606"/>
        <v>0</v>
      </c>
      <c r="AE577" s="100">
        <f t="shared" si="607"/>
        <v>0</v>
      </c>
      <c r="AF577" s="100">
        <f t="shared" si="608"/>
        <v>0</v>
      </c>
      <c r="AG577" s="100">
        <f t="shared" si="609"/>
        <v>0</v>
      </c>
      <c r="AH577" s="100">
        <f t="shared" si="610"/>
        <v>0</v>
      </c>
      <c r="AI577" s="109"/>
      <c r="AJ577" s="108">
        <f t="shared" si="611"/>
        <v>0</v>
      </c>
      <c r="AK577" s="108">
        <f t="shared" si="612"/>
        <v>0</v>
      </c>
      <c r="AL577" s="108">
        <f t="shared" si="613"/>
        <v>0</v>
      </c>
      <c r="AN577" s="100">
        <v>15</v>
      </c>
      <c r="AO577" s="100">
        <f t="shared" si="614"/>
        <v>0</v>
      </c>
      <c r="AP577" s="100">
        <f t="shared" si="615"/>
        <v>0</v>
      </c>
      <c r="AQ577" s="111" t="s">
        <v>7</v>
      </c>
      <c r="AV577" s="100">
        <f t="shared" si="616"/>
        <v>0</v>
      </c>
      <c r="AW577" s="100">
        <f t="shared" si="617"/>
        <v>0</v>
      </c>
      <c r="AX577" s="100">
        <f t="shared" si="618"/>
        <v>0</v>
      </c>
      <c r="AY577" s="110" t="s">
        <v>1722</v>
      </c>
      <c r="AZ577" s="110" t="s">
        <v>1730</v>
      </c>
      <c r="BA577" s="109" t="s">
        <v>1737</v>
      </c>
      <c r="BC577" s="100">
        <f t="shared" si="619"/>
        <v>0</v>
      </c>
      <c r="BD577" s="100">
        <f t="shared" si="620"/>
        <v>0</v>
      </c>
      <c r="BE577" s="100">
        <v>0</v>
      </c>
      <c r="BF577" s="100">
        <f>577</f>
        <v>577</v>
      </c>
      <c r="BH577" s="108">
        <f t="shared" si="621"/>
        <v>0</v>
      </c>
      <c r="BI577" s="108">
        <f t="shared" si="622"/>
        <v>0</v>
      </c>
      <c r="BJ577" s="108">
        <f t="shared" si="623"/>
        <v>0</v>
      </c>
    </row>
    <row r="578" spans="1:62" x14ac:dyDescent="0.2">
      <c r="A578" s="117" t="s">
        <v>525</v>
      </c>
      <c r="B578" s="117" t="s">
        <v>1001</v>
      </c>
      <c r="C578" s="304" t="s">
        <v>1592</v>
      </c>
      <c r="D578" s="305"/>
      <c r="E578" s="305"/>
      <c r="F578" s="117" t="s">
        <v>1644</v>
      </c>
      <c r="G578" s="116">
        <v>1</v>
      </c>
      <c r="H578" s="159"/>
      <c r="I578" s="108">
        <f t="shared" si="600"/>
        <v>0</v>
      </c>
      <c r="J578" s="108">
        <f t="shared" si="601"/>
        <v>0</v>
      </c>
      <c r="K578" s="108">
        <f t="shared" si="602"/>
        <v>0</v>
      </c>
      <c r="L578" s="111"/>
      <c r="Z578" s="100">
        <f t="shared" si="603"/>
        <v>0</v>
      </c>
      <c r="AB578" s="100">
        <f t="shared" si="604"/>
        <v>0</v>
      </c>
      <c r="AC578" s="100">
        <f t="shared" si="605"/>
        <v>0</v>
      </c>
      <c r="AD578" s="100">
        <f t="shared" si="606"/>
        <v>0</v>
      </c>
      <c r="AE578" s="100">
        <f t="shared" si="607"/>
        <v>0</v>
      </c>
      <c r="AF578" s="100">
        <f t="shared" si="608"/>
        <v>0</v>
      </c>
      <c r="AG578" s="100">
        <f t="shared" si="609"/>
        <v>0</v>
      </c>
      <c r="AH578" s="100">
        <f t="shared" si="610"/>
        <v>0</v>
      </c>
      <c r="AI578" s="109"/>
      <c r="AJ578" s="108">
        <f t="shared" si="611"/>
        <v>0</v>
      </c>
      <c r="AK578" s="108">
        <f t="shared" si="612"/>
        <v>0</v>
      </c>
      <c r="AL578" s="108">
        <f t="shared" si="613"/>
        <v>0</v>
      </c>
      <c r="AN578" s="100">
        <v>15</v>
      </c>
      <c r="AO578" s="100">
        <f t="shared" si="614"/>
        <v>0</v>
      </c>
      <c r="AP578" s="100">
        <f t="shared" si="615"/>
        <v>0</v>
      </c>
      <c r="AQ578" s="111" t="s">
        <v>7</v>
      </c>
      <c r="AV578" s="100">
        <f t="shared" si="616"/>
        <v>0</v>
      </c>
      <c r="AW578" s="100">
        <f t="shared" si="617"/>
        <v>0</v>
      </c>
      <c r="AX578" s="100">
        <f t="shared" si="618"/>
        <v>0</v>
      </c>
      <c r="AY578" s="110" t="s">
        <v>1722</v>
      </c>
      <c r="AZ578" s="110" t="s">
        <v>1730</v>
      </c>
      <c r="BA578" s="109" t="s">
        <v>1737</v>
      </c>
      <c r="BC578" s="100">
        <f t="shared" si="619"/>
        <v>0</v>
      </c>
      <c r="BD578" s="100">
        <f t="shared" si="620"/>
        <v>0</v>
      </c>
      <c r="BE578" s="100">
        <v>0</v>
      </c>
      <c r="BF578" s="100">
        <f>578</f>
        <v>578</v>
      </c>
      <c r="BH578" s="108">
        <f t="shared" si="621"/>
        <v>0</v>
      </c>
      <c r="BI578" s="108">
        <f t="shared" si="622"/>
        <v>0</v>
      </c>
      <c r="BJ578" s="108">
        <f t="shared" si="623"/>
        <v>0</v>
      </c>
    </row>
    <row r="579" spans="1:62" x14ac:dyDescent="0.2">
      <c r="A579" s="117" t="s">
        <v>526</v>
      </c>
      <c r="B579" s="117" t="s">
        <v>1002</v>
      </c>
      <c r="C579" s="304" t="s">
        <v>1593</v>
      </c>
      <c r="D579" s="305"/>
      <c r="E579" s="305"/>
      <c r="F579" s="117" t="s">
        <v>1644</v>
      </c>
      <c r="G579" s="116">
        <v>1</v>
      </c>
      <c r="H579" s="159"/>
      <c r="I579" s="108">
        <f t="shared" si="600"/>
        <v>0</v>
      </c>
      <c r="J579" s="108">
        <f t="shared" si="601"/>
        <v>0</v>
      </c>
      <c r="K579" s="108">
        <f t="shared" si="602"/>
        <v>0</v>
      </c>
      <c r="L579" s="111"/>
      <c r="Z579" s="100">
        <f t="shared" si="603"/>
        <v>0</v>
      </c>
      <c r="AB579" s="100">
        <f t="shared" si="604"/>
        <v>0</v>
      </c>
      <c r="AC579" s="100">
        <f t="shared" si="605"/>
        <v>0</v>
      </c>
      <c r="AD579" s="100">
        <f t="shared" si="606"/>
        <v>0</v>
      </c>
      <c r="AE579" s="100">
        <f t="shared" si="607"/>
        <v>0</v>
      </c>
      <c r="AF579" s="100">
        <f t="shared" si="608"/>
        <v>0</v>
      </c>
      <c r="AG579" s="100">
        <f t="shared" si="609"/>
        <v>0</v>
      </c>
      <c r="AH579" s="100">
        <f t="shared" si="610"/>
        <v>0</v>
      </c>
      <c r="AI579" s="109"/>
      <c r="AJ579" s="108">
        <f t="shared" si="611"/>
        <v>0</v>
      </c>
      <c r="AK579" s="108">
        <f t="shared" si="612"/>
        <v>0</v>
      </c>
      <c r="AL579" s="108">
        <f t="shared" si="613"/>
        <v>0</v>
      </c>
      <c r="AN579" s="100">
        <v>15</v>
      </c>
      <c r="AO579" s="100">
        <f t="shared" si="614"/>
        <v>0</v>
      </c>
      <c r="AP579" s="100">
        <f t="shared" si="615"/>
        <v>0</v>
      </c>
      <c r="AQ579" s="111" t="s">
        <v>7</v>
      </c>
      <c r="AV579" s="100">
        <f t="shared" si="616"/>
        <v>0</v>
      </c>
      <c r="AW579" s="100">
        <f t="shared" si="617"/>
        <v>0</v>
      </c>
      <c r="AX579" s="100">
        <f t="shared" si="618"/>
        <v>0</v>
      </c>
      <c r="AY579" s="110" t="s">
        <v>1722</v>
      </c>
      <c r="AZ579" s="110" t="s">
        <v>1730</v>
      </c>
      <c r="BA579" s="109" t="s">
        <v>1737</v>
      </c>
      <c r="BC579" s="100">
        <f t="shared" si="619"/>
        <v>0</v>
      </c>
      <c r="BD579" s="100">
        <f t="shared" si="620"/>
        <v>0</v>
      </c>
      <c r="BE579" s="100">
        <v>0</v>
      </c>
      <c r="BF579" s="100">
        <f>579</f>
        <v>579</v>
      </c>
      <c r="BH579" s="108">
        <f t="shared" si="621"/>
        <v>0</v>
      </c>
      <c r="BI579" s="108">
        <f t="shared" si="622"/>
        <v>0</v>
      </c>
      <c r="BJ579" s="108">
        <f t="shared" si="623"/>
        <v>0</v>
      </c>
    </row>
    <row r="580" spans="1:62" x14ac:dyDescent="0.2">
      <c r="A580" s="117" t="s">
        <v>527</v>
      </c>
      <c r="B580" s="117" t="s">
        <v>1003</v>
      </c>
      <c r="C580" s="304" t="s">
        <v>1594</v>
      </c>
      <c r="D580" s="305"/>
      <c r="E580" s="305"/>
      <c r="F580" s="117" t="s">
        <v>1644</v>
      </c>
      <c r="G580" s="116">
        <v>1</v>
      </c>
      <c r="H580" s="159"/>
      <c r="I580" s="108">
        <f t="shared" si="600"/>
        <v>0</v>
      </c>
      <c r="J580" s="108">
        <f t="shared" si="601"/>
        <v>0</v>
      </c>
      <c r="K580" s="108">
        <f t="shared" si="602"/>
        <v>0</v>
      </c>
      <c r="L580" s="111"/>
      <c r="Z580" s="100">
        <f t="shared" si="603"/>
        <v>0</v>
      </c>
      <c r="AB580" s="100">
        <f t="shared" si="604"/>
        <v>0</v>
      </c>
      <c r="AC580" s="100">
        <f t="shared" si="605"/>
        <v>0</v>
      </c>
      <c r="AD580" s="100">
        <f t="shared" si="606"/>
        <v>0</v>
      </c>
      <c r="AE580" s="100">
        <f t="shared" si="607"/>
        <v>0</v>
      </c>
      <c r="AF580" s="100">
        <f t="shared" si="608"/>
        <v>0</v>
      </c>
      <c r="AG580" s="100">
        <f t="shared" si="609"/>
        <v>0</v>
      </c>
      <c r="AH580" s="100">
        <f t="shared" si="610"/>
        <v>0</v>
      </c>
      <c r="AI580" s="109"/>
      <c r="AJ580" s="108">
        <f t="shared" si="611"/>
        <v>0</v>
      </c>
      <c r="AK580" s="108">
        <f t="shared" si="612"/>
        <v>0</v>
      </c>
      <c r="AL580" s="108">
        <f t="shared" si="613"/>
        <v>0</v>
      </c>
      <c r="AN580" s="100">
        <v>15</v>
      </c>
      <c r="AO580" s="100">
        <f t="shared" si="614"/>
        <v>0</v>
      </c>
      <c r="AP580" s="100">
        <f t="shared" si="615"/>
        <v>0</v>
      </c>
      <c r="AQ580" s="111" t="s">
        <v>7</v>
      </c>
      <c r="AV580" s="100">
        <f t="shared" si="616"/>
        <v>0</v>
      </c>
      <c r="AW580" s="100">
        <f t="shared" si="617"/>
        <v>0</v>
      </c>
      <c r="AX580" s="100">
        <f t="shared" si="618"/>
        <v>0</v>
      </c>
      <c r="AY580" s="110" t="s">
        <v>1722</v>
      </c>
      <c r="AZ580" s="110" t="s">
        <v>1730</v>
      </c>
      <c r="BA580" s="109" t="s">
        <v>1737</v>
      </c>
      <c r="BC580" s="100">
        <f t="shared" si="619"/>
        <v>0</v>
      </c>
      <c r="BD580" s="100">
        <f t="shared" si="620"/>
        <v>0</v>
      </c>
      <c r="BE580" s="100">
        <v>0</v>
      </c>
      <c r="BF580" s="100">
        <f>580</f>
        <v>580</v>
      </c>
      <c r="BH580" s="108">
        <f t="shared" si="621"/>
        <v>0</v>
      </c>
      <c r="BI580" s="108">
        <f t="shared" si="622"/>
        <v>0</v>
      </c>
      <c r="BJ580" s="108">
        <f t="shared" si="623"/>
        <v>0</v>
      </c>
    </row>
    <row r="581" spans="1:62" x14ac:dyDescent="0.2">
      <c r="A581" s="117" t="s">
        <v>528</v>
      </c>
      <c r="B581" s="117" t="s">
        <v>1003</v>
      </c>
      <c r="C581" s="304" t="s">
        <v>1595</v>
      </c>
      <c r="D581" s="305"/>
      <c r="E581" s="305"/>
      <c r="F581" s="117" t="s">
        <v>1644</v>
      </c>
      <c r="G581" s="116">
        <v>1</v>
      </c>
      <c r="H581" s="159"/>
      <c r="I581" s="108">
        <f t="shared" si="600"/>
        <v>0</v>
      </c>
      <c r="J581" s="108">
        <f t="shared" si="601"/>
        <v>0</v>
      </c>
      <c r="K581" s="108">
        <f t="shared" si="602"/>
        <v>0</v>
      </c>
      <c r="L581" s="111"/>
      <c r="Z581" s="100">
        <f t="shared" si="603"/>
        <v>0</v>
      </c>
      <c r="AB581" s="100">
        <f t="shared" si="604"/>
        <v>0</v>
      </c>
      <c r="AC581" s="100">
        <f t="shared" si="605"/>
        <v>0</v>
      </c>
      <c r="AD581" s="100">
        <f t="shared" si="606"/>
        <v>0</v>
      </c>
      <c r="AE581" s="100">
        <f t="shared" si="607"/>
        <v>0</v>
      </c>
      <c r="AF581" s="100">
        <f t="shared" si="608"/>
        <v>0</v>
      </c>
      <c r="AG581" s="100">
        <f t="shared" si="609"/>
        <v>0</v>
      </c>
      <c r="AH581" s="100">
        <f t="shared" si="610"/>
        <v>0</v>
      </c>
      <c r="AI581" s="109"/>
      <c r="AJ581" s="108">
        <f t="shared" si="611"/>
        <v>0</v>
      </c>
      <c r="AK581" s="108">
        <f t="shared" si="612"/>
        <v>0</v>
      </c>
      <c r="AL581" s="108">
        <f t="shared" si="613"/>
        <v>0</v>
      </c>
      <c r="AN581" s="100">
        <v>15</v>
      </c>
      <c r="AO581" s="100">
        <f t="shared" si="614"/>
        <v>0</v>
      </c>
      <c r="AP581" s="100">
        <f t="shared" si="615"/>
        <v>0</v>
      </c>
      <c r="AQ581" s="111" t="s">
        <v>7</v>
      </c>
      <c r="AV581" s="100">
        <f t="shared" si="616"/>
        <v>0</v>
      </c>
      <c r="AW581" s="100">
        <f t="shared" si="617"/>
        <v>0</v>
      </c>
      <c r="AX581" s="100">
        <f t="shared" si="618"/>
        <v>0</v>
      </c>
      <c r="AY581" s="110" t="s">
        <v>1722</v>
      </c>
      <c r="AZ581" s="110" t="s">
        <v>1730</v>
      </c>
      <c r="BA581" s="109" t="s">
        <v>1737</v>
      </c>
      <c r="BC581" s="100">
        <f t="shared" si="619"/>
        <v>0</v>
      </c>
      <c r="BD581" s="100">
        <f t="shared" si="620"/>
        <v>0</v>
      </c>
      <c r="BE581" s="100">
        <v>0</v>
      </c>
      <c r="BF581" s="100">
        <f>581</f>
        <v>581</v>
      </c>
      <c r="BH581" s="108">
        <f t="shared" si="621"/>
        <v>0</v>
      </c>
      <c r="BI581" s="108">
        <f t="shared" si="622"/>
        <v>0</v>
      </c>
      <c r="BJ581" s="108">
        <f t="shared" si="623"/>
        <v>0</v>
      </c>
    </row>
    <row r="582" spans="1:62" x14ac:dyDescent="0.2">
      <c r="A582" s="117" t="s">
        <v>529</v>
      </c>
      <c r="B582" s="117" t="s">
        <v>1004</v>
      </c>
      <c r="C582" s="304" t="s">
        <v>1596</v>
      </c>
      <c r="D582" s="305"/>
      <c r="E582" s="305"/>
      <c r="F582" s="117" t="s">
        <v>1644</v>
      </c>
      <c r="G582" s="116">
        <v>1</v>
      </c>
      <c r="H582" s="159"/>
      <c r="I582" s="108">
        <f t="shared" si="600"/>
        <v>0</v>
      </c>
      <c r="J582" s="108">
        <f t="shared" si="601"/>
        <v>0</v>
      </c>
      <c r="K582" s="108">
        <f t="shared" si="602"/>
        <v>0</v>
      </c>
      <c r="L582" s="111"/>
      <c r="Z582" s="100">
        <f t="shared" si="603"/>
        <v>0</v>
      </c>
      <c r="AB582" s="100">
        <f t="shared" si="604"/>
        <v>0</v>
      </c>
      <c r="AC582" s="100">
        <f t="shared" si="605"/>
        <v>0</v>
      </c>
      <c r="AD582" s="100">
        <f t="shared" si="606"/>
        <v>0</v>
      </c>
      <c r="AE582" s="100">
        <f t="shared" si="607"/>
        <v>0</v>
      </c>
      <c r="AF582" s="100">
        <f t="shared" si="608"/>
        <v>0</v>
      </c>
      <c r="AG582" s="100">
        <f t="shared" si="609"/>
        <v>0</v>
      </c>
      <c r="AH582" s="100">
        <f t="shared" si="610"/>
        <v>0</v>
      </c>
      <c r="AI582" s="109"/>
      <c r="AJ582" s="108">
        <f t="shared" si="611"/>
        <v>0</v>
      </c>
      <c r="AK582" s="108">
        <f t="shared" si="612"/>
        <v>0</v>
      </c>
      <c r="AL582" s="108">
        <f t="shared" si="613"/>
        <v>0</v>
      </c>
      <c r="AN582" s="100">
        <v>15</v>
      </c>
      <c r="AO582" s="100">
        <f t="shared" si="614"/>
        <v>0</v>
      </c>
      <c r="AP582" s="100">
        <f t="shared" si="615"/>
        <v>0</v>
      </c>
      <c r="AQ582" s="111" t="s">
        <v>7</v>
      </c>
      <c r="AV582" s="100">
        <f t="shared" si="616"/>
        <v>0</v>
      </c>
      <c r="AW582" s="100">
        <f t="shared" si="617"/>
        <v>0</v>
      </c>
      <c r="AX582" s="100">
        <f t="shared" si="618"/>
        <v>0</v>
      </c>
      <c r="AY582" s="110" t="s">
        <v>1722</v>
      </c>
      <c r="AZ582" s="110" t="s">
        <v>1730</v>
      </c>
      <c r="BA582" s="109" t="s">
        <v>1737</v>
      </c>
      <c r="BC582" s="100">
        <f t="shared" si="619"/>
        <v>0</v>
      </c>
      <c r="BD582" s="100">
        <f t="shared" si="620"/>
        <v>0</v>
      </c>
      <c r="BE582" s="100">
        <v>0</v>
      </c>
      <c r="BF582" s="100">
        <f>582</f>
        <v>582</v>
      </c>
      <c r="BH582" s="108">
        <f t="shared" si="621"/>
        <v>0</v>
      </c>
      <c r="BI582" s="108">
        <f t="shared" si="622"/>
        <v>0</v>
      </c>
      <c r="BJ582" s="108">
        <f t="shared" si="623"/>
        <v>0</v>
      </c>
    </row>
    <row r="583" spans="1:62" x14ac:dyDescent="0.2">
      <c r="A583" s="117" t="s">
        <v>530</v>
      </c>
      <c r="B583" s="117" t="s">
        <v>1005</v>
      </c>
      <c r="C583" s="304" t="s">
        <v>1597</v>
      </c>
      <c r="D583" s="305"/>
      <c r="E583" s="305"/>
      <c r="F583" s="117" t="s">
        <v>1644</v>
      </c>
      <c r="G583" s="116">
        <v>1</v>
      </c>
      <c r="H583" s="159"/>
      <c r="I583" s="108">
        <f t="shared" si="600"/>
        <v>0</v>
      </c>
      <c r="J583" s="108">
        <f t="shared" si="601"/>
        <v>0</v>
      </c>
      <c r="K583" s="108">
        <f t="shared" si="602"/>
        <v>0</v>
      </c>
      <c r="L583" s="111"/>
      <c r="Z583" s="100">
        <f t="shared" si="603"/>
        <v>0</v>
      </c>
      <c r="AB583" s="100">
        <f t="shared" si="604"/>
        <v>0</v>
      </c>
      <c r="AC583" s="100">
        <f t="shared" si="605"/>
        <v>0</v>
      </c>
      <c r="AD583" s="100">
        <f t="shared" si="606"/>
        <v>0</v>
      </c>
      <c r="AE583" s="100">
        <f t="shared" si="607"/>
        <v>0</v>
      </c>
      <c r="AF583" s="100">
        <f t="shared" si="608"/>
        <v>0</v>
      </c>
      <c r="AG583" s="100">
        <f t="shared" si="609"/>
        <v>0</v>
      </c>
      <c r="AH583" s="100">
        <f t="shared" si="610"/>
        <v>0</v>
      </c>
      <c r="AI583" s="109"/>
      <c r="AJ583" s="108">
        <f t="shared" si="611"/>
        <v>0</v>
      </c>
      <c r="AK583" s="108">
        <f t="shared" si="612"/>
        <v>0</v>
      </c>
      <c r="AL583" s="108">
        <f t="shared" si="613"/>
        <v>0</v>
      </c>
      <c r="AN583" s="100">
        <v>15</v>
      </c>
      <c r="AO583" s="100">
        <f t="shared" si="614"/>
        <v>0</v>
      </c>
      <c r="AP583" s="100">
        <f t="shared" si="615"/>
        <v>0</v>
      </c>
      <c r="AQ583" s="111" t="s">
        <v>7</v>
      </c>
      <c r="AV583" s="100">
        <f t="shared" si="616"/>
        <v>0</v>
      </c>
      <c r="AW583" s="100">
        <f t="shared" si="617"/>
        <v>0</v>
      </c>
      <c r="AX583" s="100">
        <f t="shared" si="618"/>
        <v>0</v>
      </c>
      <c r="AY583" s="110" t="s">
        <v>1722</v>
      </c>
      <c r="AZ583" s="110" t="s">
        <v>1730</v>
      </c>
      <c r="BA583" s="109" t="s">
        <v>1737</v>
      </c>
      <c r="BC583" s="100">
        <f t="shared" si="619"/>
        <v>0</v>
      </c>
      <c r="BD583" s="100">
        <f t="shared" si="620"/>
        <v>0</v>
      </c>
      <c r="BE583" s="100">
        <v>0</v>
      </c>
      <c r="BF583" s="100">
        <f>583</f>
        <v>583</v>
      </c>
      <c r="BH583" s="108">
        <f t="shared" si="621"/>
        <v>0</v>
      </c>
      <c r="BI583" s="108">
        <f t="shared" si="622"/>
        <v>0</v>
      </c>
      <c r="BJ583" s="108">
        <f t="shared" si="623"/>
        <v>0</v>
      </c>
    </row>
    <row r="584" spans="1:62" x14ac:dyDescent="0.2">
      <c r="A584" s="117" t="s">
        <v>531</v>
      </c>
      <c r="B584" s="117" t="s">
        <v>1006</v>
      </c>
      <c r="C584" s="304" t="s">
        <v>1598</v>
      </c>
      <c r="D584" s="305"/>
      <c r="E584" s="305"/>
      <c r="F584" s="117" t="s">
        <v>1644</v>
      </c>
      <c r="G584" s="116">
        <v>1</v>
      </c>
      <c r="H584" s="159"/>
      <c r="I584" s="108">
        <f t="shared" si="600"/>
        <v>0</v>
      </c>
      <c r="J584" s="108">
        <f t="shared" si="601"/>
        <v>0</v>
      </c>
      <c r="K584" s="108">
        <f t="shared" si="602"/>
        <v>0</v>
      </c>
      <c r="L584" s="111"/>
      <c r="Z584" s="100">
        <f t="shared" si="603"/>
        <v>0</v>
      </c>
      <c r="AB584" s="100">
        <f t="shared" si="604"/>
        <v>0</v>
      </c>
      <c r="AC584" s="100">
        <f t="shared" si="605"/>
        <v>0</v>
      </c>
      <c r="AD584" s="100">
        <f t="shared" si="606"/>
        <v>0</v>
      </c>
      <c r="AE584" s="100">
        <f t="shared" si="607"/>
        <v>0</v>
      </c>
      <c r="AF584" s="100">
        <f t="shared" si="608"/>
        <v>0</v>
      </c>
      <c r="AG584" s="100">
        <f t="shared" si="609"/>
        <v>0</v>
      </c>
      <c r="AH584" s="100">
        <f t="shared" si="610"/>
        <v>0</v>
      </c>
      <c r="AI584" s="109"/>
      <c r="AJ584" s="108">
        <f t="shared" si="611"/>
        <v>0</v>
      </c>
      <c r="AK584" s="108">
        <f t="shared" si="612"/>
        <v>0</v>
      </c>
      <c r="AL584" s="108">
        <f t="shared" si="613"/>
        <v>0</v>
      </c>
      <c r="AN584" s="100">
        <v>15</v>
      </c>
      <c r="AO584" s="100">
        <f t="shared" si="614"/>
        <v>0</v>
      </c>
      <c r="AP584" s="100">
        <f t="shared" si="615"/>
        <v>0</v>
      </c>
      <c r="AQ584" s="111" t="s">
        <v>7</v>
      </c>
      <c r="AV584" s="100">
        <f t="shared" si="616"/>
        <v>0</v>
      </c>
      <c r="AW584" s="100">
        <f t="shared" si="617"/>
        <v>0</v>
      </c>
      <c r="AX584" s="100">
        <f t="shared" si="618"/>
        <v>0</v>
      </c>
      <c r="AY584" s="110" t="s">
        <v>1722</v>
      </c>
      <c r="AZ584" s="110" t="s">
        <v>1730</v>
      </c>
      <c r="BA584" s="109" t="s">
        <v>1737</v>
      </c>
      <c r="BC584" s="100">
        <f t="shared" si="619"/>
        <v>0</v>
      </c>
      <c r="BD584" s="100">
        <f t="shared" si="620"/>
        <v>0</v>
      </c>
      <c r="BE584" s="100">
        <v>0</v>
      </c>
      <c r="BF584" s="100">
        <f>584</f>
        <v>584</v>
      </c>
      <c r="BH584" s="108">
        <f t="shared" si="621"/>
        <v>0</v>
      </c>
      <c r="BI584" s="108">
        <f t="shared" si="622"/>
        <v>0</v>
      </c>
      <c r="BJ584" s="108">
        <f t="shared" si="623"/>
        <v>0</v>
      </c>
    </row>
    <row r="585" spans="1:62" x14ac:dyDescent="0.2">
      <c r="A585" s="117" t="s">
        <v>532</v>
      </c>
      <c r="B585" s="117" t="s">
        <v>1007</v>
      </c>
      <c r="C585" s="304" t="s">
        <v>1599</v>
      </c>
      <c r="D585" s="305"/>
      <c r="E585" s="305"/>
      <c r="F585" s="117" t="s">
        <v>1644</v>
      </c>
      <c r="G585" s="116">
        <v>1</v>
      </c>
      <c r="H585" s="159"/>
      <c r="I585" s="108">
        <f t="shared" si="600"/>
        <v>0</v>
      </c>
      <c r="J585" s="108">
        <f t="shared" si="601"/>
        <v>0</v>
      </c>
      <c r="K585" s="108">
        <f t="shared" si="602"/>
        <v>0</v>
      </c>
      <c r="L585" s="111"/>
      <c r="Z585" s="100">
        <f t="shared" si="603"/>
        <v>0</v>
      </c>
      <c r="AB585" s="100">
        <f t="shared" si="604"/>
        <v>0</v>
      </c>
      <c r="AC585" s="100">
        <f t="shared" si="605"/>
        <v>0</v>
      </c>
      <c r="AD585" s="100">
        <f t="shared" si="606"/>
        <v>0</v>
      </c>
      <c r="AE585" s="100">
        <f t="shared" si="607"/>
        <v>0</v>
      </c>
      <c r="AF585" s="100">
        <f t="shared" si="608"/>
        <v>0</v>
      </c>
      <c r="AG585" s="100">
        <f t="shared" si="609"/>
        <v>0</v>
      </c>
      <c r="AH585" s="100">
        <f t="shared" si="610"/>
        <v>0</v>
      </c>
      <c r="AI585" s="109"/>
      <c r="AJ585" s="108">
        <f t="shared" si="611"/>
        <v>0</v>
      </c>
      <c r="AK585" s="108">
        <f t="shared" si="612"/>
        <v>0</v>
      </c>
      <c r="AL585" s="108">
        <f t="shared" si="613"/>
        <v>0</v>
      </c>
      <c r="AN585" s="100">
        <v>15</v>
      </c>
      <c r="AO585" s="100">
        <f t="shared" si="614"/>
        <v>0</v>
      </c>
      <c r="AP585" s="100">
        <f t="shared" si="615"/>
        <v>0</v>
      </c>
      <c r="AQ585" s="111" t="s">
        <v>7</v>
      </c>
      <c r="AV585" s="100">
        <f t="shared" si="616"/>
        <v>0</v>
      </c>
      <c r="AW585" s="100">
        <f t="shared" si="617"/>
        <v>0</v>
      </c>
      <c r="AX585" s="100">
        <f t="shared" si="618"/>
        <v>0</v>
      </c>
      <c r="AY585" s="110" t="s">
        <v>1722</v>
      </c>
      <c r="AZ585" s="110" t="s">
        <v>1730</v>
      </c>
      <c r="BA585" s="109" t="s">
        <v>1737</v>
      </c>
      <c r="BC585" s="100">
        <f t="shared" si="619"/>
        <v>0</v>
      </c>
      <c r="BD585" s="100">
        <f t="shared" si="620"/>
        <v>0</v>
      </c>
      <c r="BE585" s="100">
        <v>0</v>
      </c>
      <c r="BF585" s="100">
        <f>585</f>
        <v>585</v>
      </c>
      <c r="BH585" s="108">
        <f t="shared" si="621"/>
        <v>0</v>
      </c>
      <c r="BI585" s="108">
        <f t="shared" si="622"/>
        <v>0</v>
      </c>
      <c r="BJ585" s="108">
        <f t="shared" si="623"/>
        <v>0</v>
      </c>
    </row>
    <row r="586" spans="1:62" x14ac:dyDescent="0.2">
      <c r="A586" s="117" t="s">
        <v>533</v>
      </c>
      <c r="B586" s="117" t="s">
        <v>1008</v>
      </c>
      <c r="C586" s="304" t="s">
        <v>1600</v>
      </c>
      <c r="D586" s="305"/>
      <c r="E586" s="305"/>
      <c r="F586" s="117" t="s">
        <v>1644</v>
      </c>
      <c r="G586" s="116">
        <v>1</v>
      </c>
      <c r="H586" s="159"/>
      <c r="I586" s="108">
        <f t="shared" si="600"/>
        <v>0</v>
      </c>
      <c r="J586" s="108">
        <f t="shared" si="601"/>
        <v>0</v>
      </c>
      <c r="K586" s="108">
        <f t="shared" si="602"/>
        <v>0</v>
      </c>
      <c r="L586" s="111"/>
      <c r="Z586" s="100">
        <f t="shared" si="603"/>
        <v>0</v>
      </c>
      <c r="AB586" s="100">
        <f t="shared" si="604"/>
        <v>0</v>
      </c>
      <c r="AC586" s="100">
        <f t="shared" si="605"/>
        <v>0</v>
      </c>
      <c r="AD586" s="100">
        <f t="shared" si="606"/>
        <v>0</v>
      </c>
      <c r="AE586" s="100">
        <f t="shared" si="607"/>
        <v>0</v>
      </c>
      <c r="AF586" s="100">
        <f t="shared" si="608"/>
        <v>0</v>
      </c>
      <c r="AG586" s="100">
        <f t="shared" si="609"/>
        <v>0</v>
      </c>
      <c r="AH586" s="100">
        <f t="shared" si="610"/>
        <v>0</v>
      </c>
      <c r="AI586" s="109"/>
      <c r="AJ586" s="108">
        <f t="shared" si="611"/>
        <v>0</v>
      </c>
      <c r="AK586" s="108">
        <f t="shared" si="612"/>
        <v>0</v>
      </c>
      <c r="AL586" s="108">
        <f t="shared" si="613"/>
        <v>0</v>
      </c>
      <c r="AN586" s="100">
        <v>15</v>
      </c>
      <c r="AO586" s="100">
        <f t="shared" si="614"/>
        <v>0</v>
      </c>
      <c r="AP586" s="100">
        <f t="shared" si="615"/>
        <v>0</v>
      </c>
      <c r="AQ586" s="111" t="s">
        <v>7</v>
      </c>
      <c r="AV586" s="100">
        <f t="shared" si="616"/>
        <v>0</v>
      </c>
      <c r="AW586" s="100">
        <f t="shared" si="617"/>
        <v>0</v>
      </c>
      <c r="AX586" s="100">
        <f t="shared" si="618"/>
        <v>0</v>
      </c>
      <c r="AY586" s="110" t="s">
        <v>1722</v>
      </c>
      <c r="AZ586" s="110" t="s">
        <v>1730</v>
      </c>
      <c r="BA586" s="109" t="s">
        <v>1737</v>
      </c>
      <c r="BC586" s="100">
        <f t="shared" si="619"/>
        <v>0</v>
      </c>
      <c r="BD586" s="100">
        <f t="shared" si="620"/>
        <v>0</v>
      </c>
      <c r="BE586" s="100">
        <v>0</v>
      </c>
      <c r="BF586" s="100">
        <f>586</f>
        <v>586</v>
      </c>
      <c r="BH586" s="108">
        <f t="shared" si="621"/>
        <v>0</v>
      </c>
      <c r="BI586" s="108">
        <f t="shared" si="622"/>
        <v>0</v>
      </c>
      <c r="BJ586" s="108">
        <f t="shared" si="623"/>
        <v>0</v>
      </c>
    </row>
    <row r="587" spans="1:62" x14ac:dyDescent="0.2">
      <c r="A587" s="117" t="s">
        <v>534</v>
      </c>
      <c r="B587" s="117" t="s">
        <v>1009</v>
      </c>
      <c r="C587" s="304" t="s">
        <v>1601</v>
      </c>
      <c r="D587" s="305"/>
      <c r="E587" s="305"/>
      <c r="F587" s="117" t="s">
        <v>1644</v>
      </c>
      <c r="G587" s="116">
        <v>1</v>
      </c>
      <c r="H587" s="159"/>
      <c r="I587" s="108">
        <f t="shared" si="600"/>
        <v>0</v>
      </c>
      <c r="J587" s="108">
        <f t="shared" si="601"/>
        <v>0</v>
      </c>
      <c r="K587" s="108">
        <f t="shared" si="602"/>
        <v>0</v>
      </c>
      <c r="L587" s="111"/>
      <c r="Z587" s="100">
        <f t="shared" si="603"/>
        <v>0</v>
      </c>
      <c r="AB587" s="100">
        <f t="shared" si="604"/>
        <v>0</v>
      </c>
      <c r="AC587" s="100">
        <f t="shared" si="605"/>
        <v>0</v>
      </c>
      <c r="AD587" s="100">
        <f t="shared" si="606"/>
        <v>0</v>
      </c>
      <c r="AE587" s="100">
        <f t="shared" si="607"/>
        <v>0</v>
      </c>
      <c r="AF587" s="100">
        <f t="shared" si="608"/>
        <v>0</v>
      </c>
      <c r="AG587" s="100">
        <f t="shared" si="609"/>
        <v>0</v>
      </c>
      <c r="AH587" s="100">
        <f t="shared" si="610"/>
        <v>0</v>
      </c>
      <c r="AI587" s="109"/>
      <c r="AJ587" s="108">
        <f t="shared" si="611"/>
        <v>0</v>
      </c>
      <c r="AK587" s="108">
        <f t="shared" si="612"/>
        <v>0</v>
      </c>
      <c r="AL587" s="108">
        <f t="shared" si="613"/>
        <v>0</v>
      </c>
      <c r="AN587" s="100">
        <v>15</v>
      </c>
      <c r="AO587" s="100">
        <f t="shared" si="614"/>
        <v>0</v>
      </c>
      <c r="AP587" s="100">
        <f t="shared" si="615"/>
        <v>0</v>
      </c>
      <c r="AQ587" s="111" t="s">
        <v>7</v>
      </c>
      <c r="AV587" s="100">
        <f t="shared" si="616"/>
        <v>0</v>
      </c>
      <c r="AW587" s="100">
        <f t="shared" si="617"/>
        <v>0</v>
      </c>
      <c r="AX587" s="100">
        <f t="shared" si="618"/>
        <v>0</v>
      </c>
      <c r="AY587" s="110" t="s">
        <v>1722</v>
      </c>
      <c r="AZ587" s="110" t="s">
        <v>1730</v>
      </c>
      <c r="BA587" s="109" t="s">
        <v>1737</v>
      </c>
      <c r="BC587" s="100">
        <f t="shared" si="619"/>
        <v>0</v>
      </c>
      <c r="BD587" s="100">
        <f t="shared" si="620"/>
        <v>0</v>
      </c>
      <c r="BE587" s="100">
        <v>0</v>
      </c>
      <c r="BF587" s="100">
        <f>587</f>
        <v>587</v>
      </c>
      <c r="BH587" s="108">
        <f t="shared" si="621"/>
        <v>0</v>
      </c>
      <c r="BI587" s="108">
        <f t="shared" si="622"/>
        <v>0</v>
      </c>
      <c r="BJ587" s="108">
        <f t="shared" si="623"/>
        <v>0</v>
      </c>
    </row>
    <row r="588" spans="1:62" x14ac:dyDescent="0.2">
      <c r="A588" s="117" t="s">
        <v>535</v>
      </c>
      <c r="B588" s="117" t="s">
        <v>2260</v>
      </c>
      <c r="C588" s="304" t="s">
        <v>1602</v>
      </c>
      <c r="D588" s="305"/>
      <c r="E588" s="305"/>
      <c r="F588" s="117" t="s">
        <v>1646</v>
      </c>
      <c r="G588" s="116">
        <v>20</v>
      </c>
      <c r="H588" s="159"/>
      <c r="I588" s="108">
        <f t="shared" si="600"/>
        <v>0</v>
      </c>
      <c r="J588" s="108">
        <f t="shared" si="601"/>
        <v>0</v>
      </c>
      <c r="K588" s="108">
        <f t="shared" si="602"/>
        <v>0</v>
      </c>
      <c r="L588" s="111"/>
      <c r="Z588" s="100">
        <f t="shared" si="603"/>
        <v>0</v>
      </c>
      <c r="AB588" s="100">
        <f t="shared" si="604"/>
        <v>0</v>
      </c>
      <c r="AC588" s="100">
        <f t="shared" si="605"/>
        <v>0</v>
      </c>
      <c r="AD588" s="100">
        <f t="shared" si="606"/>
        <v>0</v>
      </c>
      <c r="AE588" s="100">
        <f t="shared" si="607"/>
        <v>0</v>
      </c>
      <c r="AF588" s="100">
        <f t="shared" si="608"/>
        <v>0</v>
      </c>
      <c r="AG588" s="100">
        <f t="shared" si="609"/>
        <v>0</v>
      </c>
      <c r="AH588" s="100">
        <f t="shared" si="610"/>
        <v>0</v>
      </c>
      <c r="AI588" s="109"/>
      <c r="AJ588" s="108">
        <f t="shared" si="611"/>
        <v>0</v>
      </c>
      <c r="AK588" s="108">
        <f t="shared" si="612"/>
        <v>0</v>
      </c>
      <c r="AL588" s="108">
        <f t="shared" si="613"/>
        <v>0</v>
      </c>
      <c r="AN588" s="100">
        <v>15</v>
      </c>
      <c r="AO588" s="100">
        <f t="shared" si="614"/>
        <v>0</v>
      </c>
      <c r="AP588" s="100">
        <f t="shared" si="615"/>
        <v>0</v>
      </c>
      <c r="AQ588" s="111" t="s">
        <v>7</v>
      </c>
      <c r="AV588" s="100">
        <f t="shared" si="616"/>
        <v>0</v>
      </c>
      <c r="AW588" s="100">
        <f t="shared" si="617"/>
        <v>0</v>
      </c>
      <c r="AX588" s="100">
        <f t="shared" si="618"/>
        <v>0</v>
      </c>
      <c r="AY588" s="110" t="s">
        <v>1722</v>
      </c>
      <c r="AZ588" s="110" t="s">
        <v>1730</v>
      </c>
      <c r="BA588" s="109" t="s">
        <v>1737</v>
      </c>
      <c r="BC588" s="100">
        <f t="shared" si="619"/>
        <v>0</v>
      </c>
      <c r="BD588" s="100">
        <f t="shared" si="620"/>
        <v>0</v>
      </c>
      <c r="BE588" s="100">
        <v>0</v>
      </c>
      <c r="BF588" s="100">
        <f>588</f>
        <v>588</v>
      </c>
      <c r="BH588" s="108">
        <f t="shared" si="621"/>
        <v>0</v>
      </c>
      <c r="BI588" s="108">
        <f t="shared" si="622"/>
        <v>0</v>
      </c>
      <c r="BJ588" s="108">
        <f t="shared" si="623"/>
        <v>0</v>
      </c>
    </row>
    <row r="589" spans="1:62" x14ac:dyDescent="0.2">
      <c r="A589" s="117" t="s">
        <v>536</v>
      </c>
      <c r="B589" s="117" t="s">
        <v>2259</v>
      </c>
      <c r="C589" s="304" t="s">
        <v>1603</v>
      </c>
      <c r="D589" s="305"/>
      <c r="E589" s="305"/>
      <c r="F589" s="117" t="s">
        <v>1646</v>
      </c>
      <c r="G589" s="116">
        <v>10</v>
      </c>
      <c r="H589" s="159"/>
      <c r="I589" s="108">
        <f t="shared" si="600"/>
        <v>0</v>
      </c>
      <c r="J589" s="108">
        <f t="shared" si="601"/>
        <v>0</v>
      </c>
      <c r="K589" s="108">
        <f t="shared" si="602"/>
        <v>0</v>
      </c>
      <c r="L589" s="111"/>
      <c r="Z589" s="100">
        <f t="shared" si="603"/>
        <v>0</v>
      </c>
      <c r="AB589" s="100">
        <f t="shared" si="604"/>
        <v>0</v>
      </c>
      <c r="AC589" s="100">
        <f t="shared" si="605"/>
        <v>0</v>
      </c>
      <c r="AD589" s="100">
        <f t="shared" si="606"/>
        <v>0</v>
      </c>
      <c r="AE589" s="100">
        <f t="shared" si="607"/>
        <v>0</v>
      </c>
      <c r="AF589" s="100">
        <f t="shared" si="608"/>
        <v>0</v>
      </c>
      <c r="AG589" s="100">
        <f t="shared" si="609"/>
        <v>0</v>
      </c>
      <c r="AH589" s="100">
        <f t="shared" si="610"/>
        <v>0</v>
      </c>
      <c r="AI589" s="109"/>
      <c r="AJ589" s="108">
        <f t="shared" si="611"/>
        <v>0</v>
      </c>
      <c r="AK589" s="108">
        <f t="shared" si="612"/>
        <v>0</v>
      </c>
      <c r="AL589" s="108">
        <f t="shared" si="613"/>
        <v>0</v>
      </c>
      <c r="AN589" s="100">
        <v>15</v>
      </c>
      <c r="AO589" s="100">
        <f t="shared" si="614"/>
        <v>0</v>
      </c>
      <c r="AP589" s="100">
        <f t="shared" si="615"/>
        <v>0</v>
      </c>
      <c r="AQ589" s="111" t="s">
        <v>7</v>
      </c>
      <c r="AV589" s="100">
        <f t="shared" si="616"/>
        <v>0</v>
      </c>
      <c r="AW589" s="100">
        <f t="shared" si="617"/>
        <v>0</v>
      </c>
      <c r="AX589" s="100">
        <f t="shared" si="618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619"/>
        <v>0</v>
      </c>
      <c r="BD589" s="100">
        <f t="shared" si="620"/>
        <v>0</v>
      </c>
      <c r="BE589" s="100">
        <v>0</v>
      </c>
      <c r="BF589" s="100">
        <f>589</f>
        <v>589</v>
      </c>
      <c r="BH589" s="108">
        <f t="shared" si="621"/>
        <v>0</v>
      </c>
      <c r="BI589" s="108">
        <f t="shared" si="622"/>
        <v>0</v>
      </c>
      <c r="BJ589" s="108">
        <f t="shared" si="623"/>
        <v>0</v>
      </c>
    </row>
    <row r="590" spans="1:62" x14ac:dyDescent="0.2">
      <c r="A590" s="117" t="s">
        <v>537</v>
      </c>
      <c r="B590" s="117" t="s">
        <v>2258</v>
      </c>
      <c r="C590" s="304" t="s">
        <v>1604</v>
      </c>
      <c r="D590" s="305"/>
      <c r="E590" s="305"/>
      <c r="F590" s="117" t="s">
        <v>1646</v>
      </c>
      <c r="G590" s="116">
        <v>5</v>
      </c>
      <c r="H590" s="159"/>
      <c r="I590" s="108">
        <f t="shared" si="600"/>
        <v>0</v>
      </c>
      <c r="J590" s="108">
        <f t="shared" si="601"/>
        <v>0</v>
      </c>
      <c r="K590" s="108">
        <f t="shared" si="602"/>
        <v>0</v>
      </c>
      <c r="L590" s="111"/>
      <c r="Z590" s="100">
        <f t="shared" si="603"/>
        <v>0</v>
      </c>
      <c r="AB590" s="100">
        <f t="shared" si="604"/>
        <v>0</v>
      </c>
      <c r="AC590" s="100">
        <f t="shared" si="605"/>
        <v>0</v>
      </c>
      <c r="AD590" s="100">
        <f t="shared" si="606"/>
        <v>0</v>
      </c>
      <c r="AE590" s="100">
        <f t="shared" si="607"/>
        <v>0</v>
      </c>
      <c r="AF590" s="100">
        <f t="shared" si="608"/>
        <v>0</v>
      </c>
      <c r="AG590" s="100">
        <f t="shared" si="609"/>
        <v>0</v>
      </c>
      <c r="AH590" s="100">
        <f t="shared" si="610"/>
        <v>0</v>
      </c>
      <c r="AI590" s="109"/>
      <c r="AJ590" s="108">
        <f t="shared" si="611"/>
        <v>0</v>
      </c>
      <c r="AK590" s="108">
        <f t="shared" si="612"/>
        <v>0</v>
      </c>
      <c r="AL590" s="108">
        <f t="shared" si="613"/>
        <v>0</v>
      </c>
      <c r="AN590" s="100">
        <v>15</v>
      </c>
      <c r="AO590" s="100">
        <f t="shared" si="614"/>
        <v>0</v>
      </c>
      <c r="AP590" s="100">
        <f t="shared" si="615"/>
        <v>0</v>
      </c>
      <c r="AQ590" s="111" t="s">
        <v>7</v>
      </c>
      <c r="AV590" s="100">
        <f t="shared" si="616"/>
        <v>0</v>
      </c>
      <c r="AW590" s="100">
        <f t="shared" si="617"/>
        <v>0</v>
      </c>
      <c r="AX590" s="100">
        <f t="shared" si="618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619"/>
        <v>0</v>
      </c>
      <c r="BD590" s="100">
        <f t="shared" si="620"/>
        <v>0</v>
      </c>
      <c r="BE590" s="100">
        <v>0</v>
      </c>
      <c r="BF590" s="100">
        <f>590</f>
        <v>590</v>
      </c>
      <c r="BH590" s="108">
        <f t="shared" si="621"/>
        <v>0</v>
      </c>
      <c r="BI590" s="108">
        <f t="shared" si="622"/>
        <v>0</v>
      </c>
      <c r="BJ590" s="108">
        <f t="shared" si="623"/>
        <v>0</v>
      </c>
    </row>
    <row r="591" spans="1:62" x14ac:dyDescent="0.2">
      <c r="A591" s="117" t="s">
        <v>538</v>
      </c>
      <c r="B591" s="117" t="s">
        <v>2257</v>
      </c>
      <c r="C591" s="304" t="s">
        <v>1605</v>
      </c>
      <c r="D591" s="305"/>
      <c r="E591" s="305"/>
      <c r="F591" s="117" t="s">
        <v>1646</v>
      </c>
      <c r="G591" s="116">
        <v>5</v>
      </c>
      <c r="H591" s="159"/>
      <c r="I591" s="108">
        <f t="shared" si="600"/>
        <v>0</v>
      </c>
      <c r="J591" s="108">
        <f t="shared" si="601"/>
        <v>0</v>
      </c>
      <c r="K591" s="108">
        <f t="shared" si="602"/>
        <v>0</v>
      </c>
      <c r="L591" s="111"/>
      <c r="Z591" s="100">
        <f t="shared" si="603"/>
        <v>0</v>
      </c>
      <c r="AB591" s="100">
        <f t="shared" si="604"/>
        <v>0</v>
      </c>
      <c r="AC591" s="100">
        <f t="shared" si="605"/>
        <v>0</v>
      </c>
      <c r="AD591" s="100">
        <f t="shared" si="606"/>
        <v>0</v>
      </c>
      <c r="AE591" s="100">
        <f t="shared" si="607"/>
        <v>0</v>
      </c>
      <c r="AF591" s="100">
        <f t="shared" si="608"/>
        <v>0</v>
      </c>
      <c r="AG591" s="100">
        <f t="shared" si="609"/>
        <v>0</v>
      </c>
      <c r="AH591" s="100">
        <f t="shared" si="610"/>
        <v>0</v>
      </c>
      <c r="AI591" s="109"/>
      <c r="AJ591" s="108">
        <f t="shared" si="611"/>
        <v>0</v>
      </c>
      <c r="AK591" s="108">
        <f t="shared" si="612"/>
        <v>0</v>
      </c>
      <c r="AL591" s="108">
        <f t="shared" si="613"/>
        <v>0</v>
      </c>
      <c r="AN591" s="100">
        <v>15</v>
      </c>
      <c r="AO591" s="100">
        <f t="shared" si="614"/>
        <v>0</v>
      </c>
      <c r="AP591" s="100">
        <f t="shared" si="615"/>
        <v>0</v>
      </c>
      <c r="AQ591" s="111" t="s">
        <v>7</v>
      </c>
      <c r="AV591" s="100">
        <f t="shared" si="616"/>
        <v>0</v>
      </c>
      <c r="AW591" s="100">
        <f t="shared" si="617"/>
        <v>0</v>
      </c>
      <c r="AX591" s="100">
        <f t="shared" si="618"/>
        <v>0</v>
      </c>
      <c r="AY591" s="110" t="s">
        <v>1722</v>
      </c>
      <c r="AZ591" s="110" t="s">
        <v>1730</v>
      </c>
      <c r="BA591" s="109" t="s">
        <v>1737</v>
      </c>
      <c r="BC591" s="100">
        <f t="shared" si="619"/>
        <v>0</v>
      </c>
      <c r="BD591" s="100">
        <f t="shared" si="620"/>
        <v>0</v>
      </c>
      <c r="BE591" s="100">
        <v>0</v>
      </c>
      <c r="BF591" s="100">
        <f>591</f>
        <v>591</v>
      </c>
      <c r="BH591" s="108">
        <f t="shared" si="621"/>
        <v>0</v>
      </c>
      <c r="BI591" s="108">
        <f t="shared" si="622"/>
        <v>0</v>
      </c>
      <c r="BJ591" s="108">
        <f t="shared" si="623"/>
        <v>0</v>
      </c>
    </row>
    <row r="592" spans="1:62" x14ac:dyDescent="0.2">
      <c r="A592" s="117" t="s">
        <v>539</v>
      </c>
      <c r="B592" s="117" t="s">
        <v>2256</v>
      </c>
      <c r="C592" s="304" t="s">
        <v>1606</v>
      </c>
      <c r="D592" s="305"/>
      <c r="E592" s="305"/>
      <c r="F592" s="117" t="s">
        <v>1646</v>
      </c>
      <c r="G592" s="116">
        <v>20</v>
      </c>
      <c r="H592" s="159"/>
      <c r="I592" s="108">
        <f t="shared" si="600"/>
        <v>0</v>
      </c>
      <c r="J592" s="108">
        <f t="shared" si="601"/>
        <v>0</v>
      </c>
      <c r="K592" s="108">
        <f t="shared" si="602"/>
        <v>0</v>
      </c>
      <c r="L592" s="111"/>
      <c r="Z592" s="100">
        <f t="shared" si="603"/>
        <v>0</v>
      </c>
      <c r="AB592" s="100">
        <f t="shared" si="604"/>
        <v>0</v>
      </c>
      <c r="AC592" s="100">
        <f t="shared" si="605"/>
        <v>0</v>
      </c>
      <c r="AD592" s="100">
        <f t="shared" si="606"/>
        <v>0</v>
      </c>
      <c r="AE592" s="100">
        <f t="shared" si="607"/>
        <v>0</v>
      </c>
      <c r="AF592" s="100">
        <f t="shared" si="608"/>
        <v>0</v>
      </c>
      <c r="AG592" s="100">
        <f t="shared" si="609"/>
        <v>0</v>
      </c>
      <c r="AH592" s="100">
        <f t="shared" si="610"/>
        <v>0</v>
      </c>
      <c r="AI592" s="109"/>
      <c r="AJ592" s="108">
        <f t="shared" si="611"/>
        <v>0</v>
      </c>
      <c r="AK592" s="108">
        <f t="shared" si="612"/>
        <v>0</v>
      </c>
      <c r="AL592" s="108">
        <f t="shared" si="613"/>
        <v>0</v>
      </c>
      <c r="AN592" s="100">
        <v>15</v>
      </c>
      <c r="AO592" s="100">
        <f t="shared" si="614"/>
        <v>0</v>
      </c>
      <c r="AP592" s="100">
        <f t="shared" si="615"/>
        <v>0</v>
      </c>
      <c r="AQ592" s="111" t="s">
        <v>7</v>
      </c>
      <c r="AV592" s="100">
        <f t="shared" si="616"/>
        <v>0</v>
      </c>
      <c r="AW592" s="100">
        <f t="shared" si="617"/>
        <v>0</v>
      </c>
      <c r="AX592" s="100">
        <f t="shared" si="618"/>
        <v>0</v>
      </c>
      <c r="AY592" s="110" t="s">
        <v>1722</v>
      </c>
      <c r="AZ592" s="110" t="s">
        <v>1730</v>
      </c>
      <c r="BA592" s="109" t="s">
        <v>1737</v>
      </c>
      <c r="BC592" s="100">
        <f t="shared" si="619"/>
        <v>0</v>
      </c>
      <c r="BD592" s="100">
        <f t="shared" si="620"/>
        <v>0</v>
      </c>
      <c r="BE592" s="100">
        <v>0</v>
      </c>
      <c r="BF592" s="100">
        <f>592</f>
        <v>592</v>
      </c>
      <c r="BH592" s="108">
        <f t="shared" si="621"/>
        <v>0</v>
      </c>
      <c r="BI592" s="108">
        <f t="shared" si="622"/>
        <v>0</v>
      </c>
      <c r="BJ592" s="108">
        <f t="shared" si="623"/>
        <v>0</v>
      </c>
    </row>
    <row r="593" spans="1:62" x14ac:dyDescent="0.2">
      <c r="A593" s="117" t="s">
        <v>540</v>
      </c>
      <c r="B593" s="117" t="s">
        <v>2255</v>
      </c>
      <c r="C593" s="304" t="s">
        <v>1607</v>
      </c>
      <c r="D593" s="305"/>
      <c r="E593" s="305"/>
      <c r="F593" s="117" t="s">
        <v>1646</v>
      </c>
      <c r="G593" s="116">
        <v>10</v>
      </c>
      <c r="H593" s="159"/>
      <c r="I593" s="108">
        <f t="shared" si="600"/>
        <v>0</v>
      </c>
      <c r="J593" s="108">
        <f t="shared" si="601"/>
        <v>0</v>
      </c>
      <c r="K593" s="108">
        <f t="shared" si="602"/>
        <v>0</v>
      </c>
      <c r="L593" s="111"/>
      <c r="Z593" s="100">
        <f t="shared" si="603"/>
        <v>0</v>
      </c>
      <c r="AB593" s="100">
        <f t="shared" si="604"/>
        <v>0</v>
      </c>
      <c r="AC593" s="100">
        <f t="shared" si="605"/>
        <v>0</v>
      </c>
      <c r="AD593" s="100">
        <f t="shared" si="606"/>
        <v>0</v>
      </c>
      <c r="AE593" s="100">
        <f t="shared" si="607"/>
        <v>0</v>
      </c>
      <c r="AF593" s="100">
        <f t="shared" si="608"/>
        <v>0</v>
      </c>
      <c r="AG593" s="100">
        <f t="shared" si="609"/>
        <v>0</v>
      </c>
      <c r="AH593" s="100">
        <f t="shared" si="610"/>
        <v>0</v>
      </c>
      <c r="AI593" s="109"/>
      <c r="AJ593" s="108">
        <f t="shared" si="611"/>
        <v>0</v>
      </c>
      <c r="AK593" s="108">
        <f t="shared" si="612"/>
        <v>0</v>
      </c>
      <c r="AL593" s="108">
        <f t="shared" si="613"/>
        <v>0</v>
      </c>
      <c r="AN593" s="100">
        <v>15</v>
      </c>
      <c r="AO593" s="100">
        <f t="shared" si="614"/>
        <v>0</v>
      </c>
      <c r="AP593" s="100">
        <f t="shared" si="615"/>
        <v>0</v>
      </c>
      <c r="AQ593" s="111" t="s">
        <v>7</v>
      </c>
      <c r="AV593" s="100">
        <f t="shared" si="616"/>
        <v>0</v>
      </c>
      <c r="AW593" s="100">
        <f t="shared" si="617"/>
        <v>0</v>
      </c>
      <c r="AX593" s="100">
        <f t="shared" si="618"/>
        <v>0</v>
      </c>
      <c r="AY593" s="110" t="s">
        <v>1722</v>
      </c>
      <c r="AZ593" s="110" t="s">
        <v>1730</v>
      </c>
      <c r="BA593" s="109" t="s">
        <v>1737</v>
      </c>
      <c r="BC593" s="100">
        <f t="shared" si="619"/>
        <v>0</v>
      </c>
      <c r="BD593" s="100">
        <f t="shared" si="620"/>
        <v>0</v>
      </c>
      <c r="BE593" s="100">
        <v>0</v>
      </c>
      <c r="BF593" s="100">
        <f>593</f>
        <v>593</v>
      </c>
      <c r="BH593" s="108">
        <f t="shared" si="621"/>
        <v>0</v>
      </c>
      <c r="BI593" s="108">
        <f t="shared" si="622"/>
        <v>0</v>
      </c>
      <c r="BJ593" s="108">
        <f t="shared" si="623"/>
        <v>0</v>
      </c>
    </row>
    <row r="594" spans="1:62" x14ac:dyDescent="0.2">
      <c r="A594" s="117" t="s">
        <v>541</v>
      </c>
      <c r="B594" s="117" t="s">
        <v>2254</v>
      </c>
      <c r="C594" s="304" t="s">
        <v>1608</v>
      </c>
      <c r="D594" s="305"/>
      <c r="E594" s="305"/>
      <c r="F594" s="117" t="s">
        <v>1644</v>
      </c>
      <c r="G594" s="116">
        <v>70</v>
      </c>
      <c r="H594" s="159"/>
      <c r="I594" s="108">
        <f t="shared" si="600"/>
        <v>0</v>
      </c>
      <c r="J594" s="108">
        <f t="shared" si="601"/>
        <v>0</v>
      </c>
      <c r="K594" s="108">
        <f t="shared" si="602"/>
        <v>0</v>
      </c>
      <c r="L594" s="111"/>
      <c r="Z594" s="100">
        <f t="shared" si="603"/>
        <v>0</v>
      </c>
      <c r="AB594" s="100">
        <f t="shared" si="604"/>
        <v>0</v>
      </c>
      <c r="AC594" s="100">
        <f t="shared" si="605"/>
        <v>0</v>
      </c>
      <c r="AD594" s="100">
        <f t="shared" si="606"/>
        <v>0</v>
      </c>
      <c r="AE594" s="100">
        <f t="shared" si="607"/>
        <v>0</v>
      </c>
      <c r="AF594" s="100">
        <f t="shared" si="608"/>
        <v>0</v>
      </c>
      <c r="AG594" s="100">
        <f t="shared" si="609"/>
        <v>0</v>
      </c>
      <c r="AH594" s="100">
        <f t="shared" si="610"/>
        <v>0</v>
      </c>
      <c r="AI594" s="109"/>
      <c r="AJ594" s="108">
        <f t="shared" si="611"/>
        <v>0</v>
      </c>
      <c r="AK594" s="108">
        <f t="shared" si="612"/>
        <v>0</v>
      </c>
      <c r="AL594" s="108">
        <f t="shared" si="613"/>
        <v>0</v>
      </c>
      <c r="AN594" s="100">
        <v>15</v>
      </c>
      <c r="AO594" s="100">
        <f t="shared" si="614"/>
        <v>0</v>
      </c>
      <c r="AP594" s="100">
        <f t="shared" si="615"/>
        <v>0</v>
      </c>
      <c r="AQ594" s="111" t="s">
        <v>7</v>
      </c>
      <c r="AV594" s="100">
        <f t="shared" si="616"/>
        <v>0</v>
      </c>
      <c r="AW594" s="100">
        <f t="shared" si="617"/>
        <v>0</v>
      </c>
      <c r="AX594" s="100">
        <f t="shared" si="618"/>
        <v>0</v>
      </c>
      <c r="AY594" s="110" t="s">
        <v>1722</v>
      </c>
      <c r="AZ594" s="110" t="s">
        <v>1730</v>
      </c>
      <c r="BA594" s="109" t="s">
        <v>1737</v>
      </c>
      <c r="BC594" s="100">
        <f t="shared" si="619"/>
        <v>0</v>
      </c>
      <c r="BD594" s="100">
        <f t="shared" si="620"/>
        <v>0</v>
      </c>
      <c r="BE594" s="100">
        <v>0</v>
      </c>
      <c r="BF594" s="100">
        <f>594</f>
        <v>594</v>
      </c>
      <c r="BH594" s="108">
        <f t="shared" si="621"/>
        <v>0</v>
      </c>
      <c r="BI594" s="108">
        <f t="shared" si="622"/>
        <v>0</v>
      </c>
      <c r="BJ594" s="108">
        <f t="shared" si="623"/>
        <v>0</v>
      </c>
    </row>
    <row r="595" spans="1:62" x14ac:dyDescent="0.2">
      <c r="A595" s="117" t="s">
        <v>542</v>
      </c>
      <c r="B595" s="117" t="s">
        <v>2253</v>
      </c>
      <c r="C595" s="304" t="s">
        <v>1609</v>
      </c>
      <c r="D595" s="305"/>
      <c r="E595" s="305"/>
      <c r="F595" s="117" t="s">
        <v>1644</v>
      </c>
      <c r="G595" s="116">
        <v>3</v>
      </c>
      <c r="H595" s="159"/>
      <c r="I595" s="108">
        <f t="shared" si="600"/>
        <v>0</v>
      </c>
      <c r="J595" s="108">
        <f t="shared" si="601"/>
        <v>0</v>
      </c>
      <c r="K595" s="108">
        <f t="shared" si="602"/>
        <v>0</v>
      </c>
      <c r="L595" s="111"/>
      <c r="Z595" s="100">
        <f t="shared" si="603"/>
        <v>0</v>
      </c>
      <c r="AB595" s="100">
        <f t="shared" si="604"/>
        <v>0</v>
      </c>
      <c r="AC595" s="100">
        <f t="shared" si="605"/>
        <v>0</v>
      </c>
      <c r="AD595" s="100">
        <f t="shared" si="606"/>
        <v>0</v>
      </c>
      <c r="AE595" s="100">
        <f t="shared" si="607"/>
        <v>0</v>
      </c>
      <c r="AF595" s="100">
        <f t="shared" si="608"/>
        <v>0</v>
      </c>
      <c r="AG595" s="100">
        <f t="shared" si="609"/>
        <v>0</v>
      </c>
      <c r="AH595" s="100">
        <f t="shared" si="610"/>
        <v>0</v>
      </c>
      <c r="AI595" s="109"/>
      <c r="AJ595" s="108">
        <f t="shared" si="611"/>
        <v>0</v>
      </c>
      <c r="AK595" s="108">
        <f t="shared" si="612"/>
        <v>0</v>
      </c>
      <c r="AL595" s="108">
        <f t="shared" si="613"/>
        <v>0</v>
      </c>
      <c r="AN595" s="100">
        <v>15</v>
      </c>
      <c r="AO595" s="100">
        <f t="shared" si="614"/>
        <v>0</v>
      </c>
      <c r="AP595" s="100">
        <f t="shared" si="615"/>
        <v>0</v>
      </c>
      <c r="AQ595" s="111" t="s">
        <v>7</v>
      </c>
      <c r="AV595" s="100">
        <f t="shared" si="616"/>
        <v>0</v>
      </c>
      <c r="AW595" s="100">
        <f t="shared" si="617"/>
        <v>0</v>
      </c>
      <c r="AX595" s="100">
        <f t="shared" si="618"/>
        <v>0</v>
      </c>
      <c r="AY595" s="110" t="s">
        <v>1722</v>
      </c>
      <c r="AZ595" s="110" t="s">
        <v>1730</v>
      </c>
      <c r="BA595" s="109" t="s">
        <v>1737</v>
      </c>
      <c r="BC595" s="100">
        <f t="shared" si="619"/>
        <v>0</v>
      </c>
      <c r="BD595" s="100">
        <f t="shared" si="620"/>
        <v>0</v>
      </c>
      <c r="BE595" s="100">
        <v>0</v>
      </c>
      <c r="BF595" s="100">
        <f>595</f>
        <v>595</v>
      </c>
      <c r="BH595" s="108">
        <f t="shared" si="621"/>
        <v>0</v>
      </c>
      <c r="BI595" s="108">
        <f t="shared" si="622"/>
        <v>0</v>
      </c>
      <c r="BJ595" s="108">
        <f t="shared" si="623"/>
        <v>0</v>
      </c>
    </row>
    <row r="596" spans="1:62" x14ac:dyDescent="0.2">
      <c r="A596" s="117" t="s">
        <v>543</v>
      </c>
      <c r="B596" s="117" t="s">
        <v>2252</v>
      </c>
      <c r="C596" s="304" t="s">
        <v>1610</v>
      </c>
      <c r="D596" s="305"/>
      <c r="E596" s="305"/>
      <c r="F596" s="117" t="s">
        <v>1644</v>
      </c>
      <c r="G596" s="116">
        <v>1</v>
      </c>
      <c r="H596" s="159"/>
      <c r="I596" s="108">
        <f t="shared" si="600"/>
        <v>0</v>
      </c>
      <c r="J596" s="108">
        <f t="shared" si="601"/>
        <v>0</v>
      </c>
      <c r="K596" s="108">
        <f t="shared" si="602"/>
        <v>0</v>
      </c>
      <c r="L596" s="111"/>
      <c r="Z596" s="100">
        <f t="shared" si="603"/>
        <v>0</v>
      </c>
      <c r="AB596" s="100">
        <f t="shared" si="604"/>
        <v>0</v>
      </c>
      <c r="AC596" s="100">
        <f t="shared" si="605"/>
        <v>0</v>
      </c>
      <c r="AD596" s="100">
        <f t="shared" si="606"/>
        <v>0</v>
      </c>
      <c r="AE596" s="100">
        <f t="shared" si="607"/>
        <v>0</v>
      </c>
      <c r="AF596" s="100">
        <f t="shared" si="608"/>
        <v>0</v>
      </c>
      <c r="AG596" s="100">
        <f t="shared" si="609"/>
        <v>0</v>
      </c>
      <c r="AH596" s="100">
        <f t="shared" si="610"/>
        <v>0</v>
      </c>
      <c r="AI596" s="109"/>
      <c r="AJ596" s="108">
        <f t="shared" si="611"/>
        <v>0</v>
      </c>
      <c r="AK596" s="108">
        <f t="shared" si="612"/>
        <v>0</v>
      </c>
      <c r="AL596" s="108">
        <f t="shared" si="613"/>
        <v>0</v>
      </c>
      <c r="AN596" s="100">
        <v>15</v>
      </c>
      <c r="AO596" s="100">
        <f t="shared" si="614"/>
        <v>0</v>
      </c>
      <c r="AP596" s="100">
        <f t="shared" si="615"/>
        <v>0</v>
      </c>
      <c r="AQ596" s="111" t="s">
        <v>7</v>
      </c>
      <c r="AV596" s="100">
        <f t="shared" si="616"/>
        <v>0</v>
      </c>
      <c r="AW596" s="100">
        <f t="shared" si="617"/>
        <v>0</v>
      </c>
      <c r="AX596" s="100">
        <f t="shared" si="618"/>
        <v>0</v>
      </c>
      <c r="AY596" s="110" t="s">
        <v>1722</v>
      </c>
      <c r="AZ596" s="110" t="s">
        <v>1730</v>
      </c>
      <c r="BA596" s="109" t="s">
        <v>1737</v>
      </c>
      <c r="BC596" s="100">
        <f t="shared" si="619"/>
        <v>0</v>
      </c>
      <c r="BD596" s="100">
        <f t="shared" si="620"/>
        <v>0</v>
      </c>
      <c r="BE596" s="100">
        <v>0</v>
      </c>
      <c r="BF596" s="100">
        <f>596</f>
        <v>596</v>
      </c>
      <c r="BH596" s="108">
        <f t="shared" si="621"/>
        <v>0</v>
      </c>
      <c r="BI596" s="108">
        <f t="shared" si="622"/>
        <v>0</v>
      </c>
      <c r="BJ596" s="108">
        <f t="shared" si="623"/>
        <v>0</v>
      </c>
    </row>
    <row r="597" spans="1:62" x14ac:dyDescent="0.2">
      <c r="A597" s="117" t="s">
        <v>544</v>
      </c>
      <c r="B597" s="117" t="s">
        <v>2251</v>
      </c>
      <c r="C597" s="304" t="s">
        <v>1611</v>
      </c>
      <c r="D597" s="305"/>
      <c r="E597" s="305"/>
      <c r="F597" s="117" t="s">
        <v>1651</v>
      </c>
      <c r="G597" s="116">
        <v>1</v>
      </c>
      <c r="H597" s="159"/>
      <c r="I597" s="108">
        <f t="shared" si="600"/>
        <v>0</v>
      </c>
      <c r="J597" s="108">
        <f t="shared" si="601"/>
        <v>0</v>
      </c>
      <c r="K597" s="108">
        <f t="shared" si="602"/>
        <v>0</v>
      </c>
      <c r="L597" s="111"/>
      <c r="Z597" s="100">
        <f t="shared" si="603"/>
        <v>0</v>
      </c>
      <c r="AB597" s="100">
        <f t="shared" si="604"/>
        <v>0</v>
      </c>
      <c r="AC597" s="100">
        <f t="shared" si="605"/>
        <v>0</v>
      </c>
      <c r="AD597" s="100">
        <f t="shared" si="606"/>
        <v>0</v>
      </c>
      <c r="AE597" s="100">
        <f t="shared" si="607"/>
        <v>0</v>
      </c>
      <c r="AF597" s="100">
        <f t="shared" si="608"/>
        <v>0</v>
      </c>
      <c r="AG597" s="100">
        <f t="shared" si="609"/>
        <v>0</v>
      </c>
      <c r="AH597" s="100">
        <f t="shared" si="610"/>
        <v>0</v>
      </c>
      <c r="AI597" s="109"/>
      <c r="AJ597" s="108">
        <f t="shared" si="611"/>
        <v>0</v>
      </c>
      <c r="AK597" s="108">
        <f t="shared" si="612"/>
        <v>0</v>
      </c>
      <c r="AL597" s="108">
        <f t="shared" si="613"/>
        <v>0</v>
      </c>
      <c r="AN597" s="100">
        <v>15</v>
      </c>
      <c r="AO597" s="100">
        <f t="shared" si="614"/>
        <v>0</v>
      </c>
      <c r="AP597" s="100">
        <f t="shared" si="615"/>
        <v>0</v>
      </c>
      <c r="AQ597" s="111" t="s">
        <v>7</v>
      </c>
      <c r="AV597" s="100">
        <f t="shared" si="616"/>
        <v>0</v>
      </c>
      <c r="AW597" s="100">
        <f t="shared" si="617"/>
        <v>0</v>
      </c>
      <c r="AX597" s="100">
        <f t="shared" si="618"/>
        <v>0</v>
      </c>
      <c r="AY597" s="110" t="s">
        <v>1722</v>
      </c>
      <c r="AZ597" s="110" t="s">
        <v>1730</v>
      </c>
      <c r="BA597" s="109" t="s">
        <v>1737</v>
      </c>
      <c r="BC597" s="100">
        <f t="shared" si="619"/>
        <v>0</v>
      </c>
      <c r="BD597" s="100">
        <f t="shared" si="620"/>
        <v>0</v>
      </c>
      <c r="BE597" s="100">
        <v>0</v>
      </c>
      <c r="BF597" s="100">
        <f>597</f>
        <v>597</v>
      </c>
      <c r="BH597" s="108">
        <f t="shared" si="621"/>
        <v>0</v>
      </c>
      <c r="BI597" s="108">
        <f t="shared" si="622"/>
        <v>0</v>
      </c>
      <c r="BJ597" s="108">
        <f t="shared" si="623"/>
        <v>0</v>
      </c>
    </row>
    <row r="598" spans="1:62" x14ac:dyDescent="0.2">
      <c r="A598" s="117" t="s">
        <v>545</v>
      </c>
      <c r="B598" s="117" t="s">
        <v>2250</v>
      </c>
      <c r="C598" s="304" t="s">
        <v>1612</v>
      </c>
      <c r="D598" s="305"/>
      <c r="E598" s="305"/>
      <c r="F598" s="117" t="s">
        <v>1646</v>
      </c>
      <c r="G598" s="116">
        <v>135</v>
      </c>
      <c r="H598" s="159"/>
      <c r="I598" s="108">
        <f t="shared" si="600"/>
        <v>0</v>
      </c>
      <c r="J598" s="108">
        <f t="shared" si="601"/>
        <v>0</v>
      </c>
      <c r="K598" s="108">
        <f t="shared" si="602"/>
        <v>0</v>
      </c>
      <c r="L598" s="111"/>
      <c r="Z598" s="100">
        <f t="shared" si="603"/>
        <v>0</v>
      </c>
      <c r="AB598" s="100">
        <f t="shared" si="604"/>
        <v>0</v>
      </c>
      <c r="AC598" s="100">
        <f t="shared" si="605"/>
        <v>0</v>
      </c>
      <c r="AD598" s="100">
        <f t="shared" si="606"/>
        <v>0</v>
      </c>
      <c r="AE598" s="100">
        <f t="shared" si="607"/>
        <v>0</v>
      </c>
      <c r="AF598" s="100">
        <f t="shared" si="608"/>
        <v>0</v>
      </c>
      <c r="AG598" s="100">
        <f t="shared" si="609"/>
        <v>0</v>
      </c>
      <c r="AH598" s="100">
        <f t="shared" si="610"/>
        <v>0</v>
      </c>
      <c r="AI598" s="109"/>
      <c r="AJ598" s="108">
        <f t="shared" si="611"/>
        <v>0</v>
      </c>
      <c r="AK598" s="108">
        <f t="shared" si="612"/>
        <v>0</v>
      </c>
      <c r="AL598" s="108">
        <f t="shared" si="613"/>
        <v>0</v>
      </c>
      <c r="AN598" s="100">
        <v>15</v>
      </c>
      <c r="AO598" s="100">
        <f t="shared" si="614"/>
        <v>0</v>
      </c>
      <c r="AP598" s="100">
        <f t="shared" si="615"/>
        <v>0</v>
      </c>
      <c r="AQ598" s="111" t="s">
        <v>7</v>
      </c>
      <c r="AV598" s="100">
        <f t="shared" si="616"/>
        <v>0</v>
      </c>
      <c r="AW598" s="100">
        <f t="shared" si="617"/>
        <v>0</v>
      </c>
      <c r="AX598" s="100">
        <f t="shared" si="618"/>
        <v>0</v>
      </c>
      <c r="AY598" s="110" t="s">
        <v>1722</v>
      </c>
      <c r="AZ598" s="110" t="s">
        <v>1730</v>
      </c>
      <c r="BA598" s="109" t="s">
        <v>1737</v>
      </c>
      <c r="BC598" s="100">
        <f t="shared" si="619"/>
        <v>0</v>
      </c>
      <c r="BD598" s="100">
        <f t="shared" si="620"/>
        <v>0</v>
      </c>
      <c r="BE598" s="100">
        <v>0</v>
      </c>
      <c r="BF598" s="100">
        <f>598</f>
        <v>598</v>
      </c>
      <c r="BH598" s="108">
        <f t="shared" si="621"/>
        <v>0</v>
      </c>
      <c r="BI598" s="108">
        <f t="shared" si="622"/>
        <v>0</v>
      </c>
      <c r="BJ598" s="108">
        <f t="shared" si="623"/>
        <v>0</v>
      </c>
    </row>
    <row r="599" spans="1:62" x14ac:dyDescent="0.2">
      <c r="A599" s="117" t="s">
        <v>546</v>
      </c>
      <c r="B599" s="117" t="s">
        <v>2249</v>
      </c>
      <c r="C599" s="304" t="s">
        <v>1613</v>
      </c>
      <c r="D599" s="305"/>
      <c r="E599" s="305"/>
      <c r="F599" s="117" t="s">
        <v>1646</v>
      </c>
      <c r="G599" s="116">
        <v>30</v>
      </c>
      <c r="H599" s="159"/>
      <c r="I599" s="108">
        <f t="shared" si="600"/>
        <v>0</v>
      </c>
      <c r="J599" s="108">
        <f t="shared" si="601"/>
        <v>0</v>
      </c>
      <c r="K599" s="108">
        <f t="shared" si="602"/>
        <v>0</v>
      </c>
      <c r="L599" s="111"/>
      <c r="Z599" s="100">
        <f t="shared" si="603"/>
        <v>0</v>
      </c>
      <c r="AB599" s="100">
        <f t="shared" si="604"/>
        <v>0</v>
      </c>
      <c r="AC599" s="100">
        <f t="shared" si="605"/>
        <v>0</v>
      </c>
      <c r="AD599" s="100">
        <f t="shared" si="606"/>
        <v>0</v>
      </c>
      <c r="AE599" s="100">
        <f t="shared" si="607"/>
        <v>0</v>
      </c>
      <c r="AF599" s="100">
        <f t="shared" si="608"/>
        <v>0</v>
      </c>
      <c r="AG599" s="100">
        <f t="shared" si="609"/>
        <v>0</v>
      </c>
      <c r="AH599" s="100">
        <f t="shared" si="610"/>
        <v>0</v>
      </c>
      <c r="AI599" s="109"/>
      <c r="AJ599" s="108">
        <f t="shared" si="611"/>
        <v>0</v>
      </c>
      <c r="AK599" s="108">
        <f t="shared" si="612"/>
        <v>0</v>
      </c>
      <c r="AL599" s="108">
        <f t="shared" si="613"/>
        <v>0</v>
      </c>
      <c r="AN599" s="100">
        <v>15</v>
      </c>
      <c r="AO599" s="100">
        <f t="shared" si="614"/>
        <v>0</v>
      </c>
      <c r="AP599" s="100">
        <f t="shared" si="615"/>
        <v>0</v>
      </c>
      <c r="AQ599" s="111" t="s">
        <v>7</v>
      </c>
      <c r="AV599" s="100">
        <f t="shared" si="616"/>
        <v>0</v>
      </c>
      <c r="AW599" s="100">
        <f t="shared" si="617"/>
        <v>0</v>
      </c>
      <c r="AX599" s="100">
        <f t="shared" si="618"/>
        <v>0</v>
      </c>
      <c r="AY599" s="110" t="s">
        <v>1722</v>
      </c>
      <c r="AZ599" s="110" t="s">
        <v>1730</v>
      </c>
      <c r="BA599" s="109" t="s">
        <v>1737</v>
      </c>
      <c r="BC599" s="100">
        <f t="shared" si="619"/>
        <v>0</v>
      </c>
      <c r="BD599" s="100">
        <f t="shared" si="620"/>
        <v>0</v>
      </c>
      <c r="BE599" s="100">
        <v>0</v>
      </c>
      <c r="BF599" s="100">
        <f>599</f>
        <v>599</v>
      </c>
      <c r="BH599" s="108">
        <f t="shared" si="621"/>
        <v>0</v>
      </c>
      <c r="BI599" s="108">
        <f t="shared" si="622"/>
        <v>0</v>
      </c>
      <c r="BJ599" s="108">
        <f t="shared" si="623"/>
        <v>0</v>
      </c>
    </row>
    <row r="600" spans="1:62" x14ac:dyDescent="0.2">
      <c r="A600" s="117" t="s">
        <v>547</v>
      </c>
      <c r="B600" s="117" t="s">
        <v>2248</v>
      </c>
      <c r="C600" s="304" t="s">
        <v>1614</v>
      </c>
      <c r="D600" s="305"/>
      <c r="E600" s="305"/>
      <c r="F600" s="117" t="s">
        <v>1646</v>
      </c>
      <c r="G600" s="116">
        <v>50</v>
      </c>
      <c r="H600" s="159"/>
      <c r="I600" s="108">
        <f t="shared" si="600"/>
        <v>0</v>
      </c>
      <c r="J600" s="108">
        <f t="shared" si="601"/>
        <v>0</v>
      </c>
      <c r="K600" s="108">
        <f t="shared" si="602"/>
        <v>0</v>
      </c>
      <c r="L600" s="111"/>
      <c r="Z600" s="100">
        <f t="shared" si="603"/>
        <v>0</v>
      </c>
      <c r="AB600" s="100">
        <f t="shared" si="604"/>
        <v>0</v>
      </c>
      <c r="AC600" s="100">
        <f t="shared" si="605"/>
        <v>0</v>
      </c>
      <c r="AD600" s="100">
        <f t="shared" si="606"/>
        <v>0</v>
      </c>
      <c r="AE600" s="100">
        <f t="shared" si="607"/>
        <v>0</v>
      </c>
      <c r="AF600" s="100">
        <f t="shared" si="608"/>
        <v>0</v>
      </c>
      <c r="AG600" s="100">
        <f t="shared" si="609"/>
        <v>0</v>
      </c>
      <c r="AH600" s="100">
        <f t="shared" si="610"/>
        <v>0</v>
      </c>
      <c r="AI600" s="109"/>
      <c r="AJ600" s="108">
        <f t="shared" si="611"/>
        <v>0</v>
      </c>
      <c r="AK600" s="108">
        <f t="shared" si="612"/>
        <v>0</v>
      </c>
      <c r="AL600" s="108">
        <f t="shared" si="613"/>
        <v>0</v>
      </c>
      <c r="AN600" s="100">
        <v>15</v>
      </c>
      <c r="AO600" s="100">
        <f t="shared" si="614"/>
        <v>0</v>
      </c>
      <c r="AP600" s="100">
        <f t="shared" si="615"/>
        <v>0</v>
      </c>
      <c r="AQ600" s="111" t="s">
        <v>7</v>
      </c>
      <c r="AV600" s="100">
        <f t="shared" si="616"/>
        <v>0</v>
      </c>
      <c r="AW600" s="100">
        <f t="shared" si="617"/>
        <v>0</v>
      </c>
      <c r="AX600" s="100">
        <f t="shared" si="618"/>
        <v>0</v>
      </c>
      <c r="AY600" s="110" t="s">
        <v>1722</v>
      </c>
      <c r="AZ600" s="110" t="s">
        <v>1730</v>
      </c>
      <c r="BA600" s="109" t="s">
        <v>1737</v>
      </c>
      <c r="BC600" s="100">
        <f t="shared" si="619"/>
        <v>0</v>
      </c>
      <c r="BD600" s="100">
        <f t="shared" si="620"/>
        <v>0</v>
      </c>
      <c r="BE600" s="100">
        <v>0</v>
      </c>
      <c r="BF600" s="100">
        <f>600</f>
        <v>600</v>
      </c>
      <c r="BH600" s="108">
        <f t="shared" si="621"/>
        <v>0</v>
      </c>
      <c r="BI600" s="108">
        <f t="shared" si="622"/>
        <v>0</v>
      </c>
      <c r="BJ600" s="108">
        <f t="shared" si="623"/>
        <v>0</v>
      </c>
    </row>
    <row r="601" spans="1:62" x14ac:dyDescent="0.2">
      <c r="A601" s="117" t="s">
        <v>548</v>
      </c>
      <c r="B601" s="117" t="s">
        <v>2247</v>
      </c>
      <c r="C601" s="304" t="s">
        <v>1615</v>
      </c>
      <c r="D601" s="305"/>
      <c r="E601" s="305"/>
      <c r="F601" s="117" t="s">
        <v>1646</v>
      </c>
      <c r="G601" s="116">
        <v>25</v>
      </c>
      <c r="H601" s="159"/>
      <c r="I601" s="108">
        <f t="shared" si="600"/>
        <v>0</v>
      </c>
      <c r="J601" s="108">
        <f t="shared" si="601"/>
        <v>0</v>
      </c>
      <c r="K601" s="108">
        <f t="shared" si="602"/>
        <v>0</v>
      </c>
      <c r="L601" s="111"/>
      <c r="Z601" s="100">
        <f t="shared" si="603"/>
        <v>0</v>
      </c>
      <c r="AB601" s="100">
        <f t="shared" si="604"/>
        <v>0</v>
      </c>
      <c r="AC601" s="100">
        <f t="shared" si="605"/>
        <v>0</v>
      </c>
      <c r="AD601" s="100">
        <f t="shared" si="606"/>
        <v>0</v>
      </c>
      <c r="AE601" s="100">
        <f t="shared" si="607"/>
        <v>0</v>
      </c>
      <c r="AF601" s="100">
        <f t="shared" si="608"/>
        <v>0</v>
      </c>
      <c r="AG601" s="100">
        <f t="shared" si="609"/>
        <v>0</v>
      </c>
      <c r="AH601" s="100">
        <f t="shared" si="610"/>
        <v>0</v>
      </c>
      <c r="AI601" s="109"/>
      <c r="AJ601" s="108">
        <f t="shared" si="611"/>
        <v>0</v>
      </c>
      <c r="AK601" s="108">
        <f t="shared" si="612"/>
        <v>0</v>
      </c>
      <c r="AL601" s="108">
        <f t="shared" si="613"/>
        <v>0</v>
      </c>
      <c r="AN601" s="100">
        <v>15</v>
      </c>
      <c r="AO601" s="100">
        <f t="shared" si="614"/>
        <v>0</v>
      </c>
      <c r="AP601" s="100">
        <f t="shared" si="615"/>
        <v>0</v>
      </c>
      <c r="AQ601" s="111" t="s">
        <v>7</v>
      </c>
      <c r="AV601" s="100">
        <f t="shared" si="616"/>
        <v>0</v>
      </c>
      <c r="AW601" s="100">
        <f t="shared" si="617"/>
        <v>0</v>
      </c>
      <c r="AX601" s="100">
        <f t="shared" si="618"/>
        <v>0</v>
      </c>
      <c r="AY601" s="110" t="s">
        <v>1722</v>
      </c>
      <c r="AZ601" s="110" t="s">
        <v>1730</v>
      </c>
      <c r="BA601" s="109" t="s">
        <v>1737</v>
      </c>
      <c r="BC601" s="100">
        <f t="shared" si="619"/>
        <v>0</v>
      </c>
      <c r="BD601" s="100">
        <f t="shared" si="620"/>
        <v>0</v>
      </c>
      <c r="BE601" s="100">
        <v>0</v>
      </c>
      <c r="BF601" s="100">
        <f>601</f>
        <v>601</v>
      </c>
      <c r="BH601" s="108">
        <f t="shared" si="621"/>
        <v>0</v>
      </c>
      <c r="BI601" s="108">
        <f t="shared" si="622"/>
        <v>0</v>
      </c>
      <c r="BJ601" s="108">
        <f t="shared" si="623"/>
        <v>0</v>
      </c>
    </row>
    <row r="602" spans="1:62" x14ac:dyDescent="0.2">
      <c r="A602" s="117" t="s">
        <v>549</v>
      </c>
      <c r="B602" s="117" t="s">
        <v>2246</v>
      </c>
      <c r="C602" s="304" t="s">
        <v>1616</v>
      </c>
      <c r="D602" s="305"/>
      <c r="E602" s="305"/>
      <c r="F602" s="117" t="s">
        <v>1646</v>
      </c>
      <c r="G602" s="116">
        <v>30</v>
      </c>
      <c r="H602" s="159"/>
      <c r="I602" s="108">
        <f t="shared" si="600"/>
        <v>0</v>
      </c>
      <c r="J602" s="108">
        <f t="shared" si="601"/>
        <v>0</v>
      </c>
      <c r="K602" s="108">
        <f t="shared" si="602"/>
        <v>0</v>
      </c>
      <c r="L602" s="111"/>
      <c r="Z602" s="100">
        <f t="shared" si="603"/>
        <v>0</v>
      </c>
      <c r="AB602" s="100">
        <f t="shared" si="604"/>
        <v>0</v>
      </c>
      <c r="AC602" s="100">
        <f t="shared" si="605"/>
        <v>0</v>
      </c>
      <c r="AD602" s="100">
        <f t="shared" si="606"/>
        <v>0</v>
      </c>
      <c r="AE602" s="100">
        <f t="shared" si="607"/>
        <v>0</v>
      </c>
      <c r="AF602" s="100">
        <f t="shared" si="608"/>
        <v>0</v>
      </c>
      <c r="AG602" s="100">
        <f t="shared" si="609"/>
        <v>0</v>
      </c>
      <c r="AH602" s="100">
        <f t="shared" si="610"/>
        <v>0</v>
      </c>
      <c r="AI602" s="109"/>
      <c r="AJ602" s="108">
        <f t="shared" si="611"/>
        <v>0</v>
      </c>
      <c r="AK602" s="108">
        <f t="shared" si="612"/>
        <v>0</v>
      </c>
      <c r="AL602" s="108">
        <f t="shared" si="613"/>
        <v>0</v>
      </c>
      <c r="AN602" s="100">
        <v>15</v>
      </c>
      <c r="AO602" s="100">
        <f t="shared" si="614"/>
        <v>0</v>
      </c>
      <c r="AP602" s="100">
        <f t="shared" si="615"/>
        <v>0</v>
      </c>
      <c r="AQ602" s="111" t="s">
        <v>7</v>
      </c>
      <c r="AV602" s="100">
        <f t="shared" si="616"/>
        <v>0</v>
      </c>
      <c r="AW602" s="100">
        <f t="shared" si="617"/>
        <v>0</v>
      </c>
      <c r="AX602" s="100">
        <f t="shared" si="618"/>
        <v>0</v>
      </c>
      <c r="AY602" s="110" t="s">
        <v>1722</v>
      </c>
      <c r="AZ602" s="110" t="s">
        <v>1730</v>
      </c>
      <c r="BA602" s="109" t="s">
        <v>1737</v>
      </c>
      <c r="BC602" s="100">
        <f t="shared" si="619"/>
        <v>0</v>
      </c>
      <c r="BD602" s="100">
        <f t="shared" si="620"/>
        <v>0</v>
      </c>
      <c r="BE602" s="100">
        <v>0</v>
      </c>
      <c r="BF602" s="100">
        <f>602</f>
        <v>602</v>
      </c>
      <c r="BH602" s="108">
        <f t="shared" si="621"/>
        <v>0</v>
      </c>
      <c r="BI602" s="108">
        <f t="shared" si="622"/>
        <v>0</v>
      </c>
      <c r="BJ602" s="108">
        <f t="shared" si="623"/>
        <v>0</v>
      </c>
    </row>
    <row r="603" spans="1:62" x14ac:dyDescent="0.2">
      <c r="A603" s="117" t="s">
        <v>550</v>
      </c>
      <c r="B603" s="117" t="s">
        <v>2245</v>
      </c>
      <c r="C603" s="304" t="s">
        <v>1617</v>
      </c>
      <c r="D603" s="305"/>
      <c r="E603" s="305"/>
      <c r="F603" s="117" t="s">
        <v>1646</v>
      </c>
      <c r="G603" s="116">
        <v>45</v>
      </c>
      <c r="H603" s="159"/>
      <c r="I603" s="108">
        <f t="shared" si="600"/>
        <v>0</v>
      </c>
      <c r="J603" s="108">
        <f t="shared" si="601"/>
        <v>0</v>
      </c>
      <c r="K603" s="108">
        <f t="shared" si="602"/>
        <v>0</v>
      </c>
      <c r="L603" s="111"/>
      <c r="Z603" s="100">
        <f t="shared" si="603"/>
        <v>0</v>
      </c>
      <c r="AB603" s="100">
        <f t="shared" si="604"/>
        <v>0</v>
      </c>
      <c r="AC603" s="100">
        <f t="shared" si="605"/>
        <v>0</v>
      </c>
      <c r="AD603" s="100">
        <f t="shared" si="606"/>
        <v>0</v>
      </c>
      <c r="AE603" s="100">
        <f t="shared" si="607"/>
        <v>0</v>
      </c>
      <c r="AF603" s="100">
        <f t="shared" si="608"/>
        <v>0</v>
      </c>
      <c r="AG603" s="100">
        <f t="shared" si="609"/>
        <v>0</v>
      </c>
      <c r="AH603" s="100">
        <f t="shared" si="610"/>
        <v>0</v>
      </c>
      <c r="AI603" s="109"/>
      <c r="AJ603" s="108">
        <f t="shared" si="611"/>
        <v>0</v>
      </c>
      <c r="AK603" s="108">
        <f t="shared" si="612"/>
        <v>0</v>
      </c>
      <c r="AL603" s="108">
        <f t="shared" si="613"/>
        <v>0</v>
      </c>
      <c r="AN603" s="100">
        <v>15</v>
      </c>
      <c r="AO603" s="100">
        <f t="shared" si="614"/>
        <v>0</v>
      </c>
      <c r="AP603" s="100">
        <f t="shared" si="615"/>
        <v>0</v>
      </c>
      <c r="AQ603" s="111" t="s">
        <v>7</v>
      </c>
      <c r="AV603" s="100">
        <f t="shared" si="616"/>
        <v>0</v>
      </c>
      <c r="AW603" s="100">
        <f t="shared" si="617"/>
        <v>0</v>
      </c>
      <c r="AX603" s="100">
        <f t="shared" si="618"/>
        <v>0</v>
      </c>
      <c r="AY603" s="110" t="s">
        <v>1722</v>
      </c>
      <c r="AZ603" s="110" t="s">
        <v>1730</v>
      </c>
      <c r="BA603" s="109" t="s">
        <v>1737</v>
      </c>
      <c r="BC603" s="100">
        <f t="shared" si="619"/>
        <v>0</v>
      </c>
      <c r="BD603" s="100">
        <f t="shared" si="620"/>
        <v>0</v>
      </c>
      <c r="BE603" s="100">
        <v>0</v>
      </c>
      <c r="BF603" s="100">
        <f>603</f>
        <v>603</v>
      </c>
      <c r="BH603" s="108">
        <f t="shared" si="621"/>
        <v>0</v>
      </c>
      <c r="BI603" s="108">
        <f t="shared" si="622"/>
        <v>0</v>
      </c>
      <c r="BJ603" s="108">
        <f t="shared" si="623"/>
        <v>0</v>
      </c>
    </row>
    <row r="604" spans="1:62" x14ac:dyDescent="0.2">
      <c r="A604" s="117" t="s">
        <v>551</v>
      </c>
      <c r="B604" s="117" t="s">
        <v>2244</v>
      </c>
      <c r="C604" s="304" t="s">
        <v>1618</v>
      </c>
      <c r="D604" s="305"/>
      <c r="E604" s="305"/>
      <c r="F604" s="117" t="s">
        <v>1646</v>
      </c>
      <c r="G604" s="116">
        <v>25</v>
      </c>
      <c r="H604" s="159"/>
      <c r="I604" s="108">
        <f t="shared" si="600"/>
        <v>0</v>
      </c>
      <c r="J604" s="108">
        <f t="shared" si="601"/>
        <v>0</v>
      </c>
      <c r="K604" s="108">
        <f t="shared" si="602"/>
        <v>0</v>
      </c>
      <c r="L604" s="111"/>
      <c r="Z604" s="100">
        <f t="shared" si="603"/>
        <v>0</v>
      </c>
      <c r="AB604" s="100">
        <f t="shared" si="604"/>
        <v>0</v>
      </c>
      <c r="AC604" s="100">
        <f t="shared" si="605"/>
        <v>0</v>
      </c>
      <c r="AD604" s="100">
        <f t="shared" si="606"/>
        <v>0</v>
      </c>
      <c r="AE604" s="100">
        <f t="shared" si="607"/>
        <v>0</v>
      </c>
      <c r="AF604" s="100">
        <f t="shared" si="608"/>
        <v>0</v>
      </c>
      <c r="AG604" s="100">
        <f t="shared" si="609"/>
        <v>0</v>
      </c>
      <c r="AH604" s="100">
        <f t="shared" si="610"/>
        <v>0</v>
      </c>
      <c r="AI604" s="109"/>
      <c r="AJ604" s="108">
        <f t="shared" si="611"/>
        <v>0</v>
      </c>
      <c r="AK604" s="108">
        <f t="shared" si="612"/>
        <v>0</v>
      </c>
      <c r="AL604" s="108">
        <f t="shared" si="613"/>
        <v>0</v>
      </c>
      <c r="AN604" s="100">
        <v>15</v>
      </c>
      <c r="AO604" s="100">
        <f t="shared" si="614"/>
        <v>0</v>
      </c>
      <c r="AP604" s="100">
        <f t="shared" si="615"/>
        <v>0</v>
      </c>
      <c r="AQ604" s="111" t="s">
        <v>7</v>
      </c>
      <c r="AV604" s="100">
        <f t="shared" si="616"/>
        <v>0</v>
      </c>
      <c r="AW604" s="100">
        <f t="shared" si="617"/>
        <v>0</v>
      </c>
      <c r="AX604" s="100">
        <f t="shared" si="618"/>
        <v>0</v>
      </c>
      <c r="AY604" s="110" t="s">
        <v>1722</v>
      </c>
      <c r="AZ604" s="110" t="s">
        <v>1730</v>
      </c>
      <c r="BA604" s="109" t="s">
        <v>1737</v>
      </c>
      <c r="BC604" s="100">
        <f t="shared" si="619"/>
        <v>0</v>
      </c>
      <c r="BD604" s="100">
        <f t="shared" si="620"/>
        <v>0</v>
      </c>
      <c r="BE604" s="100">
        <v>0</v>
      </c>
      <c r="BF604" s="100">
        <f>604</f>
        <v>604</v>
      </c>
      <c r="BH604" s="108">
        <f t="shared" si="621"/>
        <v>0</v>
      </c>
      <c r="BI604" s="108">
        <f t="shared" si="622"/>
        <v>0</v>
      </c>
      <c r="BJ604" s="108">
        <f t="shared" si="623"/>
        <v>0</v>
      </c>
    </row>
    <row r="605" spans="1:62" x14ac:dyDescent="0.2">
      <c r="A605" s="117" t="s">
        <v>552</v>
      </c>
      <c r="B605" s="117" t="s">
        <v>2243</v>
      </c>
      <c r="C605" s="304" t="s">
        <v>1619</v>
      </c>
      <c r="D605" s="305"/>
      <c r="E605" s="305"/>
      <c r="F605" s="117" t="s">
        <v>1644</v>
      </c>
      <c r="G605" s="116">
        <v>1</v>
      </c>
      <c r="H605" s="159"/>
      <c r="I605" s="108">
        <f t="shared" si="600"/>
        <v>0</v>
      </c>
      <c r="J605" s="108">
        <f t="shared" si="601"/>
        <v>0</v>
      </c>
      <c r="K605" s="108">
        <f t="shared" si="602"/>
        <v>0</v>
      </c>
      <c r="L605" s="111"/>
      <c r="Z605" s="100">
        <f t="shared" si="603"/>
        <v>0</v>
      </c>
      <c r="AB605" s="100">
        <f t="shared" si="604"/>
        <v>0</v>
      </c>
      <c r="AC605" s="100">
        <f t="shared" si="605"/>
        <v>0</v>
      </c>
      <c r="AD605" s="100">
        <f t="shared" si="606"/>
        <v>0</v>
      </c>
      <c r="AE605" s="100">
        <f t="shared" si="607"/>
        <v>0</v>
      </c>
      <c r="AF605" s="100">
        <f t="shared" si="608"/>
        <v>0</v>
      </c>
      <c r="AG605" s="100">
        <f t="shared" si="609"/>
        <v>0</v>
      </c>
      <c r="AH605" s="100">
        <f t="shared" si="610"/>
        <v>0</v>
      </c>
      <c r="AI605" s="109"/>
      <c r="AJ605" s="108">
        <f t="shared" si="611"/>
        <v>0</v>
      </c>
      <c r="AK605" s="108">
        <f t="shared" si="612"/>
        <v>0</v>
      </c>
      <c r="AL605" s="108">
        <f t="shared" si="613"/>
        <v>0</v>
      </c>
      <c r="AN605" s="100">
        <v>15</v>
      </c>
      <c r="AO605" s="100">
        <f t="shared" si="614"/>
        <v>0</v>
      </c>
      <c r="AP605" s="100">
        <f t="shared" si="615"/>
        <v>0</v>
      </c>
      <c r="AQ605" s="111" t="s">
        <v>7</v>
      </c>
      <c r="AV605" s="100">
        <f t="shared" si="616"/>
        <v>0</v>
      </c>
      <c r="AW605" s="100">
        <f t="shared" si="617"/>
        <v>0</v>
      </c>
      <c r="AX605" s="100">
        <f t="shared" si="618"/>
        <v>0</v>
      </c>
      <c r="AY605" s="110" t="s">
        <v>1722</v>
      </c>
      <c r="AZ605" s="110" t="s">
        <v>1730</v>
      </c>
      <c r="BA605" s="109" t="s">
        <v>1737</v>
      </c>
      <c r="BC605" s="100">
        <f t="shared" si="619"/>
        <v>0</v>
      </c>
      <c r="BD605" s="100">
        <f t="shared" si="620"/>
        <v>0</v>
      </c>
      <c r="BE605" s="100">
        <v>0</v>
      </c>
      <c r="BF605" s="100">
        <f>605</f>
        <v>605</v>
      </c>
      <c r="BH605" s="108">
        <f t="shared" si="621"/>
        <v>0</v>
      </c>
      <c r="BI605" s="108">
        <f t="shared" si="622"/>
        <v>0</v>
      </c>
      <c r="BJ605" s="108">
        <f t="shared" si="623"/>
        <v>0</v>
      </c>
    </row>
    <row r="606" spans="1:62" x14ac:dyDescent="0.2">
      <c r="A606" s="117" t="s">
        <v>553</v>
      </c>
      <c r="B606" s="117" t="s">
        <v>2242</v>
      </c>
      <c r="C606" s="304" t="s">
        <v>1620</v>
      </c>
      <c r="D606" s="305"/>
      <c r="E606" s="305"/>
      <c r="F606" s="117" t="s">
        <v>1644</v>
      </c>
      <c r="G606" s="116">
        <v>1</v>
      </c>
      <c r="H606" s="159"/>
      <c r="I606" s="108">
        <f t="shared" ref="I606:I616" si="624">G606*AO606</f>
        <v>0</v>
      </c>
      <c r="J606" s="108">
        <f t="shared" ref="J606:J616" si="625">G606*AP606</f>
        <v>0</v>
      </c>
      <c r="K606" s="108">
        <f t="shared" ref="K606:K616" si="626">G606*H606</f>
        <v>0</v>
      </c>
      <c r="L606" s="111"/>
      <c r="Z606" s="100">
        <f t="shared" ref="Z606:Z616" si="627">IF(AQ606="5",BJ606,0)</f>
        <v>0</v>
      </c>
      <c r="AB606" s="100">
        <f t="shared" ref="AB606:AB616" si="628">IF(AQ606="1",BH606,0)</f>
        <v>0</v>
      </c>
      <c r="AC606" s="100">
        <f t="shared" ref="AC606:AC616" si="629">IF(AQ606="1",BI606,0)</f>
        <v>0</v>
      </c>
      <c r="AD606" s="100">
        <f t="shared" ref="AD606:AD616" si="630">IF(AQ606="7",BH606,0)</f>
        <v>0</v>
      </c>
      <c r="AE606" s="100">
        <f t="shared" ref="AE606:AE616" si="631">IF(AQ606="7",BI606,0)</f>
        <v>0</v>
      </c>
      <c r="AF606" s="100">
        <f t="shared" ref="AF606:AF616" si="632">IF(AQ606="2",BH606,0)</f>
        <v>0</v>
      </c>
      <c r="AG606" s="100">
        <f t="shared" ref="AG606:AG616" si="633">IF(AQ606="2",BI606,0)</f>
        <v>0</v>
      </c>
      <c r="AH606" s="100">
        <f t="shared" ref="AH606:AH616" si="634">IF(AQ606="0",BJ606,0)</f>
        <v>0</v>
      </c>
      <c r="AI606" s="109"/>
      <c r="AJ606" s="108">
        <f t="shared" ref="AJ606:AJ616" si="635">IF(AN606=0,K606,0)</f>
        <v>0</v>
      </c>
      <c r="AK606" s="108">
        <f t="shared" ref="AK606:AK616" si="636">IF(AN606=15,K606,0)</f>
        <v>0</v>
      </c>
      <c r="AL606" s="108">
        <f t="shared" ref="AL606:AL616" si="637">IF(AN606=21,K606,0)</f>
        <v>0</v>
      </c>
      <c r="AN606" s="100">
        <v>15</v>
      </c>
      <c r="AO606" s="100">
        <f t="shared" ref="AO606:AO616" si="638">H606*0</f>
        <v>0</v>
      </c>
      <c r="AP606" s="100">
        <f t="shared" ref="AP606:AP616" si="639">H606*(1-0)</f>
        <v>0</v>
      </c>
      <c r="AQ606" s="111" t="s">
        <v>7</v>
      </c>
      <c r="AV606" s="100">
        <f t="shared" ref="AV606:AV616" si="640">AW606+AX606</f>
        <v>0</v>
      </c>
      <c r="AW606" s="100">
        <f t="shared" ref="AW606:AW616" si="641">G606*AO606</f>
        <v>0</v>
      </c>
      <c r="AX606" s="100">
        <f t="shared" ref="AX606:AX616" si="642">G606*AP606</f>
        <v>0</v>
      </c>
      <c r="AY606" s="110" t="s">
        <v>1722</v>
      </c>
      <c r="AZ606" s="110" t="s">
        <v>1730</v>
      </c>
      <c r="BA606" s="109" t="s">
        <v>1737</v>
      </c>
      <c r="BC606" s="100">
        <f t="shared" ref="BC606:BC616" si="643">AW606+AX606</f>
        <v>0</v>
      </c>
      <c r="BD606" s="100">
        <f t="shared" ref="BD606:BD616" si="644">H606/(100-BE606)*100</f>
        <v>0</v>
      </c>
      <c r="BE606" s="100">
        <v>0</v>
      </c>
      <c r="BF606" s="100">
        <f>606</f>
        <v>606</v>
      </c>
      <c r="BH606" s="108">
        <f t="shared" ref="BH606:BH616" si="645">G606*AO606</f>
        <v>0</v>
      </c>
      <c r="BI606" s="108">
        <f t="shared" ref="BI606:BI616" si="646">G606*AP606</f>
        <v>0</v>
      </c>
      <c r="BJ606" s="108">
        <f t="shared" ref="BJ606:BJ616" si="647">G606*H606</f>
        <v>0</v>
      </c>
    </row>
    <row r="607" spans="1:62" x14ac:dyDescent="0.2">
      <c r="A607" s="117" t="s">
        <v>554</v>
      </c>
      <c r="B607" s="117" t="s">
        <v>2241</v>
      </c>
      <c r="C607" s="304" t="s">
        <v>1621</v>
      </c>
      <c r="D607" s="305"/>
      <c r="E607" s="305"/>
      <c r="F607" s="117" t="s">
        <v>1644</v>
      </c>
      <c r="G607" s="116">
        <v>1</v>
      </c>
      <c r="H607" s="159"/>
      <c r="I607" s="108">
        <f t="shared" si="624"/>
        <v>0</v>
      </c>
      <c r="J607" s="108">
        <f t="shared" si="625"/>
        <v>0</v>
      </c>
      <c r="K607" s="108">
        <f t="shared" si="626"/>
        <v>0</v>
      </c>
      <c r="L607" s="111"/>
      <c r="Z607" s="100">
        <f t="shared" si="627"/>
        <v>0</v>
      </c>
      <c r="AB607" s="100">
        <f t="shared" si="628"/>
        <v>0</v>
      </c>
      <c r="AC607" s="100">
        <f t="shared" si="629"/>
        <v>0</v>
      </c>
      <c r="AD607" s="100">
        <f t="shared" si="630"/>
        <v>0</v>
      </c>
      <c r="AE607" s="100">
        <f t="shared" si="631"/>
        <v>0</v>
      </c>
      <c r="AF607" s="100">
        <f t="shared" si="632"/>
        <v>0</v>
      </c>
      <c r="AG607" s="100">
        <f t="shared" si="633"/>
        <v>0</v>
      </c>
      <c r="AH607" s="100">
        <f t="shared" si="634"/>
        <v>0</v>
      </c>
      <c r="AI607" s="109"/>
      <c r="AJ607" s="108">
        <f t="shared" si="635"/>
        <v>0</v>
      </c>
      <c r="AK607" s="108">
        <f t="shared" si="636"/>
        <v>0</v>
      </c>
      <c r="AL607" s="108">
        <f t="shared" si="637"/>
        <v>0</v>
      </c>
      <c r="AN607" s="100">
        <v>15</v>
      </c>
      <c r="AO607" s="100">
        <f t="shared" si="638"/>
        <v>0</v>
      </c>
      <c r="AP607" s="100">
        <f t="shared" si="639"/>
        <v>0</v>
      </c>
      <c r="AQ607" s="111" t="s">
        <v>7</v>
      </c>
      <c r="AV607" s="100">
        <f t="shared" si="640"/>
        <v>0</v>
      </c>
      <c r="AW607" s="100">
        <f t="shared" si="641"/>
        <v>0</v>
      </c>
      <c r="AX607" s="100">
        <f t="shared" si="642"/>
        <v>0</v>
      </c>
      <c r="AY607" s="110" t="s">
        <v>1722</v>
      </c>
      <c r="AZ607" s="110" t="s">
        <v>1730</v>
      </c>
      <c r="BA607" s="109" t="s">
        <v>1737</v>
      </c>
      <c r="BC607" s="100">
        <f t="shared" si="643"/>
        <v>0</v>
      </c>
      <c r="BD607" s="100">
        <f t="shared" si="644"/>
        <v>0</v>
      </c>
      <c r="BE607" s="100">
        <v>0</v>
      </c>
      <c r="BF607" s="100">
        <f>607</f>
        <v>607</v>
      </c>
      <c r="BH607" s="108">
        <f t="shared" si="645"/>
        <v>0</v>
      </c>
      <c r="BI607" s="108">
        <f t="shared" si="646"/>
        <v>0</v>
      </c>
      <c r="BJ607" s="108">
        <f t="shared" si="647"/>
        <v>0</v>
      </c>
    </row>
    <row r="608" spans="1:62" x14ac:dyDescent="0.2">
      <c r="A608" s="117" t="s">
        <v>555</v>
      </c>
      <c r="B608" s="117" t="s">
        <v>2240</v>
      </c>
      <c r="C608" s="304" t="s">
        <v>1622</v>
      </c>
      <c r="D608" s="305"/>
      <c r="E608" s="305"/>
      <c r="F608" s="117" t="s">
        <v>1644</v>
      </c>
      <c r="G608" s="116">
        <v>1</v>
      </c>
      <c r="H608" s="159"/>
      <c r="I608" s="108">
        <f t="shared" si="624"/>
        <v>0</v>
      </c>
      <c r="J608" s="108">
        <f t="shared" si="625"/>
        <v>0</v>
      </c>
      <c r="K608" s="108">
        <f t="shared" si="626"/>
        <v>0</v>
      </c>
      <c r="L608" s="111"/>
      <c r="Z608" s="100">
        <f t="shared" si="627"/>
        <v>0</v>
      </c>
      <c r="AB608" s="100">
        <f t="shared" si="628"/>
        <v>0</v>
      </c>
      <c r="AC608" s="100">
        <f t="shared" si="629"/>
        <v>0</v>
      </c>
      <c r="AD608" s="100">
        <f t="shared" si="630"/>
        <v>0</v>
      </c>
      <c r="AE608" s="100">
        <f t="shared" si="631"/>
        <v>0</v>
      </c>
      <c r="AF608" s="100">
        <f t="shared" si="632"/>
        <v>0</v>
      </c>
      <c r="AG608" s="100">
        <f t="shared" si="633"/>
        <v>0</v>
      </c>
      <c r="AH608" s="100">
        <f t="shared" si="634"/>
        <v>0</v>
      </c>
      <c r="AI608" s="109"/>
      <c r="AJ608" s="108">
        <f t="shared" si="635"/>
        <v>0</v>
      </c>
      <c r="AK608" s="108">
        <f t="shared" si="636"/>
        <v>0</v>
      </c>
      <c r="AL608" s="108">
        <f t="shared" si="637"/>
        <v>0</v>
      </c>
      <c r="AN608" s="100">
        <v>15</v>
      </c>
      <c r="AO608" s="100">
        <f t="shared" si="638"/>
        <v>0</v>
      </c>
      <c r="AP608" s="100">
        <f t="shared" si="639"/>
        <v>0</v>
      </c>
      <c r="AQ608" s="111" t="s">
        <v>7</v>
      </c>
      <c r="AV608" s="100">
        <f t="shared" si="640"/>
        <v>0</v>
      </c>
      <c r="AW608" s="100">
        <f t="shared" si="641"/>
        <v>0</v>
      </c>
      <c r="AX608" s="100">
        <f t="shared" si="642"/>
        <v>0</v>
      </c>
      <c r="AY608" s="110" t="s">
        <v>1722</v>
      </c>
      <c r="AZ608" s="110" t="s">
        <v>1730</v>
      </c>
      <c r="BA608" s="109" t="s">
        <v>1737</v>
      </c>
      <c r="BC608" s="100">
        <f t="shared" si="643"/>
        <v>0</v>
      </c>
      <c r="BD608" s="100">
        <f t="shared" si="644"/>
        <v>0</v>
      </c>
      <c r="BE608" s="100">
        <v>0</v>
      </c>
      <c r="BF608" s="100">
        <f>608</f>
        <v>608</v>
      </c>
      <c r="BH608" s="108">
        <f t="shared" si="645"/>
        <v>0</v>
      </c>
      <c r="BI608" s="108">
        <f t="shared" si="646"/>
        <v>0</v>
      </c>
      <c r="BJ608" s="108">
        <f t="shared" si="647"/>
        <v>0</v>
      </c>
    </row>
    <row r="609" spans="1:62" x14ac:dyDescent="0.2">
      <c r="A609" s="117" t="s">
        <v>556</v>
      </c>
      <c r="B609" s="117" t="s">
        <v>2239</v>
      </c>
      <c r="C609" s="304" t="s">
        <v>1623</v>
      </c>
      <c r="D609" s="305"/>
      <c r="E609" s="305"/>
      <c r="F609" s="117" t="s">
        <v>1644</v>
      </c>
      <c r="G609" s="116">
        <v>1</v>
      </c>
      <c r="H609" s="159"/>
      <c r="I609" s="108">
        <f t="shared" si="624"/>
        <v>0</v>
      </c>
      <c r="J609" s="108">
        <f t="shared" si="625"/>
        <v>0</v>
      </c>
      <c r="K609" s="108">
        <f t="shared" si="626"/>
        <v>0</v>
      </c>
      <c r="L609" s="111"/>
      <c r="Z609" s="100">
        <f t="shared" si="627"/>
        <v>0</v>
      </c>
      <c r="AB609" s="100">
        <f t="shared" si="628"/>
        <v>0</v>
      </c>
      <c r="AC609" s="100">
        <f t="shared" si="629"/>
        <v>0</v>
      </c>
      <c r="AD609" s="100">
        <f t="shared" si="630"/>
        <v>0</v>
      </c>
      <c r="AE609" s="100">
        <f t="shared" si="631"/>
        <v>0</v>
      </c>
      <c r="AF609" s="100">
        <f t="shared" si="632"/>
        <v>0</v>
      </c>
      <c r="AG609" s="100">
        <f t="shared" si="633"/>
        <v>0</v>
      </c>
      <c r="AH609" s="100">
        <f t="shared" si="634"/>
        <v>0</v>
      </c>
      <c r="AI609" s="109"/>
      <c r="AJ609" s="108">
        <f t="shared" si="635"/>
        <v>0</v>
      </c>
      <c r="AK609" s="108">
        <f t="shared" si="636"/>
        <v>0</v>
      </c>
      <c r="AL609" s="108">
        <f t="shared" si="637"/>
        <v>0</v>
      </c>
      <c r="AN609" s="100">
        <v>15</v>
      </c>
      <c r="AO609" s="100">
        <f t="shared" si="638"/>
        <v>0</v>
      </c>
      <c r="AP609" s="100">
        <f t="shared" si="639"/>
        <v>0</v>
      </c>
      <c r="AQ609" s="111" t="s">
        <v>7</v>
      </c>
      <c r="AV609" s="100">
        <f t="shared" si="640"/>
        <v>0</v>
      </c>
      <c r="AW609" s="100">
        <f t="shared" si="641"/>
        <v>0</v>
      </c>
      <c r="AX609" s="100">
        <f t="shared" si="642"/>
        <v>0</v>
      </c>
      <c r="AY609" s="110" t="s">
        <v>1722</v>
      </c>
      <c r="AZ609" s="110" t="s">
        <v>1730</v>
      </c>
      <c r="BA609" s="109" t="s">
        <v>1737</v>
      </c>
      <c r="BC609" s="100">
        <f t="shared" si="643"/>
        <v>0</v>
      </c>
      <c r="BD609" s="100">
        <f t="shared" si="644"/>
        <v>0</v>
      </c>
      <c r="BE609" s="100">
        <v>0</v>
      </c>
      <c r="BF609" s="100">
        <f>609</f>
        <v>609</v>
      </c>
      <c r="BH609" s="108">
        <f t="shared" si="645"/>
        <v>0</v>
      </c>
      <c r="BI609" s="108">
        <f t="shared" si="646"/>
        <v>0</v>
      </c>
      <c r="BJ609" s="108">
        <f t="shared" si="647"/>
        <v>0</v>
      </c>
    </row>
    <row r="610" spans="1:62" x14ac:dyDescent="0.2">
      <c r="A610" s="117" t="s">
        <v>557</v>
      </c>
      <c r="B610" s="117" t="s">
        <v>2238</v>
      </c>
      <c r="C610" s="304" t="s">
        <v>1624</v>
      </c>
      <c r="D610" s="305"/>
      <c r="E610" s="305"/>
      <c r="F610" s="117" t="s">
        <v>1644</v>
      </c>
      <c r="G610" s="116">
        <v>1</v>
      </c>
      <c r="H610" s="159"/>
      <c r="I610" s="108">
        <f t="shared" si="624"/>
        <v>0</v>
      </c>
      <c r="J610" s="108">
        <f t="shared" si="625"/>
        <v>0</v>
      </c>
      <c r="K610" s="108">
        <f t="shared" si="626"/>
        <v>0</v>
      </c>
      <c r="L610" s="111"/>
      <c r="Z610" s="100">
        <f t="shared" si="627"/>
        <v>0</v>
      </c>
      <c r="AB610" s="100">
        <f t="shared" si="628"/>
        <v>0</v>
      </c>
      <c r="AC610" s="100">
        <f t="shared" si="629"/>
        <v>0</v>
      </c>
      <c r="AD610" s="100">
        <f t="shared" si="630"/>
        <v>0</v>
      </c>
      <c r="AE610" s="100">
        <f t="shared" si="631"/>
        <v>0</v>
      </c>
      <c r="AF610" s="100">
        <f t="shared" si="632"/>
        <v>0</v>
      </c>
      <c r="AG610" s="100">
        <f t="shared" si="633"/>
        <v>0</v>
      </c>
      <c r="AH610" s="100">
        <f t="shared" si="634"/>
        <v>0</v>
      </c>
      <c r="AI610" s="109"/>
      <c r="AJ610" s="108">
        <f t="shared" si="635"/>
        <v>0</v>
      </c>
      <c r="AK610" s="108">
        <f t="shared" si="636"/>
        <v>0</v>
      </c>
      <c r="AL610" s="108">
        <f t="shared" si="637"/>
        <v>0</v>
      </c>
      <c r="AN610" s="100">
        <v>15</v>
      </c>
      <c r="AO610" s="100">
        <f t="shared" si="638"/>
        <v>0</v>
      </c>
      <c r="AP610" s="100">
        <f t="shared" si="639"/>
        <v>0</v>
      </c>
      <c r="AQ610" s="111" t="s">
        <v>7</v>
      </c>
      <c r="AV610" s="100">
        <f t="shared" si="640"/>
        <v>0</v>
      </c>
      <c r="AW610" s="100">
        <f t="shared" si="641"/>
        <v>0</v>
      </c>
      <c r="AX610" s="100">
        <f t="shared" si="642"/>
        <v>0</v>
      </c>
      <c r="AY610" s="110" t="s">
        <v>1722</v>
      </c>
      <c r="AZ610" s="110" t="s">
        <v>1730</v>
      </c>
      <c r="BA610" s="109" t="s">
        <v>1737</v>
      </c>
      <c r="BC610" s="100">
        <f t="shared" si="643"/>
        <v>0</v>
      </c>
      <c r="BD610" s="100">
        <f t="shared" si="644"/>
        <v>0</v>
      </c>
      <c r="BE610" s="100">
        <v>0</v>
      </c>
      <c r="BF610" s="100">
        <f>610</f>
        <v>610</v>
      </c>
      <c r="BH610" s="108">
        <f t="shared" si="645"/>
        <v>0</v>
      </c>
      <c r="BI610" s="108">
        <f t="shared" si="646"/>
        <v>0</v>
      </c>
      <c r="BJ610" s="108">
        <f t="shared" si="647"/>
        <v>0</v>
      </c>
    </row>
    <row r="611" spans="1:62" x14ac:dyDescent="0.2">
      <c r="A611" s="117" t="s">
        <v>558</v>
      </c>
      <c r="B611" s="117" t="s">
        <v>2237</v>
      </c>
      <c r="C611" s="304" t="s">
        <v>1625</v>
      </c>
      <c r="D611" s="305"/>
      <c r="E611" s="305"/>
      <c r="F611" s="117" t="s">
        <v>1644</v>
      </c>
      <c r="G611" s="116">
        <v>1</v>
      </c>
      <c r="H611" s="159"/>
      <c r="I611" s="108">
        <f t="shared" si="624"/>
        <v>0</v>
      </c>
      <c r="J611" s="108">
        <f t="shared" si="625"/>
        <v>0</v>
      </c>
      <c r="K611" s="108">
        <f t="shared" si="626"/>
        <v>0</v>
      </c>
      <c r="L611" s="111"/>
      <c r="Z611" s="100">
        <f t="shared" si="627"/>
        <v>0</v>
      </c>
      <c r="AB611" s="100">
        <f t="shared" si="628"/>
        <v>0</v>
      </c>
      <c r="AC611" s="100">
        <f t="shared" si="629"/>
        <v>0</v>
      </c>
      <c r="AD611" s="100">
        <f t="shared" si="630"/>
        <v>0</v>
      </c>
      <c r="AE611" s="100">
        <f t="shared" si="631"/>
        <v>0</v>
      </c>
      <c r="AF611" s="100">
        <f t="shared" si="632"/>
        <v>0</v>
      </c>
      <c r="AG611" s="100">
        <f t="shared" si="633"/>
        <v>0</v>
      </c>
      <c r="AH611" s="100">
        <f t="shared" si="634"/>
        <v>0</v>
      </c>
      <c r="AI611" s="109"/>
      <c r="AJ611" s="108">
        <f t="shared" si="635"/>
        <v>0</v>
      </c>
      <c r="AK611" s="108">
        <f t="shared" si="636"/>
        <v>0</v>
      </c>
      <c r="AL611" s="108">
        <f t="shared" si="637"/>
        <v>0</v>
      </c>
      <c r="AN611" s="100">
        <v>15</v>
      </c>
      <c r="AO611" s="100">
        <f t="shared" si="638"/>
        <v>0</v>
      </c>
      <c r="AP611" s="100">
        <f t="shared" si="639"/>
        <v>0</v>
      </c>
      <c r="AQ611" s="111" t="s">
        <v>7</v>
      </c>
      <c r="AV611" s="100">
        <f t="shared" si="640"/>
        <v>0</v>
      </c>
      <c r="AW611" s="100">
        <f t="shared" si="641"/>
        <v>0</v>
      </c>
      <c r="AX611" s="100">
        <f t="shared" si="642"/>
        <v>0</v>
      </c>
      <c r="AY611" s="110" t="s">
        <v>1722</v>
      </c>
      <c r="AZ611" s="110" t="s">
        <v>1730</v>
      </c>
      <c r="BA611" s="109" t="s">
        <v>1737</v>
      </c>
      <c r="BC611" s="100">
        <f t="shared" si="643"/>
        <v>0</v>
      </c>
      <c r="BD611" s="100">
        <f t="shared" si="644"/>
        <v>0</v>
      </c>
      <c r="BE611" s="100">
        <v>0</v>
      </c>
      <c r="BF611" s="100">
        <f>611</f>
        <v>611</v>
      </c>
      <c r="BH611" s="108">
        <f t="shared" si="645"/>
        <v>0</v>
      </c>
      <c r="BI611" s="108">
        <f t="shared" si="646"/>
        <v>0</v>
      </c>
      <c r="BJ611" s="108">
        <f t="shared" si="647"/>
        <v>0</v>
      </c>
    </row>
    <row r="612" spans="1:62" x14ac:dyDescent="0.2">
      <c r="A612" s="117" t="s">
        <v>559</v>
      </c>
      <c r="B612" s="117" t="s">
        <v>2236</v>
      </c>
      <c r="C612" s="304" t="s">
        <v>1626</v>
      </c>
      <c r="D612" s="305"/>
      <c r="E612" s="305"/>
      <c r="F612" s="117" t="s">
        <v>1644</v>
      </c>
      <c r="G612" s="116">
        <v>1</v>
      </c>
      <c r="H612" s="159"/>
      <c r="I612" s="108">
        <f t="shared" si="624"/>
        <v>0</v>
      </c>
      <c r="J612" s="108">
        <f t="shared" si="625"/>
        <v>0</v>
      </c>
      <c r="K612" s="108">
        <f t="shared" si="626"/>
        <v>0</v>
      </c>
      <c r="L612" s="111"/>
      <c r="Z612" s="100">
        <f t="shared" si="627"/>
        <v>0</v>
      </c>
      <c r="AB612" s="100">
        <f t="shared" si="628"/>
        <v>0</v>
      </c>
      <c r="AC612" s="100">
        <f t="shared" si="629"/>
        <v>0</v>
      </c>
      <c r="AD612" s="100">
        <f t="shared" si="630"/>
        <v>0</v>
      </c>
      <c r="AE612" s="100">
        <f t="shared" si="631"/>
        <v>0</v>
      </c>
      <c r="AF612" s="100">
        <f t="shared" si="632"/>
        <v>0</v>
      </c>
      <c r="AG612" s="100">
        <f t="shared" si="633"/>
        <v>0</v>
      </c>
      <c r="AH612" s="100">
        <f t="shared" si="634"/>
        <v>0</v>
      </c>
      <c r="AI612" s="109"/>
      <c r="AJ612" s="108">
        <f t="shared" si="635"/>
        <v>0</v>
      </c>
      <c r="AK612" s="108">
        <f t="shared" si="636"/>
        <v>0</v>
      </c>
      <c r="AL612" s="108">
        <f t="shared" si="637"/>
        <v>0</v>
      </c>
      <c r="AN612" s="100">
        <v>15</v>
      </c>
      <c r="AO612" s="100">
        <f t="shared" si="638"/>
        <v>0</v>
      </c>
      <c r="AP612" s="100">
        <f t="shared" si="639"/>
        <v>0</v>
      </c>
      <c r="AQ612" s="111" t="s">
        <v>7</v>
      </c>
      <c r="AV612" s="100">
        <f t="shared" si="640"/>
        <v>0</v>
      </c>
      <c r="AW612" s="100">
        <f t="shared" si="641"/>
        <v>0</v>
      </c>
      <c r="AX612" s="100">
        <f t="shared" si="642"/>
        <v>0</v>
      </c>
      <c r="AY612" s="110" t="s">
        <v>1722</v>
      </c>
      <c r="AZ612" s="110" t="s">
        <v>1730</v>
      </c>
      <c r="BA612" s="109" t="s">
        <v>1737</v>
      </c>
      <c r="BC612" s="100">
        <f t="shared" si="643"/>
        <v>0</v>
      </c>
      <c r="BD612" s="100">
        <f t="shared" si="644"/>
        <v>0</v>
      </c>
      <c r="BE612" s="100">
        <v>0</v>
      </c>
      <c r="BF612" s="100">
        <f>612</f>
        <v>612</v>
      </c>
      <c r="BH612" s="108">
        <f t="shared" si="645"/>
        <v>0</v>
      </c>
      <c r="BI612" s="108">
        <f t="shared" si="646"/>
        <v>0</v>
      </c>
      <c r="BJ612" s="108">
        <f t="shared" si="647"/>
        <v>0</v>
      </c>
    </row>
    <row r="613" spans="1:62" x14ac:dyDescent="0.2">
      <c r="A613" s="117" t="s">
        <v>560</v>
      </c>
      <c r="B613" s="117" t="s">
        <v>2235</v>
      </c>
      <c r="C613" s="304" t="s">
        <v>1627</v>
      </c>
      <c r="D613" s="305"/>
      <c r="E613" s="305"/>
      <c r="F613" s="117" t="s">
        <v>1644</v>
      </c>
      <c r="G613" s="116">
        <v>1</v>
      </c>
      <c r="H613" s="159"/>
      <c r="I613" s="108">
        <f t="shared" si="624"/>
        <v>0</v>
      </c>
      <c r="J613" s="108">
        <f t="shared" si="625"/>
        <v>0</v>
      </c>
      <c r="K613" s="108">
        <f t="shared" si="626"/>
        <v>0</v>
      </c>
      <c r="L613" s="111"/>
      <c r="Z613" s="100">
        <f t="shared" si="627"/>
        <v>0</v>
      </c>
      <c r="AB613" s="100">
        <f t="shared" si="628"/>
        <v>0</v>
      </c>
      <c r="AC613" s="100">
        <f t="shared" si="629"/>
        <v>0</v>
      </c>
      <c r="AD613" s="100">
        <f t="shared" si="630"/>
        <v>0</v>
      </c>
      <c r="AE613" s="100">
        <f t="shared" si="631"/>
        <v>0</v>
      </c>
      <c r="AF613" s="100">
        <f t="shared" si="632"/>
        <v>0</v>
      </c>
      <c r="AG613" s="100">
        <f t="shared" si="633"/>
        <v>0</v>
      </c>
      <c r="AH613" s="100">
        <f t="shared" si="634"/>
        <v>0</v>
      </c>
      <c r="AI613" s="109"/>
      <c r="AJ613" s="108">
        <f t="shared" si="635"/>
        <v>0</v>
      </c>
      <c r="AK613" s="108">
        <f t="shared" si="636"/>
        <v>0</v>
      </c>
      <c r="AL613" s="108">
        <f t="shared" si="637"/>
        <v>0</v>
      </c>
      <c r="AN613" s="100">
        <v>15</v>
      </c>
      <c r="AO613" s="100">
        <f t="shared" si="638"/>
        <v>0</v>
      </c>
      <c r="AP613" s="100">
        <f t="shared" si="639"/>
        <v>0</v>
      </c>
      <c r="AQ613" s="111" t="s">
        <v>7</v>
      </c>
      <c r="AV613" s="100">
        <f t="shared" si="640"/>
        <v>0</v>
      </c>
      <c r="AW613" s="100">
        <f t="shared" si="641"/>
        <v>0</v>
      </c>
      <c r="AX613" s="100">
        <f t="shared" si="642"/>
        <v>0</v>
      </c>
      <c r="AY613" s="110" t="s">
        <v>1722</v>
      </c>
      <c r="AZ613" s="110" t="s">
        <v>1730</v>
      </c>
      <c r="BA613" s="109" t="s">
        <v>1737</v>
      </c>
      <c r="BC613" s="100">
        <f t="shared" si="643"/>
        <v>0</v>
      </c>
      <c r="BD613" s="100">
        <f t="shared" si="644"/>
        <v>0</v>
      </c>
      <c r="BE613" s="100">
        <v>0</v>
      </c>
      <c r="BF613" s="100">
        <f>613</f>
        <v>613</v>
      </c>
      <c r="BH613" s="108">
        <f t="shared" si="645"/>
        <v>0</v>
      </c>
      <c r="BI613" s="108">
        <f t="shared" si="646"/>
        <v>0</v>
      </c>
      <c r="BJ613" s="108">
        <f t="shared" si="647"/>
        <v>0</v>
      </c>
    </row>
    <row r="614" spans="1:62" x14ac:dyDescent="0.2">
      <c r="A614" s="117" t="s">
        <v>561</v>
      </c>
      <c r="B614" s="117" t="s">
        <v>2234</v>
      </c>
      <c r="C614" s="304" t="s">
        <v>1628</v>
      </c>
      <c r="D614" s="305"/>
      <c r="E614" s="305"/>
      <c r="F614" s="117" t="s">
        <v>1644</v>
      </c>
      <c r="G614" s="116">
        <v>1</v>
      </c>
      <c r="H614" s="159"/>
      <c r="I614" s="108">
        <f t="shared" si="624"/>
        <v>0</v>
      </c>
      <c r="J614" s="108">
        <f t="shared" si="625"/>
        <v>0</v>
      </c>
      <c r="K614" s="108">
        <f t="shared" si="626"/>
        <v>0</v>
      </c>
      <c r="L614" s="111"/>
      <c r="Z614" s="100">
        <f t="shared" si="627"/>
        <v>0</v>
      </c>
      <c r="AB614" s="100">
        <f t="shared" si="628"/>
        <v>0</v>
      </c>
      <c r="AC614" s="100">
        <f t="shared" si="629"/>
        <v>0</v>
      </c>
      <c r="AD614" s="100">
        <f t="shared" si="630"/>
        <v>0</v>
      </c>
      <c r="AE614" s="100">
        <f t="shared" si="631"/>
        <v>0</v>
      </c>
      <c r="AF614" s="100">
        <f t="shared" si="632"/>
        <v>0</v>
      </c>
      <c r="AG614" s="100">
        <f t="shared" si="633"/>
        <v>0</v>
      </c>
      <c r="AH614" s="100">
        <f t="shared" si="634"/>
        <v>0</v>
      </c>
      <c r="AI614" s="109"/>
      <c r="AJ614" s="108">
        <f t="shared" si="635"/>
        <v>0</v>
      </c>
      <c r="AK614" s="108">
        <f t="shared" si="636"/>
        <v>0</v>
      </c>
      <c r="AL614" s="108">
        <f t="shared" si="637"/>
        <v>0</v>
      </c>
      <c r="AN614" s="100">
        <v>15</v>
      </c>
      <c r="AO614" s="100">
        <f t="shared" si="638"/>
        <v>0</v>
      </c>
      <c r="AP614" s="100">
        <f t="shared" si="639"/>
        <v>0</v>
      </c>
      <c r="AQ614" s="111" t="s">
        <v>7</v>
      </c>
      <c r="AV614" s="100">
        <f t="shared" si="640"/>
        <v>0</v>
      </c>
      <c r="AW614" s="100">
        <f t="shared" si="641"/>
        <v>0</v>
      </c>
      <c r="AX614" s="100">
        <f t="shared" si="642"/>
        <v>0</v>
      </c>
      <c r="AY614" s="110" t="s">
        <v>1722</v>
      </c>
      <c r="AZ614" s="110" t="s">
        <v>1730</v>
      </c>
      <c r="BA614" s="109" t="s">
        <v>1737</v>
      </c>
      <c r="BC614" s="100">
        <f t="shared" si="643"/>
        <v>0</v>
      </c>
      <c r="BD614" s="100">
        <f t="shared" si="644"/>
        <v>0</v>
      </c>
      <c r="BE614" s="100">
        <v>0</v>
      </c>
      <c r="BF614" s="100">
        <f>614</f>
        <v>614</v>
      </c>
      <c r="BH614" s="108">
        <f t="shared" si="645"/>
        <v>0</v>
      </c>
      <c r="BI614" s="108">
        <f t="shared" si="646"/>
        <v>0</v>
      </c>
      <c r="BJ614" s="108">
        <f t="shared" si="647"/>
        <v>0</v>
      </c>
    </row>
    <row r="615" spans="1:62" x14ac:dyDescent="0.2">
      <c r="A615" s="117" t="s">
        <v>562</v>
      </c>
      <c r="B615" s="117" t="s">
        <v>2233</v>
      </c>
      <c r="C615" s="304" t="s">
        <v>1629</v>
      </c>
      <c r="D615" s="305"/>
      <c r="E615" s="305"/>
      <c r="F615" s="117" t="s">
        <v>1644</v>
      </c>
      <c r="G615" s="116">
        <v>1</v>
      </c>
      <c r="H615" s="159"/>
      <c r="I615" s="108">
        <f t="shared" si="624"/>
        <v>0</v>
      </c>
      <c r="J615" s="108">
        <f t="shared" si="625"/>
        <v>0</v>
      </c>
      <c r="K615" s="108">
        <f t="shared" si="626"/>
        <v>0</v>
      </c>
      <c r="L615" s="111"/>
      <c r="Z615" s="100">
        <f t="shared" si="627"/>
        <v>0</v>
      </c>
      <c r="AB615" s="100">
        <f t="shared" si="628"/>
        <v>0</v>
      </c>
      <c r="AC615" s="100">
        <f t="shared" si="629"/>
        <v>0</v>
      </c>
      <c r="AD615" s="100">
        <f t="shared" si="630"/>
        <v>0</v>
      </c>
      <c r="AE615" s="100">
        <f t="shared" si="631"/>
        <v>0</v>
      </c>
      <c r="AF615" s="100">
        <f t="shared" si="632"/>
        <v>0</v>
      </c>
      <c r="AG615" s="100">
        <f t="shared" si="633"/>
        <v>0</v>
      </c>
      <c r="AH615" s="100">
        <f t="shared" si="634"/>
        <v>0</v>
      </c>
      <c r="AI615" s="109"/>
      <c r="AJ615" s="108">
        <f t="shared" si="635"/>
        <v>0</v>
      </c>
      <c r="AK615" s="108">
        <f t="shared" si="636"/>
        <v>0</v>
      </c>
      <c r="AL615" s="108">
        <f t="shared" si="637"/>
        <v>0</v>
      </c>
      <c r="AN615" s="100">
        <v>15</v>
      </c>
      <c r="AO615" s="100">
        <f t="shared" si="638"/>
        <v>0</v>
      </c>
      <c r="AP615" s="100">
        <f t="shared" si="639"/>
        <v>0</v>
      </c>
      <c r="AQ615" s="111" t="s">
        <v>7</v>
      </c>
      <c r="AV615" s="100">
        <f t="shared" si="640"/>
        <v>0</v>
      </c>
      <c r="AW615" s="100">
        <f t="shared" si="641"/>
        <v>0</v>
      </c>
      <c r="AX615" s="100">
        <f t="shared" si="642"/>
        <v>0</v>
      </c>
      <c r="AY615" s="110" t="s">
        <v>1722</v>
      </c>
      <c r="AZ615" s="110" t="s">
        <v>1730</v>
      </c>
      <c r="BA615" s="109" t="s">
        <v>1737</v>
      </c>
      <c r="BC615" s="100">
        <f t="shared" si="643"/>
        <v>0</v>
      </c>
      <c r="BD615" s="100">
        <f t="shared" si="644"/>
        <v>0</v>
      </c>
      <c r="BE615" s="100">
        <v>0</v>
      </c>
      <c r="BF615" s="100">
        <f>615</f>
        <v>615</v>
      </c>
      <c r="BH615" s="108">
        <f t="shared" si="645"/>
        <v>0</v>
      </c>
      <c r="BI615" s="108">
        <f t="shared" si="646"/>
        <v>0</v>
      </c>
      <c r="BJ615" s="108">
        <f t="shared" si="647"/>
        <v>0</v>
      </c>
    </row>
    <row r="616" spans="1:62" x14ac:dyDescent="0.2">
      <c r="A616" s="117" t="s">
        <v>563</v>
      </c>
      <c r="B616" s="117" t="s">
        <v>2232</v>
      </c>
      <c r="C616" s="304" t="s">
        <v>1630</v>
      </c>
      <c r="D616" s="305"/>
      <c r="E616" s="305"/>
      <c r="F616" s="117" t="s">
        <v>1644</v>
      </c>
      <c r="G616" s="116">
        <v>1</v>
      </c>
      <c r="H616" s="159"/>
      <c r="I616" s="108">
        <f t="shared" si="624"/>
        <v>0</v>
      </c>
      <c r="J616" s="108">
        <f t="shared" si="625"/>
        <v>0</v>
      </c>
      <c r="K616" s="108">
        <f t="shared" si="626"/>
        <v>0</v>
      </c>
      <c r="L616" s="111"/>
      <c r="Z616" s="100">
        <f t="shared" si="627"/>
        <v>0</v>
      </c>
      <c r="AB616" s="100">
        <f t="shared" si="628"/>
        <v>0</v>
      </c>
      <c r="AC616" s="100">
        <f t="shared" si="629"/>
        <v>0</v>
      </c>
      <c r="AD616" s="100">
        <f t="shared" si="630"/>
        <v>0</v>
      </c>
      <c r="AE616" s="100">
        <f t="shared" si="631"/>
        <v>0</v>
      </c>
      <c r="AF616" s="100">
        <f t="shared" si="632"/>
        <v>0</v>
      </c>
      <c r="AG616" s="100">
        <f t="shared" si="633"/>
        <v>0</v>
      </c>
      <c r="AH616" s="100">
        <f t="shared" si="634"/>
        <v>0</v>
      </c>
      <c r="AI616" s="109"/>
      <c r="AJ616" s="108">
        <f t="shared" si="635"/>
        <v>0</v>
      </c>
      <c r="AK616" s="108">
        <f t="shared" si="636"/>
        <v>0</v>
      </c>
      <c r="AL616" s="108">
        <f t="shared" si="637"/>
        <v>0</v>
      </c>
      <c r="AN616" s="100">
        <v>15</v>
      </c>
      <c r="AO616" s="100">
        <f t="shared" si="638"/>
        <v>0</v>
      </c>
      <c r="AP616" s="100">
        <f t="shared" si="639"/>
        <v>0</v>
      </c>
      <c r="AQ616" s="111" t="s">
        <v>7</v>
      </c>
      <c r="AV616" s="100">
        <f t="shared" si="640"/>
        <v>0</v>
      </c>
      <c r="AW616" s="100">
        <f t="shared" si="641"/>
        <v>0</v>
      </c>
      <c r="AX616" s="100">
        <f t="shared" si="642"/>
        <v>0</v>
      </c>
      <c r="AY616" s="110" t="s">
        <v>1722</v>
      </c>
      <c r="AZ616" s="110" t="s">
        <v>1730</v>
      </c>
      <c r="BA616" s="109" t="s">
        <v>1737</v>
      </c>
      <c r="BC616" s="100">
        <f t="shared" si="643"/>
        <v>0</v>
      </c>
      <c r="BD616" s="100">
        <f t="shared" si="644"/>
        <v>0</v>
      </c>
      <c r="BE616" s="100">
        <v>0</v>
      </c>
      <c r="BF616" s="100">
        <f>616</f>
        <v>616</v>
      </c>
      <c r="BH616" s="108">
        <f t="shared" si="645"/>
        <v>0</v>
      </c>
      <c r="BI616" s="108">
        <f t="shared" si="646"/>
        <v>0</v>
      </c>
      <c r="BJ616" s="108">
        <f t="shared" si="647"/>
        <v>0</v>
      </c>
    </row>
    <row r="617" spans="1:62" x14ac:dyDescent="0.2">
      <c r="A617" s="119"/>
      <c r="B617" s="120" t="s">
        <v>1039</v>
      </c>
      <c r="C617" s="306" t="s">
        <v>1631</v>
      </c>
      <c r="D617" s="307"/>
      <c r="E617" s="307"/>
      <c r="F617" s="119" t="s">
        <v>6</v>
      </c>
      <c r="G617" s="119" t="s">
        <v>6</v>
      </c>
      <c r="H617" s="119" t="s">
        <v>6</v>
      </c>
      <c r="I617" s="118">
        <f>SUM(I618:I624)</f>
        <v>0</v>
      </c>
      <c r="J617" s="118">
        <f>SUM(J618:J624)</f>
        <v>0</v>
      </c>
      <c r="K617" s="118">
        <f>SUM(K618:K624)</f>
        <v>0</v>
      </c>
      <c r="L617" s="109"/>
      <c r="AI617" s="109"/>
      <c r="AS617" s="118">
        <f>SUM(AJ618:AJ624)</f>
        <v>0</v>
      </c>
      <c r="AT617" s="118">
        <f>SUM(AK618:AK624)</f>
        <v>0</v>
      </c>
      <c r="AU617" s="118">
        <f>SUM(AL618:AL624)</f>
        <v>0</v>
      </c>
    </row>
    <row r="618" spans="1:62" x14ac:dyDescent="0.2">
      <c r="A618" s="117" t="s">
        <v>564</v>
      </c>
      <c r="B618" s="117" t="s">
        <v>1040</v>
      </c>
      <c r="C618" s="304" t="s">
        <v>1632</v>
      </c>
      <c r="D618" s="305"/>
      <c r="E618" s="305"/>
      <c r="F618" s="117" t="s">
        <v>1644</v>
      </c>
      <c r="G618" s="116">
        <v>1</v>
      </c>
      <c r="H618" s="159"/>
      <c r="I618" s="108">
        <f t="shared" ref="I618:I624" si="648">G618*AO618</f>
        <v>0</v>
      </c>
      <c r="J618" s="108">
        <f t="shared" ref="J618:J624" si="649">G618*AP618</f>
        <v>0</v>
      </c>
      <c r="K618" s="108">
        <f t="shared" ref="K618:K624" si="650">G618*H618</f>
        <v>0</v>
      </c>
      <c r="L618" s="111" t="s">
        <v>1671</v>
      </c>
      <c r="Z618" s="100">
        <f t="shared" ref="Z618:Z624" si="651">IF(AQ618="5",BJ618,0)</f>
        <v>0</v>
      </c>
      <c r="AB618" s="100">
        <f t="shared" ref="AB618:AB624" si="652">IF(AQ618="1",BH618,0)</f>
        <v>0</v>
      </c>
      <c r="AC618" s="100">
        <f t="shared" ref="AC618:AC624" si="653">IF(AQ618="1",BI618,0)</f>
        <v>0</v>
      </c>
      <c r="AD618" s="100">
        <f t="shared" ref="AD618:AD624" si="654">IF(AQ618="7",BH618,0)</f>
        <v>0</v>
      </c>
      <c r="AE618" s="100">
        <f t="shared" ref="AE618:AE624" si="655">IF(AQ618="7",BI618,0)</f>
        <v>0</v>
      </c>
      <c r="AF618" s="100">
        <f t="shared" ref="AF618:AF624" si="656">IF(AQ618="2",BH618,0)</f>
        <v>0</v>
      </c>
      <c r="AG618" s="100">
        <f t="shared" ref="AG618:AG624" si="657">IF(AQ618="2",BI618,0)</f>
        <v>0</v>
      </c>
      <c r="AH618" s="100">
        <f t="shared" ref="AH618:AH624" si="658">IF(AQ618="0",BJ618,0)</f>
        <v>0</v>
      </c>
      <c r="AI618" s="109"/>
      <c r="AJ618" s="108">
        <f t="shared" ref="AJ618:AJ624" si="659">IF(AN618=0,K618,0)</f>
        <v>0</v>
      </c>
      <c r="AK618" s="108">
        <f t="shared" ref="AK618:AK624" si="660">IF(AN618=15,K618,0)</f>
        <v>0</v>
      </c>
      <c r="AL618" s="108">
        <f t="shared" ref="AL618:AL624" si="661">IF(AN618=21,K618,0)</f>
        <v>0</v>
      </c>
      <c r="AN618" s="100">
        <v>15</v>
      </c>
      <c r="AO618" s="100">
        <f t="shared" ref="AO618:AO624" si="662">H618*0</f>
        <v>0</v>
      </c>
      <c r="AP618" s="100">
        <f t="shared" ref="AP618:AP624" si="663">H618*(1-0)</f>
        <v>0</v>
      </c>
      <c r="AQ618" s="111" t="s">
        <v>7</v>
      </c>
      <c r="AV618" s="100">
        <f t="shared" ref="AV618:AV624" si="664">AW618+AX618</f>
        <v>0</v>
      </c>
      <c r="AW618" s="100">
        <f t="shared" ref="AW618:AW624" si="665">G618*AO618</f>
        <v>0</v>
      </c>
      <c r="AX618" s="100">
        <f t="shared" ref="AX618:AX624" si="666">G618*AP618</f>
        <v>0</v>
      </c>
      <c r="AY618" s="110" t="s">
        <v>1723</v>
      </c>
      <c r="AZ618" s="110" t="s">
        <v>1730</v>
      </c>
      <c r="BA618" s="109" t="s">
        <v>1737</v>
      </c>
      <c r="BC618" s="100">
        <f t="shared" ref="BC618:BC624" si="667">AW618+AX618</f>
        <v>0</v>
      </c>
      <c r="BD618" s="100">
        <f t="shared" ref="BD618:BD624" si="668">H618/(100-BE618)*100</f>
        <v>0</v>
      </c>
      <c r="BE618" s="100">
        <v>0</v>
      </c>
      <c r="BF618" s="100">
        <f>618</f>
        <v>618</v>
      </c>
      <c r="BH618" s="108">
        <f t="shared" ref="BH618:BH624" si="669">G618*AO618</f>
        <v>0</v>
      </c>
      <c r="BI618" s="108">
        <f t="shared" ref="BI618:BI624" si="670">G618*AP618</f>
        <v>0</v>
      </c>
      <c r="BJ618" s="108">
        <f t="shared" ref="BJ618:BJ624" si="671">G618*H618</f>
        <v>0</v>
      </c>
    </row>
    <row r="619" spans="1:62" x14ac:dyDescent="0.2">
      <c r="A619" s="117" t="s">
        <v>565</v>
      </c>
      <c r="B619" s="117" t="s">
        <v>1041</v>
      </c>
      <c r="C619" s="304" t="s">
        <v>1633</v>
      </c>
      <c r="D619" s="305"/>
      <c r="E619" s="305"/>
      <c r="F619" s="117" t="s">
        <v>1644</v>
      </c>
      <c r="G619" s="116">
        <v>1</v>
      </c>
      <c r="H619" s="159"/>
      <c r="I619" s="108">
        <f t="shared" si="648"/>
        <v>0</v>
      </c>
      <c r="J619" s="108">
        <f t="shared" si="649"/>
        <v>0</v>
      </c>
      <c r="K619" s="108">
        <f t="shared" si="650"/>
        <v>0</v>
      </c>
      <c r="L619" s="111" t="s">
        <v>1671</v>
      </c>
      <c r="Z619" s="100">
        <f t="shared" si="651"/>
        <v>0</v>
      </c>
      <c r="AB619" s="100">
        <f t="shared" si="652"/>
        <v>0</v>
      </c>
      <c r="AC619" s="100">
        <f t="shared" si="653"/>
        <v>0</v>
      </c>
      <c r="AD619" s="100">
        <f t="shared" si="654"/>
        <v>0</v>
      </c>
      <c r="AE619" s="100">
        <f t="shared" si="655"/>
        <v>0</v>
      </c>
      <c r="AF619" s="100">
        <f t="shared" si="656"/>
        <v>0</v>
      </c>
      <c r="AG619" s="100">
        <f t="shared" si="657"/>
        <v>0</v>
      </c>
      <c r="AH619" s="100">
        <f t="shared" si="658"/>
        <v>0</v>
      </c>
      <c r="AI619" s="109"/>
      <c r="AJ619" s="108">
        <f t="shared" si="659"/>
        <v>0</v>
      </c>
      <c r="AK619" s="108">
        <f t="shared" si="660"/>
        <v>0</v>
      </c>
      <c r="AL619" s="108">
        <f t="shared" si="661"/>
        <v>0</v>
      </c>
      <c r="AN619" s="100">
        <v>15</v>
      </c>
      <c r="AO619" s="100">
        <f t="shared" si="662"/>
        <v>0</v>
      </c>
      <c r="AP619" s="100">
        <f t="shared" si="663"/>
        <v>0</v>
      </c>
      <c r="AQ619" s="111" t="s">
        <v>7</v>
      </c>
      <c r="AV619" s="100">
        <f t="shared" si="664"/>
        <v>0</v>
      </c>
      <c r="AW619" s="100">
        <f t="shared" si="665"/>
        <v>0</v>
      </c>
      <c r="AX619" s="100">
        <f t="shared" si="666"/>
        <v>0</v>
      </c>
      <c r="AY619" s="110" t="s">
        <v>1723</v>
      </c>
      <c r="AZ619" s="110" t="s">
        <v>1730</v>
      </c>
      <c r="BA619" s="109" t="s">
        <v>1737</v>
      </c>
      <c r="BC619" s="100">
        <f t="shared" si="667"/>
        <v>0</v>
      </c>
      <c r="BD619" s="100">
        <f t="shared" si="668"/>
        <v>0</v>
      </c>
      <c r="BE619" s="100">
        <v>0</v>
      </c>
      <c r="BF619" s="100">
        <f>619</f>
        <v>619</v>
      </c>
      <c r="BH619" s="108">
        <f t="shared" si="669"/>
        <v>0</v>
      </c>
      <c r="BI619" s="108">
        <f t="shared" si="670"/>
        <v>0</v>
      </c>
      <c r="BJ619" s="108">
        <f t="shared" si="671"/>
        <v>0</v>
      </c>
    </row>
    <row r="620" spans="1:62" x14ac:dyDescent="0.2">
      <c r="A620" s="117" t="s">
        <v>566</v>
      </c>
      <c r="B620" s="117" t="s">
        <v>1042</v>
      </c>
      <c r="C620" s="304" t="s">
        <v>1634</v>
      </c>
      <c r="D620" s="305"/>
      <c r="E620" s="305"/>
      <c r="F620" s="117" t="s">
        <v>1644</v>
      </c>
      <c r="G620" s="116">
        <v>1</v>
      </c>
      <c r="H620" s="159"/>
      <c r="I620" s="108">
        <f t="shared" si="648"/>
        <v>0</v>
      </c>
      <c r="J620" s="108">
        <f t="shared" si="649"/>
        <v>0</v>
      </c>
      <c r="K620" s="108">
        <f t="shared" si="650"/>
        <v>0</v>
      </c>
      <c r="L620" s="111" t="s">
        <v>1671</v>
      </c>
      <c r="Z620" s="100">
        <f t="shared" si="651"/>
        <v>0</v>
      </c>
      <c r="AB620" s="100">
        <f t="shared" si="652"/>
        <v>0</v>
      </c>
      <c r="AC620" s="100">
        <f t="shared" si="653"/>
        <v>0</v>
      </c>
      <c r="AD620" s="100">
        <f t="shared" si="654"/>
        <v>0</v>
      </c>
      <c r="AE620" s="100">
        <f t="shared" si="655"/>
        <v>0</v>
      </c>
      <c r="AF620" s="100">
        <f t="shared" si="656"/>
        <v>0</v>
      </c>
      <c r="AG620" s="100">
        <f t="shared" si="657"/>
        <v>0</v>
      </c>
      <c r="AH620" s="100">
        <f t="shared" si="658"/>
        <v>0</v>
      </c>
      <c r="AI620" s="109"/>
      <c r="AJ620" s="108">
        <f t="shared" si="659"/>
        <v>0</v>
      </c>
      <c r="AK620" s="108">
        <f t="shared" si="660"/>
        <v>0</v>
      </c>
      <c r="AL620" s="108">
        <f t="shared" si="661"/>
        <v>0</v>
      </c>
      <c r="AN620" s="100">
        <v>15</v>
      </c>
      <c r="AO620" s="100">
        <f t="shared" si="662"/>
        <v>0</v>
      </c>
      <c r="AP620" s="100">
        <f t="shared" si="663"/>
        <v>0</v>
      </c>
      <c r="AQ620" s="111" t="s">
        <v>7</v>
      </c>
      <c r="AV620" s="100">
        <f t="shared" si="664"/>
        <v>0</v>
      </c>
      <c r="AW620" s="100">
        <f t="shared" si="665"/>
        <v>0</v>
      </c>
      <c r="AX620" s="100">
        <f t="shared" si="666"/>
        <v>0</v>
      </c>
      <c r="AY620" s="110" t="s">
        <v>1723</v>
      </c>
      <c r="AZ620" s="110" t="s">
        <v>1730</v>
      </c>
      <c r="BA620" s="109" t="s">
        <v>1737</v>
      </c>
      <c r="BC620" s="100">
        <f t="shared" si="667"/>
        <v>0</v>
      </c>
      <c r="BD620" s="100">
        <f t="shared" si="668"/>
        <v>0</v>
      </c>
      <c r="BE620" s="100">
        <v>0</v>
      </c>
      <c r="BF620" s="100">
        <f>620</f>
        <v>620</v>
      </c>
      <c r="BH620" s="108">
        <f t="shared" si="669"/>
        <v>0</v>
      </c>
      <c r="BI620" s="108">
        <f t="shared" si="670"/>
        <v>0</v>
      </c>
      <c r="BJ620" s="108">
        <f t="shared" si="671"/>
        <v>0</v>
      </c>
    </row>
    <row r="621" spans="1:62" x14ac:dyDescent="0.2">
      <c r="A621" s="117" t="s">
        <v>567</v>
      </c>
      <c r="B621" s="117" t="s">
        <v>1043</v>
      </c>
      <c r="C621" s="304" t="s">
        <v>1635</v>
      </c>
      <c r="D621" s="305"/>
      <c r="E621" s="305"/>
      <c r="F621" s="117" t="s">
        <v>1644</v>
      </c>
      <c r="G621" s="116">
        <v>1</v>
      </c>
      <c r="H621" s="159"/>
      <c r="I621" s="108">
        <f t="shared" si="648"/>
        <v>0</v>
      </c>
      <c r="J621" s="108">
        <f t="shared" si="649"/>
        <v>0</v>
      </c>
      <c r="K621" s="108">
        <f t="shared" si="650"/>
        <v>0</v>
      </c>
      <c r="L621" s="111" t="s">
        <v>1671</v>
      </c>
      <c r="Z621" s="100">
        <f t="shared" si="651"/>
        <v>0</v>
      </c>
      <c r="AB621" s="100">
        <f t="shared" si="652"/>
        <v>0</v>
      </c>
      <c r="AC621" s="100">
        <f t="shared" si="653"/>
        <v>0</v>
      </c>
      <c r="AD621" s="100">
        <f t="shared" si="654"/>
        <v>0</v>
      </c>
      <c r="AE621" s="100">
        <f t="shared" si="655"/>
        <v>0</v>
      </c>
      <c r="AF621" s="100">
        <f t="shared" si="656"/>
        <v>0</v>
      </c>
      <c r="AG621" s="100">
        <f t="shared" si="657"/>
        <v>0</v>
      </c>
      <c r="AH621" s="100">
        <f t="shared" si="658"/>
        <v>0</v>
      </c>
      <c r="AI621" s="109"/>
      <c r="AJ621" s="108">
        <f t="shared" si="659"/>
        <v>0</v>
      </c>
      <c r="AK621" s="108">
        <f t="shared" si="660"/>
        <v>0</v>
      </c>
      <c r="AL621" s="108">
        <f t="shared" si="661"/>
        <v>0</v>
      </c>
      <c r="AN621" s="100">
        <v>15</v>
      </c>
      <c r="AO621" s="100">
        <f t="shared" si="662"/>
        <v>0</v>
      </c>
      <c r="AP621" s="100">
        <f t="shared" si="663"/>
        <v>0</v>
      </c>
      <c r="AQ621" s="111" t="s">
        <v>7</v>
      </c>
      <c r="AV621" s="100">
        <f t="shared" si="664"/>
        <v>0</v>
      </c>
      <c r="AW621" s="100">
        <f t="shared" si="665"/>
        <v>0</v>
      </c>
      <c r="AX621" s="100">
        <f t="shared" si="666"/>
        <v>0</v>
      </c>
      <c r="AY621" s="110" t="s">
        <v>1723</v>
      </c>
      <c r="AZ621" s="110" t="s">
        <v>1730</v>
      </c>
      <c r="BA621" s="109" t="s">
        <v>1737</v>
      </c>
      <c r="BC621" s="100">
        <f t="shared" si="667"/>
        <v>0</v>
      </c>
      <c r="BD621" s="100">
        <f t="shared" si="668"/>
        <v>0</v>
      </c>
      <c r="BE621" s="100">
        <v>0</v>
      </c>
      <c r="BF621" s="100">
        <f>621</f>
        <v>621</v>
      </c>
      <c r="BH621" s="108">
        <f t="shared" si="669"/>
        <v>0</v>
      </c>
      <c r="BI621" s="108">
        <f t="shared" si="670"/>
        <v>0</v>
      </c>
      <c r="BJ621" s="108">
        <f t="shared" si="671"/>
        <v>0</v>
      </c>
    </row>
    <row r="622" spans="1:62" x14ac:dyDescent="0.2">
      <c r="A622" s="117" t="s">
        <v>568</v>
      </c>
      <c r="B622" s="117" t="s">
        <v>1044</v>
      </c>
      <c r="C622" s="304" t="s">
        <v>1636</v>
      </c>
      <c r="D622" s="305"/>
      <c r="E622" s="305"/>
      <c r="F622" s="117" t="s">
        <v>1644</v>
      </c>
      <c r="G622" s="116">
        <v>1</v>
      </c>
      <c r="H622" s="159"/>
      <c r="I622" s="108">
        <f t="shared" si="648"/>
        <v>0</v>
      </c>
      <c r="J622" s="108">
        <f t="shared" si="649"/>
        <v>0</v>
      </c>
      <c r="K622" s="108">
        <f t="shared" si="650"/>
        <v>0</v>
      </c>
      <c r="L622" s="111" t="s">
        <v>1671</v>
      </c>
      <c r="Z622" s="100">
        <f t="shared" si="651"/>
        <v>0</v>
      </c>
      <c r="AB622" s="100">
        <f t="shared" si="652"/>
        <v>0</v>
      </c>
      <c r="AC622" s="100">
        <f t="shared" si="653"/>
        <v>0</v>
      </c>
      <c r="AD622" s="100">
        <f t="shared" si="654"/>
        <v>0</v>
      </c>
      <c r="AE622" s="100">
        <f t="shared" si="655"/>
        <v>0</v>
      </c>
      <c r="AF622" s="100">
        <f t="shared" si="656"/>
        <v>0</v>
      </c>
      <c r="AG622" s="100">
        <f t="shared" si="657"/>
        <v>0</v>
      </c>
      <c r="AH622" s="100">
        <f t="shared" si="658"/>
        <v>0</v>
      </c>
      <c r="AI622" s="109"/>
      <c r="AJ622" s="108">
        <f t="shared" si="659"/>
        <v>0</v>
      </c>
      <c r="AK622" s="108">
        <f t="shared" si="660"/>
        <v>0</v>
      </c>
      <c r="AL622" s="108">
        <f t="shared" si="661"/>
        <v>0</v>
      </c>
      <c r="AN622" s="100">
        <v>15</v>
      </c>
      <c r="AO622" s="100">
        <f t="shared" si="662"/>
        <v>0</v>
      </c>
      <c r="AP622" s="100">
        <f t="shared" si="663"/>
        <v>0</v>
      </c>
      <c r="AQ622" s="111" t="s">
        <v>7</v>
      </c>
      <c r="AV622" s="100">
        <f t="shared" si="664"/>
        <v>0</v>
      </c>
      <c r="AW622" s="100">
        <f t="shared" si="665"/>
        <v>0</v>
      </c>
      <c r="AX622" s="100">
        <f t="shared" si="666"/>
        <v>0</v>
      </c>
      <c r="AY622" s="110" t="s">
        <v>1723</v>
      </c>
      <c r="AZ622" s="110" t="s">
        <v>1730</v>
      </c>
      <c r="BA622" s="109" t="s">
        <v>1737</v>
      </c>
      <c r="BC622" s="100">
        <f t="shared" si="667"/>
        <v>0</v>
      </c>
      <c r="BD622" s="100">
        <f t="shared" si="668"/>
        <v>0</v>
      </c>
      <c r="BE622" s="100">
        <v>0</v>
      </c>
      <c r="BF622" s="100">
        <f>622</f>
        <v>622</v>
      </c>
      <c r="BH622" s="108">
        <f t="shared" si="669"/>
        <v>0</v>
      </c>
      <c r="BI622" s="108">
        <f t="shared" si="670"/>
        <v>0</v>
      </c>
      <c r="BJ622" s="108">
        <f t="shared" si="671"/>
        <v>0</v>
      </c>
    </row>
    <row r="623" spans="1:62" x14ac:dyDescent="0.2">
      <c r="A623" s="117" t="s">
        <v>2231</v>
      </c>
      <c r="B623" s="117" t="s">
        <v>1045</v>
      </c>
      <c r="C623" s="304" t="s">
        <v>1637</v>
      </c>
      <c r="D623" s="305"/>
      <c r="E623" s="305"/>
      <c r="F623" s="117" t="s">
        <v>1644</v>
      </c>
      <c r="G623" s="116">
        <v>1</v>
      </c>
      <c r="H623" s="159"/>
      <c r="I623" s="108">
        <f t="shared" si="648"/>
        <v>0</v>
      </c>
      <c r="J623" s="108">
        <f t="shared" si="649"/>
        <v>0</v>
      </c>
      <c r="K623" s="108">
        <f t="shared" si="650"/>
        <v>0</v>
      </c>
      <c r="L623" s="111" t="s">
        <v>1671</v>
      </c>
      <c r="Z623" s="100">
        <f t="shared" si="651"/>
        <v>0</v>
      </c>
      <c r="AB623" s="100">
        <f t="shared" si="652"/>
        <v>0</v>
      </c>
      <c r="AC623" s="100">
        <f t="shared" si="653"/>
        <v>0</v>
      </c>
      <c r="AD623" s="100">
        <f t="shared" si="654"/>
        <v>0</v>
      </c>
      <c r="AE623" s="100">
        <f t="shared" si="655"/>
        <v>0</v>
      </c>
      <c r="AF623" s="100">
        <f t="shared" si="656"/>
        <v>0</v>
      </c>
      <c r="AG623" s="100">
        <f t="shared" si="657"/>
        <v>0</v>
      </c>
      <c r="AH623" s="100">
        <f t="shared" si="658"/>
        <v>0</v>
      </c>
      <c r="AI623" s="109"/>
      <c r="AJ623" s="108">
        <f t="shared" si="659"/>
        <v>0</v>
      </c>
      <c r="AK623" s="108">
        <f t="shared" si="660"/>
        <v>0</v>
      </c>
      <c r="AL623" s="108">
        <f t="shared" si="661"/>
        <v>0</v>
      </c>
      <c r="AN623" s="100">
        <v>15</v>
      </c>
      <c r="AO623" s="100">
        <f t="shared" si="662"/>
        <v>0</v>
      </c>
      <c r="AP623" s="100">
        <f t="shared" si="663"/>
        <v>0</v>
      </c>
      <c r="AQ623" s="111" t="s">
        <v>7</v>
      </c>
      <c r="AV623" s="100">
        <f t="shared" si="664"/>
        <v>0</v>
      </c>
      <c r="AW623" s="100">
        <f t="shared" si="665"/>
        <v>0</v>
      </c>
      <c r="AX623" s="100">
        <f t="shared" si="666"/>
        <v>0</v>
      </c>
      <c r="AY623" s="110" t="s">
        <v>1723</v>
      </c>
      <c r="AZ623" s="110" t="s">
        <v>1730</v>
      </c>
      <c r="BA623" s="109" t="s">
        <v>1737</v>
      </c>
      <c r="BC623" s="100">
        <f t="shared" si="667"/>
        <v>0</v>
      </c>
      <c r="BD623" s="100">
        <f t="shared" si="668"/>
        <v>0</v>
      </c>
      <c r="BE623" s="100">
        <v>0</v>
      </c>
      <c r="BF623" s="100">
        <f>623</f>
        <v>623</v>
      </c>
      <c r="BH623" s="108">
        <f t="shared" si="669"/>
        <v>0</v>
      </c>
      <c r="BI623" s="108">
        <f t="shared" si="670"/>
        <v>0</v>
      </c>
      <c r="BJ623" s="108">
        <f t="shared" si="671"/>
        <v>0</v>
      </c>
    </row>
    <row r="624" spans="1:62" x14ac:dyDescent="0.2">
      <c r="A624" s="115" t="s">
        <v>2228</v>
      </c>
      <c r="B624" s="115" t="s">
        <v>1046</v>
      </c>
      <c r="C624" s="308" t="s">
        <v>1638</v>
      </c>
      <c r="D624" s="309"/>
      <c r="E624" s="309"/>
      <c r="F624" s="115" t="s">
        <v>1644</v>
      </c>
      <c r="G624" s="114">
        <v>1</v>
      </c>
      <c r="H624" s="161"/>
      <c r="I624" s="113">
        <f t="shared" si="648"/>
        <v>0</v>
      </c>
      <c r="J624" s="113">
        <f t="shared" si="649"/>
        <v>0</v>
      </c>
      <c r="K624" s="113">
        <f t="shared" si="650"/>
        <v>0</v>
      </c>
      <c r="L624" s="112" t="s">
        <v>1671</v>
      </c>
      <c r="Z624" s="100">
        <f t="shared" si="651"/>
        <v>0</v>
      </c>
      <c r="AB624" s="100">
        <f t="shared" si="652"/>
        <v>0</v>
      </c>
      <c r="AC624" s="100">
        <f t="shared" si="653"/>
        <v>0</v>
      </c>
      <c r="AD624" s="100">
        <f t="shared" si="654"/>
        <v>0</v>
      </c>
      <c r="AE624" s="100">
        <f t="shared" si="655"/>
        <v>0</v>
      </c>
      <c r="AF624" s="100">
        <f t="shared" si="656"/>
        <v>0</v>
      </c>
      <c r="AG624" s="100">
        <f t="shared" si="657"/>
        <v>0</v>
      </c>
      <c r="AH624" s="100">
        <f t="shared" si="658"/>
        <v>0</v>
      </c>
      <c r="AI624" s="109"/>
      <c r="AJ624" s="108">
        <f t="shared" si="659"/>
        <v>0</v>
      </c>
      <c r="AK624" s="108">
        <f t="shared" si="660"/>
        <v>0</v>
      </c>
      <c r="AL624" s="108">
        <f t="shared" si="661"/>
        <v>0</v>
      </c>
      <c r="AN624" s="100">
        <v>15</v>
      </c>
      <c r="AO624" s="100">
        <f t="shared" si="662"/>
        <v>0</v>
      </c>
      <c r="AP624" s="100">
        <f t="shared" si="663"/>
        <v>0</v>
      </c>
      <c r="AQ624" s="111" t="s">
        <v>7</v>
      </c>
      <c r="AV624" s="100">
        <f t="shared" si="664"/>
        <v>0</v>
      </c>
      <c r="AW624" s="100">
        <f t="shared" si="665"/>
        <v>0</v>
      </c>
      <c r="AX624" s="100">
        <f t="shared" si="666"/>
        <v>0</v>
      </c>
      <c r="AY624" s="110" t="s">
        <v>1723</v>
      </c>
      <c r="AZ624" s="110" t="s">
        <v>1730</v>
      </c>
      <c r="BA624" s="109" t="s">
        <v>1737</v>
      </c>
      <c r="BC624" s="100">
        <f t="shared" si="667"/>
        <v>0</v>
      </c>
      <c r="BD624" s="100">
        <f t="shared" si="668"/>
        <v>0</v>
      </c>
      <c r="BE624" s="100">
        <v>0</v>
      </c>
      <c r="BF624" s="100">
        <f>624</f>
        <v>624</v>
      </c>
      <c r="BH624" s="108">
        <f t="shared" si="669"/>
        <v>0</v>
      </c>
      <c r="BI624" s="108">
        <f t="shared" si="670"/>
        <v>0</v>
      </c>
      <c r="BJ624" s="108">
        <f t="shared" si="671"/>
        <v>0</v>
      </c>
    </row>
    <row r="625" spans="1:12" x14ac:dyDescent="0.2">
      <c r="A625" s="84"/>
      <c r="B625" s="84"/>
      <c r="C625" s="84"/>
      <c r="D625" s="84"/>
      <c r="E625" s="84"/>
      <c r="F625" s="84"/>
      <c r="G625" s="84"/>
      <c r="H625" s="155">
        <f>SUM(H13:H624)</f>
        <v>0</v>
      </c>
      <c r="I625" s="310" t="s">
        <v>1666</v>
      </c>
      <c r="J625" s="291"/>
      <c r="K625" s="107">
        <f>K12+K19+K21+K26+K30+K35+K37+K40+K43+K48+K52+K54+K57+K62+K96+K98+K101+K104+K108+K116+K126+K143+K166+K182+K184+K192+K201+K225+K241+K317+K341+K365+K394+K431+K447+K473+K479+K493+K501+K507+K538+K541+K617</f>
        <v>0</v>
      </c>
      <c r="L625" s="84"/>
    </row>
    <row r="626" spans="1:12" ht="11.25" customHeight="1" x14ac:dyDescent="0.2">
      <c r="A626" s="106" t="s">
        <v>569</v>
      </c>
    </row>
    <row r="627" spans="1:12" x14ac:dyDescent="0.2">
      <c r="A627" s="255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</row>
  </sheetData>
  <sheetProtection algorithmName="SHA-512" hashValue="Xqbw7M4FT+oEQ7+K6z4zVcYKIASvWpXLN7qR10LdjCkHOP0yaQndV2lcVlCZLl1GETTyJFfY7J8HZef9bfFRhA==" saltValue="TXVvM7GHr3gNcekkLuFGKQ==" spinCount="100000" sheet="1" objects="1" scenarios="1"/>
  <autoFilter ref="A10:L626" xr:uid="{70912A68-77E2-421B-838F-109B50198D13}">
    <filterColumn colId="2" showButton="0"/>
    <filterColumn colId="3" showButton="0"/>
    <filterColumn colId="8" showButton="0"/>
    <filterColumn colId="9" showButton="0"/>
  </autoFilter>
  <mergeCells count="643">
    <mergeCell ref="C70:E70"/>
    <mergeCell ref="C72:E72"/>
    <mergeCell ref="C74:E74"/>
    <mergeCell ref="C76:E76"/>
    <mergeCell ref="C84:E84"/>
    <mergeCell ref="C86:E86"/>
    <mergeCell ref="C570:E570"/>
    <mergeCell ref="C571:E571"/>
    <mergeCell ref="C572:E572"/>
    <mergeCell ref="C546:E546"/>
    <mergeCell ref="C547:E547"/>
    <mergeCell ref="C548:E548"/>
    <mergeCell ref="C549:E549"/>
    <mergeCell ref="C550:E550"/>
    <mergeCell ref="C551:E551"/>
    <mergeCell ref="C552:E552"/>
    <mergeCell ref="C553:E553"/>
    <mergeCell ref="C554:E554"/>
    <mergeCell ref="C531:E531"/>
    <mergeCell ref="C532:E532"/>
    <mergeCell ref="C533:E533"/>
    <mergeCell ref="C534:E534"/>
    <mergeCell ref="C535:E535"/>
    <mergeCell ref="C536:E536"/>
    <mergeCell ref="C624:E624"/>
    <mergeCell ref="I625:J625"/>
    <mergeCell ref="A627:L627"/>
    <mergeCell ref="C603:E603"/>
    <mergeCell ref="C604:E604"/>
    <mergeCell ref="C605:E605"/>
    <mergeCell ref="C606:E606"/>
    <mergeCell ref="C607:E607"/>
    <mergeCell ref="C608:E608"/>
    <mergeCell ref="C609:E609"/>
    <mergeCell ref="C610:E610"/>
    <mergeCell ref="C611:E611"/>
    <mergeCell ref="C612:E612"/>
    <mergeCell ref="C613:E613"/>
    <mergeCell ref="C614:E614"/>
    <mergeCell ref="C615:E615"/>
    <mergeCell ref="C616:E616"/>
    <mergeCell ref="C617:E617"/>
    <mergeCell ref="C618:E618"/>
    <mergeCell ref="C619:E619"/>
    <mergeCell ref="C620:E620"/>
    <mergeCell ref="C621:E621"/>
    <mergeCell ref="C622:E622"/>
    <mergeCell ref="C623:E623"/>
    <mergeCell ref="C600:E600"/>
    <mergeCell ref="C601:E601"/>
    <mergeCell ref="C602:E602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88:E588"/>
    <mergeCell ref="C589:E589"/>
    <mergeCell ref="C590:E590"/>
    <mergeCell ref="C591:E591"/>
    <mergeCell ref="C592:E592"/>
    <mergeCell ref="C593:E593"/>
    <mergeCell ref="C594:E594"/>
    <mergeCell ref="C595:E595"/>
    <mergeCell ref="C596:E596"/>
    <mergeCell ref="C597:E597"/>
    <mergeCell ref="C598:E598"/>
    <mergeCell ref="C599:E599"/>
    <mergeCell ref="C576:E576"/>
    <mergeCell ref="C577:E577"/>
    <mergeCell ref="C578:E578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64:E564"/>
    <mergeCell ref="C565:E565"/>
    <mergeCell ref="C566:E566"/>
    <mergeCell ref="C567:E567"/>
    <mergeCell ref="C568:E568"/>
    <mergeCell ref="C569:E569"/>
    <mergeCell ref="C573:E573"/>
    <mergeCell ref="C574:E574"/>
    <mergeCell ref="C575:E575"/>
    <mergeCell ref="C537:E537"/>
    <mergeCell ref="C538:E538"/>
    <mergeCell ref="C539:E539"/>
    <mergeCell ref="C540:E540"/>
    <mergeCell ref="C541:E541"/>
    <mergeCell ref="C542:E542"/>
    <mergeCell ref="C543:E543"/>
    <mergeCell ref="C544:E544"/>
    <mergeCell ref="C545:E545"/>
    <mergeCell ref="C528:E528"/>
    <mergeCell ref="C529:E529"/>
    <mergeCell ref="C530:E530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516:E516"/>
    <mergeCell ref="C517:E517"/>
    <mergeCell ref="C518:E518"/>
    <mergeCell ref="C519:E519"/>
    <mergeCell ref="C520:E520"/>
    <mergeCell ref="C521:E521"/>
    <mergeCell ref="C522:E522"/>
    <mergeCell ref="C523:E523"/>
    <mergeCell ref="C524:E524"/>
    <mergeCell ref="C525:E525"/>
    <mergeCell ref="C526:E526"/>
    <mergeCell ref="C527:E527"/>
    <mergeCell ref="C504:E504"/>
    <mergeCell ref="C505:E505"/>
    <mergeCell ref="C506:E506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C503:E503"/>
    <mergeCell ref="C480:E480"/>
    <mergeCell ref="C481:E481"/>
    <mergeCell ref="C482:E482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C479:E479"/>
    <mergeCell ref="C456:E456"/>
    <mergeCell ref="C457:E457"/>
    <mergeCell ref="C458:E458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32:E432"/>
    <mergeCell ref="C433:E433"/>
    <mergeCell ref="C434:E434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420:E420"/>
    <mergeCell ref="C421:E421"/>
    <mergeCell ref="C422:E422"/>
    <mergeCell ref="C423:E423"/>
    <mergeCell ref="C424:E424"/>
    <mergeCell ref="C425:E425"/>
    <mergeCell ref="C426:E426"/>
    <mergeCell ref="C427:E427"/>
    <mergeCell ref="C428:E428"/>
    <mergeCell ref="C429:E429"/>
    <mergeCell ref="C430:E430"/>
    <mergeCell ref="C431:E431"/>
    <mergeCell ref="C408:E408"/>
    <mergeCell ref="C409:E409"/>
    <mergeCell ref="C410:E410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98:E398"/>
    <mergeCell ref="C399:E399"/>
    <mergeCell ref="C400:E400"/>
    <mergeCell ref="C401:E401"/>
    <mergeCell ref="C402:E402"/>
    <mergeCell ref="C403:E403"/>
    <mergeCell ref="C404:E404"/>
    <mergeCell ref="C405:E405"/>
    <mergeCell ref="C406:E406"/>
    <mergeCell ref="C407:E407"/>
    <mergeCell ref="C384:E384"/>
    <mergeCell ref="C385:E385"/>
    <mergeCell ref="C386:E386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60:E360"/>
    <mergeCell ref="C361:E361"/>
    <mergeCell ref="C362:E362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C355:E355"/>
    <mergeCell ref="C356:E356"/>
    <mergeCell ref="C357:E357"/>
    <mergeCell ref="C358:E358"/>
    <mergeCell ref="C359:E359"/>
    <mergeCell ref="C336:E336"/>
    <mergeCell ref="C337:E337"/>
    <mergeCell ref="C338:E338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12:E312"/>
    <mergeCell ref="C313:E313"/>
    <mergeCell ref="C314:E314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288:E288"/>
    <mergeCell ref="C289:E289"/>
    <mergeCell ref="C290:E290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82:E282"/>
    <mergeCell ref="C283:E283"/>
    <mergeCell ref="C284:E284"/>
    <mergeCell ref="C285:E285"/>
    <mergeCell ref="C286:E286"/>
    <mergeCell ref="C287:E287"/>
    <mergeCell ref="C264:E264"/>
    <mergeCell ref="C265:E265"/>
    <mergeCell ref="C266:E266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40:E240"/>
    <mergeCell ref="C241:E241"/>
    <mergeCell ref="C242:E242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16:E216"/>
    <mergeCell ref="C217:E217"/>
    <mergeCell ref="C218:E218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192:E192"/>
    <mergeCell ref="C193:E193"/>
    <mergeCell ref="C194:E194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68:E168"/>
    <mergeCell ref="C169:E169"/>
    <mergeCell ref="C170:E170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44:E144"/>
    <mergeCell ref="C145:E145"/>
    <mergeCell ref="C146:E146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41:E141"/>
    <mergeCell ref="C142:E142"/>
    <mergeCell ref="C143:E143"/>
    <mergeCell ref="C120:E120"/>
    <mergeCell ref="C121:E121"/>
    <mergeCell ref="C122:E122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68:E68"/>
    <mergeCell ref="C69:E69"/>
    <mergeCell ref="C71:E71"/>
    <mergeCell ref="C96:E96"/>
    <mergeCell ref="C97:E97"/>
    <mergeCell ref="C98:E98"/>
    <mergeCell ref="C75:E75"/>
    <mergeCell ref="C77:E77"/>
    <mergeCell ref="C78:E78"/>
    <mergeCell ref="C79:E79"/>
    <mergeCell ref="C80:E80"/>
    <mergeCell ref="C81:E81"/>
    <mergeCell ref="C82:E82"/>
    <mergeCell ref="C83:E83"/>
    <mergeCell ref="C85:E85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42:E42"/>
    <mergeCell ref="C43:E43"/>
    <mergeCell ref="C44:E44"/>
    <mergeCell ref="C45:E45"/>
    <mergeCell ref="C46:E46"/>
    <mergeCell ref="C47:E47"/>
    <mergeCell ref="C73:E73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18:E18"/>
    <mergeCell ref="C19:E19"/>
    <mergeCell ref="C20:E20"/>
    <mergeCell ref="C21:E21"/>
    <mergeCell ref="C22:E22"/>
    <mergeCell ref="C23:E23"/>
    <mergeCell ref="C48:E48"/>
    <mergeCell ref="C49:E49"/>
    <mergeCell ref="C50:E50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A6:B7"/>
    <mergeCell ref="C6:C7"/>
    <mergeCell ref="D6:E7"/>
    <mergeCell ref="F6:G7"/>
    <mergeCell ref="H6:H7"/>
    <mergeCell ref="I6:L7"/>
    <mergeCell ref="C24:E24"/>
    <mergeCell ref="C25:E25"/>
    <mergeCell ref="C26:E26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C12:E12"/>
    <mergeCell ref="C13:E13"/>
    <mergeCell ref="C14:E14"/>
    <mergeCell ref="C15:E15"/>
    <mergeCell ref="C16:E16"/>
    <mergeCell ref="C17:E17"/>
    <mergeCell ref="A1:L1"/>
    <mergeCell ref="A2:B3"/>
    <mergeCell ref="C2:C3"/>
    <mergeCell ref="D2:E3"/>
    <mergeCell ref="F2:G3"/>
    <mergeCell ref="H2:H3"/>
    <mergeCell ref="I2:L3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9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360A-6DF3-4DE2-A66E-0B062B1FF16A}">
  <sheetPr>
    <pageSetUpPr fitToPage="1"/>
  </sheetPr>
  <dimension ref="A1:I878"/>
  <sheetViews>
    <sheetView workbookViewId="0">
      <pane ySplit="10" topLeftCell="A11" activePane="bottomLeft" state="frozenSplit"/>
      <selection pane="bottomLeft" activeCell="A2" sqref="A2:B3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6.85546875" style="75" customWidth="1"/>
    <col min="7" max="7" width="13.4257812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rozpočet-SO03'!C2</f>
        <v>Snížení energetické.náročnosti objektů Domova Kladno-Švermov</v>
      </c>
      <c r="D2" s="291"/>
      <c r="E2" s="293" t="s">
        <v>1657</v>
      </c>
      <c r="F2" s="293" t="str">
        <f>'Stavební rozpočet-SO03'!I2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rozpočet-SO03'!C4</f>
        <v>SO 03 - OBJEKT 3 - č.p.1472</v>
      </c>
      <c r="D4" s="256"/>
      <c r="E4" s="255" t="s">
        <v>1658</v>
      </c>
      <c r="F4" s="255" t="str">
        <f>'Stavební rozpočet-SO03'!I4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rozpočet-SO03'!C6</f>
        <v xml:space="preserve"> </v>
      </c>
      <c r="D6" s="256"/>
      <c r="E6" s="255" t="s">
        <v>1659</v>
      </c>
      <c r="F6" s="255" t="str">
        <f>'Stavební rozpočet-SO03'!I6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rozpočet-SO03'!I8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572</v>
      </c>
      <c r="D14" s="304" t="s">
        <v>1053</v>
      </c>
      <c r="E14" s="305"/>
      <c r="F14" s="117" t="s">
        <v>1644</v>
      </c>
      <c r="G14" s="116">
        <v>1</v>
      </c>
      <c r="H14" s="108">
        <v>0</v>
      </c>
    </row>
    <row r="15" spans="1:9" ht="12.2" customHeight="1" x14ac:dyDescent="0.2">
      <c r="D15" s="334" t="s">
        <v>1749</v>
      </c>
      <c r="E15" s="335"/>
      <c r="F15" s="335"/>
      <c r="G15" s="143">
        <v>1</v>
      </c>
    </row>
    <row r="16" spans="1:9" x14ac:dyDescent="0.2">
      <c r="A16" s="117" t="s">
        <v>9</v>
      </c>
      <c r="B16" s="117"/>
      <c r="C16" s="117" t="s">
        <v>573</v>
      </c>
      <c r="D16" s="304" t="s">
        <v>1054</v>
      </c>
      <c r="E16" s="305"/>
      <c r="F16" s="117" t="s">
        <v>1645</v>
      </c>
      <c r="G16" s="116">
        <v>36.5</v>
      </c>
      <c r="H16" s="108">
        <v>0</v>
      </c>
    </row>
    <row r="17" spans="1:8" ht="12.2" customHeight="1" x14ac:dyDescent="0.2">
      <c r="D17" s="334" t="s">
        <v>2571</v>
      </c>
      <c r="E17" s="335"/>
      <c r="F17" s="335"/>
      <c r="G17" s="143">
        <v>36.5</v>
      </c>
    </row>
    <row r="18" spans="1:8" x14ac:dyDescent="0.2">
      <c r="A18" s="117" t="s">
        <v>10</v>
      </c>
      <c r="B18" s="117"/>
      <c r="C18" s="117" t="s">
        <v>573</v>
      </c>
      <c r="D18" s="304" t="s">
        <v>1055</v>
      </c>
      <c r="E18" s="305"/>
      <c r="F18" s="117" t="s">
        <v>1645</v>
      </c>
      <c r="G18" s="116">
        <v>11.425000000000001</v>
      </c>
      <c r="H18" s="108">
        <v>0</v>
      </c>
    </row>
    <row r="19" spans="1:8" ht="12.2" customHeight="1" x14ac:dyDescent="0.2">
      <c r="D19" s="334" t="s">
        <v>2570</v>
      </c>
      <c r="E19" s="335"/>
      <c r="F19" s="335"/>
      <c r="G19" s="143">
        <v>11.425000000000001</v>
      </c>
    </row>
    <row r="20" spans="1:8" x14ac:dyDescent="0.2">
      <c r="A20" s="117" t="s">
        <v>11</v>
      </c>
      <c r="B20" s="117"/>
      <c r="C20" s="117" t="s">
        <v>574</v>
      </c>
      <c r="D20" s="304" t="s">
        <v>1056</v>
      </c>
      <c r="E20" s="305"/>
      <c r="F20" s="117" t="s">
        <v>1645</v>
      </c>
      <c r="G20" s="116">
        <v>5.58</v>
      </c>
      <c r="H20" s="108">
        <v>0</v>
      </c>
    </row>
    <row r="21" spans="1:8" ht="12.2" customHeight="1" x14ac:dyDescent="0.2">
      <c r="D21" s="334" t="s">
        <v>1752</v>
      </c>
      <c r="E21" s="335"/>
      <c r="F21" s="335"/>
      <c r="G21" s="143">
        <v>5.58</v>
      </c>
    </row>
    <row r="22" spans="1:8" x14ac:dyDescent="0.2">
      <c r="A22" s="117" t="s">
        <v>12</v>
      </c>
      <c r="B22" s="117"/>
      <c r="C22" s="117" t="s">
        <v>575</v>
      </c>
      <c r="D22" s="304" t="s">
        <v>1057</v>
      </c>
      <c r="E22" s="305"/>
      <c r="F22" s="117" t="s">
        <v>1646</v>
      </c>
      <c r="G22" s="116">
        <v>3.6</v>
      </c>
      <c r="H22" s="108">
        <v>0</v>
      </c>
    </row>
    <row r="23" spans="1:8" ht="12.2" customHeight="1" x14ac:dyDescent="0.2">
      <c r="D23" s="334" t="s">
        <v>1753</v>
      </c>
      <c r="E23" s="335"/>
      <c r="F23" s="335"/>
      <c r="G23" s="143">
        <v>3.6</v>
      </c>
    </row>
    <row r="24" spans="1:8" x14ac:dyDescent="0.2">
      <c r="A24" s="120"/>
      <c r="B24" s="120"/>
      <c r="C24" s="120" t="s">
        <v>18</v>
      </c>
      <c r="D24" s="306" t="s">
        <v>1059</v>
      </c>
      <c r="E24" s="307"/>
      <c r="F24" s="120"/>
      <c r="G24" s="142"/>
      <c r="H24" s="109"/>
    </row>
    <row r="25" spans="1:8" x14ac:dyDescent="0.2">
      <c r="A25" s="117" t="s">
        <v>13</v>
      </c>
      <c r="B25" s="117"/>
      <c r="C25" s="117" t="s">
        <v>577</v>
      </c>
      <c r="D25" s="304" t="s">
        <v>1060</v>
      </c>
      <c r="E25" s="305"/>
      <c r="F25" s="117" t="s">
        <v>1647</v>
      </c>
      <c r="G25" s="116">
        <v>8.4440000000000008</v>
      </c>
      <c r="H25" s="108">
        <v>0</v>
      </c>
    </row>
    <row r="26" spans="1:8" ht="12.2" customHeight="1" x14ac:dyDescent="0.2">
      <c r="D26" s="334" t="s">
        <v>2569</v>
      </c>
      <c r="E26" s="335"/>
      <c r="F26" s="335"/>
      <c r="G26" s="143">
        <v>8.4440000000000008</v>
      </c>
    </row>
    <row r="27" spans="1:8" x14ac:dyDescent="0.2">
      <c r="A27" s="120"/>
      <c r="B27" s="120"/>
      <c r="C27" s="120" t="s">
        <v>19</v>
      </c>
      <c r="D27" s="306" t="s">
        <v>1061</v>
      </c>
      <c r="E27" s="307"/>
      <c r="F27" s="120"/>
      <c r="G27" s="142"/>
      <c r="H27" s="109"/>
    </row>
    <row r="28" spans="1:8" x14ac:dyDescent="0.2">
      <c r="A28" s="117" t="s">
        <v>14</v>
      </c>
      <c r="B28" s="117"/>
      <c r="C28" s="117" t="s">
        <v>578</v>
      </c>
      <c r="D28" s="304" t="s">
        <v>1062</v>
      </c>
      <c r="E28" s="305"/>
      <c r="F28" s="117" t="s">
        <v>1647</v>
      </c>
      <c r="G28" s="116">
        <v>112.33</v>
      </c>
      <c r="H28" s="108">
        <v>0</v>
      </c>
    </row>
    <row r="29" spans="1:8" ht="12.2" customHeight="1" x14ac:dyDescent="0.2">
      <c r="D29" s="334" t="s">
        <v>2568</v>
      </c>
      <c r="E29" s="335"/>
      <c r="F29" s="335"/>
      <c r="G29" s="143">
        <v>112.33</v>
      </c>
    </row>
    <row r="30" spans="1:8" x14ac:dyDescent="0.2">
      <c r="A30" s="117" t="s">
        <v>15</v>
      </c>
      <c r="B30" s="117"/>
      <c r="C30" s="117" t="s">
        <v>579</v>
      </c>
      <c r="D30" s="304" t="s">
        <v>1063</v>
      </c>
      <c r="E30" s="305"/>
      <c r="F30" s="117" t="s">
        <v>1647</v>
      </c>
      <c r="G30" s="116">
        <v>112.33</v>
      </c>
      <c r="H30" s="108">
        <v>0</v>
      </c>
    </row>
    <row r="31" spans="1:8" ht="12.2" customHeight="1" x14ac:dyDescent="0.2">
      <c r="D31" s="334" t="s">
        <v>2567</v>
      </c>
      <c r="E31" s="335"/>
      <c r="F31" s="335"/>
      <c r="G31" s="143">
        <v>112.33</v>
      </c>
    </row>
    <row r="32" spans="1:8" x14ac:dyDescent="0.2">
      <c r="A32" s="117" t="s">
        <v>16</v>
      </c>
      <c r="B32" s="117"/>
      <c r="C32" s="117" t="s">
        <v>580</v>
      </c>
      <c r="D32" s="304" t="s">
        <v>1064</v>
      </c>
      <c r="E32" s="305"/>
      <c r="F32" s="117" t="s">
        <v>1647</v>
      </c>
      <c r="G32" s="116">
        <v>2.2050000000000001</v>
      </c>
      <c r="H32" s="108">
        <v>0</v>
      </c>
    </row>
    <row r="33" spans="1:8" ht="12.2" customHeight="1" x14ac:dyDescent="0.2">
      <c r="D33" s="334" t="s">
        <v>1758</v>
      </c>
      <c r="E33" s="335"/>
      <c r="F33" s="335"/>
      <c r="G33" s="143">
        <v>2.2050000000000001</v>
      </c>
    </row>
    <row r="34" spans="1:8" x14ac:dyDescent="0.2">
      <c r="A34" s="117" t="s">
        <v>17</v>
      </c>
      <c r="B34" s="117"/>
      <c r="C34" s="117" t="s">
        <v>580</v>
      </c>
      <c r="D34" s="304" t="s">
        <v>2162</v>
      </c>
      <c r="E34" s="305"/>
      <c r="F34" s="117" t="s">
        <v>1647</v>
      </c>
      <c r="G34" s="116">
        <v>1.48</v>
      </c>
      <c r="H34" s="108">
        <v>0</v>
      </c>
    </row>
    <row r="35" spans="1:8" ht="12.2" customHeight="1" x14ac:dyDescent="0.2">
      <c r="D35" s="334" t="s">
        <v>2566</v>
      </c>
      <c r="E35" s="335"/>
      <c r="F35" s="335"/>
      <c r="G35" s="143">
        <v>1.48</v>
      </c>
    </row>
    <row r="36" spans="1:8" x14ac:dyDescent="0.2">
      <c r="A36" s="120"/>
      <c r="B36" s="120"/>
      <c r="C36" s="120" t="s">
        <v>22</v>
      </c>
      <c r="D36" s="306" t="s">
        <v>1066</v>
      </c>
      <c r="E36" s="307"/>
      <c r="F36" s="120"/>
      <c r="G36" s="142"/>
      <c r="H36" s="109"/>
    </row>
    <row r="37" spans="1:8" x14ac:dyDescent="0.2">
      <c r="A37" s="117" t="s">
        <v>18</v>
      </c>
      <c r="B37" s="117"/>
      <c r="C37" s="117" t="s">
        <v>581</v>
      </c>
      <c r="D37" s="304" t="s">
        <v>1067</v>
      </c>
      <c r="E37" s="305"/>
      <c r="F37" s="117" t="s">
        <v>1647</v>
      </c>
      <c r="G37" s="116">
        <v>46.838000000000001</v>
      </c>
      <c r="H37" s="108">
        <v>0</v>
      </c>
    </row>
    <row r="38" spans="1:8" ht="12.2" customHeight="1" x14ac:dyDescent="0.2">
      <c r="D38" s="334" t="s">
        <v>2565</v>
      </c>
      <c r="E38" s="335"/>
      <c r="F38" s="335"/>
      <c r="G38" s="143">
        <v>46.838000000000001</v>
      </c>
    </row>
    <row r="39" spans="1:8" x14ac:dyDescent="0.2">
      <c r="A39" s="117" t="s">
        <v>19</v>
      </c>
      <c r="B39" s="117"/>
      <c r="C39" s="117" t="s">
        <v>582</v>
      </c>
      <c r="D39" s="304" t="s">
        <v>1068</v>
      </c>
      <c r="E39" s="305"/>
      <c r="F39" s="117" t="s">
        <v>1648</v>
      </c>
      <c r="G39" s="116">
        <v>81.966999999999999</v>
      </c>
      <c r="H39" s="108">
        <v>0</v>
      </c>
    </row>
    <row r="40" spans="1:8" ht="12.2" customHeight="1" x14ac:dyDescent="0.2">
      <c r="D40" s="334" t="s">
        <v>2564</v>
      </c>
      <c r="E40" s="335"/>
      <c r="F40" s="335"/>
      <c r="G40" s="143">
        <v>81.966999999999999</v>
      </c>
    </row>
    <row r="41" spans="1:8" x14ac:dyDescent="0.2">
      <c r="A41" s="117" t="s">
        <v>20</v>
      </c>
      <c r="B41" s="117"/>
      <c r="C41" s="117" t="s">
        <v>583</v>
      </c>
      <c r="D41" s="304" t="s">
        <v>1069</v>
      </c>
      <c r="E41" s="305"/>
      <c r="F41" s="117" t="s">
        <v>1647</v>
      </c>
      <c r="G41" s="116">
        <v>46.838000000000001</v>
      </c>
      <c r="H41" s="108">
        <v>0</v>
      </c>
    </row>
    <row r="42" spans="1:8" ht="12.2" customHeight="1" x14ac:dyDescent="0.2">
      <c r="D42" s="334" t="s">
        <v>2563</v>
      </c>
      <c r="E42" s="335"/>
      <c r="F42" s="335"/>
      <c r="G42" s="143">
        <v>46.838000000000001</v>
      </c>
    </row>
    <row r="43" spans="1:8" x14ac:dyDescent="0.2">
      <c r="A43" s="120"/>
      <c r="B43" s="120"/>
      <c r="C43" s="120" t="s">
        <v>23</v>
      </c>
      <c r="D43" s="306" t="s">
        <v>1070</v>
      </c>
      <c r="E43" s="307"/>
      <c r="F43" s="120"/>
      <c r="G43" s="142"/>
      <c r="H43" s="109"/>
    </row>
    <row r="44" spans="1:8" x14ac:dyDescent="0.2">
      <c r="A44" s="117" t="s">
        <v>21</v>
      </c>
      <c r="B44" s="117"/>
      <c r="C44" s="117" t="s">
        <v>584</v>
      </c>
      <c r="D44" s="304" t="s">
        <v>1071</v>
      </c>
      <c r="E44" s="305"/>
      <c r="F44" s="117" t="s">
        <v>1647</v>
      </c>
      <c r="G44" s="116">
        <v>46.838000000000001</v>
      </c>
      <c r="H44" s="108">
        <v>0</v>
      </c>
    </row>
    <row r="45" spans="1:8" ht="12.2" customHeight="1" x14ac:dyDescent="0.2">
      <c r="D45" s="334" t="s">
        <v>2563</v>
      </c>
      <c r="E45" s="335"/>
      <c r="F45" s="335"/>
      <c r="G45" s="143">
        <v>46.838000000000001</v>
      </c>
    </row>
    <row r="46" spans="1:8" x14ac:dyDescent="0.2">
      <c r="A46" s="117" t="s">
        <v>22</v>
      </c>
      <c r="B46" s="117"/>
      <c r="C46" s="117" t="s">
        <v>585</v>
      </c>
      <c r="D46" s="304" t="s">
        <v>1072</v>
      </c>
      <c r="E46" s="305"/>
      <c r="F46" s="117" t="s">
        <v>1647</v>
      </c>
      <c r="G46" s="116">
        <v>65.984999999999999</v>
      </c>
      <c r="H46" s="108">
        <v>0</v>
      </c>
    </row>
    <row r="47" spans="1:8" ht="12.2" customHeight="1" x14ac:dyDescent="0.2">
      <c r="D47" s="334" t="s">
        <v>2562</v>
      </c>
      <c r="E47" s="335"/>
      <c r="F47" s="335"/>
      <c r="G47" s="143">
        <v>65.984999999999999</v>
      </c>
    </row>
    <row r="48" spans="1:8" x14ac:dyDescent="0.2">
      <c r="A48" s="117" t="s">
        <v>23</v>
      </c>
      <c r="B48" s="117"/>
      <c r="C48" s="117" t="s">
        <v>585</v>
      </c>
      <c r="D48" s="304" t="s">
        <v>1074</v>
      </c>
      <c r="E48" s="305"/>
      <c r="F48" s="117" t="s">
        <v>1647</v>
      </c>
      <c r="G48" s="116">
        <v>1.86</v>
      </c>
      <c r="H48" s="108">
        <v>0</v>
      </c>
    </row>
    <row r="49" spans="1:8" ht="12.2" customHeight="1" x14ac:dyDescent="0.2">
      <c r="D49" s="334" t="s">
        <v>1765</v>
      </c>
      <c r="E49" s="335"/>
      <c r="F49" s="335"/>
      <c r="G49" s="143">
        <v>1.86</v>
      </c>
    </row>
    <row r="50" spans="1:8" x14ac:dyDescent="0.2">
      <c r="A50" s="117" t="s">
        <v>24</v>
      </c>
      <c r="B50" s="117"/>
      <c r="C50" s="117" t="s">
        <v>586</v>
      </c>
      <c r="D50" s="304" t="s">
        <v>2160</v>
      </c>
      <c r="E50" s="305"/>
      <c r="F50" s="117" t="s">
        <v>1647</v>
      </c>
      <c r="G50" s="116">
        <v>1.3320000000000001</v>
      </c>
      <c r="H50" s="108">
        <v>0</v>
      </c>
    </row>
    <row r="51" spans="1:8" ht="12.2" customHeight="1" x14ac:dyDescent="0.2">
      <c r="D51" s="334" t="s">
        <v>2561</v>
      </c>
      <c r="E51" s="335"/>
      <c r="F51" s="335"/>
      <c r="G51" s="143">
        <v>1.3320000000000001</v>
      </c>
    </row>
    <row r="52" spans="1:8" x14ac:dyDescent="0.2">
      <c r="A52" s="120"/>
      <c r="B52" s="120"/>
      <c r="C52" s="120" t="s">
        <v>24</v>
      </c>
      <c r="D52" s="306" t="s">
        <v>1076</v>
      </c>
      <c r="E52" s="307"/>
      <c r="F52" s="120"/>
      <c r="G52" s="142"/>
      <c r="H52" s="109"/>
    </row>
    <row r="53" spans="1:8" x14ac:dyDescent="0.2">
      <c r="A53" s="117" t="s">
        <v>25</v>
      </c>
      <c r="B53" s="117"/>
      <c r="C53" s="117" t="s">
        <v>587</v>
      </c>
      <c r="D53" s="304" t="s">
        <v>1077</v>
      </c>
      <c r="E53" s="305"/>
      <c r="F53" s="117" t="s">
        <v>1645</v>
      </c>
      <c r="G53" s="116">
        <v>150.40799999999999</v>
      </c>
      <c r="H53" s="108">
        <v>0</v>
      </c>
    </row>
    <row r="54" spans="1:8" ht="12.2" customHeight="1" x14ac:dyDescent="0.2">
      <c r="D54" s="334" t="s">
        <v>2560</v>
      </c>
      <c r="E54" s="335"/>
      <c r="F54" s="335"/>
      <c r="G54" s="143">
        <v>50.408000000000001</v>
      </c>
    </row>
    <row r="55" spans="1:8" ht="12.2" customHeight="1" x14ac:dyDescent="0.2">
      <c r="A55" s="117"/>
      <c r="B55" s="117"/>
      <c r="C55" s="117"/>
      <c r="D55" s="334" t="s">
        <v>1769</v>
      </c>
      <c r="E55" s="335"/>
      <c r="F55" s="334"/>
      <c r="G55" s="144">
        <v>100</v>
      </c>
      <c r="H55" s="111"/>
    </row>
    <row r="56" spans="1:8" x14ac:dyDescent="0.2">
      <c r="A56" s="120"/>
      <c r="B56" s="120"/>
      <c r="C56" s="120" t="s">
        <v>27</v>
      </c>
      <c r="D56" s="306" t="s">
        <v>1078</v>
      </c>
      <c r="E56" s="307"/>
      <c r="F56" s="120"/>
      <c r="G56" s="142"/>
      <c r="H56" s="109"/>
    </row>
    <row r="57" spans="1:8" x14ac:dyDescent="0.2">
      <c r="A57" s="117" t="s">
        <v>26</v>
      </c>
      <c r="B57" s="117"/>
      <c r="C57" s="117" t="s">
        <v>588</v>
      </c>
      <c r="D57" s="304" t="s">
        <v>1079</v>
      </c>
      <c r="E57" s="305"/>
      <c r="F57" s="117" t="s">
        <v>1646</v>
      </c>
      <c r="G57" s="116">
        <v>83.75</v>
      </c>
      <c r="H57" s="108">
        <v>0</v>
      </c>
    </row>
    <row r="58" spans="1:8" ht="12.2" customHeight="1" x14ac:dyDescent="0.2">
      <c r="D58" s="334" t="s">
        <v>2559</v>
      </c>
      <c r="E58" s="335"/>
      <c r="F58" s="335"/>
      <c r="G58" s="143">
        <v>83.75</v>
      </c>
    </row>
    <row r="59" spans="1:8" x14ac:dyDescent="0.2">
      <c r="A59" s="117" t="s">
        <v>27</v>
      </c>
      <c r="B59" s="117"/>
      <c r="C59" s="117" t="s">
        <v>589</v>
      </c>
      <c r="D59" s="304" t="s">
        <v>1080</v>
      </c>
      <c r="E59" s="305"/>
      <c r="F59" s="117" t="s">
        <v>1646</v>
      </c>
      <c r="G59" s="116">
        <v>83.75</v>
      </c>
      <c r="H59" s="108">
        <v>0</v>
      </c>
    </row>
    <row r="60" spans="1:8" ht="12.2" customHeight="1" x14ac:dyDescent="0.2">
      <c r="D60" s="334" t="s">
        <v>2559</v>
      </c>
      <c r="E60" s="335"/>
      <c r="F60" s="335"/>
      <c r="G60" s="143">
        <v>83.75</v>
      </c>
    </row>
    <row r="61" spans="1:8" x14ac:dyDescent="0.2">
      <c r="A61" s="120"/>
      <c r="B61" s="120"/>
      <c r="C61" s="120" t="s">
        <v>33</v>
      </c>
      <c r="D61" s="306" t="s">
        <v>1081</v>
      </c>
      <c r="E61" s="307"/>
      <c r="F61" s="120"/>
      <c r="G61" s="142"/>
      <c r="H61" s="109"/>
    </row>
    <row r="62" spans="1:8" x14ac:dyDescent="0.2">
      <c r="A62" s="117" t="s">
        <v>28</v>
      </c>
      <c r="B62" s="117"/>
      <c r="C62" s="117" t="s">
        <v>590</v>
      </c>
      <c r="D62" s="304" t="s">
        <v>1082</v>
      </c>
      <c r="E62" s="305"/>
      <c r="F62" s="117" t="s">
        <v>1647</v>
      </c>
      <c r="G62" s="116">
        <v>6.4000000000000001E-2</v>
      </c>
      <c r="H62" s="108">
        <v>0</v>
      </c>
    </row>
    <row r="63" spans="1:8" ht="12.2" customHeight="1" x14ac:dyDescent="0.2">
      <c r="D63" s="334" t="s">
        <v>1771</v>
      </c>
      <c r="E63" s="335"/>
      <c r="F63" s="335"/>
      <c r="G63" s="143">
        <v>6.4000000000000001E-2</v>
      </c>
    </row>
    <row r="64" spans="1:8" x14ac:dyDescent="0.2">
      <c r="A64" s="117" t="s">
        <v>29</v>
      </c>
      <c r="B64" s="117"/>
      <c r="C64" s="117" t="s">
        <v>591</v>
      </c>
      <c r="D64" s="304" t="s">
        <v>1083</v>
      </c>
      <c r="E64" s="305"/>
      <c r="F64" s="117" t="s">
        <v>1647</v>
      </c>
      <c r="G64" s="116">
        <v>0.29599999999999999</v>
      </c>
      <c r="H64" s="108">
        <v>0</v>
      </c>
    </row>
    <row r="65" spans="1:8" ht="12.2" customHeight="1" x14ac:dyDescent="0.2">
      <c r="D65" s="334" t="s">
        <v>1772</v>
      </c>
      <c r="E65" s="335"/>
      <c r="F65" s="335"/>
      <c r="G65" s="143">
        <v>0.29599999999999999</v>
      </c>
    </row>
    <row r="66" spans="1:8" x14ac:dyDescent="0.2">
      <c r="A66" s="120"/>
      <c r="B66" s="120"/>
      <c r="C66" s="120" t="s">
        <v>37</v>
      </c>
      <c r="D66" s="306" t="s">
        <v>1084</v>
      </c>
      <c r="E66" s="307"/>
      <c r="F66" s="120"/>
      <c r="G66" s="142"/>
      <c r="H66" s="109"/>
    </row>
    <row r="67" spans="1:8" x14ac:dyDescent="0.2">
      <c r="A67" s="117" t="s">
        <v>30</v>
      </c>
      <c r="B67" s="117"/>
      <c r="C67" s="117" t="s">
        <v>2157</v>
      </c>
      <c r="D67" s="304" t="s">
        <v>2156</v>
      </c>
      <c r="E67" s="305"/>
      <c r="F67" s="117" t="s">
        <v>1645</v>
      </c>
      <c r="G67" s="116">
        <v>21.76</v>
      </c>
      <c r="H67" s="108">
        <v>0</v>
      </c>
    </row>
    <row r="68" spans="1:8" ht="12.2" customHeight="1" x14ac:dyDescent="0.2">
      <c r="D68" s="334" t="s">
        <v>2213</v>
      </c>
      <c r="E68" s="335"/>
      <c r="F68" s="335"/>
      <c r="G68" s="143">
        <v>21.76</v>
      </c>
    </row>
    <row r="69" spans="1:8" x14ac:dyDescent="0.2">
      <c r="A69" s="117" t="s">
        <v>31</v>
      </c>
      <c r="B69" s="117"/>
      <c r="C69" s="117" t="s">
        <v>594</v>
      </c>
      <c r="D69" s="304" t="s">
        <v>2155</v>
      </c>
      <c r="E69" s="305"/>
      <c r="F69" s="117" t="s">
        <v>1648</v>
      </c>
      <c r="G69" s="116">
        <v>3.4000000000000002E-2</v>
      </c>
      <c r="H69" s="108">
        <v>0</v>
      </c>
    </row>
    <row r="70" spans="1:8" ht="12.2" customHeight="1" x14ac:dyDescent="0.2">
      <c r="D70" s="334" t="s">
        <v>1774</v>
      </c>
      <c r="E70" s="335"/>
      <c r="F70" s="335"/>
      <c r="G70" s="143">
        <v>3.4000000000000002E-2</v>
      </c>
    </row>
    <row r="71" spans="1:8" x14ac:dyDescent="0.2">
      <c r="A71" s="117" t="s">
        <v>32</v>
      </c>
      <c r="B71" s="117"/>
      <c r="C71" s="117" t="s">
        <v>595</v>
      </c>
      <c r="D71" s="304" t="s">
        <v>1089</v>
      </c>
      <c r="E71" s="305"/>
      <c r="F71" s="117" t="s">
        <v>1646</v>
      </c>
      <c r="G71" s="116">
        <v>100</v>
      </c>
      <c r="H71" s="108">
        <v>0</v>
      </c>
    </row>
    <row r="72" spans="1:8" ht="12.2" customHeight="1" x14ac:dyDescent="0.2">
      <c r="D72" s="334" t="s">
        <v>1769</v>
      </c>
      <c r="E72" s="335"/>
      <c r="F72" s="335"/>
      <c r="G72" s="143">
        <v>100</v>
      </c>
    </row>
    <row r="73" spans="1:8" x14ac:dyDescent="0.2">
      <c r="A73" s="117" t="s">
        <v>33</v>
      </c>
      <c r="B73" s="117"/>
      <c r="C73" s="117" t="s">
        <v>2511</v>
      </c>
      <c r="D73" s="304" t="s">
        <v>2510</v>
      </c>
      <c r="E73" s="305"/>
      <c r="F73" s="117" t="s">
        <v>1646</v>
      </c>
      <c r="G73" s="116">
        <v>5.5</v>
      </c>
      <c r="H73" s="108">
        <v>0</v>
      </c>
    </row>
    <row r="74" spans="1:8" ht="12.2" customHeight="1" x14ac:dyDescent="0.2">
      <c r="D74" s="334" t="s">
        <v>2558</v>
      </c>
      <c r="E74" s="335"/>
      <c r="F74" s="335"/>
      <c r="G74" s="143">
        <v>5.5</v>
      </c>
    </row>
    <row r="75" spans="1:8" x14ac:dyDescent="0.2">
      <c r="A75" s="120"/>
      <c r="B75" s="120"/>
      <c r="C75" s="120" t="s">
        <v>62</v>
      </c>
      <c r="D75" s="306" t="s">
        <v>1090</v>
      </c>
      <c r="E75" s="307"/>
      <c r="F75" s="120"/>
      <c r="G75" s="142"/>
      <c r="H75" s="109"/>
    </row>
    <row r="76" spans="1:8" x14ac:dyDescent="0.2">
      <c r="A76" s="117" t="s">
        <v>34</v>
      </c>
      <c r="B76" s="117"/>
      <c r="C76" s="117" t="s">
        <v>596</v>
      </c>
      <c r="D76" s="304" t="s">
        <v>1091</v>
      </c>
      <c r="E76" s="305"/>
      <c r="F76" s="117" t="s">
        <v>1645</v>
      </c>
      <c r="G76" s="116">
        <v>37.648000000000003</v>
      </c>
      <c r="H76" s="108">
        <v>0</v>
      </c>
    </row>
    <row r="77" spans="1:8" ht="12.2" customHeight="1" x14ac:dyDescent="0.2">
      <c r="D77" s="334" t="s">
        <v>2211</v>
      </c>
      <c r="E77" s="335"/>
      <c r="F77" s="335"/>
      <c r="G77" s="143">
        <v>37.648000000000003</v>
      </c>
    </row>
    <row r="78" spans="1:8" x14ac:dyDescent="0.2">
      <c r="A78" s="117" t="s">
        <v>35</v>
      </c>
      <c r="B78" s="117"/>
      <c r="C78" s="117" t="s">
        <v>597</v>
      </c>
      <c r="D78" s="304" t="s">
        <v>1092</v>
      </c>
      <c r="E78" s="305"/>
      <c r="F78" s="117" t="s">
        <v>1645</v>
      </c>
      <c r="G78" s="116">
        <v>37.648000000000003</v>
      </c>
      <c r="H78" s="108">
        <v>0</v>
      </c>
    </row>
    <row r="79" spans="1:8" ht="12.2" customHeight="1" x14ac:dyDescent="0.2">
      <c r="D79" s="334" t="s">
        <v>2211</v>
      </c>
      <c r="E79" s="335"/>
      <c r="F79" s="335"/>
      <c r="G79" s="143">
        <v>37.648000000000003</v>
      </c>
    </row>
    <row r="80" spans="1:8" x14ac:dyDescent="0.2">
      <c r="A80" s="117" t="s">
        <v>36</v>
      </c>
      <c r="B80" s="117"/>
      <c r="C80" s="117" t="s">
        <v>598</v>
      </c>
      <c r="D80" s="304" t="s">
        <v>1093</v>
      </c>
      <c r="E80" s="305"/>
      <c r="F80" s="117" t="s">
        <v>1645</v>
      </c>
      <c r="G80" s="116">
        <v>37.648000000000003</v>
      </c>
      <c r="H80" s="108">
        <v>0</v>
      </c>
    </row>
    <row r="81" spans="1:8" ht="12.2" customHeight="1" x14ac:dyDescent="0.2">
      <c r="D81" s="334" t="s">
        <v>2211</v>
      </c>
      <c r="E81" s="335"/>
      <c r="F81" s="335"/>
      <c r="G81" s="143">
        <v>37.648000000000003</v>
      </c>
    </row>
    <row r="82" spans="1:8" x14ac:dyDescent="0.2">
      <c r="A82" s="120"/>
      <c r="B82" s="120"/>
      <c r="C82" s="120" t="s">
        <v>64</v>
      </c>
      <c r="D82" s="306" t="s">
        <v>2230</v>
      </c>
      <c r="E82" s="307"/>
      <c r="F82" s="120"/>
      <c r="G82" s="142"/>
      <c r="H82" s="109"/>
    </row>
    <row r="83" spans="1:8" x14ac:dyDescent="0.2">
      <c r="A83" s="117" t="s">
        <v>37</v>
      </c>
      <c r="B83" s="117"/>
      <c r="C83" s="117" t="s">
        <v>2509</v>
      </c>
      <c r="D83" s="304" t="s">
        <v>2508</v>
      </c>
      <c r="E83" s="305"/>
      <c r="F83" s="117" t="s">
        <v>1645</v>
      </c>
      <c r="G83" s="116">
        <v>6.25</v>
      </c>
      <c r="H83" s="108">
        <v>0</v>
      </c>
    </row>
    <row r="84" spans="1:8" ht="12.2" customHeight="1" x14ac:dyDescent="0.2">
      <c r="D84" s="334" t="s">
        <v>2557</v>
      </c>
      <c r="E84" s="335"/>
      <c r="F84" s="335"/>
      <c r="G84" s="143">
        <v>6.25</v>
      </c>
    </row>
    <row r="85" spans="1:8" x14ac:dyDescent="0.2">
      <c r="A85" s="120"/>
      <c r="B85" s="120"/>
      <c r="C85" s="120" t="s">
        <v>65</v>
      </c>
      <c r="D85" s="306" t="s">
        <v>1094</v>
      </c>
      <c r="E85" s="307"/>
      <c r="F85" s="120"/>
      <c r="G85" s="142"/>
      <c r="H85" s="109"/>
    </row>
    <row r="86" spans="1:8" x14ac:dyDescent="0.2">
      <c r="A86" s="117" t="s">
        <v>38</v>
      </c>
      <c r="B86" s="117"/>
      <c r="C86" s="117" t="s">
        <v>599</v>
      </c>
      <c r="D86" s="304" t="s">
        <v>1095</v>
      </c>
      <c r="E86" s="305"/>
      <c r="F86" s="117" t="s">
        <v>1645</v>
      </c>
      <c r="G86" s="116">
        <v>16.579999999999998</v>
      </c>
      <c r="H86" s="108">
        <v>0</v>
      </c>
    </row>
    <row r="87" spans="1:8" ht="12.2" customHeight="1" x14ac:dyDescent="0.2">
      <c r="D87" s="334" t="s">
        <v>2556</v>
      </c>
      <c r="E87" s="335"/>
      <c r="F87" s="335"/>
      <c r="G87" s="143">
        <v>16.579999999999998</v>
      </c>
    </row>
    <row r="88" spans="1:8" x14ac:dyDescent="0.2">
      <c r="A88" s="117" t="s">
        <v>39</v>
      </c>
      <c r="B88" s="117"/>
      <c r="C88" s="117" t="s">
        <v>600</v>
      </c>
      <c r="D88" s="304" t="s">
        <v>1096</v>
      </c>
      <c r="E88" s="305"/>
      <c r="F88" s="117" t="s">
        <v>1645</v>
      </c>
      <c r="G88" s="116">
        <v>38.088000000000001</v>
      </c>
      <c r="H88" s="108">
        <v>0</v>
      </c>
    </row>
    <row r="89" spans="1:8" ht="12.2" customHeight="1" x14ac:dyDescent="0.2">
      <c r="D89" s="334" t="s">
        <v>2555</v>
      </c>
      <c r="E89" s="335"/>
      <c r="F89" s="335"/>
      <c r="G89" s="143">
        <v>38.088000000000001</v>
      </c>
    </row>
    <row r="90" spans="1:8" x14ac:dyDescent="0.2">
      <c r="A90" s="120"/>
      <c r="B90" s="120"/>
      <c r="C90" s="120" t="s">
        <v>67</v>
      </c>
      <c r="D90" s="306" t="s">
        <v>1097</v>
      </c>
      <c r="E90" s="307"/>
      <c r="F90" s="120"/>
      <c r="G90" s="142"/>
      <c r="H90" s="109"/>
    </row>
    <row r="91" spans="1:8" x14ac:dyDescent="0.2">
      <c r="A91" s="117" t="s">
        <v>40</v>
      </c>
      <c r="B91" s="117"/>
      <c r="C91" s="117" t="s">
        <v>601</v>
      </c>
      <c r="D91" s="304" t="s">
        <v>1098</v>
      </c>
      <c r="E91" s="305"/>
      <c r="F91" s="117" t="s">
        <v>1645</v>
      </c>
      <c r="G91" s="116">
        <v>11.925000000000001</v>
      </c>
      <c r="H91" s="108">
        <v>0</v>
      </c>
    </row>
    <row r="92" spans="1:8" ht="12.2" customHeight="1" x14ac:dyDescent="0.2">
      <c r="D92" s="334" t="s">
        <v>2196</v>
      </c>
      <c r="E92" s="335"/>
      <c r="F92" s="335"/>
      <c r="G92" s="143">
        <v>11.925000000000001</v>
      </c>
    </row>
    <row r="93" spans="1:8" x14ac:dyDescent="0.2">
      <c r="A93" s="117" t="s">
        <v>41</v>
      </c>
      <c r="B93" s="117"/>
      <c r="C93" s="117" t="s">
        <v>604</v>
      </c>
      <c r="D93" s="304" t="s">
        <v>1101</v>
      </c>
      <c r="E93" s="305"/>
      <c r="F93" s="117" t="s">
        <v>1645</v>
      </c>
      <c r="G93" s="116">
        <v>10.137</v>
      </c>
      <c r="H93" s="108">
        <v>0</v>
      </c>
    </row>
    <row r="94" spans="1:8" ht="12.2" customHeight="1" x14ac:dyDescent="0.2">
      <c r="D94" s="334" t="s">
        <v>2195</v>
      </c>
      <c r="E94" s="335"/>
      <c r="F94" s="335"/>
      <c r="G94" s="143">
        <v>10.137</v>
      </c>
    </row>
    <row r="95" spans="1:8" x14ac:dyDescent="0.2">
      <c r="A95" s="117" t="s">
        <v>42</v>
      </c>
      <c r="B95" s="117"/>
      <c r="C95" s="117" t="s">
        <v>605</v>
      </c>
      <c r="D95" s="304" t="s">
        <v>1102</v>
      </c>
      <c r="E95" s="305"/>
      <c r="F95" s="117" t="s">
        <v>1645</v>
      </c>
      <c r="G95" s="116">
        <v>268.387</v>
      </c>
      <c r="H95" s="108">
        <v>0</v>
      </c>
    </row>
    <row r="96" spans="1:8" ht="12.2" customHeight="1" x14ac:dyDescent="0.2">
      <c r="D96" s="334" t="s">
        <v>1779</v>
      </c>
      <c r="E96" s="335"/>
      <c r="F96" s="335"/>
      <c r="G96" s="143">
        <v>268.387</v>
      </c>
    </row>
    <row r="97" spans="1:8" x14ac:dyDescent="0.2">
      <c r="A97" s="117" t="s">
        <v>43</v>
      </c>
      <c r="B97" s="117"/>
      <c r="C97" s="117" t="s">
        <v>606</v>
      </c>
      <c r="D97" s="304" t="s">
        <v>1103</v>
      </c>
      <c r="E97" s="305"/>
      <c r="F97" s="117" t="s">
        <v>1645</v>
      </c>
      <c r="G97" s="116">
        <v>19.77</v>
      </c>
      <c r="H97" s="108">
        <v>0</v>
      </c>
    </row>
    <row r="98" spans="1:8" ht="12.2" customHeight="1" x14ac:dyDescent="0.2">
      <c r="D98" s="334" t="s">
        <v>2191</v>
      </c>
      <c r="E98" s="335"/>
      <c r="F98" s="335"/>
      <c r="G98" s="143">
        <v>19.77</v>
      </c>
    </row>
    <row r="99" spans="1:8" x14ac:dyDescent="0.2">
      <c r="A99" s="120"/>
      <c r="B99" s="120"/>
      <c r="C99" s="120" t="s">
        <v>68</v>
      </c>
      <c r="D99" s="306" t="s">
        <v>1104</v>
      </c>
      <c r="E99" s="307"/>
      <c r="F99" s="120"/>
      <c r="G99" s="142"/>
      <c r="H99" s="109"/>
    </row>
    <row r="100" spans="1:8" x14ac:dyDescent="0.2">
      <c r="A100" s="117" t="s">
        <v>44</v>
      </c>
      <c r="B100" s="117"/>
      <c r="C100" s="117" t="s">
        <v>607</v>
      </c>
      <c r="D100" s="304" t="s">
        <v>1105</v>
      </c>
      <c r="E100" s="305"/>
      <c r="F100" s="117" t="s">
        <v>1645</v>
      </c>
      <c r="G100" s="116">
        <v>85.9</v>
      </c>
      <c r="H100" s="108">
        <v>0</v>
      </c>
    </row>
    <row r="101" spans="1:8" ht="12.2" customHeight="1" x14ac:dyDescent="0.2">
      <c r="D101" s="334" t="s">
        <v>1781</v>
      </c>
      <c r="E101" s="335"/>
      <c r="F101" s="335"/>
      <c r="G101" s="143">
        <v>85.9</v>
      </c>
    </row>
    <row r="102" spans="1:8" x14ac:dyDescent="0.2">
      <c r="A102" s="117" t="s">
        <v>45</v>
      </c>
      <c r="B102" s="117"/>
      <c r="C102" s="117" t="s">
        <v>608</v>
      </c>
      <c r="D102" s="304" t="s">
        <v>2506</v>
      </c>
      <c r="E102" s="305"/>
      <c r="F102" s="117" t="s">
        <v>1645</v>
      </c>
      <c r="G102" s="116">
        <v>654.75900000000001</v>
      </c>
      <c r="H102" s="108">
        <v>0</v>
      </c>
    </row>
    <row r="103" spans="1:8" ht="12.2" customHeight="1" x14ac:dyDescent="0.2">
      <c r="D103" s="334" t="s">
        <v>2208</v>
      </c>
      <c r="E103" s="335"/>
      <c r="F103" s="335"/>
      <c r="G103" s="143">
        <v>67.39</v>
      </c>
    </row>
    <row r="104" spans="1:8" ht="12.2" customHeight="1" x14ac:dyDescent="0.2">
      <c r="A104" s="117"/>
      <c r="B104" s="117"/>
      <c r="C104" s="117"/>
      <c r="D104" s="334" t="s">
        <v>2193</v>
      </c>
      <c r="E104" s="335"/>
      <c r="F104" s="334"/>
      <c r="G104" s="144">
        <v>108.25700000000001</v>
      </c>
      <c r="H104" s="111"/>
    </row>
    <row r="105" spans="1:8" ht="12.2" customHeight="1" x14ac:dyDescent="0.2">
      <c r="A105" s="117"/>
      <c r="B105" s="117"/>
      <c r="C105" s="117"/>
      <c r="D105" s="334" t="s">
        <v>2207</v>
      </c>
      <c r="E105" s="335"/>
      <c r="F105" s="334"/>
      <c r="G105" s="144">
        <v>479.11200000000002</v>
      </c>
      <c r="H105" s="111"/>
    </row>
    <row r="106" spans="1:8" x14ac:dyDescent="0.2">
      <c r="A106" s="117" t="s">
        <v>46</v>
      </c>
      <c r="B106" s="117"/>
      <c r="C106" s="117" t="s">
        <v>608</v>
      </c>
      <c r="D106" s="304" t="s">
        <v>2505</v>
      </c>
      <c r="E106" s="305"/>
      <c r="F106" s="117" t="s">
        <v>1645</v>
      </c>
      <c r="G106" s="116">
        <v>125.125</v>
      </c>
      <c r="H106" s="108">
        <v>0</v>
      </c>
    </row>
    <row r="107" spans="1:8" ht="12.2" customHeight="1" x14ac:dyDescent="0.2">
      <c r="D107" s="334" t="s">
        <v>2543</v>
      </c>
      <c r="E107" s="335"/>
      <c r="F107" s="335"/>
      <c r="G107" s="143">
        <v>9.0449999999999999</v>
      </c>
    </row>
    <row r="108" spans="1:8" ht="12.2" customHeight="1" x14ac:dyDescent="0.2">
      <c r="A108" s="117"/>
      <c r="B108" s="117"/>
      <c r="C108" s="117"/>
      <c r="D108" s="334" t="s">
        <v>2544</v>
      </c>
      <c r="E108" s="335"/>
      <c r="F108" s="334"/>
      <c r="G108" s="144">
        <v>65.236000000000004</v>
      </c>
      <c r="H108" s="111"/>
    </row>
    <row r="109" spans="1:8" ht="12.2" customHeight="1" x14ac:dyDescent="0.2">
      <c r="A109" s="117"/>
      <c r="B109" s="117"/>
      <c r="C109" s="117"/>
      <c r="D109" s="334" t="s">
        <v>1785</v>
      </c>
      <c r="E109" s="335"/>
      <c r="F109" s="334"/>
      <c r="G109" s="144">
        <v>50.844000000000001</v>
      </c>
      <c r="H109" s="111"/>
    </row>
    <row r="110" spans="1:8" x14ac:dyDescent="0.2">
      <c r="A110" s="117" t="s">
        <v>47</v>
      </c>
      <c r="B110" s="117"/>
      <c r="C110" s="117" t="s">
        <v>609</v>
      </c>
      <c r="D110" s="304" t="s">
        <v>1107</v>
      </c>
      <c r="E110" s="305"/>
      <c r="F110" s="117" t="s">
        <v>1646</v>
      </c>
      <c r="G110" s="116">
        <v>40</v>
      </c>
      <c r="H110" s="108">
        <v>0</v>
      </c>
    </row>
    <row r="111" spans="1:8" ht="12.2" customHeight="1" x14ac:dyDescent="0.2">
      <c r="D111" s="334" t="s">
        <v>1786</v>
      </c>
      <c r="E111" s="335"/>
      <c r="F111" s="335"/>
      <c r="G111" s="143">
        <v>40</v>
      </c>
    </row>
    <row r="112" spans="1:8" x14ac:dyDescent="0.2">
      <c r="A112" s="117" t="s">
        <v>48</v>
      </c>
      <c r="B112" s="117"/>
      <c r="C112" s="117" t="s">
        <v>610</v>
      </c>
      <c r="D112" s="304" t="s">
        <v>1108</v>
      </c>
      <c r="E112" s="305"/>
      <c r="F112" s="117" t="s">
        <v>1646</v>
      </c>
      <c r="G112" s="116">
        <v>80.19</v>
      </c>
      <c r="H112" s="108">
        <v>0</v>
      </c>
    </row>
    <row r="113" spans="1:8" ht="12.2" customHeight="1" x14ac:dyDescent="0.2">
      <c r="D113" s="334" t="s">
        <v>2209</v>
      </c>
      <c r="E113" s="335"/>
      <c r="F113" s="335"/>
      <c r="G113" s="143">
        <v>80.19</v>
      </c>
    </row>
    <row r="114" spans="1:8" x14ac:dyDescent="0.2">
      <c r="A114" s="117" t="s">
        <v>49</v>
      </c>
      <c r="B114" s="117"/>
      <c r="C114" s="117" t="s">
        <v>611</v>
      </c>
      <c r="D114" s="304" t="s">
        <v>1109</v>
      </c>
      <c r="E114" s="305"/>
      <c r="F114" s="117" t="s">
        <v>1646</v>
      </c>
      <c r="G114" s="116">
        <v>15.7</v>
      </c>
      <c r="H114" s="108">
        <v>0</v>
      </c>
    </row>
    <row r="115" spans="1:8" ht="12.2" customHeight="1" x14ac:dyDescent="0.2">
      <c r="D115" s="334" t="s">
        <v>1788</v>
      </c>
      <c r="E115" s="335"/>
      <c r="F115" s="335"/>
      <c r="G115" s="143">
        <v>15.7</v>
      </c>
    </row>
    <row r="116" spans="1:8" x14ac:dyDescent="0.2">
      <c r="A116" s="117" t="s">
        <v>50</v>
      </c>
      <c r="B116" s="117"/>
      <c r="C116" s="117" t="s">
        <v>612</v>
      </c>
      <c r="D116" s="304" t="s">
        <v>1110</v>
      </c>
      <c r="E116" s="305"/>
      <c r="F116" s="117" t="s">
        <v>1645</v>
      </c>
      <c r="G116" s="116">
        <v>108.25700000000001</v>
      </c>
      <c r="H116" s="108">
        <v>0</v>
      </c>
    </row>
    <row r="117" spans="1:8" ht="12.2" customHeight="1" x14ac:dyDescent="0.2">
      <c r="D117" s="334" t="s">
        <v>2193</v>
      </c>
      <c r="E117" s="335"/>
      <c r="F117" s="335"/>
      <c r="G117" s="143">
        <v>108.25700000000001</v>
      </c>
    </row>
    <row r="118" spans="1:8" x14ac:dyDescent="0.2">
      <c r="A118" s="117" t="s">
        <v>51</v>
      </c>
      <c r="B118" s="117"/>
      <c r="C118" s="117" t="s">
        <v>614</v>
      </c>
      <c r="D118" s="304" t="s">
        <v>1112</v>
      </c>
      <c r="E118" s="305"/>
      <c r="F118" s="117" t="s">
        <v>1645</v>
      </c>
      <c r="G118" s="116">
        <v>67.39</v>
      </c>
      <c r="H118" s="108">
        <v>0</v>
      </c>
    </row>
    <row r="119" spans="1:8" ht="12.2" customHeight="1" x14ac:dyDescent="0.2">
      <c r="D119" s="334" t="s">
        <v>2208</v>
      </c>
      <c r="E119" s="335"/>
      <c r="F119" s="335"/>
      <c r="G119" s="143">
        <v>67.39</v>
      </c>
    </row>
    <row r="120" spans="1:8" x14ac:dyDescent="0.2">
      <c r="A120" s="117" t="s">
        <v>52</v>
      </c>
      <c r="B120" s="117"/>
      <c r="C120" s="117" t="s">
        <v>615</v>
      </c>
      <c r="D120" s="304" t="s">
        <v>1114</v>
      </c>
      <c r="E120" s="305"/>
      <c r="F120" s="117" t="s">
        <v>1645</v>
      </c>
      <c r="G120" s="116">
        <v>479.11200000000002</v>
      </c>
      <c r="H120" s="108">
        <v>0</v>
      </c>
    </row>
    <row r="121" spans="1:8" ht="12.2" customHeight="1" x14ac:dyDescent="0.2">
      <c r="D121" s="334" t="s">
        <v>2207</v>
      </c>
      <c r="E121" s="335"/>
      <c r="F121" s="335"/>
      <c r="G121" s="143">
        <v>479.11200000000002</v>
      </c>
    </row>
    <row r="122" spans="1:8" x14ac:dyDescent="0.2">
      <c r="A122" s="117" t="s">
        <v>53</v>
      </c>
      <c r="B122" s="117"/>
      <c r="C122" s="117" t="s">
        <v>616</v>
      </c>
      <c r="D122" s="304" t="s">
        <v>1116</v>
      </c>
      <c r="E122" s="305"/>
      <c r="F122" s="117" t="s">
        <v>1645</v>
      </c>
      <c r="G122" s="116">
        <v>50.844000000000001</v>
      </c>
      <c r="H122" s="108">
        <v>0</v>
      </c>
    </row>
    <row r="123" spans="1:8" ht="12.2" customHeight="1" x14ac:dyDescent="0.2">
      <c r="D123" s="334" t="s">
        <v>1785</v>
      </c>
      <c r="E123" s="335"/>
      <c r="F123" s="335"/>
      <c r="G123" s="143">
        <v>50.844000000000001</v>
      </c>
    </row>
    <row r="124" spans="1:8" x14ac:dyDescent="0.2">
      <c r="A124" s="117" t="s">
        <v>54</v>
      </c>
      <c r="B124" s="117"/>
      <c r="C124" s="117" t="s">
        <v>617</v>
      </c>
      <c r="D124" s="304" t="s">
        <v>1118</v>
      </c>
      <c r="E124" s="305"/>
      <c r="F124" s="117" t="s">
        <v>1646</v>
      </c>
      <c r="G124" s="116">
        <v>65</v>
      </c>
      <c r="H124" s="108">
        <v>0</v>
      </c>
    </row>
    <row r="125" spans="1:8" ht="12.2" customHeight="1" x14ac:dyDescent="0.2">
      <c r="D125" s="334" t="s">
        <v>1789</v>
      </c>
      <c r="E125" s="335"/>
      <c r="F125" s="335"/>
      <c r="G125" s="143">
        <v>65</v>
      </c>
    </row>
    <row r="126" spans="1:8" x14ac:dyDescent="0.2">
      <c r="A126" s="117" t="s">
        <v>55</v>
      </c>
      <c r="B126" s="117"/>
      <c r="C126" s="117" t="s">
        <v>618</v>
      </c>
      <c r="D126" s="304" t="s">
        <v>1119</v>
      </c>
      <c r="E126" s="305"/>
      <c r="F126" s="117" t="s">
        <v>1645</v>
      </c>
      <c r="G126" s="116">
        <v>779.88400000000001</v>
      </c>
      <c r="H126" s="108">
        <v>0</v>
      </c>
    </row>
    <row r="127" spans="1:8" ht="12.2" customHeight="1" x14ac:dyDescent="0.2">
      <c r="D127" s="334" t="s">
        <v>2554</v>
      </c>
      <c r="E127" s="335"/>
      <c r="F127" s="335"/>
      <c r="G127" s="143">
        <v>779.88400000000001</v>
      </c>
    </row>
    <row r="128" spans="1:8" x14ac:dyDescent="0.2">
      <c r="A128" s="117" t="s">
        <v>56</v>
      </c>
      <c r="B128" s="117"/>
      <c r="C128" s="117" t="s">
        <v>619</v>
      </c>
      <c r="D128" s="304" t="s">
        <v>1120</v>
      </c>
      <c r="E128" s="305"/>
      <c r="F128" s="117" t="s">
        <v>1646</v>
      </c>
      <c r="G128" s="116">
        <v>202.8</v>
      </c>
      <c r="H128" s="108">
        <v>0</v>
      </c>
    </row>
    <row r="129" spans="1:8" ht="12.2" customHeight="1" x14ac:dyDescent="0.2">
      <c r="D129" s="334" t="s">
        <v>1791</v>
      </c>
      <c r="E129" s="335"/>
      <c r="F129" s="335"/>
      <c r="G129" s="143">
        <v>202.8</v>
      </c>
    </row>
    <row r="130" spans="1:8" x14ac:dyDescent="0.2">
      <c r="A130" s="117" t="s">
        <v>57</v>
      </c>
      <c r="B130" s="117"/>
      <c r="C130" s="117" t="s">
        <v>620</v>
      </c>
      <c r="D130" s="304" t="s">
        <v>1121</v>
      </c>
      <c r="E130" s="305"/>
      <c r="F130" s="117" t="s">
        <v>1646</v>
      </c>
      <c r="G130" s="116">
        <v>65</v>
      </c>
      <c r="H130" s="108">
        <v>0</v>
      </c>
    </row>
    <row r="131" spans="1:8" ht="12.2" customHeight="1" x14ac:dyDescent="0.2">
      <c r="D131" s="334" t="s">
        <v>1789</v>
      </c>
      <c r="E131" s="335"/>
      <c r="F131" s="335"/>
      <c r="G131" s="143">
        <v>65</v>
      </c>
    </row>
    <row r="132" spans="1:8" x14ac:dyDescent="0.2">
      <c r="A132" s="117" t="s">
        <v>58</v>
      </c>
      <c r="B132" s="117"/>
      <c r="C132" s="117" t="s">
        <v>2504</v>
      </c>
      <c r="D132" s="304" t="s">
        <v>2503</v>
      </c>
      <c r="E132" s="305"/>
      <c r="F132" s="117" t="s">
        <v>1645</v>
      </c>
      <c r="G132" s="116">
        <v>9.0449999999999999</v>
      </c>
      <c r="H132" s="108">
        <v>0</v>
      </c>
    </row>
    <row r="133" spans="1:8" ht="12.2" customHeight="1" x14ac:dyDescent="0.2">
      <c r="D133" s="334" t="s">
        <v>2543</v>
      </c>
      <c r="E133" s="335"/>
      <c r="F133" s="335"/>
      <c r="G133" s="143">
        <v>9.0449999999999999</v>
      </c>
    </row>
    <row r="134" spans="1:8" x14ac:dyDescent="0.2">
      <c r="A134" s="117" t="s">
        <v>59</v>
      </c>
      <c r="B134" s="117"/>
      <c r="C134" s="117" t="s">
        <v>621</v>
      </c>
      <c r="D134" s="304" t="s">
        <v>1122</v>
      </c>
      <c r="E134" s="305"/>
      <c r="F134" s="117" t="s">
        <v>1645</v>
      </c>
      <c r="G134" s="116">
        <v>108.25700000000001</v>
      </c>
      <c r="H134" s="108">
        <v>0</v>
      </c>
    </row>
    <row r="135" spans="1:8" ht="12.2" customHeight="1" x14ac:dyDescent="0.2">
      <c r="D135" s="334" t="s">
        <v>2193</v>
      </c>
      <c r="E135" s="335"/>
      <c r="F135" s="335"/>
      <c r="G135" s="143">
        <v>108.25700000000001</v>
      </c>
    </row>
    <row r="136" spans="1:8" x14ac:dyDescent="0.2">
      <c r="A136" s="117" t="s">
        <v>60</v>
      </c>
      <c r="B136" s="117"/>
      <c r="C136" s="117" t="s">
        <v>2502</v>
      </c>
      <c r="D136" s="304" t="s">
        <v>2501</v>
      </c>
      <c r="E136" s="305"/>
      <c r="F136" s="117" t="s">
        <v>1645</v>
      </c>
      <c r="G136" s="116">
        <v>9.0449999999999999</v>
      </c>
      <c r="H136" s="108">
        <v>0</v>
      </c>
    </row>
    <row r="137" spans="1:8" ht="12.2" customHeight="1" x14ac:dyDescent="0.2">
      <c r="D137" s="334" t="s">
        <v>2543</v>
      </c>
      <c r="E137" s="335"/>
      <c r="F137" s="335"/>
      <c r="G137" s="143">
        <v>9.0449999999999999</v>
      </c>
    </row>
    <row r="138" spans="1:8" x14ac:dyDescent="0.2">
      <c r="A138" s="117" t="s">
        <v>61</v>
      </c>
      <c r="B138" s="117"/>
      <c r="C138" s="117" t="s">
        <v>2500</v>
      </c>
      <c r="D138" s="304" t="s">
        <v>2499</v>
      </c>
      <c r="E138" s="305"/>
      <c r="F138" s="117" t="s">
        <v>1645</v>
      </c>
      <c r="G138" s="116">
        <v>65.236000000000004</v>
      </c>
      <c r="H138" s="108">
        <v>0</v>
      </c>
    </row>
    <row r="139" spans="1:8" ht="12.2" customHeight="1" x14ac:dyDescent="0.2">
      <c r="D139" s="334" t="s">
        <v>2544</v>
      </c>
      <c r="E139" s="335"/>
      <c r="F139" s="335"/>
      <c r="G139" s="143">
        <v>65.236000000000004</v>
      </c>
    </row>
    <row r="140" spans="1:8" x14ac:dyDescent="0.2">
      <c r="A140" s="117" t="s">
        <v>62</v>
      </c>
      <c r="B140" s="117"/>
      <c r="C140" s="117" t="s">
        <v>622</v>
      </c>
      <c r="D140" s="304" t="s">
        <v>1123</v>
      </c>
      <c r="E140" s="305"/>
      <c r="F140" s="117" t="s">
        <v>1646</v>
      </c>
      <c r="G140" s="116">
        <v>202.8</v>
      </c>
      <c r="H140" s="108">
        <v>0</v>
      </c>
    </row>
    <row r="141" spans="1:8" ht="12.2" customHeight="1" x14ac:dyDescent="0.2">
      <c r="D141" s="334" t="s">
        <v>1791</v>
      </c>
      <c r="E141" s="335"/>
      <c r="F141" s="335"/>
      <c r="G141" s="143">
        <v>202.8</v>
      </c>
    </row>
    <row r="142" spans="1:8" x14ac:dyDescent="0.2">
      <c r="A142" s="117" t="s">
        <v>63</v>
      </c>
      <c r="B142" s="117"/>
      <c r="C142" s="117" t="s">
        <v>623</v>
      </c>
      <c r="D142" s="304" t="s">
        <v>2497</v>
      </c>
      <c r="E142" s="305"/>
      <c r="F142" s="117" t="s">
        <v>1645</v>
      </c>
      <c r="G142" s="116">
        <v>654.75900000000001</v>
      </c>
      <c r="H142" s="108">
        <v>0</v>
      </c>
    </row>
    <row r="143" spans="1:8" ht="12.2" customHeight="1" x14ac:dyDescent="0.2">
      <c r="D143" s="334" t="s">
        <v>2553</v>
      </c>
      <c r="E143" s="335"/>
      <c r="F143" s="335"/>
      <c r="G143" s="143">
        <v>654.75900000000001</v>
      </c>
    </row>
    <row r="144" spans="1:8" x14ac:dyDescent="0.2">
      <c r="A144" s="117" t="s">
        <v>64</v>
      </c>
      <c r="B144" s="117"/>
      <c r="C144" s="117" t="s">
        <v>623</v>
      </c>
      <c r="D144" s="304" t="s">
        <v>2496</v>
      </c>
      <c r="E144" s="305"/>
      <c r="F144" s="117" t="s">
        <v>1645</v>
      </c>
      <c r="G144" s="116">
        <v>125.125</v>
      </c>
      <c r="H144" s="108">
        <v>0</v>
      </c>
    </row>
    <row r="145" spans="1:8" ht="12.2" customHeight="1" x14ac:dyDescent="0.2">
      <c r="D145" s="334" t="s">
        <v>2552</v>
      </c>
      <c r="E145" s="335"/>
      <c r="F145" s="335"/>
      <c r="G145" s="143">
        <v>125.125</v>
      </c>
    </row>
    <row r="146" spans="1:8" x14ac:dyDescent="0.2">
      <c r="A146" s="117" t="s">
        <v>65</v>
      </c>
      <c r="B146" s="117"/>
      <c r="C146" s="117" t="s">
        <v>624</v>
      </c>
      <c r="D146" s="304" t="s">
        <v>2495</v>
      </c>
      <c r="E146" s="305"/>
      <c r="F146" s="117" t="s">
        <v>1645</v>
      </c>
      <c r="G146" s="116">
        <v>654.75900000000001</v>
      </c>
      <c r="H146" s="108">
        <v>0</v>
      </c>
    </row>
    <row r="147" spans="1:8" ht="12.2" customHeight="1" x14ac:dyDescent="0.2">
      <c r="D147" s="334" t="s">
        <v>2553</v>
      </c>
      <c r="E147" s="335"/>
      <c r="F147" s="335"/>
      <c r="G147" s="143">
        <v>654.75900000000001</v>
      </c>
    </row>
    <row r="148" spans="1:8" x14ac:dyDescent="0.2">
      <c r="A148" s="117" t="s">
        <v>66</v>
      </c>
      <c r="B148" s="117"/>
      <c r="C148" s="117" t="s">
        <v>624</v>
      </c>
      <c r="D148" s="304" t="s">
        <v>2494</v>
      </c>
      <c r="E148" s="305"/>
      <c r="F148" s="117" t="s">
        <v>1645</v>
      </c>
      <c r="G148" s="116">
        <v>125.125</v>
      </c>
      <c r="H148" s="108">
        <v>0</v>
      </c>
    </row>
    <row r="149" spans="1:8" ht="12.2" customHeight="1" x14ac:dyDescent="0.2">
      <c r="D149" s="334" t="s">
        <v>2552</v>
      </c>
      <c r="E149" s="335"/>
      <c r="F149" s="335"/>
      <c r="G149" s="143">
        <v>125.125</v>
      </c>
    </row>
    <row r="150" spans="1:8" x14ac:dyDescent="0.2">
      <c r="A150" s="117" t="s">
        <v>67</v>
      </c>
      <c r="B150" s="117"/>
      <c r="C150" s="117" t="s">
        <v>625</v>
      </c>
      <c r="D150" s="304" t="s">
        <v>2493</v>
      </c>
      <c r="E150" s="305"/>
      <c r="F150" s="117" t="s">
        <v>1645</v>
      </c>
      <c r="G150" s="116">
        <v>327.38</v>
      </c>
      <c r="H150" s="108">
        <v>0</v>
      </c>
    </row>
    <row r="151" spans="1:8" ht="12.2" customHeight="1" x14ac:dyDescent="0.2">
      <c r="D151" s="334" t="s">
        <v>2551</v>
      </c>
      <c r="E151" s="335"/>
      <c r="F151" s="335"/>
      <c r="G151" s="143">
        <v>327.38</v>
      </c>
    </row>
    <row r="152" spans="1:8" x14ac:dyDescent="0.2">
      <c r="A152" s="117" t="s">
        <v>68</v>
      </c>
      <c r="B152" s="117"/>
      <c r="C152" s="117" t="s">
        <v>625</v>
      </c>
      <c r="D152" s="304" t="s">
        <v>2492</v>
      </c>
      <c r="E152" s="305"/>
      <c r="F152" s="117" t="s">
        <v>1645</v>
      </c>
      <c r="G152" s="116">
        <v>62.563000000000002</v>
      </c>
      <c r="H152" s="108">
        <v>0</v>
      </c>
    </row>
    <row r="153" spans="1:8" ht="12.2" customHeight="1" x14ac:dyDescent="0.2">
      <c r="D153" s="334" t="s">
        <v>2550</v>
      </c>
      <c r="E153" s="335"/>
      <c r="F153" s="335"/>
      <c r="G153" s="143">
        <v>62.563000000000002</v>
      </c>
    </row>
    <row r="154" spans="1:8" x14ac:dyDescent="0.2">
      <c r="A154" s="117" t="s">
        <v>69</v>
      </c>
      <c r="B154" s="117"/>
      <c r="C154" s="117" t="s">
        <v>626</v>
      </c>
      <c r="D154" s="304" t="s">
        <v>2491</v>
      </c>
      <c r="E154" s="305"/>
      <c r="F154" s="117" t="s">
        <v>1645</v>
      </c>
      <c r="G154" s="116">
        <v>327.38</v>
      </c>
      <c r="H154" s="108">
        <v>0</v>
      </c>
    </row>
    <row r="155" spans="1:8" ht="12.2" customHeight="1" x14ac:dyDescent="0.2">
      <c r="D155" s="334" t="s">
        <v>2551</v>
      </c>
      <c r="E155" s="335"/>
      <c r="F155" s="335"/>
      <c r="G155" s="143">
        <v>327.38</v>
      </c>
    </row>
    <row r="156" spans="1:8" x14ac:dyDescent="0.2">
      <c r="A156" s="117" t="s">
        <v>70</v>
      </c>
      <c r="B156" s="117"/>
      <c r="C156" s="117" t="s">
        <v>626</v>
      </c>
      <c r="D156" s="304" t="s">
        <v>2490</v>
      </c>
      <c r="E156" s="305"/>
      <c r="F156" s="117" t="s">
        <v>1645</v>
      </c>
      <c r="G156" s="116">
        <v>62.563000000000002</v>
      </c>
      <c r="H156" s="108">
        <v>0</v>
      </c>
    </row>
    <row r="157" spans="1:8" ht="12.2" customHeight="1" x14ac:dyDescent="0.2">
      <c r="D157" s="334" t="s">
        <v>2550</v>
      </c>
      <c r="E157" s="335"/>
      <c r="F157" s="335"/>
      <c r="G157" s="143">
        <v>62.563000000000002</v>
      </c>
    </row>
    <row r="158" spans="1:8" x14ac:dyDescent="0.2">
      <c r="A158" s="120"/>
      <c r="B158" s="120"/>
      <c r="C158" s="120" t="s">
        <v>69</v>
      </c>
      <c r="D158" s="306" t="s">
        <v>1128</v>
      </c>
      <c r="E158" s="307"/>
      <c r="F158" s="120"/>
      <c r="G158" s="142"/>
      <c r="H158" s="109"/>
    </row>
    <row r="159" spans="1:8" x14ac:dyDescent="0.2">
      <c r="A159" s="117" t="s">
        <v>71</v>
      </c>
      <c r="B159" s="117"/>
      <c r="C159" s="117" t="s">
        <v>627</v>
      </c>
      <c r="D159" s="304" t="s">
        <v>1129</v>
      </c>
      <c r="E159" s="305"/>
      <c r="F159" s="117" t="s">
        <v>1645</v>
      </c>
      <c r="G159" s="116">
        <v>1</v>
      </c>
      <c r="H159" s="108">
        <v>0</v>
      </c>
    </row>
    <row r="160" spans="1:8" ht="12.2" customHeight="1" x14ac:dyDescent="0.2">
      <c r="D160" s="334" t="s">
        <v>1794</v>
      </c>
      <c r="E160" s="335"/>
      <c r="F160" s="335"/>
      <c r="G160" s="143">
        <v>1</v>
      </c>
    </row>
    <row r="161" spans="1:8" x14ac:dyDescent="0.2">
      <c r="A161" s="120"/>
      <c r="B161" s="120"/>
      <c r="C161" s="120" t="s">
        <v>89</v>
      </c>
      <c r="D161" s="306" t="s">
        <v>1130</v>
      </c>
      <c r="E161" s="307"/>
      <c r="F161" s="120"/>
      <c r="G161" s="142"/>
      <c r="H161" s="109"/>
    </row>
    <row r="162" spans="1:8" x14ac:dyDescent="0.2">
      <c r="A162" s="117" t="s">
        <v>72</v>
      </c>
      <c r="B162" s="117"/>
      <c r="C162" s="117" t="s">
        <v>628</v>
      </c>
      <c r="D162" s="304" t="s">
        <v>2489</v>
      </c>
      <c r="E162" s="305"/>
      <c r="F162" s="117" t="s">
        <v>1644</v>
      </c>
      <c r="G162" s="116">
        <v>6</v>
      </c>
      <c r="H162" s="108">
        <v>0</v>
      </c>
    </row>
    <row r="163" spans="1:8" ht="12.2" customHeight="1" x14ac:dyDescent="0.2">
      <c r="D163" s="334" t="s">
        <v>1806</v>
      </c>
      <c r="E163" s="335"/>
      <c r="F163" s="335"/>
      <c r="G163" s="143">
        <v>6</v>
      </c>
    </row>
    <row r="164" spans="1:8" x14ac:dyDescent="0.2">
      <c r="A164" s="117" t="s">
        <v>73</v>
      </c>
      <c r="B164" s="117"/>
      <c r="C164" s="117" t="s">
        <v>629</v>
      </c>
      <c r="D164" s="304" t="s">
        <v>1132</v>
      </c>
      <c r="E164" s="305"/>
      <c r="F164" s="117" t="s">
        <v>1646</v>
      </c>
      <c r="G164" s="116">
        <v>30</v>
      </c>
      <c r="H164" s="108">
        <v>0</v>
      </c>
    </row>
    <row r="165" spans="1:8" ht="12.2" customHeight="1" x14ac:dyDescent="0.2">
      <c r="D165" s="334" t="s">
        <v>2203</v>
      </c>
      <c r="E165" s="335"/>
      <c r="F165" s="335"/>
      <c r="G165" s="143">
        <v>30</v>
      </c>
    </row>
    <row r="166" spans="1:8" x14ac:dyDescent="0.2">
      <c r="A166" s="120"/>
      <c r="B166" s="120"/>
      <c r="C166" s="120" t="s">
        <v>95</v>
      </c>
      <c r="D166" s="306" t="s">
        <v>1133</v>
      </c>
      <c r="E166" s="307"/>
      <c r="F166" s="120"/>
      <c r="G166" s="142"/>
      <c r="H166" s="109"/>
    </row>
    <row r="167" spans="1:8" x14ac:dyDescent="0.2">
      <c r="A167" s="117" t="s">
        <v>74</v>
      </c>
      <c r="B167" s="117"/>
      <c r="C167" s="117" t="s">
        <v>630</v>
      </c>
      <c r="D167" s="304" t="s">
        <v>1134</v>
      </c>
      <c r="E167" s="305"/>
      <c r="F167" s="117" t="s">
        <v>1644</v>
      </c>
      <c r="G167" s="116">
        <v>8</v>
      </c>
      <c r="H167" s="108">
        <v>0</v>
      </c>
    </row>
    <row r="168" spans="1:8" ht="12.2" customHeight="1" x14ac:dyDescent="0.2">
      <c r="D168" s="334" t="s">
        <v>1796</v>
      </c>
      <c r="E168" s="335"/>
      <c r="F168" s="335"/>
      <c r="G168" s="143">
        <v>8</v>
      </c>
    </row>
    <row r="169" spans="1:8" x14ac:dyDescent="0.2">
      <c r="A169" s="117" t="s">
        <v>75</v>
      </c>
      <c r="B169" s="117"/>
      <c r="C169" s="117" t="s">
        <v>631</v>
      </c>
      <c r="D169" s="304" t="s">
        <v>1135</v>
      </c>
      <c r="E169" s="305"/>
      <c r="F169" s="117" t="s">
        <v>1644</v>
      </c>
      <c r="G169" s="116">
        <v>2</v>
      </c>
      <c r="H169" s="108">
        <v>0</v>
      </c>
    </row>
    <row r="170" spans="1:8" ht="12.2" customHeight="1" x14ac:dyDescent="0.2">
      <c r="D170" s="334" t="s">
        <v>1849</v>
      </c>
      <c r="E170" s="335"/>
      <c r="F170" s="335"/>
      <c r="G170" s="143">
        <v>2</v>
      </c>
    </row>
    <row r="171" spans="1:8" x14ac:dyDescent="0.2">
      <c r="A171" s="120"/>
      <c r="B171" s="120"/>
      <c r="C171" s="120" t="s">
        <v>97</v>
      </c>
      <c r="D171" s="306" t="s">
        <v>1136</v>
      </c>
      <c r="E171" s="307"/>
      <c r="F171" s="120"/>
      <c r="G171" s="142"/>
      <c r="H171" s="109"/>
    </row>
    <row r="172" spans="1:8" x14ac:dyDescent="0.2">
      <c r="A172" s="117" t="s">
        <v>76</v>
      </c>
      <c r="B172" s="117"/>
      <c r="C172" s="117" t="s">
        <v>632</v>
      </c>
      <c r="D172" s="304" t="s">
        <v>1137</v>
      </c>
      <c r="E172" s="305"/>
      <c r="F172" s="117" t="s">
        <v>1646</v>
      </c>
      <c r="G172" s="116">
        <v>4</v>
      </c>
      <c r="H172" s="108">
        <v>0</v>
      </c>
    </row>
    <row r="173" spans="1:8" ht="12.2" customHeight="1" x14ac:dyDescent="0.2">
      <c r="D173" s="334" t="s">
        <v>1798</v>
      </c>
      <c r="E173" s="335"/>
      <c r="F173" s="335"/>
      <c r="G173" s="143">
        <v>4</v>
      </c>
    </row>
    <row r="174" spans="1:8" x14ac:dyDescent="0.2">
      <c r="A174" s="117" t="s">
        <v>77</v>
      </c>
      <c r="B174" s="117"/>
      <c r="C174" s="117" t="s">
        <v>633</v>
      </c>
      <c r="D174" s="304" t="s">
        <v>1138</v>
      </c>
      <c r="E174" s="305"/>
      <c r="F174" s="117" t="s">
        <v>1647</v>
      </c>
      <c r="G174" s="116">
        <v>0.16200000000000001</v>
      </c>
      <c r="H174" s="108">
        <v>0</v>
      </c>
    </row>
    <row r="175" spans="1:8" ht="12.2" customHeight="1" x14ac:dyDescent="0.2">
      <c r="D175" s="334" t="s">
        <v>1799</v>
      </c>
      <c r="E175" s="335"/>
      <c r="F175" s="335"/>
      <c r="G175" s="143">
        <v>0.16200000000000001</v>
      </c>
    </row>
    <row r="176" spans="1:8" x14ac:dyDescent="0.2">
      <c r="A176" s="117" t="s">
        <v>78</v>
      </c>
      <c r="B176" s="117"/>
      <c r="C176" s="117" t="s">
        <v>2147</v>
      </c>
      <c r="D176" s="304" t="s">
        <v>2146</v>
      </c>
      <c r="E176" s="305"/>
      <c r="F176" s="117" t="s">
        <v>1646</v>
      </c>
      <c r="G176" s="116">
        <v>6.2</v>
      </c>
      <c r="H176" s="108">
        <v>0</v>
      </c>
    </row>
    <row r="177" spans="1:8" ht="12.2" customHeight="1" x14ac:dyDescent="0.2">
      <c r="D177" s="334" t="s">
        <v>1863</v>
      </c>
      <c r="E177" s="335"/>
      <c r="F177" s="335"/>
      <c r="G177" s="143">
        <v>6.2</v>
      </c>
    </row>
    <row r="178" spans="1:8" x14ac:dyDescent="0.2">
      <c r="A178" s="120"/>
      <c r="B178" s="120"/>
      <c r="C178" s="120" t="s">
        <v>100</v>
      </c>
      <c r="D178" s="306" t="s">
        <v>1139</v>
      </c>
      <c r="E178" s="307"/>
      <c r="F178" s="120"/>
      <c r="G178" s="142"/>
      <c r="H178" s="109"/>
    </row>
    <row r="179" spans="1:8" x14ac:dyDescent="0.2">
      <c r="A179" s="117" t="s">
        <v>79</v>
      </c>
      <c r="B179" s="117"/>
      <c r="C179" s="117" t="s">
        <v>634</v>
      </c>
      <c r="D179" s="304" t="s">
        <v>1140</v>
      </c>
      <c r="E179" s="305"/>
      <c r="F179" s="117" t="s">
        <v>1645</v>
      </c>
      <c r="G179" s="116">
        <v>842.42499999999995</v>
      </c>
      <c r="H179" s="108">
        <v>0</v>
      </c>
    </row>
    <row r="180" spans="1:8" ht="12.2" customHeight="1" x14ac:dyDescent="0.2">
      <c r="D180" s="334" t="s">
        <v>2201</v>
      </c>
      <c r="E180" s="335"/>
      <c r="F180" s="335"/>
      <c r="G180" s="143">
        <v>746.58</v>
      </c>
    </row>
    <row r="181" spans="1:8" ht="12.2" customHeight="1" x14ac:dyDescent="0.2">
      <c r="A181" s="117"/>
      <c r="B181" s="117"/>
      <c r="C181" s="117"/>
      <c r="D181" s="334" t="s">
        <v>2548</v>
      </c>
      <c r="E181" s="335"/>
      <c r="F181" s="334"/>
      <c r="G181" s="144">
        <v>95.844999999999999</v>
      </c>
      <c r="H181" s="111"/>
    </row>
    <row r="182" spans="1:8" x14ac:dyDescent="0.2">
      <c r="A182" s="117" t="s">
        <v>80</v>
      </c>
      <c r="B182" s="117"/>
      <c r="C182" s="117" t="s">
        <v>635</v>
      </c>
      <c r="D182" s="304" t="s">
        <v>1141</v>
      </c>
      <c r="E182" s="305"/>
      <c r="F182" s="117" t="s">
        <v>1645</v>
      </c>
      <c r="G182" s="116">
        <v>1684.85</v>
      </c>
      <c r="H182" s="108">
        <v>0</v>
      </c>
    </row>
    <row r="183" spans="1:8" ht="12.2" customHeight="1" x14ac:dyDescent="0.2">
      <c r="D183" s="334" t="s">
        <v>2549</v>
      </c>
      <c r="E183" s="335"/>
      <c r="F183" s="335"/>
      <c r="G183" s="143">
        <v>1684.85</v>
      </c>
    </row>
    <row r="184" spans="1:8" x14ac:dyDescent="0.2">
      <c r="A184" s="117" t="s">
        <v>81</v>
      </c>
      <c r="B184" s="117"/>
      <c r="C184" s="117" t="s">
        <v>636</v>
      </c>
      <c r="D184" s="304" t="s">
        <v>1142</v>
      </c>
      <c r="E184" s="305"/>
      <c r="F184" s="117" t="s">
        <v>1645</v>
      </c>
      <c r="G184" s="116">
        <v>842.42499999999995</v>
      </c>
      <c r="H184" s="108">
        <v>0</v>
      </c>
    </row>
    <row r="185" spans="1:8" ht="12.2" customHeight="1" x14ac:dyDescent="0.2">
      <c r="D185" s="334" t="s">
        <v>2201</v>
      </c>
      <c r="E185" s="335"/>
      <c r="F185" s="335"/>
      <c r="G185" s="143">
        <v>746.58</v>
      </c>
    </row>
    <row r="186" spans="1:8" ht="12.2" customHeight="1" x14ac:dyDescent="0.2">
      <c r="A186" s="117"/>
      <c r="B186" s="117"/>
      <c r="C186" s="117"/>
      <c r="D186" s="334" t="s">
        <v>2548</v>
      </c>
      <c r="E186" s="335"/>
      <c r="F186" s="334"/>
      <c r="G186" s="144">
        <v>95.844999999999999</v>
      </c>
      <c r="H186" s="111"/>
    </row>
    <row r="187" spans="1:8" x14ac:dyDescent="0.2">
      <c r="A187" s="117" t="s">
        <v>82</v>
      </c>
      <c r="B187" s="117"/>
      <c r="C187" s="117" t="s">
        <v>637</v>
      </c>
      <c r="D187" s="304" t="s">
        <v>1143</v>
      </c>
      <c r="E187" s="305"/>
      <c r="F187" s="117" t="s">
        <v>1645</v>
      </c>
      <c r="G187" s="116">
        <v>842.42499999999995</v>
      </c>
      <c r="H187" s="108">
        <v>0</v>
      </c>
    </row>
    <row r="188" spans="1:8" ht="12.2" customHeight="1" x14ac:dyDescent="0.2">
      <c r="D188" s="334" t="s">
        <v>2201</v>
      </c>
      <c r="E188" s="335"/>
      <c r="F188" s="335"/>
      <c r="G188" s="143">
        <v>746.58</v>
      </c>
    </row>
    <row r="189" spans="1:8" ht="12.2" customHeight="1" x14ac:dyDescent="0.2">
      <c r="A189" s="117"/>
      <c r="B189" s="117"/>
      <c r="C189" s="117"/>
      <c r="D189" s="334" t="s">
        <v>2548</v>
      </c>
      <c r="E189" s="335"/>
      <c r="F189" s="334"/>
      <c r="G189" s="144">
        <v>95.844999999999999</v>
      </c>
      <c r="H189" s="111"/>
    </row>
    <row r="190" spans="1:8" x14ac:dyDescent="0.2">
      <c r="A190" s="117" t="s">
        <v>83</v>
      </c>
      <c r="B190" s="117"/>
      <c r="C190" s="117" t="s">
        <v>638</v>
      </c>
      <c r="D190" s="304" t="s">
        <v>1144</v>
      </c>
      <c r="E190" s="305"/>
      <c r="F190" s="117" t="s">
        <v>1645</v>
      </c>
      <c r="G190" s="116">
        <v>1684.85</v>
      </c>
      <c r="H190" s="108">
        <v>0</v>
      </c>
    </row>
    <row r="191" spans="1:8" ht="12.2" customHeight="1" x14ac:dyDescent="0.2">
      <c r="D191" s="334" t="s">
        <v>2549</v>
      </c>
      <c r="E191" s="335"/>
      <c r="F191" s="335"/>
      <c r="G191" s="143">
        <v>1684.85</v>
      </c>
    </row>
    <row r="192" spans="1:8" x14ac:dyDescent="0.2">
      <c r="A192" s="117" t="s">
        <v>84</v>
      </c>
      <c r="B192" s="117"/>
      <c r="C192" s="117" t="s">
        <v>639</v>
      </c>
      <c r="D192" s="304" t="s">
        <v>1145</v>
      </c>
      <c r="E192" s="305"/>
      <c r="F192" s="117" t="s">
        <v>1645</v>
      </c>
      <c r="G192" s="116">
        <v>842.42499999999995</v>
      </c>
      <c r="H192" s="108">
        <v>0</v>
      </c>
    </row>
    <row r="193" spans="1:8" ht="12.2" customHeight="1" x14ac:dyDescent="0.2">
      <c r="D193" s="334" t="s">
        <v>2201</v>
      </c>
      <c r="E193" s="335"/>
      <c r="F193" s="335"/>
      <c r="G193" s="143">
        <v>746.58</v>
      </c>
    </row>
    <row r="194" spans="1:8" ht="12.2" customHeight="1" x14ac:dyDescent="0.2">
      <c r="A194" s="117"/>
      <c r="B194" s="117"/>
      <c r="C194" s="117"/>
      <c r="D194" s="334" t="s">
        <v>2548</v>
      </c>
      <c r="E194" s="335"/>
      <c r="F194" s="334"/>
      <c r="G194" s="144">
        <v>95.844999999999999</v>
      </c>
      <c r="H194" s="111"/>
    </row>
    <row r="195" spans="1:8" x14ac:dyDescent="0.2">
      <c r="A195" s="117" t="s">
        <v>85</v>
      </c>
      <c r="B195" s="117"/>
      <c r="C195" s="117" t="s">
        <v>640</v>
      </c>
      <c r="D195" s="304" t="s">
        <v>1146</v>
      </c>
      <c r="E195" s="305"/>
      <c r="F195" s="117" t="s">
        <v>1649</v>
      </c>
      <c r="G195" s="116">
        <v>20</v>
      </c>
      <c r="H195" s="108">
        <v>0</v>
      </c>
    </row>
    <row r="196" spans="1:8" ht="12.2" customHeight="1" x14ac:dyDescent="0.2">
      <c r="D196" s="334" t="s">
        <v>1802</v>
      </c>
      <c r="E196" s="335"/>
      <c r="F196" s="335"/>
      <c r="G196" s="143">
        <v>20</v>
      </c>
    </row>
    <row r="197" spans="1:8" x14ac:dyDescent="0.2">
      <c r="A197" s="120"/>
      <c r="B197" s="120"/>
      <c r="C197" s="120" t="s">
        <v>101</v>
      </c>
      <c r="D197" s="306" t="s">
        <v>1147</v>
      </c>
      <c r="E197" s="307"/>
      <c r="F197" s="120"/>
      <c r="G197" s="142"/>
      <c r="H197" s="109"/>
    </row>
    <row r="198" spans="1:8" x14ac:dyDescent="0.2">
      <c r="A198" s="117" t="s">
        <v>86</v>
      </c>
      <c r="B198" s="117"/>
      <c r="C198" s="117" t="s">
        <v>641</v>
      </c>
      <c r="D198" s="304" t="s">
        <v>1148</v>
      </c>
      <c r="E198" s="305"/>
      <c r="F198" s="117" t="s">
        <v>1645</v>
      </c>
      <c r="G198" s="116">
        <v>85.9</v>
      </c>
      <c r="H198" s="108">
        <v>0</v>
      </c>
    </row>
    <row r="199" spans="1:8" ht="12.2" customHeight="1" x14ac:dyDescent="0.2">
      <c r="D199" s="334" t="s">
        <v>1781</v>
      </c>
      <c r="E199" s="335"/>
      <c r="F199" s="335"/>
      <c r="G199" s="143">
        <v>85.9</v>
      </c>
    </row>
    <row r="200" spans="1:8" x14ac:dyDescent="0.2">
      <c r="A200" s="117" t="s">
        <v>87</v>
      </c>
      <c r="B200" s="117"/>
      <c r="C200" s="117" t="s">
        <v>642</v>
      </c>
      <c r="D200" s="304" t="s">
        <v>1149</v>
      </c>
      <c r="E200" s="305"/>
      <c r="F200" s="117" t="s">
        <v>1645</v>
      </c>
      <c r="G200" s="116">
        <v>11.925000000000001</v>
      </c>
      <c r="H200" s="108">
        <v>0</v>
      </c>
    </row>
    <row r="201" spans="1:8" ht="12.2" customHeight="1" x14ac:dyDescent="0.2">
      <c r="D201" s="334" t="s">
        <v>2196</v>
      </c>
      <c r="E201" s="335"/>
      <c r="F201" s="335"/>
      <c r="G201" s="143">
        <v>11.925000000000001</v>
      </c>
    </row>
    <row r="202" spans="1:8" x14ac:dyDescent="0.2">
      <c r="A202" s="117" t="s">
        <v>88</v>
      </c>
      <c r="B202" s="117"/>
      <c r="C202" s="117" t="s">
        <v>643</v>
      </c>
      <c r="D202" s="304" t="s">
        <v>1150</v>
      </c>
      <c r="E202" s="305"/>
      <c r="F202" s="117" t="s">
        <v>1645</v>
      </c>
      <c r="G202" s="116">
        <v>345.786</v>
      </c>
      <c r="H202" s="108">
        <v>0</v>
      </c>
    </row>
    <row r="203" spans="1:8" ht="12.2" customHeight="1" x14ac:dyDescent="0.2">
      <c r="D203" s="334" t="s">
        <v>1803</v>
      </c>
      <c r="E203" s="335"/>
      <c r="F203" s="335"/>
      <c r="G203" s="143">
        <v>345.786</v>
      </c>
    </row>
    <row r="204" spans="1:8" x14ac:dyDescent="0.2">
      <c r="A204" s="117" t="s">
        <v>89</v>
      </c>
      <c r="B204" s="117"/>
      <c r="C204" s="117" t="s">
        <v>644</v>
      </c>
      <c r="D204" s="304" t="s">
        <v>1151</v>
      </c>
      <c r="E204" s="305"/>
      <c r="F204" s="117" t="s">
        <v>1644</v>
      </c>
      <c r="G204" s="116">
        <v>1</v>
      </c>
      <c r="H204" s="108">
        <v>0</v>
      </c>
    </row>
    <row r="205" spans="1:8" ht="12.2" customHeight="1" x14ac:dyDescent="0.2">
      <c r="D205" s="334" t="s">
        <v>1749</v>
      </c>
      <c r="E205" s="335"/>
      <c r="F205" s="335"/>
      <c r="G205" s="143">
        <v>1</v>
      </c>
    </row>
    <row r="206" spans="1:8" x14ac:dyDescent="0.2">
      <c r="A206" s="117" t="s">
        <v>90</v>
      </c>
      <c r="B206" s="117"/>
      <c r="C206" s="117" t="s">
        <v>646</v>
      </c>
      <c r="D206" s="304" t="s">
        <v>1153</v>
      </c>
      <c r="E206" s="305"/>
      <c r="F206" s="117" t="s">
        <v>1650</v>
      </c>
      <c r="G206" s="116">
        <v>150</v>
      </c>
      <c r="H206" s="108">
        <v>0</v>
      </c>
    </row>
    <row r="207" spans="1:8" ht="12.2" customHeight="1" x14ac:dyDescent="0.2">
      <c r="D207" s="334" t="s">
        <v>1805</v>
      </c>
      <c r="E207" s="335"/>
      <c r="F207" s="335"/>
      <c r="G207" s="143">
        <v>150</v>
      </c>
    </row>
    <row r="208" spans="1:8" x14ac:dyDescent="0.2">
      <c r="A208" s="117" t="s">
        <v>91</v>
      </c>
      <c r="B208" s="117"/>
      <c r="C208" s="117" t="s">
        <v>647</v>
      </c>
      <c r="D208" s="304" t="s">
        <v>1154</v>
      </c>
      <c r="E208" s="305"/>
      <c r="F208" s="117" t="s">
        <v>1644</v>
      </c>
      <c r="G208" s="116">
        <v>6</v>
      </c>
      <c r="H208" s="108">
        <v>0</v>
      </c>
    </row>
    <row r="209" spans="1:8" ht="12.2" customHeight="1" x14ac:dyDescent="0.2">
      <c r="D209" s="334" t="s">
        <v>1806</v>
      </c>
      <c r="E209" s="335"/>
      <c r="F209" s="335"/>
      <c r="G209" s="143">
        <v>6</v>
      </c>
    </row>
    <row r="210" spans="1:8" x14ac:dyDescent="0.2">
      <c r="A210" s="117" t="s">
        <v>92</v>
      </c>
      <c r="B210" s="117"/>
      <c r="C210" s="117" t="s">
        <v>648</v>
      </c>
      <c r="D210" s="304" t="s">
        <v>1155</v>
      </c>
      <c r="E210" s="305"/>
      <c r="F210" s="117" t="s">
        <v>1644</v>
      </c>
      <c r="G210" s="116">
        <v>1</v>
      </c>
      <c r="H210" s="108">
        <v>0</v>
      </c>
    </row>
    <row r="211" spans="1:8" ht="12.2" customHeight="1" x14ac:dyDescent="0.2">
      <c r="D211" s="334" t="s">
        <v>1749</v>
      </c>
      <c r="E211" s="335"/>
      <c r="F211" s="335"/>
      <c r="G211" s="143">
        <v>1</v>
      </c>
    </row>
    <row r="212" spans="1:8" x14ac:dyDescent="0.2">
      <c r="A212" s="117" t="s">
        <v>93</v>
      </c>
      <c r="B212" s="117"/>
      <c r="C212" s="117" t="s">
        <v>649</v>
      </c>
      <c r="D212" s="304" t="s">
        <v>1156</v>
      </c>
      <c r="E212" s="305"/>
      <c r="F212" s="117" t="s">
        <v>1644</v>
      </c>
      <c r="G212" s="116">
        <v>1</v>
      </c>
      <c r="H212" s="108">
        <v>0</v>
      </c>
    </row>
    <row r="213" spans="1:8" ht="12.2" customHeight="1" x14ac:dyDescent="0.2">
      <c r="D213" s="334" t="s">
        <v>1749</v>
      </c>
      <c r="E213" s="335"/>
      <c r="F213" s="335"/>
      <c r="G213" s="143">
        <v>1</v>
      </c>
    </row>
    <row r="214" spans="1:8" x14ac:dyDescent="0.2">
      <c r="A214" s="117" t="s">
        <v>94</v>
      </c>
      <c r="B214" s="117"/>
      <c r="C214" s="117" t="s">
        <v>650</v>
      </c>
      <c r="D214" s="304" t="s">
        <v>1157</v>
      </c>
      <c r="E214" s="305"/>
      <c r="F214" s="117" t="s">
        <v>1644</v>
      </c>
      <c r="G214" s="116">
        <v>1</v>
      </c>
      <c r="H214" s="108">
        <v>0</v>
      </c>
    </row>
    <row r="215" spans="1:8" ht="12.2" customHeight="1" x14ac:dyDescent="0.2">
      <c r="D215" s="334" t="s">
        <v>1749</v>
      </c>
      <c r="E215" s="335"/>
      <c r="F215" s="335"/>
      <c r="G215" s="143">
        <v>1</v>
      </c>
    </row>
    <row r="216" spans="1:8" x14ac:dyDescent="0.2">
      <c r="A216" s="120"/>
      <c r="B216" s="120"/>
      <c r="C216" s="120" t="s">
        <v>102</v>
      </c>
      <c r="D216" s="306" t="s">
        <v>1158</v>
      </c>
      <c r="E216" s="307"/>
      <c r="F216" s="120"/>
      <c r="G216" s="142"/>
      <c r="H216" s="109"/>
    </row>
    <row r="217" spans="1:8" x14ac:dyDescent="0.2">
      <c r="A217" s="117" t="s">
        <v>95</v>
      </c>
      <c r="B217" s="117"/>
      <c r="C217" s="117" t="s">
        <v>651</v>
      </c>
      <c r="D217" s="304" t="s">
        <v>1159</v>
      </c>
      <c r="E217" s="305"/>
      <c r="F217" s="117" t="s">
        <v>1645</v>
      </c>
      <c r="G217" s="116">
        <v>108.31100000000001</v>
      </c>
      <c r="H217" s="108">
        <v>0</v>
      </c>
    </row>
    <row r="218" spans="1:8" ht="12.2" customHeight="1" x14ac:dyDescent="0.2">
      <c r="D218" s="334" t="s">
        <v>1783</v>
      </c>
      <c r="E218" s="335"/>
      <c r="F218" s="335"/>
      <c r="G218" s="143">
        <v>108.31100000000001</v>
      </c>
    </row>
    <row r="219" spans="1:8" x14ac:dyDescent="0.2">
      <c r="A219" s="117" t="s">
        <v>96</v>
      </c>
      <c r="B219" s="117"/>
      <c r="C219" s="117" t="s">
        <v>652</v>
      </c>
      <c r="D219" s="304" t="s">
        <v>1160</v>
      </c>
      <c r="E219" s="305"/>
      <c r="F219" s="117" t="s">
        <v>1644</v>
      </c>
      <c r="G219" s="116">
        <v>6</v>
      </c>
      <c r="H219" s="108">
        <v>0</v>
      </c>
    </row>
    <row r="220" spans="1:8" ht="12.2" customHeight="1" x14ac:dyDescent="0.2">
      <c r="D220" s="334" t="s">
        <v>1806</v>
      </c>
      <c r="E220" s="335"/>
      <c r="F220" s="335"/>
      <c r="G220" s="143">
        <v>6</v>
      </c>
    </row>
    <row r="221" spans="1:8" x14ac:dyDescent="0.2">
      <c r="A221" s="117" t="s">
        <v>97</v>
      </c>
      <c r="B221" s="117"/>
      <c r="C221" s="117" t="s">
        <v>653</v>
      </c>
      <c r="D221" s="304" t="s">
        <v>1161</v>
      </c>
      <c r="E221" s="305"/>
      <c r="F221" s="117" t="s">
        <v>1647</v>
      </c>
      <c r="G221" s="116">
        <v>0.12</v>
      </c>
      <c r="H221" s="108">
        <v>0</v>
      </c>
    </row>
    <row r="222" spans="1:8" ht="12.2" customHeight="1" x14ac:dyDescent="0.2">
      <c r="D222" s="334" t="s">
        <v>1807</v>
      </c>
      <c r="E222" s="335"/>
      <c r="F222" s="335"/>
      <c r="G222" s="143">
        <v>0.12</v>
      </c>
    </row>
    <row r="223" spans="1:8" x14ac:dyDescent="0.2">
      <c r="A223" s="117" t="s">
        <v>98</v>
      </c>
      <c r="B223" s="117"/>
      <c r="C223" s="117" t="s">
        <v>654</v>
      </c>
      <c r="D223" s="304" t="s">
        <v>1162</v>
      </c>
      <c r="E223" s="305"/>
      <c r="F223" s="117" t="s">
        <v>1645</v>
      </c>
      <c r="G223" s="116">
        <v>108.31100000000001</v>
      </c>
      <c r="H223" s="108">
        <v>0</v>
      </c>
    </row>
    <row r="224" spans="1:8" ht="12.2" customHeight="1" x14ac:dyDescent="0.2">
      <c r="D224" s="334" t="s">
        <v>1783</v>
      </c>
      <c r="E224" s="335"/>
      <c r="F224" s="335"/>
      <c r="G224" s="143">
        <v>108.31100000000001</v>
      </c>
    </row>
    <row r="225" spans="1:8" x14ac:dyDescent="0.2">
      <c r="A225" s="117" t="s">
        <v>99</v>
      </c>
      <c r="B225" s="117"/>
      <c r="C225" s="117" t="s">
        <v>655</v>
      </c>
      <c r="D225" s="304" t="s">
        <v>1163</v>
      </c>
      <c r="E225" s="305"/>
      <c r="F225" s="117" t="s">
        <v>1647</v>
      </c>
      <c r="G225" s="116">
        <v>1.1000000000000001</v>
      </c>
      <c r="H225" s="108">
        <v>0</v>
      </c>
    </row>
    <row r="226" spans="1:8" ht="12.2" customHeight="1" x14ac:dyDescent="0.2">
      <c r="D226" s="334" t="s">
        <v>1808</v>
      </c>
      <c r="E226" s="335"/>
      <c r="F226" s="335"/>
      <c r="G226" s="143">
        <v>1.1000000000000001</v>
      </c>
    </row>
    <row r="227" spans="1:8" x14ac:dyDescent="0.2">
      <c r="A227" s="117" t="s">
        <v>100</v>
      </c>
      <c r="B227" s="117"/>
      <c r="C227" s="117" t="s">
        <v>657</v>
      </c>
      <c r="D227" s="304" t="s">
        <v>1165</v>
      </c>
      <c r="E227" s="305"/>
      <c r="F227" s="117" t="s">
        <v>1647</v>
      </c>
      <c r="G227" s="116">
        <v>0.33800000000000002</v>
      </c>
      <c r="H227" s="108">
        <v>0</v>
      </c>
    </row>
    <row r="228" spans="1:8" ht="12.2" customHeight="1" x14ac:dyDescent="0.2">
      <c r="D228" s="334" t="s">
        <v>1810</v>
      </c>
      <c r="E228" s="335"/>
      <c r="F228" s="335"/>
      <c r="G228" s="143">
        <v>0.33800000000000002</v>
      </c>
    </row>
    <row r="229" spans="1:8" x14ac:dyDescent="0.2">
      <c r="A229" s="117" t="s">
        <v>101</v>
      </c>
      <c r="B229" s="117"/>
      <c r="C229" s="117" t="s">
        <v>658</v>
      </c>
      <c r="D229" s="304" t="s">
        <v>2488</v>
      </c>
      <c r="E229" s="305"/>
      <c r="F229" s="117" t="s">
        <v>1645</v>
      </c>
      <c r="G229" s="116">
        <v>10.725</v>
      </c>
      <c r="H229" s="108">
        <v>0</v>
      </c>
    </row>
    <row r="230" spans="1:8" ht="12.2" customHeight="1" x14ac:dyDescent="0.2">
      <c r="D230" s="334" t="s">
        <v>2198</v>
      </c>
      <c r="E230" s="335"/>
      <c r="F230" s="335"/>
      <c r="G230" s="143">
        <v>10.725</v>
      </c>
    </row>
    <row r="231" spans="1:8" x14ac:dyDescent="0.2">
      <c r="A231" s="117" t="s">
        <v>102</v>
      </c>
      <c r="B231" s="117"/>
      <c r="C231" s="117" t="s">
        <v>659</v>
      </c>
      <c r="D231" s="304" t="s">
        <v>2487</v>
      </c>
      <c r="E231" s="305"/>
      <c r="F231" s="117" t="s">
        <v>1646</v>
      </c>
      <c r="G231" s="116">
        <v>17.7</v>
      </c>
      <c r="H231" s="108">
        <v>0</v>
      </c>
    </row>
    <row r="232" spans="1:8" ht="12.2" customHeight="1" x14ac:dyDescent="0.2">
      <c r="D232" s="334" t="s">
        <v>2199</v>
      </c>
      <c r="E232" s="335"/>
      <c r="F232" s="335"/>
      <c r="G232" s="143">
        <v>17.7</v>
      </c>
    </row>
    <row r="233" spans="1:8" x14ac:dyDescent="0.2">
      <c r="A233" s="117" t="s">
        <v>103</v>
      </c>
      <c r="B233" s="117"/>
      <c r="C233" s="117" t="s">
        <v>660</v>
      </c>
      <c r="D233" s="304" t="s">
        <v>2486</v>
      </c>
      <c r="E233" s="305"/>
      <c r="F233" s="117" t="s">
        <v>1645</v>
      </c>
      <c r="G233" s="116">
        <v>10.725</v>
      </c>
      <c r="H233" s="108">
        <v>0</v>
      </c>
    </row>
    <row r="234" spans="1:8" ht="12.2" customHeight="1" x14ac:dyDescent="0.2">
      <c r="D234" s="334" t="s">
        <v>2198</v>
      </c>
      <c r="E234" s="335"/>
      <c r="F234" s="335"/>
      <c r="G234" s="143">
        <v>10.725</v>
      </c>
    </row>
    <row r="235" spans="1:8" x14ac:dyDescent="0.2">
      <c r="A235" s="117" t="s">
        <v>104</v>
      </c>
      <c r="B235" s="117"/>
      <c r="C235" s="117" t="s">
        <v>661</v>
      </c>
      <c r="D235" s="304" t="s">
        <v>1169</v>
      </c>
      <c r="E235" s="305"/>
      <c r="F235" s="117" t="s">
        <v>1644</v>
      </c>
      <c r="G235" s="116">
        <v>1</v>
      </c>
      <c r="H235" s="108">
        <v>0</v>
      </c>
    </row>
    <row r="236" spans="1:8" ht="12.2" customHeight="1" x14ac:dyDescent="0.2">
      <c r="D236" s="334" t="s">
        <v>1749</v>
      </c>
      <c r="E236" s="335"/>
      <c r="F236" s="335"/>
      <c r="G236" s="143">
        <v>1</v>
      </c>
    </row>
    <row r="237" spans="1:8" x14ac:dyDescent="0.2">
      <c r="A237" s="117" t="s">
        <v>105</v>
      </c>
      <c r="B237" s="117"/>
      <c r="C237" s="117" t="s">
        <v>662</v>
      </c>
      <c r="D237" s="304" t="s">
        <v>1170</v>
      </c>
      <c r="E237" s="305"/>
      <c r="F237" s="117" t="s">
        <v>1644</v>
      </c>
      <c r="G237" s="116">
        <v>1</v>
      </c>
      <c r="H237" s="108">
        <v>0</v>
      </c>
    </row>
    <row r="238" spans="1:8" ht="12.2" customHeight="1" x14ac:dyDescent="0.2">
      <c r="D238" s="334" t="s">
        <v>1749</v>
      </c>
      <c r="E238" s="335"/>
      <c r="F238" s="335"/>
      <c r="G238" s="143">
        <v>1</v>
      </c>
    </row>
    <row r="239" spans="1:8" x14ac:dyDescent="0.2">
      <c r="A239" s="117" t="s">
        <v>106</v>
      </c>
      <c r="B239" s="117"/>
      <c r="C239" s="117" t="s">
        <v>2145</v>
      </c>
      <c r="D239" s="304" t="s">
        <v>2144</v>
      </c>
      <c r="E239" s="305"/>
      <c r="F239" s="117" t="s">
        <v>1644</v>
      </c>
      <c r="G239" s="116">
        <v>1</v>
      </c>
      <c r="H239" s="108">
        <v>0</v>
      </c>
    </row>
    <row r="240" spans="1:8" ht="12.2" customHeight="1" x14ac:dyDescent="0.2">
      <c r="D240" s="334" t="s">
        <v>1749</v>
      </c>
      <c r="E240" s="335"/>
      <c r="F240" s="335"/>
      <c r="G240" s="143">
        <v>1</v>
      </c>
    </row>
    <row r="241" spans="1:8" x14ac:dyDescent="0.2">
      <c r="A241" s="117" t="s">
        <v>107</v>
      </c>
      <c r="B241" s="117"/>
      <c r="C241" s="117" t="s">
        <v>663</v>
      </c>
      <c r="D241" s="304" t="s">
        <v>1171</v>
      </c>
      <c r="E241" s="305"/>
      <c r="F241" s="117" t="s">
        <v>1644</v>
      </c>
      <c r="G241" s="116">
        <v>15</v>
      </c>
      <c r="H241" s="108">
        <v>0</v>
      </c>
    </row>
    <row r="242" spans="1:8" ht="12.2" customHeight="1" x14ac:dyDescent="0.2">
      <c r="D242" s="334" t="s">
        <v>1813</v>
      </c>
      <c r="E242" s="335"/>
      <c r="F242" s="335"/>
      <c r="G242" s="143">
        <v>15</v>
      </c>
    </row>
    <row r="243" spans="1:8" x14ac:dyDescent="0.2">
      <c r="A243" s="117" t="s">
        <v>108</v>
      </c>
      <c r="B243" s="117"/>
      <c r="C243" s="117" t="s">
        <v>665</v>
      </c>
      <c r="D243" s="304" t="s">
        <v>1173</v>
      </c>
      <c r="E243" s="305"/>
      <c r="F243" s="117" t="s">
        <v>1645</v>
      </c>
      <c r="G243" s="116">
        <v>75.816999999999993</v>
      </c>
      <c r="H243" s="108">
        <v>0</v>
      </c>
    </row>
    <row r="244" spans="1:8" ht="12.2" customHeight="1" x14ac:dyDescent="0.2">
      <c r="D244" s="334" t="s">
        <v>1815</v>
      </c>
      <c r="E244" s="335"/>
      <c r="F244" s="335"/>
      <c r="G244" s="143">
        <v>75.816999999999993</v>
      </c>
    </row>
    <row r="245" spans="1:8" x14ac:dyDescent="0.2">
      <c r="A245" s="117" t="s">
        <v>109</v>
      </c>
      <c r="B245" s="117"/>
      <c r="C245" s="117" t="s">
        <v>666</v>
      </c>
      <c r="D245" s="304" t="s">
        <v>1174</v>
      </c>
      <c r="E245" s="305"/>
      <c r="F245" s="117" t="s">
        <v>1645</v>
      </c>
      <c r="G245" s="116">
        <v>32.493000000000002</v>
      </c>
      <c r="H245" s="108">
        <v>0</v>
      </c>
    </row>
    <row r="246" spans="1:8" ht="12.2" customHeight="1" x14ac:dyDescent="0.2">
      <c r="D246" s="334" t="s">
        <v>1816</v>
      </c>
      <c r="E246" s="335"/>
      <c r="F246" s="335"/>
      <c r="G246" s="143">
        <v>32.493000000000002</v>
      </c>
    </row>
    <row r="247" spans="1:8" x14ac:dyDescent="0.2">
      <c r="A247" s="117" t="s">
        <v>110</v>
      </c>
      <c r="B247" s="117"/>
      <c r="C247" s="117" t="s">
        <v>667</v>
      </c>
      <c r="D247" s="304" t="s">
        <v>2143</v>
      </c>
      <c r="E247" s="305"/>
      <c r="F247" s="117" t="s">
        <v>1644</v>
      </c>
      <c r="G247" s="116">
        <v>1</v>
      </c>
      <c r="H247" s="108">
        <v>0</v>
      </c>
    </row>
    <row r="248" spans="1:8" ht="12.2" customHeight="1" x14ac:dyDescent="0.2">
      <c r="D248" s="334" t="s">
        <v>1749</v>
      </c>
      <c r="E248" s="335"/>
      <c r="F248" s="335"/>
      <c r="G248" s="143">
        <v>1</v>
      </c>
    </row>
    <row r="249" spans="1:8" x14ac:dyDescent="0.2">
      <c r="A249" s="120"/>
      <c r="B249" s="120"/>
      <c r="C249" s="120" t="s">
        <v>103</v>
      </c>
      <c r="D249" s="306" t="s">
        <v>1178</v>
      </c>
      <c r="E249" s="307"/>
      <c r="F249" s="120"/>
      <c r="G249" s="142"/>
      <c r="H249" s="109"/>
    </row>
    <row r="250" spans="1:8" x14ac:dyDescent="0.2">
      <c r="A250" s="117" t="s">
        <v>111</v>
      </c>
      <c r="B250" s="117"/>
      <c r="C250" s="117" t="s">
        <v>2485</v>
      </c>
      <c r="D250" s="304" t="s">
        <v>2484</v>
      </c>
      <c r="E250" s="305"/>
      <c r="F250" s="117" t="s">
        <v>1646</v>
      </c>
      <c r="G250" s="116">
        <v>0.45</v>
      </c>
      <c r="H250" s="108">
        <v>0</v>
      </c>
    </row>
    <row r="251" spans="1:8" ht="12.2" customHeight="1" x14ac:dyDescent="0.2">
      <c r="D251" s="334" t="s">
        <v>2546</v>
      </c>
      <c r="E251" s="335"/>
      <c r="F251" s="335"/>
      <c r="G251" s="143">
        <v>0.45</v>
      </c>
    </row>
    <row r="252" spans="1:8" x14ac:dyDescent="0.2">
      <c r="A252" s="117" t="s">
        <v>112</v>
      </c>
      <c r="B252" s="117"/>
      <c r="C252" s="117" t="s">
        <v>2483</v>
      </c>
      <c r="D252" s="304" t="s">
        <v>2482</v>
      </c>
      <c r="E252" s="305"/>
      <c r="F252" s="117" t="s">
        <v>1646</v>
      </c>
      <c r="G252" s="116">
        <v>0.45</v>
      </c>
      <c r="H252" s="108">
        <v>0</v>
      </c>
    </row>
    <row r="253" spans="1:8" ht="12.2" customHeight="1" x14ac:dyDescent="0.2">
      <c r="D253" s="334" t="s">
        <v>2546</v>
      </c>
      <c r="E253" s="335"/>
      <c r="F253" s="335"/>
      <c r="G253" s="143">
        <v>0.45</v>
      </c>
    </row>
    <row r="254" spans="1:8" x14ac:dyDescent="0.2">
      <c r="A254" s="117" t="s">
        <v>113</v>
      </c>
      <c r="B254" s="117"/>
      <c r="C254" s="117" t="s">
        <v>2481</v>
      </c>
      <c r="D254" s="304" t="s">
        <v>2480</v>
      </c>
      <c r="E254" s="305"/>
      <c r="F254" s="117" t="s">
        <v>1646</v>
      </c>
      <c r="G254" s="116">
        <v>0.45</v>
      </c>
      <c r="H254" s="108">
        <v>0</v>
      </c>
    </row>
    <row r="255" spans="1:8" ht="12.2" customHeight="1" x14ac:dyDescent="0.2">
      <c r="D255" s="334" t="s">
        <v>2546</v>
      </c>
      <c r="E255" s="335"/>
      <c r="F255" s="335"/>
      <c r="G255" s="143">
        <v>0.45</v>
      </c>
    </row>
    <row r="256" spans="1:8" x14ac:dyDescent="0.2">
      <c r="A256" s="117" t="s">
        <v>114</v>
      </c>
      <c r="B256" s="117"/>
      <c r="C256" s="117" t="s">
        <v>670</v>
      </c>
      <c r="D256" s="304" t="s">
        <v>1179</v>
      </c>
      <c r="E256" s="305"/>
      <c r="F256" s="117" t="s">
        <v>1646</v>
      </c>
      <c r="G256" s="116">
        <v>1.925</v>
      </c>
      <c r="H256" s="108">
        <v>0</v>
      </c>
    </row>
    <row r="257" spans="1:8" ht="12.2" customHeight="1" x14ac:dyDescent="0.2">
      <c r="D257" s="334" t="s">
        <v>2547</v>
      </c>
      <c r="E257" s="335"/>
      <c r="F257" s="335"/>
      <c r="G257" s="143">
        <v>1.925</v>
      </c>
    </row>
    <row r="258" spans="1:8" x14ac:dyDescent="0.2">
      <c r="A258" s="117" t="s">
        <v>115</v>
      </c>
      <c r="B258" s="117"/>
      <c r="C258" s="117" t="s">
        <v>671</v>
      </c>
      <c r="D258" s="304" t="s">
        <v>1180</v>
      </c>
      <c r="E258" s="305"/>
      <c r="F258" s="117" t="s">
        <v>1646</v>
      </c>
      <c r="G258" s="116">
        <v>1.925</v>
      </c>
      <c r="H258" s="108">
        <v>0</v>
      </c>
    </row>
    <row r="259" spans="1:8" ht="12.2" customHeight="1" x14ac:dyDescent="0.2">
      <c r="D259" s="334" t="s">
        <v>2547</v>
      </c>
      <c r="E259" s="335"/>
      <c r="F259" s="335"/>
      <c r="G259" s="143">
        <v>1.925</v>
      </c>
    </row>
    <row r="260" spans="1:8" x14ac:dyDescent="0.2">
      <c r="A260" s="117" t="s">
        <v>116</v>
      </c>
      <c r="B260" s="117"/>
      <c r="C260" s="117" t="s">
        <v>672</v>
      </c>
      <c r="D260" s="304" t="s">
        <v>1181</v>
      </c>
      <c r="E260" s="305"/>
      <c r="F260" s="117" t="s">
        <v>1646</v>
      </c>
      <c r="G260" s="116">
        <v>1.925</v>
      </c>
      <c r="H260" s="108">
        <v>0</v>
      </c>
    </row>
    <row r="261" spans="1:8" ht="12.2" customHeight="1" x14ac:dyDescent="0.2">
      <c r="D261" s="334" t="s">
        <v>2547</v>
      </c>
      <c r="E261" s="335"/>
      <c r="F261" s="335"/>
      <c r="G261" s="143">
        <v>1.925</v>
      </c>
    </row>
    <row r="262" spans="1:8" x14ac:dyDescent="0.2">
      <c r="A262" s="117" t="s">
        <v>117</v>
      </c>
      <c r="B262" s="117"/>
      <c r="C262" s="117" t="s">
        <v>2479</v>
      </c>
      <c r="D262" s="304" t="s">
        <v>2478</v>
      </c>
      <c r="E262" s="305"/>
      <c r="F262" s="117" t="s">
        <v>1646</v>
      </c>
      <c r="G262" s="116">
        <v>0.45</v>
      </c>
      <c r="H262" s="108">
        <v>0</v>
      </c>
    </row>
    <row r="263" spans="1:8" ht="12.2" customHeight="1" x14ac:dyDescent="0.2">
      <c r="D263" s="334" t="s">
        <v>2546</v>
      </c>
      <c r="E263" s="335"/>
      <c r="F263" s="335"/>
      <c r="G263" s="143">
        <v>0.45</v>
      </c>
    </row>
    <row r="264" spans="1:8" x14ac:dyDescent="0.2">
      <c r="A264" s="117" t="s">
        <v>118</v>
      </c>
      <c r="B264" s="117"/>
      <c r="C264" s="117" t="s">
        <v>2477</v>
      </c>
      <c r="D264" s="304" t="s">
        <v>2476</v>
      </c>
      <c r="E264" s="305"/>
      <c r="F264" s="117" t="s">
        <v>1646</v>
      </c>
      <c r="G264" s="116">
        <v>0.45</v>
      </c>
      <c r="H264" s="108">
        <v>0</v>
      </c>
    </row>
    <row r="265" spans="1:8" ht="12.2" customHeight="1" x14ac:dyDescent="0.2">
      <c r="D265" s="334" t="s">
        <v>2546</v>
      </c>
      <c r="E265" s="335"/>
      <c r="F265" s="335"/>
      <c r="G265" s="143">
        <v>0.45</v>
      </c>
    </row>
    <row r="266" spans="1:8" x14ac:dyDescent="0.2">
      <c r="A266" s="117" t="s">
        <v>119</v>
      </c>
      <c r="B266" s="117"/>
      <c r="C266" s="117" t="s">
        <v>673</v>
      </c>
      <c r="D266" s="304" t="s">
        <v>1182</v>
      </c>
      <c r="E266" s="305"/>
      <c r="F266" s="117" t="s">
        <v>1644</v>
      </c>
      <c r="G266" s="116">
        <v>8</v>
      </c>
      <c r="H266" s="108">
        <v>0</v>
      </c>
    </row>
    <row r="267" spans="1:8" ht="12.2" customHeight="1" x14ac:dyDescent="0.2">
      <c r="D267" s="334" t="s">
        <v>1821</v>
      </c>
      <c r="E267" s="335"/>
      <c r="F267" s="335"/>
      <c r="G267" s="143">
        <v>8</v>
      </c>
    </row>
    <row r="268" spans="1:8" x14ac:dyDescent="0.2">
      <c r="A268" s="117" t="s">
        <v>120</v>
      </c>
      <c r="B268" s="117"/>
      <c r="C268" s="117" t="s">
        <v>674</v>
      </c>
      <c r="D268" s="304" t="s">
        <v>2142</v>
      </c>
      <c r="E268" s="305"/>
      <c r="F268" s="117" t="s">
        <v>1646</v>
      </c>
      <c r="G268" s="116">
        <v>1.5</v>
      </c>
      <c r="H268" s="108">
        <v>0</v>
      </c>
    </row>
    <row r="269" spans="1:8" ht="12.2" customHeight="1" x14ac:dyDescent="0.2">
      <c r="D269" s="334" t="s">
        <v>2545</v>
      </c>
      <c r="E269" s="335"/>
      <c r="F269" s="335"/>
      <c r="G269" s="143">
        <v>1.5</v>
      </c>
    </row>
    <row r="270" spans="1:8" x14ac:dyDescent="0.2">
      <c r="A270" s="117" t="s">
        <v>121</v>
      </c>
      <c r="B270" s="117"/>
      <c r="C270" s="117" t="s">
        <v>675</v>
      </c>
      <c r="D270" s="304" t="s">
        <v>2141</v>
      </c>
      <c r="E270" s="305"/>
      <c r="F270" s="117" t="s">
        <v>1646</v>
      </c>
      <c r="G270" s="116">
        <v>2.25</v>
      </c>
      <c r="H270" s="108">
        <v>0</v>
      </c>
    </row>
    <row r="271" spans="1:8" ht="12.2" customHeight="1" x14ac:dyDescent="0.2">
      <c r="D271" s="334" t="s">
        <v>1822</v>
      </c>
      <c r="E271" s="335"/>
      <c r="F271" s="335"/>
      <c r="G271" s="143">
        <v>2.25</v>
      </c>
    </row>
    <row r="272" spans="1:8" x14ac:dyDescent="0.2">
      <c r="A272" s="117" t="s">
        <v>122</v>
      </c>
      <c r="B272" s="117"/>
      <c r="C272" s="117" t="s">
        <v>676</v>
      </c>
      <c r="D272" s="304" t="s">
        <v>1185</v>
      </c>
      <c r="E272" s="305"/>
      <c r="F272" s="117" t="s">
        <v>1645</v>
      </c>
      <c r="G272" s="116">
        <v>268.387</v>
      </c>
      <c r="H272" s="108">
        <v>0</v>
      </c>
    </row>
    <row r="273" spans="1:8" ht="12.2" customHeight="1" x14ac:dyDescent="0.2">
      <c r="D273" s="334" t="s">
        <v>1779</v>
      </c>
      <c r="E273" s="335"/>
      <c r="F273" s="335"/>
      <c r="G273" s="143">
        <v>268.387</v>
      </c>
    </row>
    <row r="274" spans="1:8" x14ac:dyDescent="0.2">
      <c r="A274" s="117" t="s">
        <v>123</v>
      </c>
      <c r="B274" s="117"/>
      <c r="C274" s="117" t="s">
        <v>677</v>
      </c>
      <c r="D274" s="304" t="s">
        <v>2475</v>
      </c>
      <c r="E274" s="305"/>
      <c r="F274" s="117" t="s">
        <v>1645</v>
      </c>
      <c r="G274" s="116">
        <v>11.925000000000001</v>
      </c>
      <c r="H274" s="108">
        <v>0</v>
      </c>
    </row>
    <row r="275" spans="1:8" ht="12.2" customHeight="1" x14ac:dyDescent="0.2">
      <c r="D275" s="334" t="s">
        <v>2196</v>
      </c>
      <c r="E275" s="335"/>
      <c r="F275" s="335"/>
      <c r="G275" s="143">
        <v>11.925000000000001</v>
      </c>
    </row>
    <row r="276" spans="1:8" x14ac:dyDescent="0.2">
      <c r="A276" s="117" t="s">
        <v>124</v>
      </c>
      <c r="B276" s="117"/>
      <c r="C276" s="117" t="s">
        <v>678</v>
      </c>
      <c r="D276" s="304" t="s">
        <v>2474</v>
      </c>
      <c r="E276" s="305"/>
      <c r="F276" s="117" t="s">
        <v>1645</v>
      </c>
      <c r="G276" s="116">
        <v>19.77</v>
      </c>
      <c r="H276" s="108">
        <v>0</v>
      </c>
    </row>
    <row r="277" spans="1:8" ht="12.2" customHeight="1" x14ac:dyDescent="0.2">
      <c r="D277" s="334" t="s">
        <v>2191</v>
      </c>
      <c r="E277" s="335"/>
      <c r="F277" s="335"/>
      <c r="G277" s="143">
        <v>19.77</v>
      </c>
    </row>
    <row r="278" spans="1:8" x14ac:dyDescent="0.2">
      <c r="A278" s="117" t="s">
        <v>125</v>
      </c>
      <c r="B278" s="117"/>
      <c r="C278" s="117" t="s">
        <v>679</v>
      </c>
      <c r="D278" s="304" t="s">
        <v>2473</v>
      </c>
      <c r="E278" s="305"/>
      <c r="F278" s="117" t="s">
        <v>1645</v>
      </c>
      <c r="G278" s="116">
        <v>10.137</v>
      </c>
      <c r="H278" s="108">
        <v>0</v>
      </c>
    </row>
    <row r="279" spans="1:8" ht="12.2" customHeight="1" x14ac:dyDescent="0.2">
      <c r="D279" s="334" t="s">
        <v>2195</v>
      </c>
      <c r="E279" s="335"/>
      <c r="F279" s="335"/>
      <c r="G279" s="143">
        <v>10.137</v>
      </c>
    </row>
    <row r="280" spans="1:8" x14ac:dyDescent="0.2">
      <c r="A280" s="117" t="s">
        <v>126</v>
      </c>
      <c r="B280" s="117"/>
      <c r="C280" s="117" t="s">
        <v>680</v>
      </c>
      <c r="D280" s="304" t="s">
        <v>2472</v>
      </c>
      <c r="E280" s="305"/>
      <c r="F280" s="117" t="s">
        <v>1645</v>
      </c>
      <c r="G280" s="116">
        <v>65.236000000000004</v>
      </c>
      <c r="H280" s="108">
        <v>0</v>
      </c>
    </row>
    <row r="281" spans="1:8" ht="12.2" customHeight="1" x14ac:dyDescent="0.2">
      <c r="D281" s="334" t="s">
        <v>2544</v>
      </c>
      <c r="E281" s="335"/>
      <c r="F281" s="335"/>
      <c r="G281" s="143">
        <v>65.236000000000004</v>
      </c>
    </row>
    <row r="282" spans="1:8" x14ac:dyDescent="0.2">
      <c r="A282" s="117" t="s">
        <v>127</v>
      </c>
      <c r="B282" s="117"/>
      <c r="C282" s="117" t="s">
        <v>680</v>
      </c>
      <c r="D282" s="304" t="s">
        <v>1189</v>
      </c>
      <c r="E282" s="305"/>
      <c r="F282" s="117" t="s">
        <v>1645</v>
      </c>
      <c r="G282" s="116">
        <v>479.11200000000002</v>
      </c>
      <c r="H282" s="108">
        <v>0</v>
      </c>
    </row>
    <row r="283" spans="1:8" ht="12.2" customHeight="1" x14ac:dyDescent="0.2">
      <c r="D283" s="334" t="s">
        <v>2194</v>
      </c>
      <c r="E283" s="335"/>
      <c r="F283" s="335"/>
      <c r="G283" s="143">
        <v>479.11200000000002</v>
      </c>
    </row>
    <row r="284" spans="1:8" x14ac:dyDescent="0.2">
      <c r="A284" s="117" t="s">
        <v>128</v>
      </c>
      <c r="B284" s="117"/>
      <c r="C284" s="117" t="s">
        <v>681</v>
      </c>
      <c r="D284" s="304" t="s">
        <v>1190</v>
      </c>
      <c r="E284" s="305"/>
      <c r="F284" s="117" t="s">
        <v>1645</v>
      </c>
      <c r="G284" s="116">
        <v>479.11200000000002</v>
      </c>
      <c r="H284" s="108">
        <v>0</v>
      </c>
    </row>
    <row r="285" spans="1:8" ht="12.2" customHeight="1" x14ac:dyDescent="0.2">
      <c r="D285" s="334" t="s">
        <v>2194</v>
      </c>
      <c r="E285" s="335"/>
      <c r="F285" s="335"/>
      <c r="G285" s="143">
        <v>479.11200000000002</v>
      </c>
    </row>
    <row r="286" spans="1:8" x14ac:dyDescent="0.2">
      <c r="A286" s="117" t="s">
        <v>129</v>
      </c>
      <c r="B286" s="117"/>
      <c r="C286" s="117" t="s">
        <v>2471</v>
      </c>
      <c r="D286" s="304" t="s">
        <v>2470</v>
      </c>
      <c r="E286" s="305"/>
      <c r="F286" s="117" t="s">
        <v>1645</v>
      </c>
      <c r="G286" s="116">
        <v>9.0449999999999999</v>
      </c>
      <c r="H286" s="108">
        <v>0</v>
      </c>
    </row>
    <row r="287" spans="1:8" ht="12.2" customHeight="1" x14ac:dyDescent="0.2">
      <c r="D287" s="334" t="s">
        <v>2543</v>
      </c>
      <c r="E287" s="335"/>
      <c r="F287" s="335"/>
      <c r="G287" s="143">
        <v>9.0449999999999999</v>
      </c>
    </row>
    <row r="288" spans="1:8" x14ac:dyDescent="0.2">
      <c r="A288" s="117" t="s">
        <v>130</v>
      </c>
      <c r="B288" s="117"/>
      <c r="C288" s="117" t="s">
        <v>682</v>
      </c>
      <c r="D288" s="304" t="s">
        <v>1191</v>
      </c>
      <c r="E288" s="305"/>
      <c r="F288" s="117" t="s">
        <v>1645</v>
      </c>
      <c r="G288" s="116">
        <v>108.25700000000001</v>
      </c>
      <c r="H288" s="108">
        <v>0</v>
      </c>
    </row>
    <row r="289" spans="1:8" ht="12.2" customHeight="1" x14ac:dyDescent="0.2">
      <c r="D289" s="334" t="s">
        <v>2193</v>
      </c>
      <c r="E289" s="335"/>
      <c r="F289" s="335"/>
      <c r="G289" s="143">
        <v>108.25700000000001</v>
      </c>
    </row>
    <row r="290" spans="1:8" x14ac:dyDescent="0.2">
      <c r="A290" s="117" t="s">
        <v>131</v>
      </c>
      <c r="B290" s="117"/>
      <c r="C290" s="117" t="s">
        <v>682</v>
      </c>
      <c r="D290" s="304" t="s">
        <v>1192</v>
      </c>
      <c r="E290" s="305"/>
      <c r="F290" s="117" t="s">
        <v>1645</v>
      </c>
      <c r="G290" s="116">
        <v>67.39</v>
      </c>
      <c r="H290" s="108">
        <v>0</v>
      </c>
    </row>
    <row r="291" spans="1:8" ht="12.2" customHeight="1" x14ac:dyDescent="0.2">
      <c r="D291" s="334" t="s">
        <v>2192</v>
      </c>
      <c r="E291" s="335"/>
      <c r="F291" s="335"/>
      <c r="G291" s="143">
        <v>67.39</v>
      </c>
    </row>
    <row r="292" spans="1:8" x14ac:dyDescent="0.2">
      <c r="A292" s="117" t="s">
        <v>132</v>
      </c>
      <c r="B292" s="117"/>
      <c r="C292" s="117" t="s">
        <v>683</v>
      </c>
      <c r="D292" s="304" t="s">
        <v>1194</v>
      </c>
      <c r="E292" s="305"/>
      <c r="F292" s="117" t="s">
        <v>1645</v>
      </c>
      <c r="G292" s="116">
        <v>19.77</v>
      </c>
      <c r="H292" s="108">
        <v>0</v>
      </c>
    </row>
    <row r="293" spans="1:8" ht="12.2" customHeight="1" x14ac:dyDescent="0.2">
      <c r="D293" s="334" t="s">
        <v>2191</v>
      </c>
      <c r="E293" s="335"/>
      <c r="F293" s="335"/>
      <c r="G293" s="143">
        <v>19.77</v>
      </c>
    </row>
    <row r="294" spans="1:8" x14ac:dyDescent="0.2">
      <c r="A294" s="120"/>
      <c r="B294" s="120"/>
      <c r="C294" s="120" t="s">
        <v>686</v>
      </c>
      <c r="D294" s="306" t="s">
        <v>1198</v>
      </c>
      <c r="E294" s="307"/>
      <c r="F294" s="120"/>
      <c r="G294" s="142"/>
      <c r="H294" s="109"/>
    </row>
    <row r="295" spans="1:8" x14ac:dyDescent="0.2">
      <c r="A295" s="117" t="s">
        <v>133</v>
      </c>
      <c r="B295" s="117"/>
      <c r="C295" s="117" t="s">
        <v>687</v>
      </c>
      <c r="D295" s="304" t="s">
        <v>1199</v>
      </c>
      <c r="E295" s="305"/>
      <c r="F295" s="117" t="s">
        <v>1648</v>
      </c>
      <c r="G295" s="116">
        <v>24.672000000000001</v>
      </c>
      <c r="H295" s="108">
        <v>0</v>
      </c>
    </row>
    <row r="296" spans="1:8" ht="12.2" customHeight="1" x14ac:dyDescent="0.2">
      <c r="D296" s="334" t="s">
        <v>2542</v>
      </c>
      <c r="E296" s="335"/>
      <c r="F296" s="335"/>
      <c r="G296" s="143">
        <v>24.672000000000001</v>
      </c>
    </row>
    <row r="297" spans="1:8" x14ac:dyDescent="0.2">
      <c r="A297" s="117" t="s">
        <v>134</v>
      </c>
      <c r="B297" s="117"/>
      <c r="C297" s="117" t="s">
        <v>688</v>
      </c>
      <c r="D297" s="304" t="s">
        <v>1200</v>
      </c>
      <c r="E297" s="305"/>
      <c r="F297" s="117" t="s">
        <v>1648</v>
      </c>
      <c r="G297" s="116">
        <v>14.803000000000001</v>
      </c>
      <c r="H297" s="108">
        <v>0</v>
      </c>
    </row>
    <row r="298" spans="1:8" ht="12.2" customHeight="1" x14ac:dyDescent="0.2">
      <c r="D298" s="334" t="s">
        <v>2541</v>
      </c>
      <c r="E298" s="335"/>
      <c r="F298" s="335"/>
      <c r="G298" s="143">
        <v>14.803000000000001</v>
      </c>
    </row>
    <row r="299" spans="1:8" x14ac:dyDescent="0.2">
      <c r="A299" s="117" t="s">
        <v>135</v>
      </c>
      <c r="B299" s="117"/>
      <c r="C299" s="117" t="s">
        <v>689</v>
      </c>
      <c r="D299" s="304" t="s">
        <v>1201</v>
      </c>
      <c r="E299" s="305"/>
      <c r="F299" s="117" t="s">
        <v>1648</v>
      </c>
      <c r="G299" s="116">
        <v>74.015000000000001</v>
      </c>
      <c r="H299" s="108">
        <v>0</v>
      </c>
    </row>
    <row r="300" spans="1:8" ht="12.2" customHeight="1" x14ac:dyDescent="0.2">
      <c r="D300" s="334" t="s">
        <v>2538</v>
      </c>
      <c r="E300" s="335"/>
      <c r="F300" s="335"/>
      <c r="G300" s="143">
        <v>74.015000000000001</v>
      </c>
    </row>
    <row r="301" spans="1:8" x14ac:dyDescent="0.2">
      <c r="A301" s="117" t="s">
        <v>136</v>
      </c>
      <c r="B301" s="117"/>
      <c r="C301" s="117" t="s">
        <v>690</v>
      </c>
      <c r="D301" s="304" t="s">
        <v>1202</v>
      </c>
      <c r="E301" s="305"/>
      <c r="F301" s="117" t="s">
        <v>1648</v>
      </c>
      <c r="G301" s="116">
        <v>666.13499999999999</v>
      </c>
      <c r="H301" s="108">
        <v>0</v>
      </c>
    </row>
    <row r="302" spans="1:8" ht="12.2" customHeight="1" x14ac:dyDescent="0.2">
      <c r="D302" s="334" t="s">
        <v>2540</v>
      </c>
      <c r="E302" s="335"/>
      <c r="F302" s="335"/>
      <c r="G302" s="143">
        <v>666.13499999999999</v>
      </c>
    </row>
    <row r="303" spans="1:8" x14ac:dyDescent="0.2">
      <c r="A303" s="117" t="s">
        <v>137</v>
      </c>
      <c r="B303" s="117"/>
      <c r="C303" s="117" t="s">
        <v>691</v>
      </c>
      <c r="D303" s="304" t="s">
        <v>1203</v>
      </c>
      <c r="E303" s="305"/>
      <c r="F303" s="117" t="s">
        <v>1648</v>
      </c>
      <c r="G303" s="116">
        <v>74.015000000000001</v>
      </c>
      <c r="H303" s="108">
        <v>0</v>
      </c>
    </row>
    <row r="304" spans="1:8" ht="12.2" customHeight="1" x14ac:dyDescent="0.2">
      <c r="D304" s="334" t="s">
        <v>2538</v>
      </c>
      <c r="E304" s="335"/>
      <c r="F304" s="335"/>
      <c r="G304" s="143">
        <v>74.015000000000001</v>
      </c>
    </row>
    <row r="305" spans="1:8" x14ac:dyDescent="0.2">
      <c r="A305" s="117" t="s">
        <v>138</v>
      </c>
      <c r="B305" s="117"/>
      <c r="C305" s="117" t="s">
        <v>692</v>
      </c>
      <c r="D305" s="304" t="s">
        <v>1204</v>
      </c>
      <c r="E305" s="305"/>
      <c r="F305" s="117" t="s">
        <v>1648</v>
      </c>
      <c r="G305" s="116">
        <v>296.06</v>
      </c>
      <c r="H305" s="108">
        <v>0</v>
      </c>
    </row>
    <row r="306" spans="1:8" ht="12.2" customHeight="1" x14ac:dyDescent="0.2">
      <c r="D306" s="334" t="s">
        <v>2539</v>
      </c>
      <c r="E306" s="335"/>
      <c r="F306" s="335"/>
      <c r="G306" s="143">
        <v>296.06</v>
      </c>
    </row>
    <row r="307" spans="1:8" x14ac:dyDescent="0.2">
      <c r="A307" s="117" t="s">
        <v>139</v>
      </c>
      <c r="B307" s="117"/>
      <c r="C307" s="117" t="s">
        <v>693</v>
      </c>
      <c r="D307" s="304" t="s">
        <v>1205</v>
      </c>
      <c r="E307" s="305"/>
      <c r="F307" s="117" t="s">
        <v>1648</v>
      </c>
      <c r="G307" s="116">
        <v>74.015000000000001</v>
      </c>
      <c r="H307" s="108">
        <v>0</v>
      </c>
    </row>
    <row r="308" spans="1:8" ht="12.2" customHeight="1" x14ac:dyDescent="0.2">
      <c r="D308" s="334" t="s">
        <v>2538</v>
      </c>
      <c r="E308" s="335"/>
      <c r="F308" s="335"/>
      <c r="G308" s="143">
        <v>74.015000000000001</v>
      </c>
    </row>
    <row r="309" spans="1:8" x14ac:dyDescent="0.2">
      <c r="A309" s="117" t="s">
        <v>140</v>
      </c>
      <c r="B309" s="117"/>
      <c r="C309" s="117" t="s">
        <v>694</v>
      </c>
      <c r="D309" s="304" t="s">
        <v>1206</v>
      </c>
      <c r="E309" s="305"/>
      <c r="F309" s="117" t="s">
        <v>1648</v>
      </c>
      <c r="G309" s="116">
        <v>74.015000000000001</v>
      </c>
      <c r="H309" s="108">
        <v>0</v>
      </c>
    </row>
    <row r="310" spans="1:8" ht="12.2" customHeight="1" x14ac:dyDescent="0.2">
      <c r="D310" s="334" t="s">
        <v>2538</v>
      </c>
      <c r="E310" s="335"/>
      <c r="F310" s="335"/>
      <c r="G310" s="143">
        <v>74.015000000000001</v>
      </c>
    </row>
    <row r="311" spans="1:8" x14ac:dyDescent="0.2">
      <c r="A311" s="117" t="s">
        <v>141</v>
      </c>
      <c r="B311" s="117"/>
      <c r="C311" s="117" t="s">
        <v>695</v>
      </c>
      <c r="D311" s="304" t="s">
        <v>1207</v>
      </c>
      <c r="E311" s="305"/>
      <c r="F311" s="117" t="s">
        <v>1648</v>
      </c>
      <c r="G311" s="116">
        <v>3.4119999999999999</v>
      </c>
      <c r="H311" s="108">
        <v>0</v>
      </c>
    </row>
    <row r="312" spans="1:8" ht="12.2" customHeight="1" x14ac:dyDescent="0.2">
      <c r="D312" s="334" t="s">
        <v>2537</v>
      </c>
      <c r="E312" s="335"/>
      <c r="F312" s="335"/>
      <c r="G312" s="143">
        <v>3.4119999999999999</v>
      </c>
    </row>
    <row r="313" spans="1:8" x14ac:dyDescent="0.2">
      <c r="A313" s="117" t="s">
        <v>142</v>
      </c>
      <c r="B313" s="117"/>
      <c r="C313" s="117" t="s">
        <v>696</v>
      </c>
      <c r="D313" s="304" t="s">
        <v>1208</v>
      </c>
      <c r="E313" s="305"/>
      <c r="F313" s="117" t="s">
        <v>1648</v>
      </c>
      <c r="G313" s="116">
        <v>8.0960000000000001</v>
      </c>
      <c r="H313" s="108">
        <v>0</v>
      </c>
    </row>
    <row r="314" spans="1:8" ht="12.2" customHeight="1" x14ac:dyDescent="0.2">
      <c r="D314" s="334" t="s">
        <v>2536</v>
      </c>
      <c r="E314" s="335"/>
      <c r="F314" s="335"/>
      <c r="G314" s="143">
        <v>8.0960000000000001</v>
      </c>
    </row>
    <row r="315" spans="1:8" x14ac:dyDescent="0.2">
      <c r="A315" s="117" t="s">
        <v>143</v>
      </c>
      <c r="B315" s="117"/>
      <c r="C315" s="117" t="s">
        <v>697</v>
      </c>
      <c r="D315" s="304" t="s">
        <v>1209</v>
      </c>
      <c r="E315" s="305"/>
      <c r="F315" s="117" t="s">
        <v>1648</v>
      </c>
      <c r="G315" s="116">
        <v>29.991</v>
      </c>
      <c r="H315" s="108">
        <v>0</v>
      </c>
    </row>
    <row r="316" spans="1:8" ht="12.2" customHeight="1" x14ac:dyDescent="0.2">
      <c r="D316" s="334" t="s">
        <v>2535</v>
      </c>
      <c r="E316" s="335"/>
      <c r="F316" s="335"/>
      <c r="G316" s="143">
        <v>29.991</v>
      </c>
    </row>
    <row r="317" spans="1:8" x14ac:dyDescent="0.2">
      <c r="A317" s="117" t="s">
        <v>144</v>
      </c>
      <c r="B317" s="117"/>
      <c r="C317" s="117" t="s">
        <v>698</v>
      </c>
      <c r="D317" s="304" t="s">
        <v>1210</v>
      </c>
      <c r="E317" s="305"/>
      <c r="F317" s="117" t="s">
        <v>1648</v>
      </c>
      <c r="G317" s="116">
        <v>19.983000000000001</v>
      </c>
      <c r="H317" s="108">
        <v>0</v>
      </c>
    </row>
    <row r="318" spans="1:8" ht="12.2" customHeight="1" x14ac:dyDescent="0.2">
      <c r="D318" s="334" t="s">
        <v>2534</v>
      </c>
      <c r="E318" s="335"/>
      <c r="F318" s="335"/>
      <c r="G318" s="143">
        <v>19.983000000000001</v>
      </c>
    </row>
    <row r="319" spans="1:8" x14ac:dyDescent="0.2">
      <c r="A319" s="117" t="s">
        <v>145</v>
      </c>
      <c r="B319" s="117"/>
      <c r="C319" s="117" t="s">
        <v>700</v>
      </c>
      <c r="D319" s="304" t="s">
        <v>1212</v>
      </c>
      <c r="E319" s="305"/>
      <c r="F319" s="117" t="s">
        <v>1648</v>
      </c>
      <c r="G319" s="116">
        <v>0.222</v>
      </c>
      <c r="H319" s="108">
        <v>0</v>
      </c>
    </row>
    <row r="320" spans="1:8" ht="12.2" customHeight="1" x14ac:dyDescent="0.2">
      <c r="D320" s="334" t="s">
        <v>2182</v>
      </c>
      <c r="E320" s="335"/>
      <c r="F320" s="335"/>
      <c r="G320" s="143">
        <v>0.222</v>
      </c>
    </row>
    <row r="321" spans="1:8" x14ac:dyDescent="0.2">
      <c r="A321" s="117" t="s">
        <v>146</v>
      </c>
      <c r="B321" s="117"/>
      <c r="C321" s="117" t="s">
        <v>701</v>
      </c>
      <c r="D321" s="304" t="s">
        <v>1213</v>
      </c>
      <c r="E321" s="305"/>
      <c r="F321" s="117" t="s">
        <v>1648</v>
      </c>
      <c r="G321" s="116">
        <v>4.6589999999999998</v>
      </c>
      <c r="H321" s="108">
        <v>0</v>
      </c>
    </row>
    <row r="322" spans="1:8" ht="12.2" customHeight="1" x14ac:dyDescent="0.2">
      <c r="D322" s="334" t="s">
        <v>2533</v>
      </c>
      <c r="E322" s="335"/>
      <c r="F322" s="335"/>
      <c r="G322" s="143">
        <v>4.6589999999999998</v>
      </c>
    </row>
    <row r="323" spans="1:8" x14ac:dyDescent="0.2">
      <c r="A323" s="117" t="s">
        <v>147</v>
      </c>
      <c r="B323" s="117"/>
      <c r="C323" s="117" t="s">
        <v>702</v>
      </c>
      <c r="D323" s="304" t="s">
        <v>1214</v>
      </c>
      <c r="E323" s="305"/>
      <c r="F323" s="117" t="s">
        <v>1648</v>
      </c>
      <c r="G323" s="116">
        <v>7.6520000000000001</v>
      </c>
      <c r="H323" s="108">
        <v>0</v>
      </c>
    </row>
    <row r="324" spans="1:8" ht="12.2" customHeight="1" x14ac:dyDescent="0.2">
      <c r="D324" s="334" t="s">
        <v>1840</v>
      </c>
      <c r="E324" s="335"/>
      <c r="F324" s="335"/>
      <c r="G324" s="143">
        <v>7.6520000000000001</v>
      </c>
    </row>
    <row r="325" spans="1:8" x14ac:dyDescent="0.2">
      <c r="A325" s="120"/>
      <c r="B325" s="120"/>
      <c r="C325" s="120" t="s">
        <v>703</v>
      </c>
      <c r="D325" s="306" t="s">
        <v>1215</v>
      </c>
      <c r="E325" s="307"/>
      <c r="F325" s="120"/>
      <c r="G325" s="142"/>
      <c r="H325" s="109"/>
    </row>
    <row r="326" spans="1:8" x14ac:dyDescent="0.2">
      <c r="A326" s="117" t="s">
        <v>148</v>
      </c>
      <c r="B326" s="117"/>
      <c r="C326" s="117" t="s">
        <v>704</v>
      </c>
      <c r="D326" s="304" t="s">
        <v>1216</v>
      </c>
      <c r="E326" s="305"/>
      <c r="F326" s="117" t="s">
        <v>1648</v>
      </c>
      <c r="G326" s="116">
        <v>175.21299999999999</v>
      </c>
      <c r="H326" s="108">
        <v>0</v>
      </c>
    </row>
    <row r="327" spans="1:8" ht="12.2" customHeight="1" x14ac:dyDescent="0.2">
      <c r="D327" s="334" t="s">
        <v>2532</v>
      </c>
      <c r="E327" s="335"/>
      <c r="F327" s="335"/>
      <c r="G327" s="143">
        <v>175.21299999999999</v>
      </c>
    </row>
    <row r="328" spans="1:8" x14ac:dyDescent="0.2">
      <c r="A328" s="120"/>
      <c r="B328" s="120"/>
      <c r="C328" s="120" t="s">
        <v>705</v>
      </c>
      <c r="D328" s="306" t="s">
        <v>1217</v>
      </c>
      <c r="E328" s="307"/>
      <c r="F328" s="120"/>
      <c r="G328" s="142"/>
      <c r="H328" s="109"/>
    </row>
    <row r="329" spans="1:8" x14ac:dyDescent="0.2">
      <c r="A329" s="117" t="s">
        <v>149</v>
      </c>
      <c r="B329" s="117"/>
      <c r="C329" s="117" t="s">
        <v>706</v>
      </c>
      <c r="D329" s="304" t="s">
        <v>1218</v>
      </c>
      <c r="E329" s="305"/>
      <c r="F329" s="117" t="s">
        <v>1645</v>
      </c>
      <c r="G329" s="116">
        <v>344.89400000000001</v>
      </c>
      <c r="H329" s="108">
        <v>0</v>
      </c>
    </row>
    <row r="330" spans="1:8" ht="12.2" customHeight="1" x14ac:dyDescent="0.2">
      <c r="D330" s="334" t="s">
        <v>1842</v>
      </c>
      <c r="E330" s="335"/>
      <c r="F330" s="335"/>
      <c r="G330" s="143">
        <v>344.89400000000001</v>
      </c>
    </row>
    <row r="331" spans="1:8" x14ac:dyDescent="0.2">
      <c r="A331" s="117" t="s">
        <v>150</v>
      </c>
      <c r="B331" s="117"/>
      <c r="C331" s="117" t="s">
        <v>706</v>
      </c>
      <c r="D331" s="304" t="s">
        <v>2469</v>
      </c>
      <c r="E331" s="305"/>
      <c r="F331" s="117" t="s">
        <v>1645</v>
      </c>
      <c r="G331" s="116">
        <v>9.4079999999999995</v>
      </c>
      <c r="H331" s="108">
        <v>0</v>
      </c>
    </row>
    <row r="332" spans="1:8" ht="12.2" customHeight="1" x14ac:dyDescent="0.2">
      <c r="D332" s="334" t="s">
        <v>2530</v>
      </c>
      <c r="E332" s="335"/>
      <c r="F332" s="335"/>
      <c r="G332" s="143">
        <v>9.4079999999999995</v>
      </c>
    </row>
    <row r="333" spans="1:8" x14ac:dyDescent="0.2">
      <c r="A333" s="117" t="s">
        <v>151</v>
      </c>
      <c r="B333" s="117"/>
      <c r="C333" s="117" t="s">
        <v>707</v>
      </c>
      <c r="D333" s="304" t="s">
        <v>1219</v>
      </c>
      <c r="E333" s="305"/>
      <c r="F333" s="117" t="s">
        <v>1644</v>
      </c>
      <c r="G333" s="116">
        <v>6</v>
      </c>
      <c r="H333" s="108">
        <v>0</v>
      </c>
    </row>
    <row r="334" spans="1:8" ht="12.2" customHeight="1" x14ac:dyDescent="0.2">
      <c r="D334" s="334" t="s">
        <v>1806</v>
      </c>
      <c r="E334" s="335"/>
      <c r="F334" s="335"/>
      <c r="G334" s="143">
        <v>6</v>
      </c>
    </row>
    <row r="335" spans="1:8" x14ac:dyDescent="0.2">
      <c r="A335" s="117" t="s">
        <v>152</v>
      </c>
      <c r="B335" s="117"/>
      <c r="C335" s="117" t="s">
        <v>2467</v>
      </c>
      <c r="D335" s="304" t="s">
        <v>2468</v>
      </c>
      <c r="E335" s="305"/>
      <c r="F335" s="117" t="s">
        <v>1645</v>
      </c>
      <c r="G335" s="116">
        <v>1.1830000000000001</v>
      </c>
      <c r="H335" s="108">
        <v>0</v>
      </c>
    </row>
    <row r="336" spans="1:8" ht="12.2" customHeight="1" x14ac:dyDescent="0.2">
      <c r="D336" s="334" t="s">
        <v>2520</v>
      </c>
      <c r="E336" s="335"/>
      <c r="F336" s="335"/>
      <c r="G336" s="143">
        <v>1.1830000000000001</v>
      </c>
    </row>
    <row r="337" spans="1:8" x14ac:dyDescent="0.2">
      <c r="A337" s="117" t="s">
        <v>153</v>
      </c>
      <c r="B337" s="117"/>
      <c r="C337" s="117" t="s">
        <v>2467</v>
      </c>
      <c r="D337" s="304" t="s">
        <v>2466</v>
      </c>
      <c r="E337" s="305"/>
      <c r="F337" s="117" t="s">
        <v>1645</v>
      </c>
      <c r="G337" s="116">
        <v>9.4079999999999995</v>
      </c>
      <c r="H337" s="108">
        <v>0</v>
      </c>
    </row>
    <row r="338" spans="1:8" ht="12.2" customHeight="1" x14ac:dyDescent="0.2">
      <c r="D338" s="334" t="s">
        <v>2530</v>
      </c>
      <c r="E338" s="335"/>
      <c r="F338" s="335"/>
      <c r="G338" s="143">
        <v>9.4079999999999995</v>
      </c>
    </row>
    <row r="339" spans="1:8" x14ac:dyDescent="0.2">
      <c r="A339" s="117" t="s">
        <v>154</v>
      </c>
      <c r="B339" s="117"/>
      <c r="C339" s="117" t="s">
        <v>708</v>
      </c>
      <c r="D339" s="304" t="s">
        <v>1220</v>
      </c>
      <c r="E339" s="305"/>
      <c r="F339" s="117" t="s">
        <v>1645</v>
      </c>
      <c r="G339" s="116">
        <v>345.786</v>
      </c>
      <c r="H339" s="108">
        <v>0</v>
      </c>
    </row>
    <row r="340" spans="1:8" ht="12.2" customHeight="1" x14ac:dyDescent="0.2">
      <c r="D340" s="334" t="s">
        <v>1843</v>
      </c>
      <c r="E340" s="335"/>
      <c r="F340" s="335"/>
      <c r="G340" s="143">
        <v>345.786</v>
      </c>
    </row>
    <row r="341" spans="1:8" x14ac:dyDescent="0.2">
      <c r="A341" s="117" t="s">
        <v>155</v>
      </c>
      <c r="B341" s="117"/>
      <c r="C341" s="117" t="s">
        <v>709</v>
      </c>
      <c r="D341" s="304" t="s">
        <v>1221</v>
      </c>
      <c r="E341" s="305"/>
      <c r="F341" s="117" t="s">
        <v>1648</v>
      </c>
      <c r="G341" s="116">
        <v>4.3570000000000002</v>
      </c>
      <c r="H341" s="108">
        <v>0</v>
      </c>
    </row>
    <row r="342" spans="1:8" ht="12.2" customHeight="1" x14ac:dyDescent="0.2">
      <c r="D342" s="334" t="s">
        <v>2531</v>
      </c>
      <c r="E342" s="335"/>
      <c r="F342" s="335"/>
      <c r="G342" s="143">
        <v>4.3570000000000002</v>
      </c>
    </row>
    <row r="343" spans="1:8" x14ac:dyDescent="0.2">
      <c r="A343" s="120"/>
      <c r="B343" s="120"/>
      <c r="C343" s="120" t="s">
        <v>710</v>
      </c>
      <c r="D343" s="306" t="s">
        <v>1222</v>
      </c>
      <c r="E343" s="307"/>
      <c r="F343" s="120"/>
      <c r="G343" s="142"/>
      <c r="H343" s="109"/>
    </row>
    <row r="344" spans="1:8" x14ac:dyDescent="0.2">
      <c r="A344" s="117" t="s">
        <v>156</v>
      </c>
      <c r="B344" s="117"/>
      <c r="C344" s="117" t="s">
        <v>711</v>
      </c>
      <c r="D344" s="304" t="s">
        <v>1223</v>
      </c>
      <c r="E344" s="305"/>
      <c r="F344" s="117" t="s">
        <v>1645</v>
      </c>
      <c r="G344" s="116">
        <v>302</v>
      </c>
      <c r="H344" s="108">
        <v>0</v>
      </c>
    </row>
    <row r="345" spans="1:8" ht="12.2" customHeight="1" x14ac:dyDescent="0.2">
      <c r="D345" s="334" t="s">
        <v>1845</v>
      </c>
      <c r="E345" s="335"/>
      <c r="F345" s="335"/>
      <c r="G345" s="143">
        <v>302</v>
      </c>
    </row>
    <row r="346" spans="1:8" x14ac:dyDescent="0.2">
      <c r="A346" s="124" t="s">
        <v>157</v>
      </c>
      <c r="B346" s="124"/>
      <c r="C346" s="124" t="s">
        <v>712</v>
      </c>
      <c r="D346" s="311" t="s">
        <v>1224</v>
      </c>
      <c r="E346" s="312"/>
      <c r="F346" s="124" t="s">
        <v>1645</v>
      </c>
      <c r="G346" s="123">
        <v>332.2</v>
      </c>
      <c r="H346" s="121">
        <v>0</v>
      </c>
    </row>
    <row r="347" spans="1:8" ht="12.2" customHeight="1" x14ac:dyDescent="0.2">
      <c r="D347" s="336" t="s">
        <v>1845</v>
      </c>
      <c r="E347" s="337"/>
      <c r="F347" s="337"/>
      <c r="G347" s="146">
        <v>302</v>
      </c>
    </row>
    <row r="348" spans="1:8" ht="12.2" customHeight="1" x14ac:dyDescent="0.2">
      <c r="A348" s="124"/>
      <c r="B348" s="124"/>
      <c r="C348" s="124"/>
      <c r="D348" s="336" t="s">
        <v>1846</v>
      </c>
      <c r="E348" s="337"/>
      <c r="F348" s="336"/>
      <c r="G348" s="145">
        <v>30.2</v>
      </c>
      <c r="H348" s="122"/>
    </row>
    <row r="349" spans="1:8" x14ac:dyDescent="0.2">
      <c r="A349" s="124" t="s">
        <v>158</v>
      </c>
      <c r="B349" s="124"/>
      <c r="C349" s="124" t="s">
        <v>713</v>
      </c>
      <c r="D349" s="311" t="s">
        <v>1225</v>
      </c>
      <c r="E349" s="312"/>
      <c r="F349" s="124" t="s">
        <v>1645</v>
      </c>
      <c r="G349" s="123">
        <v>332.2</v>
      </c>
      <c r="H349" s="121">
        <v>0</v>
      </c>
    </row>
    <row r="350" spans="1:8" ht="12.2" customHeight="1" x14ac:dyDescent="0.2">
      <c r="D350" s="336" t="s">
        <v>1845</v>
      </c>
      <c r="E350" s="337"/>
      <c r="F350" s="337"/>
      <c r="G350" s="146">
        <v>302</v>
      </c>
    </row>
    <row r="351" spans="1:8" ht="12.2" customHeight="1" x14ac:dyDescent="0.2">
      <c r="A351" s="124"/>
      <c r="B351" s="124"/>
      <c r="C351" s="124"/>
      <c r="D351" s="336" t="s">
        <v>1846</v>
      </c>
      <c r="E351" s="337"/>
      <c r="F351" s="336"/>
      <c r="G351" s="145">
        <v>30.2</v>
      </c>
      <c r="H351" s="122"/>
    </row>
    <row r="352" spans="1:8" x14ac:dyDescent="0.2">
      <c r="A352" s="117" t="s">
        <v>159</v>
      </c>
      <c r="B352" s="117"/>
      <c r="C352" s="117" t="s">
        <v>714</v>
      </c>
      <c r="D352" s="304" t="s">
        <v>1226</v>
      </c>
      <c r="E352" s="305"/>
      <c r="F352" s="117" t="s">
        <v>1646</v>
      </c>
      <c r="G352" s="116">
        <v>62.5</v>
      </c>
      <c r="H352" s="108">
        <v>0</v>
      </c>
    </row>
    <row r="353" spans="1:8" ht="12.2" customHeight="1" x14ac:dyDescent="0.2">
      <c r="D353" s="334" t="s">
        <v>1847</v>
      </c>
      <c r="E353" s="335"/>
      <c r="F353" s="335"/>
      <c r="G353" s="143">
        <v>62.5</v>
      </c>
    </row>
    <row r="354" spans="1:8" x14ac:dyDescent="0.2">
      <c r="A354" s="117" t="s">
        <v>160</v>
      </c>
      <c r="B354" s="117"/>
      <c r="C354" s="117" t="s">
        <v>715</v>
      </c>
      <c r="D354" s="304" t="s">
        <v>1227</v>
      </c>
      <c r="E354" s="305"/>
      <c r="F354" s="117" t="s">
        <v>1645</v>
      </c>
      <c r="G354" s="116">
        <v>302</v>
      </c>
      <c r="H354" s="108">
        <v>0</v>
      </c>
    </row>
    <row r="355" spans="1:8" ht="12.2" customHeight="1" x14ac:dyDescent="0.2">
      <c r="D355" s="334" t="s">
        <v>1845</v>
      </c>
      <c r="E355" s="335"/>
      <c r="F355" s="335"/>
      <c r="G355" s="143">
        <v>302</v>
      </c>
    </row>
    <row r="356" spans="1:8" x14ac:dyDescent="0.2">
      <c r="A356" s="117" t="s">
        <v>161</v>
      </c>
      <c r="B356" s="117"/>
      <c r="C356" s="117" t="s">
        <v>716</v>
      </c>
      <c r="D356" s="304" t="s">
        <v>1228</v>
      </c>
      <c r="E356" s="305"/>
      <c r="F356" s="117" t="s">
        <v>1645</v>
      </c>
      <c r="G356" s="116">
        <v>302</v>
      </c>
      <c r="H356" s="108">
        <v>0</v>
      </c>
    </row>
    <row r="357" spans="1:8" ht="12.2" customHeight="1" x14ac:dyDescent="0.2">
      <c r="D357" s="334" t="s">
        <v>1845</v>
      </c>
      <c r="E357" s="335"/>
      <c r="F357" s="335"/>
      <c r="G357" s="143">
        <v>302</v>
      </c>
    </row>
    <row r="358" spans="1:8" x14ac:dyDescent="0.2">
      <c r="A358" s="117" t="s">
        <v>162</v>
      </c>
      <c r="B358" s="117"/>
      <c r="C358" s="117" t="s">
        <v>717</v>
      </c>
      <c r="D358" s="304" t="s">
        <v>2465</v>
      </c>
      <c r="E358" s="305"/>
      <c r="F358" s="117" t="s">
        <v>1645</v>
      </c>
      <c r="G358" s="116">
        <v>356.37700000000001</v>
      </c>
      <c r="H358" s="108">
        <v>0</v>
      </c>
    </row>
    <row r="359" spans="1:8" ht="12.2" customHeight="1" x14ac:dyDescent="0.2">
      <c r="D359" s="334" t="s">
        <v>1843</v>
      </c>
      <c r="E359" s="335"/>
      <c r="F359" s="335"/>
      <c r="G359" s="143">
        <v>345.786</v>
      </c>
    </row>
    <row r="360" spans="1:8" ht="12.2" customHeight="1" x14ac:dyDescent="0.2">
      <c r="A360" s="117"/>
      <c r="B360" s="117"/>
      <c r="C360" s="117"/>
      <c r="D360" s="334" t="s">
        <v>2520</v>
      </c>
      <c r="E360" s="335"/>
      <c r="F360" s="334"/>
      <c r="G360" s="144">
        <v>1.1830000000000001</v>
      </c>
      <c r="H360" s="111"/>
    </row>
    <row r="361" spans="1:8" ht="12.2" customHeight="1" x14ac:dyDescent="0.2">
      <c r="A361" s="117"/>
      <c r="B361" s="117"/>
      <c r="C361" s="117"/>
      <c r="D361" s="334" t="s">
        <v>2530</v>
      </c>
      <c r="E361" s="335"/>
      <c r="F361" s="334"/>
      <c r="G361" s="144">
        <v>9.4079999999999995</v>
      </c>
      <c r="H361" s="111"/>
    </row>
    <row r="362" spans="1:8" x14ac:dyDescent="0.2">
      <c r="A362" s="117" t="s">
        <v>163</v>
      </c>
      <c r="B362" s="117"/>
      <c r="C362" s="117" t="s">
        <v>718</v>
      </c>
      <c r="D362" s="304" t="s">
        <v>1230</v>
      </c>
      <c r="E362" s="305"/>
      <c r="F362" s="117" t="s">
        <v>1648</v>
      </c>
      <c r="G362" s="116">
        <v>1.44</v>
      </c>
      <c r="H362" s="108">
        <v>0</v>
      </c>
    </row>
    <row r="363" spans="1:8" ht="12.2" customHeight="1" x14ac:dyDescent="0.2">
      <c r="D363" s="334" t="s">
        <v>2529</v>
      </c>
      <c r="E363" s="335"/>
      <c r="F363" s="335"/>
      <c r="G363" s="143">
        <v>1.44</v>
      </c>
    </row>
    <row r="364" spans="1:8" x14ac:dyDescent="0.2">
      <c r="A364" s="120"/>
      <c r="B364" s="120"/>
      <c r="C364" s="120" t="s">
        <v>719</v>
      </c>
      <c r="D364" s="306" t="s">
        <v>1231</v>
      </c>
      <c r="E364" s="307"/>
      <c r="F364" s="120"/>
      <c r="G364" s="142"/>
      <c r="H364" s="109"/>
    </row>
    <row r="365" spans="1:8" x14ac:dyDescent="0.2">
      <c r="A365" s="117" t="s">
        <v>164</v>
      </c>
      <c r="B365" s="117"/>
      <c r="C365" s="117" t="s">
        <v>720</v>
      </c>
      <c r="D365" s="304" t="s">
        <v>1232</v>
      </c>
      <c r="E365" s="305"/>
      <c r="F365" s="117" t="s">
        <v>1646</v>
      </c>
      <c r="G365" s="116">
        <v>3.5</v>
      </c>
      <c r="H365" s="108">
        <v>0</v>
      </c>
    </row>
    <row r="366" spans="1:8" x14ac:dyDescent="0.2">
      <c r="A366" s="117" t="s">
        <v>165</v>
      </c>
      <c r="B366" s="117"/>
      <c r="C366" s="117" t="s">
        <v>721</v>
      </c>
      <c r="D366" s="304" t="s">
        <v>1233</v>
      </c>
      <c r="E366" s="305"/>
      <c r="F366" s="117" t="s">
        <v>1646</v>
      </c>
      <c r="G366" s="116">
        <v>3</v>
      </c>
      <c r="H366" s="108">
        <v>0</v>
      </c>
    </row>
    <row r="367" spans="1:8" x14ac:dyDescent="0.2">
      <c r="A367" s="117" t="s">
        <v>166</v>
      </c>
      <c r="B367" s="117"/>
      <c r="C367" s="117" t="s">
        <v>722</v>
      </c>
      <c r="D367" s="304" t="s">
        <v>1234</v>
      </c>
      <c r="E367" s="305"/>
      <c r="F367" s="117" t="s">
        <v>1646</v>
      </c>
      <c r="G367" s="116">
        <v>1.5</v>
      </c>
      <c r="H367" s="108">
        <v>0</v>
      </c>
    </row>
    <row r="368" spans="1:8" x14ac:dyDescent="0.2">
      <c r="A368" s="117" t="s">
        <v>167</v>
      </c>
      <c r="B368" s="117"/>
      <c r="C368" s="117" t="s">
        <v>723</v>
      </c>
      <c r="D368" s="304" t="s">
        <v>1235</v>
      </c>
      <c r="E368" s="305"/>
      <c r="F368" s="117" t="s">
        <v>1646</v>
      </c>
      <c r="G368" s="116">
        <v>3</v>
      </c>
      <c r="H368" s="108">
        <v>0</v>
      </c>
    </row>
    <row r="369" spans="1:8" x14ac:dyDescent="0.2">
      <c r="A369" s="117" t="s">
        <v>168</v>
      </c>
      <c r="B369" s="117"/>
      <c r="C369" s="117" t="s">
        <v>724</v>
      </c>
      <c r="D369" s="304" t="s">
        <v>1236</v>
      </c>
      <c r="E369" s="305"/>
      <c r="F369" s="117" t="s">
        <v>1646</v>
      </c>
      <c r="G369" s="116">
        <v>1</v>
      </c>
      <c r="H369" s="108">
        <v>0</v>
      </c>
    </row>
    <row r="370" spans="1:8" x14ac:dyDescent="0.2">
      <c r="A370" s="117" t="s">
        <v>169</v>
      </c>
      <c r="B370" s="117"/>
      <c r="C370" s="117" t="s">
        <v>725</v>
      </c>
      <c r="D370" s="304" t="s">
        <v>1237</v>
      </c>
      <c r="E370" s="305"/>
      <c r="F370" s="117" t="s">
        <v>1646</v>
      </c>
      <c r="G370" s="116">
        <v>29</v>
      </c>
      <c r="H370" s="108">
        <v>0</v>
      </c>
    </row>
    <row r="371" spans="1:8" x14ac:dyDescent="0.2">
      <c r="A371" s="117" t="s">
        <v>170</v>
      </c>
      <c r="B371" s="117"/>
      <c r="C371" s="117" t="s">
        <v>726</v>
      </c>
      <c r="D371" s="304" t="s">
        <v>1238</v>
      </c>
      <c r="E371" s="305"/>
      <c r="F371" s="117" t="s">
        <v>1644</v>
      </c>
      <c r="G371" s="116">
        <v>2</v>
      </c>
      <c r="H371" s="108">
        <v>0</v>
      </c>
    </row>
    <row r="372" spans="1:8" x14ac:dyDescent="0.2">
      <c r="A372" s="117" t="s">
        <v>171</v>
      </c>
      <c r="B372" s="117"/>
      <c r="C372" s="117" t="s">
        <v>727</v>
      </c>
      <c r="D372" s="304" t="s">
        <v>1239</v>
      </c>
      <c r="E372" s="305"/>
      <c r="F372" s="117" t="s">
        <v>1644</v>
      </c>
      <c r="G372" s="116">
        <v>1</v>
      </c>
      <c r="H372" s="108">
        <v>0</v>
      </c>
    </row>
    <row r="373" spans="1:8" x14ac:dyDescent="0.2">
      <c r="A373" s="117" t="s">
        <v>172</v>
      </c>
      <c r="B373" s="117"/>
      <c r="C373" s="117" t="s">
        <v>728</v>
      </c>
      <c r="D373" s="304" t="s">
        <v>1240</v>
      </c>
      <c r="E373" s="305"/>
      <c r="F373" s="117" t="s">
        <v>1644</v>
      </c>
      <c r="G373" s="116">
        <v>1</v>
      </c>
      <c r="H373" s="108">
        <v>0</v>
      </c>
    </row>
    <row r="374" spans="1:8" x14ac:dyDescent="0.2">
      <c r="A374" s="117" t="s">
        <v>173</v>
      </c>
      <c r="B374" s="117"/>
      <c r="C374" s="117" t="s">
        <v>729</v>
      </c>
      <c r="D374" s="304" t="s">
        <v>1241</v>
      </c>
      <c r="E374" s="305"/>
      <c r="F374" s="117" t="s">
        <v>1644</v>
      </c>
      <c r="G374" s="116">
        <v>1</v>
      </c>
      <c r="H374" s="108">
        <v>0</v>
      </c>
    </row>
    <row r="375" spans="1:8" x14ac:dyDescent="0.2">
      <c r="A375" s="117" t="s">
        <v>174</v>
      </c>
      <c r="B375" s="117"/>
      <c r="C375" s="117" t="s">
        <v>730</v>
      </c>
      <c r="D375" s="304" t="s">
        <v>1242</v>
      </c>
      <c r="E375" s="305"/>
      <c r="F375" s="117" t="s">
        <v>1644</v>
      </c>
      <c r="G375" s="116">
        <v>2</v>
      </c>
      <c r="H375" s="108">
        <v>0</v>
      </c>
    </row>
    <row r="376" spans="1:8" x14ac:dyDescent="0.2">
      <c r="A376" s="117" t="s">
        <v>175</v>
      </c>
      <c r="B376" s="117"/>
      <c r="C376" s="117" t="s">
        <v>731</v>
      </c>
      <c r="D376" s="304" t="s">
        <v>1243</v>
      </c>
      <c r="E376" s="305"/>
      <c r="F376" s="117" t="s">
        <v>1651</v>
      </c>
      <c r="G376" s="116">
        <v>1</v>
      </c>
      <c r="H376" s="108">
        <v>0</v>
      </c>
    </row>
    <row r="377" spans="1:8" x14ac:dyDescent="0.2">
      <c r="A377" s="117" t="s">
        <v>176</v>
      </c>
      <c r="B377" s="117"/>
      <c r="C377" s="117" t="s">
        <v>732</v>
      </c>
      <c r="D377" s="304" t="s">
        <v>1244</v>
      </c>
      <c r="E377" s="305"/>
      <c r="F377" s="117" t="s">
        <v>1651</v>
      </c>
      <c r="G377" s="116">
        <v>1</v>
      </c>
      <c r="H377" s="108">
        <v>0</v>
      </c>
    </row>
    <row r="378" spans="1:8" x14ac:dyDescent="0.2">
      <c r="A378" s="117" t="s">
        <v>177</v>
      </c>
      <c r="B378" s="117"/>
      <c r="C378" s="117" t="s">
        <v>733</v>
      </c>
      <c r="D378" s="304" t="s">
        <v>1245</v>
      </c>
      <c r="E378" s="305"/>
      <c r="F378" s="117" t="s">
        <v>1644</v>
      </c>
      <c r="G378" s="116">
        <v>3</v>
      </c>
      <c r="H378" s="108">
        <v>0</v>
      </c>
    </row>
    <row r="379" spans="1:8" x14ac:dyDescent="0.2">
      <c r="A379" s="117" t="s">
        <v>178</v>
      </c>
      <c r="B379" s="117"/>
      <c r="C379" s="117" t="s">
        <v>2138</v>
      </c>
      <c r="D379" s="304" t="s">
        <v>2137</v>
      </c>
      <c r="E379" s="305"/>
      <c r="F379" s="117" t="s">
        <v>1644</v>
      </c>
      <c r="G379" s="116">
        <v>2</v>
      </c>
      <c r="H379" s="108">
        <v>0</v>
      </c>
    </row>
    <row r="380" spans="1:8" x14ac:dyDescent="0.2">
      <c r="A380" s="117" t="s">
        <v>179</v>
      </c>
      <c r="B380" s="117"/>
      <c r="C380" s="117" t="s">
        <v>734</v>
      </c>
      <c r="D380" s="304" t="s">
        <v>1246</v>
      </c>
      <c r="E380" s="305"/>
      <c r="F380" s="117" t="s">
        <v>1644</v>
      </c>
      <c r="G380" s="116">
        <v>2</v>
      </c>
      <c r="H380" s="108">
        <v>0</v>
      </c>
    </row>
    <row r="381" spans="1:8" x14ac:dyDescent="0.2">
      <c r="A381" s="117" t="s">
        <v>180</v>
      </c>
      <c r="B381" s="117"/>
      <c r="C381" s="117" t="s">
        <v>735</v>
      </c>
      <c r="D381" s="304" t="s">
        <v>1247</v>
      </c>
      <c r="E381" s="305"/>
      <c r="F381" s="117" t="s">
        <v>1650</v>
      </c>
      <c r="G381" s="116">
        <v>30</v>
      </c>
      <c r="H381" s="108">
        <v>0</v>
      </c>
    </row>
    <row r="382" spans="1:8" x14ac:dyDescent="0.2">
      <c r="A382" s="117" t="s">
        <v>181</v>
      </c>
      <c r="B382" s="117"/>
      <c r="C382" s="117" t="s">
        <v>736</v>
      </c>
      <c r="D382" s="304" t="s">
        <v>1248</v>
      </c>
      <c r="E382" s="305"/>
      <c r="F382" s="117" t="s">
        <v>1646</v>
      </c>
      <c r="G382" s="116">
        <v>41</v>
      </c>
      <c r="H382" s="108">
        <v>0</v>
      </c>
    </row>
    <row r="383" spans="1:8" x14ac:dyDescent="0.2">
      <c r="A383" s="117" t="s">
        <v>182</v>
      </c>
      <c r="B383" s="117"/>
      <c r="C383" s="117" t="s">
        <v>737</v>
      </c>
      <c r="D383" s="304" t="s">
        <v>1249</v>
      </c>
      <c r="E383" s="305"/>
      <c r="F383" s="117" t="s">
        <v>1646</v>
      </c>
      <c r="G383" s="116">
        <v>41</v>
      </c>
      <c r="H383" s="108">
        <v>0</v>
      </c>
    </row>
    <row r="384" spans="1:8" x14ac:dyDescent="0.2">
      <c r="A384" s="117" t="s">
        <v>183</v>
      </c>
      <c r="B384" s="117"/>
      <c r="C384" s="117" t="s">
        <v>738</v>
      </c>
      <c r="D384" s="304" t="s">
        <v>1250</v>
      </c>
      <c r="E384" s="305"/>
      <c r="F384" s="117" t="s">
        <v>1646</v>
      </c>
      <c r="G384" s="116">
        <v>41</v>
      </c>
      <c r="H384" s="108">
        <v>0</v>
      </c>
    </row>
    <row r="385" spans="1:8" x14ac:dyDescent="0.2">
      <c r="A385" s="117" t="s">
        <v>184</v>
      </c>
      <c r="B385" s="117"/>
      <c r="C385" s="117" t="s">
        <v>739</v>
      </c>
      <c r="D385" s="304" t="s">
        <v>1251</v>
      </c>
      <c r="E385" s="305"/>
      <c r="F385" s="117" t="s">
        <v>1650</v>
      </c>
      <c r="G385" s="116">
        <v>10</v>
      </c>
      <c r="H385" s="108">
        <v>0</v>
      </c>
    </row>
    <row r="386" spans="1:8" x14ac:dyDescent="0.2">
      <c r="A386" s="117" t="s">
        <v>185</v>
      </c>
      <c r="B386" s="117"/>
      <c r="C386" s="117" t="s">
        <v>740</v>
      </c>
      <c r="D386" s="304" t="s">
        <v>1252</v>
      </c>
      <c r="E386" s="305"/>
      <c r="F386" s="117" t="s">
        <v>1644</v>
      </c>
      <c r="G386" s="116">
        <v>1</v>
      </c>
      <c r="H386" s="108">
        <v>0</v>
      </c>
    </row>
    <row r="387" spans="1:8" x14ac:dyDescent="0.2">
      <c r="A387" s="117" t="s">
        <v>186</v>
      </c>
      <c r="B387" s="117"/>
      <c r="C387" s="117" t="s">
        <v>741</v>
      </c>
      <c r="D387" s="304" t="s">
        <v>1253</v>
      </c>
      <c r="E387" s="305"/>
      <c r="F387" s="117" t="s">
        <v>1644</v>
      </c>
      <c r="G387" s="116">
        <v>1</v>
      </c>
      <c r="H387" s="108">
        <v>0</v>
      </c>
    </row>
    <row r="388" spans="1:8" x14ac:dyDescent="0.2">
      <c r="A388" s="120"/>
      <c r="B388" s="120"/>
      <c r="C388" s="120" t="s">
        <v>744</v>
      </c>
      <c r="D388" s="306" t="s">
        <v>1256</v>
      </c>
      <c r="E388" s="307"/>
      <c r="F388" s="120"/>
      <c r="G388" s="142"/>
      <c r="H388" s="109"/>
    </row>
    <row r="389" spans="1:8" x14ac:dyDescent="0.2">
      <c r="A389" s="117" t="s">
        <v>187</v>
      </c>
      <c r="B389" s="117"/>
      <c r="C389" s="117" t="s">
        <v>2464</v>
      </c>
      <c r="D389" s="304" t="s">
        <v>1257</v>
      </c>
      <c r="E389" s="305"/>
      <c r="F389" s="117" t="s">
        <v>1646</v>
      </c>
      <c r="G389" s="116">
        <v>1</v>
      </c>
      <c r="H389" s="108">
        <v>0</v>
      </c>
    </row>
    <row r="390" spans="1:8" x14ac:dyDescent="0.2">
      <c r="A390" s="117" t="s">
        <v>188</v>
      </c>
      <c r="B390" s="117"/>
      <c r="C390" s="117" t="s">
        <v>2463</v>
      </c>
      <c r="D390" s="304" t="s">
        <v>1258</v>
      </c>
      <c r="E390" s="305"/>
      <c r="F390" s="117" t="s">
        <v>1646</v>
      </c>
      <c r="G390" s="116">
        <v>1.5</v>
      </c>
      <c r="H390" s="108">
        <v>0</v>
      </c>
    </row>
    <row r="391" spans="1:8" x14ac:dyDescent="0.2">
      <c r="A391" s="117" t="s">
        <v>189</v>
      </c>
      <c r="B391" s="117"/>
      <c r="C391" s="117" t="s">
        <v>2462</v>
      </c>
      <c r="D391" s="304" t="s">
        <v>2133</v>
      </c>
      <c r="E391" s="305"/>
      <c r="F391" s="117" t="s">
        <v>1646</v>
      </c>
      <c r="G391" s="116">
        <v>2</v>
      </c>
      <c r="H391" s="108">
        <v>0</v>
      </c>
    </row>
    <row r="392" spans="1:8" x14ac:dyDescent="0.2">
      <c r="A392" s="117" t="s">
        <v>190</v>
      </c>
      <c r="B392" s="117"/>
      <c r="C392" s="117" t="s">
        <v>2461</v>
      </c>
      <c r="D392" s="304" t="s">
        <v>1262</v>
      </c>
      <c r="E392" s="305"/>
      <c r="F392" s="117" t="s">
        <v>1644</v>
      </c>
      <c r="G392" s="116">
        <v>1</v>
      </c>
      <c r="H392" s="108">
        <v>0</v>
      </c>
    </row>
    <row r="393" spans="1:8" x14ac:dyDescent="0.2">
      <c r="A393" s="117" t="s">
        <v>191</v>
      </c>
      <c r="B393" s="117"/>
      <c r="C393" s="117" t="s">
        <v>2460</v>
      </c>
      <c r="D393" s="304" t="s">
        <v>1263</v>
      </c>
      <c r="E393" s="305"/>
      <c r="F393" s="117" t="s">
        <v>1644</v>
      </c>
      <c r="G393" s="116">
        <v>2</v>
      </c>
      <c r="H393" s="108">
        <v>0</v>
      </c>
    </row>
    <row r="394" spans="1:8" x14ac:dyDescent="0.2">
      <c r="A394" s="117" t="s">
        <v>192</v>
      </c>
      <c r="B394" s="117"/>
      <c r="C394" s="117" t="s">
        <v>2459</v>
      </c>
      <c r="D394" s="304" t="s">
        <v>1269</v>
      </c>
      <c r="E394" s="305"/>
      <c r="F394" s="117" t="s">
        <v>1644</v>
      </c>
      <c r="G394" s="116">
        <v>1</v>
      </c>
      <c r="H394" s="108">
        <v>0</v>
      </c>
    </row>
    <row r="395" spans="1:8" x14ac:dyDescent="0.2">
      <c r="A395" s="117" t="s">
        <v>193</v>
      </c>
      <c r="B395" s="117"/>
      <c r="C395" s="117" t="s">
        <v>2458</v>
      </c>
      <c r="D395" s="304" t="s">
        <v>1270</v>
      </c>
      <c r="E395" s="305"/>
      <c r="F395" s="117" t="s">
        <v>1644</v>
      </c>
      <c r="G395" s="116">
        <v>1</v>
      </c>
      <c r="H395" s="108">
        <v>0</v>
      </c>
    </row>
    <row r="396" spans="1:8" x14ac:dyDescent="0.2">
      <c r="A396" s="117" t="s">
        <v>194</v>
      </c>
      <c r="B396" s="117"/>
      <c r="C396" s="117" t="s">
        <v>2457</v>
      </c>
      <c r="D396" s="304" t="s">
        <v>1271</v>
      </c>
      <c r="E396" s="305"/>
      <c r="F396" s="117" t="s">
        <v>1644</v>
      </c>
      <c r="G396" s="116">
        <v>1</v>
      </c>
      <c r="H396" s="108">
        <v>0</v>
      </c>
    </row>
    <row r="397" spans="1:8" x14ac:dyDescent="0.2">
      <c r="A397" s="117" t="s">
        <v>195</v>
      </c>
      <c r="B397" s="117"/>
      <c r="C397" s="117" t="s">
        <v>2456</v>
      </c>
      <c r="D397" s="304" t="s">
        <v>1272</v>
      </c>
      <c r="E397" s="305"/>
      <c r="F397" s="117" t="s">
        <v>1644</v>
      </c>
      <c r="G397" s="116">
        <v>1</v>
      </c>
      <c r="H397" s="108">
        <v>0</v>
      </c>
    </row>
    <row r="398" spans="1:8" x14ac:dyDescent="0.2">
      <c r="A398" s="117" t="s">
        <v>196</v>
      </c>
      <c r="B398" s="117"/>
      <c r="C398" s="117" t="s">
        <v>2455</v>
      </c>
      <c r="D398" s="304" t="s">
        <v>1276</v>
      </c>
      <c r="E398" s="305"/>
      <c r="F398" s="117" t="s">
        <v>1644</v>
      </c>
      <c r="G398" s="116">
        <v>1</v>
      </c>
      <c r="H398" s="108">
        <v>0</v>
      </c>
    </row>
    <row r="399" spans="1:8" x14ac:dyDescent="0.2">
      <c r="A399" s="117" t="s">
        <v>197</v>
      </c>
      <c r="B399" s="117"/>
      <c r="C399" s="117" t="s">
        <v>2454</v>
      </c>
      <c r="D399" s="304" t="s">
        <v>1278</v>
      </c>
      <c r="E399" s="305"/>
      <c r="F399" s="117" t="s">
        <v>1644</v>
      </c>
      <c r="G399" s="116">
        <v>2</v>
      </c>
      <c r="H399" s="108">
        <v>0</v>
      </c>
    </row>
    <row r="400" spans="1:8" x14ac:dyDescent="0.2">
      <c r="A400" s="117" t="s">
        <v>198</v>
      </c>
      <c r="B400" s="117"/>
      <c r="C400" s="117" t="s">
        <v>2453</v>
      </c>
      <c r="D400" s="304" t="s">
        <v>2123</v>
      </c>
      <c r="E400" s="305"/>
      <c r="F400" s="117" t="s">
        <v>1644</v>
      </c>
      <c r="G400" s="116">
        <v>2</v>
      </c>
      <c r="H400" s="108">
        <v>0</v>
      </c>
    </row>
    <row r="401" spans="1:8" x14ac:dyDescent="0.2">
      <c r="A401" s="117" t="s">
        <v>199</v>
      </c>
      <c r="B401" s="117"/>
      <c r="C401" s="117" t="s">
        <v>2452</v>
      </c>
      <c r="D401" s="304" t="s">
        <v>1280</v>
      </c>
      <c r="E401" s="305"/>
      <c r="F401" s="117" t="s">
        <v>1646</v>
      </c>
      <c r="G401" s="116">
        <v>10</v>
      </c>
      <c r="H401" s="108">
        <v>0</v>
      </c>
    </row>
    <row r="402" spans="1:8" x14ac:dyDescent="0.2">
      <c r="A402" s="117" t="s">
        <v>200</v>
      </c>
      <c r="B402" s="117"/>
      <c r="C402" s="117" t="s">
        <v>2451</v>
      </c>
      <c r="D402" s="304" t="s">
        <v>1281</v>
      </c>
      <c r="E402" s="305"/>
      <c r="F402" s="117" t="s">
        <v>1646</v>
      </c>
      <c r="G402" s="116">
        <v>4</v>
      </c>
      <c r="H402" s="108">
        <v>0</v>
      </c>
    </row>
    <row r="403" spans="1:8" x14ac:dyDescent="0.2">
      <c r="A403" s="117" t="s">
        <v>201</v>
      </c>
      <c r="B403" s="117"/>
      <c r="C403" s="117" t="s">
        <v>2450</v>
      </c>
      <c r="D403" s="304" t="s">
        <v>1282</v>
      </c>
      <c r="E403" s="305"/>
      <c r="F403" s="117" t="s">
        <v>1644</v>
      </c>
      <c r="G403" s="116">
        <v>1</v>
      </c>
      <c r="H403" s="108">
        <v>0</v>
      </c>
    </row>
    <row r="404" spans="1:8" x14ac:dyDescent="0.2">
      <c r="A404" s="120"/>
      <c r="B404" s="120"/>
      <c r="C404" s="120" t="s">
        <v>771</v>
      </c>
      <c r="D404" s="306" t="s">
        <v>1283</v>
      </c>
      <c r="E404" s="307"/>
      <c r="F404" s="120"/>
      <c r="G404" s="142"/>
      <c r="H404" s="109"/>
    </row>
    <row r="405" spans="1:8" x14ac:dyDescent="0.2">
      <c r="A405" s="117" t="s">
        <v>202</v>
      </c>
      <c r="B405" s="117"/>
      <c r="C405" s="117" t="s">
        <v>2449</v>
      </c>
      <c r="D405" s="304" t="s">
        <v>1284</v>
      </c>
      <c r="E405" s="305"/>
      <c r="F405" s="117" t="s">
        <v>1644</v>
      </c>
      <c r="G405" s="116">
        <v>1</v>
      </c>
      <c r="H405" s="108">
        <v>0</v>
      </c>
    </row>
    <row r="406" spans="1:8" x14ac:dyDescent="0.2">
      <c r="A406" s="117" t="s">
        <v>203</v>
      </c>
      <c r="B406" s="117"/>
      <c r="C406" s="117" t="s">
        <v>2448</v>
      </c>
      <c r="D406" s="304" t="s">
        <v>1285</v>
      </c>
      <c r="E406" s="305"/>
      <c r="F406" s="117" t="s">
        <v>1644</v>
      </c>
      <c r="G406" s="116">
        <v>1</v>
      </c>
      <c r="H406" s="108">
        <v>0</v>
      </c>
    </row>
    <row r="407" spans="1:8" x14ac:dyDescent="0.2">
      <c r="A407" s="117" t="s">
        <v>204</v>
      </c>
      <c r="B407" s="117"/>
      <c r="C407" s="117" t="s">
        <v>2447</v>
      </c>
      <c r="D407" s="304" t="s">
        <v>1286</v>
      </c>
      <c r="E407" s="305"/>
      <c r="F407" s="117" t="s">
        <v>1644</v>
      </c>
      <c r="G407" s="116">
        <v>2</v>
      </c>
      <c r="H407" s="108">
        <v>0</v>
      </c>
    </row>
    <row r="408" spans="1:8" x14ac:dyDescent="0.2">
      <c r="A408" s="117" t="s">
        <v>205</v>
      </c>
      <c r="B408" s="117"/>
      <c r="C408" s="117" t="s">
        <v>2446</v>
      </c>
      <c r="D408" s="304" t="s">
        <v>1287</v>
      </c>
      <c r="E408" s="305"/>
      <c r="F408" s="117" t="s">
        <v>1644</v>
      </c>
      <c r="G408" s="116">
        <v>1</v>
      </c>
      <c r="H408" s="108">
        <v>0</v>
      </c>
    </row>
    <row r="409" spans="1:8" x14ac:dyDescent="0.2">
      <c r="A409" s="117" t="s">
        <v>206</v>
      </c>
      <c r="B409" s="117"/>
      <c r="C409" s="117" t="s">
        <v>2445</v>
      </c>
      <c r="D409" s="304" t="s">
        <v>1288</v>
      </c>
      <c r="E409" s="305"/>
      <c r="F409" s="117" t="s">
        <v>1644</v>
      </c>
      <c r="G409" s="116">
        <v>1</v>
      </c>
      <c r="H409" s="108">
        <v>0</v>
      </c>
    </row>
    <row r="410" spans="1:8" x14ac:dyDescent="0.2">
      <c r="A410" s="117" t="s">
        <v>207</v>
      </c>
      <c r="B410" s="117"/>
      <c r="C410" s="117" t="s">
        <v>2444</v>
      </c>
      <c r="D410" s="304" t="s">
        <v>1289</v>
      </c>
      <c r="E410" s="305"/>
      <c r="F410" s="117" t="s">
        <v>1644</v>
      </c>
      <c r="G410" s="116">
        <v>3</v>
      </c>
      <c r="H410" s="108">
        <v>0</v>
      </c>
    </row>
    <row r="411" spans="1:8" x14ac:dyDescent="0.2">
      <c r="A411" s="117" t="s">
        <v>208</v>
      </c>
      <c r="B411" s="117"/>
      <c r="C411" s="117" t="s">
        <v>2443</v>
      </c>
      <c r="D411" s="304" t="s">
        <v>1290</v>
      </c>
      <c r="E411" s="305"/>
      <c r="F411" s="117" t="s">
        <v>1644</v>
      </c>
      <c r="G411" s="116">
        <v>2</v>
      </c>
      <c r="H411" s="108">
        <v>0</v>
      </c>
    </row>
    <row r="412" spans="1:8" x14ac:dyDescent="0.2">
      <c r="A412" s="117" t="s">
        <v>209</v>
      </c>
      <c r="B412" s="117"/>
      <c r="C412" s="117" t="s">
        <v>2442</v>
      </c>
      <c r="D412" s="304" t="s">
        <v>1291</v>
      </c>
      <c r="E412" s="305"/>
      <c r="F412" s="117" t="s">
        <v>1644</v>
      </c>
      <c r="G412" s="116">
        <v>2</v>
      </c>
      <c r="H412" s="108">
        <v>0</v>
      </c>
    </row>
    <row r="413" spans="1:8" x14ac:dyDescent="0.2">
      <c r="A413" s="117" t="s">
        <v>210</v>
      </c>
      <c r="B413" s="117"/>
      <c r="C413" s="117" t="s">
        <v>2441</v>
      </c>
      <c r="D413" s="304" t="s">
        <v>1292</v>
      </c>
      <c r="E413" s="305"/>
      <c r="F413" s="117" t="s">
        <v>1644</v>
      </c>
      <c r="G413" s="116">
        <v>1</v>
      </c>
      <c r="H413" s="108">
        <v>0</v>
      </c>
    </row>
    <row r="414" spans="1:8" x14ac:dyDescent="0.2">
      <c r="A414" s="117" t="s">
        <v>211</v>
      </c>
      <c r="B414" s="117"/>
      <c r="C414" s="117" t="s">
        <v>2440</v>
      </c>
      <c r="D414" s="304" t="s">
        <v>1293</v>
      </c>
      <c r="E414" s="305"/>
      <c r="F414" s="117" t="s">
        <v>1644</v>
      </c>
      <c r="G414" s="116">
        <v>1</v>
      </c>
      <c r="H414" s="108">
        <v>0</v>
      </c>
    </row>
    <row r="415" spans="1:8" x14ac:dyDescent="0.2">
      <c r="A415" s="117" t="s">
        <v>212</v>
      </c>
      <c r="B415" s="117"/>
      <c r="C415" s="117" t="s">
        <v>2439</v>
      </c>
      <c r="D415" s="304" t="s">
        <v>1294</v>
      </c>
      <c r="E415" s="305"/>
      <c r="F415" s="117" t="s">
        <v>1644</v>
      </c>
      <c r="G415" s="116">
        <v>1</v>
      </c>
      <c r="H415" s="108">
        <v>0</v>
      </c>
    </row>
    <row r="416" spans="1:8" x14ac:dyDescent="0.2">
      <c r="A416" s="117" t="s">
        <v>213</v>
      </c>
      <c r="B416" s="117"/>
      <c r="C416" s="117" t="s">
        <v>2438</v>
      </c>
      <c r="D416" s="304" t="s">
        <v>1295</v>
      </c>
      <c r="E416" s="305"/>
      <c r="F416" s="117" t="s">
        <v>1644</v>
      </c>
      <c r="G416" s="116">
        <v>1</v>
      </c>
      <c r="H416" s="108">
        <v>0</v>
      </c>
    </row>
    <row r="417" spans="1:8" x14ac:dyDescent="0.2">
      <c r="A417" s="117" t="s">
        <v>214</v>
      </c>
      <c r="B417" s="117"/>
      <c r="C417" s="117" t="s">
        <v>2437</v>
      </c>
      <c r="D417" s="304" t="s">
        <v>1296</v>
      </c>
      <c r="E417" s="305"/>
      <c r="F417" s="117" t="s">
        <v>1644</v>
      </c>
      <c r="G417" s="116">
        <v>2</v>
      </c>
      <c r="H417" s="108">
        <v>0</v>
      </c>
    </row>
    <row r="418" spans="1:8" x14ac:dyDescent="0.2">
      <c r="A418" s="117" t="s">
        <v>215</v>
      </c>
      <c r="B418" s="117"/>
      <c r="C418" s="117" t="s">
        <v>2436</v>
      </c>
      <c r="D418" s="304" t="s">
        <v>1297</v>
      </c>
      <c r="E418" s="305"/>
      <c r="F418" s="117" t="s">
        <v>1644</v>
      </c>
      <c r="G418" s="116">
        <v>2</v>
      </c>
      <c r="H418" s="108">
        <v>0</v>
      </c>
    </row>
    <row r="419" spans="1:8" x14ac:dyDescent="0.2">
      <c r="A419" s="117" t="s">
        <v>216</v>
      </c>
      <c r="B419" s="117"/>
      <c r="C419" s="117" t="s">
        <v>2435</v>
      </c>
      <c r="D419" s="304" t="s">
        <v>1298</v>
      </c>
      <c r="E419" s="305"/>
      <c r="F419" s="117" t="s">
        <v>1644</v>
      </c>
      <c r="G419" s="116">
        <v>1</v>
      </c>
      <c r="H419" s="108">
        <v>0</v>
      </c>
    </row>
    <row r="420" spans="1:8" x14ac:dyDescent="0.2">
      <c r="A420" s="117" t="s">
        <v>217</v>
      </c>
      <c r="B420" s="117"/>
      <c r="C420" s="117" t="s">
        <v>2434</v>
      </c>
      <c r="D420" s="304" t="s">
        <v>1299</v>
      </c>
      <c r="E420" s="305"/>
      <c r="F420" s="117" t="s">
        <v>1646</v>
      </c>
      <c r="G420" s="116">
        <v>8</v>
      </c>
      <c r="H420" s="108">
        <v>0</v>
      </c>
    </row>
    <row r="421" spans="1:8" x14ac:dyDescent="0.2">
      <c r="A421" s="117" t="s">
        <v>218</v>
      </c>
      <c r="B421" s="117"/>
      <c r="C421" s="117" t="s">
        <v>2433</v>
      </c>
      <c r="D421" s="304" t="s">
        <v>1300</v>
      </c>
      <c r="E421" s="305"/>
      <c r="F421" s="117" t="s">
        <v>1646</v>
      </c>
      <c r="G421" s="116">
        <v>15</v>
      </c>
      <c r="H421" s="108">
        <v>0</v>
      </c>
    </row>
    <row r="422" spans="1:8" x14ac:dyDescent="0.2">
      <c r="A422" s="117" t="s">
        <v>219</v>
      </c>
      <c r="B422" s="117"/>
      <c r="C422" s="117" t="s">
        <v>2432</v>
      </c>
      <c r="D422" s="304" t="s">
        <v>1301</v>
      </c>
      <c r="E422" s="305"/>
      <c r="F422" s="117" t="s">
        <v>1646</v>
      </c>
      <c r="G422" s="116">
        <v>8</v>
      </c>
      <c r="H422" s="108">
        <v>0</v>
      </c>
    </row>
    <row r="423" spans="1:8" x14ac:dyDescent="0.2">
      <c r="A423" s="117" t="s">
        <v>220</v>
      </c>
      <c r="B423" s="117"/>
      <c r="C423" s="117" t="s">
        <v>2431</v>
      </c>
      <c r="D423" s="304" t="s">
        <v>1302</v>
      </c>
      <c r="E423" s="305"/>
      <c r="F423" s="117" t="s">
        <v>1644</v>
      </c>
      <c r="G423" s="116">
        <v>1</v>
      </c>
      <c r="H423" s="108">
        <v>0</v>
      </c>
    </row>
    <row r="424" spans="1:8" x14ac:dyDescent="0.2">
      <c r="A424" s="117" t="s">
        <v>221</v>
      </c>
      <c r="B424" s="117"/>
      <c r="C424" s="117" t="s">
        <v>2430</v>
      </c>
      <c r="D424" s="304" t="s">
        <v>1303</v>
      </c>
      <c r="E424" s="305"/>
      <c r="F424" s="117" t="s">
        <v>1644</v>
      </c>
      <c r="G424" s="116">
        <v>1</v>
      </c>
      <c r="H424" s="108">
        <v>0</v>
      </c>
    </row>
    <row r="425" spans="1:8" x14ac:dyDescent="0.2">
      <c r="A425" s="117" t="s">
        <v>222</v>
      </c>
      <c r="B425" s="117"/>
      <c r="C425" s="117" t="s">
        <v>2429</v>
      </c>
      <c r="D425" s="304" t="s">
        <v>1304</v>
      </c>
      <c r="E425" s="305"/>
      <c r="F425" s="117" t="s">
        <v>1644</v>
      </c>
      <c r="G425" s="116">
        <v>1</v>
      </c>
      <c r="H425" s="108">
        <v>0</v>
      </c>
    </row>
    <row r="426" spans="1:8" x14ac:dyDescent="0.2">
      <c r="A426" s="117" t="s">
        <v>223</v>
      </c>
      <c r="B426" s="117"/>
      <c r="C426" s="117" t="s">
        <v>2428</v>
      </c>
      <c r="D426" s="304" t="s">
        <v>1305</v>
      </c>
      <c r="E426" s="305"/>
      <c r="F426" s="117" t="s">
        <v>1644</v>
      </c>
      <c r="G426" s="116">
        <v>1</v>
      </c>
      <c r="H426" s="108">
        <v>0</v>
      </c>
    </row>
    <row r="427" spans="1:8" x14ac:dyDescent="0.2">
      <c r="A427" s="117" t="s">
        <v>224</v>
      </c>
      <c r="B427" s="117"/>
      <c r="C427" s="117" t="s">
        <v>2427</v>
      </c>
      <c r="D427" s="304" t="s">
        <v>1306</v>
      </c>
      <c r="E427" s="305"/>
      <c r="F427" s="117" t="s">
        <v>1646</v>
      </c>
      <c r="G427" s="116">
        <v>15</v>
      </c>
      <c r="H427" s="108">
        <v>0</v>
      </c>
    </row>
    <row r="428" spans="1:8" x14ac:dyDescent="0.2">
      <c r="A428" s="117" t="s">
        <v>225</v>
      </c>
      <c r="B428" s="117"/>
      <c r="C428" s="117" t="s">
        <v>2426</v>
      </c>
      <c r="D428" s="304" t="s">
        <v>1286</v>
      </c>
      <c r="E428" s="305"/>
      <c r="F428" s="117" t="s">
        <v>1644</v>
      </c>
      <c r="G428" s="116">
        <v>2</v>
      </c>
      <c r="H428" s="108">
        <v>0</v>
      </c>
    </row>
    <row r="429" spans="1:8" x14ac:dyDescent="0.2">
      <c r="A429" s="117" t="s">
        <v>226</v>
      </c>
      <c r="B429" s="117"/>
      <c r="C429" s="117" t="s">
        <v>2425</v>
      </c>
      <c r="D429" s="304" t="s">
        <v>1307</v>
      </c>
      <c r="E429" s="305"/>
      <c r="F429" s="117" t="s">
        <v>1644</v>
      </c>
      <c r="G429" s="116">
        <v>1</v>
      </c>
      <c r="H429" s="108">
        <v>0</v>
      </c>
    </row>
    <row r="430" spans="1:8" x14ac:dyDescent="0.2">
      <c r="A430" s="117" t="s">
        <v>227</v>
      </c>
      <c r="B430" s="117"/>
      <c r="C430" s="117" t="s">
        <v>2424</v>
      </c>
      <c r="D430" s="304" t="s">
        <v>1308</v>
      </c>
      <c r="E430" s="305"/>
      <c r="F430" s="117" t="s">
        <v>1644</v>
      </c>
      <c r="G430" s="116">
        <v>1</v>
      </c>
      <c r="H430" s="108">
        <v>0</v>
      </c>
    </row>
    <row r="431" spans="1:8" x14ac:dyDescent="0.2">
      <c r="A431" s="117" t="s">
        <v>228</v>
      </c>
      <c r="B431" s="117"/>
      <c r="C431" s="117" t="s">
        <v>2423</v>
      </c>
      <c r="D431" s="304" t="s">
        <v>1309</v>
      </c>
      <c r="E431" s="305"/>
      <c r="F431" s="117" t="s">
        <v>1644</v>
      </c>
      <c r="G431" s="116">
        <v>1</v>
      </c>
      <c r="H431" s="108">
        <v>0</v>
      </c>
    </row>
    <row r="432" spans="1:8" x14ac:dyDescent="0.2">
      <c r="A432" s="117" t="s">
        <v>229</v>
      </c>
      <c r="B432" s="117"/>
      <c r="C432" s="117" t="s">
        <v>2422</v>
      </c>
      <c r="D432" s="304" t="s">
        <v>1310</v>
      </c>
      <c r="E432" s="305"/>
      <c r="F432" s="117" t="s">
        <v>1644</v>
      </c>
      <c r="G432" s="116">
        <v>1</v>
      </c>
      <c r="H432" s="108">
        <v>0</v>
      </c>
    </row>
    <row r="433" spans="1:8" x14ac:dyDescent="0.2">
      <c r="A433" s="117" t="s">
        <v>230</v>
      </c>
      <c r="B433" s="117"/>
      <c r="C433" s="117" t="s">
        <v>2421</v>
      </c>
      <c r="D433" s="304" t="s">
        <v>1311</v>
      </c>
      <c r="E433" s="305"/>
      <c r="F433" s="117" t="s">
        <v>1644</v>
      </c>
      <c r="G433" s="116">
        <v>1</v>
      </c>
      <c r="H433" s="108">
        <v>0</v>
      </c>
    </row>
    <row r="434" spans="1:8" x14ac:dyDescent="0.2">
      <c r="A434" s="117" t="s">
        <v>231</v>
      </c>
      <c r="B434" s="117"/>
      <c r="C434" s="117" t="s">
        <v>2420</v>
      </c>
      <c r="D434" s="304" t="s">
        <v>1312</v>
      </c>
      <c r="E434" s="305"/>
      <c r="F434" s="117" t="s">
        <v>1644</v>
      </c>
      <c r="G434" s="116">
        <v>2</v>
      </c>
      <c r="H434" s="108">
        <v>0</v>
      </c>
    </row>
    <row r="435" spans="1:8" x14ac:dyDescent="0.2">
      <c r="A435" s="117" t="s">
        <v>232</v>
      </c>
      <c r="B435" s="117"/>
      <c r="C435" s="117" t="s">
        <v>2419</v>
      </c>
      <c r="D435" s="304" t="s">
        <v>1313</v>
      </c>
      <c r="E435" s="305"/>
      <c r="F435" s="117" t="s">
        <v>1644</v>
      </c>
      <c r="G435" s="116">
        <v>2</v>
      </c>
      <c r="H435" s="108">
        <v>0</v>
      </c>
    </row>
    <row r="436" spans="1:8" x14ac:dyDescent="0.2">
      <c r="A436" s="117" t="s">
        <v>233</v>
      </c>
      <c r="B436" s="117"/>
      <c r="C436" s="117" t="s">
        <v>2418</v>
      </c>
      <c r="D436" s="304" t="s">
        <v>1314</v>
      </c>
      <c r="E436" s="305"/>
      <c r="F436" s="117" t="s">
        <v>1644</v>
      </c>
      <c r="G436" s="116">
        <v>1</v>
      </c>
      <c r="H436" s="108">
        <v>0</v>
      </c>
    </row>
    <row r="437" spans="1:8" x14ac:dyDescent="0.2">
      <c r="A437" s="117" t="s">
        <v>234</v>
      </c>
      <c r="B437" s="117"/>
      <c r="C437" s="117" t="s">
        <v>2417</v>
      </c>
      <c r="D437" s="304" t="s">
        <v>1315</v>
      </c>
      <c r="E437" s="305"/>
      <c r="F437" s="117" t="s">
        <v>1644</v>
      </c>
      <c r="G437" s="116">
        <v>1</v>
      </c>
      <c r="H437" s="108">
        <v>0</v>
      </c>
    </row>
    <row r="438" spans="1:8" x14ac:dyDescent="0.2">
      <c r="A438" s="117" t="s">
        <v>235</v>
      </c>
      <c r="B438" s="117"/>
      <c r="C438" s="117" t="s">
        <v>2416</v>
      </c>
      <c r="D438" s="304" t="s">
        <v>1316</v>
      </c>
      <c r="E438" s="305"/>
      <c r="F438" s="117" t="s">
        <v>1644</v>
      </c>
      <c r="G438" s="116">
        <v>2</v>
      </c>
      <c r="H438" s="108">
        <v>0</v>
      </c>
    </row>
    <row r="439" spans="1:8" x14ac:dyDescent="0.2">
      <c r="A439" s="117" t="s">
        <v>236</v>
      </c>
      <c r="B439" s="117"/>
      <c r="C439" s="117" t="s">
        <v>2415</v>
      </c>
      <c r="D439" s="304" t="s">
        <v>1317</v>
      </c>
      <c r="E439" s="305"/>
      <c r="F439" s="117" t="s">
        <v>1644</v>
      </c>
      <c r="G439" s="116">
        <v>1</v>
      </c>
      <c r="H439" s="108">
        <v>0</v>
      </c>
    </row>
    <row r="440" spans="1:8" x14ac:dyDescent="0.2">
      <c r="A440" s="117" t="s">
        <v>237</v>
      </c>
      <c r="B440" s="117"/>
      <c r="C440" s="117" t="s">
        <v>2414</v>
      </c>
      <c r="D440" s="304" t="s">
        <v>1318</v>
      </c>
      <c r="E440" s="305"/>
      <c r="F440" s="117" t="s">
        <v>1644</v>
      </c>
      <c r="G440" s="116">
        <v>2</v>
      </c>
      <c r="H440" s="108">
        <v>0</v>
      </c>
    </row>
    <row r="441" spans="1:8" x14ac:dyDescent="0.2">
      <c r="A441" s="117" t="s">
        <v>238</v>
      </c>
      <c r="B441" s="117"/>
      <c r="C441" s="117" t="s">
        <v>2413</v>
      </c>
      <c r="D441" s="304" t="s">
        <v>1319</v>
      </c>
      <c r="E441" s="305"/>
      <c r="F441" s="117" t="s">
        <v>1644</v>
      </c>
      <c r="G441" s="116">
        <v>6</v>
      </c>
      <c r="H441" s="108">
        <v>0</v>
      </c>
    </row>
    <row r="442" spans="1:8" x14ac:dyDescent="0.2">
      <c r="A442" s="117" t="s">
        <v>239</v>
      </c>
      <c r="B442" s="117"/>
      <c r="C442" s="117" t="s">
        <v>2412</v>
      </c>
      <c r="D442" s="304" t="s">
        <v>1320</v>
      </c>
      <c r="E442" s="305"/>
      <c r="F442" s="117" t="s">
        <v>1644</v>
      </c>
      <c r="G442" s="116">
        <v>14</v>
      </c>
      <c r="H442" s="108">
        <v>0</v>
      </c>
    </row>
    <row r="443" spans="1:8" x14ac:dyDescent="0.2">
      <c r="A443" s="117" t="s">
        <v>240</v>
      </c>
      <c r="B443" s="117"/>
      <c r="C443" s="117" t="s">
        <v>2411</v>
      </c>
      <c r="D443" s="304" t="s">
        <v>1321</v>
      </c>
      <c r="E443" s="305"/>
      <c r="F443" s="117" t="s">
        <v>1644</v>
      </c>
      <c r="G443" s="116">
        <v>1</v>
      </c>
      <c r="H443" s="108">
        <v>0</v>
      </c>
    </row>
    <row r="444" spans="1:8" x14ac:dyDescent="0.2">
      <c r="A444" s="117" t="s">
        <v>241</v>
      </c>
      <c r="B444" s="117"/>
      <c r="C444" s="117" t="s">
        <v>2410</v>
      </c>
      <c r="D444" s="304" t="s">
        <v>1322</v>
      </c>
      <c r="E444" s="305"/>
      <c r="F444" s="117" t="s">
        <v>1644</v>
      </c>
      <c r="G444" s="116">
        <v>2</v>
      </c>
      <c r="H444" s="108">
        <v>0</v>
      </c>
    </row>
    <row r="445" spans="1:8" x14ac:dyDescent="0.2">
      <c r="A445" s="117" t="s">
        <v>242</v>
      </c>
      <c r="B445" s="117"/>
      <c r="C445" s="117" t="s">
        <v>2409</v>
      </c>
      <c r="D445" s="304" t="s">
        <v>1323</v>
      </c>
      <c r="E445" s="305"/>
      <c r="F445" s="117" t="s">
        <v>1644</v>
      </c>
      <c r="G445" s="116">
        <v>1</v>
      </c>
      <c r="H445" s="108">
        <v>0</v>
      </c>
    </row>
    <row r="446" spans="1:8" x14ac:dyDescent="0.2">
      <c r="A446" s="117" t="s">
        <v>243</v>
      </c>
      <c r="B446" s="117"/>
      <c r="C446" s="117" t="s">
        <v>2408</v>
      </c>
      <c r="D446" s="304" t="s">
        <v>1324</v>
      </c>
      <c r="E446" s="305"/>
      <c r="F446" s="117" t="s">
        <v>1644</v>
      </c>
      <c r="G446" s="116">
        <v>2</v>
      </c>
      <c r="H446" s="108">
        <v>0</v>
      </c>
    </row>
    <row r="447" spans="1:8" x14ac:dyDescent="0.2">
      <c r="A447" s="117" t="s">
        <v>244</v>
      </c>
      <c r="B447" s="117"/>
      <c r="C447" s="117" t="s">
        <v>2407</v>
      </c>
      <c r="D447" s="304" t="s">
        <v>1325</v>
      </c>
      <c r="E447" s="305"/>
      <c r="F447" s="117" t="s">
        <v>1644</v>
      </c>
      <c r="G447" s="116">
        <v>1</v>
      </c>
      <c r="H447" s="108">
        <v>0</v>
      </c>
    </row>
    <row r="448" spans="1:8" x14ac:dyDescent="0.2">
      <c r="A448" s="117" t="s">
        <v>245</v>
      </c>
      <c r="B448" s="117"/>
      <c r="C448" s="117" t="s">
        <v>2406</v>
      </c>
      <c r="D448" s="304" t="s">
        <v>1297</v>
      </c>
      <c r="E448" s="305"/>
      <c r="F448" s="117" t="s">
        <v>1644</v>
      </c>
      <c r="G448" s="116">
        <v>8</v>
      </c>
      <c r="H448" s="108">
        <v>0</v>
      </c>
    </row>
    <row r="449" spans="1:8" x14ac:dyDescent="0.2">
      <c r="A449" s="117" t="s">
        <v>246</v>
      </c>
      <c r="B449" s="117"/>
      <c r="C449" s="117" t="s">
        <v>2405</v>
      </c>
      <c r="D449" s="304" t="s">
        <v>1326</v>
      </c>
      <c r="E449" s="305"/>
      <c r="F449" s="117" t="s">
        <v>1644</v>
      </c>
      <c r="G449" s="116">
        <v>8</v>
      </c>
      <c r="H449" s="108">
        <v>0</v>
      </c>
    </row>
    <row r="450" spans="1:8" x14ac:dyDescent="0.2">
      <c r="A450" s="117" t="s">
        <v>247</v>
      </c>
      <c r="B450" s="117"/>
      <c r="C450" s="117" t="s">
        <v>2404</v>
      </c>
      <c r="D450" s="304" t="s">
        <v>1327</v>
      </c>
      <c r="E450" s="305"/>
      <c r="F450" s="117" t="s">
        <v>1644</v>
      </c>
      <c r="G450" s="116">
        <v>6</v>
      </c>
      <c r="H450" s="108">
        <v>0</v>
      </c>
    </row>
    <row r="451" spans="1:8" x14ac:dyDescent="0.2">
      <c r="A451" s="117" t="s">
        <v>248</v>
      </c>
      <c r="B451" s="117"/>
      <c r="C451" s="117" t="s">
        <v>2403</v>
      </c>
      <c r="D451" s="304" t="s">
        <v>1294</v>
      </c>
      <c r="E451" s="305"/>
      <c r="F451" s="117" t="s">
        <v>1644</v>
      </c>
      <c r="G451" s="116">
        <v>2</v>
      </c>
      <c r="H451" s="108">
        <v>0</v>
      </c>
    </row>
    <row r="452" spans="1:8" x14ac:dyDescent="0.2">
      <c r="A452" s="117" t="s">
        <v>249</v>
      </c>
      <c r="B452" s="117"/>
      <c r="C452" s="117" t="s">
        <v>2402</v>
      </c>
      <c r="D452" s="304" t="s">
        <v>1295</v>
      </c>
      <c r="E452" s="305"/>
      <c r="F452" s="117" t="s">
        <v>1644</v>
      </c>
      <c r="G452" s="116">
        <v>2</v>
      </c>
      <c r="H452" s="108">
        <v>0</v>
      </c>
    </row>
    <row r="453" spans="1:8" x14ac:dyDescent="0.2">
      <c r="A453" s="117" t="s">
        <v>250</v>
      </c>
      <c r="B453" s="117"/>
      <c r="C453" s="117" t="s">
        <v>2401</v>
      </c>
      <c r="D453" s="304" t="s">
        <v>1328</v>
      </c>
      <c r="E453" s="305"/>
      <c r="F453" s="117" t="s">
        <v>1644</v>
      </c>
      <c r="G453" s="116">
        <v>22</v>
      </c>
      <c r="H453" s="108">
        <v>0</v>
      </c>
    </row>
    <row r="454" spans="1:8" x14ac:dyDescent="0.2">
      <c r="A454" s="117" t="s">
        <v>251</v>
      </c>
      <c r="B454" s="117"/>
      <c r="C454" s="117" t="s">
        <v>2400</v>
      </c>
      <c r="D454" s="304" t="s">
        <v>1329</v>
      </c>
      <c r="E454" s="305"/>
      <c r="F454" s="117" t="s">
        <v>1644</v>
      </c>
      <c r="G454" s="116">
        <v>1</v>
      </c>
      <c r="H454" s="108">
        <v>0</v>
      </c>
    </row>
    <row r="455" spans="1:8" x14ac:dyDescent="0.2">
      <c r="A455" s="117" t="s">
        <v>252</v>
      </c>
      <c r="B455" s="117"/>
      <c r="C455" s="117" t="s">
        <v>2399</v>
      </c>
      <c r="D455" s="304" t="s">
        <v>1330</v>
      </c>
      <c r="E455" s="305"/>
      <c r="F455" s="117" t="s">
        <v>1646</v>
      </c>
      <c r="G455" s="116">
        <v>60</v>
      </c>
      <c r="H455" s="108">
        <v>0</v>
      </c>
    </row>
    <row r="456" spans="1:8" x14ac:dyDescent="0.2">
      <c r="A456" s="117" t="s">
        <v>253</v>
      </c>
      <c r="B456" s="117"/>
      <c r="C456" s="117" t="s">
        <v>2398</v>
      </c>
      <c r="D456" s="304" t="s">
        <v>1331</v>
      </c>
      <c r="E456" s="305"/>
      <c r="F456" s="117" t="s">
        <v>1646</v>
      </c>
      <c r="G456" s="116">
        <v>24</v>
      </c>
      <c r="H456" s="108">
        <v>0</v>
      </c>
    </row>
    <row r="457" spans="1:8" x14ac:dyDescent="0.2">
      <c r="A457" s="117" t="s">
        <v>254</v>
      </c>
      <c r="B457" s="117"/>
      <c r="C457" s="117" t="s">
        <v>2397</v>
      </c>
      <c r="D457" s="304" t="s">
        <v>1332</v>
      </c>
      <c r="E457" s="305"/>
      <c r="F457" s="117" t="s">
        <v>1646</v>
      </c>
      <c r="G457" s="116">
        <v>4</v>
      </c>
      <c r="H457" s="108">
        <v>0</v>
      </c>
    </row>
    <row r="458" spans="1:8" x14ac:dyDescent="0.2">
      <c r="A458" s="117" t="s">
        <v>255</v>
      </c>
      <c r="B458" s="117"/>
      <c r="C458" s="117" t="s">
        <v>2396</v>
      </c>
      <c r="D458" s="304" t="s">
        <v>1333</v>
      </c>
      <c r="E458" s="305"/>
      <c r="F458" s="117" t="s">
        <v>1646</v>
      </c>
      <c r="G458" s="116">
        <v>60</v>
      </c>
      <c r="H458" s="108">
        <v>0</v>
      </c>
    </row>
    <row r="459" spans="1:8" x14ac:dyDescent="0.2">
      <c r="A459" s="117" t="s">
        <v>256</v>
      </c>
      <c r="B459" s="117"/>
      <c r="C459" s="117" t="s">
        <v>2395</v>
      </c>
      <c r="D459" s="304" t="s">
        <v>1334</v>
      </c>
      <c r="E459" s="305"/>
      <c r="F459" s="117" t="s">
        <v>1646</v>
      </c>
      <c r="G459" s="116">
        <v>24</v>
      </c>
      <c r="H459" s="108">
        <v>0</v>
      </c>
    </row>
    <row r="460" spans="1:8" x14ac:dyDescent="0.2">
      <c r="A460" s="117" t="s">
        <v>257</v>
      </c>
      <c r="B460" s="117"/>
      <c r="C460" s="117" t="s">
        <v>2394</v>
      </c>
      <c r="D460" s="304" t="s">
        <v>1335</v>
      </c>
      <c r="E460" s="305"/>
      <c r="F460" s="117" t="s">
        <v>1645</v>
      </c>
      <c r="G460" s="116">
        <v>0.7</v>
      </c>
      <c r="H460" s="108">
        <v>0</v>
      </c>
    </row>
    <row r="461" spans="1:8" x14ac:dyDescent="0.2">
      <c r="A461" s="117" t="s">
        <v>258</v>
      </c>
      <c r="B461" s="117"/>
      <c r="C461" s="117" t="s">
        <v>2393</v>
      </c>
      <c r="D461" s="304" t="s">
        <v>1336</v>
      </c>
      <c r="E461" s="305"/>
      <c r="F461" s="117" t="s">
        <v>1644</v>
      </c>
      <c r="G461" s="116">
        <v>1</v>
      </c>
      <c r="H461" s="108">
        <v>0</v>
      </c>
    </row>
    <row r="462" spans="1:8" x14ac:dyDescent="0.2">
      <c r="A462" s="117" t="s">
        <v>259</v>
      </c>
      <c r="B462" s="117"/>
      <c r="C462" s="117" t="s">
        <v>2392</v>
      </c>
      <c r="D462" s="304" t="s">
        <v>1337</v>
      </c>
      <c r="E462" s="305"/>
      <c r="F462" s="117" t="s">
        <v>1644</v>
      </c>
      <c r="G462" s="116">
        <v>1</v>
      </c>
      <c r="H462" s="108">
        <v>0</v>
      </c>
    </row>
    <row r="463" spans="1:8" x14ac:dyDescent="0.2">
      <c r="A463" s="117" t="s">
        <v>260</v>
      </c>
      <c r="B463" s="117"/>
      <c r="C463" s="117" t="s">
        <v>2391</v>
      </c>
      <c r="D463" s="304" t="s">
        <v>1338</v>
      </c>
      <c r="E463" s="305"/>
      <c r="F463" s="117" t="s">
        <v>1644</v>
      </c>
      <c r="G463" s="116">
        <v>1</v>
      </c>
      <c r="H463" s="108">
        <v>0</v>
      </c>
    </row>
    <row r="464" spans="1:8" x14ac:dyDescent="0.2">
      <c r="A464" s="117" t="s">
        <v>261</v>
      </c>
      <c r="B464" s="117"/>
      <c r="C464" s="117" t="s">
        <v>2390</v>
      </c>
      <c r="D464" s="304" t="s">
        <v>2389</v>
      </c>
      <c r="E464" s="305"/>
      <c r="F464" s="117" t="s">
        <v>1644</v>
      </c>
      <c r="G464" s="116">
        <v>1</v>
      </c>
      <c r="H464" s="108">
        <v>0</v>
      </c>
    </row>
    <row r="465" spans="1:8" x14ac:dyDescent="0.2">
      <c r="A465" s="117" t="s">
        <v>262</v>
      </c>
      <c r="B465" s="117"/>
      <c r="C465" s="117" t="s">
        <v>2388</v>
      </c>
      <c r="D465" s="304" t="s">
        <v>1341</v>
      </c>
      <c r="E465" s="305"/>
      <c r="F465" s="117" t="s">
        <v>1644</v>
      </c>
      <c r="G465" s="116">
        <v>1</v>
      </c>
      <c r="H465" s="108">
        <v>0</v>
      </c>
    </row>
    <row r="466" spans="1:8" x14ac:dyDescent="0.2">
      <c r="A466" s="117" t="s">
        <v>263</v>
      </c>
      <c r="B466" s="117"/>
      <c r="C466" s="117" t="s">
        <v>2387</v>
      </c>
      <c r="D466" s="304" t="s">
        <v>1342</v>
      </c>
      <c r="E466" s="305"/>
      <c r="F466" s="117" t="s">
        <v>1646</v>
      </c>
      <c r="G466" s="116">
        <v>5</v>
      </c>
      <c r="H466" s="108">
        <v>0</v>
      </c>
    </row>
    <row r="467" spans="1:8" x14ac:dyDescent="0.2">
      <c r="A467" s="117" t="s">
        <v>264</v>
      </c>
      <c r="B467" s="117"/>
      <c r="C467" s="117" t="s">
        <v>2386</v>
      </c>
      <c r="D467" s="304" t="s">
        <v>1343</v>
      </c>
      <c r="E467" s="305"/>
      <c r="F467" s="117" t="s">
        <v>1646</v>
      </c>
      <c r="G467" s="116">
        <v>9</v>
      </c>
      <c r="H467" s="108">
        <v>0</v>
      </c>
    </row>
    <row r="468" spans="1:8" x14ac:dyDescent="0.2">
      <c r="A468" s="117" t="s">
        <v>265</v>
      </c>
      <c r="B468" s="117"/>
      <c r="C468" s="117" t="s">
        <v>2385</v>
      </c>
      <c r="D468" s="304" t="s">
        <v>1344</v>
      </c>
      <c r="E468" s="305"/>
      <c r="F468" s="117" t="s">
        <v>1646</v>
      </c>
      <c r="G468" s="116">
        <v>20</v>
      </c>
      <c r="H468" s="108">
        <v>0</v>
      </c>
    </row>
    <row r="469" spans="1:8" x14ac:dyDescent="0.2">
      <c r="A469" s="117" t="s">
        <v>266</v>
      </c>
      <c r="B469" s="117"/>
      <c r="C469" s="117" t="s">
        <v>2384</v>
      </c>
      <c r="D469" s="304" t="s">
        <v>1345</v>
      </c>
      <c r="E469" s="305"/>
      <c r="F469" s="117" t="s">
        <v>1646</v>
      </c>
      <c r="G469" s="116">
        <v>20</v>
      </c>
      <c r="H469" s="108">
        <v>0</v>
      </c>
    </row>
    <row r="470" spans="1:8" x14ac:dyDescent="0.2">
      <c r="A470" s="117" t="s">
        <v>267</v>
      </c>
      <c r="B470" s="117"/>
      <c r="C470" s="117" t="s">
        <v>2383</v>
      </c>
      <c r="D470" s="304" t="s">
        <v>1346</v>
      </c>
      <c r="E470" s="305"/>
      <c r="F470" s="117" t="s">
        <v>1644</v>
      </c>
      <c r="G470" s="116">
        <v>1</v>
      </c>
      <c r="H470" s="108">
        <v>0</v>
      </c>
    </row>
    <row r="471" spans="1:8" x14ac:dyDescent="0.2">
      <c r="A471" s="117" t="s">
        <v>268</v>
      </c>
      <c r="B471" s="117"/>
      <c r="C471" s="117" t="s">
        <v>2382</v>
      </c>
      <c r="D471" s="304" t="s">
        <v>1253</v>
      </c>
      <c r="E471" s="305"/>
      <c r="F471" s="117" t="s">
        <v>1644</v>
      </c>
      <c r="G471" s="116">
        <v>1</v>
      </c>
      <c r="H471" s="108">
        <v>0</v>
      </c>
    </row>
    <row r="472" spans="1:8" x14ac:dyDescent="0.2">
      <c r="A472" s="117" t="s">
        <v>269</v>
      </c>
      <c r="B472" s="117"/>
      <c r="C472" s="117" t="s">
        <v>2381</v>
      </c>
      <c r="D472" s="304" t="s">
        <v>1347</v>
      </c>
      <c r="E472" s="305"/>
      <c r="F472" s="117" t="s">
        <v>1646</v>
      </c>
      <c r="G472" s="116">
        <v>103</v>
      </c>
      <c r="H472" s="108">
        <v>0</v>
      </c>
    </row>
    <row r="473" spans="1:8" x14ac:dyDescent="0.2">
      <c r="A473" s="117" t="s">
        <v>270</v>
      </c>
      <c r="B473" s="117"/>
      <c r="C473" s="117" t="s">
        <v>2380</v>
      </c>
      <c r="D473" s="304" t="s">
        <v>1348</v>
      </c>
      <c r="E473" s="305"/>
      <c r="F473" s="117" t="s">
        <v>1644</v>
      </c>
      <c r="G473" s="116">
        <v>1</v>
      </c>
      <c r="H473" s="108">
        <v>0</v>
      </c>
    </row>
    <row r="474" spans="1:8" x14ac:dyDescent="0.2">
      <c r="A474" s="117" t="s">
        <v>271</v>
      </c>
      <c r="B474" s="117"/>
      <c r="C474" s="117" t="s">
        <v>2379</v>
      </c>
      <c r="D474" s="304" t="s">
        <v>1349</v>
      </c>
      <c r="E474" s="305"/>
      <c r="F474" s="117" t="s">
        <v>1644</v>
      </c>
      <c r="G474" s="116">
        <v>2</v>
      </c>
      <c r="H474" s="108">
        <v>0</v>
      </c>
    </row>
    <row r="475" spans="1:8" x14ac:dyDescent="0.2">
      <c r="A475" s="117" t="s">
        <v>272</v>
      </c>
      <c r="B475" s="117"/>
      <c r="C475" s="117" t="s">
        <v>2378</v>
      </c>
      <c r="D475" s="304" t="s">
        <v>1350</v>
      </c>
      <c r="E475" s="305"/>
      <c r="F475" s="117" t="s">
        <v>1644</v>
      </c>
      <c r="G475" s="116">
        <v>1</v>
      </c>
      <c r="H475" s="108">
        <v>0</v>
      </c>
    </row>
    <row r="476" spans="1:8" x14ac:dyDescent="0.2">
      <c r="A476" s="117" t="s">
        <v>273</v>
      </c>
      <c r="B476" s="117"/>
      <c r="C476" s="117" t="s">
        <v>2377</v>
      </c>
      <c r="D476" s="304" t="s">
        <v>1351</v>
      </c>
      <c r="E476" s="305"/>
      <c r="F476" s="117" t="s">
        <v>1644</v>
      </c>
      <c r="G476" s="116">
        <v>1</v>
      </c>
      <c r="H476" s="108">
        <v>0</v>
      </c>
    </row>
    <row r="477" spans="1:8" x14ac:dyDescent="0.2">
      <c r="A477" s="117" t="s">
        <v>274</v>
      </c>
      <c r="B477" s="117"/>
      <c r="C477" s="117" t="s">
        <v>2376</v>
      </c>
      <c r="D477" s="304" t="s">
        <v>1352</v>
      </c>
      <c r="E477" s="305"/>
      <c r="F477" s="117" t="s">
        <v>1644</v>
      </c>
      <c r="G477" s="116">
        <v>16</v>
      </c>
      <c r="H477" s="108">
        <v>0</v>
      </c>
    </row>
    <row r="478" spans="1:8" x14ac:dyDescent="0.2">
      <c r="A478" s="117" t="s">
        <v>275</v>
      </c>
      <c r="B478" s="117"/>
      <c r="C478" s="117" t="s">
        <v>2375</v>
      </c>
      <c r="D478" s="304" t="s">
        <v>1353</v>
      </c>
      <c r="E478" s="305"/>
      <c r="F478" s="117" t="s">
        <v>1644</v>
      </c>
      <c r="G478" s="116">
        <v>1</v>
      </c>
      <c r="H478" s="108">
        <v>0</v>
      </c>
    </row>
    <row r="479" spans="1:8" x14ac:dyDescent="0.2">
      <c r="A479" s="117" t="s">
        <v>276</v>
      </c>
      <c r="B479" s="117"/>
      <c r="C479" s="117" t="s">
        <v>2374</v>
      </c>
      <c r="D479" s="304" t="s">
        <v>1354</v>
      </c>
      <c r="E479" s="305"/>
      <c r="F479" s="117" t="s">
        <v>1644</v>
      </c>
      <c r="G479" s="116">
        <v>1</v>
      </c>
      <c r="H479" s="108">
        <v>0</v>
      </c>
    </row>
    <row r="480" spans="1:8" x14ac:dyDescent="0.2">
      <c r="A480" s="120"/>
      <c r="B480" s="120"/>
      <c r="C480" s="120" t="s">
        <v>772</v>
      </c>
      <c r="D480" s="306" t="s">
        <v>1355</v>
      </c>
      <c r="E480" s="307"/>
      <c r="F480" s="120"/>
      <c r="G480" s="142"/>
      <c r="H480" s="109"/>
    </row>
    <row r="481" spans="1:8" x14ac:dyDescent="0.2">
      <c r="A481" s="117" t="s">
        <v>277</v>
      </c>
      <c r="B481" s="117"/>
      <c r="C481" s="117" t="s">
        <v>2373</v>
      </c>
      <c r="D481" s="304" t="s">
        <v>1356</v>
      </c>
      <c r="E481" s="305"/>
      <c r="F481" s="117" t="s">
        <v>1644</v>
      </c>
      <c r="G481" s="116">
        <v>1</v>
      </c>
      <c r="H481" s="108">
        <v>0</v>
      </c>
    </row>
    <row r="482" spans="1:8" x14ac:dyDescent="0.2">
      <c r="A482" s="117" t="s">
        <v>278</v>
      </c>
      <c r="B482" s="117"/>
      <c r="C482" s="117" t="s">
        <v>2372</v>
      </c>
      <c r="D482" s="304" t="s">
        <v>1357</v>
      </c>
      <c r="E482" s="305"/>
      <c r="F482" s="117" t="s">
        <v>1644</v>
      </c>
      <c r="G482" s="116">
        <v>1</v>
      </c>
      <c r="H482" s="108">
        <v>0</v>
      </c>
    </row>
    <row r="483" spans="1:8" x14ac:dyDescent="0.2">
      <c r="A483" s="117" t="s">
        <v>279</v>
      </c>
      <c r="B483" s="117"/>
      <c r="C483" s="117" t="s">
        <v>2371</v>
      </c>
      <c r="D483" s="304" t="s">
        <v>1358</v>
      </c>
      <c r="E483" s="305"/>
      <c r="F483" s="117" t="s">
        <v>1644</v>
      </c>
      <c r="G483" s="116">
        <v>1</v>
      </c>
      <c r="H483" s="108">
        <v>0</v>
      </c>
    </row>
    <row r="484" spans="1:8" x14ac:dyDescent="0.2">
      <c r="A484" s="117" t="s">
        <v>280</v>
      </c>
      <c r="B484" s="117"/>
      <c r="C484" s="117" t="s">
        <v>2370</v>
      </c>
      <c r="D484" s="304" t="s">
        <v>1359</v>
      </c>
      <c r="E484" s="305"/>
      <c r="F484" s="117" t="s">
        <v>1644</v>
      </c>
      <c r="G484" s="116">
        <v>1</v>
      </c>
      <c r="H484" s="108">
        <v>0</v>
      </c>
    </row>
    <row r="485" spans="1:8" x14ac:dyDescent="0.2">
      <c r="A485" s="117" t="s">
        <v>281</v>
      </c>
      <c r="B485" s="117"/>
      <c r="C485" s="117" t="s">
        <v>2369</v>
      </c>
      <c r="D485" s="304" t="s">
        <v>1360</v>
      </c>
      <c r="E485" s="305"/>
      <c r="F485" s="117" t="s">
        <v>1644</v>
      </c>
      <c r="G485" s="116">
        <v>1</v>
      </c>
      <c r="H485" s="108">
        <v>0</v>
      </c>
    </row>
    <row r="486" spans="1:8" x14ac:dyDescent="0.2">
      <c r="A486" s="117" t="s">
        <v>282</v>
      </c>
      <c r="B486" s="117"/>
      <c r="C486" s="117" t="s">
        <v>2368</v>
      </c>
      <c r="D486" s="304" t="s">
        <v>1361</v>
      </c>
      <c r="E486" s="305"/>
      <c r="F486" s="117" t="s">
        <v>1644</v>
      </c>
      <c r="G486" s="116">
        <v>1</v>
      </c>
      <c r="H486" s="108">
        <v>0</v>
      </c>
    </row>
    <row r="487" spans="1:8" x14ac:dyDescent="0.2">
      <c r="A487" s="117" t="s">
        <v>283</v>
      </c>
      <c r="B487" s="117"/>
      <c r="C487" s="117" t="s">
        <v>2367</v>
      </c>
      <c r="D487" s="304" t="s">
        <v>1362</v>
      </c>
      <c r="E487" s="305"/>
      <c r="F487" s="117" t="s">
        <v>1644</v>
      </c>
      <c r="G487" s="116">
        <v>1</v>
      </c>
      <c r="H487" s="108">
        <v>0</v>
      </c>
    </row>
    <row r="488" spans="1:8" x14ac:dyDescent="0.2">
      <c r="A488" s="117" t="s">
        <v>284</v>
      </c>
      <c r="B488" s="117"/>
      <c r="C488" s="117" t="s">
        <v>2366</v>
      </c>
      <c r="D488" s="304" t="s">
        <v>1363</v>
      </c>
      <c r="E488" s="305"/>
      <c r="F488" s="117" t="s">
        <v>1644</v>
      </c>
      <c r="G488" s="116">
        <v>1</v>
      </c>
      <c r="H488" s="108">
        <v>0</v>
      </c>
    </row>
    <row r="489" spans="1:8" x14ac:dyDescent="0.2">
      <c r="A489" s="117" t="s">
        <v>285</v>
      </c>
      <c r="B489" s="117"/>
      <c r="C489" s="117" t="s">
        <v>2365</v>
      </c>
      <c r="D489" s="304" t="s">
        <v>1364</v>
      </c>
      <c r="E489" s="305"/>
      <c r="F489" s="117" t="s">
        <v>1644</v>
      </c>
      <c r="G489" s="116">
        <v>2</v>
      </c>
      <c r="H489" s="108">
        <v>0</v>
      </c>
    </row>
    <row r="490" spans="1:8" x14ac:dyDescent="0.2">
      <c r="A490" s="117" t="s">
        <v>286</v>
      </c>
      <c r="B490" s="117"/>
      <c r="C490" s="117" t="s">
        <v>2364</v>
      </c>
      <c r="D490" s="304" t="s">
        <v>1365</v>
      </c>
      <c r="E490" s="305"/>
      <c r="F490" s="117" t="s">
        <v>1644</v>
      </c>
      <c r="G490" s="116">
        <v>1</v>
      </c>
      <c r="H490" s="108">
        <v>0</v>
      </c>
    </row>
    <row r="491" spans="1:8" x14ac:dyDescent="0.2">
      <c r="A491" s="117" t="s">
        <v>287</v>
      </c>
      <c r="B491" s="117"/>
      <c r="C491" s="117" t="s">
        <v>2363</v>
      </c>
      <c r="D491" s="304" t="s">
        <v>1366</v>
      </c>
      <c r="E491" s="305"/>
      <c r="F491" s="117" t="s">
        <v>1644</v>
      </c>
      <c r="G491" s="116">
        <v>1</v>
      </c>
      <c r="H491" s="108">
        <v>0</v>
      </c>
    </row>
    <row r="492" spans="1:8" x14ac:dyDescent="0.2">
      <c r="A492" s="117" t="s">
        <v>288</v>
      </c>
      <c r="B492" s="117"/>
      <c r="C492" s="117" t="s">
        <v>2362</v>
      </c>
      <c r="D492" s="304" t="s">
        <v>1367</v>
      </c>
      <c r="E492" s="305"/>
      <c r="F492" s="117" t="s">
        <v>1644</v>
      </c>
      <c r="G492" s="116">
        <v>1</v>
      </c>
      <c r="H492" s="108">
        <v>0</v>
      </c>
    </row>
    <row r="493" spans="1:8" x14ac:dyDescent="0.2">
      <c r="A493" s="117" t="s">
        <v>289</v>
      </c>
      <c r="B493" s="117"/>
      <c r="C493" s="117" t="s">
        <v>2361</v>
      </c>
      <c r="D493" s="304" t="s">
        <v>1368</v>
      </c>
      <c r="E493" s="305"/>
      <c r="F493" s="117" t="s">
        <v>1644</v>
      </c>
      <c r="G493" s="116">
        <v>5</v>
      </c>
      <c r="H493" s="108">
        <v>0</v>
      </c>
    </row>
    <row r="494" spans="1:8" x14ac:dyDescent="0.2">
      <c r="A494" s="117" t="s">
        <v>290</v>
      </c>
      <c r="B494" s="117"/>
      <c r="C494" s="117" t="s">
        <v>2360</v>
      </c>
      <c r="D494" s="304" t="s">
        <v>1369</v>
      </c>
      <c r="E494" s="305"/>
      <c r="F494" s="117" t="s">
        <v>1644</v>
      </c>
      <c r="G494" s="116">
        <v>2</v>
      </c>
      <c r="H494" s="108">
        <v>0</v>
      </c>
    </row>
    <row r="495" spans="1:8" x14ac:dyDescent="0.2">
      <c r="A495" s="117" t="s">
        <v>291</v>
      </c>
      <c r="B495" s="117"/>
      <c r="C495" s="117" t="s">
        <v>2359</v>
      </c>
      <c r="D495" s="304" t="s">
        <v>1326</v>
      </c>
      <c r="E495" s="305"/>
      <c r="F495" s="117" t="s">
        <v>1644</v>
      </c>
      <c r="G495" s="116">
        <v>1</v>
      </c>
      <c r="H495" s="108">
        <v>0</v>
      </c>
    </row>
    <row r="496" spans="1:8" x14ac:dyDescent="0.2">
      <c r="A496" s="117" t="s">
        <v>292</v>
      </c>
      <c r="B496" s="117"/>
      <c r="C496" s="117" t="s">
        <v>2358</v>
      </c>
      <c r="D496" s="304" t="s">
        <v>1327</v>
      </c>
      <c r="E496" s="305"/>
      <c r="F496" s="117" t="s">
        <v>1644</v>
      </c>
      <c r="G496" s="116">
        <v>1</v>
      </c>
      <c r="H496" s="108">
        <v>0</v>
      </c>
    </row>
    <row r="497" spans="1:8" x14ac:dyDescent="0.2">
      <c r="A497" s="117" t="s">
        <v>293</v>
      </c>
      <c r="B497" s="117"/>
      <c r="C497" s="117" t="s">
        <v>2357</v>
      </c>
      <c r="D497" s="304" t="s">
        <v>1372</v>
      </c>
      <c r="E497" s="305"/>
      <c r="F497" s="117" t="s">
        <v>1646</v>
      </c>
      <c r="G497" s="116">
        <v>16</v>
      </c>
      <c r="H497" s="108">
        <v>0</v>
      </c>
    </row>
    <row r="498" spans="1:8" x14ac:dyDescent="0.2">
      <c r="A498" s="117" t="s">
        <v>294</v>
      </c>
      <c r="B498" s="117"/>
      <c r="C498" s="117" t="s">
        <v>2356</v>
      </c>
      <c r="D498" s="304" t="s">
        <v>1373</v>
      </c>
      <c r="E498" s="305"/>
      <c r="F498" s="117" t="s">
        <v>1646</v>
      </c>
      <c r="G498" s="116">
        <v>8</v>
      </c>
      <c r="H498" s="108">
        <v>0</v>
      </c>
    </row>
    <row r="499" spans="1:8" x14ac:dyDescent="0.2">
      <c r="A499" s="117" t="s">
        <v>295</v>
      </c>
      <c r="B499" s="117"/>
      <c r="C499" s="117" t="s">
        <v>2355</v>
      </c>
      <c r="D499" s="304" t="s">
        <v>1374</v>
      </c>
      <c r="E499" s="305"/>
      <c r="F499" s="117" t="s">
        <v>1646</v>
      </c>
      <c r="G499" s="116">
        <v>8</v>
      </c>
      <c r="H499" s="108">
        <v>0</v>
      </c>
    </row>
    <row r="500" spans="1:8" x14ac:dyDescent="0.2">
      <c r="A500" s="117" t="s">
        <v>296</v>
      </c>
      <c r="B500" s="117"/>
      <c r="C500" s="117" t="s">
        <v>2354</v>
      </c>
      <c r="D500" s="304" t="s">
        <v>1375</v>
      </c>
      <c r="E500" s="305"/>
      <c r="F500" s="117" t="s">
        <v>1646</v>
      </c>
      <c r="G500" s="116">
        <v>8</v>
      </c>
      <c r="H500" s="108">
        <v>0</v>
      </c>
    </row>
    <row r="501" spans="1:8" x14ac:dyDescent="0.2">
      <c r="A501" s="117" t="s">
        <v>297</v>
      </c>
      <c r="B501" s="117"/>
      <c r="C501" s="117" t="s">
        <v>2353</v>
      </c>
      <c r="D501" s="304" t="s">
        <v>1376</v>
      </c>
      <c r="E501" s="305"/>
      <c r="F501" s="117" t="s">
        <v>1646</v>
      </c>
      <c r="G501" s="116">
        <v>8</v>
      </c>
      <c r="H501" s="108">
        <v>0</v>
      </c>
    </row>
    <row r="502" spans="1:8" x14ac:dyDescent="0.2">
      <c r="A502" s="117" t="s">
        <v>298</v>
      </c>
      <c r="B502" s="117"/>
      <c r="C502" s="117" t="s">
        <v>2352</v>
      </c>
      <c r="D502" s="304" t="s">
        <v>1377</v>
      </c>
      <c r="E502" s="305"/>
      <c r="F502" s="117" t="s">
        <v>1646</v>
      </c>
      <c r="G502" s="116">
        <v>24</v>
      </c>
      <c r="H502" s="108">
        <v>0</v>
      </c>
    </row>
    <row r="503" spans="1:8" x14ac:dyDescent="0.2">
      <c r="A503" s="117" t="s">
        <v>299</v>
      </c>
      <c r="B503" s="117"/>
      <c r="C503" s="117" t="s">
        <v>2351</v>
      </c>
      <c r="D503" s="304" t="s">
        <v>1378</v>
      </c>
      <c r="E503" s="305"/>
      <c r="F503" s="117" t="s">
        <v>1646</v>
      </c>
      <c r="G503" s="116">
        <v>8</v>
      </c>
      <c r="H503" s="108">
        <v>0</v>
      </c>
    </row>
    <row r="504" spans="1:8" x14ac:dyDescent="0.2">
      <c r="A504" s="120"/>
      <c r="B504" s="120"/>
      <c r="C504" s="120" t="s">
        <v>798</v>
      </c>
      <c r="D504" s="306" t="s">
        <v>1379</v>
      </c>
      <c r="E504" s="307"/>
      <c r="F504" s="120"/>
      <c r="G504" s="142"/>
      <c r="H504" s="109"/>
    </row>
    <row r="505" spans="1:8" x14ac:dyDescent="0.2">
      <c r="A505" s="117" t="s">
        <v>300</v>
      </c>
      <c r="B505" s="117"/>
      <c r="C505" s="117" t="s">
        <v>2350</v>
      </c>
      <c r="D505" s="304" t="s">
        <v>1380</v>
      </c>
      <c r="E505" s="305"/>
      <c r="F505" s="117" t="s">
        <v>1646</v>
      </c>
      <c r="G505" s="116">
        <v>1.5</v>
      </c>
      <c r="H505" s="108">
        <v>0</v>
      </c>
    </row>
    <row r="506" spans="1:8" x14ac:dyDescent="0.2">
      <c r="A506" s="117" t="s">
        <v>301</v>
      </c>
      <c r="B506" s="117"/>
      <c r="C506" s="117" t="s">
        <v>2349</v>
      </c>
      <c r="D506" s="304" t="s">
        <v>1381</v>
      </c>
      <c r="E506" s="305"/>
      <c r="F506" s="117" t="s">
        <v>1644</v>
      </c>
      <c r="G506" s="116">
        <v>1</v>
      </c>
      <c r="H506" s="108">
        <v>0</v>
      </c>
    </row>
    <row r="507" spans="1:8" x14ac:dyDescent="0.2">
      <c r="A507" s="117" t="s">
        <v>302</v>
      </c>
      <c r="B507" s="117"/>
      <c r="C507" s="117" t="s">
        <v>2348</v>
      </c>
      <c r="D507" s="304" t="s">
        <v>1382</v>
      </c>
      <c r="E507" s="305"/>
      <c r="F507" s="117" t="s">
        <v>1644</v>
      </c>
      <c r="G507" s="116">
        <v>1</v>
      </c>
      <c r="H507" s="108">
        <v>0</v>
      </c>
    </row>
    <row r="508" spans="1:8" x14ac:dyDescent="0.2">
      <c r="A508" s="117" t="s">
        <v>303</v>
      </c>
      <c r="B508" s="117"/>
      <c r="C508" s="117" t="s">
        <v>2347</v>
      </c>
      <c r="D508" s="304" t="s">
        <v>1383</v>
      </c>
      <c r="E508" s="305"/>
      <c r="F508" s="117" t="s">
        <v>1644</v>
      </c>
      <c r="G508" s="116">
        <v>1</v>
      </c>
      <c r="H508" s="108">
        <v>0</v>
      </c>
    </row>
    <row r="509" spans="1:8" x14ac:dyDescent="0.2">
      <c r="A509" s="117" t="s">
        <v>304</v>
      </c>
      <c r="B509" s="117"/>
      <c r="C509" s="117" t="s">
        <v>2346</v>
      </c>
      <c r="D509" s="304" t="s">
        <v>1384</v>
      </c>
      <c r="E509" s="305"/>
      <c r="F509" s="117" t="s">
        <v>1644</v>
      </c>
      <c r="G509" s="116">
        <v>1</v>
      </c>
      <c r="H509" s="108">
        <v>0</v>
      </c>
    </row>
    <row r="510" spans="1:8" x14ac:dyDescent="0.2">
      <c r="A510" s="117" t="s">
        <v>305</v>
      </c>
      <c r="B510" s="117"/>
      <c r="C510" s="117" t="s">
        <v>2345</v>
      </c>
      <c r="D510" s="304" t="s">
        <v>1385</v>
      </c>
      <c r="E510" s="305"/>
      <c r="F510" s="117" t="s">
        <v>1646</v>
      </c>
      <c r="G510" s="116">
        <v>9</v>
      </c>
      <c r="H510" s="108">
        <v>0</v>
      </c>
    </row>
    <row r="511" spans="1:8" x14ac:dyDescent="0.2">
      <c r="A511" s="117" t="s">
        <v>306</v>
      </c>
      <c r="B511" s="117"/>
      <c r="C511" s="117" t="s">
        <v>2344</v>
      </c>
      <c r="D511" s="304" t="s">
        <v>1386</v>
      </c>
      <c r="E511" s="305"/>
      <c r="F511" s="117" t="s">
        <v>1644</v>
      </c>
      <c r="G511" s="116">
        <v>1</v>
      </c>
      <c r="H511" s="108">
        <v>0</v>
      </c>
    </row>
    <row r="512" spans="1:8" x14ac:dyDescent="0.2">
      <c r="A512" s="117" t="s">
        <v>307</v>
      </c>
      <c r="B512" s="117"/>
      <c r="C512" s="117" t="s">
        <v>2343</v>
      </c>
      <c r="D512" s="304" t="s">
        <v>1387</v>
      </c>
      <c r="E512" s="305"/>
      <c r="F512" s="117" t="s">
        <v>1644</v>
      </c>
      <c r="G512" s="116">
        <v>1</v>
      </c>
      <c r="H512" s="108">
        <v>0</v>
      </c>
    </row>
    <row r="513" spans="1:8" x14ac:dyDescent="0.2">
      <c r="A513" s="117" t="s">
        <v>308</v>
      </c>
      <c r="B513" s="117"/>
      <c r="C513" s="117" t="s">
        <v>2342</v>
      </c>
      <c r="D513" s="304" t="s">
        <v>1388</v>
      </c>
      <c r="E513" s="305"/>
      <c r="F513" s="117" t="s">
        <v>1644</v>
      </c>
      <c r="G513" s="116">
        <v>1</v>
      </c>
      <c r="H513" s="108">
        <v>0</v>
      </c>
    </row>
    <row r="514" spans="1:8" x14ac:dyDescent="0.2">
      <c r="A514" s="117" t="s">
        <v>309</v>
      </c>
      <c r="B514" s="117"/>
      <c r="C514" s="117" t="s">
        <v>2341</v>
      </c>
      <c r="D514" s="304" t="s">
        <v>1389</v>
      </c>
      <c r="E514" s="305"/>
      <c r="F514" s="117" t="s">
        <v>1644</v>
      </c>
      <c r="G514" s="116">
        <v>1</v>
      </c>
      <c r="H514" s="108">
        <v>0</v>
      </c>
    </row>
    <row r="515" spans="1:8" x14ac:dyDescent="0.2">
      <c r="A515" s="117" t="s">
        <v>310</v>
      </c>
      <c r="B515" s="117"/>
      <c r="C515" s="117" t="s">
        <v>2340</v>
      </c>
      <c r="D515" s="304" t="s">
        <v>1380</v>
      </c>
      <c r="E515" s="305"/>
      <c r="F515" s="117" t="s">
        <v>1646</v>
      </c>
      <c r="G515" s="116">
        <v>1.5</v>
      </c>
      <c r="H515" s="108">
        <v>0</v>
      </c>
    </row>
    <row r="516" spans="1:8" x14ac:dyDescent="0.2">
      <c r="A516" s="117" t="s">
        <v>311</v>
      </c>
      <c r="B516" s="117"/>
      <c r="C516" s="117" t="s">
        <v>2339</v>
      </c>
      <c r="D516" s="304" t="s">
        <v>1390</v>
      </c>
      <c r="E516" s="305"/>
      <c r="F516" s="117" t="s">
        <v>1644</v>
      </c>
      <c r="G516" s="116">
        <v>1</v>
      </c>
      <c r="H516" s="108">
        <v>0</v>
      </c>
    </row>
    <row r="517" spans="1:8" x14ac:dyDescent="0.2">
      <c r="A517" s="117" t="s">
        <v>312</v>
      </c>
      <c r="B517" s="117"/>
      <c r="C517" s="117" t="s">
        <v>2338</v>
      </c>
      <c r="D517" s="304" t="s">
        <v>1391</v>
      </c>
      <c r="E517" s="305"/>
      <c r="F517" s="117" t="s">
        <v>1644</v>
      </c>
      <c r="G517" s="116">
        <v>3</v>
      </c>
      <c r="H517" s="108">
        <v>0</v>
      </c>
    </row>
    <row r="518" spans="1:8" x14ac:dyDescent="0.2">
      <c r="A518" s="117" t="s">
        <v>313</v>
      </c>
      <c r="B518" s="117"/>
      <c r="C518" s="117" t="s">
        <v>2337</v>
      </c>
      <c r="D518" s="304" t="s">
        <v>1388</v>
      </c>
      <c r="E518" s="305"/>
      <c r="F518" s="117" t="s">
        <v>1644</v>
      </c>
      <c r="G518" s="116">
        <v>1</v>
      </c>
      <c r="H518" s="108">
        <v>0</v>
      </c>
    </row>
    <row r="519" spans="1:8" x14ac:dyDescent="0.2">
      <c r="A519" s="117" t="s">
        <v>314</v>
      </c>
      <c r="B519" s="117"/>
      <c r="C519" s="117" t="s">
        <v>2336</v>
      </c>
      <c r="D519" s="304" t="s">
        <v>1383</v>
      </c>
      <c r="E519" s="305"/>
      <c r="F519" s="117" t="s">
        <v>1644</v>
      </c>
      <c r="G519" s="116">
        <v>1</v>
      </c>
      <c r="H519" s="108">
        <v>0</v>
      </c>
    </row>
    <row r="520" spans="1:8" x14ac:dyDescent="0.2">
      <c r="A520" s="117" t="s">
        <v>315</v>
      </c>
      <c r="B520" s="117"/>
      <c r="C520" s="117" t="s">
        <v>2335</v>
      </c>
      <c r="D520" s="304" t="s">
        <v>1385</v>
      </c>
      <c r="E520" s="305"/>
      <c r="F520" s="117" t="s">
        <v>1646</v>
      </c>
      <c r="G520" s="116">
        <v>9</v>
      </c>
      <c r="H520" s="108">
        <v>0</v>
      </c>
    </row>
    <row r="521" spans="1:8" x14ac:dyDescent="0.2">
      <c r="A521" s="117" t="s">
        <v>316</v>
      </c>
      <c r="B521" s="117"/>
      <c r="C521" s="117" t="s">
        <v>2334</v>
      </c>
      <c r="D521" s="304" t="s">
        <v>1386</v>
      </c>
      <c r="E521" s="305"/>
      <c r="F521" s="117" t="s">
        <v>1644</v>
      </c>
      <c r="G521" s="116">
        <v>1</v>
      </c>
      <c r="H521" s="108">
        <v>0</v>
      </c>
    </row>
    <row r="522" spans="1:8" x14ac:dyDescent="0.2">
      <c r="A522" s="117" t="s">
        <v>317</v>
      </c>
      <c r="B522" s="117"/>
      <c r="C522" s="117" t="s">
        <v>2333</v>
      </c>
      <c r="D522" s="304" t="s">
        <v>1387</v>
      </c>
      <c r="E522" s="305"/>
      <c r="F522" s="117" t="s">
        <v>1644</v>
      </c>
      <c r="G522" s="116">
        <v>1</v>
      </c>
      <c r="H522" s="108">
        <v>0</v>
      </c>
    </row>
    <row r="523" spans="1:8" x14ac:dyDescent="0.2">
      <c r="A523" s="117" t="s">
        <v>318</v>
      </c>
      <c r="B523" s="117"/>
      <c r="C523" s="117" t="s">
        <v>2332</v>
      </c>
      <c r="D523" s="304" t="s">
        <v>1388</v>
      </c>
      <c r="E523" s="305"/>
      <c r="F523" s="117" t="s">
        <v>1644</v>
      </c>
      <c r="G523" s="116">
        <v>1</v>
      </c>
      <c r="H523" s="108">
        <v>0</v>
      </c>
    </row>
    <row r="524" spans="1:8" x14ac:dyDescent="0.2">
      <c r="A524" s="117" t="s">
        <v>319</v>
      </c>
      <c r="B524" s="117"/>
      <c r="C524" s="117" t="s">
        <v>2331</v>
      </c>
      <c r="D524" s="304" t="s">
        <v>1389</v>
      </c>
      <c r="E524" s="305"/>
      <c r="F524" s="117" t="s">
        <v>1644</v>
      </c>
      <c r="G524" s="116">
        <v>1</v>
      </c>
      <c r="H524" s="108">
        <v>0</v>
      </c>
    </row>
    <row r="525" spans="1:8" x14ac:dyDescent="0.2">
      <c r="A525" s="117" t="s">
        <v>320</v>
      </c>
      <c r="B525" s="117"/>
      <c r="C525" s="117" t="s">
        <v>2330</v>
      </c>
      <c r="D525" s="304" t="s">
        <v>1392</v>
      </c>
      <c r="E525" s="305"/>
      <c r="F525" s="117" t="s">
        <v>1644</v>
      </c>
      <c r="G525" s="116">
        <v>2</v>
      </c>
      <c r="H525" s="108">
        <v>0</v>
      </c>
    </row>
    <row r="526" spans="1:8" x14ac:dyDescent="0.2">
      <c r="A526" s="117" t="s">
        <v>321</v>
      </c>
      <c r="B526" s="117"/>
      <c r="C526" s="117" t="s">
        <v>2329</v>
      </c>
      <c r="D526" s="304" t="s">
        <v>1393</v>
      </c>
      <c r="E526" s="305"/>
      <c r="F526" s="117" t="s">
        <v>1644</v>
      </c>
      <c r="G526" s="116">
        <v>1</v>
      </c>
      <c r="H526" s="108">
        <v>0</v>
      </c>
    </row>
    <row r="527" spans="1:8" x14ac:dyDescent="0.2">
      <c r="A527" s="117" t="s">
        <v>322</v>
      </c>
      <c r="B527" s="117"/>
      <c r="C527" s="117" t="s">
        <v>2328</v>
      </c>
      <c r="D527" s="304" t="s">
        <v>1394</v>
      </c>
      <c r="E527" s="305"/>
      <c r="F527" s="117" t="s">
        <v>1644</v>
      </c>
      <c r="G527" s="116">
        <v>1</v>
      </c>
      <c r="H527" s="108">
        <v>0</v>
      </c>
    </row>
    <row r="528" spans="1:8" x14ac:dyDescent="0.2">
      <c r="A528" s="120"/>
      <c r="B528" s="120"/>
      <c r="C528" s="120" t="s">
        <v>822</v>
      </c>
      <c r="D528" s="306" t="s">
        <v>2229</v>
      </c>
      <c r="E528" s="307"/>
      <c r="F528" s="120"/>
      <c r="G528" s="142"/>
      <c r="H528" s="109"/>
    </row>
    <row r="529" spans="1:8" x14ac:dyDescent="0.2">
      <c r="A529" s="117" t="s">
        <v>323</v>
      </c>
      <c r="B529" s="117"/>
      <c r="C529" s="117" t="s">
        <v>117</v>
      </c>
      <c r="D529" s="304" t="s">
        <v>1396</v>
      </c>
      <c r="E529" s="305"/>
      <c r="F529" s="117" t="s">
        <v>1652</v>
      </c>
      <c r="G529" s="116">
        <v>1</v>
      </c>
      <c r="H529" s="108">
        <v>0</v>
      </c>
    </row>
    <row r="530" spans="1:8" x14ac:dyDescent="0.2">
      <c r="A530" s="117" t="s">
        <v>324</v>
      </c>
      <c r="B530" s="117"/>
      <c r="C530" s="117" t="s">
        <v>118</v>
      </c>
      <c r="D530" s="304" t="s">
        <v>1397</v>
      </c>
      <c r="E530" s="305"/>
      <c r="F530" s="117" t="s">
        <v>1652</v>
      </c>
      <c r="G530" s="116">
        <v>1</v>
      </c>
      <c r="H530" s="108">
        <v>0</v>
      </c>
    </row>
    <row r="531" spans="1:8" x14ac:dyDescent="0.2">
      <c r="A531" s="117" t="s">
        <v>325</v>
      </c>
      <c r="B531" s="117"/>
      <c r="C531" s="117" t="s">
        <v>119</v>
      </c>
      <c r="D531" s="304" t="s">
        <v>1398</v>
      </c>
      <c r="E531" s="305"/>
      <c r="F531" s="117" t="s">
        <v>1652</v>
      </c>
      <c r="G531" s="116">
        <v>1</v>
      </c>
      <c r="H531" s="108">
        <v>0</v>
      </c>
    </row>
    <row r="532" spans="1:8" x14ac:dyDescent="0.2">
      <c r="A532" s="117" t="s">
        <v>326</v>
      </c>
      <c r="B532" s="117"/>
      <c r="C532" s="117" t="s">
        <v>120</v>
      </c>
      <c r="D532" s="304" t="s">
        <v>1399</v>
      </c>
      <c r="E532" s="305"/>
      <c r="F532" s="117" t="s">
        <v>1652</v>
      </c>
      <c r="G532" s="116">
        <v>1</v>
      </c>
      <c r="H532" s="108">
        <v>0</v>
      </c>
    </row>
    <row r="533" spans="1:8" x14ac:dyDescent="0.2">
      <c r="A533" s="117" t="s">
        <v>327</v>
      </c>
      <c r="B533" s="117"/>
      <c r="C533" s="117" t="s">
        <v>121</v>
      </c>
      <c r="D533" s="304" t="s">
        <v>1400</v>
      </c>
      <c r="E533" s="305"/>
      <c r="F533" s="117" t="s">
        <v>1652</v>
      </c>
      <c r="G533" s="116">
        <v>1</v>
      </c>
      <c r="H533" s="108">
        <v>0</v>
      </c>
    </row>
    <row r="534" spans="1:8" x14ac:dyDescent="0.2">
      <c r="A534" s="117" t="s">
        <v>328</v>
      </c>
      <c r="B534" s="117"/>
      <c r="C534" s="117" t="s">
        <v>122</v>
      </c>
      <c r="D534" s="304" t="s">
        <v>1401</v>
      </c>
      <c r="E534" s="305"/>
      <c r="F534" s="117" t="s">
        <v>1652</v>
      </c>
      <c r="G534" s="116">
        <v>1</v>
      </c>
      <c r="H534" s="108">
        <v>0</v>
      </c>
    </row>
    <row r="535" spans="1:8" x14ac:dyDescent="0.2">
      <c r="A535" s="117" t="s">
        <v>329</v>
      </c>
      <c r="B535" s="117"/>
      <c r="C535" s="117" t="s">
        <v>123</v>
      </c>
      <c r="D535" s="304" t="s">
        <v>1402</v>
      </c>
      <c r="E535" s="305"/>
      <c r="F535" s="117" t="s">
        <v>1652</v>
      </c>
      <c r="G535" s="116">
        <v>1</v>
      </c>
      <c r="H535" s="108">
        <v>0</v>
      </c>
    </row>
    <row r="536" spans="1:8" x14ac:dyDescent="0.2">
      <c r="A536" s="117" t="s">
        <v>330</v>
      </c>
      <c r="B536" s="117"/>
      <c r="C536" s="117" t="s">
        <v>124</v>
      </c>
      <c r="D536" s="304" t="s">
        <v>1403</v>
      </c>
      <c r="E536" s="305"/>
      <c r="F536" s="117" t="s">
        <v>1652</v>
      </c>
      <c r="G536" s="116">
        <v>1</v>
      </c>
      <c r="H536" s="108">
        <v>0</v>
      </c>
    </row>
    <row r="537" spans="1:8" x14ac:dyDescent="0.2">
      <c r="A537" s="117" t="s">
        <v>331</v>
      </c>
      <c r="B537" s="117"/>
      <c r="C537" s="117" t="s">
        <v>125</v>
      </c>
      <c r="D537" s="304" t="s">
        <v>1404</v>
      </c>
      <c r="E537" s="305"/>
      <c r="F537" s="117" t="s">
        <v>1646</v>
      </c>
      <c r="G537" s="116">
        <v>450</v>
      </c>
      <c r="H537" s="108">
        <v>0</v>
      </c>
    </row>
    <row r="538" spans="1:8" x14ac:dyDescent="0.2">
      <c r="A538" s="117" t="s">
        <v>332</v>
      </c>
      <c r="B538" s="117"/>
      <c r="C538" s="117" t="s">
        <v>823</v>
      </c>
      <c r="D538" s="304" t="s">
        <v>1405</v>
      </c>
      <c r="E538" s="305"/>
      <c r="F538" s="117" t="s">
        <v>1646</v>
      </c>
      <c r="G538" s="116">
        <v>180</v>
      </c>
      <c r="H538" s="108">
        <v>0</v>
      </c>
    </row>
    <row r="539" spans="1:8" x14ac:dyDescent="0.2">
      <c r="A539" s="117" t="s">
        <v>333</v>
      </c>
      <c r="B539" s="117"/>
      <c r="C539" s="117" t="s">
        <v>824</v>
      </c>
      <c r="D539" s="304" t="s">
        <v>1406</v>
      </c>
      <c r="E539" s="305"/>
      <c r="F539" s="117" t="s">
        <v>1652</v>
      </c>
      <c r="G539" s="116">
        <v>3</v>
      </c>
      <c r="H539" s="108">
        <v>0</v>
      </c>
    </row>
    <row r="540" spans="1:8" x14ac:dyDescent="0.2">
      <c r="A540" s="117" t="s">
        <v>334</v>
      </c>
      <c r="B540" s="117"/>
      <c r="C540" s="117" t="s">
        <v>825</v>
      </c>
      <c r="D540" s="304" t="s">
        <v>1407</v>
      </c>
      <c r="E540" s="305"/>
      <c r="F540" s="117" t="s">
        <v>1644</v>
      </c>
      <c r="G540" s="116">
        <v>3</v>
      </c>
      <c r="H540" s="108">
        <v>0</v>
      </c>
    </row>
    <row r="541" spans="1:8" x14ac:dyDescent="0.2">
      <c r="A541" s="117" t="s">
        <v>335</v>
      </c>
      <c r="B541" s="117"/>
      <c r="C541" s="117" t="s">
        <v>826</v>
      </c>
      <c r="D541" s="304" t="s">
        <v>1408</v>
      </c>
      <c r="E541" s="305"/>
      <c r="F541" s="117" t="s">
        <v>1644</v>
      </c>
      <c r="G541" s="116">
        <v>3</v>
      </c>
      <c r="H541" s="108">
        <v>0</v>
      </c>
    </row>
    <row r="542" spans="1:8" x14ac:dyDescent="0.2">
      <c r="A542" s="117" t="s">
        <v>336</v>
      </c>
      <c r="B542" s="117"/>
      <c r="C542" s="117" t="s">
        <v>827</v>
      </c>
      <c r="D542" s="304" t="s">
        <v>1409</v>
      </c>
      <c r="E542" s="305"/>
      <c r="F542" s="117" t="s">
        <v>1644</v>
      </c>
      <c r="G542" s="116">
        <v>3</v>
      </c>
      <c r="H542" s="108">
        <v>0</v>
      </c>
    </row>
    <row r="543" spans="1:8" x14ac:dyDescent="0.2">
      <c r="A543" s="117" t="s">
        <v>337</v>
      </c>
      <c r="B543" s="117"/>
      <c r="C543" s="117" t="s">
        <v>828</v>
      </c>
      <c r="D543" s="304" t="s">
        <v>1410</v>
      </c>
      <c r="E543" s="305"/>
      <c r="F543" s="117" t="s">
        <v>1652</v>
      </c>
      <c r="G543" s="116">
        <v>3</v>
      </c>
      <c r="H543" s="108">
        <v>0</v>
      </c>
    </row>
    <row r="544" spans="1:8" x14ac:dyDescent="0.2">
      <c r="A544" s="117" t="s">
        <v>338</v>
      </c>
      <c r="B544" s="117"/>
      <c r="C544" s="117" t="s">
        <v>829</v>
      </c>
      <c r="D544" s="304" t="s">
        <v>1411</v>
      </c>
      <c r="E544" s="305"/>
      <c r="F544" s="117" t="s">
        <v>1652</v>
      </c>
      <c r="G544" s="116">
        <v>3</v>
      </c>
      <c r="H544" s="108">
        <v>0</v>
      </c>
    </row>
    <row r="545" spans="1:8" x14ac:dyDescent="0.2">
      <c r="A545" s="117" t="s">
        <v>339</v>
      </c>
      <c r="B545" s="117"/>
      <c r="C545" s="117" t="s">
        <v>830</v>
      </c>
      <c r="D545" s="304" t="s">
        <v>1412</v>
      </c>
      <c r="E545" s="305"/>
      <c r="F545" s="117" t="s">
        <v>1647</v>
      </c>
      <c r="G545" s="116">
        <v>7</v>
      </c>
      <c r="H545" s="108">
        <v>0</v>
      </c>
    </row>
    <row r="546" spans="1:8" x14ac:dyDescent="0.2">
      <c r="A546" s="117" t="s">
        <v>340</v>
      </c>
      <c r="B546" s="117"/>
      <c r="C546" s="117" t="s">
        <v>831</v>
      </c>
      <c r="D546" s="304" t="s">
        <v>1413</v>
      </c>
      <c r="E546" s="305"/>
      <c r="F546" s="117" t="s">
        <v>1652</v>
      </c>
      <c r="G546" s="116">
        <v>1</v>
      </c>
      <c r="H546" s="108">
        <v>0</v>
      </c>
    </row>
    <row r="547" spans="1:8" x14ac:dyDescent="0.2">
      <c r="A547" s="117" t="s">
        <v>341</v>
      </c>
      <c r="B547" s="117"/>
      <c r="C547" s="117" t="s">
        <v>832</v>
      </c>
      <c r="D547" s="304" t="s">
        <v>1414</v>
      </c>
      <c r="E547" s="305"/>
      <c r="F547" s="117" t="s">
        <v>1652</v>
      </c>
      <c r="G547" s="116">
        <v>1</v>
      </c>
      <c r="H547" s="108">
        <v>0</v>
      </c>
    </row>
    <row r="548" spans="1:8" x14ac:dyDescent="0.2">
      <c r="A548" s="117" t="s">
        <v>342</v>
      </c>
      <c r="B548" s="117"/>
      <c r="C548" s="117" t="s">
        <v>833</v>
      </c>
      <c r="D548" s="304" t="s">
        <v>1415</v>
      </c>
      <c r="E548" s="305"/>
      <c r="F548" s="117" t="s">
        <v>1652</v>
      </c>
      <c r="G548" s="116">
        <v>1</v>
      </c>
      <c r="H548" s="108">
        <v>0</v>
      </c>
    </row>
    <row r="549" spans="1:8" x14ac:dyDescent="0.2">
      <c r="A549" s="117" t="s">
        <v>343</v>
      </c>
      <c r="B549" s="117"/>
      <c r="C549" s="117" t="s">
        <v>834</v>
      </c>
      <c r="D549" s="304" t="s">
        <v>1416</v>
      </c>
      <c r="E549" s="305"/>
      <c r="F549" s="117" t="s">
        <v>1652</v>
      </c>
      <c r="G549" s="116">
        <v>6</v>
      </c>
      <c r="H549" s="108">
        <v>0</v>
      </c>
    </row>
    <row r="550" spans="1:8" x14ac:dyDescent="0.2">
      <c r="A550" s="117" t="s">
        <v>344</v>
      </c>
      <c r="B550" s="117"/>
      <c r="C550" s="117" t="s">
        <v>835</v>
      </c>
      <c r="D550" s="304" t="s">
        <v>1417</v>
      </c>
      <c r="E550" s="305"/>
      <c r="F550" s="117" t="s">
        <v>1653</v>
      </c>
      <c r="G550" s="116">
        <v>6</v>
      </c>
      <c r="H550" s="108">
        <v>0</v>
      </c>
    </row>
    <row r="551" spans="1:8" x14ac:dyDescent="0.2">
      <c r="A551" s="117" t="s">
        <v>345</v>
      </c>
      <c r="B551" s="117"/>
      <c r="C551" s="117" t="s">
        <v>836</v>
      </c>
      <c r="D551" s="304" t="s">
        <v>1418</v>
      </c>
      <c r="E551" s="305"/>
      <c r="F551" s="117" t="s">
        <v>1652</v>
      </c>
      <c r="G551" s="116">
        <v>1</v>
      </c>
      <c r="H551" s="108">
        <v>0</v>
      </c>
    </row>
    <row r="552" spans="1:8" x14ac:dyDescent="0.2">
      <c r="A552" s="117" t="s">
        <v>346</v>
      </c>
      <c r="B552" s="117"/>
      <c r="C552" s="117" t="s">
        <v>837</v>
      </c>
      <c r="D552" s="304" t="s">
        <v>1419</v>
      </c>
      <c r="E552" s="305"/>
      <c r="F552" s="117" t="s">
        <v>1652</v>
      </c>
      <c r="G552" s="116">
        <v>1</v>
      </c>
      <c r="H552" s="108">
        <v>0</v>
      </c>
    </row>
    <row r="553" spans="1:8" x14ac:dyDescent="0.2">
      <c r="A553" s="117" t="s">
        <v>347</v>
      </c>
      <c r="B553" s="117"/>
      <c r="C553" s="117" t="s">
        <v>838</v>
      </c>
      <c r="D553" s="304" t="s">
        <v>1420</v>
      </c>
      <c r="E553" s="305"/>
      <c r="F553" s="117" t="s">
        <v>1652</v>
      </c>
      <c r="G553" s="116">
        <v>1</v>
      </c>
      <c r="H553" s="108">
        <v>0</v>
      </c>
    </row>
    <row r="554" spans="1:8" x14ac:dyDescent="0.2">
      <c r="A554" s="117" t="s">
        <v>348</v>
      </c>
      <c r="B554" s="117"/>
      <c r="C554" s="117" t="s">
        <v>839</v>
      </c>
      <c r="D554" s="304" t="s">
        <v>1421</v>
      </c>
      <c r="E554" s="305"/>
      <c r="F554" s="117" t="s">
        <v>1652</v>
      </c>
      <c r="G554" s="116">
        <v>1</v>
      </c>
      <c r="H554" s="108">
        <v>0</v>
      </c>
    </row>
    <row r="555" spans="1:8" x14ac:dyDescent="0.2">
      <c r="A555" s="117" t="s">
        <v>349</v>
      </c>
      <c r="B555" s="117"/>
      <c r="C555" s="117" t="s">
        <v>840</v>
      </c>
      <c r="D555" s="304" t="s">
        <v>1422</v>
      </c>
      <c r="E555" s="305"/>
      <c r="F555" s="117" t="s">
        <v>1652</v>
      </c>
      <c r="G555" s="116">
        <v>1</v>
      </c>
      <c r="H555" s="108">
        <v>0</v>
      </c>
    </row>
    <row r="556" spans="1:8" x14ac:dyDescent="0.2">
      <c r="A556" s="117" t="s">
        <v>350</v>
      </c>
      <c r="B556" s="117"/>
      <c r="C556" s="117" t="s">
        <v>841</v>
      </c>
      <c r="D556" s="304" t="s">
        <v>1423</v>
      </c>
      <c r="E556" s="305"/>
      <c r="F556" s="117" t="s">
        <v>1652</v>
      </c>
      <c r="G556" s="116">
        <v>1</v>
      </c>
      <c r="H556" s="108">
        <v>0</v>
      </c>
    </row>
    <row r="557" spans="1:8" x14ac:dyDescent="0.2">
      <c r="A557" s="120"/>
      <c r="B557" s="120"/>
      <c r="C557" s="120" t="s">
        <v>842</v>
      </c>
      <c r="D557" s="306" t="s">
        <v>1424</v>
      </c>
      <c r="E557" s="307"/>
      <c r="F557" s="120"/>
      <c r="G557" s="142"/>
      <c r="H557" s="109"/>
    </row>
    <row r="558" spans="1:8" x14ac:dyDescent="0.2">
      <c r="A558" s="117" t="s">
        <v>351</v>
      </c>
      <c r="B558" s="117"/>
      <c r="C558" s="117" t="s">
        <v>127</v>
      </c>
      <c r="D558" s="304" t="s">
        <v>1425</v>
      </c>
      <c r="E558" s="305"/>
      <c r="F558" s="117" t="s">
        <v>1644</v>
      </c>
      <c r="G558" s="116">
        <v>6</v>
      </c>
      <c r="H558" s="108">
        <v>0</v>
      </c>
    </row>
    <row r="559" spans="1:8" x14ac:dyDescent="0.2">
      <c r="A559" s="117" t="s">
        <v>352</v>
      </c>
      <c r="B559" s="117"/>
      <c r="C559" s="117" t="s">
        <v>128</v>
      </c>
      <c r="D559" s="304" t="s">
        <v>1426</v>
      </c>
      <c r="E559" s="305"/>
      <c r="F559" s="117" t="s">
        <v>1646</v>
      </c>
      <c r="G559" s="116">
        <v>80</v>
      </c>
      <c r="H559" s="108">
        <v>0</v>
      </c>
    </row>
    <row r="560" spans="1:8" x14ac:dyDescent="0.2">
      <c r="A560" s="117" t="s">
        <v>353</v>
      </c>
      <c r="B560" s="117"/>
      <c r="C560" s="117" t="s">
        <v>129</v>
      </c>
      <c r="D560" s="304" t="s">
        <v>1427</v>
      </c>
      <c r="E560" s="305"/>
      <c r="F560" s="117" t="s">
        <v>1644</v>
      </c>
      <c r="G560" s="116">
        <v>6</v>
      </c>
      <c r="H560" s="108">
        <v>0</v>
      </c>
    </row>
    <row r="561" spans="1:8" x14ac:dyDescent="0.2">
      <c r="A561" s="117" t="s">
        <v>354</v>
      </c>
      <c r="B561" s="117"/>
      <c r="C561" s="117" t="s">
        <v>130</v>
      </c>
      <c r="D561" s="304" t="s">
        <v>1430</v>
      </c>
      <c r="E561" s="305"/>
      <c r="F561" s="117" t="s">
        <v>1644</v>
      </c>
      <c r="G561" s="116">
        <v>1</v>
      </c>
      <c r="H561" s="108">
        <v>0</v>
      </c>
    </row>
    <row r="562" spans="1:8" x14ac:dyDescent="0.2">
      <c r="A562" s="117" t="s">
        <v>355</v>
      </c>
      <c r="B562" s="117"/>
      <c r="C562" s="117" t="s">
        <v>131</v>
      </c>
      <c r="D562" s="304" t="s">
        <v>1431</v>
      </c>
      <c r="E562" s="305"/>
      <c r="F562" s="117" t="s">
        <v>1646</v>
      </c>
      <c r="G562" s="116">
        <v>35</v>
      </c>
      <c r="H562" s="108">
        <v>0</v>
      </c>
    </row>
    <row r="563" spans="1:8" x14ac:dyDescent="0.2">
      <c r="A563" s="117" t="s">
        <v>356</v>
      </c>
      <c r="B563" s="117"/>
      <c r="C563" s="117" t="s">
        <v>132</v>
      </c>
      <c r="D563" s="304" t="s">
        <v>1432</v>
      </c>
      <c r="E563" s="305"/>
      <c r="F563" s="117" t="s">
        <v>1644</v>
      </c>
      <c r="G563" s="116">
        <v>4</v>
      </c>
      <c r="H563" s="108">
        <v>0</v>
      </c>
    </row>
    <row r="564" spans="1:8" x14ac:dyDescent="0.2">
      <c r="A564" s="117" t="s">
        <v>357</v>
      </c>
      <c r="B564" s="117"/>
      <c r="C564" s="117" t="s">
        <v>133</v>
      </c>
      <c r="D564" s="304" t="s">
        <v>1996</v>
      </c>
      <c r="E564" s="305"/>
      <c r="F564" s="117" t="s">
        <v>1644</v>
      </c>
      <c r="G564" s="116">
        <v>6</v>
      </c>
      <c r="H564" s="108">
        <v>0</v>
      </c>
    </row>
    <row r="565" spans="1:8" x14ac:dyDescent="0.2">
      <c r="A565" s="117" t="s">
        <v>358</v>
      </c>
      <c r="B565" s="117"/>
      <c r="C565" s="117" t="s">
        <v>134</v>
      </c>
      <c r="D565" s="304" t="s">
        <v>1433</v>
      </c>
      <c r="E565" s="305"/>
      <c r="F565" s="117" t="s">
        <v>1646</v>
      </c>
      <c r="G565" s="116">
        <v>35</v>
      </c>
      <c r="H565" s="108">
        <v>0</v>
      </c>
    </row>
    <row r="566" spans="1:8" x14ac:dyDescent="0.2">
      <c r="A566" s="117" t="s">
        <v>359</v>
      </c>
      <c r="B566" s="117"/>
      <c r="C566" s="117" t="s">
        <v>135</v>
      </c>
      <c r="D566" s="304" t="s">
        <v>1434</v>
      </c>
      <c r="E566" s="305"/>
      <c r="F566" s="117" t="s">
        <v>1646</v>
      </c>
      <c r="G566" s="116">
        <v>35</v>
      </c>
      <c r="H566" s="108">
        <v>0</v>
      </c>
    </row>
    <row r="567" spans="1:8" x14ac:dyDescent="0.2">
      <c r="A567" s="117" t="s">
        <v>360</v>
      </c>
      <c r="B567" s="117"/>
      <c r="C567" s="117" t="s">
        <v>843</v>
      </c>
      <c r="D567" s="304" t="s">
        <v>1435</v>
      </c>
      <c r="E567" s="305"/>
      <c r="F567" s="117" t="s">
        <v>1652</v>
      </c>
      <c r="G567" s="116">
        <v>1</v>
      </c>
      <c r="H567" s="108">
        <v>0</v>
      </c>
    </row>
    <row r="568" spans="1:8" x14ac:dyDescent="0.2">
      <c r="A568" s="117" t="s">
        <v>361</v>
      </c>
      <c r="B568" s="117"/>
      <c r="C568" s="117" t="s">
        <v>844</v>
      </c>
      <c r="D568" s="304" t="s">
        <v>2327</v>
      </c>
      <c r="E568" s="305"/>
      <c r="F568" s="117" t="s">
        <v>1652</v>
      </c>
      <c r="G568" s="116">
        <v>1</v>
      </c>
      <c r="H568" s="108">
        <v>0</v>
      </c>
    </row>
    <row r="569" spans="1:8" x14ac:dyDescent="0.2">
      <c r="A569" s="117" t="s">
        <v>362</v>
      </c>
      <c r="B569" s="117"/>
      <c r="C569" s="117" t="s">
        <v>845</v>
      </c>
      <c r="D569" s="304" t="s">
        <v>1437</v>
      </c>
      <c r="E569" s="305"/>
      <c r="F569" s="117" t="s">
        <v>1654</v>
      </c>
      <c r="G569" s="116">
        <v>360</v>
      </c>
      <c r="H569" s="108">
        <v>0</v>
      </c>
    </row>
    <row r="570" spans="1:8" x14ac:dyDescent="0.2">
      <c r="A570" s="117" t="s">
        <v>363</v>
      </c>
      <c r="B570" s="117"/>
      <c r="C570" s="117" t="s">
        <v>846</v>
      </c>
      <c r="D570" s="304" t="s">
        <v>1438</v>
      </c>
      <c r="E570" s="305"/>
      <c r="F570" s="117" t="s">
        <v>1652</v>
      </c>
      <c r="G570" s="116">
        <v>1</v>
      </c>
      <c r="H570" s="108">
        <v>0</v>
      </c>
    </row>
    <row r="571" spans="1:8" x14ac:dyDescent="0.2">
      <c r="A571" s="117" t="s">
        <v>364</v>
      </c>
      <c r="B571" s="117"/>
      <c r="C571" s="117" t="s">
        <v>847</v>
      </c>
      <c r="D571" s="304" t="s">
        <v>1439</v>
      </c>
      <c r="E571" s="305"/>
      <c r="F571" s="117" t="s">
        <v>1652</v>
      </c>
      <c r="G571" s="116">
        <v>1</v>
      </c>
      <c r="H571" s="108">
        <v>0</v>
      </c>
    </row>
    <row r="572" spans="1:8" x14ac:dyDescent="0.2">
      <c r="A572" s="117" t="s">
        <v>365</v>
      </c>
      <c r="B572" s="117"/>
      <c r="C572" s="117" t="s">
        <v>848</v>
      </c>
      <c r="D572" s="304" t="s">
        <v>1440</v>
      </c>
      <c r="E572" s="305"/>
      <c r="F572" s="117" t="s">
        <v>1652</v>
      </c>
      <c r="G572" s="116">
        <v>1</v>
      </c>
      <c r="H572" s="108">
        <v>0</v>
      </c>
    </row>
    <row r="573" spans="1:8" x14ac:dyDescent="0.2">
      <c r="A573" s="117" t="s">
        <v>366</v>
      </c>
      <c r="B573" s="117"/>
      <c r="C573" s="117" t="s">
        <v>849</v>
      </c>
      <c r="D573" s="304" t="s">
        <v>1441</v>
      </c>
      <c r="E573" s="305"/>
      <c r="F573" s="117" t="s">
        <v>1652</v>
      </c>
      <c r="G573" s="116">
        <v>1</v>
      </c>
      <c r="H573" s="108">
        <v>0</v>
      </c>
    </row>
    <row r="574" spans="1:8" x14ac:dyDescent="0.2">
      <c r="A574" s="117" t="s">
        <v>367</v>
      </c>
      <c r="B574" s="117"/>
      <c r="C574" s="117" t="s">
        <v>850</v>
      </c>
      <c r="D574" s="304" t="s">
        <v>1442</v>
      </c>
      <c r="E574" s="305"/>
      <c r="F574" s="117" t="s">
        <v>1652</v>
      </c>
      <c r="G574" s="116">
        <v>1</v>
      </c>
      <c r="H574" s="108">
        <v>0</v>
      </c>
    </row>
    <row r="575" spans="1:8" x14ac:dyDescent="0.2">
      <c r="A575" s="117" t="s">
        <v>368</v>
      </c>
      <c r="B575" s="117"/>
      <c r="C575" s="117" t="s">
        <v>851</v>
      </c>
      <c r="D575" s="304" t="s">
        <v>1443</v>
      </c>
      <c r="E575" s="305"/>
      <c r="F575" s="117" t="s">
        <v>1645</v>
      </c>
      <c r="G575" s="116">
        <v>13</v>
      </c>
      <c r="H575" s="108">
        <v>0</v>
      </c>
    </row>
    <row r="576" spans="1:8" x14ac:dyDescent="0.2">
      <c r="A576" s="117" t="s">
        <v>369</v>
      </c>
      <c r="B576" s="117"/>
      <c r="C576" s="117" t="s">
        <v>852</v>
      </c>
      <c r="D576" s="304" t="s">
        <v>2326</v>
      </c>
      <c r="E576" s="305"/>
      <c r="F576" s="117" t="s">
        <v>1645</v>
      </c>
      <c r="G576" s="116">
        <v>1</v>
      </c>
      <c r="H576" s="108">
        <v>0</v>
      </c>
    </row>
    <row r="577" spans="1:8" x14ac:dyDescent="0.2">
      <c r="A577" s="117" t="s">
        <v>370</v>
      </c>
      <c r="B577" s="117"/>
      <c r="C577" s="117" t="s">
        <v>853</v>
      </c>
      <c r="D577" s="304" t="s">
        <v>1444</v>
      </c>
      <c r="E577" s="305"/>
      <c r="F577" s="117" t="s">
        <v>1647</v>
      </c>
      <c r="G577" s="116">
        <v>13</v>
      </c>
      <c r="H577" s="108">
        <v>0</v>
      </c>
    </row>
    <row r="578" spans="1:8" x14ac:dyDescent="0.2">
      <c r="A578" s="117" t="s">
        <v>371</v>
      </c>
      <c r="B578" s="117"/>
      <c r="C578" s="117" t="s">
        <v>854</v>
      </c>
      <c r="D578" s="304" t="s">
        <v>1445</v>
      </c>
      <c r="E578" s="305"/>
      <c r="F578" s="117" t="s">
        <v>1647</v>
      </c>
      <c r="G578" s="116">
        <v>1</v>
      </c>
      <c r="H578" s="108">
        <v>0</v>
      </c>
    </row>
    <row r="579" spans="1:8" x14ac:dyDescent="0.2">
      <c r="A579" s="117" t="s">
        <v>372</v>
      </c>
      <c r="B579" s="117"/>
      <c r="C579" s="117" t="s">
        <v>855</v>
      </c>
      <c r="D579" s="304" t="s">
        <v>1446</v>
      </c>
      <c r="E579" s="305"/>
      <c r="F579" s="117" t="s">
        <v>1647</v>
      </c>
      <c r="G579" s="116">
        <v>14</v>
      </c>
      <c r="H579" s="108">
        <v>0</v>
      </c>
    </row>
    <row r="580" spans="1:8" x14ac:dyDescent="0.2">
      <c r="A580" s="117" t="s">
        <v>373</v>
      </c>
      <c r="B580" s="117"/>
      <c r="C580" s="117" t="s">
        <v>856</v>
      </c>
      <c r="D580" s="304" t="s">
        <v>1447</v>
      </c>
      <c r="E580" s="305"/>
      <c r="F580" s="117" t="s">
        <v>1647</v>
      </c>
      <c r="G580" s="116">
        <v>14</v>
      </c>
      <c r="H580" s="108">
        <v>0</v>
      </c>
    </row>
    <row r="581" spans="1:8" x14ac:dyDescent="0.2">
      <c r="A581" s="117" t="s">
        <v>374</v>
      </c>
      <c r="B581" s="117"/>
      <c r="C581" s="117" t="s">
        <v>857</v>
      </c>
      <c r="D581" s="304" t="s">
        <v>1448</v>
      </c>
      <c r="E581" s="305"/>
      <c r="F581" s="117" t="s">
        <v>1647</v>
      </c>
      <c r="G581" s="116">
        <v>3</v>
      </c>
      <c r="H581" s="108">
        <v>0</v>
      </c>
    </row>
    <row r="582" spans="1:8" x14ac:dyDescent="0.2">
      <c r="A582" s="117" t="s">
        <v>375</v>
      </c>
      <c r="B582" s="117"/>
      <c r="C582" s="117" t="s">
        <v>858</v>
      </c>
      <c r="D582" s="304" t="s">
        <v>1449</v>
      </c>
      <c r="E582" s="305"/>
      <c r="F582" s="117" t="s">
        <v>1647</v>
      </c>
      <c r="G582" s="116">
        <v>3</v>
      </c>
      <c r="H582" s="108">
        <v>0</v>
      </c>
    </row>
    <row r="583" spans="1:8" x14ac:dyDescent="0.2">
      <c r="A583" s="117" t="s">
        <v>376</v>
      </c>
      <c r="B583" s="117"/>
      <c r="C583" s="117" t="s">
        <v>859</v>
      </c>
      <c r="D583" s="304" t="s">
        <v>1450</v>
      </c>
      <c r="E583" s="305"/>
      <c r="F583" s="117" t="s">
        <v>1647</v>
      </c>
      <c r="G583" s="116">
        <v>3</v>
      </c>
      <c r="H583" s="108">
        <v>0</v>
      </c>
    </row>
    <row r="584" spans="1:8" x14ac:dyDescent="0.2">
      <c r="A584" s="117" t="s">
        <v>377</v>
      </c>
      <c r="B584" s="117"/>
      <c r="C584" s="117" t="s">
        <v>860</v>
      </c>
      <c r="D584" s="304" t="s">
        <v>1451</v>
      </c>
      <c r="E584" s="305"/>
      <c r="F584" s="117" t="s">
        <v>1647</v>
      </c>
      <c r="G584" s="116">
        <v>14</v>
      </c>
      <c r="H584" s="108">
        <v>0</v>
      </c>
    </row>
    <row r="585" spans="1:8" x14ac:dyDescent="0.2">
      <c r="A585" s="117" t="s">
        <v>378</v>
      </c>
      <c r="B585" s="117"/>
      <c r="C585" s="117" t="s">
        <v>861</v>
      </c>
      <c r="D585" s="304" t="s">
        <v>1452</v>
      </c>
      <c r="E585" s="305"/>
      <c r="F585" s="117" t="s">
        <v>1644</v>
      </c>
      <c r="G585" s="116">
        <v>1</v>
      </c>
      <c r="H585" s="108">
        <v>0</v>
      </c>
    </row>
    <row r="586" spans="1:8" x14ac:dyDescent="0.2">
      <c r="A586" s="117" t="s">
        <v>379</v>
      </c>
      <c r="B586" s="117"/>
      <c r="C586" s="117" t="s">
        <v>862</v>
      </c>
      <c r="D586" s="304" t="s">
        <v>1453</v>
      </c>
      <c r="E586" s="305"/>
      <c r="F586" s="117" t="s">
        <v>1645</v>
      </c>
      <c r="G586" s="116">
        <v>13</v>
      </c>
      <c r="H586" s="108">
        <v>0</v>
      </c>
    </row>
    <row r="587" spans="1:8" x14ac:dyDescent="0.2">
      <c r="A587" s="117" t="s">
        <v>380</v>
      </c>
      <c r="B587" s="117"/>
      <c r="C587" s="117" t="s">
        <v>863</v>
      </c>
      <c r="D587" s="304" t="s">
        <v>2325</v>
      </c>
      <c r="E587" s="305"/>
      <c r="F587" s="117" t="s">
        <v>1645</v>
      </c>
      <c r="G587" s="116">
        <v>1</v>
      </c>
      <c r="H587" s="108">
        <v>0</v>
      </c>
    </row>
    <row r="588" spans="1:8" x14ac:dyDescent="0.2">
      <c r="A588" s="117" t="s">
        <v>381</v>
      </c>
      <c r="B588" s="117"/>
      <c r="C588" s="117" t="s">
        <v>864</v>
      </c>
      <c r="D588" s="304" t="s">
        <v>1454</v>
      </c>
      <c r="E588" s="305"/>
      <c r="F588" s="117" t="s">
        <v>1652</v>
      </c>
      <c r="G588" s="116">
        <v>1</v>
      </c>
      <c r="H588" s="108">
        <v>0</v>
      </c>
    </row>
    <row r="589" spans="1:8" x14ac:dyDescent="0.2">
      <c r="A589" s="117" t="s">
        <v>382</v>
      </c>
      <c r="B589" s="117"/>
      <c r="C589" s="117" t="s">
        <v>865</v>
      </c>
      <c r="D589" s="304" t="s">
        <v>1455</v>
      </c>
      <c r="E589" s="305"/>
      <c r="F589" s="117" t="s">
        <v>1652</v>
      </c>
      <c r="G589" s="116">
        <v>1</v>
      </c>
      <c r="H589" s="108">
        <v>0</v>
      </c>
    </row>
    <row r="590" spans="1:8" x14ac:dyDescent="0.2">
      <c r="A590" s="117" t="s">
        <v>383</v>
      </c>
      <c r="B590" s="117"/>
      <c r="C590" s="117" t="s">
        <v>866</v>
      </c>
      <c r="D590" s="304" t="s">
        <v>1456</v>
      </c>
      <c r="E590" s="305"/>
      <c r="F590" s="117" t="s">
        <v>1652</v>
      </c>
      <c r="G590" s="116">
        <v>1</v>
      </c>
      <c r="H590" s="108">
        <v>0</v>
      </c>
    </row>
    <row r="591" spans="1:8" x14ac:dyDescent="0.2">
      <c r="A591" s="117" t="s">
        <v>384</v>
      </c>
      <c r="B591" s="117"/>
      <c r="C591" s="117" t="s">
        <v>867</v>
      </c>
      <c r="D591" s="304" t="s">
        <v>1420</v>
      </c>
      <c r="E591" s="305"/>
      <c r="F591" s="117" t="s">
        <v>1652</v>
      </c>
      <c r="G591" s="116">
        <v>1</v>
      </c>
      <c r="H591" s="108">
        <v>0</v>
      </c>
    </row>
    <row r="592" spans="1:8" x14ac:dyDescent="0.2">
      <c r="A592" s="117" t="s">
        <v>385</v>
      </c>
      <c r="B592" s="117"/>
      <c r="C592" s="117" t="s">
        <v>868</v>
      </c>
      <c r="D592" s="304" t="s">
        <v>1421</v>
      </c>
      <c r="E592" s="305"/>
      <c r="F592" s="117" t="s">
        <v>1652</v>
      </c>
      <c r="G592" s="116">
        <v>1</v>
      </c>
      <c r="H592" s="108">
        <v>0</v>
      </c>
    </row>
    <row r="593" spans="1:8" x14ac:dyDescent="0.2">
      <c r="A593" s="117" t="s">
        <v>386</v>
      </c>
      <c r="B593" s="117"/>
      <c r="C593" s="117" t="s">
        <v>1992</v>
      </c>
      <c r="D593" s="304" t="s">
        <v>1457</v>
      </c>
      <c r="E593" s="305"/>
      <c r="F593" s="117" t="s">
        <v>1652</v>
      </c>
      <c r="G593" s="116">
        <v>1</v>
      </c>
      <c r="H593" s="108">
        <v>0</v>
      </c>
    </row>
    <row r="594" spans="1:8" x14ac:dyDescent="0.2">
      <c r="A594" s="120"/>
      <c r="B594" s="120"/>
      <c r="C594" s="120" t="s">
        <v>869</v>
      </c>
      <c r="D594" s="306" t="s">
        <v>1458</v>
      </c>
      <c r="E594" s="307"/>
      <c r="F594" s="120"/>
      <c r="G594" s="142"/>
      <c r="H594" s="109"/>
    </row>
    <row r="595" spans="1:8" x14ac:dyDescent="0.2">
      <c r="A595" s="117" t="s">
        <v>387</v>
      </c>
      <c r="B595" s="117"/>
      <c r="C595" s="117" t="s">
        <v>870</v>
      </c>
      <c r="D595" s="304" t="s">
        <v>1459</v>
      </c>
      <c r="E595" s="305"/>
      <c r="F595" s="117" t="s">
        <v>1644</v>
      </c>
      <c r="G595" s="116">
        <v>3</v>
      </c>
      <c r="H595" s="108">
        <v>0</v>
      </c>
    </row>
    <row r="596" spans="1:8" ht="12.2" customHeight="1" x14ac:dyDescent="0.2">
      <c r="D596" s="334" t="s">
        <v>1797</v>
      </c>
      <c r="E596" s="335"/>
      <c r="F596" s="335"/>
      <c r="G596" s="143">
        <v>3</v>
      </c>
    </row>
    <row r="597" spans="1:8" x14ac:dyDescent="0.2">
      <c r="A597" s="117" t="s">
        <v>388</v>
      </c>
      <c r="B597" s="117"/>
      <c r="C597" s="117" t="s">
        <v>871</v>
      </c>
      <c r="D597" s="304" t="s">
        <v>1460</v>
      </c>
      <c r="E597" s="305"/>
      <c r="F597" s="117" t="s">
        <v>1645</v>
      </c>
      <c r="G597" s="116">
        <v>302</v>
      </c>
      <c r="H597" s="108">
        <v>0</v>
      </c>
    </row>
    <row r="598" spans="1:8" ht="12.2" customHeight="1" x14ac:dyDescent="0.2">
      <c r="D598" s="334" t="s">
        <v>1850</v>
      </c>
      <c r="E598" s="335"/>
      <c r="F598" s="335"/>
      <c r="G598" s="143">
        <v>302</v>
      </c>
    </row>
    <row r="599" spans="1:8" x14ac:dyDescent="0.2">
      <c r="A599" s="117" t="s">
        <v>389</v>
      </c>
      <c r="B599" s="117"/>
      <c r="C599" s="117" t="s">
        <v>872</v>
      </c>
      <c r="D599" s="304" t="s">
        <v>1461</v>
      </c>
      <c r="E599" s="305"/>
      <c r="F599" s="117" t="s">
        <v>1645</v>
      </c>
      <c r="G599" s="116">
        <v>345.786</v>
      </c>
      <c r="H599" s="108">
        <v>0</v>
      </c>
    </row>
    <row r="600" spans="1:8" ht="12.2" customHeight="1" x14ac:dyDescent="0.2">
      <c r="D600" s="334" t="s">
        <v>1843</v>
      </c>
      <c r="E600" s="335"/>
      <c r="F600" s="335"/>
      <c r="G600" s="143">
        <v>345.786</v>
      </c>
    </row>
    <row r="601" spans="1:8" x14ac:dyDescent="0.2">
      <c r="A601" s="117" t="s">
        <v>390</v>
      </c>
      <c r="B601" s="117"/>
      <c r="C601" s="117" t="s">
        <v>873</v>
      </c>
      <c r="D601" s="304" t="s">
        <v>1462</v>
      </c>
      <c r="E601" s="305"/>
      <c r="F601" s="117" t="s">
        <v>1645</v>
      </c>
      <c r="G601" s="116">
        <v>345.786</v>
      </c>
      <c r="H601" s="108">
        <v>0</v>
      </c>
    </row>
    <row r="602" spans="1:8" ht="12.2" customHeight="1" x14ac:dyDescent="0.2">
      <c r="D602" s="334" t="s">
        <v>1843</v>
      </c>
      <c r="E602" s="335"/>
      <c r="F602" s="335"/>
      <c r="G602" s="143">
        <v>345.786</v>
      </c>
    </row>
    <row r="603" spans="1:8" x14ac:dyDescent="0.2">
      <c r="A603" s="117" t="s">
        <v>391</v>
      </c>
      <c r="B603" s="117"/>
      <c r="C603" s="117" t="s">
        <v>2324</v>
      </c>
      <c r="D603" s="304" t="s">
        <v>2323</v>
      </c>
      <c r="E603" s="305"/>
      <c r="F603" s="117" t="s">
        <v>1645</v>
      </c>
      <c r="G603" s="116">
        <v>1.1830000000000001</v>
      </c>
      <c r="H603" s="108">
        <v>0</v>
      </c>
    </row>
    <row r="604" spans="1:8" ht="12.2" customHeight="1" x14ac:dyDescent="0.2">
      <c r="D604" s="334" t="s">
        <v>2520</v>
      </c>
      <c r="E604" s="335"/>
      <c r="F604" s="335"/>
      <c r="G604" s="143">
        <v>1.1830000000000001</v>
      </c>
    </row>
    <row r="605" spans="1:8" x14ac:dyDescent="0.2">
      <c r="A605" s="117" t="s">
        <v>392</v>
      </c>
      <c r="B605" s="117"/>
      <c r="C605" s="117" t="s">
        <v>874</v>
      </c>
      <c r="D605" s="304" t="s">
        <v>1463</v>
      </c>
      <c r="E605" s="305"/>
      <c r="F605" s="117" t="s">
        <v>1645</v>
      </c>
      <c r="G605" s="116">
        <v>345.786</v>
      </c>
      <c r="H605" s="108">
        <v>0</v>
      </c>
    </row>
    <row r="606" spans="1:8" ht="12.2" customHeight="1" x14ac:dyDescent="0.2">
      <c r="D606" s="334" t="s">
        <v>1843</v>
      </c>
      <c r="E606" s="335"/>
      <c r="F606" s="335"/>
      <c r="G606" s="143">
        <v>345.786</v>
      </c>
    </row>
    <row r="607" spans="1:8" x14ac:dyDescent="0.2">
      <c r="A607" s="124" t="s">
        <v>393</v>
      </c>
      <c r="B607" s="124"/>
      <c r="C607" s="124" t="s">
        <v>875</v>
      </c>
      <c r="D607" s="311" t="s">
        <v>1464</v>
      </c>
      <c r="E607" s="312"/>
      <c r="F607" s="124" t="s">
        <v>1645</v>
      </c>
      <c r="G607" s="123">
        <v>363.07499999999999</v>
      </c>
      <c r="H607" s="121">
        <v>0</v>
      </c>
    </row>
    <row r="608" spans="1:8" ht="12.2" customHeight="1" x14ac:dyDescent="0.2">
      <c r="D608" s="336" t="s">
        <v>1803</v>
      </c>
      <c r="E608" s="337"/>
      <c r="F608" s="337"/>
      <c r="G608" s="146">
        <v>345.786</v>
      </c>
    </row>
    <row r="609" spans="1:8" ht="12.2" customHeight="1" x14ac:dyDescent="0.2">
      <c r="A609" s="124"/>
      <c r="B609" s="124"/>
      <c r="C609" s="124"/>
      <c r="D609" s="336" t="s">
        <v>1851</v>
      </c>
      <c r="E609" s="337"/>
      <c r="F609" s="336"/>
      <c r="G609" s="145">
        <v>17.289000000000001</v>
      </c>
      <c r="H609" s="122"/>
    </row>
    <row r="610" spans="1:8" x14ac:dyDescent="0.2">
      <c r="A610" s="117" t="s">
        <v>394</v>
      </c>
      <c r="B610" s="117"/>
      <c r="C610" s="117" t="s">
        <v>2322</v>
      </c>
      <c r="D610" s="304" t="s">
        <v>2321</v>
      </c>
      <c r="E610" s="305"/>
      <c r="F610" s="117" t="s">
        <v>1645</v>
      </c>
      <c r="G610" s="116">
        <v>1.1830000000000001</v>
      </c>
      <c r="H610" s="108">
        <v>0</v>
      </c>
    </row>
    <row r="611" spans="1:8" ht="12.2" customHeight="1" x14ac:dyDescent="0.2">
      <c r="D611" s="334" t="s">
        <v>2520</v>
      </c>
      <c r="E611" s="335"/>
      <c r="F611" s="335"/>
      <c r="G611" s="143">
        <v>1.1830000000000001</v>
      </c>
    </row>
    <row r="612" spans="1:8" x14ac:dyDescent="0.2">
      <c r="A612" s="124" t="s">
        <v>395</v>
      </c>
      <c r="B612" s="124"/>
      <c r="C612" s="124" t="s">
        <v>2320</v>
      </c>
      <c r="D612" s="311" t="s">
        <v>2319</v>
      </c>
      <c r="E612" s="312"/>
      <c r="F612" s="124" t="s">
        <v>1645</v>
      </c>
      <c r="G612" s="123">
        <v>1.3009999999999999</v>
      </c>
      <c r="H612" s="121">
        <v>0</v>
      </c>
    </row>
    <row r="613" spans="1:8" ht="12.2" customHeight="1" x14ac:dyDescent="0.2">
      <c r="D613" s="336" t="s">
        <v>2519</v>
      </c>
      <c r="E613" s="337"/>
      <c r="F613" s="337"/>
      <c r="G613" s="146">
        <v>1.1830000000000001</v>
      </c>
    </row>
    <row r="614" spans="1:8" ht="12.2" customHeight="1" x14ac:dyDescent="0.2">
      <c r="A614" s="124"/>
      <c r="B614" s="124"/>
      <c r="C614" s="124"/>
      <c r="D614" s="336" t="s">
        <v>2518</v>
      </c>
      <c r="E614" s="337"/>
      <c r="F614" s="336"/>
      <c r="G614" s="145">
        <v>0.11799999999999999</v>
      </c>
      <c r="H614" s="122"/>
    </row>
    <row r="615" spans="1:8" x14ac:dyDescent="0.2">
      <c r="A615" s="117" t="s">
        <v>396</v>
      </c>
      <c r="B615" s="117"/>
      <c r="C615" s="117" t="s">
        <v>876</v>
      </c>
      <c r="D615" s="304" t="s">
        <v>1465</v>
      </c>
      <c r="E615" s="305"/>
      <c r="F615" s="117" t="s">
        <v>1645</v>
      </c>
      <c r="G615" s="116">
        <v>344.89400000000001</v>
      </c>
      <c r="H615" s="108">
        <v>0</v>
      </c>
    </row>
    <row r="616" spans="1:8" ht="12.2" customHeight="1" x14ac:dyDescent="0.2">
      <c r="D616" s="334" t="s">
        <v>1842</v>
      </c>
      <c r="E616" s="335"/>
      <c r="F616" s="335"/>
      <c r="G616" s="143">
        <v>344.89400000000001</v>
      </c>
    </row>
    <row r="617" spans="1:8" x14ac:dyDescent="0.2">
      <c r="A617" s="117" t="s">
        <v>397</v>
      </c>
      <c r="B617" s="117"/>
      <c r="C617" s="117" t="s">
        <v>877</v>
      </c>
      <c r="D617" s="304" t="s">
        <v>1466</v>
      </c>
      <c r="E617" s="305"/>
      <c r="F617" s="117" t="s">
        <v>1647</v>
      </c>
      <c r="G617" s="116">
        <v>7.6360000000000001</v>
      </c>
      <c r="H617" s="108">
        <v>0</v>
      </c>
    </row>
    <row r="618" spans="1:8" ht="12.2" customHeight="1" x14ac:dyDescent="0.2">
      <c r="D618" s="334" t="s">
        <v>2528</v>
      </c>
      <c r="E618" s="335"/>
      <c r="F618" s="335"/>
      <c r="G618" s="143">
        <v>7.6360000000000001</v>
      </c>
    </row>
    <row r="619" spans="1:8" x14ac:dyDescent="0.2">
      <c r="A619" s="117" t="s">
        <v>398</v>
      </c>
      <c r="B619" s="117"/>
      <c r="C619" s="117" t="s">
        <v>878</v>
      </c>
      <c r="D619" s="304" t="s">
        <v>1467</v>
      </c>
      <c r="E619" s="305"/>
      <c r="F619" s="117" t="s">
        <v>1645</v>
      </c>
      <c r="G619" s="116">
        <v>54.9</v>
      </c>
      <c r="H619" s="108">
        <v>0</v>
      </c>
    </row>
    <row r="620" spans="1:8" ht="12.2" customHeight="1" x14ac:dyDescent="0.2">
      <c r="D620" s="334" t="s">
        <v>1853</v>
      </c>
      <c r="E620" s="335"/>
      <c r="F620" s="335"/>
      <c r="G620" s="143">
        <v>54.9</v>
      </c>
    </row>
    <row r="621" spans="1:8" x14ac:dyDescent="0.2">
      <c r="A621" s="117" t="s">
        <v>399</v>
      </c>
      <c r="B621" s="117"/>
      <c r="C621" s="117" t="s">
        <v>879</v>
      </c>
      <c r="D621" s="304" t="s">
        <v>1468</v>
      </c>
      <c r="E621" s="305"/>
      <c r="F621" s="117" t="s">
        <v>1645</v>
      </c>
      <c r="G621" s="116">
        <v>54.9</v>
      </c>
      <c r="H621" s="108">
        <v>0</v>
      </c>
    </row>
    <row r="622" spans="1:8" ht="12.2" customHeight="1" x14ac:dyDescent="0.2">
      <c r="D622" s="334" t="s">
        <v>1853</v>
      </c>
      <c r="E622" s="335"/>
      <c r="F622" s="335"/>
      <c r="G622" s="143">
        <v>54.9</v>
      </c>
    </row>
    <row r="623" spans="1:8" x14ac:dyDescent="0.2">
      <c r="A623" s="117" t="s">
        <v>400</v>
      </c>
      <c r="B623" s="117"/>
      <c r="C623" s="117" t="s">
        <v>880</v>
      </c>
      <c r="D623" s="304" t="s">
        <v>1469</v>
      </c>
      <c r="E623" s="305"/>
      <c r="F623" s="117" t="s">
        <v>1647</v>
      </c>
      <c r="G623" s="116">
        <v>1.0429999999999999</v>
      </c>
      <c r="H623" s="108">
        <v>0</v>
      </c>
    </row>
    <row r="624" spans="1:8" ht="12.2" customHeight="1" x14ac:dyDescent="0.2">
      <c r="D624" s="334" t="s">
        <v>1854</v>
      </c>
      <c r="E624" s="335"/>
      <c r="F624" s="335"/>
      <c r="G624" s="143">
        <v>1.0429999999999999</v>
      </c>
    </row>
    <row r="625" spans="1:8" x14ac:dyDescent="0.2">
      <c r="A625" s="117" t="s">
        <v>401</v>
      </c>
      <c r="B625" s="117"/>
      <c r="C625" s="117" t="s">
        <v>881</v>
      </c>
      <c r="D625" s="304" t="s">
        <v>1470</v>
      </c>
      <c r="E625" s="305"/>
      <c r="F625" s="117" t="s">
        <v>1648</v>
      </c>
      <c r="G625" s="116">
        <v>31.645</v>
      </c>
      <c r="H625" s="108">
        <v>0</v>
      </c>
    </row>
    <row r="626" spans="1:8" ht="12.2" customHeight="1" x14ac:dyDescent="0.2">
      <c r="D626" s="334" t="s">
        <v>2527</v>
      </c>
      <c r="E626" s="335"/>
      <c r="F626" s="335"/>
      <c r="G626" s="143">
        <v>31.645</v>
      </c>
    </row>
    <row r="627" spans="1:8" x14ac:dyDescent="0.2">
      <c r="A627" s="120"/>
      <c r="B627" s="120"/>
      <c r="C627" s="120" t="s">
        <v>882</v>
      </c>
      <c r="D627" s="306" t="s">
        <v>1471</v>
      </c>
      <c r="E627" s="307"/>
      <c r="F627" s="120"/>
      <c r="G627" s="142"/>
      <c r="H627" s="109"/>
    </row>
    <row r="628" spans="1:8" x14ac:dyDescent="0.2">
      <c r="A628" s="117" t="s">
        <v>402</v>
      </c>
      <c r="B628" s="117"/>
      <c r="C628" s="117" t="s">
        <v>883</v>
      </c>
      <c r="D628" s="304" t="s">
        <v>1472</v>
      </c>
      <c r="E628" s="305"/>
      <c r="F628" s="117" t="s">
        <v>1645</v>
      </c>
      <c r="G628" s="116">
        <v>344.89400000000001</v>
      </c>
      <c r="H628" s="108">
        <v>0</v>
      </c>
    </row>
    <row r="629" spans="1:8" ht="12.2" customHeight="1" x14ac:dyDescent="0.2">
      <c r="D629" s="334" t="s">
        <v>1842</v>
      </c>
      <c r="E629" s="335"/>
      <c r="F629" s="335"/>
      <c r="G629" s="143">
        <v>344.89400000000001</v>
      </c>
    </row>
    <row r="630" spans="1:8" x14ac:dyDescent="0.2">
      <c r="A630" s="117" t="s">
        <v>403</v>
      </c>
      <c r="B630" s="117"/>
      <c r="C630" s="117" t="s">
        <v>884</v>
      </c>
      <c r="D630" s="304" t="s">
        <v>1473</v>
      </c>
      <c r="E630" s="305"/>
      <c r="F630" s="117" t="s">
        <v>1646</v>
      </c>
      <c r="G630" s="116">
        <v>106</v>
      </c>
      <c r="H630" s="108">
        <v>0</v>
      </c>
    </row>
    <row r="631" spans="1:8" ht="12.2" customHeight="1" x14ac:dyDescent="0.2">
      <c r="D631" s="334" t="s">
        <v>1856</v>
      </c>
      <c r="E631" s="335"/>
      <c r="F631" s="335"/>
      <c r="G631" s="143">
        <v>106</v>
      </c>
    </row>
    <row r="632" spans="1:8" x14ac:dyDescent="0.2">
      <c r="A632" s="117" t="s">
        <v>404</v>
      </c>
      <c r="B632" s="117"/>
      <c r="C632" s="117" t="s">
        <v>885</v>
      </c>
      <c r="D632" s="304" t="s">
        <v>1474</v>
      </c>
      <c r="E632" s="305"/>
      <c r="F632" s="117" t="s">
        <v>1645</v>
      </c>
      <c r="G632" s="116">
        <v>1.952</v>
      </c>
      <c r="H632" s="108">
        <v>0</v>
      </c>
    </row>
    <row r="633" spans="1:8" ht="12.2" customHeight="1" x14ac:dyDescent="0.2">
      <c r="D633" s="334" t="s">
        <v>1857</v>
      </c>
      <c r="E633" s="335"/>
      <c r="F633" s="335"/>
      <c r="G633" s="143">
        <v>1.952</v>
      </c>
    </row>
    <row r="634" spans="1:8" x14ac:dyDescent="0.2">
      <c r="A634" s="117" t="s">
        <v>405</v>
      </c>
      <c r="B634" s="117"/>
      <c r="C634" s="117" t="s">
        <v>2318</v>
      </c>
      <c r="D634" s="304" t="s">
        <v>2317</v>
      </c>
      <c r="E634" s="305"/>
      <c r="F634" s="117" t="s">
        <v>1646</v>
      </c>
      <c r="G634" s="116">
        <v>6</v>
      </c>
      <c r="H634" s="108">
        <v>0</v>
      </c>
    </row>
    <row r="635" spans="1:8" ht="12.2" customHeight="1" x14ac:dyDescent="0.2">
      <c r="D635" s="334" t="s">
        <v>1806</v>
      </c>
      <c r="E635" s="335"/>
      <c r="F635" s="335"/>
      <c r="G635" s="143">
        <v>6</v>
      </c>
    </row>
    <row r="636" spans="1:8" x14ac:dyDescent="0.2">
      <c r="A636" s="117" t="s">
        <v>406</v>
      </c>
      <c r="B636" s="117"/>
      <c r="C636" s="117" t="s">
        <v>886</v>
      </c>
      <c r="D636" s="304" t="s">
        <v>1475</v>
      </c>
      <c r="E636" s="305"/>
      <c r="F636" s="117" t="s">
        <v>1646</v>
      </c>
      <c r="G636" s="116">
        <v>62.5</v>
      </c>
      <c r="H636" s="108">
        <v>0</v>
      </c>
    </row>
    <row r="637" spans="1:8" ht="12.2" customHeight="1" x14ac:dyDescent="0.2">
      <c r="D637" s="334" t="s">
        <v>1847</v>
      </c>
      <c r="E637" s="335"/>
      <c r="F637" s="335"/>
      <c r="G637" s="143">
        <v>62.5</v>
      </c>
    </row>
    <row r="638" spans="1:8" x14ac:dyDescent="0.2">
      <c r="A638" s="117" t="s">
        <v>407</v>
      </c>
      <c r="B638" s="117"/>
      <c r="C638" s="117" t="s">
        <v>887</v>
      </c>
      <c r="D638" s="304" t="s">
        <v>1476</v>
      </c>
      <c r="E638" s="305"/>
      <c r="F638" s="117" t="s">
        <v>1644</v>
      </c>
      <c r="G638" s="116">
        <v>6</v>
      </c>
      <c r="H638" s="108">
        <v>0</v>
      </c>
    </row>
    <row r="639" spans="1:8" ht="12.2" customHeight="1" x14ac:dyDescent="0.2">
      <c r="D639" s="334" t="s">
        <v>2526</v>
      </c>
      <c r="E639" s="335"/>
      <c r="F639" s="335"/>
      <c r="G639" s="143">
        <v>6</v>
      </c>
    </row>
    <row r="640" spans="1:8" x14ac:dyDescent="0.2">
      <c r="A640" s="117" t="s">
        <v>408</v>
      </c>
      <c r="B640" s="117"/>
      <c r="C640" s="117" t="s">
        <v>888</v>
      </c>
      <c r="D640" s="304" t="s">
        <v>1477</v>
      </c>
      <c r="E640" s="305"/>
      <c r="F640" s="117" t="s">
        <v>1644</v>
      </c>
      <c r="G640" s="116">
        <v>1</v>
      </c>
      <c r="H640" s="108">
        <v>0</v>
      </c>
    </row>
    <row r="641" spans="1:8" ht="12.2" customHeight="1" x14ac:dyDescent="0.2">
      <c r="D641" s="334" t="s">
        <v>1749</v>
      </c>
      <c r="E641" s="335"/>
      <c r="F641" s="335"/>
      <c r="G641" s="143">
        <v>1</v>
      </c>
    </row>
    <row r="642" spans="1:8" x14ac:dyDescent="0.2">
      <c r="A642" s="117" t="s">
        <v>409</v>
      </c>
      <c r="B642" s="117"/>
      <c r="C642" s="117" t="s">
        <v>889</v>
      </c>
      <c r="D642" s="304" t="s">
        <v>1478</v>
      </c>
      <c r="E642" s="305"/>
      <c r="F642" s="117" t="s">
        <v>1646</v>
      </c>
      <c r="G642" s="116">
        <v>47</v>
      </c>
      <c r="H642" s="108">
        <v>0</v>
      </c>
    </row>
    <row r="643" spans="1:8" ht="12.2" customHeight="1" x14ac:dyDescent="0.2">
      <c r="D643" s="334" t="s">
        <v>1858</v>
      </c>
      <c r="E643" s="335"/>
      <c r="F643" s="335"/>
      <c r="G643" s="143">
        <v>47</v>
      </c>
    </row>
    <row r="644" spans="1:8" x14ac:dyDescent="0.2">
      <c r="A644" s="117" t="s">
        <v>410</v>
      </c>
      <c r="B644" s="117"/>
      <c r="C644" s="117" t="s">
        <v>890</v>
      </c>
      <c r="D644" s="304" t="s">
        <v>1479</v>
      </c>
      <c r="E644" s="305"/>
      <c r="F644" s="117" t="s">
        <v>1646</v>
      </c>
      <c r="G644" s="116">
        <v>18</v>
      </c>
      <c r="H644" s="108">
        <v>0</v>
      </c>
    </row>
    <row r="645" spans="1:8" ht="12.2" customHeight="1" x14ac:dyDescent="0.2">
      <c r="D645" s="334" t="s">
        <v>1859</v>
      </c>
      <c r="E645" s="335"/>
      <c r="F645" s="335"/>
      <c r="G645" s="143">
        <v>18</v>
      </c>
    </row>
    <row r="646" spans="1:8" x14ac:dyDescent="0.2">
      <c r="A646" s="117" t="s">
        <v>411</v>
      </c>
      <c r="B646" s="117"/>
      <c r="C646" s="117" t="s">
        <v>891</v>
      </c>
      <c r="D646" s="304" t="s">
        <v>1480</v>
      </c>
      <c r="E646" s="305"/>
      <c r="F646" s="117" t="s">
        <v>1646</v>
      </c>
      <c r="G646" s="116">
        <v>65.004999999999995</v>
      </c>
      <c r="H646" s="108">
        <v>0</v>
      </c>
    </row>
    <row r="647" spans="1:8" ht="12.2" customHeight="1" x14ac:dyDescent="0.2">
      <c r="D647" s="334" t="s">
        <v>1860</v>
      </c>
      <c r="E647" s="335"/>
      <c r="F647" s="335"/>
      <c r="G647" s="143">
        <v>65.004999999999995</v>
      </c>
    </row>
    <row r="648" spans="1:8" x14ac:dyDescent="0.2">
      <c r="A648" s="117" t="s">
        <v>412</v>
      </c>
      <c r="B648" s="117"/>
      <c r="C648" s="117" t="s">
        <v>892</v>
      </c>
      <c r="D648" s="304" t="s">
        <v>1481</v>
      </c>
      <c r="E648" s="305"/>
      <c r="F648" s="117" t="s">
        <v>1646</v>
      </c>
      <c r="G648" s="116">
        <v>46.5</v>
      </c>
      <c r="H648" s="108">
        <v>0</v>
      </c>
    </row>
    <row r="649" spans="1:8" ht="12.2" customHeight="1" x14ac:dyDescent="0.2">
      <c r="D649" s="334" t="s">
        <v>2525</v>
      </c>
      <c r="E649" s="335"/>
      <c r="F649" s="335"/>
      <c r="G649" s="143">
        <v>46.5</v>
      </c>
    </row>
    <row r="650" spans="1:8" x14ac:dyDescent="0.2">
      <c r="A650" s="117" t="s">
        <v>413</v>
      </c>
      <c r="B650" s="117"/>
      <c r="C650" s="117" t="s">
        <v>2316</v>
      </c>
      <c r="D650" s="304" t="s">
        <v>2315</v>
      </c>
      <c r="E650" s="305"/>
      <c r="F650" s="117" t="s">
        <v>1646</v>
      </c>
      <c r="G650" s="116">
        <v>6</v>
      </c>
      <c r="H650" s="108">
        <v>0</v>
      </c>
    </row>
    <row r="651" spans="1:8" ht="12.2" customHeight="1" x14ac:dyDescent="0.2">
      <c r="D651" s="334" t="s">
        <v>1806</v>
      </c>
      <c r="E651" s="335"/>
      <c r="F651" s="335"/>
      <c r="G651" s="143">
        <v>6</v>
      </c>
    </row>
    <row r="652" spans="1:8" x14ac:dyDescent="0.2">
      <c r="A652" s="117" t="s">
        <v>414</v>
      </c>
      <c r="B652" s="117"/>
      <c r="C652" s="117" t="s">
        <v>893</v>
      </c>
      <c r="D652" s="304" t="s">
        <v>1482</v>
      </c>
      <c r="E652" s="305"/>
      <c r="F652" s="117" t="s">
        <v>1646</v>
      </c>
      <c r="G652" s="116">
        <v>62.5</v>
      </c>
      <c r="H652" s="108">
        <v>0</v>
      </c>
    </row>
    <row r="653" spans="1:8" ht="12.2" customHeight="1" x14ac:dyDescent="0.2">
      <c r="D653" s="334" t="s">
        <v>1847</v>
      </c>
      <c r="E653" s="335"/>
      <c r="F653" s="335"/>
      <c r="G653" s="143">
        <v>62.5</v>
      </c>
    </row>
    <row r="654" spans="1:8" x14ac:dyDescent="0.2">
      <c r="A654" s="117" t="s">
        <v>415</v>
      </c>
      <c r="B654" s="117"/>
      <c r="C654" s="117" t="s">
        <v>2314</v>
      </c>
      <c r="D654" s="304" t="s">
        <v>2313</v>
      </c>
      <c r="E654" s="305"/>
      <c r="F654" s="117" t="s">
        <v>1644</v>
      </c>
      <c r="G654" s="116">
        <v>2</v>
      </c>
      <c r="H654" s="108">
        <v>0</v>
      </c>
    </row>
    <row r="655" spans="1:8" ht="12.2" customHeight="1" x14ac:dyDescent="0.2">
      <c r="D655" s="334" t="s">
        <v>1849</v>
      </c>
      <c r="E655" s="335"/>
      <c r="F655" s="335"/>
      <c r="G655" s="143">
        <v>2</v>
      </c>
    </row>
    <row r="656" spans="1:8" x14ac:dyDescent="0.2">
      <c r="A656" s="117" t="s">
        <v>416</v>
      </c>
      <c r="B656" s="117"/>
      <c r="C656" s="117" t="s">
        <v>894</v>
      </c>
      <c r="D656" s="304" t="s">
        <v>1483</v>
      </c>
      <c r="E656" s="305"/>
      <c r="F656" s="117" t="s">
        <v>1644</v>
      </c>
      <c r="G656" s="116">
        <v>4</v>
      </c>
      <c r="H656" s="108">
        <v>0</v>
      </c>
    </row>
    <row r="657" spans="1:8" ht="12.2" customHeight="1" x14ac:dyDescent="0.2">
      <c r="D657" s="334" t="s">
        <v>1795</v>
      </c>
      <c r="E657" s="335"/>
      <c r="F657" s="335"/>
      <c r="G657" s="143">
        <v>4</v>
      </c>
    </row>
    <row r="658" spans="1:8" x14ac:dyDescent="0.2">
      <c r="A658" s="117" t="s">
        <v>417</v>
      </c>
      <c r="B658" s="117"/>
      <c r="C658" s="117" t="s">
        <v>2312</v>
      </c>
      <c r="D658" s="304" t="s">
        <v>2311</v>
      </c>
      <c r="E658" s="305"/>
      <c r="F658" s="117" t="s">
        <v>1646</v>
      </c>
      <c r="G658" s="116">
        <v>15.5</v>
      </c>
      <c r="H658" s="108">
        <v>0</v>
      </c>
    </row>
    <row r="659" spans="1:8" ht="12.2" customHeight="1" x14ac:dyDescent="0.2">
      <c r="D659" s="334" t="s">
        <v>2524</v>
      </c>
      <c r="E659" s="335"/>
      <c r="F659" s="335"/>
      <c r="G659" s="143">
        <v>15.5</v>
      </c>
    </row>
    <row r="660" spans="1:8" x14ac:dyDescent="0.2">
      <c r="A660" s="117" t="s">
        <v>418</v>
      </c>
      <c r="B660" s="117"/>
      <c r="C660" s="117" t="s">
        <v>895</v>
      </c>
      <c r="D660" s="304" t="s">
        <v>1484</v>
      </c>
      <c r="E660" s="305"/>
      <c r="F660" s="117" t="s">
        <v>1646</v>
      </c>
      <c r="G660" s="116">
        <v>31</v>
      </c>
      <c r="H660" s="108">
        <v>0</v>
      </c>
    </row>
    <row r="661" spans="1:8" ht="12.2" customHeight="1" x14ac:dyDescent="0.2">
      <c r="D661" s="334" t="s">
        <v>1861</v>
      </c>
      <c r="E661" s="335"/>
      <c r="F661" s="335"/>
      <c r="G661" s="143">
        <v>31</v>
      </c>
    </row>
    <row r="662" spans="1:8" x14ac:dyDescent="0.2">
      <c r="A662" s="117" t="s">
        <v>419</v>
      </c>
      <c r="B662" s="117"/>
      <c r="C662" s="117" t="s">
        <v>896</v>
      </c>
      <c r="D662" s="304" t="s">
        <v>1990</v>
      </c>
      <c r="E662" s="305"/>
      <c r="F662" s="117" t="s">
        <v>1646</v>
      </c>
      <c r="G662" s="116">
        <v>106</v>
      </c>
      <c r="H662" s="108">
        <v>0</v>
      </c>
    </row>
    <row r="663" spans="1:8" ht="12.2" customHeight="1" x14ac:dyDescent="0.2">
      <c r="D663" s="334" t="s">
        <v>1862</v>
      </c>
      <c r="E663" s="335"/>
      <c r="F663" s="335"/>
      <c r="G663" s="143">
        <v>106</v>
      </c>
    </row>
    <row r="664" spans="1:8" x14ac:dyDescent="0.2">
      <c r="A664" s="117" t="s">
        <v>420</v>
      </c>
      <c r="B664" s="117"/>
      <c r="C664" s="117" t="s">
        <v>897</v>
      </c>
      <c r="D664" s="304" t="s">
        <v>2310</v>
      </c>
      <c r="E664" s="305"/>
      <c r="F664" s="117" t="s">
        <v>1646</v>
      </c>
      <c r="G664" s="116">
        <v>6.2</v>
      </c>
      <c r="H664" s="108">
        <v>0</v>
      </c>
    </row>
    <row r="665" spans="1:8" ht="12.2" customHeight="1" x14ac:dyDescent="0.2">
      <c r="D665" s="334" t="s">
        <v>1863</v>
      </c>
      <c r="E665" s="335"/>
      <c r="F665" s="335"/>
      <c r="G665" s="143">
        <v>6.2</v>
      </c>
    </row>
    <row r="666" spans="1:8" x14ac:dyDescent="0.2">
      <c r="A666" s="117" t="s">
        <v>421</v>
      </c>
      <c r="B666" s="117"/>
      <c r="C666" s="117" t="s">
        <v>898</v>
      </c>
      <c r="D666" s="304" t="s">
        <v>1487</v>
      </c>
      <c r="E666" s="305"/>
      <c r="F666" s="117" t="s">
        <v>1646</v>
      </c>
      <c r="G666" s="116">
        <v>3.2</v>
      </c>
      <c r="H666" s="108">
        <v>0</v>
      </c>
    </row>
    <row r="667" spans="1:8" ht="12.2" customHeight="1" x14ac:dyDescent="0.2">
      <c r="D667" s="334" t="s">
        <v>1864</v>
      </c>
      <c r="E667" s="335"/>
      <c r="F667" s="335"/>
      <c r="G667" s="143">
        <v>3.2</v>
      </c>
    </row>
    <row r="668" spans="1:8" x14ac:dyDescent="0.2">
      <c r="A668" s="117" t="s">
        <v>422</v>
      </c>
      <c r="B668" s="117"/>
      <c r="C668" s="117" t="s">
        <v>899</v>
      </c>
      <c r="D668" s="304" t="s">
        <v>2309</v>
      </c>
      <c r="E668" s="305"/>
      <c r="F668" s="117" t="s">
        <v>1646</v>
      </c>
      <c r="G668" s="116">
        <v>31.18</v>
      </c>
      <c r="H668" s="108">
        <v>0</v>
      </c>
    </row>
    <row r="669" spans="1:8" ht="12.2" customHeight="1" x14ac:dyDescent="0.2">
      <c r="D669" s="334" t="s">
        <v>1865</v>
      </c>
      <c r="E669" s="335"/>
      <c r="F669" s="335"/>
      <c r="G669" s="143">
        <v>31.18</v>
      </c>
    </row>
    <row r="670" spans="1:8" x14ac:dyDescent="0.2">
      <c r="A670" s="117" t="s">
        <v>423</v>
      </c>
      <c r="B670" s="117"/>
      <c r="C670" s="117" t="s">
        <v>900</v>
      </c>
      <c r="D670" s="304" t="s">
        <v>1489</v>
      </c>
      <c r="E670" s="305"/>
      <c r="F670" s="117" t="s">
        <v>1646</v>
      </c>
      <c r="G670" s="116">
        <v>31.18</v>
      </c>
      <c r="H670" s="108">
        <v>0</v>
      </c>
    </row>
    <row r="671" spans="1:8" ht="12.2" customHeight="1" x14ac:dyDescent="0.2">
      <c r="D671" s="334" t="s">
        <v>1865</v>
      </c>
      <c r="E671" s="335"/>
      <c r="F671" s="335"/>
      <c r="G671" s="143">
        <v>31.18</v>
      </c>
    </row>
    <row r="672" spans="1:8" x14ac:dyDescent="0.2">
      <c r="A672" s="117" t="s">
        <v>424</v>
      </c>
      <c r="B672" s="117"/>
      <c r="C672" s="117" t="s">
        <v>901</v>
      </c>
      <c r="D672" s="304" t="s">
        <v>1490</v>
      </c>
      <c r="E672" s="305"/>
      <c r="F672" s="117" t="s">
        <v>1646</v>
      </c>
      <c r="G672" s="116">
        <v>0</v>
      </c>
      <c r="H672" s="108">
        <v>0</v>
      </c>
    </row>
    <row r="673" spans="1:8" ht="12.2" customHeight="1" x14ac:dyDescent="0.2">
      <c r="D673" s="334" t="s">
        <v>2523</v>
      </c>
      <c r="E673" s="335"/>
      <c r="F673" s="335"/>
      <c r="G673" s="143">
        <v>0</v>
      </c>
    </row>
    <row r="674" spans="1:8" x14ac:dyDescent="0.2">
      <c r="A674" s="117" t="s">
        <v>425</v>
      </c>
      <c r="B674" s="117"/>
      <c r="C674" s="117" t="s">
        <v>2308</v>
      </c>
      <c r="D674" s="304" t="s">
        <v>2307</v>
      </c>
      <c r="E674" s="305"/>
      <c r="F674" s="117" t="s">
        <v>1646</v>
      </c>
      <c r="G674" s="116">
        <v>3.5</v>
      </c>
      <c r="H674" s="108">
        <v>0</v>
      </c>
    </row>
    <row r="675" spans="1:8" ht="12.2" customHeight="1" x14ac:dyDescent="0.2">
      <c r="D675" s="334" t="s">
        <v>2522</v>
      </c>
      <c r="E675" s="335"/>
      <c r="F675" s="335"/>
      <c r="G675" s="143">
        <v>3.5</v>
      </c>
    </row>
    <row r="676" spans="1:8" x14ac:dyDescent="0.2">
      <c r="A676" s="117" t="s">
        <v>426</v>
      </c>
      <c r="B676" s="117"/>
      <c r="C676" s="117" t="s">
        <v>902</v>
      </c>
      <c r="D676" s="304" t="s">
        <v>1491</v>
      </c>
      <c r="E676" s="305"/>
      <c r="F676" s="117" t="s">
        <v>1648</v>
      </c>
      <c r="G676" s="116">
        <v>4.8550000000000004</v>
      </c>
      <c r="H676" s="108">
        <v>0</v>
      </c>
    </row>
    <row r="677" spans="1:8" ht="12.2" customHeight="1" x14ac:dyDescent="0.2">
      <c r="D677" s="334" t="s">
        <v>2521</v>
      </c>
      <c r="E677" s="335"/>
      <c r="F677" s="335"/>
      <c r="G677" s="143">
        <v>4.8550000000000004</v>
      </c>
    </row>
    <row r="678" spans="1:8" x14ac:dyDescent="0.2">
      <c r="A678" s="120"/>
      <c r="B678" s="120"/>
      <c r="C678" s="120" t="s">
        <v>903</v>
      </c>
      <c r="D678" s="306" t="s">
        <v>1492</v>
      </c>
      <c r="E678" s="307"/>
      <c r="F678" s="120"/>
      <c r="G678" s="142"/>
      <c r="H678" s="109"/>
    </row>
    <row r="679" spans="1:8" x14ac:dyDescent="0.2">
      <c r="A679" s="117" t="s">
        <v>427</v>
      </c>
      <c r="B679" s="117"/>
      <c r="C679" s="117" t="s">
        <v>2306</v>
      </c>
      <c r="D679" s="304" t="s">
        <v>2305</v>
      </c>
      <c r="E679" s="305"/>
      <c r="F679" s="117" t="s">
        <v>1645</v>
      </c>
      <c r="G679" s="116">
        <v>1.1830000000000001</v>
      </c>
      <c r="H679" s="108">
        <v>0</v>
      </c>
    </row>
    <row r="680" spans="1:8" ht="12.2" customHeight="1" x14ac:dyDescent="0.2">
      <c r="D680" s="334" t="s">
        <v>2520</v>
      </c>
      <c r="E680" s="335"/>
      <c r="F680" s="335"/>
      <c r="G680" s="143">
        <v>1.1830000000000001</v>
      </c>
    </row>
    <row r="681" spans="1:8" x14ac:dyDescent="0.2">
      <c r="A681" s="124" t="s">
        <v>428</v>
      </c>
      <c r="B681" s="124"/>
      <c r="C681" s="124" t="s">
        <v>2304</v>
      </c>
      <c r="D681" s="311" t="s">
        <v>2303</v>
      </c>
      <c r="E681" s="312"/>
      <c r="F681" s="124" t="s">
        <v>1645</v>
      </c>
      <c r="G681" s="123">
        <v>1.3009999999999999</v>
      </c>
      <c r="H681" s="121">
        <v>0</v>
      </c>
    </row>
    <row r="682" spans="1:8" ht="12.2" customHeight="1" x14ac:dyDescent="0.2">
      <c r="D682" s="336" t="s">
        <v>2519</v>
      </c>
      <c r="E682" s="337"/>
      <c r="F682" s="337"/>
      <c r="G682" s="146">
        <v>1.1830000000000001</v>
      </c>
    </row>
    <row r="683" spans="1:8" ht="12.2" customHeight="1" x14ac:dyDescent="0.2">
      <c r="A683" s="124"/>
      <c r="B683" s="124"/>
      <c r="C683" s="124"/>
      <c r="D683" s="336" t="s">
        <v>2518</v>
      </c>
      <c r="E683" s="337"/>
      <c r="F683" s="336"/>
      <c r="G683" s="145">
        <v>0.11799999999999999</v>
      </c>
      <c r="H683" s="122"/>
    </row>
    <row r="684" spans="1:8" x14ac:dyDescent="0.2">
      <c r="A684" s="117" t="s">
        <v>429</v>
      </c>
      <c r="B684" s="117"/>
      <c r="C684" s="117" t="s">
        <v>904</v>
      </c>
      <c r="D684" s="304" t="s">
        <v>1493</v>
      </c>
      <c r="E684" s="305"/>
      <c r="F684" s="117" t="s">
        <v>1644</v>
      </c>
      <c r="G684" s="116">
        <v>1</v>
      </c>
      <c r="H684" s="108">
        <v>0</v>
      </c>
    </row>
    <row r="685" spans="1:8" ht="12.2" customHeight="1" x14ac:dyDescent="0.2">
      <c r="D685" s="334" t="s">
        <v>1749</v>
      </c>
      <c r="E685" s="335"/>
      <c r="F685" s="335"/>
      <c r="G685" s="143">
        <v>1</v>
      </c>
    </row>
    <row r="686" spans="1:8" x14ac:dyDescent="0.2">
      <c r="A686" s="117" t="s">
        <v>430</v>
      </c>
      <c r="B686" s="117"/>
      <c r="C686" s="117" t="s">
        <v>905</v>
      </c>
      <c r="D686" s="304" t="s">
        <v>1987</v>
      </c>
      <c r="E686" s="305"/>
      <c r="F686" s="117" t="s">
        <v>1644</v>
      </c>
      <c r="G686" s="116">
        <v>1</v>
      </c>
      <c r="H686" s="108">
        <v>0</v>
      </c>
    </row>
    <row r="687" spans="1:8" ht="12.2" customHeight="1" x14ac:dyDescent="0.2">
      <c r="D687" s="334" t="s">
        <v>1749</v>
      </c>
      <c r="E687" s="335"/>
      <c r="F687" s="335"/>
      <c r="G687" s="143">
        <v>1</v>
      </c>
    </row>
    <row r="688" spans="1:8" x14ac:dyDescent="0.2">
      <c r="A688" s="117" t="s">
        <v>431</v>
      </c>
      <c r="B688" s="117"/>
      <c r="C688" s="117" t="s">
        <v>906</v>
      </c>
      <c r="D688" s="304" t="s">
        <v>1495</v>
      </c>
      <c r="E688" s="305"/>
      <c r="F688" s="117" t="s">
        <v>1648</v>
      </c>
      <c r="G688" s="116">
        <v>7.1999999999999995E-2</v>
      </c>
      <c r="H688" s="108">
        <v>0</v>
      </c>
    </row>
    <row r="689" spans="1:8" ht="12.2" customHeight="1" x14ac:dyDescent="0.2">
      <c r="D689" s="334" t="s">
        <v>2517</v>
      </c>
      <c r="E689" s="335"/>
      <c r="F689" s="335"/>
      <c r="G689" s="143">
        <v>7.1999999999999995E-2</v>
      </c>
    </row>
    <row r="690" spans="1:8" x14ac:dyDescent="0.2">
      <c r="A690" s="120"/>
      <c r="B690" s="120"/>
      <c r="C690" s="120" t="s">
        <v>907</v>
      </c>
      <c r="D690" s="306" t="s">
        <v>1496</v>
      </c>
      <c r="E690" s="307"/>
      <c r="F690" s="120"/>
      <c r="G690" s="142"/>
      <c r="H690" s="109"/>
    </row>
    <row r="691" spans="1:8" x14ac:dyDescent="0.2">
      <c r="A691" s="117" t="s">
        <v>432</v>
      </c>
      <c r="B691" s="117"/>
      <c r="C691" s="117" t="s">
        <v>2302</v>
      </c>
      <c r="D691" s="304" t="s">
        <v>2301</v>
      </c>
      <c r="E691" s="305"/>
      <c r="F691" s="117" t="s">
        <v>1644</v>
      </c>
      <c r="G691" s="116">
        <v>1</v>
      </c>
      <c r="H691" s="108">
        <v>0</v>
      </c>
    </row>
    <row r="692" spans="1:8" ht="12.2" customHeight="1" x14ac:dyDescent="0.2">
      <c r="D692" s="334" t="s">
        <v>1749</v>
      </c>
      <c r="E692" s="335"/>
      <c r="F692" s="335"/>
      <c r="G692" s="143">
        <v>1</v>
      </c>
    </row>
    <row r="693" spans="1:8" x14ac:dyDescent="0.2">
      <c r="A693" s="117" t="s">
        <v>433</v>
      </c>
      <c r="B693" s="117"/>
      <c r="C693" s="117" t="s">
        <v>2300</v>
      </c>
      <c r="D693" s="304" t="s">
        <v>2299</v>
      </c>
      <c r="E693" s="305"/>
      <c r="F693" s="117" t="s">
        <v>1644</v>
      </c>
      <c r="G693" s="116">
        <v>2</v>
      </c>
      <c r="H693" s="108">
        <v>0</v>
      </c>
    </row>
    <row r="694" spans="1:8" ht="12.2" customHeight="1" x14ac:dyDescent="0.2">
      <c r="D694" s="334" t="s">
        <v>1849</v>
      </c>
      <c r="E694" s="335"/>
      <c r="F694" s="335"/>
      <c r="G694" s="143">
        <v>2</v>
      </c>
    </row>
    <row r="695" spans="1:8" x14ac:dyDescent="0.2">
      <c r="A695" s="117" t="s">
        <v>434</v>
      </c>
      <c r="B695" s="117"/>
      <c r="C695" s="117" t="s">
        <v>908</v>
      </c>
      <c r="D695" s="304" t="s">
        <v>1497</v>
      </c>
      <c r="E695" s="305"/>
      <c r="F695" s="117" t="s">
        <v>1644</v>
      </c>
      <c r="G695" s="116">
        <v>1</v>
      </c>
      <c r="H695" s="108">
        <v>0</v>
      </c>
    </row>
    <row r="696" spans="1:8" ht="12.2" customHeight="1" x14ac:dyDescent="0.2">
      <c r="D696" s="334" t="s">
        <v>1749</v>
      </c>
      <c r="E696" s="335"/>
      <c r="F696" s="335"/>
      <c r="G696" s="143">
        <v>1</v>
      </c>
    </row>
    <row r="697" spans="1:8" x14ac:dyDescent="0.2">
      <c r="A697" s="117" t="s">
        <v>435</v>
      </c>
      <c r="B697" s="117"/>
      <c r="C697" s="117" t="s">
        <v>909</v>
      </c>
      <c r="D697" s="304" t="s">
        <v>1498</v>
      </c>
      <c r="E697" s="305"/>
      <c r="F697" s="117" t="s">
        <v>1644</v>
      </c>
      <c r="G697" s="116">
        <v>1</v>
      </c>
      <c r="H697" s="108">
        <v>0</v>
      </c>
    </row>
    <row r="698" spans="1:8" ht="12.2" customHeight="1" x14ac:dyDescent="0.2">
      <c r="D698" s="334" t="s">
        <v>1749</v>
      </c>
      <c r="E698" s="335"/>
      <c r="F698" s="335"/>
      <c r="G698" s="143">
        <v>1</v>
      </c>
    </row>
    <row r="699" spans="1:8" x14ac:dyDescent="0.2">
      <c r="A699" s="117" t="s">
        <v>436</v>
      </c>
      <c r="B699" s="117"/>
      <c r="C699" s="117" t="s">
        <v>910</v>
      </c>
      <c r="D699" s="304" t="s">
        <v>1499</v>
      </c>
      <c r="E699" s="305"/>
      <c r="F699" s="117" t="s">
        <v>1644</v>
      </c>
      <c r="G699" s="116">
        <v>10</v>
      </c>
      <c r="H699" s="108">
        <v>0</v>
      </c>
    </row>
    <row r="700" spans="1:8" ht="12.2" customHeight="1" x14ac:dyDescent="0.2">
      <c r="D700" s="334" t="s">
        <v>2177</v>
      </c>
      <c r="E700" s="335"/>
      <c r="F700" s="335"/>
      <c r="G700" s="143">
        <v>10</v>
      </c>
    </row>
    <row r="701" spans="1:8" x14ac:dyDescent="0.2">
      <c r="A701" s="117" t="s">
        <v>437</v>
      </c>
      <c r="B701" s="117"/>
      <c r="C701" s="117" t="s">
        <v>911</v>
      </c>
      <c r="D701" s="304" t="s">
        <v>1500</v>
      </c>
      <c r="E701" s="305"/>
      <c r="F701" s="117" t="s">
        <v>1644</v>
      </c>
      <c r="G701" s="116">
        <v>1</v>
      </c>
      <c r="H701" s="108">
        <v>0</v>
      </c>
    </row>
    <row r="702" spans="1:8" ht="12.2" customHeight="1" x14ac:dyDescent="0.2">
      <c r="D702" s="334" t="s">
        <v>1749</v>
      </c>
      <c r="E702" s="335"/>
      <c r="F702" s="335"/>
      <c r="G702" s="143">
        <v>1</v>
      </c>
    </row>
    <row r="703" spans="1:8" x14ac:dyDescent="0.2">
      <c r="A703" s="117" t="s">
        <v>438</v>
      </c>
      <c r="B703" s="117"/>
      <c r="C703" s="117" t="s">
        <v>913</v>
      </c>
      <c r="D703" s="304" t="s">
        <v>1502</v>
      </c>
      <c r="E703" s="305"/>
      <c r="F703" s="117" t="s">
        <v>1644</v>
      </c>
      <c r="G703" s="116">
        <v>4</v>
      </c>
      <c r="H703" s="108">
        <v>0</v>
      </c>
    </row>
    <row r="704" spans="1:8" ht="12.2" customHeight="1" x14ac:dyDescent="0.2">
      <c r="D704" s="334" t="s">
        <v>1795</v>
      </c>
      <c r="E704" s="335"/>
      <c r="F704" s="335"/>
      <c r="G704" s="143">
        <v>4</v>
      </c>
    </row>
    <row r="705" spans="1:8" x14ac:dyDescent="0.2">
      <c r="A705" s="117" t="s">
        <v>439</v>
      </c>
      <c r="B705" s="117"/>
      <c r="C705" s="117" t="s">
        <v>916</v>
      </c>
      <c r="D705" s="304" t="s">
        <v>2298</v>
      </c>
      <c r="E705" s="305"/>
      <c r="F705" s="117" t="s">
        <v>1644</v>
      </c>
      <c r="G705" s="116">
        <v>1</v>
      </c>
      <c r="H705" s="108">
        <v>0</v>
      </c>
    </row>
    <row r="706" spans="1:8" ht="12.2" customHeight="1" x14ac:dyDescent="0.2">
      <c r="D706" s="334" t="s">
        <v>1749</v>
      </c>
      <c r="E706" s="335"/>
      <c r="F706" s="335"/>
      <c r="G706" s="143">
        <v>1</v>
      </c>
    </row>
    <row r="707" spans="1:8" x14ac:dyDescent="0.2">
      <c r="A707" s="117" t="s">
        <v>440</v>
      </c>
      <c r="B707" s="117"/>
      <c r="C707" s="117" t="s">
        <v>918</v>
      </c>
      <c r="D707" s="304" t="s">
        <v>1986</v>
      </c>
      <c r="E707" s="305"/>
      <c r="F707" s="117" t="s">
        <v>1644</v>
      </c>
      <c r="G707" s="116">
        <v>1</v>
      </c>
      <c r="H707" s="108">
        <v>0</v>
      </c>
    </row>
    <row r="708" spans="1:8" ht="12.2" customHeight="1" x14ac:dyDescent="0.2">
      <c r="D708" s="334" t="s">
        <v>1749</v>
      </c>
      <c r="E708" s="335"/>
      <c r="F708" s="335"/>
      <c r="G708" s="143">
        <v>1</v>
      </c>
    </row>
    <row r="709" spans="1:8" x14ac:dyDescent="0.2">
      <c r="A709" s="117" t="s">
        <v>441</v>
      </c>
      <c r="B709" s="117"/>
      <c r="C709" s="117" t="s">
        <v>919</v>
      </c>
      <c r="D709" s="304" t="s">
        <v>1508</v>
      </c>
      <c r="E709" s="305"/>
      <c r="F709" s="117" t="s">
        <v>1644</v>
      </c>
      <c r="G709" s="116">
        <v>2</v>
      </c>
      <c r="H709" s="108">
        <v>0</v>
      </c>
    </row>
    <row r="710" spans="1:8" ht="12.2" customHeight="1" x14ac:dyDescent="0.2">
      <c r="D710" s="334" t="s">
        <v>1849</v>
      </c>
      <c r="E710" s="335"/>
      <c r="F710" s="335"/>
      <c r="G710" s="143">
        <v>2</v>
      </c>
    </row>
    <row r="711" spans="1:8" x14ac:dyDescent="0.2">
      <c r="A711" s="117" t="s">
        <v>442</v>
      </c>
      <c r="B711" s="117"/>
      <c r="C711" s="117" t="s">
        <v>917</v>
      </c>
      <c r="D711" s="304" t="s">
        <v>1506</v>
      </c>
      <c r="E711" s="305"/>
      <c r="F711" s="117" t="s">
        <v>1644</v>
      </c>
      <c r="G711" s="116">
        <v>1</v>
      </c>
      <c r="H711" s="108">
        <v>0</v>
      </c>
    </row>
    <row r="712" spans="1:8" ht="12.2" customHeight="1" x14ac:dyDescent="0.2">
      <c r="D712" s="334" t="s">
        <v>1749</v>
      </c>
      <c r="E712" s="335"/>
      <c r="F712" s="335"/>
      <c r="G712" s="143">
        <v>1</v>
      </c>
    </row>
    <row r="713" spans="1:8" x14ac:dyDescent="0.2">
      <c r="A713" s="117" t="s">
        <v>443</v>
      </c>
      <c r="B713" s="117"/>
      <c r="C713" s="117" t="s">
        <v>920</v>
      </c>
      <c r="D713" s="304" t="s">
        <v>1509</v>
      </c>
      <c r="E713" s="305"/>
      <c r="F713" s="117" t="s">
        <v>1644</v>
      </c>
      <c r="G713" s="116">
        <v>2</v>
      </c>
      <c r="H713" s="108">
        <v>0</v>
      </c>
    </row>
    <row r="714" spans="1:8" ht="12.2" customHeight="1" x14ac:dyDescent="0.2">
      <c r="D714" s="334" t="s">
        <v>1849</v>
      </c>
      <c r="E714" s="335"/>
      <c r="F714" s="335"/>
      <c r="G714" s="143">
        <v>2</v>
      </c>
    </row>
    <row r="715" spans="1:8" x14ac:dyDescent="0.2">
      <c r="A715" s="117" t="s">
        <v>444</v>
      </c>
      <c r="B715" s="117"/>
      <c r="C715" s="117" t="s">
        <v>921</v>
      </c>
      <c r="D715" s="304" t="s">
        <v>1510</v>
      </c>
      <c r="E715" s="305"/>
      <c r="F715" s="117" t="s">
        <v>1648</v>
      </c>
      <c r="G715" s="116">
        <v>0.78400000000000003</v>
      </c>
      <c r="H715" s="108">
        <v>0</v>
      </c>
    </row>
    <row r="716" spans="1:8" ht="12.2" customHeight="1" x14ac:dyDescent="0.2">
      <c r="D716" s="334" t="s">
        <v>2516</v>
      </c>
      <c r="E716" s="335"/>
      <c r="F716" s="335"/>
      <c r="G716" s="143">
        <v>0.78400000000000003</v>
      </c>
    </row>
    <row r="717" spans="1:8" x14ac:dyDescent="0.2">
      <c r="A717" s="120"/>
      <c r="B717" s="120"/>
      <c r="C717" s="120" t="s">
        <v>922</v>
      </c>
      <c r="D717" s="306" t="s">
        <v>1511</v>
      </c>
      <c r="E717" s="307"/>
      <c r="F717" s="120"/>
      <c r="G717" s="142"/>
      <c r="H717" s="109"/>
    </row>
    <row r="718" spans="1:8" x14ac:dyDescent="0.2">
      <c r="A718" s="117" t="s">
        <v>445</v>
      </c>
      <c r="B718" s="117"/>
      <c r="C718" s="117" t="s">
        <v>923</v>
      </c>
      <c r="D718" s="304" t="s">
        <v>1512</v>
      </c>
      <c r="E718" s="305"/>
      <c r="F718" s="117" t="s">
        <v>1645</v>
      </c>
      <c r="G718" s="116">
        <v>8.9760000000000009</v>
      </c>
      <c r="H718" s="108">
        <v>0</v>
      </c>
    </row>
    <row r="719" spans="1:8" ht="12.2" customHeight="1" x14ac:dyDescent="0.2">
      <c r="D719" s="334" t="s">
        <v>2175</v>
      </c>
      <c r="E719" s="335"/>
      <c r="F719" s="335"/>
      <c r="G719" s="143">
        <v>8.9760000000000009</v>
      </c>
    </row>
    <row r="720" spans="1:8" x14ac:dyDescent="0.2">
      <c r="A720" s="117" t="s">
        <v>446</v>
      </c>
      <c r="B720" s="117"/>
      <c r="C720" s="117" t="s">
        <v>924</v>
      </c>
      <c r="D720" s="304" t="s">
        <v>1513</v>
      </c>
      <c r="E720" s="305"/>
      <c r="F720" s="117" t="s">
        <v>1645</v>
      </c>
      <c r="G720" s="116">
        <v>8.9760000000000009</v>
      </c>
      <c r="H720" s="108">
        <v>0</v>
      </c>
    </row>
    <row r="721" spans="1:8" ht="12.2" customHeight="1" x14ac:dyDescent="0.2">
      <c r="D721" s="334" t="s">
        <v>2175</v>
      </c>
      <c r="E721" s="335"/>
      <c r="F721" s="335"/>
      <c r="G721" s="143">
        <v>8.9760000000000009</v>
      </c>
    </row>
    <row r="722" spans="1:8" x14ac:dyDescent="0.2">
      <c r="A722" s="117" t="s">
        <v>447</v>
      </c>
      <c r="B722" s="117"/>
      <c r="C722" s="117" t="s">
        <v>925</v>
      </c>
      <c r="D722" s="304" t="s">
        <v>1514</v>
      </c>
      <c r="E722" s="305"/>
      <c r="F722" s="117" t="s">
        <v>1645</v>
      </c>
      <c r="G722" s="116">
        <v>8.9760000000000009</v>
      </c>
      <c r="H722" s="108">
        <v>0</v>
      </c>
    </row>
    <row r="723" spans="1:8" ht="12.2" customHeight="1" x14ac:dyDescent="0.2">
      <c r="D723" s="334" t="s">
        <v>2175</v>
      </c>
      <c r="E723" s="335"/>
      <c r="F723" s="335"/>
      <c r="G723" s="143">
        <v>8.9760000000000009</v>
      </c>
    </row>
    <row r="724" spans="1:8" x14ac:dyDescent="0.2">
      <c r="A724" s="124" t="s">
        <v>448</v>
      </c>
      <c r="B724" s="124"/>
      <c r="C724" s="124" t="s">
        <v>926</v>
      </c>
      <c r="D724" s="311" t="s">
        <v>1515</v>
      </c>
      <c r="E724" s="312"/>
      <c r="F724" s="124" t="s">
        <v>1645</v>
      </c>
      <c r="G724" s="123">
        <v>9.4250000000000007</v>
      </c>
      <c r="H724" s="121">
        <v>0</v>
      </c>
    </row>
    <row r="725" spans="1:8" ht="12.2" customHeight="1" x14ac:dyDescent="0.2">
      <c r="D725" s="336" t="s">
        <v>2174</v>
      </c>
      <c r="E725" s="337"/>
      <c r="F725" s="337"/>
      <c r="G725" s="146">
        <v>8.9760000000000009</v>
      </c>
    </row>
    <row r="726" spans="1:8" ht="12.2" customHeight="1" x14ac:dyDescent="0.2">
      <c r="A726" s="124"/>
      <c r="B726" s="124"/>
      <c r="C726" s="124"/>
      <c r="D726" s="336" t="s">
        <v>2173</v>
      </c>
      <c r="E726" s="337"/>
      <c r="F726" s="336"/>
      <c r="G726" s="145">
        <v>0.44900000000000001</v>
      </c>
      <c r="H726" s="122"/>
    </row>
    <row r="727" spans="1:8" x14ac:dyDescent="0.2">
      <c r="A727" s="117" t="s">
        <v>449</v>
      </c>
      <c r="B727" s="117"/>
      <c r="C727" s="117" t="s">
        <v>927</v>
      </c>
      <c r="D727" s="304" t="s">
        <v>1516</v>
      </c>
      <c r="E727" s="305"/>
      <c r="F727" s="117" t="s">
        <v>1646</v>
      </c>
      <c r="G727" s="116">
        <v>16.68</v>
      </c>
      <c r="H727" s="108">
        <v>0</v>
      </c>
    </row>
    <row r="728" spans="1:8" ht="12.2" customHeight="1" x14ac:dyDescent="0.2">
      <c r="D728" s="334" t="s">
        <v>2515</v>
      </c>
      <c r="E728" s="335"/>
      <c r="F728" s="335"/>
      <c r="G728" s="143">
        <v>16.68</v>
      </c>
    </row>
    <row r="729" spans="1:8" x14ac:dyDescent="0.2">
      <c r="A729" s="124" t="s">
        <v>450</v>
      </c>
      <c r="B729" s="124"/>
      <c r="C729" s="124" t="s">
        <v>928</v>
      </c>
      <c r="D729" s="311" t="s">
        <v>1517</v>
      </c>
      <c r="E729" s="312"/>
      <c r="F729" s="124" t="s">
        <v>1645</v>
      </c>
      <c r="G729" s="123">
        <v>2.085</v>
      </c>
      <c r="H729" s="121">
        <v>0</v>
      </c>
    </row>
    <row r="730" spans="1:8" ht="12.2" customHeight="1" x14ac:dyDescent="0.2">
      <c r="D730" s="336" t="s">
        <v>2514</v>
      </c>
      <c r="E730" s="337"/>
      <c r="F730" s="337"/>
      <c r="G730" s="146">
        <v>1.6679999999999999</v>
      </c>
    </row>
    <row r="731" spans="1:8" ht="12.2" customHeight="1" x14ac:dyDescent="0.2">
      <c r="A731" s="124"/>
      <c r="B731" s="124"/>
      <c r="C731" s="124"/>
      <c r="D731" s="336" t="s">
        <v>2513</v>
      </c>
      <c r="E731" s="337"/>
      <c r="F731" s="336"/>
      <c r="G731" s="145">
        <v>0.41699999999999998</v>
      </c>
      <c r="H731" s="122"/>
    </row>
    <row r="732" spans="1:8" x14ac:dyDescent="0.2">
      <c r="A732" s="117" t="s">
        <v>451</v>
      </c>
      <c r="B732" s="117"/>
      <c r="C732" s="117" t="s">
        <v>929</v>
      </c>
      <c r="D732" s="304" t="s">
        <v>1518</v>
      </c>
      <c r="E732" s="305"/>
      <c r="F732" s="117" t="s">
        <v>1648</v>
      </c>
      <c r="G732" s="116">
        <v>0.27300000000000002</v>
      </c>
      <c r="H732" s="108">
        <v>0</v>
      </c>
    </row>
    <row r="733" spans="1:8" ht="12.2" customHeight="1" x14ac:dyDescent="0.2">
      <c r="D733" s="334" t="s">
        <v>2169</v>
      </c>
      <c r="E733" s="335"/>
      <c r="F733" s="335"/>
      <c r="G733" s="143">
        <v>0.27300000000000002</v>
      </c>
    </row>
    <row r="734" spans="1:8" x14ac:dyDescent="0.2">
      <c r="A734" s="120"/>
      <c r="B734" s="120"/>
      <c r="C734" s="120" t="s">
        <v>930</v>
      </c>
      <c r="D734" s="306" t="s">
        <v>1519</v>
      </c>
      <c r="E734" s="307"/>
      <c r="F734" s="120"/>
      <c r="G734" s="142"/>
      <c r="H734" s="109"/>
    </row>
    <row r="735" spans="1:8" x14ac:dyDescent="0.2">
      <c r="A735" s="117" t="s">
        <v>452</v>
      </c>
      <c r="B735" s="117"/>
      <c r="C735" s="117" t="s">
        <v>931</v>
      </c>
      <c r="D735" s="304" t="s">
        <v>1520</v>
      </c>
      <c r="E735" s="305"/>
      <c r="F735" s="117" t="s">
        <v>1645</v>
      </c>
      <c r="G735" s="116">
        <v>839.04499999999996</v>
      </c>
      <c r="H735" s="108">
        <v>0</v>
      </c>
    </row>
    <row r="736" spans="1:8" ht="12.2" customHeight="1" x14ac:dyDescent="0.2">
      <c r="D736" s="334" t="s">
        <v>2168</v>
      </c>
      <c r="E736" s="335"/>
      <c r="F736" s="335"/>
      <c r="G736" s="143">
        <v>280.31200000000001</v>
      </c>
    </row>
    <row r="737" spans="1:8" ht="12.2" customHeight="1" x14ac:dyDescent="0.2">
      <c r="A737" s="117"/>
      <c r="B737" s="117"/>
      <c r="C737" s="117"/>
      <c r="D737" s="334" t="s">
        <v>1877</v>
      </c>
      <c r="E737" s="335"/>
      <c r="F737" s="334"/>
      <c r="G737" s="144">
        <v>241.65700000000001</v>
      </c>
      <c r="H737" s="111"/>
    </row>
    <row r="738" spans="1:8" ht="12.2" customHeight="1" x14ac:dyDescent="0.2">
      <c r="A738" s="117"/>
      <c r="B738" s="117"/>
      <c r="C738" s="117"/>
      <c r="D738" s="334" t="s">
        <v>1878</v>
      </c>
      <c r="E738" s="335"/>
      <c r="F738" s="334"/>
      <c r="G738" s="144">
        <v>317.07600000000002</v>
      </c>
      <c r="H738" s="111"/>
    </row>
    <row r="739" spans="1:8" x14ac:dyDescent="0.2">
      <c r="A739" s="117" t="s">
        <v>453</v>
      </c>
      <c r="B739" s="117"/>
      <c r="C739" s="117" t="s">
        <v>932</v>
      </c>
      <c r="D739" s="304" t="s">
        <v>1521</v>
      </c>
      <c r="E739" s="305"/>
      <c r="F739" s="117" t="s">
        <v>1645</v>
      </c>
      <c r="G739" s="116">
        <v>433.59699999999998</v>
      </c>
      <c r="H739" s="108">
        <v>0</v>
      </c>
    </row>
    <row r="740" spans="1:8" ht="12.2" customHeight="1" x14ac:dyDescent="0.2">
      <c r="D740" s="334" t="s">
        <v>2168</v>
      </c>
      <c r="E740" s="335"/>
      <c r="F740" s="335"/>
      <c r="G740" s="143">
        <v>280.31200000000001</v>
      </c>
    </row>
    <row r="741" spans="1:8" ht="12.2" customHeight="1" x14ac:dyDescent="0.2">
      <c r="A741" s="117"/>
      <c r="B741" s="117"/>
      <c r="C741" s="117"/>
      <c r="D741" s="334" t="s">
        <v>1879</v>
      </c>
      <c r="E741" s="335"/>
      <c r="F741" s="334"/>
      <c r="G741" s="144">
        <v>153.285</v>
      </c>
      <c r="H741" s="111"/>
    </row>
    <row r="742" spans="1:8" x14ac:dyDescent="0.2">
      <c r="A742" s="117" t="s">
        <v>454</v>
      </c>
      <c r="B742" s="117"/>
      <c r="C742" s="117" t="s">
        <v>933</v>
      </c>
      <c r="D742" s="304" t="s">
        <v>1522</v>
      </c>
      <c r="E742" s="305"/>
      <c r="F742" s="117" t="s">
        <v>1645</v>
      </c>
      <c r="G742" s="116">
        <v>839.04499999999996</v>
      </c>
      <c r="H742" s="108">
        <v>0</v>
      </c>
    </row>
    <row r="743" spans="1:8" ht="12.2" customHeight="1" x14ac:dyDescent="0.2">
      <c r="D743" s="334" t="s">
        <v>2168</v>
      </c>
      <c r="E743" s="335"/>
      <c r="F743" s="335"/>
      <c r="G743" s="143">
        <v>280.31200000000001</v>
      </c>
    </row>
    <row r="744" spans="1:8" ht="12.2" customHeight="1" x14ac:dyDescent="0.2">
      <c r="A744" s="117"/>
      <c r="B744" s="117"/>
      <c r="C744" s="117"/>
      <c r="D744" s="334" t="s">
        <v>1877</v>
      </c>
      <c r="E744" s="335"/>
      <c r="F744" s="334"/>
      <c r="G744" s="144">
        <v>241.65700000000001</v>
      </c>
      <c r="H744" s="111"/>
    </row>
    <row r="745" spans="1:8" ht="12.2" customHeight="1" x14ac:dyDescent="0.2">
      <c r="A745" s="117"/>
      <c r="B745" s="117"/>
      <c r="C745" s="117"/>
      <c r="D745" s="334" t="s">
        <v>1878</v>
      </c>
      <c r="E745" s="335"/>
      <c r="F745" s="334"/>
      <c r="G745" s="144">
        <v>317.07600000000002</v>
      </c>
      <c r="H745" s="111"/>
    </row>
    <row r="746" spans="1:8" x14ac:dyDescent="0.2">
      <c r="A746" s="117" t="s">
        <v>455</v>
      </c>
      <c r="B746" s="117"/>
      <c r="C746" s="117" t="s">
        <v>934</v>
      </c>
      <c r="D746" s="304" t="s">
        <v>1523</v>
      </c>
      <c r="E746" s="305"/>
      <c r="F746" s="117" t="s">
        <v>1645</v>
      </c>
      <c r="G746" s="116">
        <v>241.65700000000001</v>
      </c>
      <c r="H746" s="108">
        <v>0</v>
      </c>
    </row>
    <row r="747" spans="1:8" ht="12.2" customHeight="1" x14ac:dyDescent="0.2">
      <c r="D747" s="334" t="s">
        <v>1877</v>
      </c>
      <c r="E747" s="335"/>
      <c r="F747" s="335"/>
      <c r="G747" s="143">
        <v>241.65700000000001</v>
      </c>
    </row>
    <row r="748" spans="1:8" x14ac:dyDescent="0.2">
      <c r="A748" s="117" t="s">
        <v>456</v>
      </c>
      <c r="B748" s="117"/>
      <c r="C748" s="117" t="s">
        <v>935</v>
      </c>
      <c r="D748" s="304" t="s">
        <v>1524</v>
      </c>
      <c r="E748" s="305"/>
      <c r="F748" s="117" t="s">
        <v>1645</v>
      </c>
      <c r="G748" s="116">
        <v>597.38800000000003</v>
      </c>
      <c r="H748" s="108">
        <v>0</v>
      </c>
    </row>
    <row r="749" spans="1:8" ht="12.2" customHeight="1" x14ac:dyDescent="0.2">
      <c r="D749" s="334" t="s">
        <v>2168</v>
      </c>
      <c r="E749" s="335"/>
      <c r="F749" s="335"/>
      <c r="G749" s="143">
        <v>280.31200000000001</v>
      </c>
    </row>
    <row r="750" spans="1:8" ht="12.2" customHeight="1" x14ac:dyDescent="0.2">
      <c r="A750" s="117"/>
      <c r="B750" s="117"/>
      <c r="C750" s="117"/>
      <c r="D750" s="334" t="s">
        <v>1878</v>
      </c>
      <c r="E750" s="335"/>
      <c r="F750" s="334"/>
      <c r="G750" s="144">
        <v>317.07600000000002</v>
      </c>
      <c r="H750" s="111"/>
    </row>
    <row r="751" spans="1:8" x14ac:dyDescent="0.2">
      <c r="A751" s="120"/>
      <c r="B751" s="120"/>
      <c r="C751" s="120" t="s">
        <v>936</v>
      </c>
      <c r="D751" s="306" t="s">
        <v>1525</v>
      </c>
      <c r="E751" s="307"/>
      <c r="F751" s="120"/>
      <c r="G751" s="142"/>
      <c r="H751" s="109"/>
    </row>
    <row r="752" spans="1:8" x14ac:dyDescent="0.2">
      <c r="A752" s="117" t="s">
        <v>457</v>
      </c>
      <c r="B752" s="117"/>
      <c r="C752" s="117" t="s">
        <v>937</v>
      </c>
      <c r="D752" s="304" t="s">
        <v>1526</v>
      </c>
      <c r="E752" s="305"/>
      <c r="F752" s="117" t="s">
        <v>1644</v>
      </c>
      <c r="G752" s="116">
        <v>2</v>
      </c>
      <c r="H752" s="108">
        <v>0</v>
      </c>
    </row>
    <row r="753" spans="1:8" ht="12.2" customHeight="1" x14ac:dyDescent="0.2">
      <c r="D753" s="334" t="s">
        <v>1849</v>
      </c>
      <c r="E753" s="335"/>
      <c r="F753" s="335"/>
      <c r="G753" s="143">
        <v>2</v>
      </c>
    </row>
    <row r="754" spans="1:8" x14ac:dyDescent="0.2">
      <c r="A754" s="117" t="s">
        <v>458</v>
      </c>
      <c r="B754" s="117"/>
      <c r="C754" s="117" t="s">
        <v>939</v>
      </c>
      <c r="D754" s="304" t="s">
        <v>1528</v>
      </c>
      <c r="E754" s="305"/>
      <c r="F754" s="117" t="s">
        <v>1644</v>
      </c>
      <c r="G754" s="116">
        <v>1</v>
      </c>
      <c r="H754" s="108">
        <v>0</v>
      </c>
    </row>
    <row r="755" spans="1:8" ht="12.2" customHeight="1" x14ac:dyDescent="0.2">
      <c r="D755" s="334" t="s">
        <v>1749</v>
      </c>
      <c r="E755" s="335"/>
      <c r="F755" s="335"/>
      <c r="G755" s="143">
        <v>1</v>
      </c>
    </row>
    <row r="756" spans="1:8" x14ac:dyDescent="0.2">
      <c r="A756" s="117" t="s">
        <v>459</v>
      </c>
      <c r="B756" s="117"/>
      <c r="C756" s="117" t="s">
        <v>2297</v>
      </c>
      <c r="D756" s="304" t="s">
        <v>2296</v>
      </c>
      <c r="E756" s="305"/>
      <c r="F756" s="117" t="s">
        <v>1644</v>
      </c>
      <c r="G756" s="116">
        <v>2</v>
      </c>
      <c r="H756" s="108">
        <v>0</v>
      </c>
    </row>
    <row r="757" spans="1:8" ht="12.2" customHeight="1" x14ac:dyDescent="0.2">
      <c r="D757" s="334" t="s">
        <v>1849</v>
      </c>
      <c r="E757" s="335"/>
      <c r="F757" s="335"/>
      <c r="G757" s="143">
        <v>2</v>
      </c>
    </row>
    <row r="758" spans="1:8" x14ac:dyDescent="0.2">
      <c r="A758" s="117" t="s">
        <v>460</v>
      </c>
      <c r="B758" s="117"/>
      <c r="C758" s="117" t="s">
        <v>940</v>
      </c>
      <c r="D758" s="304" t="s">
        <v>1529</v>
      </c>
      <c r="E758" s="305"/>
      <c r="F758" s="117" t="s">
        <v>1644</v>
      </c>
      <c r="G758" s="116">
        <v>1</v>
      </c>
      <c r="H758" s="108">
        <v>0</v>
      </c>
    </row>
    <row r="759" spans="1:8" ht="12.2" customHeight="1" x14ac:dyDescent="0.2">
      <c r="D759" s="334" t="s">
        <v>1749</v>
      </c>
      <c r="E759" s="335"/>
      <c r="F759" s="335"/>
      <c r="G759" s="143">
        <v>1</v>
      </c>
    </row>
    <row r="760" spans="1:8" x14ac:dyDescent="0.2">
      <c r="A760" s="117" t="s">
        <v>461</v>
      </c>
      <c r="B760" s="117"/>
      <c r="C760" s="117" t="s">
        <v>941</v>
      </c>
      <c r="D760" s="304" t="s">
        <v>1530</v>
      </c>
      <c r="E760" s="305"/>
      <c r="F760" s="117" t="s">
        <v>1644</v>
      </c>
      <c r="G760" s="116">
        <v>1</v>
      </c>
      <c r="H760" s="108">
        <v>0</v>
      </c>
    </row>
    <row r="761" spans="1:8" ht="12.2" customHeight="1" x14ac:dyDescent="0.2">
      <c r="D761" s="334" t="s">
        <v>1749</v>
      </c>
      <c r="E761" s="335"/>
      <c r="F761" s="335"/>
      <c r="G761" s="143">
        <v>1</v>
      </c>
    </row>
    <row r="762" spans="1:8" x14ac:dyDescent="0.2">
      <c r="A762" s="117" t="s">
        <v>462</v>
      </c>
      <c r="B762" s="117"/>
      <c r="C762" s="117" t="s">
        <v>2295</v>
      </c>
      <c r="D762" s="304" t="s">
        <v>1531</v>
      </c>
      <c r="E762" s="305"/>
      <c r="F762" s="117" t="s">
        <v>1644</v>
      </c>
      <c r="G762" s="116">
        <v>1</v>
      </c>
      <c r="H762" s="108">
        <v>0</v>
      </c>
    </row>
    <row r="763" spans="1:8" x14ac:dyDescent="0.2">
      <c r="A763" s="117" t="s">
        <v>463</v>
      </c>
      <c r="B763" s="117"/>
      <c r="C763" s="117" t="s">
        <v>2294</v>
      </c>
      <c r="D763" s="304" t="s">
        <v>1532</v>
      </c>
      <c r="E763" s="305"/>
      <c r="F763" s="117" t="s">
        <v>1646</v>
      </c>
      <c r="G763" s="116">
        <v>60</v>
      </c>
      <c r="H763" s="108">
        <v>0</v>
      </c>
    </row>
    <row r="764" spans="1:8" x14ac:dyDescent="0.2">
      <c r="A764" s="117" t="s">
        <v>464</v>
      </c>
      <c r="B764" s="117"/>
      <c r="C764" s="117" t="s">
        <v>2293</v>
      </c>
      <c r="D764" s="304" t="s">
        <v>1533</v>
      </c>
      <c r="E764" s="305"/>
      <c r="F764" s="117" t="s">
        <v>1646</v>
      </c>
      <c r="G764" s="116">
        <v>30</v>
      </c>
      <c r="H764" s="108">
        <v>0</v>
      </c>
    </row>
    <row r="765" spans="1:8" x14ac:dyDescent="0.2">
      <c r="A765" s="117" t="s">
        <v>465</v>
      </c>
      <c r="B765" s="117"/>
      <c r="C765" s="117" t="s">
        <v>2292</v>
      </c>
      <c r="D765" s="304" t="s">
        <v>1534</v>
      </c>
      <c r="E765" s="305"/>
      <c r="F765" s="117" t="s">
        <v>1644</v>
      </c>
      <c r="G765" s="116">
        <v>5</v>
      </c>
      <c r="H765" s="108">
        <v>0</v>
      </c>
    </row>
    <row r="766" spans="1:8" x14ac:dyDescent="0.2">
      <c r="A766" s="117" t="s">
        <v>466</v>
      </c>
      <c r="B766" s="117"/>
      <c r="C766" s="117" t="s">
        <v>2291</v>
      </c>
      <c r="D766" s="304" t="s">
        <v>1535</v>
      </c>
      <c r="E766" s="305"/>
      <c r="F766" s="117" t="s">
        <v>1644</v>
      </c>
      <c r="G766" s="116">
        <v>3</v>
      </c>
      <c r="H766" s="108">
        <v>0</v>
      </c>
    </row>
    <row r="767" spans="1:8" x14ac:dyDescent="0.2">
      <c r="A767" s="117" t="s">
        <v>467</v>
      </c>
      <c r="B767" s="117"/>
      <c r="C767" s="117" t="s">
        <v>2290</v>
      </c>
      <c r="D767" s="304" t="s">
        <v>1536</v>
      </c>
      <c r="E767" s="305"/>
      <c r="F767" s="117" t="s">
        <v>1644</v>
      </c>
      <c r="G767" s="116">
        <v>24</v>
      </c>
      <c r="H767" s="108">
        <v>0</v>
      </c>
    </row>
    <row r="768" spans="1:8" x14ac:dyDescent="0.2">
      <c r="A768" s="117" t="s">
        <v>468</v>
      </c>
      <c r="B768" s="117"/>
      <c r="C768" s="117" t="s">
        <v>2289</v>
      </c>
      <c r="D768" s="304" t="s">
        <v>1537</v>
      </c>
      <c r="E768" s="305"/>
      <c r="F768" s="117" t="s">
        <v>1644</v>
      </c>
      <c r="G768" s="116">
        <v>1</v>
      </c>
      <c r="H768" s="108">
        <v>0</v>
      </c>
    </row>
    <row r="769" spans="1:8" x14ac:dyDescent="0.2">
      <c r="A769" s="117" t="s">
        <v>469</v>
      </c>
      <c r="B769" s="117"/>
      <c r="C769" s="117" t="s">
        <v>2288</v>
      </c>
      <c r="D769" s="304" t="s">
        <v>1538</v>
      </c>
      <c r="E769" s="305"/>
      <c r="F769" s="117" t="s">
        <v>1646</v>
      </c>
      <c r="G769" s="116">
        <v>10</v>
      </c>
      <c r="H769" s="108">
        <v>0</v>
      </c>
    </row>
    <row r="770" spans="1:8" x14ac:dyDescent="0.2">
      <c r="A770" s="117" t="s">
        <v>470</v>
      </c>
      <c r="B770" s="117"/>
      <c r="C770" s="117" t="s">
        <v>2287</v>
      </c>
      <c r="D770" s="304" t="s">
        <v>1539</v>
      </c>
      <c r="E770" s="305"/>
      <c r="F770" s="117" t="s">
        <v>1646</v>
      </c>
      <c r="G770" s="116">
        <v>30</v>
      </c>
      <c r="H770" s="108">
        <v>0</v>
      </c>
    </row>
    <row r="771" spans="1:8" x14ac:dyDescent="0.2">
      <c r="A771" s="117" t="s">
        <v>471</v>
      </c>
      <c r="B771" s="117"/>
      <c r="C771" s="117" t="s">
        <v>2286</v>
      </c>
      <c r="D771" s="304" t="s">
        <v>1540</v>
      </c>
      <c r="E771" s="305"/>
      <c r="F771" s="117" t="s">
        <v>1646</v>
      </c>
      <c r="G771" s="116">
        <v>40</v>
      </c>
      <c r="H771" s="108">
        <v>0</v>
      </c>
    </row>
    <row r="772" spans="1:8" x14ac:dyDescent="0.2">
      <c r="A772" s="117" t="s">
        <v>472</v>
      </c>
      <c r="B772" s="117"/>
      <c r="C772" s="117" t="s">
        <v>2285</v>
      </c>
      <c r="D772" s="304" t="s">
        <v>1541</v>
      </c>
      <c r="E772" s="305"/>
      <c r="F772" s="117" t="s">
        <v>1646</v>
      </c>
      <c r="G772" s="116">
        <v>40</v>
      </c>
      <c r="H772" s="108">
        <v>0</v>
      </c>
    </row>
    <row r="773" spans="1:8" x14ac:dyDescent="0.2">
      <c r="A773" s="117" t="s">
        <v>473</v>
      </c>
      <c r="B773" s="117"/>
      <c r="C773" s="117" t="s">
        <v>2284</v>
      </c>
      <c r="D773" s="304" t="s">
        <v>1542</v>
      </c>
      <c r="E773" s="305"/>
      <c r="F773" s="117" t="s">
        <v>1646</v>
      </c>
      <c r="G773" s="116">
        <v>30</v>
      </c>
      <c r="H773" s="108">
        <v>0</v>
      </c>
    </row>
    <row r="774" spans="1:8" x14ac:dyDescent="0.2">
      <c r="A774" s="117" t="s">
        <v>474</v>
      </c>
      <c r="B774" s="117"/>
      <c r="C774" s="117" t="s">
        <v>2283</v>
      </c>
      <c r="D774" s="304" t="s">
        <v>1543</v>
      </c>
      <c r="E774" s="305"/>
      <c r="F774" s="117" t="s">
        <v>1644</v>
      </c>
      <c r="G774" s="116">
        <v>1</v>
      </c>
      <c r="H774" s="108">
        <v>0</v>
      </c>
    </row>
    <row r="775" spans="1:8" x14ac:dyDescent="0.2">
      <c r="A775" s="117" t="s">
        <v>475</v>
      </c>
      <c r="B775" s="117"/>
      <c r="C775" s="117" t="s">
        <v>2282</v>
      </c>
      <c r="D775" s="304" t="s">
        <v>1544</v>
      </c>
      <c r="E775" s="305"/>
      <c r="F775" s="117" t="s">
        <v>1644</v>
      </c>
      <c r="G775" s="116">
        <v>4</v>
      </c>
      <c r="H775" s="108">
        <v>0</v>
      </c>
    </row>
    <row r="776" spans="1:8" x14ac:dyDescent="0.2">
      <c r="A776" s="117" t="s">
        <v>476</v>
      </c>
      <c r="B776" s="117"/>
      <c r="C776" s="117" t="s">
        <v>2281</v>
      </c>
      <c r="D776" s="304" t="s">
        <v>1545</v>
      </c>
      <c r="E776" s="305"/>
      <c r="F776" s="117" t="s">
        <v>1646</v>
      </c>
      <c r="G776" s="116">
        <v>120</v>
      </c>
      <c r="H776" s="108">
        <v>0</v>
      </c>
    </row>
    <row r="777" spans="1:8" x14ac:dyDescent="0.2">
      <c r="A777" s="117" t="s">
        <v>477</v>
      </c>
      <c r="B777" s="117"/>
      <c r="C777" s="117" t="s">
        <v>2280</v>
      </c>
      <c r="D777" s="304" t="s">
        <v>1546</v>
      </c>
      <c r="E777" s="305"/>
      <c r="F777" s="117" t="s">
        <v>1646</v>
      </c>
      <c r="G777" s="116">
        <v>30</v>
      </c>
      <c r="H777" s="108">
        <v>0</v>
      </c>
    </row>
    <row r="778" spans="1:8" x14ac:dyDescent="0.2">
      <c r="A778" s="117" t="s">
        <v>478</v>
      </c>
      <c r="B778" s="117"/>
      <c r="C778" s="117" t="s">
        <v>2279</v>
      </c>
      <c r="D778" s="304" t="s">
        <v>1547</v>
      </c>
      <c r="E778" s="305"/>
      <c r="F778" s="117" t="s">
        <v>1646</v>
      </c>
      <c r="G778" s="116">
        <v>100</v>
      </c>
      <c r="H778" s="108">
        <v>0</v>
      </c>
    </row>
    <row r="779" spans="1:8" x14ac:dyDescent="0.2">
      <c r="A779" s="117" t="s">
        <v>479</v>
      </c>
      <c r="B779" s="117"/>
      <c r="C779" s="117" t="s">
        <v>2278</v>
      </c>
      <c r="D779" s="304" t="s">
        <v>1548</v>
      </c>
      <c r="E779" s="305"/>
      <c r="F779" s="117" t="s">
        <v>1644</v>
      </c>
      <c r="G779" s="116">
        <v>4</v>
      </c>
      <c r="H779" s="108">
        <v>0</v>
      </c>
    </row>
    <row r="780" spans="1:8" x14ac:dyDescent="0.2">
      <c r="A780" s="117" t="s">
        <v>480</v>
      </c>
      <c r="B780" s="117"/>
      <c r="C780" s="117" t="s">
        <v>2277</v>
      </c>
      <c r="D780" s="304" t="s">
        <v>1549</v>
      </c>
      <c r="E780" s="305"/>
      <c r="F780" s="117" t="s">
        <v>1644</v>
      </c>
      <c r="G780" s="116">
        <v>5</v>
      </c>
      <c r="H780" s="108">
        <v>0</v>
      </c>
    </row>
    <row r="781" spans="1:8" x14ac:dyDescent="0.2">
      <c r="A781" s="117" t="s">
        <v>481</v>
      </c>
      <c r="B781" s="117"/>
      <c r="C781" s="117" t="s">
        <v>2276</v>
      </c>
      <c r="D781" s="304" t="s">
        <v>1550</v>
      </c>
      <c r="E781" s="305"/>
      <c r="F781" s="117" t="s">
        <v>1646</v>
      </c>
      <c r="G781" s="116">
        <v>80</v>
      </c>
      <c r="H781" s="108">
        <v>0</v>
      </c>
    </row>
    <row r="782" spans="1:8" x14ac:dyDescent="0.2">
      <c r="A782" s="117" t="s">
        <v>482</v>
      </c>
      <c r="B782" s="117"/>
      <c r="C782" s="117" t="s">
        <v>2275</v>
      </c>
      <c r="D782" s="304" t="s">
        <v>1551</v>
      </c>
      <c r="E782" s="305"/>
      <c r="F782" s="117" t="s">
        <v>1644</v>
      </c>
      <c r="G782" s="116">
        <v>1</v>
      </c>
      <c r="H782" s="108">
        <v>0</v>
      </c>
    </row>
    <row r="783" spans="1:8" x14ac:dyDescent="0.2">
      <c r="A783" s="117" t="s">
        <v>483</v>
      </c>
      <c r="B783" s="117"/>
      <c r="C783" s="117" t="s">
        <v>2274</v>
      </c>
      <c r="D783" s="304" t="s">
        <v>1552</v>
      </c>
      <c r="E783" s="305"/>
      <c r="F783" s="117" t="s">
        <v>1644</v>
      </c>
      <c r="G783" s="116">
        <v>1</v>
      </c>
      <c r="H783" s="108">
        <v>0</v>
      </c>
    </row>
    <row r="784" spans="1:8" x14ac:dyDescent="0.2">
      <c r="A784" s="117" t="s">
        <v>484</v>
      </c>
      <c r="B784" s="117"/>
      <c r="C784" s="117" t="s">
        <v>2273</v>
      </c>
      <c r="D784" s="304" t="s">
        <v>1553</v>
      </c>
      <c r="E784" s="305"/>
      <c r="F784" s="117" t="s">
        <v>1644</v>
      </c>
      <c r="G784" s="116">
        <v>1</v>
      </c>
      <c r="H784" s="108">
        <v>0</v>
      </c>
    </row>
    <row r="785" spans="1:8" x14ac:dyDescent="0.2">
      <c r="A785" s="117" t="s">
        <v>485</v>
      </c>
      <c r="B785" s="117"/>
      <c r="C785" s="117" t="s">
        <v>2272</v>
      </c>
      <c r="D785" s="304" t="s">
        <v>1554</v>
      </c>
      <c r="E785" s="305"/>
      <c r="F785" s="117" t="s">
        <v>1644</v>
      </c>
      <c r="G785" s="116">
        <v>1</v>
      </c>
      <c r="H785" s="108">
        <v>0</v>
      </c>
    </row>
    <row r="786" spans="1:8" x14ac:dyDescent="0.2">
      <c r="A786" s="117" t="s">
        <v>486</v>
      </c>
      <c r="B786" s="117"/>
      <c r="C786" s="117" t="s">
        <v>2271</v>
      </c>
      <c r="D786" s="304" t="s">
        <v>1555</v>
      </c>
      <c r="E786" s="305"/>
      <c r="F786" s="117" t="s">
        <v>1644</v>
      </c>
      <c r="G786" s="116">
        <v>1</v>
      </c>
      <c r="H786" s="108">
        <v>0</v>
      </c>
    </row>
    <row r="787" spans="1:8" x14ac:dyDescent="0.2">
      <c r="A787" s="120"/>
      <c r="B787" s="120"/>
      <c r="C787" s="120" t="s">
        <v>967</v>
      </c>
      <c r="D787" s="306" t="s">
        <v>1556</v>
      </c>
      <c r="E787" s="307"/>
      <c r="F787" s="120"/>
      <c r="G787" s="142"/>
      <c r="H787" s="109"/>
    </row>
    <row r="788" spans="1:8" x14ac:dyDescent="0.2">
      <c r="A788" s="117" t="s">
        <v>487</v>
      </c>
      <c r="B788" s="117"/>
      <c r="C788" s="117" t="s">
        <v>968</v>
      </c>
      <c r="D788" s="304" t="s">
        <v>1557</v>
      </c>
      <c r="E788" s="305"/>
      <c r="F788" s="117" t="s">
        <v>1644</v>
      </c>
      <c r="G788" s="116">
        <v>1</v>
      </c>
      <c r="H788" s="108">
        <v>0</v>
      </c>
    </row>
    <row r="789" spans="1:8" ht="12.2" customHeight="1" x14ac:dyDescent="0.2">
      <c r="D789" s="334" t="s">
        <v>1749</v>
      </c>
      <c r="E789" s="335"/>
      <c r="F789" s="335"/>
      <c r="G789" s="143">
        <v>1</v>
      </c>
    </row>
    <row r="790" spans="1:8" x14ac:dyDescent="0.2">
      <c r="A790" s="117" t="s">
        <v>488</v>
      </c>
      <c r="B790" s="117"/>
      <c r="C790" s="117" t="s">
        <v>969</v>
      </c>
      <c r="D790" s="304" t="s">
        <v>1558</v>
      </c>
      <c r="E790" s="305"/>
      <c r="F790" s="117" t="s">
        <v>1644</v>
      </c>
      <c r="G790" s="116">
        <v>1</v>
      </c>
      <c r="H790" s="108">
        <v>0</v>
      </c>
    </row>
    <row r="791" spans="1:8" ht="12.2" customHeight="1" x14ac:dyDescent="0.2">
      <c r="D791" s="334" t="s">
        <v>1749</v>
      </c>
      <c r="E791" s="335"/>
      <c r="F791" s="335"/>
      <c r="G791" s="143">
        <v>1</v>
      </c>
    </row>
    <row r="792" spans="1:8" x14ac:dyDescent="0.2">
      <c r="A792" s="120"/>
      <c r="B792" s="120"/>
      <c r="C792" s="120" t="s">
        <v>970</v>
      </c>
      <c r="D792" s="306" t="s">
        <v>1559</v>
      </c>
      <c r="E792" s="307"/>
      <c r="F792" s="120"/>
      <c r="G792" s="142"/>
      <c r="H792" s="109"/>
    </row>
    <row r="793" spans="1:8" x14ac:dyDescent="0.2">
      <c r="A793" s="117" t="s">
        <v>489</v>
      </c>
      <c r="B793" s="117"/>
      <c r="C793" s="117" t="s">
        <v>2270</v>
      </c>
      <c r="D793" s="304" t="s">
        <v>1560</v>
      </c>
      <c r="E793" s="305"/>
      <c r="F793" s="117" t="s">
        <v>1644</v>
      </c>
      <c r="G793" s="116">
        <v>1</v>
      </c>
      <c r="H793" s="108">
        <v>0</v>
      </c>
    </row>
    <row r="794" spans="1:8" x14ac:dyDescent="0.2">
      <c r="A794" s="117" t="s">
        <v>490</v>
      </c>
      <c r="B794" s="117"/>
      <c r="C794" s="117" t="s">
        <v>2269</v>
      </c>
      <c r="D794" s="304" t="s">
        <v>1561</v>
      </c>
      <c r="E794" s="305"/>
      <c r="F794" s="117" t="s">
        <v>1644</v>
      </c>
      <c r="G794" s="116">
        <v>1</v>
      </c>
      <c r="H794" s="108">
        <v>0</v>
      </c>
    </row>
    <row r="795" spans="1:8" x14ac:dyDescent="0.2">
      <c r="A795" s="117" t="s">
        <v>491</v>
      </c>
      <c r="B795" s="117"/>
      <c r="C795" s="117" t="s">
        <v>973</v>
      </c>
      <c r="D795" s="304" t="s">
        <v>1562</v>
      </c>
      <c r="E795" s="305"/>
      <c r="F795" s="117" t="s">
        <v>1644</v>
      </c>
      <c r="G795" s="116">
        <v>1</v>
      </c>
      <c r="H795" s="108">
        <v>0</v>
      </c>
    </row>
    <row r="796" spans="1:8" x14ac:dyDescent="0.2">
      <c r="A796" s="117" t="s">
        <v>492</v>
      </c>
      <c r="B796" s="117"/>
      <c r="C796" s="117" t="s">
        <v>974</v>
      </c>
      <c r="D796" s="304" t="s">
        <v>1563</v>
      </c>
      <c r="E796" s="305"/>
      <c r="F796" s="117" t="s">
        <v>1644</v>
      </c>
      <c r="G796" s="116">
        <v>1</v>
      </c>
      <c r="H796" s="108">
        <v>0</v>
      </c>
    </row>
    <row r="797" spans="1:8" x14ac:dyDescent="0.2">
      <c r="A797" s="117" t="s">
        <v>493</v>
      </c>
      <c r="B797" s="117"/>
      <c r="C797" s="117" t="s">
        <v>975</v>
      </c>
      <c r="D797" s="304" t="s">
        <v>1564</v>
      </c>
      <c r="E797" s="305"/>
      <c r="F797" s="117" t="s">
        <v>1644</v>
      </c>
      <c r="G797" s="116">
        <v>1</v>
      </c>
      <c r="H797" s="108">
        <v>0</v>
      </c>
    </row>
    <row r="798" spans="1:8" x14ac:dyDescent="0.2">
      <c r="A798" s="117" t="s">
        <v>494</v>
      </c>
      <c r="B798" s="117"/>
      <c r="C798" s="117" t="s">
        <v>976</v>
      </c>
      <c r="D798" s="304" t="s">
        <v>1565</v>
      </c>
      <c r="E798" s="305"/>
      <c r="F798" s="117" t="s">
        <v>1644</v>
      </c>
      <c r="G798" s="116">
        <v>2</v>
      </c>
      <c r="H798" s="108">
        <v>0</v>
      </c>
    </row>
    <row r="799" spans="1:8" x14ac:dyDescent="0.2">
      <c r="A799" s="117" t="s">
        <v>495</v>
      </c>
      <c r="B799" s="117"/>
      <c r="C799" s="117" t="s">
        <v>977</v>
      </c>
      <c r="D799" s="304" t="s">
        <v>1566</v>
      </c>
      <c r="E799" s="305"/>
      <c r="F799" s="117" t="s">
        <v>1644</v>
      </c>
      <c r="G799" s="116">
        <v>1</v>
      </c>
      <c r="H799" s="108">
        <v>0</v>
      </c>
    </row>
    <row r="800" spans="1:8" x14ac:dyDescent="0.2">
      <c r="A800" s="117" t="s">
        <v>496</v>
      </c>
      <c r="B800" s="117"/>
      <c r="C800" s="117" t="s">
        <v>978</v>
      </c>
      <c r="D800" s="304" t="s">
        <v>1567</v>
      </c>
      <c r="E800" s="305"/>
      <c r="F800" s="117" t="s">
        <v>1644</v>
      </c>
      <c r="G800" s="116">
        <v>1</v>
      </c>
      <c r="H800" s="108">
        <v>0</v>
      </c>
    </row>
    <row r="801" spans="1:8" x14ac:dyDescent="0.2">
      <c r="A801" s="117" t="s">
        <v>497</v>
      </c>
      <c r="B801" s="117"/>
      <c r="C801" s="117" t="s">
        <v>979</v>
      </c>
      <c r="D801" s="304" t="s">
        <v>1568</v>
      </c>
      <c r="E801" s="305"/>
      <c r="F801" s="117" t="s">
        <v>1644</v>
      </c>
      <c r="G801" s="116">
        <v>1</v>
      </c>
      <c r="H801" s="108">
        <v>0</v>
      </c>
    </row>
    <row r="802" spans="1:8" x14ac:dyDescent="0.2">
      <c r="A802" s="117" t="s">
        <v>498</v>
      </c>
      <c r="B802" s="117"/>
      <c r="C802" s="117" t="s">
        <v>2268</v>
      </c>
      <c r="D802" s="304" t="s">
        <v>1569</v>
      </c>
      <c r="E802" s="305"/>
      <c r="F802" s="117" t="s">
        <v>1644</v>
      </c>
      <c r="G802" s="116">
        <v>1</v>
      </c>
      <c r="H802" s="108">
        <v>0</v>
      </c>
    </row>
    <row r="803" spans="1:8" x14ac:dyDescent="0.2">
      <c r="A803" s="117" t="s">
        <v>499</v>
      </c>
      <c r="B803" s="117"/>
      <c r="C803" s="117" t="s">
        <v>2267</v>
      </c>
      <c r="D803" s="304" t="s">
        <v>1570</v>
      </c>
      <c r="E803" s="305"/>
      <c r="F803" s="117" t="s">
        <v>1644</v>
      </c>
      <c r="G803" s="116">
        <v>1</v>
      </c>
      <c r="H803" s="108">
        <v>0</v>
      </c>
    </row>
    <row r="804" spans="1:8" x14ac:dyDescent="0.2">
      <c r="A804" s="117" t="s">
        <v>500</v>
      </c>
      <c r="B804" s="117"/>
      <c r="C804" s="117" t="s">
        <v>2266</v>
      </c>
      <c r="D804" s="304" t="s">
        <v>1571</v>
      </c>
      <c r="E804" s="305"/>
      <c r="F804" s="117" t="s">
        <v>1644</v>
      </c>
      <c r="G804" s="116">
        <v>1</v>
      </c>
      <c r="H804" s="108">
        <v>0</v>
      </c>
    </row>
    <row r="805" spans="1:8" x14ac:dyDescent="0.2">
      <c r="A805" s="117" t="s">
        <v>501</v>
      </c>
      <c r="B805" s="117"/>
      <c r="C805" s="117" t="s">
        <v>2265</v>
      </c>
      <c r="D805" s="304" t="s">
        <v>1572</v>
      </c>
      <c r="E805" s="305"/>
      <c r="F805" s="117" t="s">
        <v>1644</v>
      </c>
      <c r="G805" s="116">
        <v>1</v>
      </c>
      <c r="H805" s="108">
        <v>0</v>
      </c>
    </row>
    <row r="806" spans="1:8" x14ac:dyDescent="0.2">
      <c r="A806" s="117" t="s">
        <v>502</v>
      </c>
      <c r="B806" s="117"/>
      <c r="C806" s="117" t="s">
        <v>2264</v>
      </c>
      <c r="D806" s="304" t="s">
        <v>1573</v>
      </c>
      <c r="E806" s="305"/>
      <c r="F806" s="117" t="s">
        <v>1644</v>
      </c>
      <c r="G806" s="116">
        <v>1</v>
      </c>
      <c r="H806" s="108">
        <v>0</v>
      </c>
    </row>
    <row r="807" spans="1:8" x14ac:dyDescent="0.2">
      <c r="A807" s="117" t="s">
        <v>503</v>
      </c>
      <c r="B807" s="117"/>
      <c r="C807" s="117" t="s">
        <v>2263</v>
      </c>
      <c r="D807" s="304" t="s">
        <v>1574</v>
      </c>
      <c r="E807" s="305"/>
      <c r="F807" s="117" t="s">
        <v>1644</v>
      </c>
      <c r="G807" s="116">
        <v>1</v>
      </c>
      <c r="H807" s="108">
        <v>0</v>
      </c>
    </row>
    <row r="808" spans="1:8" x14ac:dyDescent="0.2">
      <c r="A808" s="117" t="s">
        <v>504</v>
      </c>
      <c r="B808" s="117"/>
      <c r="C808" s="117" t="s">
        <v>2262</v>
      </c>
      <c r="D808" s="304" t="s">
        <v>1575</v>
      </c>
      <c r="E808" s="305"/>
      <c r="F808" s="117" t="s">
        <v>1644</v>
      </c>
      <c r="G808" s="116">
        <v>1</v>
      </c>
      <c r="H808" s="108">
        <v>0</v>
      </c>
    </row>
    <row r="809" spans="1:8" x14ac:dyDescent="0.2">
      <c r="A809" s="117" t="s">
        <v>505</v>
      </c>
      <c r="B809" s="117"/>
      <c r="C809" s="117" t="s">
        <v>2261</v>
      </c>
      <c r="D809" s="304" t="s">
        <v>1576</v>
      </c>
      <c r="E809" s="305"/>
      <c r="F809" s="117" t="s">
        <v>1644</v>
      </c>
      <c r="G809" s="116">
        <v>1</v>
      </c>
      <c r="H809" s="108">
        <v>0</v>
      </c>
    </row>
    <row r="810" spans="1:8" x14ac:dyDescent="0.2">
      <c r="A810" s="117" t="s">
        <v>506</v>
      </c>
      <c r="B810" s="117"/>
      <c r="C810" s="117" t="s">
        <v>973</v>
      </c>
      <c r="D810" s="304" t="s">
        <v>1577</v>
      </c>
      <c r="E810" s="305"/>
      <c r="F810" s="117" t="s">
        <v>1644</v>
      </c>
      <c r="G810" s="116">
        <v>1</v>
      </c>
      <c r="H810" s="108">
        <v>0</v>
      </c>
    </row>
    <row r="811" spans="1:8" x14ac:dyDescent="0.2">
      <c r="A811" s="117" t="s">
        <v>507</v>
      </c>
      <c r="B811" s="117"/>
      <c r="C811" s="117" t="s">
        <v>988</v>
      </c>
      <c r="D811" s="304" t="s">
        <v>1578</v>
      </c>
      <c r="E811" s="305"/>
      <c r="F811" s="117" t="s">
        <v>1644</v>
      </c>
      <c r="G811" s="116">
        <v>1</v>
      </c>
      <c r="H811" s="108">
        <v>0</v>
      </c>
    </row>
    <row r="812" spans="1:8" x14ac:dyDescent="0.2">
      <c r="A812" s="117" t="s">
        <v>508</v>
      </c>
      <c r="B812" s="117"/>
      <c r="C812" s="117" t="s">
        <v>989</v>
      </c>
      <c r="D812" s="304" t="s">
        <v>1579</v>
      </c>
      <c r="E812" s="305"/>
      <c r="F812" s="117" t="s">
        <v>1644</v>
      </c>
      <c r="G812" s="116">
        <v>1</v>
      </c>
      <c r="H812" s="108">
        <v>0</v>
      </c>
    </row>
    <row r="813" spans="1:8" x14ac:dyDescent="0.2">
      <c r="A813" s="117" t="s">
        <v>509</v>
      </c>
      <c r="B813" s="117"/>
      <c r="C813" s="117" t="s">
        <v>990</v>
      </c>
      <c r="D813" s="304" t="s">
        <v>1580</v>
      </c>
      <c r="E813" s="305"/>
      <c r="F813" s="117" t="s">
        <v>1644</v>
      </c>
      <c r="G813" s="116">
        <v>1</v>
      </c>
      <c r="H813" s="108">
        <v>0</v>
      </c>
    </row>
    <row r="814" spans="1:8" x14ac:dyDescent="0.2">
      <c r="A814" s="117" t="s">
        <v>510</v>
      </c>
      <c r="B814" s="117"/>
      <c r="C814" s="117" t="s">
        <v>991</v>
      </c>
      <c r="D814" s="304" t="s">
        <v>1581</v>
      </c>
      <c r="E814" s="305"/>
      <c r="F814" s="117" t="s">
        <v>1644</v>
      </c>
      <c r="G814" s="116">
        <v>2</v>
      </c>
      <c r="H814" s="108">
        <v>0</v>
      </c>
    </row>
    <row r="815" spans="1:8" x14ac:dyDescent="0.2">
      <c r="A815" s="117" t="s">
        <v>511</v>
      </c>
      <c r="B815" s="117"/>
      <c r="C815" s="117" t="s">
        <v>992</v>
      </c>
      <c r="D815" s="304" t="s">
        <v>1582</v>
      </c>
      <c r="E815" s="305"/>
      <c r="F815" s="117" t="s">
        <v>1644</v>
      </c>
      <c r="G815" s="116">
        <v>1</v>
      </c>
      <c r="H815" s="108">
        <v>0</v>
      </c>
    </row>
    <row r="816" spans="1:8" x14ac:dyDescent="0.2">
      <c r="A816" s="117" t="s">
        <v>512</v>
      </c>
      <c r="B816" s="117"/>
      <c r="C816" s="117" t="s">
        <v>975</v>
      </c>
      <c r="D816" s="304" t="s">
        <v>1583</v>
      </c>
      <c r="E816" s="305"/>
      <c r="F816" s="117" t="s">
        <v>1644</v>
      </c>
      <c r="G816" s="116">
        <v>1</v>
      </c>
      <c r="H816" s="108">
        <v>0</v>
      </c>
    </row>
    <row r="817" spans="1:8" x14ac:dyDescent="0.2">
      <c r="A817" s="117" t="s">
        <v>513</v>
      </c>
      <c r="B817" s="117"/>
      <c r="C817" s="117" t="s">
        <v>993</v>
      </c>
      <c r="D817" s="304" t="s">
        <v>1581</v>
      </c>
      <c r="E817" s="305"/>
      <c r="F817" s="117" t="s">
        <v>1644</v>
      </c>
      <c r="G817" s="116">
        <v>1</v>
      </c>
      <c r="H817" s="108">
        <v>0</v>
      </c>
    </row>
    <row r="818" spans="1:8" x14ac:dyDescent="0.2">
      <c r="A818" s="117" t="s">
        <v>514</v>
      </c>
      <c r="B818" s="117"/>
      <c r="C818" s="117" t="s">
        <v>994</v>
      </c>
      <c r="D818" s="304" t="s">
        <v>1584</v>
      </c>
      <c r="E818" s="305"/>
      <c r="F818" s="117" t="s">
        <v>1644</v>
      </c>
      <c r="G818" s="116">
        <v>2</v>
      </c>
      <c r="H818" s="108">
        <v>0</v>
      </c>
    </row>
    <row r="819" spans="1:8" x14ac:dyDescent="0.2">
      <c r="A819" s="117" t="s">
        <v>515</v>
      </c>
      <c r="B819" s="117"/>
      <c r="C819" s="117" t="s">
        <v>995</v>
      </c>
      <c r="D819" s="304" t="s">
        <v>1585</v>
      </c>
      <c r="E819" s="305"/>
      <c r="F819" s="117" t="s">
        <v>1644</v>
      </c>
      <c r="G819" s="116">
        <v>1</v>
      </c>
      <c r="H819" s="108">
        <v>0</v>
      </c>
    </row>
    <row r="820" spans="1:8" x14ac:dyDescent="0.2">
      <c r="A820" s="117" t="s">
        <v>516</v>
      </c>
      <c r="B820" s="117"/>
      <c r="C820" s="117" t="s">
        <v>996</v>
      </c>
      <c r="D820" s="304" t="s">
        <v>1586</v>
      </c>
      <c r="E820" s="305"/>
      <c r="F820" s="117" t="s">
        <v>1644</v>
      </c>
      <c r="G820" s="116">
        <v>1</v>
      </c>
      <c r="H820" s="108">
        <v>0</v>
      </c>
    </row>
    <row r="821" spans="1:8" x14ac:dyDescent="0.2">
      <c r="A821" s="117" t="s">
        <v>517</v>
      </c>
      <c r="B821" s="117"/>
      <c r="C821" s="117" t="s">
        <v>996</v>
      </c>
      <c r="D821" s="304" t="s">
        <v>1587</v>
      </c>
      <c r="E821" s="305"/>
      <c r="F821" s="117" t="s">
        <v>1644</v>
      </c>
      <c r="G821" s="116">
        <v>1</v>
      </c>
      <c r="H821" s="108">
        <v>0</v>
      </c>
    </row>
    <row r="822" spans="1:8" x14ac:dyDescent="0.2">
      <c r="A822" s="117" t="s">
        <v>518</v>
      </c>
      <c r="B822" s="117"/>
      <c r="C822" s="117" t="s">
        <v>997</v>
      </c>
      <c r="D822" s="304" t="s">
        <v>1588</v>
      </c>
      <c r="E822" s="305"/>
      <c r="F822" s="117" t="s">
        <v>1644</v>
      </c>
      <c r="G822" s="116">
        <v>1</v>
      </c>
      <c r="H822" s="108">
        <v>0</v>
      </c>
    </row>
    <row r="823" spans="1:8" x14ac:dyDescent="0.2">
      <c r="A823" s="117" t="s">
        <v>519</v>
      </c>
      <c r="B823" s="117"/>
      <c r="C823" s="117" t="s">
        <v>997</v>
      </c>
      <c r="D823" s="304" t="s">
        <v>1589</v>
      </c>
      <c r="E823" s="305"/>
      <c r="F823" s="117" t="s">
        <v>1644</v>
      </c>
      <c r="G823" s="116">
        <v>1</v>
      </c>
      <c r="H823" s="108">
        <v>0</v>
      </c>
    </row>
    <row r="824" spans="1:8" x14ac:dyDescent="0.2">
      <c r="A824" s="117" t="s">
        <v>520</v>
      </c>
      <c r="B824" s="117"/>
      <c r="C824" s="117" t="s">
        <v>977</v>
      </c>
      <c r="D824" s="304" t="s">
        <v>1590</v>
      </c>
      <c r="E824" s="305"/>
      <c r="F824" s="117" t="s">
        <v>1644</v>
      </c>
      <c r="G824" s="116">
        <v>1</v>
      </c>
      <c r="H824" s="108">
        <v>0</v>
      </c>
    </row>
    <row r="825" spans="1:8" x14ac:dyDescent="0.2">
      <c r="A825" s="117" t="s">
        <v>521</v>
      </c>
      <c r="B825" s="117"/>
      <c r="C825" s="117" t="s">
        <v>998</v>
      </c>
      <c r="D825" s="304" t="s">
        <v>1591</v>
      </c>
      <c r="E825" s="305"/>
      <c r="F825" s="117" t="s">
        <v>1644</v>
      </c>
      <c r="G825" s="116">
        <v>1</v>
      </c>
      <c r="H825" s="108">
        <v>0</v>
      </c>
    </row>
    <row r="826" spans="1:8" x14ac:dyDescent="0.2">
      <c r="A826" s="117" t="s">
        <v>522</v>
      </c>
      <c r="B826" s="117"/>
      <c r="C826" s="117" t="s">
        <v>999</v>
      </c>
      <c r="D826" s="304" t="s">
        <v>1586</v>
      </c>
      <c r="E826" s="305"/>
      <c r="F826" s="117" t="s">
        <v>1644</v>
      </c>
      <c r="G826" s="116">
        <v>2</v>
      </c>
      <c r="H826" s="108">
        <v>0</v>
      </c>
    </row>
    <row r="827" spans="1:8" x14ac:dyDescent="0.2">
      <c r="A827" s="117" t="s">
        <v>523</v>
      </c>
      <c r="B827" s="117"/>
      <c r="C827" s="117" t="s">
        <v>999</v>
      </c>
      <c r="D827" s="304" t="s">
        <v>1587</v>
      </c>
      <c r="E827" s="305"/>
      <c r="F827" s="117" t="s">
        <v>1644</v>
      </c>
      <c r="G827" s="116">
        <v>2</v>
      </c>
      <c r="H827" s="108">
        <v>0</v>
      </c>
    </row>
    <row r="828" spans="1:8" x14ac:dyDescent="0.2">
      <c r="A828" s="117" t="s">
        <v>524</v>
      </c>
      <c r="B828" s="117"/>
      <c r="C828" s="117" t="s">
        <v>1000</v>
      </c>
      <c r="D828" s="304" t="s">
        <v>1581</v>
      </c>
      <c r="E828" s="305"/>
      <c r="F828" s="117" t="s">
        <v>1644</v>
      </c>
      <c r="G828" s="116">
        <v>1</v>
      </c>
      <c r="H828" s="108">
        <v>0</v>
      </c>
    </row>
    <row r="829" spans="1:8" x14ac:dyDescent="0.2">
      <c r="A829" s="117" t="s">
        <v>525</v>
      </c>
      <c r="B829" s="117"/>
      <c r="C829" s="117" t="s">
        <v>1001</v>
      </c>
      <c r="D829" s="304" t="s">
        <v>1592</v>
      </c>
      <c r="E829" s="305"/>
      <c r="F829" s="117" t="s">
        <v>1644</v>
      </c>
      <c r="G829" s="116">
        <v>1</v>
      </c>
      <c r="H829" s="108">
        <v>0</v>
      </c>
    </row>
    <row r="830" spans="1:8" x14ac:dyDescent="0.2">
      <c r="A830" s="117" t="s">
        <v>526</v>
      </c>
      <c r="B830" s="117"/>
      <c r="C830" s="117" t="s">
        <v>1002</v>
      </c>
      <c r="D830" s="304" t="s">
        <v>1593</v>
      </c>
      <c r="E830" s="305"/>
      <c r="F830" s="117" t="s">
        <v>1644</v>
      </c>
      <c r="G830" s="116">
        <v>1</v>
      </c>
      <c r="H830" s="108">
        <v>0</v>
      </c>
    </row>
    <row r="831" spans="1:8" x14ac:dyDescent="0.2">
      <c r="A831" s="117" t="s">
        <v>527</v>
      </c>
      <c r="B831" s="117"/>
      <c r="C831" s="117" t="s">
        <v>1003</v>
      </c>
      <c r="D831" s="304" t="s">
        <v>1594</v>
      </c>
      <c r="E831" s="305"/>
      <c r="F831" s="117" t="s">
        <v>1644</v>
      </c>
      <c r="G831" s="116">
        <v>1</v>
      </c>
      <c r="H831" s="108">
        <v>0</v>
      </c>
    </row>
    <row r="832" spans="1:8" x14ac:dyDescent="0.2">
      <c r="A832" s="117" t="s">
        <v>528</v>
      </c>
      <c r="B832" s="117"/>
      <c r="C832" s="117" t="s">
        <v>1003</v>
      </c>
      <c r="D832" s="304" t="s">
        <v>1595</v>
      </c>
      <c r="E832" s="305"/>
      <c r="F832" s="117" t="s">
        <v>1644</v>
      </c>
      <c r="G832" s="116">
        <v>1</v>
      </c>
      <c r="H832" s="108">
        <v>0</v>
      </c>
    </row>
    <row r="833" spans="1:8" x14ac:dyDescent="0.2">
      <c r="A833" s="117" t="s">
        <v>529</v>
      </c>
      <c r="B833" s="117"/>
      <c r="C833" s="117" t="s">
        <v>1004</v>
      </c>
      <c r="D833" s="304" t="s">
        <v>1596</v>
      </c>
      <c r="E833" s="305"/>
      <c r="F833" s="117" t="s">
        <v>1644</v>
      </c>
      <c r="G833" s="116">
        <v>1</v>
      </c>
      <c r="H833" s="108">
        <v>0</v>
      </c>
    </row>
    <row r="834" spans="1:8" x14ac:dyDescent="0.2">
      <c r="A834" s="117" t="s">
        <v>530</v>
      </c>
      <c r="B834" s="117"/>
      <c r="C834" s="117" t="s">
        <v>1005</v>
      </c>
      <c r="D834" s="304" t="s">
        <v>1597</v>
      </c>
      <c r="E834" s="305"/>
      <c r="F834" s="117" t="s">
        <v>1644</v>
      </c>
      <c r="G834" s="116">
        <v>1</v>
      </c>
      <c r="H834" s="108">
        <v>0</v>
      </c>
    </row>
    <row r="835" spans="1:8" x14ac:dyDescent="0.2">
      <c r="A835" s="117" t="s">
        <v>531</v>
      </c>
      <c r="B835" s="117"/>
      <c r="C835" s="117" t="s">
        <v>1006</v>
      </c>
      <c r="D835" s="304" t="s">
        <v>1598</v>
      </c>
      <c r="E835" s="305"/>
      <c r="F835" s="117" t="s">
        <v>1644</v>
      </c>
      <c r="G835" s="116">
        <v>1</v>
      </c>
      <c r="H835" s="108">
        <v>0</v>
      </c>
    </row>
    <row r="836" spans="1:8" x14ac:dyDescent="0.2">
      <c r="A836" s="117" t="s">
        <v>532</v>
      </c>
      <c r="B836" s="117"/>
      <c r="C836" s="117" t="s">
        <v>1007</v>
      </c>
      <c r="D836" s="304" t="s">
        <v>1599</v>
      </c>
      <c r="E836" s="305"/>
      <c r="F836" s="117" t="s">
        <v>1644</v>
      </c>
      <c r="G836" s="116">
        <v>1</v>
      </c>
      <c r="H836" s="108">
        <v>0</v>
      </c>
    </row>
    <row r="837" spans="1:8" x14ac:dyDescent="0.2">
      <c r="A837" s="117" t="s">
        <v>533</v>
      </c>
      <c r="B837" s="117"/>
      <c r="C837" s="117" t="s">
        <v>1008</v>
      </c>
      <c r="D837" s="304" t="s">
        <v>1600</v>
      </c>
      <c r="E837" s="305"/>
      <c r="F837" s="117" t="s">
        <v>1644</v>
      </c>
      <c r="G837" s="116">
        <v>1</v>
      </c>
      <c r="H837" s="108">
        <v>0</v>
      </c>
    </row>
    <row r="838" spans="1:8" x14ac:dyDescent="0.2">
      <c r="A838" s="117" t="s">
        <v>534</v>
      </c>
      <c r="B838" s="117"/>
      <c r="C838" s="117" t="s">
        <v>1009</v>
      </c>
      <c r="D838" s="304" t="s">
        <v>1601</v>
      </c>
      <c r="E838" s="305"/>
      <c r="F838" s="117" t="s">
        <v>1644</v>
      </c>
      <c r="G838" s="116">
        <v>1</v>
      </c>
      <c r="H838" s="108">
        <v>0</v>
      </c>
    </row>
    <row r="839" spans="1:8" x14ac:dyDescent="0.2">
      <c r="A839" s="117" t="s">
        <v>535</v>
      </c>
      <c r="B839" s="117"/>
      <c r="C839" s="117" t="s">
        <v>2260</v>
      </c>
      <c r="D839" s="304" t="s">
        <v>1602</v>
      </c>
      <c r="E839" s="305"/>
      <c r="F839" s="117" t="s">
        <v>1646</v>
      </c>
      <c r="G839" s="116">
        <v>20</v>
      </c>
      <c r="H839" s="108">
        <v>0</v>
      </c>
    </row>
    <row r="840" spans="1:8" x14ac:dyDescent="0.2">
      <c r="A840" s="117" t="s">
        <v>536</v>
      </c>
      <c r="B840" s="117"/>
      <c r="C840" s="117" t="s">
        <v>2259</v>
      </c>
      <c r="D840" s="304" t="s">
        <v>1603</v>
      </c>
      <c r="E840" s="305"/>
      <c r="F840" s="117" t="s">
        <v>1646</v>
      </c>
      <c r="G840" s="116">
        <v>10</v>
      </c>
      <c r="H840" s="108">
        <v>0</v>
      </c>
    </row>
    <row r="841" spans="1:8" x14ac:dyDescent="0.2">
      <c r="A841" s="117" t="s">
        <v>537</v>
      </c>
      <c r="B841" s="117"/>
      <c r="C841" s="117" t="s">
        <v>2258</v>
      </c>
      <c r="D841" s="304" t="s">
        <v>1604</v>
      </c>
      <c r="E841" s="305"/>
      <c r="F841" s="117" t="s">
        <v>1646</v>
      </c>
      <c r="G841" s="116">
        <v>5</v>
      </c>
      <c r="H841" s="108">
        <v>0</v>
      </c>
    </row>
    <row r="842" spans="1:8" x14ac:dyDescent="0.2">
      <c r="A842" s="117" t="s">
        <v>538</v>
      </c>
      <c r="B842" s="117"/>
      <c r="C842" s="117" t="s">
        <v>2257</v>
      </c>
      <c r="D842" s="304" t="s">
        <v>1605</v>
      </c>
      <c r="E842" s="305"/>
      <c r="F842" s="117" t="s">
        <v>1646</v>
      </c>
      <c r="G842" s="116">
        <v>5</v>
      </c>
      <c r="H842" s="108">
        <v>0</v>
      </c>
    </row>
    <row r="843" spans="1:8" x14ac:dyDescent="0.2">
      <c r="A843" s="117" t="s">
        <v>539</v>
      </c>
      <c r="B843" s="117"/>
      <c r="C843" s="117" t="s">
        <v>2256</v>
      </c>
      <c r="D843" s="304" t="s">
        <v>1606</v>
      </c>
      <c r="E843" s="305"/>
      <c r="F843" s="117" t="s">
        <v>1646</v>
      </c>
      <c r="G843" s="116">
        <v>20</v>
      </c>
      <c r="H843" s="108">
        <v>0</v>
      </c>
    </row>
    <row r="844" spans="1:8" x14ac:dyDescent="0.2">
      <c r="A844" s="117" t="s">
        <v>540</v>
      </c>
      <c r="B844" s="117"/>
      <c r="C844" s="117" t="s">
        <v>2255</v>
      </c>
      <c r="D844" s="304" t="s">
        <v>1607</v>
      </c>
      <c r="E844" s="305"/>
      <c r="F844" s="117" t="s">
        <v>1646</v>
      </c>
      <c r="G844" s="116">
        <v>10</v>
      </c>
      <c r="H844" s="108">
        <v>0</v>
      </c>
    </row>
    <row r="845" spans="1:8" x14ac:dyDescent="0.2">
      <c r="A845" s="117" t="s">
        <v>541</v>
      </c>
      <c r="B845" s="117"/>
      <c r="C845" s="117" t="s">
        <v>2254</v>
      </c>
      <c r="D845" s="304" t="s">
        <v>1608</v>
      </c>
      <c r="E845" s="305"/>
      <c r="F845" s="117" t="s">
        <v>1644</v>
      </c>
      <c r="G845" s="116">
        <v>70</v>
      </c>
      <c r="H845" s="108">
        <v>0</v>
      </c>
    </row>
    <row r="846" spans="1:8" x14ac:dyDescent="0.2">
      <c r="A846" s="117" t="s">
        <v>542</v>
      </c>
      <c r="B846" s="117"/>
      <c r="C846" s="117" t="s">
        <v>2253</v>
      </c>
      <c r="D846" s="304" t="s">
        <v>1609</v>
      </c>
      <c r="E846" s="305"/>
      <c r="F846" s="117" t="s">
        <v>1644</v>
      </c>
      <c r="G846" s="116">
        <v>3</v>
      </c>
      <c r="H846" s="108">
        <v>0</v>
      </c>
    </row>
    <row r="847" spans="1:8" x14ac:dyDescent="0.2">
      <c r="A847" s="117" t="s">
        <v>543</v>
      </c>
      <c r="B847" s="117"/>
      <c r="C847" s="117" t="s">
        <v>2252</v>
      </c>
      <c r="D847" s="304" t="s">
        <v>1610</v>
      </c>
      <c r="E847" s="305"/>
      <c r="F847" s="117" t="s">
        <v>1644</v>
      </c>
      <c r="G847" s="116">
        <v>1</v>
      </c>
      <c r="H847" s="108">
        <v>0</v>
      </c>
    </row>
    <row r="848" spans="1:8" x14ac:dyDescent="0.2">
      <c r="A848" s="117" t="s">
        <v>544</v>
      </c>
      <c r="B848" s="117"/>
      <c r="C848" s="117" t="s">
        <v>2251</v>
      </c>
      <c r="D848" s="304" t="s">
        <v>1611</v>
      </c>
      <c r="E848" s="305"/>
      <c r="F848" s="117" t="s">
        <v>1651</v>
      </c>
      <c r="G848" s="116">
        <v>1</v>
      </c>
      <c r="H848" s="108">
        <v>0</v>
      </c>
    </row>
    <row r="849" spans="1:8" x14ac:dyDescent="0.2">
      <c r="A849" s="117" t="s">
        <v>545</v>
      </c>
      <c r="B849" s="117"/>
      <c r="C849" s="117" t="s">
        <v>2250</v>
      </c>
      <c r="D849" s="304" t="s">
        <v>1612</v>
      </c>
      <c r="E849" s="305"/>
      <c r="F849" s="117" t="s">
        <v>1646</v>
      </c>
      <c r="G849" s="116">
        <v>135</v>
      </c>
      <c r="H849" s="108">
        <v>0</v>
      </c>
    </row>
    <row r="850" spans="1:8" x14ac:dyDescent="0.2">
      <c r="A850" s="117" t="s">
        <v>546</v>
      </c>
      <c r="B850" s="117"/>
      <c r="C850" s="117" t="s">
        <v>2249</v>
      </c>
      <c r="D850" s="304" t="s">
        <v>1613</v>
      </c>
      <c r="E850" s="305"/>
      <c r="F850" s="117" t="s">
        <v>1646</v>
      </c>
      <c r="G850" s="116">
        <v>30</v>
      </c>
      <c r="H850" s="108">
        <v>0</v>
      </c>
    </row>
    <row r="851" spans="1:8" x14ac:dyDescent="0.2">
      <c r="A851" s="117" t="s">
        <v>547</v>
      </c>
      <c r="B851" s="117"/>
      <c r="C851" s="117" t="s">
        <v>2248</v>
      </c>
      <c r="D851" s="304" t="s">
        <v>1614</v>
      </c>
      <c r="E851" s="305"/>
      <c r="F851" s="117" t="s">
        <v>1646</v>
      </c>
      <c r="G851" s="116">
        <v>50</v>
      </c>
      <c r="H851" s="108">
        <v>0</v>
      </c>
    </row>
    <row r="852" spans="1:8" x14ac:dyDescent="0.2">
      <c r="A852" s="117" t="s">
        <v>548</v>
      </c>
      <c r="B852" s="117"/>
      <c r="C852" s="117" t="s">
        <v>2247</v>
      </c>
      <c r="D852" s="304" t="s">
        <v>1615</v>
      </c>
      <c r="E852" s="305"/>
      <c r="F852" s="117" t="s">
        <v>1646</v>
      </c>
      <c r="G852" s="116">
        <v>25</v>
      </c>
      <c r="H852" s="108">
        <v>0</v>
      </c>
    </row>
    <row r="853" spans="1:8" x14ac:dyDescent="0.2">
      <c r="A853" s="117" t="s">
        <v>549</v>
      </c>
      <c r="B853" s="117"/>
      <c r="C853" s="117" t="s">
        <v>2246</v>
      </c>
      <c r="D853" s="304" t="s">
        <v>1616</v>
      </c>
      <c r="E853" s="305"/>
      <c r="F853" s="117" t="s">
        <v>1646</v>
      </c>
      <c r="G853" s="116">
        <v>30</v>
      </c>
      <c r="H853" s="108">
        <v>0</v>
      </c>
    </row>
    <row r="854" spans="1:8" x14ac:dyDescent="0.2">
      <c r="A854" s="117" t="s">
        <v>550</v>
      </c>
      <c r="B854" s="117"/>
      <c r="C854" s="117" t="s">
        <v>2245</v>
      </c>
      <c r="D854" s="304" t="s">
        <v>1617</v>
      </c>
      <c r="E854" s="305"/>
      <c r="F854" s="117" t="s">
        <v>1646</v>
      </c>
      <c r="G854" s="116">
        <v>45</v>
      </c>
      <c r="H854" s="108">
        <v>0</v>
      </c>
    </row>
    <row r="855" spans="1:8" x14ac:dyDescent="0.2">
      <c r="A855" s="117" t="s">
        <v>551</v>
      </c>
      <c r="B855" s="117"/>
      <c r="C855" s="117" t="s">
        <v>2244</v>
      </c>
      <c r="D855" s="304" t="s">
        <v>1618</v>
      </c>
      <c r="E855" s="305"/>
      <c r="F855" s="117" t="s">
        <v>1646</v>
      </c>
      <c r="G855" s="116">
        <v>25</v>
      </c>
      <c r="H855" s="108">
        <v>0</v>
      </c>
    </row>
    <row r="856" spans="1:8" x14ac:dyDescent="0.2">
      <c r="A856" s="117" t="s">
        <v>552</v>
      </c>
      <c r="B856" s="117"/>
      <c r="C856" s="117" t="s">
        <v>2243</v>
      </c>
      <c r="D856" s="304" t="s">
        <v>1619</v>
      </c>
      <c r="E856" s="305"/>
      <c r="F856" s="117" t="s">
        <v>1644</v>
      </c>
      <c r="G856" s="116">
        <v>1</v>
      </c>
      <c r="H856" s="108">
        <v>0</v>
      </c>
    </row>
    <row r="857" spans="1:8" x14ac:dyDescent="0.2">
      <c r="A857" s="117" t="s">
        <v>553</v>
      </c>
      <c r="B857" s="117"/>
      <c r="C857" s="117" t="s">
        <v>2242</v>
      </c>
      <c r="D857" s="304" t="s">
        <v>1620</v>
      </c>
      <c r="E857" s="305"/>
      <c r="F857" s="117" t="s">
        <v>1644</v>
      </c>
      <c r="G857" s="116">
        <v>1</v>
      </c>
      <c r="H857" s="108">
        <v>0</v>
      </c>
    </row>
    <row r="858" spans="1:8" x14ac:dyDescent="0.2">
      <c r="A858" s="117" t="s">
        <v>554</v>
      </c>
      <c r="B858" s="117"/>
      <c r="C858" s="117" t="s">
        <v>2241</v>
      </c>
      <c r="D858" s="304" t="s">
        <v>1621</v>
      </c>
      <c r="E858" s="305"/>
      <c r="F858" s="117" t="s">
        <v>1644</v>
      </c>
      <c r="G858" s="116">
        <v>1</v>
      </c>
      <c r="H858" s="108">
        <v>0</v>
      </c>
    </row>
    <row r="859" spans="1:8" x14ac:dyDescent="0.2">
      <c r="A859" s="117" t="s">
        <v>555</v>
      </c>
      <c r="B859" s="117"/>
      <c r="C859" s="117" t="s">
        <v>2240</v>
      </c>
      <c r="D859" s="304" t="s">
        <v>1622</v>
      </c>
      <c r="E859" s="305"/>
      <c r="F859" s="117" t="s">
        <v>1644</v>
      </c>
      <c r="G859" s="116">
        <v>1</v>
      </c>
      <c r="H859" s="108">
        <v>0</v>
      </c>
    </row>
    <row r="860" spans="1:8" x14ac:dyDescent="0.2">
      <c r="A860" s="117" t="s">
        <v>556</v>
      </c>
      <c r="B860" s="117"/>
      <c r="C860" s="117" t="s">
        <v>2239</v>
      </c>
      <c r="D860" s="304" t="s">
        <v>1623</v>
      </c>
      <c r="E860" s="305"/>
      <c r="F860" s="117" t="s">
        <v>1644</v>
      </c>
      <c r="G860" s="116">
        <v>1</v>
      </c>
      <c r="H860" s="108">
        <v>0</v>
      </c>
    </row>
    <row r="861" spans="1:8" x14ac:dyDescent="0.2">
      <c r="A861" s="117" t="s">
        <v>557</v>
      </c>
      <c r="B861" s="117"/>
      <c r="C861" s="117" t="s">
        <v>2238</v>
      </c>
      <c r="D861" s="304" t="s">
        <v>1624</v>
      </c>
      <c r="E861" s="305"/>
      <c r="F861" s="117" t="s">
        <v>1644</v>
      </c>
      <c r="G861" s="116">
        <v>1</v>
      </c>
      <c r="H861" s="108">
        <v>0</v>
      </c>
    </row>
    <row r="862" spans="1:8" x14ac:dyDescent="0.2">
      <c r="A862" s="117" t="s">
        <v>558</v>
      </c>
      <c r="B862" s="117"/>
      <c r="C862" s="117" t="s">
        <v>2237</v>
      </c>
      <c r="D862" s="304" t="s">
        <v>1625</v>
      </c>
      <c r="E862" s="305"/>
      <c r="F862" s="117" t="s">
        <v>1644</v>
      </c>
      <c r="G862" s="116">
        <v>1</v>
      </c>
      <c r="H862" s="108">
        <v>0</v>
      </c>
    </row>
    <row r="863" spans="1:8" x14ac:dyDescent="0.2">
      <c r="A863" s="117" t="s">
        <v>559</v>
      </c>
      <c r="B863" s="117"/>
      <c r="C863" s="117" t="s">
        <v>2236</v>
      </c>
      <c r="D863" s="304" t="s">
        <v>1626</v>
      </c>
      <c r="E863" s="305"/>
      <c r="F863" s="117" t="s">
        <v>1644</v>
      </c>
      <c r="G863" s="116">
        <v>1</v>
      </c>
      <c r="H863" s="108">
        <v>0</v>
      </c>
    </row>
    <row r="864" spans="1:8" x14ac:dyDescent="0.2">
      <c r="A864" s="117" t="s">
        <v>560</v>
      </c>
      <c r="B864" s="117"/>
      <c r="C864" s="117" t="s">
        <v>2235</v>
      </c>
      <c r="D864" s="304" t="s">
        <v>1627</v>
      </c>
      <c r="E864" s="305"/>
      <c r="F864" s="117" t="s">
        <v>1644</v>
      </c>
      <c r="G864" s="116">
        <v>1</v>
      </c>
      <c r="H864" s="108">
        <v>0</v>
      </c>
    </row>
    <row r="865" spans="1:8" x14ac:dyDescent="0.2">
      <c r="A865" s="117" t="s">
        <v>561</v>
      </c>
      <c r="B865" s="117"/>
      <c r="C865" s="117" t="s">
        <v>2234</v>
      </c>
      <c r="D865" s="304" t="s">
        <v>1628</v>
      </c>
      <c r="E865" s="305"/>
      <c r="F865" s="117" t="s">
        <v>1644</v>
      </c>
      <c r="G865" s="116">
        <v>1</v>
      </c>
      <c r="H865" s="108">
        <v>0</v>
      </c>
    </row>
    <row r="866" spans="1:8" x14ac:dyDescent="0.2">
      <c r="A866" s="117" t="s">
        <v>562</v>
      </c>
      <c r="B866" s="117"/>
      <c r="C866" s="117" t="s">
        <v>2233</v>
      </c>
      <c r="D866" s="304" t="s">
        <v>1629</v>
      </c>
      <c r="E866" s="305"/>
      <c r="F866" s="117" t="s">
        <v>1644</v>
      </c>
      <c r="G866" s="116">
        <v>1</v>
      </c>
      <c r="H866" s="108">
        <v>0</v>
      </c>
    </row>
    <row r="867" spans="1:8" x14ac:dyDescent="0.2">
      <c r="A867" s="117" t="s">
        <v>563</v>
      </c>
      <c r="B867" s="117"/>
      <c r="C867" s="117" t="s">
        <v>2232</v>
      </c>
      <c r="D867" s="304" t="s">
        <v>1630</v>
      </c>
      <c r="E867" s="305"/>
      <c r="F867" s="117" t="s">
        <v>1644</v>
      </c>
      <c r="G867" s="116">
        <v>1</v>
      </c>
      <c r="H867" s="108">
        <v>0</v>
      </c>
    </row>
    <row r="868" spans="1:8" x14ac:dyDescent="0.2">
      <c r="A868" s="120"/>
      <c r="B868" s="120"/>
      <c r="C868" s="120" t="s">
        <v>1039</v>
      </c>
      <c r="D868" s="306" t="s">
        <v>1631</v>
      </c>
      <c r="E868" s="307"/>
      <c r="F868" s="120"/>
      <c r="G868" s="142"/>
      <c r="H868" s="109"/>
    </row>
    <row r="869" spans="1:8" x14ac:dyDescent="0.2">
      <c r="A869" s="117" t="s">
        <v>564</v>
      </c>
      <c r="B869" s="117"/>
      <c r="C869" s="117" t="s">
        <v>1040</v>
      </c>
      <c r="D869" s="304" t="s">
        <v>1632</v>
      </c>
      <c r="E869" s="305"/>
      <c r="F869" s="117" t="s">
        <v>1644</v>
      </c>
      <c r="G869" s="116">
        <v>1</v>
      </c>
      <c r="H869" s="108">
        <v>0</v>
      </c>
    </row>
    <row r="870" spans="1:8" x14ac:dyDescent="0.2">
      <c r="A870" s="117" t="s">
        <v>565</v>
      </c>
      <c r="B870" s="117"/>
      <c r="C870" s="117" t="s">
        <v>1041</v>
      </c>
      <c r="D870" s="304" t="s">
        <v>1633</v>
      </c>
      <c r="E870" s="305"/>
      <c r="F870" s="117" t="s">
        <v>1644</v>
      </c>
      <c r="G870" s="116">
        <v>1</v>
      </c>
      <c r="H870" s="108">
        <v>0</v>
      </c>
    </row>
    <row r="871" spans="1:8" x14ac:dyDescent="0.2">
      <c r="A871" s="117" t="s">
        <v>566</v>
      </c>
      <c r="B871" s="117"/>
      <c r="C871" s="117" t="s">
        <v>1042</v>
      </c>
      <c r="D871" s="304" t="s">
        <v>1634</v>
      </c>
      <c r="E871" s="305"/>
      <c r="F871" s="117" t="s">
        <v>1644</v>
      </c>
      <c r="G871" s="116">
        <v>1</v>
      </c>
      <c r="H871" s="108">
        <v>0</v>
      </c>
    </row>
    <row r="872" spans="1:8" x14ac:dyDescent="0.2">
      <c r="A872" s="117" t="s">
        <v>567</v>
      </c>
      <c r="B872" s="117"/>
      <c r="C872" s="117" t="s">
        <v>1043</v>
      </c>
      <c r="D872" s="304" t="s">
        <v>1635</v>
      </c>
      <c r="E872" s="305"/>
      <c r="F872" s="117" t="s">
        <v>1644</v>
      </c>
      <c r="G872" s="116">
        <v>1</v>
      </c>
      <c r="H872" s="108">
        <v>0</v>
      </c>
    </row>
    <row r="873" spans="1:8" x14ac:dyDescent="0.2">
      <c r="A873" s="117" t="s">
        <v>568</v>
      </c>
      <c r="B873" s="117"/>
      <c r="C873" s="117" t="s">
        <v>1044</v>
      </c>
      <c r="D873" s="304" t="s">
        <v>1636</v>
      </c>
      <c r="E873" s="305"/>
      <c r="F873" s="117" t="s">
        <v>1644</v>
      </c>
      <c r="G873" s="116">
        <v>1</v>
      </c>
      <c r="H873" s="108">
        <v>0</v>
      </c>
    </row>
    <row r="874" spans="1:8" x14ac:dyDescent="0.2">
      <c r="A874" s="117" t="s">
        <v>2231</v>
      </c>
      <c r="B874" s="117"/>
      <c r="C874" s="117" t="s">
        <v>1045</v>
      </c>
      <c r="D874" s="304" t="s">
        <v>1637</v>
      </c>
      <c r="E874" s="305"/>
      <c r="F874" s="117" t="s">
        <v>1644</v>
      </c>
      <c r="G874" s="116">
        <v>1</v>
      </c>
      <c r="H874" s="108">
        <v>0</v>
      </c>
    </row>
    <row r="875" spans="1:8" x14ac:dyDescent="0.2">
      <c r="A875" s="117" t="s">
        <v>2228</v>
      </c>
      <c r="B875" s="117"/>
      <c r="C875" s="117" t="s">
        <v>1046</v>
      </c>
      <c r="D875" s="304" t="s">
        <v>1638</v>
      </c>
      <c r="E875" s="305"/>
      <c r="F875" s="117" t="s">
        <v>1644</v>
      </c>
      <c r="G875" s="116">
        <v>1</v>
      </c>
      <c r="H875" s="108">
        <v>0</v>
      </c>
    </row>
    <row r="877" spans="1:8" ht="11.25" customHeight="1" x14ac:dyDescent="0.2">
      <c r="A877" s="106" t="s">
        <v>569</v>
      </c>
    </row>
    <row r="878" spans="1:8" x14ac:dyDescent="0.2">
      <c r="A878" s="255"/>
      <c r="B878" s="256"/>
      <c r="C878" s="256"/>
      <c r="D878" s="256"/>
      <c r="E878" s="256"/>
      <c r="F878" s="256"/>
      <c r="G878" s="256"/>
    </row>
  </sheetData>
  <sheetProtection algorithmName="SHA-512" hashValue="tTyww7QNmTEYw1y2vJVct+gDUBWqybgiieC2BiJYbzXgMqqD7qC+3fxmXOrbhC/3M10tCZ2m4X8/DOH8yISQEA==" saltValue="uSeJwfL5YD5/IzyB8QAZyg==" spinCount="100000" sheet="1" objects="1" scenarios="1"/>
  <mergeCells count="884">
    <mergeCell ref="D863:E863"/>
    <mergeCell ref="D864:E864"/>
    <mergeCell ref="D874:E874"/>
    <mergeCell ref="D875:E875"/>
    <mergeCell ref="A878:G878"/>
    <mergeCell ref="D868:E868"/>
    <mergeCell ref="D869:E869"/>
    <mergeCell ref="D870:E870"/>
    <mergeCell ref="D871:E871"/>
    <mergeCell ref="D872:E872"/>
    <mergeCell ref="D873:E873"/>
    <mergeCell ref="D839:E839"/>
    <mergeCell ref="D840:E840"/>
    <mergeCell ref="D865:E865"/>
    <mergeCell ref="D866:E866"/>
    <mergeCell ref="D867:E867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15:E815"/>
    <mergeCell ref="D816:E816"/>
    <mergeCell ref="D841:E841"/>
    <mergeCell ref="D842:E842"/>
    <mergeCell ref="D843:E843"/>
    <mergeCell ref="D820:E820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38:E838"/>
    <mergeCell ref="D791:F791"/>
    <mergeCell ref="D792:E792"/>
    <mergeCell ref="D817:E817"/>
    <mergeCell ref="D818:E818"/>
    <mergeCell ref="D819:E819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767:E767"/>
    <mergeCell ref="D768:E768"/>
    <mergeCell ref="D793:E793"/>
    <mergeCell ref="D794:E794"/>
    <mergeCell ref="D795:E795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89:F789"/>
    <mergeCell ref="D790:E790"/>
    <mergeCell ref="D743:F743"/>
    <mergeCell ref="D744:F744"/>
    <mergeCell ref="D769:E769"/>
    <mergeCell ref="D770:E770"/>
    <mergeCell ref="D771:E771"/>
    <mergeCell ref="D748:E748"/>
    <mergeCell ref="D749:F749"/>
    <mergeCell ref="D750:F750"/>
    <mergeCell ref="D751:E751"/>
    <mergeCell ref="D752:E752"/>
    <mergeCell ref="D753:F753"/>
    <mergeCell ref="D754:E754"/>
    <mergeCell ref="D755:F755"/>
    <mergeCell ref="D756:E756"/>
    <mergeCell ref="D757:F757"/>
    <mergeCell ref="D758:E758"/>
    <mergeCell ref="D759:F759"/>
    <mergeCell ref="D760:E760"/>
    <mergeCell ref="D761:F761"/>
    <mergeCell ref="D762:E762"/>
    <mergeCell ref="D763:E763"/>
    <mergeCell ref="D764:E764"/>
    <mergeCell ref="D765:E765"/>
    <mergeCell ref="D766:E766"/>
    <mergeCell ref="D719:F719"/>
    <mergeCell ref="D720:E720"/>
    <mergeCell ref="D745:F745"/>
    <mergeCell ref="D746:E746"/>
    <mergeCell ref="D747:F747"/>
    <mergeCell ref="D724:E724"/>
    <mergeCell ref="D725:F725"/>
    <mergeCell ref="D726:F726"/>
    <mergeCell ref="D727:E727"/>
    <mergeCell ref="D728:F728"/>
    <mergeCell ref="D729:E729"/>
    <mergeCell ref="D730:F730"/>
    <mergeCell ref="D731:F731"/>
    <mergeCell ref="D732:E732"/>
    <mergeCell ref="D733:F733"/>
    <mergeCell ref="D734:E734"/>
    <mergeCell ref="D735:E735"/>
    <mergeCell ref="D736:F736"/>
    <mergeCell ref="D737:F737"/>
    <mergeCell ref="D738:F738"/>
    <mergeCell ref="D739:E739"/>
    <mergeCell ref="D740:F740"/>
    <mergeCell ref="D741:F741"/>
    <mergeCell ref="D742:E742"/>
    <mergeCell ref="D695:E695"/>
    <mergeCell ref="D696:F696"/>
    <mergeCell ref="D721:F721"/>
    <mergeCell ref="D722:E722"/>
    <mergeCell ref="D723:F723"/>
    <mergeCell ref="D700:F700"/>
    <mergeCell ref="D701:E701"/>
    <mergeCell ref="D702:F702"/>
    <mergeCell ref="D703:E703"/>
    <mergeCell ref="D704:F704"/>
    <mergeCell ref="D705:E705"/>
    <mergeCell ref="D706:F706"/>
    <mergeCell ref="D707:E707"/>
    <mergeCell ref="D708:F708"/>
    <mergeCell ref="D709:E709"/>
    <mergeCell ref="D710:F710"/>
    <mergeCell ref="D711:E711"/>
    <mergeCell ref="D712:F712"/>
    <mergeCell ref="D713:E713"/>
    <mergeCell ref="D714:F714"/>
    <mergeCell ref="D715:E715"/>
    <mergeCell ref="D716:F716"/>
    <mergeCell ref="D717:E717"/>
    <mergeCell ref="D718:E718"/>
    <mergeCell ref="D671:F671"/>
    <mergeCell ref="D672:E672"/>
    <mergeCell ref="D697:E697"/>
    <mergeCell ref="D698:F698"/>
    <mergeCell ref="D699:E699"/>
    <mergeCell ref="D676:E676"/>
    <mergeCell ref="D677:F677"/>
    <mergeCell ref="D678:E678"/>
    <mergeCell ref="D679:E679"/>
    <mergeCell ref="D680:F680"/>
    <mergeCell ref="D681:E681"/>
    <mergeCell ref="D682:F682"/>
    <mergeCell ref="D683:F683"/>
    <mergeCell ref="D684:E684"/>
    <mergeCell ref="D685:F685"/>
    <mergeCell ref="D686:E686"/>
    <mergeCell ref="D687:F687"/>
    <mergeCell ref="D688:E688"/>
    <mergeCell ref="D689:F689"/>
    <mergeCell ref="D690:E690"/>
    <mergeCell ref="D691:E691"/>
    <mergeCell ref="D692:F692"/>
    <mergeCell ref="D693:E693"/>
    <mergeCell ref="D694:F694"/>
    <mergeCell ref="D647:F647"/>
    <mergeCell ref="D648:E648"/>
    <mergeCell ref="D673:F673"/>
    <mergeCell ref="D674:E674"/>
    <mergeCell ref="D675:F675"/>
    <mergeCell ref="D652:E652"/>
    <mergeCell ref="D653:F653"/>
    <mergeCell ref="D654:E654"/>
    <mergeCell ref="D655:F655"/>
    <mergeCell ref="D656:E656"/>
    <mergeCell ref="D657:F657"/>
    <mergeCell ref="D658:E658"/>
    <mergeCell ref="D659:F659"/>
    <mergeCell ref="D660:E660"/>
    <mergeCell ref="D661:F661"/>
    <mergeCell ref="D662:E662"/>
    <mergeCell ref="D663:F663"/>
    <mergeCell ref="D664:E664"/>
    <mergeCell ref="D665:F665"/>
    <mergeCell ref="D666:E666"/>
    <mergeCell ref="D667:F667"/>
    <mergeCell ref="D668:E668"/>
    <mergeCell ref="D669:F669"/>
    <mergeCell ref="D670:E670"/>
    <mergeCell ref="D623:E623"/>
    <mergeCell ref="D624:F624"/>
    <mergeCell ref="D649:F649"/>
    <mergeCell ref="D650:E650"/>
    <mergeCell ref="D651:F651"/>
    <mergeCell ref="D628:E628"/>
    <mergeCell ref="D629:F629"/>
    <mergeCell ref="D630:E630"/>
    <mergeCell ref="D631:F631"/>
    <mergeCell ref="D632:E632"/>
    <mergeCell ref="D633:F633"/>
    <mergeCell ref="D634:E634"/>
    <mergeCell ref="D635:F635"/>
    <mergeCell ref="D636:E636"/>
    <mergeCell ref="D637:F637"/>
    <mergeCell ref="D638:E638"/>
    <mergeCell ref="D639:F639"/>
    <mergeCell ref="D640:E640"/>
    <mergeCell ref="D641:F641"/>
    <mergeCell ref="D642:E642"/>
    <mergeCell ref="D643:F643"/>
    <mergeCell ref="D644:E644"/>
    <mergeCell ref="D645:F645"/>
    <mergeCell ref="D646:E646"/>
    <mergeCell ref="D599:E599"/>
    <mergeCell ref="D600:F600"/>
    <mergeCell ref="D625:E625"/>
    <mergeCell ref="D626:F626"/>
    <mergeCell ref="D627:E627"/>
    <mergeCell ref="D604:F604"/>
    <mergeCell ref="D605:E605"/>
    <mergeCell ref="D606:F606"/>
    <mergeCell ref="D607:E607"/>
    <mergeCell ref="D608:F608"/>
    <mergeCell ref="D609:F609"/>
    <mergeCell ref="D610:E610"/>
    <mergeCell ref="D611:F611"/>
    <mergeCell ref="D612:E612"/>
    <mergeCell ref="D613:F613"/>
    <mergeCell ref="D614:F614"/>
    <mergeCell ref="D615:E615"/>
    <mergeCell ref="D616:F616"/>
    <mergeCell ref="D617:E617"/>
    <mergeCell ref="D618:F618"/>
    <mergeCell ref="D619:E619"/>
    <mergeCell ref="D620:F620"/>
    <mergeCell ref="D621:E621"/>
    <mergeCell ref="D622:F622"/>
    <mergeCell ref="D575:E575"/>
    <mergeCell ref="D576:E576"/>
    <mergeCell ref="D601:E601"/>
    <mergeCell ref="D602:F602"/>
    <mergeCell ref="D603:E603"/>
    <mergeCell ref="D580:E580"/>
    <mergeCell ref="D581:E581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F596"/>
    <mergeCell ref="D597:E597"/>
    <mergeCell ref="D598:F598"/>
    <mergeCell ref="D551:E551"/>
    <mergeCell ref="D552:E552"/>
    <mergeCell ref="D577:E577"/>
    <mergeCell ref="D578:E578"/>
    <mergeCell ref="D579:E579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27:E527"/>
    <mergeCell ref="D528:E528"/>
    <mergeCell ref="D553:E553"/>
    <mergeCell ref="D554:E554"/>
    <mergeCell ref="D555:E55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49:E549"/>
    <mergeCell ref="D550:E550"/>
    <mergeCell ref="D503:E503"/>
    <mergeCell ref="D504:E504"/>
    <mergeCell ref="D529:E529"/>
    <mergeCell ref="D530:E530"/>
    <mergeCell ref="D531:E531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479:E479"/>
    <mergeCell ref="D480:E480"/>
    <mergeCell ref="D505:E505"/>
    <mergeCell ref="D506:E506"/>
    <mergeCell ref="D507:E507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455:E455"/>
    <mergeCell ref="D456:E456"/>
    <mergeCell ref="D481:E481"/>
    <mergeCell ref="D482:E482"/>
    <mergeCell ref="D483:E483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31:E431"/>
    <mergeCell ref="D432:E432"/>
    <mergeCell ref="D457:E457"/>
    <mergeCell ref="D458:E458"/>
    <mergeCell ref="D459:E459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07:E407"/>
    <mergeCell ref="D408:E408"/>
    <mergeCell ref="D433:E433"/>
    <mergeCell ref="D434:E434"/>
    <mergeCell ref="D435:E43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383:E383"/>
    <mergeCell ref="D384:E384"/>
    <mergeCell ref="D409:E409"/>
    <mergeCell ref="D410:E410"/>
    <mergeCell ref="D411:E411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359:F359"/>
    <mergeCell ref="D360:F360"/>
    <mergeCell ref="D385:E385"/>
    <mergeCell ref="D386:E386"/>
    <mergeCell ref="D387:E387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35:E335"/>
    <mergeCell ref="D336:F336"/>
    <mergeCell ref="D361:F361"/>
    <mergeCell ref="D362:E362"/>
    <mergeCell ref="D363:F363"/>
    <mergeCell ref="D340:F340"/>
    <mergeCell ref="D341:E341"/>
    <mergeCell ref="D342:F342"/>
    <mergeCell ref="D343:E343"/>
    <mergeCell ref="D344:E344"/>
    <mergeCell ref="D345:F345"/>
    <mergeCell ref="D346:E346"/>
    <mergeCell ref="D347:F347"/>
    <mergeCell ref="D348:F348"/>
    <mergeCell ref="D349:E349"/>
    <mergeCell ref="D350:F350"/>
    <mergeCell ref="D351:F351"/>
    <mergeCell ref="D352:E352"/>
    <mergeCell ref="D353:F353"/>
    <mergeCell ref="D354:E354"/>
    <mergeCell ref="D355:F355"/>
    <mergeCell ref="D356:E356"/>
    <mergeCell ref="D357:F357"/>
    <mergeCell ref="D358:E358"/>
    <mergeCell ref="D311:E311"/>
    <mergeCell ref="D312:F312"/>
    <mergeCell ref="D337:E337"/>
    <mergeCell ref="D338:F338"/>
    <mergeCell ref="D339:E339"/>
    <mergeCell ref="D316:F316"/>
    <mergeCell ref="D317:E317"/>
    <mergeCell ref="D318:F318"/>
    <mergeCell ref="D319:E319"/>
    <mergeCell ref="D320:F320"/>
    <mergeCell ref="D321:E321"/>
    <mergeCell ref="D322:F322"/>
    <mergeCell ref="D323:E323"/>
    <mergeCell ref="D324:F324"/>
    <mergeCell ref="D325:E325"/>
    <mergeCell ref="D326:E326"/>
    <mergeCell ref="D327:F327"/>
    <mergeCell ref="D328:E328"/>
    <mergeCell ref="D329:E329"/>
    <mergeCell ref="D330:F330"/>
    <mergeCell ref="D331:E331"/>
    <mergeCell ref="D332:F332"/>
    <mergeCell ref="D333:E333"/>
    <mergeCell ref="D334:F334"/>
    <mergeCell ref="D287:F287"/>
    <mergeCell ref="D288:E288"/>
    <mergeCell ref="D313:E313"/>
    <mergeCell ref="D314:F314"/>
    <mergeCell ref="D315:E315"/>
    <mergeCell ref="D292:E292"/>
    <mergeCell ref="D293:F293"/>
    <mergeCell ref="D294:E294"/>
    <mergeCell ref="D295:E295"/>
    <mergeCell ref="D296:F296"/>
    <mergeCell ref="D297:E297"/>
    <mergeCell ref="D298:F298"/>
    <mergeCell ref="D299:E299"/>
    <mergeCell ref="D300:F300"/>
    <mergeCell ref="D301:E301"/>
    <mergeCell ref="D302:F302"/>
    <mergeCell ref="D303:E303"/>
    <mergeCell ref="D304:F304"/>
    <mergeCell ref="D305:E305"/>
    <mergeCell ref="D306:F306"/>
    <mergeCell ref="D307:E307"/>
    <mergeCell ref="D308:F308"/>
    <mergeCell ref="D309:E309"/>
    <mergeCell ref="D310:F310"/>
    <mergeCell ref="D263:F263"/>
    <mergeCell ref="D264:E264"/>
    <mergeCell ref="D289:F289"/>
    <mergeCell ref="D290:E290"/>
    <mergeCell ref="D291:F291"/>
    <mergeCell ref="D268:E268"/>
    <mergeCell ref="D269:F269"/>
    <mergeCell ref="D270:E270"/>
    <mergeCell ref="D271:F271"/>
    <mergeCell ref="D272:E272"/>
    <mergeCell ref="D273:F273"/>
    <mergeCell ref="D274:E274"/>
    <mergeCell ref="D275:F275"/>
    <mergeCell ref="D276:E276"/>
    <mergeCell ref="D277:F277"/>
    <mergeCell ref="D278:E278"/>
    <mergeCell ref="D279:F279"/>
    <mergeCell ref="D280:E280"/>
    <mergeCell ref="D281:F281"/>
    <mergeCell ref="D282:E282"/>
    <mergeCell ref="D283:F283"/>
    <mergeCell ref="D284:E284"/>
    <mergeCell ref="D285:F285"/>
    <mergeCell ref="D286:E286"/>
    <mergeCell ref="D239:E239"/>
    <mergeCell ref="D240:F240"/>
    <mergeCell ref="D265:F265"/>
    <mergeCell ref="D266:E266"/>
    <mergeCell ref="D267:F267"/>
    <mergeCell ref="D244:F244"/>
    <mergeCell ref="D245:E245"/>
    <mergeCell ref="D246:F246"/>
    <mergeCell ref="D247:E247"/>
    <mergeCell ref="D248:F248"/>
    <mergeCell ref="D249:E249"/>
    <mergeCell ref="D250:E250"/>
    <mergeCell ref="D251:F251"/>
    <mergeCell ref="D252:E252"/>
    <mergeCell ref="D253:F253"/>
    <mergeCell ref="D254:E254"/>
    <mergeCell ref="D255:F255"/>
    <mergeCell ref="D256:E256"/>
    <mergeCell ref="D257:F257"/>
    <mergeCell ref="D258:E258"/>
    <mergeCell ref="D259:F259"/>
    <mergeCell ref="D260:E260"/>
    <mergeCell ref="D261:F261"/>
    <mergeCell ref="D262:E262"/>
    <mergeCell ref="D215:F215"/>
    <mergeCell ref="D216:E216"/>
    <mergeCell ref="D241:E241"/>
    <mergeCell ref="D242:F242"/>
    <mergeCell ref="D243:E243"/>
    <mergeCell ref="D220:F220"/>
    <mergeCell ref="D221:E221"/>
    <mergeCell ref="D222:F222"/>
    <mergeCell ref="D223:E223"/>
    <mergeCell ref="D224:F224"/>
    <mergeCell ref="D225:E225"/>
    <mergeCell ref="D226:F226"/>
    <mergeCell ref="D227:E227"/>
    <mergeCell ref="D228:F228"/>
    <mergeCell ref="D229:E229"/>
    <mergeCell ref="D230:F230"/>
    <mergeCell ref="D231:E231"/>
    <mergeCell ref="D232:F232"/>
    <mergeCell ref="D233:E233"/>
    <mergeCell ref="D234:F234"/>
    <mergeCell ref="D235:E235"/>
    <mergeCell ref="D236:F236"/>
    <mergeCell ref="D237:E237"/>
    <mergeCell ref="D238:F238"/>
    <mergeCell ref="D191:F191"/>
    <mergeCell ref="D192:E192"/>
    <mergeCell ref="D217:E217"/>
    <mergeCell ref="D218:F218"/>
    <mergeCell ref="D219:E219"/>
    <mergeCell ref="D196:F196"/>
    <mergeCell ref="D197:E197"/>
    <mergeCell ref="D198:E198"/>
    <mergeCell ref="D199:F199"/>
    <mergeCell ref="D200:E200"/>
    <mergeCell ref="D201:F201"/>
    <mergeCell ref="D202:E202"/>
    <mergeCell ref="D203:F203"/>
    <mergeCell ref="D204:E204"/>
    <mergeCell ref="D205:F205"/>
    <mergeCell ref="D206:E206"/>
    <mergeCell ref="D207:F207"/>
    <mergeCell ref="D208:E208"/>
    <mergeCell ref="D209:F209"/>
    <mergeCell ref="D210:E210"/>
    <mergeCell ref="D211:F211"/>
    <mergeCell ref="D212:E212"/>
    <mergeCell ref="D213:F213"/>
    <mergeCell ref="D214:E214"/>
    <mergeCell ref="D167:E167"/>
    <mergeCell ref="D168:F168"/>
    <mergeCell ref="D193:F193"/>
    <mergeCell ref="D194:F194"/>
    <mergeCell ref="D195:E195"/>
    <mergeCell ref="D172:E172"/>
    <mergeCell ref="D173:F173"/>
    <mergeCell ref="D174:E174"/>
    <mergeCell ref="D175:F175"/>
    <mergeCell ref="D176:E176"/>
    <mergeCell ref="D177:F177"/>
    <mergeCell ref="D178:E178"/>
    <mergeCell ref="D179:E179"/>
    <mergeCell ref="D180:F180"/>
    <mergeCell ref="D181:F181"/>
    <mergeCell ref="D182:E182"/>
    <mergeCell ref="D183:F183"/>
    <mergeCell ref="D184:E184"/>
    <mergeCell ref="D185:F185"/>
    <mergeCell ref="D186:F186"/>
    <mergeCell ref="D187:E187"/>
    <mergeCell ref="D188:F188"/>
    <mergeCell ref="D189:F189"/>
    <mergeCell ref="D190:E190"/>
    <mergeCell ref="D143:F143"/>
    <mergeCell ref="D144:E144"/>
    <mergeCell ref="D169:E169"/>
    <mergeCell ref="D170:F170"/>
    <mergeCell ref="D171:E171"/>
    <mergeCell ref="D148:E148"/>
    <mergeCell ref="D149:F149"/>
    <mergeCell ref="D150:E150"/>
    <mergeCell ref="D151:F151"/>
    <mergeCell ref="D152:E152"/>
    <mergeCell ref="D153:F153"/>
    <mergeCell ref="D154:E154"/>
    <mergeCell ref="D155:F155"/>
    <mergeCell ref="D156:E156"/>
    <mergeCell ref="D157:F157"/>
    <mergeCell ref="D158:E158"/>
    <mergeCell ref="D159:E159"/>
    <mergeCell ref="D160:F160"/>
    <mergeCell ref="D161:E161"/>
    <mergeCell ref="D162:E162"/>
    <mergeCell ref="D163:F163"/>
    <mergeCell ref="D164:E164"/>
    <mergeCell ref="D165:F165"/>
    <mergeCell ref="D166:E166"/>
    <mergeCell ref="D119:F119"/>
    <mergeCell ref="D120:E120"/>
    <mergeCell ref="D145:F145"/>
    <mergeCell ref="D146:E146"/>
    <mergeCell ref="D147:F147"/>
    <mergeCell ref="D124:E124"/>
    <mergeCell ref="D125:F125"/>
    <mergeCell ref="D126:E126"/>
    <mergeCell ref="D127:F127"/>
    <mergeCell ref="D128:E128"/>
    <mergeCell ref="D129:F129"/>
    <mergeCell ref="D130:E130"/>
    <mergeCell ref="D131:F131"/>
    <mergeCell ref="D132:E132"/>
    <mergeCell ref="D133:F133"/>
    <mergeCell ref="D134:E134"/>
    <mergeCell ref="D135:F135"/>
    <mergeCell ref="D136:E136"/>
    <mergeCell ref="D137:F137"/>
    <mergeCell ref="D138:E138"/>
    <mergeCell ref="D139:F139"/>
    <mergeCell ref="D140:E140"/>
    <mergeCell ref="D141:F141"/>
    <mergeCell ref="D142:E142"/>
    <mergeCell ref="D95:E95"/>
    <mergeCell ref="D96:F96"/>
    <mergeCell ref="D121:F121"/>
    <mergeCell ref="D122:E122"/>
    <mergeCell ref="D123:F123"/>
    <mergeCell ref="D100:E100"/>
    <mergeCell ref="D101:F101"/>
    <mergeCell ref="D102:E102"/>
    <mergeCell ref="D103:F103"/>
    <mergeCell ref="D104:F104"/>
    <mergeCell ref="D105:F105"/>
    <mergeCell ref="D106:E106"/>
    <mergeCell ref="D107:F107"/>
    <mergeCell ref="D108:F108"/>
    <mergeCell ref="D109:F109"/>
    <mergeCell ref="D110:E110"/>
    <mergeCell ref="D111:F111"/>
    <mergeCell ref="D112:E112"/>
    <mergeCell ref="D113:F113"/>
    <mergeCell ref="D114:E114"/>
    <mergeCell ref="D115:F115"/>
    <mergeCell ref="D116:E116"/>
    <mergeCell ref="D117:F117"/>
    <mergeCell ref="D118:E118"/>
    <mergeCell ref="D71:E71"/>
    <mergeCell ref="D72:F72"/>
    <mergeCell ref="D97:E97"/>
    <mergeCell ref="D98:F98"/>
    <mergeCell ref="D99:E99"/>
    <mergeCell ref="D76:E76"/>
    <mergeCell ref="D77:F77"/>
    <mergeCell ref="D78:E78"/>
    <mergeCell ref="D79:F79"/>
    <mergeCell ref="D80:E80"/>
    <mergeCell ref="D81:F81"/>
    <mergeCell ref="D82:E82"/>
    <mergeCell ref="D83:E83"/>
    <mergeCell ref="D84:F84"/>
    <mergeCell ref="D85:E85"/>
    <mergeCell ref="D86:E86"/>
    <mergeCell ref="D87:F87"/>
    <mergeCell ref="D88:E88"/>
    <mergeCell ref="D89:F89"/>
    <mergeCell ref="D90:E90"/>
    <mergeCell ref="D91:E91"/>
    <mergeCell ref="D92:F92"/>
    <mergeCell ref="D93:E93"/>
    <mergeCell ref="D94:F94"/>
    <mergeCell ref="D47:F47"/>
    <mergeCell ref="D48:E48"/>
    <mergeCell ref="D73:E73"/>
    <mergeCell ref="D74:F74"/>
    <mergeCell ref="D75:E75"/>
    <mergeCell ref="D52:E52"/>
    <mergeCell ref="D53:E53"/>
    <mergeCell ref="D54:F54"/>
    <mergeCell ref="D55:F55"/>
    <mergeCell ref="D56:E56"/>
    <mergeCell ref="D57:E57"/>
    <mergeCell ref="D58:F58"/>
    <mergeCell ref="D59:E59"/>
    <mergeCell ref="D60:F60"/>
    <mergeCell ref="D61:E61"/>
    <mergeCell ref="D62:E62"/>
    <mergeCell ref="D63:F63"/>
    <mergeCell ref="D64:E64"/>
    <mergeCell ref="D65:F65"/>
    <mergeCell ref="D66:E66"/>
    <mergeCell ref="D67:E67"/>
    <mergeCell ref="D68:F68"/>
    <mergeCell ref="D69:E69"/>
    <mergeCell ref="D70:F70"/>
    <mergeCell ref="D23:F23"/>
    <mergeCell ref="D24:E24"/>
    <mergeCell ref="D49:F49"/>
    <mergeCell ref="D50:E50"/>
    <mergeCell ref="D51:F51"/>
    <mergeCell ref="D28:E28"/>
    <mergeCell ref="D29:F29"/>
    <mergeCell ref="D30:E30"/>
    <mergeCell ref="D31:F31"/>
    <mergeCell ref="D32:E32"/>
    <mergeCell ref="D33:F33"/>
    <mergeCell ref="D34:E34"/>
    <mergeCell ref="D35:F35"/>
    <mergeCell ref="D36:E36"/>
    <mergeCell ref="D37:E37"/>
    <mergeCell ref="D38:F38"/>
    <mergeCell ref="D39:E39"/>
    <mergeCell ref="D40:F40"/>
    <mergeCell ref="D41:E41"/>
    <mergeCell ref="D42:F42"/>
    <mergeCell ref="D43:E43"/>
    <mergeCell ref="D44:E44"/>
    <mergeCell ref="D45:F45"/>
    <mergeCell ref="D46:E46"/>
    <mergeCell ref="D25:E25"/>
    <mergeCell ref="D26:F26"/>
    <mergeCell ref="D27:E27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  <mergeCell ref="D14:E14"/>
    <mergeCell ref="D15:F15"/>
    <mergeCell ref="D16:E16"/>
    <mergeCell ref="D17:F17"/>
    <mergeCell ref="D18:E18"/>
    <mergeCell ref="D19:F19"/>
    <mergeCell ref="D20:E20"/>
    <mergeCell ref="D21:F21"/>
    <mergeCell ref="D22:E22"/>
    <mergeCell ref="A1:H1"/>
    <mergeCell ref="A2:B3"/>
    <mergeCell ref="C2:D3"/>
    <mergeCell ref="E2:E3"/>
    <mergeCell ref="F2:H3"/>
    <mergeCell ref="A4:B5"/>
    <mergeCell ref="C4:D5"/>
    <mergeCell ref="E4:E5"/>
    <mergeCell ref="F4:H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9EF09-5199-47AA-8E7A-F826B96223C8}">
  <sheetPr>
    <pageSetUpPr fitToPage="1"/>
  </sheetPr>
  <dimension ref="A1:J37"/>
  <sheetViews>
    <sheetView topLeftCell="A35"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rozpočet-SO04'!C2</f>
        <v>Snížení energetické.náročnosti objektů Domova Kladno-Švermov</v>
      </c>
      <c r="D2" s="291"/>
      <c r="E2" s="293" t="s">
        <v>1657</v>
      </c>
      <c r="F2" s="293" t="str">
        <f>'Stavební rozpočet-SO04'!I2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rozpočet-SO04'!C4</f>
        <v>SO 04 - OBJEKT 4 - č.p.1435</v>
      </c>
      <c r="D4" s="256"/>
      <c r="E4" s="255" t="s">
        <v>1658</v>
      </c>
      <c r="F4" s="255" t="str">
        <f>'Stavební rozpočet-SO04'!I4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>
        <f>'Stavební rozpočet-SO04'!C6</f>
        <v>0</v>
      </c>
      <c r="D6" s="256"/>
      <c r="E6" s="255" t="s">
        <v>1659</v>
      </c>
      <c r="F6" s="255" t="str">
        <f>'Stavební rozpočet-SO04'!I6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2572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>
        <f>'Stavební rozpočet-SO04'!C8</f>
        <v>0</v>
      </c>
      <c r="D10" s="256"/>
      <c r="E10" s="255" t="s">
        <v>1660</v>
      </c>
      <c r="F10" s="255" t="str">
        <f>'Stavební rozpočet-SO04'!I8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rozpočet-SO04'!AB12:AB632)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rozpočet-SO04'!AC12:AC632)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rozpočet-SO04'!AD12:AD632)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rozpočet-SO04'!AE12:AE632)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rozpočet-SO04'!AF12:AF632)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rozpočet-SO04'!AG12:AG632)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rozpočet-SO04'!AH12:AH632)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rozpočet-SO04'!Z12:Z632)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rozpočet-SO04'!AJ12:AJ632)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rozpočet-SO04'!AK12:AK632)+(F22+I22+F23+I23+I24+I25)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rozpočet-SO04'!AL12:AL632)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WX9K72f7NhP1AH0zATnR1BTaNd3XKwJ66rSAA2KsI7zYqcO+pkITlLpRrrEVd/AOayMqXRd7WeWCVR0vvnOgbg==" saltValue="R+LyZ5tQQHB6VBeRhhP/yw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E824A-D839-423B-ACA0-EFC8C5EAA3F8}">
  <sheetPr>
    <pageSetUpPr fitToPage="1"/>
  </sheetPr>
  <dimension ref="A1:I56"/>
  <sheetViews>
    <sheetView workbookViewId="0">
      <pane ySplit="10" topLeftCell="A45" activePane="bottomLeft" state="frozenSplit"/>
      <selection pane="bottomLeft" activeCell="R1" sqref="R1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rozpočet-SO04'!C2</f>
        <v>Snížení energetické.náročnosti objektů Domova Kladno-Švermov</v>
      </c>
      <c r="C2" s="291"/>
      <c r="D2" s="293" t="s">
        <v>1657</v>
      </c>
      <c r="E2" s="293" t="str">
        <f>'Stavební rozpočet-SO04'!I2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rozpočet-SO04'!C4</f>
        <v>SO 04 - OBJEKT 4 - č.p.1435</v>
      </c>
      <c r="C4" s="256"/>
      <c r="D4" s="255" t="s">
        <v>1658</v>
      </c>
      <c r="E4" s="255" t="str">
        <f>'Stavební rozpočet-SO04'!I4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>
        <f>'Stavební rozpočet-SO04'!C6</f>
        <v>0</v>
      </c>
      <c r="C6" s="256"/>
      <c r="D6" s="255" t="s">
        <v>1659</v>
      </c>
      <c r="E6" s="255" t="str">
        <f>'Stavební rozpočet-SO04'!I6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rozpočet-SO04'!I8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rozpočet-SO04'!I12</f>
        <v>0</v>
      </c>
      <c r="F11" s="101">
        <f>'Stavební rozpočet-SO04'!J12</f>
        <v>0</v>
      </c>
      <c r="G11" s="101">
        <f>'Stavební rozpočet-SO04'!K12</f>
        <v>0</v>
      </c>
      <c r="H11" s="100" t="s">
        <v>1747</v>
      </c>
      <c r="I11" s="100">
        <f t="shared" ref="I11:I54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rozpočet-SO04'!I19</f>
        <v>0</v>
      </c>
      <c r="F12" s="100">
        <f>'Stavební rozpočet-SO04'!J19</f>
        <v>0</v>
      </c>
      <c r="G12" s="100">
        <f>'Stavební rozpočet-SO04'!K19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rozpočet-SO04'!I21</f>
        <v>0</v>
      </c>
      <c r="F13" s="100">
        <f>'Stavební rozpočet-SO04'!J21</f>
        <v>0</v>
      </c>
      <c r="G13" s="100">
        <f>'Stavební rozpočet-SO04'!K21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rozpočet-SO04'!I26</f>
        <v>0</v>
      </c>
      <c r="F14" s="100">
        <f>'Stavební rozpočet-SO04'!J26</f>
        <v>0</v>
      </c>
      <c r="G14" s="100">
        <f>'Stavební rozpočet-SO04'!K26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rozpočet-SO04'!I30</f>
        <v>0</v>
      </c>
      <c r="F15" s="100">
        <f>'Stavební rozpočet-SO04'!J30</f>
        <v>0</v>
      </c>
      <c r="G15" s="100">
        <f>'Stavební rozpočet-SO04'!K30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rozpočet-SO04'!I35</f>
        <v>0</v>
      </c>
      <c r="F16" s="100">
        <f>'Stavební rozpočet-SO04'!J35</f>
        <v>0</v>
      </c>
      <c r="G16" s="100">
        <f>'Stavební rozpočet-SO04'!K35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rozpočet-SO04'!I37</f>
        <v>0</v>
      </c>
      <c r="F17" s="100">
        <f>'Stavební rozpočet-SO04'!J37</f>
        <v>0</v>
      </c>
      <c r="G17" s="100">
        <f>'Stavební rozpočet-SO04'!K37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33</v>
      </c>
      <c r="C18" s="282" t="s">
        <v>1081</v>
      </c>
      <c r="D18" s="256"/>
      <c r="E18" s="100">
        <f>'Stavební rozpočet-SO04'!I40</f>
        <v>0</v>
      </c>
      <c r="F18" s="100">
        <f>'Stavební rozpočet-SO04'!J40</f>
        <v>0</v>
      </c>
      <c r="G18" s="100">
        <f>'Stavební rozpočet-SO04'!K40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37</v>
      </c>
      <c r="C19" s="282" t="s">
        <v>1084</v>
      </c>
      <c r="D19" s="256"/>
      <c r="E19" s="100">
        <f>'Stavební rozpočet-SO04'!I43</f>
        <v>0</v>
      </c>
      <c r="F19" s="100">
        <f>'Stavební rozpočet-SO04'!J43</f>
        <v>0</v>
      </c>
      <c r="G19" s="100">
        <f>'Stavební rozpočet-SO04'!K43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62</v>
      </c>
      <c r="C20" s="282" t="s">
        <v>1090</v>
      </c>
      <c r="D20" s="256"/>
      <c r="E20" s="100">
        <f>'Stavební rozpočet-SO04'!I48</f>
        <v>0</v>
      </c>
      <c r="F20" s="100">
        <f>'Stavební rozpočet-SO04'!J48</f>
        <v>0</v>
      </c>
      <c r="G20" s="100">
        <f>'Stavební rozpočet-SO04'!K48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65</v>
      </c>
      <c r="C21" s="282" t="s">
        <v>1094</v>
      </c>
      <c r="D21" s="256"/>
      <c r="E21" s="100">
        <f>'Stavební rozpočet-SO04'!I52</f>
        <v>0</v>
      </c>
      <c r="F21" s="100">
        <f>'Stavební rozpočet-SO04'!J52</f>
        <v>0</v>
      </c>
      <c r="G21" s="100">
        <f>'Stavební rozpočet-SO04'!K52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67</v>
      </c>
      <c r="C22" s="282" t="s">
        <v>1097</v>
      </c>
      <c r="D22" s="256"/>
      <c r="E22" s="100">
        <f>'Stavební rozpočet-SO04'!I56</f>
        <v>0</v>
      </c>
      <c r="F22" s="100">
        <f>'Stavební rozpočet-SO04'!J56</f>
        <v>0</v>
      </c>
      <c r="G22" s="100">
        <f>'Stavební rozpočet-SO04'!K56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68</v>
      </c>
      <c r="C23" s="282" t="s">
        <v>1104</v>
      </c>
      <c r="D23" s="256"/>
      <c r="E23" s="100">
        <f>'Stavební rozpočet-SO04'!I64</f>
        <v>0</v>
      </c>
      <c r="F23" s="100">
        <f>'Stavební rozpočet-SO04'!J64</f>
        <v>0</v>
      </c>
      <c r="G23" s="100">
        <f>'Stavební rozpočet-SO04'!K64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69</v>
      </c>
      <c r="C24" s="282" t="s">
        <v>1128</v>
      </c>
      <c r="D24" s="256"/>
      <c r="E24" s="100">
        <f>'Stavební rozpočet-SO04'!I89</f>
        <v>0</v>
      </c>
      <c r="F24" s="100">
        <f>'Stavební rozpočet-SO04'!J89</f>
        <v>0</v>
      </c>
      <c r="G24" s="100">
        <f>'Stavební rozpočet-SO04'!K89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70</v>
      </c>
      <c r="C25" s="282" t="s">
        <v>2575</v>
      </c>
      <c r="D25" s="256"/>
      <c r="E25" s="100">
        <f>'Stavební rozpočet-SO04'!I91</f>
        <v>0</v>
      </c>
      <c r="F25" s="100">
        <f>'Stavební rozpočet-SO04'!J91</f>
        <v>0</v>
      </c>
      <c r="G25" s="100">
        <f>'Stavební rozpočet-SO04'!K91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89</v>
      </c>
      <c r="C26" s="282" t="s">
        <v>1130</v>
      </c>
      <c r="D26" s="256"/>
      <c r="E26" s="100">
        <f>'Stavební rozpočet-SO04'!I94</f>
        <v>0</v>
      </c>
      <c r="F26" s="100">
        <f>'Stavební rozpočet-SO04'!J94</f>
        <v>0</v>
      </c>
      <c r="G26" s="100">
        <f>'Stavební rozpočet-SO04'!K94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95</v>
      </c>
      <c r="C27" s="282" t="s">
        <v>1133</v>
      </c>
      <c r="D27" s="256"/>
      <c r="E27" s="100">
        <f>'Stavební rozpočet-SO04'!I97</f>
        <v>0</v>
      </c>
      <c r="F27" s="100">
        <f>'Stavební rozpočet-SO04'!J97</f>
        <v>0</v>
      </c>
      <c r="G27" s="100">
        <f>'Stavební rozpočet-SO04'!K97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97</v>
      </c>
      <c r="C28" s="282" t="s">
        <v>1136</v>
      </c>
      <c r="D28" s="256"/>
      <c r="E28" s="100">
        <f>'Stavební rozpočet-SO04'!I100</f>
        <v>0</v>
      </c>
      <c r="F28" s="100">
        <f>'Stavební rozpočet-SO04'!J100</f>
        <v>0</v>
      </c>
      <c r="G28" s="100">
        <f>'Stavební rozpočet-SO04'!K100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100</v>
      </c>
      <c r="C29" s="282" t="s">
        <v>1139</v>
      </c>
      <c r="D29" s="256"/>
      <c r="E29" s="100">
        <f>'Stavební rozpočet-SO04'!I103</f>
        <v>0</v>
      </c>
      <c r="F29" s="100">
        <f>'Stavební rozpočet-SO04'!J103</f>
        <v>0</v>
      </c>
      <c r="G29" s="100">
        <f>'Stavební rozpočet-SO04'!K103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101</v>
      </c>
      <c r="C30" s="282" t="s">
        <v>1147</v>
      </c>
      <c r="D30" s="256"/>
      <c r="E30" s="100">
        <f>'Stavební rozpočet-SO04'!I111</f>
        <v>0</v>
      </c>
      <c r="F30" s="100">
        <f>'Stavební rozpočet-SO04'!J111</f>
        <v>0</v>
      </c>
      <c r="G30" s="100">
        <f>'Stavební rozpočet-SO04'!K111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102</v>
      </c>
      <c r="C31" s="282" t="s">
        <v>1158</v>
      </c>
      <c r="D31" s="256"/>
      <c r="E31" s="100">
        <f>'Stavební rozpočet-SO04'!I122</f>
        <v>0</v>
      </c>
      <c r="F31" s="100">
        <f>'Stavební rozpočet-SO04'!J122</f>
        <v>0</v>
      </c>
      <c r="G31" s="100">
        <f>'Stavební rozpočet-SO04'!K122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103</v>
      </c>
      <c r="C32" s="282" t="s">
        <v>1178</v>
      </c>
      <c r="D32" s="256"/>
      <c r="E32" s="100">
        <f>'Stavební rozpočet-SO04'!I145</f>
        <v>0</v>
      </c>
      <c r="F32" s="100">
        <f>'Stavební rozpočet-SO04'!J145</f>
        <v>0</v>
      </c>
      <c r="G32" s="100">
        <f>'Stavební rozpočet-SO04'!K145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686</v>
      </c>
      <c r="C33" s="282" t="s">
        <v>1198</v>
      </c>
      <c r="D33" s="256"/>
      <c r="E33" s="100">
        <f>'Stavební rozpočet-SO04'!I168</f>
        <v>0</v>
      </c>
      <c r="F33" s="100">
        <f>'Stavební rozpočet-SO04'!J168</f>
        <v>0</v>
      </c>
      <c r="G33" s="100">
        <f>'Stavební rozpočet-SO04'!K168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703</v>
      </c>
      <c r="C34" s="282" t="s">
        <v>1215</v>
      </c>
      <c r="D34" s="256"/>
      <c r="E34" s="100">
        <f>'Stavební rozpočet-SO04'!I185</f>
        <v>0</v>
      </c>
      <c r="F34" s="100">
        <f>'Stavební rozpočet-SO04'!J185</f>
        <v>0</v>
      </c>
      <c r="G34" s="100">
        <f>'Stavební rozpočet-SO04'!K185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705</v>
      </c>
      <c r="C35" s="282" t="s">
        <v>1217</v>
      </c>
      <c r="D35" s="256"/>
      <c r="E35" s="100">
        <f>'Stavební rozpočet-SO04'!I187</f>
        <v>0</v>
      </c>
      <c r="F35" s="100">
        <f>'Stavební rozpočet-SO04'!J187</f>
        <v>0</v>
      </c>
      <c r="G35" s="100">
        <f>'Stavební rozpočet-SO04'!K187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710</v>
      </c>
      <c r="C36" s="282" t="s">
        <v>1222</v>
      </c>
      <c r="D36" s="256"/>
      <c r="E36" s="100">
        <f>'Stavební rozpočet-SO04'!I192</f>
        <v>0</v>
      </c>
      <c r="F36" s="100">
        <f>'Stavební rozpočet-SO04'!J192</f>
        <v>0</v>
      </c>
      <c r="G36" s="100">
        <f>'Stavební rozpočet-SO04'!K192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719</v>
      </c>
      <c r="C37" s="282" t="s">
        <v>1231</v>
      </c>
      <c r="D37" s="256"/>
      <c r="E37" s="100">
        <f>'Stavební rozpočet-SO04'!I201</f>
        <v>0</v>
      </c>
      <c r="F37" s="100">
        <f>'Stavební rozpočet-SO04'!J201</f>
        <v>0</v>
      </c>
      <c r="G37" s="100">
        <f>'Stavební rozpočet-SO04'!K201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744</v>
      </c>
      <c r="C38" s="282" t="s">
        <v>1256</v>
      </c>
      <c r="D38" s="256"/>
      <c r="E38" s="100">
        <f>'Stavební rozpočet-SO04'!I226</f>
        <v>0</v>
      </c>
      <c r="F38" s="100">
        <f>'Stavební rozpočet-SO04'!J226</f>
        <v>0</v>
      </c>
      <c r="G38" s="100">
        <f>'Stavební rozpočet-SO04'!K226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771</v>
      </c>
      <c r="C39" s="282" t="s">
        <v>1283</v>
      </c>
      <c r="D39" s="256"/>
      <c r="E39" s="100">
        <f>'Stavební rozpočet-SO04'!I243</f>
        <v>0</v>
      </c>
      <c r="F39" s="100">
        <f>'Stavební rozpočet-SO04'!J243</f>
        <v>0</v>
      </c>
      <c r="G39" s="100">
        <f>'Stavební rozpočet-SO04'!K243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772</v>
      </c>
      <c r="C40" s="282" t="s">
        <v>1355</v>
      </c>
      <c r="D40" s="256"/>
      <c r="E40" s="100">
        <f>'Stavební rozpočet-SO04'!I321</f>
        <v>0</v>
      </c>
      <c r="F40" s="100">
        <f>'Stavební rozpočet-SO04'!J321</f>
        <v>0</v>
      </c>
      <c r="G40" s="100">
        <f>'Stavební rozpočet-SO04'!K321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798</v>
      </c>
      <c r="C41" s="282" t="s">
        <v>1379</v>
      </c>
      <c r="D41" s="256"/>
      <c r="E41" s="100">
        <f>'Stavební rozpočet-SO04'!I339</f>
        <v>0</v>
      </c>
      <c r="F41" s="100">
        <f>'Stavební rozpočet-SO04'!J339</f>
        <v>0</v>
      </c>
      <c r="G41" s="100">
        <f>'Stavební rozpočet-SO04'!K339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822</v>
      </c>
      <c r="C42" s="282" t="s">
        <v>1395</v>
      </c>
      <c r="D42" s="256"/>
      <c r="E42" s="100">
        <f>'Stavební rozpočet-SO04'!I363</f>
        <v>0</v>
      </c>
      <c r="F42" s="100">
        <f>'Stavební rozpočet-SO04'!J363</f>
        <v>0</v>
      </c>
      <c r="G42" s="100">
        <f>'Stavební rozpočet-SO04'!K363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842</v>
      </c>
      <c r="C43" s="282" t="s">
        <v>1424</v>
      </c>
      <c r="D43" s="256"/>
      <c r="E43" s="100">
        <f>'Stavební rozpočet-SO04'!I392</f>
        <v>0</v>
      </c>
      <c r="F43" s="100">
        <f>'Stavební rozpočet-SO04'!J392</f>
        <v>0</v>
      </c>
      <c r="G43" s="100">
        <f>'Stavební rozpočet-SO04'!K392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869</v>
      </c>
      <c r="C44" s="282" t="s">
        <v>1458</v>
      </c>
      <c r="D44" s="256"/>
      <c r="E44" s="100">
        <f>'Stavební rozpočet-SO04'!I427</f>
        <v>0</v>
      </c>
      <c r="F44" s="100">
        <f>'Stavební rozpočet-SO04'!J427</f>
        <v>0</v>
      </c>
      <c r="G44" s="100">
        <f>'Stavební rozpočet-SO04'!K427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882</v>
      </c>
      <c r="C45" s="282" t="s">
        <v>1471</v>
      </c>
      <c r="D45" s="256"/>
      <c r="E45" s="100">
        <f>'Stavební rozpočet-SO04'!I440</f>
        <v>0</v>
      </c>
      <c r="F45" s="100">
        <f>'Stavební rozpočet-SO04'!J440</f>
        <v>0</v>
      </c>
      <c r="G45" s="100">
        <f>'Stavební rozpočet-SO04'!K440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903</v>
      </c>
      <c r="C46" s="282" t="s">
        <v>1492</v>
      </c>
      <c r="D46" s="256"/>
      <c r="E46" s="100">
        <f>'Stavební rozpočet-SO04'!I461</f>
        <v>0</v>
      </c>
      <c r="F46" s="100">
        <f>'Stavební rozpočet-SO04'!J461</f>
        <v>0</v>
      </c>
      <c r="G46" s="100">
        <f>'Stavební rozpočet-SO04'!K461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907</v>
      </c>
      <c r="C47" s="282" t="s">
        <v>1496</v>
      </c>
      <c r="D47" s="256"/>
      <c r="E47" s="100">
        <f>'Stavební rozpočet-SO04'!I471</f>
        <v>0</v>
      </c>
      <c r="F47" s="100">
        <f>'Stavební rozpočet-SO04'!J471</f>
        <v>0</v>
      </c>
      <c r="G47" s="100">
        <f>'Stavební rozpočet-SO04'!K471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922</v>
      </c>
      <c r="C48" s="282" t="s">
        <v>1511</v>
      </c>
      <c r="D48" s="256"/>
      <c r="E48" s="100">
        <f>'Stavební rozpočet-SO04'!I485</f>
        <v>0</v>
      </c>
      <c r="F48" s="100">
        <f>'Stavební rozpočet-SO04'!J485</f>
        <v>0</v>
      </c>
      <c r="G48" s="100">
        <f>'Stavební rozpočet-SO04'!K485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930</v>
      </c>
      <c r="C49" s="282" t="s">
        <v>1519</v>
      </c>
      <c r="D49" s="256"/>
      <c r="E49" s="100">
        <f>'Stavební rozpočet-SO04'!I493</f>
        <v>0</v>
      </c>
      <c r="F49" s="100">
        <f>'Stavební rozpočet-SO04'!J493</f>
        <v>0</v>
      </c>
      <c r="G49" s="100">
        <f>'Stavební rozpočet-SO04'!K493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936</v>
      </c>
      <c r="C50" s="282" t="s">
        <v>1525</v>
      </c>
      <c r="D50" s="256"/>
      <c r="E50" s="100">
        <f>'Stavební rozpočet-SO04'!I499</f>
        <v>0</v>
      </c>
      <c r="F50" s="100">
        <f>'Stavební rozpočet-SO04'!J499</f>
        <v>0</v>
      </c>
      <c r="G50" s="100">
        <f>'Stavební rozpočet-SO04'!K499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2574</v>
      </c>
      <c r="C51" s="282" t="s">
        <v>2573</v>
      </c>
      <c r="D51" s="256"/>
      <c r="E51" s="100">
        <f>'Stavební rozpočet-SO04'!I529</f>
        <v>0</v>
      </c>
      <c r="F51" s="100">
        <f>'Stavební rozpočet-SO04'!J529</f>
        <v>0</v>
      </c>
      <c r="G51" s="100">
        <f>'Stavební rozpočet-SO04'!K529</f>
        <v>0</v>
      </c>
      <c r="H51" s="100" t="s">
        <v>1747</v>
      </c>
      <c r="I51" s="100">
        <f t="shared" si="0"/>
        <v>0</v>
      </c>
    </row>
    <row r="52" spans="1:9" x14ac:dyDescent="0.2">
      <c r="A52" s="96"/>
      <c r="B52" s="96" t="s">
        <v>967</v>
      </c>
      <c r="C52" s="282" t="s">
        <v>1556</v>
      </c>
      <c r="D52" s="256"/>
      <c r="E52" s="100">
        <f>'Stavební rozpočet-SO04'!I546</f>
        <v>0</v>
      </c>
      <c r="F52" s="100">
        <f>'Stavební rozpočet-SO04'!J546</f>
        <v>0</v>
      </c>
      <c r="G52" s="100">
        <f>'Stavební rozpočet-SO04'!K546</f>
        <v>0</v>
      </c>
      <c r="H52" s="100" t="s">
        <v>1747</v>
      </c>
      <c r="I52" s="100">
        <f t="shared" si="0"/>
        <v>0</v>
      </c>
    </row>
    <row r="53" spans="1:9" x14ac:dyDescent="0.2">
      <c r="A53" s="96"/>
      <c r="B53" s="96" t="s">
        <v>970</v>
      </c>
      <c r="C53" s="282" t="s">
        <v>1559</v>
      </c>
      <c r="D53" s="256"/>
      <c r="E53" s="100">
        <f>'Stavební rozpočet-SO04'!I549</f>
        <v>0</v>
      </c>
      <c r="F53" s="100">
        <f>'Stavební rozpočet-SO04'!J549</f>
        <v>0</v>
      </c>
      <c r="G53" s="100">
        <f>'Stavební rozpočet-SO04'!K549</f>
        <v>0</v>
      </c>
      <c r="H53" s="100" t="s">
        <v>1747</v>
      </c>
      <c r="I53" s="100">
        <f t="shared" si="0"/>
        <v>0</v>
      </c>
    </row>
    <row r="54" spans="1:9" x14ac:dyDescent="0.2">
      <c r="A54" s="96"/>
      <c r="B54" s="96" t="s">
        <v>1039</v>
      </c>
      <c r="C54" s="282" t="s">
        <v>1631</v>
      </c>
      <c r="D54" s="256"/>
      <c r="E54" s="100">
        <f>'Stavební rozpočet-SO04'!I625</f>
        <v>0</v>
      </c>
      <c r="F54" s="100">
        <f>'Stavební rozpočet-SO04'!J625</f>
        <v>0</v>
      </c>
      <c r="G54" s="100">
        <f>'Stavební rozpočet-SO04'!K625</f>
        <v>0</v>
      </c>
      <c r="H54" s="100" t="s">
        <v>1747</v>
      </c>
      <c r="I54" s="100">
        <f t="shared" si="0"/>
        <v>0</v>
      </c>
    </row>
    <row r="56" spans="1:9" x14ac:dyDescent="0.2">
      <c r="F56" s="99" t="s">
        <v>1666</v>
      </c>
      <c r="G56" s="98">
        <f>SUM(I11:I54)</f>
        <v>0</v>
      </c>
    </row>
  </sheetData>
  <mergeCells count="62">
    <mergeCell ref="C52:D52"/>
    <mergeCell ref="C53:D53"/>
    <mergeCell ref="C54:D54"/>
    <mergeCell ref="C46:D46"/>
    <mergeCell ref="C47:D47"/>
    <mergeCell ref="C48:D48"/>
    <mergeCell ref="C49:D49"/>
    <mergeCell ref="C50:D50"/>
    <mergeCell ref="C51:D51"/>
    <mergeCell ref="C45:D45"/>
    <mergeCell ref="C34:D34"/>
    <mergeCell ref="C35:D35"/>
    <mergeCell ref="C36:D36"/>
    <mergeCell ref="C37:D37"/>
    <mergeCell ref="C38:D38"/>
    <mergeCell ref="C44:D44"/>
    <mergeCell ref="C39:D39"/>
    <mergeCell ref="C40:D40"/>
    <mergeCell ref="C41:D41"/>
    <mergeCell ref="C42:D42"/>
    <mergeCell ref="C43:D43"/>
    <mergeCell ref="C19:D19"/>
    <mergeCell ref="C20:D20"/>
    <mergeCell ref="C33:D33"/>
    <mergeCell ref="C22:D22"/>
    <mergeCell ref="C23:D23"/>
    <mergeCell ref="C24:D24"/>
    <mergeCell ref="C25:D25"/>
    <mergeCell ref="C26:D26"/>
    <mergeCell ref="C27:D27"/>
    <mergeCell ref="C28:D28"/>
    <mergeCell ref="C21:D21"/>
    <mergeCell ref="C29:D29"/>
    <mergeCell ref="C30:D30"/>
    <mergeCell ref="C31:D31"/>
    <mergeCell ref="C32:D32"/>
    <mergeCell ref="C15:D15"/>
    <mergeCell ref="C16:D16"/>
    <mergeCell ref="C17:D17"/>
    <mergeCell ref="C18:D18"/>
    <mergeCell ref="A6:A7"/>
    <mergeCell ref="B6:C7"/>
    <mergeCell ref="D6:D7"/>
    <mergeCell ref="C10:D10"/>
    <mergeCell ref="C11:D11"/>
    <mergeCell ref="C12:D12"/>
    <mergeCell ref="C13:D13"/>
    <mergeCell ref="C14:D14"/>
    <mergeCell ref="E6:G7"/>
    <mergeCell ref="A8:A9"/>
    <mergeCell ref="B8:C9"/>
    <mergeCell ref="D8:D9"/>
    <mergeCell ref="E8:G9"/>
    <mergeCell ref="A4:A5"/>
    <mergeCell ref="B4:C5"/>
    <mergeCell ref="D4:D5"/>
    <mergeCell ref="E4:G5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75C6F-4672-4A31-A241-BC8EA187FADB}">
  <sheetPr>
    <pageSetUpPr fitToPage="1"/>
  </sheetPr>
  <dimension ref="A1:BJ635"/>
  <sheetViews>
    <sheetView topLeftCell="C1" zoomScale="85" zoomScaleNormal="85" workbookViewId="0">
      <pane ySplit="11" topLeftCell="A517" activePane="bottomLeft" state="frozenSplit"/>
      <selection activeCell="A2" sqref="A2:A3"/>
      <selection pane="bottomLeft" activeCell="C10" sqref="C10:E10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8554687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2868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40"/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/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/>
      <c r="I12" s="127">
        <f>SUM(I13:I18)</f>
        <v>0</v>
      </c>
      <c r="J12" s="127">
        <f>SUM(J13:J18)</f>
        <v>0</v>
      </c>
      <c r="K12" s="127">
        <f>SUM(K13:K18)</f>
        <v>0</v>
      </c>
      <c r="L12" s="126"/>
      <c r="AI12" s="109"/>
      <c r="AS12" s="118">
        <f>SUM(AJ13:AJ18)</f>
        <v>0</v>
      </c>
      <c r="AT12" s="118">
        <f>SUM(AK13:AK18)</f>
        <v>0</v>
      </c>
      <c r="AU12" s="118">
        <f>SUM(AL13:AL18)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 t="shared" ref="I13:I18" si="0">G13*AO13</f>
        <v>0</v>
      </c>
      <c r="J13" s="108">
        <f t="shared" ref="J13:J18" si="1">G13*AP13</f>
        <v>0</v>
      </c>
      <c r="K13" s="108">
        <f t="shared" ref="K13:K18" si="2">G13*H13</f>
        <v>0</v>
      </c>
      <c r="L13" s="111" t="s">
        <v>1671</v>
      </c>
      <c r="Z13" s="100">
        <f t="shared" ref="Z13:Z18" si="3">IF(AQ13="5",BJ13,0)</f>
        <v>0</v>
      </c>
      <c r="AB13" s="100">
        <f t="shared" ref="AB13:AB18" si="4">IF(AQ13="1",BH13,0)</f>
        <v>0</v>
      </c>
      <c r="AC13" s="100">
        <f t="shared" ref="AC13:AC18" si="5">IF(AQ13="1",BI13,0)</f>
        <v>0</v>
      </c>
      <c r="AD13" s="100">
        <f t="shared" ref="AD13:AD18" si="6">IF(AQ13="7",BH13,0)</f>
        <v>0</v>
      </c>
      <c r="AE13" s="100">
        <f t="shared" ref="AE13:AE18" si="7">IF(AQ13="7",BI13,0)</f>
        <v>0</v>
      </c>
      <c r="AF13" s="100">
        <f t="shared" ref="AF13:AF18" si="8">IF(AQ13="2",BH13,0)</f>
        <v>0</v>
      </c>
      <c r="AG13" s="100">
        <f t="shared" ref="AG13:AG18" si="9">IF(AQ13="2",BI13,0)</f>
        <v>0</v>
      </c>
      <c r="AH13" s="100">
        <f t="shared" ref="AH13:AH18" si="10">IF(AQ13="0",BJ13,0)</f>
        <v>0</v>
      </c>
      <c r="AI13" s="109"/>
      <c r="AJ13" s="108">
        <f t="shared" ref="AJ13:AJ18" si="11">IF(AN13=0,K13,0)</f>
        <v>0</v>
      </c>
      <c r="AK13" s="108">
        <f t="shared" ref="AK13:AK18" si="12">IF(AN13=15,K13,0)</f>
        <v>0</v>
      </c>
      <c r="AL13" s="108">
        <f t="shared" ref="AL13:AL18" si="13"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 t="shared" ref="AV13:AV18" si="14">AW13+AX13</f>
        <v>0</v>
      </c>
      <c r="AW13" s="100">
        <f t="shared" ref="AW13:AW18" si="15">G13*AO13</f>
        <v>0</v>
      </c>
      <c r="AX13" s="100">
        <f t="shared" ref="AX13:AX18" si="16">G13*AP13</f>
        <v>0</v>
      </c>
      <c r="AY13" s="110" t="s">
        <v>1681</v>
      </c>
      <c r="AZ13" s="110" t="s">
        <v>1724</v>
      </c>
      <c r="BA13" s="109" t="s">
        <v>1737</v>
      </c>
      <c r="BC13" s="100">
        <f t="shared" ref="BC13:BC18" si="17">AW13+AX13</f>
        <v>0</v>
      </c>
      <c r="BD13" s="100">
        <f t="shared" ref="BD13:BD18" si="18">H13/(100-BE13)*100</f>
        <v>0</v>
      </c>
      <c r="BE13" s="100">
        <v>0</v>
      </c>
      <c r="BF13" s="100">
        <f>13</f>
        <v>13</v>
      </c>
      <c r="BH13" s="108">
        <f t="shared" ref="BH13:BH18" si="19">G13*AO13</f>
        <v>0</v>
      </c>
      <c r="BI13" s="108">
        <f t="shared" ref="BI13:BI18" si="20">G13*AP13</f>
        <v>0</v>
      </c>
      <c r="BJ13" s="108">
        <f t="shared" ref="BJ13:BJ18" si="21">G13*H13</f>
        <v>0</v>
      </c>
    </row>
    <row r="14" spans="1:62" x14ac:dyDescent="0.2">
      <c r="A14" s="117" t="s">
        <v>8</v>
      </c>
      <c r="B14" s="117" t="s">
        <v>572</v>
      </c>
      <c r="C14" s="304" t="s">
        <v>1053</v>
      </c>
      <c r="D14" s="305"/>
      <c r="E14" s="305"/>
      <c r="F14" s="117" t="s">
        <v>1644</v>
      </c>
      <c r="G14" s="116">
        <v>1</v>
      </c>
      <c r="H14" s="159"/>
      <c r="I14" s="108">
        <f t="shared" si="0"/>
        <v>0</v>
      </c>
      <c r="J14" s="108">
        <f t="shared" si="1"/>
        <v>0</v>
      </c>
      <c r="K14" s="108">
        <f t="shared" si="2"/>
        <v>0</v>
      </c>
      <c r="L14" s="111" t="s">
        <v>1671</v>
      </c>
      <c r="Z14" s="100">
        <f t="shared" si="3"/>
        <v>0</v>
      </c>
      <c r="AB14" s="100">
        <f t="shared" si="4"/>
        <v>0</v>
      </c>
      <c r="AC14" s="100">
        <f t="shared" si="5"/>
        <v>0</v>
      </c>
      <c r="AD14" s="100">
        <f t="shared" si="6"/>
        <v>0</v>
      </c>
      <c r="AE14" s="100">
        <f t="shared" si="7"/>
        <v>0</v>
      </c>
      <c r="AF14" s="100">
        <f t="shared" si="8"/>
        <v>0</v>
      </c>
      <c r="AG14" s="100">
        <f t="shared" si="9"/>
        <v>0</v>
      </c>
      <c r="AH14" s="100">
        <f t="shared" si="10"/>
        <v>0</v>
      </c>
      <c r="AI14" s="109"/>
      <c r="AJ14" s="108">
        <f t="shared" si="11"/>
        <v>0</v>
      </c>
      <c r="AK14" s="108">
        <f t="shared" si="12"/>
        <v>0</v>
      </c>
      <c r="AL14" s="108">
        <f t="shared" si="13"/>
        <v>0</v>
      </c>
      <c r="AN14" s="100">
        <v>15</v>
      </c>
      <c r="AO14" s="100">
        <f>H14*0.02432</f>
        <v>0</v>
      </c>
      <c r="AP14" s="100">
        <f>H14*(1-0.02432)</f>
        <v>0</v>
      </c>
      <c r="AQ14" s="111" t="s">
        <v>7</v>
      </c>
      <c r="AV14" s="100">
        <f t="shared" si="14"/>
        <v>0</v>
      </c>
      <c r="AW14" s="100">
        <f t="shared" si="15"/>
        <v>0</v>
      </c>
      <c r="AX14" s="100">
        <f t="shared" si="16"/>
        <v>0</v>
      </c>
      <c r="AY14" s="110" t="s">
        <v>1681</v>
      </c>
      <c r="AZ14" s="110" t="s">
        <v>1724</v>
      </c>
      <c r="BA14" s="109" t="s">
        <v>1737</v>
      </c>
      <c r="BC14" s="100">
        <f t="shared" si="17"/>
        <v>0</v>
      </c>
      <c r="BD14" s="100">
        <f t="shared" si="18"/>
        <v>0</v>
      </c>
      <c r="BE14" s="100">
        <v>0</v>
      </c>
      <c r="BF14" s="100">
        <f>14</f>
        <v>14</v>
      </c>
      <c r="BH14" s="108">
        <f t="shared" si="19"/>
        <v>0</v>
      </c>
      <c r="BI14" s="108">
        <f t="shared" si="20"/>
        <v>0</v>
      </c>
      <c r="BJ14" s="108">
        <f t="shared" si="21"/>
        <v>0</v>
      </c>
    </row>
    <row r="15" spans="1:62" x14ac:dyDescent="0.2">
      <c r="A15" s="117" t="s">
        <v>9</v>
      </c>
      <c r="B15" s="117" t="s">
        <v>573</v>
      </c>
      <c r="C15" s="304" t="s">
        <v>1054</v>
      </c>
      <c r="D15" s="305"/>
      <c r="E15" s="305"/>
      <c r="F15" s="117" t="s">
        <v>1645</v>
      </c>
      <c r="G15" s="116">
        <v>13.006</v>
      </c>
      <c r="H15" s="159"/>
      <c r="I15" s="108">
        <f t="shared" si="0"/>
        <v>0</v>
      </c>
      <c r="J15" s="108">
        <f t="shared" si="1"/>
        <v>0</v>
      </c>
      <c r="K15" s="108">
        <f t="shared" si="2"/>
        <v>0</v>
      </c>
      <c r="L15" s="111" t="s">
        <v>1671</v>
      </c>
      <c r="Z15" s="100">
        <f t="shared" si="3"/>
        <v>0</v>
      </c>
      <c r="AB15" s="100">
        <f t="shared" si="4"/>
        <v>0</v>
      </c>
      <c r="AC15" s="100">
        <f t="shared" si="5"/>
        <v>0</v>
      </c>
      <c r="AD15" s="100">
        <f t="shared" si="6"/>
        <v>0</v>
      </c>
      <c r="AE15" s="100">
        <f t="shared" si="7"/>
        <v>0</v>
      </c>
      <c r="AF15" s="100">
        <f t="shared" si="8"/>
        <v>0</v>
      </c>
      <c r="AG15" s="100">
        <f t="shared" si="9"/>
        <v>0</v>
      </c>
      <c r="AH15" s="100">
        <f t="shared" si="10"/>
        <v>0</v>
      </c>
      <c r="AI15" s="109"/>
      <c r="AJ15" s="108">
        <f t="shared" si="11"/>
        <v>0</v>
      </c>
      <c r="AK15" s="108">
        <f t="shared" si="12"/>
        <v>0</v>
      </c>
      <c r="AL15" s="108">
        <f t="shared" si="13"/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 t="shared" si="14"/>
        <v>0</v>
      </c>
      <c r="AW15" s="100">
        <f t="shared" si="15"/>
        <v>0</v>
      </c>
      <c r="AX15" s="100">
        <f t="shared" si="16"/>
        <v>0</v>
      </c>
      <c r="AY15" s="110" t="s">
        <v>1681</v>
      </c>
      <c r="AZ15" s="110" t="s">
        <v>1724</v>
      </c>
      <c r="BA15" s="109" t="s">
        <v>1737</v>
      </c>
      <c r="BC15" s="100">
        <f t="shared" si="17"/>
        <v>0</v>
      </c>
      <c r="BD15" s="100">
        <f t="shared" si="18"/>
        <v>0</v>
      </c>
      <c r="BE15" s="100">
        <v>0</v>
      </c>
      <c r="BF15" s="100">
        <f>15</f>
        <v>15</v>
      </c>
      <c r="BH15" s="108">
        <f t="shared" si="19"/>
        <v>0</v>
      </c>
      <c r="BI15" s="108">
        <f t="shared" si="20"/>
        <v>0</v>
      </c>
      <c r="BJ15" s="108">
        <f t="shared" si="21"/>
        <v>0</v>
      </c>
    </row>
    <row r="16" spans="1:62" x14ac:dyDescent="0.2">
      <c r="A16" s="117" t="s">
        <v>10</v>
      </c>
      <c r="B16" s="117" t="s">
        <v>574</v>
      </c>
      <c r="C16" s="304" t="s">
        <v>1056</v>
      </c>
      <c r="D16" s="305"/>
      <c r="E16" s="305"/>
      <c r="F16" s="117" t="s">
        <v>1645</v>
      </c>
      <c r="G16" s="116">
        <v>38.820999999999998</v>
      </c>
      <c r="H16" s="159"/>
      <c r="I16" s="108">
        <f t="shared" si="0"/>
        <v>0</v>
      </c>
      <c r="J16" s="108">
        <f t="shared" si="1"/>
        <v>0</v>
      </c>
      <c r="K16" s="108">
        <f t="shared" si="2"/>
        <v>0</v>
      </c>
      <c r="L16" s="111" t="s">
        <v>1671</v>
      </c>
      <c r="Z16" s="100">
        <f t="shared" si="3"/>
        <v>0</v>
      </c>
      <c r="AB16" s="100">
        <f t="shared" si="4"/>
        <v>0</v>
      </c>
      <c r="AC16" s="100">
        <f t="shared" si="5"/>
        <v>0</v>
      </c>
      <c r="AD16" s="100">
        <f t="shared" si="6"/>
        <v>0</v>
      </c>
      <c r="AE16" s="100">
        <f t="shared" si="7"/>
        <v>0</v>
      </c>
      <c r="AF16" s="100">
        <f t="shared" si="8"/>
        <v>0</v>
      </c>
      <c r="AG16" s="100">
        <f t="shared" si="9"/>
        <v>0</v>
      </c>
      <c r="AH16" s="100">
        <f t="shared" si="10"/>
        <v>0</v>
      </c>
      <c r="AI16" s="109"/>
      <c r="AJ16" s="108">
        <f t="shared" si="11"/>
        <v>0</v>
      </c>
      <c r="AK16" s="108">
        <f t="shared" si="12"/>
        <v>0</v>
      </c>
      <c r="AL16" s="108">
        <f t="shared" si="13"/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 t="shared" si="14"/>
        <v>0</v>
      </c>
      <c r="AW16" s="100">
        <f t="shared" si="15"/>
        <v>0</v>
      </c>
      <c r="AX16" s="100">
        <f t="shared" si="16"/>
        <v>0</v>
      </c>
      <c r="AY16" s="110" t="s">
        <v>1681</v>
      </c>
      <c r="AZ16" s="110" t="s">
        <v>1724</v>
      </c>
      <c r="BA16" s="109" t="s">
        <v>1737</v>
      </c>
      <c r="BC16" s="100">
        <f t="shared" si="17"/>
        <v>0</v>
      </c>
      <c r="BD16" s="100">
        <f t="shared" si="18"/>
        <v>0</v>
      </c>
      <c r="BE16" s="100">
        <v>0</v>
      </c>
      <c r="BF16" s="100">
        <f>16</f>
        <v>16</v>
      </c>
      <c r="BH16" s="108">
        <f t="shared" si="19"/>
        <v>0</v>
      </c>
      <c r="BI16" s="108">
        <f t="shared" si="20"/>
        <v>0</v>
      </c>
      <c r="BJ16" s="108">
        <f t="shared" si="21"/>
        <v>0</v>
      </c>
    </row>
    <row r="17" spans="1:62" x14ac:dyDescent="0.2">
      <c r="A17" s="117" t="s">
        <v>11</v>
      </c>
      <c r="B17" s="117" t="s">
        <v>2867</v>
      </c>
      <c r="C17" s="304" t="s">
        <v>2866</v>
      </c>
      <c r="D17" s="305"/>
      <c r="E17" s="305"/>
      <c r="F17" s="117" t="s">
        <v>1645</v>
      </c>
      <c r="G17" s="116">
        <v>4.548</v>
      </c>
      <c r="H17" s="159"/>
      <c r="I17" s="108">
        <f t="shared" si="0"/>
        <v>0</v>
      </c>
      <c r="J17" s="108">
        <f t="shared" si="1"/>
        <v>0</v>
      </c>
      <c r="K17" s="108">
        <f t="shared" si="2"/>
        <v>0</v>
      </c>
      <c r="L17" s="111" t="s">
        <v>1671</v>
      </c>
      <c r="Z17" s="100">
        <f t="shared" si="3"/>
        <v>0</v>
      </c>
      <c r="AB17" s="100">
        <f t="shared" si="4"/>
        <v>0</v>
      </c>
      <c r="AC17" s="100">
        <f t="shared" si="5"/>
        <v>0</v>
      </c>
      <c r="AD17" s="100">
        <f t="shared" si="6"/>
        <v>0</v>
      </c>
      <c r="AE17" s="100">
        <f t="shared" si="7"/>
        <v>0</v>
      </c>
      <c r="AF17" s="100">
        <f t="shared" si="8"/>
        <v>0</v>
      </c>
      <c r="AG17" s="100">
        <f t="shared" si="9"/>
        <v>0</v>
      </c>
      <c r="AH17" s="100">
        <f t="shared" si="10"/>
        <v>0</v>
      </c>
      <c r="AI17" s="109"/>
      <c r="AJ17" s="108">
        <f t="shared" si="11"/>
        <v>0</v>
      </c>
      <c r="AK17" s="108">
        <f t="shared" si="12"/>
        <v>0</v>
      </c>
      <c r="AL17" s="108">
        <f t="shared" si="13"/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 t="shared" si="14"/>
        <v>0</v>
      </c>
      <c r="AW17" s="100">
        <f t="shared" si="15"/>
        <v>0</v>
      </c>
      <c r="AX17" s="100">
        <f t="shared" si="16"/>
        <v>0</v>
      </c>
      <c r="AY17" s="110" t="s">
        <v>1681</v>
      </c>
      <c r="AZ17" s="110" t="s">
        <v>1724</v>
      </c>
      <c r="BA17" s="109" t="s">
        <v>1737</v>
      </c>
      <c r="BC17" s="100">
        <f t="shared" si="17"/>
        <v>0</v>
      </c>
      <c r="BD17" s="100">
        <f t="shared" si="18"/>
        <v>0</v>
      </c>
      <c r="BE17" s="100">
        <v>0</v>
      </c>
      <c r="BF17" s="100">
        <f>17</f>
        <v>17</v>
      </c>
      <c r="BH17" s="108">
        <f t="shared" si="19"/>
        <v>0</v>
      </c>
      <c r="BI17" s="108">
        <f t="shared" si="20"/>
        <v>0</v>
      </c>
      <c r="BJ17" s="108">
        <f t="shared" si="21"/>
        <v>0</v>
      </c>
    </row>
    <row r="18" spans="1:62" x14ac:dyDescent="0.2">
      <c r="A18" s="117" t="s">
        <v>12</v>
      </c>
      <c r="B18" s="117" t="s">
        <v>575</v>
      </c>
      <c r="C18" s="304" t="s">
        <v>1057</v>
      </c>
      <c r="D18" s="305"/>
      <c r="E18" s="305"/>
      <c r="F18" s="117" t="s">
        <v>1646</v>
      </c>
      <c r="G18" s="116">
        <v>28.71</v>
      </c>
      <c r="H18" s="159"/>
      <c r="I18" s="108">
        <f t="shared" si="0"/>
        <v>0</v>
      </c>
      <c r="J18" s="108">
        <f t="shared" si="1"/>
        <v>0</v>
      </c>
      <c r="K18" s="108">
        <f t="shared" si="2"/>
        <v>0</v>
      </c>
      <c r="L18" s="111" t="s">
        <v>1671</v>
      </c>
      <c r="Z18" s="100">
        <f t="shared" si="3"/>
        <v>0</v>
      </c>
      <c r="AB18" s="100">
        <f t="shared" si="4"/>
        <v>0</v>
      </c>
      <c r="AC18" s="100">
        <f t="shared" si="5"/>
        <v>0</v>
      </c>
      <c r="AD18" s="100">
        <f t="shared" si="6"/>
        <v>0</v>
      </c>
      <c r="AE18" s="100">
        <f t="shared" si="7"/>
        <v>0</v>
      </c>
      <c r="AF18" s="100">
        <f t="shared" si="8"/>
        <v>0</v>
      </c>
      <c r="AG18" s="100">
        <f t="shared" si="9"/>
        <v>0</v>
      </c>
      <c r="AH18" s="100">
        <f t="shared" si="10"/>
        <v>0</v>
      </c>
      <c r="AI18" s="109"/>
      <c r="AJ18" s="108">
        <f t="shared" si="11"/>
        <v>0</v>
      </c>
      <c r="AK18" s="108">
        <f t="shared" si="12"/>
        <v>0</v>
      </c>
      <c r="AL18" s="108">
        <f t="shared" si="13"/>
        <v>0</v>
      </c>
      <c r="AN18" s="100">
        <v>15</v>
      </c>
      <c r="AO18" s="100">
        <f>H18*0</f>
        <v>0</v>
      </c>
      <c r="AP18" s="100">
        <f>H18*(1-0)</f>
        <v>0</v>
      </c>
      <c r="AQ18" s="111" t="s">
        <v>7</v>
      </c>
      <c r="AV18" s="100">
        <f t="shared" si="14"/>
        <v>0</v>
      </c>
      <c r="AW18" s="100">
        <f t="shared" si="15"/>
        <v>0</v>
      </c>
      <c r="AX18" s="100">
        <f t="shared" si="16"/>
        <v>0</v>
      </c>
      <c r="AY18" s="110" t="s">
        <v>1681</v>
      </c>
      <c r="AZ18" s="110" t="s">
        <v>1724</v>
      </c>
      <c r="BA18" s="109" t="s">
        <v>1737</v>
      </c>
      <c r="BC18" s="100">
        <f t="shared" si="17"/>
        <v>0</v>
      </c>
      <c r="BD18" s="100">
        <f t="shared" si="18"/>
        <v>0</v>
      </c>
      <c r="BE18" s="100">
        <v>0</v>
      </c>
      <c r="BF18" s="100">
        <f>18</f>
        <v>18</v>
      </c>
      <c r="BH18" s="108">
        <f t="shared" si="19"/>
        <v>0</v>
      </c>
      <c r="BI18" s="108">
        <f t="shared" si="20"/>
        <v>0</v>
      </c>
      <c r="BJ18" s="108">
        <f t="shared" si="21"/>
        <v>0</v>
      </c>
    </row>
    <row r="19" spans="1:62" x14ac:dyDescent="0.2">
      <c r="A19" s="119"/>
      <c r="B19" s="120" t="s">
        <v>18</v>
      </c>
      <c r="C19" s="306" t="s">
        <v>1059</v>
      </c>
      <c r="D19" s="307"/>
      <c r="E19" s="307"/>
      <c r="F19" s="119" t="s">
        <v>6</v>
      </c>
      <c r="G19" s="119" t="s">
        <v>6</v>
      </c>
      <c r="H19" s="119" t="s">
        <v>6</v>
      </c>
      <c r="I19" s="118">
        <f>SUM(I20:I20)</f>
        <v>0</v>
      </c>
      <c r="J19" s="118">
        <f>SUM(J20:J20)</f>
        <v>0</v>
      </c>
      <c r="K19" s="118">
        <f>SUM(K20:K20)</f>
        <v>0</v>
      </c>
      <c r="L19" s="109"/>
      <c r="AI19" s="109"/>
      <c r="AS19" s="118">
        <f>SUM(AJ20:AJ20)</f>
        <v>0</v>
      </c>
      <c r="AT19" s="118">
        <f>SUM(AK20:AK20)</f>
        <v>0</v>
      </c>
      <c r="AU19" s="118">
        <f>SUM(AL20:AL20)</f>
        <v>0</v>
      </c>
    </row>
    <row r="20" spans="1:62" x14ac:dyDescent="0.2">
      <c r="A20" s="117" t="s">
        <v>13</v>
      </c>
      <c r="B20" s="117" t="s">
        <v>577</v>
      </c>
      <c r="C20" s="304" t="s">
        <v>1060</v>
      </c>
      <c r="D20" s="305"/>
      <c r="E20" s="305"/>
      <c r="F20" s="117" t="s">
        <v>1647</v>
      </c>
      <c r="G20" s="116">
        <v>9.9749999999999996</v>
      </c>
      <c r="H20" s="159"/>
      <c r="I20" s="108">
        <f>G20*AO20</f>
        <v>0</v>
      </c>
      <c r="J20" s="108">
        <f>G20*AP20</f>
        <v>0</v>
      </c>
      <c r="K20" s="108">
        <f>G20*H20</f>
        <v>0</v>
      </c>
      <c r="L20" s="111" t="s">
        <v>1671</v>
      </c>
      <c r="Z20" s="100">
        <f>IF(AQ20="5",BJ20,0)</f>
        <v>0</v>
      </c>
      <c r="AB20" s="100">
        <f>IF(AQ20="1",BH20,0)</f>
        <v>0</v>
      </c>
      <c r="AC20" s="100">
        <f>IF(AQ20="1",BI20,0)</f>
        <v>0</v>
      </c>
      <c r="AD20" s="100">
        <f>IF(AQ20="7",BH20,0)</f>
        <v>0</v>
      </c>
      <c r="AE20" s="100">
        <f>IF(AQ20="7",BI20,0)</f>
        <v>0</v>
      </c>
      <c r="AF20" s="100">
        <f>IF(AQ20="2",BH20,0)</f>
        <v>0</v>
      </c>
      <c r="AG20" s="100">
        <f>IF(AQ20="2",BI20,0)</f>
        <v>0</v>
      </c>
      <c r="AH20" s="100">
        <f>IF(AQ20="0",BJ20,0)</f>
        <v>0</v>
      </c>
      <c r="AI20" s="109"/>
      <c r="AJ20" s="108">
        <f>IF(AN20=0,K20,0)</f>
        <v>0</v>
      </c>
      <c r="AK20" s="108">
        <f>IF(AN20=15,K20,0)</f>
        <v>0</v>
      </c>
      <c r="AL20" s="108">
        <f>IF(AN20=21,K20,0)</f>
        <v>0</v>
      </c>
      <c r="AN20" s="100">
        <v>15</v>
      </c>
      <c r="AO20" s="100">
        <f>H20*0</f>
        <v>0</v>
      </c>
      <c r="AP20" s="100">
        <f>H20*(1-0)</f>
        <v>0</v>
      </c>
      <c r="AQ20" s="111" t="s">
        <v>7</v>
      </c>
      <c r="AV20" s="100">
        <f>AW20+AX20</f>
        <v>0</v>
      </c>
      <c r="AW20" s="100">
        <f>G20*AO20</f>
        <v>0</v>
      </c>
      <c r="AX20" s="100">
        <f>G20*AP20</f>
        <v>0</v>
      </c>
      <c r="AY20" s="110" t="s">
        <v>1682</v>
      </c>
      <c r="AZ20" s="110" t="s">
        <v>1724</v>
      </c>
      <c r="BA20" s="109" t="s">
        <v>1737</v>
      </c>
      <c r="BC20" s="100">
        <f>AW20+AX20</f>
        <v>0</v>
      </c>
      <c r="BD20" s="100">
        <f>H20/(100-BE20)*100</f>
        <v>0</v>
      </c>
      <c r="BE20" s="100">
        <v>0</v>
      </c>
      <c r="BF20" s="100">
        <f>20</f>
        <v>20</v>
      </c>
      <c r="BH20" s="108">
        <f>G20*AO20</f>
        <v>0</v>
      </c>
      <c r="BI20" s="108">
        <f>G20*AP20</f>
        <v>0</v>
      </c>
      <c r="BJ20" s="108">
        <f>G20*H20</f>
        <v>0</v>
      </c>
    </row>
    <row r="21" spans="1:62" x14ac:dyDescent="0.2">
      <c r="A21" s="119"/>
      <c r="B21" s="120" t="s">
        <v>19</v>
      </c>
      <c r="C21" s="306" t="s">
        <v>1061</v>
      </c>
      <c r="D21" s="307"/>
      <c r="E21" s="307"/>
      <c r="F21" s="119" t="s">
        <v>6</v>
      </c>
      <c r="G21" s="119" t="s">
        <v>6</v>
      </c>
      <c r="H21" s="119" t="s">
        <v>6</v>
      </c>
      <c r="I21" s="118">
        <f>SUM(I22:I25)</f>
        <v>0</v>
      </c>
      <c r="J21" s="118">
        <f>SUM(J22:J25)</f>
        <v>0</v>
      </c>
      <c r="K21" s="118">
        <f>SUM(K22:K25)</f>
        <v>0</v>
      </c>
      <c r="L21" s="109"/>
      <c r="AI21" s="109"/>
      <c r="AS21" s="118">
        <f>SUM(AJ22:AJ25)</f>
        <v>0</v>
      </c>
      <c r="AT21" s="118">
        <f>SUM(AK22:AK25)</f>
        <v>0</v>
      </c>
      <c r="AU21" s="118">
        <f>SUM(AL22:AL25)</f>
        <v>0</v>
      </c>
    </row>
    <row r="22" spans="1:62" x14ac:dyDescent="0.2">
      <c r="A22" s="117" t="s">
        <v>14</v>
      </c>
      <c r="B22" s="117" t="s">
        <v>578</v>
      </c>
      <c r="C22" s="304" t="s">
        <v>1062</v>
      </c>
      <c r="D22" s="305"/>
      <c r="E22" s="305"/>
      <c r="F22" s="117" t="s">
        <v>1647</v>
      </c>
      <c r="G22" s="116">
        <v>97.855000000000004</v>
      </c>
      <c r="H22" s="159"/>
      <c r="I22" s="108">
        <f>G22*AO22</f>
        <v>0</v>
      </c>
      <c r="J22" s="108">
        <f>G22*AP22</f>
        <v>0</v>
      </c>
      <c r="K22" s="108">
        <f>G22*H22</f>
        <v>0</v>
      </c>
      <c r="L22" s="111" t="s">
        <v>1671</v>
      </c>
      <c r="Z22" s="100">
        <f>IF(AQ22="5",BJ22,0)</f>
        <v>0</v>
      </c>
      <c r="AB22" s="100">
        <f>IF(AQ22="1",BH22,0)</f>
        <v>0</v>
      </c>
      <c r="AC22" s="100">
        <f>IF(AQ22="1",BI22,0)</f>
        <v>0</v>
      </c>
      <c r="AD22" s="100">
        <f>IF(AQ22="7",BH22,0)</f>
        <v>0</v>
      </c>
      <c r="AE22" s="100">
        <f>IF(AQ22="7",BI22,0)</f>
        <v>0</v>
      </c>
      <c r="AF22" s="100">
        <f>IF(AQ22="2",BH22,0)</f>
        <v>0</v>
      </c>
      <c r="AG22" s="100">
        <f>IF(AQ22="2",BI22,0)</f>
        <v>0</v>
      </c>
      <c r="AH22" s="100">
        <f>IF(AQ22="0",BJ22,0)</f>
        <v>0</v>
      </c>
      <c r="AI22" s="109"/>
      <c r="AJ22" s="108">
        <f>IF(AN22=0,K22,0)</f>
        <v>0</v>
      </c>
      <c r="AK22" s="108">
        <f>IF(AN22=15,K22,0)</f>
        <v>0</v>
      </c>
      <c r="AL22" s="108">
        <f>IF(AN22=21,K22,0)</f>
        <v>0</v>
      </c>
      <c r="AN22" s="100">
        <v>15</v>
      </c>
      <c r="AO22" s="100">
        <f>H22*0</f>
        <v>0</v>
      </c>
      <c r="AP22" s="100">
        <f>H22*(1-0)</f>
        <v>0</v>
      </c>
      <c r="AQ22" s="111" t="s">
        <v>7</v>
      </c>
      <c r="AV22" s="100">
        <f>AW22+AX22</f>
        <v>0</v>
      </c>
      <c r="AW22" s="100">
        <f>G22*AO22</f>
        <v>0</v>
      </c>
      <c r="AX22" s="100">
        <f>G22*AP22</f>
        <v>0</v>
      </c>
      <c r="AY22" s="110" t="s">
        <v>1683</v>
      </c>
      <c r="AZ22" s="110" t="s">
        <v>1724</v>
      </c>
      <c r="BA22" s="109" t="s">
        <v>1737</v>
      </c>
      <c r="BC22" s="100">
        <f>AW22+AX22</f>
        <v>0</v>
      </c>
      <c r="BD22" s="100">
        <f>H22/(100-BE22)*100</f>
        <v>0</v>
      </c>
      <c r="BE22" s="100">
        <v>0</v>
      </c>
      <c r="BF22" s="100">
        <f>22</f>
        <v>22</v>
      </c>
      <c r="BH22" s="108">
        <f>G22*AO22</f>
        <v>0</v>
      </c>
      <c r="BI22" s="108">
        <f>G22*AP22</f>
        <v>0</v>
      </c>
      <c r="BJ22" s="108">
        <f>G22*H22</f>
        <v>0</v>
      </c>
    </row>
    <row r="23" spans="1:62" x14ac:dyDescent="0.2">
      <c r="A23" s="117" t="s">
        <v>15</v>
      </c>
      <c r="B23" s="117" t="s">
        <v>579</v>
      </c>
      <c r="C23" s="304" t="s">
        <v>1063</v>
      </c>
      <c r="D23" s="305"/>
      <c r="E23" s="305"/>
      <c r="F23" s="117" t="s">
        <v>1647</v>
      </c>
      <c r="G23" s="116">
        <v>97.885000000000005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1683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7" t="s">
        <v>16</v>
      </c>
      <c r="B24" s="117" t="s">
        <v>580</v>
      </c>
      <c r="C24" s="304" t="s">
        <v>1064</v>
      </c>
      <c r="D24" s="305"/>
      <c r="E24" s="305"/>
      <c r="F24" s="117" t="s">
        <v>1647</v>
      </c>
      <c r="G24" s="116">
        <v>2.2050000000000001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</f>
        <v>0</v>
      </c>
      <c r="AP24" s="100">
        <f>H24*(1-0)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1683</v>
      </c>
      <c r="AZ24" s="110" t="s">
        <v>1724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17</v>
      </c>
      <c r="B25" s="117" t="s">
        <v>580</v>
      </c>
      <c r="C25" s="304" t="s">
        <v>2162</v>
      </c>
      <c r="D25" s="305"/>
      <c r="E25" s="305"/>
      <c r="F25" s="117" t="s">
        <v>1647</v>
      </c>
      <c r="G25" s="116">
        <v>3.36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1683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9"/>
      <c r="B26" s="120" t="s">
        <v>22</v>
      </c>
      <c r="C26" s="306" t="s">
        <v>1066</v>
      </c>
      <c r="D26" s="307"/>
      <c r="E26" s="307"/>
      <c r="F26" s="119" t="s">
        <v>6</v>
      </c>
      <c r="G26" s="119" t="s">
        <v>6</v>
      </c>
      <c r="H26" s="119" t="s">
        <v>6</v>
      </c>
      <c r="I26" s="118">
        <f>SUM(I27:I29)</f>
        <v>0</v>
      </c>
      <c r="J26" s="118">
        <f>SUM(J27:J29)</f>
        <v>0</v>
      </c>
      <c r="K26" s="118">
        <f>SUM(K27:K29)</f>
        <v>0</v>
      </c>
      <c r="L26" s="109"/>
      <c r="AI26" s="109"/>
      <c r="AS26" s="118">
        <f>SUM(AJ27:AJ29)</f>
        <v>0</v>
      </c>
      <c r="AT26" s="118">
        <f>SUM(AK27:AK29)</f>
        <v>0</v>
      </c>
      <c r="AU26" s="118">
        <f>SUM(AL27:AL29)</f>
        <v>0</v>
      </c>
    </row>
    <row r="27" spans="1:62" x14ac:dyDescent="0.2">
      <c r="A27" s="117" t="s">
        <v>18</v>
      </c>
      <c r="B27" s="117" t="s">
        <v>581</v>
      </c>
      <c r="C27" s="304" t="s">
        <v>1067</v>
      </c>
      <c r="D27" s="305"/>
      <c r="E27" s="305"/>
      <c r="F27" s="117" t="s">
        <v>1647</v>
      </c>
      <c r="G27" s="116">
        <v>45.284999999999997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</f>
        <v>0</v>
      </c>
      <c r="AP27" s="100">
        <f>H27*(1-0)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1684</v>
      </c>
      <c r="AZ27" s="110" t="s">
        <v>1724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7" t="s">
        <v>19</v>
      </c>
      <c r="B28" s="117" t="s">
        <v>582</v>
      </c>
      <c r="C28" s="304" t="s">
        <v>1068</v>
      </c>
      <c r="D28" s="305"/>
      <c r="E28" s="305"/>
      <c r="F28" s="117" t="s">
        <v>1648</v>
      </c>
      <c r="G28" s="116">
        <v>79.248999999999995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</f>
        <v>0</v>
      </c>
      <c r="AP28" s="100">
        <f>H28*(1-0)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1684</v>
      </c>
      <c r="AZ28" s="110" t="s">
        <v>1724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A29" s="117" t="s">
        <v>20</v>
      </c>
      <c r="B29" s="117" t="s">
        <v>583</v>
      </c>
      <c r="C29" s="304" t="s">
        <v>1069</v>
      </c>
      <c r="D29" s="305"/>
      <c r="E29" s="305"/>
      <c r="F29" s="117" t="s">
        <v>1647</v>
      </c>
      <c r="G29" s="116">
        <v>45.284999999999997</v>
      </c>
      <c r="H29" s="159"/>
      <c r="I29" s="108">
        <f>G29*AO29</f>
        <v>0</v>
      </c>
      <c r="J29" s="108">
        <f>G29*AP29</f>
        <v>0</v>
      </c>
      <c r="K29" s="108">
        <f>G29*H29</f>
        <v>0</v>
      </c>
      <c r="L29" s="111" t="s">
        <v>1671</v>
      </c>
      <c r="Z29" s="100">
        <f>IF(AQ29="5",BJ29,0)</f>
        <v>0</v>
      </c>
      <c r="AB29" s="100">
        <f>IF(AQ29="1",BH29,0)</f>
        <v>0</v>
      </c>
      <c r="AC29" s="100">
        <f>IF(AQ29="1",BI29,0)</f>
        <v>0</v>
      </c>
      <c r="AD29" s="100">
        <f>IF(AQ29="7",BH29,0)</f>
        <v>0</v>
      </c>
      <c r="AE29" s="100">
        <f>IF(AQ29="7",BI29,0)</f>
        <v>0</v>
      </c>
      <c r="AF29" s="100">
        <f>IF(AQ29="2",BH29,0)</f>
        <v>0</v>
      </c>
      <c r="AG29" s="100">
        <f>IF(AQ29="2",BI29,0)</f>
        <v>0</v>
      </c>
      <c r="AH29" s="100">
        <f>IF(AQ29="0",BJ29,0)</f>
        <v>0</v>
      </c>
      <c r="AI29" s="109"/>
      <c r="AJ29" s="108">
        <f>IF(AN29=0,K29,0)</f>
        <v>0</v>
      </c>
      <c r="AK29" s="108">
        <f>IF(AN29=15,K29,0)</f>
        <v>0</v>
      </c>
      <c r="AL29" s="108">
        <f>IF(AN29=21,K29,0)</f>
        <v>0</v>
      </c>
      <c r="AN29" s="100">
        <v>15</v>
      </c>
      <c r="AO29" s="100">
        <f>H29*0</f>
        <v>0</v>
      </c>
      <c r="AP29" s="100">
        <f>H29*(1-0)</f>
        <v>0</v>
      </c>
      <c r="AQ29" s="111" t="s">
        <v>7</v>
      </c>
      <c r="AV29" s="100">
        <f>AW29+AX29</f>
        <v>0</v>
      </c>
      <c r="AW29" s="100">
        <f>G29*AO29</f>
        <v>0</v>
      </c>
      <c r="AX29" s="100">
        <f>G29*AP29</f>
        <v>0</v>
      </c>
      <c r="AY29" s="110" t="s">
        <v>1684</v>
      </c>
      <c r="AZ29" s="110" t="s">
        <v>1724</v>
      </c>
      <c r="BA29" s="109" t="s">
        <v>1737</v>
      </c>
      <c r="BC29" s="100">
        <f>AW29+AX29</f>
        <v>0</v>
      </c>
      <c r="BD29" s="100">
        <f>H29/(100-BE29)*100</f>
        <v>0</v>
      </c>
      <c r="BE29" s="100">
        <v>0</v>
      </c>
      <c r="BF29" s="100">
        <f>29</f>
        <v>29</v>
      </c>
      <c r="BH29" s="108">
        <f>G29*AO29</f>
        <v>0</v>
      </c>
      <c r="BI29" s="108">
        <f>G29*AP29</f>
        <v>0</v>
      </c>
      <c r="BJ29" s="108">
        <f>G29*H29</f>
        <v>0</v>
      </c>
    </row>
    <row r="30" spans="1:62" x14ac:dyDescent="0.2">
      <c r="A30" s="119"/>
      <c r="B30" s="120" t="s">
        <v>23</v>
      </c>
      <c r="C30" s="306" t="s">
        <v>1070</v>
      </c>
      <c r="D30" s="307"/>
      <c r="E30" s="307"/>
      <c r="F30" s="119" t="s">
        <v>6</v>
      </c>
      <c r="G30" s="119" t="s">
        <v>6</v>
      </c>
      <c r="H30" s="119" t="s">
        <v>6</v>
      </c>
      <c r="I30" s="118">
        <f>SUM(I31:I34)</f>
        <v>0</v>
      </c>
      <c r="J30" s="118">
        <f>SUM(J31:J34)</f>
        <v>0</v>
      </c>
      <c r="K30" s="118">
        <f>SUM(K31:K34)</f>
        <v>0</v>
      </c>
      <c r="L30" s="109"/>
      <c r="AI30" s="109"/>
      <c r="AS30" s="118">
        <f>SUM(AJ31:AJ34)</f>
        <v>0</v>
      </c>
      <c r="AT30" s="118">
        <f>SUM(AK31:AK34)</f>
        <v>0</v>
      </c>
      <c r="AU30" s="118">
        <f>SUM(AL31:AL34)</f>
        <v>0</v>
      </c>
    </row>
    <row r="31" spans="1:62" x14ac:dyDescent="0.2">
      <c r="A31" s="117" t="s">
        <v>21</v>
      </c>
      <c r="B31" s="117" t="s">
        <v>584</v>
      </c>
      <c r="C31" s="304" t="s">
        <v>1071</v>
      </c>
      <c r="D31" s="305"/>
      <c r="E31" s="305"/>
      <c r="F31" s="117" t="s">
        <v>1647</v>
      </c>
      <c r="G31" s="116">
        <v>45.284999999999997</v>
      </c>
      <c r="H31" s="159"/>
      <c r="I31" s="108">
        <f>G31*AO31</f>
        <v>0</v>
      </c>
      <c r="J31" s="108">
        <f>G31*AP31</f>
        <v>0</v>
      </c>
      <c r="K31" s="108">
        <f>G31*H31</f>
        <v>0</v>
      </c>
      <c r="L31" s="111" t="s">
        <v>1671</v>
      </c>
      <c r="Z31" s="100">
        <f>IF(AQ31="5",BJ31,0)</f>
        <v>0</v>
      </c>
      <c r="AB31" s="100">
        <f>IF(AQ31="1",BH31,0)</f>
        <v>0</v>
      </c>
      <c r="AC31" s="100">
        <f>IF(AQ31="1",BI31,0)</f>
        <v>0</v>
      </c>
      <c r="AD31" s="100">
        <f>IF(AQ31="7",BH31,0)</f>
        <v>0</v>
      </c>
      <c r="AE31" s="100">
        <f>IF(AQ31="7",BI31,0)</f>
        <v>0</v>
      </c>
      <c r="AF31" s="100">
        <f>IF(AQ31="2",BH31,0)</f>
        <v>0</v>
      </c>
      <c r="AG31" s="100">
        <f>IF(AQ31="2",BI31,0)</f>
        <v>0</v>
      </c>
      <c r="AH31" s="100">
        <f>IF(AQ31="0",BJ31,0)</f>
        <v>0</v>
      </c>
      <c r="AI31" s="109"/>
      <c r="AJ31" s="108">
        <f>IF(AN31=0,K31,0)</f>
        <v>0</v>
      </c>
      <c r="AK31" s="108">
        <f>IF(AN31=15,K31,0)</f>
        <v>0</v>
      </c>
      <c r="AL31" s="108">
        <f>IF(AN31=21,K31,0)</f>
        <v>0</v>
      </c>
      <c r="AN31" s="100">
        <v>15</v>
      </c>
      <c r="AO31" s="100">
        <f>H31*0</f>
        <v>0</v>
      </c>
      <c r="AP31" s="100">
        <f>H31*(1-0)</f>
        <v>0</v>
      </c>
      <c r="AQ31" s="111" t="s">
        <v>7</v>
      </c>
      <c r="AV31" s="100">
        <f>AW31+AX31</f>
        <v>0</v>
      </c>
      <c r="AW31" s="100">
        <f>G31*AO31</f>
        <v>0</v>
      </c>
      <c r="AX31" s="100">
        <f>G31*AP31</f>
        <v>0</v>
      </c>
      <c r="AY31" s="110" t="s">
        <v>1685</v>
      </c>
      <c r="AZ31" s="110" t="s">
        <v>1724</v>
      </c>
      <c r="BA31" s="109" t="s">
        <v>1737</v>
      </c>
      <c r="BC31" s="100">
        <f>AW31+AX31</f>
        <v>0</v>
      </c>
      <c r="BD31" s="100">
        <f>H31/(100-BE31)*100</f>
        <v>0</v>
      </c>
      <c r="BE31" s="100">
        <v>0</v>
      </c>
      <c r="BF31" s="100">
        <f>31</f>
        <v>31</v>
      </c>
      <c r="BH31" s="108">
        <f>G31*AO31</f>
        <v>0</v>
      </c>
      <c r="BI31" s="108">
        <f>G31*AP31</f>
        <v>0</v>
      </c>
      <c r="BJ31" s="108">
        <f>G31*H31</f>
        <v>0</v>
      </c>
    </row>
    <row r="32" spans="1:62" x14ac:dyDescent="0.2">
      <c r="A32" s="117" t="s">
        <v>22</v>
      </c>
      <c r="B32" s="117" t="s">
        <v>585</v>
      </c>
      <c r="C32" s="304" t="s">
        <v>1072</v>
      </c>
      <c r="D32" s="305"/>
      <c r="E32" s="305"/>
      <c r="F32" s="117" t="s">
        <v>1647</v>
      </c>
      <c r="G32" s="116">
        <v>53.250999999999998</v>
      </c>
      <c r="H32" s="159"/>
      <c r="I32" s="108">
        <f>G32*AO32</f>
        <v>0</v>
      </c>
      <c r="J32" s="108">
        <f>G32*AP32</f>
        <v>0</v>
      </c>
      <c r="K32" s="108">
        <f>G32*H32</f>
        <v>0</v>
      </c>
      <c r="L32" s="111" t="s">
        <v>1671</v>
      </c>
      <c r="Z32" s="100">
        <f>IF(AQ32="5",BJ32,0)</f>
        <v>0</v>
      </c>
      <c r="AB32" s="100">
        <f>IF(AQ32="1",BH32,0)</f>
        <v>0</v>
      </c>
      <c r="AC32" s="100">
        <f>IF(AQ32="1",BI32,0)</f>
        <v>0</v>
      </c>
      <c r="AD32" s="100">
        <f>IF(AQ32="7",BH32,0)</f>
        <v>0</v>
      </c>
      <c r="AE32" s="100">
        <f>IF(AQ32="7",BI32,0)</f>
        <v>0</v>
      </c>
      <c r="AF32" s="100">
        <f>IF(AQ32="2",BH32,0)</f>
        <v>0</v>
      </c>
      <c r="AG32" s="100">
        <f>IF(AQ32="2",BI32,0)</f>
        <v>0</v>
      </c>
      <c r="AH32" s="100">
        <f>IF(AQ32="0",BJ32,0)</f>
        <v>0</v>
      </c>
      <c r="AI32" s="109"/>
      <c r="AJ32" s="108">
        <f>IF(AN32=0,K32,0)</f>
        <v>0</v>
      </c>
      <c r="AK32" s="108">
        <f>IF(AN32=15,K32,0)</f>
        <v>0</v>
      </c>
      <c r="AL32" s="108">
        <f>IF(AN32=21,K32,0)</f>
        <v>0</v>
      </c>
      <c r="AN32" s="100">
        <v>15</v>
      </c>
      <c r="AO32" s="100">
        <f>H32*0</f>
        <v>0</v>
      </c>
      <c r="AP32" s="100">
        <f>H32*(1-0)</f>
        <v>0</v>
      </c>
      <c r="AQ32" s="111" t="s">
        <v>7</v>
      </c>
      <c r="AV32" s="100">
        <f>AW32+AX32</f>
        <v>0</v>
      </c>
      <c r="AW32" s="100">
        <f>G32*AO32</f>
        <v>0</v>
      </c>
      <c r="AX32" s="100">
        <f>G32*AP32</f>
        <v>0</v>
      </c>
      <c r="AY32" s="110" t="s">
        <v>1685</v>
      </c>
      <c r="AZ32" s="110" t="s">
        <v>1724</v>
      </c>
      <c r="BA32" s="109" t="s">
        <v>1737</v>
      </c>
      <c r="BC32" s="100">
        <f>AW32+AX32</f>
        <v>0</v>
      </c>
      <c r="BD32" s="100">
        <f>H32/(100-BE32)*100</f>
        <v>0</v>
      </c>
      <c r="BE32" s="100">
        <v>0</v>
      </c>
      <c r="BF32" s="100">
        <f>32</f>
        <v>32</v>
      </c>
      <c r="BH32" s="108">
        <f>G32*AO32</f>
        <v>0</v>
      </c>
      <c r="BI32" s="108">
        <f>G32*AP32</f>
        <v>0</v>
      </c>
      <c r="BJ32" s="108">
        <f>G32*H32</f>
        <v>0</v>
      </c>
    </row>
    <row r="33" spans="1:62" x14ac:dyDescent="0.2">
      <c r="A33" s="117" t="s">
        <v>23</v>
      </c>
      <c r="B33" s="117" t="s">
        <v>585</v>
      </c>
      <c r="C33" s="304" t="s">
        <v>1074</v>
      </c>
      <c r="D33" s="305"/>
      <c r="E33" s="305"/>
      <c r="F33" s="117" t="s">
        <v>1647</v>
      </c>
      <c r="G33" s="116">
        <v>1.86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</f>
        <v>0</v>
      </c>
      <c r="AP33" s="100">
        <f>H33*(1-0)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1685</v>
      </c>
      <c r="AZ33" s="110" t="s">
        <v>1724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7" t="s">
        <v>24</v>
      </c>
      <c r="B34" s="117" t="s">
        <v>586</v>
      </c>
      <c r="C34" s="304" t="s">
        <v>2160</v>
      </c>
      <c r="D34" s="305"/>
      <c r="E34" s="305"/>
      <c r="F34" s="117" t="s">
        <v>1647</v>
      </c>
      <c r="G34" s="116">
        <v>3.024</v>
      </c>
      <c r="H34" s="159"/>
      <c r="I34" s="108">
        <f>G34*AO34</f>
        <v>0</v>
      </c>
      <c r="J34" s="108">
        <f>G34*AP34</f>
        <v>0</v>
      </c>
      <c r="K34" s="108">
        <f>G34*H34</f>
        <v>0</v>
      </c>
      <c r="L34" s="111" t="s">
        <v>1671</v>
      </c>
      <c r="Z34" s="100">
        <f>IF(AQ34="5",BJ34,0)</f>
        <v>0</v>
      </c>
      <c r="AB34" s="100">
        <f>IF(AQ34="1",BH34,0)</f>
        <v>0</v>
      </c>
      <c r="AC34" s="100">
        <f>IF(AQ34="1",BI34,0)</f>
        <v>0</v>
      </c>
      <c r="AD34" s="100">
        <f>IF(AQ34="7",BH34,0)</f>
        <v>0</v>
      </c>
      <c r="AE34" s="100">
        <f>IF(AQ34="7",BI34,0)</f>
        <v>0</v>
      </c>
      <c r="AF34" s="100">
        <f>IF(AQ34="2",BH34,0)</f>
        <v>0</v>
      </c>
      <c r="AG34" s="100">
        <f>IF(AQ34="2",BI34,0)</f>
        <v>0</v>
      </c>
      <c r="AH34" s="100">
        <f>IF(AQ34="0",BJ34,0)</f>
        <v>0</v>
      </c>
      <c r="AI34" s="109"/>
      <c r="AJ34" s="108">
        <f>IF(AN34=0,K34,0)</f>
        <v>0</v>
      </c>
      <c r="AK34" s="108">
        <f>IF(AN34=15,K34,0)</f>
        <v>0</v>
      </c>
      <c r="AL34" s="108">
        <f>IF(AN34=21,K34,0)</f>
        <v>0</v>
      </c>
      <c r="AN34" s="100">
        <v>15</v>
      </c>
      <c r="AO34" s="100">
        <f>H34*0</f>
        <v>0</v>
      </c>
      <c r="AP34" s="100">
        <f>H34*(1-0)</f>
        <v>0</v>
      </c>
      <c r="AQ34" s="111" t="s">
        <v>7</v>
      </c>
      <c r="AV34" s="100">
        <f>AW34+AX34</f>
        <v>0</v>
      </c>
      <c r="AW34" s="100">
        <f>G34*AO34</f>
        <v>0</v>
      </c>
      <c r="AX34" s="100">
        <f>G34*AP34</f>
        <v>0</v>
      </c>
      <c r="AY34" s="110" t="s">
        <v>1685</v>
      </c>
      <c r="AZ34" s="110" t="s">
        <v>1724</v>
      </c>
      <c r="BA34" s="109" t="s">
        <v>1737</v>
      </c>
      <c r="BC34" s="100">
        <f>AW34+AX34</f>
        <v>0</v>
      </c>
      <c r="BD34" s="100">
        <f>H34/(100-BE34)*100</f>
        <v>0</v>
      </c>
      <c r="BE34" s="100">
        <v>0</v>
      </c>
      <c r="BF34" s="100">
        <f>34</f>
        <v>34</v>
      </c>
      <c r="BH34" s="108">
        <f>G34*AO34</f>
        <v>0</v>
      </c>
      <c r="BI34" s="108">
        <f>G34*AP34</f>
        <v>0</v>
      </c>
      <c r="BJ34" s="108">
        <f>G34*H34</f>
        <v>0</v>
      </c>
    </row>
    <row r="35" spans="1:62" x14ac:dyDescent="0.2">
      <c r="A35" s="119"/>
      <c r="B35" s="120" t="s">
        <v>24</v>
      </c>
      <c r="C35" s="306" t="s">
        <v>1076</v>
      </c>
      <c r="D35" s="307"/>
      <c r="E35" s="307"/>
      <c r="F35" s="119" t="s">
        <v>6</v>
      </c>
      <c r="G35" s="119" t="s">
        <v>6</v>
      </c>
      <c r="H35" s="119" t="s">
        <v>6</v>
      </c>
      <c r="I35" s="118">
        <f>SUM(I36:I36)</f>
        <v>0</v>
      </c>
      <c r="J35" s="118">
        <f>SUM(J36:J36)</f>
        <v>0</v>
      </c>
      <c r="K35" s="118">
        <f>SUM(K36:K36)</f>
        <v>0</v>
      </c>
      <c r="L35" s="109"/>
      <c r="AI35" s="109"/>
      <c r="AS35" s="118">
        <f>SUM(AJ36:AJ36)</f>
        <v>0</v>
      </c>
      <c r="AT35" s="118">
        <f>SUM(AK36:AK36)</f>
        <v>0</v>
      </c>
      <c r="AU35" s="118">
        <f>SUM(AL36:AL36)</f>
        <v>0</v>
      </c>
    </row>
    <row r="36" spans="1:62" x14ac:dyDescent="0.2">
      <c r="A36" s="117" t="s">
        <v>25</v>
      </c>
      <c r="B36" s="117" t="s">
        <v>587</v>
      </c>
      <c r="C36" s="304" t="s">
        <v>1077</v>
      </c>
      <c r="D36" s="305"/>
      <c r="E36" s="305"/>
      <c r="F36" s="117" t="s">
        <v>1645</v>
      </c>
      <c r="G36" s="116">
        <v>149.876</v>
      </c>
      <c r="H36" s="159"/>
      <c r="I36" s="108">
        <f>G36*AO36</f>
        <v>0</v>
      </c>
      <c r="J36" s="108">
        <f>G36*AP36</f>
        <v>0</v>
      </c>
      <c r="K36" s="108">
        <f>G36*H36</f>
        <v>0</v>
      </c>
      <c r="L36" s="111" t="s">
        <v>1671</v>
      </c>
      <c r="Z36" s="100">
        <f>IF(AQ36="5",BJ36,0)</f>
        <v>0</v>
      </c>
      <c r="AB36" s="100">
        <f>IF(AQ36="1",BH36,0)</f>
        <v>0</v>
      </c>
      <c r="AC36" s="100">
        <f>IF(AQ36="1",BI36,0)</f>
        <v>0</v>
      </c>
      <c r="AD36" s="100">
        <f>IF(AQ36="7",BH36,0)</f>
        <v>0</v>
      </c>
      <c r="AE36" s="100">
        <f>IF(AQ36="7",BI36,0)</f>
        <v>0</v>
      </c>
      <c r="AF36" s="100">
        <f>IF(AQ36="2",BH36,0)</f>
        <v>0</v>
      </c>
      <c r="AG36" s="100">
        <f>IF(AQ36="2",BI36,0)</f>
        <v>0</v>
      </c>
      <c r="AH36" s="100">
        <f>IF(AQ36="0",BJ36,0)</f>
        <v>0</v>
      </c>
      <c r="AI36" s="109"/>
      <c r="AJ36" s="108">
        <f>IF(AN36=0,K36,0)</f>
        <v>0</v>
      </c>
      <c r="AK36" s="108">
        <f>IF(AN36=15,K36,0)</f>
        <v>0</v>
      </c>
      <c r="AL36" s="108">
        <f>IF(AN36=21,K36,0)</f>
        <v>0</v>
      </c>
      <c r="AN36" s="100">
        <v>15</v>
      </c>
      <c r="AO36" s="100">
        <f>H36*0</f>
        <v>0</v>
      </c>
      <c r="AP36" s="100">
        <f>H36*(1-0)</f>
        <v>0</v>
      </c>
      <c r="AQ36" s="111" t="s">
        <v>7</v>
      </c>
      <c r="AV36" s="100">
        <f>AW36+AX36</f>
        <v>0</v>
      </c>
      <c r="AW36" s="100">
        <f>G36*AO36</f>
        <v>0</v>
      </c>
      <c r="AX36" s="100">
        <f>G36*AP36</f>
        <v>0</v>
      </c>
      <c r="AY36" s="110" t="s">
        <v>1686</v>
      </c>
      <c r="AZ36" s="110" t="s">
        <v>1724</v>
      </c>
      <c r="BA36" s="109" t="s">
        <v>1737</v>
      </c>
      <c r="BC36" s="100">
        <f>AW36+AX36</f>
        <v>0</v>
      </c>
      <c r="BD36" s="100">
        <f>H36/(100-BE36)*100</f>
        <v>0</v>
      </c>
      <c r="BE36" s="100">
        <v>0</v>
      </c>
      <c r="BF36" s="100">
        <f>36</f>
        <v>36</v>
      </c>
      <c r="BH36" s="108">
        <f>G36*AO36</f>
        <v>0</v>
      </c>
      <c r="BI36" s="108">
        <f>G36*AP36</f>
        <v>0</v>
      </c>
      <c r="BJ36" s="108">
        <f>G36*H36</f>
        <v>0</v>
      </c>
    </row>
    <row r="37" spans="1:62" x14ac:dyDescent="0.2">
      <c r="A37" s="119"/>
      <c r="B37" s="120" t="s">
        <v>27</v>
      </c>
      <c r="C37" s="306" t="s">
        <v>1078</v>
      </c>
      <c r="D37" s="307"/>
      <c r="E37" s="307"/>
      <c r="F37" s="119" t="s">
        <v>6</v>
      </c>
      <c r="G37" s="119" t="s">
        <v>6</v>
      </c>
      <c r="H37" s="119" t="s">
        <v>6</v>
      </c>
      <c r="I37" s="118">
        <f>SUM(I38:I39)</f>
        <v>0</v>
      </c>
      <c r="J37" s="118">
        <f>SUM(J38:J39)</f>
        <v>0</v>
      </c>
      <c r="K37" s="118">
        <f>SUM(K38:K39)</f>
        <v>0</v>
      </c>
      <c r="L37" s="109"/>
      <c r="AI37" s="109"/>
      <c r="AS37" s="118">
        <f>SUM(AJ38:AJ39)</f>
        <v>0</v>
      </c>
      <c r="AT37" s="118">
        <f>SUM(AK38:AK39)</f>
        <v>0</v>
      </c>
      <c r="AU37" s="118">
        <f>SUM(AL38:AL39)</f>
        <v>0</v>
      </c>
    </row>
    <row r="38" spans="1:62" x14ac:dyDescent="0.2">
      <c r="A38" s="117" t="s">
        <v>26</v>
      </c>
      <c r="B38" s="117" t="s">
        <v>588</v>
      </c>
      <c r="C38" s="304" t="s">
        <v>1079</v>
      </c>
      <c r="D38" s="305"/>
      <c r="E38" s="305"/>
      <c r="F38" s="117" t="s">
        <v>1646</v>
      </c>
      <c r="G38" s="116">
        <v>87.08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H38*0.568421052631579</f>
        <v>0</v>
      </c>
      <c r="AP38" s="100">
        <f>H38*(1-0.568421052631579)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1687</v>
      </c>
      <c r="AZ38" s="110" t="s">
        <v>1725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7" t="s">
        <v>27</v>
      </c>
      <c r="B39" s="117" t="s">
        <v>589</v>
      </c>
      <c r="C39" s="304" t="s">
        <v>1080</v>
      </c>
      <c r="D39" s="305"/>
      <c r="E39" s="305"/>
      <c r="F39" s="117" t="s">
        <v>1646</v>
      </c>
      <c r="G39" s="116">
        <v>87.08</v>
      </c>
      <c r="H39" s="159"/>
      <c r="I39" s="108">
        <f>G39*AO39</f>
        <v>0</v>
      </c>
      <c r="J39" s="108">
        <f>G39*AP39</f>
        <v>0</v>
      </c>
      <c r="K39" s="108">
        <f>G39*H39</f>
        <v>0</v>
      </c>
      <c r="L39" s="111" t="s">
        <v>1671</v>
      </c>
      <c r="Z39" s="100">
        <f>IF(AQ39="5",BJ39,0)</f>
        <v>0</v>
      </c>
      <c r="AB39" s="100">
        <f>IF(AQ39="1",BH39,0)</f>
        <v>0</v>
      </c>
      <c r="AC39" s="100">
        <f>IF(AQ39="1",BI39,0)</f>
        <v>0</v>
      </c>
      <c r="AD39" s="100">
        <f>IF(AQ39="7",BH39,0)</f>
        <v>0</v>
      </c>
      <c r="AE39" s="100">
        <f>IF(AQ39="7",BI39,0)</f>
        <v>0</v>
      </c>
      <c r="AF39" s="100">
        <f>IF(AQ39="2",BH39,0)</f>
        <v>0</v>
      </c>
      <c r="AG39" s="100">
        <f>IF(AQ39="2",BI39,0)</f>
        <v>0</v>
      </c>
      <c r="AH39" s="100">
        <f>IF(AQ39="0",BJ39,0)</f>
        <v>0</v>
      </c>
      <c r="AI39" s="109"/>
      <c r="AJ39" s="108">
        <f>IF(AN39=0,K39,0)</f>
        <v>0</v>
      </c>
      <c r="AK39" s="108">
        <f>IF(AN39=15,K39,0)</f>
        <v>0</v>
      </c>
      <c r="AL39" s="108">
        <f>IF(AN39=21,K39,0)</f>
        <v>0</v>
      </c>
      <c r="AN39" s="100">
        <v>15</v>
      </c>
      <c r="AO39" s="100">
        <f>H39*0.677510040160643</f>
        <v>0</v>
      </c>
      <c r="AP39" s="100">
        <f>H39*(1-0.677510040160643)</f>
        <v>0</v>
      </c>
      <c r="AQ39" s="111" t="s">
        <v>7</v>
      </c>
      <c r="AV39" s="100">
        <f>AW39+AX39</f>
        <v>0</v>
      </c>
      <c r="AW39" s="100">
        <f>G39*AO39</f>
        <v>0</v>
      </c>
      <c r="AX39" s="100">
        <f>G39*AP39</f>
        <v>0</v>
      </c>
      <c r="AY39" s="110" t="s">
        <v>1687</v>
      </c>
      <c r="AZ39" s="110" t="s">
        <v>1725</v>
      </c>
      <c r="BA39" s="109" t="s">
        <v>1737</v>
      </c>
      <c r="BC39" s="100">
        <f>AW39+AX39</f>
        <v>0</v>
      </c>
      <c r="BD39" s="100">
        <f>H39/(100-BE39)*100</f>
        <v>0</v>
      </c>
      <c r="BE39" s="100">
        <v>0</v>
      </c>
      <c r="BF39" s="100">
        <f>39</f>
        <v>39</v>
      </c>
      <c r="BH39" s="108">
        <f>G39*AO39</f>
        <v>0</v>
      </c>
      <c r="BI39" s="108">
        <f>G39*AP39</f>
        <v>0</v>
      </c>
      <c r="BJ39" s="108">
        <f>G39*H39</f>
        <v>0</v>
      </c>
    </row>
    <row r="40" spans="1:62" x14ac:dyDescent="0.2">
      <c r="A40" s="119"/>
      <c r="B40" s="120" t="s">
        <v>33</v>
      </c>
      <c r="C40" s="306" t="s">
        <v>1081</v>
      </c>
      <c r="D40" s="307"/>
      <c r="E40" s="307"/>
      <c r="F40" s="119" t="s">
        <v>6</v>
      </c>
      <c r="G40" s="119" t="s">
        <v>6</v>
      </c>
      <c r="H40" s="119" t="s">
        <v>6</v>
      </c>
      <c r="I40" s="118">
        <f>SUM(I41:I42)</f>
        <v>0</v>
      </c>
      <c r="J40" s="118">
        <f>SUM(J41:J42)</f>
        <v>0</v>
      </c>
      <c r="K40" s="118">
        <f>SUM(K41:K42)</f>
        <v>0</v>
      </c>
      <c r="L40" s="109"/>
      <c r="AI40" s="109"/>
      <c r="AS40" s="118">
        <f>SUM(AJ41:AJ42)</f>
        <v>0</v>
      </c>
      <c r="AT40" s="118">
        <f>SUM(AK41:AK42)</f>
        <v>0</v>
      </c>
      <c r="AU40" s="118">
        <f>SUM(AL41:AL42)</f>
        <v>0</v>
      </c>
    </row>
    <row r="41" spans="1:62" x14ac:dyDescent="0.2">
      <c r="A41" s="117" t="s">
        <v>28</v>
      </c>
      <c r="B41" s="117" t="s">
        <v>590</v>
      </c>
      <c r="C41" s="304" t="s">
        <v>1082</v>
      </c>
      <c r="D41" s="305"/>
      <c r="E41" s="305"/>
      <c r="F41" s="117" t="s">
        <v>1647</v>
      </c>
      <c r="G41" s="116">
        <v>6.4000000000000001E-2</v>
      </c>
      <c r="H41" s="159"/>
      <c r="I41" s="108">
        <f>G41*AO41</f>
        <v>0</v>
      </c>
      <c r="J41" s="108">
        <f>G41*AP41</f>
        <v>0</v>
      </c>
      <c r="K41" s="108">
        <f>G41*H41</f>
        <v>0</v>
      </c>
      <c r="L41" s="111" t="s">
        <v>1671</v>
      </c>
      <c r="Z41" s="100">
        <f>IF(AQ41="5",BJ41,0)</f>
        <v>0</v>
      </c>
      <c r="AB41" s="100">
        <f>IF(AQ41="1",BH41,0)</f>
        <v>0</v>
      </c>
      <c r="AC41" s="100">
        <f>IF(AQ41="1",BI41,0)</f>
        <v>0</v>
      </c>
      <c r="AD41" s="100">
        <f>IF(AQ41="7",BH41,0)</f>
        <v>0</v>
      </c>
      <c r="AE41" s="100">
        <f>IF(AQ41="7",BI41,0)</f>
        <v>0</v>
      </c>
      <c r="AF41" s="100">
        <f>IF(AQ41="2",BH41,0)</f>
        <v>0</v>
      </c>
      <c r="AG41" s="100">
        <f>IF(AQ41="2",BI41,0)</f>
        <v>0</v>
      </c>
      <c r="AH41" s="100">
        <f>IF(AQ41="0",BJ41,0)</f>
        <v>0</v>
      </c>
      <c r="AI41" s="109"/>
      <c r="AJ41" s="108">
        <f>IF(AN41=0,K41,0)</f>
        <v>0</v>
      </c>
      <c r="AK41" s="108">
        <f>IF(AN41=15,K41,0)</f>
        <v>0</v>
      </c>
      <c r="AL41" s="108">
        <f>IF(AN41=21,K41,0)</f>
        <v>0</v>
      </c>
      <c r="AN41" s="100">
        <v>15</v>
      </c>
      <c r="AO41" s="100">
        <f>H41*0.283464063886424</f>
        <v>0</v>
      </c>
      <c r="AP41" s="100">
        <f>H41*(1-0.283464063886424)</f>
        <v>0</v>
      </c>
      <c r="AQ41" s="111" t="s">
        <v>7</v>
      </c>
      <c r="AV41" s="100">
        <f>AW41+AX41</f>
        <v>0</v>
      </c>
      <c r="AW41" s="100">
        <f>G41*AO41</f>
        <v>0</v>
      </c>
      <c r="AX41" s="100">
        <f>G41*AP41</f>
        <v>0</v>
      </c>
      <c r="AY41" s="110" t="s">
        <v>1688</v>
      </c>
      <c r="AZ41" s="110" t="s">
        <v>1725</v>
      </c>
      <c r="BA41" s="109" t="s">
        <v>1737</v>
      </c>
      <c r="BC41" s="100">
        <f>AW41+AX41</f>
        <v>0</v>
      </c>
      <c r="BD41" s="100">
        <f>H41/(100-BE41)*100</f>
        <v>0</v>
      </c>
      <c r="BE41" s="100">
        <v>0</v>
      </c>
      <c r="BF41" s="100">
        <f>41</f>
        <v>41</v>
      </c>
      <c r="BH41" s="108">
        <f>G41*AO41</f>
        <v>0</v>
      </c>
      <c r="BI41" s="108">
        <f>G41*AP41</f>
        <v>0</v>
      </c>
      <c r="BJ41" s="108">
        <f>G41*H41</f>
        <v>0</v>
      </c>
    </row>
    <row r="42" spans="1:62" x14ac:dyDescent="0.2">
      <c r="A42" s="117" t="s">
        <v>29</v>
      </c>
      <c r="B42" s="117" t="s">
        <v>591</v>
      </c>
      <c r="C42" s="304" t="s">
        <v>1083</v>
      </c>
      <c r="D42" s="305"/>
      <c r="E42" s="305"/>
      <c r="F42" s="117" t="s">
        <v>1647</v>
      </c>
      <c r="G42" s="116">
        <v>0.29599999999999999</v>
      </c>
      <c r="H42" s="159"/>
      <c r="I42" s="108">
        <f>G42*AO42</f>
        <v>0</v>
      </c>
      <c r="J42" s="108">
        <f>G42*AP42</f>
        <v>0</v>
      </c>
      <c r="K42" s="108">
        <f>G42*H42</f>
        <v>0</v>
      </c>
      <c r="L42" s="111" t="s">
        <v>1671</v>
      </c>
      <c r="Z42" s="100">
        <f>IF(AQ42="5",BJ42,0)</f>
        <v>0</v>
      </c>
      <c r="AB42" s="100">
        <f>IF(AQ42="1",BH42,0)</f>
        <v>0</v>
      </c>
      <c r="AC42" s="100">
        <f>IF(AQ42="1",BI42,0)</f>
        <v>0</v>
      </c>
      <c r="AD42" s="100">
        <f>IF(AQ42="7",BH42,0)</f>
        <v>0</v>
      </c>
      <c r="AE42" s="100">
        <f>IF(AQ42="7",BI42,0)</f>
        <v>0</v>
      </c>
      <c r="AF42" s="100">
        <f>IF(AQ42="2",BH42,0)</f>
        <v>0</v>
      </c>
      <c r="AG42" s="100">
        <f>IF(AQ42="2",BI42,0)</f>
        <v>0</v>
      </c>
      <c r="AH42" s="100">
        <f>IF(AQ42="0",BJ42,0)</f>
        <v>0</v>
      </c>
      <c r="AI42" s="109"/>
      <c r="AJ42" s="108">
        <f>IF(AN42=0,K42,0)</f>
        <v>0</v>
      </c>
      <c r="AK42" s="108">
        <f>IF(AN42=15,K42,0)</f>
        <v>0</v>
      </c>
      <c r="AL42" s="108">
        <f>IF(AN42=21,K42,0)</f>
        <v>0</v>
      </c>
      <c r="AN42" s="100">
        <v>15</v>
      </c>
      <c r="AO42" s="100">
        <f>H42*0.658319082377476</f>
        <v>0</v>
      </c>
      <c r="AP42" s="100">
        <f>H42*(1-0.658319082377476)</f>
        <v>0</v>
      </c>
      <c r="AQ42" s="111" t="s">
        <v>7</v>
      </c>
      <c r="AV42" s="100">
        <f>AW42+AX42</f>
        <v>0</v>
      </c>
      <c r="AW42" s="100">
        <f>G42*AO42</f>
        <v>0</v>
      </c>
      <c r="AX42" s="100">
        <f>G42*AP42</f>
        <v>0</v>
      </c>
      <c r="AY42" s="110" t="s">
        <v>1688</v>
      </c>
      <c r="AZ42" s="110" t="s">
        <v>1725</v>
      </c>
      <c r="BA42" s="109" t="s">
        <v>1737</v>
      </c>
      <c r="BC42" s="100">
        <f>AW42+AX42</f>
        <v>0</v>
      </c>
      <c r="BD42" s="100">
        <f>H42/(100-BE42)*100</f>
        <v>0</v>
      </c>
      <c r="BE42" s="100">
        <v>0</v>
      </c>
      <c r="BF42" s="100">
        <f>42</f>
        <v>42</v>
      </c>
      <c r="BH42" s="108">
        <f>G42*AO42</f>
        <v>0</v>
      </c>
      <c r="BI42" s="108">
        <f>G42*AP42</f>
        <v>0</v>
      </c>
      <c r="BJ42" s="108">
        <f>G42*H42</f>
        <v>0</v>
      </c>
    </row>
    <row r="43" spans="1:62" x14ac:dyDescent="0.2">
      <c r="A43" s="119"/>
      <c r="B43" s="120" t="s">
        <v>37</v>
      </c>
      <c r="C43" s="306" t="s">
        <v>1084</v>
      </c>
      <c r="D43" s="307"/>
      <c r="E43" s="307"/>
      <c r="F43" s="119" t="s">
        <v>6</v>
      </c>
      <c r="G43" s="119" t="s">
        <v>6</v>
      </c>
      <c r="H43" s="119" t="s">
        <v>6</v>
      </c>
      <c r="I43" s="118">
        <f>SUM(I44:I47)</f>
        <v>0</v>
      </c>
      <c r="J43" s="118">
        <f>SUM(J44:J47)</f>
        <v>0</v>
      </c>
      <c r="K43" s="118">
        <f>SUM(K44:K47)</f>
        <v>0</v>
      </c>
      <c r="L43" s="109"/>
      <c r="AI43" s="109"/>
      <c r="AS43" s="118">
        <f>SUM(AJ44:AJ47)</f>
        <v>0</v>
      </c>
      <c r="AT43" s="118">
        <f>SUM(AK44:AK47)</f>
        <v>0</v>
      </c>
      <c r="AU43" s="118">
        <f>SUM(AL44:AL47)</f>
        <v>0</v>
      </c>
    </row>
    <row r="44" spans="1:62" x14ac:dyDescent="0.2">
      <c r="A44" s="117" t="s">
        <v>30</v>
      </c>
      <c r="B44" s="117" t="s">
        <v>592</v>
      </c>
      <c r="C44" s="304" t="s">
        <v>1086</v>
      </c>
      <c r="D44" s="305"/>
      <c r="E44" s="305"/>
      <c r="F44" s="117" t="s">
        <v>1644</v>
      </c>
      <c r="G44" s="116">
        <v>1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H44*0.535388860807912</f>
        <v>0</v>
      </c>
      <c r="AP44" s="100">
        <f>H44*(1-0.535388860807912)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1689</v>
      </c>
      <c r="AZ44" s="110" t="s">
        <v>1726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7" t="s">
        <v>31</v>
      </c>
      <c r="B45" s="117" t="s">
        <v>593</v>
      </c>
      <c r="C45" s="304" t="s">
        <v>1087</v>
      </c>
      <c r="D45" s="305"/>
      <c r="E45" s="305"/>
      <c r="F45" s="117" t="s">
        <v>1647</v>
      </c>
      <c r="G45" s="116">
        <v>0.21</v>
      </c>
      <c r="H45" s="159"/>
      <c r="I45" s="108">
        <f>G45*AO45</f>
        <v>0</v>
      </c>
      <c r="J45" s="108">
        <f>G45*AP45</f>
        <v>0</v>
      </c>
      <c r="K45" s="108">
        <f>G45*H45</f>
        <v>0</v>
      </c>
      <c r="L45" s="111" t="s">
        <v>1671</v>
      </c>
      <c r="Z45" s="100">
        <f>IF(AQ45="5",BJ45,0)</f>
        <v>0</v>
      </c>
      <c r="AB45" s="100">
        <f>IF(AQ45="1",BH45,0)</f>
        <v>0</v>
      </c>
      <c r="AC45" s="100">
        <f>IF(AQ45="1",BI45,0)</f>
        <v>0</v>
      </c>
      <c r="AD45" s="100">
        <f>IF(AQ45="7",BH45,0)</f>
        <v>0</v>
      </c>
      <c r="AE45" s="100">
        <f>IF(AQ45="7",BI45,0)</f>
        <v>0</v>
      </c>
      <c r="AF45" s="100">
        <f>IF(AQ45="2",BH45,0)</f>
        <v>0</v>
      </c>
      <c r="AG45" s="100">
        <f>IF(AQ45="2",BI45,0)</f>
        <v>0</v>
      </c>
      <c r="AH45" s="100">
        <f>IF(AQ45="0",BJ45,0)</f>
        <v>0</v>
      </c>
      <c r="AI45" s="109"/>
      <c r="AJ45" s="108">
        <f>IF(AN45=0,K45,0)</f>
        <v>0</v>
      </c>
      <c r="AK45" s="108">
        <f>IF(AN45=15,K45,0)</f>
        <v>0</v>
      </c>
      <c r="AL45" s="108">
        <f>IF(AN45=21,K45,0)</f>
        <v>0</v>
      </c>
      <c r="AN45" s="100">
        <v>15</v>
      </c>
      <c r="AO45" s="100">
        <f>H45*0.659271698113208</f>
        <v>0</v>
      </c>
      <c r="AP45" s="100">
        <f>H45*(1-0.659271698113208)</f>
        <v>0</v>
      </c>
      <c r="AQ45" s="111" t="s">
        <v>7</v>
      </c>
      <c r="AV45" s="100">
        <f>AW45+AX45</f>
        <v>0</v>
      </c>
      <c r="AW45" s="100">
        <f>G45*AO45</f>
        <v>0</v>
      </c>
      <c r="AX45" s="100">
        <f>G45*AP45</f>
        <v>0</v>
      </c>
      <c r="AY45" s="110" t="s">
        <v>1689</v>
      </c>
      <c r="AZ45" s="110" t="s">
        <v>1726</v>
      </c>
      <c r="BA45" s="109" t="s">
        <v>1737</v>
      </c>
      <c r="BC45" s="100">
        <f>AW45+AX45</f>
        <v>0</v>
      </c>
      <c r="BD45" s="100">
        <f>H45/(100-BE45)*100</f>
        <v>0</v>
      </c>
      <c r="BE45" s="100">
        <v>0</v>
      </c>
      <c r="BF45" s="100">
        <f>45</f>
        <v>45</v>
      </c>
      <c r="BH45" s="108">
        <f>G45*AO45</f>
        <v>0</v>
      </c>
      <c r="BI45" s="108">
        <f>G45*AP45</f>
        <v>0</v>
      </c>
      <c r="BJ45" s="108">
        <f>G45*H45</f>
        <v>0</v>
      </c>
    </row>
    <row r="46" spans="1:62" x14ac:dyDescent="0.2">
      <c r="A46" s="117" t="s">
        <v>32</v>
      </c>
      <c r="B46" s="117" t="s">
        <v>594</v>
      </c>
      <c r="C46" s="304" t="s">
        <v>2155</v>
      </c>
      <c r="D46" s="305"/>
      <c r="E46" s="305"/>
      <c r="F46" s="117" t="s">
        <v>1648</v>
      </c>
      <c r="G46" s="116">
        <v>3.4000000000000002E-2</v>
      </c>
      <c r="H46" s="159"/>
      <c r="I46" s="108">
        <f>G46*AO46</f>
        <v>0</v>
      </c>
      <c r="J46" s="108">
        <f>G46*AP46</f>
        <v>0</v>
      </c>
      <c r="K46" s="108">
        <f>G46*H46</f>
        <v>0</v>
      </c>
      <c r="L46" s="111" t="s">
        <v>1671</v>
      </c>
      <c r="Z46" s="100">
        <f>IF(AQ46="5",BJ46,0)</f>
        <v>0</v>
      </c>
      <c r="AB46" s="100">
        <f>IF(AQ46="1",BH46,0)</f>
        <v>0</v>
      </c>
      <c r="AC46" s="100">
        <f>IF(AQ46="1",BI46,0)</f>
        <v>0</v>
      </c>
      <c r="AD46" s="100">
        <f>IF(AQ46="7",BH46,0)</f>
        <v>0</v>
      </c>
      <c r="AE46" s="100">
        <f>IF(AQ46="7",BI46,0)</f>
        <v>0</v>
      </c>
      <c r="AF46" s="100">
        <f>IF(AQ46="2",BH46,0)</f>
        <v>0</v>
      </c>
      <c r="AG46" s="100">
        <f>IF(AQ46="2",BI46,0)</f>
        <v>0</v>
      </c>
      <c r="AH46" s="100">
        <f>IF(AQ46="0",BJ46,0)</f>
        <v>0</v>
      </c>
      <c r="AI46" s="109"/>
      <c r="AJ46" s="108">
        <f>IF(AN46=0,K46,0)</f>
        <v>0</v>
      </c>
      <c r="AK46" s="108">
        <f>IF(AN46=15,K46,0)</f>
        <v>0</v>
      </c>
      <c r="AL46" s="108">
        <f>IF(AN46=21,K46,0)</f>
        <v>0</v>
      </c>
      <c r="AN46" s="100">
        <v>15</v>
      </c>
      <c r="AO46" s="100">
        <f>H46*0.782234965034965</f>
        <v>0</v>
      </c>
      <c r="AP46" s="100">
        <f>H46*(1-0.782234965034965)</f>
        <v>0</v>
      </c>
      <c r="AQ46" s="111" t="s">
        <v>7</v>
      </c>
      <c r="AV46" s="100">
        <f>AW46+AX46</f>
        <v>0</v>
      </c>
      <c r="AW46" s="100">
        <f>G46*AO46</f>
        <v>0</v>
      </c>
      <c r="AX46" s="100">
        <f>G46*AP46</f>
        <v>0</v>
      </c>
      <c r="AY46" s="110" t="s">
        <v>1689</v>
      </c>
      <c r="AZ46" s="110" t="s">
        <v>1726</v>
      </c>
      <c r="BA46" s="109" t="s">
        <v>1737</v>
      </c>
      <c r="BC46" s="100">
        <f>AW46+AX46</f>
        <v>0</v>
      </c>
      <c r="BD46" s="100">
        <f>H46/(100-BE46)*100</f>
        <v>0</v>
      </c>
      <c r="BE46" s="100">
        <v>0</v>
      </c>
      <c r="BF46" s="100">
        <f>46</f>
        <v>46</v>
      </c>
      <c r="BH46" s="108">
        <f>G46*AO46</f>
        <v>0</v>
      </c>
      <c r="BI46" s="108">
        <f>G46*AP46</f>
        <v>0</v>
      </c>
      <c r="BJ46" s="108">
        <f>G46*H46</f>
        <v>0</v>
      </c>
    </row>
    <row r="47" spans="1:62" x14ac:dyDescent="0.2">
      <c r="A47" s="117" t="s">
        <v>33</v>
      </c>
      <c r="B47" s="117" t="s">
        <v>595</v>
      </c>
      <c r="C47" s="304" t="s">
        <v>1089</v>
      </c>
      <c r="D47" s="305"/>
      <c r="E47" s="305"/>
      <c r="F47" s="117" t="s">
        <v>1646</v>
      </c>
      <c r="G47" s="116">
        <v>100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H47*0.318303571428571</f>
        <v>0</v>
      </c>
      <c r="AP47" s="100">
        <f>H47*(1-0.318303571428571)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1689</v>
      </c>
      <c r="AZ47" s="110" t="s">
        <v>1726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9"/>
      <c r="B48" s="120" t="s">
        <v>62</v>
      </c>
      <c r="C48" s="306" t="s">
        <v>1090</v>
      </c>
      <c r="D48" s="307"/>
      <c r="E48" s="307"/>
      <c r="F48" s="119" t="s">
        <v>6</v>
      </c>
      <c r="G48" s="119" t="s">
        <v>6</v>
      </c>
      <c r="H48" s="119" t="s">
        <v>6</v>
      </c>
      <c r="I48" s="118">
        <f>SUM(I49:I51)</f>
        <v>0</v>
      </c>
      <c r="J48" s="118">
        <f>SUM(J49:J51)</f>
        <v>0</v>
      </c>
      <c r="K48" s="118">
        <f>SUM(K49:K51)</f>
        <v>0</v>
      </c>
      <c r="L48" s="109"/>
      <c r="AI48" s="109"/>
      <c r="AS48" s="118">
        <f>SUM(AJ49:AJ51)</f>
        <v>0</v>
      </c>
      <c r="AT48" s="118">
        <f>SUM(AK49:AK51)</f>
        <v>0</v>
      </c>
      <c r="AU48" s="118">
        <f>SUM(AL49:AL51)</f>
        <v>0</v>
      </c>
    </row>
    <row r="49" spans="1:62" x14ac:dyDescent="0.2">
      <c r="A49" s="117" t="s">
        <v>34</v>
      </c>
      <c r="B49" s="117" t="s">
        <v>596</v>
      </c>
      <c r="C49" s="304" t="s">
        <v>1091</v>
      </c>
      <c r="D49" s="305"/>
      <c r="E49" s="305"/>
      <c r="F49" s="117" t="s">
        <v>1645</v>
      </c>
      <c r="G49" s="116">
        <v>26.86</v>
      </c>
      <c r="H49" s="159"/>
      <c r="I49" s="108">
        <f>G49*AO49</f>
        <v>0</v>
      </c>
      <c r="J49" s="108">
        <f>G49*AP49</f>
        <v>0</v>
      </c>
      <c r="K49" s="108">
        <f>G49*H49</f>
        <v>0</v>
      </c>
      <c r="L49" s="111" t="s">
        <v>1671</v>
      </c>
      <c r="Z49" s="100">
        <f>IF(AQ49="5",BJ49,0)</f>
        <v>0</v>
      </c>
      <c r="AB49" s="100">
        <f>IF(AQ49="1",BH49,0)</f>
        <v>0</v>
      </c>
      <c r="AC49" s="100">
        <f>IF(AQ49="1",BI49,0)</f>
        <v>0</v>
      </c>
      <c r="AD49" s="100">
        <f>IF(AQ49="7",BH49,0)</f>
        <v>0</v>
      </c>
      <c r="AE49" s="100">
        <f>IF(AQ49="7",BI49,0)</f>
        <v>0</v>
      </c>
      <c r="AF49" s="100">
        <f>IF(AQ49="2",BH49,0)</f>
        <v>0</v>
      </c>
      <c r="AG49" s="100">
        <f>IF(AQ49="2",BI49,0)</f>
        <v>0</v>
      </c>
      <c r="AH49" s="100">
        <f>IF(AQ49="0",BJ49,0)</f>
        <v>0</v>
      </c>
      <c r="AI49" s="109"/>
      <c r="AJ49" s="108">
        <f>IF(AN49=0,K49,0)</f>
        <v>0</v>
      </c>
      <c r="AK49" s="108">
        <f>IF(AN49=15,K49,0)</f>
        <v>0</v>
      </c>
      <c r="AL49" s="108">
        <f>IF(AN49=21,K49,0)</f>
        <v>0</v>
      </c>
      <c r="AN49" s="100">
        <v>15</v>
      </c>
      <c r="AO49" s="100">
        <f>H49*0.863567116847577</f>
        <v>0</v>
      </c>
      <c r="AP49" s="100">
        <f>H49*(1-0.863567116847577)</f>
        <v>0</v>
      </c>
      <c r="AQ49" s="111" t="s">
        <v>7</v>
      </c>
      <c r="AV49" s="100">
        <f>AW49+AX49</f>
        <v>0</v>
      </c>
      <c r="AW49" s="100">
        <f>G49*AO49</f>
        <v>0</v>
      </c>
      <c r="AX49" s="100">
        <f>G49*AP49</f>
        <v>0</v>
      </c>
      <c r="AY49" s="110" t="s">
        <v>1690</v>
      </c>
      <c r="AZ49" s="110" t="s">
        <v>1727</v>
      </c>
      <c r="BA49" s="109" t="s">
        <v>1737</v>
      </c>
      <c r="BC49" s="100">
        <f>AW49+AX49</f>
        <v>0</v>
      </c>
      <c r="BD49" s="100">
        <f>H49/(100-BE49)*100</f>
        <v>0</v>
      </c>
      <c r="BE49" s="100">
        <v>0</v>
      </c>
      <c r="BF49" s="100">
        <f>49</f>
        <v>49</v>
      </c>
      <c r="BH49" s="108">
        <f>G49*AO49</f>
        <v>0</v>
      </c>
      <c r="BI49" s="108">
        <f>G49*AP49</f>
        <v>0</v>
      </c>
      <c r="BJ49" s="108">
        <f>G49*H49</f>
        <v>0</v>
      </c>
    </row>
    <row r="50" spans="1:62" x14ac:dyDescent="0.2">
      <c r="A50" s="117" t="s">
        <v>35</v>
      </c>
      <c r="B50" s="117" t="s">
        <v>597</v>
      </c>
      <c r="C50" s="304" t="s">
        <v>1092</v>
      </c>
      <c r="D50" s="305"/>
      <c r="E50" s="305"/>
      <c r="F50" s="117" t="s">
        <v>1645</v>
      </c>
      <c r="G50" s="116">
        <v>26.86</v>
      </c>
      <c r="H50" s="159"/>
      <c r="I50" s="108">
        <f>G50*AO50</f>
        <v>0</v>
      </c>
      <c r="J50" s="108">
        <f>G50*AP50</f>
        <v>0</v>
      </c>
      <c r="K50" s="108">
        <f>G50*H50</f>
        <v>0</v>
      </c>
      <c r="L50" s="111" t="s">
        <v>1671</v>
      </c>
      <c r="Z50" s="100">
        <f>IF(AQ50="5",BJ50,0)</f>
        <v>0</v>
      </c>
      <c r="AB50" s="100">
        <f>IF(AQ50="1",BH50,0)</f>
        <v>0</v>
      </c>
      <c r="AC50" s="100">
        <f>IF(AQ50="1",BI50,0)</f>
        <v>0</v>
      </c>
      <c r="AD50" s="100">
        <f>IF(AQ50="7",BH50,0)</f>
        <v>0</v>
      </c>
      <c r="AE50" s="100">
        <f>IF(AQ50="7",BI50,0)</f>
        <v>0</v>
      </c>
      <c r="AF50" s="100">
        <f>IF(AQ50="2",BH50,0)</f>
        <v>0</v>
      </c>
      <c r="AG50" s="100">
        <f>IF(AQ50="2",BI50,0)</f>
        <v>0</v>
      </c>
      <c r="AH50" s="100">
        <f>IF(AQ50="0",BJ50,0)</f>
        <v>0</v>
      </c>
      <c r="AI50" s="109"/>
      <c r="AJ50" s="108">
        <f>IF(AN50=0,K50,0)</f>
        <v>0</v>
      </c>
      <c r="AK50" s="108">
        <f>IF(AN50=15,K50,0)</f>
        <v>0</v>
      </c>
      <c r="AL50" s="108">
        <f>IF(AN50=21,K50,0)</f>
        <v>0</v>
      </c>
      <c r="AN50" s="100">
        <v>15</v>
      </c>
      <c r="AO50" s="100">
        <f>H50*0.764047440993668</f>
        <v>0</v>
      </c>
      <c r="AP50" s="100">
        <f>H50*(1-0.764047440993668)</f>
        <v>0</v>
      </c>
      <c r="AQ50" s="111" t="s">
        <v>7</v>
      </c>
      <c r="AV50" s="100">
        <f>AW50+AX50</f>
        <v>0</v>
      </c>
      <c r="AW50" s="100">
        <f>G50*AO50</f>
        <v>0</v>
      </c>
      <c r="AX50" s="100">
        <f>G50*AP50</f>
        <v>0</v>
      </c>
      <c r="AY50" s="110" t="s">
        <v>1690</v>
      </c>
      <c r="AZ50" s="110" t="s">
        <v>1727</v>
      </c>
      <c r="BA50" s="109" t="s">
        <v>1737</v>
      </c>
      <c r="BC50" s="100">
        <f>AW50+AX50</f>
        <v>0</v>
      </c>
      <c r="BD50" s="100">
        <f>H50/(100-BE50)*100</f>
        <v>0</v>
      </c>
      <c r="BE50" s="100">
        <v>0</v>
      </c>
      <c r="BF50" s="100">
        <f>50</f>
        <v>50</v>
      </c>
      <c r="BH50" s="108">
        <f>G50*AO50</f>
        <v>0</v>
      </c>
      <c r="BI50" s="108">
        <f>G50*AP50</f>
        <v>0</v>
      </c>
      <c r="BJ50" s="108">
        <f>G50*H50</f>
        <v>0</v>
      </c>
    </row>
    <row r="51" spans="1:62" x14ac:dyDescent="0.2">
      <c r="A51" s="117" t="s">
        <v>36</v>
      </c>
      <c r="B51" s="117" t="s">
        <v>598</v>
      </c>
      <c r="C51" s="304" t="s">
        <v>1093</v>
      </c>
      <c r="D51" s="305"/>
      <c r="E51" s="305"/>
      <c r="F51" s="117" t="s">
        <v>1645</v>
      </c>
      <c r="G51" s="116">
        <v>26.86</v>
      </c>
      <c r="H51" s="159"/>
      <c r="I51" s="108">
        <f>G51*AO51</f>
        <v>0</v>
      </c>
      <c r="J51" s="108">
        <f>G51*AP51</f>
        <v>0</v>
      </c>
      <c r="K51" s="108">
        <f>G51*H51</f>
        <v>0</v>
      </c>
      <c r="L51" s="111" t="s">
        <v>1671</v>
      </c>
      <c r="Z51" s="100">
        <f>IF(AQ51="5",BJ51,0)</f>
        <v>0</v>
      </c>
      <c r="AB51" s="100">
        <f>IF(AQ51="1",BH51,0)</f>
        <v>0</v>
      </c>
      <c r="AC51" s="100">
        <f>IF(AQ51="1",BI51,0)</f>
        <v>0</v>
      </c>
      <c r="AD51" s="100">
        <f>IF(AQ51="7",BH51,0)</f>
        <v>0</v>
      </c>
      <c r="AE51" s="100">
        <f>IF(AQ51="7",BI51,0)</f>
        <v>0</v>
      </c>
      <c r="AF51" s="100">
        <f>IF(AQ51="2",BH51,0)</f>
        <v>0</v>
      </c>
      <c r="AG51" s="100">
        <f>IF(AQ51="2",BI51,0)</f>
        <v>0</v>
      </c>
      <c r="AH51" s="100">
        <f>IF(AQ51="0",BJ51,0)</f>
        <v>0</v>
      </c>
      <c r="AI51" s="109"/>
      <c r="AJ51" s="108">
        <f>IF(AN51=0,K51,0)</f>
        <v>0</v>
      </c>
      <c r="AK51" s="108">
        <f>IF(AN51=15,K51,0)</f>
        <v>0</v>
      </c>
      <c r="AL51" s="108">
        <f>IF(AN51=21,K51,0)</f>
        <v>0</v>
      </c>
      <c r="AN51" s="100">
        <v>15</v>
      </c>
      <c r="AO51" s="100">
        <f>H51*0</f>
        <v>0</v>
      </c>
      <c r="AP51" s="100">
        <f>H51*(1-0)</f>
        <v>0</v>
      </c>
      <c r="AQ51" s="111" t="s">
        <v>7</v>
      </c>
      <c r="AV51" s="100">
        <f>AW51+AX51</f>
        <v>0</v>
      </c>
      <c r="AW51" s="100">
        <f>G51*AO51</f>
        <v>0</v>
      </c>
      <c r="AX51" s="100">
        <f>G51*AP51</f>
        <v>0</v>
      </c>
      <c r="AY51" s="110" t="s">
        <v>1690</v>
      </c>
      <c r="AZ51" s="110" t="s">
        <v>1727</v>
      </c>
      <c r="BA51" s="109" t="s">
        <v>1737</v>
      </c>
      <c r="BC51" s="100">
        <f>AW51+AX51</f>
        <v>0</v>
      </c>
      <c r="BD51" s="100">
        <f>H51/(100-BE51)*100</f>
        <v>0</v>
      </c>
      <c r="BE51" s="100">
        <v>0</v>
      </c>
      <c r="BF51" s="100">
        <f>51</f>
        <v>51</v>
      </c>
      <c r="BH51" s="108">
        <f>G51*AO51</f>
        <v>0</v>
      </c>
      <c r="BI51" s="108">
        <f>G51*AP51</f>
        <v>0</v>
      </c>
      <c r="BJ51" s="108">
        <f>G51*H51</f>
        <v>0</v>
      </c>
    </row>
    <row r="52" spans="1:62" x14ac:dyDescent="0.2">
      <c r="A52" s="119"/>
      <c r="B52" s="120" t="s">
        <v>65</v>
      </c>
      <c r="C52" s="306" t="s">
        <v>1094</v>
      </c>
      <c r="D52" s="307"/>
      <c r="E52" s="307"/>
      <c r="F52" s="119" t="s">
        <v>6</v>
      </c>
      <c r="G52" s="119" t="s">
        <v>6</v>
      </c>
      <c r="H52" s="119" t="s">
        <v>6</v>
      </c>
      <c r="I52" s="118">
        <f>SUM(I53:I55)</f>
        <v>0</v>
      </c>
      <c r="J52" s="118">
        <f>SUM(J53:J55)</f>
        <v>0</v>
      </c>
      <c r="K52" s="118">
        <f>SUM(K53:K55)</f>
        <v>0</v>
      </c>
      <c r="L52" s="109"/>
      <c r="AI52" s="109"/>
      <c r="AS52" s="118">
        <f>SUM(AJ53:AJ55)</f>
        <v>0</v>
      </c>
      <c r="AT52" s="118">
        <f>SUM(AK53:AK55)</f>
        <v>0</v>
      </c>
      <c r="AU52" s="118">
        <f>SUM(AL53:AL55)</f>
        <v>0</v>
      </c>
    </row>
    <row r="53" spans="1:62" x14ac:dyDescent="0.2">
      <c r="A53" s="117" t="s">
        <v>37</v>
      </c>
      <c r="B53" s="117" t="s">
        <v>599</v>
      </c>
      <c r="C53" s="304" t="s">
        <v>1095</v>
      </c>
      <c r="D53" s="305"/>
      <c r="E53" s="305"/>
      <c r="F53" s="117" t="s">
        <v>1645</v>
      </c>
      <c r="G53" s="116">
        <v>58.475999999999999</v>
      </c>
      <c r="H53" s="159"/>
      <c r="I53" s="108">
        <f>G53*AO53</f>
        <v>0</v>
      </c>
      <c r="J53" s="108">
        <f>G53*AP53</f>
        <v>0</v>
      </c>
      <c r="K53" s="108">
        <f>G53*H53</f>
        <v>0</v>
      </c>
      <c r="L53" s="111" t="s">
        <v>1671</v>
      </c>
      <c r="Z53" s="100">
        <f>IF(AQ53="5",BJ53,0)</f>
        <v>0</v>
      </c>
      <c r="AB53" s="100">
        <f>IF(AQ53="1",BH53,0)</f>
        <v>0</v>
      </c>
      <c r="AC53" s="100">
        <f>IF(AQ53="1",BI53,0)</f>
        <v>0</v>
      </c>
      <c r="AD53" s="100">
        <f>IF(AQ53="7",BH53,0)</f>
        <v>0</v>
      </c>
      <c r="AE53" s="100">
        <f>IF(AQ53="7",BI53,0)</f>
        <v>0</v>
      </c>
      <c r="AF53" s="100">
        <f>IF(AQ53="2",BH53,0)</f>
        <v>0</v>
      </c>
      <c r="AG53" s="100">
        <f>IF(AQ53="2",BI53,0)</f>
        <v>0</v>
      </c>
      <c r="AH53" s="100">
        <f>IF(AQ53="0",BJ53,0)</f>
        <v>0</v>
      </c>
      <c r="AI53" s="109"/>
      <c r="AJ53" s="108">
        <f>IF(AN53=0,K53,0)</f>
        <v>0</v>
      </c>
      <c r="AK53" s="108">
        <f>IF(AN53=15,K53,0)</f>
        <v>0</v>
      </c>
      <c r="AL53" s="108">
        <f>IF(AN53=21,K53,0)</f>
        <v>0</v>
      </c>
      <c r="AN53" s="100">
        <v>15</v>
      </c>
      <c r="AO53" s="100">
        <f>H53*0.509999911903785</f>
        <v>0</v>
      </c>
      <c r="AP53" s="100">
        <f>H53*(1-0.509999911903785)</f>
        <v>0</v>
      </c>
      <c r="AQ53" s="111" t="s">
        <v>7</v>
      </c>
      <c r="AV53" s="100">
        <f>AW53+AX53</f>
        <v>0</v>
      </c>
      <c r="AW53" s="100">
        <f>G53*AO53</f>
        <v>0</v>
      </c>
      <c r="AX53" s="100">
        <f>G53*AP53</f>
        <v>0</v>
      </c>
      <c r="AY53" s="110" t="s">
        <v>1691</v>
      </c>
      <c r="AZ53" s="110" t="s">
        <v>1727</v>
      </c>
      <c r="BA53" s="109" t="s">
        <v>1737</v>
      </c>
      <c r="BC53" s="100">
        <f>AW53+AX53</f>
        <v>0</v>
      </c>
      <c r="BD53" s="100">
        <f>H53/(100-BE53)*100</f>
        <v>0</v>
      </c>
      <c r="BE53" s="100">
        <v>0</v>
      </c>
      <c r="BF53" s="100">
        <f>53</f>
        <v>53</v>
      </c>
      <c r="BH53" s="108">
        <f>G53*AO53</f>
        <v>0</v>
      </c>
      <c r="BI53" s="108">
        <f>G53*AP53</f>
        <v>0</v>
      </c>
      <c r="BJ53" s="108">
        <f>G53*H53</f>
        <v>0</v>
      </c>
    </row>
    <row r="54" spans="1:62" x14ac:dyDescent="0.2">
      <c r="A54" s="117" t="s">
        <v>38</v>
      </c>
      <c r="B54" s="117" t="s">
        <v>2865</v>
      </c>
      <c r="C54" s="304" t="s">
        <v>2864</v>
      </c>
      <c r="D54" s="305"/>
      <c r="E54" s="305"/>
      <c r="F54" s="117" t="s">
        <v>1645</v>
      </c>
      <c r="G54" s="116">
        <v>6.2130000000000001</v>
      </c>
      <c r="H54" s="159"/>
      <c r="I54" s="108">
        <f>G54*AO54</f>
        <v>0</v>
      </c>
      <c r="J54" s="108">
        <f>G54*AP54</f>
        <v>0</v>
      </c>
      <c r="K54" s="108">
        <f>G54*H54</f>
        <v>0</v>
      </c>
      <c r="L54" s="111" t="s">
        <v>1671</v>
      </c>
      <c r="Z54" s="100">
        <f>IF(AQ54="5",BJ54,0)</f>
        <v>0</v>
      </c>
      <c r="AB54" s="100">
        <f>IF(AQ54="1",BH54,0)</f>
        <v>0</v>
      </c>
      <c r="AC54" s="100">
        <f>IF(AQ54="1",BI54,0)</f>
        <v>0</v>
      </c>
      <c r="AD54" s="100">
        <f>IF(AQ54="7",BH54,0)</f>
        <v>0</v>
      </c>
      <c r="AE54" s="100">
        <f>IF(AQ54="7",BI54,0)</f>
        <v>0</v>
      </c>
      <c r="AF54" s="100">
        <f>IF(AQ54="2",BH54,0)</f>
        <v>0</v>
      </c>
      <c r="AG54" s="100">
        <f>IF(AQ54="2",BI54,0)</f>
        <v>0</v>
      </c>
      <c r="AH54" s="100">
        <f>IF(AQ54="0",BJ54,0)</f>
        <v>0</v>
      </c>
      <c r="AI54" s="109"/>
      <c r="AJ54" s="108">
        <f>IF(AN54=0,K54,0)</f>
        <v>0</v>
      </c>
      <c r="AK54" s="108">
        <f>IF(AN54=15,K54,0)</f>
        <v>0</v>
      </c>
      <c r="AL54" s="108">
        <f>IF(AN54=21,K54,0)</f>
        <v>0</v>
      </c>
      <c r="AN54" s="100">
        <v>15</v>
      </c>
      <c r="AO54" s="100">
        <f>H54*0.48683752754204</f>
        <v>0</v>
      </c>
      <c r="AP54" s="100">
        <f>H54*(1-0.48683752754204)</f>
        <v>0</v>
      </c>
      <c r="AQ54" s="111" t="s">
        <v>7</v>
      </c>
      <c r="AV54" s="100">
        <f>AW54+AX54</f>
        <v>0</v>
      </c>
      <c r="AW54" s="100">
        <f>G54*AO54</f>
        <v>0</v>
      </c>
      <c r="AX54" s="100">
        <f>G54*AP54</f>
        <v>0</v>
      </c>
      <c r="AY54" s="110" t="s">
        <v>1691</v>
      </c>
      <c r="AZ54" s="110" t="s">
        <v>1727</v>
      </c>
      <c r="BA54" s="109" t="s">
        <v>1737</v>
      </c>
      <c r="BC54" s="100">
        <f>AW54+AX54</f>
        <v>0</v>
      </c>
      <c r="BD54" s="100">
        <f>H54/(100-BE54)*100</f>
        <v>0</v>
      </c>
      <c r="BE54" s="100">
        <v>0</v>
      </c>
      <c r="BF54" s="100">
        <f>54</f>
        <v>54</v>
      </c>
      <c r="BH54" s="108">
        <f>G54*AO54</f>
        <v>0</v>
      </c>
      <c r="BI54" s="108">
        <f>G54*AP54</f>
        <v>0</v>
      </c>
      <c r="BJ54" s="108">
        <f>G54*H54</f>
        <v>0</v>
      </c>
    </row>
    <row r="55" spans="1:62" x14ac:dyDescent="0.2">
      <c r="A55" s="117" t="s">
        <v>39</v>
      </c>
      <c r="B55" s="117" t="s">
        <v>600</v>
      </c>
      <c r="C55" s="304" t="s">
        <v>1096</v>
      </c>
      <c r="D55" s="305"/>
      <c r="E55" s="305"/>
      <c r="F55" s="117" t="s">
        <v>1645</v>
      </c>
      <c r="G55" s="116">
        <v>26.86</v>
      </c>
      <c r="H55" s="159"/>
      <c r="I55" s="108">
        <f>G55*AO55</f>
        <v>0</v>
      </c>
      <c r="J55" s="108">
        <f>G55*AP55</f>
        <v>0</v>
      </c>
      <c r="K55" s="108">
        <f>G55*H55</f>
        <v>0</v>
      </c>
      <c r="L55" s="111" t="s">
        <v>1671</v>
      </c>
      <c r="Z55" s="100">
        <f>IF(AQ55="5",BJ55,0)</f>
        <v>0</v>
      </c>
      <c r="AB55" s="100">
        <f>IF(AQ55="1",BH55,0)</f>
        <v>0</v>
      </c>
      <c r="AC55" s="100">
        <f>IF(AQ55="1",BI55,0)</f>
        <v>0</v>
      </c>
      <c r="AD55" s="100">
        <f>IF(AQ55="7",BH55,0)</f>
        <v>0</v>
      </c>
      <c r="AE55" s="100">
        <f>IF(AQ55="7",BI55,0)</f>
        <v>0</v>
      </c>
      <c r="AF55" s="100">
        <f>IF(AQ55="2",BH55,0)</f>
        <v>0</v>
      </c>
      <c r="AG55" s="100">
        <f>IF(AQ55="2",BI55,0)</f>
        <v>0</v>
      </c>
      <c r="AH55" s="100">
        <f>IF(AQ55="0",BJ55,0)</f>
        <v>0</v>
      </c>
      <c r="AI55" s="109"/>
      <c r="AJ55" s="108">
        <f>IF(AN55=0,K55,0)</f>
        <v>0</v>
      </c>
      <c r="AK55" s="108">
        <f>IF(AN55=15,K55,0)</f>
        <v>0</v>
      </c>
      <c r="AL55" s="108">
        <f>IF(AN55=21,K55,0)</f>
        <v>0</v>
      </c>
      <c r="AN55" s="100">
        <v>15</v>
      </c>
      <c r="AO55" s="100">
        <f>H55*0.763125610993499</f>
        <v>0</v>
      </c>
      <c r="AP55" s="100">
        <f>H55*(1-0.763125610993499)</f>
        <v>0</v>
      </c>
      <c r="AQ55" s="111" t="s">
        <v>7</v>
      </c>
      <c r="AV55" s="100">
        <f>AW55+AX55</f>
        <v>0</v>
      </c>
      <c r="AW55" s="100">
        <f>G55*AO55</f>
        <v>0</v>
      </c>
      <c r="AX55" s="100">
        <f>G55*AP55</f>
        <v>0</v>
      </c>
      <c r="AY55" s="110" t="s">
        <v>1691</v>
      </c>
      <c r="AZ55" s="110" t="s">
        <v>1727</v>
      </c>
      <c r="BA55" s="109" t="s">
        <v>1737</v>
      </c>
      <c r="BC55" s="100">
        <f>AW55+AX55</f>
        <v>0</v>
      </c>
      <c r="BD55" s="100">
        <f>H55/(100-BE55)*100</f>
        <v>0</v>
      </c>
      <c r="BE55" s="100">
        <v>0</v>
      </c>
      <c r="BF55" s="100">
        <f>55</f>
        <v>55</v>
      </c>
      <c r="BH55" s="108">
        <f>G55*AO55</f>
        <v>0</v>
      </c>
      <c r="BI55" s="108">
        <f>G55*AP55</f>
        <v>0</v>
      </c>
      <c r="BJ55" s="108">
        <f>G55*H55</f>
        <v>0</v>
      </c>
    </row>
    <row r="56" spans="1:62" x14ac:dyDescent="0.2">
      <c r="A56" s="119"/>
      <c r="B56" s="120" t="s">
        <v>67</v>
      </c>
      <c r="C56" s="306" t="s">
        <v>1097</v>
      </c>
      <c r="D56" s="307"/>
      <c r="E56" s="307"/>
      <c r="F56" s="119" t="s">
        <v>6</v>
      </c>
      <c r="G56" s="119" t="s">
        <v>6</v>
      </c>
      <c r="H56" s="119" t="s">
        <v>6</v>
      </c>
      <c r="I56" s="118">
        <f>SUM(I57:I63)</f>
        <v>0</v>
      </c>
      <c r="J56" s="118">
        <f>SUM(J57:J63)</f>
        <v>0</v>
      </c>
      <c r="K56" s="118">
        <f>SUM(K57:K63)</f>
        <v>0</v>
      </c>
      <c r="L56" s="109"/>
      <c r="AI56" s="109"/>
      <c r="AS56" s="118">
        <f>SUM(AJ57:AJ63)</f>
        <v>0</v>
      </c>
      <c r="AT56" s="118">
        <f>SUM(AK57:AK63)</f>
        <v>0</v>
      </c>
      <c r="AU56" s="118">
        <f>SUM(AL57:AL63)</f>
        <v>0</v>
      </c>
    </row>
    <row r="57" spans="1:62" x14ac:dyDescent="0.2">
      <c r="A57" s="117" t="s">
        <v>40</v>
      </c>
      <c r="B57" s="117" t="s">
        <v>601</v>
      </c>
      <c r="C57" s="304" t="s">
        <v>1098</v>
      </c>
      <c r="D57" s="305"/>
      <c r="E57" s="305"/>
      <c r="F57" s="117" t="s">
        <v>1645</v>
      </c>
      <c r="G57" s="116">
        <v>18.702999999999999</v>
      </c>
      <c r="H57" s="159"/>
      <c r="I57" s="108">
        <f t="shared" ref="I57:I63" si="22">G57*AO57</f>
        <v>0</v>
      </c>
      <c r="J57" s="108">
        <f t="shared" ref="J57:J63" si="23">G57*AP57</f>
        <v>0</v>
      </c>
      <c r="K57" s="108">
        <f t="shared" ref="K57:K63" si="24">G57*H57</f>
        <v>0</v>
      </c>
      <c r="L57" s="111" t="s">
        <v>1671</v>
      </c>
      <c r="Z57" s="100">
        <f t="shared" ref="Z57:Z63" si="25">IF(AQ57="5",BJ57,0)</f>
        <v>0</v>
      </c>
      <c r="AB57" s="100">
        <f t="shared" ref="AB57:AB63" si="26">IF(AQ57="1",BH57,0)</f>
        <v>0</v>
      </c>
      <c r="AC57" s="100">
        <f t="shared" ref="AC57:AC63" si="27">IF(AQ57="1",BI57,0)</f>
        <v>0</v>
      </c>
      <c r="AD57" s="100">
        <f t="shared" ref="AD57:AD63" si="28">IF(AQ57="7",BH57,0)</f>
        <v>0</v>
      </c>
      <c r="AE57" s="100">
        <f t="shared" ref="AE57:AE63" si="29">IF(AQ57="7",BI57,0)</f>
        <v>0</v>
      </c>
      <c r="AF57" s="100">
        <f t="shared" ref="AF57:AF63" si="30">IF(AQ57="2",BH57,0)</f>
        <v>0</v>
      </c>
      <c r="AG57" s="100">
        <f t="shared" ref="AG57:AG63" si="31">IF(AQ57="2",BI57,0)</f>
        <v>0</v>
      </c>
      <c r="AH57" s="100">
        <f t="shared" ref="AH57:AH63" si="32">IF(AQ57="0",BJ57,0)</f>
        <v>0</v>
      </c>
      <c r="AI57" s="109"/>
      <c r="AJ57" s="108">
        <f t="shared" ref="AJ57:AJ63" si="33">IF(AN57=0,K57,0)</f>
        <v>0</v>
      </c>
      <c r="AK57" s="108">
        <f t="shared" ref="AK57:AK63" si="34">IF(AN57=15,K57,0)</f>
        <v>0</v>
      </c>
      <c r="AL57" s="108">
        <f t="shared" ref="AL57:AL63" si="35">IF(AN57=21,K57,0)</f>
        <v>0</v>
      </c>
      <c r="AN57" s="100">
        <v>15</v>
      </c>
      <c r="AO57" s="100">
        <f>H57*0.137604592233657</f>
        <v>0</v>
      </c>
      <c r="AP57" s="100">
        <f>H57*(1-0.137604592233657)</f>
        <v>0</v>
      </c>
      <c r="AQ57" s="111" t="s">
        <v>7</v>
      </c>
      <c r="AV57" s="100">
        <f t="shared" ref="AV57:AV63" si="36">AW57+AX57</f>
        <v>0</v>
      </c>
      <c r="AW57" s="100">
        <f t="shared" ref="AW57:AW63" si="37">G57*AO57</f>
        <v>0</v>
      </c>
      <c r="AX57" s="100">
        <f t="shared" ref="AX57:AX63" si="38">G57*AP57</f>
        <v>0</v>
      </c>
      <c r="AY57" s="110" t="s">
        <v>1692</v>
      </c>
      <c r="AZ57" s="110" t="s">
        <v>1728</v>
      </c>
      <c r="BA57" s="109" t="s">
        <v>1737</v>
      </c>
      <c r="BC57" s="100">
        <f t="shared" ref="BC57:BC63" si="39">AW57+AX57</f>
        <v>0</v>
      </c>
      <c r="BD57" s="100">
        <f t="shared" ref="BD57:BD63" si="40">H57/(100-BE57)*100</f>
        <v>0</v>
      </c>
      <c r="BE57" s="100">
        <v>0</v>
      </c>
      <c r="BF57" s="100">
        <f>57</f>
        <v>57</v>
      </c>
      <c r="BH57" s="108">
        <f t="shared" ref="BH57:BH63" si="41">G57*AO57</f>
        <v>0</v>
      </c>
      <c r="BI57" s="108">
        <f t="shared" ref="BI57:BI63" si="42">G57*AP57</f>
        <v>0</v>
      </c>
      <c r="BJ57" s="108">
        <f t="shared" ref="BJ57:BJ63" si="43">G57*H57</f>
        <v>0</v>
      </c>
    </row>
    <row r="58" spans="1:62" x14ac:dyDescent="0.2">
      <c r="A58" s="117" t="s">
        <v>41</v>
      </c>
      <c r="B58" s="117" t="s">
        <v>602</v>
      </c>
      <c r="C58" s="304" t="s">
        <v>1099</v>
      </c>
      <c r="D58" s="305"/>
      <c r="E58" s="305"/>
      <c r="F58" s="117" t="s">
        <v>1645</v>
      </c>
      <c r="G58" s="116">
        <v>4.3499999999999996</v>
      </c>
      <c r="H58" s="159"/>
      <c r="I58" s="108">
        <f t="shared" si="22"/>
        <v>0</v>
      </c>
      <c r="J58" s="108">
        <f t="shared" si="23"/>
        <v>0</v>
      </c>
      <c r="K58" s="108">
        <f t="shared" si="24"/>
        <v>0</v>
      </c>
      <c r="L58" s="111" t="s">
        <v>1671</v>
      </c>
      <c r="Z58" s="100">
        <f t="shared" si="25"/>
        <v>0</v>
      </c>
      <c r="AB58" s="100">
        <f t="shared" si="26"/>
        <v>0</v>
      </c>
      <c r="AC58" s="100">
        <f t="shared" si="27"/>
        <v>0</v>
      </c>
      <c r="AD58" s="100">
        <f t="shared" si="28"/>
        <v>0</v>
      </c>
      <c r="AE58" s="100">
        <f t="shared" si="29"/>
        <v>0</v>
      </c>
      <c r="AF58" s="100">
        <f t="shared" si="30"/>
        <v>0</v>
      </c>
      <c r="AG58" s="100">
        <f t="shared" si="31"/>
        <v>0</v>
      </c>
      <c r="AH58" s="100">
        <f t="shared" si="32"/>
        <v>0</v>
      </c>
      <c r="AI58" s="109"/>
      <c r="AJ58" s="108">
        <f t="shared" si="33"/>
        <v>0</v>
      </c>
      <c r="AK58" s="108">
        <f t="shared" si="34"/>
        <v>0</v>
      </c>
      <c r="AL58" s="108">
        <f t="shared" si="35"/>
        <v>0</v>
      </c>
      <c r="AN58" s="100">
        <v>15</v>
      </c>
      <c r="AO58" s="100">
        <f>H58*0.193999208427718</f>
        <v>0</v>
      </c>
      <c r="AP58" s="100">
        <f>H58*(1-0.193999208427718)</f>
        <v>0</v>
      </c>
      <c r="AQ58" s="111" t="s">
        <v>7</v>
      </c>
      <c r="AV58" s="100">
        <f t="shared" si="36"/>
        <v>0</v>
      </c>
      <c r="AW58" s="100">
        <f t="shared" si="37"/>
        <v>0</v>
      </c>
      <c r="AX58" s="100">
        <f t="shared" si="38"/>
        <v>0</v>
      </c>
      <c r="AY58" s="110" t="s">
        <v>1692</v>
      </c>
      <c r="AZ58" s="110" t="s">
        <v>1728</v>
      </c>
      <c r="BA58" s="109" t="s">
        <v>1737</v>
      </c>
      <c r="BC58" s="100">
        <f t="shared" si="39"/>
        <v>0</v>
      </c>
      <c r="BD58" s="100">
        <f t="shared" si="40"/>
        <v>0</v>
      </c>
      <c r="BE58" s="100">
        <v>0</v>
      </c>
      <c r="BF58" s="100">
        <f>58</f>
        <v>58</v>
      </c>
      <c r="BH58" s="108">
        <f t="shared" si="41"/>
        <v>0</v>
      </c>
      <c r="BI58" s="108">
        <f t="shared" si="42"/>
        <v>0</v>
      </c>
      <c r="BJ58" s="108">
        <f t="shared" si="43"/>
        <v>0</v>
      </c>
    </row>
    <row r="59" spans="1:62" x14ac:dyDescent="0.2">
      <c r="A59" s="117" t="s">
        <v>42</v>
      </c>
      <c r="B59" s="117" t="s">
        <v>603</v>
      </c>
      <c r="C59" s="304" t="s">
        <v>1100</v>
      </c>
      <c r="D59" s="305"/>
      <c r="E59" s="305"/>
      <c r="F59" s="117" t="s">
        <v>1645</v>
      </c>
      <c r="G59" s="116">
        <v>4.3499999999999996</v>
      </c>
      <c r="H59" s="159"/>
      <c r="I59" s="108">
        <f t="shared" si="22"/>
        <v>0</v>
      </c>
      <c r="J59" s="108">
        <f t="shared" si="23"/>
        <v>0</v>
      </c>
      <c r="K59" s="108">
        <f t="shared" si="24"/>
        <v>0</v>
      </c>
      <c r="L59" s="111" t="s">
        <v>1671</v>
      </c>
      <c r="Z59" s="100">
        <f t="shared" si="25"/>
        <v>0</v>
      </c>
      <c r="AB59" s="100">
        <f t="shared" si="26"/>
        <v>0</v>
      </c>
      <c r="AC59" s="100">
        <f t="shared" si="27"/>
        <v>0</v>
      </c>
      <c r="AD59" s="100">
        <f t="shared" si="28"/>
        <v>0</v>
      </c>
      <c r="AE59" s="100">
        <f t="shared" si="29"/>
        <v>0</v>
      </c>
      <c r="AF59" s="100">
        <f t="shared" si="30"/>
        <v>0</v>
      </c>
      <c r="AG59" s="100">
        <f t="shared" si="31"/>
        <v>0</v>
      </c>
      <c r="AH59" s="100">
        <f t="shared" si="32"/>
        <v>0</v>
      </c>
      <c r="AI59" s="109"/>
      <c r="AJ59" s="108">
        <f t="shared" si="33"/>
        <v>0</v>
      </c>
      <c r="AK59" s="108">
        <f t="shared" si="34"/>
        <v>0</v>
      </c>
      <c r="AL59" s="108">
        <f t="shared" si="35"/>
        <v>0</v>
      </c>
      <c r="AN59" s="100">
        <v>15</v>
      </c>
      <c r="AO59" s="100">
        <f>H59*0.0969468961187636</f>
        <v>0</v>
      </c>
      <c r="AP59" s="100">
        <f>H59*(1-0.0969468961187636)</f>
        <v>0</v>
      </c>
      <c r="AQ59" s="111" t="s">
        <v>7</v>
      </c>
      <c r="AV59" s="100">
        <f t="shared" si="36"/>
        <v>0</v>
      </c>
      <c r="AW59" s="100">
        <f t="shared" si="37"/>
        <v>0</v>
      </c>
      <c r="AX59" s="100">
        <f t="shared" si="38"/>
        <v>0</v>
      </c>
      <c r="AY59" s="110" t="s">
        <v>1692</v>
      </c>
      <c r="AZ59" s="110" t="s">
        <v>1728</v>
      </c>
      <c r="BA59" s="109" t="s">
        <v>1737</v>
      </c>
      <c r="BC59" s="100">
        <f t="shared" si="39"/>
        <v>0</v>
      </c>
      <c r="BD59" s="100">
        <f t="shared" si="40"/>
        <v>0</v>
      </c>
      <c r="BE59" s="100">
        <v>0</v>
      </c>
      <c r="BF59" s="100">
        <f>59</f>
        <v>59</v>
      </c>
      <c r="BH59" s="108">
        <f t="shared" si="41"/>
        <v>0</v>
      </c>
      <c r="BI59" s="108">
        <f t="shared" si="42"/>
        <v>0</v>
      </c>
      <c r="BJ59" s="108">
        <f t="shared" si="43"/>
        <v>0</v>
      </c>
    </row>
    <row r="60" spans="1:62" x14ac:dyDescent="0.2">
      <c r="A60" s="117" t="s">
        <v>43</v>
      </c>
      <c r="B60" s="117" t="s">
        <v>604</v>
      </c>
      <c r="C60" s="304" t="s">
        <v>2863</v>
      </c>
      <c r="D60" s="305"/>
      <c r="E60" s="305"/>
      <c r="F60" s="117" t="s">
        <v>1645</v>
      </c>
      <c r="G60" s="116">
        <v>12.734999999999999</v>
      </c>
      <c r="H60" s="159"/>
      <c r="I60" s="108">
        <f t="shared" si="22"/>
        <v>0</v>
      </c>
      <c r="J60" s="108">
        <f t="shared" si="23"/>
        <v>0</v>
      </c>
      <c r="K60" s="108">
        <f t="shared" si="24"/>
        <v>0</v>
      </c>
      <c r="L60" s="111" t="s">
        <v>1671</v>
      </c>
      <c r="Z60" s="100">
        <f t="shared" si="25"/>
        <v>0</v>
      </c>
      <c r="AB60" s="100">
        <f t="shared" si="26"/>
        <v>0</v>
      </c>
      <c r="AC60" s="100">
        <f t="shared" si="27"/>
        <v>0</v>
      </c>
      <c r="AD60" s="100">
        <f t="shared" si="28"/>
        <v>0</v>
      </c>
      <c r="AE60" s="100">
        <f t="shared" si="29"/>
        <v>0</v>
      </c>
      <c r="AF60" s="100">
        <f t="shared" si="30"/>
        <v>0</v>
      </c>
      <c r="AG60" s="100">
        <f t="shared" si="31"/>
        <v>0</v>
      </c>
      <c r="AH60" s="100">
        <f t="shared" si="32"/>
        <v>0</v>
      </c>
      <c r="AI60" s="109"/>
      <c r="AJ60" s="108">
        <f t="shared" si="33"/>
        <v>0</v>
      </c>
      <c r="AK60" s="108">
        <f t="shared" si="34"/>
        <v>0</v>
      </c>
      <c r="AL60" s="108">
        <f t="shared" si="35"/>
        <v>0</v>
      </c>
      <c r="AN60" s="100">
        <v>15</v>
      </c>
      <c r="AO60" s="100">
        <f>H60*0.0969229759846702</f>
        <v>0</v>
      </c>
      <c r="AP60" s="100">
        <f>H60*(1-0.0969229759846702)</f>
        <v>0</v>
      </c>
      <c r="AQ60" s="111" t="s">
        <v>7</v>
      </c>
      <c r="AV60" s="100">
        <f t="shared" si="36"/>
        <v>0</v>
      </c>
      <c r="AW60" s="100">
        <f t="shared" si="37"/>
        <v>0</v>
      </c>
      <c r="AX60" s="100">
        <f t="shared" si="38"/>
        <v>0</v>
      </c>
      <c r="AY60" s="110" t="s">
        <v>1692</v>
      </c>
      <c r="AZ60" s="110" t="s">
        <v>1728</v>
      </c>
      <c r="BA60" s="109" t="s">
        <v>1737</v>
      </c>
      <c r="BC60" s="100">
        <f t="shared" si="39"/>
        <v>0</v>
      </c>
      <c r="BD60" s="100">
        <f t="shared" si="40"/>
        <v>0</v>
      </c>
      <c r="BE60" s="100">
        <v>0</v>
      </c>
      <c r="BF60" s="100">
        <f>60</f>
        <v>60</v>
      </c>
      <c r="BH60" s="108">
        <f t="shared" si="41"/>
        <v>0</v>
      </c>
      <c r="BI60" s="108">
        <f t="shared" si="42"/>
        <v>0</v>
      </c>
      <c r="BJ60" s="108">
        <f t="shared" si="43"/>
        <v>0</v>
      </c>
    </row>
    <row r="61" spans="1:62" x14ac:dyDescent="0.2">
      <c r="A61" s="117" t="s">
        <v>44</v>
      </c>
      <c r="B61" s="117" t="s">
        <v>2862</v>
      </c>
      <c r="C61" s="304" t="s">
        <v>2861</v>
      </c>
      <c r="D61" s="305"/>
      <c r="E61" s="305"/>
      <c r="F61" s="117" t="s">
        <v>1646</v>
      </c>
      <c r="G61" s="116">
        <v>33</v>
      </c>
      <c r="H61" s="159"/>
      <c r="I61" s="108">
        <f t="shared" si="22"/>
        <v>0</v>
      </c>
      <c r="J61" s="108">
        <f t="shared" si="23"/>
        <v>0</v>
      </c>
      <c r="K61" s="108">
        <f t="shared" si="24"/>
        <v>0</v>
      </c>
      <c r="L61" s="111" t="s">
        <v>1671</v>
      </c>
      <c r="Z61" s="100">
        <f t="shared" si="25"/>
        <v>0</v>
      </c>
      <c r="AB61" s="100">
        <f t="shared" si="26"/>
        <v>0</v>
      </c>
      <c r="AC61" s="100">
        <f t="shared" si="27"/>
        <v>0</v>
      </c>
      <c r="AD61" s="100">
        <f t="shared" si="28"/>
        <v>0</v>
      </c>
      <c r="AE61" s="100">
        <f t="shared" si="29"/>
        <v>0</v>
      </c>
      <c r="AF61" s="100">
        <f t="shared" si="30"/>
        <v>0</v>
      </c>
      <c r="AG61" s="100">
        <f t="shared" si="31"/>
        <v>0</v>
      </c>
      <c r="AH61" s="100">
        <f t="shared" si="32"/>
        <v>0</v>
      </c>
      <c r="AI61" s="109"/>
      <c r="AJ61" s="108">
        <f t="shared" si="33"/>
        <v>0</v>
      </c>
      <c r="AK61" s="108">
        <f t="shared" si="34"/>
        <v>0</v>
      </c>
      <c r="AL61" s="108">
        <f t="shared" si="35"/>
        <v>0</v>
      </c>
      <c r="AN61" s="100">
        <v>15</v>
      </c>
      <c r="AO61" s="100">
        <f>H61*0.693027027027027</f>
        <v>0</v>
      </c>
      <c r="AP61" s="100">
        <f>H61*(1-0.693027027027027)</f>
        <v>0</v>
      </c>
      <c r="AQ61" s="111" t="s">
        <v>7</v>
      </c>
      <c r="AV61" s="100">
        <f t="shared" si="36"/>
        <v>0</v>
      </c>
      <c r="AW61" s="100">
        <f t="shared" si="37"/>
        <v>0</v>
      </c>
      <c r="AX61" s="100">
        <f t="shared" si="38"/>
        <v>0</v>
      </c>
      <c r="AY61" s="110" t="s">
        <v>1692</v>
      </c>
      <c r="AZ61" s="110" t="s">
        <v>1728</v>
      </c>
      <c r="BA61" s="109" t="s">
        <v>1737</v>
      </c>
      <c r="BC61" s="100">
        <f t="shared" si="39"/>
        <v>0</v>
      </c>
      <c r="BD61" s="100">
        <f t="shared" si="40"/>
        <v>0</v>
      </c>
      <c r="BE61" s="100">
        <v>0</v>
      </c>
      <c r="BF61" s="100">
        <f>61</f>
        <v>61</v>
      </c>
      <c r="BH61" s="108">
        <f t="shared" si="41"/>
        <v>0</v>
      </c>
      <c r="BI61" s="108">
        <f t="shared" si="42"/>
        <v>0</v>
      </c>
      <c r="BJ61" s="108">
        <f t="shared" si="43"/>
        <v>0</v>
      </c>
    </row>
    <row r="62" spans="1:62" x14ac:dyDescent="0.2">
      <c r="A62" s="117" t="s">
        <v>45</v>
      </c>
      <c r="B62" s="117" t="s">
        <v>605</v>
      </c>
      <c r="C62" s="304" t="s">
        <v>1102</v>
      </c>
      <c r="D62" s="305"/>
      <c r="E62" s="305"/>
      <c r="F62" s="117" t="s">
        <v>1645</v>
      </c>
      <c r="G62" s="116">
        <v>265.774</v>
      </c>
      <c r="H62" s="159"/>
      <c r="I62" s="108">
        <f t="shared" si="22"/>
        <v>0</v>
      </c>
      <c r="J62" s="108">
        <f t="shared" si="23"/>
        <v>0</v>
      </c>
      <c r="K62" s="108">
        <f t="shared" si="24"/>
        <v>0</v>
      </c>
      <c r="L62" s="111" t="s">
        <v>1671</v>
      </c>
      <c r="Z62" s="100">
        <f t="shared" si="25"/>
        <v>0</v>
      </c>
      <c r="AB62" s="100">
        <f t="shared" si="26"/>
        <v>0</v>
      </c>
      <c r="AC62" s="100">
        <f t="shared" si="27"/>
        <v>0</v>
      </c>
      <c r="AD62" s="100">
        <f t="shared" si="28"/>
        <v>0</v>
      </c>
      <c r="AE62" s="100">
        <f t="shared" si="29"/>
        <v>0</v>
      </c>
      <c r="AF62" s="100">
        <f t="shared" si="30"/>
        <v>0</v>
      </c>
      <c r="AG62" s="100">
        <f t="shared" si="31"/>
        <v>0</v>
      </c>
      <c r="AH62" s="100">
        <f t="shared" si="32"/>
        <v>0</v>
      </c>
      <c r="AI62" s="109"/>
      <c r="AJ62" s="108">
        <f t="shared" si="33"/>
        <v>0</v>
      </c>
      <c r="AK62" s="108">
        <f t="shared" si="34"/>
        <v>0</v>
      </c>
      <c r="AL62" s="108">
        <f t="shared" si="35"/>
        <v>0</v>
      </c>
      <c r="AN62" s="100">
        <v>15</v>
      </c>
      <c r="AO62" s="100">
        <f>H62*0.091249997648378</f>
        <v>0</v>
      </c>
      <c r="AP62" s="100">
        <f>H62*(1-0.091249997648378)</f>
        <v>0</v>
      </c>
      <c r="AQ62" s="111" t="s">
        <v>7</v>
      </c>
      <c r="AV62" s="100">
        <f t="shared" si="36"/>
        <v>0</v>
      </c>
      <c r="AW62" s="100">
        <f t="shared" si="37"/>
        <v>0</v>
      </c>
      <c r="AX62" s="100">
        <f t="shared" si="38"/>
        <v>0</v>
      </c>
      <c r="AY62" s="110" t="s">
        <v>1692</v>
      </c>
      <c r="AZ62" s="110" t="s">
        <v>1728</v>
      </c>
      <c r="BA62" s="109" t="s">
        <v>1737</v>
      </c>
      <c r="BC62" s="100">
        <f t="shared" si="39"/>
        <v>0</v>
      </c>
      <c r="BD62" s="100">
        <f t="shared" si="40"/>
        <v>0</v>
      </c>
      <c r="BE62" s="100">
        <v>0</v>
      </c>
      <c r="BF62" s="100">
        <f>62</f>
        <v>62</v>
      </c>
      <c r="BH62" s="108">
        <f t="shared" si="41"/>
        <v>0</v>
      </c>
      <c r="BI62" s="108">
        <f t="shared" si="42"/>
        <v>0</v>
      </c>
      <c r="BJ62" s="108">
        <f t="shared" si="43"/>
        <v>0</v>
      </c>
    </row>
    <row r="63" spans="1:62" x14ac:dyDescent="0.2">
      <c r="A63" s="117" t="s">
        <v>46</v>
      </c>
      <c r="B63" s="117" t="s">
        <v>606</v>
      </c>
      <c r="C63" s="304" t="s">
        <v>2860</v>
      </c>
      <c r="D63" s="305"/>
      <c r="E63" s="305"/>
      <c r="F63" s="117" t="s">
        <v>1645</v>
      </c>
      <c r="G63" s="116">
        <v>25.2</v>
      </c>
      <c r="H63" s="159"/>
      <c r="I63" s="108">
        <f t="shared" si="22"/>
        <v>0</v>
      </c>
      <c r="J63" s="108">
        <f t="shared" si="23"/>
        <v>0</v>
      </c>
      <c r="K63" s="108">
        <f t="shared" si="24"/>
        <v>0</v>
      </c>
      <c r="L63" s="111" t="s">
        <v>1671</v>
      </c>
      <c r="Z63" s="100">
        <f t="shared" si="25"/>
        <v>0</v>
      </c>
      <c r="AB63" s="100">
        <f t="shared" si="26"/>
        <v>0</v>
      </c>
      <c r="AC63" s="100">
        <f t="shared" si="27"/>
        <v>0</v>
      </c>
      <c r="AD63" s="100">
        <f t="shared" si="28"/>
        <v>0</v>
      </c>
      <c r="AE63" s="100">
        <f t="shared" si="29"/>
        <v>0</v>
      </c>
      <c r="AF63" s="100">
        <f t="shared" si="30"/>
        <v>0</v>
      </c>
      <c r="AG63" s="100">
        <f t="shared" si="31"/>
        <v>0</v>
      </c>
      <c r="AH63" s="100">
        <f t="shared" si="32"/>
        <v>0</v>
      </c>
      <c r="AI63" s="109"/>
      <c r="AJ63" s="108">
        <f t="shared" si="33"/>
        <v>0</v>
      </c>
      <c r="AK63" s="108">
        <f t="shared" si="34"/>
        <v>0</v>
      </c>
      <c r="AL63" s="108">
        <f t="shared" si="35"/>
        <v>0</v>
      </c>
      <c r="AN63" s="100">
        <v>15</v>
      </c>
      <c r="AO63" s="100">
        <f>H63*0.523085271317829</f>
        <v>0</v>
      </c>
      <c r="AP63" s="100">
        <f>H63*(1-0.523085271317829)</f>
        <v>0</v>
      </c>
      <c r="AQ63" s="111" t="s">
        <v>7</v>
      </c>
      <c r="AV63" s="100">
        <f t="shared" si="36"/>
        <v>0</v>
      </c>
      <c r="AW63" s="100">
        <f t="shared" si="37"/>
        <v>0</v>
      </c>
      <c r="AX63" s="100">
        <f t="shared" si="38"/>
        <v>0</v>
      </c>
      <c r="AY63" s="110" t="s">
        <v>1692</v>
      </c>
      <c r="AZ63" s="110" t="s">
        <v>1728</v>
      </c>
      <c r="BA63" s="109" t="s">
        <v>1737</v>
      </c>
      <c r="BC63" s="100">
        <f t="shared" si="39"/>
        <v>0</v>
      </c>
      <c r="BD63" s="100">
        <f t="shared" si="40"/>
        <v>0</v>
      </c>
      <c r="BE63" s="100">
        <v>0</v>
      </c>
      <c r="BF63" s="100">
        <f>63</f>
        <v>63</v>
      </c>
      <c r="BH63" s="108">
        <f t="shared" si="41"/>
        <v>0</v>
      </c>
      <c r="BI63" s="108">
        <f t="shared" si="42"/>
        <v>0</v>
      </c>
      <c r="BJ63" s="108">
        <f t="shared" si="43"/>
        <v>0</v>
      </c>
    </row>
    <row r="64" spans="1:62" x14ac:dyDescent="0.2">
      <c r="A64" s="119"/>
      <c r="B64" s="120" t="s">
        <v>68</v>
      </c>
      <c r="C64" s="306" t="s">
        <v>1104</v>
      </c>
      <c r="D64" s="307"/>
      <c r="E64" s="307"/>
      <c r="F64" s="119" t="s">
        <v>6</v>
      </c>
      <c r="G64" s="119" t="s">
        <v>6</v>
      </c>
      <c r="H64" s="119" t="s">
        <v>6</v>
      </c>
      <c r="I64" s="118">
        <f>SUM(I65:I88)</f>
        <v>0</v>
      </c>
      <c r="J64" s="118">
        <f>SUM(J65:J88)</f>
        <v>0</v>
      </c>
      <c r="K64" s="118">
        <f>SUM(K65:K88)</f>
        <v>0</v>
      </c>
      <c r="L64" s="109"/>
      <c r="AI64" s="109"/>
      <c r="AS64" s="118">
        <f>SUM(AJ65:AJ88)</f>
        <v>0</v>
      </c>
      <c r="AT64" s="118">
        <f>SUM(AK65:AK88)</f>
        <v>0</v>
      </c>
      <c r="AU64" s="118">
        <f>SUM(AL65:AL88)</f>
        <v>0</v>
      </c>
    </row>
    <row r="65" spans="1:62" x14ac:dyDescent="0.2">
      <c r="A65" s="117" t="s">
        <v>47</v>
      </c>
      <c r="B65" s="117" t="s">
        <v>607</v>
      </c>
      <c r="C65" s="304" t="s">
        <v>1105</v>
      </c>
      <c r="D65" s="305"/>
      <c r="E65" s="305"/>
      <c r="F65" s="117" t="s">
        <v>1645</v>
      </c>
      <c r="G65" s="116">
        <v>68.34</v>
      </c>
      <c r="H65" s="159"/>
      <c r="I65" s="108">
        <f t="shared" ref="I65:I70" si="44">G65*AO65</f>
        <v>0</v>
      </c>
      <c r="J65" s="108">
        <f t="shared" ref="J65:J70" si="45">G65*AP65</f>
        <v>0</v>
      </c>
      <c r="K65" s="108">
        <f t="shared" ref="K65:K70" si="46">G65*H65</f>
        <v>0</v>
      </c>
      <c r="L65" s="111" t="s">
        <v>1671</v>
      </c>
      <c r="Z65" s="100">
        <f t="shared" ref="Z65:Z70" si="47">IF(AQ65="5",BJ65,0)</f>
        <v>0</v>
      </c>
      <c r="AB65" s="100">
        <f t="shared" ref="AB65:AB70" si="48">IF(AQ65="1",BH65,0)</f>
        <v>0</v>
      </c>
      <c r="AC65" s="100">
        <f t="shared" ref="AC65:AC70" si="49">IF(AQ65="1",BI65,0)</f>
        <v>0</v>
      </c>
      <c r="AD65" s="100">
        <f t="shared" ref="AD65:AD70" si="50">IF(AQ65="7",BH65,0)</f>
        <v>0</v>
      </c>
      <c r="AE65" s="100">
        <f t="shared" ref="AE65:AE70" si="51">IF(AQ65="7",BI65,0)</f>
        <v>0</v>
      </c>
      <c r="AF65" s="100">
        <f t="shared" ref="AF65:AF70" si="52">IF(AQ65="2",BH65,0)</f>
        <v>0</v>
      </c>
      <c r="AG65" s="100">
        <f t="shared" ref="AG65:AG70" si="53">IF(AQ65="2",BI65,0)</f>
        <v>0</v>
      </c>
      <c r="AH65" s="100">
        <f t="shared" ref="AH65:AH70" si="54">IF(AQ65="0",BJ65,0)</f>
        <v>0</v>
      </c>
      <c r="AI65" s="109"/>
      <c r="AJ65" s="108">
        <f t="shared" ref="AJ65:AJ70" si="55">IF(AN65=0,K65,0)</f>
        <v>0</v>
      </c>
      <c r="AK65" s="108">
        <f t="shared" ref="AK65:AK70" si="56">IF(AN65=15,K65,0)</f>
        <v>0</v>
      </c>
      <c r="AL65" s="108">
        <f t="shared" ref="AL65:AL70" si="57">IF(AN65=21,K65,0)</f>
        <v>0</v>
      </c>
      <c r="AN65" s="100">
        <v>15</v>
      </c>
      <c r="AO65" s="100">
        <f>H65*0.285592376919005</f>
        <v>0</v>
      </c>
      <c r="AP65" s="100">
        <f>H65*(1-0.285592376919005)</f>
        <v>0</v>
      </c>
      <c r="AQ65" s="111" t="s">
        <v>7</v>
      </c>
      <c r="AV65" s="100">
        <f t="shared" ref="AV65:AV70" si="58">AW65+AX65</f>
        <v>0</v>
      </c>
      <c r="AW65" s="100">
        <f t="shared" ref="AW65:AW70" si="59">G65*AO65</f>
        <v>0</v>
      </c>
      <c r="AX65" s="100">
        <f t="shared" ref="AX65:AX70" si="60">G65*AP65</f>
        <v>0</v>
      </c>
      <c r="AY65" s="110" t="s">
        <v>1693</v>
      </c>
      <c r="AZ65" s="110" t="s">
        <v>1728</v>
      </c>
      <c r="BA65" s="109" t="s">
        <v>1737</v>
      </c>
      <c r="BC65" s="100">
        <f t="shared" ref="BC65:BC70" si="61">AW65+AX65</f>
        <v>0</v>
      </c>
      <c r="BD65" s="100">
        <f t="shared" ref="BD65:BD70" si="62">H65/(100-BE65)*100</f>
        <v>0</v>
      </c>
      <c r="BE65" s="100">
        <v>0</v>
      </c>
      <c r="BF65" s="100">
        <f>65</f>
        <v>65</v>
      </c>
      <c r="BH65" s="108">
        <f t="shared" ref="BH65:BH70" si="63">G65*AO65</f>
        <v>0</v>
      </c>
      <c r="BI65" s="108">
        <f t="shared" ref="BI65:BI70" si="64">G65*AP65</f>
        <v>0</v>
      </c>
      <c r="BJ65" s="108">
        <f t="shared" ref="BJ65:BJ70" si="65">G65*H65</f>
        <v>0</v>
      </c>
    </row>
    <row r="66" spans="1:62" x14ac:dyDescent="0.2">
      <c r="A66" s="117" t="s">
        <v>48</v>
      </c>
      <c r="B66" s="117" t="s">
        <v>608</v>
      </c>
      <c r="C66" s="304" t="s">
        <v>1106</v>
      </c>
      <c r="D66" s="305"/>
      <c r="E66" s="305"/>
      <c r="F66" s="117" t="s">
        <v>1645</v>
      </c>
      <c r="G66" s="116">
        <v>716.42499999999995</v>
      </c>
      <c r="H66" s="159"/>
      <c r="I66" s="108">
        <f t="shared" si="44"/>
        <v>0</v>
      </c>
      <c r="J66" s="108">
        <f t="shared" si="45"/>
        <v>0</v>
      </c>
      <c r="K66" s="108">
        <f t="shared" si="46"/>
        <v>0</v>
      </c>
      <c r="L66" s="111" t="s">
        <v>1671</v>
      </c>
      <c r="Z66" s="100">
        <f t="shared" si="47"/>
        <v>0</v>
      </c>
      <c r="AB66" s="100">
        <f t="shared" si="48"/>
        <v>0</v>
      </c>
      <c r="AC66" s="100">
        <f t="shared" si="49"/>
        <v>0</v>
      </c>
      <c r="AD66" s="100">
        <f t="shared" si="50"/>
        <v>0</v>
      </c>
      <c r="AE66" s="100">
        <f t="shared" si="51"/>
        <v>0</v>
      </c>
      <c r="AF66" s="100">
        <f t="shared" si="52"/>
        <v>0</v>
      </c>
      <c r="AG66" s="100">
        <f t="shared" si="53"/>
        <v>0</v>
      </c>
      <c r="AH66" s="100">
        <f t="shared" si="54"/>
        <v>0</v>
      </c>
      <c r="AI66" s="109"/>
      <c r="AJ66" s="108">
        <f t="shared" si="55"/>
        <v>0</v>
      </c>
      <c r="AK66" s="108">
        <f t="shared" si="56"/>
        <v>0</v>
      </c>
      <c r="AL66" s="108">
        <f t="shared" si="57"/>
        <v>0</v>
      </c>
      <c r="AN66" s="100">
        <v>15</v>
      </c>
      <c r="AO66" s="100">
        <f>H66*0.578269369016911</f>
        <v>0</v>
      </c>
      <c r="AP66" s="100">
        <f>H66*(1-0.578269369016911)</f>
        <v>0</v>
      </c>
      <c r="AQ66" s="111" t="s">
        <v>7</v>
      </c>
      <c r="AV66" s="100">
        <f t="shared" si="58"/>
        <v>0</v>
      </c>
      <c r="AW66" s="100">
        <f t="shared" si="59"/>
        <v>0</v>
      </c>
      <c r="AX66" s="100">
        <f t="shared" si="60"/>
        <v>0</v>
      </c>
      <c r="AY66" s="110" t="s">
        <v>1693</v>
      </c>
      <c r="AZ66" s="110" t="s">
        <v>1728</v>
      </c>
      <c r="BA66" s="109" t="s">
        <v>1737</v>
      </c>
      <c r="BC66" s="100">
        <f t="shared" si="61"/>
        <v>0</v>
      </c>
      <c r="BD66" s="100">
        <f t="shared" si="62"/>
        <v>0</v>
      </c>
      <c r="BE66" s="100">
        <v>0</v>
      </c>
      <c r="BF66" s="100">
        <f>66</f>
        <v>66</v>
      </c>
      <c r="BH66" s="108">
        <f t="shared" si="63"/>
        <v>0</v>
      </c>
      <c r="BI66" s="108">
        <f t="shared" si="64"/>
        <v>0</v>
      </c>
      <c r="BJ66" s="108">
        <f t="shared" si="65"/>
        <v>0</v>
      </c>
    </row>
    <row r="67" spans="1:62" x14ac:dyDescent="0.2">
      <c r="A67" s="117" t="s">
        <v>49</v>
      </c>
      <c r="B67" s="117" t="s">
        <v>609</v>
      </c>
      <c r="C67" s="304" t="s">
        <v>1107</v>
      </c>
      <c r="D67" s="305"/>
      <c r="E67" s="305"/>
      <c r="F67" s="117" t="s">
        <v>1646</v>
      </c>
      <c r="G67" s="116">
        <v>40</v>
      </c>
      <c r="H67" s="159"/>
      <c r="I67" s="108">
        <f t="shared" si="44"/>
        <v>0</v>
      </c>
      <c r="J67" s="108">
        <f t="shared" si="45"/>
        <v>0</v>
      </c>
      <c r="K67" s="108">
        <f t="shared" si="46"/>
        <v>0</v>
      </c>
      <c r="L67" s="111" t="s">
        <v>1671</v>
      </c>
      <c r="Z67" s="100">
        <f t="shared" si="47"/>
        <v>0</v>
      </c>
      <c r="AB67" s="100">
        <f t="shared" si="48"/>
        <v>0</v>
      </c>
      <c r="AC67" s="100">
        <f t="shared" si="49"/>
        <v>0</v>
      </c>
      <c r="AD67" s="100">
        <f t="shared" si="50"/>
        <v>0</v>
      </c>
      <c r="AE67" s="100">
        <f t="shared" si="51"/>
        <v>0</v>
      </c>
      <c r="AF67" s="100">
        <f t="shared" si="52"/>
        <v>0</v>
      </c>
      <c r="AG67" s="100">
        <f t="shared" si="53"/>
        <v>0</v>
      </c>
      <c r="AH67" s="100">
        <f t="shared" si="54"/>
        <v>0</v>
      </c>
      <c r="AI67" s="109"/>
      <c r="AJ67" s="108">
        <f t="shared" si="55"/>
        <v>0</v>
      </c>
      <c r="AK67" s="108">
        <f t="shared" si="56"/>
        <v>0</v>
      </c>
      <c r="AL67" s="108">
        <f t="shared" si="57"/>
        <v>0</v>
      </c>
      <c r="AN67" s="100">
        <v>15</v>
      </c>
      <c r="AO67" s="100">
        <f>H67*0.215363511659808</f>
        <v>0</v>
      </c>
      <c r="AP67" s="100">
        <f>H67*(1-0.215363511659808)</f>
        <v>0</v>
      </c>
      <c r="AQ67" s="111" t="s">
        <v>7</v>
      </c>
      <c r="AV67" s="100">
        <f t="shared" si="58"/>
        <v>0</v>
      </c>
      <c r="AW67" s="100">
        <f t="shared" si="59"/>
        <v>0</v>
      </c>
      <c r="AX67" s="100">
        <f t="shared" si="60"/>
        <v>0</v>
      </c>
      <c r="AY67" s="110" t="s">
        <v>1693</v>
      </c>
      <c r="AZ67" s="110" t="s">
        <v>1728</v>
      </c>
      <c r="BA67" s="109" t="s">
        <v>1737</v>
      </c>
      <c r="BC67" s="100">
        <f t="shared" si="61"/>
        <v>0</v>
      </c>
      <c r="BD67" s="100">
        <f t="shared" si="62"/>
        <v>0</v>
      </c>
      <c r="BE67" s="100">
        <v>0</v>
      </c>
      <c r="BF67" s="100">
        <f>67</f>
        <v>67</v>
      </c>
      <c r="BH67" s="108">
        <f t="shared" si="63"/>
        <v>0</v>
      </c>
      <c r="BI67" s="108">
        <f t="shared" si="64"/>
        <v>0</v>
      </c>
      <c r="BJ67" s="108">
        <f t="shared" si="65"/>
        <v>0</v>
      </c>
    </row>
    <row r="68" spans="1:62" x14ac:dyDescent="0.2">
      <c r="A68" s="117" t="s">
        <v>50</v>
      </c>
      <c r="B68" s="117" t="s">
        <v>610</v>
      </c>
      <c r="C68" s="304" t="s">
        <v>1108</v>
      </c>
      <c r="D68" s="305"/>
      <c r="E68" s="305"/>
      <c r="F68" s="117" t="s">
        <v>1646</v>
      </c>
      <c r="G68" s="116">
        <v>84.16</v>
      </c>
      <c r="H68" s="159"/>
      <c r="I68" s="108">
        <f t="shared" si="44"/>
        <v>0</v>
      </c>
      <c r="J68" s="108">
        <f t="shared" si="45"/>
        <v>0</v>
      </c>
      <c r="K68" s="108">
        <f t="shared" si="46"/>
        <v>0</v>
      </c>
      <c r="L68" s="111" t="s">
        <v>1671</v>
      </c>
      <c r="Z68" s="100">
        <f t="shared" si="47"/>
        <v>0</v>
      </c>
      <c r="AB68" s="100">
        <f t="shared" si="48"/>
        <v>0</v>
      </c>
      <c r="AC68" s="100">
        <f t="shared" si="49"/>
        <v>0</v>
      </c>
      <c r="AD68" s="100">
        <f t="shared" si="50"/>
        <v>0</v>
      </c>
      <c r="AE68" s="100">
        <f t="shared" si="51"/>
        <v>0</v>
      </c>
      <c r="AF68" s="100">
        <f t="shared" si="52"/>
        <v>0</v>
      </c>
      <c r="AG68" s="100">
        <f t="shared" si="53"/>
        <v>0</v>
      </c>
      <c r="AH68" s="100">
        <f t="shared" si="54"/>
        <v>0</v>
      </c>
      <c r="AI68" s="109"/>
      <c r="AJ68" s="108">
        <f t="shared" si="55"/>
        <v>0</v>
      </c>
      <c r="AK68" s="108">
        <f t="shared" si="56"/>
        <v>0</v>
      </c>
      <c r="AL68" s="108">
        <f t="shared" si="57"/>
        <v>0</v>
      </c>
      <c r="AN68" s="100">
        <v>15</v>
      </c>
      <c r="AO68" s="100">
        <f>H68*0.564852736410252</f>
        <v>0</v>
      </c>
      <c r="AP68" s="100">
        <f>H68*(1-0.564852736410252)</f>
        <v>0</v>
      </c>
      <c r="AQ68" s="111" t="s">
        <v>7</v>
      </c>
      <c r="AV68" s="100">
        <f t="shared" si="58"/>
        <v>0</v>
      </c>
      <c r="AW68" s="100">
        <f t="shared" si="59"/>
        <v>0</v>
      </c>
      <c r="AX68" s="100">
        <f t="shared" si="60"/>
        <v>0</v>
      </c>
      <c r="AY68" s="110" t="s">
        <v>1693</v>
      </c>
      <c r="AZ68" s="110" t="s">
        <v>1728</v>
      </c>
      <c r="BA68" s="109" t="s">
        <v>1737</v>
      </c>
      <c r="BC68" s="100">
        <f t="shared" si="61"/>
        <v>0</v>
      </c>
      <c r="BD68" s="100">
        <f t="shared" si="62"/>
        <v>0</v>
      </c>
      <c r="BE68" s="100">
        <v>0</v>
      </c>
      <c r="BF68" s="100">
        <f>68</f>
        <v>68</v>
      </c>
      <c r="BH68" s="108">
        <f t="shared" si="63"/>
        <v>0</v>
      </c>
      <c r="BI68" s="108">
        <f t="shared" si="64"/>
        <v>0</v>
      </c>
      <c r="BJ68" s="108">
        <f t="shared" si="65"/>
        <v>0</v>
      </c>
    </row>
    <row r="69" spans="1:62" x14ac:dyDescent="0.2">
      <c r="A69" s="117" t="s">
        <v>51</v>
      </c>
      <c r="B69" s="117" t="s">
        <v>611</v>
      </c>
      <c r="C69" s="304" t="s">
        <v>1109</v>
      </c>
      <c r="D69" s="305"/>
      <c r="E69" s="305"/>
      <c r="F69" s="117" t="s">
        <v>1646</v>
      </c>
      <c r="G69" s="116">
        <v>15.7</v>
      </c>
      <c r="H69" s="159"/>
      <c r="I69" s="108">
        <f t="shared" si="44"/>
        <v>0</v>
      </c>
      <c r="J69" s="108">
        <f t="shared" si="45"/>
        <v>0</v>
      </c>
      <c r="K69" s="108">
        <f t="shared" si="46"/>
        <v>0</v>
      </c>
      <c r="L69" s="111" t="s">
        <v>1671</v>
      </c>
      <c r="Z69" s="100">
        <f t="shared" si="47"/>
        <v>0</v>
      </c>
      <c r="AB69" s="100">
        <f t="shared" si="48"/>
        <v>0</v>
      </c>
      <c r="AC69" s="100">
        <f t="shared" si="49"/>
        <v>0</v>
      </c>
      <c r="AD69" s="100">
        <f t="shared" si="50"/>
        <v>0</v>
      </c>
      <c r="AE69" s="100">
        <f t="shared" si="51"/>
        <v>0</v>
      </c>
      <c r="AF69" s="100">
        <f t="shared" si="52"/>
        <v>0</v>
      </c>
      <c r="AG69" s="100">
        <f t="shared" si="53"/>
        <v>0</v>
      </c>
      <c r="AH69" s="100">
        <f t="shared" si="54"/>
        <v>0</v>
      </c>
      <c r="AI69" s="109"/>
      <c r="AJ69" s="108">
        <f t="shared" si="55"/>
        <v>0</v>
      </c>
      <c r="AK69" s="108">
        <f t="shared" si="56"/>
        <v>0</v>
      </c>
      <c r="AL69" s="108">
        <f t="shared" si="57"/>
        <v>0</v>
      </c>
      <c r="AN69" s="100">
        <v>15</v>
      </c>
      <c r="AO69" s="100">
        <f>H69*0.723184646223634</f>
        <v>0</v>
      </c>
      <c r="AP69" s="100">
        <f>H69*(1-0.723184646223634)</f>
        <v>0</v>
      </c>
      <c r="AQ69" s="111" t="s">
        <v>7</v>
      </c>
      <c r="AV69" s="100">
        <f t="shared" si="58"/>
        <v>0</v>
      </c>
      <c r="AW69" s="100">
        <f t="shared" si="59"/>
        <v>0</v>
      </c>
      <c r="AX69" s="100">
        <f t="shared" si="60"/>
        <v>0</v>
      </c>
      <c r="AY69" s="110" t="s">
        <v>1693</v>
      </c>
      <c r="AZ69" s="110" t="s">
        <v>1728</v>
      </c>
      <c r="BA69" s="109" t="s">
        <v>1737</v>
      </c>
      <c r="BC69" s="100">
        <f t="shared" si="61"/>
        <v>0</v>
      </c>
      <c r="BD69" s="100">
        <f t="shared" si="62"/>
        <v>0</v>
      </c>
      <c r="BE69" s="100">
        <v>0</v>
      </c>
      <c r="BF69" s="100">
        <f>69</f>
        <v>69</v>
      </c>
      <c r="BH69" s="108">
        <f t="shared" si="63"/>
        <v>0</v>
      </c>
      <c r="BI69" s="108">
        <f t="shared" si="64"/>
        <v>0</v>
      </c>
      <c r="BJ69" s="108">
        <f t="shared" si="65"/>
        <v>0</v>
      </c>
    </row>
    <row r="70" spans="1:62" x14ac:dyDescent="0.2">
      <c r="A70" s="117" t="s">
        <v>52</v>
      </c>
      <c r="B70" s="117" t="s">
        <v>612</v>
      </c>
      <c r="C70" s="304" t="s">
        <v>1110</v>
      </c>
      <c r="D70" s="305"/>
      <c r="E70" s="305"/>
      <c r="F70" s="117" t="s">
        <v>1645</v>
      </c>
      <c r="G70" s="116">
        <v>98.432000000000002</v>
      </c>
      <c r="H70" s="159"/>
      <c r="I70" s="108">
        <f t="shared" si="44"/>
        <v>0</v>
      </c>
      <c r="J70" s="108">
        <f t="shared" si="45"/>
        <v>0</v>
      </c>
      <c r="K70" s="108">
        <f t="shared" si="46"/>
        <v>0</v>
      </c>
      <c r="L70" s="111" t="s">
        <v>1671</v>
      </c>
      <c r="Z70" s="100">
        <f t="shared" si="47"/>
        <v>0</v>
      </c>
      <c r="AB70" s="100">
        <f t="shared" si="48"/>
        <v>0</v>
      </c>
      <c r="AC70" s="100">
        <f t="shared" si="49"/>
        <v>0</v>
      </c>
      <c r="AD70" s="100">
        <f t="shared" si="50"/>
        <v>0</v>
      </c>
      <c r="AE70" s="100">
        <f t="shared" si="51"/>
        <v>0</v>
      </c>
      <c r="AF70" s="100">
        <f t="shared" si="52"/>
        <v>0</v>
      </c>
      <c r="AG70" s="100">
        <f t="shared" si="53"/>
        <v>0</v>
      </c>
      <c r="AH70" s="100">
        <f t="shared" si="54"/>
        <v>0</v>
      </c>
      <c r="AI70" s="109"/>
      <c r="AJ70" s="108">
        <f t="shared" si="55"/>
        <v>0</v>
      </c>
      <c r="AK70" s="108">
        <f t="shared" si="56"/>
        <v>0</v>
      </c>
      <c r="AL70" s="108">
        <f t="shared" si="57"/>
        <v>0</v>
      </c>
      <c r="AN70" s="100">
        <v>15</v>
      </c>
      <c r="AO70" s="100">
        <f>H70*0.580355725399203</f>
        <v>0</v>
      </c>
      <c r="AP70" s="100">
        <f>H70*(1-0.580355725399203)</f>
        <v>0</v>
      </c>
      <c r="AQ70" s="111" t="s">
        <v>7</v>
      </c>
      <c r="AV70" s="100">
        <f t="shared" si="58"/>
        <v>0</v>
      </c>
      <c r="AW70" s="100">
        <f t="shared" si="59"/>
        <v>0</v>
      </c>
      <c r="AX70" s="100">
        <f t="shared" si="60"/>
        <v>0</v>
      </c>
      <c r="AY70" s="110" t="s">
        <v>1693</v>
      </c>
      <c r="AZ70" s="110" t="s">
        <v>1728</v>
      </c>
      <c r="BA70" s="109" t="s">
        <v>1737</v>
      </c>
      <c r="BC70" s="100">
        <f t="shared" si="61"/>
        <v>0</v>
      </c>
      <c r="BD70" s="100">
        <f t="shared" si="62"/>
        <v>0</v>
      </c>
      <c r="BE70" s="100">
        <v>0</v>
      </c>
      <c r="BF70" s="100">
        <f>70</f>
        <v>70</v>
      </c>
      <c r="BH70" s="108">
        <f t="shared" si="63"/>
        <v>0</v>
      </c>
      <c r="BI70" s="108">
        <f t="shared" si="64"/>
        <v>0</v>
      </c>
      <c r="BJ70" s="108">
        <f t="shared" si="65"/>
        <v>0</v>
      </c>
    </row>
    <row r="71" spans="1:62" ht="12.75" customHeight="1" x14ac:dyDescent="0.2">
      <c r="B71" s="125" t="s">
        <v>613</v>
      </c>
      <c r="C71" s="338" t="s">
        <v>1111</v>
      </c>
      <c r="D71" s="338"/>
      <c r="E71" s="338"/>
      <c r="F71" s="158"/>
      <c r="G71" s="158"/>
      <c r="H71" s="158"/>
      <c r="I71" s="158"/>
      <c r="J71" s="158"/>
      <c r="K71" s="158"/>
      <c r="L71" s="158"/>
    </row>
    <row r="72" spans="1:62" x14ac:dyDescent="0.2">
      <c r="A72" s="117" t="s">
        <v>53</v>
      </c>
      <c r="B72" s="117" t="s">
        <v>614</v>
      </c>
      <c r="C72" s="304" t="s">
        <v>1112</v>
      </c>
      <c r="D72" s="304"/>
      <c r="E72" s="304"/>
      <c r="F72" s="117" t="s">
        <v>1645</v>
      </c>
      <c r="G72" s="116">
        <v>76.400000000000006</v>
      </c>
      <c r="H72" s="159"/>
      <c r="I72" s="108">
        <f>G72*AO72</f>
        <v>0</v>
      </c>
      <c r="J72" s="108">
        <f>G72*AP72</f>
        <v>0</v>
      </c>
      <c r="K72" s="108">
        <f>G72*H72</f>
        <v>0</v>
      </c>
      <c r="L72" s="111" t="s">
        <v>1671</v>
      </c>
      <c r="Z72" s="100">
        <f>IF(AQ72="5",BJ72,0)</f>
        <v>0</v>
      </c>
      <c r="AB72" s="100">
        <f>IF(AQ72="1",BH72,0)</f>
        <v>0</v>
      </c>
      <c r="AC72" s="100">
        <f>IF(AQ72="1",BI72,0)</f>
        <v>0</v>
      </c>
      <c r="AD72" s="100">
        <f>IF(AQ72="7",BH72,0)</f>
        <v>0</v>
      </c>
      <c r="AE72" s="100">
        <f>IF(AQ72="7",BI72,0)</f>
        <v>0</v>
      </c>
      <c r="AF72" s="100">
        <f>IF(AQ72="2",BH72,0)</f>
        <v>0</v>
      </c>
      <c r="AG72" s="100">
        <f>IF(AQ72="2",BI72,0)</f>
        <v>0</v>
      </c>
      <c r="AH72" s="100">
        <f>IF(AQ72="0",BJ72,0)</f>
        <v>0</v>
      </c>
      <c r="AI72" s="109"/>
      <c r="AJ72" s="108">
        <f>IF(AN72=0,K72,0)</f>
        <v>0</v>
      </c>
      <c r="AK72" s="108">
        <f>IF(AN72=15,K72,0)</f>
        <v>0</v>
      </c>
      <c r="AL72" s="108">
        <f>IF(AN72=21,K72,0)</f>
        <v>0</v>
      </c>
      <c r="AN72" s="100">
        <v>15</v>
      </c>
      <c r="AO72" s="100">
        <f>H72*0.659033041788144</f>
        <v>0</v>
      </c>
      <c r="AP72" s="100">
        <f>H72*(1-0.659033041788144)</f>
        <v>0</v>
      </c>
      <c r="AQ72" s="111" t="s">
        <v>7</v>
      </c>
      <c r="AV72" s="100">
        <f>AW72+AX72</f>
        <v>0</v>
      </c>
      <c r="AW72" s="100">
        <f>G72*AO72</f>
        <v>0</v>
      </c>
      <c r="AX72" s="100">
        <f>G72*AP72</f>
        <v>0</v>
      </c>
      <c r="AY72" s="110" t="s">
        <v>1693</v>
      </c>
      <c r="AZ72" s="110" t="s">
        <v>1728</v>
      </c>
      <c r="BA72" s="109" t="s">
        <v>1737</v>
      </c>
      <c r="BC72" s="100">
        <f>AW72+AX72</f>
        <v>0</v>
      </c>
      <c r="BD72" s="100">
        <f>H72/(100-BE72)*100</f>
        <v>0</v>
      </c>
      <c r="BE72" s="100">
        <v>0</v>
      </c>
      <c r="BF72" s="100">
        <f>72</f>
        <v>72</v>
      </c>
      <c r="BH72" s="108">
        <f>G72*AO72</f>
        <v>0</v>
      </c>
      <c r="BI72" s="108">
        <f>G72*AP72</f>
        <v>0</v>
      </c>
      <c r="BJ72" s="108">
        <f>G72*H72</f>
        <v>0</v>
      </c>
    </row>
    <row r="73" spans="1:62" ht="12.75" customHeight="1" x14ac:dyDescent="0.2">
      <c r="B73" s="125" t="s">
        <v>613</v>
      </c>
      <c r="C73" s="338" t="s">
        <v>1113</v>
      </c>
      <c r="D73" s="338"/>
      <c r="E73" s="338"/>
      <c r="F73" s="158"/>
      <c r="G73" s="158"/>
      <c r="H73" s="158"/>
      <c r="I73" s="158"/>
      <c r="J73" s="158"/>
      <c r="K73" s="158"/>
      <c r="L73" s="158"/>
    </row>
    <row r="74" spans="1:62" x14ac:dyDescent="0.2">
      <c r="A74" s="117" t="s">
        <v>54</v>
      </c>
      <c r="B74" s="117" t="s">
        <v>615</v>
      </c>
      <c r="C74" s="304" t="s">
        <v>1114</v>
      </c>
      <c r="D74" s="304"/>
      <c r="E74" s="304"/>
      <c r="F74" s="117" t="s">
        <v>1645</v>
      </c>
      <c r="G74" s="116">
        <v>497.28899999999999</v>
      </c>
      <c r="H74" s="159"/>
      <c r="I74" s="108">
        <f>G74*AO74</f>
        <v>0</v>
      </c>
      <c r="J74" s="108">
        <f>G74*AP74</f>
        <v>0</v>
      </c>
      <c r="K74" s="108">
        <f>G74*H74</f>
        <v>0</v>
      </c>
      <c r="L74" s="111" t="s">
        <v>1671</v>
      </c>
      <c r="Z74" s="100">
        <f>IF(AQ74="5",BJ74,0)</f>
        <v>0</v>
      </c>
      <c r="AB74" s="100">
        <f>IF(AQ74="1",BH74,0)</f>
        <v>0</v>
      </c>
      <c r="AC74" s="100">
        <f>IF(AQ74="1",BI74,0)</f>
        <v>0</v>
      </c>
      <c r="AD74" s="100">
        <f>IF(AQ74="7",BH74,0)</f>
        <v>0</v>
      </c>
      <c r="AE74" s="100">
        <f>IF(AQ74="7",BI74,0)</f>
        <v>0</v>
      </c>
      <c r="AF74" s="100">
        <f>IF(AQ74="2",BH74,0)</f>
        <v>0</v>
      </c>
      <c r="AG74" s="100">
        <f>IF(AQ74="2",BI74,0)</f>
        <v>0</v>
      </c>
      <c r="AH74" s="100">
        <f>IF(AQ74="0",BJ74,0)</f>
        <v>0</v>
      </c>
      <c r="AI74" s="109"/>
      <c r="AJ74" s="108">
        <f>IF(AN74=0,K74,0)</f>
        <v>0</v>
      </c>
      <c r="AK74" s="108">
        <f>IF(AN74=15,K74,0)</f>
        <v>0</v>
      </c>
      <c r="AL74" s="108">
        <f>IF(AN74=21,K74,0)</f>
        <v>0</v>
      </c>
      <c r="AN74" s="100">
        <v>15</v>
      </c>
      <c r="AO74" s="100">
        <f>H74*0.695718875502008</f>
        <v>0</v>
      </c>
      <c r="AP74" s="100">
        <f>H74*(1-0.695718875502008)</f>
        <v>0</v>
      </c>
      <c r="AQ74" s="111" t="s">
        <v>7</v>
      </c>
      <c r="AV74" s="100">
        <f>AW74+AX74</f>
        <v>0</v>
      </c>
      <c r="AW74" s="100">
        <f>G74*AO74</f>
        <v>0</v>
      </c>
      <c r="AX74" s="100">
        <f>G74*AP74</f>
        <v>0</v>
      </c>
      <c r="AY74" s="110" t="s">
        <v>1693</v>
      </c>
      <c r="AZ74" s="110" t="s">
        <v>1728</v>
      </c>
      <c r="BA74" s="109" t="s">
        <v>1737</v>
      </c>
      <c r="BC74" s="100">
        <f>AW74+AX74</f>
        <v>0</v>
      </c>
      <c r="BD74" s="100">
        <f>H74/(100-BE74)*100</f>
        <v>0</v>
      </c>
      <c r="BE74" s="100">
        <v>0</v>
      </c>
      <c r="BF74" s="100">
        <f>74</f>
        <v>74</v>
      </c>
      <c r="BH74" s="108">
        <f>G74*AO74</f>
        <v>0</v>
      </c>
      <c r="BI74" s="108">
        <f>G74*AP74</f>
        <v>0</v>
      </c>
      <c r="BJ74" s="108">
        <f>G74*H74</f>
        <v>0</v>
      </c>
    </row>
    <row r="75" spans="1:62" x14ac:dyDescent="0.2">
      <c r="B75" s="125" t="s">
        <v>613</v>
      </c>
      <c r="C75" s="338" t="s">
        <v>1115</v>
      </c>
      <c r="D75" s="338"/>
      <c r="E75" s="338"/>
      <c r="F75" s="158"/>
      <c r="G75" s="158"/>
      <c r="H75" s="158"/>
      <c r="I75" s="158"/>
      <c r="J75" s="158"/>
      <c r="K75" s="158"/>
      <c r="L75" s="158"/>
    </row>
    <row r="76" spans="1:62" x14ac:dyDescent="0.2">
      <c r="A76" s="117" t="s">
        <v>55</v>
      </c>
      <c r="B76" s="117" t="s">
        <v>616</v>
      </c>
      <c r="C76" s="304" t="s">
        <v>1116</v>
      </c>
      <c r="D76" s="304"/>
      <c r="E76" s="304"/>
      <c r="F76" s="117" t="s">
        <v>1645</v>
      </c>
      <c r="G76" s="116">
        <v>44.304000000000002</v>
      </c>
      <c r="H76" s="159"/>
      <c r="I76" s="108">
        <f>G76*AO76</f>
        <v>0</v>
      </c>
      <c r="J76" s="108">
        <f>G76*AP76</f>
        <v>0</v>
      </c>
      <c r="K76" s="108">
        <f>G76*H76</f>
        <v>0</v>
      </c>
      <c r="L76" s="111" t="s">
        <v>1671</v>
      </c>
      <c r="Z76" s="100">
        <f>IF(AQ76="5",BJ76,0)</f>
        <v>0</v>
      </c>
      <c r="AB76" s="100">
        <f>IF(AQ76="1",BH76,0)</f>
        <v>0</v>
      </c>
      <c r="AC76" s="100">
        <f>IF(AQ76="1",BI76,0)</f>
        <v>0</v>
      </c>
      <c r="AD76" s="100">
        <f>IF(AQ76="7",BH76,0)</f>
        <v>0</v>
      </c>
      <c r="AE76" s="100">
        <f>IF(AQ76="7",BI76,0)</f>
        <v>0</v>
      </c>
      <c r="AF76" s="100">
        <f>IF(AQ76="2",BH76,0)</f>
        <v>0</v>
      </c>
      <c r="AG76" s="100">
        <f>IF(AQ76="2",BI76,0)</f>
        <v>0</v>
      </c>
      <c r="AH76" s="100">
        <f>IF(AQ76="0",BJ76,0)</f>
        <v>0</v>
      </c>
      <c r="AI76" s="109"/>
      <c r="AJ76" s="108">
        <f>IF(AN76=0,K76,0)</f>
        <v>0</v>
      </c>
      <c r="AK76" s="108">
        <f>IF(AN76=15,K76,0)</f>
        <v>0</v>
      </c>
      <c r="AL76" s="108">
        <f>IF(AN76=21,K76,0)</f>
        <v>0</v>
      </c>
      <c r="AN76" s="100">
        <v>15</v>
      </c>
      <c r="AO76" s="100">
        <f>H76*0.355093410627489</f>
        <v>0</v>
      </c>
      <c r="AP76" s="100">
        <f>H76*(1-0.355093410627489)</f>
        <v>0</v>
      </c>
      <c r="AQ76" s="111" t="s">
        <v>7</v>
      </c>
      <c r="AV76" s="100">
        <f>AW76+AX76</f>
        <v>0</v>
      </c>
      <c r="AW76" s="100">
        <f>G76*AO76</f>
        <v>0</v>
      </c>
      <c r="AX76" s="100">
        <f>G76*AP76</f>
        <v>0</v>
      </c>
      <c r="AY76" s="110" t="s">
        <v>1693</v>
      </c>
      <c r="AZ76" s="110" t="s">
        <v>1728</v>
      </c>
      <c r="BA76" s="109" t="s">
        <v>1737</v>
      </c>
      <c r="BC76" s="100">
        <f>AW76+AX76</f>
        <v>0</v>
      </c>
      <c r="BD76" s="100">
        <f>H76/(100-BE76)*100</f>
        <v>0</v>
      </c>
      <c r="BE76" s="100">
        <v>0</v>
      </c>
      <c r="BF76" s="100">
        <f>76</f>
        <v>76</v>
      </c>
      <c r="BH76" s="108">
        <f>G76*AO76</f>
        <v>0</v>
      </c>
      <c r="BI76" s="108">
        <f>G76*AP76</f>
        <v>0</v>
      </c>
      <c r="BJ76" s="108">
        <f>G76*H76</f>
        <v>0</v>
      </c>
    </row>
    <row r="77" spans="1:62" x14ac:dyDescent="0.2">
      <c r="B77" s="125" t="s">
        <v>613</v>
      </c>
      <c r="C77" s="338" t="s">
        <v>1117</v>
      </c>
      <c r="D77" s="338"/>
      <c r="E77" s="338"/>
      <c r="F77" s="158"/>
      <c r="G77" s="158"/>
      <c r="H77" s="158"/>
      <c r="I77" s="158"/>
      <c r="J77" s="158"/>
      <c r="K77" s="158"/>
      <c r="L77" s="158"/>
    </row>
    <row r="78" spans="1:62" x14ac:dyDescent="0.2">
      <c r="A78" s="117" t="s">
        <v>56</v>
      </c>
      <c r="B78" s="117" t="s">
        <v>617</v>
      </c>
      <c r="C78" s="304" t="s">
        <v>1118</v>
      </c>
      <c r="D78" s="305"/>
      <c r="E78" s="305"/>
      <c r="F78" s="117" t="s">
        <v>1646</v>
      </c>
      <c r="G78" s="116">
        <v>36</v>
      </c>
      <c r="H78" s="159"/>
      <c r="I78" s="108">
        <f t="shared" ref="I78:I88" si="66">G78*AO78</f>
        <v>0</v>
      </c>
      <c r="J78" s="108">
        <f t="shared" ref="J78:J88" si="67">G78*AP78</f>
        <v>0</v>
      </c>
      <c r="K78" s="108">
        <f t="shared" ref="K78:K88" si="68">G78*H78</f>
        <v>0</v>
      </c>
      <c r="L78" s="111" t="s">
        <v>1671</v>
      </c>
      <c r="Z78" s="100">
        <f t="shared" ref="Z78:Z88" si="69">IF(AQ78="5",BJ78,0)</f>
        <v>0</v>
      </c>
      <c r="AB78" s="100">
        <f t="shared" ref="AB78:AB88" si="70">IF(AQ78="1",BH78,0)</f>
        <v>0</v>
      </c>
      <c r="AC78" s="100">
        <f t="shared" ref="AC78:AC88" si="71">IF(AQ78="1",BI78,0)</f>
        <v>0</v>
      </c>
      <c r="AD78" s="100">
        <f t="shared" ref="AD78:AD88" si="72">IF(AQ78="7",BH78,0)</f>
        <v>0</v>
      </c>
      <c r="AE78" s="100">
        <f t="shared" ref="AE78:AE88" si="73">IF(AQ78="7",BI78,0)</f>
        <v>0</v>
      </c>
      <c r="AF78" s="100">
        <f t="shared" ref="AF78:AF88" si="74">IF(AQ78="2",BH78,0)</f>
        <v>0</v>
      </c>
      <c r="AG78" s="100">
        <f t="shared" ref="AG78:AG88" si="75">IF(AQ78="2",BI78,0)</f>
        <v>0</v>
      </c>
      <c r="AH78" s="100">
        <f t="shared" ref="AH78:AH88" si="76">IF(AQ78="0",BJ78,0)</f>
        <v>0</v>
      </c>
      <c r="AI78" s="109"/>
      <c r="AJ78" s="108">
        <f t="shared" ref="AJ78:AJ88" si="77">IF(AN78=0,K78,0)</f>
        <v>0</v>
      </c>
      <c r="AK78" s="108">
        <f t="shared" ref="AK78:AK88" si="78">IF(AN78=15,K78,0)</f>
        <v>0</v>
      </c>
      <c r="AL78" s="108">
        <f t="shared" ref="AL78:AL88" si="79">IF(AN78=21,K78,0)</f>
        <v>0</v>
      </c>
      <c r="AN78" s="100">
        <v>15</v>
      </c>
      <c r="AO78" s="100">
        <f>H78*0.314</f>
        <v>0</v>
      </c>
      <c r="AP78" s="100">
        <f>H78*(1-0.314)</f>
        <v>0</v>
      </c>
      <c r="AQ78" s="111" t="s">
        <v>7</v>
      </c>
      <c r="AV78" s="100">
        <f t="shared" ref="AV78:AV88" si="80">AW78+AX78</f>
        <v>0</v>
      </c>
      <c r="AW78" s="100">
        <f t="shared" ref="AW78:AW88" si="81">G78*AO78</f>
        <v>0</v>
      </c>
      <c r="AX78" s="100">
        <f t="shared" ref="AX78:AX88" si="82">G78*AP78</f>
        <v>0</v>
      </c>
      <c r="AY78" s="110" t="s">
        <v>1693</v>
      </c>
      <c r="AZ78" s="110" t="s">
        <v>1728</v>
      </c>
      <c r="BA78" s="109" t="s">
        <v>1737</v>
      </c>
      <c r="BC78" s="100">
        <f t="shared" ref="BC78:BC88" si="83">AW78+AX78</f>
        <v>0</v>
      </c>
      <c r="BD78" s="100">
        <f t="shared" ref="BD78:BD88" si="84">H78/(100-BE78)*100</f>
        <v>0</v>
      </c>
      <c r="BE78" s="100">
        <v>0</v>
      </c>
      <c r="BF78" s="100">
        <f>78</f>
        <v>78</v>
      </c>
      <c r="BH78" s="108">
        <f t="shared" ref="BH78:BH88" si="85">G78*AO78</f>
        <v>0</v>
      </c>
      <c r="BI78" s="108">
        <f t="shared" ref="BI78:BI88" si="86">G78*AP78</f>
        <v>0</v>
      </c>
      <c r="BJ78" s="108">
        <f t="shared" ref="BJ78:BJ88" si="87">G78*H78</f>
        <v>0</v>
      </c>
    </row>
    <row r="79" spans="1:62" x14ac:dyDescent="0.2">
      <c r="A79" s="117" t="s">
        <v>57</v>
      </c>
      <c r="B79" s="117" t="s">
        <v>2859</v>
      </c>
      <c r="C79" s="304" t="s">
        <v>2858</v>
      </c>
      <c r="D79" s="305"/>
      <c r="E79" s="305"/>
      <c r="F79" s="117" t="s">
        <v>1646</v>
      </c>
      <c r="G79" s="116">
        <v>11.4</v>
      </c>
      <c r="H79" s="162"/>
      <c r="I79" s="108">
        <f t="shared" si="66"/>
        <v>0</v>
      </c>
      <c r="J79" s="108">
        <f t="shared" si="67"/>
        <v>0</v>
      </c>
      <c r="K79" s="108">
        <f t="shared" si="68"/>
        <v>0</v>
      </c>
      <c r="L79" s="111" t="s">
        <v>1671</v>
      </c>
      <c r="Z79" s="100">
        <f t="shared" si="69"/>
        <v>0</v>
      </c>
      <c r="AB79" s="100">
        <f t="shared" si="70"/>
        <v>0</v>
      </c>
      <c r="AC79" s="100">
        <f t="shared" si="71"/>
        <v>0</v>
      </c>
      <c r="AD79" s="100">
        <f t="shared" si="72"/>
        <v>0</v>
      </c>
      <c r="AE79" s="100">
        <f t="shared" si="73"/>
        <v>0</v>
      </c>
      <c r="AF79" s="100">
        <f t="shared" si="74"/>
        <v>0</v>
      </c>
      <c r="AG79" s="100">
        <f t="shared" si="75"/>
        <v>0</v>
      </c>
      <c r="AH79" s="100">
        <f t="shared" si="76"/>
        <v>0</v>
      </c>
      <c r="AI79" s="109"/>
      <c r="AJ79" s="108">
        <f t="shared" si="77"/>
        <v>0</v>
      </c>
      <c r="AK79" s="108">
        <f t="shared" si="78"/>
        <v>0</v>
      </c>
      <c r="AL79" s="108">
        <f t="shared" si="79"/>
        <v>0</v>
      </c>
      <c r="AN79" s="100">
        <v>15</v>
      </c>
      <c r="AO79" s="100">
        <f>H79*0.313882352941176</f>
        <v>0</v>
      </c>
      <c r="AP79" s="100">
        <f>H79*(1-0.313882352941176)</f>
        <v>0</v>
      </c>
      <c r="AQ79" s="111" t="s">
        <v>7</v>
      </c>
      <c r="AV79" s="100">
        <f t="shared" si="80"/>
        <v>0</v>
      </c>
      <c r="AW79" s="100">
        <f t="shared" si="81"/>
        <v>0</v>
      </c>
      <c r="AX79" s="100">
        <f t="shared" si="82"/>
        <v>0</v>
      </c>
      <c r="AY79" s="110" t="s">
        <v>1693</v>
      </c>
      <c r="AZ79" s="110" t="s">
        <v>1728</v>
      </c>
      <c r="BA79" s="109" t="s">
        <v>1737</v>
      </c>
      <c r="BC79" s="100">
        <f t="shared" si="83"/>
        <v>0</v>
      </c>
      <c r="BD79" s="100">
        <f t="shared" si="84"/>
        <v>0</v>
      </c>
      <c r="BE79" s="100">
        <v>0</v>
      </c>
      <c r="BF79" s="100">
        <f>79</f>
        <v>79</v>
      </c>
      <c r="BH79" s="108">
        <f t="shared" si="85"/>
        <v>0</v>
      </c>
      <c r="BI79" s="108">
        <f t="shared" si="86"/>
        <v>0</v>
      </c>
      <c r="BJ79" s="108">
        <f t="shared" si="87"/>
        <v>0</v>
      </c>
    </row>
    <row r="80" spans="1:62" x14ac:dyDescent="0.2">
      <c r="A80" s="117" t="s">
        <v>58</v>
      </c>
      <c r="B80" s="117" t="s">
        <v>618</v>
      </c>
      <c r="C80" s="304" t="s">
        <v>1119</v>
      </c>
      <c r="D80" s="305"/>
      <c r="E80" s="305"/>
      <c r="F80" s="117" t="s">
        <v>1645</v>
      </c>
      <c r="G80" s="116">
        <v>716.42499999999995</v>
      </c>
      <c r="H80" s="159"/>
      <c r="I80" s="108">
        <f t="shared" si="66"/>
        <v>0</v>
      </c>
      <c r="J80" s="108">
        <f t="shared" si="67"/>
        <v>0</v>
      </c>
      <c r="K80" s="108">
        <f t="shared" si="68"/>
        <v>0</v>
      </c>
      <c r="L80" s="111" t="s">
        <v>1671</v>
      </c>
      <c r="Z80" s="100">
        <f t="shared" si="69"/>
        <v>0</v>
      </c>
      <c r="AB80" s="100">
        <f t="shared" si="70"/>
        <v>0</v>
      </c>
      <c r="AC80" s="100">
        <f t="shared" si="71"/>
        <v>0</v>
      </c>
      <c r="AD80" s="100">
        <f t="shared" si="72"/>
        <v>0</v>
      </c>
      <c r="AE80" s="100">
        <f t="shared" si="73"/>
        <v>0</v>
      </c>
      <c r="AF80" s="100">
        <f t="shared" si="74"/>
        <v>0</v>
      </c>
      <c r="AG80" s="100">
        <f t="shared" si="75"/>
        <v>0</v>
      </c>
      <c r="AH80" s="100">
        <f t="shared" si="76"/>
        <v>0</v>
      </c>
      <c r="AI80" s="109"/>
      <c r="AJ80" s="108">
        <f t="shared" si="77"/>
        <v>0</v>
      </c>
      <c r="AK80" s="108">
        <f t="shared" si="78"/>
        <v>0</v>
      </c>
      <c r="AL80" s="108">
        <f t="shared" si="79"/>
        <v>0</v>
      </c>
      <c r="AN80" s="100">
        <v>15</v>
      </c>
      <c r="AO80" s="100">
        <f>H80*0.321454504664321</f>
        <v>0</v>
      </c>
      <c r="AP80" s="100">
        <f>H80*(1-0.321454504664321)</f>
        <v>0</v>
      </c>
      <c r="AQ80" s="111" t="s">
        <v>7</v>
      </c>
      <c r="AV80" s="100">
        <f t="shared" si="80"/>
        <v>0</v>
      </c>
      <c r="AW80" s="100">
        <f t="shared" si="81"/>
        <v>0</v>
      </c>
      <c r="AX80" s="100">
        <f t="shared" si="82"/>
        <v>0</v>
      </c>
      <c r="AY80" s="110" t="s">
        <v>1693</v>
      </c>
      <c r="AZ80" s="110" t="s">
        <v>1728</v>
      </c>
      <c r="BA80" s="109" t="s">
        <v>1737</v>
      </c>
      <c r="BC80" s="100">
        <f t="shared" si="83"/>
        <v>0</v>
      </c>
      <c r="BD80" s="100">
        <f t="shared" si="84"/>
        <v>0</v>
      </c>
      <c r="BE80" s="100">
        <v>0</v>
      </c>
      <c r="BF80" s="100">
        <f>80</f>
        <v>80</v>
      </c>
      <c r="BH80" s="108">
        <f t="shared" si="85"/>
        <v>0</v>
      </c>
      <c r="BI80" s="108">
        <f t="shared" si="86"/>
        <v>0</v>
      </c>
      <c r="BJ80" s="108">
        <f t="shared" si="87"/>
        <v>0</v>
      </c>
    </row>
    <row r="81" spans="1:62" x14ac:dyDescent="0.2">
      <c r="A81" s="117" t="s">
        <v>59</v>
      </c>
      <c r="B81" s="117" t="s">
        <v>619</v>
      </c>
      <c r="C81" s="304" t="s">
        <v>1120</v>
      </c>
      <c r="D81" s="305"/>
      <c r="E81" s="305"/>
      <c r="F81" s="117" t="s">
        <v>1646</v>
      </c>
      <c r="G81" s="116">
        <v>170.4</v>
      </c>
      <c r="H81" s="159"/>
      <c r="I81" s="108">
        <f t="shared" si="66"/>
        <v>0</v>
      </c>
      <c r="J81" s="108">
        <f t="shared" si="67"/>
        <v>0</v>
      </c>
      <c r="K81" s="108">
        <f t="shared" si="68"/>
        <v>0</v>
      </c>
      <c r="L81" s="111" t="s">
        <v>1671</v>
      </c>
      <c r="Z81" s="100">
        <f t="shared" si="69"/>
        <v>0</v>
      </c>
      <c r="AB81" s="100">
        <f t="shared" si="70"/>
        <v>0</v>
      </c>
      <c r="AC81" s="100">
        <f t="shared" si="71"/>
        <v>0</v>
      </c>
      <c r="AD81" s="100">
        <f t="shared" si="72"/>
        <v>0</v>
      </c>
      <c r="AE81" s="100">
        <f t="shared" si="73"/>
        <v>0</v>
      </c>
      <c r="AF81" s="100">
        <f t="shared" si="74"/>
        <v>0</v>
      </c>
      <c r="AG81" s="100">
        <f t="shared" si="75"/>
        <v>0</v>
      </c>
      <c r="AH81" s="100">
        <f t="shared" si="76"/>
        <v>0</v>
      </c>
      <c r="AI81" s="109"/>
      <c r="AJ81" s="108">
        <f t="shared" si="77"/>
        <v>0</v>
      </c>
      <c r="AK81" s="108">
        <f t="shared" si="78"/>
        <v>0</v>
      </c>
      <c r="AL81" s="108">
        <f t="shared" si="79"/>
        <v>0</v>
      </c>
      <c r="AN81" s="100">
        <v>15</v>
      </c>
      <c r="AO81" s="100">
        <f>H81*0.24088002996037</f>
        <v>0</v>
      </c>
      <c r="AP81" s="100">
        <f>H81*(1-0.24088002996037)</f>
        <v>0</v>
      </c>
      <c r="AQ81" s="111" t="s">
        <v>7</v>
      </c>
      <c r="AV81" s="100">
        <f t="shared" si="80"/>
        <v>0</v>
      </c>
      <c r="AW81" s="100">
        <f t="shared" si="81"/>
        <v>0</v>
      </c>
      <c r="AX81" s="100">
        <f t="shared" si="82"/>
        <v>0</v>
      </c>
      <c r="AY81" s="110" t="s">
        <v>1693</v>
      </c>
      <c r="AZ81" s="110" t="s">
        <v>1728</v>
      </c>
      <c r="BA81" s="109" t="s">
        <v>1737</v>
      </c>
      <c r="BC81" s="100">
        <f t="shared" si="83"/>
        <v>0</v>
      </c>
      <c r="BD81" s="100">
        <f t="shared" si="84"/>
        <v>0</v>
      </c>
      <c r="BE81" s="100">
        <v>0</v>
      </c>
      <c r="BF81" s="100">
        <f>81</f>
        <v>81</v>
      </c>
      <c r="BH81" s="108">
        <f t="shared" si="85"/>
        <v>0</v>
      </c>
      <c r="BI81" s="108">
        <f t="shared" si="86"/>
        <v>0</v>
      </c>
      <c r="BJ81" s="108">
        <f t="shared" si="87"/>
        <v>0</v>
      </c>
    </row>
    <row r="82" spans="1:62" x14ac:dyDescent="0.2">
      <c r="A82" s="117" t="s">
        <v>60</v>
      </c>
      <c r="B82" s="117" t="s">
        <v>620</v>
      </c>
      <c r="C82" s="304" t="s">
        <v>1121</v>
      </c>
      <c r="D82" s="305"/>
      <c r="E82" s="305"/>
      <c r="F82" s="117" t="s">
        <v>1646</v>
      </c>
      <c r="G82" s="116">
        <v>47.4</v>
      </c>
      <c r="H82" s="159"/>
      <c r="I82" s="108">
        <f t="shared" si="66"/>
        <v>0</v>
      </c>
      <c r="J82" s="108">
        <f t="shared" si="67"/>
        <v>0</v>
      </c>
      <c r="K82" s="108">
        <f t="shared" si="68"/>
        <v>0</v>
      </c>
      <c r="L82" s="111" t="s">
        <v>1671</v>
      </c>
      <c r="Z82" s="100">
        <f t="shared" si="69"/>
        <v>0</v>
      </c>
      <c r="AB82" s="100">
        <f t="shared" si="70"/>
        <v>0</v>
      </c>
      <c r="AC82" s="100">
        <f t="shared" si="71"/>
        <v>0</v>
      </c>
      <c r="AD82" s="100">
        <f t="shared" si="72"/>
        <v>0</v>
      </c>
      <c r="AE82" s="100">
        <f t="shared" si="73"/>
        <v>0</v>
      </c>
      <c r="AF82" s="100">
        <f t="shared" si="74"/>
        <v>0</v>
      </c>
      <c r="AG82" s="100">
        <f t="shared" si="75"/>
        <v>0</v>
      </c>
      <c r="AH82" s="100">
        <f t="shared" si="76"/>
        <v>0</v>
      </c>
      <c r="AI82" s="109"/>
      <c r="AJ82" s="108">
        <f t="shared" si="77"/>
        <v>0</v>
      </c>
      <c r="AK82" s="108">
        <f t="shared" si="78"/>
        <v>0</v>
      </c>
      <c r="AL82" s="108">
        <f t="shared" si="79"/>
        <v>0</v>
      </c>
      <c r="AN82" s="100">
        <v>15</v>
      </c>
      <c r="AO82" s="100">
        <f>H82*0.259558824972571</f>
        <v>0</v>
      </c>
      <c r="AP82" s="100">
        <f>H82*(1-0.259558824972571)</f>
        <v>0</v>
      </c>
      <c r="AQ82" s="111" t="s">
        <v>7</v>
      </c>
      <c r="AV82" s="100">
        <f t="shared" si="80"/>
        <v>0</v>
      </c>
      <c r="AW82" s="100">
        <f t="shared" si="81"/>
        <v>0</v>
      </c>
      <c r="AX82" s="100">
        <f t="shared" si="82"/>
        <v>0</v>
      </c>
      <c r="AY82" s="110" t="s">
        <v>1693</v>
      </c>
      <c r="AZ82" s="110" t="s">
        <v>1728</v>
      </c>
      <c r="BA82" s="109" t="s">
        <v>1737</v>
      </c>
      <c r="BC82" s="100">
        <f t="shared" si="83"/>
        <v>0</v>
      </c>
      <c r="BD82" s="100">
        <f t="shared" si="84"/>
        <v>0</v>
      </c>
      <c r="BE82" s="100">
        <v>0</v>
      </c>
      <c r="BF82" s="100">
        <f>82</f>
        <v>82</v>
      </c>
      <c r="BH82" s="108">
        <f t="shared" si="85"/>
        <v>0</v>
      </c>
      <c r="BI82" s="108">
        <f t="shared" si="86"/>
        <v>0</v>
      </c>
      <c r="BJ82" s="108">
        <f t="shared" si="87"/>
        <v>0</v>
      </c>
    </row>
    <row r="83" spans="1:62" x14ac:dyDescent="0.2">
      <c r="A83" s="117" t="s">
        <v>61</v>
      </c>
      <c r="B83" s="117" t="s">
        <v>621</v>
      </c>
      <c r="C83" s="304" t="s">
        <v>1122</v>
      </c>
      <c r="D83" s="305"/>
      <c r="E83" s="305"/>
      <c r="F83" s="117" t="s">
        <v>1645</v>
      </c>
      <c r="G83" s="116">
        <v>98.432000000000002</v>
      </c>
      <c r="H83" s="159"/>
      <c r="I83" s="108">
        <f t="shared" si="66"/>
        <v>0</v>
      </c>
      <c r="J83" s="108">
        <f t="shared" si="67"/>
        <v>0</v>
      </c>
      <c r="K83" s="108">
        <f t="shared" si="68"/>
        <v>0</v>
      </c>
      <c r="L83" s="111" t="s">
        <v>1671</v>
      </c>
      <c r="Z83" s="100">
        <f t="shared" si="69"/>
        <v>0</v>
      </c>
      <c r="AB83" s="100">
        <f t="shared" si="70"/>
        <v>0</v>
      </c>
      <c r="AC83" s="100">
        <f t="shared" si="71"/>
        <v>0</v>
      </c>
      <c r="AD83" s="100">
        <f t="shared" si="72"/>
        <v>0</v>
      </c>
      <c r="AE83" s="100">
        <f t="shared" si="73"/>
        <v>0</v>
      </c>
      <c r="AF83" s="100">
        <f t="shared" si="74"/>
        <v>0</v>
      </c>
      <c r="AG83" s="100">
        <f t="shared" si="75"/>
        <v>0</v>
      </c>
      <c r="AH83" s="100">
        <f t="shared" si="76"/>
        <v>0</v>
      </c>
      <c r="AI83" s="109"/>
      <c r="AJ83" s="108">
        <f t="shared" si="77"/>
        <v>0</v>
      </c>
      <c r="AK83" s="108">
        <f t="shared" si="78"/>
        <v>0</v>
      </c>
      <c r="AL83" s="108">
        <f t="shared" si="79"/>
        <v>0</v>
      </c>
      <c r="AN83" s="100">
        <v>15</v>
      </c>
      <c r="AO83" s="100">
        <f>H83*0.476853749735543</f>
        <v>0</v>
      </c>
      <c r="AP83" s="100">
        <f>H83*(1-0.476853749735543)</f>
        <v>0</v>
      </c>
      <c r="AQ83" s="111" t="s">
        <v>7</v>
      </c>
      <c r="AV83" s="100">
        <f t="shared" si="80"/>
        <v>0</v>
      </c>
      <c r="AW83" s="100">
        <f t="shared" si="81"/>
        <v>0</v>
      </c>
      <c r="AX83" s="100">
        <f t="shared" si="82"/>
        <v>0</v>
      </c>
      <c r="AY83" s="110" t="s">
        <v>1693</v>
      </c>
      <c r="AZ83" s="110" t="s">
        <v>1728</v>
      </c>
      <c r="BA83" s="109" t="s">
        <v>1737</v>
      </c>
      <c r="BC83" s="100">
        <f t="shared" si="83"/>
        <v>0</v>
      </c>
      <c r="BD83" s="100">
        <f t="shared" si="84"/>
        <v>0</v>
      </c>
      <c r="BE83" s="100">
        <v>0</v>
      </c>
      <c r="BF83" s="100">
        <f>83</f>
        <v>83</v>
      </c>
      <c r="BH83" s="108">
        <f t="shared" si="85"/>
        <v>0</v>
      </c>
      <c r="BI83" s="108">
        <f t="shared" si="86"/>
        <v>0</v>
      </c>
      <c r="BJ83" s="108">
        <f t="shared" si="87"/>
        <v>0</v>
      </c>
    </row>
    <row r="84" spans="1:62" x14ac:dyDescent="0.2">
      <c r="A84" s="117" t="s">
        <v>62</v>
      </c>
      <c r="B84" s="117" t="s">
        <v>622</v>
      </c>
      <c r="C84" s="304" t="s">
        <v>1123</v>
      </c>
      <c r="D84" s="305"/>
      <c r="E84" s="305"/>
      <c r="F84" s="117" t="s">
        <v>1646</v>
      </c>
      <c r="G84" s="116">
        <v>170.4</v>
      </c>
      <c r="H84" s="159"/>
      <c r="I84" s="108">
        <f t="shared" si="66"/>
        <v>0</v>
      </c>
      <c r="J84" s="108">
        <f t="shared" si="67"/>
        <v>0</v>
      </c>
      <c r="K84" s="108">
        <f t="shared" si="68"/>
        <v>0</v>
      </c>
      <c r="L84" s="111" t="s">
        <v>1671</v>
      </c>
      <c r="Z84" s="100">
        <f t="shared" si="69"/>
        <v>0</v>
      </c>
      <c r="AB84" s="100">
        <f t="shared" si="70"/>
        <v>0</v>
      </c>
      <c r="AC84" s="100">
        <f t="shared" si="71"/>
        <v>0</v>
      </c>
      <c r="AD84" s="100">
        <f t="shared" si="72"/>
        <v>0</v>
      </c>
      <c r="AE84" s="100">
        <f t="shared" si="73"/>
        <v>0</v>
      </c>
      <c r="AF84" s="100">
        <f t="shared" si="74"/>
        <v>0</v>
      </c>
      <c r="AG84" s="100">
        <f t="shared" si="75"/>
        <v>0</v>
      </c>
      <c r="AH84" s="100">
        <f t="shared" si="76"/>
        <v>0</v>
      </c>
      <c r="AI84" s="109"/>
      <c r="AJ84" s="108">
        <f t="shared" si="77"/>
        <v>0</v>
      </c>
      <c r="AK84" s="108">
        <f t="shared" si="78"/>
        <v>0</v>
      </c>
      <c r="AL84" s="108">
        <f t="shared" si="79"/>
        <v>0</v>
      </c>
      <c r="AN84" s="100">
        <v>15</v>
      </c>
      <c r="AO84" s="100">
        <f>H84*0.413696060037523</f>
        <v>0</v>
      </c>
      <c r="AP84" s="100">
        <f>H84*(1-0.413696060037523)</f>
        <v>0</v>
      </c>
      <c r="AQ84" s="111" t="s">
        <v>7</v>
      </c>
      <c r="AV84" s="100">
        <f t="shared" si="80"/>
        <v>0</v>
      </c>
      <c r="AW84" s="100">
        <f t="shared" si="81"/>
        <v>0</v>
      </c>
      <c r="AX84" s="100">
        <f t="shared" si="82"/>
        <v>0</v>
      </c>
      <c r="AY84" s="110" t="s">
        <v>1693</v>
      </c>
      <c r="AZ84" s="110" t="s">
        <v>1728</v>
      </c>
      <c r="BA84" s="109" t="s">
        <v>1737</v>
      </c>
      <c r="BC84" s="100">
        <f t="shared" si="83"/>
        <v>0</v>
      </c>
      <c r="BD84" s="100">
        <f t="shared" si="84"/>
        <v>0</v>
      </c>
      <c r="BE84" s="100">
        <v>0</v>
      </c>
      <c r="BF84" s="100">
        <f>84</f>
        <v>84</v>
      </c>
      <c r="BH84" s="108">
        <f t="shared" si="85"/>
        <v>0</v>
      </c>
      <c r="BI84" s="108">
        <f t="shared" si="86"/>
        <v>0</v>
      </c>
      <c r="BJ84" s="108">
        <f t="shared" si="87"/>
        <v>0</v>
      </c>
    </row>
    <row r="85" spans="1:62" x14ac:dyDescent="0.2">
      <c r="A85" s="117" t="s">
        <v>63</v>
      </c>
      <c r="B85" s="117" t="s">
        <v>623</v>
      </c>
      <c r="C85" s="304" t="s">
        <v>1124</v>
      </c>
      <c r="D85" s="305"/>
      <c r="E85" s="305"/>
      <c r="F85" s="117" t="s">
        <v>1645</v>
      </c>
      <c r="G85" s="116">
        <v>716.42499999999995</v>
      </c>
      <c r="H85" s="159"/>
      <c r="I85" s="108">
        <f t="shared" si="66"/>
        <v>0</v>
      </c>
      <c r="J85" s="108">
        <f t="shared" si="67"/>
        <v>0</v>
      </c>
      <c r="K85" s="108">
        <f t="shared" si="68"/>
        <v>0</v>
      </c>
      <c r="L85" s="111" t="s">
        <v>1671</v>
      </c>
      <c r="Z85" s="100">
        <f t="shared" si="69"/>
        <v>0</v>
      </c>
      <c r="AB85" s="100">
        <f t="shared" si="70"/>
        <v>0</v>
      </c>
      <c r="AC85" s="100">
        <f t="shared" si="71"/>
        <v>0</v>
      </c>
      <c r="AD85" s="100">
        <f t="shared" si="72"/>
        <v>0</v>
      </c>
      <c r="AE85" s="100">
        <f t="shared" si="73"/>
        <v>0</v>
      </c>
      <c r="AF85" s="100">
        <f t="shared" si="74"/>
        <v>0</v>
      </c>
      <c r="AG85" s="100">
        <f t="shared" si="75"/>
        <v>0</v>
      </c>
      <c r="AH85" s="100">
        <f t="shared" si="76"/>
        <v>0</v>
      </c>
      <c r="AI85" s="109"/>
      <c r="AJ85" s="108">
        <f t="shared" si="77"/>
        <v>0</v>
      </c>
      <c r="AK85" s="108">
        <f t="shared" si="78"/>
        <v>0</v>
      </c>
      <c r="AL85" s="108">
        <f t="shared" si="79"/>
        <v>0</v>
      </c>
      <c r="AN85" s="100">
        <v>15</v>
      </c>
      <c r="AO85" s="100">
        <f>H85*0</f>
        <v>0</v>
      </c>
      <c r="AP85" s="100">
        <f>H85*(1-0)</f>
        <v>0</v>
      </c>
      <c r="AQ85" s="111" t="s">
        <v>7</v>
      </c>
      <c r="AV85" s="100">
        <f t="shared" si="80"/>
        <v>0</v>
      </c>
      <c r="AW85" s="100">
        <f t="shared" si="81"/>
        <v>0</v>
      </c>
      <c r="AX85" s="100">
        <f t="shared" si="82"/>
        <v>0</v>
      </c>
      <c r="AY85" s="110" t="s">
        <v>1693</v>
      </c>
      <c r="AZ85" s="110" t="s">
        <v>1728</v>
      </c>
      <c r="BA85" s="109" t="s">
        <v>1737</v>
      </c>
      <c r="BC85" s="100">
        <f t="shared" si="83"/>
        <v>0</v>
      </c>
      <c r="BD85" s="100">
        <f t="shared" si="84"/>
        <v>0</v>
      </c>
      <c r="BE85" s="100">
        <v>0</v>
      </c>
      <c r="BF85" s="100">
        <f>85</f>
        <v>85</v>
      </c>
      <c r="BH85" s="108">
        <f t="shared" si="85"/>
        <v>0</v>
      </c>
      <c r="BI85" s="108">
        <f t="shared" si="86"/>
        <v>0</v>
      </c>
      <c r="BJ85" s="108">
        <f t="shared" si="87"/>
        <v>0</v>
      </c>
    </row>
    <row r="86" spans="1:62" x14ac:dyDescent="0.2">
      <c r="A86" s="117" t="s">
        <v>64</v>
      </c>
      <c r="B86" s="117" t="s">
        <v>624</v>
      </c>
      <c r="C86" s="304" t="s">
        <v>2857</v>
      </c>
      <c r="D86" s="305"/>
      <c r="E86" s="305"/>
      <c r="F86" s="117" t="s">
        <v>1645</v>
      </c>
      <c r="G86" s="116">
        <v>716.42499999999995</v>
      </c>
      <c r="H86" s="159"/>
      <c r="I86" s="108">
        <f t="shared" si="66"/>
        <v>0</v>
      </c>
      <c r="J86" s="108">
        <f t="shared" si="67"/>
        <v>0</v>
      </c>
      <c r="K86" s="108">
        <f t="shared" si="68"/>
        <v>0</v>
      </c>
      <c r="L86" s="111" t="s">
        <v>1671</v>
      </c>
      <c r="Z86" s="100">
        <f t="shared" si="69"/>
        <v>0</v>
      </c>
      <c r="AB86" s="100">
        <f t="shared" si="70"/>
        <v>0</v>
      </c>
      <c r="AC86" s="100">
        <f t="shared" si="71"/>
        <v>0</v>
      </c>
      <c r="AD86" s="100">
        <f t="shared" si="72"/>
        <v>0</v>
      </c>
      <c r="AE86" s="100">
        <f t="shared" si="73"/>
        <v>0</v>
      </c>
      <c r="AF86" s="100">
        <f t="shared" si="74"/>
        <v>0</v>
      </c>
      <c r="AG86" s="100">
        <f t="shared" si="75"/>
        <v>0</v>
      </c>
      <c r="AH86" s="100">
        <f t="shared" si="76"/>
        <v>0</v>
      </c>
      <c r="AI86" s="109"/>
      <c r="AJ86" s="108">
        <f t="shared" si="77"/>
        <v>0</v>
      </c>
      <c r="AK86" s="108">
        <f t="shared" si="78"/>
        <v>0</v>
      </c>
      <c r="AL86" s="108">
        <f t="shared" si="79"/>
        <v>0</v>
      </c>
      <c r="AN86" s="100">
        <v>15</v>
      </c>
      <c r="AO86" s="100">
        <f>H86*0.0655405405405405</f>
        <v>0</v>
      </c>
      <c r="AP86" s="100">
        <f>H86*(1-0.0655405405405405)</f>
        <v>0</v>
      </c>
      <c r="AQ86" s="111" t="s">
        <v>7</v>
      </c>
      <c r="AV86" s="100">
        <f t="shared" si="80"/>
        <v>0</v>
      </c>
      <c r="AW86" s="100">
        <f t="shared" si="81"/>
        <v>0</v>
      </c>
      <c r="AX86" s="100">
        <f t="shared" si="82"/>
        <v>0</v>
      </c>
      <c r="AY86" s="110" t="s">
        <v>1693</v>
      </c>
      <c r="AZ86" s="110" t="s">
        <v>1728</v>
      </c>
      <c r="BA86" s="109" t="s">
        <v>1737</v>
      </c>
      <c r="BC86" s="100">
        <f t="shared" si="83"/>
        <v>0</v>
      </c>
      <c r="BD86" s="100">
        <f t="shared" si="84"/>
        <v>0</v>
      </c>
      <c r="BE86" s="100">
        <v>0</v>
      </c>
      <c r="BF86" s="100">
        <f>86</f>
        <v>86</v>
      </c>
      <c r="BH86" s="108">
        <f t="shared" si="85"/>
        <v>0</v>
      </c>
      <c r="BI86" s="108">
        <f t="shared" si="86"/>
        <v>0</v>
      </c>
      <c r="BJ86" s="108">
        <f t="shared" si="87"/>
        <v>0</v>
      </c>
    </row>
    <row r="87" spans="1:62" x14ac:dyDescent="0.2">
      <c r="A87" s="117" t="s">
        <v>65</v>
      </c>
      <c r="B87" s="117" t="s">
        <v>625</v>
      </c>
      <c r="C87" s="304" t="s">
        <v>1126</v>
      </c>
      <c r="D87" s="305"/>
      <c r="E87" s="305"/>
      <c r="F87" s="117" t="s">
        <v>1645</v>
      </c>
      <c r="G87" s="116">
        <v>358.21300000000002</v>
      </c>
      <c r="H87" s="159"/>
      <c r="I87" s="108">
        <f t="shared" si="66"/>
        <v>0</v>
      </c>
      <c r="J87" s="108">
        <f t="shared" si="67"/>
        <v>0</v>
      </c>
      <c r="K87" s="108">
        <f t="shared" si="68"/>
        <v>0</v>
      </c>
      <c r="L87" s="111" t="s">
        <v>1671</v>
      </c>
      <c r="Z87" s="100">
        <f t="shared" si="69"/>
        <v>0</v>
      </c>
      <c r="AB87" s="100">
        <f t="shared" si="70"/>
        <v>0</v>
      </c>
      <c r="AC87" s="100">
        <f t="shared" si="71"/>
        <v>0</v>
      </c>
      <c r="AD87" s="100">
        <f t="shared" si="72"/>
        <v>0</v>
      </c>
      <c r="AE87" s="100">
        <f t="shared" si="73"/>
        <v>0</v>
      </c>
      <c r="AF87" s="100">
        <f t="shared" si="74"/>
        <v>0</v>
      </c>
      <c r="AG87" s="100">
        <f t="shared" si="75"/>
        <v>0</v>
      </c>
      <c r="AH87" s="100">
        <f t="shared" si="76"/>
        <v>0</v>
      </c>
      <c r="AI87" s="109"/>
      <c r="AJ87" s="108">
        <f t="shared" si="77"/>
        <v>0</v>
      </c>
      <c r="AK87" s="108">
        <f t="shared" si="78"/>
        <v>0</v>
      </c>
      <c r="AL87" s="108">
        <f t="shared" si="79"/>
        <v>0</v>
      </c>
      <c r="AN87" s="100">
        <v>15</v>
      </c>
      <c r="AO87" s="100">
        <f>H87*0</f>
        <v>0</v>
      </c>
      <c r="AP87" s="100">
        <f>H87*(1-0)</f>
        <v>0</v>
      </c>
      <c r="AQ87" s="111" t="s">
        <v>7</v>
      </c>
      <c r="AV87" s="100">
        <f t="shared" si="80"/>
        <v>0</v>
      </c>
      <c r="AW87" s="100">
        <f t="shared" si="81"/>
        <v>0</v>
      </c>
      <c r="AX87" s="100">
        <f t="shared" si="82"/>
        <v>0</v>
      </c>
      <c r="AY87" s="110" t="s">
        <v>1693</v>
      </c>
      <c r="AZ87" s="110" t="s">
        <v>1728</v>
      </c>
      <c r="BA87" s="109" t="s">
        <v>1737</v>
      </c>
      <c r="BC87" s="100">
        <f t="shared" si="83"/>
        <v>0</v>
      </c>
      <c r="BD87" s="100">
        <f t="shared" si="84"/>
        <v>0</v>
      </c>
      <c r="BE87" s="100">
        <v>0</v>
      </c>
      <c r="BF87" s="100">
        <f>87</f>
        <v>87</v>
      </c>
      <c r="BH87" s="108">
        <f t="shared" si="85"/>
        <v>0</v>
      </c>
      <c r="BI87" s="108">
        <f t="shared" si="86"/>
        <v>0</v>
      </c>
      <c r="BJ87" s="108">
        <f t="shared" si="87"/>
        <v>0</v>
      </c>
    </row>
    <row r="88" spans="1:62" x14ac:dyDescent="0.2">
      <c r="A88" s="117" t="s">
        <v>66</v>
      </c>
      <c r="B88" s="117" t="s">
        <v>626</v>
      </c>
      <c r="C88" s="304" t="s">
        <v>1127</v>
      </c>
      <c r="D88" s="305"/>
      <c r="E88" s="305"/>
      <c r="F88" s="117" t="s">
        <v>1645</v>
      </c>
      <c r="G88" s="116">
        <v>358.21300000000002</v>
      </c>
      <c r="H88" s="159"/>
      <c r="I88" s="108">
        <f t="shared" si="66"/>
        <v>0</v>
      </c>
      <c r="J88" s="108">
        <f t="shared" si="67"/>
        <v>0</v>
      </c>
      <c r="K88" s="108">
        <f t="shared" si="68"/>
        <v>0</v>
      </c>
      <c r="L88" s="111" t="s">
        <v>1671</v>
      </c>
      <c r="Z88" s="100">
        <f t="shared" si="69"/>
        <v>0</v>
      </c>
      <c r="AB88" s="100">
        <f t="shared" si="70"/>
        <v>0</v>
      </c>
      <c r="AC88" s="100">
        <f t="shared" si="71"/>
        <v>0</v>
      </c>
      <c r="AD88" s="100">
        <f t="shared" si="72"/>
        <v>0</v>
      </c>
      <c r="AE88" s="100">
        <f t="shared" si="73"/>
        <v>0</v>
      </c>
      <c r="AF88" s="100">
        <f t="shared" si="74"/>
        <v>0</v>
      </c>
      <c r="AG88" s="100">
        <f t="shared" si="75"/>
        <v>0</v>
      </c>
      <c r="AH88" s="100">
        <f t="shared" si="76"/>
        <v>0</v>
      </c>
      <c r="AI88" s="109"/>
      <c r="AJ88" s="108">
        <f t="shared" si="77"/>
        <v>0</v>
      </c>
      <c r="AK88" s="108">
        <f t="shared" si="78"/>
        <v>0</v>
      </c>
      <c r="AL88" s="108">
        <f t="shared" si="79"/>
        <v>0</v>
      </c>
      <c r="AN88" s="100">
        <v>15</v>
      </c>
      <c r="AO88" s="100">
        <f>H88*0.313660683013351</f>
        <v>0</v>
      </c>
      <c r="AP88" s="100">
        <f>H88*(1-0.313660683013351)</f>
        <v>0</v>
      </c>
      <c r="AQ88" s="111" t="s">
        <v>7</v>
      </c>
      <c r="AV88" s="100">
        <f t="shared" si="80"/>
        <v>0</v>
      </c>
      <c r="AW88" s="100">
        <f t="shared" si="81"/>
        <v>0</v>
      </c>
      <c r="AX88" s="100">
        <f t="shared" si="82"/>
        <v>0</v>
      </c>
      <c r="AY88" s="110" t="s">
        <v>1693</v>
      </c>
      <c r="AZ88" s="110" t="s">
        <v>1728</v>
      </c>
      <c r="BA88" s="109" t="s">
        <v>1737</v>
      </c>
      <c r="BC88" s="100">
        <f t="shared" si="83"/>
        <v>0</v>
      </c>
      <c r="BD88" s="100">
        <f t="shared" si="84"/>
        <v>0</v>
      </c>
      <c r="BE88" s="100">
        <v>0</v>
      </c>
      <c r="BF88" s="100">
        <f>88</f>
        <v>88</v>
      </c>
      <c r="BH88" s="108">
        <f t="shared" si="85"/>
        <v>0</v>
      </c>
      <c r="BI88" s="108">
        <f t="shared" si="86"/>
        <v>0</v>
      </c>
      <c r="BJ88" s="108">
        <f t="shared" si="87"/>
        <v>0</v>
      </c>
    </row>
    <row r="89" spans="1:62" x14ac:dyDescent="0.2">
      <c r="A89" s="119"/>
      <c r="B89" s="120" t="s">
        <v>69</v>
      </c>
      <c r="C89" s="306" t="s">
        <v>1128</v>
      </c>
      <c r="D89" s="307"/>
      <c r="E89" s="307"/>
      <c r="F89" s="119" t="s">
        <v>6</v>
      </c>
      <c r="G89" s="119" t="s">
        <v>6</v>
      </c>
      <c r="H89" s="119" t="s">
        <v>6</v>
      </c>
      <c r="I89" s="118">
        <f>SUM(I90:I90)</f>
        <v>0</v>
      </c>
      <c r="J89" s="118">
        <f>SUM(J90:J90)</f>
        <v>0</v>
      </c>
      <c r="K89" s="118">
        <f>SUM(K90:K90)</f>
        <v>0</v>
      </c>
      <c r="L89" s="109"/>
      <c r="AI89" s="109"/>
      <c r="AS89" s="118">
        <f>SUM(AJ90:AJ90)</f>
        <v>0</v>
      </c>
      <c r="AT89" s="118">
        <f>SUM(AK90:AK90)</f>
        <v>0</v>
      </c>
      <c r="AU89" s="118">
        <f>SUM(AL90:AL90)</f>
        <v>0</v>
      </c>
    </row>
    <row r="90" spans="1:62" x14ac:dyDescent="0.2">
      <c r="A90" s="117" t="s">
        <v>67</v>
      </c>
      <c r="B90" s="117" t="s">
        <v>627</v>
      </c>
      <c r="C90" s="304" t="s">
        <v>1129</v>
      </c>
      <c r="D90" s="305"/>
      <c r="E90" s="305"/>
      <c r="F90" s="117" t="s">
        <v>1645</v>
      </c>
      <c r="G90" s="116">
        <v>1</v>
      </c>
      <c r="H90" s="159"/>
      <c r="I90" s="108">
        <f>G90*AO90</f>
        <v>0</v>
      </c>
      <c r="J90" s="108">
        <f>G90*AP90</f>
        <v>0</v>
      </c>
      <c r="K90" s="108">
        <f>G90*H90</f>
        <v>0</v>
      </c>
      <c r="L90" s="111" t="s">
        <v>1671</v>
      </c>
      <c r="Z90" s="100">
        <f>IF(AQ90="5",BJ90,0)</f>
        <v>0</v>
      </c>
      <c r="AB90" s="100">
        <f>IF(AQ90="1",BH90,0)</f>
        <v>0</v>
      </c>
      <c r="AC90" s="100">
        <f>IF(AQ90="1",BI90,0)</f>
        <v>0</v>
      </c>
      <c r="AD90" s="100">
        <f>IF(AQ90="7",BH90,0)</f>
        <v>0</v>
      </c>
      <c r="AE90" s="100">
        <f>IF(AQ90="7",BI90,0)</f>
        <v>0</v>
      </c>
      <c r="AF90" s="100">
        <f>IF(AQ90="2",BH90,0)</f>
        <v>0</v>
      </c>
      <c r="AG90" s="100">
        <f>IF(AQ90="2",BI90,0)</f>
        <v>0</v>
      </c>
      <c r="AH90" s="100">
        <f>IF(AQ90="0",BJ90,0)</f>
        <v>0</v>
      </c>
      <c r="AI90" s="109"/>
      <c r="AJ90" s="108">
        <f>IF(AN90=0,K90,0)</f>
        <v>0</v>
      </c>
      <c r="AK90" s="108">
        <f>IF(AN90=15,K90,0)</f>
        <v>0</v>
      </c>
      <c r="AL90" s="108">
        <f>IF(AN90=21,K90,0)</f>
        <v>0</v>
      </c>
      <c r="AN90" s="100">
        <v>15</v>
      </c>
      <c r="AO90" s="100">
        <f>H90*0.523900523560209</f>
        <v>0</v>
      </c>
      <c r="AP90" s="100">
        <f>H90*(1-0.523900523560209)</f>
        <v>0</v>
      </c>
      <c r="AQ90" s="111" t="s">
        <v>7</v>
      </c>
      <c r="AV90" s="100">
        <f>AW90+AX90</f>
        <v>0</v>
      </c>
      <c r="AW90" s="100">
        <f>G90*AO90</f>
        <v>0</v>
      </c>
      <c r="AX90" s="100">
        <f>G90*AP90</f>
        <v>0</v>
      </c>
      <c r="AY90" s="110" t="s">
        <v>1694</v>
      </c>
      <c r="AZ90" s="110" t="s">
        <v>1728</v>
      </c>
      <c r="BA90" s="109" t="s">
        <v>1737</v>
      </c>
      <c r="BC90" s="100">
        <f>AW90+AX90</f>
        <v>0</v>
      </c>
      <c r="BD90" s="100">
        <f>H90/(100-BE90)*100</f>
        <v>0</v>
      </c>
      <c r="BE90" s="100">
        <v>0</v>
      </c>
      <c r="BF90" s="100">
        <f>90</f>
        <v>90</v>
      </c>
      <c r="BH90" s="108">
        <f>G90*AO90</f>
        <v>0</v>
      </c>
      <c r="BI90" s="108">
        <f>G90*AP90</f>
        <v>0</v>
      </c>
      <c r="BJ90" s="108">
        <f>G90*H90</f>
        <v>0</v>
      </c>
    </row>
    <row r="91" spans="1:62" x14ac:dyDescent="0.2">
      <c r="A91" s="119"/>
      <c r="B91" s="120" t="s">
        <v>70</v>
      </c>
      <c r="C91" s="306" t="s">
        <v>2575</v>
      </c>
      <c r="D91" s="307"/>
      <c r="E91" s="307"/>
      <c r="F91" s="119" t="s">
        <v>6</v>
      </c>
      <c r="G91" s="119" t="s">
        <v>6</v>
      </c>
      <c r="H91" s="119" t="s">
        <v>6</v>
      </c>
      <c r="I91" s="118">
        <f>SUM(I92:I93)</f>
        <v>0</v>
      </c>
      <c r="J91" s="118">
        <f>SUM(J92:J93)</f>
        <v>0</v>
      </c>
      <c r="K91" s="118">
        <f>SUM(K92:K93)</f>
        <v>0</v>
      </c>
      <c r="L91" s="109"/>
      <c r="AI91" s="109"/>
      <c r="AS91" s="118">
        <f>SUM(AJ92:AJ93)</f>
        <v>0</v>
      </c>
      <c r="AT91" s="118">
        <f>SUM(AK92:AK93)</f>
        <v>0</v>
      </c>
      <c r="AU91" s="118">
        <f>SUM(AL92:AL93)</f>
        <v>0</v>
      </c>
    </row>
    <row r="92" spans="1:62" x14ac:dyDescent="0.2">
      <c r="A92" s="117" t="s">
        <v>68</v>
      </c>
      <c r="B92" s="117" t="s">
        <v>2856</v>
      </c>
      <c r="C92" s="304" t="s">
        <v>2855</v>
      </c>
      <c r="D92" s="305"/>
      <c r="E92" s="305"/>
      <c r="F92" s="117" t="s">
        <v>1646</v>
      </c>
      <c r="G92" s="116">
        <v>1.8</v>
      </c>
      <c r="H92" s="159"/>
      <c r="I92" s="108">
        <f>G92*AO92</f>
        <v>0</v>
      </c>
      <c r="J92" s="108">
        <f>G92*AP92</f>
        <v>0</v>
      </c>
      <c r="K92" s="108">
        <f>G92*H92</f>
        <v>0</v>
      </c>
      <c r="L92" s="111" t="s">
        <v>1671</v>
      </c>
      <c r="Z92" s="100">
        <f>IF(AQ92="5",BJ92,0)</f>
        <v>0</v>
      </c>
      <c r="AB92" s="100">
        <f>IF(AQ92="1",BH92,0)</f>
        <v>0</v>
      </c>
      <c r="AC92" s="100">
        <f>IF(AQ92="1",BI92,0)</f>
        <v>0</v>
      </c>
      <c r="AD92" s="100">
        <f>IF(AQ92="7",BH92,0)</f>
        <v>0</v>
      </c>
      <c r="AE92" s="100">
        <f>IF(AQ92="7",BI92,0)</f>
        <v>0</v>
      </c>
      <c r="AF92" s="100">
        <f>IF(AQ92="2",BH92,0)</f>
        <v>0</v>
      </c>
      <c r="AG92" s="100">
        <f>IF(AQ92="2",BI92,0)</f>
        <v>0</v>
      </c>
      <c r="AH92" s="100">
        <f>IF(AQ92="0",BJ92,0)</f>
        <v>0</v>
      </c>
      <c r="AI92" s="109"/>
      <c r="AJ92" s="108">
        <f>IF(AN92=0,K92,0)</f>
        <v>0</v>
      </c>
      <c r="AK92" s="108">
        <f>IF(AN92=15,K92,0)</f>
        <v>0</v>
      </c>
      <c r="AL92" s="108">
        <f>IF(AN92=21,K92,0)</f>
        <v>0</v>
      </c>
      <c r="AN92" s="100">
        <v>15</v>
      </c>
      <c r="AO92" s="100">
        <f>H92*0.689779116465863</f>
        <v>0</v>
      </c>
      <c r="AP92" s="100">
        <f>H92*(1-0.689779116465863)</f>
        <v>0</v>
      </c>
      <c r="AQ92" s="111" t="s">
        <v>7</v>
      </c>
      <c r="AV92" s="100">
        <f>AW92+AX92</f>
        <v>0</v>
      </c>
      <c r="AW92" s="100">
        <f>G92*AO92</f>
        <v>0</v>
      </c>
      <c r="AX92" s="100">
        <f>G92*AP92</f>
        <v>0</v>
      </c>
      <c r="AY92" s="110" t="s">
        <v>2852</v>
      </c>
      <c r="AZ92" s="110" t="s">
        <v>1728</v>
      </c>
      <c r="BA92" s="109" t="s">
        <v>1737</v>
      </c>
      <c r="BC92" s="100">
        <f>AW92+AX92</f>
        <v>0</v>
      </c>
      <c r="BD92" s="100">
        <f>H92/(100-BE92)*100</f>
        <v>0</v>
      </c>
      <c r="BE92" s="100">
        <v>0</v>
      </c>
      <c r="BF92" s="100">
        <f>92</f>
        <v>92</v>
      </c>
      <c r="BH92" s="108">
        <f>G92*AO92</f>
        <v>0</v>
      </c>
      <c r="BI92" s="108">
        <f>G92*AP92</f>
        <v>0</v>
      </c>
      <c r="BJ92" s="108">
        <f>G92*H92</f>
        <v>0</v>
      </c>
    </row>
    <row r="93" spans="1:62" x14ac:dyDescent="0.2">
      <c r="A93" s="117" t="s">
        <v>69</v>
      </c>
      <c r="B93" s="117" t="s">
        <v>2854</v>
      </c>
      <c r="C93" s="304" t="s">
        <v>2853</v>
      </c>
      <c r="D93" s="305"/>
      <c r="E93" s="305"/>
      <c r="F93" s="117" t="s">
        <v>1646</v>
      </c>
      <c r="G93" s="116">
        <v>9.6</v>
      </c>
      <c r="H93" s="159"/>
      <c r="I93" s="108">
        <f>G93*AO93</f>
        <v>0</v>
      </c>
      <c r="J93" s="108">
        <f>G93*AP93</f>
        <v>0</v>
      </c>
      <c r="K93" s="108">
        <f>G93*H93</f>
        <v>0</v>
      </c>
      <c r="L93" s="111" t="s">
        <v>1671</v>
      </c>
      <c r="Z93" s="100">
        <f>IF(AQ93="5",BJ93,0)</f>
        <v>0</v>
      </c>
      <c r="AB93" s="100">
        <f>IF(AQ93="1",BH93,0)</f>
        <v>0</v>
      </c>
      <c r="AC93" s="100">
        <f>IF(AQ93="1",BI93,0)</f>
        <v>0</v>
      </c>
      <c r="AD93" s="100">
        <f>IF(AQ93="7",BH93,0)</f>
        <v>0</v>
      </c>
      <c r="AE93" s="100">
        <f>IF(AQ93="7",BI93,0)</f>
        <v>0</v>
      </c>
      <c r="AF93" s="100">
        <f>IF(AQ93="2",BH93,0)</f>
        <v>0</v>
      </c>
      <c r="AG93" s="100">
        <f>IF(AQ93="2",BI93,0)</f>
        <v>0</v>
      </c>
      <c r="AH93" s="100">
        <f>IF(AQ93="0",BJ93,0)</f>
        <v>0</v>
      </c>
      <c r="AI93" s="109"/>
      <c r="AJ93" s="108">
        <f>IF(AN93=0,K93,0)</f>
        <v>0</v>
      </c>
      <c r="AK93" s="108">
        <f>IF(AN93=15,K93,0)</f>
        <v>0</v>
      </c>
      <c r="AL93" s="108">
        <f>IF(AN93=21,K93,0)</f>
        <v>0</v>
      </c>
      <c r="AN93" s="100">
        <v>15</v>
      </c>
      <c r="AO93" s="100">
        <f>H93*0.707705779334501</f>
        <v>0</v>
      </c>
      <c r="AP93" s="100">
        <f>H93*(1-0.707705779334501)</f>
        <v>0</v>
      </c>
      <c r="AQ93" s="111" t="s">
        <v>7</v>
      </c>
      <c r="AV93" s="100">
        <f>AW93+AX93</f>
        <v>0</v>
      </c>
      <c r="AW93" s="100">
        <f>G93*AO93</f>
        <v>0</v>
      </c>
      <c r="AX93" s="100">
        <f>G93*AP93</f>
        <v>0</v>
      </c>
      <c r="AY93" s="110" t="s">
        <v>2852</v>
      </c>
      <c r="AZ93" s="110" t="s">
        <v>1728</v>
      </c>
      <c r="BA93" s="109" t="s">
        <v>1737</v>
      </c>
      <c r="BC93" s="100">
        <f>AW93+AX93</f>
        <v>0</v>
      </c>
      <c r="BD93" s="100">
        <f>H93/(100-BE93)*100</f>
        <v>0</v>
      </c>
      <c r="BE93" s="100">
        <v>0</v>
      </c>
      <c r="BF93" s="100">
        <f>93</f>
        <v>93</v>
      </c>
      <c r="BH93" s="108">
        <f>G93*AO93</f>
        <v>0</v>
      </c>
      <c r="BI93" s="108">
        <f>G93*AP93</f>
        <v>0</v>
      </c>
      <c r="BJ93" s="108">
        <f>G93*H93</f>
        <v>0</v>
      </c>
    </row>
    <row r="94" spans="1:62" x14ac:dyDescent="0.2">
      <c r="A94" s="119"/>
      <c r="B94" s="120" t="s">
        <v>89</v>
      </c>
      <c r="C94" s="306" t="s">
        <v>1130</v>
      </c>
      <c r="D94" s="307"/>
      <c r="E94" s="307"/>
      <c r="F94" s="119" t="s">
        <v>6</v>
      </c>
      <c r="G94" s="119" t="s">
        <v>6</v>
      </c>
      <c r="H94" s="119" t="s">
        <v>6</v>
      </c>
      <c r="I94" s="118">
        <f>SUM(I95:I96)</f>
        <v>0</v>
      </c>
      <c r="J94" s="118">
        <f>SUM(J95:J96)</f>
        <v>0</v>
      </c>
      <c r="K94" s="118">
        <f>SUM(K95:K96)</f>
        <v>0</v>
      </c>
      <c r="L94" s="109"/>
      <c r="AI94" s="109"/>
      <c r="AS94" s="118">
        <f>SUM(AJ95:AJ96)</f>
        <v>0</v>
      </c>
      <c r="AT94" s="118">
        <f>SUM(AK95:AK96)</f>
        <v>0</v>
      </c>
      <c r="AU94" s="118">
        <f>SUM(AL95:AL96)</f>
        <v>0</v>
      </c>
    </row>
    <row r="95" spans="1:62" x14ac:dyDescent="0.2">
      <c r="A95" s="117" t="s">
        <v>70</v>
      </c>
      <c r="B95" s="117" t="s">
        <v>628</v>
      </c>
      <c r="C95" s="304" t="s">
        <v>2489</v>
      </c>
      <c r="D95" s="305"/>
      <c r="E95" s="305"/>
      <c r="F95" s="117" t="s">
        <v>1644</v>
      </c>
      <c r="G95" s="116">
        <v>4</v>
      </c>
      <c r="H95" s="159"/>
      <c r="I95" s="108">
        <f>G95*AO95</f>
        <v>0</v>
      </c>
      <c r="J95" s="108">
        <f>G95*AP95</f>
        <v>0</v>
      </c>
      <c r="K95" s="108">
        <f>G95*H95</f>
        <v>0</v>
      </c>
      <c r="L95" s="111" t="s">
        <v>1671</v>
      </c>
      <c r="Z95" s="100">
        <f>IF(AQ95="5",BJ95,0)</f>
        <v>0</v>
      </c>
      <c r="AB95" s="100">
        <f>IF(AQ95="1",BH95,0)</f>
        <v>0</v>
      </c>
      <c r="AC95" s="100">
        <f>IF(AQ95="1",BI95,0)</f>
        <v>0</v>
      </c>
      <c r="AD95" s="100">
        <f>IF(AQ95="7",BH95,0)</f>
        <v>0</v>
      </c>
      <c r="AE95" s="100">
        <f>IF(AQ95="7",BI95,0)</f>
        <v>0</v>
      </c>
      <c r="AF95" s="100">
        <f>IF(AQ95="2",BH95,0)</f>
        <v>0</v>
      </c>
      <c r="AG95" s="100">
        <f>IF(AQ95="2",BI95,0)</f>
        <v>0</v>
      </c>
      <c r="AH95" s="100">
        <f>IF(AQ95="0",BJ95,0)</f>
        <v>0</v>
      </c>
      <c r="AI95" s="109"/>
      <c r="AJ95" s="108">
        <f>IF(AN95=0,K95,0)</f>
        <v>0</v>
      </c>
      <c r="AK95" s="108">
        <f>IF(AN95=15,K95,0)</f>
        <v>0</v>
      </c>
      <c r="AL95" s="108">
        <f>IF(AN95=21,K95,0)</f>
        <v>0</v>
      </c>
      <c r="AN95" s="100">
        <v>15</v>
      </c>
      <c r="AO95" s="100">
        <f>H95*0.915172602097089</f>
        <v>0</v>
      </c>
      <c r="AP95" s="100">
        <f>H95*(1-0.915172602097089)</f>
        <v>0</v>
      </c>
      <c r="AQ95" s="111" t="s">
        <v>7</v>
      </c>
      <c r="AV95" s="100">
        <f>AW95+AX95</f>
        <v>0</v>
      </c>
      <c r="AW95" s="100">
        <f>G95*AO95</f>
        <v>0</v>
      </c>
      <c r="AX95" s="100">
        <f>G95*AP95</f>
        <v>0</v>
      </c>
      <c r="AY95" s="110" t="s">
        <v>1695</v>
      </c>
      <c r="AZ95" s="110" t="s">
        <v>1729</v>
      </c>
      <c r="BA95" s="109" t="s">
        <v>1737</v>
      </c>
      <c r="BC95" s="100">
        <f>AW95+AX95</f>
        <v>0</v>
      </c>
      <c r="BD95" s="100">
        <f>H95/(100-BE95)*100</f>
        <v>0</v>
      </c>
      <c r="BE95" s="100">
        <v>0</v>
      </c>
      <c r="BF95" s="100">
        <f>95</f>
        <v>95</v>
      </c>
      <c r="BH95" s="108">
        <f>G95*AO95</f>
        <v>0</v>
      </c>
      <c r="BI95" s="108">
        <f>G95*AP95</f>
        <v>0</v>
      </c>
      <c r="BJ95" s="108">
        <f>G95*H95</f>
        <v>0</v>
      </c>
    </row>
    <row r="96" spans="1:62" x14ac:dyDescent="0.2">
      <c r="A96" s="117" t="s">
        <v>71</v>
      </c>
      <c r="B96" s="117" t="s">
        <v>629</v>
      </c>
      <c r="C96" s="304" t="s">
        <v>1132</v>
      </c>
      <c r="D96" s="305"/>
      <c r="E96" s="305"/>
      <c r="F96" s="117" t="s">
        <v>1646</v>
      </c>
      <c r="G96" s="116">
        <v>20</v>
      </c>
      <c r="H96" s="159"/>
      <c r="I96" s="108">
        <f>G96*AO96</f>
        <v>0</v>
      </c>
      <c r="J96" s="108">
        <f>G96*AP96</f>
        <v>0</v>
      </c>
      <c r="K96" s="108">
        <f>G96*H96</f>
        <v>0</v>
      </c>
      <c r="L96" s="111" t="s">
        <v>1671</v>
      </c>
      <c r="Z96" s="100">
        <f>IF(AQ96="5",BJ96,0)</f>
        <v>0</v>
      </c>
      <c r="AB96" s="100">
        <f>IF(AQ96="1",BH96,0)</f>
        <v>0</v>
      </c>
      <c r="AC96" s="100">
        <f>IF(AQ96="1",BI96,0)</f>
        <v>0</v>
      </c>
      <c r="AD96" s="100">
        <f>IF(AQ96="7",BH96,0)</f>
        <v>0</v>
      </c>
      <c r="AE96" s="100">
        <f>IF(AQ96="7",BI96,0)</f>
        <v>0</v>
      </c>
      <c r="AF96" s="100">
        <f>IF(AQ96="2",BH96,0)</f>
        <v>0</v>
      </c>
      <c r="AG96" s="100">
        <f>IF(AQ96="2",BI96,0)</f>
        <v>0</v>
      </c>
      <c r="AH96" s="100">
        <f>IF(AQ96="0",BJ96,0)</f>
        <v>0</v>
      </c>
      <c r="AI96" s="109"/>
      <c r="AJ96" s="108">
        <f>IF(AN96=0,K96,0)</f>
        <v>0</v>
      </c>
      <c r="AK96" s="108">
        <f>IF(AN96=15,K96,0)</f>
        <v>0</v>
      </c>
      <c r="AL96" s="108">
        <f>IF(AN96=21,K96,0)</f>
        <v>0</v>
      </c>
      <c r="AN96" s="100">
        <v>15</v>
      </c>
      <c r="AO96" s="100">
        <f>H96*0.343381518923828</f>
        <v>0</v>
      </c>
      <c r="AP96" s="100">
        <f>H96*(1-0.343381518923828)</f>
        <v>0</v>
      </c>
      <c r="AQ96" s="111" t="s">
        <v>7</v>
      </c>
      <c r="AV96" s="100">
        <f>AW96+AX96</f>
        <v>0</v>
      </c>
      <c r="AW96" s="100">
        <f>G96*AO96</f>
        <v>0</v>
      </c>
      <c r="AX96" s="100">
        <f>G96*AP96</f>
        <v>0</v>
      </c>
      <c r="AY96" s="110" t="s">
        <v>1695</v>
      </c>
      <c r="AZ96" s="110" t="s">
        <v>1729</v>
      </c>
      <c r="BA96" s="109" t="s">
        <v>1737</v>
      </c>
      <c r="BC96" s="100">
        <f>AW96+AX96</f>
        <v>0</v>
      </c>
      <c r="BD96" s="100">
        <f>H96/(100-BE96)*100</f>
        <v>0</v>
      </c>
      <c r="BE96" s="100">
        <v>0</v>
      </c>
      <c r="BF96" s="100">
        <f>96</f>
        <v>96</v>
      </c>
      <c r="BH96" s="108">
        <f>G96*AO96</f>
        <v>0</v>
      </c>
      <c r="BI96" s="108">
        <f>G96*AP96</f>
        <v>0</v>
      </c>
      <c r="BJ96" s="108">
        <f>G96*H96</f>
        <v>0</v>
      </c>
    </row>
    <row r="97" spans="1:62" x14ac:dyDescent="0.2">
      <c r="A97" s="119"/>
      <c r="B97" s="120" t="s">
        <v>95</v>
      </c>
      <c r="C97" s="306" t="s">
        <v>1133</v>
      </c>
      <c r="D97" s="307"/>
      <c r="E97" s="307"/>
      <c r="F97" s="119" t="s">
        <v>6</v>
      </c>
      <c r="G97" s="119" t="s">
        <v>6</v>
      </c>
      <c r="H97" s="119" t="s">
        <v>6</v>
      </c>
      <c r="I97" s="118">
        <f>SUM(I98:I99)</f>
        <v>0</v>
      </c>
      <c r="J97" s="118">
        <f>SUM(J98:J99)</f>
        <v>0</v>
      </c>
      <c r="K97" s="118">
        <f>SUM(K98:K99)</f>
        <v>0</v>
      </c>
      <c r="L97" s="109"/>
      <c r="AI97" s="109"/>
      <c r="AS97" s="118">
        <f>SUM(AJ98:AJ99)</f>
        <v>0</v>
      </c>
      <c r="AT97" s="118">
        <f>SUM(AK98:AK99)</f>
        <v>0</v>
      </c>
      <c r="AU97" s="118">
        <f>SUM(AL98:AL99)</f>
        <v>0</v>
      </c>
    </row>
    <row r="98" spans="1:62" x14ac:dyDescent="0.2">
      <c r="A98" s="117" t="s">
        <v>72</v>
      </c>
      <c r="B98" s="117" t="s">
        <v>630</v>
      </c>
      <c r="C98" s="304" t="s">
        <v>2851</v>
      </c>
      <c r="D98" s="305"/>
      <c r="E98" s="305"/>
      <c r="F98" s="117" t="s">
        <v>1644</v>
      </c>
      <c r="G98" s="116">
        <v>6</v>
      </c>
      <c r="H98" s="159"/>
      <c r="I98" s="108">
        <f>G98*AO98</f>
        <v>0</v>
      </c>
      <c r="J98" s="108">
        <f>G98*AP98</f>
        <v>0</v>
      </c>
      <c r="K98" s="108">
        <f>G98*H98</f>
        <v>0</v>
      </c>
      <c r="L98" s="111" t="s">
        <v>1671</v>
      </c>
      <c r="Z98" s="100">
        <f>IF(AQ98="5",BJ98,0)</f>
        <v>0</v>
      </c>
      <c r="AB98" s="100">
        <f>IF(AQ98="1",BH98,0)</f>
        <v>0</v>
      </c>
      <c r="AC98" s="100">
        <f>IF(AQ98="1",BI98,0)</f>
        <v>0</v>
      </c>
      <c r="AD98" s="100">
        <f>IF(AQ98="7",BH98,0)</f>
        <v>0</v>
      </c>
      <c r="AE98" s="100">
        <f>IF(AQ98="7",BI98,0)</f>
        <v>0</v>
      </c>
      <c r="AF98" s="100">
        <f>IF(AQ98="2",BH98,0)</f>
        <v>0</v>
      </c>
      <c r="AG98" s="100">
        <f>IF(AQ98="2",BI98,0)</f>
        <v>0</v>
      </c>
      <c r="AH98" s="100">
        <f>IF(AQ98="0",BJ98,0)</f>
        <v>0</v>
      </c>
      <c r="AI98" s="109"/>
      <c r="AJ98" s="108">
        <f>IF(AN98=0,K98,0)</f>
        <v>0</v>
      </c>
      <c r="AK98" s="108">
        <f>IF(AN98=15,K98,0)</f>
        <v>0</v>
      </c>
      <c r="AL98" s="108">
        <f>IF(AN98=21,K98,0)</f>
        <v>0</v>
      </c>
      <c r="AN98" s="100">
        <v>15</v>
      </c>
      <c r="AO98" s="100">
        <f>H98*0.904839835449796</f>
        <v>0</v>
      </c>
      <c r="AP98" s="100">
        <f>H98*(1-0.904839835449796)</f>
        <v>0</v>
      </c>
      <c r="AQ98" s="111" t="s">
        <v>7</v>
      </c>
      <c r="AV98" s="100">
        <f>AW98+AX98</f>
        <v>0</v>
      </c>
      <c r="AW98" s="100">
        <f>G98*AO98</f>
        <v>0</v>
      </c>
      <c r="AX98" s="100">
        <f>G98*AP98</f>
        <v>0</v>
      </c>
      <c r="AY98" s="110" t="s">
        <v>1696</v>
      </c>
      <c r="AZ98" s="110" t="s">
        <v>1729</v>
      </c>
      <c r="BA98" s="109" t="s">
        <v>1737</v>
      </c>
      <c r="BC98" s="100">
        <f>AW98+AX98</f>
        <v>0</v>
      </c>
      <c r="BD98" s="100">
        <f>H98/(100-BE98)*100</f>
        <v>0</v>
      </c>
      <c r="BE98" s="100">
        <v>0</v>
      </c>
      <c r="BF98" s="100">
        <f>98</f>
        <v>98</v>
      </c>
      <c r="BH98" s="108">
        <f>G98*AO98</f>
        <v>0</v>
      </c>
      <c r="BI98" s="108">
        <f>G98*AP98</f>
        <v>0</v>
      </c>
      <c r="BJ98" s="108">
        <f>G98*H98</f>
        <v>0</v>
      </c>
    </row>
    <row r="99" spans="1:62" x14ac:dyDescent="0.2">
      <c r="A99" s="117" t="s">
        <v>73</v>
      </c>
      <c r="B99" s="117" t="s">
        <v>631</v>
      </c>
      <c r="C99" s="304" t="s">
        <v>1135</v>
      </c>
      <c r="D99" s="305"/>
      <c r="E99" s="305"/>
      <c r="F99" s="117" t="s">
        <v>1644</v>
      </c>
      <c r="G99" s="116">
        <v>2</v>
      </c>
      <c r="H99" s="159"/>
      <c r="I99" s="108">
        <f>G99*AO99</f>
        <v>0</v>
      </c>
      <c r="J99" s="108">
        <f>G99*AP99</f>
        <v>0</v>
      </c>
      <c r="K99" s="108">
        <f>G99*H99</f>
        <v>0</v>
      </c>
      <c r="L99" s="111" t="s">
        <v>1671</v>
      </c>
      <c r="Z99" s="100">
        <f>IF(AQ99="5",BJ99,0)</f>
        <v>0</v>
      </c>
      <c r="AB99" s="100">
        <f>IF(AQ99="1",BH99,0)</f>
        <v>0</v>
      </c>
      <c r="AC99" s="100">
        <f>IF(AQ99="1",BI99,0)</f>
        <v>0</v>
      </c>
      <c r="AD99" s="100">
        <f>IF(AQ99="7",BH99,0)</f>
        <v>0</v>
      </c>
      <c r="AE99" s="100">
        <f>IF(AQ99="7",BI99,0)</f>
        <v>0</v>
      </c>
      <c r="AF99" s="100">
        <f>IF(AQ99="2",BH99,0)</f>
        <v>0</v>
      </c>
      <c r="AG99" s="100">
        <f>IF(AQ99="2",BI99,0)</f>
        <v>0</v>
      </c>
      <c r="AH99" s="100">
        <f>IF(AQ99="0",BJ99,0)</f>
        <v>0</v>
      </c>
      <c r="AI99" s="109"/>
      <c r="AJ99" s="108">
        <f>IF(AN99=0,K99,0)</f>
        <v>0</v>
      </c>
      <c r="AK99" s="108">
        <f>IF(AN99=15,K99,0)</f>
        <v>0</v>
      </c>
      <c r="AL99" s="108">
        <f>IF(AN99=21,K99,0)</f>
        <v>0</v>
      </c>
      <c r="AN99" s="100">
        <v>15</v>
      </c>
      <c r="AO99" s="100">
        <f>H99*0.964949325254751</f>
        <v>0</v>
      </c>
      <c r="AP99" s="100">
        <f>H99*(1-0.964949325254751)</f>
        <v>0</v>
      </c>
      <c r="AQ99" s="111" t="s">
        <v>7</v>
      </c>
      <c r="AV99" s="100">
        <f>AW99+AX99</f>
        <v>0</v>
      </c>
      <c r="AW99" s="100">
        <f>G99*AO99</f>
        <v>0</v>
      </c>
      <c r="AX99" s="100">
        <f>G99*AP99</f>
        <v>0</v>
      </c>
      <c r="AY99" s="110" t="s">
        <v>1696</v>
      </c>
      <c r="AZ99" s="110" t="s">
        <v>1729</v>
      </c>
      <c r="BA99" s="109" t="s">
        <v>1737</v>
      </c>
      <c r="BC99" s="100">
        <f>AW99+AX99</f>
        <v>0</v>
      </c>
      <c r="BD99" s="100">
        <f>H99/(100-BE99)*100</f>
        <v>0</v>
      </c>
      <c r="BE99" s="100">
        <v>0</v>
      </c>
      <c r="BF99" s="100">
        <f>99</f>
        <v>99</v>
      </c>
      <c r="BH99" s="108">
        <f>G99*AO99</f>
        <v>0</v>
      </c>
      <c r="BI99" s="108">
        <f>G99*AP99</f>
        <v>0</v>
      </c>
      <c r="BJ99" s="108">
        <f>G99*H99</f>
        <v>0</v>
      </c>
    </row>
    <row r="100" spans="1:62" x14ac:dyDescent="0.2">
      <c r="A100" s="119"/>
      <c r="B100" s="120" t="s">
        <v>97</v>
      </c>
      <c r="C100" s="306" t="s">
        <v>1136</v>
      </c>
      <c r="D100" s="307"/>
      <c r="E100" s="307"/>
      <c r="F100" s="119" t="s">
        <v>6</v>
      </c>
      <c r="G100" s="119" t="s">
        <v>6</v>
      </c>
      <c r="H100" s="119" t="s">
        <v>6</v>
      </c>
      <c r="I100" s="118">
        <f>SUM(I101:I102)</f>
        <v>0</v>
      </c>
      <c r="J100" s="118">
        <f>SUM(J101:J102)</f>
        <v>0</v>
      </c>
      <c r="K100" s="118">
        <f>SUM(K101:K102)</f>
        <v>0</v>
      </c>
      <c r="L100" s="109"/>
      <c r="AI100" s="109"/>
      <c r="AS100" s="118">
        <f>SUM(AJ101:AJ102)</f>
        <v>0</v>
      </c>
      <c r="AT100" s="118">
        <f>SUM(AK101:AK102)</f>
        <v>0</v>
      </c>
      <c r="AU100" s="118">
        <f>SUM(AL101:AL102)</f>
        <v>0</v>
      </c>
    </row>
    <row r="101" spans="1:62" x14ac:dyDescent="0.2">
      <c r="A101" s="117" t="s">
        <v>74</v>
      </c>
      <c r="B101" s="117" t="s">
        <v>632</v>
      </c>
      <c r="C101" s="304" t="s">
        <v>1137</v>
      </c>
      <c r="D101" s="305"/>
      <c r="E101" s="305"/>
      <c r="F101" s="117" t="s">
        <v>1646</v>
      </c>
      <c r="G101" s="116">
        <v>28.71</v>
      </c>
      <c r="H101" s="159"/>
      <c r="I101" s="108">
        <f>G101*AO101</f>
        <v>0</v>
      </c>
      <c r="J101" s="108">
        <f>G101*AP101</f>
        <v>0</v>
      </c>
      <c r="K101" s="108">
        <f>G101*H101</f>
        <v>0</v>
      </c>
      <c r="L101" s="111" t="s">
        <v>1671</v>
      </c>
      <c r="Z101" s="100">
        <f>IF(AQ101="5",BJ101,0)</f>
        <v>0</v>
      </c>
      <c r="AB101" s="100">
        <f>IF(AQ101="1",BH101,0)</f>
        <v>0</v>
      </c>
      <c r="AC101" s="100">
        <f>IF(AQ101="1",BI101,0)</f>
        <v>0</v>
      </c>
      <c r="AD101" s="100">
        <f>IF(AQ101="7",BH101,0)</f>
        <v>0</v>
      </c>
      <c r="AE101" s="100">
        <f>IF(AQ101="7",BI101,0)</f>
        <v>0</v>
      </c>
      <c r="AF101" s="100">
        <f>IF(AQ101="2",BH101,0)</f>
        <v>0</v>
      </c>
      <c r="AG101" s="100">
        <f>IF(AQ101="2",BI101,0)</f>
        <v>0</v>
      </c>
      <c r="AH101" s="100">
        <f>IF(AQ101="0",BJ101,0)</f>
        <v>0</v>
      </c>
      <c r="AI101" s="109"/>
      <c r="AJ101" s="108">
        <f>IF(AN101=0,K101,0)</f>
        <v>0</v>
      </c>
      <c r="AK101" s="108">
        <f>IF(AN101=15,K101,0)</f>
        <v>0</v>
      </c>
      <c r="AL101" s="108">
        <f>IF(AN101=21,K101,0)</f>
        <v>0</v>
      </c>
      <c r="AN101" s="100">
        <v>15</v>
      </c>
      <c r="AO101" s="100">
        <f>H101*0.719999467550927</f>
        <v>0</v>
      </c>
      <c r="AP101" s="100">
        <f>H101*(1-0.719999467550927)</f>
        <v>0</v>
      </c>
      <c r="AQ101" s="111" t="s">
        <v>7</v>
      </c>
      <c r="AV101" s="100">
        <f>AW101+AX101</f>
        <v>0</v>
      </c>
      <c r="AW101" s="100">
        <f>G101*AO101</f>
        <v>0</v>
      </c>
      <c r="AX101" s="100">
        <f>G101*AP101</f>
        <v>0</v>
      </c>
      <c r="AY101" s="110" t="s">
        <v>1697</v>
      </c>
      <c r="AZ101" s="110" t="s">
        <v>1730</v>
      </c>
      <c r="BA101" s="109" t="s">
        <v>1737</v>
      </c>
      <c r="BC101" s="100">
        <f>AW101+AX101</f>
        <v>0</v>
      </c>
      <c r="BD101" s="100">
        <f>H101/(100-BE101)*100</f>
        <v>0</v>
      </c>
      <c r="BE101" s="100">
        <v>0</v>
      </c>
      <c r="BF101" s="100">
        <f>101</f>
        <v>101</v>
      </c>
      <c r="BH101" s="108">
        <f>G101*AO101</f>
        <v>0</v>
      </c>
      <c r="BI101" s="108">
        <f>G101*AP101</f>
        <v>0</v>
      </c>
      <c r="BJ101" s="108">
        <f>G101*H101</f>
        <v>0</v>
      </c>
    </row>
    <row r="102" spans="1:62" x14ac:dyDescent="0.2">
      <c r="A102" s="117" t="s">
        <v>75</v>
      </c>
      <c r="B102" s="117" t="s">
        <v>633</v>
      </c>
      <c r="C102" s="304" t="s">
        <v>1138</v>
      </c>
      <c r="D102" s="305"/>
      <c r="E102" s="305"/>
      <c r="F102" s="117" t="s">
        <v>1647</v>
      </c>
      <c r="G102" s="116">
        <v>1.292</v>
      </c>
      <c r="H102" s="159"/>
      <c r="I102" s="108">
        <f>G102*AO102</f>
        <v>0</v>
      </c>
      <c r="J102" s="108">
        <f>G102*AP102</f>
        <v>0</v>
      </c>
      <c r="K102" s="108">
        <f>G102*H102</f>
        <v>0</v>
      </c>
      <c r="L102" s="111" t="s">
        <v>1671</v>
      </c>
      <c r="Z102" s="100">
        <f>IF(AQ102="5",BJ102,0)</f>
        <v>0</v>
      </c>
      <c r="AB102" s="100">
        <f>IF(AQ102="1",BH102,0)</f>
        <v>0</v>
      </c>
      <c r="AC102" s="100">
        <f>IF(AQ102="1",BI102,0)</f>
        <v>0</v>
      </c>
      <c r="AD102" s="100">
        <f>IF(AQ102="7",BH102,0)</f>
        <v>0</v>
      </c>
      <c r="AE102" s="100">
        <f>IF(AQ102="7",BI102,0)</f>
        <v>0</v>
      </c>
      <c r="AF102" s="100">
        <f>IF(AQ102="2",BH102,0)</f>
        <v>0</v>
      </c>
      <c r="AG102" s="100">
        <f>IF(AQ102="2",BI102,0)</f>
        <v>0</v>
      </c>
      <c r="AH102" s="100">
        <f>IF(AQ102="0",BJ102,0)</f>
        <v>0</v>
      </c>
      <c r="AI102" s="109"/>
      <c r="AJ102" s="108">
        <f>IF(AN102=0,K102,0)</f>
        <v>0</v>
      </c>
      <c r="AK102" s="108">
        <f>IF(AN102=15,K102,0)</f>
        <v>0</v>
      </c>
      <c r="AL102" s="108">
        <f>IF(AN102=21,K102,0)</f>
        <v>0</v>
      </c>
      <c r="AN102" s="100">
        <v>15</v>
      </c>
      <c r="AO102" s="100">
        <f>H102*0.780343362831858</f>
        <v>0</v>
      </c>
      <c r="AP102" s="100">
        <f>H102*(1-0.780343362831858)</f>
        <v>0</v>
      </c>
      <c r="AQ102" s="111" t="s">
        <v>7</v>
      </c>
      <c r="AV102" s="100">
        <f>AW102+AX102</f>
        <v>0</v>
      </c>
      <c r="AW102" s="100">
        <f>G102*AO102</f>
        <v>0</v>
      </c>
      <c r="AX102" s="100">
        <f>G102*AP102</f>
        <v>0</v>
      </c>
      <c r="AY102" s="110" t="s">
        <v>1697</v>
      </c>
      <c r="AZ102" s="110" t="s">
        <v>1730</v>
      </c>
      <c r="BA102" s="109" t="s">
        <v>1737</v>
      </c>
      <c r="BC102" s="100">
        <f>AW102+AX102</f>
        <v>0</v>
      </c>
      <c r="BD102" s="100">
        <f>H102/(100-BE102)*100</f>
        <v>0</v>
      </c>
      <c r="BE102" s="100">
        <v>0</v>
      </c>
      <c r="BF102" s="100">
        <f>102</f>
        <v>102</v>
      </c>
      <c r="BH102" s="108">
        <f>G102*AO102</f>
        <v>0</v>
      </c>
      <c r="BI102" s="108">
        <f>G102*AP102</f>
        <v>0</v>
      </c>
      <c r="BJ102" s="108">
        <f>G102*H102</f>
        <v>0</v>
      </c>
    </row>
    <row r="103" spans="1:62" x14ac:dyDescent="0.2">
      <c r="A103" s="119"/>
      <c r="B103" s="120" t="s">
        <v>100</v>
      </c>
      <c r="C103" s="306" t="s">
        <v>1139</v>
      </c>
      <c r="D103" s="307"/>
      <c r="E103" s="307"/>
      <c r="F103" s="119" t="s">
        <v>6</v>
      </c>
      <c r="G103" s="119" t="s">
        <v>6</v>
      </c>
      <c r="H103" s="119" t="s">
        <v>6</v>
      </c>
      <c r="I103" s="118">
        <f>SUM(I104:I110)</f>
        <v>0</v>
      </c>
      <c r="J103" s="118">
        <f>SUM(J104:J110)</f>
        <v>0</v>
      </c>
      <c r="K103" s="118">
        <f>SUM(K104:K110)</f>
        <v>0</v>
      </c>
      <c r="L103" s="109"/>
      <c r="AI103" s="109"/>
      <c r="AS103" s="118">
        <f>SUM(AJ104:AJ110)</f>
        <v>0</v>
      </c>
      <c r="AT103" s="118">
        <f>SUM(AK104:AK110)</f>
        <v>0</v>
      </c>
      <c r="AU103" s="118">
        <f>SUM(AL104:AL110)</f>
        <v>0</v>
      </c>
    </row>
    <row r="104" spans="1:62" x14ac:dyDescent="0.2">
      <c r="A104" s="117" t="s">
        <v>76</v>
      </c>
      <c r="B104" s="117" t="s">
        <v>634</v>
      </c>
      <c r="C104" s="304" t="s">
        <v>1140</v>
      </c>
      <c r="D104" s="305"/>
      <c r="E104" s="305"/>
      <c r="F104" s="117" t="s">
        <v>1645</v>
      </c>
      <c r="G104" s="116">
        <v>765.49599999999998</v>
      </c>
      <c r="H104" s="159"/>
      <c r="I104" s="108">
        <f t="shared" ref="I104:I110" si="88">G104*AO104</f>
        <v>0</v>
      </c>
      <c r="J104" s="108">
        <f t="shared" ref="J104:J110" si="89">G104*AP104</f>
        <v>0</v>
      </c>
      <c r="K104" s="108">
        <f t="shared" ref="K104:K110" si="90">G104*H104</f>
        <v>0</v>
      </c>
      <c r="L104" s="111" t="s">
        <v>1671</v>
      </c>
      <c r="Z104" s="100">
        <f t="shared" ref="Z104:Z110" si="91">IF(AQ104="5",BJ104,0)</f>
        <v>0</v>
      </c>
      <c r="AB104" s="100">
        <f t="shared" ref="AB104:AB110" si="92">IF(AQ104="1",BH104,0)</f>
        <v>0</v>
      </c>
      <c r="AC104" s="100">
        <f t="shared" ref="AC104:AC110" si="93">IF(AQ104="1",BI104,0)</f>
        <v>0</v>
      </c>
      <c r="AD104" s="100">
        <f t="shared" ref="AD104:AD110" si="94">IF(AQ104="7",BH104,0)</f>
        <v>0</v>
      </c>
      <c r="AE104" s="100">
        <f t="shared" ref="AE104:AE110" si="95">IF(AQ104="7",BI104,0)</f>
        <v>0</v>
      </c>
      <c r="AF104" s="100">
        <f t="shared" ref="AF104:AF110" si="96">IF(AQ104="2",BH104,0)</f>
        <v>0</v>
      </c>
      <c r="AG104" s="100">
        <f t="shared" ref="AG104:AG110" si="97">IF(AQ104="2",BI104,0)</f>
        <v>0</v>
      </c>
      <c r="AH104" s="100">
        <f t="shared" ref="AH104:AH110" si="98">IF(AQ104="0",BJ104,0)</f>
        <v>0</v>
      </c>
      <c r="AI104" s="109"/>
      <c r="AJ104" s="108">
        <f t="shared" ref="AJ104:AJ110" si="99">IF(AN104=0,K104,0)</f>
        <v>0</v>
      </c>
      <c r="AK104" s="108">
        <f t="shared" ref="AK104:AK110" si="100">IF(AN104=15,K104,0)</f>
        <v>0</v>
      </c>
      <c r="AL104" s="108">
        <f t="shared" ref="AL104:AL110" si="101">IF(AN104=21,K104,0)</f>
        <v>0</v>
      </c>
      <c r="AN104" s="100">
        <v>15</v>
      </c>
      <c r="AO104" s="100">
        <f>H104*0.000315955745327194</f>
        <v>0</v>
      </c>
      <c r="AP104" s="100">
        <f>H104*(1-0.000315955745327194)</f>
        <v>0</v>
      </c>
      <c r="AQ104" s="111" t="s">
        <v>7</v>
      </c>
      <c r="AV104" s="100">
        <f t="shared" ref="AV104:AV110" si="102">AW104+AX104</f>
        <v>0</v>
      </c>
      <c r="AW104" s="100">
        <f t="shared" ref="AW104:AW110" si="103">G104*AO104</f>
        <v>0</v>
      </c>
      <c r="AX104" s="100">
        <f t="shared" ref="AX104:AX110" si="104">G104*AP104</f>
        <v>0</v>
      </c>
      <c r="AY104" s="110" t="s">
        <v>1698</v>
      </c>
      <c r="AZ104" s="110" t="s">
        <v>1730</v>
      </c>
      <c r="BA104" s="109" t="s">
        <v>1737</v>
      </c>
      <c r="BC104" s="100">
        <f t="shared" ref="BC104:BC110" si="105">AW104+AX104</f>
        <v>0</v>
      </c>
      <c r="BD104" s="100">
        <f t="shared" ref="BD104:BD110" si="106">H104/(100-BE104)*100</f>
        <v>0</v>
      </c>
      <c r="BE104" s="100">
        <v>0</v>
      </c>
      <c r="BF104" s="100">
        <f>104</f>
        <v>104</v>
      </c>
      <c r="BH104" s="108">
        <f t="shared" ref="BH104:BH110" si="107">G104*AO104</f>
        <v>0</v>
      </c>
      <c r="BI104" s="108">
        <f t="shared" ref="BI104:BI110" si="108">G104*AP104</f>
        <v>0</v>
      </c>
      <c r="BJ104" s="108">
        <f t="shared" ref="BJ104:BJ110" si="109">G104*H104</f>
        <v>0</v>
      </c>
    </row>
    <row r="105" spans="1:62" x14ac:dyDescent="0.2">
      <c r="A105" s="117" t="s">
        <v>77</v>
      </c>
      <c r="B105" s="117" t="s">
        <v>635</v>
      </c>
      <c r="C105" s="304" t="s">
        <v>1141</v>
      </c>
      <c r="D105" s="305"/>
      <c r="E105" s="305"/>
      <c r="F105" s="117" t="s">
        <v>1645</v>
      </c>
      <c r="G105" s="116">
        <v>1530.992</v>
      </c>
      <c r="H105" s="159"/>
      <c r="I105" s="108">
        <f t="shared" si="88"/>
        <v>0</v>
      </c>
      <c r="J105" s="108">
        <f t="shared" si="89"/>
        <v>0</v>
      </c>
      <c r="K105" s="108">
        <f t="shared" si="90"/>
        <v>0</v>
      </c>
      <c r="L105" s="111" t="s">
        <v>1671</v>
      </c>
      <c r="Z105" s="100">
        <f t="shared" si="91"/>
        <v>0</v>
      </c>
      <c r="AB105" s="100">
        <f t="shared" si="92"/>
        <v>0</v>
      </c>
      <c r="AC105" s="100">
        <f t="shared" si="93"/>
        <v>0</v>
      </c>
      <c r="AD105" s="100">
        <f t="shared" si="94"/>
        <v>0</v>
      </c>
      <c r="AE105" s="100">
        <f t="shared" si="95"/>
        <v>0</v>
      </c>
      <c r="AF105" s="100">
        <f t="shared" si="96"/>
        <v>0</v>
      </c>
      <c r="AG105" s="100">
        <f t="shared" si="97"/>
        <v>0</v>
      </c>
      <c r="AH105" s="100">
        <f t="shared" si="98"/>
        <v>0</v>
      </c>
      <c r="AI105" s="109"/>
      <c r="AJ105" s="108">
        <f t="shared" si="99"/>
        <v>0</v>
      </c>
      <c r="AK105" s="108">
        <f t="shared" si="100"/>
        <v>0</v>
      </c>
      <c r="AL105" s="108">
        <f t="shared" si="101"/>
        <v>0</v>
      </c>
      <c r="AN105" s="100">
        <v>15</v>
      </c>
      <c r="AO105" s="100">
        <f>H105*0.909487457378259</f>
        <v>0</v>
      </c>
      <c r="AP105" s="100">
        <f>H105*(1-0.909487457378259)</f>
        <v>0</v>
      </c>
      <c r="AQ105" s="111" t="s">
        <v>7</v>
      </c>
      <c r="AV105" s="100">
        <f t="shared" si="102"/>
        <v>0</v>
      </c>
      <c r="AW105" s="100">
        <f t="shared" si="103"/>
        <v>0</v>
      </c>
      <c r="AX105" s="100">
        <f t="shared" si="104"/>
        <v>0</v>
      </c>
      <c r="AY105" s="110" t="s">
        <v>1698</v>
      </c>
      <c r="AZ105" s="110" t="s">
        <v>1730</v>
      </c>
      <c r="BA105" s="109" t="s">
        <v>1737</v>
      </c>
      <c r="BC105" s="100">
        <f t="shared" si="105"/>
        <v>0</v>
      </c>
      <c r="BD105" s="100">
        <f t="shared" si="106"/>
        <v>0</v>
      </c>
      <c r="BE105" s="100">
        <v>0</v>
      </c>
      <c r="BF105" s="100">
        <f>105</f>
        <v>105</v>
      </c>
      <c r="BH105" s="108">
        <f t="shared" si="107"/>
        <v>0</v>
      </c>
      <c r="BI105" s="108">
        <f t="shared" si="108"/>
        <v>0</v>
      </c>
      <c r="BJ105" s="108">
        <f t="shared" si="109"/>
        <v>0</v>
      </c>
    </row>
    <row r="106" spans="1:62" x14ac:dyDescent="0.2">
      <c r="A106" s="117" t="s">
        <v>78</v>
      </c>
      <c r="B106" s="117" t="s">
        <v>636</v>
      </c>
      <c r="C106" s="304" t="s">
        <v>1142</v>
      </c>
      <c r="D106" s="305"/>
      <c r="E106" s="305"/>
      <c r="F106" s="117" t="s">
        <v>1645</v>
      </c>
      <c r="G106" s="116">
        <v>765.49599999999998</v>
      </c>
      <c r="H106" s="159"/>
      <c r="I106" s="108">
        <f t="shared" si="88"/>
        <v>0</v>
      </c>
      <c r="J106" s="108">
        <f t="shared" si="89"/>
        <v>0</v>
      </c>
      <c r="K106" s="108">
        <f t="shared" si="90"/>
        <v>0</v>
      </c>
      <c r="L106" s="111" t="s">
        <v>1671</v>
      </c>
      <c r="Z106" s="100">
        <f t="shared" si="91"/>
        <v>0</v>
      </c>
      <c r="AB106" s="100">
        <f t="shared" si="92"/>
        <v>0</v>
      </c>
      <c r="AC106" s="100">
        <f t="shared" si="93"/>
        <v>0</v>
      </c>
      <c r="AD106" s="100">
        <f t="shared" si="94"/>
        <v>0</v>
      </c>
      <c r="AE106" s="100">
        <f t="shared" si="95"/>
        <v>0</v>
      </c>
      <c r="AF106" s="100">
        <f t="shared" si="96"/>
        <v>0</v>
      </c>
      <c r="AG106" s="100">
        <f t="shared" si="97"/>
        <v>0</v>
      </c>
      <c r="AH106" s="100">
        <f t="shared" si="98"/>
        <v>0</v>
      </c>
      <c r="AI106" s="109"/>
      <c r="AJ106" s="108">
        <f t="shared" si="99"/>
        <v>0</v>
      </c>
      <c r="AK106" s="108">
        <f t="shared" si="100"/>
        <v>0</v>
      </c>
      <c r="AL106" s="108">
        <f t="shared" si="101"/>
        <v>0</v>
      </c>
      <c r="AN106" s="100">
        <v>15</v>
      </c>
      <c r="AO106" s="100">
        <f>H106*0</f>
        <v>0</v>
      </c>
      <c r="AP106" s="100">
        <f>H106*(1-0)</f>
        <v>0</v>
      </c>
      <c r="AQ106" s="111" t="s">
        <v>7</v>
      </c>
      <c r="AV106" s="100">
        <f t="shared" si="102"/>
        <v>0</v>
      </c>
      <c r="AW106" s="100">
        <f t="shared" si="103"/>
        <v>0</v>
      </c>
      <c r="AX106" s="100">
        <f t="shared" si="104"/>
        <v>0</v>
      </c>
      <c r="AY106" s="110" t="s">
        <v>1698</v>
      </c>
      <c r="AZ106" s="110" t="s">
        <v>1730</v>
      </c>
      <c r="BA106" s="109" t="s">
        <v>1737</v>
      </c>
      <c r="BC106" s="100">
        <f t="shared" si="105"/>
        <v>0</v>
      </c>
      <c r="BD106" s="100">
        <f t="shared" si="106"/>
        <v>0</v>
      </c>
      <c r="BE106" s="100">
        <v>0</v>
      </c>
      <c r="BF106" s="100">
        <f>106</f>
        <v>106</v>
      </c>
      <c r="BH106" s="108">
        <f t="shared" si="107"/>
        <v>0</v>
      </c>
      <c r="BI106" s="108">
        <f t="shared" si="108"/>
        <v>0</v>
      </c>
      <c r="BJ106" s="108">
        <f t="shared" si="109"/>
        <v>0</v>
      </c>
    </row>
    <row r="107" spans="1:62" x14ac:dyDescent="0.2">
      <c r="A107" s="117" t="s">
        <v>79</v>
      </c>
      <c r="B107" s="117" t="s">
        <v>637</v>
      </c>
      <c r="C107" s="304" t="s">
        <v>1143</v>
      </c>
      <c r="D107" s="305"/>
      <c r="E107" s="305"/>
      <c r="F107" s="117" t="s">
        <v>1645</v>
      </c>
      <c r="G107" s="116">
        <v>765.49599999999998</v>
      </c>
      <c r="H107" s="159"/>
      <c r="I107" s="108">
        <f t="shared" si="88"/>
        <v>0</v>
      </c>
      <c r="J107" s="108">
        <f t="shared" si="89"/>
        <v>0</v>
      </c>
      <c r="K107" s="108">
        <f t="shared" si="90"/>
        <v>0</v>
      </c>
      <c r="L107" s="111" t="s">
        <v>1671</v>
      </c>
      <c r="Z107" s="100">
        <f t="shared" si="91"/>
        <v>0</v>
      </c>
      <c r="AB107" s="100">
        <f t="shared" si="92"/>
        <v>0</v>
      </c>
      <c r="AC107" s="100">
        <f t="shared" si="93"/>
        <v>0</v>
      </c>
      <c r="AD107" s="100">
        <f t="shared" si="94"/>
        <v>0</v>
      </c>
      <c r="AE107" s="100">
        <f t="shared" si="95"/>
        <v>0</v>
      </c>
      <c r="AF107" s="100">
        <f t="shared" si="96"/>
        <v>0</v>
      </c>
      <c r="AG107" s="100">
        <f t="shared" si="97"/>
        <v>0</v>
      </c>
      <c r="AH107" s="100">
        <f t="shared" si="98"/>
        <v>0</v>
      </c>
      <c r="AI107" s="109"/>
      <c r="AJ107" s="108">
        <f t="shared" si="99"/>
        <v>0</v>
      </c>
      <c r="AK107" s="108">
        <f t="shared" si="100"/>
        <v>0</v>
      </c>
      <c r="AL107" s="108">
        <f t="shared" si="101"/>
        <v>0</v>
      </c>
      <c r="AN107" s="100">
        <v>15</v>
      </c>
      <c r="AO107" s="100">
        <f>H107*0</f>
        <v>0</v>
      </c>
      <c r="AP107" s="100">
        <f>H107*(1-0)</f>
        <v>0</v>
      </c>
      <c r="AQ107" s="111" t="s">
        <v>7</v>
      </c>
      <c r="AV107" s="100">
        <f t="shared" si="102"/>
        <v>0</v>
      </c>
      <c r="AW107" s="100">
        <f t="shared" si="103"/>
        <v>0</v>
      </c>
      <c r="AX107" s="100">
        <f t="shared" si="104"/>
        <v>0</v>
      </c>
      <c r="AY107" s="110" t="s">
        <v>1698</v>
      </c>
      <c r="AZ107" s="110" t="s">
        <v>1730</v>
      </c>
      <c r="BA107" s="109" t="s">
        <v>1737</v>
      </c>
      <c r="BC107" s="100">
        <f t="shared" si="105"/>
        <v>0</v>
      </c>
      <c r="BD107" s="100">
        <f t="shared" si="106"/>
        <v>0</v>
      </c>
      <c r="BE107" s="100">
        <v>0</v>
      </c>
      <c r="BF107" s="100">
        <f>107</f>
        <v>107</v>
      </c>
      <c r="BH107" s="108">
        <f t="shared" si="107"/>
        <v>0</v>
      </c>
      <c r="BI107" s="108">
        <f t="shared" si="108"/>
        <v>0</v>
      </c>
      <c r="BJ107" s="108">
        <f t="shared" si="109"/>
        <v>0</v>
      </c>
    </row>
    <row r="108" spans="1:62" x14ac:dyDescent="0.2">
      <c r="A108" s="117" t="s">
        <v>80</v>
      </c>
      <c r="B108" s="117" t="s">
        <v>638</v>
      </c>
      <c r="C108" s="304" t="s">
        <v>1144</v>
      </c>
      <c r="D108" s="305"/>
      <c r="E108" s="305"/>
      <c r="F108" s="117" t="s">
        <v>1645</v>
      </c>
      <c r="G108" s="116">
        <v>1530.992</v>
      </c>
      <c r="H108" s="159"/>
      <c r="I108" s="108">
        <f t="shared" si="88"/>
        <v>0</v>
      </c>
      <c r="J108" s="108">
        <f t="shared" si="89"/>
        <v>0</v>
      </c>
      <c r="K108" s="108">
        <f t="shared" si="90"/>
        <v>0</v>
      </c>
      <c r="L108" s="111" t="s">
        <v>1671</v>
      </c>
      <c r="Z108" s="100">
        <f t="shared" si="91"/>
        <v>0</v>
      </c>
      <c r="AB108" s="100">
        <f t="shared" si="92"/>
        <v>0</v>
      </c>
      <c r="AC108" s="100">
        <f t="shared" si="93"/>
        <v>0</v>
      </c>
      <c r="AD108" s="100">
        <f t="shared" si="94"/>
        <v>0</v>
      </c>
      <c r="AE108" s="100">
        <f t="shared" si="95"/>
        <v>0</v>
      </c>
      <c r="AF108" s="100">
        <f t="shared" si="96"/>
        <v>0</v>
      </c>
      <c r="AG108" s="100">
        <f t="shared" si="97"/>
        <v>0</v>
      </c>
      <c r="AH108" s="100">
        <f t="shared" si="98"/>
        <v>0</v>
      </c>
      <c r="AI108" s="109"/>
      <c r="AJ108" s="108">
        <f t="shared" si="99"/>
        <v>0</v>
      </c>
      <c r="AK108" s="108">
        <f t="shared" si="100"/>
        <v>0</v>
      </c>
      <c r="AL108" s="108">
        <f t="shared" si="101"/>
        <v>0</v>
      </c>
      <c r="AN108" s="100">
        <v>15</v>
      </c>
      <c r="AO108" s="100">
        <f>H108*0.999999864276117</f>
        <v>0</v>
      </c>
      <c r="AP108" s="100">
        <f>H108*(1-0.999999864276117)</f>
        <v>0</v>
      </c>
      <c r="AQ108" s="111" t="s">
        <v>7</v>
      </c>
      <c r="AV108" s="100">
        <f t="shared" si="102"/>
        <v>0</v>
      </c>
      <c r="AW108" s="100">
        <f t="shared" si="103"/>
        <v>0</v>
      </c>
      <c r="AX108" s="100">
        <f t="shared" si="104"/>
        <v>0</v>
      </c>
      <c r="AY108" s="110" t="s">
        <v>1698</v>
      </c>
      <c r="AZ108" s="110" t="s">
        <v>1730</v>
      </c>
      <c r="BA108" s="109" t="s">
        <v>1737</v>
      </c>
      <c r="BC108" s="100">
        <f t="shared" si="105"/>
        <v>0</v>
      </c>
      <c r="BD108" s="100">
        <f t="shared" si="106"/>
        <v>0</v>
      </c>
      <c r="BE108" s="100">
        <v>0</v>
      </c>
      <c r="BF108" s="100">
        <f>108</f>
        <v>108</v>
      </c>
      <c r="BH108" s="108">
        <f t="shared" si="107"/>
        <v>0</v>
      </c>
      <c r="BI108" s="108">
        <f t="shared" si="108"/>
        <v>0</v>
      </c>
      <c r="BJ108" s="108">
        <f t="shared" si="109"/>
        <v>0</v>
      </c>
    </row>
    <row r="109" spans="1:62" x14ac:dyDescent="0.2">
      <c r="A109" s="117" t="s">
        <v>81</v>
      </c>
      <c r="B109" s="117" t="s">
        <v>639</v>
      </c>
      <c r="C109" s="304" t="s">
        <v>1145</v>
      </c>
      <c r="D109" s="305"/>
      <c r="E109" s="305"/>
      <c r="F109" s="117" t="s">
        <v>1645</v>
      </c>
      <c r="G109" s="116">
        <v>765.49599999999998</v>
      </c>
      <c r="H109" s="159"/>
      <c r="I109" s="108">
        <f t="shared" si="88"/>
        <v>0</v>
      </c>
      <c r="J109" s="108">
        <f t="shared" si="89"/>
        <v>0</v>
      </c>
      <c r="K109" s="108">
        <f t="shared" si="90"/>
        <v>0</v>
      </c>
      <c r="L109" s="111" t="s">
        <v>1671</v>
      </c>
      <c r="Z109" s="100">
        <f t="shared" si="91"/>
        <v>0</v>
      </c>
      <c r="AB109" s="100">
        <f t="shared" si="92"/>
        <v>0</v>
      </c>
      <c r="AC109" s="100">
        <f t="shared" si="93"/>
        <v>0</v>
      </c>
      <c r="AD109" s="100">
        <f t="shared" si="94"/>
        <v>0</v>
      </c>
      <c r="AE109" s="100">
        <f t="shared" si="95"/>
        <v>0</v>
      </c>
      <c r="AF109" s="100">
        <f t="shared" si="96"/>
        <v>0</v>
      </c>
      <c r="AG109" s="100">
        <f t="shared" si="97"/>
        <v>0</v>
      </c>
      <c r="AH109" s="100">
        <f t="shared" si="98"/>
        <v>0</v>
      </c>
      <c r="AI109" s="109"/>
      <c r="AJ109" s="108">
        <f t="shared" si="99"/>
        <v>0</v>
      </c>
      <c r="AK109" s="108">
        <f t="shared" si="100"/>
        <v>0</v>
      </c>
      <c r="AL109" s="108">
        <f t="shared" si="101"/>
        <v>0</v>
      </c>
      <c r="AN109" s="100">
        <v>15</v>
      </c>
      <c r="AO109" s="100">
        <f>H109*0</f>
        <v>0</v>
      </c>
      <c r="AP109" s="100">
        <f>H109*(1-0)</f>
        <v>0</v>
      </c>
      <c r="AQ109" s="111" t="s">
        <v>7</v>
      </c>
      <c r="AV109" s="100">
        <f t="shared" si="102"/>
        <v>0</v>
      </c>
      <c r="AW109" s="100">
        <f t="shared" si="103"/>
        <v>0</v>
      </c>
      <c r="AX109" s="100">
        <f t="shared" si="104"/>
        <v>0</v>
      </c>
      <c r="AY109" s="110" t="s">
        <v>1698</v>
      </c>
      <c r="AZ109" s="110" t="s">
        <v>1730</v>
      </c>
      <c r="BA109" s="109" t="s">
        <v>1737</v>
      </c>
      <c r="BC109" s="100">
        <f t="shared" si="105"/>
        <v>0</v>
      </c>
      <c r="BD109" s="100">
        <f t="shared" si="106"/>
        <v>0</v>
      </c>
      <c r="BE109" s="100">
        <v>0</v>
      </c>
      <c r="BF109" s="100">
        <f>109</f>
        <v>109</v>
      </c>
      <c r="BH109" s="108">
        <f t="shared" si="107"/>
        <v>0</v>
      </c>
      <c r="BI109" s="108">
        <f t="shared" si="108"/>
        <v>0</v>
      </c>
      <c r="BJ109" s="108">
        <f t="shared" si="109"/>
        <v>0</v>
      </c>
    </row>
    <row r="110" spans="1:62" x14ac:dyDescent="0.2">
      <c r="A110" s="117" t="s">
        <v>82</v>
      </c>
      <c r="B110" s="117" t="s">
        <v>640</v>
      </c>
      <c r="C110" s="304" t="s">
        <v>1146</v>
      </c>
      <c r="D110" s="305"/>
      <c r="E110" s="305"/>
      <c r="F110" s="117" t="s">
        <v>1649</v>
      </c>
      <c r="G110" s="116">
        <v>20</v>
      </c>
      <c r="H110" s="159"/>
      <c r="I110" s="108">
        <f t="shared" si="88"/>
        <v>0</v>
      </c>
      <c r="J110" s="108">
        <f t="shared" si="89"/>
        <v>0</v>
      </c>
      <c r="K110" s="108">
        <f t="shared" si="90"/>
        <v>0</v>
      </c>
      <c r="L110" s="111" t="s">
        <v>1671</v>
      </c>
      <c r="Z110" s="100">
        <f t="shared" si="91"/>
        <v>0</v>
      </c>
      <c r="AB110" s="100">
        <f t="shared" si="92"/>
        <v>0</v>
      </c>
      <c r="AC110" s="100">
        <f t="shared" si="93"/>
        <v>0</v>
      </c>
      <c r="AD110" s="100">
        <f t="shared" si="94"/>
        <v>0</v>
      </c>
      <c r="AE110" s="100">
        <f t="shared" si="95"/>
        <v>0</v>
      </c>
      <c r="AF110" s="100">
        <f t="shared" si="96"/>
        <v>0</v>
      </c>
      <c r="AG110" s="100">
        <f t="shared" si="97"/>
        <v>0</v>
      </c>
      <c r="AH110" s="100">
        <f t="shared" si="98"/>
        <v>0</v>
      </c>
      <c r="AI110" s="109"/>
      <c r="AJ110" s="108">
        <f t="shared" si="99"/>
        <v>0</v>
      </c>
      <c r="AK110" s="108">
        <f t="shared" si="100"/>
        <v>0</v>
      </c>
      <c r="AL110" s="108">
        <f t="shared" si="101"/>
        <v>0</v>
      </c>
      <c r="AN110" s="100">
        <v>15</v>
      </c>
      <c r="AO110" s="100">
        <f>H110*0</f>
        <v>0</v>
      </c>
      <c r="AP110" s="100">
        <f>H110*(1-0)</f>
        <v>0</v>
      </c>
      <c r="AQ110" s="111" t="s">
        <v>7</v>
      </c>
      <c r="AV110" s="100">
        <f t="shared" si="102"/>
        <v>0</v>
      </c>
      <c r="AW110" s="100">
        <f t="shared" si="103"/>
        <v>0</v>
      </c>
      <c r="AX110" s="100">
        <f t="shared" si="104"/>
        <v>0</v>
      </c>
      <c r="AY110" s="110" t="s">
        <v>1698</v>
      </c>
      <c r="AZ110" s="110" t="s">
        <v>1730</v>
      </c>
      <c r="BA110" s="109" t="s">
        <v>1737</v>
      </c>
      <c r="BC110" s="100">
        <f t="shared" si="105"/>
        <v>0</v>
      </c>
      <c r="BD110" s="100">
        <f t="shared" si="106"/>
        <v>0</v>
      </c>
      <c r="BE110" s="100">
        <v>0</v>
      </c>
      <c r="BF110" s="100">
        <f>110</f>
        <v>110</v>
      </c>
      <c r="BH110" s="108">
        <f t="shared" si="107"/>
        <v>0</v>
      </c>
      <c r="BI110" s="108">
        <f t="shared" si="108"/>
        <v>0</v>
      </c>
      <c r="BJ110" s="108">
        <f t="shared" si="109"/>
        <v>0</v>
      </c>
    </row>
    <row r="111" spans="1:62" x14ac:dyDescent="0.2">
      <c r="A111" s="119"/>
      <c r="B111" s="120" t="s">
        <v>101</v>
      </c>
      <c r="C111" s="306" t="s">
        <v>1147</v>
      </c>
      <c r="D111" s="307"/>
      <c r="E111" s="307"/>
      <c r="F111" s="119" t="s">
        <v>6</v>
      </c>
      <c r="G111" s="119" t="s">
        <v>6</v>
      </c>
      <c r="H111" s="119" t="s">
        <v>6</v>
      </c>
      <c r="I111" s="118">
        <f>SUM(I112:I121)</f>
        <v>0</v>
      </c>
      <c r="J111" s="118">
        <f>SUM(J112:J121)</f>
        <v>0</v>
      </c>
      <c r="K111" s="118">
        <f>SUM(K112:K121)</f>
        <v>0</v>
      </c>
      <c r="L111" s="109"/>
      <c r="AI111" s="109"/>
      <c r="AS111" s="118">
        <f>SUM(AJ112:AJ121)</f>
        <v>0</v>
      </c>
      <c r="AT111" s="118">
        <f>SUM(AK112:AK121)</f>
        <v>0</v>
      </c>
      <c r="AU111" s="118">
        <f>SUM(AL112:AL121)</f>
        <v>0</v>
      </c>
    </row>
    <row r="112" spans="1:62" x14ac:dyDescent="0.2">
      <c r="A112" s="117" t="s">
        <v>83</v>
      </c>
      <c r="B112" s="117" t="s">
        <v>641</v>
      </c>
      <c r="C112" s="304" t="s">
        <v>1148</v>
      </c>
      <c r="D112" s="305"/>
      <c r="E112" s="305"/>
      <c r="F112" s="117" t="s">
        <v>1645</v>
      </c>
      <c r="G112" s="116">
        <v>68.34</v>
      </c>
      <c r="H112" s="159"/>
      <c r="I112" s="108">
        <f t="shared" ref="I112:I121" si="110">G112*AO112</f>
        <v>0</v>
      </c>
      <c r="J112" s="108">
        <f t="shared" ref="J112:J121" si="111">G112*AP112</f>
        <v>0</v>
      </c>
      <c r="K112" s="108">
        <f t="shared" ref="K112:K121" si="112">G112*H112</f>
        <v>0</v>
      </c>
      <c r="L112" s="111" t="s">
        <v>1671</v>
      </c>
      <c r="Z112" s="100">
        <f t="shared" ref="Z112:Z121" si="113">IF(AQ112="5",BJ112,0)</f>
        <v>0</v>
      </c>
      <c r="AB112" s="100">
        <f t="shared" ref="AB112:AB121" si="114">IF(AQ112="1",BH112,0)</f>
        <v>0</v>
      </c>
      <c r="AC112" s="100">
        <f t="shared" ref="AC112:AC121" si="115">IF(AQ112="1",BI112,0)</f>
        <v>0</v>
      </c>
      <c r="AD112" s="100">
        <f t="shared" ref="AD112:AD121" si="116">IF(AQ112="7",BH112,0)</f>
        <v>0</v>
      </c>
      <c r="AE112" s="100">
        <f t="shared" ref="AE112:AE121" si="117">IF(AQ112="7",BI112,0)</f>
        <v>0</v>
      </c>
      <c r="AF112" s="100">
        <f t="shared" ref="AF112:AF121" si="118">IF(AQ112="2",BH112,0)</f>
        <v>0</v>
      </c>
      <c r="AG112" s="100">
        <f t="shared" ref="AG112:AG121" si="119">IF(AQ112="2",BI112,0)</f>
        <v>0</v>
      </c>
      <c r="AH112" s="100">
        <f t="shared" ref="AH112:AH121" si="120">IF(AQ112="0",BJ112,0)</f>
        <v>0</v>
      </c>
      <c r="AI112" s="109"/>
      <c r="AJ112" s="108">
        <f t="shared" ref="AJ112:AJ121" si="121">IF(AN112=0,K112,0)</f>
        <v>0</v>
      </c>
      <c r="AK112" s="108">
        <f t="shared" ref="AK112:AK121" si="122">IF(AN112=15,K112,0)</f>
        <v>0</v>
      </c>
      <c r="AL112" s="108">
        <f t="shared" ref="AL112:AL121" si="123">IF(AN112=21,K112,0)</f>
        <v>0</v>
      </c>
      <c r="AN112" s="100">
        <v>15</v>
      </c>
      <c r="AO112" s="100">
        <f>H112*0.0189490383955727</f>
        <v>0</v>
      </c>
      <c r="AP112" s="100">
        <f>H112*(1-0.0189490383955727)</f>
        <v>0</v>
      </c>
      <c r="AQ112" s="111" t="s">
        <v>7</v>
      </c>
      <c r="AV112" s="100">
        <f t="shared" ref="AV112:AV121" si="124">AW112+AX112</f>
        <v>0</v>
      </c>
      <c r="AW112" s="100">
        <f t="shared" ref="AW112:AW121" si="125">G112*AO112</f>
        <v>0</v>
      </c>
      <c r="AX112" s="100">
        <f t="shared" ref="AX112:AX121" si="126">G112*AP112</f>
        <v>0</v>
      </c>
      <c r="AY112" s="110" t="s">
        <v>1699</v>
      </c>
      <c r="AZ112" s="110" t="s">
        <v>1730</v>
      </c>
      <c r="BA112" s="109" t="s">
        <v>1737</v>
      </c>
      <c r="BC112" s="100">
        <f t="shared" ref="BC112:BC121" si="127">AW112+AX112</f>
        <v>0</v>
      </c>
      <c r="BD112" s="100">
        <f t="shared" ref="BD112:BD121" si="128">H112/(100-BE112)*100</f>
        <v>0</v>
      </c>
      <c r="BE112" s="100">
        <v>0</v>
      </c>
      <c r="BF112" s="100">
        <f>112</f>
        <v>112</v>
      </c>
      <c r="BH112" s="108">
        <f t="shared" ref="BH112:BH121" si="129">G112*AO112</f>
        <v>0</v>
      </c>
      <c r="BI112" s="108">
        <f t="shared" ref="BI112:BI121" si="130">G112*AP112</f>
        <v>0</v>
      </c>
      <c r="BJ112" s="108">
        <f t="shared" ref="BJ112:BJ121" si="131">G112*H112</f>
        <v>0</v>
      </c>
    </row>
    <row r="113" spans="1:62" x14ac:dyDescent="0.2">
      <c r="A113" s="117" t="s">
        <v>84</v>
      </c>
      <c r="B113" s="117" t="s">
        <v>642</v>
      </c>
      <c r="C113" s="304" t="s">
        <v>1149</v>
      </c>
      <c r="D113" s="305"/>
      <c r="E113" s="305"/>
      <c r="F113" s="117" t="s">
        <v>1645</v>
      </c>
      <c r="G113" s="116">
        <v>18.702999999999999</v>
      </c>
      <c r="H113" s="159"/>
      <c r="I113" s="108">
        <f t="shared" si="110"/>
        <v>0</v>
      </c>
      <c r="J113" s="108">
        <f t="shared" si="111"/>
        <v>0</v>
      </c>
      <c r="K113" s="108">
        <f t="shared" si="112"/>
        <v>0</v>
      </c>
      <c r="L113" s="111" t="s">
        <v>1671</v>
      </c>
      <c r="Z113" s="100">
        <f t="shared" si="113"/>
        <v>0</v>
      </c>
      <c r="AB113" s="100">
        <f t="shared" si="114"/>
        <v>0</v>
      </c>
      <c r="AC113" s="100">
        <f t="shared" si="115"/>
        <v>0</v>
      </c>
      <c r="AD113" s="100">
        <f t="shared" si="116"/>
        <v>0</v>
      </c>
      <c r="AE113" s="100">
        <f t="shared" si="117"/>
        <v>0</v>
      </c>
      <c r="AF113" s="100">
        <f t="shared" si="118"/>
        <v>0</v>
      </c>
      <c r="AG113" s="100">
        <f t="shared" si="119"/>
        <v>0</v>
      </c>
      <c r="AH113" s="100">
        <f t="shared" si="120"/>
        <v>0</v>
      </c>
      <c r="AI113" s="109"/>
      <c r="AJ113" s="108">
        <f t="shared" si="121"/>
        <v>0</v>
      </c>
      <c r="AK113" s="108">
        <f t="shared" si="122"/>
        <v>0</v>
      </c>
      <c r="AL113" s="108">
        <f t="shared" si="123"/>
        <v>0</v>
      </c>
      <c r="AN113" s="100">
        <v>15</v>
      </c>
      <c r="AO113" s="100">
        <f>H113*0.0118672278154687</f>
        <v>0</v>
      </c>
      <c r="AP113" s="100">
        <f>H113*(1-0.0118672278154687)</f>
        <v>0</v>
      </c>
      <c r="AQ113" s="111" t="s">
        <v>7</v>
      </c>
      <c r="AV113" s="100">
        <f t="shared" si="124"/>
        <v>0</v>
      </c>
      <c r="AW113" s="100">
        <f t="shared" si="125"/>
        <v>0</v>
      </c>
      <c r="AX113" s="100">
        <f t="shared" si="126"/>
        <v>0</v>
      </c>
      <c r="AY113" s="110" t="s">
        <v>1699</v>
      </c>
      <c r="AZ113" s="110" t="s">
        <v>1730</v>
      </c>
      <c r="BA113" s="109" t="s">
        <v>1737</v>
      </c>
      <c r="BC113" s="100">
        <f t="shared" si="127"/>
        <v>0</v>
      </c>
      <c r="BD113" s="100">
        <f t="shared" si="128"/>
        <v>0</v>
      </c>
      <c r="BE113" s="100">
        <v>0</v>
      </c>
      <c r="BF113" s="100">
        <f>113</f>
        <v>113</v>
      </c>
      <c r="BH113" s="108">
        <f t="shared" si="129"/>
        <v>0</v>
      </c>
      <c r="BI113" s="108">
        <f t="shared" si="130"/>
        <v>0</v>
      </c>
      <c r="BJ113" s="108">
        <f t="shared" si="131"/>
        <v>0</v>
      </c>
    </row>
    <row r="114" spans="1:62" x14ac:dyDescent="0.2">
      <c r="A114" s="117" t="s">
        <v>85</v>
      </c>
      <c r="B114" s="117" t="s">
        <v>643</v>
      </c>
      <c r="C114" s="304" t="s">
        <v>2850</v>
      </c>
      <c r="D114" s="305"/>
      <c r="E114" s="305"/>
      <c r="F114" s="117" t="s">
        <v>1645</v>
      </c>
      <c r="G114" s="116">
        <v>357.27</v>
      </c>
      <c r="H114" s="159"/>
      <c r="I114" s="108">
        <f t="shared" si="110"/>
        <v>0</v>
      </c>
      <c r="J114" s="108">
        <f t="shared" si="111"/>
        <v>0</v>
      </c>
      <c r="K114" s="108">
        <f t="shared" si="112"/>
        <v>0</v>
      </c>
      <c r="L114" s="111" t="s">
        <v>1671</v>
      </c>
      <c r="Z114" s="100">
        <f t="shared" si="113"/>
        <v>0</v>
      </c>
      <c r="AB114" s="100">
        <f t="shared" si="114"/>
        <v>0</v>
      </c>
      <c r="AC114" s="100">
        <f t="shared" si="115"/>
        <v>0</v>
      </c>
      <c r="AD114" s="100">
        <f t="shared" si="116"/>
        <v>0</v>
      </c>
      <c r="AE114" s="100">
        <f t="shared" si="117"/>
        <v>0</v>
      </c>
      <c r="AF114" s="100">
        <f t="shared" si="118"/>
        <v>0</v>
      </c>
      <c r="AG114" s="100">
        <f t="shared" si="119"/>
        <v>0</v>
      </c>
      <c r="AH114" s="100">
        <f t="shared" si="120"/>
        <v>0</v>
      </c>
      <c r="AI114" s="109"/>
      <c r="AJ114" s="108">
        <f t="shared" si="121"/>
        <v>0</v>
      </c>
      <c r="AK114" s="108">
        <f t="shared" si="122"/>
        <v>0</v>
      </c>
      <c r="AL114" s="108">
        <f t="shared" si="123"/>
        <v>0</v>
      </c>
      <c r="AN114" s="100">
        <v>15</v>
      </c>
      <c r="AO114" s="100">
        <f>H114*0</f>
        <v>0</v>
      </c>
      <c r="AP114" s="100">
        <f>H114*(1-0)</f>
        <v>0</v>
      </c>
      <c r="AQ114" s="111" t="s">
        <v>7</v>
      </c>
      <c r="AV114" s="100">
        <f t="shared" si="124"/>
        <v>0</v>
      </c>
      <c r="AW114" s="100">
        <f t="shared" si="125"/>
        <v>0</v>
      </c>
      <c r="AX114" s="100">
        <f t="shared" si="126"/>
        <v>0</v>
      </c>
      <c r="AY114" s="110" t="s">
        <v>1699</v>
      </c>
      <c r="AZ114" s="110" t="s">
        <v>1730</v>
      </c>
      <c r="BA114" s="109" t="s">
        <v>1737</v>
      </c>
      <c r="BC114" s="100">
        <f t="shared" si="127"/>
        <v>0</v>
      </c>
      <c r="BD114" s="100">
        <f t="shared" si="128"/>
        <v>0</v>
      </c>
      <c r="BE114" s="100">
        <v>0</v>
      </c>
      <c r="BF114" s="100">
        <f>114</f>
        <v>114</v>
      </c>
      <c r="BH114" s="108">
        <f t="shared" si="129"/>
        <v>0</v>
      </c>
      <c r="BI114" s="108">
        <f t="shared" si="130"/>
        <v>0</v>
      </c>
      <c r="BJ114" s="108">
        <f t="shared" si="131"/>
        <v>0</v>
      </c>
    </row>
    <row r="115" spans="1:62" x14ac:dyDescent="0.2">
      <c r="A115" s="117" t="s">
        <v>86</v>
      </c>
      <c r="B115" s="117" t="s">
        <v>644</v>
      </c>
      <c r="C115" s="304" t="s">
        <v>1151</v>
      </c>
      <c r="D115" s="305"/>
      <c r="E115" s="305"/>
      <c r="F115" s="117" t="s">
        <v>1644</v>
      </c>
      <c r="G115" s="116">
        <v>1</v>
      </c>
      <c r="H115" s="159"/>
      <c r="I115" s="108">
        <f t="shared" si="110"/>
        <v>0</v>
      </c>
      <c r="J115" s="108">
        <f t="shared" si="111"/>
        <v>0</v>
      </c>
      <c r="K115" s="108">
        <f t="shared" si="112"/>
        <v>0</v>
      </c>
      <c r="L115" s="111" t="s">
        <v>1671</v>
      </c>
      <c r="Z115" s="100">
        <f t="shared" si="113"/>
        <v>0</v>
      </c>
      <c r="AB115" s="100">
        <f t="shared" si="114"/>
        <v>0</v>
      </c>
      <c r="AC115" s="100">
        <f t="shared" si="115"/>
        <v>0</v>
      </c>
      <c r="AD115" s="100">
        <f t="shared" si="116"/>
        <v>0</v>
      </c>
      <c r="AE115" s="100">
        <f t="shared" si="117"/>
        <v>0</v>
      </c>
      <c r="AF115" s="100">
        <f t="shared" si="118"/>
        <v>0</v>
      </c>
      <c r="AG115" s="100">
        <f t="shared" si="119"/>
        <v>0</v>
      </c>
      <c r="AH115" s="100">
        <f t="shared" si="120"/>
        <v>0</v>
      </c>
      <c r="AI115" s="109"/>
      <c r="AJ115" s="108">
        <f t="shared" si="121"/>
        <v>0</v>
      </c>
      <c r="AK115" s="108">
        <f t="shared" si="122"/>
        <v>0</v>
      </c>
      <c r="AL115" s="108">
        <f t="shared" si="123"/>
        <v>0</v>
      </c>
      <c r="AN115" s="100">
        <v>15</v>
      </c>
      <c r="AO115" s="100">
        <f>H115*0</f>
        <v>0</v>
      </c>
      <c r="AP115" s="100">
        <f>H115*(1-0)</f>
        <v>0</v>
      </c>
      <c r="AQ115" s="111" t="s">
        <v>7</v>
      </c>
      <c r="AV115" s="100">
        <f t="shared" si="124"/>
        <v>0</v>
      </c>
      <c r="AW115" s="100">
        <f t="shared" si="125"/>
        <v>0</v>
      </c>
      <c r="AX115" s="100">
        <f t="shared" si="126"/>
        <v>0</v>
      </c>
      <c r="AY115" s="110" t="s">
        <v>1699</v>
      </c>
      <c r="AZ115" s="110" t="s">
        <v>1730</v>
      </c>
      <c r="BA115" s="109" t="s">
        <v>1737</v>
      </c>
      <c r="BC115" s="100">
        <f t="shared" si="127"/>
        <v>0</v>
      </c>
      <c r="BD115" s="100">
        <f t="shared" si="128"/>
        <v>0</v>
      </c>
      <c r="BE115" s="100">
        <v>0</v>
      </c>
      <c r="BF115" s="100">
        <f>115</f>
        <v>115</v>
      </c>
      <c r="BH115" s="108">
        <f t="shared" si="129"/>
        <v>0</v>
      </c>
      <c r="BI115" s="108">
        <f t="shared" si="130"/>
        <v>0</v>
      </c>
      <c r="BJ115" s="108">
        <f t="shared" si="131"/>
        <v>0</v>
      </c>
    </row>
    <row r="116" spans="1:62" x14ac:dyDescent="0.2">
      <c r="A116" s="117" t="s">
        <v>87</v>
      </c>
      <c r="B116" s="117" t="s">
        <v>645</v>
      </c>
      <c r="C116" s="304" t="s">
        <v>1152</v>
      </c>
      <c r="D116" s="305"/>
      <c r="E116" s="305"/>
      <c r="F116" s="117" t="s">
        <v>1645</v>
      </c>
      <c r="G116" s="116">
        <v>12</v>
      </c>
      <c r="H116" s="159"/>
      <c r="I116" s="108">
        <f t="shared" si="110"/>
        <v>0</v>
      </c>
      <c r="J116" s="108">
        <f t="shared" si="111"/>
        <v>0</v>
      </c>
      <c r="K116" s="108">
        <f t="shared" si="112"/>
        <v>0</v>
      </c>
      <c r="L116" s="111" t="s">
        <v>1671</v>
      </c>
      <c r="Z116" s="100">
        <f t="shared" si="113"/>
        <v>0</v>
      </c>
      <c r="AB116" s="100">
        <f t="shared" si="114"/>
        <v>0</v>
      </c>
      <c r="AC116" s="100">
        <f t="shared" si="115"/>
        <v>0</v>
      </c>
      <c r="AD116" s="100">
        <f t="shared" si="116"/>
        <v>0</v>
      </c>
      <c r="AE116" s="100">
        <f t="shared" si="117"/>
        <v>0</v>
      </c>
      <c r="AF116" s="100">
        <f t="shared" si="118"/>
        <v>0</v>
      </c>
      <c r="AG116" s="100">
        <f t="shared" si="119"/>
        <v>0</v>
      </c>
      <c r="AH116" s="100">
        <f t="shared" si="120"/>
        <v>0</v>
      </c>
      <c r="AI116" s="109"/>
      <c r="AJ116" s="108">
        <f t="shared" si="121"/>
        <v>0</v>
      </c>
      <c r="AK116" s="108">
        <f t="shared" si="122"/>
        <v>0</v>
      </c>
      <c r="AL116" s="108">
        <f t="shared" si="123"/>
        <v>0</v>
      </c>
      <c r="AN116" s="100">
        <v>15</v>
      </c>
      <c r="AO116" s="100">
        <f>H116*0.325368700265252</f>
        <v>0</v>
      </c>
      <c r="AP116" s="100">
        <f>H116*(1-0.325368700265252)</f>
        <v>0</v>
      </c>
      <c r="AQ116" s="111" t="s">
        <v>7</v>
      </c>
      <c r="AV116" s="100">
        <f t="shared" si="124"/>
        <v>0</v>
      </c>
      <c r="AW116" s="100">
        <f t="shared" si="125"/>
        <v>0</v>
      </c>
      <c r="AX116" s="100">
        <f t="shared" si="126"/>
        <v>0</v>
      </c>
      <c r="AY116" s="110" t="s">
        <v>1699</v>
      </c>
      <c r="AZ116" s="110" t="s">
        <v>1730</v>
      </c>
      <c r="BA116" s="109" t="s">
        <v>1737</v>
      </c>
      <c r="BC116" s="100">
        <f t="shared" si="127"/>
        <v>0</v>
      </c>
      <c r="BD116" s="100">
        <f t="shared" si="128"/>
        <v>0</v>
      </c>
      <c r="BE116" s="100">
        <v>0</v>
      </c>
      <c r="BF116" s="100">
        <f>116</f>
        <v>116</v>
      </c>
      <c r="BH116" s="108">
        <f t="shared" si="129"/>
        <v>0</v>
      </c>
      <c r="BI116" s="108">
        <f t="shared" si="130"/>
        <v>0</v>
      </c>
      <c r="BJ116" s="108">
        <f t="shared" si="131"/>
        <v>0</v>
      </c>
    </row>
    <row r="117" spans="1:62" x14ac:dyDescent="0.2">
      <c r="A117" s="117" t="s">
        <v>88</v>
      </c>
      <c r="B117" s="117" t="s">
        <v>646</v>
      </c>
      <c r="C117" s="304" t="s">
        <v>1153</v>
      </c>
      <c r="D117" s="305"/>
      <c r="E117" s="305"/>
      <c r="F117" s="117" t="s">
        <v>1650</v>
      </c>
      <c r="G117" s="116">
        <v>150</v>
      </c>
      <c r="H117" s="159"/>
      <c r="I117" s="108">
        <f t="shared" si="110"/>
        <v>0</v>
      </c>
      <c r="J117" s="108">
        <f t="shared" si="111"/>
        <v>0</v>
      </c>
      <c r="K117" s="108">
        <f t="shared" si="112"/>
        <v>0</v>
      </c>
      <c r="L117" s="111" t="s">
        <v>1671</v>
      </c>
      <c r="Z117" s="100">
        <f t="shared" si="113"/>
        <v>0</v>
      </c>
      <c r="AB117" s="100">
        <f t="shared" si="114"/>
        <v>0</v>
      </c>
      <c r="AC117" s="100">
        <f t="shared" si="115"/>
        <v>0</v>
      </c>
      <c r="AD117" s="100">
        <f t="shared" si="116"/>
        <v>0</v>
      </c>
      <c r="AE117" s="100">
        <f t="shared" si="117"/>
        <v>0</v>
      </c>
      <c r="AF117" s="100">
        <f t="shared" si="118"/>
        <v>0</v>
      </c>
      <c r="AG117" s="100">
        <f t="shared" si="119"/>
        <v>0</v>
      </c>
      <c r="AH117" s="100">
        <f t="shared" si="120"/>
        <v>0</v>
      </c>
      <c r="AI117" s="109"/>
      <c r="AJ117" s="108">
        <f t="shared" si="121"/>
        <v>0</v>
      </c>
      <c r="AK117" s="108">
        <f t="shared" si="122"/>
        <v>0</v>
      </c>
      <c r="AL117" s="108">
        <f t="shared" si="123"/>
        <v>0</v>
      </c>
      <c r="AN117" s="100">
        <v>15</v>
      </c>
      <c r="AO117" s="100">
        <f>H117*0.412803738317757</f>
        <v>0</v>
      </c>
      <c r="AP117" s="100">
        <f>H117*(1-0.412803738317757)</f>
        <v>0</v>
      </c>
      <c r="AQ117" s="111" t="s">
        <v>7</v>
      </c>
      <c r="AV117" s="100">
        <f t="shared" si="124"/>
        <v>0</v>
      </c>
      <c r="AW117" s="100">
        <f t="shared" si="125"/>
        <v>0</v>
      </c>
      <c r="AX117" s="100">
        <f t="shared" si="126"/>
        <v>0</v>
      </c>
      <c r="AY117" s="110" t="s">
        <v>1699</v>
      </c>
      <c r="AZ117" s="110" t="s">
        <v>1730</v>
      </c>
      <c r="BA117" s="109" t="s">
        <v>1737</v>
      </c>
      <c r="BC117" s="100">
        <f t="shared" si="127"/>
        <v>0</v>
      </c>
      <c r="BD117" s="100">
        <f t="shared" si="128"/>
        <v>0</v>
      </c>
      <c r="BE117" s="100">
        <v>0</v>
      </c>
      <c r="BF117" s="100">
        <f>117</f>
        <v>117</v>
      </c>
      <c r="BH117" s="108">
        <f t="shared" si="129"/>
        <v>0</v>
      </c>
      <c r="BI117" s="108">
        <f t="shared" si="130"/>
        <v>0</v>
      </c>
      <c r="BJ117" s="108">
        <f t="shared" si="131"/>
        <v>0</v>
      </c>
    </row>
    <row r="118" spans="1:62" x14ac:dyDescent="0.2">
      <c r="A118" s="117" t="s">
        <v>89</v>
      </c>
      <c r="B118" s="117" t="s">
        <v>647</v>
      </c>
      <c r="C118" s="304" t="s">
        <v>1154</v>
      </c>
      <c r="D118" s="305"/>
      <c r="E118" s="305"/>
      <c r="F118" s="117" t="s">
        <v>1644</v>
      </c>
      <c r="G118" s="116">
        <v>6</v>
      </c>
      <c r="H118" s="159"/>
      <c r="I118" s="108">
        <f t="shared" si="110"/>
        <v>0</v>
      </c>
      <c r="J118" s="108">
        <f t="shared" si="111"/>
        <v>0</v>
      </c>
      <c r="K118" s="108">
        <f t="shared" si="112"/>
        <v>0</v>
      </c>
      <c r="L118" s="111" t="s">
        <v>1671</v>
      </c>
      <c r="Z118" s="100">
        <f t="shared" si="113"/>
        <v>0</v>
      </c>
      <c r="AB118" s="100">
        <f t="shared" si="114"/>
        <v>0</v>
      </c>
      <c r="AC118" s="100">
        <f t="shared" si="115"/>
        <v>0</v>
      </c>
      <c r="AD118" s="100">
        <f t="shared" si="116"/>
        <v>0</v>
      </c>
      <c r="AE118" s="100">
        <f t="shared" si="117"/>
        <v>0</v>
      </c>
      <c r="AF118" s="100">
        <f t="shared" si="118"/>
        <v>0</v>
      </c>
      <c r="AG118" s="100">
        <f t="shared" si="119"/>
        <v>0</v>
      </c>
      <c r="AH118" s="100">
        <f t="shared" si="120"/>
        <v>0</v>
      </c>
      <c r="AI118" s="109"/>
      <c r="AJ118" s="108">
        <f t="shared" si="121"/>
        <v>0</v>
      </c>
      <c r="AK118" s="108">
        <f t="shared" si="122"/>
        <v>0</v>
      </c>
      <c r="AL118" s="108">
        <f t="shared" si="123"/>
        <v>0</v>
      </c>
      <c r="AN118" s="100">
        <v>15</v>
      </c>
      <c r="AO118" s="100">
        <f>H118*0.35032967032967</f>
        <v>0</v>
      </c>
      <c r="AP118" s="100">
        <f>H118*(1-0.35032967032967)</f>
        <v>0</v>
      </c>
      <c r="AQ118" s="111" t="s">
        <v>7</v>
      </c>
      <c r="AV118" s="100">
        <f t="shared" si="124"/>
        <v>0</v>
      </c>
      <c r="AW118" s="100">
        <f t="shared" si="125"/>
        <v>0</v>
      </c>
      <c r="AX118" s="100">
        <f t="shared" si="126"/>
        <v>0</v>
      </c>
      <c r="AY118" s="110" t="s">
        <v>1699</v>
      </c>
      <c r="AZ118" s="110" t="s">
        <v>1730</v>
      </c>
      <c r="BA118" s="109" t="s">
        <v>1737</v>
      </c>
      <c r="BC118" s="100">
        <f t="shared" si="127"/>
        <v>0</v>
      </c>
      <c r="BD118" s="100">
        <f t="shared" si="128"/>
        <v>0</v>
      </c>
      <c r="BE118" s="100">
        <v>0</v>
      </c>
      <c r="BF118" s="100">
        <f>118</f>
        <v>118</v>
      </c>
      <c r="BH118" s="108">
        <f t="shared" si="129"/>
        <v>0</v>
      </c>
      <c r="BI118" s="108">
        <f t="shared" si="130"/>
        <v>0</v>
      </c>
      <c r="BJ118" s="108">
        <f t="shared" si="131"/>
        <v>0</v>
      </c>
    </row>
    <row r="119" spans="1:62" x14ac:dyDescent="0.2">
      <c r="A119" s="117" t="s">
        <v>90</v>
      </c>
      <c r="B119" s="117" t="s">
        <v>648</v>
      </c>
      <c r="C119" s="304" t="s">
        <v>1155</v>
      </c>
      <c r="D119" s="305"/>
      <c r="E119" s="305"/>
      <c r="F119" s="117" t="s">
        <v>1644</v>
      </c>
      <c r="G119" s="116">
        <v>1</v>
      </c>
      <c r="H119" s="159"/>
      <c r="I119" s="108">
        <f t="shared" si="110"/>
        <v>0</v>
      </c>
      <c r="J119" s="108">
        <f t="shared" si="111"/>
        <v>0</v>
      </c>
      <c r="K119" s="108">
        <f t="shared" si="112"/>
        <v>0</v>
      </c>
      <c r="L119" s="111" t="s">
        <v>1671</v>
      </c>
      <c r="Z119" s="100">
        <f t="shared" si="113"/>
        <v>0</v>
      </c>
      <c r="AB119" s="100">
        <f t="shared" si="114"/>
        <v>0</v>
      </c>
      <c r="AC119" s="100">
        <f t="shared" si="115"/>
        <v>0</v>
      </c>
      <c r="AD119" s="100">
        <f t="shared" si="116"/>
        <v>0</v>
      </c>
      <c r="AE119" s="100">
        <f t="shared" si="117"/>
        <v>0</v>
      </c>
      <c r="AF119" s="100">
        <f t="shared" si="118"/>
        <v>0</v>
      </c>
      <c r="AG119" s="100">
        <f t="shared" si="119"/>
        <v>0</v>
      </c>
      <c r="AH119" s="100">
        <f t="shared" si="120"/>
        <v>0</v>
      </c>
      <c r="AI119" s="109"/>
      <c r="AJ119" s="108">
        <f t="shared" si="121"/>
        <v>0</v>
      </c>
      <c r="AK119" s="108">
        <f t="shared" si="122"/>
        <v>0</v>
      </c>
      <c r="AL119" s="108">
        <f t="shared" si="123"/>
        <v>0</v>
      </c>
      <c r="AN119" s="100">
        <v>15</v>
      </c>
      <c r="AO119" s="100">
        <f>H119*0.90816</f>
        <v>0</v>
      </c>
      <c r="AP119" s="100">
        <f>H119*(1-0.90816)</f>
        <v>0</v>
      </c>
      <c r="AQ119" s="111" t="s">
        <v>7</v>
      </c>
      <c r="AV119" s="100">
        <f t="shared" si="124"/>
        <v>0</v>
      </c>
      <c r="AW119" s="100">
        <f t="shared" si="125"/>
        <v>0</v>
      </c>
      <c r="AX119" s="100">
        <f t="shared" si="126"/>
        <v>0</v>
      </c>
      <c r="AY119" s="110" t="s">
        <v>1699</v>
      </c>
      <c r="AZ119" s="110" t="s">
        <v>1730</v>
      </c>
      <c r="BA119" s="109" t="s">
        <v>1737</v>
      </c>
      <c r="BC119" s="100">
        <f t="shared" si="127"/>
        <v>0</v>
      </c>
      <c r="BD119" s="100">
        <f t="shared" si="128"/>
        <v>0</v>
      </c>
      <c r="BE119" s="100">
        <v>0</v>
      </c>
      <c r="BF119" s="100">
        <f>119</f>
        <v>119</v>
      </c>
      <c r="BH119" s="108">
        <f t="shared" si="129"/>
        <v>0</v>
      </c>
      <c r="BI119" s="108">
        <f t="shared" si="130"/>
        <v>0</v>
      </c>
      <c r="BJ119" s="108">
        <f t="shared" si="131"/>
        <v>0</v>
      </c>
    </row>
    <row r="120" spans="1:62" x14ac:dyDescent="0.2">
      <c r="A120" s="117" t="s">
        <v>91</v>
      </c>
      <c r="B120" s="117" t="s">
        <v>649</v>
      </c>
      <c r="C120" s="304" t="s">
        <v>1156</v>
      </c>
      <c r="D120" s="305"/>
      <c r="E120" s="305"/>
      <c r="F120" s="117" t="s">
        <v>1644</v>
      </c>
      <c r="G120" s="116">
        <v>1</v>
      </c>
      <c r="H120" s="159"/>
      <c r="I120" s="108">
        <f t="shared" si="110"/>
        <v>0</v>
      </c>
      <c r="J120" s="108">
        <f t="shared" si="111"/>
        <v>0</v>
      </c>
      <c r="K120" s="108">
        <f t="shared" si="112"/>
        <v>0</v>
      </c>
      <c r="L120" s="111" t="s">
        <v>1671</v>
      </c>
      <c r="Z120" s="100">
        <f t="shared" si="113"/>
        <v>0</v>
      </c>
      <c r="AB120" s="100">
        <f t="shared" si="114"/>
        <v>0</v>
      </c>
      <c r="AC120" s="100">
        <f t="shared" si="115"/>
        <v>0</v>
      </c>
      <c r="AD120" s="100">
        <f t="shared" si="116"/>
        <v>0</v>
      </c>
      <c r="AE120" s="100">
        <f t="shared" si="117"/>
        <v>0</v>
      </c>
      <c r="AF120" s="100">
        <f t="shared" si="118"/>
        <v>0</v>
      </c>
      <c r="AG120" s="100">
        <f t="shared" si="119"/>
        <v>0</v>
      </c>
      <c r="AH120" s="100">
        <f t="shared" si="120"/>
        <v>0</v>
      </c>
      <c r="AI120" s="109"/>
      <c r="AJ120" s="108">
        <f t="shared" si="121"/>
        <v>0</v>
      </c>
      <c r="AK120" s="108">
        <f t="shared" si="122"/>
        <v>0</v>
      </c>
      <c r="AL120" s="108">
        <f t="shared" si="123"/>
        <v>0</v>
      </c>
      <c r="AN120" s="100">
        <v>15</v>
      </c>
      <c r="AO120" s="100">
        <f>H120*0.908156</f>
        <v>0</v>
      </c>
      <c r="AP120" s="100">
        <f>H120*(1-0.908156)</f>
        <v>0</v>
      </c>
      <c r="AQ120" s="111" t="s">
        <v>7</v>
      </c>
      <c r="AV120" s="100">
        <f t="shared" si="124"/>
        <v>0</v>
      </c>
      <c r="AW120" s="100">
        <f t="shared" si="125"/>
        <v>0</v>
      </c>
      <c r="AX120" s="100">
        <f t="shared" si="126"/>
        <v>0</v>
      </c>
      <c r="AY120" s="110" t="s">
        <v>1699</v>
      </c>
      <c r="AZ120" s="110" t="s">
        <v>1730</v>
      </c>
      <c r="BA120" s="109" t="s">
        <v>1737</v>
      </c>
      <c r="BC120" s="100">
        <f t="shared" si="127"/>
        <v>0</v>
      </c>
      <c r="BD120" s="100">
        <f t="shared" si="128"/>
        <v>0</v>
      </c>
      <c r="BE120" s="100">
        <v>0</v>
      </c>
      <c r="BF120" s="100">
        <f>120</f>
        <v>120</v>
      </c>
      <c r="BH120" s="108">
        <f t="shared" si="129"/>
        <v>0</v>
      </c>
      <c r="BI120" s="108">
        <f t="shared" si="130"/>
        <v>0</v>
      </c>
      <c r="BJ120" s="108">
        <f t="shared" si="131"/>
        <v>0</v>
      </c>
    </row>
    <row r="121" spans="1:62" x14ac:dyDescent="0.2">
      <c r="A121" s="117" t="s">
        <v>92</v>
      </c>
      <c r="B121" s="117" t="s">
        <v>650</v>
      </c>
      <c r="C121" s="304" t="s">
        <v>1157</v>
      </c>
      <c r="D121" s="305"/>
      <c r="E121" s="305"/>
      <c r="F121" s="117" t="s">
        <v>1644</v>
      </c>
      <c r="G121" s="116">
        <v>1</v>
      </c>
      <c r="H121" s="159"/>
      <c r="I121" s="108">
        <f t="shared" si="110"/>
        <v>0</v>
      </c>
      <c r="J121" s="108">
        <f t="shared" si="111"/>
        <v>0</v>
      </c>
      <c r="K121" s="108">
        <f t="shared" si="112"/>
        <v>0</v>
      </c>
      <c r="L121" s="111" t="s">
        <v>1671</v>
      </c>
      <c r="Z121" s="100">
        <f t="shared" si="113"/>
        <v>0</v>
      </c>
      <c r="AB121" s="100">
        <f t="shared" si="114"/>
        <v>0</v>
      </c>
      <c r="AC121" s="100">
        <f t="shared" si="115"/>
        <v>0</v>
      </c>
      <c r="AD121" s="100">
        <f t="shared" si="116"/>
        <v>0</v>
      </c>
      <c r="AE121" s="100">
        <f t="shared" si="117"/>
        <v>0</v>
      </c>
      <c r="AF121" s="100">
        <f t="shared" si="118"/>
        <v>0</v>
      </c>
      <c r="AG121" s="100">
        <f t="shared" si="119"/>
        <v>0</v>
      </c>
      <c r="AH121" s="100">
        <f t="shared" si="120"/>
        <v>0</v>
      </c>
      <c r="AI121" s="109"/>
      <c r="AJ121" s="108">
        <f t="shared" si="121"/>
        <v>0</v>
      </c>
      <c r="AK121" s="108">
        <f t="shared" si="122"/>
        <v>0</v>
      </c>
      <c r="AL121" s="108">
        <f t="shared" si="123"/>
        <v>0</v>
      </c>
      <c r="AN121" s="100">
        <v>15</v>
      </c>
      <c r="AO121" s="100">
        <f>H121*0.90816</f>
        <v>0</v>
      </c>
      <c r="AP121" s="100">
        <f>H121*(1-0.90816)</f>
        <v>0</v>
      </c>
      <c r="AQ121" s="111" t="s">
        <v>7</v>
      </c>
      <c r="AV121" s="100">
        <f t="shared" si="124"/>
        <v>0</v>
      </c>
      <c r="AW121" s="100">
        <f t="shared" si="125"/>
        <v>0</v>
      </c>
      <c r="AX121" s="100">
        <f t="shared" si="126"/>
        <v>0</v>
      </c>
      <c r="AY121" s="110" t="s">
        <v>1699</v>
      </c>
      <c r="AZ121" s="110" t="s">
        <v>1730</v>
      </c>
      <c r="BA121" s="109" t="s">
        <v>1737</v>
      </c>
      <c r="BC121" s="100">
        <f t="shared" si="127"/>
        <v>0</v>
      </c>
      <c r="BD121" s="100">
        <f t="shared" si="128"/>
        <v>0</v>
      </c>
      <c r="BE121" s="100">
        <v>0</v>
      </c>
      <c r="BF121" s="100">
        <f>121</f>
        <v>121</v>
      </c>
      <c r="BH121" s="108">
        <f t="shared" si="129"/>
        <v>0</v>
      </c>
      <c r="BI121" s="108">
        <f t="shared" si="130"/>
        <v>0</v>
      </c>
      <c r="BJ121" s="108">
        <f t="shared" si="131"/>
        <v>0</v>
      </c>
    </row>
    <row r="122" spans="1:62" x14ac:dyDescent="0.2">
      <c r="A122" s="119"/>
      <c r="B122" s="120" t="s">
        <v>102</v>
      </c>
      <c r="C122" s="306" t="s">
        <v>1158</v>
      </c>
      <c r="D122" s="307"/>
      <c r="E122" s="307"/>
      <c r="F122" s="119" t="s">
        <v>6</v>
      </c>
      <c r="G122" s="119" t="s">
        <v>6</v>
      </c>
      <c r="H122" s="119" t="s">
        <v>6</v>
      </c>
      <c r="I122" s="118">
        <f>SUM(I123:I144)</f>
        <v>0</v>
      </c>
      <c r="J122" s="118">
        <f>SUM(J123:J144)</f>
        <v>0</v>
      </c>
      <c r="K122" s="118">
        <f>SUM(K123:K144)</f>
        <v>0</v>
      </c>
      <c r="L122" s="109"/>
      <c r="AI122" s="109"/>
      <c r="AS122" s="118">
        <f>SUM(AJ123:AJ144)</f>
        <v>0</v>
      </c>
      <c r="AT122" s="118">
        <f>SUM(AK123:AK144)</f>
        <v>0</v>
      </c>
      <c r="AU122" s="118">
        <f>SUM(AL123:AL144)</f>
        <v>0</v>
      </c>
    </row>
    <row r="123" spans="1:62" x14ac:dyDescent="0.2">
      <c r="A123" s="117" t="s">
        <v>93</v>
      </c>
      <c r="B123" s="117" t="s">
        <v>651</v>
      </c>
      <c r="C123" s="304" t="s">
        <v>1159</v>
      </c>
      <c r="D123" s="305"/>
      <c r="E123" s="305"/>
      <c r="F123" s="117" t="s">
        <v>1645</v>
      </c>
      <c r="G123" s="116">
        <v>83.04</v>
      </c>
      <c r="H123" s="159"/>
      <c r="I123" s="108">
        <f t="shared" ref="I123:I144" si="132">G123*AO123</f>
        <v>0</v>
      </c>
      <c r="J123" s="108">
        <f t="shared" ref="J123:J144" si="133">G123*AP123</f>
        <v>0</v>
      </c>
      <c r="K123" s="108">
        <f t="shared" ref="K123:K144" si="134">G123*H123</f>
        <v>0</v>
      </c>
      <c r="L123" s="111" t="s">
        <v>1671</v>
      </c>
      <c r="Z123" s="100">
        <f t="shared" ref="Z123:Z144" si="135">IF(AQ123="5",BJ123,0)</f>
        <v>0</v>
      </c>
      <c r="AB123" s="100">
        <f t="shared" ref="AB123:AB144" si="136">IF(AQ123="1",BH123,0)</f>
        <v>0</v>
      </c>
      <c r="AC123" s="100">
        <f t="shared" ref="AC123:AC144" si="137">IF(AQ123="1",BI123,0)</f>
        <v>0</v>
      </c>
      <c r="AD123" s="100">
        <f t="shared" ref="AD123:AD144" si="138">IF(AQ123="7",BH123,0)</f>
        <v>0</v>
      </c>
      <c r="AE123" s="100">
        <f t="shared" ref="AE123:AE144" si="139">IF(AQ123="7",BI123,0)</f>
        <v>0</v>
      </c>
      <c r="AF123" s="100">
        <f t="shared" ref="AF123:AF144" si="140">IF(AQ123="2",BH123,0)</f>
        <v>0</v>
      </c>
      <c r="AG123" s="100">
        <f t="shared" ref="AG123:AG144" si="141">IF(AQ123="2",BI123,0)</f>
        <v>0</v>
      </c>
      <c r="AH123" s="100">
        <f t="shared" ref="AH123:AH144" si="142">IF(AQ123="0",BJ123,0)</f>
        <v>0</v>
      </c>
      <c r="AI123" s="109"/>
      <c r="AJ123" s="108">
        <f t="shared" ref="AJ123:AJ144" si="143">IF(AN123=0,K123,0)</f>
        <v>0</v>
      </c>
      <c r="AK123" s="108">
        <f t="shared" ref="AK123:AK144" si="144">IF(AN123=15,K123,0)</f>
        <v>0</v>
      </c>
      <c r="AL123" s="108">
        <f t="shared" ref="AL123:AL144" si="145">IF(AN123=21,K123,0)</f>
        <v>0</v>
      </c>
      <c r="AN123" s="100">
        <v>15</v>
      </c>
      <c r="AO123" s="100">
        <f>H123*0</f>
        <v>0</v>
      </c>
      <c r="AP123" s="100">
        <f>H123*(1-0)</f>
        <v>0</v>
      </c>
      <c r="AQ123" s="111" t="s">
        <v>7</v>
      </c>
      <c r="AV123" s="100">
        <f t="shared" ref="AV123:AV144" si="146">AW123+AX123</f>
        <v>0</v>
      </c>
      <c r="AW123" s="100">
        <f t="shared" ref="AW123:AW144" si="147">G123*AO123</f>
        <v>0</v>
      </c>
      <c r="AX123" s="100">
        <f t="shared" ref="AX123:AX144" si="148">G123*AP123</f>
        <v>0</v>
      </c>
      <c r="AY123" s="110" t="s">
        <v>1700</v>
      </c>
      <c r="AZ123" s="110" t="s">
        <v>1730</v>
      </c>
      <c r="BA123" s="109" t="s">
        <v>1737</v>
      </c>
      <c r="BC123" s="100">
        <f t="shared" ref="BC123:BC144" si="149">AW123+AX123</f>
        <v>0</v>
      </c>
      <c r="BD123" s="100">
        <f t="shared" ref="BD123:BD144" si="150">H123/(100-BE123)*100</f>
        <v>0</v>
      </c>
      <c r="BE123" s="100">
        <v>0</v>
      </c>
      <c r="BF123" s="100">
        <f>123</f>
        <v>123</v>
      </c>
      <c r="BH123" s="108">
        <f t="shared" ref="BH123:BH144" si="151">G123*AO123</f>
        <v>0</v>
      </c>
      <c r="BI123" s="108">
        <f t="shared" ref="BI123:BI144" si="152">G123*AP123</f>
        <v>0</v>
      </c>
      <c r="BJ123" s="108">
        <f t="shared" ref="BJ123:BJ144" si="153">G123*H123</f>
        <v>0</v>
      </c>
    </row>
    <row r="124" spans="1:62" x14ac:dyDescent="0.2">
      <c r="A124" s="117" t="s">
        <v>94</v>
      </c>
      <c r="B124" s="117" t="s">
        <v>652</v>
      </c>
      <c r="C124" s="304" t="s">
        <v>1160</v>
      </c>
      <c r="D124" s="305"/>
      <c r="E124" s="305"/>
      <c r="F124" s="117" t="s">
        <v>1644</v>
      </c>
      <c r="G124" s="116">
        <v>4</v>
      </c>
      <c r="H124" s="159"/>
      <c r="I124" s="108">
        <f t="shared" si="132"/>
        <v>0</v>
      </c>
      <c r="J124" s="108">
        <f t="shared" si="133"/>
        <v>0</v>
      </c>
      <c r="K124" s="108">
        <f t="shared" si="134"/>
        <v>0</v>
      </c>
      <c r="L124" s="111" t="s">
        <v>1671</v>
      </c>
      <c r="Z124" s="100">
        <f t="shared" si="135"/>
        <v>0</v>
      </c>
      <c r="AB124" s="100">
        <f t="shared" si="136"/>
        <v>0</v>
      </c>
      <c r="AC124" s="100">
        <f t="shared" si="137"/>
        <v>0</v>
      </c>
      <c r="AD124" s="100">
        <f t="shared" si="138"/>
        <v>0</v>
      </c>
      <c r="AE124" s="100">
        <f t="shared" si="139"/>
        <v>0</v>
      </c>
      <c r="AF124" s="100">
        <f t="shared" si="140"/>
        <v>0</v>
      </c>
      <c r="AG124" s="100">
        <f t="shared" si="141"/>
        <v>0</v>
      </c>
      <c r="AH124" s="100">
        <f t="shared" si="142"/>
        <v>0</v>
      </c>
      <c r="AI124" s="109"/>
      <c r="AJ124" s="108">
        <f t="shared" si="143"/>
        <v>0</v>
      </c>
      <c r="AK124" s="108">
        <f t="shared" si="144"/>
        <v>0</v>
      </c>
      <c r="AL124" s="108">
        <f t="shared" si="145"/>
        <v>0</v>
      </c>
      <c r="AN124" s="100">
        <v>15</v>
      </c>
      <c r="AO124" s="100">
        <f>H124*0</f>
        <v>0</v>
      </c>
      <c r="AP124" s="100">
        <f>H124*(1-0)</f>
        <v>0</v>
      </c>
      <c r="AQ124" s="111" t="s">
        <v>7</v>
      </c>
      <c r="AV124" s="100">
        <f t="shared" si="146"/>
        <v>0</v>
      </c>
      <c r="AW124" s="100">
        <f t="shared" si="147"/>
        <v>0</v>
      </c>
      <c r="AX124" s="100">
        <f t="shared" si="148"/>
        <v>0</v>
      </c>
      <c r="AY124" s="110" t="s">
        <v>1700</v>
      </c>
      <c r="AZ124" s="110" t="s">
        <v>1730</v>
      </c>
      <c r="BA124" s="109" t="s">
        <v>1737</v>
      </c>
      <c r="BC124" s="100">
        <f t="shared" si="149"/>
        <v>0</v>
      </c>
      <c r="BD124" s="100">
        <f t="shared" si="150"/>
        <v>0</v>
      </c>
      <c r="BE124" s="100">
        <v>0</v>
      </c>
      <c r="BF124" s="100">
        <f>124</f>
        <v>124</v>
      </c>
      <c r="BH124" s="108">
        <f t="shared" si="151"/>
        <v>0</v>
      </c>
      <c r="BI124" s="108">
        <f t="shared" si="152"/>
        <v>0</v>
      </c>
      <c r="BJ124" s="108">
        <f t="shared" si="153"/>
        <v>0</v>
      </c>
    </row>
    <row r="125" spans="1:62" x14ac:dyDescent="0.2">
      <c r="A125" s="117" t="s">
        <v>95</v>
      </c>
      <c r="B125" s="117" t="s">
        <v>653</v>
      </c>
      <c r="C125" s="304" t="s">
        <v>1161</v>
      </c>
      <c r="D125" s="305"/>
      <c r="E125" s="305"/>
      <c r="F125" s="117" t="s">
        <v>1647</v>
      </c>
      <c r="G125" s="116">
        <v>0.12</v>
      </c>
      <c r="H125" s="159"/>
      <c r="I125" s="108">
        <f t="shared" si="132"/>
        <v>0</v>
      </c>
      <c r="J125" s="108">
        <f t="shared" si="133"/>
        <v>0</v>
      </c>
      <c r="K125" s="108">
        <f t="shared" si="134"/>
        <v>0</v>
      </c>
      <c r="L125" s="111" t="s">
        <v>1671</v>
      </c>
      <c r="Z125" s="100">
        <f t="shared" si="135"/>
        <v>0</v>
      </c>
      <c r="AB125" s="100">
        <f t="shared" si="136"/>
        <v>0</v>
      </c>
      <c r="AC125" s="100">
        <f t="shared" si="137"/>
        <v>0</v>
      </c>
      <c r="AD125" s="100">
        <f t="shared" si="138"/>
        <v>0</v>
      </c>
      <c r="AE125" s="100">
        <f t="shared" si="139"/>
        <v>0</v>
      </c>
      <c r="AF125" s="100">
        <f t="shared" si="140"/>
        <v>0</v>
      </c>
      <c r="AG125" s="100">
        <f t="shared" si="141"/>
        <v>0</v>
      </c>
      <c r="AH125" s="100">
        <f t="shared" si="142"/>
        <v>0</v>
      </c>
      <c r="AI125" s="109"/>
      <c r="AJ125" s="108">
        <f t="shared" si="143"/>
        <v>0</v>
      </c>
      <c r="AK125" s="108">
        <f t="shared" si="144"/>
        <v>0</v>
      </c>
      <c r="AL125" s="108">
        <f t="shared" si="145"/>
        <v>0</v>
      </c>
      <c r="AN125" s="100">
        <v>15</v>
      </c>
      <c r="AO125" s="100">
        <f>H125*0</f>
        <v>0</v>
      </c>
      <c r="AP125" s="100">
        <f>H125*(1-0)</f>
        <v>0</v>
      </c>
      <c r="AQ125" s="111" t="s">
        <v>7</v>
      </c>
      <c r="AV125" s="100">
        <f t="shared" si="146"/>
        <v>0</v>
      </c>
      <c r="AW125" s="100">
        <f t="shared" si="147"/>
        <v>0</v>
      </c>
      <c r="AX125" s="100">
        <f t="shared" si="148"/>
        <v>0</v>
      </c>
      <c r="AY125" s="110" t="s">
        <v>1700</v>
      </c>
      <c r="AZ125" s="110" t="s">
        <v>1730</v>
      </c>
      <c r="BA125" s="109" t="s">
        <v>1737</v>
      </c>
      <c r="BC125" s="100">
        <f t="shared" si="149"/>
        <v>0</v>
      </c>
      <c r="BD125" s="100">
        <f t="shared" si="150"/>
        <v>0</v>
      </c>
      <c r="BE125" s="100">
        <v>0</v>
      </c>
      <c r="BF125" s="100">
        <f>125</f>
        <v>125</v>
      </c>
      <c r="BH125" s="108">
        <f t="shared" si="151"/>
        <v>0</v>
      </c>
      <c r="BI125" s="108">
        <f t="shared" si="152"/>
        <v>0</v>
      </c>
      <c r="BJ125" s="108">
        <f t="shared" si="153"/>
        <v>0</v>
      </c>
    </row>
    <row r="126" spans="1:62" x14ac:dyDescent="0.2">
      <c r="A126" s="117" t="s">
        <v>96</v>
      </c>
      <c r="B126" s="117" t="s">
        <v>2849</v>
      </c>
      <c r="C126" s="304" t="s">
        <v>2848</v>
      </c>
      <c r="D126" s="305"/>
      <c r="E126" s="305"/>
      <c r="F126" s="117" t="s">
        <v>1645</v>
      </c>
      <c r="G126" s="116">
        <v>9</v>
      </c>
      <c r="H126" s="159"/>
      <c r="I126" s="108">
        <f t="shared" si="132"/>
        <v>0</v>
      </c>
      <c r="J126" s="108">
        <f t="shared" si="133"/>
        <v>0</v>
      </c>
      <c r="K126" s="108">
        <f t="shared" si="134"/>
        <v>0</v>
      </c>
      <c r="L126" s="111" t="s">
        <v>1671</v>
      </c>
      <c r="Z126" s="100">
        <f t="shared" si="135"/>
        <v>0</v>
      </c>
      <c r="AB126" s="100">
        <f t="shared" si="136"/>
        <v>0</v>
      </c>
      <c r="AC126" s="100">
        <f t="shared" si="137"/>
        <v>0</v>
      </c>
      <c r="AD126" s="100">
        <f t="shared" si="138"/>
        <v>0</v>
      </c>
      <c r="AE126" s="100">
        <f t="shared" si="139"/>
        <v>0</v>
      </c>
      <c r="AF126" s="100">
        <f t="shared" si="140"/>
        <v>0</v>
      </c>
      <c r="AG126" s="100">
        <f t="shared" si="141"/>
        <v>0</v>
      </c>
      <c r="AH126" s="100">
        <f t="shared" si="142"/>
        <v>0</v>
      </c>
      <c r="AI126" s="109"/>
      <c r="AJ126" s="108">
        <f t="shared" si="143"/>
        <v>0</v>
      </c>
      <c r="AK126" s="108">
        <f t="shared" si="144"/>
        <v>0</v>
      </c>
      <c r="AL126" s="108">
        <f t="shared" si="145"/>
        <v>0</v>
      </c>
      <c r="AN126" s="100">
        <v>15</v>
      </c>
      <c r="AO126" s="100">
        <f>H126*0.126456731961319</f>
        <v>0</v>
      </c>
      <c r="AP126" s="100">
        <f>H126*(1-0.126456731961319)</f>
        <v>0</v>
      </c>
      <c r="AQ126" s="111" t="s">
        <v>7</v>
      </c>
      <c r="AV126" s="100">
        <f t="shared" si="146"/>
        <v>0</v>
      </c>
      <c r="AW126" s="100">
        <f t="shared" si="147"/>
        <v>0</v>
      </c>
      <c r="AX126" s="100">
        <f t="shared" si="148"/>
        <v>0</v>
      </c>
      <c r="AY126" s="110" t="s">
        <v>1700</v>
      </c>
      <c r="AZ126" s="110" t="s">
        <v>1730</v>
      </c>
      <c r="BA126" s="109" t="s">
        <v>1737</v>
      </c>
      <c r="BC126" s="100">
        <f t="shared" si="149"/>
        <v>0</v>
      </c>
      <c r="BD126" s="100">
        <f t="shared" si="150"/>
        <v>0</v>
      </c>
      <c r="BE126" s="100">
        <v>0</v>
      </c>
      <c r="BF126" s="100">
        <f>126</f>
        <v>126</v>
      </c>
      <c r="BH126" s="108">
        <f t="shared" si="151"/>
        <v>0</v>
      </c>
      <c r="BI126" s="108">
        <f t="shared" si="152"/>
        <v>0</v>
      </c>
      <c r="BJ126" s="108">
        <f t="shared" si="153"/>
        <v>0</v>
      </c>
    </row>
    <row r="127" spans="1:62" x14ac:dyDescent="0.2">
      <c r="A127" s="117" t="s">
        <v>97</v>
      </c>
      <c r="B127" s="117" t="s">
        <v>654</v>
      </c>
      <c r="C127" s="304" t="s">
        <v>1162</v>
      </c>
      <c r="D127" s="305"/>
      <c r="E127" s="305"/>
      <c r="F127" s="117" t="s">
        <v>1645</v>
      </c>
      <c r="G127" s="116">
        <v>83.04</v>
      </c>
      <c r="H127" s="159"/>
      <c r="I127" s="108">
        <f t="shared" si="132"/>
        <v>0</v>
      </c>
      <c r="J127" s="108">
        <f t="shared" si="133"/>
        <v>0</v>
      </c>
      <c r="K127" s="108">
        <f t="shared" si="134"/>
        <v>0</v>
      </c>
      <c r="L127" s="111" t="s">
        <v>1671</v>
      </c>
      <c r="Z127" s="100">
        <f t="shared" si="135"/>
        <v>0</v>
      </c>
      <c r="AB127" s="100">
        <f t="shared" si="136"/>
        <v>0</v>
      </c>
      <c r="AC127" s="100">
        <f t="shared" si="137"/>
        <v>0</v>
      </c>
      <c r="AD127" s="100">
        <f t="shared" si="138"/>
        <v>0</v>
      </c>
      <c r="AE127" s="100">
        <f t="shared" si="139"/>
        <v>0</v>
      </c>
      <c r="AF127" s="100">
        <f t="shared" si="140"/>
        <v>0</v>
      </c>
      <c r="AG127" s="100">
        <f t="shared" si="141"/>
        <v>0</v>
      </c>
      <c r="AH127" s="100">
        <f t="shared" si="142"/>
        <v>0</v>
      </c>
      <c r="AI127" s="109"/>
      <c r="AJ127" s="108">
        <f t="shared" si="143"/>
        <v>0</v>
      </c>
      <c r="AK127" s="108">
        <f t="shared" si="144"/>
        <v>0</v>
      </c>
      <c r="AL127" s="108">
        <f t="shared" si="145"/>
        <v>0</v>
      </c>
      <c r="AN127" s="100">
        <v>15</v>
      </c>
      <c r="AO127" s="100">
        <f>H127*0.0999480933719373</f>
        <v>0</v>
      </c>
      <c r="AP127" s="100">
        <f>H127*(1-0.0999480933719373)</f>
        <v>0</v>
      </c>
      <c r="AQ127" s="111" t="s">
        <v>7</v>
      </c>
      <c r="AV127" s="100">
        <f t="shared" si="146"/>
        <v>0</v>
      </c>
      <c r="AW127" s="100">
        <f t="shared" si="147"/>
        <v>0</v>
      </c>
      <c r="AX127" s="100">
        <f t="shared" si="148"/>
        <v>0</v>
      </c>
      <c r="AY127" s="110" t="s">
        <v>1700</v>
      </c>
      <c r="AZ127" s="110" t="s">
        <v>1730</v>
      </c>
      <c r="BA127" s="109" t="s">
        <v>1737</v>
      </c>
      <c r="BC127" s="100">
        <f t="shared" si="149"/>
        <v>0</v>
      </c>
      <c r="BD127" s="100">
        <f t="shared" si="150"/>
        <v>0</v>
      </c>
      <c r="BE127" s="100">
        <v>0</v>
      </c>
      <c r="BF127" s="100">
        <f>127</f>
        <v>127</v>
      </c>
      <c r="BH127" s="108">
        <f t="shared" si="151"/>
        <v>0</v>
      </c>
      <c r="BI127" s="108">
        <f t="shared" si="152"/>
        <v>0</v>
      </c>
      <c r="BJ127" s="108">
        <f t="shared" si="153"/>
        <v>0</v>
      </c>
    </row>
    <row r="128" spans="1:62" x14ac:dyDescent="0.2">
      <c r="A128" s="117" t="s">
        <v>98</v>
      </c>
      <c r="B128" s="117" t="s">
        <v>655</v>
      </c>
      <c r="C128" s="304" t="s">
        <v>1163</v>
      </c>
      <c r="D128" s="305"/>
      <c r="E128" s="305"/>
      <c r="F128" s="117" t="s">
        <v>1647</v>
      </c>
      <c r="G128" s="116">
        <v>1.1000000000000001</v>
      </c>
      <c r="H128" s="159"/>
      <c r="I128" s="108">
        <f t="shared" si="132"/>
        <v>0</v>
      </c>
      <c r="J128" s="108">
        <f t="shared" si="133"/>
        <v>0</v>
      </c>
      <c r="K128" s="108">
        <f t="shared" si="134"/>
        <v>0</v>
      </c>
      <c r="L128" s="111" t="s">
        <v>1671</v>
      </c>
      <c r="Z128" s="100">
        <f t="shared" si="135"/>
        <v>0</v>
      </c>
      <c r="AB128" s="100">
        <f t="shared" si="136"/>
        <v>0</v>
      </c>
      <c r="AC128" s="100">
        <f t="shared" si="137"/>
        <v>0</v>
      </c>
      <c r="AD128" s="100">
        <f t="shared" si="138"/>
        <v>0</v>
      </c>
      <c r="AE128" s="100">
        <f t="shared" si="139"/>
        <v>0</v>
      </c>
      <c r="AF128" s="100">
        <f t="shared" si="140"/>
        <v>0</v>
      </c>
      <c r="AG128" s="100">
        <f t="shared" si="141"/>
        <v>0</v>
      </c>
      <c r="AH128" s="100">
        <f t="shared" si="142"/>
        <v>0</v>
      </c>
      <c r="AI128" s="109"/>
      <c r="AJ128" s="108">
        <f t="shared" si="143"/>
        <v>0</v>
      </c>
      <c r="AK128" s="108">
        <f t="shared" si="144"/>
        <v>0</v>
      </c>
      <c r="AL128" s="108">
        <f t="shared" si="145"/>
        <v>0</v>
      </c>
      <c r="AN128" s="100">
        <v>15</v>
      </c>
      <c r="AO128" s="100">
        <f>H128*0.0363940520446097</f>
        <v>0</v>
      </c>
      <c r="AP128" s="100">
        <f>H128*(1-0.0363940520446097)</f>
        <v>0</v>
      </c>
      <c r="AQ128" s="111" t="s">
        <v>7</v>
      </c>
      <c r="AV128" s="100">
        <f t="shared" si="146"/>
        <v>0</v>
      </c>
      <c r="AW128" s="100">
        <f t="shared" si="147"/>
        <v>0</v>
      </c>
      <c r="AX128" s="100">
        <f t="shared" si="148"/>
        <v>0</v>
      </c>
      <c r="AY128" s="110" t="s">
        <v>1700</v>
      </c>
      <c r="AZ128" s="110" t="s">
        <v>1730</v>
      </c>
      <c r="BA128" s="109" t="s">
        <v>1737</v>
      </c>
      <c r="BC128" s="100">
        <f t="shared" si="149"/>
        <v>0</v>
      </c>
      <c r="BD128" s="100">
        <f t="shared" si="150"/>
        <v>0</v>
      </c>
      <c r="BE128" s="100">
        <v>0</v>
      </c>
      <c r="BF128" s="100">
        <f>128</f>
        <v>128</v>
      </c>
      <c r="BH128" s="108">
        <f t="shared" si="151"/>
        <v>0</v>
      </c>
      <c r="BI128" s="108">
        <f t="shared" si="152"/>
        <v>0</v>
      </c>
      <c r="BJ128" s="108">
        <f t="shared" si="153"/>
        <v>0</v>
      </c>
    </row>
    <row r="129" spans="1:62" x14ac:dyDescent="0.2">
      <c r="A129" s="117" t="s">
        <v>99</v>
      </c>
      <c r="B129" s="117" t="s">
        <v>2847</v>
      </c>
      <c r="C129" s="304" t="s">
        <v>2846</v>
      </c>
      <c r="D129" s="305"/>
      <c r="E129" s="305"/>
      <c r="F129" s="117" t="s">
        <v>1645</v>
      </c>
      <c r="G129" s="116">
        <v>6.84</v>
      </c>
      <c r="H129" s="159"/>
      <c r="I129" s="108">
        <f t="shared" si="132"/>
        <v>0</v>
      </c>
      <c r="J129" s="108">
        <f t="shared" si="133"/>
        <v>0</v>
      </c>
      <c r="K129" s="108">
        <f t="shared" si="134"/>
        <v>0</v>
      </c>
      <c r="L129" s="111" t="s">
        <v>1671</v>
      </c>
      <c r="Z129" s="100">
        <f t="shared" si="135"/>
        <v>0</v>
      </c>
      <c r="AB129" s="100">
        <f t="shared" si="136"/>
        <v>0</v>
      </c>
      <c r="AC129" s="100">
        <f t="shared" si="137"/>
        <v>0</v>
      </c>
      <c r="AD129" s="100">
        <f t="shared" si="138"/>
        <v>0</v>
      </c>
      <c r="AE129" s="100">
        <f t="shared" si="139"/>
        <v>0</v>
      </c>
      <c r="AF129" s="100">
        <f t="shared" si="140"/>
        <v>0</v>
      </c>
      <c r="AG129" s="100">
        <f t="shared" si="141"/>
        <v>0</v>
      </c>
      <c r="AH129" s="100">
        <f t="shared" si="142"/>
        <v>0</v>
      </c>
      <c r="AI129" s="109"/>
      <c r="AJ129" s="108">
        <f t="shared" si="143"/>
        <v>0</v>
      </c>
      <c r="AK129" s="108">
        <f t="shared" si="144"/>
        <v>0</v>
      </c>
      <c r="AL129" s="108">
        <f t="shared" si="145"/>
        <v>0</v>
      </c>
      <c r="AN129" s="100">
        <v>15</v>
      </c>
      <c r="AO129" s="100">
        <f>H129*0.0962264150943396</f>
        <v>0</v>
      </c>
      <c r="AP129" s="100">
        <f>H129*(1-0.0962264150943396)</f>
        <v>0</v>
      </c>
      <c r="AQ129" s="111" t="s">
        <v>7</v>
      </c>
      <c r="AV129" s="100">
        <f t="shared" si="146"/>
        <v>0</v>
      </c>
      <c r="AW129" s="100">
        <f t="shared" si="147"/>
        <v>0</v>
      </c>
      <c r="AX129" s="100">
        <f t="shared" si="148"/>
        <v>0</v>
      </c>
      <c r="AY129" s="110" t="s">
        <v>1700</v>
      </c>
      <c r="AZ129" s="110" t="s">
        <v>1730</v>
      </c>
      <c r="BA129" s="109" t="s">
        <v>1737</v>
      </c>
      <c r="BC129" s="100">
        <f t="shared" si="149"/>
        <v>0</v>
      </c>
      <c r="BD129" s="100">
        <f t="shared" si="150"/>
        <v>0</v>
      </c>
      <c r="BE129" s="100">
        <v>0</v>
      </c>
      <c r="BF129" s="100">
        <f>129</f>
        <v>129</v>
      </c>
      <c r="BH129" s="108">
        <f t="shared" si="151"/>
        <v>0</v>
      </c>
      <c r="BI129" s="108">
        <f t="shared" si="152"/>
        <v>0</v>
      </c>
      <c r="BJ129" s="108">
        <f t="shared" si="153"/>
        <v>0</v>
      </c>
    </row>
    <row r="130" spans="1:62" x14ac:dyDescent="0.2">
      <c r="A130" s="117" t="s">
        <v>100</v>
      </c>
      <c r="B130" s="117" t="s">
        <v>657</v>
      </c>
      <c r="C130" s="304" t="s">
        <v>1165</v>
      </c>
      <c r="D130" s="305"/>
      <c r="E130" s="305"/>
      <c r="F130" s="117" t="s">
        <v>1647</v>
      </c>
      <c r="G130" s="116">
        <v>0.15</v>
      </c>
      <c r="H130" s="162"/>
      <c r="I130" s="108">
        <f t="shared" si="132"/>
        <v>0</v>
      </c>
      <c r="J130" s="108">
        <f t="shared" si="133"/>
        <v>0</v>
      </c>
      <c r="K130" s="108">
        <f t="shared" si="134"/>
        <v>0</v>
      </c>
      <c r="L130" s="111" t="s">
        <v>1671</v>
      </c>
      <c r="Z130" s="100">
        <f t="shared" si="135"/>
        <v>0</v>
      </c>
      <c r="AB130" s="100">
        <f t="shared" si="136"/>
        <v>0</v>
      </c>
      <c r="AC130" s="100">
        <f t="shared" si="137"/>
        <v>0</v>
      </c>
      <c r="AD130" s="100">
        <f t="shared" si="138"/>
        <v>0</v>
      </c>
      <c r="AE130" s="100">
        <f t="shared" si="139"/>
        <v>0</v>
      </c>
      <c r="AF130" s="100">
        <f t="shared" si="140"/>
        <v>0</v>
      </c>
      <c r="AG130" s="100">
        <f t="shared" si="141"/>
        <v>0</v>
      </c>
      <c r="AH130" s="100">
        <f t="shared" si="142"/>
        <v>0</v>
      </c>
      <c r="AI130" s="109"/>
      <c r="AJ130" s="108">
        <f t="shared" si="143"/>
        <v>0</v>
      </c>
      <c r="AK130" s="108">
        <f t="shared" si="144"/>
        <v>0</v>
      </c>
      <c r="AL130" s="108">
        <f t="shared" si="145"/>
        <v>0</v>
      </c>
      <c r="AN130" s="100">
        <v>15</v>
      </c>
      <c r="AO130" s="100">
        <f>H130*0</f>
        <v>0</v>
      </c>
      <c r="AP130" s="100">
        <f>H130*(1-0)</f>
        <v>0</v>
      </c>
      <c r="AQ130" s="111" t="s">
        <v>7</v>
      </c>
      <c r="AV130" s="100">
        <f t="shared" si="146"/>
        <v>0</v>
      </c>
      <c r="AW130" s="100">
        <f t="shared" si="147"/>
        <v>0</v>
      </c>
      <c r="AX130" s="100">
        <f t="shared" si="148"/>
        <v>0</v>
      </c>
      <c r="AY130" s="110" t="s">
        <v>1700</v>
      </c>
      <c r="AZ130" s="110" t="s">
        <v>1730</v>
      </c>
      <c r="BA130" s="109" t="s">
        <v>1737</v>
      </c>
      <c r="BC130" s="100">
        <f t="shared" si="149"/>
        <v>0</v>
      </c>
      <c r="BD130" s="100">
        <f t="shared" si="150"/>
        <v>0</v>
      </c>
      <c r="BE130" s="100">
        <v>0</v>
      </c>
      <c r="BF130" s="100">
        <f>130</f>
        <v>130</v>
      </c>
      <c r="BH130" s="108">
        <f t="shared" si="151"/>
        <v>0</v>
      </c>
      <c r="BI130" s="108">
        <f t="shared" si="152"/>
        <v>0</v>
      </c>
      <c r="BJ130" s="108">
        <f t="shared" si="153"/>
        <v>0</v>
      </c>
    </row>
    <row r="131" spans="1:62" x14ac:dyDescent="0.2">
      <c r="A131" s="117" t="s">
        <v>101</v>
      </c>
      <c r="B131" s="117" t="s">
        <v>658</v>
      </c>
      <c r="C131" s="304" t="s">
        <v>2488</v>
      </c>
      <c r="D131" s="305"/>
      <c r="E131" s="305"/>
      <c r="F131" s="117" t="s">
        <v>1645</v>
      </c>
      <c r="G131" s="116">
        <v>18.527999999999999</v>
      </c>
      <c r="H131" s="159"/>
      <c r="I131" s="108">
        <f t="shared" si="132"/>
        <v>0</v>
      </c>
      <c r="J131" s="108">
        <f t="shared" si="133"/>
        <v>0</v>
      </c>
      <c r="K131" s="108">
        <f t="shared" si="134"/>
        <v>0</v>
      </c>
      <c r="L131" s="111" t="s">
        <v>1671</v>
      </c>
      <c r="Z131" s="100">
        <f t="shared" si="135"/>
        <v>0</v>
      </c>
      <c r="AB131" s="100">
        <f t="shared" si="136"/>
        <v>0</v>
      </c>
      <c r="AC131" s="100">
        <f t="shared" si="137"/>
        <v>0</v>
      </c>
      <c r="AD131" s="100">
        <f t="shared" si="138"/>
        <v>0</v>
      </c>
      <c r="AE131" s="100">
        <f t="shared" si="139"/>
        <v>0</v>
      </c>
      <c r="AF131" s="100">
        <f t="shared" si="140"/>
        <v>0</v>
      </c>
      <c r="AG131" s="100">
        <f t="shared" si="141"/>
        <v>0</v>
      </c>
      <c r="AH131" s="100">
        <f t="shared" si="142"/>
        <v>0</v>
      </c>
      <c r="AI131" s="109"/>
      <c r="AJ131" s="108">
        <f t="shared" si="143"/>
        <v>0</v>
      </c>
      <c r="AK131" s="108">
        <f t="shared" si="144"/>
        <v>0</v>
      </c>
      <c r="AL131" s="108">
        <f t="shared" si="145"/>
        <v>0</v>
      </c>
      <c r="AN131" s="100">
        <v>15</v>
      </c>
      <c r="AO131" s="100">
        <f>H131*0</f>
        <v>0</v>
      </c>
      <c r="AP131" s="100">
        <f>H131*(1-0)</f>
        <v>0</v>
      </c>
      <c r="AQ131" s="111" t="s">
        <v>7</v>
      </c>
      <c r="AV131" s="100">
        <f t="shared" si="146"/>
        <v>0</v>
      </c>
      <c r="AW131" s="100">
        <f t="shared" si="147"/>
        <v>0</v>
      </c>
      <c r="AX131" s="100">
        <f t="shared" si="148"/>
        <v>0</v>
      </c>
      <c r="AY131" s="110" t="s">
        <v>1700</v>
      </c>
      <c r="AZ131" s="110" t="s">
        <v>1730</v>
      </c>
      <c r="BA131" s="109" t="s">
        <v>1737</v>
      </c>
      <c r="BC131" s="100">
        <f t="shared" si="149"/>
        <v>0</v>
      </c>
      <c r="BD131" s="100">
        <f t="shared" si="150"/>
        <v>0</v>
      </c>
      <c r="BE131" s="100">
        <v>0</v>
      </c>
      <c r="BF131" s="100">
        <f>131</f>
        <v>131</v>
      </c>
      <c r="BH131" s="108">
        <f t="shared" si="151"/>
        <v>0</v>
      </c>
      <c r="BI131" s="108">
        <f t="shared" si="152"/>
        <v>0</v>
      </c>
      <c r="BJ131" s="108">
        <f t="shared" si="153"/>
        <v>0</v>
      </c>
    </row>
    <row r="132" spans="1:62" x14ac:dyDescent="0.2">
      <c r="A132" s="117" t="s">
        <v>102</v>
      </c>
      <c r="B132" s="117" t="s">
        <v>659</v>
      </c>
      <c r="C132" s="304" t="s">
        <v>2487</v>
      </c>
      <c r="D132" s="305"/>
      <c r="E132" s="305"/>
      <c r="F132" s="117" t="s">
        <v>1646</v>
      </c>
      <c r="G132" s="116">
        <v>20.100000000000001</v>
      </c>
      <c r="H132" s="159"/>
      <c r="I132" s="108">
        <f t="shared" si="132"/>
        <v>0</v>
      </c>
      <c r="J132" s="108">
        <f t="shared" si="133"/>
        <v>0</v>
      </c>
      <c r="K132" s="108">
        <f t="shared" si="134"/>
        <v>0</v>
      </c>
      <c r="L132" s="111" t="s">
        <v>1671</v>
      </c>
      <c r="Z132" s="100">
        <f t="shared" si="135"/>
        <v>0</v>
      </c>
      <c r="AB132" s="100">
        <f t="shared" si="136"/>
        <v>0</v>
      </c>
      <c r="AC132" s="100">
        <f t="shared" si="137"/>
        <v>0</v>
      </c>
      <c r="AD132" s="100">
        <f t="shared" si="138"/>
        <v>0</v>
      </c>
      <c r="AE132" s="100">
        <f t="shared" si="139"/>
        <v>0</v>
      </c>
      <c r="AF132" s="100">
        <f t="shared" si="140"/>
        <v>0</v>
      </c>
      <c r="AG132" s="100">
        <f t="shared" si="141"/>
        <v>0</v>
      </c>
      <c r="AH132" s="100">
        <f t="shared" si="142"/>
        <v>0</v>
      </c>
      <c r="AI132" s="109"/>
      <c r="AJ132" s="108">
        <f t="shared" si="143"/>
        <v>0</v>
      </c>
      <c r="AK132" s="108">
        <f t="shared" si="144"/>
        <v>0</v>
      </c>
      <c r="AL132" s="108">
        <f t="shared" si="145"/>
        <v>0</v>
      </c>
      <c r="AN132" s="100">
        <v>15</v>
      </c>
      <c r="AO132" s="100">
        <f>H132*0</f>
        <v>0</v>
      </c>
      <c r="AP132" s="100">
        <f>H132*(1-0)</f>
        <v>0</v>
      </c>
      <c r="AQ132" s="111" t="s">
        <v>7</v>
      </c>
      <c r="AV132" s="100">
        <f t="shared" si="146"/>
        <v>0</v>
      </c>
      <c r="AW132" s="100">
        <f t="shared" si="147"/>
        <v>0</v>
      </c>
      <c r="AX132" s="100">
        <f t="shared" si="148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49"/>
        <v>0</v>
      </c>
      <c r="BD132" s="100">
        <f t="shared" si="150"/>
        <v>0</v>
      </c>
      <c r="BE132" s="100">
        <v>0</v>
      </c>
      <c r="BF132" s="100">
        <f>132</f>
        <v>132</v>
      </c>
      <c r="BH132" s="108">
        <f t="shared" si="151"/>
        <v>0</v>
      </c>
      <c r="BI132" s="108">
        <f t="shared" si="152"/>
        <v>0</v>
      </c>
      <c r="BJ132" s="108">
        <f t="shared" si="153"/>
        <v>0</v>
      </c>
    </row>
    <row r="133" spans="1:62" x14ac:dyDescent="0.2">
      <c r="A133" s="117" t="s">
        <v>103</v>
      </c>
      <c r="B133" s="117" t="s">
        <v>660</v>
      </c>
      <c r="C133" s="304" t="s">
        <v>2486</v>
      </c>
      <c r="D133" s="305"/>
      <c r="E133" s="305"/>
      <c r="F133" s="117" t="s">
        <v>1645</v>
      </c>
      <c r="G133" s="116">
        <v>18.527999999999999</v>
      </c>
      <c r="H133" s="159"/>
      <c r="I133" s="108">
        <f t="shared" si="132"/>
        <v>0</v>
      </c>
      <c r="J133" s="108">
        <f t="shared" si="133"/>
        <v>0</v>
      </c>
      <c r="K133" s="108">
        <f t="shared" si="134"/>
        <v>0</v>
      </c>
      <c r="L133" s="111" t="s">
        <v>1671</v>
      </c>
      <c r="Z133" s="100">
        <f t="shared" si="135"/>
        <v>0</v>
      </c>
      <c r="AB133" s="100">
        <f t="shared" si="136"/>
        <v>0</v>
      </c>
      <c r="AC133" s="100">
        <f t="shared" si="137"/>
        <v>0</v>
      </c>
      <c r="AD133" s="100">
        <f t="shared" si="138"/>
        <v>0</v>
      </c>
      <c r="AE133" s="100">
        <f t="shared" si="139"/>
        <v>0</v>
      </c>
      <c r="AF133" s="100">
        <f t="shared" si="140"/>
        <v>0</v>
      </c>
      <c r="AG133" s="100">
        <f t="shared" si="141"/>
        <v>0</v>
      </c>
      <c r="AH133" s="100">
        <f t="shared" si="142"/>
        <v>0</v>
      </c>
      <c r="AI133" s="109"/>
      <c r="AJ133" s="108">
        <f t="shared" si="143"/>
        <v>0</v>
      </c>
      <c r="AK133" s="108">
        <f t="shared" si="144"/>
        <v>0</v>
      </c>
      <c r="AL133" s="108">
        <f t="shared" si="145"/>
        <v>0</v>
      </c>
      <c r="AN133" s="100">
        <v>15</v>
      </c>
      <c r="AO133" s="100">
        <f>H133*0</f>
        <v>0</v>
      </c>
      <c r="AP133" s="100">
        <f>H133*(1-0)</f>
        <v>0</v>
      </c>
      <c r="AQ133" s="111" t="s">
        <v>7</v>
      </c>
      <c r="AV133" s="100">
        <f t="shared" si="146"/>
        <v>0</v>
      </c>
      <c r="AW133" s="100">
        <f t="shared" si="147"/>
        <v>0</v>
      </c>
      <c r="AX133" s="100">
        <f t="shared" si="148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49"/>
        <v>0</v>
      </c>
      <c r="BD133" s="100">
        <f t="shared" si="150"/>
        <v>0</v>
      </c>
      <c r="BE133" s="100">
        <v>0</v>
      </c>
      <c r="BF133" s="100">
        <f>133</f>
        <v>133</v>
      </c>
      <c r="BH133" s="108">
        <f t="shared" si="151"/>
        <v>0</v>
      </c>
      <c r="BI133" s="108">
        <f t="shared" si="152"/>
        <v>0</v>
      </c>
      <c r="BJ133" s="108">
        <f t="shared" si="153"/>
        <v>0</v>
      </c>
    </row>
    <row r="134" spans="1:62" x14ac:dyDescent="0.2">
      <c r="A134" s="117" t="s">
        <v>104</v>
      </c>
      <c r="B134" s="117" t="s">
        <v>662</v>
      </c>
      <c r="C134" s="304" t="s">
        <v>1170</v>
      </c>
      <c r="D134" s="305"/>
      <c r="E134" s="305"/>
      <c r="F134" s="117" t="s">
        <v>1644</v>
      </c>
      <c r="G134" s="116">
        <v>1</v>
      </c>
      <c r="H134" s="159"/>
      <c r="I134" s="108">
        <f t="shared" si="132"/>
        <v>0</v>
      </c>
      <c r="J134" s="108">
        <f t="shared" si="133"/>
        <v>0</v>
      </c>
      <c r="K134" s="108">
        <f t="shared" si="134"/>
        <v>0</v>
      </c>
      <c r="L134" s="111" t="s">
        <v>1671</v>
      </c>
      <c r="Z134" s="100">
        <f t="shared" si="135"/>
        <v>0</v>
      </c>
      <c r="AB134" s="100">
        <f t="shared" si="136"/>
        <v>0</v>
      </c>
      <c r="AC134" s="100">
        <f t="shared" si="137"/>
        <v>0</v>
      </c>
      <c r="AD134" s="100">
        <f t="shared" si="138"/>
        <v>0</v>
      </c>
      <c r="AE134" s="100">
        <f t="shared" si="139"/>
        <v>0</v>
      </c>
      <c r="AF134" s="100">
        <f t="shared" si="140"/>
        <v>0</v>
      </c>
      <c r="AG134" s="100">
        <f t="shared" si="141"/>
        <v>0</v>
      </c>
      <c r="AH134" s="100">
        <f t="shared" si="142"/>
        <v>0</v>
      </c>
      <c r="AI134" s="109"/>
      <c r="AJ134" s="108">
        <f t="shared" si="143"/>
        <v>0</v>
      </c>
      <c r="AK134" s="108">
        <f t="shared" si="144"/>
        <v>0</v>
      </c>
      <c r="AL134" s="108">
        <f t="shared" si="145"/>
        <v>0</v>
      </c>
      <c r="AN134" s="100">
        <v>15</v>
      </c>
      <c r="AO134" s="100">
        <f>H134*0.14559068800201</f>
        <v>0</v>
      </c>
      <c r="AP134" s="100">
        <f>H134*(1-0.14559068800201)</f>
        <v>0</v>
      </c>
      <c r="AQ134" s="111" t="s">
        <v>7</v>
      </c>
      <c r="AV134" s="100">
        <f t="shared" si="146"/>
        <v>0</v>
      </c>
      <c r="AW134" s="100">
        <f t="shared" si="147"/>
        <v>0</v>
      </c>
      <c r="AX134" s="100">
        <f t="shared" si="148"/>
        <v>0</v>
      </c>
      <c r="AY134" s="110" t="s">
        <v>1700</v>
      </c>
      <c r="AZ134" s="110" t="s">
        <v>1730</v>
      </c>
      <c r="BA134" s="109" t="s">
        <v>1737</v>
      </c>
      <c r="BC134" s="100">
        <f t="shared" si="149"/>
        <v>0</v>
      </c>
      <c r="BD134" s="100">
        <f t="shared" si="150"/>
        <v>0</v>
      </c>
      <c r="BE134" s="100">
        <v>0</v>
      </c>
      <c r="BF134" s="100">
        <f>134</f>
        <v>134</v>
      </c>
      <c r="BH134" s="108">
        <f t="shared" si="151"/>
        <v>0</v>
      </c>
      <c r="BI134" s="108">
        <f t="shared" si="152"/>
        <v>0</v>
      </c>
      <c r="BJ134" s="108">
        <f t="shared" si="153"/>
        <v>0</v>
      </c>
    </row>
    <row r="135" spans="1:62" x14ac:dyDescent="0.2">
      <c r="A135" s="117" t="s">
        <v>105</v>
      </c>
      <c r="B135" s="117" t="s">
        <v>2145</v>
      </c>
      <c r="C135" s="304" t="s">
        <v>2144</v>
      </c>
      <c r="D135" s="305"/>
      <c r="E135" s="305"/>
      <c r="F135" s="117" t="s">
        <v>1644</v>
      </c>
      <c r="G135" s="116">
        <v>1</v>
      </c>
      <c r="H135" s="159"/>
      <c r="I135" s="108">
        <f t="shared" si="132"/>
        <v>0</v>
      </c>
      <c r="J135" s="108">
        <f t="shared" si="133"/>
        <v>0</v>
      </c>
      <c r="K135" s="108">
        <f t="shared" si="134"/>
        <v>0</v>
      </c>
      <c r="L135" s="111" t="s">
        <v>1671</v>
      </c>
      <c r="Z135" s="100">
        <f t="shared" si="135"/>
        <v>0</v>
      </c>
      <c r="AB135" s="100">
        <f t="shared" si="136"/>
        <v>0</v>
      </c>
      <c r="AC135" s="100">
        <f t="shared" si="137"/>
        <v>0</v>
      </c>
      <c r="AD135" s="100">
        <f t="shared" si="138"/>
        <v>0</v>
      </c>
      <c r="AE135" s="100">
        <f t="shared" si="139"/>
        <v>0</v>
      </c>
      <c r="AF135" s="100">
        <f t="shared" si="140"/>
        <v>0</v>
      </c>
      <c r="AG135" s="100">
        <f t="shared" si="141"/>
        <v>0</v>
      </c>
      <c r="AH135" s="100">
        <f t="shared" si="142"/>
        <v>0</v>
      </c>
      <c r="AI135" s="109"/>
      <c r="AJ135" s="108">
        <f t="shared" si="143"/>
        <v>0</v>
      </c>
      <c r="AK135" s="108">
        <f t="shared" si="144"/>
        <v>0</v>
      </c>
      <c r="AL135" s="108">
        <f t="shared" si="145"/>
        <v>0</v>
      </c>
      <c r="AN135" s="100">
        <v>15</v>
      </c>
      <c r="AO135" s="100">
        <f>H135*0.14559</f>
        <v>0</v>
      </c>
      <c r="AP135" s="100">
        <f>H135*(1-0.14559)</f>
        <v>0</v>
      </c>
      <c r="AQ135" s="111" t="s">
        <v>7</v>
      </c>
      <c r="AV135" s="100">
        <f t="shared" si="146"/>
        <v>0</v>
      </c>
      <c r="AW135" s="100">
        <f t="shared" si="147"/>
        <v>0</v>
      </c>
      <c r="AX135" s="100">
        <f t="shared" si="148"/>
        <v>0</v>
      </c>
      <c r="AY135" s="110" t="s">
        <v>1700</v>
      </c>
      <c r="AZ135" s="110" t="s">
        <v>1730</v>
      </c>
      <c r="BA135" s="109" t="s">
        <v>1737</v>
      </c>
      <c r="BC135" s="100">
        <f t="shared" si="149"/>
        <v>0</v>
      </c>
      <c r="BD135" s="100">
        <f t="shared" si="150"/>
        <v>0</v>
      </c>
      <c r="BE135" s="100">
        <v>0</v>
      </c>
      <c r="BF135" s="100">
        <f>135</f>
        <v>135</v>
      </c>
      <c r="BH135" s="108">
        <f t="shared" si="151"/>
        <v>0</v>
      </c>
      <c r="BI135" s="108">
        <f t="shared" si="152"/>
        <v>0</v>
      </c>
      <c r="BJ135" s="108">
        <f t="shared" si="153"/>
        <v>0</v>
      </c>
    </row>
    <row r="136" spans="1:62" x14ac:dyDescent="0.2">
      <c r="A136" s="117" t="s">
        <v>106</v>
      </c>
      <c r="B136" s="117" t="s">
        <v>663</v>
      </c>
      <c r="C136" s="304" t="s">
        <v>1171</v>
      </c>
      <c r="D136" s="305"/>
      <c r="E136" s="305"/>
      <c r="F136" s="117" t="s">
        <v>1644</v>
      </c>
      <c r="G136" s="116">
        <v>12</v>
      </c>
      <c r="H136" s="159"/>
      <c r="I136" s="108">
        <f t="shared" si="132"/>
        <v>0</v>
      </c>
      <c r="J136" s="108">
        <f t="shared" si="133"/>
        <v>0</v>
      </c>
      <c r="K136" s="108">
        <f t="shared" si="134"/>
        <v>0</v>
      </c>
      <c r="L136" s="111" t="s">
        <v>1671</v>
      </c>
      <c r="Z136" s="100">
        <f t="shared" si="135"/>
        <v>0</v>
      </c>
      <c r="AB136" s="100">
        <f t="shared" si="136"/>
        <v>0</v>
      </c>
      <c r="AC136" s="100">
        <f t="shared" si="137"/>
        <v>0</v>
      </c>
      <c r="AD136" s="100">
        <f t="shared" si="138"/>
        <v>0</v>
      </c>
      <c r="AE136" s="100">
        <f t="shared" si="139"/>
        <v>0</v>
      </c>
      <c r="AF136" s="100">
        <f t="shared" si="140"/>
        <v>0</v>
      </c>
      <c r="AG136" s="100">
        <f t="shared" si="141"/>
        <v>0</v>
      </c>
      <c r="AH136" s="100">
        <f t="shared" si="142"/>
        <v>0</v>
      </c>
      <c r="AI136" s="109"/>
      <c r="AJ136" s="108">
        <f t="shared" si="143"/>
        <v>0</v>
      </c>
      <c r="AK136" s="108">
        <f t="shared" si="144"/>
        <v>0</v>
      </c>
      <c r="AL136" s="108">
        <f t="shared" si="145"/>
        <v>0</v>
      </c>
      <c r="AN136" s="100">
        <v>15</v>
      </c>
      <c r="AO136" s="100">
        <f>H136*0.000181818181818182</f>
        <v>0</v>
      </c>
      <c r="AP136" s="100">
        <f>H136*(1-0.000181818181818182)</f>
        <v>0</v>
      </c>
      <c r="AQ136" s="111" t="s">
        <v>7</v>
      </c>
      <c r="AV136" s="100">
        <f t="shared" si="146"/>
        <v>0</v>
      </c>
      <c r="AW136" s="100">
        <f t="shared" si="147"/>
        <v>0</v>
      </c>
      <c r="AX136" s="100">
        <f t="shared" si="148"/>
        <v>0</v>
      </c>
      <c r="AY136" s="110" t="s">
        <v>1700</v>
      </c>
      <c r="AZ136" s="110" t="s">
        <v>1730</v>
      </c>
      <c r="BA136" s="109" t="s">
        <v>1737</v>
      </c>
      <c r="BC136" s="100">
        <f t="shared" si="149"/>
        <v>0</v>
      </c>
      <c r="BD136" s="100">
        <f t="shared" si="150"/>
        <v>0</v>
      </c>
      <c r="BE136" s="100">
        <v>0</v>
      </c>
      <c r="BF136" s="100">
        <f>136</f>
        <v>136</v>
      </c>
      <c r="BH136" s="108">
        <f t="shared" si="151"/>
        <v>0</v>
      </c>
      <c r="BI136" s="108">
        <f t="shared" si="152"/>
        <v>0</v>
      </c>
      <c r="BJ136" s="108">
        <f t="shared" si="153"/>
        <v>0</v>
      </c>
    </row>
    <row r="137" spans="1:62" x14ac:dyDescent="0.2">
      <c r="A137" s="117" t="s">
        <v>107</v>
      </c>
      <c r="B137" s="117" t="s">
        <v>664</v>
      </c>
      <c r="C137" s="304" t="s">
        <v>2845</v>
      </c>
      <c r="D137" s="305"/>
      <c r="E137" s="305"/>
      <c r="F137" s="117" t="s">
        <v>1645</v>
      </c>
      <c r="G137" s="116">
        <v>0.85</v>
      </c>
      <c r="H137" s="159"/>
      <c r="I137" s="108">
        <f t="shared" si="132"/>
        <v>0</v>
      </c>
      <c r="J137" s="108">
        <f t="shared" si="133"/>
        <v>0</v>
      </c>
      <c r="K137" s="108">
        <f t="shared" si="134"/>
        <v>0</v>
      </c>
      <c r="L137" s="111" t="s">
        <v>1671</v>
      </c>
      <c r="Z137" s="100">
        <f t="shared" si="135"/>
        <v>0</v>
      </c>
      <c r="AB137" s="100">
        <f t="shared" si="136"/>
        <v>0</v>
      </c>
      <c r="AC137" s="100">
        <f t="shared" si="137"/>
        <v>0</v>
      </c>
      <c r="AD137" s="100">
        <f t="shared" si="138"/>
        <v>0</v>
      </c>
      <c r="AE137" s="100">
        <f t="shared" si="139"/>
        <v>0</v>
      </c>
      <c r="AF137" s="100">
        <f t="shared" si="140"/>
        <v>0</v>
      </c>
      <c r="AG137" s="100">
        <f t="shared" si="141"/>
        <v>0</v>
      </c>
      <c r="AH137" s="100">
        <f t="shared" si="142"/>
        <v>0</v>
      </c>
      <c r="AI137" s="109"/>
      <c r="AJ137" s="108">
        <f t="shared" si="143"/>
        <v>0</v>
      </c>
      <c r="AK137" s="108">
        <f t="shared" si="144"/>
        <v>0</v>
      </c>
      <c r="AL137" s="108">
        <f t="shared" si="145"/>
        <v>0</v>
      </c>
      <c r="AN137" s="100">
        <v>15</v>
      </c>
      <c r="AO137" s="100">
        <f>H137*0.0431358333882555</f>
        <v>0</v>
      </c>
      <c r="AP137" s="100">
        <f>H137*(1-0.0431358333882555)</f>
        <v>0</v>
      </c>
      <c r="AQ137" s="111" t="s">
        <v>7</v>
      </c>
      <c r="AV137" s="100">
        <f t="shared" si="146"/>
        <v>0</v>
      </c>
      <c r="AW137" s="100">
        <f t="shared" si="147"/>
        <v>0</v>
      </c>
      <c r="AX137" s="100">
        <f t="shared" si="148"/>
        <v>0</v>
      </c>
      <c r="AY137" s="110" t="s">
        <v>1700</v>
      </c>
      <c r="AZ137" s="110" t="s">
        <v>1730</v>
      </c>
      <c r="BA137" s="109" t="s">
        <v>1737</v>
      </c>
      <c r="BC137" s="100">
        <f t="shared" si="149"/>
        <v>0</v>
      </c>
      <c r="BD137" s="100">
        <f t="shared" si="150"/>
        <v>0</v>
      </c>
      <c r="BE137" s="100">
        <v>0</v>
      </c>
      <c r="BF137" s="100">
        <f>137</f>
        <v>137</v>
      </c>
      <c r="BH137" s="108">
        <f t="shared" si="151"/>
        <v>0</v>
      </c>
      <c r="BI137" s="108">
        <f t="shared" si="152"/>
        <v>0</v>
      </c>
      <c r="BJ137" s="108">
        <f t="shared" si="153"/>
        <v>0</v>
      </c>
    </row>
    <row r="138" spans="1:62" x14ac:dyDescent="0.2">
      <c r="A138" s="117" t="s">
        <v>108</v>
      </c>
      <c r="B138" s="117" t="s">
        <v>665</v>
      </c>
      <c r="C138" s="304" t="s">
        <v>1173</v>
      </c>
      <c r="D138" s="305"/>
      <c r="E138" s="305"/>
      <c r="F138" s="117" t="s">
        <v>1645</v>
      </c>
      <c r="G138" s="116">
        <v>58.128</v>
      </c>
      <c r="H138" s="159"/>
      <c r="I138" s="108">
        <f t="shared" si="132"/>
        <v>0</v>
      </c>
      <c r="J138" s="108">
        <f t="shared" si="133"/>
        <v>0</v>
      </c>
      <c r="K138" s="108">
        <f t="shared" si="134"/>
        <v>0</v>
      </c>
      <c r="L138" s="111" t="s">
        <v>1671</v>
      </c>
      <c r="Z138" s="100">
        <f t="shared" si="135"/>
        <v>0</v>
      </c>
      <c r="AB138" s="100">
        <f t="shared" si="136"/>
        <v>0</v>
      </c>
      <c r="AC138" s="100">
        <f t="shared" si="137"/>
        <v>0</v>
      </c>
      <c r="AD138" s="100">
        <f t="shared" si="138"/>
        <v>0</v>
      </c>
      <c r="AE138" s="100">
        <f t="shared" si="139"/>
        <v>0</v>
      </c>
      <c r="AF138" s="100">
        <f t="shared" si="140"/>
        <v>0</v>
      </c>
      <c r="AG138" s="100">
        <f t="shared" si="141"/>
        <v>0</v>
      </c>
      <c r="AH138" s="100">
        <f t="shared" si="142"/>
        <v>0</v>
      </c>
      <c r="AI138" s="109"/>
      <c r="AJ138" s="108">
        <f t="shared" si="143"/>
        <v>0</v>
      </c>
      <c r="AK138" s="108">
        <f t="shared" si="144"/>
        <v>0</v>
      </c>
      <c r="AL138" s="108">
        <f t="shared" si="145"/>
        <v>0</v>
      </c>
      <c r="AN138" s="100">
        <v>15</v>
      </c>
      <c r="AO138" s="100">
        <f>H138*0.014750955909833</f>
        <v>0</v>
      </c>
      <c r="AP138" s="100">
        <f>H138*(1-0.014750955909833)</f>
        <v>0</v>
      </c>
      <c r="AQ138" s="111" t="s">
        <v>7</v>
      </c>
      <c r="AV138" s="100">
        <f t="shared" si="146"/>
        <v>0</v>
      </c>
      <c r="AW138" s="100">
        <f t="shared" si="147"/>
        <v>0</v>
      </c>
      <c r="AX138" s="100">
        <f t="shared" si="148"/>
        <v>0</v>
      </c>
      <c r="AY138" s="110" t="s">
        <v>1700</v>
      </c>
      <c r="AZ138" s="110" t="s">
        <v>1730</v>
      </c>
      <c r="BA138" s="109" t="s">
        <v>1737</v>
      </c>
      <c r="BC138" s="100">
        <f t="shared" si="149"/>
        <v>0</v>
      </c>
      <c r="BD138" s="100">
        <f t="shared" si="150"/>
        <v>0</v>
      </c>
      <c r="BE138" s="100">
        <v>0</v>
      </c>
      <c r="BF138" s="100">
        <f>138</f>
        <v>138</v>
      </c>
      <c r="BH138" s="108">
        <f t="shared" si="151"/>
        <v>0</v>
      </c>
      <c r="BI138" s="108">
        <f t="shared" si="152"/>
        <v>0</v>
      </c>
      <c r="BJ138" s="108">
        <f t="shared" si="153"/>
        <v>0</v>
      </c>
    </row>
    <row r="139" spans="1:62" x14ac:dyDescent="0.2">
      <c r="A139" s="117" t="s">
        <v>109</v>
      </c>
      <c r="B139" s="117" t="s">
        <v>666</v>
      </c>
      <c r="C139" s="304" t="s">
        <v>1174</v>
      </c>
      <c r="D139" s="305"/>
      <c r="E139" s="305"/>
      <c r="F139" s="117" t="s">
        <v>1645</v>
      </c>
      <c r="G139" s="116">
        <v>24.911999999999999</v>
      </c>
      <c r="H139" s="159"/>
      <c r="I139" s="108">
        <f t="shared" si="132"/>
        <v>0</v>
      </c>
      <c r="J139" s="108">
        <f t="shared" si="133"/>
        <v>0</v>
      </c>
      <c r="K139" s="108">
        <f t="shared" si="134"/>
        <v>0</v>
      </c>
      <c r="L139" s="111" t="s">
        <v>1671</v>
      </c>
      <c r="Z139" s="100">
        <f t="shared" si="135"/>
        <v>0</v>
      </c>
      <c r="AB139" s="100">
        <f t="shared" si="136"/>
        <v>0</v>
      </c>
      <c r="AC139" s="100">
        <f t="shared" si="137"/>
        <v>0</v>
      </c>
      <c r="AD139" s="100">
        <f t="shared" si="138"/>
        <v>0</v>
      </c>
      <c r="AE139" s="100">
        <f t="shared" si="139"/>
        <v>0</v>
      </c>
      <c r="AF139" s="100">
        <f t="shared" si="140"/>
        <v>0</v>
      </c>
      <c r="AG139" s="100">
        <f t="shared" si="141"/>
        <v>0</v>
      </c>
      <c r="AH139" s="100">
        <f t="shared" si="142"/>
        <v>0</v>
      </c>
      <c r="AI139" s="109"/>
      <c r="AJ139" s="108">
        <f t="shared" si="143"/>
        <v>0</v>
      </c>
      <c r="AK139" s="108">
        <f t="shared" si="144"/>
        <v>0</v>
      </c>
      <c r="AL139" s="108">
        <f t="shared" si="145"/>
        <v>0</v>
      </c>
      <c r="AN139" s="100">
        <v>15</v>
      </c>
      <c r="AO139" s="100">
        <f>H139*0.0103628865979381</f>
        <v>0</v>
      </c>
      <c r="AP139" s="100">
        <f>H139*(1-0.0103628865979381)</f>
        <v>0</v>
      </c>
      <c r="AQ139" s="111" t="s">
        <v>7</v>
      </c>
      <c r="AV139" s="100">
        <f t="shared" si="146"/>
        <v>0</v>
      </c>
      <c r="AW139" s="100">
        <f t="shared" si="147"/>
        <v>0</v>
      </c>
      <c r="AX139" s="100">
        <f t="shared" si="148"/>
        <v>0</v>
      </c>
      <c r="AY139" s="110" t="s">
        <v>1700</v>
      </c>
      <c r="AZ139" s="110" t="s">
        <v>1730</v>
      </c>
      <c r="BA139" s="109" t="s">
        <v>1737</v>
      </c>
      <c r="BC139" s="100">
        <f t="shared" si="149"/>
        <v>0</v>
      </c>
      <c r="BD139" s="100">
        <f t="shared" si="150"/>
        <v>0</v>
      </c>
      <c r="BE139" s="100">
        <v>0</v>
      </c>
      <c r="BF139" s="100">
        <f>139</f>
        <v>139</v>
      </c>
      <c r="BH139" s="108">
        <f t="shared" si="151"/>
        <v>0</v>
      </c>
      <c r="BI139" s="108">
        <f t="shared" si="152"/>
        <v>0</v>
      </c>
      <c r="BJ139" s="108">
        <f t="shared" si="153"/>
        <v>0</v>
      </c>
    </row>
    <row r="140" spans="1:62" x14ac:dyDescent="0.2">
      <c r="A140" s="117" t="s">
        <v>110</v>
      </c>
      <c r="B140" s="117" t="s">
        <v>2844</v>
      </c>
      <c r="C140" s="304" t="s">
        <v>2843</v>
      </c>
      <c r="D140" s="305"/>
      <c r="E140" s="305"/>
      <c r="F140" s="117" t="s">
        <v>1644</v>
      </c>
      <c r="G140" s="116">
        <v>7</v>
      </c>
      <c r="H140" s="159"/>
      <c r="I140" s="108">
        <f t="shared" si="132"/>
        <v>0</v>
      </c>
      <c r="J140" s="108">
        <f t="shared" si="133"/>
        <v>0</v>
      </c>
      <c r="K140" s="108">
        <f t="shared" si="134"/>
        <v>0</v>
      </c>
      <c r="L140" s="111" t="s">
        <v>1671</v>
      </c>
      <c r="Z140" s="100">
        <f t="shared" si="135"/>
        <v>0</v>
      </c>
      <c r="AB140" s="100">
        <f t="shared" si="136"/>
        <v>0</v>
      </c>
      <c r="AC140" s="100">
        <f t="shared" si="137"/>
        <v>0</v>
      </c>
      <c r="AD140" s="100">
        <f t="shared" si="138"/>
        <v>0</v>
      </c>
      <c r="AE140" s="100">
        <f t="shared" si="139"/>
        <v>0</v>
      </c>
      <c r="AF140" s="100">
        <f t="shared" si="140"/>
        <v>0</v>
      </c>
      <c r="AG140" s="100">
        <f t="shared" si="141"/>
        <v>0</v>
      </c>
      <c r="AH140" s="100">
        <f t="shared" si="142"/>
        <v>0</v>
      </c>
      <c r="AI140" s="109"/>
      <c r="AJ140" s="108">
        <f t="shared" si="143"/>
        <v>0</v>
      </c>
      <c r="AK140" s="108">
        <f t="shared" si="144"/>
        <v>0</v>
      </c>
      <c r="AL140" s="108">
        <f t="shared" si="145"/>
        <v>0</v>
      </c>
      <c r="AN140" s="100">
        <v>15</v>
      </c>
      <c r="AO140" s="100">
        <f>H140*0</f>
        <v>0</v>
      </c>
      <c r="AP140" s="100">
        <f>H140*(1-0)</f>
        <v>0</v>
      </c>
      <c r="AQ140" s="111" t="s">
        <v>7</v>
      </c>
      <c r="AV140" s="100">
        <f t="shared" si="146"/>
        <v>0</v>
      </c>
      <c r="AW140" s="100">
        <f t="shared" si="147"/>
        <v>0</v>
      </c>
      <c r="AX140" s="100">
        <f t="shared" si="148"/>
        <v>0</v>
      </c>
      <c r="AY140" s="110" t="s">
        <v>1700</v>
      </c>
      <c r="AZ140" s="110" t="s">
        <v>1730</v>
      </c>
      <c r="BA140" s="109" t="s">
        <v>1737</v>
      </c>
      <c r="BC140" s="100">
        <f t="shared" si="149"/>
        <v>0</v>
      </c>
      <c r="BD140" s="100">
        <f t="shared" si="150"/>
        <v>0</v>
      </c>
      <c r="BE140" s="100">
        <v>0</v>
      </c>
      <c r="BF140" s="100">
        <f>140</f>
        <v>140</v>
      </c>
      <c r="BH140" s="108">
        <f t="shared" si="151"/>
        <v>0</v>
      </c>
      <c r="BI140" s="108">
        <f t="shared" si="152"/>
        <v>0</v>
      </c>
      <c r="BJ140" s="108">
        <f t="shared" si="153"/>
        <v>0</v>
      </c>
    </row>
    <row r="141" spans="1:62" x14ac:dyDescent="0.2">
      <c r="A141" s="117" t="s">
        <v>111</v>
      </c>
      <c r="B141" s="117" t="s">
        <v>2842</v>
      </c>
      <c r="C141" s="304" t="s">
        <v>2841</v>
      </c>
      <c r="D141" s="305"/>
      <c r="E141" s="305"/>
      <c r="F141" s="117" t="s">
        <v>1645</v>
      </c>
      <c r="G141" s="116">
        <v>4.32</v>
      </c>
      <c r="H141" s="159"/>
      <c r="I141" s="108">
        <f t="shared" si="132"/>
        <v>0</v>
      </c>
      <c r="J141" s="108">
        <f t="shared" si="133"/>
        <v>0</v>
      </c>
      <c r="K141" s="108">
        <f t="shared" si="134"/>
        <v>0</v>
      </c>
      <c r="L141" s="111" t="s">
        <v>1671</v>
      </c>
      <c r="Z141" s="100">
        <f t="shared" si="135"/>
        <v>0</v>
      </c>
      <c r="AB141" s="100">
        <f t="shared" si="136"/>
        <v>0</v>
      </c>
      <c r="AC141" s="100">
        <f t="shared" si="137"/>
        <v>0</v>
      </c>
      <c r="AD141" s="100">
        <f t="shared" si="138"/>
        <v>0</v>
      </c>
      <c r="AE141" s="100">
        <f t="shared" si="139"/>
        <v>0</v>
      </c>
      <c r="AF141" s="100">
        <f t="shared" si="140"/>
        <v>0</v>
      </c>
      <c r="AG141" s="100">
        <f t="shared" si="141"/>
        <v>0</v>
      </c>
      <c r="AH141" s="100">
        <f t="shared" si="142"/>
        <v>0</v>
      </c>
      <c r="AI141" s="109"/>
      <c r="AJ141" s="108">
        <f t="shared" si="143"/>
        <v>0</v>
      </c>
      <c r="AK141" s="108">
        <f t="shared" si="144"/>
        <v>0</v>
      </c>
      <c r="AL141" s="108">
        <f t="shared" si="145"/>
        <v>0</v>
      </c>
      <c r="AN141" s="100">
        <v>15</v>
      </c>
      <c r="AO141" s="100">
        <f>H141*0.122082324455206</f>
        <v>0</v>
      </c>
      <c r="AP141" s="100">
        <f>H141*(1-0.122082324455206)</f>
        <v>0</v>
      </c>
      <c r="AQ141" s="111" t="s">
        <v>7</v>
      </c>
      <c r="AV141" s="100">
        <f t="shared" si="146"/>
        <v>0</v>
      </c>
      <c r="AW141" s="100">
        <f t="shared" si="147"/>
        <v>0</v>
      </c>
      <c r="AX141" s="100">
        <f t="shared" si="148"/>
        <v>0</v>
      </c>
      <c r="AY141" s="110" t="s">
        <v>1700</v>
      </c>
      <c r="AZ141" s="110" t="s">
        <v>1730</v>
      </c>
      <c r="BA141" s="109" t="s">
        <v>1737</v>
      </c>
      <c r="BC141" s="100">
        <f t="shared" si="149"/>
        <v>0</v>
      </c>
      <c r="BD141" s="100">
        <f t="shared" si="150"/>
        <v>0</v>
      </c>
      <c r="BE141" s="100">
        <v>0</v>
      </c>
      <c r="BF141" s="100">
        <f>141</f>
        <v>141</v>
      </c>
      <c r="BH141" s="108">
        <f t="shared" si="151"/>
        <v>0</v>
      </c>
      <c r="BI141" s="108">
        <f t="shared" si="152"/>
        <v>0</v>
      </c>
      <c r="BJ141" s="108">
        <f t="shared" si="153"/>
        <v>0</v>
      </c>
    </row>
    <row r="142" spans="1:62" x14ac:dyDescent="0.2">
      <c r="A142" s="117" t="s">
        <v>112</v>
      </c>
      <c r="B142" s="117" t="s">
        <v>667</v>
      </c>
      <c r="C142" s="304" t="s">
        <v>2143</v>
      </c>
      <c r="D142" s="305"/>
      <c r="E142" s="305"/>
      <c r="F142" s="117" t="s">
        <v>1644</v>
      </c>
      <c r="G142" s="116">
        <v>2</v>
      </c>
      <c r="H142" s="159"/>
      <c r="I142" s="108">
        <f t="shared" si="132"/>
        <v>0</v>
      </c>
      <c r="J142" s="108">
        <f t="shared" si="133"/>
        <v>0</v>
      </c>
      <c r="K142" s="108">
        <f t="shared" si="134"/>
        <v>0</v>
      </c>
      <c r="L142" s="111" t="s">
        <v>1671</v>
      </c>
      <c r="Z142" s="100">
        <f t="shared" si="135"/>
        <v>0</v>
      </c>
      <c r="AB142" s="100">
        <f t="shared" si="136"/>
        <v>0</v>
      </c>
      <c r="AC142" s="100">
        <f t="shared" si="137"/>
        <v>0</v>
      </c>
      <c r="AD142" s="100">
        <f t="shared" si="138"/>
        <v>0</v>
      </c>
      <c r="AE142" s="100">
        <f t="shared" si="139"/>
        <v>0</v>
      </c>
      <c r="AF142" s="100">
        <f t="shared" si="140"/>
        <v>0</v>
      </c>
      <c r="AG142" s="100">
        <f t="shared" si="141"/>
        <v>0</v>
      </c>
      <c r="AH142" s="100">
        <f t="shared" si="142"/>
        <v>0</v>
      </c>
      <c r="AI142" s="109"/>
      <c r="AJ142" s="108">
        <f t="shared" si="143"/>
        <v>0</v>
      </c>
      <c r="AK142" s="108">
        <f t="shared" si="144"/>
        <v>0</v>
      </c>
      <c r="AL142" s="108">
        <f t="shared" si="145"/>
        <v>0</v>
      </c>
      <c r="AN142" s="100">
        <v>15</v>
      </c>
      <c r="AO142" s="100">
        <f>H142*0</f>
        <v>0</v>
      </c>
      <c r="AP142" s="100">
        <f>H142*(1-0)</f>
        <v>0</v>
      </c>
      <c r="AQ142" s="111" t="s">
        <v>7</v>
      </c>
      <c r="AV142" s="100">
        <f t="shared" si="146"/>
        <v>0</v>
      </c>
      <c r="AW142" s="100">
        <f t="shared" si="147"/>
        <v>0</v>
      </c>
      <c r="AX142" s="100">
        <f t="shared" si="148"/>
        <v>0</v>
      </c>
      <c r="AY142" s="110" t="s">
        <v>1700</v>
      </c>
      <c r="AZ142" s="110" t="s">
        <v>1730</v>
      </c>
      <c r="BA142" s="109" t="s">
        <v>1737</v>
      </c>
      <c r="BC142" s="100">
        <f t="shared" si="149"/>
        <v>0</v>
      </c>
      <c r="BD142" s="100">
        <f t="shared" si="150"/>
        <v>0</v>
      </c>
      <c r="BE142" s="100">
        <v>0</v>
      </c>
      <c r="BF142" s="100">
        <f>142</f>
        <v>142</v>
      </c>
      <c r="BH142" s="108">
        <f t="shared" si="151"/>
        <v>0</v>
      </c>
      <c r="BI142" s="108">
        <f t="shared" si="152"/>
        <v>0</v>
      </c>
      <c r="BJ142" s="108">
        <f t="shared" si="153"/>
        <v>0</v>
      </c>
    </row>
    <row r="143" spans="1:62" x14ac:dyDescent="0.2">
      <c r="A143" s="117" t="s">
        <v>113</v>
      </c>
      <c r="B143" s="117" t="s">
        <v>2840</v>
      </c>
      <c r="C143" s="304" t="s">
        <v>2839</v>
      </c>
      <c r="D143" s="305"/>
      <c r="E143" s="305"/>
      <c r="F143" s="117" t="s">
        <v>1645</v>
      </c>
      <c r="G143" s="116">
        <v>2.1</v>
      </c>
      <c r="H143" s="159"/>
      <c r="I143" s="108">
        <f t="shared" si="132"/>
        <v>0</v>
      </c>
      <c r="J143" s="108">
        <f t="shared" si="133"/>
        <v>0</v>
      </c>
      <c r="K143" s="108">
        <f t="shared" si="134"/>
        <v>0</v>
      </c>
      <c r="L143" s="111" t="s">
        <v>1671</v>
      </c>
      <c r="Z143" s="100">
        <f t="shared" si="135"/>
        <v>0</v>
      </c>
      <c r="AB143" s="100">
        <f t="shared" si="136"/>
        <v>0</v>
      </c>
      <c r="AC143" s="100">
        <f t="shared" si="137"/>
        <v>0</v>
      </c>
      <c r="AD143" s="100">
        <f t="shared" si="138"/>
        <v>0</v>
      </c>
      <c r="AE143" s="100">
        <f t="shared" si="139"/>
        <v>0</v>
      </c>
      <c r="AF143" s="100">
        <f t="shared" si="140"/>
        <v>0</v>
      </c>
      <c r="AG143" s="100">
        <f t="shared" si="141"/>
        <v>0</v>
      </c>
      <c r="AH143" s="100">
        <f t="shared" si="142"/>
        <v>0</v>
      </c>
      <c r="AI143" s="109"/>
      <c r="AJ143" s="108">
        <f t="shared" si="143"/>
        <v>0</v>
      </c>
      <c r="AK143" s="108">
        <f t="shared" si="144"/>
        <v>0</v>
      </c>
      <c r="AL143" s="108">
        <f t="shared" si="145"/>
        <v>0</v>
      </c>
      <c r="AN143" s="100">
        <v>15</v>
      </c>
      <c r="AO143" s="100">
        <f>H143*0.0784982935153584</f>
        <v>0</v>
      </c>
      <c r="AP143" s="100">
        <f>H143*(1-0.0784982935153584)</f>
        <v>0</v>
      </c>
      <c r="AQ143" s="111" t="s">
        <v>7</v>
      </c>
      <c r="AV143" s="100">
        <f t="shared" si="146"/>
        <v>0</v>
      </c>
      <c r="AW143" s="100">
        <f t="shared" si="147"/>
        <v>0</v>
      </c>
      <c r="AX143" s="100">
        <f t="shared" si="148"/>
        <v>0</v>
      </c>
      <c r="AY143" s="110" t="s">
        <v>1700</v>
      </c>
      <c r="AZ143" s="110" t="s">
        <v>1730</v>
      </c>
      <c r="BA143" s="109" t="s">
        <v>1737</v>
      </c>
      <c r="BC143" s="100">
        <f t="shared" si="149"/>
        <v>0</v>
      </c>
      <c r="BD143" s="100">
        <f t="shared" si="150"/>
        <v>0</v>
      </c>
      <c r="BE143" s="100">
        <v>0</v>
      </c>
      <c r="BF143" s="100">
        <f>143</f>
        <v>143</v>
      </c>
      <c r="BH143" s="108">
        <f t="shared" si="151"/>
        <v>0</v>
      </c>
      <c r="BI143" s="108">
        <f t="shared" si="152"/>
        <v>0</v>
      </c>
      <c r="BJ143" s="108">
        <f t="shared" si="153"/>
        <v>0</v>
      </c>
    </row>
    <row r="144" spans="1:62" x14ac:dyDescent="0.2">
      <c r="A144" s="117" t="s">
        <v>114</v>
      </c>
      <c r="B144" s="117" t="s">
        <v>668</v>
      </c>
      <c r="C144" s="304" t="s">
        <v>1176</v>
      </c>
      <c r="D144" s="305"/>
      <c r="E144" s="305"/>
      <c r="F144" s="117" t="s">
        <v>1645</v>
      </c>
      <c r="G144" s="116">
        <v>1.56</v>
      </c>
      <c r="H144" s="159"/>
      <c r="I144" s="108">
        <f t="shared" si="132"/>
        <v>0</v>
      </c>
      <c r="J144" s="108">
        <f t="shared" si="133"/>
        <v>0</v>
      </c>
      <c r="K144" s="108">
        <f t="shared" si="134"/>
        <v>0</v>
      </c>
      <c r="L144" s="111" t="s">
        <v>1671</v>
      </c>
      <c r="Z144" s="100">
        <f t="shared" si="135"/>
        <v>0</v>
      </c>
      <c r="AB144" s="100">
        <f t="shared" si="136"/>
        <v>0</v>
      </c>
      <c r="AC144" s="100">
        <f t="shared" si="137"/>
        <v>0</v>
      </c>
      <c r="AD144" s="100">
        <f t="shared" si="138"/>
        <v>0</v>
      </c>
      <c r="AE144" s="100">
        <f t="shared" si="139"/>
        <v>0</v>
      </c>
      <c r="AF144" s="100">
        <f t="shared" si="140"/>
        <v>0</v>
      </c>
      <c r="AG144" s="100">
        <f t="shared" si="141"/>
        <v>0</v>
      </c>
      <c r="AH144" s="100">
        <f t="shared" si="142"/>
        <v>0</v>
      </c>
      <c r="AI144" s="109"/>
      <c r="AJ144" s="108">
        <f t="shared" si="143"/>
        <v>0</v>
      </c>
      <c r="AK144" s="108">
        <f t="shared" si="144"/>
        <v>0</v>
      </c>
      <c r="AL144" s="108">
        <f t="shared" si="145"/>
        <v>0</v>
      </c>
      <c r="AN144" s="100">
        <v>15</v>
      </c>
      <c r="AO144" s="100">
        <f>H144*0</f>
        <v>0</v>
      </c>
      <c r="AP144" s="100">
        <f>H144*(1-0)</f>
        <v>0</v>
      </c>
      <c r="AQ144" s="111" t="s">
        <v>7</v>
      </c>
      <c r="AV144" s="100">
        <f t="shared" si="146"/>
        <v>0</v>
      </c>
      <c r="AW144" s="100">
        <f t="shared" si="147"/>
        <v>0</v>
      </c>
      <c r="AX144" s="100">
        <f t="shared" si="148"/>
        <v>0</v>
      </c>
      <c r="AY144" s="110" t="s">
        <v>1700</v>
      </c>
      <c r="AZ144" s="110" t="s">
        <v>1730</v>
      </c>
      <c r="BA144" s="109" t="s">
        <v>1737</v>
      </c>
      <c r="BC144" s="100">
        <f t="shared" si="149"/>
        <v>0</v>
      </c>
      <c r="BD144" s="100">
        <f t="shared" si="150"/>
        <v>0</v>
      </c>
      <c r="BE144" s="100">
        <v>0</v>
      </c>
      <c r="BF144" s="100">
        <f>144</f>
        <v>144</v>
      </c>
      <c r="BH144" s="108">
        <f t="shared" si="151"/>
        <v>0</v>
      </c>
      <c r="BI144" s="108">
        <f t="shared" si="152"/>
        <v>0</v>
      </c>
      <c r="BJ144" s="108">
        <f t="shared" si="153"/>
        <v>0</v>
      </c>
    </row>
    <row r="145" spans="1:62" x14ac:dyDescent="0.2">
      <c r="A145" s="119"/>
      <c r="B145" s="120" t="s">
        <v>103</v>
      </c>
      <c r="C145" s="306" t="s">
        <v>1178</v>
      </c>
      <c r="D145" s="307"/>
      <c r="E145" s="307"/>
      <c r="F145" s="119" t="s">
        <v>6</v>
      </c>
      <c r="G145" s="119" t="s">
        <v>6</v>
      </c>
      <c r="H145" s="119" t="s">
        <v>6</v>
      </c>
      <c r="I145" s="118">
        <f>SUM(I146:I167)</f>
        <v>0</v>
      </c>
      <c r="J145" s="118">
        <f>SUM(J146:J167)</f>
        <v>0</v>
      </c>
      <c r="K145" s="118">
        <f>SUM(K146:K167)</f>
        <v>0</v>
      </c>
      <c r="L145" s="109"/>
      <c r="AI145" s="109"/>
      <c r="AS145" s="118">
        <f>SUM(AJ146:AJ167)</f>
        <v>0</v>
      </c>
      <c r="AT145" s="118">
        <f>SUM(AK146:AK167)</f>
        <v>0</v>
      </c>
      <c r="AU145" s="118">
        <f>SUM(AL146:AL167)</f>
        <v>0</v>
      </c>
    </row>
    <row r="146" spans="1:62" x14ac:dyDescent="0.2">
      <c r="A146" s="117" t="s">
        <v>115</v>
      </c>
      <c r="B146" s="117" t="s">
        <v>2485</v>
      </c>
      <c r="C146" s="304" t="s">
        <v>2484</v>
      </c>
      <c r="D146" s="305"/>
      <c r="E146" s="305"/>
      <c r="F146" s="117" t="s">
        <v>1646</v>
      </c>
      <c r="G146" s="116">
        <v>0.45</v>
      </c>
      <c r="H146" s="159"/>
      <c r="I146" s="108">
        <f t="shared" ref="I146:I167" si="154">G146*AO146</f>
        <v>0</v>
      </c>
      <c r="J146" s="108">
        <f t="shared" ref="J146:J167" si="155">G146*AP146</f>
        <v>0</v>
      </c>
      <c r="K146" s="108">
        <f t="shared" ref="K146:K167" si="156">G146*H146</f>
        <v>0</v>
      </c>
      <c r="L146" s="111" t="s">
        <v>1671</v>
      </c>
      <c r="Z146" s="100">
        <f t="shared" ref="Z146:Z167" si="157">IF(AQ146="5",BJ146,0)</f>
        <v>0</v>
      </c>
      <c r="AB146" s="100">
        <f t="shared" ref="AB146:AB167" si="158">IF(AQ146="1",BH146,0)</f>
        <v>0</v>
      </c>
      <c r="AC146" s="100">
        <f t="shared" ref="AC146:AC167" si="159">IF(AQ146="1",BI146,0)</f>
        <v>0</v>
      </c>
      <c r="AD146" s="100">
        <f t="shared" ref="AD146:AD167" si="160">IF(AQ146="7",BH146,0)</f>
        <v>0</v>
      </c>
      <c r="AE146" s="100">
        <f t="shared" ref="AE146:AE167" si="161">IF(AQ146="7",BI146,0)</f>
        <v>0</v>
      </c>
      <c r="AF146" s="100">
        <f t="shared" ref="AF146:AF167" si="162">IF(AQ146="2",BH146,0)</f>
        <v>0</v>
      </c>
      <c r="AG146" s="100">
        <f t="shared" ref="AG146:AG167" si="163">IF(AQ146="2",BI146,0)</f>
        <v>0</v>
      </c>
      <c r="AH146" s="100">
        <f t="shared" ref="AH146:AH167" si="164">IF(AQ146="0",BJ146,0)</f>
        <v>0</v>
      </c>
      <c r="AI146" s="109"/>
      <c r="AJ146" s="108">
        <f t="shared" ref="AJ146:AJ167" si="165">IF(AN146=0,K146,0)</f>
        <v>0</v>
      </c>
      <c r="AK146" s="108">
        <f t="shared" ref="AK146:AK167" si="166">IF(AN146=15,K146,0)</f>
        <v>0</v>
      </c>
      <c r="AL146" s="108">
        <f t="shared" ref="AL146:AL167" si="167">IF(AN146=21,K146,0)</f>
        <v>0</v>
      </c>
      <c r="AN146" s="100">
        <v>15</v>
      </c>
      <c r="AO146" s="100">
        <f>H146*0.353294871794872</f>
        <v>0</v>
      </c>
      <c r="AP146" s="100">
        <f>H146*(1-0.353294871794872)</f>
        <v>0</v>
      </c>
      <c r="AQ146" s="111" t="s">
        <v>7</v>
      </c>
      <c r="AV146" s="100">
        <f t="shared" ref="AV146:AV167" si="168">AW146+AX146</f>
        <v>0</v>
      </c>
      <c r="AW146" s="100">
        <f t="shared" ref="AW146:AW167" si="169">G146*AO146</f>
        <v>0</v>
      </c>
      <c r="AX146" s="100">
        <f t="shared" ref="AX146:AX167" si="170">G146*AP146</f>
        <v>0</v>
      </c>
      <c r="AY146" s="110" t="s">
        <v>1701</v>
      </c>
      <c r="AZ146" s="110" t="s">
        <v>1730</v>
      </c>
      <c r="BA146" s="109" t="s">
        <v>1737</v>
      </c>
      <c r="BC146" s="100">
        <f t="shared" ref="BC146:BC167" si="171">AW146+AX146</f>
        <v>0</v>
      </c>
      <c r="BD146" s="100">
        <f t="shared" ref="BD146:BD167" si="172">H146/(100-BE146)*100</f>
        <v>0</v>
      </c>
      <c r="BE146" s="100">
        <v>0</v>
      </c>
      <c r="BF146" s="100">
        <f>146</f>
        <v>146</v>
      </c>
      <c r="BH146" s="108">
        <f t="shared" ref="BH146:BH167" si="173">G146*AO146</f>
        <v>0</v>
      </c>
      <c r="BI146" s="108">
        <f t="shared" ref="BI146:BI167" si="174">G146*AP146</f>
        <v>0</v>
      </c>
      <c r="BJ146" s="108">
        <f t="shared" ref="BJ146:BJ167" si="175">G146*H146</f>
        <v>0</v>
      </c>
    </row>
    <row r="147" spans="1:62" x14ac:dyDescent="0.2">
      <c r="A147" s="117" t="s">
        <v>116</v>
      </c>
      <c r="B147" s="117" t="s">
        <v>2483</v>
      </c>
      <c r="C147" s="304" t="s">
        <v>2482</v>
      </c>
      <c r="D147" s="305"/>
      <c r="E147" s="305"/>
      <c r="F147" s="117" t="s">
        <v>1646</v>
      </c>
      <c r="G147" s="116">
        <v>0.45</v>
      </c>
      <c r="H147" s="159"/>
      <c r="I147" s="108">
        <f t="shared" si="154"/>
        <v>0</v>
      </c>
      <c r="J147" s="108">
        <f t="shared" si="155"/>
        <v>0</v>
      </c>
      <c r="K147" s="108">
        <f t="shared" si="156"/>
        <v>0</v>
      </c>
      <c r="L147" s="111" t="s">
        <v>1671</v>
      </c>
      <c r="Z147" s="100">
        <f t="shared" si="157"/>
        <v>0</v>
      </c>
      <c r="AB147" s="100">
        <f t="shared" si="158"/>
        <v>0</v>
      </c>
      <c r="AC147" s="100">
        <f t="shared" si="159"/>
        <v>0</v>
      </c>
      <c r="AD147" s="100">
        <f t="shared" si="160"/>
        <v>0</v>
      </c>
      <c r="AE147" s="100">
        <f t="shared" si="161"/>
        <v>0</v>
      </c>
      <c r="AF147" s="100">
        <f t="shared" si="162"/>
        <v>0</v>
      </c>
      <c r="AG147" s="100">
        <f t="shared" si="163"/>
        <v>0</v>
      </c>
      <c r="AH147" s="100">
        <f t="shared" si="164"/>
        <v>0</v>
      </c>
      <c r="AI147" s="109"/>
      <c r="AJ147" s="108">
        <f t="shared" si="165"/>
        <v>0</v>
      </c>
      <c r="AK147" s="108">
        <f t="shared" si="166"/>
        <v>0</v>
      </c>
      <c r="AL147" s="108">
        <f t="shared" si="167"/>
        <v>0</v>
      </c>
      <c r="AN147" s="100">
        <v>15</v>
      </c>
      <c r="AO147" s="100">
        <f>H147*0.102532909332939</f>
        <v>0</v>
      </c>
      <c r="AP147" s="100">
        <f>H147*(1-0.102532909332939)</f>
        <v>0</v>
      </c>
      <c r="AQ147" s="111" t="s">
        <v>7</v>
      </c>
      <c r="AV147" s="100">
        <f t="shared" si="168"/>
        <v>0</v>
      </c>
      <c r="AW147" s="100">
        <f t="shared" si="169"/>
        <v>0</v>
      </c>
      <c r="AX147" s="100">
        <f t="shared" si="170"/>
        <v>0</v>
      </c>
      <c r="AY147" s="110" t="s">
        <v>1701</v>
      </c>
      <c r="AZ147" s="110" t="s">
        <v>1730</v>
      </c>
      <c r="BA147" s="109" t="s">
        <v>1737</v>
      </c>
      <c r="BC147" s="100">
        <f t="shared" si="171"/>
        <v>0</v>
      </c>
      <c r="BD147" s="100">
        <f t="shared" si="172"/>
        <v>0</v>
      </c>
      <c r="BE147" s="100">
        <v>0</v>
      </c>
      <c r="BF147" s="100">
        <f>147</f>
        <v>147</v>
      </c>
      <c r="BH147" s="108">
        <f t="shared" si="173"/>
        <v>0</v>
      </c>
      <c r="BI147" s="108">
        <f t="shared" si="174"/>
        <v>0</v>
      </c>
      <c r="BJ147" s="108">
        <f t="shared" si="175"/>
        <v>0</v>
      </c>
    </row>
    <row r="148" spans="1:62" x14ac:dyDescent="0.2">
      <c r="A148" s="117" t="s">
        <v>117</v>
      </c>
      <c r="B148" s="117" t="s">
        <v>2481</v>
      </c>
      <c r="C148" s="304" t="s">
        <v>2480</v>
      </c>
      <c r="D148" s="305"/>
      <c r="E148" s="305"/>
      <c r="F148" s="117" t="s">
        <v>1646</v>
      </c>
      <c r="G148" s="116">
        <v>0.45</v>
      </c>
      <c r="H148" s="159"/>
      <c r="I148" s="108">
        <f t="shared" si="154"/>
        <v>0</v>
      </c>
      <c r="J148" s="108">
        <f t="shared" si="155"/>
        <v>0</v>
      </c>
      <c r="K148" s="108">
        <f t="shared" si="156"/>
        <v>0</v>
      </c>
      <c r="L148" s="111" t="s">
        <v>1671</v>
      </c>
      <c r="Z148" s="100">
        <f t="shared" si="157"/>
        <v>0</v>
      </c>
      <c r="AB148" s="100">
        <f t="shared" si="158"/>
        <v>0</v>
      </c>
      <c r="AC148" s="100">
        <f t="shared" si="159"/>
        <v>0</v>
      </c>
      <c r="AD148" s="100">
        <f t="shared" si="160"/>
        <v>0</v>
      </c>
      <c r="AE148" s="100">
        <f t="shared" si="161"/>
        <v>0</v>
      </c>
      <c r="AF148" s="100">
        <f t="shared" si="162"/>
        <v>0</v>
      </c>
      <c r="AG148" s="100">
        <f t="shared" si="163"/>
        <v>0</v>
      </c>
      <c r="AH148" s="100">
        <f t="shared" si="164"/>
        <v>0</v>
      </c>
      <c r="AI148" s="109"/>
      <c r="AJ148" s="108">
        <f t="shared" si="165"/>
        <v>0</v>
      </c>
      <c r="AK148" s="108">
        <f t="shared" si="166"/>
        <v>0</v>
      </c>
      <c r="AL148" s="108">
        <f t="shared" si="167"/>
        <v>0</v>
      </c>
      <c r="AN148" s="100">
        <v>15</v>
      </c>
      <c r="AO148" s="100">
        <f>H148*0.269681908548708</f>
        <v>0</v>
      </c>
      <c r="AP148" s="100">
        <f>H148*(1-0.269681908548708)</f>
        <v>0</v>
      </c>
      <c r="AQ148" s="111" t="s">
        <v>7</v>
      </c>
      <c r="AV148" s="100">
        <f t="shared" si="168"/>
        <v>0</v>
      </c>
      <c r="AW148" s="100">
        <f t="shared" si="169"/>
        <v>0</v>
      </c>
      <c r="AX148" s="100">
        <f t="shared" si="170"/>
        <v>0</v>
      </c>
      <c r="AY148" s="110" t="s">
        <v>1701</v>
      </c>
      <c r="AZ148" s="110" t="s">
        <v>1730</v>
      </c>
      <c r="BA148" s="109" t="s">
        <v>1737</v>
      </c>
      <c r="BC148" s="100">
        <f t="shared" si="171"/>
        <v>0</v>
      </c>
      <c r="BD148" s="100">
        <f t="shared" si="172"/>
        <v>0</v>
      </c>
      <c r="BE148" s="100">
        <v>0</v>
      </c>
      <c r="BF148" s="100">
        <f>148</f>
        <v>148</v>
      </c>
      <c r="BH148" s="108">
        <f t="shared" si="173"/>
        <v>0</v>
      </c>
      <c r="BI148" s="108">
        <f t="shared" si="174"/>
        <v>0</v>
      </c>
      <c r="BJ148" s="108">
        <f t="shared" si="175"/>
        <v>0</v>
      </c>
    </row>
    <row r="149" spans="1:62" x14ac:dyDescent="0.2">
      <c r="A149" s="117" t="s">
        <v>118</v>
      </c>
      <c r="B149" s="117" t="s">
        <v>670</v>
      </c>
      <c r="C149" s="304" t="s">
        <v>1179</v>
      </c>
      <c r="D149" s="305"/>
      <c r="E149" s="305"/>
      <c r="F149" s="117" t="s">
        <v>1646</v>
      </c>
      <c r="G149" s="116">
        <v>1.55</v>
      </c>
      <c r="H149" s="159"/>
      <c r="I149" s="108">
        <f t="shared" si="154"/>
        <v>0</v>
      </c>
      <c r="J149" s="108">
        <f t="shared" si="155"/>
        <v>0</v>
      </c>
      <c r="K149" s="108">
        <f t="shared" si="156"/>
        <v>0</v>
      </c>
      <c r="L149" s="111" t="s">
        <v>1671</v>
      </c>
      <c r="Z149" s="100">
        <f t="shared" si="157"/>
        <v>0</v>
      </c>
      <c r="AB149" s="100">
        <f t="shared" si="158"/>
        <v>0</v>
      </c>
      <c r="AC149" s="100">
        <f t="shared" si="159"/>
        <v>0</v>
      </c>
      <c r="AD149" s="100">
        <f t="shared" si="160"/>
        <v>0</v>
      </c>
      <c r="AE149" s="100">
        <f t="shared" si="161"/>
        <v>0</v>
      </c>
      <c r="AF149" s="100">
        <f t="shared" si="162"/>
        <v>0</v>
      </c>
      <c r="AG149" s="100">
        <f t="shared" si="163"/>
        <v>0</v>
      </c>
      <c r="AH149" s="100">
        <f t="shared" si="164"/>
        <v>0</v>
      </c>
      <c r="AI149" s="109"/>
      <c r="AJ149" s="108">
        <f t="shared" si="165"/>
        <v>0</v>
      </c>
      <c r="AK149" s="108">
        <f t="shared" si="166"/>
        <v>0</v>
      </c>
      <c r="AL149" s="108">
        <f t="shared" si="167"/>
        <v>0</v>
      </c>
      <c r="AN149" s="100">
        <v>15</v>
      </c>
      <c r="AO149" s="100">
        <f>H149*0.317346200241255</f>
        <v>0</v>
      </c>
      <c r="AP149" s="100">
        <f>H149*(1-0.317346200241255)</f>
        <v>0</v>
      </c>
      <c r="AQ149" s="111" t="s">
        <v>7</v>
      </c>
      <c r="AV149" s="100">
        <f t="shared" si="168"/>
        <v>0</v>
      </c>
      <c r="AW149" s="100">
        <f t="shared" si="169"/>
        <v>0</v>
      </c>
      <c r="AX149" s="100">
        <f t="shared" si="170"/>
        <v>0</v>
      </c>
      <c r="AY149" s="110" t="s">
        <v>1701</v>
      </c>
      <c r="AZ149" s="110" t="s">
        <v>1730</v>
      </c>
      <c r="BA149" s="109" t="s">
        <v>1737</v>
      </c>
      <c r="BC149" s="100">
        <f t="shared" si="171"/>
        <v>0</v>
      </c>
      <c r="BD149" s="100">
        <f t="shared" si="172"/>
        <v>0</v>
      </c>
      <c r="BE149" s="100">
        <v>0</v>
      </c>
      <c r="BF149" s="100">
        <f>149</f>
        <v>149</v>
      </c>
      <c r="BH149" s="108">
        <f t="shared" si="173"/>
        <v>0</v>
      </c>
      <c r="BI149" s="108">
        <f t="shared" si="174"/>
        <v>0</v>
      </c>
      <c r="BJ149" s="108">
        <f t="shared" si="175"/>
        <v>0</v>
      </c>
    </row>
    <row r="150" spans="1:62" x14ac:dyDescent="0.2">
      <c r="A150" s="117" t="s">
        <v>119</v>
      </c>
      <c r="B150" s="117" t="s">
        <v>671</v>
      </c>
      <c r="C150" s="304" t="s">
        <v>1180</v>
      </c>
      <c r="D150" s="305"/>
      <c r="E150" s="305"/>
      <c r="F150" s="117" t="s">
        <v>1646</v>
      </c>
      <c r="G150" s="116">
        <v>1.55</v>
      </c>
      <c r="H150" s="159"/>
      <c r="I150" s="108">
        <f t="shared" si="154"/>
        <v>0</v>
      </c>
      <c r="J150" s="108">
        <f t="shared" si="155"/>
        <v>0</v>
      </c>
      <c r="K150" s="108">
        <f t="shared" si="156"/>
        <v>0</v>
      </c>
      <c r="L150" s="111" t="s">
        <v>1671</v>
      </c>
      <c r="Z150" s="100">
        <f t="shared" si="157"/>
        <v>0</v>
      </c>
      <c r="AB150" s="100">
        <f t="shared" si="158"/>
        <v>0</v>
      </c>
      <c r="AC150" s="100">
        <f t="shared" si="159"/>
        <v>0</v>
      </c>
      <c r="AD150" s="100">
        <f t="shared" si="160"/>
        <v>0</v>
      </c>
      <c r="AE150" s="100">
        <f t="shared" si="161"/>
        <v>0</v>
      </c>
      <c r="AF150" s="100">
        <f t="shared" si="162"/>
        <v>0</v>
      </c>
      <c r="AG150" s="100">
        <f t="shared" si="163"/>
        <v>0</v>
      </c>
      <c r="AH150" s="100">
        <f t="shared" si="164"/>
        <v>0</v>
      </c>
      <c r="AI150" s="109"/>
      <c r="AJ150" s="108">
        <f t="shared" si="165"/>
        <v>0</v>
      </c>
      <c r="AK150" s="108">
        <f t="shared" si="166"/>
        <v>0</v>
      </c>
      <c r="AL150" s="108">
        <f t="shared" si="167"/>
        <v>0</v>
      </c>
      <c r="AN150" s="100">
        <v>15</v>
      </c>
      <c r="AO150" s="100">
        <f>H150*0.0581320754716981</f>
        <v>0</v>
      </c>
      <c r="AP150" s="100">
        <f>H150*(1-0.0581320754716981)</f>
        <v>0</v>
      </c>
      <c r="AQ150" s="111" t="s">
        <v>7</v>
      </c>
      <c r="AV150" s="100">
        <f t="shared" si="168"/>
        <v>0</v>
      </c>
      <c r="AW150" s="100">
        <f t="shared" si="169"/>
        <v>0</v>
      </c>
      <c r="AX150" s="100">
        <f t="shared" si="170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71"/>
        <v>0</v>
      </c>
      <c r="BD150" s="100">
        <f t="shared" si="172"/>
        <v>0</v>
      </c>
      <c r="BE150" s="100">
        <v>0</v>
      </c>
      <c r="BF150" s="100">
        <f>150</f>
        <v>150</v>
      </c>
      <c r="BH150" s="108">
        <f t="shared" si="173"/>
        <v>0</v>
      </c>
      <c r="BI150" s="108">
        <f t="shared" si="174"/>
        <v>0</v>
      </c>
      <c r="BJ150" s="108">
        <f t="shared" si="175"/>
        <v>0</v>
      </c>
    </row>
    <row r="151" spans="1:62" x14ac:dyDescent="0.2">
      <c r="A151" s="117" t="s">
        <v>120</v>
      </c>
      <c r="B151" s="117" t="s">
        <v>672</v>
      </c>
      <c r="C151" s="304" t="s">
        <v>1181</v>
      </c>
      <c r="D151" s="305"/>
      <c r="E151" s="305"/>
      <c r="F151" s="117" t="s">
        <v>1646</v>
      </c>
      <c r="G151" s="116">
        <v>1.55</v>
      </c>
      <c r="H151" s="159"/>
      <c r="I151" s="108">
        <f t="shared" si="154"/>
        <v>0</v>
      </c>
      <c r="J151" s="108">
        <f t="shared" si="155"/>
        <v>0</v>
      </c>
      <c r="K151" s="108">
        <f t="shared" si="156"/>
        <v>0</v>
      </c>
      <c r="L151" s="111" t="s">
        <v>1671</v>
      </c>
      <c r="Z151" s="100">
        <f t="shared" si="157"/>
        <v>0</v>
      </c>
      <c r="AB151" s="100">
        <f t="shared" si="158"/>
        <v>0</v>
      </c>
      <c r="AC151" s="100">
        <f t="shared" si="159"/>
        <v>0</v>
      </c>
      <c r="AD151" s="100">
        <f t="shared" si="160"/>
        <v>0</v>
      </c>
      <c r="AE151" s="100">
        <f t="shared" si="161"/>
        <v>0</v>
      </c>
      <c r="AF151" s="100">
        <f t="shared" si="162"/>
        <v>0</v>
      </c>
      <c r="AG151" s="100">
        <f t="shared" si="163"/>
        <v>0</v>
      </c>
      <c r="AH151" s="100">
        <f t="shared" si="164"/>
        <v>0</v>
      </c>
      <c r="AI151" s="109"/>
      <c r="AJ151" s="108">
        <f t="shared" si="165"/>
        <v>0</v>
      </c>
      <c r="AK151" s="108">
        <f t="shared" si="166"/>
        <v>0</v>
      </c>
      <c r="AL151" s="108">
        <f t="shared" si="167"/>
        <v>0</v>
      </c>
      <c r="AN151" s="100">
        <v>15</v>
      </c>
      <c r="AO151" s="100">
        <f>H151*0.266914469825649</f>
        <v>0</v>
      </c>
      <c r="AP151" s="100">
        <f>H151*(1-0.266914469825649)</f>
        <v>0</v>
      </c>
      <c r="AQ151" s="111" t="s">
        <v>7</v>
      </c>
      <c r="AV151" s="100">
        <f t="shared" si="168"/>
        <v>0</v>
      </c>
      <c r="AW151" s="100">
        <f t="shared" si="169"/>
        <v>0</v>
      </c>
      <c r="AX151" s="100">
        <f t="shared" si="170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71"/>
        <v>0</v>
      </c>
      <c r="BD151" s="100">
        <f t="shared" si="172"/>
        <v>0</v>
      </c>
      <c r="BE151" s="100">
        <v>0</v>
      </c>
      <c r="BF151" s="100">
        <f>151</f>
        <v>151</v>
      </c>
      <c r="BH151" s="108">
        <f t="shared" si="173"/>
        <v>0</v>
      </c>
      <c r="BI151" s="108">
        <f t="shared" si="174"/>
        <v>0</v>
      </c>
      <c r="BJ151" s="108">
        <f t="shared" si="175"/>
        <v>0</v>
      </c>
    </row>
    <row r="152" spans="1:62" x14ac:dyDescent="0.2">
      <c r="A152" s="117" t="s">
        <v>121</v>
      </c>
      <c r="B152" s="117" t="s">
        <v>2479</v>
      </c>
      <c r="C152" s="304" t="s">
        <v>2478</v>
      </c>
      <c r="D152" s="305"/>
      <c r="E152" s="305"/>
      <c r="F152" s="117" t="s">
        <v>1646</v>
      </c>
      <c r="G152" s="116">
        <v>0.45</v>
      </c>
      <c r="H152" s="159"/>
      <c r="I152" s="108">
        <f t="shared" si="154"/>
        <v>0</v>
      </c>
      <c r="J152" s="108">
        <f t="shared" si="155"/>
        <v>0</v>
      </c>
      <c r="K152" s="108">
        <f t="shared" si="156"/>
        <v>0</v>
      </c>
      <c r="L152" s="111" t="s">
        <v>1671</v>
      </c>
      <c r="Z152" s="100">
        <f t="shared" si="157"/>
        <v>0</v>
      </c>
      <c r="AB152" s="100">
        <f t="shared" si="158"/>
        <v>0</v>
      </c>
      <c r="AC152" s="100">
        <f t="shared" si="159"/>
        <v>0</v>
      </c>
      <c r="AD152" s="100">
        <f t="shared" si="160"/>
        <v>0</v>
      </c>
      <c r="AE152" s="100">
        <f t="shared" si="161"/>
        <v>0</v>
      </c>
      <c r="AF152" s="100">
        <f t="shared" si="162"/>
        <v>0</v>
      </c>
      <c r="AG152" s="100">
        <f t="shared" si="163"/>
        <v>0</v>
      </c>
      <c r="AH152" s="100">
        <f t="shared" si="164"/>
        <v>0</v>
      </c>
      <c r="AI152" s="109"/>
      <c r="AJ152" s="108">
        <f t="shared" si="165"/>
        <v>0</v>
      </c>
      <c r="AK152" s="108">
        <f t="shared" si="166"/>
        <v>0</v>
      </c>
      <c r="AL152" s="108">
        <f t="shared" si="167"/>
        <v>0</v>
      </c>
      <c r="AN152" s="100">
        <v>15</v>
      </c>
      <c r="AO152" s="100">
        <f>H152*0.328942398489141</f>
        <v>0</v>
      </c>
      <c r="AP152" s="100">
        <f>H152*(1-0.328942398489141)</f>
        <v>0</v>
      </c>
      <c r="AQ152" s="111" t="s">
        <v>7</v>
      </c>
      <c r="AV152" s="100">
        <f t="shared" si="168"/>
        <v>0</v>
      </c>
      <c r="AW152" s="100">
        <f t="shared" si="169"/>
        <v>0</v>
      </c>
      <c r="AX152" s="100">
        <f t="shared" si="170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71"/>
        <v>0</v>
      </c>
      <c r="BD152" s="100">
        <f t="shared" si="172"/>
        <v>0</v>
      </c>
      <c r="BE152" s="100">
        <v>0</v>
      </c>
      <c r="BF152" s="100">
        <f>152</f>
        <v>152</v>
      </c>
      <c r="BH152" s="108">
        <f t="shared" si="173"/>
        <v>0</v>
      </c>
      <c r="BI152" s="108">
        <f t="shared" si="174"/>
        <v>0</v>
      </c>
      <c r="BJ152" s="108">
        <f t="shared" si="175"/>
        <v>0</v>
      </c>
    </row>
    <row r="153" spans="1:62" x14ac:dyDescent="0.2">
      <c r="A153" s="117" t="s">
        <v>122</v>
      </c>
      <c r="B153" s="117" t="s">
        <v>2477</v>
      </c>
      <c r="C153" s="304" t="s">
        <v>2476</v>
      </c>
      <c r="D153" s="305"/>
      <c r="E153" s="305"/>
      <c r="F153" s="117" t="s">
        <v>1646</v>
      </c>
      <c r="G153" s="116">
        <v>0.45</v>
      </c>
      <c r="H153" s="159"/>
      <c r="I153" s="108">
        <f t="shared" si="154"/>
        <v>0</v>
      </c>
      <c r="J153" s="108">
        <f t="shared" si="155"/>
        <v>0</v>
      </c>
      <c r="K153" s="108">
        <f t="shared" si="156"/>
        <v>0</v>
      </c>
      <c r="L153" s="111" t="s">
        <v>1671</v>
      </c>
      <c r="Z153" s="100">
        <f t="shared" si="157"/>
        <v>0</v>
      </c>
      <c r="AB153" s="100">
        <f t="shared" si="158"/>
        <v>0</v>
      </c>
      <c r="AC153" s="100">
        <f t="shared" si="159"/>
        <v>0</v>
      </c>
      <c r="AD153" s="100">
        <f t="shared" si="160"/>
        <v>0</v>
      </c>
      <c r="AE153" s="100">
        <f t="shared" si="161"/>
        <v>0</v>
      </c>
      <c r="AF153" s="100">
        <f t="shared" si="162"/>
        <v>0</v>
      </c>
      <c r="AG153" s="100">
        <f t="shared" si="163"/>
        <v>0</v>
      </c>
      <c r="AH153" s="100">
        <f t="shared" si="164"/>
        <v>0</v>
      </c>
      <c r="AI153" s="109"/>
      <c r="AJ153" s="108">
        <f t="shared" si="165"/>
        <v>0</v>
      </c>
      <c r="AK153" s="108">
        <f t="shared" si="166"/>
        <v>0</v>
      </c>
      <c r="AL153" s="108">
        <f t="shared" si="167"/>
        <v>0</v>
      </c>
      <c r="AN153" s="100">
        <v>15</v>
      </c>
      <c r="AO153" s="100">
        <f>H153*0.207794117647059</f>
        <v>0</v>
      </c>
      <c r="AP153" s="100">
        <f>H153*(1-0.207794117647059)</f>
        <v>0</v>
      </c>
      <c r="AQ153" s="111" t="s">
        <v>7</v>
      </c>
      <c r="AV153" s="100">
        <f t="shared" si="168"/>
        <v>0</v>
      </c>
      <c r="AW153" s="100">
        <f t="shared" si="169"/>
        <v>0</v>
      </c>
      <c r="AX153" s="100">
        <f t="shared" si="170"/>
        <v>0</v>
      </c>
      <c r="AY153" s="110" t="s">
        <v>1701</v>
      </c>
      <c r="AZ153" s="110" t="s">
        <v>1730</v>
      </c>
      <c r="BA153" s="109" t="s">
        <v>1737</v>
      </c>
      <c r="BC153" s="100">
        <f t="shared" si="171"/>
        <v>0</v>
      </c>
      <c r="BD153" s="100">
        <f t="shared" si="172"/>
        <v>0</v>
      </c>
      <c r="BE153" s="100">
        <v>0</v>
      </c>
      <c r="BF153" s="100">
        <f>153</f>
        <v>153</v>
      </c>
      <c r="BH153" s="108">
        <f t="shared" si="173"/>
        <v>0</v>
      </c>
      <c r="BI153" s="108">
        <f t="shared" si="174"/>
        <v>0</v>
      </c>
      <c r="BJ153" s="108">
        <f t="shared" si="175"/>
        <v>0</v>
      </c>
    </row>
    <row r="154" spans="1:62" x14ac:dyDescent="0.2">
      <c r="A154" s="117" t="s">
        <v>123</v>
      </c>
      <c r="B154" s="117" t="s">
        <v>673</v>
      </c>
      <c r="C154" s="304" t="s">
        <v>1182</v>
      </c>
      <c r="D154" s="305"/>
      <c r="E154" s="305"/>
      <c r="F154" s="117" t="s">
        <v>1644</v>
      </c>
      <c r="G154" s="116">
        <v>8</v>
      </c>
      <c r="H154" s="159"/>
      <c r="I154" s="108">
        <f t="shared" si="154"/>
        <v>0</v>
      </c>
      <c r="J154" s="108">
        <f t="shared" si="155"/>
        <v>0</v>
      </c>
      <c r="K154" s="108">
        <f t="shared" si="156"/>
        <v>0</v>
      </c>
      <c r="L154" s="111" t="s">
        <v>1671</v>
      </c>
      <c r="Z154" s="100">
        <f t="shared" si="157"/>
        <v>0</v>
      </c>
      <c r="AB154" s="100">
        <f t="shared" si="158"/>
        <v>0</v>
      </c>
      <c r="AC154" s="100">
        <f t="shared" si="159"/>
        <v>0</v>
      </c>
      <c r="AD154" s="100">
        <f t="shared" si="160"/>
        <v>0</v>
      </c>
      <c r="AE154" s="100">
        <f t="shared" si="161"/>
        <v>0</v>
      </c>
      <c r="AF154" s="100">
        <f t="shared" si="162"/>
        <v>0</v>
      </c>
      <c r="AG154" s="100">
        <f t="shared" si="163"/>
        <v>0</v>
      </c>
      <c r="AH154" s="100">
        <f t="shared" si="164"/>
        <v>0</v>
      </c>
      <c r="AI154" s="109"/>
      <c r="AJ154" s="108">
        <f t="shared" si="165"/>
        <v>0</v>
      </c>
      <c r="AK154" s="108">
        <f t="shared" si="166"/>
        <v>0</v>
      </c>
      <c r="AL154" s="108">
        <f t="shared" si="167"/>
        <v>0</v>
      </c>
      <c r="AN154" s="100">
        <v>15</v>
      </c>
      <c r="AO154" s="100">
        <f>H154*0.0466942148760331</f>
        <v>0</v>
      </c>
      <c r="AP154" s="100">
        <f>H154*(1-0.0466942148760331)</f>
        <v>0</v>
      </c>
      <c r="AQ154" s="111" t="s">
        <v>7</v>
      </c>
      <c r="AV154" s="100">
        <f t="shared" si="168"/>
        <v>0</v>
      </c>
      <c r="AW154" s="100">
        <f t="shared" si="169"/>
        <v>0</v>
      </c>
      <c r="AX154" s="100">
        <f t="shared" si="170"/>
        <v>0</v>
      </c>
      <c r="AY154" s="110" t="s">
        <v>1701</v>
      </c>
      <c r="AZ154" s="110" t="s">
        <v>1730</v>
      </c>
      <c r="BA154" s="109" t="s">
        <v>1737</v>
      </c>
      <c r="BC154" s="100">
        <f t="shared" si="171"/>
        <v>0</v>
      </c>
      <c r="BD154" s="100">
        <f t="shared" si="172"/>
        <v>0</v>
      </c>
      <c r="BE154" s="100">
        <v>0</v>
      </c>
      <c r="BF154" s="100">
        <f>154</f>
        <v>154</v>
      </c>
      <c r="BH154" s="108">
        <f t="shared" si="173"/>
        <v>0</v>
      </c>
      <c r="BI154" s="108">
        <f t="shared" si="174"/>
        <v>0</v>
      </c>
      <c r="BJ154" s="108">
        <f t="shared" si="175"/>
        <v>0</v>
      </c>
    </row>
    <row r="155" spans="1:62" x14ac:dyDescent="0.2">
      <c r="A155" s="117" t="s">
        <v>124</v>
      </c>
      <c r="B155" s="117" t="s">
        <v>674</v>
      </c>
      <c r="C155" s="304" t="s">
        <v>2142</v>
      </c>
      <c r="D155" s="305"/>
      <c r="E155" s="305"/>
      <c r="F155" s="117" t="s">
        <v>1646</v>
      </c>
      <c r="G155" s="116">
        <v>1.5</v>
      </c>
      <c r="H155" s="159"/>
      <c r="I155" s="108">
        <f t="shared" si="154"/>
        <v>0</v>
      </c>
      <c r="J155" s="108">
        <f t="shared" si="155"/>
        <v>0</v>
      </c>
      <c r="K155" s="108">
        <f t="shared" si="156"/>
        <v>0</v>
      </c>
      <c r="L155" s="111" t="s">
        <v>1671</v>
      </c>
      <c r="Z155" s="100">
        <f t="shared" si="157"/>
        <v>0</v>
      </c>
      <c r="AB155" s="100">
        <f t="shared" si="158"/>
        <v>0</v>
      </c>
      <c r="AC155" s="100">
        <f t="shared" si="159"/>
        <v>0</v>
      </c>
      <c r="AD155" s="100">
        <f t="shared" si="160"/>
        <v>0</v>
      </c>
      <c r="AE155" s="100">
        <f t="shared" si="161"/>
        <v>0</v>
      </c>
      <c r="AF155" s="100">
        <f t="shared" si="162"/>
        <v>0</v>
      </c>
      <c r="AG155" s="100">
        <f t="shared" si="163"/>
        <v>0</v>
      </c>
      <c r="AH155" s="100">
        <f t="shared" si="164"/>
        <v>0</v>
      </c>
      <c r="AI155" s="109"/>
      <c r="AJ155" s="108">
        <f t="shared" si="165"/>
        <v>0</v>
      </c>
      <c r="AK155" s="108">
        <f t="shared" si="166"/>
        <v>0</v>
      </c>
      <c r="AL155" s="108">
        <f t="shared" si="167"/>
        <v>0</v>
      </c>
      <c r="AN155" s="100">
        <v>15</v>
      </c>
      <c r="AO155" s="100">
        <f>H155*0.071968410326087</f>
        <v>0</v>
      </c>
      <c r="AP155" s="100">
        <f>H155*(1-0.071968410326087)</f>
        <v>0</v>
      </c>
      <c r="AQ155" s="111" t="s">
        <v>7</v>
      </c>
      <c r="AV155" s="100">
        <f t="shared" si="168"/>
        <v>0</v>
      </c>
      <c r="AW155" s="100">
        <f t="shared" si="169"/>
        <v>0</v>
      </c>
      <c r="AX155" s="100">
        <f t="shared" si="170"/>
        <v>0</v>
      </c>
      <c r="AY155" s="110" t="s">
        <v>1701</v>
      </c>
      <c r="AZ155" s="110" t="s">
        <v>1730</v>
      </c>
      <c r="BA155" s="109" t="s">
        <v>1737</v>
      </c>
      <c r="BC155" s="100">
        <f t="shared" si="171"/>
        <v>0</v>
      </c>
      <c r="BD155" s="100">
        <f t="shared" si="172"/>
        <v>0</v>
      </c>
      <c r="BE155" s="100">
        <v>0</v>
      </c>
      <c r="BF155" s="100">
        <f>155</f>
        <v>155</v>
      </c>
      <c r="BH155" s="108">
        <f t="shared" si="173"/>
        <v>0</v>
      </c>
      <c r="BI155" s="108">
        <f t="shared" si="174"/>
        <v>0</v>
      </c>
      <c r="BJ155" s="108">
        <f t="shared" si="175"/>
        <v>0</v>
      </c>
    </row>
    <row r="156" spans="1:62" x14ac:dyDescent="0.2">
      <c r="A156" s="117" t="s">
        <v>125</v>
      </c>
      <c r="B156" s="117" t="s">
        <v>675</v>
      </c>
      <c r="C156" s="304" t="s">
        <v>2141</v>
      </c>
      <c r="D156" s="305"/>
      <c r="E156" s="305"/>
      <c r="F156" s="117" t="s">
        <v>1646</v>
      </c>
      <c r="G156" s="116">
        <v>2.25</v>
      </c>
      <c r="H156" s="159"/>
      <c r="I156" s="108">
        <f t="shared" si="154"/>
        <v>0</v>
      </c>
      <c r="J156" s="108">
        <f t="shared" si="155"/>
        <v>0</v>
      </c>
      <c r="K156" s="108">
        <f t="shared" si="156"/>
        <v>0</v>
      </c>
      <c r="L156" s="111" t="s">
        <v>1671</v>
      </c>
      <c r="Z156" s="100">
        <f t="shared" si="157"/>
        <v>0</v>
      </c>
      <c r="AB156" s="100">
        <f t="shared" si="158"/>
        <v>0</v>
      </c>
      <c r="AC156" s="100">
        <f t="shared" si="159"/>
        <v>0</v>
      </c>
      <c r="AD156" s="100">
        <f t="shared" si="160"/>
        <v>0</v>
      </c>
      <c r="AE156" s="100">
        <f t="shared" si="161"/>
        <v>0</v>
      </c>
      <c r="AF156" s="100">
        <f t="shared" si="162"/>
        <v>0</v>
      </c>
      <c r="AG156" s="100">
        <f t="shared" si="163"/>
        <v>0</v>
      </c>
      <c r="AH156" s="100">
        <f t="shared" si="164"/>
        <v>0</v>
      </c>
      <c r="AI156" s="109"/>
      <c r="AJ156" s="108">
        <f t="shared" si="165"/>
        <v>0</v>
      </c>
      <c r="AK156" s="108">
        <f t="shared" si="166"/>
        <v>0</v>
      </c>
      <c r="AL156" s="108">
        <f t="shared" si="167"/>
        <v>0</v>
      </c>
      <c r="AN156" s="100">
        <v>15</v>
      </c>
      <c r="AO156" s="100">
        <f>H156*0.0433762688731553</f>
        <v>0</v>
      </c>
      <c r="AP156" s="100">
        <f>H156*(1-0.0433762688731553)</f>
        <v>0</v>
      </c>
      <c r="AQ156" s="111" t="s">
        <v>7</v>
      </c>
      <c r="AV156" s="100">
        <f t="shared" si="168"/>
        <v>0</v>
      </c>
      <c r="AW156" s="100">
        <f t="shared" si="169"/>
        <v>0</v>
      </c>
      <c r="AX156" s="100">
        <f t="shared" si="170"/>
        <v>0</v>
      </c>
      <c r="AY156" s="110" t="s">
        <v>1701</v>
      </c>
      <c r="AZ156" s="110" t="s">
        <v>1730</v>
      </c>
      <c r="BA156" s="109" t="s">
        <v>1737</v>
      </c>
      <c r="BC156" s="100">
        <f t="shared" si="171"/>
        <v>0</v>
      </c>
      <c r="BD156" s="100">
        <f t="shared" si="172"/>
        <v>0</v>
      </c>
      <c r="BE156" s="100">
        <v>0</v>
      </c>
      <c r="BF156" s="100">
        <f>156</f>
        <v>156</v>
      </c>
      <c r="BH156" s="108">
        <f t="shared" si="173"/>
        <v>0</v>
      </c>
      <c r="BI156" s="108">
        <f t="shared" si="174"/>
        <v>0</v>
      </c>
      <c r="BJ156" s="108">
        <f t="shared" si="175"/>
        <v>0</v>
      </c>
    </row>
    <row r="157" spans="1:62" x14ac:dyDescent="0.2">
      <c r="A157" s="117" t="s">
        <v>126</v>
      </c>
      <c r="B157" s="117" t="s">
        <v>676</v>
      </c>
      <c r="C157" s="304" t="s">
        <v>1185</v>
      </c>
      <c r="D157" s="305"/>
      <c r="E157" s="305"/>
      <c r="F157" s="117" t="s">
        <v>1645</v>
      </c>
      <c r="G157" s="116">
        <v>265.774</v>
      </c>
      <c r="H157" s="159"/>
      <c r="I157" s="108">
        <f t="shared" si="154"/>
        <v>0</v>
      </c>
      <c r="J157" s="108">
        <f t="shared" si="155"/>
        <v>0</v>
      </c>
      <c r="K157" s="108">
        <f t="shared" si="156"/>
        <v>0</v>
      </c>
      <c r="L157" s="111" t="s">
        <v>1671</v>
      </c>
      <c r="Z157" s="100">
        <f t="shared" si="157"/>
        <v>0</v>
      </c>
      <c r="AB157" s="100">
        <f t="shared" si="158"/>
        <v>0</v>
      </c>
      <c r="AC157" s="100">
        <f t="shared" si="159"/>
        <v>0</v>
      </c>
      <c r="AD157" s="100">
        <f t="shared" si="160"/>
        <v>0</v>
      </c>
      <c r="AE157" s="100">
        <f t="shared" si="161"/>
        <v>0</v>
      </c>
      <c r="AF157" s="100">
        <f t="shared" si="162"/>
        <v>0</v>
      </c>
      <c r="AG157" s="100">
        <f t="shared" si="163"/>
        <v>0</v>
      </c>
      <c r="AH157" s="100">
        <f t="shared" si="164"/>
        <v>0</v>
      </c>
      <c r="AI157" s="109"/>
      <c r="AJ157" s="108">
        <f t="shared" si="165"/>
        <v>0</v>
      </c>
      <c r="AK157" s="108">
        <f t="shared" si="166"/>
        <v>0</v>
      </c>
      <c r="AL157" s="108">
        <f t="shared" si="167"/>
        <v>0</v>
      </c>
      <c r="AN157" s="100">
        <v>15</v>
      </c>
      <c r="AO157" s="100">
        <f t="shared" ref="AO157:AO167" si="176">H157*0</f>
        <v>0</v>
      </c>
      <c r="AP157" s="100">
        <f t="shared" ref="AP157:AP167" si="177">H157*(1-0)</f>
        <v>0</v>
      </c>
      <c r="AQ157" s="111" t="s">
        <v>7</v>
      </c>
      <c r="AV157" s="100">
        <f t="shared" si="168"/>
        <v>0</v>
      </c>
      <c r="AW157" s="100">
        <f t="shared" si="169"/>
        <v>0</v>
      </c>
      <c r="AX157" s="100">
        <f t="shared" si="170"/>
        <v>0</v>
      </c>
      <c r="AY157" s="110" t="s">
        <v>1701</v>
      </c>
      <c r="AZ157" s="110" t="s">
        <v>1730</v>
      </c>
      <c r="BA157" s="109" t="s">
        <v>1737</v>
      </c>
      <c r="BC157" s="100">
        <f t="shared" si="171"/>
        <v>0</v>
      </c>
      <c r="BD157" s="100">
        <f t="shared" si="172"/>
        <v>0</v>
      </c>
      <c r="BE157" s="100">
        <v>0</v>
      </c>
      <c r="BF157" s="100">
        <f>157</f>
        <v>157</v>
      </c>
      <c r="BH157" s="108">
        <f t="shared" si="173"/>
        <v>0</v>
      </c>
      <c r="BI157" s="108">
        <f t="shared" si="174"/>
        <v>0</v>
      </c>
      <c r="BJ157" s="108">
        <f t="shared" si="175"/>
        <v>0</v>
      </c>
    </row>
    <row r="158" spans="1:62" x14ac:dyDescent="0.2">
      <c r="A158" s="117" t="s">
        <v>127</v>
      </c>
      <c r="B158" s="117" t="s">
        <v>677</v>
      </c>
      <c r="C158" s="304" t="s">
        <v>2475</v>
      </c>
      <c r="D158" s="305"/>
      <c r="E158" s="305"/>
      <c r="F158" s="117" t="s">
        <v>1645</v>
      </c>
      <c r="G158" s="116">
        <v>18.527999999999999</v>
      </c>
      <c r="H158" s="159"/>
      <c r="I158" s="108">
        <f t="shared" si="154"/>
        <v>0</v>
      </c>
      <c r="J158" s="108">
        <f t="shared" si="155"/>
        <v>0</v>
      </c>
      <c r="K158" s="108">
        <f t="shared" si="156"/>
        <v>0</v>
      </c>
      <c r="L158" s="111" t="s">
        <v>1671</v>
      </c>
      <c r="Z158" s="100">
        <f t="shared" si="157"/>
        <v>0</v>
      </c>
      <c r="AB158" s="100">
        <f t="shared" si="158"/>
        <v>0</v>
      </c>
      <c r="AC158" s="100">
        <f t="shared" si="159"/>
        <v>0</v>
      </c>
      <c r="AD158" s="100">
        <f t="shared" si="160"/>
        <v>0</v>
      </c>
      <c r="AE158" s="100">
        <f t="shared" si="161"/>
        <v>0</v>
      </c>
      <c r="AF158" s="100">
        <f t="shared" si="162"/>
        <v>0</v>
      </c>
      <c r="AG158" s="100">
        <f t="shared" si="163"/>
        <v>0</v>
      </c>
      <c r="AH158" s="100">
        <f t="shared" si="164"/>
        <v>0</v>
      </c>
      <c r="AI158" s="109"/>
      <c r="AJ158" s="108">
        <f t="shared" si="165"/>
        <v>0</v>
      </c>
      <c r="AK158" s="108">
        <f t="shared" si="166"/>
        <v>0</v>
      </c>
      <c r="AL158" s="108">
        <f t="shared" si="167"/>
        <v>0</v>
      </c>
      <c r="AN158" s="100">
        <v>15</v>
      </c>
      <c r="AO158" s="100">
        <f t="shared" si="176"/>
        <v>0</v>
      </c>
      <c r="AP158" s="100">
        <f t="shared" si="177"/>
        <v>0</v>
      </c>
      <c r="AQ158" s="111" t="s">
        <v>7</v>
      </c>
      <c r="AV158" s="100">
        <f t="shared" si="168"/>
        <v>0</v>
      </c>
      <c r="AW158" s="100">
        <f t="shared" si="169"/>
        <v>0</v>
      </c>
      <c r="AX158" s="100">
        <f t="shared" si="170"/>
        <v>0</v>
      </c>
      <c r="AY158" s="110" t="s">
        <v>1701</v>
      </c>
      <c r="AZ158" s="110" t="s">
        <v>1730</v>
      </c>
      <c r="BA158" s="109" t="s">
        <v>1737</v>
      </c>
      <c r="BC158" s="100">
        <f t="shared" si="171"/>
        <v>0</v>
      </c>
      <c r="BD158" s="100">
        <f t="shared" si="172"/>
        <v>0</v>
      </c>
      <c r="BE158" s="100">
        <v>0</v>
      </c>
      <c r="BF158" s="100">
        <f>158</f>
        <v>158</v>
      </c>
      <c r="BH158" s="108">
        <f t="shared" si="173"/>
        <v>0</v>
      </c>
      <c r="BI158" s="108">
        <f t="shared" si="174"/>
        <v>0</v>
      </c>
      <c r="BJ158" s="108">
        <f t="shared" si="175"/>
        <v>0</v>
      </c>
    </row>
    <row r="159" spans="1:62" x14ac:dyDescent="0.2">
      <c r="A159" s="117" t="s">
        <v>128</v>
      </c>
      <c r="B159" s="117" t="s">
        <v>678</v>
      </c>
      <c r="C159" s="304" t="s">
        <v>2838</v>
      </c>
      <c r="D159" s="305"/>
      <c r="E159" s="305"/>
      <c r="F159" s="117" t="s">
        <v>1645</v>
      </c>
      <c r="G159" s="116">
        <v>23.43</v>
      </c>
      <c r="H159" s="159"/>
      <c r="I159" s="108">
        <f t="shared" si="154"/>
        <v>0</v>
      </c>
      <c r="J159" s="108">
        <f t="shared" si="155"/>
        <v>0</v>
      </c>
      <c r="K159" s="108">
        <f t="shared" si="156"/>
        <v>0</v>
      </c>
      <c r="L159" s="111" t="s">
        <v>1671</v>
      </c>
      <c r="Z159" s="100">
        <f t="shared" si="157"/>
        <v>0</v>
      </c>
      <c r="AB159" s="100">
        <f t="shared" si="158"/>
        <v>0</v>
      </c>
      <c r="AC159" s="100">
        <f t="shared" si="159"/>
        <v>0</v>
      </c>
      <c r="AD159" s="100">
        <f t="shared" si="160"/>
        <v>0</v>
      </c>
      <c r="AE159" s="100">
        <f t="shared" si="161"/>
        <v>0</v>
      </c>
      <c r="AF159" s="100">
        <f t="shared" si="162"/>
        <v>0</v>
      </c>
      <c r="AG159" s="100">
        <f t="shared" si="163"/>
        <v>0</v>
      </c>
      <c r="AH159" s="100">
        <f t="shared" si="164"/>
        <v>0</v>
      </c>
      <c r="AI159" s="109"/>
      <c r="AJ159" s="108">
        <f t="shared" si="165"/>
        <v>0</v>
      </c>
      <c r="AK159" s="108">
        <f t="shared" si="166"/>
        <v>0</v>
      </c>
      <c r="AL159" s="108">
        <f t="shared" si="167"/>
        <v>0</v>
      </c>
      <c r="AN159" s="100">
        <v>15</v>
      </c>
      <c r="AO159" s="100">
        <f t="shared" si="176"/>
        <v>0</v>
      </c>
      <c r="AP159" s="100">
        <f t="shared" si="177"/>
        <v>0</v>
      </c>
      <c r="AQ159" s="111" t="s">
        <v>7</v>
      </c>
      <c r="AV159" s="100">
        <f t="shared" si="168"/>
        <v>0</v>
      </c>
      <c r="AW159" s="100">
        <f t="shared" si="169"/>
        <v>0</v>
      </c>
      <c r="AX159" s="100">
        <f t="shared" si="170"/>
        <v>0</v>
      </c>
      <c r="AY159" s="110" t="s">
        <v>1701</v>
      </c>
      <c r="AZ159" s="110" t="s">
        <v>1730</v>
      </c>
      <c r="BA159" s="109" t="s">
        <v>1737</v>
      </c>
      <c r="BC159" s="100">
        <f t="shared" si="171"/>
        <v>0</v>
      </c>
      <c r="BD159" s="100">
        <f t="shared" si="172"/>
        <v>0</v>
      </c>
      <c r="BE159" s="100">
        <v>0</v>
      </c>
      <c r="BF159" s="100">
        <f>159</f>
        <v>159</v>
      </c>
      <c r="BH159" s="108">
        <f t="shared" si="173"/>
        <v>0</v>
      </c>
      <c r="BI159" s="108">
        <f t="shared" si="174"/>
        <v>0</v>
      </c>
      <c r="BJ159" s="108">
        <f t="shared" si="175"/>
        <v>0</v>
      </c>
    </row>
    <row r="160" spans="1:62" x14ac:dyDescent="0.2">
      <c r="A160" s="117" t="s">
        <v>129</v>
      </c>
      <c r="B160" s="117" t="s">
        <v>679</v>
      </c>
      <c r="C160" s="304" t="s">
        <v>2473</v>
      </c>
      <c r="D160" s="305"/>
      <c r="E160" s="305"/>
      <c r="F160" s="117" t="s">
        <v>1645</v>
      </c>
      <c r="G160" s="116">
        <v>11.445</v>
      </c>
      <c r="H160" s="159"/>
      <c r="I160" s="108">
        <f t="shared" si="154"/>
        <v>0</v>
      </c>
      <c r="J160" s="108">
        <f t="shared" si="155"/>
        <v>0</v>
      </c>
      <c r="K160" s="108">
        <f t="shared" si="156"/>
        <v>0</v>
      </c>
      <c r="L160" s="111" t="s">
        <v>1671</v>
      </c>
      <c r="Z160" s="100">
        <f t="shared" si="157"/>
        <v>0</v>
      </c>
      <c r="AB160" s="100">
        <f t="shared" si="158"/>
        <v>0</v>
      </c>
      <c r="AC160" s="100">
        <f t="shared" si="159"/>
        <v>0</v>
      </c>
      <c r="AD160" s="100">
        <f t="shared" si="160"/>
        <v>0</v>
      </c>
      <c r="AE160" s="100">
        <f t="shared" si="161"/>
        <v>0</v>
      </c>
      <c r="AF160" s="100">
        <f t="shared" si="162"/>
        <v>0</v>
      </c>
      <c r="AG160" s="100">
        <f t="shared" si="163"/>
        <v>0</v>
      </c>
      <c r="AH160" s="100">
        <f t="shared" si="164"/>
        <v>0</v>
      </c>
      <c r="AI160" s="109"/>
      <c r="AJ160" s="108">
        <f t="shared" si="165"/>
        <v>0</v>
      </c>
      <c r="AK160" s="108">
        <f t="shared" si="166"/>
        <v>0</v>
      </c>
      <c r="AL160" s="108">
        <f t="shared" si="167"/>
        <v>0</v>
      </c>
      <c r="AN160" s="100">
        <v>15</v>
      </c>
      <c r="AO160" s="100">
        <f t="shared" si="176"/>
        <v>0</v>
      </c>
      <c r="AP160" s="100">
        <f t="shared" si="177"/>
        <v>0</v>
      </c>
      <c r="AQ160" s="111" t="s">
        <v>7</v>
      </c>
      <c r="AV160" s="100">
        <f t="shared" si="168"/>
        <v>0</v>
      </c>
      <c r="AW160" s="100">
        <f t="shared" si="169"/>
        <v>0</v>
      </c>
      <c r="AX160" s="100">
        <f t="shared" si="170"/>
        <v>0</v>
      </c>
      <c r="AY160" s="110" t="s">
        <v>1701</v>
      </c>
      <c r="AZ160" s="110" t="s">
        <v>1730</v>
      </c>
      <c r="BA160" s="109" t="s">
        <v>1737</v>
      </c>
      <c r="BC160" s="100">
        <f t="shared" si="171"/>
        <v>0</v>
      </c>
      <c r="BD160" s="100">
        <f t="shared" si="172"/>
        <v>0</v>
      </c>
      <c r="BE160" s="100">
        <v>0</v>
      </c>
      <c r="BF160" s="100">
        <f>160</f>
        <v>160</v>
      </c>
      <c r="BH160" s="108">
        <f t="shared" si="173"/>
        <v>0</v>
      </c>
      <c r="BI160" s="108">
        <f t="shared" si="174"/>
        <v>0</v>
      </c>
      <c r="BJ160" s="108">
        <f t="shared" si="175"/>
        <v>0</v>
      </c>
    </row>
    <row r="161" spans="1:62" x14ac:dyDescent="0.2">
      <c r="A161" s="117" t="s">
        <v>130</v>
      </c>
      <c r="B161" s="117" t="s">
        <v>680</v>
      </c>
      <c r="C161" s="304" t="s">
        <v>1189</v>
      </c>
      <c r="D161" s="305"/>
      <c r="E161" s="305"/>
      <c r="F161" s="117" t="s">
        <v>1645</v>
      </c>
      <c r="G161" s="116">
        <v>497.28899999999999</v>
      </c>
      <c r="H161" s="159"/>
      <c r="I161" s="108">
        <f t="shared" si="154"/>
        <v>0</v>
      </c>
      <c r="J161" s="108">
        <f t="shared" si="155"/>
        <v>0</v>
      </c>
      <c r="K161" s="108">
        <f t="shared" si="156"/>
        <v>0</v>
      </c>
      <c r="L161" s="111" t="s">
        <v>1671</v>
      </c>
      <c r="Z161" s="100">
        <f t="shared" si="157"/>
        <v>0</v>
      </c>
      <c r="AB161" s="100">
        <f t="shared" si="158"/>
        <v>0</v>
      </c>
      <c r="AC161" s="100">
        <f t="shared" si="159"/>
        <v>0</v>
      </c>
      <c r="AD161" s="100">
        <f t="shared" si="160"/>
        <v>0</v>
      </c>
      <c r="AE161" s="100">
        <f t="shared" si="161"/>
        <v>0</v>
      </c>
      <c r="AF161" s="100">
        <f t="shared" si="162"/>
        <v>0</v>
      </c>
      <c r="AG161" s="100">
        <f t="shared" si="163"/>
        <v>0</v>
      </c>
      <c r="AH161" s="100">
        <f t="shared" si="164"/>
        <v>0</v>
      </c>
      <c r="AI161" s="109"/>
      <c r="AJ161" s="108">
        <f t="shared" si="165"/>
        <v>0</v>
      </c>
      <c r="AK161" s="108">
        <f t="shared" si="166"/>
        <v>0</v>
      </c>
      <c r="AL161" s="108">
        <f t="shared" si="167"/>
        <v>0</v>
      </c>
      <c r="AN161" s="100">
        <v>15</v>
      </c>
      <c r="AO161" s="100">
        <f t="shared" si="176"/>
        <v>0</v>
      </c>
      <c r="AP161" s="100">
        <f t="shared" si="177"/>
        <v>0</v>
      </c>
      <c r="AQ161" s="111" t="s">
        <v>7</v>
      </c>
      <c r="AV161" s="100">
        <f t="shared" si="168"/>
        <v>0</v>
      </c>
      <c r="AW161" s="100">
        <f t="shared" si="169"/>
        <v>0</v>
      </c>
      <c r="AX161" s="100">
        <f t="shared" si="170"/>
        <v>0</v>
      </c>
      <c r="AY161" s="110" t="s">
        <v>1701</v>
      </c>
      <c r="AZ161" s="110" t="s">
        <v>1730</v>
      </c>
      <c r="BA161" s="109" t="s">
        <v>1737</v>
      </c>
      <c r="BC161" s="100">
        <f t="shared" si="171"/>
        <v>0</v>
      </c>
      <c r="BD161" s="100">
        <f t="shared" si="172"/>
        <v>0</v>
      </c>
      <c r="BE161" s="100">
        <v>0</v>
      </c>
      <c r="BF161" s="100">
        <f>161</f>
        <v>161</v>
      </c>
      <c r="BH161" s="108">
        <f t="shared" si="173"/>
        <v>0</v>
      </c>
      <c r="BI161" s="108">
        <f t="shared" si="174"/>
        <v>0</v>
      </c>
      <c r="BJ161" s="108">
        <f t="shared" si="175"/>
        <v>0</v>
      </c>
    </row>
    <row r="162" spans="1:62" x14ac:dyDescent="0.2">
      <c r="A162" s="117" t="s">
        <v>131</v>
      </c>
      <c r="B162" s="117" t="s">
        <v>681</v>
      </c>
      <c r="C162" s="304" t="s">
        <v>1190</v>
      </c>
      <c r="D162" s="305"/>
      <c r="E162" s="305"/>
      <c r="F162" s="117" t="s">
        <v>1645</v>
      </c>
      <c r="G162" s="116">
        <v>497.28899999999999</v>
      </c>
      <c r="H162" s="159"/>
      <c r="I162" s="108">
        <f t="shared" si="154"/>
        <v>0</v>
      </c>
      <c r="J162" s="108">
        <f t="shared" si="155"/>
        <v>0</v>
      </c>
      <c r="K162" s="108">
        <f t="shared" si="156"/>
        <v>0</v>
      </c>
      <c r="L162" s="111" t="s">
        <v>1671</v>
      </c>
      <c r="Z162" s="100">
        <f t="shared" si="157"/>
        <v>0</v>
      </c>
      <c r="AB162" s="100">
        <f t="shared" si="158"/>
        <v>0</v>
      </c>
      <c r="AC162" s="100">
        <f t="shared" si="159"/>
        <v>0</v>
      </c>
      <c r="AD162" s="100">
        <f t="shared" si="160"/>
        <v>0</v>
      </c>
      <c r="AE162" s="100">
        <f t="shared" si="161"/>
        <v>0</v>
      </c>
      <c r="AF162" s="100">
        <f t="shared" si="162"/>
        <v>0</v>
      </c>
      <c r="AG162" s="100">
        <f t="shared" si="163"/>
        <v>0</v>
      </c>
      <c r="AH162" s="100">
        <f t="shared" si="164"/>
        <v>0</v>
      </c>
      <c r="AI162" s="109"/>
      <c r="AJ162" s="108">
        <f t="shared" si="165"/>
        <v>0</v>
      </c>
      <c r="AK162" s="108">
        <f t="shared" si="166"/>
        <v>0</v>
      </c>
      <c r="AL162" s="108">
        <f t="shared" si="167"/>
        <v>0</v>
      </c>
      <c r="AN162" s="100">
        <v>15</v>
      </c>
      <c r="AO162" s="100">
        <f t="shared" si="176"/>
        <v>0</v>
      </c>
      <c r="AP162" s="100">
        <f t="shared" si="177"/>
        <v>0</v>
      </c>
      <c r="AQ162" s="111" t="s">
        <v>7</v>
      </c>
      <c r="AV162" s="100">
        <f t="shared" si="168"/>
        <v>0</v>
      </c>
      <c r="AW162" s="100">
        <f t="shared" si="169"/>
        <v>0</v>
      </c>
      <c r="AX162" s="100">
        <f t="shared" si="170"/>
        <v>0</v>
      </c>
      <c r="AY162" s="110" t="s">
        <v>1701</v>
      </c>
      <c r="AZ162" s="110" t="s">
        <v>1730</v>
      </c>
      <c r="BA162" s="109" t="s">
        <v>1737</v>
      </c>
      <c r="BC162" s="100">
        <f t="shared" si="171"/>
        <v>0</v>
      </c>
      <c r="BD162" s="100">
        <f t="shared" si="172"/>
        <v>0</v>
      </c>
      <c r="BE162" s="100">
        <v>0</v>
      </c>
      <c r="BF162" s="100">
        <f>162</f>
        <v>162</v>
      </c>
      <c r="BH162" s="108">
        <f t="shared" si="173"/>
        <v>0</v>
      </c>
      <c r="BI162" s="108">
        <f t="shared" si="174"/>
        <v>0</v>
      </c>
      <c r="BJ162" s="108">
        <f t="shared" si="175"/>
        <v>0</v>
      </c>
    </row>
    <row r="163" spans="1:62" x14ac:dyDescent="0.2">
      <c r="A163" s="117" t="s">
        <v>132</v>
      </c>
      <c r="B163" s="117" t="s">
        <v>682</v>
      </c>
      <c r="C163" s="304" t="s">
        <v>1191</v>
      </c>
      <c r="D163" s="305"/>
      <c r="E163" s="305"/>
      <c r="F163" s="117" t="s">
        <v>1645</v>
      </c>
      <c r="G163" s="116">
        <v>98.432000000000002</v>
      </c>
      <c r="H163" s="159"/>
      <c r="I163" s="108">
        <f t="shared" si="154"/>
        <v>0</v>
      </c>
      <c r="J163" s="108">
        <f t="shared" si="155"/>
        <v>0</v>
      </c>
      <c r="K163" s="108">
        <f t="shared" si="156"/>
        <v>0</v>
      </c>
      <c r="L163" s="111" t="s">
        <v>1671</v>
      </c>
      <c r="Z163" s="100">
        <f t="shared" si="157"/>
        <v>0</v>
      </c>
      <c r="AB163" s="100">
        <f t="shared" si="158"/>
        <v>0</v>
      </c>
      <c r="AC163" s="100">
        <f t="shared" si="159"/>
        <v>0</v>
      </c>
      <c r="AD163" s="100">
        <f t="shared" si="160"/>
        <v>0</v>
      </c>
      <c r="AE163" s="100">
        <f t="shared" si="161"/>
        <v>0</v>
      </c>
      <c r="AF163" s="100">
        <f t="shared" si="162"/>
        <v>0</v>
      </c>
      <c r="AG163" s="100">
        <f t="shared" si="163"/>
        <v>0</v>
      </c>
      <c r="AH163" s="100">
        <f t="shared" si="164"/>
        <v>0</v>
      </c>
      <c r="AI163" s="109"/>
      <c r="AJ163" s="108">
        <f t="shared" si="165"/>
        <v>0</v>
      </c>
      <c r="AK163" s="108">
        <f t="shared" si="166"/>
        <v>0</v>
      </c>
      <c r="AL163" s="108">
        <f t="shared" si="167"/>
        <v>0</v>
      </c>
      <c r="AN163" s="100">
        <v>15</v>
      </c>
      <c r="AO163" s="100">
        <f t="shared" si="176"/>
        <v>0</v>
      </c>
      <c r="AP163" s="100">
        <f t="shared" si="177"/>
        <v>0</v>
      </c>
      <c r="AQ163" s="111" t="s">
        <v>7</v>
      </c>
      <c r="AV163" s="100">
        <f t="shared" si="168"/>
        <v>0</v>
      </c>
      <c r="AW163" s="100">
        <f t="shared" si="169"/>
        <v>0</v>
      </c>
      <c r="AX163" s="100">
        <f t="shared" si="170"/>
        <v>0</v>
      </c>
      <c r="AY163" s="110" t="s">
        <v>1701</v>
      </c>
      <c r="AZ163" s="110" t="s">
        <v>1730</v>
      </c>
      <c r="BA163" s="109" t="s">
        <v>1737</v>
      </c>
      <c r="BC163" s="100">
        <f t="shared" si="171"/>
        <v>0</v>
      </c>
      <c r="BD163" s="100">
        <f t="shared" si="172"/>
        <v>0</v>
      </c>
      <c r="BE163" s="100">
        <v>0</v>
      </c>
      <c r="BF163" s="100">
        <f>163</f>
        <v>163</v>
      </c>
      <c r="BH163" s="108">
        <f t="shared" si="173"/>
        <v>0</v>
      </c>
      <c r="BI163" s="108">
        <f t="shared" si="174"/>
        <v>0</v>
      </c>
      <c r="BJ163" s="108">
        <f t="shared" si="175"/>
        <v>0</v>
      </c>
    </row>
    <row r="164" spans="1:62" x14ac:dyDescent="0.2">
      <c r="A164" s="117" t="s">
        <v>133</v>
      </c>
      <c r="B164" s="117" t="s">
        <v>682</v>
      </c>
      <c r="C164" s="304" t="s">
        <v>2837</v>
      </c>
      <c r="D164" s="305"/>
      <c r="E164" s="305"/>
      <c r="F164" s="117" t="s">
        <v>1645</v>
      </c>
      <c r="G164" s="116">
        <v>80.08</v>
      </c>
      <c r="H164" s="159"/>
      <c r="I164" s="108">
        <f t="shared" si="154"/>
        <v>0</v>
      </c>
      <c r="J164" s="108">
        <f t="shared" si="155"/>
        <v>0</v>
      </c>
      <c r="K164" s="108">
        <f t="shared" si="156"/>
        <v>0</v>
      </c>
      <c r="L164" s="111" t="s">
        <v>1671</v>
      </c>
      <c r="Z164" s="100">
        <f t="shared" si="157"/>
        <v>0</v>
      </c>
      <c r="AB164" s="100">
        <f t="shared" si="158"/>
        <v>0</v>
      </c>
      <c r="AC164" s="100">
        <f t="shared" si="159"/>
        <v>0</v>
      </c>
      <c r="AD164" s="100">
        <f t="shared" si="160"/>
        <v>0</v>
      </c>
      <c r="AE164" s="100">
        <f t="shared" si="161"/>
        <v>0</v>
      </c>
      <c r="AF164" s="100">
        <f t="shared" si="162"/>
        <v>0</v>
      </c>
      <c r="AG164" s="100">
        <f t="shared" si="163"/>
        <v>0</v>
      </c>
      <c r="AH164" s="100">
        <f t="shared" si="164"/>
        <v>0</v>
      </c>
      <c r="AI164" s="109"/>
      <c r="AJ164" s="108">
        <f t="shared" si="165"/>
        <v>0</v>
      </c>
      <c r="AK164" s="108">
        <f t="shared" si="166"/>
        <v>0</v>
      </c>
      <c r="AL164" s="108">
        <f t="shared" si="167"/>
        <v>0</v>
      </c>
      <c r="AN164" s="100">
        <v>15</v>
      </c>
      <c r="AO164" s="100">
        <f t="shared" si="176"/>
        <v>0</v>
      </c>
      <c r="AP164" s="100">
        <f t="shared" si="177"/>
        <v>0</v>
      </c>
      <c r="AQ164" s="111" t="s">
        <v>7</v>
      </c>
      <c r="AV164" s="100">
        <f t="shared" si="168"/>
        <v>0</v>
      </c>
      <c r="AW164" s="100">
        <f t="shared" si="169"/>
        <v>0</v>
      </c>
      <c r="AX164" s="100">
        <f t="shared" si="170"/>
        <v>0</v>
      </c>
      <c r="AY164" s="110" t="s">
        <v>1701</v>
      </c>
      <c r="AZ164" s="110" t="s">
        <v>1730</v>
      </c>
      <c r="BA164" s="109" t="s">
        <v>1737</v>
      </c>
      <c r="BC164" s="100">
        <f t="shared" si="171"/>
        <v>0</v>
      </c>
      <c r="BD164" s="100">
        <f t="shared" si="172"/>
        <v>0</v>
      </c>
      <c r="BE164" s="100">
        <v>0</v>
      </c>
      <c r="BF164" s="100">
        <f>164</f>
        <v>164</v>
      </c>
      <c r="BH164" s="108">
        <f t="shared" si="173"/>
        <v>0</v>
      </c>
      <c r="BI164" s="108">
        <f t="shared" si="174"/>
        <v>0</v>
      </c>
      <c r="BJ164" s="108">
        <f t="shared" si="175"/>
        <v>0</v>
      </c>
    </row>
    <row r="165" spans="1:62" x14ac:dyDescent="0.2">
      <c r="A165" s="117" t="s">
        <v>134</v>
      </c>
      <c r="B165" s="117" t="s">
        <v>683</v>
      </c>
      <c r="C165" s="304" t="s">
        <v>1194</v>
      </c>
      <c r="D165" s="305"/>
      <c r="E165" s="305"/>
      <c r="F165" s="117" t="s">
        <v>1645</v>
      </c>
      <c r="G165" s="116">
        <v>23.43</v>
      </c>
      <c r="H165" s="159"/>
      <c r="I165" s="108">
        <f t="shared" si="154"/>
        <v>0</v>
      </c>
      <c r="J165" s="108">
        <f t="shared" si="155"/>
        <v>0</v>
      </c>
      <c r="K165" s="108">
        <f t="shared" si="156"/>
        <v>0</v>
      </c>
      <c r="L165" s="111" t="s">
        <v>1671</v>
      </c>
      <c r="Z165" s="100">
        <f t="shared" si="157"/>
        <v>0</v>
      </c>
      <c r="AB165" s="100">
        <f t="shared" si="158"/>
        <v>0</v>
      </c>
      <c r="AC165" s="100">
        <f t="shared" si="159"/>
        <v>0</v>
      </c>
      <c r="AD165" s="100">
        <f t="shared" si="160"/>
        <v>0</v>
      </c>
      <c r="AE165" s="100">
        <f t="shared" si="161"/>
        <v>0</v>
      </c>
      <c r="AF165" s="100">
        <f t="shared" si="162"/>
        <v>0</v>
      </c>
      <c r="AG165" s="100">
        <f t="shared" si="163"/>
        <v>0</v>
      </c>
      <c r="AH165" s="100">
        <f t="shared" si="164"/>
        <v>0</v>
      </c>
      <c r="AI165" s="109"/>
      <c r="AJ165" s="108">
        <f t="shared" si="165"/>
        <v>0</v>
      </c>
      <c r="AK165" s="108">
        <f t="shared" si="166"/>
        <v>0</v>
      </c>
      <c r="AL165" s="108">
        <f t="shared" si="167"/>
        <v>0</v>
      </c>
      <c r="AN165" s="100">
        <v>15</v>
      </c>
      <c r="AO165" s="100">
        <f t="shared" si="176"/>
        <v>0</v>
      </c>
      <c r="AP165" s="100">
        <f t="shared" si="177"/>
        <v>0</v>
      </c>
      <c r="AQ165" s="111" t="s">
        <v>7</v>
      </c>
      <c r="AV165" s="100">
        <f t="shared" si="168"/>
        <v>0</v>
      </c>
      <c r="AW165" s="100">
        <f t="shared" si="169"/>
        <v>0</v>
      </c>
      <c r="AX165" s="100">
        <f t="shared" si="170"/>
        <v>0</v>
      </c>
      <c r="AY165" s="110" t="s">
        <v>1701</v>
      </c>
      <c r="AZ165" s="110" t="s">
        <v>1730</v>
      </c>
      <c r="BA165" s="109" t="s">
        <v>1737</v>
      </c>
      <c r="BC165" s="100">
        <f t="shared" si="171"/>
        <v>0</v>
      </c>
      <c r="BD165" s="100">
        <f t="shared" si="172"/>
        <v>0</v>
      </c>
      <c r="BE165" s="100">
        <v>0</v>
      </c>
      <c r="BF165" s="100">
        <f>165</f>
        <v>165</v>
      </c>
      <c r="BH165" s="108">
        <f t="shared" si="173"/>
        <v>0</v>
      </c>
      <c r="BI165" s="108">
        <f t="shared" si="174"/>
        <v>0</v>
      </c>
      <c r="BJ165" s="108">
        <f t="shared" si="175"/>
        <v>0</v>
      </c>
    </row>
    <row r="166" spans="1:62" x14ac:dyDescent="0.2">
      <c r="A166" s="117" t="s">
        <v>135</v>
      </c>
      <c r="B166" s="117" t="s">
        <v>2836</v>
      </c>
      <c r="C166" s="304" t="s">
        <v>2835</v>
      </c>
      <c r="D166" s="305"/>
      <c r="E166" s="305"/>
      <c r="F166" s="117" t="s">
        <v>1645</v>
      </c>
      <c r="G166" s="116">
        <v>4.32</v>
      </c>
      <c r="H166" s="159"/>
      <c r="I166" s="108">
        <f t="shared" si="154"/>
        <v>0</v>
      </c>
      <c r="J166" s="108">
        <f t="shared" si="155"/>
        <v>0</v>
      </c>
      <c r="K166" s="108">
        <f t="shared" si="156"/>
        <v>0</v>
      </c>
      <c r="L166" s="111" t="s">
        <v>1671</v>
      </c>
      <c r="Z166" s="100">
        <f t="shared" si="157"/>
        <v>0</v>
      </c>
      <c r="AB166" s="100">
        <f t="shared" si="158"/>
        <v>0</v>
      </c>
      <c r="AC166" s="100">
        <f t="shared" si="159"/>
        <v>0</v>
      </c>
      <c r="AD166" s="100">
        <f t="shared" si="160"/>
        <v>0</v>
      </c>
      <c r="AE166" s="100">
        <f t="shared" si="161"/>
        <v>0</v>
      </c>
      <c r="AF166" s="100">
        <f t="shared" si="162"/>
        <v>0</v>
      </c>
      <c r="AG166" s="100">
        <f t="shared" si="163"/>
        <v>0</v>
      </c>
      <c r="AH166" s="100">
        <f t="shared" si="164"/>
        <v>0</v>
      </c>
      <c r="AI166" s="109"/>
      <c r="AJ166" s="108">
        <f t="shared" si="165"/>
        <v>0</v>
      </c>
      <c r="AK166" s="108">
        <f t="shared" si="166"/>
        <v>0</v>
      </c>
      <c r="AL166" s="108">
        <f t="shared" si="167"/>
        <v>0</v>
      </c>
      <c r="AN166" s="100">
        <v>15</v>
      </c>
      <c r="AO166" s="100">
        <f t="shared" si="176"/>
        <v>0</v>
      </c>
      <c r="AP166" s="100">
        <f t="shared" si="177"/>
        <v>0</v>
      </c>
      <c r="AQ166" s="111" t="s">
        <v>7</v>
      </c>
      <c r="AV166" s="100">
        <f t="shared" si="168"/>
        <v>0</v>
      </c>
      <c r="AW166" s="100">
        <f t="shared" si="169"/>
        <v>0</v>
      </c>
      <c r="AX166" s="100">
        <f t="shared" si="170"/>
        <v>0</v>
      </c>
      <c r="AY166" s="110" t="s">
        <v>1701</v>
      </c>
      <c r="AZ166" s="110" t="s">
        <v>1730</v>
      </c>
      <c r="BA166" s="109" t="s">
        <v>1737</v>
      </c>
      <c r="BC166" s="100">
        <f t="shared" si="171"/>
        <v>0</v>
      </c>
      <c r="BD166" s="100">
        <f t="shared" si="172"/>
        <v>0</v>
      </c>
      <c r="BE166" s="100">
        <v>0</v>
      </c>
      <c r="BF166" s="100">
        <f>166</f>
        <v>166</v>
      </c>
      <c r="BH166" s="108">
        <f t="shared" si="173"/>
        <v>0</v>
      </c>
      <c r="BI166" s="108">
        <f t="shared" si="174"/>
        <v>0</v>
      </c>
      <c r="BJ166" s="108">
        <f t="shared" si="175"/>
        <v>0</v>
      </c>
    </row>
    <row r="167" spans="1:62" x14ac:dyDescent="0.2">
      <c r="A167" s="117" t="s">
        <v>136</v>
      </c>
      <c r="B167" s="117" t="s">
        <v>2834</v>
      </c>
      <c r="C167" s="304" t="s">
        <v>2833</v>
      </c>
      <c r="D167" s="305"/>
      <c r="E167" s="305"/>
      <c r="F167" s="117" t="s">
        <v>1645</v>
      </c>
      <c r="G167" s="116">
        <v>75.760000000000005</v>
      </c>
      <c r="H167" s="159"/>
      <c r="I167" s="108">
        <f t="shared" si="154"/>
        <v>0</v>
      </c>
      <c r="J167" s="108">
        <f t="shared" si="155"/>
        <v>0</v>
      </c>
      <c r="K167" s="108">
        <f t="shared" si="156"/>
        <v>0</v>
      </c>
      <c r="L167" s="111" t="s">
        <v>1671</v>
      </c>
      <c r="Z167" s="100">
        <f t="shared" si="157"/>
        <v>0</v>
      </c>
      <c r="AB167" s="100">
        <f t="shared" si="158"/>
        <v>0</v>
      </c>
      <c r="AC167" s="100">
        <f t="shared" si="159"/>
        <v>0</v>
      </c>
      <c r="AD167" s="100">
        <f t="shared" si="160"/>
        <v>0</v>
      </c>
      <c r="AE167" s="100">
        <f t="shared" si="161"/>
        <v>0</v>
      </c>
      <c r="AF167" s="100">
        <f t="shared" si="162"/>
        <v>0</v>
      </c>
      <c r="AG167" s="100">
        <f t="shared" si="163"/>
        <v>0</v>
      </c>
      <c r="AH167" s="100">
        <f t="shared" si="164"/>
        <v>0</v>
      </c>
      <c r="AI167" s="109"/>
      <c r="AJ167" s="108">
        <f t="shared" si="165"/>
        <v>0</v>
      </c>
      <c r="AK167" s="108">
        <f t="shared" si="166"/>
        <v>0</v>
      </c>
      <c r="AL167" s="108">
        <f t="shared" si="167"/>
        <v>0</v>
      </c>
      <c r="AN167" s="100">
        <v>15</v>
      </c>
      <c r="AO167" s="100">
        <f t="shared" si="176"/>
        <v>0</v>
      </c>
      <c r="AP167" s="100">
        <f t="shared" si="177"/>
        <v>0</v>
      </c>
      <c r="AQ167" s="111" t="s">
        <v>7</v>
      </c>
      <c r="AV167" s="100">
        <f t="shared" si="168"/>
        <v>0</v>
      </c>
      <c r="AW167" s="100">
        <f t="shared" si="169"/>
        <v>0</v>
      </c>
      <c r="AX167" s="100">
        <f t="shared" si="170"/>
        <v>0</v>
      </c>
      <c r="AY167" s="110" t="s">
        <v>1701</v>
      </c>
      <c r="AZ167" s="110" t="s">
        <v>1730</v>
      </c>
      <c r="BA167" s="109" t="s">
        <v>1737</v>
      </c>
      <c r="BC167" s="100">
        <f t="shared" si="171"/>
        <v>0</v>
      </c>
      <c r="BD167" s="100">
        <f t="shared" si="172"/>
        <v>0</v>
      </c>
      <c r="BE167" s="100">
        <v>0</v>
      </c>
      <c r="BF167" s="100">
        <f>167</f>
        <v>167</v>
      </c>
      <c r="BH167" s="108">
        <f t="shared" si="173"/>
        <v>0</v>
      </c>
      <c r="BI167" s="108">
        <f t="shared" si="174"/>
        <v>0</v>
      </c>
      <c r="BJ167" s="108">
        <f t="shared" si="175"/>
        <v>0</v>
      </c>
    </row>
    <row r="168" spans="1:62" x14ac:dyDescent="0.2">
      <c r="A168" s="119"/>
      <c r="B168" s="120" t="s">
        <v>686</v>
      </c>
      <c r="C168" s="306" t="s">
        <v>1198</v>
      </c>
      <c r="D168" s="307"/>
      <c r="E168" s="307"/>
      <c r="F168" s="119" t="s">
        <v>6</v>
      </c>
      <c r="G168" s="119" t="s">
        <v>6</v>
      </c>
      <c r="H168" s="119" t="s">
        <v>6</v>
      </c>
      <c r="I168" s="118">
        <f>SUM(I169:I184)</f>
        <v>0</v>
      </c>
      <c r="J168" s="118">
        <f>SUM(J169:J184)</f>
        <v>0</v>
      </c>
      <c r="K168" s="118">
        <f>SUM(K169:K184)</f>
        <v>0</v>
      </c>
      <c r="L168" s="109"/>
      <c r="AI168" s="109"/>
      <c r="AS168" s="118">
        <f>SUM(AJ169:AJ184)</f>
        <v>0</v>
      </c>
      <c r="AT168" s="118">
        <f>SUM(AK169:AK184)</f>
        <v>0</v>
      </c>
      <c r="AU168" s="118">
        <f>SUM(AL169:AL184)</f>
        <v>0</v>
      </c>
    </row>
    <row r="169" spans="1:62" x14ac:dyDescent="0.2">
      <c r="A169" s="117" t="s">
        <v>137</v>
      </c>
      <c r="B169" s="117" t="s">
        <v>687</v>
      </c>
      <c r="C169" s="304" t="s">
        <v>1199</v>
      </c>
      <c r="D169" s="305"/>
      <c r="E169" s="305"/>
      <c r="F169" s="117" t="s">
        <v>1648</v>
      </c>
      <c r="G169" s="116">
        <v>27.809000000000001</v>
      </c>
      <c r="H169" s="159"/>
      <c r="I169" s="108">
        <f t="shared" ref="I169:I184" si="178">G169*AO169</f>
        <v>0</v>
      </c>
      <c r="J169" s="108">
        <f t="shared" ref="J169:J184" si="179">G169*AP169</f>
        <v>0</v>
      </c>
      <c r="K169" s="108">
        <f t="shared" ref="K169:K184" si="180">G169*H169</f>
        <v>0</v>
      </c>
      <c r="L169" s="111" t="s">
        <v>1671</v>
      </c>
      <c r="Z169" s="100">
        <f t="shared" ref="Z169:Z184" si="181">IF(AQ169="5",BJ169,0)</f>
        <v>0</v>
      </c>
      <c r="AB169" s="100">
        <f t="shared" ref="AB169:AB184" si="182">IF(AQ169="1",BH169,0)</f>
        <v>0</v>
      </c>
      <c r="AC169" s="100">
        <f t="shared" ref="AC169:AC184" si="183">IF(AQ169="1",BI169,0)</f>
        <v>0</v>
      </c>
      <c r="AD169" s="100">
        <f t="shared" ref="AD169:AD184" si="184">IF(AQ169="7",BH169,0)</f>
        <v>0</v>
      </c>
      <c r="AE169" s="100">
        <f t="shared" ref="AE169:AE184" si="185">IF(AQ169="7",BI169,0)</f>
        <v>0</v>
      </c>
      <c r="AF169" s="100">
        <f t="shared" ref="AF169:AF184" si="186">IF(AQ169="2",BH169,0)</f>
        <v>0</v>
      </c>
      <c r="AG169" s="100">
        <f t="shared" ref="AG169:AG184" si="187">IF(AQ169="2",BI169,0)</f>
        <v>0</v>
      </c>
      <c r="AH169" s="100">
        <f t="shared" ref="AH169:AH184" si="188">IF(AQ169="0",BJ169,0)</f>
        <v>0</v>
      </c>
      <c r="AI169" s="109"/>
      <c r="AJ169" s="108">
        <f t="shared" ref="AJ169:AJ184" si="189">IF(AN169=0,K169,0)</f>
        <v>0</v>
      </c>
      <c r="AK169" s="108">
        <f t="shared" ref="AK169:AK184" si="190">IF(AN169=15,K169,0)</f>
        <v>0</v>
      </c>
      <c r="AL169" s="108">
        <f t="shared" ref="AL169:AL184" si="191">IF(AN169=21,K169,0)</f>
        <v>0</v>
      </c>
      <c r="AN169" s="100">
        <v>15</v>
      </c>
      <c r="AO169" s="100">
        <f t="shared" ref="AO169:AO184" si="192">H169*0</f>
        <v>0</v>
      </c>
      <c r="AP169" s="100">
        <f t="shared" ref="AP169:AP184" si="193">H169*(1-0)</f>
        <v>0</v>
      </c>
      <c r="AQ169" s="111" t="s">
        <v>11</v>
      </c>
      <c r="AV169" s="100">
        <f t="shared" ref="AV169:AV184" si="194">AW169+AX169</f>
        <v>0</v>
      </c>
      <c r="AW169" s="100">
        <f t="shared" ref="AW169:AW184" si="195">G169*AO169</f>
        <v>0</v>
      </c>
      <c r="AX169" s="100">
        <f t="shared" ref="AX169:AX184" si="196">G169*AP169</f>
        <v>0</v>
      </c>
      <c r="AY169" s="110" t="s">
        <v>1703</v>
      </c>
      <c r="AZ169" s="110" t="s">
        <v>1730</v>
      </c>
      <c r="BA169" s="109" t="s">
        <v>1737</v>
      </c>
      <c r="BC169" s="100">
        <f t="shared" ref="BC169:BC184" si="197">AW169+AX169</f>
        <v>0</v>
      </c>
      <c r="BD169" s="100">
        <f t="shared" ref="BD169:BD184" si="198">H169/(100-BE169)*100</f>
        <v>0</v>
      </c>
      <c r="BE169" s="100">
        <v>0</v>
      </c>
      <c r="BF169" s="100">
        <f>169</f>
        <v>169</v>
      </c>
      <c r="BH169" s="108">
        <f t="shared" ref="BH169:BH184" si="199">G169*AO169</f>
        <v>0</v>
      </c>
      <c r="BI169" s="108">
        <f t="shared" ref="BI169:BI184" si="200">G169*AP169</f>
        <v>0</v>
      </c>
      <c r="BJ169" s="108">
        <f t="shared" ref="BJ169:BJ184" si="201">G169*H169</f>
        <v>0</v>
      </c>
    </row>
    <row r="170" spans="1:62" x14ac:dyDescent="0.2">
      <c r="A170" s="117" t="s">
        <v>138</v>
      </c>
      <c r="B170" s="117" t="s">
        <v>688</v>
      </c>
      <c r="C170" s="304" t="s">
        <v>1200</v>
      </c>
      <c r="D170" s="305"/>
      <c r="E170" s="305"/>
      <c r="F170" s="117" t="s">
        <v>1648</v>
      </c>
      <c r="G170" s="116">
        <v>16.686</v>
      </c>
      <c r="H170" s="159"/>
      <c r="I170" s="108">
        <f t="shared" si="178"/>
        <v>0</v>
      </c>
      <c r="J170" s="108">
        <f t="shared" si="179"/>
        <v>0</v>
      </c>
      <c r="K170" s="108">
        <f t="shared" si="180"/>
        <v>0</v>
      </c>
      <c r="L170" s="111" t="s">
        <v>1671</v>
      </c>
      <c r="Z170" s="100">
        <f t="shared" si="181"/>
        <v>0</v>
      </c>
      <c r="AB170" s="100">
        <f t="shared" si="182"/>
        <v>0</v>
      </c>
      <c r="AC170" s="100">
        <f t="shared" si="183"/>
        <v>0</v>
      </c>
      <c r="AD170" s="100">
        <f t="shared" si="184"/>
        <v>0</v>
      </c>
      <c r="AE170" s="100">
        <f t="shared" si="185"/>
        <v>0</v>
      </c>
      <c r="AF170" s="100">
        <f t="shared" si="186"/>
        <v>0</v>
      </c>
      <c r="AG170" s="100">
        <f t="shared" si="187"/>
        <v>0</v>
      </c>
      <c r="AH170" s="100">
        <f t="shared" si="188"/>
        <v>0</v>
      </c>
      <c r="AI170" s="109"/>
      <c r="AJ170" s="108">
        <f t="shared" si="189"/>
        <v>0</v>
      </c>
      <c r="AK170" s="108">
        <f t="shared" si="190"/>
        <v>0</v>
      </c>
      <c r="AL170" s="108">
        <f t="shared" si="191"/>
        <v>0</v>
      </c>
      <c r="AN170" s="100">
        <v>15</v>
      </c>
      <c r="AO170" s="100">
        <f t="shared" si="192"/>
        <v>0</v>
      </c>
      <c r="AP170" s="100">
        <f t="shared" si="193"/>
        <v>0</v>
      </c>
      <c r="AQ170" s="111" t="s">
        <v>11</v>
      </c>
      <c r="AV170" s="100">
        <f t="shared" si="194"/>
        <v>0</v>
      </c>
      <c r="AW170" s="100">
        <f t="shared" si="195"/>
        <v>0</v>
      </c>
      <c r="AX170" s="100">
        <f t="shared" si="196"/>
        <v>0</v>
      </c>
      <c r="AY170" s="110" t="s">
        <v>1703</v>
      </c>
      <c r="AZ170" s="110" t="s">
        <v>1730</v>
      </c>
      <c r="BA170" s="109" t="s">
        <v>1737</v>
      </c>
      <c r="BC170" s="100">
        <f t="shared" si="197"/>
        <v>0</v>
      </c>
      <c r="BD170" s="100">
        <f t="shared" si="198"/>
        <v>0</v>
      </c>
      <c r="BE170" s="100">
        <v>0</v>
      </c>
      <c r="BF170" s="100">
        <f>170</f>
        <v>170</v>
      </c>
      <c r="BH170" s="108">
        <f t="shared" si="199"/>
        <v>0</v>
      </c>
      <c r="BI170" s="108">
        <f t="shared" si="200"/>
        <v>0</v>
      </c>
      <c r="BJ170" s="108">
        <f t="shared" si="201"/>
        <v>0</v>
      </c>
    </row>
    <row r="171" spans="1:62" x14ac:dyDescent="0.2">
      <c r="A171" s="117" t="s">
        <v>139</v>
      </c>
      <c r="B171" s="117" t="s">
        <v>689</v>
      </c>
      <c r="C171" s="304" t="s">
        <v>1201</v>
      </c>
      <c r="D171" s="305"/>
      <c r="E171" s="305"/>
      <c r="F171" s="117" t="s">
        <v>1648</v>
      </c>
      <c r="G171" s="116">
        <v>83.427999999999997</v>
      </c>
      <c r="H171" s="159"/>
      <c r="I171" s="108">
        <f t="shared" si="178"/>
        <v>0</v>
      </c>
      <c r="J171" s="108">
        <f t="shared" si="179"/>
        <v>0</v>
      </c>
      <c r="K171" s="108">
        <f t="shared" si="180"/>
        <v>0</v>
      </c>
      <c r="L171" s="111" t="s">
        <v>1671</v>
      </c>
      <c r="Z171" s="100">
        <f t="shared" si="181"/>
        <v>0</v>
      </c>
      <c r="AB171" s="100">
        <f t="shared" si="182"/>
        <v>0</v>
      </c>
      <c r="AC171" s="100">
        <f t="shared" si="183"/>
        <v>0</v>
      </c>
      <c r="AD171" s="100">
        <f t="shared" si="184"/>
        <v>0</v>
      </c>
      <c r="AE171" s="100">
        <f t="shared" si="185"/>
        <v>0</v>
      </c>
      <c r="AF171" s="100">
        <f t="shared" si="186"/>
        <v>0</v>
      </c>
      <c r="AG171" s="100">
        <f t="shared" si="187"/>
        <v>0</v>
      </c>
      <c r="AH171" s="100">
        <f t="shared" si="188"/>
        <v>0</v>
      </c>
      <c r="AI171" s="109"/>
      <c r="AJ171" s="108">
        <f t="shared" si="189"/>
        <v>0</v>
      </c>
      <c r="AK171" s="108">
        <f t="shared" si="190"/>
        <v>0</v>
      </c>
      <c r="AL171" s="108">
        <f t="shared" si="191"/>
        <v>0</v>
      </c>
      <c r="AN171" s="100">
        <v>15</v>
      </c>
      <c r="AO171" s="100">
        <f t="shared" si="192"/>
        <v>0</v>
      </c>
      <c r="AP171" s="100">
        <f t="shared" si="193"/>
        <v>0</v>
      </c>
      <c r="AQ171" s="111" t="s">
        <v>11</v>
      </c>
      <c r="AV171" s="100">
        <f t="shared" si="194"/>
        <v>0</v>
      </c>
      <c r="AW171" s="100">
        <f t="shared" si="195"/>
        <v>0</v>
      </c>
      <c r="AX171" s="100">
        <f t="shared" si="196"/>
        <v>0</v>
      </c>
      <c r="AY171" s="110" t="s">
        <v>1703</v>
      </c>
      <c r="AZ171" s="110" t="s">
        <v>1730</v>
      </c>
      <c r="BA171" s="109" t="s">
        <v>1737</v>
      </c>
      <c r="BC171" s="100">
        <f t="shared" si="197"/>
        <v>0</v>
      </c>
      <c r="BD171" s="100">
        <f t="shared" si="198"/>
        <v>0</v>
      </c>
      <c r="BE171" s="100">
        <v>0</v>
      </c>
      <c r="BF171" s="100">
        <f>171</f>
        <v>171</v>
      </c>
      <c r="BH171" s="108">
        <f t="shared" si="199"/>
        <v>0</v>
      </c>
      <c r="BI171" s="108">
        <f t="shared" si="200"/>
        <v>0</v>
      </c>
      <c r="BJ171" s="108">
        <f t="shared" si="201"/>
        <v>0</v>
      </c>
    </row>
    <row r="172" spans="1:62" x14ac:dyDescent="0.2">
      <c r="A172" s="117" t="s">
        <v>140</v>
      </c>
      <c r="B172" s="117" t="s">
        <v>690</v>
      </c>
      <c r="C172" s="304" t="s">
        <v>1202</v>
      </c>
      <c r="D172" s="305"/>
      <c r="E172" s="305"/>
      <c r="F172" s="117" t="s">
        <v>1648</v>
      </c>
      <c r="G172" s="116">
        <v>750.85199999999998</v>
      </c>
      <c r="H172" s="159"/>
      <c r="I172" s="108">
        <f t="shared" si="178"/>
        <v>0</v>
      </c>
      <c r="J172" s="108">
        <f t="shared" si="179"/>
        <v>0</v>
      </c>
      <c r="K172" s="108">
        <f t="shared" si="180"/>
        <v>0</v>
      </c>
      <c r="L172" s="111" t="s">
        <v>1671</v>
      </c>
      <c r="Z172" s="100">
        <f t="shared" si="181"/>
        <v>0</v>
      </c>
      <c r="AB172" s="100">
        <f t="shared" si="182"/>
        <v>0</v>
      </c>
      <c r="AC172" s="100">
        <f t="shared" si="183"/>
        <v>0</v>
      </c>
      <c r="AD172" s="100">
        <f t="shared" si="184"/>
        <v>0</v>
      </c>
      <c r="AE172" s="100">
        <f t="shared" si="185"/>
        <v>0</v>
      </c>
      <c r="AF172" s="100">
        <f t="shared" si="186"/>
        <v>0</v>
      </c>
      <c r="AG172" s="100">
        <f t="shared" si="187"/>
        <v>0</v>
      </c>
      <c r="AH172" s="100">
        <f t="shared" si="188"/>
        <v>0</v>
      </c>
      <c r="AI172" s="109"/>
      <c r="AJ172" s="108">
        <f t="shared" si="189"/>
        <v>0</v>
      </c>
      <c r="AK172" s="108">
        <f t="shared" si="190"/>
        <v>0</v>
      </c>
      <c r="AL172" s="108">
        <f t="shared" si="191"/>
        <v>0</v>
      </c>
      <c r="AN172" s="100">
        <v>15</v>
      </c>
      <c r="AO172" s="100">
        <f t="shared" si="192"/>
        <v>0</v>
      </c>
      <c r="AP172" s="100">
        <f t="shared" si="193"/>
        <v>0</v>
      </c>
      <c r="AQ172" s="111" t="s">
        <v>11</v>
      </c>
      <c r="AV172" s="100">
        <f t="shared" si="194"/>
        <v>0</v>
      </c>
      <c r="AW172" s="100">
        <f t="shared" si="195"/>
        <v>0</v>
      </c>
      <c r="AX172" s="100">
        <f t="shared" si="196"/>
        <v>0</v>
      </c>
      <c r="AY172" s="110" t="s">
        <v>1703</v>
      </c>
      <c r="AZ172" s="110" t="s">
        <v>1730</v>
      </c>
      <c r="BA172" s="109" t="s">
        <v>1737</v>
      </c>
      <c r="BC172" s="100">
        <f t="shared" si="197"/>
        <v>0</v>
      </c>
      <c r="BD172" s="100">
        <f t="shared" si="198"/>
        <v>0</v>
      </c>
      <c r="BE172" s="100">
        <v>0</v>
      </c>
      <c r="BF172" s="100">
        <f>172</f>
        <v>172</v>
      </c>
      <c r="BH172" s="108">
        <f t="shared" si="199"/>
        <v>0</v>
      </c>
      <c r="BI172" s="108">
        <f t="shared" si="200"/>
        <v>0</v>
      </c>
      <c r="BJ172" s="108">
        <f t="shared" si="201"/>
        <v>0</v>
      </c>
    </row>
    <row r="173" spans="1:62" x14ac:dyDescent="0.2">
      <c r="A173" s="117" t="s">
        <v>141</v>
      </c>
      <c r="B173" s="117" t="s">
        <v>691</v>
      </c>
      <c r="C173" s="304" t="s">
        <v>1203</v>
      </c>
      <c r="D173" s="305"/>
      <c r="E173" s="305"/>
      <c r="F173" s="117" t="s">
        <v>1648</v>
      </c>
      <c r="G173" s="116">
        <v>83.427999999999997</v>
      </c>
      <c r="H173" s="159"/>
      <c r="I173" s="108">
        <f t="shared" si="178"/>
        <v>0</v>
      </c>
      <c r="J173" s="108">
        <f t="shared" si="179"/>
        <v>0</v>
      </c>
      <c r="K173" s="108">
        <f t="shared" si="180"/>
        <v>0</v>
      </c>
      <c r="L173" s="111" t="s">
        <v>1671</v>
      </c>
      <c r="Z173" s="100">
        <f t="shared" si="181"/>
        <v>0</v>
      </c>
      <c r="AB173" s="100">
        <f t="shared" si="182"/>
        <v>0</v>
      </c>
      <c r="AC173" s="100">
        <f t="shared" si="183"/>
        <v>0</v>
      </c>
      <c r="AD173" s="100">
        <f t="shared" si="184"/>
        <v>0</v>
      </c>
      <c r="AE173" s="100">
        <f t="shared" si="185"/>
        <v>0</v>
      </c>
      <c r="AF173" s="100">
        <f t="shared" si="186"/>
        <v>0</v>
      </c>
      <c r="AG173" s="100">
        <f t="shared" si="187"/>
        <v>0</v>
      </c>
      <c r="AH173" s="100">
        <f t="shared" si="188"/>
        <v>0</v>
      </c>
      <c r="AI173" s="109"/>
      <c r="AJ173" s="108">
        <f t="shared" si="189"/>
        <v>0</v>
      </c>
      <c r="AK173" s="108">
        <f t="shared" si="190"/>
        <v>0</v>
      </c>
      <c r="AL173" s="108">
        <f t="shared" si="191"/>
        <v>0</v>
      </c>
      <c r="AN173" s="100">
        <v>15</v>
      </c>
      <c r="AO173" s="100">
        <f t="shared" si="192"/>
        <v>0</v>
      </c>
      <c r="AP173" s="100">
        <f t="shared" si="193"/>
        <v>0</v>
      </c>
      <c r="AQ173" s="111" t="s">
        <v>11</v>
      </c>
      <c r="AV173" s="100">
        <f t="shared" si="194"/>
        <v>0</v>
      </c>
      <c r="AW173" s="100">
        <f t="shared" si="195"/>
        <v>0</v>
      </c>
      <c r="AX173" s="100">
        <f t="shared" si="196"/>
        <v>0</v>
      </c>
      <c r="AY173" s="110" t="s">
        <v>1703</v>
      </c>
      <c r="AZ173" s="110" t="s">
        <v>1730</v>
      </c>
      <c r="BA173" s="109" t="s">
        <v>1737</v>
      </c>
      <c r="BC173" s="100">
        <f t="shared" si="197"/>
        <v>0</v>
      </c>
      <c r="BD173" s="100">
        <f t="shared" si="198"/>
        <v>0</v>
      </c>
      <c r="BE173" s="100">
        <v>0</v>
      </c>
      <c r="BF173" s="100">
        <f>173</f>
        <v>173</v>
      </c>
      <c r="BH173" s="108">
        <f t="shared" si="199"/>
        <v>0</v>
      </c>
      <c r="BI173" s="108">
        <f t="shared" si="200"/>
        <v>0</v>
      </c>
      <c r="BJ173" s="108">
        <f t="shared" si="201"/>
        <v>0</v>
      </c>
    </row>
    <row r="174" spans="1:62" x14ac:dyDescent="0.2">
      <c r="A174" s="117" t="s">
        <v>142</v>
      </c>
      <c r="B174" s="117" t="s">
        <v>692</v>
      </c>
      <c r="C174" s="304" t="s">
        <v>1204</v>
      </c>
      <c r="D174" s="305"/>
      <c r="E174" s="305"/>
      <c r="F174" s="117" t="s">
        <v>1648</v>
      </c>
      <c r="G174" s="116">
        <v>333.71199999999999</v>
      </c>
      <c r="H174" s="159"/>
      <c r="I174" s="108">
        <f t="shared" si="178"/>
        <v>0</v>
      </c>
      <c r="J174" s="108">
        <f t="shared" si="179"/>
        <v>0</v>
      </c>
      <c r="K174" s="108">
        <f t="shared" si="180"/>
        <v>0</v>
      </c>
      <c r="L174" s="111" t="s">
        <v>1671</v>
      </c>
      <c r="Z174" s="100">
        <f t="shared" si="181"/>
        <v>0</v>
      </c>
      <c r="AB174" s="100">
        <f t="shared" si="182"/>
        <v>0</v>
      </c>
      <c r="AC174" s="100">
        <f t="shared" si="183"/>
        <v>0</v>
      </c>
      <c r="AD174" s="100">
        <f t="shared" si="184"/>
        <v>0</v>
      </c>
      <c r="AE174" s="100">
        <f t="shared" si="185"/>
        <v>0</v>
      </c>
      <c r="AF174" s="100">
        <f t="shared" si="186"/>
        <v>0</v>
      </c>
      <c r="AG174" s="100">
        <f t="shared" si="187"/>
        <v>0</v>
      </c>
      <c r="AH174" s="100">
        <f t="shared" si="188"/>
        <v>0</v>
      </c>
      <c r="AI174" s="109"/>
      <c r="AJ174" s="108">
        <f t="shared" si="189"/>
        <v>0</v>
      </c>
      <c r="AK174" s="108">
        <f t="shared" si="190"/>
        <v>0</v>
      </c>
      <c r="AL174" s="108">
        <f t="shared" si="191"/>
        <v>0</v>
      </c>
      <c r="AN174" s="100">
        <v>15</v>
      </c>
      <c r="AO174" s="100">
        <f t="shared" si="192"/>
        <v>0</v>
      </c>
      <c r="AP174" s="100">
        <f t="shared" si="193"/>
        <v>0</v>
      </c>
      <c r="AQ174" s="111" t="s">
        <v>11</v>
      </c>
      <c r="AV174" s="100">
        <f t="shared" si="194"/>
        <v>0</v>
      </c>
      <c r="AW174" s="100">
        <f t="shared" si="195"/>
        <v>0</v>
      </c>
      <c r="AX174" s="100">
        <f t="shared" si="196"/>
        <v>0</v>
      </c>
      <c r="AY174" s="110" t="s">
        <v>1703</v>
      </c>
      <c r="AZ174" s="110" t="s">
        <v>1730</v>
      </c>
      <c r="BA174" s="109" t="s">
        <v>1737</v>
      </c>
      <c r="BC174" s="100">
        <f t="shared" si="197"/>
        <v>0</v>
      </c>
      <c r="BD174" s="100">
        <f t="shared" si="198"/>
        <v>0</v>
      </c>
      <c r="BE174" s="100">
        <v>0</v>
      </c>
      <c r="BF174" s="100">
        <f>174</f>
        <v>174</v>
      </c>
      <c r="BH174" s="108">
        <f t="shared" si="199"/>
        <v>0</v>
      </c>
      <c r="BI174" s="108">
        <f t="shared" si="200"/>
        <v>0</v>
      </c>
      <c r="BJ174" s="108">
        <f t="shared" si="201"/>
        <v>0</v>
      </c>
    </row>
    <row r="175" spans="1:62" x14ac:dyDescent="0.2">
      <c r="A175" s="117" t="s">
        <v>143</v>
      </c>
      <c r="B175" s="117" t="s">
        <v>693</v>
      </c>
      <c r="C175" s="304" t="s">
        <v>1205</v>
      </c>
      <c r="D175" s="305"/>
      <c r="E175" s="305"/>
      <c r="F175" s="117" t="s">
        <v>1648</v>
      </c>
      <c r="G175" s="116">
        <v>83.427999999999997</v>
      </c>
      <c r="H175" s="159"/>
      <c r="I175" s="108">
        <f t="shared" si="178"/>
        <v>0</v>
      </c>
      <c r="J175" s="108">
        <f t="shared" si="179"/>
        <v>0</v>
      </c>
      <c r="K175" s="108">
        <f t="shared" si="180"/>
        <v>0</v>
      </c>
      <c r="L175" s="111" t="s">
        <v>1671</v>
      </c>
      <c r="Z175" s="100">
        <f t="shared" si="181"/>
        <v>0</v>
      </c>
      <c r="AB175" s="100">
        <f t="shared" si="182"/>
        <v>0</v>
      </c>
      <c r="AC175" s="100">
        <f t="shared" si="183"/>
        <v>0</v>
      </c>
      <c r="AD175" s="100">
        <f t="shared" si="184"/>
        <v>0</v>
      </c>
      <c r="AE175" s="100">
        <f t="shared" si="185"/>
        <v>0</v>
      </c>
      <c r="AF175" s="100">
        <f t="shared" si="186"/>
        <v>0</v>
      </c>
      <c r="AG175" s="100">
        <f t="shared" si="187"/>
        <v>0</v>
      </c>
      <c r="AH175" s="100">
        <f t="shared" si="188"/>
        <v>0</v>
      </c>
      <c r="AI175" s="109"/>
      <c r="AJ175" s="108">
        <f t="shared" si="189"/>
        <v>0</v>
      </c>
      <c r="AK175" s="108">
        <f t="shared" si="190"/>
        <v>0</v>
      </c>
      <c r="AL175" s="108">
        <f t="shared" si="191"/>
        <v>0</v>
      </c>
      <c r="AN175" s="100">
        <v>15</v>
      </c>
      <c r="AO175" s="100">
        <f t="shared" si="192"/>
        <v>0</v>
      </c>
      <c r="AP175" s="100">
        <f t="shared" si="193"/>
        <v>0</v>
      </c>
      <c r="AQ175" s="111" t="s">
        <v>11</v>
      </c>
      <c r="AV175" s="100">
        <f t="shared" si="194"/>
        <v>0</v>
      </c>
      <c r="AW175" s="100">
        <f t="shared" si="195"/>
        <v>0</v>
      </c>
      <c r="AX175" s="100">
        <f t="shared" si="196"/>
        <v>0</v>
      </c>
      <c r="AY175" s="110" t="s">
        <v>1703</v>
      </c>
      <c r="AZ175" s="110" t="s">
        <v>1730</v>
      </c>
      <c r="BA175" s="109" t="s">
        <v>1737</v>
      </c>
      <c r="BC175" s="100">
        <f t="shared" si="197"/>
        <v>0</v>
      </c>
      <c r="BD175" s="100">
        <f t="shared" si="198"/>
        <v>0</v>
      </c>
      <c r="BE175" s="100">
        <v>0</v>
      </c>
      <c r="BF175" s="100">
        <f>175</f>
        <v>175</v>
      </c>
      <c r="BH175" s="108">
        <f t="shared" si="199"/>
        <v>0</v>
      </c>
      <c r="BI175" s="108">
        <f t="shared" si="200"/>
        <v>0</v>
      </c>
      <c r="BJ175" s="108">
        <f t="shared" si="201"/>
        <v>0</v>
      </c>
    </row>
    <row r="176" spans="1:62" x14ac:dyDescent="0.2">
      <c r="A176" s="117" t="s">
        <v>144</v>
      </c>
      <c r="B176" s="117" t="s">
        <v>694</v>
      </c>
      <c r="C176" s="304" t="s">
        <v>1206</v>
      </c>
      <c r="D176" s="305"/>
      <c r="E176" s="305"/>
      <c r="F176" s="117" t="s">
        <v>1648</v>
      </c>
      <c r="G176" s="116">
        <v>83.427999999999997</v>
      </c>
      <c r="H176" s="159"/>
      <c r="I176" s="108">
        <f t="shared" si="178"/>
        <v>0</v>
      </c>
      <c r="J176" s="108">
        <f t="shared" si="179"/>
        <v>0</v>
      </c>
      <c r="K176" s="108">
        <f t="shared" si="180"/>
        <v>0</v>
      </c>
      <c r="L176" s="111" t="s">
        <v>1671</v>
      </c>
      <c r="Z176" s="100">
        <f t="shared" si="181"/>
        <v>0</v>
      </c>
      <c r="AB176" s="100">
        <f t="shared" si="182"/>
        <v>0</v>
      </c>
      <c r="AC176" s="100">
        <f t="shared" si="183"/>
        <v>0</v>
      </c>
      <c r="AD176" s="100">
        <f t="shared" si="184"/>
        <v>0</v>
      </c>
      <c r="AE176" s="100">
        <f t="shared" si="185"/>
        <v>0</v>
      </c>
      <c r="AF176" s="100">
        <f t="shared" si="186"/>
        <v>0</v>
      </c>
      <c r="AG176" s="100">
        <f t="shared" si="187"/>
        <v>0</v>
      </c>
      <c r="AH176" s="100">
        <f t="shared" si="188"/>
        <v>0</v>
      </c>
      <c r="AI176" s="109"/>
      <c r="AJ176" s="108">
        <f t="shared" si="189"/>
        <v>0</v>
      </c>
      <c r="AK176" s="108">
        <f t="shared" si="190"/>
        <v>0</v>
      </c>
      <c r="AL176" s="108">
        <f t="shared" si="191"/>
        <v>0</v>
      </c>
      <c r="AN176" s="100">
        <v>15</v>
      </c>
      <c r="AO176" s="100">
        <f t="shared" si="192"/>
        <v>0</v>
      </c>
      <c r="AP176" s="100">
        <f t="shared" si="193"/>
        <v>0</v>
      </c>
      <c r="AQ176" s="111" t="s">
        <v>11</v>
      </c>
      <c r="AV176" s="100">
        <f t="shared" si="194"/>
        <v>0</v>
      </c>
      <c r="AW176" s="100">
        <f t="shared" si="195"/>
        <v>0</v>
      </c>
      <c r="AX176" s="100">
        <f t="shared" si="196"/>
        <v>0</v>
      </c>
      <c r="AY176" s="110" t="s">
        <v>1703</v>
      </c>
      <c r="AZ176" s="110" t="s">
        <v>1730</v>
      </c>
      <c r="BA176" s="109" t="s">
        <v>1737</v>
      </c>
      <c r="BC176" s="100">
        <f t="shared" si="197"/>
        <v>0</v>
      </c>
      <c r="BD176" s="100">
        <f t="shared" si="198"/>
        <v>0</v>
      </c>
      <c r="BE176" s="100">
        <v>0</v>
      </c>
      <c r="BF176" s="100">
        <f>176</f>
        <v>176</v>
      </c>
      <c r="BH176" s="108">
        <f t="shared" si="199"/>
        <v>0</v>
      </c>
      <c r="BI176" s="108">
        <f t="shared" si="200"/>
        <v>0</v>
      </c>
      <c r="BJ176" s="108">
        <f t="shared" si="201"/>
        <v>0</v>
      </c>
    </row>
    <row r="177" spans="1:62" x14ac:dyDescent="0.2">
      <c r="A177" s="117" t="s">
        <v>145</v>
      </c>
      <c r="B177" s="117" t="s">
        <v>695</v>
      </c>
      <c r="C177" s="304" t="s">
        <v>1207</v>
      </c>
      <c r="D177" s="305"/>
      <c r="E177" s="305"/>
      <c r="F177" s="117" t="s">
        <v>1648</v>
      </c>
      <c r="G177" s="116">
        <v>3.5640000000000001</v>
      </c>
      <c r="H177" s="159"/>
      <c r="I177" s="108">
        <f t="shared" si="178"/>
        <v>0</v>
      </c>
      <c r="J177" s="108">
        <f t="shared" si="179"/>
        <v>0</v>
      </c>
      <c r="K177" s="108">
        <f t="shared" si="180"/>
        <v>0</v>
      </c>
      <c r="L177" s="111" t="s">
        <v>1671</v>
      </c>
      <c r="Z177" s="100">
        <f t="shared" si="181"/>
        <v>0</v>
      </c>
      <c r="AB177" s="100">
        <f t="shared" si="182"/>
        <v>0</v>
      </c>
      <c r="AC177" s="100">
        <f t="shared" si="183"/>
        <v>0</v>
      </c>
      <c r="AD177" s="100">
        <f t="shared" si="184"/>
        <v>0</v>
      </c>
      <c r="AE177" s="100">
        <f t="shared" si="185"/>
        <v>0</v>
      </c>
      <c r="AF177" s="100">
        <f t="shared" si="186"/>
        <v>0</v>
      </c>
      <c r="AG177" s="100">
        <f t="shared" si="187"/>
        <v>0</v>
      </c>
      <c r="AH177" s="100">
        <f t="shared" si="188"/>
        <v>0</v>
      </c>
      <c r="AI177" s="109"/>
      <c r="AJ177" s="108">
        <f t="shared" si="189"/>
        <v>0</v>
      </c>
      <c r="AK177" s="108">
        <f t="shared" si="190"/>
        <v>0</v>
      </c>
      <c r="AL177" s="108">
        <f t="shared" si="191"/>
        <v>0</v>
      </c>
      <c r="AN177" s="100">
        <v>15</v>
      </c>
      <c r="AO177" s="100">
        <f t="shared" si="192"/>
        <v>0</v>
      </c>
      <c r="AP177" s="100">
        <f t="shared" si="193"/>
        <v>0</v>
      </c>
      <c r="AQ177" s="111" t="s">
        <v>11</v>
      </c>
      <c r="AV177" s="100">
        <f t="shared" si="194"/>
        <v>0</v>
      </c>
      <c r="AW177" s="100">
        <f t="shared" si="195"/>
        <v>0</v>
      </c>
      <c r="AX177" s="100">
        <f t="shared" si="196"/>
        <v>0</v>
      </c>
      <c r="AY177" s="110" t="s">
        <v>1703</v>
      </c>
      <c r="AZ177" s="110" t="s">
        <v>1730</v>
      </c>
      <c r="BA177" s="109" t="s">
        <v>1737</v>
      </c>
      <c r="BC177" s="100">
        <f t="shared" si="197"/>
        <v>0</v>
      </c>
      <c r="BD177" s="100">
        <f t="shared" si="198"/>
        <v>0</v>
      </c>
      <c r="BE177" s="100">
        <v>0</v>
      </c>
      <c r="BF177" s="100">
        <f>177</f>
        <v>177</v>
      </c>
      <c r="BH177" s="108">
        <f t="shared" si="199"/>
        <v>0</v>
      </c>
      <c r="BI177" s="108">
        <f t="shared" si="200"/>
        <v>0</v>
      </c>
      <c r="BJ177" s="108">
        <f t="shared" si="201"/>
        <v>0</v>
      </c>
    </row>
    <row r="178" spans="1:62" x14ac:dyDescent="0.2">
      <c r="A178" s="117" t="s">
        <v>146</v>
      </c>
      <c r="B178" s="117" t="s">
        <v>696</v>
      </c>
      <c r="C178" s="304" t="s">
        <v>1208</v>
      </c>
      <c r="D178" s="305"/>
      <c r="E178" s="305"/>
      <c r="F178" s="117" t="s">
        <v>1648</v>
      </c>
      <c r="G178" s="116">
        <v>12.942</v>
      </c>
      <c r="H178" s="159"/>
      <c r="I178" s="108">
        <f t="shared" si="178"/>
        <v>0</v>
      </c>
      <c r="J178" s="108">
        <f t="shared" si="179"/>
        <v>0</v>
      </c>
      <c r="K178" s="108">
        <f t="shared" si="180"/>
        <v>0</v>
      </c>
      <c r="L178" s="111" t="s">
        <v>1671</v>
      </c>
      <c r="Z178" s="100">
        <f t="shared" si="181"/>
        <v>0</v>
      </c>
      <c r="AB178" s="100">
        <f t="shared" si="182"/>
        <v>0</v>
      </c>
      <c r="AC178" s="100">
        <f t="shared" si="183"/>
        <v>0</v>
      </c>
      <c r="AD178" s="100">
        <f t="shared" si="184"/>
        <v>0</v>
      </c>
      <c r="AE178" s="100">
        <f t="shared" si="185"/>
        <v>0</v>
      </c>
      <c r="AF178" s="100">
        <f t="shared" si="186"/>
        <v>0</v>
      </c>
      <c r="AG178" s="100">
        <f t="shared" si="187"/>
        <v>0</v>
      </c>
      <c r="AH178" s="100">
        <f t="shared" si="188"/>
        <v>0</v>
      </c>
      <c r="AI178" s="109"/>
      <c r="AJ178" s="108">
        <f t="shared" si="189"/>
        <v>0</v>
      </c>
      <c r="AK178" s="108">
        <f t="shared" si="190"/>
        <v>0</v>
      </c>
      <c r="AL178" s="108">
        <f t="shared" si="191"/>
        <v>0</v>
      </c>
      <c r="AN178" s="100">
        <v>15</v>
      </c>
      <c r="AO178" s="100">
        <f t="shared" si="192"/>
        <v>0</v>
      </c>
      <c r="AP178" s="100">
        <f t="shared" si="193"/>
        <v>0</v>
      </c>
      <c r="AQ178" s="111" t="s">
        <v>11</v>
      </c>
      <c r="AV178" s="100">
        <f t="shared" si="194"/>
        <v>0</v>
      </c>
      <c r="AW178" s="100">
        <f t="shared" si="195"/>
        <v>0</v>
      </c>
      <c r="AX178" s="100">
        <f t="shared" si="196"/>
        <v>0</v>
      </c>
      <c r="AY178" s="110" t="s">
        <v>1703</v>
      </c>
      <c r="AZ178" s="110" t="s">
        <v>1730</v>
      </c>
      <c r="BA178" s="109" t="s">
        <v>1737</v>
      </c>
      <c r="BC178" s="100">
        <f t="shared" si="197"/>
        <v>0</v>
      </c>
      <c r="BD178" s="100">
        <f t="shared" si="198"/>
        <v>0</v>
      </c>
      <c r="BE178" s="100">
        <v>0</v>
      </c>
      <c r="BF178" s="100">
        <f>178</f>
        <v>178</v>
      </c>
      <c r="BH178" s="108">
        <f t="shared" si="199"/>
        <v>0</v>
      </c>
      <c r="BI178" s="108">
        <f t="shared" si="200"/>
        <v>0</v>
      </c>
      <c r="BJ178" s="108">
        <f t="shared" si="201"/>
        <v>0</v>
      </c>
    </row>
    <row r="179" spans="1:62" x14ac:dyDescent="0.2">
      <c r="A179" s="117" t="s">
        <v>147</v>
      </c>
      <c r="B179" s="117" t="s">
        <v>697</v>
      </c>
      <c r="C179" s="304" t="s">
        <v>1209</v>
      </c>
      <c r="D179" s="305"/>
      <c r="E179" s="305"/>
      <c r="F179" s="117" t="s">
        <v>1648</v>
      </c>
      <c r="G179" s="116">
        <v>25.37</v>
      </c>
      <c r="H179" s="159"/>
      <c r="I179" s="108">
        <f t="shared" si="178"/>
        <v>0</v>
      </c>
      <c r="J179" s="108">
        <f t="shared" si="179"/>
        <v>0</v>
      </c>
      <c r="K179" s="108">
        <f t="shared" si="180"/>
        <v>0</v>
      </c>
      <c r="L179" s="111" t="s">
        <v>1671</v>
      </c>
      <c r="Z179" s="100">
        <f t="shared" si="181"/>
        <v>0</v>
      </c>
      <c r="AB179" s="100">
        <f t="shared" si="182"/>
        <v>0</v>
      </c>
      <c r="AC179" s="100">
        <f t="shared" si="183"/>
        <v>0</v>
      </c>
      <c r="AD179" s="100">
        <f t="shared" si="184"/>
        <v>0</v>
      </c>
      <c r="AE179" s="100">
        <f t="shared" si="185"/>
        <v>0</v>
      </c>
      <c r="AF179" s="100">
        <f t="shared" si="186"/>
        <v>0</v>
      </c>
      <c r="AG179" s="100">
        <f t="shared" si="187"/>
        <v>0</v>
      </c>
      <c r="AH179" s="100">
        <f t="shared" si="188"/>
        <v>0</v>
      </c>
      <c r="AI179" s="109"/>
      <c r="AJ179" s="108">
        <f t="shared" si="189"/>
        <v>0</v>
      </c>
      <c r="AK179" s="108">
        <f t="shared" si="190"/>
        <v>0</v>
      </c>
      <c r="AL179" s="108">
        <f t="shared" si="191"/>
        <v>0</v>
      </c>
      <c r="AN179" s="100">
        <v>15</v>
      </c>
      <c r="AO179" s="100">
        <f t="shared" si="192"/>
        <v>0</v>
      </c>
      <c r="AP179" s="100">
        <f t="shared" si="193"/>
        <v>0</v>
      </c>
      <c r="AQ179" s="111" t="s">
        <v>11</v>
      </c>
      <c r="AV179" s="100">
        <f t="shared" si="194"/>
        <v>0</v>
      </c>
      <c r="AW179" s="100">
        <f t="shared" si="195"/>
        <v>0</v>
      </c>
      <c r="AX179" s="100">
        <f t="shared" si="196"/>
        <v>0</v>
      </c>
      <c r="AY179" s="110" t="s">
        <v>1703</v>
      </c>
      <c r="AZ179" s="110" t="s">
        <v>1730</v>
      </c>
      <c r="BA179" s="109" t="s">
        <v>1737</v>
      </c>
      <c r="BC179" s="100">
        <f t="shared" si="197"/>
        <v>0</v>
      </c>
      <c r="BD179" s="100">
        <f t="shared" si="198"/>
        <v>0</v>
      </c>
      <c r="BE179" s="100">
        <v>0</v>
      </c>
      <c r="BF179" s="100">
        <f>179</f>
        <v>179</v>
      </c>
      <c r="BH179" s="108">
        <f t="shared" si="199"/>
        <v>0</v>
      </c>
      <c r="BI179" s="108">
        <f t="shared" si="200"/>
        <v>0</v>
      </c>
      <c r="BJ179" s="108">
        <f t="shared" si="201"/>
        <v>0</v>
      </c>
    </row>
    <row r="180" spans="1:62" x14ac:dyDescent="0.2">
      <c r="A180" s="117" t="s">
        <v>148</v>
      </c>
      <c r="B180" s="117" t="s">
        <v>698</v>
      </c>
      <c r="C180" s="304" t="s">
        <v>2832</v>
      </c>
      <c r="D180" s="305"/>
      <c r="E180" s="305"/>
      <c r="F180" s="117" t="s">
        <v>1648</v>
      </c>
      <c r="G180" s="116">
        <v>21.065999999999999</v>
      </c>
      <c r="H180" s="159"/>
      <c r="I180" s="108">
        <f t="shared" si="178"/>
        <v>0</v>
      </c>
      <c r="J180" s="108">
        <f t="shared" si="179"/>
        <v>0</v>
      </c>
      <c r="K180" s="108">
        <f t="shared" si="180"/>
        <v>0</v>
      </c>
      <c r="L180" s="111" t="s">
        <v>1671</v>
      </c>
      <c r="Z180" s="100">
        <f t="shared" si="181"/>
        <v>0</v>
      </c>
      <c r="AB180" s="100">
        <f t="shared" si="182"/>
        <v>0</v>
      </c>
      <c r="AC180" s="100">
        <f t="shared" si="183"/>
        <v>0</v>
      </c>
      <c r="AD180" s="100">
        <f t="shared" si="184"/>
        <v>0</v>
      </c>
      <c r="AE180" s="100">
        <f t="shared" si="185"/>
        <v>0</v>
      </c>
      <c r="AF180" s="100">
        <f t="shared" si="186"/>
        <v>0</v>
      </c>
      <c r="AG180" s="100">
        <f t="shared" si="187"/>
        <v>0</v>
      </c>
      <c r="AH180" s="100">
        <f t="shared" si="188"/>
        <v>0</v>
      </c>
      <c r="AI180" s="109"/>
      <c r="AJ180" s="108">
        <f t="shared" si="189"/>
        <v>0</v>
      </c>
      <c r="AK180" s="108">
        <f t="shared" si="190"/>
        <v>0</v>
      </c>
      <c r="AL180" s="108">
        <f t="shared" si="191"/>
        <v>0</v>
      </c>
      <c r="AN180" s="100">
        <v>15</v>
      </c>
      <c r="AO180" s="100">
        <f t="shared" si="192"/>
        <v>0</v>
      </c>
      <c r="AP180" s="100">
        <f t="shared" si="193"/>
        <v>0</v>
      </c>
      <c r="AQ180" s="111" t="s">
        <v>11</v>
      </c>
      <c r="AV180" s="100">
        <f t="shared" si="194"/>
        <v>0</v>
      </c>
      <c r="AW180" s="100">
        <f t="shared" si="195"/>
        <v>0</v>
      </c>
      <c r="AX180" s="100">
        <f t="shared" si="196"/>
        <v>0</v>
      </c>
      <c r="AY180" s="110" t="s">
        <v>1703</v>
      </c>
      <c r="AZ180" s="110" t="s">
        <v>1730</v>
      </c>
      <c r="BA180" s="109" t="s">
        <v>1737</v>
      </c>
      <c r="BC180" s="100">
        <f t="shared" si="197"/>
        <v>0</v>
      </c>
      <c r="BD180" s="100">
        <f t="shared" si="198"/>
        <v>0</v>
      </c>
      <c r="BE180" s="100">
        <v>0</v>
      </c>
      <c r="BF180" s="100">
        <f>180</f>
        <v>180</v>
      </c>
      <c r="BH180" s="108">
        <f t="shared" si="199"/>
        <v>0</v>
      </c>
      <c r="BI180" s="108">
        <f t="shared" si="200"/>
        <v>0</v>
      </c>
      <c r="BJ180" s="108">
        <f t="shared" si="201"/>
        <v>0</v>
      </c>
    </row>
    <row r="181" spans="1:62" x14ac:dyDescent="0.2">
      <c r="A181" s="117" t="s">
        <v>149</v>
      </c>
      <c r="B181" s="117" t="s">
        <v>699</v>
      </c>
      <c r="C181" s="304" t="s">
        <v>1211</v>
      </c>
      <c r="D181" s="305"/>
      <c r="E181" s="305"/>
      <c r="F181" s="117" t="s">
        <v>1648</v>
      </c>
      <c r="G181" s="116">
        <v>0.38100000000000001</v>
      </c>
      <c r="H181" s="159"/>
      <c r="I181" s="108">
        <f t="shared" si="178"/>
        <v>0</v>
      </c>
      <c r="J181" s="108">
        <f t="shared" si="179"/>
        <v>0</v>
      </c>
      <c r="K181" s="108">
        <f t="shared" si="180"/>
        <v>0</v>
      </c>
      <c r="L181" s="111" t="s">
        <v>1671</v>
      </c>
      <c r="Z181" s="100">
        <f t="shared" si="181"/>
        <v>0</v>
      </c>
      <c r="AB181" s="100">
        <f t="shared" si="182"/>
        <v>0</v>
      </c>
      <c r="AC181" s="100">
        <f t="shared" si="183"/>
        <v>0</v>
      </c>
      <c r="AD181" s="100">
        <f t="shared" si="184"/>
        <v>0</v>
      </c>
      <c r="AE181" s="100">
        <f t="shared" si="185"/>
        <v>0</v>
      </c>
      <c r="AF181" s="100">
        <f t="shared" si="186"/>
        <v>0</v>
      </c>
      <c r="AG181" s="100">
        <f t="shared" si="187"/>
        <v>0</v>
      </c>
      <c r="AH181" s="100">
        <f t="shared" si="188"/>
        <v>0</v>
      </c>
      <c r="AI181" s="109"/>
      <c r="AJ181" s="108">
        <f t="shared" si="189"/>
        <v>0</v>
      </c>
      <c r="AK181" s="108">
        <f t="shared" si="190"/>
        <v>0</v>
      </c>
      <c r="AL181" s="108">
        <f t="shared" si="191"/>
        <v>0</v>
      </c>
      <c r="AN181" s="100">
        <v>15</v>
      </c>
      <c r="AO181" s="100">
        <f t="shared" si="192"/>
        <v>0</v>
      </c>
      <c r="AP181" s="100">
        <f t="shared" si="193"/>
        <v>0</v>
      </c>
      <c r="AQ181" s="111" t="s">
        <v>11</v>
      </c>
      <c r="AV181" s="100">
        <f t="shared" si="194"/>
        <v>0</v>
      </c>
      <c r="AW181" s="100">
        <f t="shared" si="195"/>
        <v>0</v>
      </c>
      <c r="AX181" s="100">
        <f t="shared" si="196"/>
        <v>0</v>
      </c>
      <c r="AY181" s="110" t="s">
        <v>1703</v>
      </c>
      <c r="AZ181" s="110" t="s">
        <v>1730</v>
      </c>
      <c r="BA181" s="109" t="s">
        <v>1737</v>
      </c>
      <c r="BC181" s="100">
        <f t="shared" si="197"/>
        <v>0</v>
      </c>
      <c r="BD181" s="100">
        <f t="shared" si="198"/>
        <v>0</v>
      </c>
      <c r="BE181" s="100">
        <v>0</v>
      </c>
      <c r="BF181" s="100">
        <f>181</f>
        <v>181</v>
      </c>
      <c r="BH181" s="108">
        <f t="shared" si="199"/>
        <v>0</v>
      </c>
      <c r="BI181" s="108">
        <f t="shared" si="200"/>
        <v>0</v>
      </c>
      <c r="BJ181" s="108">
        <f t="shared" si="201"/>
        <v>0</v>
      </c>
    </row>
    <row r="182" spans="1:62" x14ac:dyDescent="0.2">
      <c r="A182" s="117" t="s">
        <v>150</v>
      </c>
      <c r="B182" s="117" t="s">
        <v>700</v>
      </c>
      <c r="C182" s="304" t="s">
        <v>1212</v>
      </c>
      <c r="D182" s="305"/>
      <c r="E182" s="305"/>
      <c r="F182" s="117" t="s">
        <v>1648</v>
      </c>
      <c r="G182" s="116">
        <v>7.5060000000000002</v>
      </c>
      <c r="H182" s="159"/>
      <c r="I182" s="108">
        <f t="shared" si="178"/>
        <v>0</v>
      </c>
      <c r="J182" s="108">
        <f t="shared" si="179"/>
        <v>0</v>
      </c>
      <c r="K182" s="108">
        <f t="shared" si="180"/>
        <v>0</v>
      </c>
      <c r="L182" s="111" t="s">
        <v>1671</v>
      </c>
      <c r="Z182" s="100">
        <f t="shared" si="181"/>
        <v>0</v>
      </c>
      <c r="AB182" s="100">
        <f t="shared" si="182"/>
        <v>0</v>
      </c>
      <c r="AC182" s="100">
        <f t="shared" si="183"/>
        <v>0</v>
      </c>
      <c r="AD182" s="100">
        <f t="shared" si="184"/>
        <v>0</v>
      </c>
      <c r="AE182" s="100">
        <f t="shared" si="185"/>
        <v>0</v>
      </c>
      <c r="AF182" s="100">
        <f t="shared" si="186"/>
        <v>0</v>
      </c>
      <c r="AG182" s="100">
        <f t="shared" si="187"/>
        <v>0</v>
      </c>
      <c r="AH182" s="100">
        <f t="shared" si="188"/>
        <v>0</v>
      </c>
      <c r="AI182" s="109"/>
      <c r="AJ182" s="108">
        <f t="shared" si="189"/>
        <v>0</v>
      </c>
      <c r="AK182" s="108">
        <f t="shared" si="190"/>
        <v>0</v>
      </c>
      <c r="AL182" s="108">
        <f t="shared" si="191"/>
        <v>0</v>
      </c>
      <c r="AN182" s="100">
        <v>15</v>
      </c>
      <c r="AO182" s="100">
        <f t="shared" si="192"/>
        <v>0</v>
      </c>
      <c r="AP182" s="100">
        <f t="shared" si="193"/>
        <v>0</v>
      </c>
      <c r="AQ182" s="111" t="s">
        <v>11</v>
      </c>
      <c r="AV182" s="100">
        <f t="shared" si="194"/>
        <v>0</v>
      </c>
      <c r="AW182" s="100">
        <f t="shared" si="195"/>
        <v>0</v>
      </c>
      <c r="AX182" s="100">
        <f t="shared" si="196"/>
        <v>0</v>
      </c>
      <c r="AY182" s="110" t="s">
        <v>1703</v>
      </c>
      <c r="AZ182" s="110" t="s">
        <v>1730</v>
      </c>
      <c r="BA182" s="109" t="s">
        <v>1737</v>
      </c>
      <c r="BC182" s="100">
        <f t="shared" si="197"/>
        <v>0</v>
      </c>
      <c r="BD182" s="100">
        <f t="shared" si="198"/>
        <v>0</v>
      </c>
      <c r="BE182" s="100">
        <v>0</v>
      </c>
      <c r="BF182" s="100">
        <f>182</f>
        <v>182</v>
      </c>
      <c r="BH182" s="108">
        <f t="shared" si="199"/>
        <v>0</v>
      </c>
      <c r="BI182" s="108">
        <f t="shared" si="200"/>
        <v>0</v>
      </c>
      <c r="BJ182" s="108">
        <f t="shared" si="201"/>
        <v>0</v>
      </c>
    </row>
    <row r="183" spans="1:62" x14ac:dyDescent="0.2">
      <c r="A183" s="117" t="s">
        <v>151</v>
      </c>
      <c r="B183" s="117" t="s">
        <v>701</v>
      </c>
      <c r="C183" s="304" t="s">
        <v>1213</v>
      </c>
      <c r="D183" s="305"/>
      <c r="E183" s="305"/>
      <c r="F183" s="117" t="s">
        <v>1648</v>
      </c>
      <c r="G183" s="116">
        <v>4.4279999999999999</v>
      </c>
      <c r="H183" s="159"/>
      <c r="I183" s="108">
        <f t="shared" si="178"/>
        <v>0</v>
      </c>
      <c r="J183" s="108">
        <f t="shared" si="179"/>
        <v>0</v>
      </c>
      <c r="K183" s="108">
        <f t="shared" si="180"/>
        <v>0</v>
      </c>
      <c r="L183" s="111" t="s">
        <v>1671</v>
      </c>
      <c r="Z183" s="100">
        <f t="shared" si="181"/>
        <v>0</v>
      </c>
      <c r="AB183" s="100">
        <f t="shared" si="182"/>
        <v>0</v>
      </c>
      <c r="AC183" s="100">
        <f t="shared" si="183"/>
        <v>0</v>
      </c>
      <c r="AD183" s="100">
        <f t="shared" si="184"/>
        <v>0</v>
      </c>
      <c r="AE183" s="100">
        <f t="shared" si="185"/>
        <v>0</v>
      </c>
      <c r="AF183" s="100">
        <f t="shared" si="186"/>
        <v>0</v>
      </c>
      <c r="AG183" s="100">
        <f t="shared" si="187"/>
        <v>0</v>
      </c>
      <c r="AH183" s="100">
        <f t="shared" si="188"/>
        <v>0</v>
      </c>
      <c r="AI183" s="109"/>
      <c r="AJ183" s="108">
        <f t="shared" si="189"/>
        <v>0</v>
      </c>
      <c r="AK183" s="108">
        <f t="shared" si="190"/>
        <v>0</v>
      </c>
      <c r="AL183" s="108">
        <f t="shared" si="191"/>
        <v>0</v>
      </c>
      <c r="AN183" s="100">
        <v>15</v>
      </c>
      <c r="AO183" s="100">
        <f t="shared" si="192"/>
        <v>0</v>
      </c>
      <c r="AP183" s="100">
        <f t="shared" si="193"/>
        <v>0</v>
      </c>
      <c r="AQ183" s="111" t="s">
        <v>11</v>
      </c>
      <c r="AV183" s="100">
        <f t="shared" si="194"/>
        <v>0</v>
      </c>
      <c r="AW183" s="100">
        <f t="shared" si="195"/>
        <v>0</v>
      </c>
      <c r="AX183" s="100">
        <f t="shared" si="196"/>
        <v>0</v>
      </c>
      <c r="AY183" s="110" t="s">
        <v>1703</v>
      </c>
      <c r="AZ183" s="110" t="s">
        <v>1730</v>
      </c>
      <c r="BA183" s="109" t="s">
        <v>1737</v>
      </c>
      <c r="BC183" s="100">
        <f t="shared" si="197"/>
        <v>0</v>
      </c>
      <c r="BD183" s="100">
        <f t="shared" si="198"/>
        <v>0</v>
      </c>
      <c r="BE183" s="100">
        <v>0</v>
      </c>
      <c r="BF183" s="100">
        <f>183</f>
        <v>183</v>
      </c>
      <c r="BH183" s="108">
        <f t="shared" si="199"/>
        <v>0</v>
      </c>
      <c r="BI183" s="108">
        <f t="shared" si="200"/>
        <v>0</v>
      </c>
      <c r="BJ183" s="108">
        <f t="shared" si="201"/>
        <v>0</v>
      </c>
    </row>
    <row r="184" spans="1:62" x14ac:dyDescent="0.2">
      <c r="A184" s="117" t="s">
        <v>152</v>
      </c>
      <c r="B184" s="117" t="s">
        <v>702</v>
      </c>
      <c r="C184" s="304" t="s">
        <v>1214</v>
      </c>
      <c r="D184" s="305"/>
      <c r="E184" s="305"/>
      <c r="F184" s="117" t="s">
        <v>1648</v>
      </c>
      <c r="G184" s="116">
        <v>8.1709999999999994</v>
      </c>
      <c r="H184" s="159"/>
      <c r="I184" s="108">
        <f t="shared" si="178"/>
        <v>0</v>
      </c>
      <c r="J184" s="108">
        <f t="shared" si="179"/>
        <v>0</v>
      </c>
      <c r="K184" s="108">
        <f t="shared" si="180"/>
        <v>0</v>
      </c>
      <c r="L184" s="111" t="s">
        <v>1671</v>
      </c>
      <c r="Z184" s="100">
        <f t="shared" si="181"/>
        <v>0</v>
      </c>
      <c r="AB184" s="100">
        <f t="shared" si="182"/>
        <v>0</v>
      </c>
      <c r="AC184" s="100">
        <f t="shared" si="183"/>
        <v>0</v>
      </c>
      <c r="AD184" s="100">
        <f t="shared" si="184"/>
        <v>0</v>
      </c>
      <c r="AE184" s="100">
        <f t="shared" si="185"/>
        <v>0</v>
      </c>
      <c r="AF184" s="100">
        <f t="shared" si="186"/>
        <v>0</v>
      </c>
      <c r="AG184" s="100">
        <f t="shared" si="187"/>
        <v>0</v>
      </c>
      <c r="AH184" s="100">
        <f t="shared" si="188"/>
        <v>0</v>
      </c>
      <c r="AI184" s="109"/>
      <c r="AJ184" s="108">
        <f t="shared" si="189"/>
        <v>0</v>
      </c>
      <c r="AK184" s="108">
        <f t="shared" si="190"/>
        <v>0</v>
      </c>
      <c r="AL184" s="108">
        <f t="shared" si="191"/>
        <v>0</v>
      </c>
      <c r="AN184" s="100">
        <v>15</v>
      </c>
      <c r="AO184" s="100">
        <f t="shared" si="192"/>
        <v>0</v>
      </c>
      <c r="AP184" s="100">
        <f t="shared" si="193"/>
        <v>0</v>
      </c>
      <c r="AQ184" s="111" t="s">
        <v>11</v>
      </c>
      <c r="AV184" s="100">
        <f t="shared" si="194"/>
        <v>0</v>
      </c>
      <c r="AW184" s="100">
        <f t="shared" si="195"/>
        <v>0</v>
      </c>
      <c r="AX184" s="100">
        <f t="shared" si="196"/>
        <v>0</v>
      </c>
      <c r="AY184" s="110" t="s">
        <v>1703</v>
      </c>
      <c r="AZ184" s="110" t="s">
        <v>1730</v>
      </c>
      <c r="BA184" s="109" t="s">
        <v>1737</v>
      </c>
      <c r="BC184" s="100">
        <f t="shared" si="197"/>
        <v>0</v>
      </c>
      <c r="BD184" s="100">
        <f t="shared" si="198"/>
        <v>0</v>
      </c>
      <c r="BE184" s="100">
        <v>0</v>
      </c>
      <c r="BF184" s="100">
        <f>184</f>
        <v>184</v>
      </c>
      <c r="BH184" s="108">
        <f t="shared" si="199"/>
        <v>0</v>
      </c>
      <c r="BI184" s="108">
        <f t="shared" si="200"/>
        <v>0</v>
      </c>
      <c r="BJ184" s="108">
        <f t="shared" si="201"/>
        <v>0</v>
      </c>
    </row>
    <row r="185" spans="1:62" x14ac:dyDescent="0.2">
      <c r="A185" s="119"/>
      <c r="B185" s="120" t="s">
        <v>703</v>
      </c>
      <c r="C185" s="306" t="s">
        <v>1215</v>
      </c>
      <c r="D185" s="307"/>
      <c r="E185" s="307"/>
      <c r="F185" s="119" t="s">
        <v>6</v>
      </c>
      <c r="G185" s="119" t="s">
        <v>6</v>
      </c>
      <c r="H185" s="119" t="s">
        <v>6</v>
      </c>
      <c r="I185" s="118">
        <f>SUM(I186:I186)</f>
        <v>0</v>
      </c>
      <c r="J185" s="118">
        <f>SUM(J186:J186)</f>
        <v>0</v>
      </c>
      <c r="K185" s="118">
        <f>SUM(K186:K186)</f>
        <v>0</v>
      </c>
      <c r="L185" s="109"/>
      <c r="AI185" s="109"/>
      <c r="AS185" s="118">
        <f>SUM(AJ186:AJ186)</f>
        <v>0</v>
      </c>
      <c r="AT185" s="118">
        <f>SUM(AK186:AK186)</f>
        <v>0</v>
      </c>
      <c r="AU185" s="118">
        <f>SUM(AL186:AL186)</f>
        <v>0</v>
      </c>
    </row>
    <row r="186" spans="1:62" x14ac:dyDescent="0.2">
      <c r="A186" s="117" t="s">
        <v>153</v>
      </c>
      <c r="B186" s="117" t="s">
        <v>704</v>
      </c>
      <c r="C186" s="304" t="s">
        <v>1216</v>
      </c>
      <c r="D186" s="305"/>
      <c r="E186" s="305"/>
      <c r="F186" s="117" t="s">
        <v>1648</v>
      </c>
      <c r="G186" s="116">
        <v>176.02199999999999</v>
      </c>
      <c r="H186" s="159"/>
      <c r="I186" s="108">
        <f>G186*AO186</f>
        <v>0</v>
      </c>
      <c r="J186" s="108">
        <f>G186*AP186</f>
        <v>0</v>
      </c>
      <c r="K186" s="108">
        <f>G186*H186</f>
        <v>0</v>
      </c>
      <c r="L186" s="111" t="s">
        <v>1671</v>
      </c>
      <c r="Z186" s="100">
        <f>IF(AQ186="5",BJ186,0)</f>
        <v>0</v>
      </c>
      <c r="AB186" s="100">
        <f>IF(AQ186="1",BH186,0)</f>
        <v>0</v>
      </c>
      <c r="AC186" s="100">
        <f>IF(AQ186="1",BI186,0)</f>
        <v>0</v>
      </c>
      <c r="AD186" s="100">
        <f>IF(AQ186="7",BH186,0)</f>
        <v>0</v>
      </c>
      <c r="AE186" s="100">
        <f>IF(AQ186="7",BI186,0)</f>
        <v>0</v>
      </c>
      <c r="AF186" s="100">
        <f>IF(AQ186="2",BH186,0)</f>
        <v>0</v>
      </c>
      <c r="AG186" s="100">
        <f>IF(AQ186="2",BI186,0)</f>
        <v>0</v>
      </c>
      <c r="AH186" s="100">
        <f>IF(AQ186="0",BJ186,0)</f>
        <v>0</v>
      </c>
      <c r="AI186" s="109"/>
      <c r="AJ186" s="108">
        <f>IF(AN186=0,K186,0)</f>
        <v>0</v>
      </c>
      <c r="AK186" s="108">
        <f>IF(AN186=15,K186,0)</f>
        <v>0</v>
      </c>
      <c r="AL186" s="108">
        <f>IF(AN186=21,K186,0)</f>
        <v>0</v>
      </c>
      <c r="AN186" s="100">
        <v>15</v>
      </c>
      <c r="AO186" s="100">
        <f>H186*0</f>
        <v>0</v>
      </c>
      <c r="AP186" s="100">
        <f>H186*(1-0)</f>
        <v>0</v>
      </c>
      <c r="AQ186" s="111" t="s">
        <v>11</v>
      </c>
      <c r="AV186" s="100">
        <f>AW186+AX186</f>
        <v>0</v>
      </c>
      <c r="AW186" s="100">
        <f>G186*AO186</f>
        <v>0</v>
      </c>
      <c r="AX186" s="100">
        <f>G186*AP186</f>
        <v>0</v>
      </c>
      <c r="AY186" s="110" t="s">
        <v>1704</v>
      </c>
      <c r="AZ186" s="110" t="s">
        <v>1730</v>
      </c>
      <c r="BA186" s="109" t="s">
        <v>1737</v>
      </c>
      <c r="BC186" s="100">
        <f>AW186+AX186</f>
        <v>0</v>
      </c>
      <c r="BD186" s="100">
        <f>H186/(100-BE186)*100</f>
        <v>0</v>
      </c>
      <c r="BE186" s="100">
        <v>0</v>
      </c>
      <c r="BF186" s="100">
        <f>186</f>
        <v>186</v>
      </c>
      <c r="BH186" s="108">
        <f>G186*AO186</f>
        <v>0</v>
      </c>
      <c r="BI186" s="108">
        <f>G186*AP186</f>
        <v>0</v>
      </c>
      <c r="BJ186" s="108">
        <f>G186*H186</f>
        <v>0</v>
      </c>
    </row>
    <row r="187" spans="1:62" x14ac:dyDescent="0.2">
      <c r="A187" s="119"/>
      <c r="B187" s="120" t="s">
        <v>705</v>
      </c>
      <c r="C187" s="306" t="s">
        <v>1217</v>
      </c>
      <c r="D187" s="307"/>
      <c r="E187" s="307"/>
      <c r="F187" s="119" t="s">
        <v>6</v>
      </c>
      <c r="G187" s="119" t="s">
        <v>6</v>
      </c>
      <c r="H187" s="119" t="s">
        <v>6</v>
      </c>
      <c r="I187" s="118">
        <f>SUM(I188:I191)</f>
        <v>0</v>
      </c>
      <c r="J187" s="118">
        <f>SUM(J188:J191)</f>
        <v>0</v>
      </c>
      <c r="K187" s="118">
        <f>SUM(K188:K191)</f>
        <v>0</v>
      </c>
      <c r="L187" s="109"/>
      <c r="AI187" s="109"/>
      <c r="AS187" s="118">
        <f>SUM(AJ188:AJ191)</f>
        <v>0</v>
      </c>
      <c r="AT187" s="118">
        <f>SUM(AK188:AK191)</f>
        <v>0</v>
      </c>
      <c r="AU187" s="118">
        <f>SUM(AL188:AL191)</f>
        <v>0</v>
      </c>
    </row>
    <row r="188" spans="1:62" x14ac:dyDescent="0.2">
      <c r="A188" s="117" t="s">
        <v>154</v>
      </c>
      <c r="B188" s="117" t="s">
        <v>706</v>
      </c>
      <c r="C188" s="304" t="s">
        <v>1218</v>
      </c>
      <c r="D188" s="305"/>
      <c r="E188" s="305"/>
      <c r="F188" s="117" t="s">
        <v>1645</v>
      </c>
      <c r="G188" s="116">
        <v>357.27</v>
      </c>
      <c r="H188" s="159"/>
      <c r="I188" s="108">
        <f>G188*AO188</f>
        <v>0</v>
      </c>
      <c r="J188" s="108">
        <f>G188*AP188</f>
        <v>0</v>
      </c>
      <c r="K188" s="108">
        <f>G188*H188</f>
        <v>0</v>
      </c>
      <c r="L188" s="111" t="s">
        <v>1671</v>
      </c>
      <c r="Z188" s="100">
        <f>IF(AQ188="5",BJ188,0)</f>
        <v>0</v>
      </c>
      <c r="AB188" s="100">
        <f>IF(AQ188="1",BH188,0)</f>
        <v>0</v>
      </c>
      <c r="AC188" s="100">
        <f>IF(AQ188="1",BI188,0)</f>
        <v>0</v>
      </c>
      <c r="AD188" s="100">
        <f>IF(AQ188="7",BH188,0)</f>
        <v>0</v>
      </c>
      <c r="AE188" s="100">
        <f>IF(AQ188="7",BI188,0)</f>
        <v>0</v>
      </c>
      <c r="AF188" s="100">
        <f>IF(AQ188="2",BH188,0)</f>
        <v>0</v>
      </c>
      <c r="AG188" s="100">
        <f>IF(AQ188="2",BI188,0)</f>
        <v>0</v>
      </c>
      <c r="AH188" s="100">
        <f>IF(AQ188="0",BJ188,0)</f>
        <v>0</v>
      </c>
      <c r="AI188" s="109"/>
      <c r="AJ188" s="108">
        <f>IF(AN188=0,K188,0)</f>
        <v>0</v>
      </c>
      <c r="AK188" s="108">
        <f>IF(AN188=15,K188,0)</f>
        <v>0</v>
      </c>
      <c r="AL188" s="108">
        <f>IF(AN188=21,K188,0)</f>
        <v>0</v>
      </c>
      <c r="AN188" s="100">
        <v>15</v>
      </c>
      <c r="AO188" s="100">
        <f>H188*0</f>
        <v>0</v>
      </c>
      <c r="AP188" s="100">
        <f>H188*(1-0)</f>
        <v>0</v>
      </c>
      <c r="AQ188" s="111" t="s">
        <v>13</v>
      </c>
      <c r="AV188" s="100">
        <f>AW188+AX188</f>
        <v>0</v>
      </c>
      <c r="AW188" s="100">
        <f>G188*AO188</f>
        <v>0</v>
      </c>
      <c r="AX188" s="100">
        <f>G188*AP188</f>
        <v>0</v>
      </c>
      <c r="AY188" s="110" t="s">
        <v>1705</v>
      </c>
      <c r="AZ188" s="110" t="s">
        <v>1731</v>
      </c>
      <c r="BA188" s="109" t="s">
        <v>1737</v>
      </c>
      <c r="BC188" s="100">
        <f>AW188+AX188</f>
        <v>0</v>
      </c>
      <c r="BD188" s="100">
        <f>H188/(100-BE188)*100</f>
        <v>0</v>
      </c>
      <c r="BE188" s="100">
        <v>0</v>
      </c>
      <c r="BF188" s="100">
        <f>188</f>
        <v>188</v>
      </c>
      <c r="BH188" s="108">
        <f>G188*AO188</f>
        <v>0</v>
      </c>
      <c r="BI188" s="108">
        <f>G188*AP188</f>
        <v>0</v>
      </c>
      <c r="BJ188" s="108">
        <f>G188*H188</f>
        <v>0</v>
      </c>
    </row>
    <row r="189" spans="1:62" x14ac:dyDescent="0.2">
      <c r="A189" s="117" t="s">
        <v>155</v>
      </c>
      <c r="B189" s="117" t="s">
        <v>707</v>
      </c>
      <c r="C189" s="304" t="s">
        <v>1219</v>
      </c>
      <c r="D189" s="305"/>
      <c r="E189" s="305"/>
      <c r="F189" s="117" t="s">
        <v>1644</v>
      </c>
      <c r="G189" s="116">
        <v>20</v>
      </c>
      <c r="H189" s="159"/>
      <c r="I189" s="108">
        <f>G189*AO189</f>
        <v>0</v>
      </c>
      <c r="J189" s="108">
        <f>G189*AP189</f>
        <v>0</v>
      </c>
      <c r="K189" s="108">
        <f>G189*H189</f>
        <v>0</v>
      </c>
      <c r="L189" s="111" t="s">
        <v>1671</v>
      </c>
      <c r="Z189" s="100">
        <f>IF(AQ189="5",BJ189,0)</f>
        <v>0</v>
      </c>
      <c r="AB189" s="100">
        <f>IF(AQ189="1",BH189,0)</f>
        <v>0</v>
      </c>
      <c r="AC189" s="100">
        <f>IF(AQ189="1",BI189,0)</f>
        <v>0</v>
      </c>
      <c r="AD189" s="100">
        <f>IF(AQ189="7",BH189,0)</f>
        <v>0</v>
      </c>
      <c r="AE189" s="100">
        <f>IF(AQ189="7",BI189,0)</f>
        <v>0</v>
      </c>
      <c r="AF189" s="100">
        <f>IF(AQ189="2",BH189,0)</f>
        <v>0</v>
      </c>
      <c r="AG189" s="100">
        <f>IF(AQ189="2",BI189,0)</f>
        <v>0</v>
      </c>
      <c r="AH189" s="100">
        <f>IF(AQ189="0",BJ189,0)</f>
        <v>0</v>
      </c>
      <c r="AI189" s="109"/>
      <c r="AJ189" s="108">
        <f>IF(AN189=0,K189,0)</f>
        <v>0</v>
      </c>
      <c r="AK189" s="108">
        <f>IF(AN189=15,K189,0)</f>
        <v>0</v>
      </c>
      <c r="AL189" s="108">
        <f>IF(AN189=21,K189,0)</f>
        <v>0</v>
      </c>
      <c r="AN189" s="100">
        <v>15</v>
      </c>
      <c r="AO189" s="100">
        <f>H189*0.846349462365591</f>
        <v>0</v>
      </c>
      <c r="AP189" s="100">
        <f>H189*(1-0.846349462365591)</f>
        <v>0</v>
      </c>
      <c r="AQ189" s="111" t="s">
        <v>13</v>
      </c>
      <c r="AV189" s="100">
        <f>AW189+AX189</f>
        <v>0</v>
      </c>
      <c r="AW189" s="100">
        <f>G189*AO189</f>
        <v>0</v>
      </c>
      <c r="AX189" s="100">
        <f>G189*AP189</f>
        <v>0</v>
      </c>
      <c r="AY189" s="110" t="s">
        <v>1705</v>
      </c>
      <c r="AZ189" s="110" t="s">
        <v>1731</v>
      </c>
      <c r="BA189" s="109" t="s">
        <v>1737</v>
      </c>
      <c r="BC189" s="100">
        <f>AW189+AX189</f>
        <v>0</v>
      </c>
      <c r="BD189" s="100">
        <f>H189/(100-BE189)*100</f>
        <v>0</v>
      </c>
      <c r="BE189" s="100">
        <v>0</v>
      </c>
      <c r="BF189" s="100">
        <f>189</f>
        <v>189</v>
      </c>
      <c r="BH189" s="108">
        <f>G189*AO189</f>
        <v>0</v>
      </c>
      <c r="BI189" s="108">
        <f>G189*AP189</f>
        <v>0</v>
      </c>
      <c r="BJ189" s="108">
        <f>G189*H189</f>
        <v>0</v>
      </c>
    </row>
    <row r="190" spans="1:62" x14ac:dyDescent="0.2">
      <c r="A190" s="117" t="s">
        <v>156</v>
      </c>
      <c r="B190" s="117" t="s">
        <v>708</v>
      </c>
      <c r="C190" s="304" t="s">
        <v>2831</v>
      </c>
      <c r="D190" s="305"/>
      <c r="E190" s="305"/>
      <c r="F190" s="117" t="s">
        <v>1645</v>
      </c>
      <c r="G190" s="116">
        <v>357.27</v>
      </c>
      <c r="H190" s="159"/>
      <c r="I190" s="108">
        <f>G190*AO190</f>
        <v>0</v>
      </c>
      <c r="J190" s="108">
        <f>G190*AP190</f>
        <v>0</v>
      </c>
      <c r="K190" s="108">
        <f>G190*H190</f>
        <v>0</v>
      </c>
      <c r="L190" s="111" t="s">
        <v>1671</v>
      </c>
      <c r="Z190" s="100">
        <f>IF(AQ190="5",BJ190,0)</f>
        <v>0</v>
      </c>
      <c r="AB190" s="100">
        <f>IF(AQ190="1",BH190,0)</f>
        <v>0</v>
      </c>
      <c r="AC190" s="100">
        <f>IF(AQ190="1",BI190,0)</f>
        <v>0</v>
      </c>
      <c r="AD190" s="100">
        <f>IF(AQ190="7",BH190,0)</f>
        <v>0</v>
      </c>
      <c r="AE190" s="100">
        <f>IF(AQ190="7",BI190,0)</f>
        <v>0</v>
      </c>
      <c r="AF190" s="100">
        <f>IF(AQ190="2",BH190,0)</f>
        <v>0</v>
      </c>
      <c r="AG190" s="100">
        <f>IF(AQ190="2",BI190,0)</f>
        <v>0</v>
      </c>
      <c r="AH190" s="100">
        <f>IF(AQ190="0",BJ190,0)</f>
        <v>0</v>
      </c>
      <c r="AI190" s="109"/>
      <c r="AJ190" s="108">
        <f>IF(AN190=0,K190,0)</f>
        <v>0</v>
      </c>
      <c r="AK190" s="108">
        <f>IF(AN190=15,K190,0)</f>
        <v>0</v>
      </c>
      <c r="AL190" s="108">
        <f>IF(AN190=21,K190,0)</f>
        <v>0</v>
      </c>
      <c r="AN190" s="100">
        <v>15</v>
      </c>
      <c r="AO190" s="100">
        <f>H190*0.427372177362561</f>
        <v>0</v>
      </c>
      <c r="AP190" s="100">
        <f>H190*(1-0.427372177362561)</f>
        <v>0</v>
      </c>
      <c r="AQ190" s="111" t="s">
        <v>13</v>
      </c>
      <c r="AV190" s="100">
        <f>AW190+AX190</f>
        <v>0</v>
      </c>
      <c r="AW190" s="100">
        <f>G190*AO190</f>
        <v>0</v>
      </c>
      <c r="AX190" s="100">
        <f>G190*AP190</f>
        <v>0</v>
      </c>
      <c r="AY190" s="110" t="s">
        <v>1705</v>
      </c>
      <c r="AZ190" s="110" t="s">
        <v>1731</v>
      </c>
      <c r="BA190" s="109" t="s">
        <v>1737</v>
      </c>
      <c r="BC190" s="100">
        <f>AW190+AX190</f>
        <v>0</v>
      </c>
      <c r="BD190" s="100">
        <f>H190/(100-BE190)*100</f>
        <v>0</v>
      </c>
      <c r="BE190" s="100">
        <v>0</v>
      </c>
      <c r="BF190" s="100">
        <f>190</f>
        <v>190</v>
      </c>
      <c r="BH190" s="108">
        <f>G190*AO190</f>
        <v>0</v>
      </c>
      <c r="BI190" s="108">
        <f>G190*AP190</f>
        <v>0</v>
      </c>
      <c r="BJ190" s="108">
        <f>G190*H190</f>
        <v>0</v>
      </c>
    </row>
    <row r="191" spans="1:62" x14ac:dyDescent="0.2">
      <c r="A191" s="117" t="s">
        <v>157</v>
      </c>
      <c r="B191" s="117" t="s">
        <v>709</v>
      </c>
      <c r="C191" s="304" t="s">
        <v>1221</v>
      </c>
      <c r="D191" s="305"/>
      <c r="E191" s="305"/>
      <c r="F191" s="117" t="s">
        <v>1648</v>
      </c>
      <c r="G191" s="116">
        <v>4.4589999999999996</v>
      </c>
      <c r="H191" s="159"/>
      <c r="I191" s="108">
        <f>G191*AO191</f>
        <v>0</v>
      </c>
      <c r="J191" s="108">
        <f>G191*AP191</f>
        <v>0</v>
      </c>
      <c r="K191" s="108">
        <f>G191*H191</f>
        <v>0</v>
      </c>
      <c r="L191" s="111" t="s">
        <v>1671</v>
      </c>
      <c r="Z191" s="100">
        <f>IF(AQ191="5",BJ191,0)</f>
        <v>0</v>
      </c>
      <c r="AB191" s="100">
        <f>IF(AQ191="1",BH191,0)</f>
        <v>0</v>
      </c>
      <c r="AC191" s="100">
        <f>IF(AQ191="1",BI191,0)</f>
        <v>0</v>
      </c>
      <c r="AD191" s="100">
        <f>IF(AQ191="7",BH191,0)</f>
        <v>0</v>
      </c>
      <c r="AE191" s="100">
        <f>IF(AQ191="7",BI191,0)</f>
        <v>0</v>
      </c>
      <c r="AF191" s="100">
        <f>IF(AQ191="2",BH191,0)</f>
        <v>0</v>
      </c>
      <c r="AG191" s="100">
        <f>IF(AQ191="2",BI191,0)</f>
        <v>0</v>
      </c>
      <c r="AH191" s="100">
        <f>IF(AQ191="0",BJ191,0)</f>
        <v>0</v>
      </c>
      <c r="AI191" s="109"/>
      <c r="AJ191" s="108">
        <f>IF(AN191=0,K191,0)</f>
        <v>0</v>
      </c>
      <c r="AK191" s="108">
        <f>IF(AN191=15,K191,0)</f>
        <v>0</v>
      </c>
      <c r="AL191" s="108">
        <f>IF(AN191=21,K191,0)</f>
        <v>0</v>
      </c>
      <c r="AN191" s="100">
        <v>15</v>
      </c>
      <c r="AO191" s="100">
        <f>H191*0</f>
        <v>0</v>
      </c>
      <c r="AP191" s="100">
        <f>H191*(1-0)</f>
        <v>0</v>
      </c>
      <c r="AQ191" s="111" t="s">
        <v>11</v>
      </c>
      <c r="AV191" s="100">
        <f>AW191+AX191</f>
        <v>0</v>
      </c>
      <c r="AW191" s="100">
        <f>G191*AO191</f>
        <v>0</v>
      </c>
      <c r="AX191" s="100">
        <f>G191*AP191</f>
        <v>0</v>
      </c>
      <c r="AY191" s="110" t="s">
        <v>1705</v>
      </c>
      <c r="AZ191" s="110" t="s">
        <v>1731</v>
      </c>
      <c r="BA191" s="109" t="s">
        <v>1737</v>
      </c>
      <c r="BC191" s="100">
        <f>AW191+AX191</f>
        <v>0</v>
      </c>
      <c r="BD191" s="100">
        <f>H191/(100-BE191)*100</f>
        <v>0</v>
      </c>
      <c r="BE191" s="100">
        <v>0</v>
      </c>
      <c r="BF191" s="100">
        <f>191</f>
        <v>191</v>
      </c>
      <c r="BH191" s="108">
        <f>G191*AO191</f>
        <v>0</v>
      </c>
      <c r="BI191" s="108">
        <f>G191*AP191</f>
        <v>0</v>
      </c>
      <c r="BJ191" s="108">
        <f>G191*H191</f>
        <v>0</v>
      </c>
    </row>
    <row r="192" spans="1:62" x14ac:dyDescent="0.2">
      <c r="A192" s="119"/>
      <c r="B192" s="120" t="s">
        <v>710</v>
      </c>
      <c r="C192" s="306" t="s">
        <v>1222</v>
      </c>
      <c r="D192" s="307"/>
      <c r="E192" s="307"/>
      <c r="F192" s="119" t="s">
        <v>6</v>
      </c>
      <c r="G192" s="119" t="s">
        <v>6</v>
      </c>
      <c r="H192" s="163"/>
      <c r="I192" s="118">
        <f>SUM(I193:I200)</f>
        <v>0</v>
      </c>
      <c r="J192" s="118">
        <f>SUM(J193:J200)</f>
        <v>0</v>
      </c>
      <c r="K192" s="118">
        <f>SUM(K193:K200)</f>
        <v>0</v>
      </c>
      <c r="L192" s="109"/>
      <c r="AI192" s="109"/>
      <c r="AS192" s="118">
        <f>SUM(AJ193:AJ200)</f>
        <v>0</v>
      </c>
      <c r="AT192" s="118">
        <f>SUM(AK193:AK200)</f>
        <v>0</v>
      </c>
      <c r="AU192" s="118">
        <f>SUM(AL193:AL200)</f>
        <v>0</v>
      </c>
    </row>
    <row r="193" spans="1:62" x14ac:dyDescent="0.2">
      <c r="A193" s="117" t="s">
        <v>158</v>
      </c>
      <c r="B193" s="117" t="s">
        <v>711</v>
      </c>
      <c r="C193" s="304" t="s">
        <v>2830</v>
      </c>
      <c r="D193" s="305"/>
      <c r="E193" s="305"/>
      <c r="F193" s="117" t="s">
        <v>1645</v>
      </c>
      <c r="G193" s="116">
        <v>310.892</v>
      </c>
      <c r="H193" s="159"/>
      <c r="I193" s="108">
        <f t="shared" ref="I193:I200" si="202">G193*AO193</f>
        <v>0</v>
      </c>
      <c r="J193" s="108">
        <f t="shared" ref="J193:J200" si="203">G193*AP193</f>
        <v>0</v>
      </c>
      <c r="K193" s="108">
        <f t="shared" ref="K193:K200" si="204">G193*H193</f>
        <v>0</v>
      </c>
      <c r="L193" s="111" t="s">
        <v>1671</v>
      </c>
      <c r="Z193" s="100">
        <f t="shared" ref="Z193:Z200" si="205">IF(AQ193="5",BJ193,0)</f>
        <v>0</v>
      </c>
      <c r="AB193" s="100">
        <f t="shared" ref="AB193:AB200" si="206">IF(AQ193="1",BH193,0)</f>
        <v>0</v>
      </c>
      <c r="AC193" s="100">
        <f t="shared" ref="AC193:AC200" si="207">IF(AQ193="1",BI193,0)</f>
        <v>0</v>
      </c>
      <c r="AD193" s="100">
        <f t="shared" ref="AD193:AD200" si="208">IF(AQ193="7",BH193,0)</f>
        <v>0</v>
      </c>
      <c r="AE193" s="100">
        <f t="shared" ref="AE193:AE200" si="209">IF(AQ193="7",BI193,0)</f>
        <v>0</v>
      </c>
      <c r="AF193" s="100">
        <f t="shared" ref="AF193:AF200" si="210">IF(AQ193="2",BH193,0)</f>
        <v>0</v>
      </c>
      <c r="AG193" s="100">
        <f t="shared" ref="AG193:AG200" si="211">IF(AQ193="2",BI193,0)</f>
        <v>0</v>
      </c>
      <c r="AH193" s="100">
        <f t="shared" ref="AH193:AH200" si="212">IF(AQ193="0",BJ193,0)</f>
        <v>0</v>
      </c>
      <c r="AI193" s="109"/>
      <c r="AJ193" s="108">
        <f t="shared" ref="AJ193:AJ200" si="213">IF(AN193=0,K193,0)</f>
        <v>0</v>
      </c>
      <c r="AK193" s="108">
        <f t="shared" ref="AK193:AK200" si="214">IF(AN193=15,K193,0)</f>
        <v>0</v>
      </c>
      <c r="AL193" s="108">
        <f t="shared" ref="AL193:AL200" si="215">IF(AN193=21,K193,0)</f>
        <v>0</v>
      </c>
      <c r="AN193" s="100">
        <v>15</v>
      </c>
      <c r="AO193" s="100">
        <f>H193*0</f>
        <v>0</v>
      </c>
      <c r="AP193" s="100">
        <f>H193*(1-0)</f>
        <v>0</v>
      </c>
      <c r="AQ193" s="111" t="s">
        <v>13</v>
      </c>
      <c r="AV193" s="100">
        <f t="shared" ref="AV193:AV200" si="216">AW193+AX193</f>
        <v>0</v>
      </c>
      <c r="AW193" s="100">
        <f t="shared" ref="AW193:AW200" si="217">G193*AO193</f>
        <v>0</v>
      </c>
      <c r="AX193" s="100">
        <f t="shared" ref="AX193:AX200" si="218">G193*AP193</f>
        <v>0</v>
      </c>
      <c r="AY193" s="110" t="s">
        <v>1706</v>
      </c>
      <c r="AZ193" s="110" t="s">
        <v>1731</v>
      </c>
      <c r="BA193" s="109" t="s">
        <v>1737</v>
      </c>
      <c r="BC193" s="100">
        <f t="shared" ref="BC193:BC200" si="219">AW193+AX193</f>
        <v>0</v>
      </c>
      <c r="BD193" s="100">
        <f t="shared" ref="BD193:BD200" si="220">H193/(100-BE193)*100</f>
        <v>0</v>
      </c>
      <c r="BE193" s="100">
        <v>0</v>
      </c>
      <c r="BF193" s="100">
        <f>193</f>
        <v>193</v>
      </c>
      <c r="BH193" s="108">
        <f t="shared" ref="BH193:BH200" si="221">G193*AO193</f>
        <v>0</v>
      </c>
      <c r="BI193" s="108">
        <f t="shared" ref="BI193:BI200" si="222">G193*AP193</f>
        <v>0</v>
      </c>
      <c r="BJ193" s="108">
        <f t="shared" ref="BJ193:BJ200" si="223">G193*H193</f>
        <v>0</v>
      </c>
    </row>
    <row r="194" spans="1:62" x14ac:dyDescent="0.2">
      <c r="A194" s="124" t="s">
        <v>159</v>
      </c>
      <c r="B194" s="124" t="s">
        <v>712</v>
      </c>
      <c r="C194" s="311" t="s">
        <v>1224</v>
      </c>
      <c r="D194" s="312"/>
      <c r="E194" s="312"/>
      <c r="F194" s="124" t="s">
        <v>1645</v>
      </c>
      <c r="G194" s="123">
        <v>341.98099999999999</v>
      </c>
      <c r="H194" s="160"/>
      <c r="I194" s="121">
        <f t="shared" si="202"/>
        <v>0</v>
      </c>
      <c r="J194" s="121">
        <f t="shared" si="203"/>
        <v>0</v>
      </c>
      <c r="K194" s="121">
        <f t="shared" si="204"/>
        <v>0</v>
      </c>
      <c r="L194" s="122" t="s">
        <v>1671</v>
      </c>
      <c r="Z194" s="100">
        <f t="shared" si="205"/>
        <v>0</v>
      </c>
      <c r="AB194" s="100">
        <f t="shared" si="206"/>
        <v>0</v>
      </c>
      <c r="AC194" s="100">
        <f t="shared" si="207"/>
        <v>0</v>
      </c>
      <c r="AD194" s="100">
        <f t="shared" si="208"/>
        <v>0</v>
      </c>
      <c r="AE194" s="100">
        <f t="shared" si="209"/>
        <v>0</v>
      </c>
      <c r="AF194" s="100">
        <f t="shared" si="210"/>
        <v>0</v>
      </c>
      <c r="AG194" s="100">
        <f t="shared" si="211"/>
        <v>0</v>
      </c>
      <c r="AH194" s="100">
        <f t="shared" si="212"/>
        <v>0</v>
      </c>
      <c r="AI194" s="109"/>
      <c r="AJ194" s="121">
        <f t="shared" si="213"/>
        <v>0</v>
      </c>
      <c r="AK194" s="121">
        <f t="shared" si="214"/>
        <v>0</v>
      </c>
      <c r="AL194" s="121">
        <f t="shared" si="215"/>
        <v>0</v>
      </c>
      <c r="AN194" s="100">
        <v>15</v>
      </c>
      <c r="AO194" s="100">
        <f>H194*1</f>
        <v>0</v>
      </c>
      <c r="AP194" s="100">
        <f>H194*(1-1)</f>
        <v>0</v>
      </c>
      <c r="AQ194" s="122" t="s">
        <v>13</v>
      </c>
      <c r="AV194" s="100">
        <f t="shared" si="216"/>
        <v>0</v>
      </c>
      <c r="AW194" s="100">
        <f t="shared" si="217"/>
        <v>0</v>
      </c>
      <c r="AX194" s="100">
        <f t="shared" si="218"/>
        <v>0</v>
      </c>
      <c r="AY194" s="110" t="s">
        <v>1706</v>
      </c>
      <c r="AZ194" s="110" t="s">
        <v>1731</v>
      </c>
      <c r="BA194" s="109" t="s">
        <v>1737</v>
      </c>
      <c r="BC194" s="100">
        <f t="shared" si="219"/>
        <v>0</v>
      </c>
      <c r="BD194" s="100">
        <f t="shared" si="220"/>
        <v>0</v>
      </c>
      <c r="BE194" s="100">
        <v>0</v>
      </c>
      <c r="BF194" s="100">
        <f>194</f>
        <v>194</v>
      </c>
      <c r="BH194" s="121">
        <f t="shared" si="221"/>
        <v>0</v>
      </c>
      <c r="BI194" s="121">
        <f t="shared" si="222"/>
        <v>0</v>
      </c>
      <c r="BJ194" s="121">
        <f t="shared" si="223"/>
        <v>0</v>
      </c>
    </row>
    <row r="195" spans="1:62" x14ac:dyDescent="0.2">
      <c r="A195" s="124" t="s">
        <v>160</v>
      </c>
      <c r="B195" s="124" t="s">
        <v>713</v>
      </c>
      <c r="C195" s="311" t="s">
        <v>1225</v>
      </c>
      <c r="D195" s="312"/>
      <c r="E195" s="312"/>
      <c r="F195" s="124" t="s">
        <v>1645</v>
      </c>
      <c r="G195" s="123">
        <v>341.98099999999999</v>
      </c>
      <c r="H195" s="160"/>
      <c r="I195" s="121">
        <f t="shared" si="202"/>
        <v>0</v>
      </c>
      <c r="J195" s="121">
        <f t="shared" si="203"/>
        <v>0</v>
      </c>
      <c r="K195" s="121">
        <f t="shared" si="204"/>
        <v>0</v>
      </c>
      <c r="L195" s="122" t="s">
        <v>1671</v>
      </c>
      <c r="Z195" s="100">
        <f t="shared" si="205"/>
        <v>0</v>
      </c>
      <c r="AB195" s="100">
        <f t="shared" si="206"/>
        <v>0</v>
      </c>
      <c r="AC195" s="100">
        <f t="shared" si="207"/>
        <v>0</v>
      </c>
      <c r="AD195" s="100">
        <f t="shared" si="208"/>
        <v>0</v>
      </c>
      <c r="AE195" s="100">
        <f t="shared" si="209"/>
        <v>0</v>
      </c>
      <c r="AF195" s="100">
        <f t="shared" si="210"/>
        <v>0</v>
      </c>
      <c r="AG195" s="100">
        <f t="shared" si="211"/>
        <v>0</v>
      </c>
      <c r="AH195" s="100">
        <f t="shared" si="212"/>
        <v>0</v>
      </c>
      <c r="AI195" s="109"/>
      <c r="AJ195" s="121">
        <f t="shared" si="213"/>
        <v>0</v>
      </c>
      <c r="AK195" s="121">
        <f t="shared" si="214"/>
        <v>0</v>
      </c>
      <c r="AL195" s="121">
        <f t="shared" si="215"/>
        <v>0</v>
      </c>
      <c r="AN195" s="100">
        <v>15</v>
      </c>
      <c r="AO195" s="100">
        <f>H195*1</f>
        <v>0</v>
      </c>
      <c r="AP195" s="100">
        <f>H195*(1-1)</f>
        <v>0</v>
      </c>
      <c r="AQ195" s="122" t="s">
        <v>13</v>
      </c>
      <c r="AV195" s="100">
        <f t="shared" si="216"/>
        <v>0</v>
      </c>
      <c r="AW195" s="100">
        <f t="shared" si="217"/>
        <v>0</v>
      </c>
      <c r="AX195" s="100">
        <f t="shared" si="218"/>
        <v>0</v>
      </c>
      <c r="AY195" s="110" t="s">
        <v>1706</v>
      </c>
      <c r="AZ195" s="110" t="s">
        <v>1731</v>
      </c>
      <c r="BA195" s="109" t="s">
        <v>1737</v>
      </c>
      <c r="BC195" s="100">
        <f t="shared" si="219"/>
        <v>0</v>
      </c>
      <c r="BD195" s="100">
        <f t="shared" si="220"/>
        <v>0</v>
      </c>
      <c r="BE195" s="100">
        <v>0</v>
      </c>
      <c r="BF195" s="100">
        <f>195</f>
        <v>195</v>
      </c>
      <c r="BH195" s="121">
        <f t="shared" si="221"/>
        <v>0</v>
      </c>
      <c r="BI195" s="121">
        <f t="shared" si="222"/>
        <v>0</v>
      </c>
      <c r="BJ195" s="121">
        <f t="shared" si="223"/>
        <v>0</v>
      </c>
    </row>
    <row r="196" spans="1:62" x14ac:dyDescent="0.2">
      <c r="A196" s="117" t="s">
        <v>161</v>
      </c>
      <c r="B196" s="117" t="s">
        <v>714</v>
      </c>
      <c r="C196" s="304" t="s">
        <v>1226</v>
      </c>
      <c r="D196" s="305"/>
      <c r="E196" s="305"/>
      <c r="F196" s="117" t="s">
        <v>1646</v>
      </c>
      <c r="G196" s="116">
        <v>64.5</v>
      </c>
      <c r="H196" s="159"/>
      <c r="I196" s="108">
        <f t="shared" si="202"/>
        <v>0</v>
      </c>
      <c r="J196" s="108">
        <f t="shared" si="203"/>
        <v>0</v>
      </c>
      <c r="K196" s="108">
        <f t="shared" si="204"/>
        <v>0</v>
      </c>
      <c r="L196" s="111" t="s">
        <v>1671</v>
      </c>
      <c r="Z196" s="100">
        <f t="shared" si="205"/>
        <v>0</v>
      </c>
      <c r="AB196" s="100">
        <f t="shared" si="206"/>
        <v>0</v>
      </c>
      <c r="AC196" s="100">
        <f t="shared" si="207"/>
        <v>0</v>
      </c>
      <c r="AD196" s="100">
        <f t="shared" si="208"/>
        <v>0</v>
      </c>
      <c r="AE196" s="100">
        <f t="shared" si="209"/>
        <v>0</v>
      </c>
      <c r="AF196" s="100">
        <f t="shared" si="210"/>
        <v>0</v>
      </c>
      <c r="AG196" s="100">
        <f t="shared" si="211"/>
        <v>0</v>
      </c>
      <c r="AH196" s="100">
        <f t="shared" si="212"/>
        <v>0</v>
      </c>
      <c r="AI196" s="109"/>
      <c r="AJ196" s="108">
        <f t="shared" si="213"/>
        <v>0</v>
      </c>
      <c r="AK196" s="108">
        <f t="shared" si="214"/>
        <v>0</v>
      </c>
      <c r="AL196" s="108">
        <f t="shared" si="215"/>
        <v>0</v>
      </c>
      <c r="AN196" s="100">
        <v>15</v>
      </c>
      <c r="AO196" s="100">
        <f>H196*0</f>
        <v>0</v>
      </c>
      <c r="AP196" s="100">
        <f>H196*(1-0)</f>
        <v>0</v>
      </c>
      <c r="AQ196" s="111" t="s">
        <v>13</v>
      </c>
      <c r="AV196" s="100">
        <f t="shared" si="216"/>
        <v>0</v>
      </c>
      <c r="AW196" s="100">
        <f t="shared" si="217"/>
        <v>0</v>
      </c>
      <c r="AX196" s="100">
        <f t="shared" si="218"/>
        <v>0</v>
      </c>
      <c r="AY196" s="110" t="s">
        <v>1706</v>
      </c>
      <c r="AZ196" s="110" t="s">
        <v>1731</v>
      </c>
      <c r="BA196" s="109" t="s">
        <v>1737</v>
      </c>
      <c r="BC196" s="100">
        <f t="shared" si="219"/>
        <v>0</v>
      </c>
      <c r="BD196" s="100">
        <f t="shared" si="220"/>
        <v>0</v>
      </c>
      <c r="BE196" s="100">
        <v>0</v>
      </c>
      <c r="BF196" s="100">
        <f>196</f>
        <v>196</v>
      </c>
      <c r="BH196" s="108">
        <f t="shared" si="221"/>
        <v>0</v>
      </c>
      <c r="BI196" s="108">
        <f t="shared" si="222"/>
        <v>0</v>
      </c>
      <c r="BJ196" s="108">
        <f t="shared" si="223"/>
        <v>0</v>
      </c>
    </row>
    <row r="197" spans="1:62" x14ac:dyDescent="0.2">
      <c r="A197" s="117" t="s">
        <v>162</v>
      </c>
      <c r="B197" s="117" t="s">
        <v>715</v>
      </c>
      <c r="C197" s="304" t="s">
        <v>2829</v>
      </c>
      <c r="D197" s="305"/>
      <c r="E197" s="305"/>
      <c r="F197" s="117" t="s">
        <v>1645</v>
      </c>
      <c r="G197" s="116">
        <v>310.892</v>
      </c>
      <c r="H197" s="159"/>
      <c r="I197" s="108">
        <f t="shared" si="202"/>
        <v>0</v>
      </c>
      <c r="J197" s="108">
        <f t="shared" si="203"/>
        <v>0</v>
      </c>
      <c r="K197" s="108">
        <f t="shared" si="204"/>
        <v>0</v>
      </c>
      <c r="L197" s="111" t="s">
        <v>1671</v>
      </c>
      <c r="Z197" s="100">
        <f t="shared" si="205"/>
        <v>0</v>
      </c>
      <c r="AB197" s="100">
        <f t="shared" si="206"/>
        <v>0</v>
      </c>
      <c r="AC197" s="100">
        <f t="shared" si="207"/>
        <v>0</v>
      </c>
      <c r="AD197" s="100">
        <f t="shared" si="208"/>
        <v>0</v>
      </c>
      <c r="AE197" s="100">
        <f t="shared" si="209"/>
        <v>0</v>
      </c>
      <c r="AF197" s="100">
        <f t="shared" si="210"/>
        <v>0</v>
      </c>
      <c r="AG197" s="100">
        <f t="shared" si="211"/>
        <v>0</v>
      </c>
      <c r="AH197" s="100">
        <f t="shared" si="212"/>
        <v>0</v>
      </c>
      <c r="AI197" s="109"/>
      <c r="AJ197" s="108">
        <f t="shared" si="213"/>
        <v>0</v>
      </c>
      <c r="AK197" s="108">
        <f t="shared" si="214"/>
        <v>0</v>
      </c>
      <c r="AL197" s="108">
        <f t="shared" si="215"/>
        <v>0</v>
      </c>
      <c r="AN197" s="100">
        <v>15</v>
      </c>
      <c r="AO197" s="100">
        <f>H197*0.155846496602364</f>
        <v>0</v>
      </c>
      <c r="AP197" s="100">
        <f>H197*(1-0.155846496602364)</f>
        <v>0</v>
      </c>
      <c r="AQ197" s="111" t="s">
        <v>13</v>
      </c>
      <c r="AV197" s="100">
        <f t="shared" si="216"/>
        <v>0</v>
      </c>
      <c r="AW197" s="100">
        <f t="shared" si="217"/>
        <v>0</v>
      </c>
      <c r="AX197" s="100">
        <f t="shared" si="218"/>
        <v>0</v>
      </c>
      <c r="AY197" s="110" t="s">
        <v>1706</v>
      </c>
      <c r="AZ197" s="110" t="s">
        <v>1731</v>
      </c>
      <c r="BA197" s="109" t="s">
        <v>1737</v>
      </c>
      <c r="BC197" s="100">
        <f t="shared" si="219"/>
        <v>0</v>
      </c>
      <c r="BD197" s="100">
        <f t="shared" si="220"/>
        <v>0</v>
      </c>
      <c r="BE197" s="100">
        <v>0</v>
      </c>
      <c r="BF197" s="100">
        <f>197</f>
        <v>197</v>
      </c>
      <c r="BH197" s="108">
        <f t="shared" si="221"/>
        <v>0</v>
      </c>
      <c r="BI197" s="108">
        <f t="shared" si="222"/>
        <v>0</v>
      </c>
      <c r="BJ197" s="108">
        <f t="shared" si="223"/>
        <v>0</v>
      </c>
    </row>
    <row r="198" spans="1:62" x14ac:dyDescent="0.2">
      <c r="A198" s="117" t="s">
        <v>163</v>
      </c>
      <c r="B198" s="117" t="s">
        <v>716</v>
      </c>
      <c r="C198" s="304" t="s">
        <v>2828</v>
      </c>
      <c r="D198" s="305"/>
      <c r="E198" s="305"/>
      <c r="F198" s="117" t="s">
        <v>1645</v>
      </c>
      <c r="G198" s="116">
        <v>310.892</v>
      </c>
      <c r="H198" s="159"/>
      <c r="I198" s="108">
        <f t="shared" si="202"/>
        <v>0</v>
      </c>
      <c r="J198" s="108">
        <f t="shared" si="203"/>
        <v>0</v>
      </c>
      <c r="K198" s="108">
        <f t="shared" si="204"/>
        <v>0</v>
      </c>
      <c r="L198" s="111" t="s">
        <v>1671</v>
      </c>
      <c r="Z198" s="100">
        <f t="shared" si="205"/>
        <v>0</v>
      </c>
      <c r="AB198" s="100">
        <f t="shared" si="206"/>
        <v>0</v>
      </c>
      <c r="AC198" s="100">
        <f t="shared" si="207"/>
        <v>0</v>
      </c>
      <c r="AD198" s="100">
        <f t="shared" si="208"/>
        <v>0</v>
      </c>
      <c r="AE198" s="100">
        <f t="shared" si="209"/>
        <v>0</v>
      </c>
      <c r="AF198" s="100">
        <f t="shared" si="210"/>
        <v>0</v>
      </c>
      <c r="AG198" s="100">
        <f t="shared" si="211"/>
        <v>0</v>
      </c>
      <c r="AH198" s="100">
        <f t="shared" si="212"/>
        <v>0</v>
      </c>
      <c r="AI198" s="109"/>
      <c r="AJ198" s="108">
        <f t="shared" si="213"/>
        <v>0</v>
      </c>
      <c r="AK198" s="108">
        <f t="shared" si="214"/>
        <v>0</v>
      </c>
      <c r="AL198" s="108">
        <f t="shared" si="215"/>
        <v>0</v>
      </c>
      <c r="AN198" s="100">
        <v>15</v>
      </c>
      <c r="AO198" s="100">
        <f>H198*0.160103114019787</f>
        <v>0</v>
      </c>
      <c r="AP198" s="100">
        <f>H198*(1-0.160103114019787)</f>
        <v>0</v>
      </c>
      <c r="AQ198" s="111" t="s">
        <v>13</v>
      </c>
      <c r="AV198" s="100">
        <f t="shared" si="216"/>
        <v>0</v>
      </c>
      <c r="AW198" s="100">
        <f t="shared" si="217"/>
        <v>0</v>
      </c>
      <c r="AX198" s="100">
        <f t="shared" si="218"/>
        <v>0</v>
      </c>
      <c r="AY198" s="110" t="s">
        <v>1706</v>
      </c>
      <c r="AZ198" s="110" t="s">
        <v>1731</v>
      </c>
      <c r="BA198" s="109" t="s">
        <v>1737</v>
      </c>
      <c r="BC198" s="100">
        <f t="shared" si="219"/>
        <v>0</v>
      </c>
      <c r="BD198" s="100">
        <f t="shared" si="220"/>
        <v>0</v>
      </c>
      <c r="BE198" s="100">
        <v>0</v>
      </c>
      <c r="BF198" s="100">
        <f>198</f>
        <v>198</v>
      </c>
      <c r="BH198" s="108">
        <f t="shared" si="221"/>
        <v>0</v>
      </c>
      <c r="BI198" s="108">
        <f t="shared" si="222"/>
        <v>0</v>
      </c>
      <c r="BJ198" s="108">
        <f t="shared" si="223"/>
        <v>0</v>
      </c>
    </row>
    <row r="199" spans="1:62" x14ac:dyDescent="0.2">
      <c r="A199" s="117" t="s">
        <v>164</v>
      </c>
      <c r="B199" s="117" t="s">
        <v>717</v>
      </c>
      <c r="C199" s="304" t="s">
        <v>2827</v>
      </c>
      <c r="D199" s="305"/>
      <c r="E199" s="305"/>
      <c r="F199" s="117" t="s">
        <v>1645</v>
      </c>
      <c r="G199" s="116">
        <v>357.27</v>
      </c>
      <c r="H199" s="159"/>
      <c r="I199" s="108">
        <f t="shared" si="202"/>
        <v>0</v>
      </c>
      <c r="J199" s="108">
        <f t="shared" si="203"/>
        <v>0</v>
      </c>
      <c r="K199" s="108">
        <f t="shared" si="204"/>
        <v>0</v>
      </c>
      <c r="L199" s="111" t="s">
        <v>1671</v>
      </c>
      <c r="Z199" s="100">
        <f t="shared" si="205"/>
        <v>0</v>
      </c>
      <c r="AB199" s="100">
        <f t="shared" si="206"/>
        <v>0</v>
      </c>
      <c r="AC199" s="100">
        <f t="shared" si="207"/>
        <v>0</v>
      </c>
      <c r="AD199" s="100">
        <f t="shared" si="208"/>
        <v>0</v>
      </c>
      <c r="AE199" s="100">
        <f t="shared" si="209"/>
        <v>0</v>
      </c>
      <c r="AF199" s="100">
        <f t="shared" si="210"/>
        <v>0</v>
      </c>
      <c r="AG199" s="100">
        <f t="shared" si="211"/>
        <v>0</v>
      </c>
      <c r="AH199" s="100">
        <f t="shared" si="212"/>
        <v>0</v>
      </c>
      <c r="AI199" s="109"/>
      <c r="AJ199" s="108">
        <f t="shared" si="213"/>
        <v>0</v>
      </c>
      <c r="AK199" s="108">
        <f t="shared" si="214"/>
        <v>0</v>
      </c>
      <c r="AL199" s="108">
        <f t="shared" si="215"/>
        <v>0</v>
      </c>
      <c r="AN199" s="100">
        <v>15</v>
      </c>
      <c r="AO199" s="100">
        <f>H199*0.421191974906104</f>
        <v>0</v>
      </c>
      <c r="AP199" s="100">
        <f>H199*(1-0.421191974906104)</f>
        <v>0</v>
      </c>
      <c r="AQ199" s="111" t="s">
        <v>13</v>
      </c>
      <c r="AV199" s="100">
        <f t="shared" si="216"/>
        <v>0</v>
      </c>
      <c r="AW199" s="100">
        <f t="shared" si="217"/>
        <v>0</v>
      </c>
      <c r="AX199" s="100">
        <f t="shared" si="218"/>
        <v>0</v>
      </c>
      <c r="AY199" s="110" t="s">
        <v>1706</v>
      </c>
      <c r="AZ199" s="110" t="s">
        <v>1731</v>
      </c>
      <c r="BA199" s="109" t="s">
        <v>1737</v>
      </c>
      <c r="BC199" s="100">
        <f t="shared" si="219"/>
        <v>0</v>
      </c>
      <c r="BD199" s="100">
        <f t="shared" si="220"/>
        <v>0</v>
      </c>
      <c r="BE199" s="100">
        <v>0</v>
      </c>
      <c r="BF199" s="100">
        <f>199</f>
        <v>199</v>
      </c>
      <c r="BH199" s="108">
        <f t="shared" si="221"/>
        <v>0</v>
      </c>
      <c r="BI199" s="108">
        <f t="shared" si="222"/>
        <v>0</v>
      </c>
      <c r="BJ199" s="108">
        <f t="shared" si="223"/>
        <v>0</v>
      </c>
    </row>
    <row r="200" spans="1:62" x14ac:dyDescent="0.2">
      <c r="A200" s="117" t="s">
        <v>165</v>
      </c>
      <c r="B200" s="117" t="s">
        <v>718</v>
      </c>
      <c r="C200" s="304" t="s">
        <v>1230</v>
      </c>
      <c r="D200" s="305"/>
      <c r="E200" s="305"/>
      <c r="F200" s="117" t="s">
        <v>1648</v>
      </c>
      <c r="G200" s="116">
        <v>1.482</v>
      </c>
      <c r="H200" s="159"/>
      <c r="I200" s="108">
        <f t="shared" si="202"/>
        <v>0</v>
      </c>
      <c r="J200" s="108">
        <f t="shared" si="203"/>
        <v>0</v>
      </c>
      <c r="K200" s="108">
        <f t="shared" si="204"/>
        <v>0</v>
      </c>
      <c r="L200" s="111" t="s">
        <v>1671</v>
      </c>
      <c r="Z200" s="100">
        <f t="shared" si="205"/>
        <v>0</v>
      </c>
      <c r="AB200" s="100">
        <f t="shared" si="206"/>
        <v>0</v>
      </c>
      <c r="AC200" s="100">
        <f t="shared" si="207"/>
        <v>0</v>
      </c>
      <c r="AD200" s="100">
        <f t="shared" si="208"/>
        <v>0</v>
      </c>
      <c r="AE200" s="100">
        <f t="shared" si="209"/>
        <v>0</v>
      </c>
      <c r="AF200" s="100">
        <f t="shared" si="210"/>
        <v>0</v>
      </c>
      <c r="AG200" s="100">
        <f t="shared" si="211"/>
        <v>0</v>
      </c>
      <c r="AH200" s="100">
        <f t="shared" si="212"/>
        <v>0</v>
      </c>
      <c r="AI200" s="109"/>
      <c r="AJ200" s="108">
        <f t="shared" si="213"/>
        <v>0</v>
      </c>
      <c r="AK200" s="108">
        <f t="shared" si="214"/>
        <v>0</v>
      </c>
      <c r="AL200" s="108">
        <f t="shared" si="215"/>
        <v>0</v>
      </c>
      <c r="AN200" s="100">
        <v>15</v>
      </c>
      <c r="AO200" s="100">
        <f>H200*0</f>
        <v>0</v>
      </c>
      <c r="AP200" s="100">
        <f>H200*(1-0)</f>
        <v>0</v>
      </c>
      <c r="AQ200" s="111" t="s">
        <v>11</v>
      </c>
      <c r="AV200" s="100">
        <f t="shared" si="216"/>
        <v>0</v>
      </c>
      <c r="AW200" s="100">
        <f t="shared" si="217"/>
        <v>0</v>
      </c>
      <c r="AX200" s="100">
        <f t="shared" si="218"/>
        <v>0</v>
      </c>
      <c r="AY200" s="110" t="s">
        <v>1706</v>
      </c>
      <c r="AZ200" s="110" t="s">
        <v>1731</v>
      </c>
      <c r="BA200" s="109" t="s">
        <v>1737</v>
      </c>
      <c r="BC200" s="100">
        <f t="shared" si="219"/>
        <v>0</v>
      </c>
      <c r="BD200" s="100">
        <f t="shared" si="220"/>
        <v>0</v>
      </c>
      <c r="BE200" s="100">
        <v>0</v>
      </c>
      <c r="BF200" s="100">
        <f>200</f>
        <v>200</v>
      </c>
      <c r="BH200" s="108">
        <f t="shared" si="221"/>
        <v>0</v>
      </c>
      <c r="BI200" s="108">
        <f t="shared" si="222"/>
        <v>0</v>
      </c>
      <c r="BJ200" s="108">
        <f t="shared" si="223"/>
        <v>0</v>
      </c>
    </row>
    <row r="201" spans="1:62" x14ac:dyDescent="0.2">
      <c r="A201" s="119"/>
      <c r="B201" s="120" t="s">
        <v>719</v>
      </c>
      <c r="C201" s="306" t="s">
        <v>1231</v>
      </c>
      <c r="D201" s="307"/>
      <c r="E201" s="307"/>
      <c r="F201" s="119" t="s">
        <v>6</v>
      </c>
      <c r="G201" s="119" t="s">
        <v>6</v>
      </c>
      <c r="H201" s="119" t="s">
        <v>6</v>
      </c>
      <c r="I201" s="118">
        <f>SUM(I202:I225)</f>
        <v>0</v>
      </c>
      <c r="J201" s="118">
        <f>SUM(J202:J225)</f>
        <v>0</v>
      </c>
      <c r="K201" s="118">
        <f>SUM(K202:K225)</f>
        <v>0</v>
      </c>
      <c r="L201" s="109"/>
      <c r="AI201" s="109"/>
      <c r="AS201" s="118">
        <f>SUM(AJ202:AJ225)</f>
        <v>0</v>
      </c>
      <c r="AT201" s="118">
        <f>SUM(AK202:AK225)</f>
        <v>0</v>
      </c>
      <c r="AU201" s="118">
        <f>SUM(AL202:AL225)</f>
        <v>0</v>
      </c>
    </row>
    <row r="202" spans="1:62" x14ac:dyDescent="0.2">
      <c r="A202" s="117" t="s">
        <v>166</v>
      </c>
      <c r="B202" s="117" t="s">
        <v>720</v>
      </c>
      <c r="C202" s="304" t="s">
        <v>1232</v>
      </c>
      <c r="D202" s="305"/>
      <c r="E202" s="305"/>
      <c r="F202" s="117" t="s">
        <v>1646</v>
      </c>
      <c r="G202" s="116">
        <v>3.5</v>
      </c>
      <c r="H202" s="159"/>
      <c r="I202" s="108">
        <f t="shared" ref="I202:I225" si="224">G202*AO202</f>
        <v>0</v>
      </c>
      <c r="J202" s="108">
        <f t="shared" ref="J202:J225" si="225">G202*AP202</f>
        <v>0</v>
      </c>
      <c r="K202" s="108">
        <f t="shared" ref="K202:K225" si="226">G202*H202</f>
        <v>0</v>
      </c>
      <c r="L202" s="111"/>
      <c r="Z202" s="100">
        <f t="shared" ref="Z202:Z225" si="227">IF(AQ202="5",BJ202,0)</f>
        <v>0</v>
      </c>
      <c r="AB202" s="100">
        <f t="shared" ref="AB202:AB225" si="228">IF(AQ202="1",BH202,0)</f>
        <v>0</v>
      </c>
      <c r="AC202" s="100">
        <f t="shared" ref="AC202:AC225" si="229">IF(AQ202="1",BI202,0)</f>
        <v>0</v>
      </c>
      <c r="AD202" s="100">
        <f t="shared" ref="AD202:AD225" si="230">IF(AQ202="7",BH202,0)</f>
        <v>0</v>
      </c>
      <c r="AE202" s="100">
        <f t="shared" ref="AE202:AE225" si="231">IF(AQ202="7",BI202,0)</f>
        <v>0</v>
      </c>
      <c r="AF202" s="100">
        <f t="shared" ref="AF202:AF225" si="232">IF(AQ202="2",BH202,0)</f>
        <v>0</v>
      </c>
      <c r="AG202" s="100">
        <f t="shared" ref="AG202:AG225" si="233">IF(AQ202="2",BI202,0)</f>
        <v>0</v>
      </c>
      <c r="AH202" s="100">
        <f t="shared" ref="AH202:AH225" si="234">IF(AQ202="0",BJ202,0)</f>
        <v>0</v>
      </c>
      <c r="AI202" s="109"/>
      <c r="AJ202" s="108">
        <f t="shared" ref="AJ202:AJ225" si="235">IF(AN202=0,K202,0)</f>
        <v>0</v>
      </c>
      <c r="AK202" s="108">
        <f t="shared" ref="AK202:AK225" si="236">IF(AN202=15,K202,0)</f>
        <v>0</v>
      </c>
      <c r="AL202" s="108">
        <f t="shared" ref="AL202:AL225" si="237">IF(AN202=21,K202,0)</f>
        <v>0</v>
      </c>
      <c r="AN202" s="100">
        <v>15</v>
      </c>
      <c r="AO202" s="100">
        <f t="shared" ref="AO202:AO225" si="238">H202*0</f>
        <v>0</v>
      </c>
      <c r="AP202" s="100">
        <f t="shared" ref="AP202:AP225" si="239">H202*(1-0)</f>
        <v>0</v>
      </c>
      <c r="AQ202" s="111" t="s">
        <v>13</v>
      </c>
      <c r="AV202" s="100">
        <f t="shared" ref="AV202:AV225" si="240">AW202+AX202</f>
        <v>0</v>
      </c>
      <c r="AW202" s="100">
        <f t="shared" ref="AW202:AW225" si="241">G202*AO202</f>
        <v>0</v>
      </c>
      <c r="AX202" s="100">
        <f t="shared" ref="AX202:AX225" si="242">G202*AP202</f>
        <v>0</v>
      </c>
      <c r="AY202" s="110" t="s">
        <v>1707</v>
      </c>
      <c r="AZ202" s="110" t="s">
        <v>1732</v>
      </c>
      <c r="BA202" s="109" t="s">
        <v>1737</v>
      </c>
      <c r="BC202" s="100">
        <f t="shared" ref="BC202:BC225" si="243">AW202+AX202</f>
        <v>0</v>
      </c>
      <c r="BD202" s="100">
        <f t="shared" ref="BD202:BD225" si="244">H202/(100-BE202)*100</f>
        <v>0</v>
      </c>
      <c r="BE202" s="100">
        <v>0</v>
      </c>
      <c r="BF202" s="100">
        <f>202</f>
        <v>202</v>
      </c>
      <c r="BH202" s="108">
        <f t="shared" ref="BH202:BH225" si="245">G202*AO202</f>
        <v>0</v>
      </c>
      <c r="BI202" s="108">
        <f t="shared" ref="BI202:BI225" si="246">G202*AP202</f>
        <v>0</v>
      </c>
      <c r="BJ202" s="108">
        <f t="shared" ref="BJ202:BJ225" si="247">G202*H202</f>
        <v>0</v>
      </c>
    </row>
    <row r="203" spans="1:62" x14ac:dyDescent="0.2">
      <c r="A203" s="117" t="s">
        <v>167</v>
      </c>
      <c r="B203" s="117" t="s">
        <v>721</v>
      </c>
      <c r="C203" s="304" t="s">
        <v>1233</v>
      </c>
      <c r="D203" s="305"/>
      <c r="E203" s="305"/>
      <c r="F203" s="117" t="s">
        <v>1646</v>
      </c>
      <c r="G203" s="116">
        <v>3</v>
      </c>
      <c r="H203" s="159"/>
      <c r="I203" s="108">
        <f t="shared" si="224"/>
        <v>0</v>
      </c>
      <c r="J203" s="108">
        <f t="shared" si="225"/>
        <v>0</v>
      </c>
      <c r="K203" s="108">
        <f t="shared" si="226"/>
        <v>0</v>
      </c>
      <c r="L203" s="111"/>
      <c r="Z203" s="100">
        <f t="shared" si="227"/>
        <v>0</v>
      </c>
      <c r="AB203" s="100">
        <f t="shared" si="228"/>
        <v>0</v>
      </c>
      <c r="AC203" s="100">
        <f t="shared" si="229"/>
        <v>0</v>
      </c>
      <c r="AD203" s="100">
        <f t="shared" si="230"/>
        <v>0</v>
      </c>
      <c r="AE203" s="100">
        <f t="shared" si="231"/>
        <v>0</v>
      </c>
      <c r="AF203" s="100">
        <f t="shared" si="232"/>
        <v>0</v>
      </c>
      <c r="AG203" s="100">
        <f t="shared" si="233"/>
        <v>0</v>
      </c>
      <c r="AH203" s="100">
        <f t="shared" si="234"/>
        <v>0</v>
      </c>
      <c r="AI203" s="109"/>
      <c r="AJ203" s="108">
        <f t="shared" si="235"/>
        <v>0</v>
      </c>
      <c r="AK203" s="108">
        <f t="shared" si="236"/>
        <v>0</v>
      </c>
      <c r="AL203" s="108">
        <f t="shared" si="237"/>
        <v>0</v>
      </c>
      <c r="AN203" s="100">
        <v>15</v>
      </c>
      <c r="AO203" s="100">
        <f t="shared" si="238"/>
        <v>0</v>
      </c>
      <c r="AP203" s="100">
        <f t="shared" si="239"/>
        <v>0</v>
      </c>
      <c r="AQ203" s="111" t="s">
        <v>13</v>
      </c>
      <c r="AV203" s="100">
        <f t="shared" si="240"/>
        <v>0</v>
      </c>
      <c r="AW203" s="100">
        <f t="shared" si="241"/>
        <v>0</v>
      </c>
      <c r="AX203" s="100">
        <f t="shared" si="242"/>
        <v>0</v>
      </c>
      <c r="AY203" s="110" t="s">
        <v>1707</v>
      </c>
      <c r="AZ203" s="110" t="s">
        <v>1732</v>
      </c>
      <c r="BA203" s="109" t="s">
        <v>1737</v>
      </c>
      <c r="BC203" s="100">
        <f t="shared" si="243"/>
        <v>0</v>
      </c>
      <c r="BD203" s="100">
        <f t="shared" si="244"/>
        <v>0</v>
      </c>
      <c r="BE203" s="100">
        <v>0</v>
      </c>
      <c r="BF203" s="100">
        <f>203</f>
        <v>203</v>
      </c>
      <c r="BH203" s="108">
        <f t="shared" si="245"/>
        <v>0</v>
      </c>
      <c r="BI203" s="108">
        <f t="shared" si="246"/>
        <v>0</v>
      </c>
      <c r="BJ203" s="108">
        <f t="shared" si="247"/>
        <v>0</v>
      </c>
    </row>
    <row r="204" spans="1:62" x14ac:dyDescent="0.2">
      <c r="A204" s="117" t="s">
        <v>168</v>
      </c>
      <c r="B204" s="117" t="s">
        <v>722</v>
      </c>
      <c r="C204" s="304" t="s">
        <v>1234</v>
      </c>
      <c r="D204" s="305"/>
      <c r="E204" s="305"/>
      <c r="F204" s="117" t="s">
        <v>1646</v>
      </c>
      <c r="G204" s="116">
        <v>1.5</v>
      </c>
      <c r="H204" s="159"/>
      <c r="I204" s="108">
        <f t="shared" si="224"/>
        <v>0</v>
      </c>
      <c r="J204" s="108">
        <f t="shared" si="225"/>
        <v>0</v>
      </c>
      <c r="K204" s="108">
        <f t="shared" si="226"/>
        <v>0</v>
      </c>
      <c r="L204" s="111"/>
      <c r="Z204" s="100">
        <f t="shared" si="227"/>
        <v>0</v>
      </c>
      <c r="AB204" s="100">
        <f t="shared" si="228"/>
        <v>0</v>
      </c>
      <c r="AC204" s="100">
        <f t="shared" si="229"/>
        <v>0</v>
      </c>
      <c r="AD204" s="100">
        <f t="shared" si="230"/>
        <v>0</v>
      </c>
      <c r="AE204" s="100">
        <f t="shared" si="231"/>
        <v>0</v>
      </c>
      <c r="AF204" s="100">
        <f t="shared" si="232"/>
        <v>0</v>
      </c>
      <c r="AG204" s="100">
        <f t="shared" si="233"/>
        <v>0</v>
      </c>
      <c r="AH204" s="100">
        <f t="shared" si="234"/>
        <v>0</v>
      </c>
      <c r="AI204" s="109"/>
      <c r="AJ204" s="108">
        <f t="shared" si="235"/>
        <v>0</v>
      </c>
      <c r="AK204" s="108">
        <f t="shared" si="236"/>
        <v>0</v>
      </c>
      <c r="AL204" s="108">
        <f t="shared" si="237"/>
        <v>0</v>
      </c>
      <c r="AN204" s="100">
        <v>15</v>
      </c>
      <c r="AO204" s="100">
        <f t="shared" si="238"/>
        <v>0</v>
      </c>
      <c r="AP204" s="100">
        <f t="shared" si="239"/>
        <v>0</v>
      </c>
      <c r="AQ204" s="111" t="s">
        <v>13</v>
      </c>
      <c r="AV204" s="100">
        <f t="shared" si="240"/>
        <v>0</v>
      </c>
      <c r="AW204" s="100">
        <f t="shared" si="241"/>
        <v>0</v>
      </c>
      <c r="AX204" s="100">
        <f t="shared" si="242"/>
        <v>0</v>
      </c>
      <c r="AY204" s="110" t="s">
        <v>1707</v>
      </c>
      <c r="AZ204" s="110" t="s">
        <v>1732</v>
      </c>
      <c r="BA204" s="109" t="s">
        <v>1737</v>
      </c>
      <c r="BC204" s="100">
        <f t="shared" si="243"/>
        <v>0</v>
      </c>
      <c r="BD204" s="100">
        <f t="shared" si="244"/>
        <v>0</v>
      </c>
      <c r="BE204" s="100">
        <v>0</v>
      </c>
      <c r="BF204" s="100">
        <f>204</f>
        <v>204</v>
      </c>
      <c r="BH204" s="108">
        <f t="shared" si="245"/>
        <v>0</v>
      </c>
      <c r="BI204" s="108">
        <f t="shared" si="246"/>
        <v>0</v>
      </c>
      <c r="BJ204" s="108">
        <f t="shared" si="247"/>
        <v>0</v>
      </c>
    </row>
    <row r="205" spans="1:62" x14ac:dyDescent="0.2">
      <c r="A205" s="117" t="s">
        <v>169</v>
      </c>
      <c r="B205" s="117" t="s">
        <v>723</v>
      </c>
      <c r="C205" s="304" t="s">
        <v>1235</v>
      </c>
      <c r="D205" s="305"/>
      <c r="E205" s="305"/>
      <c r="F205" s="117" t="s">
        <v>1646</v>
      </c>
      <c r="G205" s="116">
        <v>3</v>
      </c>
      <c r="H205" s="159"/>
      <c r="I205" s="108">
        <f t="shared" si="224"/>
        <v>0</v>
      </c>
      <c r="J205" s="108">
        <f t="shared" si="225"/>
        <v>0</v>
      </c>
      <c r="K205" s="108">
        <f t="shared" si="226"/>
        <v>0</v>
      </c>
      <c r="L205" s="111"/>
      <c r="Z205" s="100">
        <f t="shared" si="227"/>
        <v>0</v>
      </c>
      <c r="AB205" s="100">
        <f t="shared" si="228"/>
        <v>0</v>
      </c>
      <c r="AC205" s="100">
        <f t="shared" si="229"/>
        <v>0</v>
      </c>
      <c r="AD205" s="100">
        <f t="shared" si="230"/>
        <v>0</v>
      </c>
      <c r="AE205" s="100">
        <f t="shared" si="231"/>
        <v>0</v>
      </c>
      <c r="AF205" s="100">
        <f t="shared" si="232"/>
        <v>0</v>
      </c>
      <c r="AG205" s="100">
        <f t="shared" si="233"/>
        <v>0</v>
      </c>
      <c r="AH205" s="100">
        <f t="shared" si="234"/>
        <v>0</v>
      </c>
      <c r="AI205" s="109"/>
      <c r="AJ205" s="108">
        <f t="shared" si="235"/>
        <v>0</v>
      </c>
      <c r="AK205" s="108">
        <f t="shared" si="236"/>
        <v>0</v>
      </c>
      <c r="AL205" s="108">
        <f t="shared" si="237"/>
        <v>0</v>
      </c>
      <c r="AN205" s="100">
        <v>15</v>
      </c>
      <c r="AO205" s="100">
        <f t="shared" si="238"/>
        <v>0</v>
      </c>
      <c r="AP205" s="100">
        <f t="shared" si="239"/>
        <v>0</v>
      </c>
      <c r="AQ205" s="111" t="s">
        <v>13</v>
      </c>
      <c r="AV205" s="100">
        <f t="shared" si="240"/>
        <v>0</v>
      </c>
      <c r="AW205" s="100">
        <f t="shared" si="241"/>
        <v>0</v>
      </c>
      <c r="AX205" s="100">
        <f t="shared" si="242"/>
        <v>0</v>
      </c>
      <c r="AY205" s="110" t="s">
        <v>1707</v>
      </c>
      <c r="AZ205" s="110" t="s">
        <v>1732</v>
      </c>
      <c r="BA205" s="109" t="s">
        <v>1737</v>
      </c>
      <c r="BC205" s="100">
        <f t="shared" si="243"/>
        <v>0</v>
      </c>
      <c r="BD205" s="100">
        <f t="shared" si="244"/>
        <v>0</v>
      </c>
      <c r="BE205" s="100">
        <v>0</v>
      </c>
      <c r="BF205" s="100">
        <f>205</f>
        <v>205</v>
      </c>
      <c r="BH205" s="108">
        <f t="shared" si="245"/>
        <v>0</v>
      </c>
      <c r="BI205" s="108">
        <f t="shared" si="246"/>
        <v>0</v>
      </c>
      <c r="BJ205" s="108">
        <f t="shared" si="247"/>
        <v>0</v>
      </c>
    </row>
    <row r="206" spans="1:62" x14ac:dyDescent="0.2">
      <c r="A206" s="117" t="s">
        <v>170</v>
      </c>
      <c r="B206" s="117" t="s">
        <v>724</v>
      </c>
      <c r="C206" s="304" t="s">
        <v>1236</v>
      </c>
      <c r="D206" s="305"/>
      <c r="E206" s="305"/>
      <c r="F206" s="117" t="s">
        <v>1646</v>
      </c>
      <c r="G206" s="116">
        <v>1</v>
      </c>
      <c r="H206" s="159"/>
      <c r="I206" s="108">
        <f t="shared" si="224"/>
        <v>0</v>
      </c>
      <c r="J206" s="108">
        <f t="shared" si="225"/>
        <v>0</v>
      </c>
      <c r="K206" s="108">
        <f t="shared" si="226"/>
        <v>0</v>
      </c>
      <c r="L206" s="111"/>
      <c r="Z206" s="100">
        <f t="shared" si="227"/>
        <v>0</v>
      </c>
      <c r="AB206" s="100">
        <f t="shared" si="228"/>
        <v>0</v>
      </c>
      <c r="AC206" s="100">
        <f t="shared" si="229"/>
        <v>0</v>
      </c>
      <c r="AD206" s="100">
        <f t="shared" si="230"/>
        <v>0</v>
      </c>
      <c r="AE206" s="100">
        <f t="shared" si="231"/>
        <v>0</v>
      </c>
      <c r="AF206" s="100">
        <f t="shared" si="232"/>
        <v>0</v>
      </c>
      <c r="AG206" s="100">
        <f t="shared" si="233"/>
        <v>0</v>
      </c>
      <c r="AH206" s="100">
        <f t="shared" si="234"/>
        <v>0</v>
      </c>
      <c r="AI206" s="109"/>
      <c r="AJ206" s="108">
        <f t="shared" si="235"/>
        <v>0</v>
      </c>
      <c r="AK206" s="108">
        <f t="shared" si="236"/>
        <v>0</v>
      </c>
      <c r="AL206" s="108">
        <f t="shared" si="237"/>
        <v>0</v>
      </c>
      <c r="AN206" s="100">
        <v>15</v>
      </c>
      <c r="AO206" s="100">
        <f t="shared" si="238"/>
        <v>0</v>
      </c>
      <c r="AP206" s="100">
        <f t="shared" si="239"/>
        <v>0</v>
      </c>
      <c r="AQ206" s="111" t="s">
        <v>13</v>
      </c>
      <c r="AV206" s="100">
        <f t="shared" si="240"/>
        <v>0</v>
      </c>
      <c r="AW206" s="100">
        <f t="shared" si="241"/>
        <v>0</v>
      </c>
      <c r="AX206" s="100">
        <f t="shared" si="242"/>
        <v>0</v>
      </c>
      <c r="AY206" s="110" t="s">
        <v>1707</v>
      </c>
      <c r="AZ206" s="110" t="s">
        <v>1732</v>
      </c>
      <c r="BA206" s="109" t="s">
        <v>1737</v>
      </c>
      <c r="BC206" s="100">
        <f t="shared" si="243"/>
        <v>0</v>
      </c>
      <c r="BD206" s="100">
        <f t="shared" si="244"/>
        <v>0</v>
      </c>
      <c r="BE206" s="100">
        <v>0</v>
      </c>
      <c r="BF206" s="100">
        <f>206</f>
        <v>206</v>
      </c>
      <c r="BH206" s="108">
        <f t="shared" si="245"/>
        <v>0</v>
      </c>
      <c r="BI206" s="108">
        <f t="shared" si="246"/>
        <v>0</v>
      </c>
      <c r="BJ206" s="108">
        <f t="shared" si="247"/>
        <v>0</v>
      </c>
    </row>
    <row r="207" spans="1:62" x14ac:dyDescent="0.2">
      <c r="A207" s="117" t="s">
        <v>171</v>
      </c>
      <c r="B207" s="117" t="s">
        <v>725</v>
      </c>
      <c r="C207" s="304" t="s">
        <v>1237</v>
      </c>
      <c r="D207" s="305"/>
      <c r="E207" s="305"/>
      <c r="F207" s="117" t="s">
        <v>1646</v>
      </c>
      <c r="G207" s="116">
        <v>21</v>
      </c>
      <c r="H207" s="159"/>
      <c r="I207" s="108">
        <f t="shared" si="224"/>
        <v>0</v>
      </c>
      <c r="J207" s="108">
        <f t="shared" si="225"/>
        <v>0</v>
      </c>
      <c r="K207" s="108">
        <f t="shared" si="226"/>
        <v>0</v>
      </c>
      <c r="L207" s="111"/>
      <c r="Z207" s="100">
        <f t="shared" si="227"/>
        <v>0</v>
      </c>
      <c r="AB207" s="100">
        <f t="shared" si="228"/>
        <v>0</v>
      </c>
      <c r="AC207" s="100">
        <f t="shared" si="229"/>
        <v>0</v>
      </c>
      <c r="AD207" s="100">
        <f t="shared" si="230"/>
        <v>0</v>
      </c>
      <c r="AE207" s="100">
        <f t="shared" si="231"/>
        <v>0</v>
      </c>
      <c r="AF207" s="100">
        <f t="shared" si="232"/>
        <v>0</v>
      </c>
      <c r="AG207" s="100">
        <f t="shared" si="233"/>
        <v>0</v>
      </c>
      <c r="AH207" s="100">
        <f t="shared" si="234"/>
        <v>0</v>
      </c>
      <c r="AI207" s="109"/>
      <c r="AJ207" s="108">
        <f t="shared" si="235"/>
        <v>0</v>
      </c>
      <c r="AK207" s="108">
        <f t="shared" si="236"/>
        <v>0</v>
      </c>
      <c r="AL207" s="108">
        <f t="shared" si="237"/>
        <v>0</v>
      </c>
      <c r="AN207" s="100">
        <v>15</v>
      </c>
      <c r="AO207" s="100">
        <f t="shared" si="238"/>
        <v>0</v>
      </c>
      <c r="AP207" s="100">
        <f t="shared" si="239"/>
        <v>0</v>
      </c>
      <c r="AQ207" s="111" t="s">
        <v>13</v>
      </c>
      <c r="AV207" s="100">
        <f t="shared" si="240"/>
        <v>0</v>
      </c>
      <c r="AW207" s="100">
        <f t="shared" si="241"/>
        <v>0</v>
      </c>
      <c r="AX207" s="100">
        <f t="shared" si="242"/>
        <v>0</v>
      </c>
      <c r="AY207" s="110" t="s">
        <v>1707</v>
      </c>
      <c r="AZ207" s="110" t="s">
        <v>1732</v>
      </c>
      <c r="BA207" s="109" t="s">
        <v>1737</v>
      </c>
      <c r="BC207" s="100">
        <f t="shared" si="243"/>
        <v>0</v>
      </c>
      <c r="BD207" s="100">
        <f t="shared" si="244"/>
        <v>0</v>
      </c>
      <c r="BE207" s="100">
        <v>0</v>
      </c>
      <c r="BF207" s="100">
        <f>207</f>
        <v>207</v>
      </c>
      <c r="BH207" s="108">
        <f t="shared" si="245"/>
        <v>0</v>
      </c>
      <c r="BI207" s="108">
        <f t="shared" si="246"/>
        <v>0</v>
      </c>
      <c r="BJ207" s="108">
        <f t="shared" si="247"/>
        <v>0</v>
      </c>
    </row>
    <row r="208" spans="1:62" x14ac:dyDescent="0.2">
      <c r="A208" s="117" t="s">
        <v>172</v>
      </c>
      <c r="B208" s="117" t="s">
        <v>726</v>
      </c>
      <c r="C208" s="304" t="s">
        <v>1238</v>
      </c>
      <c r="D208" s="305"/>
      <c r="E208" s="305"/>
      <c r="F208" s="117" t="s">
        <v>1644</v>
      </c>
      <c r="G208" s="116">
        <v>2</v>
      </c>
      <c r="H208" s="159"/>
      <c r="I208" s="108">
        <f t="shared" si="224"/>
        <v>0</v>
      </c>
      <c r="J208" s="108">
        <f t="shared" si="225"/>
        <v>0</v>
      </c>
      <c r="K208" s="108">
        <f t="shared" si="226"/>
        <v>0</v>
      </c>
      <c r="L208" s="111"/>
      <c r="Z208" s="100">
        <f t="shared" si="227"/>
        <v>0</v>
      </c>
      <c r="AB208" s="100">
        <f t="shared" si="228"/>
        <v>0</v>
      </c>
      <c r="AC208" s="100">
        <f t="shared" si="229"/>
        <v>0</v>
      </c>
      <c r="AD208" s="100">
        <f t="shared" si="230"/>
        <v>0</v>
      </c>
      <c r="AE208" s="100">
        <f t="shared" si="231"/>
        <v>0</v>
      </c>
      <c r="AF208" s="100">
        <f t="shared" si="232"/>
        <v>0</v>
      </c>
      <c r="AG208" s="100">
        <f t="shared" si="233"/>
        <v>0</v>
      </c>
      <c r="AH208" s="100">
        <f t="shared" si="234"/>
        <v>0</v>
      </c>
      <c r="AI208" s="109"/>
      <c r="AJ208" s="108">
        <f t="shared" si="235"/>
        <v>0</v>
      </c>
      <c r="AK208" s="108">
        <f t="shared" si="236"/>
        <v>0</v>
      </c>
      <c r="AL208" s="108">
        <f t="shared" si="237"/>
        <v>0</v>
      </c>
      <c r="AN208" s="100">
        <v>15</v>
      </c>
      <c r="AO208" s="100">
        <f t="shared" si="238"/>
        <v>0</v>
      </c>
      <c r="AP208" s="100">
        <f t="shared" si="239"/>
        <v>0</v>
      </c>
      <c r="AQ208" s="111" t="s">
        <v>13</v>
      </c>
      <c r="AV208" s="100">
        <f t="shared" si="240"/>
        <v>0</v>
      </c>
      <c r="AW208" s="100">
        <f t="shared" si="241"/>
        <v>0</v>
      </c>
      <c r="AX208" s="100">
        <f t="shared" si="242"/>
        <v>0</v>
      </c>
      <c r="AY208" s="110" t="s">
        <v>1707</v>
      </c>
      <c r="AZ208" s="110" t="s">
        <v>1732</v>
      </c>
      <c r="BA208" s="109" t="s">
        <v>1737</v>
      </c>
      <c r="BC208" s="100">
        <f t="shared" si="243"/>
        <v>0</v>
      </c>
      <c r="BD208" s="100">
        <f t="shared" si="244"/>
        <v>0</v>
      </c>
      <c r="BE208" s="100">
        <v>0</v>
      </c>
      <c r="BF208" s="100">
        <f>208</f>
        <v>208</v>
      </c>
      <c r="BH208" s="108">
        <f t="shared" si="245"/>
        <v>0</v>
      </c>
      <c r="BI208" s="108">
        <f t="shared" si="246"/>
        <v>0</v>
      </c>
      <c r="BJ208" s="108">
        <f t="shared" si="247"/>
        <v>0</v>
      </c>
    </row>
    <row r="209" spans="1:62" x14ac:dyDescent="0.2">
      <c r="A209" s="117" t="s">
        <v>173</v>
      </c>
      <c r="B209" s="117" t="s">
        <v>727</v>
      </c>
      <c r="C209" s="304" t="s">
        <v>1239</v>
      </c>
      <c r="D209" s="305"/>
      <c r="E209" s="305"/>
      <c r="F209" s="117" t="s">
        <v>1644</v>
      </c>
      <c r="G209" s="116">
        <v>1</v>
      </c>
      <c r="H209" s="159"/>
      <c r="I209" s="108">
        <f t="shared" si="224"/>
        <v>0</v>
      </c>
      <c r="J209" s="108">
        <f t="shared" si="225"/>
        <v>0</v>
      </c>
      <c r="K209" s="108">
        <f t="shared" si="226"/>
        <v>0</v>
      </c>
      <c r="L209" s="111"/>
      <c r="Z209" s="100">
        <f t="shared" si="227"/>
        <v>0</v>
      </c>
      <c r="AB209" s="100">
        <f t="shared" si="228"/>
        <v>0</v>
      </c>
      <c r="AC209" s="100">
        <f t="shared" si="229"/>
        <v>0</v>
      </c>
      <c r="AD209" s="100">
        <f t="shared" si="230"/>
        <v>0</v>
      </c>
      <c r="AE209" s="100">
        <f t="shared" si="231"/>
        <v>0</v>
      </c>
      <c r="AF209" s="100">
        <f t="shared" si="232"/>
        <v>0</v>
      </c>
      <c r="AG209" s="100">
        <f t="shared" si="233"/>
        <v>0</v>
      </c>
      <c r="AH209" s="100">
        <f t="shared" si="234"/>
        <v>0</v>
      </c>
      <c r="AI209" s="109"/>
      <c r="AJ209" s="108">
        <f t="shared" si="235"/>
        <v>0</v>
      </c>
      <c r="AK209" s="108">
        <f t="shared" si="236"/>
        <v>0</v>
      </c>
      <c r="AL209" s="108">
        <f t="shared" si="237"/>
        <v>0</v>
      </c>
      <c r="AN209" s="100">
        <v>15</v>
      </c>
      <c r="AO209" s="100">
        <f t="shared" si="238"/>
        <v>0</v>
      </c>
      <c r="AP209" s="100">
        <f t="shared" si="239"/>
        <v>0</v>
      </c>
      <c r="AQ209" s="111" t="s">
        <v>13</v>
      </c>
      <c r="AV209" s="100">
        <f t="shared" si="240"/>
        <v>0</v>
      </c>
      <c r="AW209" s="100">
        <f t="shared" si="241"/>
        <v>0</v>
      </c>
      <c r="AX209" s="100">
        <f t="shared" si="242"/>
        <v>0</v>
      </c>
      <c r="AY209" s="110" t="s">
        <v>1707</v>
      </c>
      <c r="AZ209" s="110" t="s">
        <v>1732</v>
      </c>
      <c r="BA209" s="109" t="s">
        <v>1737</v>
      </c>
      <c r="BC209" s="100">
        <f t="shared" si="243"/>
        <v>0</v>
      </c>
      <c r="BD209" s="100">
        <f t="shared" si="244"/>
        <v>0</v>
      </c>
      <c r="BE209" s="100">
        <v>0</v>
      </c>
      <c r="BF209" s="100">
        <f>209</f>
        <v>209</v>
      </c>
      <c r="BH209" s="108">
        <f t="shared" si="245"/>
        <v>0</v>
      </c>
      <c r="BI209" s="108">
        <f t="shared" si="246"/>
        <v>0</v>
      </c>
      <c r="BJ209" s="108">
        <f t="shared" si="247"/>
        <v>0</v>
      </c>
    </row>
    <row r="210" spans="1:62" x14ac:dyDescent="0.2">
      <c r="A210" s="117" t="s">
        <v>174</v>
      </c>
      <c r="B210" s="117" t="s">
        <v>728</v>
      </c>
      <c r="C210" s="304" t="s">
        <v>1240</v>
      </c>
      <c r="D210" s="305"/>
      <c r="E210" s="305"/>
      <c r="F210" s="117" t="s">
        <v>1644</v>
      </c>
      <c r="G210" s="116">
        <v>1</v>
      </c>
      <c r="H210" s="159"/>
      <c r="I210" s="108">
        <f t="shared" si="224"/>
        <v>0</v>
      </c>
      <c r="J210" s="108">
        <f t="shared" si="225"/>
        <v>0</v>
      </c>
      <c r="K210" s="108">
        <f t="shared" si="226"/>
        <v>0</v>
      </c>
      <c r="L210" s="111"/>
      <c r="Z210" s="100">
        <f t="shared" si="227"/>
        <v>0</v>
      </c>
      <c r="AB210" s="100">
        <f t="shared" si="228"/>
        <v>0</v>
      </c>
      <c r="AC210" s="100">
        <f t="shared" si="229"/>
        <v>0</v>
      </c>
      <c r="AD210" s="100">
        <f t="shared" si="230"/>
        <v>0</v>
      </c>
      <c r="AE210" s="100">
        <f t="shared" si="231"/>
        <v>0</v>
      </c>
      <c r="AF210" s="100">
        <f t="shared" si="232"/>
        <v>0</v>
      </c>
      <c r="AG210" s="100">
        <f t="shared" si="233"/>
        <v>0</v>
      </c>
      <c r="AH210" s="100">
        <f t="shared" si="234"/>
        <v>0</v>
      </c>
      <c r="AI210" s="109"/>
      <c r="AJ210" s="108">
        <f t="shared" si="235"/>
        <v>0</v>
      </c>
      <c r="AK210" s="108">
        <f t="shared" si="236"/>
        <v>0</v>
      </c>
      <c r="AL210" s="108">
        <f t="shared" si="237"/>
        <v>0</v>
      </c>
      <c r="AN210" s="100">
        <v>15</v>
      </c>
      <c r="AO210" s="100">
        <f t="shared" si="238"/>
        <v>0</v>
      </c>
      <c r="AP210" s="100">
        <f t="shared" si="239"/>
        <v>0</v>
      </c>
      <c r="AQ210" s="111" t="s">
        <v>13</v>
      </c>
      <c r="AV210" s="100">
        <f t="shared" si="240"/>
        <v>0</v>
      </c>
      <c r="AW210" s="100">
        <f t="shared" si="241"/>
        <v>0</v>
      </c>
      <c r="AX210" s="100">
        <f t="shared" si="242"/>
        <v>0</v>
      </c>
      <c r="AY210" s="110" t="s">
        <v>1707</v>
      </c>
      <c r="AZ210" s="110" t="s">
        <v>1732</v>
      </c>
      <c r="BA210" s="109" t="s">
        <v>1737</v>
      </c>
      <c r="BC210" s="100">
        <f t="shared" si="243"/>
        <v>0</v>
      </c>
      <c r="BD210" s="100">
        <f t="shared" si="244"/>
        <v>0</v>
      </c>
      <c r="BE210" s="100">
        <v>0</v>
      </c>
      <c r="BF210" s="100">
        <f>210</f>
        <v>210</v>
      </c>
      <c r="BH210" s="108">
        <f t="shared" si="245"/>
        <v>0</v>
      </c>
      <c r="BI210" s="108">
        <f t="shared" si="246"/>
        <v>0</v>
      </c>
      <c r="BJ210" s="108">
        <f t="shared" si="247"/>
        <v>0</v>
      </c>
    </row>
    <row r="211" spans="1:62" x14ac:dyDescent="0.2">
      <c r="A211" s="117" t="s">
        <v>175</v>
      </c>
      <c r="B211" s="117" t="s">
        <v>729</v>
      </c>
      <c r="C211" s="304" t="s">
        <v>1241</v>
      </c>
      <c r="D211" s="305"/>
      <c r="E211" s="305"/>
      <c r="F211" s="117" t="s">
        <v>1644</v>
      </c>
      <c r="G211" s="116">
        <v>1</v>
      </c>
      <c r="H211" s="159"/>
      <c r="I211" s="108">
        <f t="shared" si="224"/>
        <v>0</v>
      </c>
      <c r="J211" s="108">
        <f t="shared" si="225"/>
        <v>0</v>
      </c>
      <c r="K211" s="108">
        <f t="shared" si="226"/>
        <v>0</v>
      </c>
      <c r="L211" s="111"/>
      <c r="Z211" s="100">
        <f t="shared" si="227"/>
        <v>0</v>
      </c>
      <c r="AB211" s="100">
        <f t="shared" si="228"/>
        <v>0</v>
      </c>
      <c r="AC211" s="100">
        <f t="shared" si="229"/>
        <v>0</v>
      </c>
      <c r="AD211" s="100">
        <f t="shared" si="230"/>
        <v>0</v>
      </c>
      <c r="AE211" s="100">
        <f t="shared" si="231"/>
        <v>0</v>
      </c>
      <c r="AF211" s="100">
        <f t="shared" si="232"/>
        <v>0</v>
      </c>
      <c r="AG211" s="100">
        <f t="shared" si="233"/>
        <v>0</v>
      </c>
      <c r="AH211" s="100">
        <f t="shared" si="234"/>
        <v>0</v>
      </c>
      <c r="AI211" s="109"/>
      <c r="AJ211" s="108">
        <f t="shared" si="235"/>
        <v>0</v>
      </c>
      <c r="AK211" s="108">
        <f t="shared" si="236"/>
        <v>0</v>
      </c>
      <c r="AL211" s="108">
        <f t="shared" si="237"/>
        <v>0</v>
      </c>
      <c r="AN211" s="100">
        <v>15</v>
      </c>
      <c r="AO211" s="100">
        <f t="shared" si="238"/>
        <v>0</v>
      </c>
      <c r="AP211" s="100">
        <f t="shared" si="239"/>
        <v>0</v>
      </c>
      <c r="AQ211" s="111" t="s">
        <v>13</v>
      </c>
      <c r="AV211" s="100">
        <f t="shared" si="240"/>
        <v>0</v>
      </c>
      <c r="AW211" s="100">
        <f t="shared" si="241"/>
        <v>0</v>
      </c>
      <c r="AX211" s="100">
        <f t="shared" si="242"/>
        <v>0</v>
      </c>
      <c r="AY211" s="110" t="s">
        <v>1707</v>
      </c>
      <c r="AZ211" s="110" t="s">
        <v>1732</v>
      </c>
      <c r="BA211" s="109" t="s">
        <v>1737</v>
      </c>
      <c r="BC211" s="100">
        <f t="shared" si="243"/>
        <v>0</v>
      </c>
      <c r="BD211" s="100">
        <f t="shared" si="244"/>
        <v>0</v>
      </c>
      <c r="BE211" s="100">
        <v>0</v>
      </c>
      <c r="BF211" s="100">
        <f>211</f>
        <v>211</v>
      </c>
      <c r="BH211" s="108">
        <f t="shared" si="245"/>
        <v>0</v>
      </c>
      <c r="BI211" s="108">
        <f t="shared" si="246"/>
        <v>0</v>
      </c>
      <c r="BJ211" s="108">
        <f t="shared" si="247"/>
        <v>0</v>
      </c>
    </row>
    <row r="212" spans="1:62" x14ac:dyDescent="0.2">
      <c r="A212" s="117" t="s">
        <v>176</v>
      </c>
      <c r="B212" s="117" t="s">
        <v>730</v>
      </c>
      <c r="C212" s="304" t="s">
        <v>1242</v>
      </c>
      <c r="D212" s="305"/>
      <c r="E212" s="305"/>
      <c r="F212" s="117" t="s">
        <v>1644</v>
      </c>
      <c r="G212" s="116">
        <v>2</v>
      </c>
      <c r="H212" s="159"/>
      <c r="I212" s="108">
        <f t="shared" si="224"/>
        <v>0</v>
      </c>
      <c r="J212" s="108">
        <f t="shared" si="225"/>
        <v>0</v>
      </c>
      <c r="K212" s="108">
        <f t="shared" si="226"/>
        <v>0</v>
      </c>
      <c r="L212" s="111"/>
      <c r="Z212" s="100">
        <f t="shared" si="227"/>
        <v>0</v>
      </c>
      <c r="AB212" s="100">
        <f t="shared" si="228"/>
        <v>0</v>
      </c>
      <c r="AC212" s="100">
        <f t="shared" si="229"/>
        <v>0</v>
      </c>
      <c r="AD212" s="100">
        <f t="shared" si="230"/>
        <v>0</v>
      </c>
      <c r="AE212" s="100">
        <f t="shared" si="231"/>
        <v>0</v>
      </c>
      <c r="AF212" s="100">
        <f t="shared" si="232"/>
        <v>0</v>
      </c>
      <c r="AG212" s="100">
        <f t="shared" si="233"/>
        <v>0</v>
      </c>
      <c r="AH212" s="100">
        <f t="shared" si="234"/>
        <v>0</v>
      </c>
      <c r="AI212" s="109"/>
      <c r="AJ212" s="108">
        <f t="shared" si="235"/>
        <v>0</v>
      </c>
      <c r="AK212" s="108">
        <f t="shared" si="236"/>
        <v>0</v>
      </c>
      <c r="AL212" s="108">
        <f t="shared" si="237"/>
        <v>0</v>
      </c>
      <c r="AN212" s="100">
        <v>15</v>
      </c>
      <c r="AO212" s="100">
        <f t="shared" si="238"/>
        <v>0</v>
      </c>
      <c r="AP212" s="100">
        <f t="shared" si="239"/>
        <v>0</v>
      </c>
      <c r="AQ212" s="111" t="s">
        <v>13</v>
      </c>
      <c r="AV212" s="100">
        <f t="shared" si="240"/>
        <v>0</v>
      </c>
      <c r="AW212" s="100">
        <f t="shared" si="241"/>
        <v>0</v>
      </c>
      <c r="AX212" s="100">
        <f t="shared" si="242"/>
        <v>0</v>
      </c>
      <c r="AY212" s="110" t="s">
        <v>1707</v>
      </c>
      <c r="AZ212" s="110" t="s">
        <v>1732</v>
      </c>
      <c r="BA212" s="109" t="s">
        <v>1737</v>
      </c>
      <c r="BC212" s="100">
        <f t="shared" si="243"/>
        <v>0</v>
      </c>
      <c r="BD212" s="100">
        <f t="shared" si="244"/>
        <v>0</v>
      </c>
      <c r="BE212" s="100">
        <v>0</v>
      </c>
      <c r="BF212" s="100">
        <f>212</f>
        <v>212</v>
      </c>
      <c r="BH212" s="108">
        <f t="shared" si="245"/>
        <v>0</v>
      </c>
      <c r="BI212" s="108">
        <f t="shared" si="246"/>
        <v>0</v>
      </c>
      <c r="BJ212" s="108">
        <f t="shared" si="247"/>
        <v>0</v>
      </c>
    </row>
    <row r="213" spans="1:62" x14ac:dyDescent="0.2">
      <c r="A213" s="117" t="s">
        <v>177</v>
      </c>
      <c r="B213" s="117" t="s">
        <v>731</v>
      </c>
      <c r="C213" s="304" t="s">
        <v>1243</v>
      </c>
      <c r="D213" s="305"/>
      <c r="E213" s="305"/>
      <c r="F213" s="117" t="s">
        <v>1651</v>
      </c>
      <c r="G213" s="116">
        <v>1</v>
      </c>
      <c r="H213" s="159"/>
      <c r="I213" s="108">
        <f t="shared" si="224"/>
        <v>0</v>
      </c>
      <c r="J213" s="108">
        <f t="shared" si="225"/>
        <v>0</v>
      </c>
      <c r="K213" s="108">
        <f t="shared" si="226"/>
        <v>0</v>
      </c>
      <c r="L213" s="111"/>
      <c r="Z213" s="100">
        <f t="shared" si="227"/>
        <v>0</v>
      </c>
      <c r="AB213" s="100">
        <f t="shared" si="228"/>
        <v>0</v>
      </c>
      <c r="AC213" s="100">
        <f t="shared" si="229"/>
        <v>0</v>
      </c>
      <c r="AD213" s="100">
        <f t="shared" si="230"/>
        <v>0</v>
      </c>
      <c r="AE213" s="100">
        <f t="shared" si="231"/>
        <v>0</v>
      </c>
      <c r="AF213" s="100">
        <f t="shared" si="232"/>
        <v>0</v>
      </c>
      <c r="AG213" s="100">
        <f t="shared" si="233"/>
        <v>0</v>
      </c>
      <c r="AH213" s="100">
        <f t="shared" si="234"/>
        <v>0</v>
      </c>
      <c r="AI213" s="109"/>
      <c r="AJ213" s="108">
        <f t="shared" si="235"/>
        <v>0</v>
      </c>
      <c r="AK213" s="108">
        <f t="shared" si="236"/>
        <v>0</v>
      </c>
      <c r="AL213" s="108">
        <f t="shared" si="237"/>
        <v>0</v>
      </c>
      <c r="AN213" s="100">
        <v>15</v>
      </c>
      <c r="AO213" s="100">
        <f t="shared" si="238"/>
        <v>0</v>
      </c>
      <c r="AP213" s="100">
        <f t="shared" si="239"/>
        <v>0</v>
      </c>
      <c r="AQ213" s="111" t="s">
        <v>13</v>
      </c>
      <c r="AV213" s="100">
        <f t="shared" si="240"/>
        <v>0</v>
      </c>
      <c r="AW213" s="100">
        <f t="shared" si="241"/>
        <v>0</v>
      </c>
      <c r="AX213" s="100">
        <f t="shared" si="242"/>
        <v>0</v>
      </c>
      <c r="AY213" s="110" t="s">
        <v>1707</v>
      </c>
      <c r="AZ213" s="110" t="s">
        <v>1732</v>
      </c>
      <c r="BA213" s="109" t="s">
        <v>1737</v>
      </c>
      <c r="BC213" s="100">
        <f t="shared" si="243"/>
        <v>0</v>
      </c>
      <c r="BD213" s="100">
        <f t="shared" si="244"/>
        <v>0</v>
      </c>
      <c r="BE213" s="100">
        <v>0</v>
      </c>
      <c r="BF213" s="100">
        <f>213</f>
        <v>213</v>
      </c>
      <c r="BH213" s="108">
        <f t="shared" si="245"/>
        <v>0</v>
      </c>
      <c r="BI213" s="108">
        <f t="shared" si="246"/>
        <v>0</v>
      </c>
      <c r="BJ213" s="108">
        <f t="shared" si="247"/>
        <v>0</v>
      </c>
    </row>
    <row r="214" spans="1:62" x14ac:dyDescent="0.2">
      <c r="A214" s="117" t="s">
        <v>178</v>
      </c>
      <c r="B214" s="117" t="s">
        <v>732</v>
      </c>
      <c r="C214" s="304" t="s">
        <v>1244</v>
      </c>
      <c r="D214" s="305"/>
      <c r="E214" s="305"/>
      <c r="F214" s="117" t="s">
        <v>1651</v>
      </c>
      <c r="G214" s="116">
        <v>1</v>
      </c>
      <c r="H214" s="159"/>
      <c r="I214" s="108">
        <f t="shared" si="224"/>
        <v>0</v>
      </c>
      <c r="J214" s="108">
        <f t="shared" si="225"/>
        <v>0</v>
      </c>
      <c r="K214" s="108">
        <f t="shared" si="226"/>
        <v>0</v>
      </c>
      <c r="L214" s="111"/>
      <c r="Z214" s="100">
        <f t="shared" si="227"/>
        <v>0</v>
      </c>
      <c r="AB214" s="100">
        <f t="shared" si="228"/>
        <v>0</v>
      </c>
      <c r="AC214" s="100">
        <f t="shared" si="229"/>
        <v>0</v>
      </c>
      <c r="AD214" s="100">
        <f t="shared" si="230"/>
        <v>0</v>
      </c>
      <c r="AE214" s="100">
        <f t="shared" si="231"/>
        <v>0</v>
      </c>
      <c r="AF214" s="100">
        <f t="shared" si="232"/>
        <v>0</v>
      </c>
      <c r="AG214" s="100">
        <f t="shared" si="233"/>
        <v>0</v>
      </c>
      <c r="AH214" s="100">
        <f t="shared" si="234"/>
        <v>0</v>
      </c>
      <c r="AI214" s="109"/>
      <c r="AJ214" s="108">
        <f t="shared" si="235"/>
        <v>0</v>
      </c>
      <c r="AK214" s="108">
        <f t="shared" si="236"/>
        <v>0</v>
      </c>
      <c r="AL214" s="108">
        <f t="shared" si="237"/>
        <v>0</v>
      </c>
      <c r="AN214" s="100">
        <v>15</v>
      </c>
      <c r="AO214" s="100">
        <f t="shared" si="238"/>
        <v>0</v>
      </c>
      <c r="AP214" s="100">
        <f t="shared" si="239"/>
        <v>0</v>
      </c>
      <c r="AQ214" s="111" t="s">
        <v>13</v>
      </c>
      <c r="AV214" s="100">
        <f t="shared" si="240"/>
        <v>0</v>
      </c>
      <c r="AW214" s="100">
        <f t="shared" si="241"/>
        <v>0</v>
      </c>
      <c r="AX214" s="100">
        <f t="shared" si="242"/>
        <v>0</v>
      </c>
      <c r="AY214" s="110" t="s">
        <v>1707</v>
      </c>
      <c r="AZ214" s="110" t="s">
        <v>1732</v>
      </c>
      <c r="BA214" s="109" t="s">
        <v>1737</v>
      </c>
      <c r="BC214" s="100">
        <f t="shared" si="243"/>
        <v>0</v>
      </c>
      <c r="BD214" s="100">
        <f t="shared" si="244"/>
        <v>0</v>
      </c>
      <c r="BE214" s="100">
        <v>0</v>
      </c>
      <c r="BF214" s="100">
        <f>214</f>
        <v>214</v>
      </c>
      <c r="BH214" s="108">
        <f t="shared" si="245"/>
        <v>0</v>
      </c>
      <c r="BI214" s="108">
        <f t="shared" si="246"/>
        <v>0</v>
      </c>
      <c r="BJ214" s="108">
        <f t="shared" si="247"/>
        <v>0</v>
      </c>
    </row>
    <row r="215" spans="1:62" x14ac:dyDescent="0.2">
      <c r="A215" s="117" t="s">
        <v>179</v>
      </c>
      <c r="B215" s="117" t="s">
        <v>733</v>
      </c>
      <c r="C215" s="304" t="s">
        <v>2137</v>
      </c>
      <c r="D215" s="305"/>
      <c r="E215" s="305"/>
      <c r="F215" s="117" t="s">
        <v>1644</v>
      </c>
      <c r="G215" s="116">
        <v>1</v>
      </c>
      <c r="H215" s="159"/>
      <c r="I215" s="108">
        <f t="shared" si="224"/>
        <v>0</v>
      </c>
      <c r="J215" s="108">
        <f t="shared" si="225"/>
        <v>0</v>
      </c>
      <c r="K215" s="108">
        <f t="shared" si="226"/>
        <v>0</v>
      </c>
      <c r="L215" s="111"/>
      <c r="Z215" s="100">
        <f t="shared" si="227"/>
        <v>0</v>
      </c>
      <c r="AB215" s="100">
        <f t="shared" si="228"/>
        <v>0</v>
      </c>
      <c r="AC215" s="100">
        <f t="shared" si="229"/>
        <v>0</v>
      </c>
      <c r="AD215" s="100">
        <f t="shared" si="230"/>
        <v>0</v>
      </c>
      <c r="AE215" s="100">
        <f t="shared" si="231"/>
        <v>0</v>
      </c>
      <c r="AF215" s="100">
        <f t="shared" si="232"/>
        <v>0</v>
      </c>
      <c r="AG215" s="100">
        <f t="shared" si="233"/>
        <v>0</v>
      </c>
      <c r="AH215" s="100">
        <f t="shared" si="234"/>
        <v>0</v>
      </c>
      <c r="AI215" s="109"/>
      <c r="AJ215" s="108">
        <f t="shared" si="235"/>
        <v>0</v>
      </c>
      <c r="AK215" s="108">
        <f t="shared" si="236"/>
        <v>0</v>
      </c>
      <c r="AL215" s="108">
        <f t="shared" si="237"/>
        <v>0</v>
      </c>
      <c r="AN215" s="100">
        <v>15</v>
      </c>
      <c r="AO215" s="100">
        <f t="shared" si="238"/>
        <v>0</v>
      </c>
      <c r="AP215" s="100">
        <f t="shared" si="239"/>
        <v>0</v>
      </c>
      <c r="AQ215" s="111" t="s">
        <v>13</v>
      </c>
      <c r="AV215" s="100">
        <f t="shared" si="240"/>
        <v>0</v>
      </c>
      <c r="AW215" s="100">
        <f t="shared" si="241"/>
        <v>0</v>
      </c>
      <c r="AX215" s="100">
        <f t="shared" si="242"/>
        <v>0</v>
      </c>
      <c r="AY215" s="110" t="s">
        <v>1707</v>
      </c>
      <c r="AZ215" s="110" t="s">
        <v>1732</v>
      </c>
      <c r="BA215" s="109" t="s">
        <v>1737</v>
      </c>
      <c r="BC215" s="100">
        <f t="shared" si="243"/>
        <v>0</v>
      </c>
      <c r="BD215" s="100">
        <f t="shared" si="244"/>
        <v>0</v>
      </c>
      <c r="BE215" s="100">
        <v>0</v>
      </c>
      <c r="BF215" s="100">
        <f>215</f>
        <v>215</v>
      </c>
      <c r="BH215" s="108">
        <f t="shared" si="245"/>
        <v>0</v>
      </c>
      <c r="BI215" s="108">
        <f t="shared" si="246"/>
        <v>0</v>
      </c>
      <c r="BJ215" s="108">
        <f t="shared" si="247"/>
        <v>0</v>
      </c>
    </row>
    <row r="216" spans="1:62" x14ac:dyDescent="0.2">
      <c r="A216" s="117" t="s">
        <v>180</v>
      </c>
      <c r="B216" s="117" t="s">
        <v>2138</v>
      </c>
      <c r="C216" s="304" t="s">
        <v>1246</v>
      </c>
      <c r="D216" s="305"/>
      <c r="E216" s="305"/>
      <c r="F216" s="117" t="s">
        <v>1644</v>
      </c>
      <c r="G216" s="116">
        <v>2</v>
      </c>
      <c r="H216" s="159"/>
      <c r="I216" s="108">
        <f t="shared" si="224"/>
        <v>0</v>
      </c>
      <c r="J216" s="108">
        <f t="shared" si="225"/>
        <v>0</v>
      </c>
      <c r="K216" s="108">
        <f t="shared" si="226"/>
        <v>0</v>
      </c>
      <c r="L216" s="111"/>
      <c r="Z216" s="100">
        <f t="shared" si="227"/>
        <v>0</v>
      </c>
      <c r="AB216" s="100">
        <f t="shared" si="228"/>
        <v>0</v>
      </c>
      <c r="AC216" s="100">
        <f t="shared" si="229"/>
        <v>0</v>
      </c>
      <c r="AD216" s="100">
        <f t="shared" si="230"/>
        <v>0</v>
      </c>
      <c r="AE216" s="100">
        <f t="shared" si="231"/>
        <v>0</v>
      </c>
      <c r="AF216" s="100">
        <f t="shared" si="232"/>
        <v>0</v>
      </c>
      <c r="AG216" s="100">
        <f t="shared" si="233"/>
        <v>0</v>
      </c>
      <c r="AH216" s="100">
        <f t="shared" si="234"/>
        <v>0</v>
      </c>
      <c r="AI216" s="109"/>
      <c r="AJ216" s="108">
        <f t="shared" si="235"/>
        <v>0</v>
      </c>
      <c r="AK216" s="108">
        <f t="shared" si="236"/>
        <v>0</v>
      </c>
      <c r="AL216" s="108">
        <f t="shared" si="237"/>
        <v>0</v>
      </c>
      <c r="AN216" s="100">
        <v>15</v>
      </c>
      <c r="AO216" s="100">
        <f t="shared" si="238"/>
        <v>0</v>
      </c>
      <c r="AP216" s="100">
        <f t="shared" si="239"/>
        <v>0</v>
      </c>
      <c r="AQ216" s="111" t="s">
        <v>13</v>
      </c>
      <c r="AV216" s="100">
        <f t="shared" si="240"/>
        <v>0</v>
      </c>
      <c r="AW216" s="100">
        <f t="shared" si="241"/>
        <v>0</v>
      </c>
      <c r="AX216" s="100">
        <f t="shared" si="242"/>
        <v>0</v>
      </c>
      <c r="AY216" s="110" t="s">
        <v>1707</v>
      </c>
      <c r="AZ216" s="110" t="s">
        <v>1732</v>
      </c>
      <c r="BA216" s="109" t="s">
        <v>1737</v>
      </c>
      <c r="BC216" s="100">
        <f t="shared" si="243"/>
        <v>0</v>
      </c>
      <c r="BD216" s="100">
        <f t="shared" si="244"/>
        <v>0</v>
      </c>
      <c r="BE216" s="100">
        <v>0</v>
      </c>
      <c r="BF216" s="100">
        <f>216</f>
        <v>216</v>
      </c>
      <c r="BH216" s="108">
        <f t="shared" si="245"/>
        <v>0</v>
      </c>
      <c r="BI216" s="108">
        <f t="shared" si="246"/>
        <v>0</v>
      </c>
      <c r="BJ216" s="108">
        <f t="shared" si="247"/>
        <v>0</v>
      </c>
    </row>
    <row r="217" spans="1:62" x14ac:dyDescent="0.2">
      <c r="A217" s="117" t="s">
        <v>181</v>
      </c>
      <c r="B217" s="117" t="s">
        <v>734</v>
      </c>
      <c r="C217" s="304" t="s">
        <v>1247</v>
      </c>
      <c r="D217" s="305"/>
      <c r="E217" s="305"/>
      <c r="F217" s="117" t="s">
        <v>1650</v>
      </c>
      <c r="G217" s="116">
        <v>30</v>
      </c>
      <c r="H217" s="159"/>
      <c r="I217" s="108">
        <f t="shared" si="224"/>
        <v>0</v>
      </c>
      <c r="J217" s="108">
        <f t="shared" si="225"/>
        <v>0</v>
      </c>
      <c r="K217" s="108">
        <f t="shared" si="226"/>
        <v>0</v>
      </c>
      <c r="L217" s="111"/>
      <c r="Z217" s="100">
        <f t="shared" si="227"/>
        <v>0</v>
      </c>
      <c r="AB217" s="100">
        <f t="shared" si="228"/>
        <v>0</v>
      </c>
      <c r="AC217" s="100">
        <f t="shared" si="229"/>
        <v>0</v>
      </c>
      <c r="AD217" s="100">
        <f t="shared" si="230"/>
        <v>0</v>
      </c>
      <c r="AE217" s="100">
        <f t="shared" si="231"/>
        <v>0</v>
      </c>
      <c r="AF217" s="100">
        <f t="shared" si="232"/>
        <v>0</v>
      </c>
      <c r="AG217" s="100">
        <f t="shared" si="233"/>
        <v>0</v>
      </c>
      <c r="AH217" s="100">
        <f t="shared" si="234"/>
        <v>0</v>
      </c>
      <c r="AI217" s="109"/>
      <c r="AJ217" s="108">
        <f t="shared" si="235"/>
        <v>0</v>
      </c>
      <c r="AK217" s="108">
        <f t="shared" si="236"/>
        <v>0</v>
      </c>
      <c r="AL217" s="108">
        <f t="shared" si="237"/>
        <v>0</v>
      </c>
      <c r="AN217" s="100">
        <v>15</v>
      </c>
      <c r="AO217" s="100">
        <f t="shared" si="238"/>
        <v>0</v>
      </c>
      <c r="AP217" s="100">
        <f t="shared" si="239"/>
        <v>0</v>
      </c>
      <c r="AQ217" s="111" t="s">
        <v>13</v>
      </c>
      <c r="AV217" s="100">
        <f t="shared" si="240"/>
        <v>0</v>
      </c>
      <c r="AW217" s="100">
        <f t="shared" si="241"/>
        <v>0</v>
      </c>
      <c r="AX217" s="100">
        <f t="shared" si="242"/>
        <v>0</v>
      </c>
      <c r="AY217" s="110" t="s">
        <v>1707</v>
      </c>
      <c r="AZ217" s="110" t="s">
        <v>1732</v>
      </c>
      <c r="BA217" s="109" t="s">
        <v>1737</v>
      </c>
      <c r="BC217" s="100">
        <f t="shared" si="243"/>
        <v>0</v>
      </c>
      <c r="BD217" s="100">
        <f t="shared" si="244"/>
        <v>0</v>
      </c>
      <c r="BE217" s="100">
        <v>0</v>
      </c>
      <c r="BF217" s="100">
        <f>217</f>
        <v>217</v>
      </c>
      <c r="BH217" s="108">
        <f t="shared" si="245"/>
        <v>0</v>
      </c>
      <c r="BI217" s="108">
        <f t="shared" si="246"/>
        <v>0</v>
      </c>
      <c r="BJ217" s="108">
        <f t="shared" si="247"/>
        <v>0</v>
      </c>
    </row>
    <row r="218" spans="1:62" x14ac:dyDescent="0.2">
      <c r="A218" s="117" t="s">
        <v>182</v>
      </c>
      <c r="B218" s="117" t="s">
        <v>736</v>
      </c>
      <c r="C218" s="304" t="s">
        <v>1248</v>
      </c>
      <c r="D218" s="305"/>
      <c r="E218" s="305"/>
      <c r="F218" s="117" t="s">
        <v>1646</v>
      </c>
      <c r="G218" s="116">
        <v>33</v>
      </c>
      <c r="H218" s="159"/>
      <c r="I218" s="108">
        <f t="shared" si="224"/>
        <v>0</v>
      </c>
      <c r="J218" s="108">
        <f t="shared" si="225"/>
        <v>0</v>
      </c>
      <c r="K218" s="108">
        <f t="shared" si="226"/>
        <v>0</v>
      </c>
      <c r="L218" s="111"/>
      <c r="Z218" s="100">
        <f t="shared" si="227"/>
        <v>0</v>
      </c>
      <c r="AB218" s="100">
        <f t="shared" si="228"/>
        <v>0</v>
      </c>
      <c r="AC218" s="100">
        <f t="shared" si="229"/>
        <v>0</v>
      </c>
      <c r="AD218" s="100">
        <f t="shared" si="230"/>
        <v>0</v>
      </c>
      <c r="AE218" s="100">
        <f t="shared" si="231"/>
        <v>0</v>
      </c>
      <c r="AF218" s="100">
        <f t="shared" si="232"/>
        <v>0</v>
      </c>
      <c r="AG218" s="100">
        <f t="shared" si="233"/>
        <v>0</v>
      </c>
      <c r="AH218" s="100">
        <f t="shared" si="234"/>
        <v>0</v>
      </c>
      <c r="AI218" s="109"/>
      <c r="AJ218" s="108">
        <f t="shared" si="235"/>
        <v>0</v>
      </c>
      <c r="AK218" s="108">
        <f t="shared" si="236"/>
        <v>0</v>
      </c>
      <c r="AL218" s="108">
        <f t="shared" si="237"/>
        <v>0</v>
      </c>
      <c r="AN218" s="100">
        <v>15</v>
      </c>
      <c r="AO218" s="100">
        <f t="shared" si="238"/>
        <v>0</v>
      </c>
      <c r="AP218" s="100">
        <f t="shared" si="239"/>
        <v>0</v>
      </c>
      <c r="AQ218" s="111" t="s">
        <v>13</v>
      </c>
      <c r="AV218" s="100">
        <f t="shared" si="240"/>
        <v>0</v>
      </c>
      <c r="AW218" s="100">
        <f t="shared" si="241"/>
        <v>0</v>
      </c>
      <c r="AX218" s="100">
        <f t="shared" si="242"/>
        <v>0</v>
      </c>
      <c r="AY218" s="110" t="s">
        <v>1707</v>
      </c>
      <c r="AZ218" s="110" t="s">
        <v>1732</v>
      </c>
      <c r="BA218" s="109" t="s">
        <v>1737</v>
      </c>
      <c r="BC218" s="100">
        <f t="shared" si="243"/>
        <v>0</v>
      </c>
      <c r="BD218" s="100">
        <f t="shared" si="244"/>
        <v>0</v>
      </c>
      <c r="BE218" s="100">
        <v>0</v>
      </c>
      <c r="BF218" s="100">
        <f>218</f>
        <v>218</v>
      </c>
      <c r="BH218" s="108">
        <f t="shared" si="245"/>
        <v>0</v>
      </c>
      <c r="BI218" s="108">
        <f t="shared" si="246"/>
        <v>0</v>
      </c>
      <c r="BJ218" s="108">
        <f t="shared" si="247"/>
        <v>0</v>
      </c>
    </row>
    <row r="219" spans="1:62" x14ac:dyDescent="0.2">
      <c r="A219" s="117" t="s">
        <v>183</v>
      </c>
      <c r="B219" s="117" t="s">
        <v>737</v>
      </c>
      <c r="C219" s="304" t="s">
        <v>1249</v>
      </c>
      <c r="D219" s="305"/>
      <c r="E219" s="305"/>
      <c r="F219" s="117" t="s">
        <v>1646</v>
      </c>
      <c r="G219" s="116">
        <v>33</v>
      </c>
      <c r="H219" s="159"/>
      <c r="I219" s="108">
        <f t="shared" si="224"/>
        <v>0</v>
      </c>
      <c r="J219" s="108">
        <f t="shared" si="225"/>
        <v>0</v>
      </c>
      <c r="K219" s="108">
        <f t="shared" si="226"/>
        <v>0</v>
      </c>
      <c r="L219" s="111"/>
      <c r="Z219" s="100">
        <f t="shared" si="227"/>
        <v>0</v>
      </c>
      <c r="AB219" s="100">
        <f t="shared" si="228"/>
        <v>0</v>
      </c>
      <c r="AC219" s="100">
        <f t="shared" si="229"/>
        <v>0</v>
      </c>
      <c r="AD219" s="100">
        <f t="shared" si="230"/>
        <v>0</v>
      </c>
      <c r="AE219" s="100">
        <f t="shared" si="231"/>
        <v>0</v>
      </c>
      <c r="AF219" s="100">
        <f t="shared" si="232"/>
        <v>0</v>
      </c>
      <c r="AG219" s="100">
        <f t="shared" si="233"/>
        <v>0</v>
      </c>
      <c r="AH219" s="100">
        <f t="shared" si="234"/>
        <v>0</v>
      </c>
      <c r="AI219" s="109"/>
      <c r="AJ219" s="108">
        <f t="shared" si="235"/>
        <v>0</v>
      </c>
      <c r="AK219" s="108">
        <f t="shared" si="236"/>
        <v>0</v>
      </c>
      <c r="AL219" s="108">
        <f t="shared" si="237"/>
        <v>0</v>
      </c>
      <c r="AN219" s="100">
        <v>15</v>
      </c>
      <c r="AO219" s="100">
        <f t="shared" si="238"/>
        <v>0</v>
      </c>
      <c r="AP219" s="100">
        <f t="shared" si="239"/>
        <v>0</v>
      </c>
      <c r="AQ219" s="111" t="s">
        <v>13</v>
      </c>
      <c r="AV219" s="100">
        <f t="shared" si="240"/>
        <v>0</v>
      </c>
      <c r="AW219" s="100">
        <f t="shared" si="241"/>
        <v>0</v>
      </c>
      <c r="AX219" s="100">
        <f t="shared" si="242"/>
        <v>0</v>
      </c>
      <c r="AY219" s="110" t="s">
        <v>1707</v>
      </c>
      <c r="AZ219" s="110" t="s">
        <v>1732</v>
      </c>
      <c r="BA219" s="109" t="s">
        <v>1737</v>
      </c>
      <c r="BC219" s="100">
        <f t="shared" si="243"/>
        <v>0</v>
      </c>
      <c r="BD219" s="100">
        <f t="shared" si="244"/>
        <v>0</v>
      </c>
      <c r="BE219" s="100">
        <v>0</v>
      </c>
      <c r="BF219" s="100">
        <f>219</f>
        <v>219</v>
      </c>
      <c r="BH219" s="108">
        <f t="shared" si="245"/>
        <v>0</v>
      </c>
      <c r="BI219" s="108">
        <f t="shared" si="246"/>
        <v>0</v>
      </c>
      <c r="BJ219" s="108">
        <f t="shared" si="247"/>
        <v>0</v>
      </c>
    </row>
    <row r="220" spans="1:62" x14ac:dyDescent="0.2">
      <c r="A220" s="117" t="s">
        <v>184</v>
      </c>
      <c r="B220" s="117" t="s">
        <v>738</v>
      </c>
      <c r="C220" s="304" t="s">
        <v>1250</v>
      </c>
      <c r="D220" s="305"/>
      <c r="E220" s="305"/>
      <c r="F220" s="117" t="s">
        <v>1646</v>
      </c>
      <c r="G220" s="116">
        <v>33</v>
      </c>
      <c r="H220" s="159"/>
      <c r="I220" s="108">
        <f t="shared" si="224"/>
        <v>0</v>
      </c>
      <c r="J220" s="108">
        <f t="shared" si="225"/>
        <v>0</v>
      </c>
      <c r="K220" s="108">
        <f t="shared" si="226"/>
        <v>0</v>
      </c>
      <c r="L220" s="111"/>
      <c r="Z220" s="100">
        <f t="shared" si="227"/>
        <v>0</v>
      </c>
      <c r="AB220" s="100">
        <f t="shared" si="228"/>
        <v>0</v>
      </c>
      <c r="AC220" s="100">
        <f t="shared" si="229"/>
        <v>0</v>
      </c>
      <c r="AD220" s="100">
        <f t="shared" si="230"/>
        <v>0</v>
      </c>
      <c r="AE220" s="100">
        <f t="shared" si="231"/>
        <v>0</v>
      </c>
      <c r="AF220" s="100">
        <f t="shared" si="232"/>
        <v>0</v>
      </c>
      <c r="AG220" s="100">
        <f t="shared" si="233"/>
        <v>0</v>
      </c>
      <c r="AH220" s="100">
        <f t="shared" si="234"/>
        <v>0</v>
      </c>
      <c r="AI220" s="109"/>
      <c r="AJ220" s="108">
        <f t="shared" si="235"/>
        <v>0</v>
      </c>
      <c r="AK220" s="108">
        <f t="shared" si="236"/>
        <v>0</v>
      </c>
      <c r="AL220" s="108">
        <f t="shared" si="237"/>
        <v>0</v>
      </c>
      <c r="AN220" s="100">
        <v>15</v>
      </c>
      <c r="AO220" s="100">
        <f t="shared" si="238"/>
        <v>0</v>
      </c>
      <c r="AP220" s="100">
        <f t="shared" si="239"/>
        <v>0</v>
      </c>
      <c r="AQ220" s="111" t="s">
        <v>13</v>
      </c>
      <c r="AV220" s="100">
        <f t="shared" si="240"/>
        <v>0</v>
      </c>
      <c r="AW220" s="100">
        <f t="shared" si="241"/>
        <v>0</v>
      </c>
      <c r="AX220" s="100">
        <f t="shared" si="242"/>
        <v>0</v>
      </c>
      <c r="AY220" s="110" t="s">
        <v>1707</v>
      </c>
      <c r="AZ220" s="110" t="s">
        <v>1732</v>
      </c>
      <c r="BA220" s="109" t="s">
        <v>1737</v>
      </c>
      <c r="BC220" s="100">
        <f t="shared" si="243"/>
        <v>0</v>
      </c>
      <c r="BD220" s="100">
        <f t="shared" si="244"/>
        <v>0</v>
      </c>
      <c r="BE220" s="100">
        <v>0</v>
      </c>
      <c r="BF220" s="100">
        <f>220</f>
        <v>220</v>
      </c>
      <c r="BH220" s="108">
        <f t="shared" si="245"/>
        <v>0</v>
      </c>
      <c r="BI220" s="108">
        <f t="shared" si="246"/>
        <v>0</v>
      </c>
      <c r="BJ220" s="108">
        <f t="shared" si="247"/>
        <v>0</v>
      </c>
    </row>
    <row r="221" spans="1:62" x14ac:dyDescent="0.2">
      <c r="A221" s="117" t="s">
        <v>185</v>
      </c>
      <c r="B221" s="117" t="s">
        <v>739</v>
      </c>
      <c r="C221" s="304" t="s">
        <v>1251</v>
      </c>
      <c r="D221" s="305"/>
      <c r="E221" s="305"/>
      <c r="F221" s="117" t="s">
        <v>1650</v>
      </c>
      <c r="G221" s="116">
        <v>10</v>
      </c>
      <c r="H221" s="159"/>
      <c r="I221" s="108">
        <f t="shared" si="224"/>
        <v>0</v>
      </c>
      <c r="J221" s="108">
        <f t="shared" si="225"/>
        <v>0</v>
      </c>
      <c r="K221" s="108">
        <f t="shared" si="226"/>
        <v>0</v>
      </c>
      <c r="L221" s="111"/>
      <c r="Z221" s="100">
        <f t="shared" si="227"/>
        <v>0</v>
      </c>
      <c r="AB221" s="100">
        <f t="shared" si="228"/>
        <v>0</v>
      </c>
      <c r="AC221" s="100">
        <f t="shared" si="229"/>
        <v>0</v>
      </c>
      <c r="AD221" s="100">
        <f t="shared" si="230"/>
        <v>0</v>
      </c>
      <c r="AE221" s="100">
        <f t="shared" si="231"/>
        <v>0</v>
      </c>
      <c r="AF221" s="100">
        <f t="shared" si="232"/>
        <v>0</v>
      </c>
      <c r="AG221" s="100">
        <f t="shared" si="233"/>
        <v>0</v>
      </c>
      <c r="AH221" s="100">
        <f t="shared" si="234"/>
        <v>0</v>
      </c>
      <c r="AI221" s="109"/>
      <c r="AJ221" s="108">
        <f t="shared" si="235"/>
        <v>0</v>
      </c>
      <c r="AK221" s="108">
        <f t="shared" si="236"/>
        <v>0</v>
      </c>
      <c r="AL221" s="108">
        <f t="shared" si="237"/>
        <v>0</v>
      </c>
      <c r="AN221" s="100">
        <v>15</v>
      </c>
      <c r="AO221" s="100">
        <f t="shared" si="238"/>
        <v>0</v>
      </c>
      <c r="AP221" s="100">
        <f t="shared" si="239"/>
        <v>0</v>
      </c>
      <c r="AQ221" s="111" t="s">
        <v>13</v>
      </c>
      <c r="AV221" s="100">
        <f t="shared" si="240"/>
        <v>0</v>
      </c>
      <c r="AW221" s="100">
        <f t="shared" si="241"/>
        <v>0</v>
      </c>
      <c r="AX221" s="100">
        <f t="shared" si="242"/>
        <v>0</v>
      </c>
      <c r="AY221" s="110" t="s">
        <v>1707</v>
      </c>
      <c r="AZ221" s="110" t="s">
        <v>1732</v>
      </c>
      <c r="BA221" s="109" t="s">
        <v>1737</v>
      </c>
      <c r="BC221" s="100">
        <f t="shared" si="243"/>
        <v>0</v>
      </c>
      <c r="BD221" s="100">
        <f t="shared" si="244"/>
        <v>0</v>
      </c>
      <c r="BE221" s="100">
        <v>0</v>
      </c>
      <c r="BF221" s="100">
        <f>221</f>
        <v>221</v>
      </c>
      <c r="BH221" s="108">
        <f t="shared" si="245"/>
        <v>0</v>
      </c>
      <c r="BI221" s="108">
        <f t="shared" si="246"/>
        <v>0</v>
      </c>
      <c r="BJ221" s="108">
        <f t="shared" si="247"/>
        <v>0</v>
      </c>
    </row>
    <row r="222" spans="1:62" x14ac:dyDescent="0.2">
      <c r="A222" s="117" t="s">
        <v>186</v>
      </c>
      <c r="B222" s="117" t="s">
        <v>740</v>
      </c>
      <c r="C222" s="304" t="s">
        <v>1252</v>
      </c>
      <c r="D222" s="305"/>
      <c r="E222" s="305"/>
      <c r="F222" s="117" t="s">
        <v>1644</v>
      </c>
      <c r="G222" s="116">
        <v>1</v>
      </c>
      <c r="H222" s="159"/>
      <c r="I222" s="108">
        <f t="shared" si="224"/>
        <v>0</v>
      </c>
      <c r="J222" s="108">
        <f t="shared" si="225"/>
        <v>0</v>
      </c>
      <c r="K222" s="108">
        <f t="shared" si="226"/>
        <v>0</v>
      </c>
      <c r="L222" s="111"/>
      <c r="Z222" s="100">
        <f t="shared" si="227"/>
        <v>0</v>
      </c>
      <c r="AB222" s="100">
        <f t="shared" si="228"/>
        <v>0</v>
      </c>
      <c r="AC222" s="100">
        <f t="shared" si="229"/>
        <v>0</v>
      </c>
      <c r="AD222" s="100">
        <f t="shared" si="230"/>
        <v>0</v>
      </c>
      <c r="AE222" s="100">
        <f t="shared" si="231"/>
        <v>0</v>
      </c>
      <c r="AF222" s="100">
        <f t="shared" si="232"/>
        <v>0</v>
      </c>
      <c r="AG222" s="100">
        <f t="shared" si="233"/>
        <v>0</v>
      </c>
      <c r="AH222" s="100">
        <f t="shared" si="234"/>
        <v>0</v>
      </c>
      <c r="AI222" s="109"/>
      <c r="AJ222" s="108">
        <f t="shared" si="235"/>
        <v>0</v>
      </c>
      <c r="AK222" s="108">
        <f t="shared" si="236"/>
        <v>0</v>
      </c>
      <c r="AL222" s="108">
        <f t="shared" si="237"/>
        <v>0</v>
      </c>
      <c r="AN222" s="100">
        <v>15</v>
      </c>
      <c r="AO222" s="100">
        <f t="shared" si="238"/>
        <v>0</v>
      </c>
      <c r="AP222" s="100">
        <f t="shared" si="239"/>
        <v>0</v>
      </c>
      <c r="AQ222" s="111" t="s">
        <v>13</v>
      </c>
      <c r="AV222" s="100">
        <f t="shared" si="240"/>
        <v>0</v>
      </c>
      <c r="AW222" s="100">
        <f t="shared" si="241"/>
        <v>0</v>
      </c>
      <c r="AX222" s="100">
        <f t="shared" si="242"/>
        <v>0</v>
      </c>
      <c r="AY222" s="110" t="s">
        <v>1707</v>
      </c>
      <c r="AZ222" s="110" t="s">
        <v>1732</v>
      </c>
      <c r="BA222" s="109" t="s">
        <v>1737</v>
      </c>
      <c r="BC222" s="100">
        <f t="shared" si="243"/>
        <v>0</v>
      </c>
      <c r="BD222" s="100">
        <f t="shared" si="244"/>
        <v>0</v>
      </c>
      <c r="BE222" s="100">
        <v>0</v>
      </c>
      <c r="BF222" s="100">
        <f>222</f>
        <v>222</v>
      </c>
      <c r="BH222" s="108">
        <f t="shared" si="245"/>
        <v>0</v>
      </c>
      <c r="BI222" s="108">
        <f t="shared" si="246"/>
        <v>0</v>
      </c>
      <c r="BJ222" s="108">
        <f t="shared" si="247"/>
        <v>0</v>
      </c>
    </row>
    <row r="223" spans="1:62" x14ac:dyDescent="0.2">
      <c r="A223" s="117" t="s">
        <v>187</v>
      </c>
      <c r="B223" s="117" t="s">
        <v>741</v>
      </c>
      <c r="C223" s="304" t="s">
        <v>1253</v>
      </c>
      <c r="D223" s="305"/>
      <c r="E223" s="305"/>
      <c r="F223" s="117" t="s">
        <v>1644</v>
      </c>
      <c r="G223" s="116">
        <v>1</v>
      </c>
      <c r="H223" s="159"/>
      <c r="I223" s="108">
        <f t="shared" si="224"/>
        <v>0</v>
      </c>
      <c r="J223" s="108">
        <f t="shared" si="225"/>
        <v>0</v>
      </c>
      <c r="K223" s="108">
        <f t="shared" si="226"/>
        <v>0</v>
      </c>
      <c r="L223" s="111"/>
      <c r="Z223" s="100">
        <f t="shared" si="227"/>
        <v>0</v>
      </c>
      <c r="AB223" s="100">
        <f t="shared" si="228"/>
        <v>0</v>
      </c>
      <c r="AC223" s="100">
        <f t="shared" si="229"/>
        <v>0</v>
      </c>
      <c r="AD223" s="100">
        <f t="shared" si="230"/>
        <v>0</v>
      </c>
      <c r="AE223" s="100">
        <f t="shared" si="231"/>
        <v>0</v>
      </c>
      <c r="AF223" s="100">
        <f t="shared" si="232"/>
        <v>0</v>
      </c>
      <c r="AG223" s="100">
        <f t="shared" si="233"/>
        <v>0</v>
      </c>
      <c r="AH223" s="100">
        <f t="shared" si="234"/>
        <v>0</v>
      </c>
      <c r="AI223" s="109"/>
      <c r="AJ223" s="108">
        <f t="shared" si="235"/>
        <v>0</v>
      </c>
      <c r="AK223" s="108">
        <f t="shared" si="236"/>
        <v>0</v>
      </c>
      <c r="AL223" s="108">
        <f t="shared" si="237"/>
        <v>0</v>
      </c>
      <c r="AN223" s="100">
        <v>15</v>
      </c>
      <c r="AO223" s="100">
        <f t="shared" si="238"/>
        <v>0</v>
      </c>
      <c r="AP223" s="100">
        <f t="shared" si="239"/>
        <v>0</v>
      </c>
      <c r="AQ223" s="111" t="s">
        <v>13</v>
      </c>
      <c r="AV223" s="100">
        <f t="shared" si="240"/>
        <v>0</v>
      </c>
      <c r="AW223" s="100">
        <f t="shared" si="241"/>
        <v>0</v>
      </c>
      <c r="AX223" s="100">
        <f t="shared" si="242"/>
        <v>0</v>
      </c>
      <c r="AY223" s="110" t="s">
        <v>1707</v>
      </c>
      <c r="AZ223" s="110" t="s">
        <v>1732</v>
      </c>
      <c r="BA223" s="109" t="s">
        <v>1737</v>
      </c>
      <c r="BC223" s="100">
        <f t="shared" si="243"/>
        <v>0</v>
      </c>
      <c r="BD223" s="100">
        <f t="shared" si="244"/>
        <v>0</v>
      </c>
      <c r="BE223" s="100">
        <v>0</v>
      </c>
      <c r="BF223" s="100">
        <f>223</f>
        <v>223</v>
      </c>
      <c r="BH223" s="108">
        <f t="shared" si="245"/>
        <v>0</v>
      </c>
      <c r="BI223" s="108">
        <f t="shared" si="246"/>
        <v>0</v>
      </c>
      <c r="BJ223" s="108">
        <f t="shared" si="247"/>
        <v>0</v>
      </c>
    </row>
    <row r="224" spans="1:62" x14ac:dyDescent="0.2">
      <c r="A224" s="117" t="s">
        <v>188</v>
      </c>
      <c r="B224" s="117" t="s">
        <v>742</v>
      </c>
      <c r="C224" s="304" t="s">
        <v>1254</v>
      </c>
      <c r="D224" s="305"/>
      <c r="E224" s="305"/>
      <c r="F224" s="117" t="s">
        <v>1644</v>
      </c>
      <c r="G224" s="116">
        <v>1</v>
      </c>
      <c r="H224" s="159"/>
      <c r="I224" s="108">
        <f t="shared" si="224"/>
        <v>0</v>
      </c>
      <c r="J224" s="108">
        <f t="shared" si="225"/>
        <v>0</v>
      </c>
      <c r="K224" s="108">
        <f t="shared" si="226"/>
        <v>0</v>
      </c>
      <c r="L224" s="111"/>
      <c r="Z224" s="100">
        <f t="shared" si="227"/>
        <v>0</v>
      </c>
      <c r="AB224" s="100">
        <f t="shared" si="228"/>
        <v>0</v>
      </c>
      <c r="AC224" s="100">
        <f t="shared" si="229"/>
        <v>0</v>
      </c>
      <c r="AD224" s="100">
        <f t="shared" si="230"/>
        <v>0</v>
      </c>
      <c r="AE224" s="100">
        <f t="shared" si="231"/>
        <v>0</v>
      </c>
      <c r="AF224" s="100">
        <f t="shared" si="232"/>
        <v>0</v>
      </c>
      <c r="AG224" s="100">
        <f t="shared" si="233"/>
        <v>0</v>
      </c>
      <c r="AH224" s="100">
        <f t="shared" si="234"/>
        <v>0</v>
      </c>
      <c r="AI224" s="109"/>
      <c r="AJ224" s="108">
        <f t="shared" si="235"/>
        <v>0</v>
      </c>
      <c r="AK224" s="108">
        <f t="shared" si="236"/>
        <v>0</v>
      </c>
      <c r="AL224" s="108">
        <f t="shared" si="237"/>
        <v>0</v>
      </c>
      <c r="AN224" s="100">
        <v>15</v>
      </c>
      <c r="AO224" s="100">
        <f t="shared" si="238"/>
        <v>0</v>
      </c>
      <c r="AP224" s="100">
        <f t="shared" si="239"/>
        <v>0</v>
      </c>
      <c r="AQ224" s="111" t="s">
        <v>13</v>
      </c>
      <c r="AV224" s="100">
        <f t="shared" si="240"/>
        <v>0</v>
      </c>
      <c r="AW224" s="100">
        <f t="shared" si="241"/>
        <v>0</v>
      </c>
      <c r="AX224" s="100">
        <f t="shared" si="242"/>
        <v>0</v>
      </c>
      <c r="AY224" s="110" t="s">
        <v>1707</v>
      </c>
      <c r="AZ224" s="110" t="s">
        <v>1732</v>
      </c>
      <c r="BA224" s="109" t="s">
        <v>1737</v>
      </c>
      <c r="BC224" s="100">
        <f t="shared" si="243"/>
        <v>0</v>
      </c>
      <c r="BD224" s="100">
        <f t="shared" si="244"/>
        <v>0</v>
      </c>
      <c r="BE224" s="100">
        <v>0</v>
      </c>
      <c r="BF224" s="100">
        <f>224</f>
        <v>224</v>
      </c>
      <c r="BH224" s="108">
        <f t="shared" si="245"/>
        <v>0</v>
      </c>
      <c r="BI224" s="108">
        <f t="shared" si="246"/>
        <v>0</v>
      </c>
      <c r="BJ224" s="108">
        <f t="shared" si="247"/>
        <v>0</v>
      </c>
    </row>
    <row r="225" spans="1:62" x14ac:dyDescent="0.2">
      <c r="A225" s="117" t="s">
        <v>189</v>
      </c>
      <c r="B225" s="117" t="s">
        <v>743</v>
      </c>
      <c r="C225" s="304" t="s">
        <v>1255</v>
      </c>
      <c r="D225" s="305"/>
      <c r="E225" s="305"/>
      <c r="F225" s="117" t="s">
        <v>1644</v>
      </c>
      <c r="G225" s="116">
        <v>1</v>
      </c>
      <c r="H225" s="159"/>
      <c r="I225" s="108">
        <f t="shared" si="224"/>
        <v>0</v>
      </c>
      <c r="J225" s="108">
        <f t="shared" si="225"/>
        <v>0</v>
      </c>
      <c r="K225" s="108">
        <f t="shared" si="226"/>
        <v>0</v>
      </c>
      <c r="L225" s="111"/>
      <c r="Z225" s="100">
        <f t="shared" si="227"/>
        <v>0</v>
      </c>
      <c r="AB225" s="100">
        <f t="shared" si="228"/>
        <v>0</v>
      </c>
      <c r="AC225" s="100">
        <f t="shared" si="229"/>
        <v>0</v>
      </c>
      <c r="AD225" s="100">
        <f t="shared" si="230"/>
        <v>0</v>
      </c>
      <c r="AE225" s="100">
        <f t="shared" si="231"/>
        <v>0</v>
      </c>
      <c r="AF225" s="100">
        <f t="shared" si="232"/>
        <v>0</v>
      </c>
      <c r="AG225" s="100">
        <f t="shared" si="233"/>
        <v>0</v>
      </c>
      <c r="AH225" s="100">
        <f t="shared" si="234"/>
        <v>0</v>
      </c>
      <c r="AI225" s="109"/>
      <c r="AJ225" s="108">
        <f t="shared" si="235"/>
        <v>0</v>
      </c>
      <c r="AK225" s="108">
        <f t="shared" si="236"/>
        <v>0</v>
      </c>
      <c r="AL225" s="108">
        <f t="shared" si="237"/>
        <v>0</v>
      </c>
      <c r="AN225" s="100">
        <v>15</v>
      </c>
      <c r="AO225" s="100">
        <f t="shared" si="238"/>
        <v>0</v>
      </c>
      <c r="AP225" s="100">
        <f t="shared" si="239"/>
        <v>0</v>
      </c>
      <c r="AQ225" s="111" t="s">
        <v>13</v>
      </c>
      <c r="AV225" s="100">
        <f t="shared" si="240"/>
        <v>0</v>
      </c>
      <c r="AW225" s="100">
        <f t="shared" si="241"/>
        <v>0</v>
      </c>
      <c r="AX225" s="100">
        <f t="shared" si="242"/>
        <v>0</v>
      </c>
      <c r="AY225" s="110" t="s">
        <v>1707</v>
      </c>
      <c r="AZ225" s="110" t="s">
        <v>1732</v>
      </c>
      <c r="BA225" s="109" t="s">
        <v>1737</v>
      </c>
      <c r="BC225" s="100">
        <f t="shared" si="243"/>
        <v>0</v>
      </c>
      <c r="BD225" s="100">
        <f t="shared" si="244"/>
        <v>0</v>
      </c>
      <c r="BE225" s="100">
        <v>0</v>
      </c>
      <c r="BF225" s="100">
        <f>225</f>
        <v>225</v>
      </c>
      <c r="BH225" s="108">
        <f t="shared" si="245"/>
        <v>0</v>
      </c>
      <c r="BI225" s="108">
        <f t="shared" si="246"/>
        <v>0</v>
      </c>
      <c r="BJ225" s="108">
        <f t="shared" si="247"/>
        <v>0</v>
      </c>
    </row>
    <row r="226" spans="1:62" x14ac:dyDescent="0.2">
      <c r="A226" s="119"/>
      <c r="B226" s="120" t="s">
        <v>744</v>
      </c>
      <c r="C226" s="306" t="s">
        <v>1256</v>
      </c>
      <c r="D226" s="307"/>
      <c r="E226" s="307"/>
      <c r="F226" s="119" t="s">
        <v>6</v>
      </c>
      <c r="G226" s="119" t="s">
        <v>6</v>
      </c>
      <c r="H226" s="119" t="s">
        <v>6</v>
      </c>
      <c r="I226" s="118">
        <f>SUM(I227:I242)</f>
        <v>0</v>
      </c>
      <c r="J226" s="118">
        <f>SUM(J227:J242)</f>
        <v>0</v>
      </c>
      <c r="K226" s="118">
        <f>SUM(K227:K242)</f>
        <v>0</v>
      </c>
      <c r="L226" s="109"/>
      <c r="AI226" s="109"/>
      <c r="AS226" s="118">
        <f>SUM(AJ227:AJ242)</f>
        <v>0</v>
      </c>
      <c r="AT226" s="118">
        <f>SUM(AK227:AK242)</f>
        <v>0</v>
      </c>
      <c r="AU226" s="118">
        <f>SUM(AL227:AL242)</f>
        <v>0</v>
      </c>
    </row>
    <row r="227" spans="1:62" x14ac:dyDescent="0.2">
      <c r="A227" s="117" t="s">
        <v>190</v>
      </c>
      <c r="B227" s="117" t="s">
        <v>2826</v>
      </c>
      <c r="C227" s="304" t="s">
        <v>1257</v>
      </c>
      <c r="D227" s="305"/>
      <c r="E227" s="305"/>
      <c r="F227" s="117" t="s">
        <v>1646</v>
      </c>
      <c r="G227" s="116">
        <v>1</v>
      </c>
      <c r="H227" s="159"/>
      <c r="I227" s="108">
        <f t="shared" ref="I227:I242" si="248">G227*AO227</f>
        <v>0</v>
      </c>
      <c r="J227" s="108">
        <f t="shared" ref="J227:J242" si="249">G227*AP227</f>
        <v>0</v>
      </c>
      <c r="K227" s="108">
        <f t="shared" ref="K227:K242" si="250">G227*H227</f>
        <v>0</v>
      </c>
      <c r="L227" s="111"/>
      <c r="Z227" s="100">
        <f t="shared" ref="Z227:Z242" si="251">IF(AQ227="5",BJ227,0)</f>
        <v>0</v>
      </c>
      <c r="AB227" s="100">
        <f t="shared" ref="AB227:AB242" si="252">IF(AQ227="1",BH227,0)</f>
        <v>0</v>
      </c>
      <c r="AC227" s="100">
        <f t="shared" ref="AC227:AC242" si="253">IF(AQ227="1",BI227,0)</f>
        <v>0</v>
      </c>
      <c r="AD227" s="100">
        <f t="shared" ref="AD227:AD242" si="254">IF(AQ227="7",BH227,0)</f>
        <v>0</v>
      </c>
      <c r="AE227" s="100">
        <f t="shared" ref="AE227:AE242" si="255">IF(AQ227="7",BI227,0)</f>
        <v>0</v>
      </c>
      <c r="AF227" s="100">
        <f t="shared" ref="AF227:AF242" si="256">IF(AQ227="2",BH227,0)</f>
        <v>0</v>
      </c>
      <c r="AG227" s="100">
        <f t="shared" ref="AG227:AG242" si="257">IF(AQ227="2",BI227,0)</f>
        <v>0</v>
      </c>
      <c r="AH227" s="100">
        <f t="shared" ref="AH227:AH242" si="258">IF(AQ227="0",BJ227,0)</f>
        <v>0</v>
      </c>
      <c r="AI227" s="109"/>
      <c r="AJ227" s="108">
        <f t="shared" ref="AJ227:AJ242" si="259">IF(AN227=0,K227,0)</f>
        <v>0</v>
      </c>
      <c r="AK227" s="108">
        <f t="shared" ref="AK227:AK242" si="260">IF(AN227=15,K227,0)</f>
        <v>0</v>
      </c>
      <c r="AL227" s="108">
        <f t="shared" ref="AL227:AL242" si="261">IF(AN227=21,K227,0)</f>
        <v>0</v>
      </c>
      <c r="AN227" s="100">
        <v>15</v>
      </c>
      <c r="AO227" s="100">
        <f t="shared" ref="AO227:AO242" si="262">H227*0</f>
        <v>0</v>
      </c>
      <c r="AP227" s="100">
        <f t="shared" ref="AP227:AP242" si="263">H227*(1-0)</f>
        <v>0</v>
      </c>
      <c r="AQ227" s="111" t="s">
        <v>13</v>
      </c>
      <c r="AV227" s="100">
        <f t="shared" ref="AV227:AV242" si="264">AW227+AX227</f>
        <v>0</v>
      </c>
      <c r="AW227" s="100">
        <f t="shared" ref="AW227:AW242" si="265">G227*AO227</f>
        <v>0</v>
      </c>
      <c r="AX227" s="100">
        <f t="shared" ref="AX227:AX242" si="266">G227*AP227</f>
        <v>0</v>
      </c>
      <c r="AY227" s="110" t="s">
        <v>1708</v>
      </c>
      <c r="AZ227" s="110" t="s">
        <v>1732</v>
      </c>
      <c r="BA227" s="109" t="s">
        <v>1737</v>
      </c>
      <c r="BC227" s="100">
        <f t="shared" ref="BC227:BC242" si="267">AW227+AX227</f>
        <v>0</v>
      </c>
      <c r="BD227" s="100">
        <f t="shared" ref="BD227:BD242" si="268">H227/(100-BE227)*100</f>
        <v>0</v>
      </c>
      <c r="BE227" s="100">
        <v>0</v>
      </c>
      <c r="BF227" s="100">
        <f>227</f>
        <v>227</v>
      </c>
      <c r="BH227" s="108">
        <f t="shared" ref="BH227:BH242" si="269">G227*AO227</f>
        <v>0</v>
      </c>
      <c r="BI227" s="108">
        <f t="shared" ref="BI227:BI242" si="270">G227*AP227</f>
        <v>0</v>
      </c>
      <c r="BJ227" s="108">
        <f t="shared" ref="BJ227:BJ242" si="271">G227*H227</f>
        <v>0</v>
      </c>
    </row>
    <row r="228" spans="1:62" x14ac:dyDescent="0.2">
      <c r="A228" s="117" t="s">
        <v>191</v>
      </c>
      <c r="B228" s="117" t="s">
        <v>2825</v>
      </c>
      <c r="C228" s="304" t="s">
        <v>1258</v>
      </c>
      <c r="D228" s="305"/>
      <c r="E228" s="305"/>
      <c r="F228" s="117" t="s">
        <v>1646</v>
      </c>
      <c r="G228" s="116">
        <v>2</v>
      </c>
      <c r="H228" s="159"/>
      <c r="I228" s="108">
        <f t="shared" si="248"/>
        <v>0</v>
      </c>
      <c r="J228" s="108">
        <f t="shared" si="249"/>
        <v>0</v>
      </c>
      <c r="K228" s="108">
        <f t="shared" si="250"/>
        <v>0</v>
      </c>
      <c r="L228" s="111"/>
      <c r="Z228" s="100">
        <f t="shared" si="251"/>
        <v>0</v>
      </c>
      <c r="AB228" s="100">
        <f t="shared" si="252"/>
        <v>0</v>
      </c>
      <c r="AC228" s="100">
        <f t="shared" si="253"/>
        <v>0</v>
      </c>
      <c r="AD228" s="100">
        <f t="shared" si="254"/>
        <v>0</v>
      </c>
      <c r="AE228" s="100">
        <f t="shared" si="255"/>
        <v>0</v>
      </c>
      <c r="AF228" s="100">
        <f t="shared" si="256"/>
        <v>0</v>
      </c>
      <c r="AG228" s="100">
        <f t="shared" si="257"/>
        <v>0</v>
      </c>
      <c r="AH228" s="100">
        <f t="shared" si="258"/>
        <v>0</v>
      </c>
      <c r="AI228" s="109"/>
      <c r="AJ228" s="108">
        <f t="shared" si="259"/>
        <v>0</v>
      </c>
      <c r="AK228" s="108">
        <f t="shared" si="260"/>
        <v>0</v>
      </c>
      <c r="AL228" s="108">
        <f t="shared" si="261"/>
        <v>0</v>
      </c>
      <c r="AN228" s="100">
        <v>15</v>
      </c>
      <c r="AO228" s="100">
        <f t="shared" si="262"/>
        <v>0</v>
      </c>
      <c r="AP228" s="100">
        <f t="shared" si="263"/>
        <v>0</v>
      </c>
      <c r="AQ228" s="111" t="s">
        <v>13</v>
      </c>
      <c r="AV228" s="100">
        <f t="shared" si="264"/>
        <v>0</v>
      </c>
      <c r="AW228" s="100">
        <f t="shared" si="265"/>
        <v>0</v>
      </c>
      <c r="AX228" s="100">
        <f t="shared" si="266"/>
        <v>0</v>
      </c>
      <c r="AY228" s="110" t="s">
        <v>1708</v>
      </c>
      <c r="AZ228" s="110" t="s">
        <v>1732</v>
      </c>
      <c r="BA228" s="109" t="s">
        <v>1737</v>
      </c>
      <c r="BC228" s="100">
        <f t="shared" si="267"/>
        <v>0</v>
      </c>
      <c r="BD228" s="100">
        <f t="shared" si="268"/>
        <v>0</v>
      </c>
      <c r="BE228" s="100">
        <v>0</v>
      </c>
      <c r="BF228" s="100">
        <f>228</f>
        <v>228</v>
      </c>
      <c r="BH228" s="108">
        <f t="shared" si="269"/>
        <v>0</v>
      </c>
      <c r="BI228" s="108">
        <f t="shared" si="270"/>
        <v>0</v>
      </c>
      <c r="BJ228" s="108">
        <f t="shared" si="271"/>
        <v>0</v>
      </c>
    </row>
    <row r="229" spans="1:62" x14ac:dyDescent="0.2">
      <c r="A229" s="117" t="s">
        <v>192</v>
      </c>
      <c r="B229" s="117" t="s">
        <v>2824</v>
      </c>
      <c r="C229" s="304" t="s">
        <v>2133</v>
      </c>
      <c r="D229" s="305"/>
      <c r="E229" s="305"/>
      <c r="F229" s="117" t="s">
        <v>1646</v>
      </c>
      <c r="G229" s="116">
        <v>2</v>
      </c>
      <c r="H229" s="159"/>
      <c r="I229" s="108">
        <f t="shared" si="248"/>
        <v>0</v>
      </c>
      <c r="J229" s="108">
        <f t="shared" si="249"/>
        <v>0</v>
      </c>
      <c r="K229" s="108">
        <f t="shared" si="250"/>
        <v>0</v>
      </c>
      <c r="L229" s="111"/>
      <c r="Z229" s="100">
        <f t="shared" si="251"/>
        <v>0</v>
      </c>
      <c r="AB229" s="100">
        <f t="shared" si="252"/>
        <v>0</v>
      </c>
      <c r="AC229" s="100">
        <f t="shared" si="253"/>
        <v>0</v>
      </c>
      <c r="AD229" s="100">
        <f t="shared" si="254"/>
        <v>0</v>
      </c>
      <c r="AE229" s="100">
        <f t="shared" si="255"/>
        <v>0</v>
      </c>
      <c r="AF229" s="100">
        <f t="shared" si="256"/>
        <v>0</v>
      </c>
      <c r="AG229" s="100">
        <f t="shared" si="257"/>
        <v>0</v>
      </c>
      <c r="AH229" s="100">
        <f t="shared" si="258"/>
        <v>0</v>
      </c>
      <c r="AI229" s="109"/>
      <c r="AJ229" s="108">
        <f t="shared" si="259"/>
        <v>0</v>
      </c>
      <c r="AK229" s="108">
        <f t="shared" si="260"/>
        <v>0</v>
      </c>
      <c r="AL229" s="108">
        <f t="shared" si="261"/>
        <v>0</v>
      </c>
      <c r="AN229" s="100">
        <v>15</v>
      </c>
      <c r="AO229" s="100">
        <f t="shared" si="262"/>
        <v>0</v>
      </c>
      <c r="AP229" s="100">
        <f t="shared" si="263"/>
        <v>0</v>
      </c>
      <c r="AQ229" s="111" t="s">
        <v>13</v>
      </c>
      <c r="AV229" s="100">
        <f t="shared" si="264"/>
        <v>0</v>
      </c>
      <c r="AW229" s="100">
        <f t="shared" si="265"/>
        <v>0</v>
      </c>
      <c r="AX229" s="100">
        <f t="shared" si="266"/>
        <v>0</v>
      </c>
      <c r="AY229" s="110" t="s">
        <v>1708</v>
      </c>
      <c r="AZ229" s="110" t="s">
        <v>1732</v>
      </c>
      <c r="BA229" s="109" t="s">
        <v>1737</v>
      </c>
      <c r="BC229" s="100">
        <f t="shared" si="267"/>
        <v>0</v>
      </c>
      <c r="BD229" s="100">
        <f t="shared" si="268"/>
        <v>0</v>
      </c>
      <c r="BE229" s="100">
        <v>0</v>
      </c>
      <c r="BF229" s="100">
        <f>229</f>
        <v>229</v>
      </c>
      <c r="BH229" s="108">
        <f t="shared" si="269"/>
        <v>0</v>
      </c>
      <c r="BI229" s="108">
        <f t="shared" si="270"/>
        <v>0</v>
      </c>
      <c r="BJ229" s="108">
        <f t="shared" si="271"/>
        <v>0</v>
      </c>
    </row>
    <row r="230" spans="1:62" x14ac:dyDescent="0.2">
      <c r="A230" s="117" t="s">
        <v>193</v>
      </c>
      <c r="B230" s="117" t="s">
        <v>2823</v>
      </c>
      <c r="C230" s="304" t="s">
        <v>1262</v>
      </c>
      <c r="D230" s="305"/>
      <c r="E230" s="305"/>
      <c r="F230" s="117" t="s">
        <v>1644</v>
      </c>
      <c r="G230" s="116">
        <v>1</v>
      </c>
      <c r="H230" s="159"/>
      <c r="I230" s="108">
        <f t="shared" si="248"/>
        <v>0</v>
      </c>
      <c r="J230" s="108">
        <f t="shared" si="249"/>
        <v>0</v>
      </c>
      <c r="K230" s="108">
        <f t="shared" si="250"/>
        <v>0</v>
      </c>
      <c r="L230" s="111"/>
      <c r="Z230" s="100">
        <f t="shared" si="251"/>
        <v>0</v>
      </c>
      <c r="AB230" s="100">
        <f t="shared" si="252"/>
        <v>0</v>
      </c>
      <c r="AC230" s="100">
        <f t="shared" si="253"/>
        <v>0</v>
      </c>
      <c r="AD230" s="100">
        <f t="shared" si="254"/>
        <v>0</v>
      </c>
      <c r="AE230" s="100">
        <f t="shared" si="255"/>
        <v>0</v>
      </c>
      <c r="AF230" s="100">
        <f t="shared" si="256"/>
        <v>0</v>
      </c>
      <c r="AG230" s="100">
        <f t="shared" si="257"/>
        <v>0</v>
      </c>
      <c r="AH230" s="100">
        <f t="shared" si="258"/>
        <v>0</v>
      </c>
      <c r="AI230" s="109"/>
      <c r="AJ230" s="108">
        <f t="shared" si="259"/>
        <v>0</v>
      </c>
      <c r="AK230" s="108">
        <f t="shared" si="260"/>
        <v>0</v>
      </c>
      <c r="AL230" s="108">
        <f t="shared" si="261"/>
        <v>0</v>
      </c>
      <c r="AN230" s="100">
        <v>15</v>
      </c>
      <c r="AO230" s="100">
        <f t="shared" si="262"/>
        <v>0</v>
      </c>
      <c r="AP230" s="100">
        <f t="shared" si="263"/>
        <v>0</v>
      </c>
      <c r="AQ230" s="111" t="s">
        <v>13</v>
      </c>
      <c r="AV230" s="100">
        <f t="shared" si="264"/>
        <v>0</v>
      </c>
      <c r="AW230" s="100">
        <f t="shared" si="265"/>
        <v>0</v>
      </c>
      <c r="AX230" s="100">
        <f t="shared" si="266"/>
        <v>0</v>
      </c>
      <c r="AY230" s="110" t="s">
        <v>1708</v>
      </c>
      <c r="AZ230" s="110" t="s">
        <v>1732</v>
      </c>
      <c r="BA230" s="109" t="s">
        <v>1737</v>
      </c>
      <c r="BC230" s="100">
        <f t="shared" si="267"/>
        <v>0</v>
      </c>
      <c r="BD230" s="100">
        <f t="shared" si="268"/>
        <v>0</v>
      </c>
      <c r="BE230" s="100">
        <v>0</v>
      </c>
      <c r="BF230" s="100">
        <f>230</f>
        <v>230</v>
      </c>
      <c r="BH230" s="108">
        <f t="shared" si="269"/>
        <v>0</v>
      </c>
      <c r="BI230" s="108">
        <f t="shared" si="270"/>
        <v>0</v>
      </c>
      <c r="BJ230" s="108">
        <f t="shared" si="271"/>
        <v>0</v>
      </c>
    </row>
    <row r="231" spans="1:62" x14ac:dyDescent="0.2">
      <c r="A231" s="117" t="s">
        <v>194</v>
      </c>
      <c r="B231" s="117" t="s">
        <v>2822</v>
      </c>
      <c r="C231" s="304" t="s">
        <v>1263</v>
      </c>
      <c r="D231" s="305"/>
      <c r="E231" s="305"/>
      <c r="F231" s="117" t="s">
        <v>1644</v>
      </c>
      <c r="G231" s="116">
        <v>2</v>
      </c>
      <c r="H231" s="159"/>
      <c r="I231" s="108">
        <f t="shared" si="248"/>
        <v>0</v>
      </c>
      <c r="J231" s="108">
        <f t="shared" si="249"/>
        <v>0</v>
      </c>
      <c r="K231" s="108">
        <f t="shared" si="250"/>
        <v>0</v>
      </c>
      <c r="L231" s="111"/>
      <c r="Z231" s="100">
        <f t="shared" si="251"/>
        <v>0</v>
      </c>
      <c r="AB231" s="100">
        <f t="shared" si="252"/>
        <v>0</v>
      </c>
      <c r="AC231" s="100">
        <f t="shared" si="253"/>
        <v>0</v>
      </c>
      <c r="AD231" s="100">
        <f t="shared" si="254"/>
        <v>0</v>
      </c>
      <c r="AE231" s="100">
        <f t="shared" si="255"/>
        <v>0</v>
      </c>
      <c r="AF231" s="100">
        <f t="shared" si="256"/>
        <v>0</v>
      </c>
      <c r="AG231" s="100">
        <f t="shared" si="257"/>
        <v>0</v>
      </c>
      <c r="AH231" s="100">
        <f t="shared" si="258"/>
        <v>0</v>
      </c>
      <c r="AI231" s="109"/>
      <c r="AJ231" s="108">
        <f t="shared" si="259"/>
        <v>0</v>
      </c>
      <c r="AK231" s="108">
        <f t="shared" si="260"/>
        <v>0</v>
      </c>
      <c r="AL231" s="108">
        <f t="shared" si="261"/>
        <v>0</v>
      </c>
      <c r="AN231" s="100">
        <v>15</v>
      </c>
      <c r="AO231" s="100">
        <f t="shared" si="262"/>
        <v>0</v>
      </c>
      <c r="AP231" s="100">
        <f t="shared" si="263"/>
        <v>0</v>
      </c>
      <c r="AQ231" s="111" t="s">
        <v>13</v>
      </c>
      <c r="AV231" s="100">
        <f t="shared" si="264"/>
        <v>0</v>
      </c>
      <c r="AW231" s="100">
        <f t="shared" si="265"/>
        <v>0</v>
      </c>
      <c r="AX231" s="100">
        <f t="shared" si="266"/>
        <v>0</v>
      </c>
      <c r="AY231" s="110" t="s">
        <v>1708</v>
      </c>
      <c r="AZ231" s="110" t="s">
        <v>1732</v>
      </c>
      <c r="BA231" s="109" t="s">
        <v>1737</v>
      </c>
      <c r="BC231" s="100">
        <f t="shared" si="267"/>
        <v>0</v>
      </c>
      <c r="BD231" s="100">
        <f t="shared" si="268"/>
        <v>0</v>
      </c>
      <c r="BE231" s="100">
        <v>0</v>
      </c>
      <c r="BF231" s="100">
        <f>231</f>
        <v>231</v>
      </c>
      <c r="BH231" s="108">
        <f t="shared" si="269"/>
        <v>0</v>
      </c>
      <c r="BI231" s="108">
        <f t="shared" si="270"/>
        <v>0</v>
      </c>
      <c r="BJ231" s="108">
        <f t="shared" si="271"/>
        <v>0</v>
      </c>
    </row>
    <row r="232" spans="1:62" x14ac:dyDescent="0.2">
      <c r="A232" s="117" t="s">
        <v>195</v>
      </c>
      <c r="B232" s="117" t="s">
        <v>2821</v>
      </c>
      <c r="C232" s="304" t="s">
        <v>1264</v>
      </c>
      <c r="D232" s="305"/>
      <c r="E232" s="305"/>
      <c r="F232" s="117" t="s">
        <v>1644</v>
      </c>
      <c r="G232" s="116">
        <v>1</v>
      </c>
      <c r="H232" s="159"/>
      <c r="I232" s="108">
        <f t="shared" si="248"/>
        <v>0</v>
      </c>
      <c r="J232" s="108">
        <f t="shared" si="249"/>
        <v>0</v>
      </c>
      <c r="K232" s="108">
        <f t="shared" si="250"/>
        <v>0</v>
      </c>
      <c r="L232" s="111"/>
      <c r="Z232" s="100">
        <f t="shared" si="251"/>
        <v>0</v>
      </c>
      <c r="AB232" s="100">
        <f t="shared" si="252"/>
        <v>0</v>
      </c>
      <c r="AC232" s="100">
        <f t="shared" si="253"/>
        <v>0</v>
      </c>
      <c r="AD232" s="100">
        <f t="shared" si="254"/>
        <v>0</v>
      </c>
      <c r="AE232" s="100">
        <f t="shared" si="255"/>
        <v>0</v>
      </c>
      <c r="AF232" s="100">
        <f t="shared" si="256"/>
        <v>0</v>
      </c>
      <c r="AG232" s="100">
        <f t="shared" si="257"/>
        <v>0</v>
      </c>
      <c r="AH232" s="100">
        <f t="shared" si="258"/>
        <v>0</v>
      </c>
      <c r="AI232" s="109"/>
      <c r="AJ232" s="108">
        <f t="shared" si="259"/>
        <v>0</v>
      </c>
      <c r="AK232" s="108">
        <f t="shared" si="260"/>
        <v>0</v>
      </c>
      <c r="AL232" s="108">
        <f t="shared" si="261"/>
        <v>0</v>
      </c>
      <c r="AN232" s="100">
        <v>15</v>
      </c>
      <c r="AO232" s="100">
        <f t="shared" si="262"/>
        <v>0</v>
      </c>
      <c r="AP232" s="100">
        <f t="shared" si="263"/>
        <v>0</v>
      </c>
      <c r="AQ232" s="111" t="s">
        <v>13</v>
      </c>
      <c r="AV232" s="100">
        <f t="shared" si="264"/>
        <v>0</v>
      </c>
      <c r="AW232" s="100">
        <f t="shared" si="265"/>
        <v>0</v>
      </c>
      <c r="AX232" s="100">
        <f t="shared" si="266"/>
        <v>0</v>
      </c>
      <c r="AY232" s="110" t="s">
        <v>1708</v>
      </c>
      <c r="AZ232" s="110" t="s">
        <v>1732</v>
      </c>
      <c r="BA232" s="109" t="s">
        <v>1737</v>
      </c>
      <c r="BC232" s="100">
        <f t="shared" si="267"/>
        <v>0</v>
      </c>
      <c r="BD232" s="100">
        <f t="shared" si="268"/>
        <v>0</v>
      </c>
      <c r="BE232" s="100">
        <v>0</v>
      </c>
      <c r="BF232" s="100">
        <f>232</f>
        <v>232</v>
      </c>
      <c r="BH232" s="108">
        <f t="shared" si="269"/>
        <v>0</v>
      </c>
      <c r="BI232" s="108">
        <f t="shared" si="270"/>
        <v>0</v>
      </c>
      <c r="BJ232" s="108">
        <f t="shared" si="271"/>
        <v>0</v>
      </c>
    </row>
    <row r="233" spans="1:62" x14ac:dyDescent="0.2">
      <c r="A233" s="117" t="s">
        <v>196</v>
      </c>
      <c r="B233" s="117" t="s">
        <v>2820</v>
      </c>
      <c r="C233" s="304" t="s">
        <v>1269</v>
      </c>
      <c r="D233" s="305"/>
      <c r="E233" s="305"/>
      <c r="F233" s="117" t="s">
        <v>1644</v>
      </c>
      <c r="G233" s="116">
        <v>1</v>
      </c>
      <c r="H233" s="159"/>
      <c r="I233" s="108">
        <f t="shared" si="248"/>
        <v>0</v>
      </c>
      <c r="J233" s="108">
        <f t="shared" si="249"/>
        <v>0</v>
      </c>
      <c r="K233" s="108">
        <f t="shared" si="250"/>
        <v>0</v>
      </c>
      <c r="L233" s="111"/>
      <c r="Z233" s="100">
        <f t="shared" si="251"/>
        <v>0</v>
      </c>
      <c r="AB233" s="100">
        <f t="shared" si="252"/>
        <v>0</v>
      </c>
      <c r="AC233" s="100">
        <f t="shared" si="253"/>
        <v>0</v>
      </c>
      <c r="AD233" s="100">
        <f t="shared" si="254"/>
        <v>0</v>
      </c>
      <c r="AE233" s="100">
        <f t="shared" si="255"/>
        <v>0</v>
      </c>
      <c r="AF233" s="100">
        <f t="shared" si="256"/>
        <v>0</v>
      </c>
      <c r="AG233" s="100">
        <f t="shared" si="257"/>
        <v>0</v>
      </c>
      <c r="AH233" s="100">
        <f t="shared" si="258"/>
        <v>0</v>
      </c>
      <c r="AI233" s="109"/>
      <c r="AJ233" s="108">
        <f t="shared" si="259"/>
        <v>0</v>
      </c>
      <c r="AK233" s="108">
        <f t="shared" si="260"/>
        <v>0</v>
      </c>
      <c r="AL233" s="108">
        <f t="shared" si="261"/>
        <v>0</v>
      </c>
      <c r="AN233" s="100">
        <v>15</v>
      </c>
      <c r="AO233" s="100">
        <f t="shared" si="262"/>
        <v>0</v>
      </c>
      <c r="AP233" s="100">
        <f t="shared" si="263"/>
        <v>0</v>
      </c>
      <c r="AQ233" s="111" t="s">
        <v>13</v>
      </c>
      <c r="AV233" s="100">
        <f t="shared" si="264"/>
        <v>0</v>
      </c>
      <c r="AW233" s="100">
        <f t="shared" si="265"/>
        <v>0</v>
      </c>
      <c r="AX233" s="100">
        <f t="shared" si="266"/>
        <v>0</v>
      </c>
      <c r="AY233" s="110" t="s">
        <v>1708</v>
      </c>
      <c r="AZ233" s="110" t="s">
        <v>1732</v>
      </c>
      <c r="BA233" s="109" t="s">
        <v>1737</v>
      </c>
      <c r="BC233" s="100">
        <f t="shared" si="267"/>
        <v>0</v>
      </c>
      <c r="BD233" s="100">
        <f t="shared" si="268"/>
        <v>0</v>
      </c>
      <c r="BE233" s="100">
        <v>0</v>
      </c>
      <c r="BF233" s="100">
        <f>233</f>
        <v>233</v>
      </c>
      <c r="BH233" s="108">
        <f t="shared" si="269"/>
        <v>0</v>
      </c>
      <c r="BI233" s="108">
        <f t="shared" si="270"/>
        <v>0</v>
      </c>
      <c r="BJ233" s="108">
        <f t="shared" si="271"/>
        <v>0</v>
      </c>
    </row>
    <row r="234" spans="1:62" x14ac:dyDescent="0.2">
      <c r="A234" s="117" t="s">
        <v>197</v>
      </c>
      <c r="B234" s="117" t="s">
        <v>2819</v>
      </c>
      <c r="C234" s="304" t="s">
        <v>1270</v>
      </c>
      <c r="D234" s="305"/>
      <c r="E234" s="305"/>
      <c r="F234" s="117" t="s">
        <v>1644</v>
      </c>
      <c r="G234" s="116">
        <v>1</v>
      </c>
      <c r="H234" s="159"/>
      <c r="I234" s="108">
        <f t="shared" si="248"/>
        <v>0</v>
      </c>
      <c r="J234" s="108">
        <f t="shared" si="249"/>
        <v>0</v>
      </c>
      <c r="K234" s="108">
        <f t="shared" si="250"/>
        <v>0</v>
      </c>
      <c r="L234" s="111"/>
      <c r="Z234" s="100">
        <f t="shared" si="251"/>
        <v>0</v>
      </c>
      <c r="AB234" s="100">
        <f t="shared" si="252"/>
        <v>0</v>
      </c>
      <c r="AC234" s="100">
        <f t="shared" si="253"/>
        <v>0</v>
      </c>
      <c r="AD234" s="100">
        <f t="shared" si="254"/>
        <v>0</v>
      </c>
      <c r="AE234" s="100">
        <f t="shared" si="255"/>
        <v>0</v>
      </c>
      <c r="AF234" s="100">
        <f t="shared" si="256"/>
        <v>0</v>
      </c>
      <c r="AG234" s="100">
        <f t="shared" si="257"/>
        <v>0</v>
      </c>
      <c r="AH234" s="100">
        <f t="shared" si="258"/>
        <v>0</v>
      </c>
      <c r="AI234" s="109"/>
      <c r="AJ234" s="108">
        <f t="shared" si="259"/>
        <v>0</v>
      </c>
      <c r="AK234" s="108">
        <f t="shared" si="260"/>
        <v>0</v>
      </c>
      <c r="AL234" s="108">
        <f t="shared" si="261"/>
        <v>0</v>
      </c>
      <c r="AN234" s="100">
        <v>15</v>
      </c>
      <c r="AO234" s="100">
        <f t="shared" si="262"/>
        <v>0</v>
      </c>
      <c r="AP234" s="100">
        <f t="shared" si="263"/>
        <v>0</v>
      </c>
      <c r="AQ234" s="111" t="s">
        <v>13</v>
      </c>
      <c r="AV234" s="100">
        <f t="shared" si="264"/>
        <v>0</v>
      </c>
      <c r="AW234" s="100">
        <f t="shared" si="265"/>
        <v>0</v>
      </c>
      <c r="AX234" s="100">
        <f t="shared" si="266"/>
        <v>0</v>
      </c>
      <c r="AY234" s="110" t="s">
        <v>1708</v>
      </c>
      <c r="AZ234" s="110" t="s">
        <v>1732</v>
      </c>
      <c r="BA234" s="109" t="s">
        <v>1737</v>
      </c>
      <c r="BC234" s="100">
        <f t="shared" si="267"/>
        <v>0</v>
      </c>
      <c r="BD234" s="100">
        <f t="shared" si="268"/>
        <v>0</v>
      </c>
      <c r="BE234" s="100">
        <v>0</v>
      </c>
      <c r="BF234" s="100">
        <f>234</f>
        <v>234</v>
      </c>
      <c r="BH234" s="108">
        <f t="shared" si="269"/>
        <v>0</v>
      </c>
      <c r="BI234" s="108">
        <f t="shared" si="270"/>
        <v>0</v>
      </c>
      <c r="BJ234" s="108">
        <f t="shared" si="271"/>
        <v>0</v>
      </c>
    </row>
    <row r="235" spans="1:62" x14ac:dyDescent="0.2">
      <c r="A235" s="117" t="s">
        <v>198</v>
      </c>
      <c r="B235" s="117" t="s">
        <v>2818</v>
      </c>
      <c r="C235" s="304" t="s">
        <v>1271</v>
      </c>
      <c r="D235" s="305"/>
      <c r="E235" s="305"/>
      <c r="F235" s="117" t="s">
        <v>1644</v>
      </c>
      <c r="G235" s="116">
        <v>1</v>
      </c>
      <c r="H235" s="159"/>
      <c r="I235" s="108">
        <f t="shared" si="248"/>
        <v>0</v>
      </c>
      <c r="J235" s="108">
        <f t="shared" si="249"/>
        <v>0</v>
      </c>
      <c r="K235" s="108">
        <f t="shared" si="250"/>
        <v>0</v>
      </c>
      <c r="L235" s="111"/>
      <c r="Z235" s="100">
        <f t="shared" si="251"/>
        <v>0</v>
      </c>
      <c r="AB235" s="100">
        <f t="shared" si="252"/>
        <v>0</v>
      </c>
      <c r="AC235" s="100">
        <f t="shared" si="253"/>
        <v>0</v>
      </c>
      <c r="AD235" s="100">
        <f t="shared" si="254"/>
        <v>0</v>
      </c>
      <c r="AE235" s="100">
        <f t="shared" si="255"/>
        <v>0</v>
      </c>
      <c r="AF235" s="100">
        <f t="shared" si="256"/>
        <v>0</v>
      </c>
      <c r="AG235" s="100">
        <f t="shared" si="257"/>
        <v>0</v>
      </c>
      <c r="AH235" s="100">
        <f t="shared" si="258"/>
        <v>0</v>
      </c>
      <c r="AI235" s="109"/>
      <c r="AJ235" s="108">
        <f t="shared" si="259"/>
        <v>0</v>
      </c>
      <c r="AK235" s="108">
        <f t="shared" si="260"/>
        <v>0</v>
      </c>
      <c r="AL235" s="108">
        <f t="shared" si="261"/>
        <v>0</v>
      </c>
      <c r="AN235" s="100">
        <v>15</v>
      </c>
      <c r="AO235" s="100">
        <f t="shared" si="262"/>
        <v>0</v>
      </c>
      <c r="AP235" s="100">
        <f t="shared" si="263"/>
        <v>0</v>
      </c>
      <c r="AQ235" s="111" t="s">
        <v>13</v>
      </c>
      <c r="AV235" s="100">
        <f t="shared" si="264"/>
        <v>0</v>
      </c>
      <c r="AW235" s="100">
        <f t="shared" si="265"/>
        <v>0</v>
      </c>
      <c r="AX235" s="100">
        <f t="shared" si="266"/>
        <v>0</v>
      </c>
      <c r="AY235" s="110" t="s">
        <v>1708</v>
      </c>
      <c r="AZ235" s="110" t="s">
        <v>1732</v>
      </c>
      <c r="BA235" s="109" t="s">
        <v>1737</v>
      </c>
      <c r="BC235" s="100">
        <f t="shared" si="267"/>
        <v>0</v>
      </c>
      <c r="BD235" s="100">
        <f t="shared" si="268"/>
        <v>0</v>
      </c>
      <c r="BE235" s="100">
        <v>0</v>
      </c>
      <c r="BF235" s="100">
        <f>235</f>
        <v>235</v>
      </c>
      <c r="BH235" s="108">
        <f t="shared" si="269"/>
        <v>0</v>
      </c>
      <c r="BI235" s="108">
        <f t="shared" si="270"/>
        <v>0</v>
      </c>
      <c r="BJ235" s="108">
        <f t="shared" si="271"/>
        <v>0</v>
      </c>
    </row>
    <row r="236" spans="1:62" x14ac:dyDescent="0.2">
      <c r="A236" s="117" t="s">
        <v>199</v>
      </c>
      <c r="B236" s="117" t="s">
        <v>2817</v>
      </c>
      <c r="C236" s="304" t="s">
        <v>1272</v>
      </c>
      <c r="D236" s="305"/>
      <c r="E236" s="305"/>
      <c r="F236" s="117" t="s">
        <v>1644</v>
      </c>
      <c r="G236" s="116">
        <v>1</v>
      </c>
      <c r="H236" s="159"/>
      <c r="I236" s="108">
        <f t="shared" si="248"/>
        <v>0</v>
      </c>
      <c r="J236" s="108">
        <f t="shared" si="249"/>
        <v>0</v>
      </c>
      <c r="K236" s="108">
        <f t="shared" si="250"/>
        <v>0</v>
      </c>
      <c r="L236" s="111"/>
      <c r="Z236" s="100">
        <f t="shared" si="251"/>
        <v>0</v>
      </c>
      <c r="AB236" s="100">
        <f t="shared" si="252"/>
        <v>0</v>
      </c>
      <c r="AC236" s="100">
        <f t="shared" si="253"/>
        <v>0</v>
      </c>
      <c r="AD236" s="100">
        <f t="shared" si="254"/>
        <v>0</v>
      </c>
      <c r="AE236" s="100">
        <f t="shared" si="255"/>
        <v>0</v>
      </c>
      <c r="AF236" s="100">
        <f t="shared" si="256"/>
        <v>0</v>
      </c>
      <c r="AG236" s="100">
        <f t="shared" si="257"/>
        <v>0</v>
      </c>
      <c r="AH236" s="100">
        <f t="shared" si="258"/>
        <v>0</v>
      </c>
      <c r="AI236" s="109"/>
      <c r="AJ236" s="108">
        <f t="shared" si="259"/>
        <v>0</v>
      </c>
      <c r="AK236" s="108">
        <f t="shared" si="260"/>
        <v>0</v>
      </c>
      <c r="AL236" s="108">
        <f t="shared" si="261"/>
        <v>0</v>
      </c>
      <c r="AN236" s="100">
        <v>15</v>
      </c>
      <c r="AO236" s="100">
        <f t="shared" si="262"/>
        <v>0</v>
      </c>
      <c r="AP236" s="100">
        <f t="shared" si="263"/>
        <v>0</v>
      </c>
      <c r="AQ236" s="111" t="s">
        <v>13</v>
      </c>
      <c r="AV236" s="100">
        <f t="shared" si="264"/>
        <v>0</v>
      </c>
      <c r="AW236" s="100">
        <f t="shared" si="265"/>
        <v>0</v>
      </c>
      <c r="AX236" s="100">
        <f t="shared" si="266"/>
        <v>0</v>
      </c>
      <c r="AY236" s="110" t="s">
        <v>1708</v>
      </c>
      <c r="AZ236" s="110" t="s">
        <v>1732</v>
      </c>
      <c r="BA236" s="109" t="s">
        <v>1737</v>
      </c>
      <c r="BC236" s="100">
        <f t="shared" si="267"/>
        <v>0</v>
      </c>
      <c r="BD236" s="100">
        <f t="shared" si="268"/>
        <v>0</v>
      </c>
      <c r="BE236" s="100">
        <v>0</v>
      </c>
      <c r="BF236" s="100">
        <f>236</f>
        <v>236</v>
      </c>
      <c r="BH236" s="108">
        <f t="shared" si="269"/>
        <v>0</v>
      </c>
      <c r="BI236" s="108">
        <f t="shared" si="270"/>
        <v>0</v>
      </c>
      <c r="BJ236" s="108">
        <f t="shared" si="271"/>
        <v>0</v>
      </c>
    </row>
    <row r="237" spans="1:62" x14ac:dyDescent="0.2">
      <c r="A237" s="117" t="s">
        <v>200</v>
      </c>
      <c r="B237" s="117" t="s">
        <v>2816</v>
      </c>
      <c r="C237" s="304" t="s">
        <v>1276</v>
      </c>
      <c r="D237" s="305"/>
      <c r="E237" s="305"/>
      <c r="F237" s="117" t="s">
        <v>1644</v>
      </c>
      <c r="G237" s="116">
        <v>1</v>
      </c>
      <c r="H237" s="159"/>
      <c r="I237" s="108">
        <f t="shared" si="248"/>
        <v>0</v>
      </c>
      <c r="J237" s="108">
        <f t="shared" si="249"/>
        <v>0</v>
      </c>
      <c r="K237" s="108">
        <f t="shared" si="250"/>
        <v>0</v>
      </c>
      <c r="L237" s="111"/>
      <c r="Z237" s="100">
        <f t="shared" si="251"/>
        <v>0</v>
      </c>
      <c r="AB237" s="100">
        <f t="shared" si="252"/>
        <v>0</v>
      </c>
      <c r="AC237" s="100">
        <f t="shared" si="253"/>
        <v>0</v>
      </c>
      <c r="AD237" s="100">
        <f t="shared" si="254"/>
        <v>0</v>
      </c>
      <c r="AE237" s="100">
        <f t="shared" si="255"/>
        <v>0</v>
      </c>
      <c r="AF237" s="100">
        <f t="shared" si="256"/>
        <v>0</v>
      </c>
      <c r="AG237" s="100">
        <f t="shared" si="257"/>
        <v>0</v>
      </c>
      <c r="AH237" s="100">
        <f t="shared" si="258"/>
        <v>0</v>
      </c>
      <c r="AI237" s="109"/>
      <c r="AJ237" s="108">
        <f t="shared" si="259"/>
        <v>0</v>
      </c>
      <c r="AK237" s="108">
        <f t="shared" si="260"/>
        <v>0</v>
      </c>
      <c r="AL237" s="108">
        <f t="shared" si="261"/>
        <v>0</v>
      </c>
      <c r="AN237" s="100">
        <v>15</v>
      </c>
      <c r="AO237" s="100">
        <f t="shared" si="262"/>
        <v>0</v>
      </c>
      <c r="AP237" s="100">
        <f t="shared" si="263"/>
        <v>0</v>
      </c>
      <c r="AQ237" s="111" t="s">
        <v>13</v>
      </c>
      <c r="AV237" s="100">
        <f t="shared" si="264"/>
        <v>0</v>
      </c>
      <c r="AW237" s="100">
        <f t="shared" si="265"/>
        <v>0</v>
      </c>
      <c r="AX237" s="100">
        <f t="shared" si="266"/>
        <v>0</v>
      </c>
      <c r="AY237" s="110" t="s">
        <v>1708</v>
      </c>
      <c r="AZ237" s="110" t="s">
        <v>1732</v>
      </c>
      <c r="BA237" s="109" t="s">
        <v>1737</v>
      </c>
      <c r="BC237" s="100">
        <f t="shared" si="267"/>
        <v>0</v>
      </c>
      <c r="BD237" s="100">
        <f t="shared" si="268"/>
        <v>0</v>
      </c>
      <c r="BE237" s="100">
        <v>0</v>
      </c>
      <c r="BF237" s="100">
        <f>237</f>
        <v>237</v>
      </c>
      <c r="BH237" s="108">
        <f t="shared" si="269"/>
        <v>0</v>
      </c>
      <c r="BI237" s="108">
        <f t="shared" si="270"/>
        <v>0</v>
      </c>
      <c r="BJ237" s="108">
        <f t="shared" si="271"/>
        <v>0</v>
      </c>
    </row>
    <row r="238" spans="1:62" x14ac:dyDescent="0.2">
      <c r="A238" s="117" t="s">
        <v>201</v>
      </c>
      <c r="B238" s="117" t="s">
        <v>2815</v>
      </c>
      <c r="C238" s="304" t="s">
        <v>1278</v>
      </c>
      <c r="D238" s="305"/>
      <c r="E238" s="305"/>
      <c r="F238" s="117" t="s">
        <v>1644</v>
      </c>
      <c r="G238" s="116">
        <v>2</v>
      </c>
      <c r="H238" s="159"/>
      <c r="I238" s="108">
        <f t="shared" si="248"/>
        <v>0</v>
      </c>
      <c r="J238" s="108">
        <f t="shared" si="249"/>
        <v>0</v>
      </c>
      <c r="K238" s="108">
        <f t="shared" si="250"/>
        <v>0</v>
      </c>
      <c r="L238" s="111"/>
      <c r="Z238" s="100">
        <f t="shared" si="251"/>
        <v>0</v>
      </c>
      <c r="AB238" s="100">
        <f t="shared" si="252"/>
        <v>0</v>
      </c>
      <c r="AC238" s="100">
        <f t="shared" si="253"/>
        <v>0</v>
      </c>
      <c r="AD238" s="100">
        <f t="shared" si="254"/>
        <v>0</v>
      </c>
      <c r="AE238" s="100">
        <f t="shared" si="255"/>
        <v>0</v>
      </c>
      <c r="AF238" s="100">
        <f t="shared" si="256"/>
        <v>0</v>
      </c>
      <c r="AG238" s="100">
        <f t="shared" si="257"/>
        <v>0</v>
      </c>
      <c r="AH238" s="100">
        <f t="shared" si="258"/>
        <v>0</v>
      </c>
      <c r="AI238" s="109"/>
      <c r="AJ238" s="108">
        <f t="shared" si="259"/>
        <v>0</v>
      </c>
      <c r="AK238" s="108">
        <f t="shared" si="260"/>
        <v>0</v>
      </c>
      <c r="AL238" s="108">
        <f t="shared" si="261"/>
        <v>0</v>
      </c>
      <c r="AN238" s="100">
        <v>15</v>
      </c>
      <c r="AO238" s="100">
        <f t="shared" si="262"/>
        <v>0</v>
      </c>
      <c r="AP238" s="100">
        <f t="shared" si="263"/>
        <v>0</v>
      </c>
      <c r="AQ238" s="111" t="s">
        <v>13</v>
      </c>
      <c r="AV238" s="100">
        <f t="shared" si="264"/>
        <v>0</v>
      </c>
      <c r="AW238" s="100">
        <f t="shared" si="265"/>
        <v>0</v>
      </c>
      <c r="AX238" s="100">
        <f t="shared" si="266"/>
        <v>0</v>
      </c>
      <c r="AY238" s="110" t="s">
        <v>1708</v>
      </c>
      <c r="AZ238" s="110" t="s">
        <v>1732</v>
      </c>
      <c r="BA238" s="109" t="s">
        <v>1737</v>
      </c>
      <c r="BC238" s="100">
        <f t="shared" si="267"/>
        <v>0</v>
      </c>
      <c r="BD238" s="100">
        <f t="shared" si="268"/>
        <v>0</v>
      </c>
      <c r="BE238" s="100">
        <v>0</v>
      </c>
      <c r="BF238" s="100">
        <f>238</f>
        <v>238</v>
      </c>
      <c r="BH238" s="108">
        <f t="shared" si="269"/>
        <v>0</v>
      </c>
      <c r="BI238" s="108">
        <f t="shared" si="270"/>
        <v>0</v>
      </c>
      <c r="BJ238" s="108">
        <f t="shared" si="271"/>
        <v>0</v>
      </c>
    </row>
    <row r="239" spans="1:62" x14ac:dyDescent="0.2">
      <c r="A239" s="117" t="s">
        <v>202</v>
      </c>
      <c r="B239" s="117" t="s">
        <v>2814</v>
      </c>
      <c r="C239" s="304" t="s">
        <v>2123</v>
      </c>
      <c r="D239" s="305"/>
      <c r="E239" s="305"/>
      <c r="F239" s="117" t="s">
        <v>1644</v>
      </c>
      <c r="G239" s="116">
        <v>1</v>
      </c>
      <c r="H239" s="159"/>
      <c r="I239" s="108">
        <f t="shared" si="248"/>
        <v>0</v>
      </c>
      <c r="J239" s="108">
        <f t="shared" si="249"/>
        <v>0</v>
      </c>
      <c r="K239" s="108">
        <f t="shared" si="250"/>
        <v>0</v>
      </c>
      <c r="L239" s="111"/>
      <c r="Z239" s="100">
        <f t="shared" si="251"/>
        <v>0</v>
      </c>
      <c r="AB239" s="100">
        <f t="shared" si="252"/>
        <v>0</v>
      </c>
      <c r="AC239" s="100">
        <f t="shared" si="253"/>
        <v>0</v>
      </c>
      <c r="AD239" s="100">
        <f t="shared" si="254"/>
        <v>0</v>
      </c>
      <c r="AE239" s="100">
        <f t="shared" si="255"/>
        <v>0</v>
      </c>
      <c r="AF239" s="100">
        <f t="shared" si="256"/>
        <v>0</v>
      </c>
      <c r="AG239" s="100">
        <f t="shared" si="257"/>
        <v>0</v>
      </c>
      <c r="AH239" s="100">
        <f t="shared" si="258"/>
        <v>0</v>
      </c>
      <c r="AI239" s="109"/>
      <c r="AJ239" s="108">
        <f t="shared" si="259"/>
        <v>0</v>
      </c>
      <c r="AK239" s="108">
        <f t="shared" si="260"/>
        <v>0</v>
      </c>
      <c r="AL239" s="108">
        <f t="shared" si="261"/>
        <v>0</v>
      </c>
      <c r="AN239" s="100">
        <v>15</v>
      </c>
      <c r="AO239" s="100">
        <f t="shared" si="262"/>
        <v>0</v>
      </c>
      <c r="AP239" s="100">
        <f t="shared" si="263"/>
        <v>0</v>
      </c>
      <c r="AQ239" s="111" t="s">
        <v>13</v>
      </c>
      <c r="AV239" s="100">
        <f t="shared" si="264"/>
        <v>0</v>
      </c>
      <c r="AW239" s="100">
        <f t="shared" si="265"/>
        <v>0</v>
      </c>
      <c r="AX239" s="100">
        <f t="shared" si="266"/>
        <v>0</v>
      </c>
      <c r="AY239" s="110" t="s">
        <v>1708</v>
      </c>
      <c r="AZ239" s="110" t="s">
        <v>1732</v>
      </c>
      <c r="BA239" s="109" t="s">
        <v>1737</v>
      </c>
      <c r="BC239" s="100">
        <f t="shared" si="267"/>
        <v>0</v>
      </c>
      <c r="BD239" s="100">
        <f t="shared" si="268"/>
        <v>0</v>
      </c>
      <c r="BE239" s="100">
        <v>0</v>
      </c>
      <c r="BF239" s="100">
        <f>239</f>
        <v>239</v>
      </c>
      <c r="BH239" s="108">
        <f t="shared" si="269"/>
        <v>0</v>
      </c>
      <c r="BI239" s="108">
        <f t="shared" si="270"/>
        <v>0</v>
      </c>
      <c r="BJ239" s="108">
        <f t="shared" si="271"/>
        <v>0</v>
      </c>
    </row>
    <row r="240" spans="1:62" x14ac:dyDescent="0.2">
      <c r="A240" s="117" t="s">
        <v>203</v>
      </c>
      <c r="B240" s="117" t="s">
        <v>2813</v>
      </c>
      <c r="C240" s="304" t="s">
        <v>1280</v>
      </c>
      <c r="D240" s="305"/>
      <c r="E240" s="305"/>
      <c r="F240" s="117" t="s">
        <v>1646</v>
      </c>
      <c r="G240" s="116">
        <v>10</v>
      </c>
      <c r="H240" s="159"/>
      <c r="I240" s="108">
        <f t="shared" si="248"/>
        <v>0</v>
      </c>
      <c r="J240" s="108">
        <f t="shared" si="249"/>
        <v>0</v>
      </c>
      <c r="K240" s="108">
        <f t="shared" si="250"/>
        <v>0</v>
      </c>
      <c r="L240" s="111"/>
      <c r="Z240" s="100">
        <f t="shared" si="251"/>
        <v>0</v>
      </c>
      <c r="AB240" s="100">
        <f t="shared" si="252"/>
        <v>0</v>
      </c>
      <c r="AC240" s="100">
        <f t="shared" si="253"/>
        <v>0</v>
      </c>
      <c r="AD240" s="100">
        <f t="shared" si="254"/>
        <v>0</v>
      </c>
      <c r="AE240" s="100">
        <f t="shared" si="255"/>
        <v>0</v>
      </c>
      <c r="AF240" s="100">
        <f t="shared" si="256"/>
        <v>0</v>
      </c>
      <c r="AG240" s="100">
        <f t="shared" si="257"/>
        <v>0</v>
      </c>
      <c r="AH240" s="100">
        <f t="shared" si="258"/>
        <v>0</v>
      </c>
      <c r="AI240" s="109"/>
      <c r="AJ240" s="108">
        <f t="shared" si="259"/>
        <v>0</v>
      </c>
      <c r="AK240" s="108">
        <f t="shared" si="260"/>
        <v>0</v>
      </c>
      <c r="AL240" s="108">
        <f t="shared" si="261"/>
        <v>0</v>
      </c>
      <c r="AN240" s="100">
        <v>15</v>
      </c>
      <c r="AO240" s="100">
        <f t="shared" si="262"/>
        <v>0</v>
      </c>
      <c r="AP240" s="100">
        <f t="shared" si="263"/>
        <v>0</v>
      </c>
      <c r="AQ240" s="111" t="s">
        <v>13</v>
      </c>
      <c r="AV240" s="100">
        <f t="shared" si="264"/>
        <v>0</v>
      </c>
      <c r="AW240" s="100">
        <f t="shared" si="265"/>
        <v>0</v>
      </c>
      <c r="AX240" s="100">
        <f t="shared" si="266"/>
        <v>0</v>
      </c>
      <c r="AY240" s="110" t="s">
        <v>1708</v>
      </c>
      <c r="AZ240" s="110" t="s">
        <v>1732</v>
      </c>
      <c r="BA240" s="109" t="s">
        <v>1737</v>
      </c>
      <c r="BC240" s="100">
        <f t="shared" si="267"/>
        <v>0</v>
      </c>
      <c r="BD240" s="100">
        <f t="shared" si="268"/>
        <v>0</v>
      </c>
      <c r="BE240" s="100">
        <v>0</v>
      </c>
      <c r="BF240" s="100">
        <f>240</f>
        <v>240</v>
      </c>
      <c r="BH240" s="108">
        <f t="shared" si="269"/>
        <v>0</v>
      </c>
      <c r="BI240" s="108">
        <f t="shared" si="270"/>
        <v>0</v>
      </c>
      <c r="BJ240" s="108">
        <f t="shared" si="271"/>
        <v>0</v>
      </c>
    </row>
    <row r="241" spans="1:62" x14ac:dyDescent="0.2">
      <c r="A241" s="117" t="s">
        <v>204</v>
      </c>
      <c r="B241" s="117" t="s">
        <v>2812</v>
      </c>
      <c r="C241" s="304" t="s">
        <v>1281</v>
      </c>
      <c r="D241" s="305"/>
      <c r="E241" s="305"/>
      <c r="F241" s="117" t="s">
        <v>1646</v>
      </c>
      <c r="G241" s="116">
        <v>4</v>
      </c>
      <c r="H241" s="159"/>
      <c r="I241" s="108">
        <f t="shared" si="248"/>
        <v>0</v>
      </c>
      <c r="J241" s="108">
        <f t="shared" si="249"/>
        <v>0</v>
      </c>
      <c r="K241" s="108">
        <f t="shared" si="250"/>
        <v>0</v>
      </c>
      <c r="L241" s="111"/>
      <c r="Z241" s="100">
        <f t="shared" si="251"/>
        <v>0</v>
      </c>
      <c r="AB241" s="100">
        <f t="shared" si="252"/>
        <v>0</v>
      </c>
      <c r="AC241" s="100">
        <f t="shared" si="253"/>
        <v>0</v>
      </c>
      <c r="AD241" s="100">
        <f t="shared" si="254"/>
        <v>0</v>
      </c>
      <c r="AE241" s="100">
        <f t="shared" si="255"/>
        <v>0</v>
      </c>
      <c r="AF241" s="100">
        <f t="shared" si="256"/>
        <v>0</v>
      </c>
      <c r="AG241" s="100">
        <f t="shared" si="257"/>
        <v>0</v>
      </c>
      <c r="AH241" s="100">
        <f t="shared" si="258"/>
        <v>0</v>
      </c>
      <c r="AI241" s="109"/>
      <c r="AJ241" s="108">
        <f t="shared" si="259"/>
        <v>0</v>
      </c>
      <c r="AK241" s="108">
        <f t="shared" si="260"/>
        <v>0</v>
      </c>
      <c r="AL241" s="108">
        <f t="shared" si="261"/>
        <v>0</v>
      </c>
      <c r="AN241" s="100">
        <v>15</v>
      </c>
      <c r="AO241" s="100">
        <f t="shared" si="262"/>
        <v>0</v>
      </c>
      <c r="AP241" s="100">
        <f t="shared" si="263"/>
        <v>0</v>
      </c>
      <c r="AQ241" s="111" t="s">
        <v>13</v>
      </c>
      <c r="AV241" s="100">
        <f t="shared" si="264"/>
        <v>0</v>
      </c>
      <c r="AW241" s="100">
        <f t="shared" si="265"/>
        <v>0</v>
      </c>
      <c r="AX241" s="100">
        <f t="shared" si="266"/>
        <v>0</v>
      </c>
      <c r="AY241" s="110" t="s">
        <v>1708</v>
      </c>
      <c r="AZ241" s="110" t="s">
        <v>1732</v>
      </c>
      <c r="BA241" s="109" t="s">
        <v>1737</v>
      </c>
      <c r="BC241" s="100">
        <f t="shared" si="267"/>
        <v>0</v>
      </c>
      <c r="BD241" s="100">
        <f t="shared" si="268"/>
        <v>0</v>
      </c>
      <c r="BE241" s="100">
        <v>0</v>
      </c>
      <c r="BF241" s="100">
        <f>241</f>
        <v>241</v>
      </c>
      <c r="BH241" s="108">
        <f t="shared" si="269"/>
        <v>0</v>
      </c>
      <c r="BI241" s="108">
        <f t="shared" si="270"/>
        <v>0</v>
      </c>
      <c r="BJ241" s="108">
        <f t="shared" si="271"/>
        <v>0</v>
      </c>
    </row>
    <row r="242" spans="1:62" x14ac:dyDescent="0.2">
      <c r="A242" s="117" t="s">
        <v>205</v>
      </c>
      <c r="B242" s="117" t="s">
        <v>2811</v>
      </c>
      <c r="C242" s="304" t="s">
        <v>1282</v>
      </c>
      <c r="D242" s="305"/>
      <c r="E242" s="305"/>
      <c r="F242" s="117" t="s">
        <v>1644</v>
      </c>
      <c r="G242" s="116">
        <v>1</v>
      </c>
      <c r="H242" s="159"/>
      <c r="I242" s="108">
        <f t="shared" si="248"/>
        <v>0</v>
      </c>
      <c r="J242" s="108">
        <f t="shared" si="249"/>
        <v>0</v>
      </c>
      <c r="K242" s="108">
        <f t="shared" si="250"/>
        <v>0</v>
      </c>
      <c r="L242" s="111"/>
      <c r="Z242" s="100">
        <f t="shared" si="251"/>
        <v>0</v>
      </c>
      <c r="AB242" s="100">
        <f t="shared" si="252"/>
        <v>0</v>
      </c>
      <c r="AC242" s="100">
        <f t="shared" si="253"/>
        <v>0</v>
      </c>
      <c r="AD242" s="100">
        <f t="shared" si="254"/>
        <v>0</v>
      </c>
      <c r="AE242" s="100">
        <f t="shared" si="255"/>
        <v>0</v>
      </c>
      <c r="AF242" s="100">
        <f t="shared" si="256"/>
        <v>0</v>
      </c>
      <c r="AG242" s="100">
        <f t="shared" si="257"/>
        <v>0</v>
      </c>
      <c r="AH242" s="100">
        <f t="shared" si="258"/>
        <v>0</v>
      </c>
      <c r="AI242" s="109"/>
      <c r="AJ242" s="108">
        <f t="shared" si="259"/>
        <v>0</v>
      </c>
      <c r="AK242" s="108">
        <f t="shared" si="260"/>
        <v>0</v>
      </c>
      <c r="AL242" s="108">
        <f t="shared" si="261"/>
        <v>0</v>
      </c>
      <c r="AN242" s="100">
        <v>15</v>
      </c>
      <c r="AO242" s="100">
        <f t="shared" si="262"/>
        <v>0</v>
      </c>
      <c r="AP242" s="100">
        <f t="shared" si="263"/>
        <v>0</v>
      </c>
      <c r="AQ242" s="111" t="s">
        <v>13</v>
      </c>
      <c r="AV242" s="100">
        <f t="shared" si="264"/>
        <v>0</v>
      </c>
      <c r="AW242" s="100">
        <f t="shared" si="265"/>
        <v>0</v>
      </c>
      <c r="AX242" s="100">
        <f t="shared" si="266"/>
        <v>0</v>
      </c>
      <c r="AY242" s="110" t="s">
        <v>1708</v>
      </c>
      <c r="AZ242" s="110" t="s">
        <v>1732</v>
      </c>
      <c r="BA242" s="109" t="s">
        <v>1737</v>
      </c>
      <c r="BC242" s="100">
        <f t="shared" si="267"/>
        <v>0</v>
      </c>
      <c r="BD242" s="100">
        <f t="shared" si="268"/>
        <v>0</v>
      </c>
      <c r="BE242" s="100">
        <v>0</v>
      </c>
      <c r="BF242" s="100">
        <f>242</f>
        <v>242</v>
      </c>
      <c r="BH242" s="108">
        <f t="shared" si="269"/>
        <v>0</v>
      </c>
      <c r="BI242" s="108">
        <f t="shared" si="270"/>
        <v>0</v>
      </c>
      <c r="BJ242" s="108">
        <f t="shared" si="271"/>
        <v>0</v>
      </c>
    </row>
    <row r="243" spans="1:62" x14ac:dyDescent="0.2">
      <c r="A243" s="119"/>
      <c r="B243" s="120" t="s">
        <v>771</v>
      </c>
      <c r="C243" s="306" t="s">
        <v>1283</v>
      </c>
      <c r="D243" s="307"/>
      <c r="E243" s="307"/>
      <c r="F243" s="119" t="s">
        <v>6</v>
      </c>
      <c r="G243" s="119" t="s">
        <v>6</v>
      </c>
      <c r="H243" s="119" t="s">
        <v>6</v>
      </c>
      <c r="I243" s="118">
        <f>SUM(I244:I320)</f>
        <v>0</v>
      </c>
      <c r="J243" s="118">
        <f>SUM(J244:J320)</f>
        <v>0</v>
      </c>
      <c r="K243" s="118">
        <f>SUM(K244:K320)</f>
        <v>0</v>
      </c>
      <c r="L243" s="109"/>
      <c r="AI243" s="109"/>
      <c r="AS243" s="118">
        <f>SUM(AJ244:AJ320)</f>
        <v>0</v>
      </c>
      <c r="AT243" s="118">
        <f>SUM(AK244:AK320)</f>
        <v>0</v>
      </c>
      <c r="AU243" s="118">
        <f>SUM(AL244:AL320)</f>
        <v>0</v>
      </c>
    </row>
    <row r="244" spans="1:62" x14ac:dyDescent="0.2">
      <c r="A244" s="117" t="s">
        <v>206</v>
      </c>
      <c r="B244" s="117" t="s">
        <v>2810</v>
      </c>
      <c r="C244" s="304" t="s">
        <v>1284</v>
      </c>
      <c r="D244" s="305"/>
      <c r="E244" s="305"/>
      <c r="F244" s="117" t="s">
        <v>1644</v>
      </c>
      <c r="G244" s="116">
        <v>1</v>
      </c>
      <c r="H244" s="159"/>
      <c r="I244" s="108">
        <f t="shared" ref="I244:I275" si="272">G244*AO244</f>
        <v>0</v>
      </c>
      <c r="J244" s="108">
        <f t="shared" ref="J244:J275" si="273">G244*AP244</f>
        <v>0</v>
      </c>
      <c r="K244" s="108">
        <f t="shared" ref="K244:K275" si="274">G244*H244</f>
        <v>0</v>
      </c>
      <c r="L244" s="111"/>
      <c r="Z244" s="100">
        <f t="shared" ref="Z244:Z275" si="275">IF(AQ244="5",BJ244,0)</f>
        <v>0</v>
      </c>
      <c r="AB244" s="100">
        <f t="shared" ref="AB244:AB275" si="276">IF(AQ244="1",BH244,0)</f>
        <v>0</v>
      </c>
      <c r="AC244" s="100">
        <f t="shared" ref="AC244:AC275" si="277">IF(AQ244="1",BI244,0)</f>
        <v>0</v>
      </c>
      <c r="AD244" s="100">
        <f t="shared" ref="AD244:AD275" si="278">IF(AQ244="7",BH244,0)</f>
        <v>0</v>
      </c>
      <c r="AE244" s="100">
        <f t="shared" ref="AE244:AE275" si="279">IF(AQ244="7",BI244,0)</f>
        <v>0</v>
      </c>
      <c r="AF244" s="100">
        <f t="shared" ref="AF244:AF275" si="280">IF(AQ244="2",BH244,0)</f>
        <v>0</v>
      </c>
      <c r="AG244" s="100">
        <f t="shared" ref="AG244:AG275" si="281">IF(AQ244="2",BI244,0)</f>
        <v>0</v>
      </c>
      <c r="AH244" s="100">
        <f t="shared" ref="AH244:AH275" si="282">IF(AQ244="0",BJ244,0)</f>
        <v>0</v>
      </c>
      <c r="AI244" s="109"/>
      <c r="AJ244" s="108">
        <f t="shared" ref="AJ244:AJ275" si="283">IF(AN244=0,K244,0)</f>
        <v>0</v>
      </c>
      <c r="AK244" s="108">
        <f t="shared" ref="AK244:AK275" si="284">IF(AN244=15,K244,0)</f>
        <v>0</v>
      </c>
      <c r="AL244" s="108">
        <f t="shared" ref="AL244:AL275" si="285">IF(AN244=21,K244,0)</f>
        <v>0</v>
      </c>
      <c r="AN244" s="100">
        <v>15</v>
      </c>
      <c r="AO244" s="100">
        <f t="shared" ref="AO244:AO275" si="286">H244*0</f>
        <v>0</v>
      </c>
      <c r="AP244" s="100">
        <f t="shared" ref="AP244:AP275" si="287">H244*(1-0)</f>
        <v>0</v>
      </c>
      <c r="AQ244" s="111" t="s">
        <v>13</v>
      </c>
      <c r="AV244" s="100">
        <f t="shared" ref="AV244:AV275" si="288">AW244+AX244</f>
        <v>0</v>
      </c>
      <c r="AW244" s="100">
        <f t="shared" ref="AW244:AW275" si="289">G244*AO244</f>
        <v>0</v>
      </c>
      <c r="AX244" s="100">
        <f t="shared" ref="AX244:AX275" si="290">G244*AP244</f>
        <v>0</v>
      </c>
      <c r="AY244" s="110" t="s">
        <v>1709</v>
      </c>
      <c r="AZ244" s="110" t="s">
        <v>1733</v>
      </c>
      <c r="BA244" s="109" t="s">
        <v>1737</v>
      </c>
      <c r="BC244" s="100">
        <f t="shared" ref="BC244:BC275" si="291">AW244+AX244</f>
        <v>0</v>
      </c>
      <c r="BD244" s="100">
        <f t="shared" ref="BD244:BD275" si="292">H244/(100-BE244)*100</f>
        <v>0</v>
      </c>
      <c r="BE244" s="100">
        <v>0</v>
      </c>
      <c r="BF244" s="100">
        <f>244</f>
        <v>244</v>
      </c>
      <c r="BH244" s="108">
        <f t="shared" ref="BH244:BH275" si="293">G244*AO244</f>
        <v>0</v>
      </c>
      <c r="BI244" s="108">
        <f t="shared" ref="BI244:BI275" si="294">G244*AP244</f>
        <v>0</v>
      </c>
      <c r="BJ244" s="108">
        <f t="shared" ref="BJ244:BJ275" si="295">G244*H244</f>
        <v>0</v>
      </c>
    </row>
    <row r="245" spans="1:62" x14ac:dyDescent="0.2">
      <c r="A245" s="117" t="s">
        <v>207</v>
      </c>
      <c r="B245" s="117" t="s">
        <v>2809</v>
      </c>
      <c r="C245" s="304" t="s">
        <v>1285</v>
      </c>
      <c r="D245" s="305"/>
      <c r="E245" s="305"/>
      <c r="F245" s="117" t="s">
        <v>1644</v>
      </c>
      <c r="G245" s="116">
        <v>1</v>
      </c>
      <c r="H245" s="159"/>
      <c r="I245" s="108">
        <f t="shared" si="272"/>
        <v>0</v>
      </c>
      <c r="J245" s="108">
        <f t="shared" si="273"/>
        <v>0</v>
      </c>
      <c r="K245" s="108">
        <f t="shared" si="274"/>
        <v>0</v>
      </c>
      <c r="L245" s="111"/>
      <c r="Z245" s="100">
        <f t="shared" si="275"/>
        <v>0</v>
      </c>
      <c r="AB245" s="100">
        <f t="shared" si="276"/>
        <v>0</v>
      </c>
      <c r="AC245" s="100">
        <f t="shared" si="277"/>
        <v>0</v>
      </c>
      <c r="AD245" s="100">
        <f t="shared" si="278"/>
        <v>0</v>
      </c>
      <c r="AE245" s="100">
        <f t="shared" si="279"/>
        <v>0</v>
      </c>
      <c r="AF245" s="100">
        <f t="shared" si="280"/>
        <v>0</v>
      </c>
      <c r="AG245" s="100">
        <f t="shared" si="281"/>
        <v>0</v>
      </c>
      <c r="AH245" s="100">
        <f t="shared" si="282"/>
        <v>0</v>
      </c>
      <c r="AI245" s="109"/>
      <c r="AJ245" s="108">
        <f t="shared" si="283"/>
        <v>0</v>
      </c>
      <c r="AK245" s="108">
        <f t="shared" si="284"/>
        <v>0</v>
      </c>
      <c r="AL245" s="108">
        <f t="shared" si="285"/>
        <v>0</v>
      </c>
      <c r="AN245" s="100">
        <v>15</v>
      </c>
      <c r="AO245" s="100">
        <f t="shared" si="286"/>
        <v>0</v>
      </c>
      <c r="AP245" s="100">
        <f t="shared" si="287"/>
        <v>0</v>
      </c>
      <c r="AQ245" s="111" t="s">
        <v>13</v>
      </c>
      <c r="AV245" s="100">
        <f t="shared" si="288"/>
        <v>0</v>
      </c>
      <c r="AW245" s="100">
        <f t="shared" si="289"/>
        <v>0</v>
      </c>
      <c r="AX245" s="100">
        <f t="shared" si="290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291"/>
        <v>0</v>
      </c>
      <c r="BD245" s="100">
        <f t="shared" si="292"/>
        <v>0</v>
      </c>
      <c r="BE245" s="100">
        <v>0</v>
      </c>
      <c r="BF245" s="100">
        <f>245</f>
        <v>245</v>
      </c>
      <c r="BH245" s="108">
        <f t="shared" si="293"/>
        <v>0</v>
      </c>
      <c r="BI245" s="108">
        <f t="shared" si="294"/>
        <v>0</v>
      </c>
      <c r="BJ245" s="108">
        <f t="shared" si="295"/>
        <v>0</v>
      </c>
    </row>
    <row r="246" spans="1:62" x14ac:dyDescent="0.2">
      <c r="A246" s="117" t="s">
        <v>208</v>
      </c>
      <c r="B246" s="117" t="s">
        <v>2808</v>
      </c>
      <c r="C246" s="304" t="s">
        <v>1286</v>
      </c>
      <c r="D246" s="305"/>
      <c r="E246" s="305"/>
      <c r="F246" s="117" t="s">
        <v>1644</v>
      </c>
      <c r="G246" s="116">
        <v>2</v>
      </c>
      <c r="H246" s="159"/>
      <c r="I246" s="108">
        <f t="shared" si="272"/>
        <v>0</v>
      </c>
      <c r="J246" s="108">
        <f t="shared" si="273"/>
        <v>0</v>
      </c>
      <c r="K246" s="108">
        <f t="shared" si="274"/>
        <v>0</v>
      </c>
      <c r="L246" s="111"/>
      <c r="Z246" s="100">
        <f t="shared" si="275"/>
        <v>0</v>
      </c>
      <c r="AB246" s="100">
        <f t="shared" si="276"/>
        <v>0</v>
      </c>
      <c r="AC246" s="100">
        <f t="shared" si="277"/>
        <v>0</v>
      </c>
      <c r="AD246" s="100">
        <f t="shared" si="278"/>
        <v>0</v>
      </c>
      <c r="AE246" s="100">
        <f t="shared" si="279"/>
        <v>0</v>
      </c>
      <c r="AF246" s="100">
        <f t="shared" si="280"/>
        <v>0</v>
      </c>
      <c r="AG246" s="100">
        <f t="shared" si="281"/>
        <v>0</v>
      </c>
      <c r="AH246" s="100">
        <f t="shared" si="282"/>
        <v>0</v>
      </c>
      <c r="AI246" s="109"/>
      <c r="AJ246" s="108">
        <f t="shared" si="283"/>
        <v>0</v>
      </c>
      <c r="AK246" s="108">
        <f t="shared" si="284"/>
        <v>0</v>
      </c>
      <c r="AL246" s="108">
        <f t="shared" si="285"/>
        <v>0</v>
      </c>
      <c r="AN246" s="100">
        <v>15</v>
      </c>
      <c r="AO246" s="100">
        <f t="shared" si="286"/>
        <v>0</v>
      </c>
      <c r="AP246" s="100">
        <f t="shared" si="287"/>
        <v>0</v>
      </c>
      <c r="AQ246" s="111" t="s">
        <v>13</v>
      </c>
      <c r="AV246" s="100">
        <f t="shared" si="288"/>
        <v>0</v>
      </c>
      <c r="AW246" s="100">
        <f t="shared" si="289"/>
        <v>0</v>
      </c>
      <c r="AX246" s="100">
        <f t="shared" si="290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291"/>
        <v>0</v>
      </c>
      <c r="BD246" s="100">
        <f t="shared" si="292"/>
        <v>0</v>
      </c>
      <c r="BE246" s="100">
        <v>0</v>
      </c>
      <c r="BF246" s="100">
        <f>246</f>
        <v>246</v>
      </c>
      <c r="BH246" s="108">
        <f t="shared" si="293"/>
        <v>0</v>
      </c>
      <c r="BI246" s="108">
        <f t="shared" si="294"/>
        <v>0</v>
      </c>
      <c r="BJ246" s="108">
        <f t="shared" si="295"/>
        <v>0</v>
      </c>
    </row>
    <row r="247" spans="1:62" x14ac:dyDescent="0.2">
      <c r="A247" s="117" t="s">
        <v>209</v>
      </c>
      <c r="B247" s="117" t="s">
        <v>2807</v>
      </c>
      <c r="C247" s="304" t="s">
        <v>1287</v>
      </c>
      <c r="D247" s="305"/>
      <c r="E247" s="305"/>
      <c r="F247" s="117" t="s">
        <v>1644</v>
      </c>
      <c r="G247" s="116">
        <v>1</v>
      </c>
      <c r="H247" s="159"/>
      <c r="I247" s="108">
        <f t="shared" si="272"/>
        <v>0</v>
      </c>
      <c r="J247" s="108">
        <f t="shared" si="273"/>
        <v>0</v>
      </c>
      <c r="K247" s="108">
        <f t="shared" si="274"/>
        <v>0</v>
      </c>
      <c r="L247" s="111"/>
      <c r="Z247" s="100">
        <f t="shared" si="275"/>
        <v>0</v>
      </c>
      <c r="AB247" s="100">
        <f t="shared" si="276"/>
        <v>0</v>
      </c>
      <c r="AC247" s="100">
        <f t="shared" si="277"/>
        <v>0</v>
      </c>
      <c r="AD247" s="100">
        <f t="shared" si="278"/>
        <v>0</v>
      </c>
      <c r="AE247" s="100">
        <f t="shared" si="279"/>
        <v>0</v>
      </c>
      <c r="AF247" s="100">
        <f t="shared" si="280"/>
        <v>0</v>
      </c>
      <c r="AG247" s="100">
        <f t="shared" si="281"/>
        <v>0</v>
      </c>
      <c r="AH247" s="100">
        <f t="shared" si="282"/>
        <v>0</v>
      </c>
      <c r="AI247" s="109"/>
      <c r="AJ247" s="108">
        <f t="shared" si="283"/>
        <v>0</v>
      </c>
      <c r="AK247" s="108">
        <f t="shared" si="284"/>
        <v>0</v>
      </c>
      <c r="AL247" s="108">
        <f t="shared" si="285"/>
        <v>0</v>
      </c>
      <c r="AN247" s="100">
        <v>15</v>
      </c>
      <c r="AO247" s="100">
        <f t="shared" si="286"/>
        <v>0</v>
      </c>
      <c r="AP247" s="100">
        <f t="shared" si="287"/>
        <v>0</v>
      </c>
      <c r="AQ247" s="111" t="s">
        <v>13</v>
      </c>
      <c r="AV247" s="100">
        <f t="shared" si="288"/>
        <v>0</v>
      </c>
      <c r="AW247" s="100">
        <f t="shared" si="289"/>
        <v>0</v>
      </c>
      <c r="AX247" s="100">
        <f t="shared" si="290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291"/>
        <v>0</v>
      </c>
      <c r="BD247" s="100">
        <f t="shared" si="292"/>
        <v>0</v>
      </c>
      <c r="BE247" s="100">
        <v>0</v>
      </c>
      <c r="BF247" s="100">
        <f>247</f>
        <v>247</v>
      </c>
      <c r="BH247" s="108">
        <f t="shared" si="293"/>
        <v>0</v>
      </c>
      <c r="BI247" s="108">
        <f t="shared" si="294"/>
        <v>0</v>
      </c>
      <c r="BJ247" s="108">
        <f t="shared" si="295"/>
        <v>0</v>
      </c>
    </row>
    <row r="248" spans="1:62" x14ac:dyDescent="0.2">
      <c r="A248" s="117" t="s">
        <v>210</v>
      </c>
      <c r="B248" s="117" t="s">
        <v>2806</v>
      </c>
      <c r="C248" s="304" t="s">
        <v>1288</v>
      </c>
      <c r="D248" s="305"/>
      <c r="E248" s="305"/>
      <c r="F248" s="117" t="s">
        <v>1644</v>
      </c>
      <c r="G248" s="116">
        <v>1</v>
      </c>
      <c r="H248" s="159"/>
      <c r="I248" s="108">
        <f t="shared" si="272"/>
        <v>0</v>
      </c>
      <c r="J248" s="108">
        <f t="shared" si="273"/>
        <v>0</v>
      </c>
      <c r="K248" s="108">
        <f t="shared" si="274"/>
        <v>0</v>
      </c>
      <c r="L248" s="111"/>
      <c r="Z248" s="100">
        <f t="shared" si="275"/>
        <v>0</v>
      </c>
      <c r="AB248" s="100">
        <f t="shared" si="276"/>
        <v>0</v>
      </c>
      <c r="AC248" s="100">
        <f t="shared" si="277"/>
        <v>0</v>
      </c>
      <c r="AD248" s="100">
        <f t="shared" si="278"/>
        <v>0</v>
      </c>
      <c r="AE248" s="100">
        <f t="shared" si="279"/>
        <v>0</v>
      </c>
      <c r="AF248" s="100">
        <f t="shared" si="280"/>
        <v>0</v>
      </c>
      <c r="AG248" s="100">
        <f t="shared" si="281"/>
        <v>0</v>
      </c>
      <c r="AH248" s="100">
        <f t="shared" si="282"/>
        <v>0</v>
      </c>
      <c r="AI248" s="109"/>
      <c r="AJ248" s="108">
        <f t="shared" si="283"/>
        <v>0</v>
      </c>
      <c r="AK248" s="108">
        <f t="shared" si="284"/>
        <v>0</v>
      </c>
      <c r="AL248" s="108">
        <f t="shared" si="285"/>
        <v>0</v>
      </c>
      <c r="AN248" s="100">
        <v>15</v>
      </c>
      <c r="AO248" s="100">
        <f t="shared" si="286"/>
        <v>0</v>
      </c>
      <c r="AP248" s="100">
        <f t="shared" si="287"/>
        <v>0</v>
      </c>
      <c r="AQ248" s="111" t="s">
        <v>13</v>
      </c>
      <c r="AV248" s="100">
        <f t="shared" si="288"/>
        <v>0</v>
      </c>
      <c r="AW248" s="100">
        <f t="shared" si="289"/>
        <v>0</v>
      </c>
      <c r="AX248" s="100">
        <f t="shared" si="290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291"/>
        <v>0</v>
      </c>
      <c r="BD248" s="100">
        <f t="shared" si="292"/>
        <v>0</v>
      </c>
      <c r="BE248" s="100">
        <v>0</v>
      </c>
      <c r="BF248" s="100">
        <f>248</f>
        <v>248</v>
      </c>
      <c r="BH248" s="108">
        <f t="shared" si="293"/>
        <v>0</v>
      </c>
      <c r="BI248" s="108">
        <f t="shared" si="294"/>
        <v>0</v>
      </c>
      <c r="BJ248" s="108">
        <f t="shared" si="295"/>
        <v>0</v>
      </c>
    </row>
    <row r="249" spans="1:62" x14ac:dyDescent="0.2">
      <c r="A249" s="117" t="s">
        <v>211</v>
      </c>
      <c r="B249" s="117" t="s">
        <v>2805</v>
      </c>
      <c r="C249" s="304" t="s">
        <v>1289</v>
      </c>
      <c r="D249" s="305"/>
      <c r="E249" s="305"/>
      <c r="F249" s="117" t="s">
        <v>1644</v>
      </c>
      <c r="G249" s="116">
        <v>3</v>
      </c>
      <c r="H249" s="159"/>
      <c r="I249" s="108">
        <f t="shared" si="272"/>
        <v>0</v>
      </c>
      <c r="J249" s="108">
        <f t="shared" si="273"/>
        <v>0</v>
      </c>
      <c r="K249" s="108">
        <f t="shared" si="274"/>
        <v>0</v>
      </c>
      <c r="L249" s="111"/>
      <c r="Z249" s="100">
        <f t="shared" si="275"/>
        <v>0</v>
      </c>
      <c r="AB249" s="100">
        <f t="shared" si="276"/>
        <v>0</v>
      </c>
      <c r="AC249" s="100">
        <f t="shared" si="277"/>
        <v>0</v>
      </c>
      <c r="AD249" s="100">
        <f t="shared" si="278"/>
        <v>0</v>
      </c>
      <c r="AE249" s="100">
        <f t="shared" si="279"/>
        <v>0</v>
      </c>
      <c r="AF249" s="100">
        <f t="shared" si="280"/>
        <v>0</v>
      </c>
      <c r="AG249" s="100">
        <f t="shared" si="281"/>
        <v>0</v>
      </c>
      <c r="AH249" s="100">
        <f t="shared" si="282"/>
        <v>0</v>
      </c>
      <c r="AI249" s="109"/>
      <c r="AJ249" s="108">
        <f t="shared" si="283"/>
        <v>0</v>
      </c>
      <c r="AK249" s="108">
        <f t="shared" si="284"/>
        <v>0</v>
      </c>
      <c r="AL249" s="108">
        <f t="shared" si="285"/>
        <v>0</v>
      </c>
      <c r="AN249" s="100">
        <v>15</v>
      </c>
      <c r="AO249" s="100">
        <f t="shared" si="286"/>
        <v>0</v>
      </c>
      <c r="AP249" s="100">
        <f t="shared" si="287"/>
        <v>0</v>
      </c>
      <c r="AQ249" s="111" t="s">
        <v>13</v>
      </c>
      <c r="AV249" s="100">
        <f t="shared" si="288"/>
        <v>0</v>
      </c>
      <c r="AW249" s="100">
        <f t="shared" si="289"/>
        <v>0</v>
      </c>
      <c r="AX249" s="100">
        <f t="shared" si="290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291"/>
        <v>0</v>
      </c>
      <c r="BD249" s="100">
        <f t="shared" si="292"/>
        <v>0</v>
      </c>
      <c r="BE249" s="100">
        <v>0</v>
      </c>
      <c r="BF249" s="100">
        <f>249</f>
        <v>249</v>
      </c>
      <c r="BH249" s="108">
        <f t="shared" si="293"/>
        <v>0</v>
      </c>
      <c r="BI249" s="108">
        <f t="shared" si="294"/>
        <v>0</v>
      </c>
      <c r="BJ249" s="108">
        <f t="shared" si="295"/>
        <v>0</v>
      </c>
    </row>
    <row r="250" spans="1:62" x14ac:dyDescent="0.2">
      <c r="A250" s="117" t="s">
        <v>212</v>
      </c>
      <c r="B250" s="117" t="s">
        <v>2804</v>
      </c>
      <c r="C250" s="304" t="s">
        <v>1290</v>
      </c>
      <c r="D250" s="305"/>
      <c r="E250" s="305"/>
      <c r="F250" s="117" t="s">
        <v>1644</v>
      </c>
      <c r="G250" s="116">
        <v>2</v>
      </c>
      <c r="H250" s="159"/>
      <c r="I250" s="108">
        <f t="shared" si="272"/>
        <v>0</v>
      </c>
      <c r="J250" s="108">
        <f t="shared" si="273"/>
        <v>0</v>
      </c>
      <c r="K250" s="108">
        <f t="shared" si="274"/>
        <v>0</v>
      </c>
      <c r="L250" s="111"/>
      <c r="Z250" s="100">
        <f t="shared" si="275"/>
        <v>0</v>
      </c>
      <c r="AB250" s="100">
        <f t="shared" si="276"/>
        <v>0</v>
      </c>
      <c r="AC250" s="100">
        <f t="shared" si="277"/>
        <v>0</v>
      </c>
      <c r="AD250" s="100">
        <f t="shared" si="278"/>
        <v>0</v>
      </c>
      <c r="AE250" s="100">
        <f t="shared" si="279"/>
        <v>0</v>
      </c>
      <c r="AF250" s="100">
        <f t="shared" si="280"/>
        <v>0</v>
      </c>
      <c r="AG250" s="100">
        <f t="shared" si="281"/>
        <v>0</v>
      </c>
      <c r="AH250" s="100">
        <f t="shared" si="282"/>
        <v>0</v>
      </c>
      <c r="AI250" s="109"/>
      <c r="AJ250" s="108">
        <f t="shared" si="283"/>
        <v>0</v>
      </c>
      <c r="AK250" s="108">
        <f t="shared" si="284"/>
        <v>0</v>
      </c>
      <c r="AL250" s="108">
        <f t="shared" si="285"/>
        <v>0</v>
      </c>
      <c r="AN250" s="100">
        <v>15</v>
      </c>
      <c r="AO250" s="100">
        <f t="shared" si="286"/>
        <v>0</v>
      </c>
      <c r="AP250" s="100">
        <f t="shared" si="287"/>
        <v>0</v>
      </c>
      <c r="AQ250" s="111" t="s">
        <v>13</v>
      </c>
      <c r="AV250" s="100">
        <f t="shared" si="288"/>
        <v>0</v>
      </c>
      <c r="AW250" s="100">
        <f t="shared" si="289"/>
        <v>0</v>
      </c>
      <c r="AX250" s="100">
        <f t="shared" si="290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291"/>
        <v>0</v>
      </c>
      <c r="BD250" s="100">
        <f t="shared" si="292"/>
        <v>0</v>
      </c>
      <c r="BE250" s="100">
        <v>0</v>
      </c>
      <c r="BF250" s="100">
        <f>250</f>
        <v>250</v>
      </c>
      <c r="BH250" s="108">
        <f t="shared" si="293"/>
        <v>0</v>
      </c>
      <c r="BI250" s="108">
        <f t="shared" si="294"/>
        <v>0</v>
      </c>
      <c r="BJ250" s="108">
        <f t="shared" si="295"/>
        <v>0</v>
      </c>
    </row>
    <row r="251" spans="1:62" x14ac:dyDescent="0.2">
      <c r="A251" s="117" t="s">
        <v>213</v>
      </c>
      <c r="B251" s="117" t="s">
        <v>2803</v>
      </c>
      <c r="C251" s="304" t="s">
        <v>1291</v>
      </c>
      <c r="D251" s="305"/>
      <c r="E251" s="305"/>
      <c r="F251" s="117" t="s">
        <v>1644</v>
      </c>
      <c r="G251" s="116">
        <v>2</v>
      </c>
      <c r="H251" s="159"/>
      <c r="I251" s="108">
        <f t="shared" si="272"/>
        <v>0</v>
      </c>
      <c r="J251" s="108">
        <f t="shared" si="273"/>
        <v>0</v>
      </c>
      <c r="K251" s="108">
        <f t="shared" si="274"/>
        <v>0</v>
      </c>
      <c r="L251" s="111"/>
      <c r="Z251" s="100">
        <f t="shared" si="275"/>
        <v>0</v>
      </c>
      <c r="AB251" s="100">
        <f t="shared" si="276"/>
        <v>0</v>
      </c>
      <c r="AC251" s="100">
        <f t="shared" si="277"/>
        <v>0</v>
      </c>
      <c r="AD251" s="100">
        <f t="shared" si="278"/>
        <v>0</v>
      </c>
      <c r="AE251" s="100">
        <f t="shared" si="279"/>
        <v>0</v>
      </c>
      <c r="AF251" s="100">
        <f t="shared" si="280"/>
        <v>0</v>
      </c>
      <c r="AG251" s="100">
        <f t="shared" si="281"/>
        <v>0</v>
      </c>
      <c r="AH251" s="100">
        <f t="shared" si="282"/>
        <v>0</v>
      </c>
      <c r="AI251" s="109"/>
      <c r="AJ251" s="108">
        <f t="shared" si="283"/>
        <v>0</v>
      </c>
      <c r="AK251" s="108">
        <f t="shared" si="284"/>
        <v>0</v>
      </c>
      <c r="AL251" s="108">
        <f t="shared" si="285"/>
        <v>0</v>
      </c>
      <c r="AN251" s="100">
        <v>15</v>
      </c>
      <c r="AO251" s="100">
        <f t="shared" si="286"/>
        <v>0</v>
      </c>
      <c r="AP251" s="100">
        <f t="shared" si="287"/>
        <v>0</v>
      </c>
      <c r="AQ251" s="111" t="s">
        <v>13</v>
      </c>
      <c r="AV251" s="100">
        <f t="shared" si="288"/>
        <v>0</v>
      </c>
      <c r="AW251" s="100">
        <f t="shared" si="289"/>
        <v>0</v>
      </c>
      <c r="AX251" s="100">
        <f t="shared" si="290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291"/>
        <v>0</v>
      </c>
      <c r="BD251" s="100">
        <f t="shared" si="292"/>
        <v>0</v>
      </c>
      <c r="BE251" s="100">
        <v>0</v>
      </c>
      <c r="BF251" s="100">
        <f>251</f>
        <v>251</v>
      </c>
      <c r="BH251" s="108">
        <f t="shared" si="293"/>
        <v>0</v>
      </c>
      <c r="BI251" s="108">
        <f t="shared" si="294"/>
        <v>0</v>
      </c>
      <c r="BJ251" s="108">
        <f t="shared" si="295"/>
        <v>0</v>
      </c>
    </row>
    <row r="252" spans="1:62" x14ac:dyDescent="0.2">
      <c r="A252" s="117" t="s">
        <v>214</v>
      </c>
      <c r="B252" s="117" t="s">
        <v>2802</v>
      </c>
      <c r="C252" s="304" t="s">
        <v>1292</v>
      </c>
      <c r="D252" s="305"/>
      <c r="E252" s="305"/>
      <c r="F252" s="117" t="s">
        <v>1644</v>
      </c>
      <c r="G252" s="116">
        <v>1</v>
      </c>
      <c r="H252" s="159"/>
      <c r="I252" s="108">
        <f t="shared" si="272"/>
        <v>0</v>
      </c>
      <c r="J252" s="108">
        <f t="shared" si="273"/>
        <v>0</v>
      </c>
      <c r="K252" s="108">
        <f t="shared" si="274"/>
        <v>0</v>
      </c>
      <c r="L252" s="111"/>
      <c r="Z252" s="100">
        <f t="shared" si="275"/>
        <v>0</v>
      </c>
      <c r="AB252" s="100">
        <f t="shared" si="276"/>
        <v>0</v>
      </c>
      <c r="AC252" s="100">
        <f t="shared" si="277"/>
        <v>0</v>
      </c>
      <c r="AD252" s="100">
        <f t="shared" si="278"/>
        <v>0</v>
      </c>
      <c r="AE252" s="100">
        <f t="shared" si="279"/>
        <v>0</v>
      </c>
      <c r="AF252" s="100">
        <f t="shared" si="280"/>
        <v>0</v>
      </c>
      <c r="AG252" s="100">
        <f t="shared" si="281"/>
        <v>0</v>
      </c>
      <c r="AH252" s="100">
        <f t="shared" si="282"/>
        <v>0</v>
      </c>
      <c r="AI252" s="109"/>
      <c r="AJ252" s="108">
        <f t="shared" si="283"/>
        <v>0</v>
      </c>
      <c r="AK252" s="108">
        <f t="shared" si="284"/>
        <v>0</v>
      </c>
      <c r="AL252" s="108">
        <f t="shared" si="285"/>
        <v>0</v>
      </c>
      <c r="AN252" s="100">
        <v>15</v>
      </c>
      <c r="AO252" s="100">
        <f t="shared" si="286"/>
        <v>0</v>
      </c>
      <c r="AP252" s="100">
        <f t="shared" si="287"/>
        <v>0</v>
      </c>
      <c r="AQ252" s="111" t="s">
        <v>13</v>
      </c>
      <c r="AV252" s="100">
        <f t="shared" si="288"/>
        <v>0</v>
      </c>
      <c r="AW252" s="100">
        <f t="shared" si="289"/>
        <v>0</v>
      </c>
      <c r="AX252" s="100">
        <f t="shared" si="290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291"/>
        <v>0</v>
      </c>
      <c r="BD252" s="100">
        <f t="shared" si="292"/>
        <v>0</v>
      </c>
      <c r="BE252" s="100">
        <v>0</v>
      </c>
      <c r="BF252" s="100">
        <f>252</f>
        <v>252</v>
      </c>
      <c r="BH252" s="108">
        <f t="shared" si="293"/>
        <v>0</v>
      </c>
      <c r="BI252" s="108">
        <f t="shared" si="294"/>
        <v>0</v>
      </c>
      <c r="BJ252" s="108">
        <f t="shared" si="295"/>
        <v>0</v>
      </c>
    </row>
    <row r="253" spans="1:62" x14ac:dyDescent="0.2">
      <c r="A253" s="117" t="s">
        <v>215</v>
      </c>
      <c r="B253" s="117" t="s">
        <v>2801</v>
      </c>
      <c r="C253" s="304" t="s">
        <v>1293</v>
      </c>
      <c r="D253" s="305"/>
      <c r="E253" s="305"/>
      <c r="F253" s="117" t="s">
        <v>1644</v>
      </c>
      <c r="G253" s="116">
        <v>1</v>
      </c>
      <c r="H253" s="159"/>
      <c r="I253" s="108">
        <f t="shared" si="272"/>
        <v>0</v>
      </c>
      <c r="J253" s="108">
        <f t="shared" si="273"/>
        <v>0</v>
      </c>
      <c r="K253" s="108">
        <f t="shared" si="274"/>
        <v>0</v>
      </c>
      <c r="L253" s="111"/>
      <c r="Z253" s="100">
        <f t="shared" si="275"/>
        <v>0</v>
      </c>
      <c r="AB253" s="100">
        <f t="shared" si="276"/>
        <v>0</v>
      </c>
      <c r="AC253" s="100">
        <f t="shared" si="277"/>
        <v>0</v>
      </c>
      <c r="AD253" s="100">
        <f t="shared" si="278"/>
        <v>0</v>
      </c>
      <c r="AE253" s="100">
        <f t="shared" si="279"/>
        <v>0</v>
      </c>
      <c r="AF253" s="100">
        <f t="shared" si="280"/>
        <v>0</v>
      </c>
      <c r="AG253" s="100">
        <f t="shared" si="281"/>
        <v>0</v>
      </c>
      <c r="AH253" s="100">
        <f t="shared" si="282"/>
        <v>0</v>
      </c>
      <c r="AI253" s="109"/>
      <c r="AJ253" s="108">
        <f t="shared" si="283"/>
        <v>0</v>
      </c>
      <c r="AK253" s="108">
        <f t="shared" si="284"/>
        <v>0</v>
      </c>
      <c r="AL253" s="108">
        <f t="shared" si="285"/>
        <v>0</v>
      </c>
      <c r="AN253" s="100">
        <v>15</v>
      </c>
      <c r="AO253" s="100">
        <f t="shared" si="286"/>
        <v>0</v>
      </c>
      <c r="AP253" s="100">
        <f t="shared" si="287"/>
        <v>0</v>
      </c>
      <c r="AQ253" s="111" t="s">
        <v>13</v>
      </c>
      <c r="AV253" s="100">
        <f t="shared" si="288"/>
        <v>0</v>
      </c>
      <c r="AW253" s="100">
        <f t="shared" si="289"/>
        <v>0</v>
      </c>
      <c r="AX253" s="100">
        <f t="shared" si="290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291"/>
        <v>0</v>
      </c>
      <c r="BD253" s="100">
        <f t="shared" si="292"/>
        <v>0</v>
      </c>
      <c r="BE253" s="100">
        <v>0</v>
      </c>
      <c r="BF253" s="100">
        <f>253</f>
        <v>253</v>
      </c>
      <c r="BH253" s="108">
        <f t="shared" si="293"/>
        <v>0</v>
      </c>
      <c r="BI253" s="108">
        <f t="shared" si="294"/>
        <v>0</v>
      </c>
      <c r="BJ253" s="108">
        <f t="shared" si="295"/>
        <v>0</v>
      </c>
    </row>
    <row r="254" spans="1:62" x14ac:dyDescent="0.2">
      <c r="A254" s="117" t="s">
        <v>216</v>
      </c>
      <c r="B254" s="117" t="s">
        <v>2800</v>
      </c>
      <c r="C254" s="304" t="s">
        <v>1294</v>
      </c>
      <c r="D254" s="305"/>
      <c r="E254" s="305"/>
      <c r="F254" s="117" t="s">
        <v>1644</v>
      </c>
      <c r="G254" s="116">
        <v>1</v>
      </c>
      <c r="H254" s="159"/>
      <c r="I254" s="108">
        <f t="shared" si="272"/>
        <v>0</v>
      </c>
      <c r="J254" s="108">
        <f t="shared" si="273"/>
        <v>0</v>
      </c>
      <c r="K254" s="108">
        <f t="shared" si="274"/>
        <v>0</v>
      </c>
      <c r="L254" s="111"/>
      <c r="Z254" s="100">
        <f t="shared" si="275"/>
        <v>0</v>
      </c>
      <c r="AB254" s="100">
        <f t="shared" si="276"/>
        <v>0</v>
      </c>
      <c r="AC254" s="100">
        <f t="shared" si="277"/>
        <v>0</v>
      </c>
      <c r="AD254" s="100">
        <f t="shared" si="278"/>
        <v>0</v>
      </c>
      <c r="AE254" s="100">
        <f t="shared" si="279"/>
        <v>0</v>
      </c>
      <c r="AF254" s="100">
        <f t="shared" si="280"/>
        <v>0</v>
      </c>
      <c r="AG254" s="100">
        <f t="shared" si="281"/>
        <v>0</v>
      </c>
      <c r="AH254" s="100">
        <f t="shared" si="282"/>
        <v>0</v>
      </c>
      <c r="AI254" s="109"/>
      <c r="AJ254" s="108">
        <f t="shared" si="283"/>
        <v>0</v>
      </c>
      <c r="AK254" s="108">
        <f t="shared" si="284"/>
        <v>0</v>
      </c>
      <c r="AL254" s="108">
        <f t="shared" si="285"/>
        <v>0</v>
      </c>
      <c r="AN254" s="100">
        <v>15</v>
      </c>
      <c r="AO254" s="100">
        <f t="shared" si="286"/>
        <v>0</v>
      </c>
      <c r="AP254" s="100">
        <f t="shared" si="287"/>
        <v>0</v>
      </c>
      <c r="AQ254" s="111" t="s">
        <v>13</v>
      </c>
      <c r="AV254" s="100">
        <f t="shared" si="288"/>
        <v>0</v>
      </c>
      <c r="AW254" s="100">
        <f t="shared" si="289"/>
        <v>0</v>
      </c>
      <c r="AX254" s="100">
        <f t="shared" si="290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291"/>
        <v>0</v>
      </c>
      <c r="BD254" s="100">
        <f t="shared" si="292"/>
        <v>0</v>
      </c>
      <c r="BE254" s="100">
        <v>0</v>
      </c>
      <c r="BF254" s="100">
        <f>254</f>
        <v>254</v>
      </c>
      <c r="BH254" s="108">
        <f t="shared" si="293"/>
        <v>0</v>
      </c>
      <c r="BI254" s="108">
        <f t="shared" si="294"/>
        <v>0</v>
      </c>
      <c r="BJ254" s="108">
        <f t="shared" si="295"/>
        <v>0</v>
      </c>
    </row>
    <row r="255" spans="1:62" x14ac:dyDescent="0.2">
      <c r="A255" s="117" t="s">
        <v>217</v>
      </c>
      <c r="B255" s="117" t="s">
        <v>2799</v>
      </c>
      <c r="C255" s="304" t="s">
        <v>1295</v>
      </c>
      <c r="D255" s="305"/>
      <c r="E255" s="305"/>
      <c r="F255" s="117" t="s">
        <v>1644</v>
      </c>
      <c r="G255" s="116">
        <v>1</v>
      </c>
      <c r="H255" s="159"/>
      <c r="I255" s="108">
        <f t="shared" si="272"/>
        <v>0</v>
      </c>
      <c r="J255" s="108">
        <f t="shared" si="273"/>
        <v>0</v>
      </c>
      <c r="K255" s="108">
        <f t="shared" si="274"/>
        <v>0</v>
      </c>
      <c r="L255" s="111"/>
      <c r="Z255" s="100">
        <f t="shared" si="275"/>
        <v>0</v>
      </c>
      <c r="AB255" s="100">
        <f t="shared" si="276"/>
        <v>0</v>
      </c>
      <c r="AC255" s="100">
        <f t="shared" si="277"/>
        <v>0</v>
      </c>
      <c r="AD255" s="100">
        <f t="shared" si="278"/>
        <v>0</v>
      </c>
      <c r="AE255" s="100">
        <f t="shared" si="279"/>
        <v>0</v>
      </c>
      <c r="AF255" s="100">
        <f t="shared" si="280"/>
        <v>0</v>
      </c>
      <c r="AG255" s="100">
        <f t="shared" si="281"/>
        <v>0</v>
      </c>
      <c r="AH255" s="100">
        <f t="shared" si="282"/>
        <v>0</v>
      </c>
      <c r="AI255" s="109"/>
      <c r="AJ255" s="108">
        <f t="shared" si="283"/>
        <v>0</v>
      </c>
      <c r="AK255" s="108">
        <f t="shared" si="284"/>
        <v>0</v>
      </c>
      <c r="AL255" s="108">
        <f t="shared" si="285"/>
        <v>0</v>
      </c>
      <c r="AN255" s="100">
        <v>15</v>
      </c>
      <c r="AO255" s="100">
        <f t="shared" si="286"/>
        <v>0</v>
      </c>
      <c r="AP255" s="100">
        <f t="shared" si="287"/>
        <v>0</v>
      </c>
      <c r="AQ255" s="111" t="s">
        <v>13</v>
      </c>
      <c r="AV255" s="100">
        <f t="shared" si="288"/>
        <v>0</v>
      </c>
      <c r="AW255" s="100">
        <f t="shared" si="289"/>
        <v>0</v>
      </c>
      <c r="AX255" s="100">
        <f t="shared" si="290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291"/>
        <v>0</v>
      </c>
      <c r="BD255" s="100">
        <f t="shared" si="292"/>
        <v>0</v>
      </c>
      <c r="BE255" s="100">
        <v>0</v>
      </c>
      <c r="BF255" s="100">
        <f>255</f>
        <v>255</v>
      </c>
      <c r="BH255" s="108">
        <f t="shared" si="293"/>
        <v>0</v>
      </c>
      <c r="BI255" s="108">
        <f t="shared" si="294"/>
        <v>0</v>
      </c>
      <c r="BJ255" s="108">
        <f t="shared" si="295"/>
        <v>0</v>
      </c>
    </row>
    <row r="256" spans="1:62" x14ac:dyDescent="0.2">
      <c r="A256" s="117" t="s">
        <v>218</v>
      </c>
      <c r="B256" s="117" t="s">
        <v>2798</v>
      </c>
      <c r="C256" s="304" t="s">
        <v>1296</v>
      </c>
      <c r="D256" s="305"/>
      <c r="E256" s="305"/>
      <c r="F256" s="117" t="s">
        <v>1644</v>
      </c>
      <c r="G256" s="116">
        <v>2</v>
      </c>
      <c r="H256" s="159"/>
      <c r="I256" s="108">
        <f t="shared" si="272"/>
        <v>0</v>
      </c>
      <c r="J256" s="108">
        <f t="shared" si="273"/>
        <v>0</v>
      </c>
      <c r="K256" s="108">
        <f t="shared" si="274"/>
        <v>0</v>
      </c>
      <c r="L256" s="111"/>
      <c r="Z256" s="100">
        <f t="shared" si="275"/>
        <v>0</v>
      </c>
      <c r="AB256" s="100">
        <f t="shared" si="276"/>
        <v>0</v>
      </c>
      <c r="AC256" s="100">
        <f t="shared" si="277"/>
        <v>0</v>
      </c>
      <c r="AD256" s="100">
        <f t="shared" si="278"/>
        <v>0</v>
      </c>
      <c r="AE256" s="100">
        <f t="shared" si="279"/>
        <v>0</v>
      </c>
      <c r="AF256" s="100">
        <f t="shared" si="280"/>
        <v>0</v>
      </c>
      <c r="AG256" s="100">
        <f t="shared" si="281"/>
        <v>0</v>
      </c>
      <c r="AH256" s="100">
        <f t="shared" si="282"/>
        <v>0</v>
      </c>
      <c r="AI256" s="109"/>
      <c r="AJ256" s="108">
        <f t="shared" si="283"/>
        <v>0</v>
      </c>
      <c r="AK256" s="108">
        <f t="shared" si="284"/>
        <v>0</v>
      </c>
      <c r="AL256" s="108">
        <f t="shared" si="285"/>
        <v>0</v>
      </c>
      <c r="AN256" s="100">
        <v>15</v>
      </c>
      <c r="AO256" s="100">
        <f t="shared" si="286"/>
        <v>0</v>
      </c>
      <c r="AP256" s="100">
        <f t="shared" si="287"/>
        <v>0</v>
      </c>
      <c r="AQ256" s="111" t="s">
        <v>13</v>
      </c>
      <c r="AV256" s="100">
        <f t="shared" si="288"/>
        <v>0</v>
      </c>
      <c r="AW256" s="100">
        <f t="shared" si="289"/>
        <v>0</v>
      </c>
      <c r="AX256" s="100">
        <f t="shared" si="290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291"/>
        <v>0</v>
      </c>
      <c r="BD256" s="100">
        <f t="shared" si="292"/>
        <v>0</v>
      </c>
      <c r="BE256" s="100">
        <v>0</v>
      </c>
      <c r="BF256" s="100">
        <f>256</f>
        <v>256</v>
      </c>
      <c r="BH256" s="108">
        <f t="shared" si="293"/>
        <v>0</v>
      </c>
      <c r="BI256" s="108">
        <f t="shared" si="294"/>
        <v>0</v>
      </c>
      <c r="BJ256" s="108">
        <f t="shared" si="295"/>
        <v>0</v>
      </c>
    </row>
    <row r="257" spans="1:62" x14ac:dyDescent="0.2">
      <c r="A257" s="117" t="s">
        <v>219</v>
      </c>
      <c r="B257" s="117" t="s">
        <v>2797</v>
      </c>
      <c r="C257" s="304" t="s">
        <v>1297</v>
      </c>
      <c r="D257" s="305"/>
      <c r="E257" s="305"/>
      <c r="F257" s="117" t="s">
        <v>1644</v>
      </c>
      <c r="G257" s="116">
        <v>2</v>
      </c>
      <c r="H257" s="159"/>
      <c r="I257" s="108">
        <f t="shared" si="272"/>
        <v>0</v>
      </c>
      <c r="J257" s="108">
        <f t="shared" si="273"/>
        <v>0</v>
      </c>
      <c r="K257" s="108">
        <f t="shared" si="274"/>
        <v>0</v>
      </c>
      <c r="L257" s="111"/>
      <c r="Z257" s="100">
        <f t="shared" si="275"/>
        <v>0</v>
      </c>
      <c r="AB257" s="100">
        <f t="shared" si="276"/>
        <v>0</v>
      </c>
      <c r="AC257" s="100">
        <f t="shared" si="277"/>
        <v>0</v>
      </c>
      <c r="AD257" s="100">
        <f t="shared" si="278"/>
        <v>0</v>
      </c>
      <c r="AE257" s="100">
        <f t="shared" si="279"/>
        <v>0</v>
      </c>
      <c r="AF257" s="100">
        <f t="shared" si="280"/>
        <v>0</v>
      </c>
      <c r="AG257" s="100">
        <f t="shared" si="281"/>
        <v>0</v>
      </c>
      <c r="AH257" s="100">
        <f t="shared" si="282"/>
        <v>0</v>
      </c>
      <c r="AI257" s="109"/>
      <c r="AJ257" s="108">
        <f t="shared" si="283"/>
        <v>0</v>
      </c>
      <c r="AK257" s="108">
        <f t="shared" si="284"/>
        <v>0</v>
      </c>
      <c r="AL257" s="108">
        <f t="shared" si="285"/>
        <v>0</v>
      </c>
      <c r="AN257" s="100">
        <v>15</v>
      </c>
      <c r="AO257" s="100">
        <f t="shared" si="286"/>
        <v>0</v>
      </c>
      <c r="AP257" s="100">
        <f t="shared" si="287"/>
        <v>0</v>
      </c>
      <c r="AQ257" s="111" t="s">
        <v>13</v>
      </c>
      <c r="AV257" s="100">
        <f t="shared" si="288"/>
        <v>0</v>
      </c>
      <c r="AW257" s="100">
        <f t="shared" si="289"/>
        <v>0</v>
      </c>
      <c r="AX257" s="100">
        <f t="shared" si="290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291"/>
        <v>0</v>
      </c>
      <c r="BD257" s="100">
        <f t="shared" si="292"/>
        <v>0</v>
      </c>
      <c r="BE257" s="100">
        <v>0</v>
      </c>
      <c r="BF257" s="100">
        <f>257</f>
        <v>257</v>
      </c>
      <c r="BH257" s="108">
        <f t="shared" si="293"/>
        <v>0</v>
      </c>
      <c r="BI257" s="108">
        <f t="shared" si="294"/>
        <v>0</v>
      </c>
      <c r="BJ257" s="108">
        <f t="shared" si="295"/>
        <v>0</v>
      </c>
    </row>
    <row r="258" spans="1:62" x14ac:dyDescent="0.2">
      <c r="A258" s="117" t="s">
        <v>220</v>
      </c>
      <c r="B258" s="117" t="s">
        <v>2796</v>
      </c>
      <c r="C258" s="304" t="s">
        <v>1298</v>
      </c>
      <c r="D258" s="305"/>
      <c r="E258" s="305"/>
      <c r="F258" s="117" t="s">
        <v>1644</v>
      </c>
      <c r="G258" s="116">
        <v>1</v>
      </c>
      <c r="H258" s="159"/>
      <c r="I258" s="108">
        <f t="shared" si="272"/>
        <v>0</v>
      </c>
      <c r="J258" s="108">
        <f t="shared" si="273"/>
        <v>0</v>
      </c>
      <c r="K258" s="108">
        <f t="shared" si="274"/>
        <v>0</v>
      </c>
      <c r="L258" s="111"/>
      <c r="Z258" s="100">
        <f t="shared" si="275"/>
        <v>0</v>
      </c>
      <c r="AB258" s="100">
        <f t="shared" si="276"/>
        <v>0</v>
      </c>
      <c r="AC258" s="100">
        <f t="shared" si="277"/>
        <v>0</v>
      </c>
      <c r="AD258" s="100">
        <f t="shared" si="278"/>
        <v>0</v>
      </c>
      <c r="AE258" s="100">
        <f t="shared" si="279"/>
        <v>0</v>
      </c>
      <c r="AF258" s="100">
        <f t="shared" si="280"/>
        <v>0</v>
      </c>
      <c r="AG258" s="100">
        <f t="shared" si="281"/>
        <v>0</v>
      </c>
      <c r="AH258" s="100">
        <f t="shared" si="282"/>
        <v>0</v>
      </c>
      <c r="AI258" s="109"/>
      <c r="AJ258" s="108">
        <f t="shared" si="283"/>
        <v>0</v>
      </c>
      <c r="AK258" s="108">
        <f t="shared" si="284"/>
        <v>0</v>
      </c>
      <c r="AL258" s="108">
        <f t="shared" si="285"/>
        <v>0</v>
      </c>
      <c r="AN258" s="100">
        <v>15</v>
      </c>
      <c r="AO258" s="100">
        <f t="shared" si="286"/>
        <v>0</v>
      </c>
      <c r="AP258" s="100">
        <f t="shared" si="287"/>
        <v>0</v>
      </c>
      <c r="AQ258" s="111" t="s">
        <v>13</v>
      </c>
      <c r="AV258" s="100">
        <f t="shared" si="288"/>
        <v>0</v>
      </c>
      <c r="AW258" s="100">
        <f t="shared" si="289"/>
        <v>0</v>
      </c>
      <c r="AX258" s="100">
        <f t="shared" si="290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291"/>
        <v>0</v>
      </c>
      <c r="BD258" s="100">
        <f t="shared" si="292"/>
        <v>0</v>
      </c>
      <c r="BE258" s="100">
        <v>0</v>
      </c>
      <c r="BF258" s="100">
        <f>258</f>
        <v>258</v>
      </c>
      <c r="BH258" s="108">
        <f t="shared" si="293"/>
        <v>0</v>
      </c>
      <c r="BI258" s="108">
        <f t="shared" si="294"/>
        <v>0</v>
      </c>
      <c r="BJ258" s="108">
        <f t="shared" si="295"/>
        <v>0</v>
      </c>
    </row>
    <row r="259" spans="1:62" x14ac:dyDescent="0.2">
      <c r="A259" s="117" t="s">
        <v>221</v>
      </c>
      <c r="B259" s="117" t="s">
        <v>2795</v>
      </c>
      <c r="C259" s="304" t="s">
        <v>1299</v>
      </c>
      <c r="D259" s="305"/>
      <c r="E259" s="305"/>
      <c r="F259" s="117" t="s">
        <v>1646</v>
      </c>
      <c r="G259" s="116">
        <v>8</v>
      </c>
      <c r="H259" s="159"/>
      <c r="I259" s="108">
        <f t="shared" si="272"/>
        <v>0</v>
      </c>
      <c r="J259" s="108">
        <f t="shared" si="273"/>
        <v>0</v>
      </c>
      <c r="K259" s="108">
        <f t="shared" si="274"/>
        <v>0</v>
      </c>
      <c r="L259" s="111"/>
      <c r="Z259" s="100">
        <f t="shared" si="275"/>
        <v>0</v>
      </c>
      <c r="AB259" s="100">
        <f t="shared" si="276"/>
        <v>0</v>
      </c>
      <c r="AC259" s="100">
        <f t="shared" si="277"/>
        <v>0</v>
      </c>
      <c r="AD259" s="100">
        <f t="shared" si="278"/>
        <v>0</v>
      </c>
      <c r="AE259" s="100">
        <f t="shared" si="279"/>
        <v>0</v>
      </c>
      <c r="AF259" s="100">
        <f t="shared" si="280"/>
        <v>0</v>
      </c>
      <c r="AG259" s="100">
        <f t="shared" si="281"/>
        <v>0</v>
      </c>
      <c r="AH259" s="100">
        <f t="shared" si="282"/>
        <v>0</v>
      </c>
      <c r="AI259" s="109"/>
      <c r="AJ259" s="108">
        <f t="shared" si="283"/>
        <v>0</v>
      </c>
      <c r="AK259" s="108">
        <f t="shared" si="284"/>
        <v>0</v>
      </c>
      <c r="AL259" s="108">
        <f t="shared" si="285"/>
        <v>0</v>
      </c>
      <c r="AN259" s="100">
        <v>15</v>
      </c>
      <c r="AO259" s="100">
        <f t="shared" si="286"/>
        <v>0</v>
      </c>
      <c r="AP259" s="100">
        <f t="shared" si="287"/>
        <v>0</v>
      </c>
      <c r="AQ259" s="111" t="s">
        <v>13</v>
      </c>
      <c r="AV259" s="100">
        <f t="shared" si="288"/>
        <v>0</v>
      </c>
      <c r="AW259" s="100">
        <f t="shared" si="289"/>
        <v>0</v>
      </c>
      <c r="AX259" s="100">
        <f t="shared" si="290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291"/>
        <v>0</v>
      </c>
      <c r="BD259" s="100">
        <f t="shared" si="292"/>
        <v>0</v>
      </c>
      <c r="BE259" s="100">
        <v>0</v>
      </c>
      <c r="BF259" s="100">
        <f>259</f>
        <v>259</v>
      </c>
      <c r="BH259" s="108">
        <f t="shared" si="293"/>
        <v>0</v>
      </c>
      <c r="BI259" s="108">
        <f t="shared" si="294"/>
        <v>0</v>
      </c>
      <c r="BJ259" s="108">
        <f t="shared" si="295"/>
        <v>0</v>
      </c>
    </row>
    <row r="260" spans="1:62" x14ac:dyDescent="0.2">
      <c r="A260" s="117" t="s">
        <v>222</v>
      </c>
      <c r="B260" s="117" t="s">
        <v>2794</v>
      </c>
      <c r="C260" s="304" t="s">
        <v>1300</v>
      </c>
      <c r="D260" s="305"/>
      <c r="E260" s="305"/>
      <c r="F260" s="117" t="s">
        <v>1646</v>
      </c>
      <c r="G260" s="116">
        <v>15</v>
      </c>
      <c r="H260" s="159"/>
      <c r="I260" s="108">
        <f t="shared" si="272"/>
        <v>0</v>
      </c>
      <c r="J260" s="108">
        <f t="shared" si="273"/>
        <v>0</v>
      </c>
      <c r="K260" s="108">
        <f t="shared" si="274"/>
        <v>0</v>
      </c>
      <c r="L260" s="111"/>
      <c r="Z260" s="100">
        <f t="shared" si="275"/>
        <v>0</v>
      </c>
      <c r="AB260" s="100">
        <f t="shared" si="276"/>
        <v>0</v>
      </c>
      <c r="AC260" s="100">
        <f t="shared" si="277"/>
        <v>0</v>
      </c>
      <c r="AD260" s="100">
        <f t="shared" si="278"/>
        <v>0</v>
      </c>
      <c r="AE260" s="100">
        <f t="shared" si="279"/>
        <v>0</v>
      </c>
      <c r="AF260" s="100">
        <f t="shared" si="280"/>
        <v>0</v>
      </c>
      <c r="AG260" s="100">
        <f t="shared" si="281"/>
        <v>0</v>
      </c>
      <c r="AH260" s="100">
        <f t="shared" si="282"/>
        <v>0</v>
      </c>
      <c r="AI260" s="109"/>
      <c r="AJ260" s="108">
        <f t="shared" si="283"/>
        <v>0</v>
      </c>
      <c r="AK260" s="108">
        <f t="shared" si="284"/>
        <v>0</v>
      </c>
      <c r="AL260" s="108">
        <f t="shared" si="285"/>
        <v>0</v>
      </c>
      <c r="AN260" s="100">
        <v>15</v>
      </c>
      <c r="AO260" s="100">
        <f t="shared" si="286"/>
        <v>0</v>
      </c>
      <c r="AP260" s="100">
        <f t="shared" si="287"/>
        <v>0</v>
      </c>
      <c r="AQ260" s="111" t="s">
        <v>13</v>
      </c>
      <c r="AV260" s="100">
        <f t="shared" si="288"/>
        <v>0</v>
      </c>
      <c r="AW260" s="100">
        <f t="shared" si="289"/>
        <v>0</v>
      </c>
      <c r="AX260" s="100">
        <f t="shared" si="290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291"/>
        <v>0</v>
      </c>
      <c r="BD260" s="100">
        <f t="shared" si="292"/>
        <v>0</v>
      </c>
      <c r="BE260" s="100">
        <v>0</v>
      </c>
      <c r="BF260" s="100">
        <f>260</f>
        <v>260</v>
      </c>
      <c r="BH260" s="108">
        <f t="shared" si="293"/>
        <v>0</v>
      </c>
      <c r="BI260" s="108">
        <f t="shared" si="294"/>
        <v>0</v>
      </c>
      <c r="BJ260" s="108">
        <f t="shared" si="295"/>
        <v>0</v>
      </c>
    </row>
    <row r="261" spans="1:62" x14ac:dyDescent="0.2">
      <c r="A261" s="117" t="s">
        <v>223</v>
      </c>
      <c r="B261" s="117" t="s">
        <v>2793</v>
      </c>
      <c r="C261" s="304" t="s">
        <v>1301</v>
      </c>
      <c r="D261" s="305"/>
      <c r="E261" s="305"/>
      <c r="F261" s="117" t="s">
        <v>1646</v>
      </c>
      <c r="G261" s="116">
        <v>8</v>
      </c>
      <c r="H261" s="159"/>
      <c r="I261" s="108">
        <f t="shared" si="272"/>
        <v>0</v>
      </c>
      <c r="J261" s="108">
        <f t="shared" si="273"/>
        <v>0</v>
      </c>
      <c r="K261" s="108">
        <f t="shared" si="274"/>
        <v>0</v>
      </c>
      <c r="L261" s="111"/>
      <c r="Z261" s="100">
        <f t="shared" si="275"/>
        <v>0</v>
      </c>
      <c r="AB261" s="100">
        <f t="shared" si="276"/>
        <v>0</v>
      </c>
      <c r="AC261" s="100">
        <f t="shared" si="277"/>
        <v>0</v>
      </c>
      <c r="AD261" s="100">
        <f t="shared" si="278"/>
        <v>0</v>
      </c>
      <c r="AE261" s="100">
        <f t="shared" si="279"/>
        <v>0</v>
      </c>
      <c r="AF261" s="100">
        <f t="shared" si="280"/>
        <v>0</v>
      </c>
      <c r="AG261" s="100">
        <f t="shared" si="281"/>
        <v>0</v>
      </c>
      <c r="AH261" s="100">
        <f t="shared" si="282"/>
        <v>0</v>
      </c>
      <c r="AI261" s="109"/>
      <c r="AJ261" s="108">
        <f t="shared" si="283"/>
        <v>0</v>
      </c>
      <c r="AK261" s="108">
        <f t="shared" si="284"/>
        <v>0</v>
      </c>
      <c r="AL261" s="108">
        <f t="shared" si="285"/>
        <v>0</v>
      </c>
      <c r="AN261" s="100">
        <v>15</v>
      </c>
      <c r="AO261" s="100">
        <f t="shared" si="286"/>
        <v>0</v>
      </c>
      <c r="AP261" s="100">
        <f t="shared" si="287"/>
        <v>0</v>
      </c>
      <c r="AQ261" s="111" t="s">
        <v>13</v>
      </c>
      <c r="AV261" s="100">
        <f t="shared" si="288"/>
        <v>0</v>
      </c>
      <c r="AW261" s="100">
        <f t="shared" si="289"/>
        <v>0</v>
      </c>
      <c r="AX261" s="100">
        <f t="shared" si="290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291"/>
        <v>0</v>
      </c>
      <c r="BD261" s="100">
        <f t="shared" si="292"/>
        <v>0</v>
      </c>
      <c r="BE261" s="100">
        <v>0</v>
      </c>
      <c r="BF261" s="100">
        <f>261</f>
        <v>261</v>
      </c>
      <c r="BH261" s="108">
        <f t="shared" si="293"/>
        <v>0</v>
      </c>
      <c r="BI261" s="108">
        <f t="shared" si="294"/>
        <v>0</v>
      </c>
      <c r="BJ261" s="108">
        <f t="shared" si="295"/>
        <v>0</v>
      </c>
    </row>
    <row r="262" spans="1:62" x14ac:dyDescent="0.2">
      <c r="A262" s="117" t="s">
        <v>224</v>
      </c>
      <c r="B262" s="117" t="s">
        <v>2792</v>
      </c>
      <c r="C262" s="304" t="s">
        <v>1302</v>
      </c>
      <c r="D262" s="305"/>
      <c r="E262" s="305"/>
      <c r="F262" s="117" t="s">
        <v>1644</v>
      </c>
      <c r="G262" s="116">
        <v>1</v>
      </c>
      <c r="H262" s="159"/>
      <c r="I262" s="108">
        <f t="shared" si="272"/>
        <v>0</v>
      </c>
      <c r="J262" s="108">
        <f t="shared" si="273"/>
        <v>0</v>
      </c>
      <c r="K262" s="108">
        <f t="shared" si="274"/>
        <v>0</v>
      </c>
      <c r="L262" s="111"/>
      <c r="Z262" s="100">
        <f t="shared" si="275"/>
        <v>0</v>
      </c>
      <c r="AB262" s="100">
        <f t="shared" si="276"/>
        <v>0</v>
      </c>
      <c r="AC262" s="100">
        <f t="shared" si="277"/>
        <v>0</v>
      </c>
      <c r="AD262" s="100">
        <f t="shared" si="278"/>
        <v>0</v>
      </c>
      <c r="AE262" s="100">
        <f t="shared" si="279"/>
        <v>0</v>
      </c>
      <c r="AF262" s="100">
        <f t="shared" si="280"/>
        <v>0</v>
      </c>
      <c r="AG262" s="100">
        <f t="shared" si="281"/>
        <v>0</v>
      </c>
      <c r="AH262" s="100">
        <f t="shared" si="282"/>
        <v>0</v>
      </c>
      <c r="AI262" s="109"/>
      <c r="AJ262" s="108">
        <f t="shared" si="283"/>
        <v>0</v>
      </c>
      <c r="AK262" s="108">
        <f t="shared" si="284"/>
        <v>0</v>
      </c>
      <c r="AL262" s="108">
        <f t="shared" si="285"/>
        <v>0</v>
      </c>
      <c r="AN262" s="100">
        <v>15</v>
      </c>
      <c r="AO262" s="100">
        <f t="shared" si="286"/>
        <v>0</v>
      </c>
      <c r="AP262" s="100">
        <f t="shared" si="287"/>
        <v>0</v>
      </c>
      <c r="AQ262" s="111" t="s">
        <v>13</v>
      </c>
      <c r="AV262" s="100">
        <f t="shared" si="288"/>
        <v>0</v>
      </c>
      <c r="AW262" s="100">
        <f t="shared" si="289"/>
        <v>0</v>
      </c>
      <c r="AX262" s="100">
        <f t="shared" si="290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291"/>
        <v>0</v>
      </c>
      <c r="BD262" s="100">
        <f t="shared" si="292"/>
        <v>0</v>
      </c>
      <c r="BE262" s="100">
        <v>0</v>
      </c>
      <c r="BF262" s="100">
        <f>262</f>
        <v>262</v>
      </c>
      <c r="BH262" s="108">
        <f t="shared" si="293"/>
        <v>0</v>
      </c>
      <c r="BI262" s="108">
        <f t="shared" si="294"/>
        <v>0</v>
      </c>
      <c r="BJ262" s="108">
        <f t="shared" si="295"/>
        <v>0</v>
      </c>
    </row>
    <row r="263" spans="1:62" x14ac:dyDescent="0.2">
      <c r="A263" s="117" t="s">
        <v>225</v>
      </c>
      <c r="B263" s="117" t="s">
        <v>2791</v>
      </c>
      <c r="C263" s="304" t="s">
        <v>1303</v>
      </c>
      <c r="D263" s="305"/>
      <c r="E263" s="305"/>
      <c r="F263" s="117" t="s">
        <v>1644</v>
      </c>
      <c r="G263" s="116">
        <v>1</v>
      </c>
      <c r="H263" s="159"/>
      <c r="I263" s="108">
        <f t="shared" si="272"/>
        <v>0</v>
      </c>
      <c r="J263" s="108">
        <f t="shared" si="273"/>
        <v>0</v>
      </c>
      <c r="K263" s="108">
        <f t="shared" si="274"/>
        <v>0</v>
      </c>
      <c r="L263" s="111"/>
      <c r="Z263" s="100">
        <f t="shared" si="275"/>
        <v>0</v>
      </c>
      <c r="AB263" s="100">
        <f t="shared" si="276"/>
        <v>0</v>
      </c>
      <c r="AC263" s="100">
        <f t="shared" si="277"/>
        <v>0</v>
      </c>
      <c r="AD263" s="100">
        <f t="shared" si="278"/>
        <v>0</v>
      </c>
      <c r="AE263" s="100">
        <f t="shared" si="279"/>
        <v>0</v>
      </c>
      <c r="AF263" s="100">
        <f t="shared" si="280"/>
        <v>0</v>
      </c>
      <c r="AG263" s="100">
        <f t="shared" si="281"/>
        <v>0</v>
      </c>
      <c r="AH263" s="100">
        <f t="shared" si="282"/>
        <v>0</v>
      </c>
      <c r="AI263" s="109"/>
      <c r="AJ263" s="108">
        <f t="shared" si="283"/>
        <v>0</v>
      </c>
      <c r="AK263" s="108">
        <f t="shared" si="284"/>
        <v>0</v>
      </c>
      <c r="AL263" s="108">
        <f t="shared" si="285"/>
        <v>0</v>
      </c>
      <c r="AN263" s="100">
        <v>15</v>
      </c>
      <c r="AO263" s="100">
        <f t="shared" si="286"/>
        <v>0</v>
      </c>
      <c r="AP263" s="100">
        <f t="shared" si="287"/>
        <v>0</v>
      </c>
      <c r="AQ263" s="111" t="s">
        <v>13</v>
      </c>
      <c r="AV263" s="100">
        <f t="shared" si="288"/>
        <v>0</v>
      </c>
      <c r="AW263" s="100">
        <f t="shared" si="289"/>
        <v>0</v>
      </c>
      <c r="AX263" s="100">
        <f t="shared" si="290"/>
        <v>0</v>
      </c>
      <c r="AY263" s="110" t="s">
        <v>1709</v>
      </c>
      <c r="AZ263" s="110" t="s">
        <v>1733</v>
      </c>
      <c r="BA263" s="109" t="s">
        <v>1737</v>
      </c>
      <c r="BC263" s="100">
        <f t="shared" si="291"/>
        <v>0</v>
      </c>
      <c r="BD263" s="100">
        <f t="shared" si="292"/>
        <v>0</v>
      </c>
      <c r="BE263" s="100">
        <v>0</v>
      </c>
      <c r="BF263" s="100">
        <f>263</f>
        <v>263</v>
      </c>
      <c r="BH263" s="108">
        <f t="shared" si="293"/>
        <v>0</v>
      </c>
      <c r="BI263" s="108">
        <f t="shared" si="294"/>
        <v>0</v>
      </c>
      <c r="BJ263" s="108">
        <f t="shared" si="295"/>
        <v>0</v>
      </c>
    </row>
    <row r="264" spans="1:62" x14ac:dyDescent="0.2">
      <c r="A264" s="117" t="s">
        <v>226</v>
      </c>
      <c r="B264" s="117" t="s">
        <v>2790</v>
      </c>
      <c r="C264" s="304" t="s">
        <v>1304</v>
      </c>
      <c r="D264" s="305"/>
      <c r="E264" s="305"/>
      <c r="F264" s="117" t="s">
        <v>1644</v>
      </c>
      <c r="G264" s="116">
        <v>1</v>
      </c>
      <c r="H264" s="159"/>
      <c r="I264" s="108">
        <f t="shared" si="272"/>
        <v>0</v>
      </c>
      <c r="J264" s="108">
        <f t="shared" si="273"/>
        <v>0</v>
      </c>
      <c r="K264" s="108">
        <f t="shared" si="274"/>
        <v>0</v>
      </c>
      <c r="L264" s="111"/>
      <c r="Z264" s="100">
        <f t="shared" si="275"/>
        <v>0</v>
      </c>
      <c r="AB264" s="100">
        <f t="shared" si="276"/>
        <v>0</v>
      </c>
      <c r="AC264" s="100">
        <f t="shared" si="277"/>
        <v>0</v>
      </c>
      <c r="AD264" s="100">
        <f t="shared" si="278"/>
        <v>0</v>
      </c>
      <c r="AE264" s="100">
        <f t="shared" si="279"/>
        <v>0</v>
      </c>
      <c r="AF264" s="100">
        <f t="shared" si="280"/>
        <v>0</v>
      </c>
      <c r="AG264" s="100">
        <f t="shared" si="281"/>
        <v>0</v>
      </c>
      <c r="AH264" s="100">
        <f t="shared" si="282"/>
        <v>0</v>
      </c>
      <c r="AI264" s="109"/>
      <c r="AJ264" s="108">
        <f t="shared" si="283"/>
        <v>0</v>
      </c>
      <c r="AK264" s="108">
        <f t="shared" si="284"/>
        <v>0</v>
      </c>
      <c r="AL264" s="108">
        <f t="shared" si="285"/>
        <v>0</v>
      </c>
      <c r="AN264" s="100">
        <v>15</v>
      </c>
      <c r="AO264" s="100">
        <f t="shared" si="286"/>
        <v>0</v>
      </c>
      <c r="AP264" s="100">
        <f t="shared" si="287"/>
        <v>0</v>
      </c>
      <c r="AQ264" s="111" t="s">
        <v>13</v>
      </c>
      <c r="AV264" s="100">
        <f t="shared" si="288"/>
        <v>0</v>
      </c>
      <c r="AW264" s="100">
        <f t="shared" si="289"/>
        <v>0</v>
      </c>
      <c r="AX264" s="100">
        <f t="shared" si="290"/>
        <v>0</v>
      </c>
      <c r="AY264" s="110" t="s">
        <v>1709</v>
      </c>
      <c r="AZ264" s="110" t="s">
        <v>1733</v>
      </c>
      <c r="BA264" s="109" t="s">
        <v>1737</v>
      </c>
      <c r="BC264" s="100">
        <f t="shared" si="291"/>
        <v>0</v>
      </c>
      <c r="BD264" s="100">
        <f t="shared" si="292"/>
        <v>0</v>
      </c>
      <c r="BE264" s="100">
        <v>0</v>
      </c>
      <c r="BF264" s="100">
        <f>264</f>
        <v>264</v>
      </c>
      <c r="BH264" s="108">
        <f t="shared" si="293"/>
        <v>0</v>
      </c>
      <c r="BI264" s="108">
        <f t="shared" si="294"/>
        <v>0</v>
      </c>
      <c r="BJ264" s="108">
        <f t="shared" si="295"/>
        <v>0</v>
      </c>
    </row>
    <row r="265" spans="1:62" x14ac:dyDescent="0.2">
      <c r="A265" s="117" t="s">
        <v>227</v>
      </c>
      <c r="B265" s="117" t="s">
        <v>2789</v>
      </c>
      <c r="C265" s="304" t="s">
        <v>1305</v>
      </c>
      <c r="D265" s="305"/>
      <c r="E265" s="305"/>
      <c r="F265" s="117" t="s">
        <v>1644</v>
      </c>
      <c r="G265" s="116">
        <v>1</v>
      </c>
      <c r="H265" s="159"/>
      <c r="I265" s="108">
        <f t="shared" si="272"/>
        <v>0</v>
      </c>
      <c r="J265" s="108">
        <f t="shared" si="273"/>
        <v>0</v>
      </c>
      <c r="K265" s="108">
        <f t="shared" si="274"/>
        <v>0</v>
      </c>
      <c r="L265" s="111"/>
      <c r="Z265" s="100">
        <f t="shared" si="275"/>
        <v>0</v>
      </c>
      <c r="AB265" s="100">
        <f t="shared" si="276"/>
        <v>0</v>
      </c>
      <c r="AC265" s="100">
        <f t="shared" si="277"/>
        <v>0</v>
      </c>
      <c r="AD265" s="100">
        <f t="shared" si="278"/>
        <v>0</v>
      </c>
      <c r="AE265" s="100">
        <f t="shared" si="279"/>
        <v>0</v>
      </c>
      <c r="AF265" s="100">
        <f t="shared" si="280"/>
        <v>0</v>
      </c>
      <c r="AG265" s="100">
        <f t="shared" si="281"/>
        <v>0</v>
      </c>
      <c r="AH265" s="100">
        <f t="shared" si="282"/>
        <v>0</v>
      </c>
      <c r="AI265" s="109"/>
      <c r="AJ265" s="108">
        <f t="shared" si="283"/>
        <v>0</v>
      </c>
      <c r="AK265" s="108">
        <f t="shared" si="284"/>
        <v>0</v>
      </c>
      <c r="AL265" s="108">
        <f t="shared" si="285"/>
        <v>0</v>
      </c>
      <c r="AN265" s="100">
        <v>15</v>
      </c>
      <c r="AO265" s="100">
        <f t="shared" si="286"/>
        <v>0</v>
      </c>
      <c r="AP265" s="100">
        <f t="shared" si="287"/>
        <v>0</v>
      </c>
      <c r="AQ265" s="111" t="s">
        <v>13</v>
      </c>
      <c r="AV265" s="100">
        <f t="shared" si="288"/>
        <v>0</v>
      </c>
      <c r="AW265" s="100">
        <f t="shared" si="289"/>
        <v>0</v>
      </c>
      <c r="AX265" s="100">
        <f t="shared" si="290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291"/>
        <v>0</v>
      </c>
      <c r="BD265" s="100">
        <f t="shared" si="292"/>
        <v>0</v>
      </c>
      <c r="BE265" s="100">
        <v>0</v>
      </c>
      <c r="BF265" s="100">
        <f>265</f>
        <v>265</v>
      </c>
      <c r="BH265" s="108">
        <f t="shared" si="293"/>
        <v>0</v>
      </c>
      <c r="BI265" s="108">
        <f t="shared" si="294"/>
        <v>0</v>
      </c>
      <c r="BJ265" s="108">
        <f t="shared" si="295"/>
        <v>0</v>
      </c>
    </row>
    <row r="266" spans="1:62" x14ac:dyDescent="0.2">
      <c r="A266" s="117" t="s">
        <v>228</v>
      </c>
      <c r="B266" s="117" t="s">
        <v>2788</v>
      </c>
      <c r="C266" s="304" t="s">
        <v>1306</v>
      </c>
      <c r="D266" s="305"/>
      <c r="E266" s="305"/>
      <c r="F266" s="117" t="s">
        <v>1646</v>
      </c>
      <c r="G266" s="116">
        <v>15</v>
      </c>
      <c r="H266" s="159"/>
      <c r="I266" s="108">
        <f t="shared" si="272"/>
        <v>0</v>
      </c>
      <c r="J266" s="108">
        <f t="shared" si="273"/>
        <v>0</v>
      </c>
      <c r="K266" s="108">
        <f t="shared" si="274"/>
        <v>0</v>
      </c>
      <c r="L266" s="111"/>
      <c r="Z266" s="100">
        <f t="shared" si="275"/>
        <v>0</v>
      </c>
      <c r="AB266" s="100">
        <f t="shared" si="276"/>
        <v>0</v>
      </c>
      <c r="AC266" s="100">
        <f t="shared" si="277"/>
        <v>0</v>
      </c>
      <c r="AD266" s="100">
        <f t="shared" si="278"/>
        <v>0</v>
      </c>
      <c r="AE266" s="100">
        <f t="shared" si="279"/>
        <v>0</v>
      </c>
      <c r="AF266" s="100">
        <f t="shared" si="280"/>
        <v>0</v>
      </c>
      <c r="AG266" s="100">
        <f t="shared" si="281"/>
        <v>0</v>
      </c>
      <c r="AH266" s="100">
        <f t="shared" si="282"/>
        <v>0</v>
      </c>
      <c r="AI266" s="109"/>
      <c r="AJ266" s="108">
        <f t="shared" si="283"/>
        <v>0</v>
      </c>
      <c r="AK266" s="108">
        <f t="shared" si="284"/>
        <v>0</v>
      </c>
      <c r="AL266" s="108">
        <f t="shared" si="285"/>
        <v>0</v>
      </c>
      <c r="AN266" s="100">
        <v>15</v>
      </c>
      <c r="AO266" s="100">
        <f t="shared" si="286"/>
        <v>0</v>
      </c>
      <c r="AP266" s="100">
        <f t="shared" si="287"/>
        <v>0</v>
      </c>
      <c r="AQ266" s="111" t="s">
        <v>13</v>
      </c>
      <c r="AV266" s="100">
        <f t="shared" si="288"/>
        <v>0</v>
      </c>
      <c r="AW266" s="100">
        <f t="shared" si="289"/>
        <v>0</v>
      </c>
      <c r="AX266" s="100">
        <f t="shared" si="290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291"/>
        <v>0</v>
      </c>
      <c r="BD266" s="100">
        <f t="shared" si="292"/>
        <v>0</v>
      </c>
      <c r="BE266" s="100">
        <v>0</v>
      </c>
      <c r="BF266" s="100">
        <f>266</f>
        <v>266</v>
      </c>
      <c r="BH266" s="108">
        <f t="shared" si="293"/>
        <v>0</v>
      </c>
      <c r="BI266" s="108">
        <f t="shared" si="294"/>
        <v>0</v>
      </c>
      <c r="BJ266" s="108">
        <f t="shared" si="295"/>
        <v>0</v>
      </c>
    </row>
    <row r="267" spans="1:62" x14ac:dyDescent="0.2">
      <c r="A267" s="117" t="s">
        <v>229</v>
      </c>
      <c r="B267" s="117" t="s">
        <v>2787</v>
      </c>
      <c r="C267" s="304" t="s">
        <v>1286</v>
      </c>
      <c r="D267" s="305"/>
      <c r="E267" s="305"/>
      <c r="F267" s="117" t="s">
        <v>1644</v>
      </c>
      <c r="G267" s="116">
        <v>2</v>
      </c>
      <c r="H267" s="159"/>
      <c r="I267" s="108">
        <f t="shared" si="272"/>
        <v>0</v>
      </c>
      <c r="J267" s="108">
        <f t="shared" si="273"/>
        <v>0</v>
      </c>
      <c r="K267" s="108">
        <f t="shared" si="274"/>
        <v>0</v>
      </c>
      <c r="L267" s="111"/>
      <c r="Z267" s="100">
        <f t="shared" si="275"/>
        <v>0</v>
      </c>
      <c r="AB267" s="100">
        <f t="shared" si="276"/>
        <v>0</v>
      </c>
      <c r="AC267" s="100">
        <f t="shared" si="277"/>
        <v>0</v>
      </c>
      <c r="AD267" s="100">
        <f t="shared" si="278"/>
        <v>0</v>
      </c>
      <c r="AE267" s="100">
        <f t="shared" si="279"/>
        <v>0</v>
      </c>
      <c r="AF267" s="100">
        <f t="shared" si="280"/>
        <v>0</v>
      </c>
      <c r="AG267" s="100">
        <f t="shared" si="281"/>
        <v>0</v>
      </c>
      <c r="AH267" s="100">
        <f t="shared" si="282"/>
        <v>0</v>
      </c>
      <c r="AI267" s="109"/>
      <c r="AJ267" s="108">
        <f t="shared" si="283"/>
        <v>0</v>
      </c>
      <c r="AK267" s="108">
        <f t="shared" si="284"/>
        <v>0</v>
      </c>
      <c r="AL267" s="108">
        <f t="shared" si="285"/>
        <v>0</v>
      </c>
      <c r="AN267" s="100">
        <v>15</v>
      </c>
      <c r="AO267" s="100">
        <f t="shared" si="286"/>
        <v>0</v>
      </c>
      <c r="AP267" s="100">
        <f t="shared" si="287"/>
        <v>0</v>
      </c>
      <c r="AQ267" s="111" t="s">
        <v>13</v>
      </c>
      <c r="AV267" s="100">
        <f t="shared" si="288"/>
        <v>0</v>
      </c>
      <c r="AW267" s="100">
        <f t="shared" si="289"/>
        <v>0</v>
      </c>
      <c r="AX267" s="100">
        <f t="shared" si="290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291"/>
        <v>0</v>
      </c>
      <c r="BD267" s="100">
        <f t="shared" si="292"/>
        <v>0</v>
      </c>
      <c r="BE267" s="100">
        <v>0</v>
      </c>
      <c r="BF267" s="100">
        <f>267</f>
        <v>267</v>
      </c>
      <c r="BH267" s="108">
        <f t="shared" si="293"/>
        <v>0</v>
      </c>
      <c r="BI267" s="108">
        <f t="shared" si="294"/>
        <v>0</v>
      </c>
      <c r="BJ267" s="108">
        <f t="shared" si="295"/>
        <v>0</v>
      </c>
    </row>
    <row r="268" spans="1:62" x14ac:dyDescent="0.2">
      <c r="A268" s="117" t="s">
        <v>230</v>
      </c>
      <c r="B268" s="117" t="s">
        <v>2786</v>
      </c>
      <c r="C268" s="304" t="s">
        <v>1307</v>
      </c>
      <c r="D268" s="305"/>
      <c r="E268" s="305"/>
      <c r="F268" s="117" t="s">
        <v>1644</v>
      </c>
      <c r="G268" s="116">
        <v>1</v>
      </c>
      <c r="H268" s="159"/>
      <c r="I268" s="108">
        <f t="shared" si="272"/>
        <v>0</v>
      </c>
      <c r="J268" s="108">
        <f t="shared" si="273"/>
        <v>0</v>
      </c>
      <c r="K268" s="108">
        <f t="shared" si="274"/>
        <v>0</v>
      </c>
      <c r="L268" s="111"/>
      <c r="Z268" s="100">
        <f t="shared" si="275"/>
        <v>0</v>
      </c>
      <c r="AB268" s="100">
        <f t="shared" si="276"/>
        <v>0</v>
      </c>
      <c r="AC268" s="100">
        <f t="shared" si="277"/>
        <v>0</v>
      </c>
      <c r="AD268" s="100">
        <f t="shared" si="278"/>
        <v>0</v>
      </c>
      <c r="AE268" s="100">
        <f t="shared" si="279"/>
        <v>0</v>
      </c>
      <c r="AF268" s="100">
        <f t="shared" si="280"/>
        <v>0</v>
      </c>
      <c r="AG268" s="100">
        <f t="shared" si="281"/>
        <v>0</v>
      </c>
      <c r="AH268" s="100">
        <f t="shared" si="282"/>
        <v>0</v>
      </c>
      <c r="AI268" s="109"/>
      <c r="AJ268" s="108">
        <f t="shared" si="283"/>
        <v>0</v>
      </c>
      <c r="AK268" s="108">
        <f t="shared" si="284"/>
        <v>0</v>
      </c>
      <c r="AL268" s="108">
        <f t="shared" si="285"/>
        <v>0</v>
      </c>
      <c r="AN268" s="100">
        <v>15</v>
      </c>
      <c r="AO268" s="100">
        <f t="shared" si="286"/>
        <v>0</v>
      </c>
      <c r="AP268" s="100">
        <f t="shared" si="287"/>
        <v>0</v>
      </c>
      <c r="AQ268" s="111" t="s">
        <v>13</v>
      </c>
      <c r="AV268" s="100">
        <f t="shared" si="288"/>
        <v>0</v>
      </c>
      <c r="AW268" s="100">
        <f t="shared" si="289"/>
        <v>0</v>
      </c>
      <c r="AX268" s="100">
        <f t="shared" si="290"/>
        <v>0</v>
      </c>
      <c r="AY268" s="110" t="s">
        <v>1709</v>
      </c>
      <c r="AZ268" s="110" t="s">
        <v>1733</v>
      </c>
      <c r="BA268" s="109" t="s">
        <v>1737</v>
      </c>
      <c r="BC268" s="100">
        <f t="shared" si="291"/>
        <v>0</v>
      </c>
      <c r="BD268" s="100">
        <f t="shared" si="292"/>
        <v>0</v>
      </c>
      <c r="BE268" s="100">
        <v>0</v>
      </c>
      <c r="BF268" s="100">
        <f>268</f>
        <v>268</v>
      </c>
      <c r="BH268" s="108">
        <f t="shared" si="293"/>
        <v>0</v>
      </c>
      <c r="BI268" s="108">
        <f t="shared" si="294"/>
        <v>0</v>
      </c>
      <c r="BJ268" s="108">
        <f t="shared" si="295"/>
        <v>0</v>
      </c>
    </row>
    <row r="269" spans="1:62" x14ac:dyDescent="0.2">
      <c r="A269" s="117" t="s">
        <v>231</v>
      </c>
      <c r="B269" s="117" t="s">
        <v>2785</v>
      </c>
      <c r="C269" s="304" t="s">
        <v>1308</v>
      </c>
      <c r="D269" s="305"/>
      <c r="E269" s="305"/>
      <c r="F269" s="117" t="s">
        <v>1644</v>
      </c>
      <c r="G269" s="116">
        <v>1</v>
      </c>
      <c r="H269" s="159"/>
      <c r="I269" s="108">
        <f t="shared" si="272"/>
        <v>0</v>
      </c>
      <c r="J269" s="108">
        <f t="shared" si="273"/>
        <v>0</v>
      </c>
      <c r="K269" s="108">
        <f t="shared" si="274"/>
        <v>0</v>
      </c>
      <c r="L269" s="111"/>
      <c r="Z269" s="100">
        <f t="shared" si="275"/>
        <v>0</v>
      </c>
      <c r="AB269" s="100">
        <f t="shared" si="276"/>
        <v>0</v>
      </c>
      <c r="AC269" s="100">
        <f t="shared" si="277"/>
        <v>0</v>
      </c>
      <c r="AD269" s="100">
        <f t="shared" si="278"/>
        <v>0</v>
      </c>
      <c r="AE269" s="100">
        <f t="shared" si="279"/>
        <v>0</v>
      </c>
      <c r="AF269" s="100">
        <f t="shared" si="280"/>
        <v>0</v>
      </c>
      <c r="AG269" s="100">
        <f t="shared" si="281"/>
        <v>0</v>
      </c>
      <c r="AH269" s="100">
        <f t="shared" si="282"/>
        <v>0</v>
      </c>
      <c r="AI269" s="109"/>
      <c r="AJ269" s="108">
        <f t="shared" si="283"/>
        <v>0</v>
      </c>
      <c r="AK269" s="108">
        <f t="shared" si="284"/>
        <v>0</v>
      </c>
      <c r="AL269" s="108">
        <f t="shared" si="285"/>
        <v>0</v>
      </c>
      <c r="AN269" s="100">
        <v>15</v>
      </c>
      <c r="AO269" s="100">
        <f t="shared" si="286"/>
        <v>0</v>
      </c>
      <c r="AP269" s="100">
        <f t="shared" si="287"/>
        <v>0</v>
      </c>
      <c r="AQ269" s="111" t="s">
        <v>13</v>
      </c>
      <c r="AV269" s="100">
        <f t="shared" si="288"/>
        <v>0</v>
      </c>
      <c r="AW269" s="100">
        <f t="shared" si="289"/>
        <v>0</v>
      </c>
      <c r="AX269" s="100">
        <f t="shared" si="290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291"/>
        <v>0</v>
      </c>
      <c r="BD269" s="100">
        <f t="shared" si="292"/>
        <v>0</v>
      </c>
      <c r="BE269" s="100">
        <v>0</v>
      </c>
      <c r="BF269" s="100">
        <f>269</f>
        <v>269</v>
      </c>
      <c r="BH269" s="108">
        <f t="shared" si="293"/>
        <v>0</v>
      </c>
      <c r="BI269" s="108">
        <f t="shared" si="294"/>
        <v>0</v>
      </c>
      <c r="BJ269" s="108">
        <f t="shared" si="295"/>
        <v>0</v>
      </c>
    </row>
    <row r="270" spans="1:62" x14ac:dyDescent="0.2">
      <c r="A270" s="117" t="s">
        <v>232</v>
      </c>
      <c r="B270" s="117" t="s">
        <v>2784</v>
      </c>
      <c r="C270" s="304" t="s">
        <v>1309</v>
      </c>
      <c r="D270" s="305"/>
      <c r="E270" s="305"/>
      <c r="F270" s="117" t="s">
        <v>1644</v>
      </c>
      <c r="G270" s="116">
        <v>1</v>
      </c>
      <c r="H270" s="159"/>
      <c r="I270" s="108">
        <f t="shared" si="272"/>
        <v>0</v>
      </c>
      <c r="J270" s="108">
        <f t="shared" si="273"/>
        <v>0</v>
      </c>
      <c r="K270" s="108">
        <f t="shared" si="274"/>
        <v>0</v>
      </c>
      <c r="L270" s="111"/>
      <c r="Z270" s="100">
        <f t="shared" si="275"/>
        <v>0</v>
      </c>
      <c r="AB270" s="100">
        <f t="shared" si="276"/>
        <v>0</v>
      </c>
      <c r="AC270" s="100">
        <f t="shared" si="277"/>
        <v>0</v>
      </c>
      <c r="AD270" s="100">
        <f t="shared" si="278"/>
        <v>0</v>
      </c>
      <c r="AE270" s="100">
        <f t="shared" si="279"/>
        <v>0</v>
      </c>
      <c r="AF270" s="100">
        <f t="shared" si="280"/>
        <v>0</v>
      </c>
      <c r="AG270" s="100">
        <f t="shared" si="281"/>
        <v>0</v>
      </c>
      <c r="AH270" s="100">
        <f t="shared" si="282"/>
        <v>0</v>
      </c>
      <c r="AI270" s="109"/>
      <c r="AJ270" s="108">
        <f t="shared" si="283"/>
        <v>0</v>
      </c>
      <c r="AK270" s="108">
        <f t="shared" si="284"/>
        <v>0</v>
      </c>
      <c r="AL270" s="108">
        <f t="shared" si="285"/>
        <v>0</v>
      </c>
      <c r="AN270" s="100">
        <v>15</v>
      </c>
      <c r="AO270" s="100">
        <f t="shared" si="286"/>
        <v>0</v>
      </c>
      <c r="AP270" s="100">
        <f t="shared" si="287"/>
        <v>0</v>
      </c>
      <c r="AQ270" s="111" t="s">
        <v>13</v>
      </c>
      <c r="AV270" s="100">
        <f t="shared" si="288"/>
        <v>0</v>
      </c>
      <c r="AW270" s="100">
        <f t="shared" si="289"/>
        <v>0</v>
      </c>
      <c r="AX270" s="100">
        <f t="shared" si="290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291"/>
        <v>0</v>
      </c>
      <c r="BD270" s="100">
        <f t="shared" si="292"/>
        <v>0</v>
      </c>
      <c r="BE270" s="100">
        <v>0</v>
      </c>
      <c r="BF270" s="100">
        <f>270</f>
        <v>270</v>
      </c>
      <c r="BH270" s="108">
        <f t="shared" si="293"/>
        <v>0</v>
      </c>
      <c r="BI270" s="108">
        <f t="shared" si="294"/>
        <v>0</v>
      </c>
      <c r="BJ270" s="108">
        <f t="shared" si="295"/>
        <v>0</v>
      </c>
    </row>
    <row r="271" spans="1:62" x14ac:dyDescent="0.2">
      <c r="A271" s="117" t="s">
        <v>233</v>
      </c>
      <c r="B271" s="117" t="s">
        <v>2783</v>
      </c>
      <c r="C271" s="304" t="s">
        <v>1310</v>
      </c>
      <c r="D271" s="305"/>
      <c r="E271" s="305"/>
      <c r="F271" s="117" t="s">
        <v>1644</v>
      </c>
      <c r="G271" s="116">
        <v>1</v>
      </c>
      <c r="H271" s="159"/>
      <c r="I271" s="108">
        <f t="shared" si="272"/>
        <v>0</v>
      </c>
      <c r="J271" s="108">
        <f t="shared" si="273"/>
        <v>0</v>
      </c>
      <c r="K271" s="108">
        <f t="shared" si="274"/>
        <v>0</v>
      </c>
      <c r="L271" s="111"/>
      <c r="Z271" s="100">
        <f t="shared" si="275"/>
        <v>0</v>
      </c>
      <c r="AB271" s="100">
        <f t="shared" si="276"/>
        <v>0</v>
      </c>
      <c r="AC271" s="100">
        <f t="shared" si="277"/>
        <v>0</v>
      </c>
      <c r="AD271" s="100">
        <f t="shared" si="278"/>
        <v>0</v>
      </c>
      <c r="AE271" s="100">
        <f t="shared" si="279"/>
        <v>0</v>
      </c>
      <c r="AF271" s="100">
        <f t="shared" si="280"/>
        <v>0</v>
      </c>
      <c r="AG271" s="100">
        <f t="shared" si="281"/>
        <v>0</v>
      </c>
      <c r="AH271" s="100">
        <f t="shared" si="282"/>
        <v>0</v>
      </c>
      <c r="AI271" s="109"/>
      <c r="AJ271" s="108">
        <f t="shared" si="283"/>
        <v>0</v>
      </c>
      <c r="AK271" s="108">
        <f t="shared" si="284"/>
        <v>0</v>
      </c>
      <c r="AL271" s="108">
        <f t="shared" si="285"/>
        <v>0</v>
      </c>
      <c r="AN271" s="100">
        <v>15</v>
      </c>
      <c r="AO271" s="100">
        <f t="shared" si="286"/>
        <v>0</v>
      </c>
      <c r="AP271" s="100">
        <f t="shared" si="287"/>
        <v>0</v>
      </c>
      <c r="AQ271" s="111" t="s">
        <v>13</v>
      </c>
      <c r="AV271" s="100">
        <f t="shared" si="288"/>
        <v>0</v>
      </c>
      <c r="AW271" s="100">
        <f t="shared" si="289"/>
        <v>0</v>
      </c>
      <c r="AX271" s="100">
        <f t="shared" si="290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291"/>
        <v>0</v>
      </c>
      <c r="BD271" s="100">
        <f t="shared" si="292"/>
        <v>0</v>
      </c>
      <c r="BE271" s="100">
        <v>0</v>
      </c>
      <c r="BF271" s="100">
        <f>271</f>
        <v>271</v>
      </c>
      <c r="BH271" s="108">
        <f t="shared" si="293"/>
        <v>0</v>
      </c>
      <c r="BI271" s="108">
        <f t="shared" si="294"/>
        <v>0</v>
      </c>
      <c r="BJ271" s="108">
        <f t="shared" si="295"/>
        <v>0</v>
      </c>
    </row>
    <row r="272" spans="1:62" x14ac:dyDescent="0.2">
      <c r="A272" s="117" t="s">
        <v>234</v>
      </c>
      <c r="B272" s="117" t="s">
        <v>2782</v>
      </c>
      <c r="C272" s="304" t="s">
        <v>1311</v>
      </c>
      <c r="D272" s="305"/>
      <c r="E272" s="305"/>
      <c r="F272" s="117" t="s">
        <v>1644</v>
      </c>
      <c r="G272" s="116">
        <v>1</v>
      </c>
      <c r="H272" s="159"/>
      <c r="I272" s="108">
        <f t="shared" si="272"/>
        <v>0</v>
      </c>
      <c r="J272" s="108">
        <f t="shared" si="273"/>
        <v>0</v>
      </c>
      <c r="K272" s="108">
        <f t="shared" si="274"/>
        <v>0</v>
      </c>
      <c r="L272" s="111"/>
      <c r="Z272" s="100">
        <f t="shared" si="275"/>
        <v>0</v>
      </c>
      <c r="AB272" s="100">
        <f t="shared" si="276"/>
        <v>0</v>
      </c>
      <c r="AC272" s="100">
        <f t="shared" si="277"/>
        <v>0</v>
      </c>
      <c r="AD272" s="100">
        <f t="shared" si="278"/>
        <v>0</v>
      </c>
      <c r="AE272" s="100">
        <f t="shared" si="279"/>
        <v>0</v>
      </c>
      <c r="AF272" s="100">
        <f t="shared" si="280"/>
        <v>0</v>
      </c>
      <c r="AG272" s="100">
        <f t="shared" si="281"/>
        <v>0</v>
      </c>
      <c r="AH272" s="100">
        <f t="shared" si="282"/>
        <v>0</v>
      </c>
      <c r="AI272" s="109"/>
      <c r="AJ272" s="108">
        <f t="shared" si="283"/>
        <v>0</v>
      </c>
      <c r="AK272" s="108">
        <f t="shared" si="284"/>
        <v>0</v>
      </c>
      <c r="AL272" s="108">
        <f t="shared" si="285"/>
        <v>0</v>
      </c>
      <c r="AN272" s="100">
        <v>15</v>
      </c>
      <c r="AO272" s="100">
        <f t="shared" si="286"/>
        <v>0</v>
      </c>
      <c r="AP272" s="100">
        <f t="shared" si="287"/>
        <v>0</v>
      </c>
      <c r="AQ272" s="111" t="s">
        <v>13</v>
      </c>
      <c r="AV272" s="100">
        <f t="shared" si="288"/>
        <v>0</v>
      </c>
      <c r="AW272" s="100">
        <f t="shared" si="289"/>
        <v>0</v>
      </c>
      <c r="AX272" s="100">
        <f t="shared" si="290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291"/>
        <v>0</v>
      </c>
      <c r="BD272" s="100">
        <f t="shared" si="292"/>
        <v>0</v>
      </c>
      <c r="BE272" s="100">
        <v>0</v>
      </c>
      <c r="BF272" s="100">
        <f>272</f>
        <v>272</v>
      </c>
      <c r="BH272" s="108">
        <f t="shared" si="293"/>
        <v>0</v>
      </c>
      <c r="BI272" s="108">
        <f t="shared" si="294"/>
        <v>0</v>
      </c>
      <c r="BJ272" s="108">
        <f t="shared" si="295"/>
        <v>0</v>
      </c>
    </row>
    <row r="273" spans="1:62" x14ac:dyDescent="0.2">
      <c r="A273" s="117" t="s">
        <v>235</v>
      </c>
      <c r="B273" s="117" t="s">
        <v>2781</v>
      </c>
      <c r="C273" s="304" t="s">
        <v>1312</v>
      </c>
      <c r="D273" s="305"/>
      <c r="E273" s="305"/>
      <c r="F273" s="117" t="s">
        <v>1644</v>
      </c>
      <c r="G273" s="116">
        <v>2</v>
      </c>
      <c r="H273" s="159"/>
      <c r="I273" s="108">
        <f t="shared" si="272"/>
        <v>0</v>
      </c>
      <c r="J273" s="108">
        <f t="shared" si="273"/>
        <v>0</v>
      </c>
      <c r="K273" s="108">
        <f t="shared" si="274"/>
        <v>0</v>
      </c>
      <c r="L273" s="111"/>
      <c r="Z273" s="100">
        <f t="shared" si="275"/>
        <v>0</v>
      </c>
      <c r="AB273" s="100">
        <f t="shared" si="276"/>
        <v>0</v>
      </c>
      <c r="AC273" s="100">
        <f t="shared" si="277"/>
        <v>0</v>
      </c>
      <c r="AD273" s="100">
        <f t="shared" si="278"/>
        <v>0</v>
      </c>
      <c r="AE273" s="100">
        <f t="shared" si="279"/>
        <v>0</v>
      </c>
      <c r="AF273" s="100">
        <f t="shared" si="280"/>
        <v>0</v>
      </c>
      <c r="AG273" s="100">
        <f t="shared" si="281"/>
        <v>0</v>
      </c>
      <c r="AH273" s="100">
        <f t="shared" si="282"/>
        <v>0</v>
      </c>
      <c r="AI273" s="109"/>
      <c r="AJ273" s="108">
        <f t="shared" si="283"/>
        <v>0</v>
      </c>
      <c r="AK273" s="108">
        <f t="shared" si="284"/>
        <v>0</v>
      </c>
      <c r="AL273" s="108">
        <f t="shared" si="285"/>
        <v>0</v>
      </c>
      <c r="AN273" s="100">
        <v>15</v>
      </c>
      <c r="AO273" s="100">
        <f t="shared" si="286"/>
        <v>0</v>
      </c>
      <c r="AP273" s="100">
        <f t="shared" si="287"/>
        <v>0</v>
      </c>
      <c r="AQ273" s="111" t="s">
        <v>13</v>
      </c>
      <c r="AV273" s="100">
        <f t="shared" si="288"/>
        <v>0</v>
      </c>
      <c r="AW273" s="100">
        <f t="shared" si="289"/>
        <v>0</v>
      </c>
      <c r="AX273" s="100">
        <f t="shared" si="290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291"/>
        <v>0</v>
      </c>
      <c r="BD273" s="100">
        <f t="shared" si="292"/>
        <v>0</v>
      </c>
      <c r="BE273" s="100">
        <v>0</v>
      </c>
      <c r="BF273" s="100">
        <f>273</f>
        <v>273</v>
      </c>
      <c r="BH273" s="108">
        <f t="shared" si="293"/>
        <v>0</v>
      </c>
      <c r="BI273" s="108">
        <f t="shared" si="294"/>
        <v>0</v>
      </c>
      <c r="BJ273" s="108">
        <f t="shared" si="295"/>
        <v>0</v>
      </c>
    </row>
    <row r="274" spans="1:62" x14ac:dyDescent="0.2">
      <c r="A274" s="117" t="s">
        <v>236</v>
      </c>
      <c r="B274" s="117" t="s">
        <v>2780</v>
      </c>
      <c r="C274" s="304" t="s">
        <v>1313</v>
      </c>
      <c r="D274" s="305"/>
      <c r="E274" s="305"/>
      <c r="F274" s="117" t="s">
        <v>1644</v>
      </c>
      <c r="G274" s="116">
        <v>2</v>
      </c>
      <c r="H274" s="159"/>
      <c r="I274" s="108">
        <f t="shared" si="272"/>
        <v>0</v>
      </c>
      <c r="J274" s="108">
        <f t="shared" si="273"/>
        <v>0</v>
      </c>
      <c r="K274" s="108">
        <f t="shared" si="274"/>
        <v>0</v>
      </c>
      <c r="L274" s="111"/>
      <c r="Z274" s="100">
        <f t="shared" si="275"/>
        <v>0</v>
      </c>
      <c r="AB274" s="100">
        <f t="shared" si="276"/>
        <v>0</v>
      </c>
      <c r="AC274" s="100">
        <f t="shared" si="277"/>
        <v>0</v>
      </c>
      <c r="AD274" s="100">
        <f t="shared" si="278"/>
        <v>0</v>
      </c>
      <c r="AE274" s="100">
        <f t="shared" si="279"/>
        <v>0</v>
      </c>
      <c r="AF274" s="100">
        <f t="shared" si="280"/>
        <v>0</v>
      </c>
      <c r="AG274" s="100">
        <f t="shared" si="281"/>
        <v>0</v>
      </c>
      <c r="AH274" s="100">
        <f t="shared" si="282"/>
        <v>0</v>
      </c>
      <c r="AI274" s="109"/>
      <c r="AJ274" s="108">
        <f t="shared" si="283"/>
        <v>0</v>
      </c>
      <c r="AK274" s="108">
        <f t="shared" si="284"/>
        <v>0</v>
      </c>
      <c r="AL274" s="108">
        <f t="shared" si="285"/>
        <v>0</v>
      </c>
      <c r="AN274" s="100">
        <v>15</v>
      </c>
      <c r="AO274" s="100">
        <f t="shared" si="286"/>
        <v>0</v>
      </c>
      <c r="AP274" s="100">
        <f t="shared" si="287"/>
        <v>0</v>
      </c>
      <c r="AQ274" s="111" t="s">
        <v>13</v>
      </c>
      <c r="AV274" s="100">
        <f t="shared" si="288"/>
        <v>0</v>
      </c>
      <c r="AW274" s="100">
        <f t="shared" si="289"/>
        <v>0</v>
      </c>
      <c r="AX274" s="100">
        <f t="shared" si="290"/>
        <v>0</v>
      </c>
      <c r="AY274" s="110" t="s">
        <v>1709</v>
      </c>
      <c r="AZ274" s="110" t="s">
        <v>1733</v>
      </c>
      <c r="BA274" s="109" t="s">
        <v>1737</v>
      </c>
      <c r="BC274" s="100">
        <f t="shared" si="291"/>
        <v>0</v>
      </c>
      <c r="BD274" s="100">
        <f t="shared" si="292"/>
        <v>0</v>
      </c>
      <c r="BE274" s="100">
        <v>0</v>
      </c>
      <c r="BF274" s="100">
        <f>274</f>
        <v>274</v>
      </c>
      <c r="BH274" s="108">
        <f t="shared" si="293"/>
        <v>0</v>
      </c>
      <c r="BI274" s="108">
        <f t="shared" si="294"/>
        <v>0</v>
      </c>
      <c r="BJ274" s="108">
        <f t="shared" si="295"/>
        <v>0</v>
      </c>
    </row>
    <row r="275" spans="1:62" x14ac:dyDescent="0.2">
      <c r="A275" s="117" t="s">
        <v>237</v>
      </c>
      <c r="B275" s="117" t="s">
        <v>2779</v>
      </c>
      <c r="C275" s="304" t="s">
        <v>1314</v>
      </c>
      <c r="D275" s="305"/>
      <c r="E275" s="305"/>
      <c r="F275" s="117" t="s">
        <v>1644</v>
      </c>
      <c r="G275" s="116">
        <v>1</v>
      </c>
      <c r="H275" s="159"/>
      <c r="I275" s="108">
        <f t="shared" si="272"/>
        <v>0</v>
      </c>
      <c r="J275" s="108">
        <f t="shared" si="273"/>
        <v>0</v>
      </c>
      <c r="K275" s="108">
        <f t="shared" si="274"/>
        <v>0</v>
      </c>
      <c r="L275" s="111"/>
      <c r="Z275" s="100">
        <f t="shared" si="275"/>
        <v>0</v>
      </c>
      <c r="AB275" s="100">
        <f t="shared" si="276"/>
        <v>0</v>
      </c>
      <c r="AC275" s="100">
        <f t="shared" si="277"/>
        <v>0</v>
      </c>
      <c r="AD275" s="100">
        <f t="shared" si="278"/>
        <v>0</v>
      </c>
      <c r="AE275" s="100">
        <f t="shared" si="279"/>
        <v>0</v>
      </c>
      <c r="AF275" s="100">
        <f t="shared" si="280"/>
        <v>0</v>
      </c>
      <c r="AG275" s="100">
        <f t="shared" si="281"/>
        <v>0</v>
      </c>
      <c r="AH275" s="100">
        <f t="shared" si="282"/>
        <v>0</v>
      </c>
      <c r="AI275" s="109"/>
      <c r="AJ275" s="108">
        <f t="shared" si="283"/>
        <v>0</v>
      </c>
      <c r="AK275" s="108">
        <f t="shared" si="284"/>
        <v>0</v>
      </c>
      <c r="AL275" s="108">
        <f t="shared" si="285"/>
        <v>0</v>
      </c>
      <c r="AN275" s="100">
        <v>15</v>
      </c>
      <c r="AO275" s="100">
        <f t="shared" si="286"/>
        <v>0</v>
      </c>
      <c r="AP275" s="100">
        <f t="shared" si="287"/>
        <v>0</v>
      </c>
      <c r="AQ275" s="111" t="s">
        <v>13</v>
      </c>
      <c r="AV275" s="100">
        <f t="shared" si="288"/>
        <v>0</v>
      </c>
      <c r="AW275" s="100">
        <f t="shared" si="289"/>
        <v>0</v>
      </c>
      <c r="AX275" s="100">
        <f t="shared" si="290"/>
        <v>0</v>
      </c>
      <c r="AY275" s="110" t="s">
        <v>1709</v>
      </c>
      <c r="AZ275" s="110" t="s">
        <v>1733</v>
      </c>
      <c r="BA275" s="109" t="s">
        <v>1737</v>
      </c>
      <c r="BC275" s="100">
        <f t="shared" si="291"/>
        <v>0</v>
      </c>
      <c r="BD275" s="100">
        <f t="shared" si="292"/>
        <v>0</v>
      </c>
      <c r="BE275" s="100">
        <v>0</v>
      </c>
      <c r="BF275" s="100">
        <f>275</f>
        <v>275</v>
      </c>
      <c r="BH275" s="108">
        <f t="shared" si="293"/>
        <v>0</v>
      </c>
      <c r="BI275" s="108">
        <f t="shared" si="294"/>
        <v>0</v>
      </c>
      <c r="BJ275" s="108">
        <f t="shared" si="295"/>
        <v>0</v>
      </c>
    </row>
    <row r="276" spans="1:62" x14ac:dyDescent="0.2">
      <c r="A276" s="117" t="s">
        <v>238</v>
      </c>
      <c r="B276" s="117" t="s">
        <v>2778</v>
      </c>
      <c r="C276" s="304" t="s">
        <v>1315</v>
      </c>
      <c r="D276" s="305"/>
      <c r="E276" s="305"/>
      <c r="F276" s="117" t="s">
        <v>1644</v>
      </c>
      <c r="G276" s="116">
        <v>1</v>
      </c>
      <c r="H276" s="159"/>
      <c r="I276" s="108">
        <f t="shared" ref="I276:I307" si="296">G276*AO276</f>
        <v>0</v>
      </c>
      <c r="J276" s="108">
        <f t="shared" ref="J276:J307" si="297">G276*AP276</f>
        <v>0</v>
      </c>
      <c r="K276" s="108">
        <f t="shared" ref="K276:K307" si="298">G276*H276</f>
        <v>0</v>
      </c>
      <c r="L276" s="111"/>
      <c r="Z276" s="100">
        <f t="shared" ref="Z276:Z307" si="299">IF(AQ276="5",BJ276,0)</f>
        <v>0</v>
      </c>
      <c r="AB276" s="100">
        <f t="shared" ref="AB276:AB307" si="300">IF(AQ276="1",BH276,0)</f>
        <v>0</v>
      </c>
      <c r="AC276" s="100">
        <f t="shared" ref="AC276:AC307" si="301">IF(AQ276="1",BI276,0)</f>
        <v>0</v>
      </c>
      <c r="AD276" s="100">
        <f t="shared" ref="AD276:AD307" si="302">IF(AQ276="7",BH276,0)</f>
        <v>0</v>
      </c>
      <c r="AE276" s="100">
        <f t="shared" ref="AE276:AE307" si="303">IF(AQ276="7",BI276,0)</f>
        <v>0</v>
      </c>
      <c r="AF276" s="100">
        <f t="shared" ref="AF276:AF307" si="304">IF(AQ276="2",BH276,0)</f>
        <v>0</v>
      </c>
      <c r="AG276" s="100">
        <f t="shared" ref="AG276:AG307" si="305">IF(AQ276="2",BI276,0)</f>
        <v>0</v>
      </c>
      <c r="AH276" s="100">
        <f t="shared" ref="AH276:AH307" si="306">IF(AQ276="0",BJ276,0)</f>
        <v>0</v>
      </c>
      <c r="AI276" s="109"/>
      <c r="AJ276" s="108">
        <f t="shared" ref="AJ276:AJ307" si="307">IF(AN276=0,K276,0)</f>
        <v>0</v>
      </c>
      <c r="AK276" s="108">
        <f t="shared" ref="AK276:AK307" si="308">IF(AN276=15,K276,0)</f>
        <v>0</v>
      </c>
      <c r="AL276" s="108">
        <f t="shared" ref="AL276:AL307" si="309">IF(AN276=21,K276,0)</f>
        <v>0</v>
      </c>
      <c r="AN276" s="100">
        <v>15</v>
      </c>
      <c r="AO276" s="100">
        <f t="shared" ref="AO276:AO307" si="310">H276*0</f>
        <v>0</v>
      </c>
      <c r="AP276" s="100">
        <f t="shared" ref="AP276:AP307" si="311">H276*(1-0)</f>
        <v>0</v>
      </c>
      <c r="AQ276" s="111" t="s">
        <v>13</v>
      </c>
      <c r="AV276" s="100">
        <f t="shared" ref="AV276:AV307" si="312">AW276+AX276</f>
        <v>0</v>
      </c>
      <c r="AW276" s="100">
        <f t="shared" ref="AW276:AW307" si="313">G276*AO276</f>
        <v>0</v>
      </c>
      <c r="AX276" s="100">
        <f t="shared" ref="AX276:AX307" si="314">G276*AP276</f>
        <v>0</v>
      </c>
      <c r="AY276" s="110" t="s">
        <v>1709</v>
      </c>
      <c r="AZ276" s="110" t="s">
        <v>1733</v>
      </c>
      <c r="BA276" s="109" t="s">
        <v>1737</v>
      </c>
      <c r="BC276" s="100">
        <f t="shared" ref="BC276:BC307" si="315">AW276+AX276</f>
        <v>0</v>
      </c>
      <c r="BD276" s="100">
        <f t="shared" ref="BD276:BD307" si="316">H276/(100-BE276)*100</f>
        <v>0</v>
      </c>
      <c r="BE276" s="100">
        <v>0</v>
      </c>
      <c r="BF276" s="100">
        <f>276</f>
        <v>276</v>
      </c>
      <c r="BH276" s="108">
        <f t="shared" ref="BH276:BH307" si="317">G276*AO276</f>
        <v>0</v>
      </c>
      <c r="BI276" s="108">
        <f t="shared" ref="BI276:BI307" si="318">G276*AP276</f>
        <v>0</v>
      </c>
      <c r="BJ276" s="108">
        <f t="shared" ref="BJ276:BJ307" si="319">G276*H276</f>
        <v>0</v>
      </c>
    </row>
    <row r="277" spans="1:62" x14ac:dyDescent="0.2">
      <c r="A277" s="117" t="s">
        <v>239</v>
      </c>
      <c r="B277" s="117" t="s">
        <v>2777</v>
      </c>
      <c r="C277" s="304" t="s">
        <v>1316</v>
      </c>
      <c r="D277" s="305"/>
      <c r="E277" s="305"/>
      <c r="F277" s="117" t="s">
        <v>1644</v>
      </c>
      <c r="G277" s="116">
        <v>2</v>
      </c>
      <c r="H277" s="159"/>
      <c r="I277" s="108">
        <f t="shared" si="296"/>
        <v>0</v>
      </c>
      <c r="J277" s="108">
        <f t="shared" si="297"/>
        <v>0</v>
      </c>
      <c r="K277" s="108">
        <f t="shared" si="298"/>
        <v>0</v>
      </c>
      <c r="L277" s="111"/>
      <c r="Z277" s="100">
        <f t="shared" si="299"/>
        <v>0</v>
      </c>
      <c r="AB277" s="100">
        <f t="shared" si="300"/>
        <v>0</v>
      </c>
      <c r="AC277" s="100">
        <f t="shared" si="301"/>
        <v>0</v>
      </c>
      <c r="AD277" s="100">
        <f t="shared" si="302"/>
        <v>0</v>
      </c>
      <c r="AE277" s="100">
        <f t="shared" si="303"/>
        <v>0</v>
      </c>
      <c r="AF277" s="100">
        <f t="shared" si="304"/>
        <v>0</v>
      </c>
      <c r="AG277" s="100">
        <f t="shared" si="305"/>
        <v>0</v>
      </c>
      <c r="AH277" s="100">
        <f t="shared" si="306"/>
        <v>0</v>
      </c>
      <c r="AI277" s="109"/>
      <c r="AJ277" s="108">
        <f t="shared" si="307"/>
        <v>0</v>
      </c>
      <c r="AK277" s="108">
        <f t="shared" si="308"/>
        <v>0</v>
      </c>
      <c r="AL277" s="108">
        <f t="shared" si="309"/>
        <v>0</v>
      </c>
      <c r="AN277" s="100">
        <v>15</v>
      </c>
      <c r="AO277" s="100">
        <f t="shared" si="310"/>
        <v>0</v>
      </c>
      <c r="AP277" s="100">
        <f t="shared" si="311"/>
        <v>0</v>
      </c>
      <c r="AQ277" s="111" t="s">
        <v>13</v>
      </c>
      <c r="AV277" s="100">
        <f t="shared" si="312"/>
        <v>0</v>
      </c>
      <c r="AW277" s="100">
        <f t="shared" si="313"/>
        <v>0</v>
      </c>
      <c r="AX277" s="100">
        <f t="shared" si="314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315"/>
        <v>0</v>
      </c>
      <c r="BD277" s="100">
        <f t="shared" si="316"/>
        <v>0</v>
      </c>
      <c r="BE277" s="100">
        <v>0</v>
      </c>
      <c r="BF277" s="100">
        <f>277</f>
        <v>277</v>
      </c>
      <c r="BH277" s="108">
        <f t="shared" si="317"/>
        <v>0</v>
      </c>
      <c r="BI277" s="108">
        <f t="shared" si="318"/>
        <v>0</v>
      </c>
      <c r="BJ277" s="108">
        <f t="shared" si="319"/>
        <v>0</v>
      </c>
    </row>
    <row r="278" spans="1:62" x14ac:dyDescent="0.2">
      <c r="A278" s="117" t="s">
        <v>240</v>
      </c>
      <c r="B278" s="117" t="s">
        <v>2776</v>
      </c>
      <c r="C278" s="304" t="s">
        <v>1317</v>
      </c>
      <c r="D278" s="305"/>
      <c r="E278" s="305"/>
      <c r="F278" s="117" t="s">
        <v>1644</v>
      </c>
      <c r="G278" s="116">
        <v>1</v>
      </c>
      <c r="H278" s="159"/>
      <c r="I278" s="108">
        <f t="shared" si="296"/>
        <v>0</v>
      </c>
      <c r="J278" s="108">
        <f t="shared" si="297"/>
        <v>0</v>
      </c>
      <c r="K278" s="108">
        <f t="shared" si="298"/>
        <v>0</v>
      </c>
      <c r="L278" s="111"/>
      <c r="Z278" s="100">
        <f t="shared" si="299"/>
        <v>0</v>
      </c>
      <c r="AB278" s="100">
        <f t="shared" si="300"/>
        <v>0</v>
      </c>
      <c r="AC278" s="100">
        <f t="shared" si="301"/>
        <v>0</v>
      </c>
      <c r="AD278" s="100">
        <f t="shared" si="302"/>
        <v>0</v>
      </c>
      <c r="AE278" s="100">
        <f t="shared" si="303"/>
        <v>0</v>
      </c>
      <c r="AF278" s="100">
        <f t="shared" si="304"/>
        <v>0</v>
      </c>
      <c r="AG278" s="100">
        <f t="shared" si="305"/>
        <v>0</v>
      </c>
      <c r="AH278" s="100">
        <f t="shared" si="306"/>
        <v>0</v>
      </c>
      <c r="AI278" s="109"/>
      <c r="AJ278" s="108">
        <f t="shared" si="307"/>
        <v>0</v>
      </c>
      <c r="AK278" s="108">
        <f t="shared" si="308"/>
        <v>0</v>
      </c>
      <c r="AL278" s="108">
        <f t="shared" si="309"/>
        <v>0</v>
      </c>
      <c r="AN278" s="100">
        <v>15</v>
      </c>
      <c r="AO278" s="100">
        <f t="shared" si="310"/>
        <v>0</v>
      </c>
      <c r="AP278" s="100">
        <f t="shared" si="311"/>
        <v>0</v>
      </c>
      <c r="AQ278" s="111" t="s">
        <v>13</v>
      </c>
      <c r="AV278" s="100">
        <f t="shared" si="312"/>
        <v>0</v>
      </c>
      <c r="AW278" s="100">
        <f t="shared" si="313"/>
        <v>0</v>
      </c>
      <c r="AX278" s="100">
        <f t="shared" si="314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315"/>
        <v>0</v>
      </c>
      <c r="BD278" s="100">
        <f t="shared" si="316"/>
        <v>0</v>
      </c>
      <c r="BE278" s="100">
        <v>0</v>
      </c>
      <c r="BF278" s="100">
        <f>278</f>
        <v>278</v>
      </c>
      <c r="BH278" s="108">
        <f t="shared" si="317"/>
        <v>0</v>
      </c>
      <c r="BI278" s="108">
        <f t="shared" si="318"/>
        <v>0</v>
      </c>
      <c r="BJ278" s="108">
        <f t="shared" si="319"/>
        <v>0</v>
      </c>
    </row>
    <row r="279" spans="1:62" x14ac:dyDescent="0.2">
      <c r="A279" s="117" t="s">
        <v>241</v>
      </c>
      <c r="B279" s="117" t="s">
        <v>2775</v>
      </c>
      <c r="C279" s="304" t="s">
        <v>1318</v>
      </c>
      <c r="D279" s="305"/>
      <c r="E279" s="305"/>
      <c r="F279" s="117" t="s">
        <v>1644</v>
      </c>
      <c r="G279" s="116">
        <v>2</v>
      </c>
      <c r="H279" s="159"/>
      <c r="I279" s="108">
        <f t="shared" si="296"/>
        <v>0</v>
      </c>
      <c r="J279" s="108">
        <f t="shared" si="297"/>
        <v>0</v>
      </c>
      <c r="K279" s="108">
        <f t="shared" si="298"/>
        <v>0</v>
      </c>
      <c r="L279" s="111"/>
      <c r="Z279" s="100">
        <f t="shared" si="299"/>
        <v>0</v>
      </c>
      <c r="AB279" s="100">
        <f t="shared" si="300"/>
        <v>0</v>
      </c>
      <c r="AC279" s="100">
        <f t="shared" si="301"/>
        <v>0</v>
      </c>
      <c r="AD279" s="100">
        <f t="shared" si="302"/>
        <v>0</v>
      </c>
      <c r="AE279" s="100">
        <f t="shared" si="303"/>
        <v>0</v>
      </c>
      <c r="AF279" s="100">
        <f t="shared" si="304"/>
        <v>0</v>
      </c>
      <c r="AG279" s="100">
        <f t="shared" si="305"/>
        <v>0</v>
      </c>
      <c r="AH279" s="100">
        <f t="shared" si="306"/>
        <v>0</v>
      </c>
      <c r="AI279" s="109"/>
      <c r="AJ279" s="108">
        <f t="shared" si="307"/>
        <v>0</v>
      </c>
      <c r="AK279" s="108">
        <f t="shared" si="308"/>
        <v>0</v>
      </c>
      <c r="AL279" s="108">
        <f t="shared" si="309"/>
        <v>0</v>
      </c>
      <c r="AN279" s="100">
        <v>15</v>
      </c>
      <c r="AO279" s="100">
        <f t="shared" si="310"/>
        <v>0</v>
      </c>
      <c r="AP279" s="100">
        <f t="shared" si="311"/>
        <v>0</v>
      </c>
      <c r="AQ279" s="111" t="s">
        <v>13</v>
      </c>
      <c r="AV279" s="100">
        <f t="shared" si="312"/>
        <v>0</v>
      </c>
      <c r="AW279" s="100">
        <f t="shared" si="313"/>
        <v>0</v>
      </c>
      <c r="AX279" s="100">
        <f t="shared" si="314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315"/>
        <v>0</v>
      </c>
      <c r="BD279" s="100">
        <f t="shared" si="316"/>
        <v>0</v>
      </c>
      <c r="BE279" s="100">
        <v>0</v>
      </c>
      <c r="BF279" s="100">
        <f>279</f>
        <v>279</v>
      </c>
      <c r="BH279" s="108">
        <f t="shared" si="317"/>
        <v>0</v>
      </c>
      <c r="BI279" s="108">
        <f t="shared" si="318"/>
        <v>0</v>
      </c>
      <c r="BJ279" s="108">
        <f t="shared" si="319"/>
        <v>0</v>
      </c>
    </row>
    <row r="280" spans="1:62" x14ac:dyDescent="0.2">
      <c r="A280" s="117" t="s">
        <v>242</v>
      </c>
      <c r="B280" s="117" t="s">
        <v>2774</v>
      </c>
      <c r="C280" s="304" t="s">
        <v>1319</v>
      </c>
      <c r="D280" s="305"/>
      <c r="E280" s="305"/>
      <c r="F280" s="117" t="s">
        <v>1644</v>
      </c>
      <c r="G280" s="116">
        <v>6</v>
      </c>
      <c r="H280" s="159"/>
      <c r="I280" s="108">
        <f t="shared" si="296"/>
        <v>0</v>
      </c>
      <c r="J280" s="108">
        <f t="shared" si="297"/>
        <v>0</v>
      </c>
      <c r="K280" s="108">
        <f t="shared" si="298"/>
        <v>0</v>
      </c>
      <c r="L280" s="111"/>
      <c r="Z280" s="100">
        <f t="shared" si="299"/>
        <v>0</v>
      </c>
      <c r="AB280" s="100">
        <f t="shared" si="300"/>
        <v>0</v>
      </c>
      <c r="AC280" s="100">
        <f t="shared" si="301"/>
        <v>0</v>
      </c>
      <c r="AD280" s="100">
        <f t="shared" si="302"/>
        <v>0</v>
      </c>
      <c r="AE280" s="100">
        <f t="shared" si="303"/>
        <v>0</v>
      </c>
      <c r="AF280" s="100">
        <f t="shared" si="304"/>
        <v>0</v>
      </c>
      <c r="AG280" s="100">
        <f t="shared" si="305"/>
        <v>0</v>
      </c>
      <c r="AH280" s="100">
        <f t="shared" si="306"/>
        <v>0</v>
      </c>
      <c r="AI280" s="109"/>
      <c r="AJ280" s="108">
        <f t="shared" si="307"/>
        <v>0</v>
      </c>
      <c r="AK280" s="108">
        <f t="shared" si="308"/>
        <v>0</v>
      </c>
      <c r="AL280" s="108">
        <f t="shared" si="309"/>
        <v>0</v>
      </c>
      <c r="AN280" s="100">
        <v>15</v>
      </c>
      <c r="AO280" s="100">
        <f t="shared" si="310"/>
        <v>0</v>
      </c>
      <c r="AP280" s="100">
        <f t="shared" si="311"/>
        <v>0</v>
      </c>
      <c r="AQ280" s="111" t="s">
        <v>13</v>
      </c>
      <c r="AV280" s="100">
        <f t="shared" si="312"/>
        <v>0</v>
      </c>
      <c r="AW280" s="100">
        <f t="shared" si="313"/>
        <v>0</v>
      </c>
      <c r="AX280" s="100">
        <f t="shared" si="314"/>
        <v>0</v>
      </c>
      <c r="AY280" s="110" t="s">
        <v>1709</v>
      </c>
      <c r="AZ280" s="110" t="s">
        <v>1733</v>
      </c>
      <c r="BA280" s="109" t="s">
        <v>1737</v>
      </c>
      <c r="BC280" s="100">
        <f t="shared" si="315"/>
        <v>0</v>
      </c>
      <c r="BD280" s="100">
        <f t="shared" si="316"/>
        <v>0</v>
      </c>
      <c r="BE280" s="100">
        <v>0</v>
      </c>
      <c r="BF280" s="100">
        <f>280</f>
        <v>280</v>
      </c>
      <c r="BH280" s="108">
        <f t="shared" si="317"/>
        <v>0</v>
      </c>
      <c r="BI280" s="108">
        <f t="shared" si="318"/>
        <v>0</v>
      </c>
      <c r="BJ280" s="108">
        <f t="shared" si="319"/>
        <v>0</v>
      </c>
    </row>
    <row r="281" spans="1:62" x14ac:dyDescent="0.2">
      <c r="A281" s="117" t="s">
        <v>243</v>
      </c>
      <c r="B281" s="117" t="s">
        <v>2773</v>
      </c>
      <c r="C281" s="304" t="s">
        <v>1320</v>
      </c>
      <c r="D281" s="305"/>
      <c r="E281" s="305"/>
      <c r="F281" s="117" t="s">
        <v>1644</v>
      </c>
      <c r="G281" s="116">
        <v>14</v>
      </c>
      <c r="H281" s="159"/>
      <c r="I281" s="108">
        <f t="shared" si="296"/>
        <v>0</v>
      </c>
      <c r="J281" s="108">
        <f t="shared" si="297"/>
        <v>0</v>
      </c>
      <c r="K281" s="108">
        <f t="shared" si="298"/>
        <v>0</v>
      </c>
      <c r="L281" s="111"/>
      <c r="Z281" s="100">
        <f t="shared" si="299"/>
        <v>0</v>
      </c>
      <c r="AB281" s="100">
        <f t="shared" si="300"/>
        <v>0</v>
      </c>
      <c r="AC281" s="100">
        <f t="shared" si="301"/>
        <v>0</v>
      </c>
      <c r="AD281" s="100">
        <f t="shared" si="302"/>
        <v>0</v>
      </c>
      <c r="AE281" s="100">
        <f t="shared" si="303"/>
        <v>0</v>
      </c>
      <c r="AF281" s="100">
        <f t="shared" si="304"/>
        <v>0</v>
      </c>
      <c r="AG281" s="100">
        <f t="shared" si="305"/>
        <v>0</v>
      </c>
      <c r="AH281" s="100">
        <f t="shared" si="306"/>
        <v>0</v>
      </c>
      <c r="AI281" s="109"/>
      <c r="AJ281" s="108">
        <f t="shared" si="307"/>
        <v>0</v>
      </c>
      <c r="AK281" s="108">
        <f t="shared" si="308"/>
        <v>0</v>
      </c>
      <c r="AL281" s="108">
        <f t="shared" si="309"/>
        <v>0</v>
      </c>
      <c r="AN281" s="100">
        <v>15</v>
      </c>
      <c r="AO281" s="100">
        <f t="shared" si="310"/>
        <v>0</v>
      </c>
      <c r="AP281" s="100">
        <f t="shared" si="311"/>
        <v>0</v>
      </c>
      <c r="AQ281" s="111" t="s">
        <v>13</v>
      </c>
      <c r="AV281" s="100">
        <f t="shared" si="312"/>
        <v>0</v>
      </c>
      <c r="AW281" s="100">
        <f t="shared" si="313"/>
        <v>0</v>
      </c>
      <c r="AX281" s="100">
        <f t="shared" si="314"/>
        <v>0</v>
      </c>
      <c r="AY281" s="110" t="s">
        <v>1709</v>
      </c>
      <c r="AZ281" s="110" t="s">
        <v>1733</v>
      </c>
      <c r="BA281" s="109" t="s">
        <v>1737</v>
      </c>
      <c r="BC281" s="100">
        <f t="shared" si="315"/>
        <v>0</v>
      </c>
      <c r="BD281" s="100">
        <f t="shared" si="316"/>
        <v>0</v>
      </c>
      <c r="BE281" s="100">
        <v>0</v>
      </c>
      <c r="BF281" s="100">
        <f>281</f>
        <v>281</v>
      </c>
      <c r="BH281" s="108">
        <f t="shared" si="317"/>
        <v>0</v>
      </c>
      <c r="BI281" s="108">
        <f t="shared" si="318"/>
        <v>0</v>
      </c>
      <c r="BJ281" s="108">
        <f t="shared" si="319"/>
        <v>0</v>
      </c>
    </row>
    <row r="282" spans="1:62" x14ac:dyDescent="0.2">
      <c r="A282" s="117" t="s">
        <v>244</v>
      </c>
      <c r="B282" s="117" t="s">
        <v>2772</v>
      </c>
      <c r="C282" s="304" t="s">
        <v>1321</v>
      </c>
      <c r="D282" s="305"/>
      <c r="E282" s="305"/>
      <c r="F282" s="117" t="s">
        <v>1644</v>
      </c>
      <c r="G282" s="116">
        <v>1</v>
      </c>
      <c r="H282" s="159"/>
      <c r="I282" s="108">
        <f t="shared" si="296"/>
        <v>0</v>
      </c>
      <c r="J282" s="108">
        <f t="shared" si="297"/>
        <v>0</v>
      </c>
      <c r="K282" s="108">
        <f t="shared" si="298"/>
        <v>0</v>
      </c>
      <c r="L282" s="111"/>
      <c r="Z282" s="100">
        <f t="shared" si="299"/>
        <v>0</v>
      </c>
      <c r="AB282" s="100">
        <f t="shared" si="300"/>
        <v>0</v>
      </c>
      <c r="AC282" s="100">
        <f t="shared" si="301"/>
        <v>0</v>
      </c>
      <c r="AD282" s="100">
        <f t="shared" si="302"/>
        <v>0</v>
      </c>
      <c r="AE282" s="100">
        <f t="shared" si="303"/>
        <v>0</v>
      </c>
      <c r="AF282" s="100">
        <f t="shared" si="304"/>
        <v>0</v>
      </c>
      <c r="AG282" s="100">
        <f t="shared" si="305"/>
        <v>0</v>
      </c>
      <c r="AH282" s="100">
        <f t="shared" si="306"/>
        <v>0</v>
      </c>
      <c r="AI282" s="109"/>
      <c r="AJ282" s="108">
        <f t="shared" si="307"/>
        <v>0</v>
      </c>
      <c r="AK282" s="108">
        <f t="shared" si="308"/>
        <v>0</v>
      </c>
      <c r="AL282" s="108">
        <f t="shared" si="309"/>
        <v>0</v>
      </c>
      <c r="AN282" s="100">
        <v>15</v>
      </c>
      <c r="AO282" s="100">
        <f t="shared" si="310"/>
        <v>0</v>
      </c>
      <c r="AP282" s="100">
        <f t="shared" si="311"/>
        <v>0</v>
      </c>
      <c r="AQ282" s="111" t="s">
        <v>13</v>
      </c>
      <c r="AV282" s="100">
        <f t="shared" si="312"/>
        <v>0</v>
      </c>
      <c r="AW282" s="100">
        <f t="shared" si="313"/>
        <v>0</v>
      </c>
      <c r="AX282" s="100">
        <f t="shared" si="314"/>
        <v>0</v>
      </c>
      <c r="AY282" s="110" t="s">
        <v>1709</v>
      </c>
      <c r="AZ282" s="110" t="s">
        <v>1733</v>
      </c>
      <c r="BA282" s="109" t="s">
        <v>1737</v>
      </c>
      <c r="BC282" s="100">
        <f t="shared" si="315"/>
        <v>0</v>
      </c>
      <c r="BD282" s="100">
        <f t="shared" si="316"/>
        <v>0</v>
      </c>
      <c r="BE282" s="100">
        <v>0</v>
      </c>
      <c r="BF282" s="100">
        <f>282</f>
        <v>282</v>
      </c>
      <c r="BH282" s="108">
        <f t="shared" si="317"/>
        <v>0</v>
      </c>
      <c r="BI282" s="108">
        <f t="shared" si="318"/>
        <v>0</v>
      </c>
      <c r="BJ282" s="108">
        <f t="shared" si="319"/>
        <v>0</v>
      </c>
    </row>
    <row r="283" spans="1:62" x14ac:dyDescent="0.2">
      <c r="A283" s="117" t="s">
        <v>245</v>
      </c>
      <c r="B283" s="117" t="s">
        <v>2771</v>
      </c>
      <c r="C283" s="304" t="s">
        <v>1322</v>
      </c>
      <c r="D283" s="305"/>
      <c r="E283" s="305"/>
      <c r="F283" s="117" t="s">
        <v>1644</v>
      </c>
      <c r="G283" s="116">
        <v>2</v>
      </c>
      <c r="H283" s="159"/>
      <c r="I283" s="108">
        <f t="shared" si="296"/>
        <v>0</v>
      </c>
      <c r="J283" s="108">
        <f t="shared" si="297"/>
        <v>0</v>
      </c>
      <c r="K283" s="108">
        <f t="shared" si="298"/>
        <v>0</v>
      </c>
      <c r="L283" s="111"/>
      <c r="Z283" s="100">
        <f t="shared" si="299"/>
        <v>0</v>
      </c>
      <c r="AB283" s="100">
        <f t="shared" si="300"/>
        <v>0</v>
      </c>
      <c r="AC283" s="100">
        <f t="shared" si="301"/>
        <v>0</v>
      </c>
      <c r="AD283" s="100">
        <f t="shared" si="302"/>
        <v>0</v>
      </c>
      <c r="AE283" s="100">
        <f t="shared" si="303"/>
        <v>0</v>
      </c>
      <c r="AF283" s="100">
        <f t="shared" si="304"/>
        <v>0</v>
      </c>
      <c r="AG283" s="100">
        <f t="shared" si="305"/>
        <v>0</v>
      </c>
      <c r="AH283" s="100">
        <f t="shared" si="306"/>
        <v>0</v>
      </c>
      <c r="AI283" s="109"/>
      <c r="AJ283" s="108">
        <f t="shared" si="307"/>
        <v>0</v>
      </c>
      <c r="AK283" s="108">
        <f t="shared" si="308"/>
        <v>0</v>
      </c>
      <c r="AL283" s="108">
        <f t="shared" si="309"/>
        <v>0</v>
      </c>
      <c r="AN283" s="100">
        <v>15</v>
      </c>
      <c r="AO283" s="100">
        <f t="shared" si="310"/>
        <v>0</v>
      </c>
      <c r="AP283" s="100">
        <f t="shared" si="311"/>
        <v>0</v>
      </c>
      <c r="AQ283" s="111" t="s">
        <v>13</v>
      </c>
      <c r="AV283" s="100">
        <f t="shared" si="312"/>
        <v>0</v>
      </c>
      <c r="AW283" s="100">
        <f t="shared" si="313"/>
        <v>0</v>
      </c>
      <c r="AX283" s="100">
        <f t="shared" si="314"/>
        <v>0</v>
      </c>
      <c r="AY283" s="110" t="s">
        <v>1709</v>
      </c>
      <c r="AZ283" s="110" t="s">
        <v>1733</v>
      </c>
      <c r="BA283" s="109" t="s">
        <v>1737</v>
      </c>
      <c r="BC283" s="100">
        <f t="shared" si="315"/>
        <v>0</v>
      </c>
      <c r="BD283" s="100">
        <f t="shared" si="316"/>
        <v>0</v>
      </c>
      <c r="BE283" s="100">
        <v>0</v>
      </c>
      <c r="BF283" s="100">
        <f>283</f>
        <v>283</v>
      </c>
      <c r="BH283" s="108">
        <f t="shared" si="317"/>
        <v>0</v>
      </c>
      <c r="BI283" s="108">
        <f t="shared" si="318"/>
        <v>0</v>
      </c>
      <c r="BJ283" s="108">
        <f t="shared" si="319"/>
        <v>0</v>
      </c>
    </row>
    <row r="284" spans="1:62" x14ac:dyDescent="0.2">
      <c r="A284" s="117" t="s">
        <v>246</v>
      </c>
      <c r="B284" s="117" t="s">
        <v>2770</v>
      </c>
      <c r="C284" s="304" t="s">
        <v>1323</v>
      </c>
      <c r="D284" s="305"/>
      <c r="E284" s="305"/>
      <c r="F284" s="117" t="s">
        <v>1644</v>
      </c>
      <c r="G284" s="116">
        <v>1</v>
      </c>
      <c r="H284" s="159"/>
      <c r="I284" s="108">
        <f t="shared" si="296"/>
        <v>0</v>
      </c>
      <c r="J284" s="108">
        <f t="shared" si="297"/>
        <v>0</v>
      </c>
      <c r="K284" s="108">
        <f t="shared" si="298"/>
        <v>0</v>
      </c>
      <c r="L284" s="111"/>
      <c r="Z284" s="100">
        <f t="shared" si="299"/>
        <v>0</v>
      </c>
      <c r="AB284" s="100">
        <f t="shared" si="300"/>
        <v>0</v>
      </c>
      <c r="AC284" s="100">
        <f t="shared" si="301"/>
        <v>0</v>
      </c>
      <c r="AD284" s="100">
        <f t="shared" si="302"/>
        <v>0</v>
      </c>
      <c r="AE284" s="100">
        <f t="shared" si="303"/>
        <v>0</v>
      </c>
      <c r="AF284" s="100">
        <f t="shared" si="304"/>
        <v>0</v>
      </c>
      <c r="AG284" s="100">
        <f t="shared" si="305"/>
        <v>0</v>
      </c>
      <c r="AH284" s="100">
        <f t="shared" si="306"/>
        <v>0</v>
      </c>
      <c r="AI284" s="109"/>
      <c r="AJ284" s="108">
        <f t="shared" si="307"/>
        <v>0</v>
      </c>
      <c r="AK284" s="108">
        <f t="shared" si="308"/>
        <v>0</v>
      </c>
      <c r="AL284" s="108">
        <f t="shared" si="309"/>
        <v>0</v>
      </c>
      <c r="AN284" s="100">
        <v>15</v>
      </c>
      <c r="AO284" s="100">
        <f t="shared" si="310"/>
        <v>0</v>
      </c>
      <c r="AP284" s="100">
        <f t="shared" si="311"/>
        <v>0</v>
      </c>
      <c r="AQ284" s="111" t="s">
        <v>13</v>
      </c>
      <c r="AV284" s="100">
        <f t="shared" si="312"/>
        <v>0</v>
      </c>
      <c r="AW284" s="100">
        <f t="shared" si="313"/>
        <v>0</v>
      </c>
      <c r="AX284" s="100">
        <f t="shared" si="314"/>
        <v>0</v>
      </c>
      <c r="AY284" s="110" t="s">
        <v>1709</v>
      </c>
      <c r="AZ284" s="110" t="s">
        <v>1733</v>
      </c>
      <c r="BA284" s="109" t="s">
        <v>1737</v>
      </c>
      <c r="BC284" s="100">
        <f t="shared" si="315"/>
        <v>0</v>
      </c>
      <c r="BD284" s="100">
        <f t="shared" si="316"/>
        <v>0</v>
      </c>
      <c r="BE284" s="100">
        <v>0</v>
      </c>
      <c r="BF284" s="100">
        <f>284</f>
        <v>284</v>
      </c>
      <c r="BH284" s="108">
        <f t="shared" si="317"/>
        <v>0</v>
      </c>
      <c r="BI284" s="108">
        <f t="shared" si="318"/>
        <v>0</v>
      </c>
      <c r="BJ284" s="108">
        <f t="shared" si="319"/>
        <v>0</v>
      </c>
    </row>
    <row r="285" spans="1:62" x14ac:dyDescent="0.2">
      <c r="A285" s="117" t="s">
        <v>247</v>
      </c>
      <c r="B285" s="117" t="s">
        <v>2769</v>
      </c>
      <c r="C285" s="304" t="s">
        <v>1324</v>
      </c>
      <c r="D285" s="305"/>
      <c r="E285" s="305"/>
      <c r="F285" s="117" t="s">
        <v>1644</v>
      </c>
      <c r="G285" s="116">
        <v>2</v>
      </c>
      <c r="H285" s="159"/>
      <c r="I285" s="108">
        <f t="shared" si="296"/>
        <v>0</v>
      </c>
      <c r="J285" s="108">
        <f t="shared" si="297"/>
        <v>0</v>
      </c>
      <c r="K285" s="108">
        <f t="shared" si="298"/>
        <v>0</v>
      </c>
      <c r="L285" s="111"/>
      <c r="Z285" s="100">
        <f t="shared" si="299"/>
        <v>0</v>
      </c>
      <c r="AB285" s="100">
        <f t="shared" si="300"/>
        <v>0</v>
      </c>
      <c r="AC285" s="100">
        <f t="shared" si="301"/>
        <v>0</v>
      </c>
      <c r="AD285" s="100">
        <f t="shared" si="302"/>
        <v>0</v>
      </c>
      <c r="AE285" s="100">
        <f t="shared" si="303"/>
        <v>0</v>
      </c>
      <c r="AF285" s="100">
        <f t="shared" si="304"/>
        <v>0</v>
      </c>
      <c r="AG285" s="100">
        <f t="shared" si="305"/>
        <v>0</v>
      </c>
      <c r="AH285" s="100">
        <f t="shared" si="306"/>
        <v>0</v>
      </c>
      <c r="AI285" s="109"/>
      <c r="AJ285" s="108">
        <f t="shared" si="307"/>
        <v>0</v>
      </c>
      <c r="AK285" s="108">
        <f t="shared" si="308"/>
        <v>0</v>
      </c>
      <c r="AL285" s="108">
        <f t="shared" si="309"/>
        <v>0</v>
      </c>
      <c r="AN285" s="100">
        <v>15</v>
      </c>
      <c r="AO285" s="100">
        <f t="shared" si="310"/>
        <v>0</v>
      </c>
      <c r="AP285" s="100">
        <f t="shared" si="311"/>
        <v>0</v>
      </c>
      <c r="AQ285" s="111" t="s">
        <v>13</v>
      </c>
      <c r="AV285" s="100">
        <f t="shared" si="312"/>
        <v>0</v>
      </c>
      <c r="AW285" s="100">
        <f t="shared" si="313"/>
        <v>0</v>
      </c>
      <c r="AX285" s="100">
        <f t="shared" si="314"/>
        <v>0</v>
      </c>
      <c r="AY285" s="110" t="s">
        <v>1709</v>
      </c>
      <c r="AZ285" s="110" t="s">
        <v>1733</v>
      </c>
      <c r="BA285" s="109" t="s">
        <v>1737</v>
      </c>
      <c r="BC285" s="100">
        <f t="shared" si="315"/>
        <v>0</v>
      </c>
      <c r="BD285" s="100">
        <f t="shared" si="316"/>
        <v>0</v>
      </c>
      <c r="BE285" s="100">
        <v>0</v>
      </c>
      <c r="BF285" s="100">
        <f>285</f>
        <v>285</v>
      </c>
      <c r="BH285" s="108">
        <f t="shared" si="317"/>
        <v>0</v>
      </c>
      <c r="BI285" s="108">
        <f t="shared" si="318"/>
        <v>0</v>
      </c>
      <c r="BJ285" s="108">
        <f t="shared" si="319"/>
        <v>0</v>
      </c>
    </row>
    <row r="286" spans="1:62" x14ac:dyDescent="0.2">
      <c r="A286" s="117" t="s">
        <v>248</v>
      </c>
      <c r="B286" s="117" t="s">
        <v>2768</v>
      </c>
      <c r="C286" s="304" t="s">
        <v>1325</v>
      </c>
      <c r="D286" s="305"/>
      <c r="E286" s="305"/>
      <c r="F286" s="117" t="s">
        <v>1644</v>
      </c>
      <c r="G286" s="116">
        <v>1</v>
      </c>
      <c r="H286" s="159"/>
      <c r="I286" s="108">
        <f t="shared" si="296"/>
        <v>0</v>
      </c>
      <c r="J286" s="108">
        <f t="shared" si="297"/>
        <v>0</v>
      </c>
      <c r="K286" s="108">
        <f t="shared" si="298"/>
        <v>0</v>
      </c>
      <c r="L286" s="111"/>
      <c r="Z286" s="100">
        <f t="shared" si="299"/>
        <v>0</v>
      </c>
      <c r="AB286" s="100">
        <f t="shared" si="300"/>
        <v>0</v>
      </c>
      <c r="AC286" s="100">
        <f t="shared" si="301"/>
        <v>0</v>
      </c>
      <c r="AD286" s="100">
        <f t="shared" si="302"/>
        <v>0</v>
      </c>
      <c r="AE286" s="100">
        <f t="shared" si="303"/>
        <v>0</v>
      </c>
      <c r="AF286" s="100">
        <f t="shared" si="304"/>
        <v>0</v>
      </c>
      <c r="AG286" s="100">
        <f t="shared" si="305"/>
        <v>0</v>
      </c>
      <c r="AH286" s="100">
        <f t="shared" si="306"/>
        <v>0</v>
      </c>
      <c r="AI286" s="109"/>
      <c r="AJ286" s="108">
        <f t="shared" si="307"/>
        <v>0</v>
      </c>
      <c r="AK286" s="108">
        <f t="shared" si="308"/>
        <v>0</v>
      </c>
      <c r="AL286" s="108">
        <f t="shared" si="309"/>
        <v>0</v>
      </c>
      <c r="AN286" s="100">
        <v>15</v>
      </c>
      <c r="AO286" s="100">
        <f t="shared" si="310"/>
        <v>0</v>
      </c>
      <c r="AP286" s="100">
        <f t="shared" si="311"/>
        <v>0</v>
      </c>
      <c r="AQ286" s="111" t="s">
        <v>13</v>
      </c>
      <c r="AV286" s="100">
        <f t="shared" si="312"/>
        <v>0</v>
      </c>
      <c r="AW286" s="100">
        <f t="shared" si="313"/>
        <v>0</v>
      </c>
      <c r="AX286" s="100">
        <f t="shared" si="314"/>
        <v>0</v>
      </c>
      <c r="AY286" s="110" t="s">
        <v>1709</v>
      </c>
      <c r="AZ286" s="110" t="s">
        <v>1733</v>
      </c>
      <c r="BA286" s="109" t="s">
        <v>1737</v>
      </c>
      <c r="BC286" s="100">
        <f t="shared" si="315"/>
        <v>0</v>
      </c>
      <c r="BD286" s="100">
        <f t="shared" si="316"/>
        <v>0</v>
      </c>
      <c r="BE286" s="100">
        <v>0</v>
      </c>
      <c r="BF286" s="100">
        <f>286</f>
        <v>286</v>
      </c>
      <c r="BH286" s="108">
        <f t="shared" si="317"/>
        <v>0</v>
      </c>
      <c r="BI286" s="108">
        <f t="shared" si="318"/>
        <v>0</v>
      </c>
      <c r="BJ286" s="108">
        <f t="shared" si="319"/>
        <v>0</v>
      </c>
    </row>
    <row r="287" spans="1:62" x14ac:dyDescent="0.2">
      <c r="A287" s="117" t="s">
        <v>249</v>
      </c>
      <c r="B287" s="117" t="s">
        <v>2767</v>
      </c>
      <c r="C287" s="304" t="s">
        <v>1297</v>
      </c>
      <c r="D287" s="305"/>
      <c r="E287" s="305"/>
      <c r="F287" s="117" t="s">
        <v>1644</v>
      </c>
      <c r="G287" s="116">
        <v>8</v>
      </c>
      <c r="H287" s="159"/>
      <c r="I287" s="108">
        <f t="shared" si="296"/>
        <v>0</v>
      </c>
      <c r="J287" s="108">
        <f t="shared" si="297"/>
        <v>0</v>
      </c>
      <c r="K287" s="108">
        <f t="shared" si="298"/>
        <v>0</v>
      </c>
      <c r="L287" s="111"/>
      <c r="Z287" s="100">
        <f t="shared" si="299"/>
        <v>0</v>
      </c>
      <c r="AB287" s="100">
        <f t="shared" si="300"/>
        <v>0</v>
      </c>
      <c r="AC287" s="100">
        <f t="shared" si="301"/>
        <v>0</v>
      </c>
      <c r="AD287" s="100">
        <f t="shared" si="302"/>
        <v>0</v>
      </c>
      <c r="AE287" s="100">
        <f t="shared" si="303"/>
        <v>0</v>
      </c>
      <c r="AF287" s="100">
        <f t="shared" si="304"/>
        <v>0</v>
      </c>
      <c r="AG287" s="100">
        <f t="shared" si="305"/>
        <v>0</v>
      </c>
      <c r="AH287" s="100">
        <f t="shared" si="306"/>
        <v>0</v>
      </c>
      <c r="AI287" s="109"/>
      <c r="AJ287" s="108">
        <f t="shared" si="307"/>
        <v>0</v>
      </c>
      <c r="AK287" s="108">
        <f t="shared" si="308"/>
        <v>0</v>
      </c>
      <c r="AL287" s="108">
        <f t="shared" si="309"/>
        <v>0</v>
      </c>
      <c r="AN287" s="100">
        <v>15</v>
      </c>
      <c r="AO287" s="100">
        <f t="shared" si="310"/>
        <v>0</v>
      </c>
      <c r="AP287" s="100">
        <f t="shared" si="311"/>
        <v>0</v>
      </c>
      <c r="AQ287" s="111" t="s">
        <v>13</v>
      </c>
      <c r="AV287" s="100">
        <f t="shared" si="312"/>
        <v>0</v>
      </c>
      <c r="AW287" s="100">
        <f t="shared" si="313"/>
        <v>0</v>
      </c>
      <c r="AX287" s="100">
        <f t="shared" si="314"/>
        <v>0</v>
      </c>
      <c r="AY287" s="110" t="s">
        <v>1709</v>
      </c>
      <c r="AZ287" s="110" t="s">
        <v>1733</v>
      </c>
      <c r="BA287" s="109" t="s">
        <v>1737</v>
      </c>
      <c r="BC287" s="100">
        <f t="shared" si="315"/>
        <v>0</v>
      </c>
      <c r="BD287" s="100">
        <f t="shared" si="316"/>
        <v>0</v>
      </c>
      <c r="BE287" s="100">
        <v>0</v>
      </c>
      <c r="BF287" s="100">
        <f>287</f>
        <v>287</v>
      </c>
      <c r="BH287" s="108">
        <f t="shared" si="317"/>
        <v>0</v>
      </c>
      <c r="BI287" s="108">
        <f t="shared" si="318"/>
        <v>0</v>
      </c>
      <c r="BJ287" s="108">
        <f t="shared" si="319"/>
        <v>0</v>
      </c>
    </row>
    <row r="288" spans="1:62" x14ac:dyDescent="0.2">
      <c r="A288" s="117" t="s">
        <v>250</v>
      </c>
      <c r="B288" s="117" t="s">
        <v>2766</v>
      </c>
      <c r="C288" s="304" t="s">
        <v>1326</v>
      </c>
      <c r="D288" s="305"/>
      <c r="E288" s="305"/>
      <c r="F288" s="117" t="s">
        <v>1644</v>
      </c>
      <c r="G288" s="116">
        <v>8</v>
      </c>
      <c r="H288" s="159"/>
      <c r="I288" s="108">
        <f t="shared" si="296"/>
        <v>0</v>
      </c>
      <c r="J288" s="108">
        <f t="shared" si="297"/>
        <v>0</v>
      </c>
      <c r="K288" s="108">
        <f t="shared" si="298"/>
        <v>0</v>
      </c>
      <c r="L288" s="111"/>
      <c r="Z288" s="100">
        <f t="shared" si="299"/>
        <v>0</v>
      </c>
      <c r="AB288" s="100">
        <f t="shared" si="300"/>
        <v>0</v>
      </c>
      <c r="AC288" s="100">
        <f t="shared" si="301"/>
        <v>0</v>
      </c>
      <c r="AD288" s="100">
        <f t="shared" si="302"/>
        <v>0</v>
      </c>
      <c r="AE288" s="100">
        <f t="shared" si="303"/>
        <v>0</v>
      </c>
      <c r="AF288" s="100">
        <f t="shared" si="304"/>
        <v>0</v>
      </c>
      <c r="AG288" s="100">
        <f t="shared" si="305"/>
        <v>0</v>
      </c>
      <c r="AH288" s="100">
        <f t="shared" si="306"/>
        <v>0</v>
      </c>
      <c r="AI288" s="109"/>
      <c r="AJ288" s="108">
        <f t="shared" si="307"/>
        <v>0</v>
      </c>
      <c r="AK288" s="108">
        <f t="shared" si="308"/>
        <v>0</v>
      </c>
      <c r="AL288" s="108">
        <f t="shared" si="309"/>
        <v>0</v>
      </c>
      <c r="AN288" s="100">
        <v>15</v>
      </c>
      <c r="AO288" s="100">
        <f t="shared" si="310"/>
        <v>0</v>
      </c>
      <c r="AP288" s="100">
        <f t="shared" si="311"/>
        <v>0</v>
      </c>
      <c r="AQ288" s="111" t="s">
        <v>13</v>
      </c>
      <c r="AV288" s="100">
        <f t="shared" si="312"/>
        <v>0</v>
      </c>
      <c r="AW288" s="100">
        <f t="shared" si="313"/>
        <v>0</v>
      </c>
      <c r="AX288" s="100">
        <f t="shared" si="314"/>
        <v>0</v>
      </c>
      <c r="AY288" s="110" t="s">
        <v>1709</v>
      </c>
      <c r="AZ288" s="110" t="s">
        <v>1733</v>
      </c>
      <c r="BA288" s="109" t="s">
        <v>1737</v>
      </c>
      <c r="BC288" s="100">
        <f t="shared" si="315"/>
        <v>0</v>
      </c>
      <c r="BD288" s="100">
        <f t="shared" si="316"/>
        <v>0</v>
      </c>
      <c r="BE288" s="100">
        <v>0</v>
      </c>
      <c r="BF288" s="100">
        <f>288</f>
        <v>288</v>
      </c>
      <c r="BH288" s="108">
        <f t="shared" si="317"/>
        <v>0</v>
      </c>
      <c r="BI288" s="108">
        <f t="shared" si="318"/>
        <v>0</v>
      </c>
      <c r="BJ288" s="108">
        <f t="shared" si="319"/>
        <v>0</v>
      </c>
    </row>
    <row r="289" spans="1:62" x14ac:dyDescent="0.2">
      <c r="A289" s="117" t="s">
        <v>251</v>
      </c>
      <c r="B289" s="117" t="s">
        <v>2765</v>
      </c>
      <c r="C289" s="304" t="s">
        <v>1327</v>
      </c>
      <c r="D289" s="305"/>
      <c r="E289" s="305"/>
      <c r="F289" s="117" t="s">
        <v>1644</v>
      </c>
      <c r="G289" s="116">
        <v>6</v>
      </c>
      <c r="H289" s="159"/>
      <c r="I289" s="108">
        <f t="shared" si="296"/>
        <v>0</v>
      </c>
      <c r="J289" s="108">
        <f t="shared" si="297"/>
        <v>0</v>
      </c>
      <c r="K289" s="108">
        <f t="shared" si="298"/>
        <v>0</v>
      </c>
      <c r="L289" s="111"/>
      <c r="Z289" s="100">
        <f t="shared" si="299"/>
        <v>0</v>
      </c>
      <c r="AB289" s="100">
        <f t="shared" si="300"/>
        <v>0</v>
      </c>
      <c r="AC289" s="100">
        <f t="shared" si="301"/>
        <v>0</v>
      </c>
      <c r="AD289" s="100">
        <f t="shared" si="302"/>
        <v>0</v>
      </c>
      <c r="AE289" s="100">
        <f t="shared" si="303"/>
        <v>0</v>
      </c>
      <c r="AF289" s="100">
        <f t="shared" si="304"/>
        <v>0</v>
      </c>
      <c r="AG289" s="100">
        <f t="shared" si="305"/>
        <v>0</v>
      </c>
      <c r="AH289" s="100">
        <f t="shared" si="306"/>
        <v>0</v>
      </c>
      <c r="AI289" s="109"/>
      <c r="AJ289" s="108">
        <f t="shared" si="307"/>
        <v>0</v>
      </c>
      <c r="AK289" s="108">
        <f t="shared" si="308"/>
        <v>0</v>
      </c>
      <c r="AL289" s="108">
        <f t="shared" si="309"/>
        <v>0</v>
      </c>
      <c r="AN289" s="100">
        <v>15</v>
      </c>
      <c r="AO289" s="100">
        <f t="shared" si="310"/>
        <v>0</v>
      </c>
      <c r="AP289" s="100">
        <f t="shared" si="311"/>
        <v>0</v>
      </c>
      <c r="AQ289" s="111" t="s">
        <v>13</v>
      </c>
      <c r="AV289" s="100">
        <f t="shared" si="312"/>
        <v>0</v>
      </c>
      <c r="AW289" s="100">
        <f t="shared" si="313"/>
        <v>0</v>
      </c>
      <c r="AX289" s="100">
        <f t="shared" si="314"/>
        <v>0</v>
      </c>
      <c r="AY289" s="110" t="s">
        <v>1709</v>
      </c>
      <c r="AZ289" s="110" t="s">
        <v>1733</v>
      </c>
      <c r="BA289" s="109" t="s">
        <v>1737</v>
      </c>
      <c r="BC289" s="100">
        <f t="shared" si="315"/>
        <v>0</v>
      </c>
      <c r="BD289" s="100">
        <f t="shared" si="316"/>
        <v>0</v>
      </c>
      <c r="BE289" s="100">
        <v>0</v>
      </c>
      <c r="BF289" s="100">
        <f>289</f>
        <v>289</v>
      </c>
      <c r="BH289" s="108">
        <f t="shared" si="317"/>
        <v>0</v>
      </c>
      <c r="BI289" s="108">
        <f t="shared" si="318"/>
        <v>0</v>
      </c>
      <c r="BJ289" s="108">
        <f t="shared" si="319"/>
        <v>0</v>
      </c>
    </row>
    <row r="290" spans="1:62" x14ac:dyDescent="0.2">
      <c r="A290" s="117" t="s">
        <v>252</v>
      </c>
      <c r="B290" s="117" t="s">
        <v>2764</v>
      </c>
      <c r="C290" s="304" t="s">
        <v>1294</v>
      </c>
      <c r="D290" s="305"/>
      <c r="E290" s="305"/>
      <c r="F290" s="117" t="s">
        <v>1644</v>
      </c>
      <c r="G290" s="116">
        <v>2</v>
      </c>
      <c r="H290" s="159"/>
      <c r="I290" s="108">
        <f t="shared" si="296"/>
        <v>0</v>
      </c>
      <c r="J290" s="108">
        <f t="shared" si="297"/>
        <v>0</v>
      </c>
      <c r="K290" s="108">
        <f t="shared" si="298"/>
        <v>0</v>
      </c>
      <c r="L290" s="111"/>
      <c r="Z290" s="100">
        <f t="shared" si="299"/>
        <v>0</v>
      </c>
      <c r="AB290" s="100">
        <f t="shared" si="300"/>
        <v>0</v>
      </c>
      <c r="AC290" s="100">
        <f t="shared" si="301"/>
        <v>0</v>
      </c>
      <c r="AD290" s="100">
        <f t="shared" si="302"/>
        <v>0</v>
      </c>
      <c r="AE290" s="100">
        <f t="shared" si="303"/>
        <v>0</v>
      </c>
      <c r="AF290" s="100">
        <f t="shared" si="304"/>
        <v>0</v>
      </c>
      <c r="AG290" s="100">
        <f t="shared" si="305"/>
        <v>0</v>
      </c>
      <c r="AH290" s="100">
        <f t="shared" si="306"/>
        <v>0</v>
      </c>
      <c r="AI290" s="109"/>
      <c r="AJ290" s="108">
        <f t="shared" si="307"/>
        <v>0</v>
      </c>
      <c r="AK290" s="108">
        <f t="shared" si="308"/>
        <v>0</v>
      </c>
      <c r="AL290" s="108">
        <f t="shared" si="309"/>
        <v>0</v>
      </c>
      <c r="AN290" s="100">
        <v>15</v>
      </c>
      <c r="AO290" s="100">
        <f t="shared" si="310"/>
        <v>0</v>
      </c>
      <c r="AP290" s="100">
        <f t="shared" si="311"/>
        <v>0</v>
      </c>
      <c r="AQ290" s="111" t="s">
        <v>13</v>
      </c>
      <c r="AV290" s="100">
        <f t="shared" si="312"/>
        <v>0</v>
      </c>
      <c r="AW290" s="100">
        <f t="shared" si="313"/>
        <v>0</v>
      </c>
      <c r="AX290" s="100">
        <f t="shared" si="314"/>
        <v>0</v>
      </c>
      <c r="AY290" s="110" t="s">
        <v>1709</v>
      </c>
      <c r="AZ290" s="110" t="s">
        <v>1733</v>
      </c>
      <c r="BA290" s="109" t="s">
        <v>1737</v>
      </c>
      <c r="BC290" s="100">
        <f t="shared" si="315"/>
        <v>0</v>
      </c>
      <c r="BD290" s="100">
        <f t="shared" si="316"/>
        <v>0</v>
      </c>
      <c r="BE290" s="100">
        <v>0</v>
      </c>
      <c r="BF290" s="100">
        <f>290</f>
        <v>290</v>
      </c>
      <c r="BH290" s="108">
        <f t="shared" si="317"/>
        <v>0</v>
      </c>
      <c r="BI290" s="108">
        <f t="shared" si="318"/>
        <v>0</v>
      </c>
      <c r="BJ290" s="108">
        <f t="shared" si="319"/>
        <v>0</v>
      </c>
    </row>
    <row r="291" spans="1:62" x14ac:dyDescent="0.2">
      <c r="A291" s="117" t="s">
        <v>253</v>
      </c>
      <c r="B291" s="117" t="s">
        <v>2763</v>
      </c>
      <c r="C291" s="304" t="s">
        <v>1295</v>
      </c>
      <c r="D291" s="305"/>
      <c r="E291" s="305"/>
      <c r="F291" s="117" t="s">
        <v>1644</v>
      </c>
      <c r="G291" s="116">
        <v>2</v>
      </c>
      <c r="H291" s="159"/>
      <c r="I291" s="108">
        <f t="shared" si="296"/>
        <v>0</v>
      </c>
      <c r="J291" s="108">
        <f t="shared" si="297"/>
        <v>0</v>
      </c>
      <c r="K291" s="108">
        <f t="shared" si="298"/>
        <v>0</v>
      </c>
      <c r="L291" s="111"/>
      <c r="Z291" s="100">
        <f t="shared" si="299"/>
        <v>0</v>
      </c>
      <c r="AB291" s="100">
        <f t="shared" si="300"/>
        <v>0</v>
      </c>
      <c r="AC291" s="100">
        <f t="shared" si="301"/>
        <v>0</v>
      </c>
      <c r="AD291" s="100">
        <f t="shared" si="302"/>
        <v>0</v>
      </c>
      <c r="AE291" s="100">
        <f t="shared" si="303"/>
        <v>0</v>
      </c>
      <c r="AF291" s="100">
        <f t="shared" si="304"/>
        <v>0</v>
      </c>
      <c r="AG291" s="100">
        <f t="shared" si="305"/>
        <v>0</v>
      </c>
      <c r="AH291" s="100">
        <f t="shared" si="306"/>
        <v>0</v>
      </c>
      <c r="AI291" s="109"/>
      <c r="AJ291" s="108">
        <f t="shared" si="307"/>
        <v>0</v>
      </c>
      <c r="AK291" s="108">
        <f t="shared" si="308"/>
        <v>0</v>
      </c>
      <c r="AL291" s="108">
        <f t="shared" si="309"/>
        <v>0</v>
      </c>
      <c r="AN291" s="100">
        <v>15</v>
      </c>
      <c r="AO291" s="100">
        <f t="shared" si="310"/>
        <v>0</v>
      </c>
      <c r="AP291" s="100">
        <f t="shared" si="311"/>
        <v>0</v>
      </c>
      <c r="AQ291" s="111" t="s">
        <v>13</v>
      </c>
      <c r="AV291" s="100">
        <f t="shared" si="312"/>
        <v>0</v>
      </c>
      <c r="AW291" s="100">
        <f t="shared" si="313"/>
        <v>0</v>
      </c>
      <c r="AX291" s="100">
        <f t="shared" si="314"/>
        <v>0</v>
      </c>
      <c r="AY291" s="110" t="s">
        <v>1709</v>
      </c>
      <c r="AZ291" s="110" t="s">
        <v>1733</v>
      </c>
      <c r="BA291" s="109" t="s">
        <v>1737</v>
      </c>
      <c r="BC291" s="100">
        <f t="shared" si="315"/>
        <v>0</v>
      </c>
      <c r="BD291" s="100">
        <f t="shared" si="316"/>
        <v>0</v>
      </c>
      <c r="BE291" s="100">
        <v>0</v>
      </c>
      <c r="BF291" s="100">
        <f>291</f>
        <v>291</v>
      </c>
      <c r="BH291" s="108">
        <f t="shared" si="317"/>
        <v>0</v>
      </c>
      <c r="BI291" s="108">
        <f t="shared" si="318"/>
        <v>0</v>
      </c>
      <c r="BJ291" s="108">
        <f t="shared" si="319"/>
        <v>0</v>
      </c>
    </row>
    <row r="292" spans="1:62" x14ac:dyDescent="0.2">
      <c r="A292" s="117" t="s">
        <v>254</v>
      </c>
      <c r="B292" s="117" t="s">
        <v>2762</v>
      </c>
      <c r="C292" s="304" t="s">
        <v>1328</v>
      </c>
      <c r="D292" s="305"/>
      <c r="E292" s="305"/>
      <c r="F292" s="117" t="s">
        <v>1644</v>
      </c>
      <c r="G292" s="116">
        <v>22</v>
      </c>
      <c r="H292" s="159"/>
      <c r="I292" s="108">
        <f t="shared" si="296"/>
        <v>0</v>
      </c>
      <c r="J292" s="108">
        <f t="shared" si="297"/>
        <v>0</v>
      </c>
      <c r="K292" s="108">
        <f t="shared" si="298"/>
        <v>0</v>
      </c>
      <c r="L292" s="111"/>
      <c r="Z292" s="100">
        <f t="shared" si="299"/>
        <v>0</v>
      </c>
      <c r="AB292" s="100">
        <f t="shared" si="300"/>
        <v>0</v>
      </c>
      <c r="AC292" s="100">
        <f t="shared" si="301"/>
        <v>0</v>
      </c>
      <c r="AD292" s="100">
        <f t="shared" si="302"/>
        <v>0</v>
      </c>
      <c r="AE292" s="100">
        <f t="shared" si="303"/>
        <v>0</v>
      </c>
      <c r="AF292" s="100">
        <f t="shared" si="304"/>
        <v>0</v>
      </c>
      <c r="AG292" s="100">
        <f t="shared" si="305"/>
        <v>0</v>
      </c>
      <c r="AH292" s="100">
        <f t="shared" si="306"/>
        <v>0</v>
      </c>
      <c r="AI292" s="109"/>
      <c r="AJ292" s="108">
        <f t="shared" si="307"/>
        <v>0</v>
      </c>
      <c r="AK292" s="108">
        <f t="shared" si="308"/>
        <v>0</v>
      </c>
      <c r="AL292" s="108">
        <f t="shared" si="309"/>
        <v>0</v>
      </c>
      <c r="AN292" s="100">
        <v>15</v>
      </c>
      <c r="AO292" s="100">
        <f t="shared" si="310"/>
        <v>0</v>
      </c>
      <c r="AP292" s="100">
        <f t="shared" si="311"/>
        <v>0</v>
      </c>
      <c r="AQ292" s="111" t="s">
        <v>13</v>
      </c>
      <c r="AV292" s="100">
        <f t="shared" si="312"/>
        <v>0</v>
      </c>
      <c r="AW292" s="100">
        <f t="shared" si="313"/>
        <v>0</v>
      </c>
      <c r="AX292" s="100">
        <f t="shared" si="314"/>
        <v>0</v>
      </c>
      <c r="AY292" s="110" t="s">
        <v>1709</v>
      </c>
      <c r="AZ292" s="110" t="s">
        <v>1733</v>
      </c>
      <c r="BA292" s="109" t="s">
        <v>1737</v>
      </c>
      <c r="BC292" s="100">
        <f t="shared" si="315"/>
        <v>0</v>
      </c>
      <c r="BD292" s="100">
        <f t="shared" si="316"/>
        <v>0</v>
      </c>
      <c r="BE292" s="100">
        <v>0</v>
      </c>
      <c r="BF292" s="100">
        <f>292</f>
        <v>292</v>
      </c>
      <c r="BH292" s="108">
        <f t="shared" si="317"/>
        <v>0</v>
      </c>
      <c r="BI292" s="108">
        <f t="shared" si="318"/>
        <v>0</v>
      </c>
      <c r="BJ292" s="108">
        <f t="shared" si="319"/>
        <v>0</v>
      </c>
    </row>
    <row r="293" spans="1:62" x14ac:dyDescent="0.2">
      <c r="A293" s="117" t="s">
        <v>255</v>
      </c>
      <c r="B293" s="117" t="s">
        <v>2761</v>
      </c>
      <c r="C293" s="304" t="s">
        <v>1329</v>
      </c>
      <c r="D293" s="305"/>
      <c r="E293" s="305"/>
      <c r="F293" s="117" t="s">
        <v>1644</v>
      </c>
      <c r="G293" s="116">
        <v>1</v>
      </c>
      <c r="H293" s="159"/>
      <c r="I293" s="108">
        <f t="shared" si="296"/>
        <v>0</v>
      </c>
      <c r="J293" s="108">
        <f t="shared" si="297"/>
        <v>0</v>
      </c>
      <c r="K293" s="108">
        <f t="shared" si="298"/>
        <v>0</v>
      </c>
      <c r="L293" s="111"/>
      <c r="Z293" s="100">
        <f t="shared" si="299"/>
        <v>0</v>
      </c>
      <c r="AB293" s="100">
        <f t="shared" si="300"/>
        <v>0</v>
      </c>
      <c r="AC293" s="100">
        <f t="shared" si="301"/>
        <v>0</v>
      </c>
      <c r="AD293" s="100">
        <f t="shared" si="302"/>
        <v>0</v>
      </c>
      <c r="AE293" s="100">
        <f t="shared" si="303"/>
        <v>0</v>
      </c>
      <c r="AF293" s="100">
        <f t="shared" si="304"/>
        <v>0</v>
      </c>
      <c r="AG293" s="100">
        <f t="shared" si="305"/>
        <v>0</v>
      </c>
      <c r="AH293" s="100">
        <f t="shared" si="306"/>
        <v>0</v>
      </c>
      <c r="AI293" s="109"/>
      <c r="AJ293" s="108">
        <f t="shared" si="307"/>
        <v>0</v>
      </c>
      <c r="AK293" s="108">
        <f t="shared" si="308"/>
        <v>0</v>
      </c>
      <c r="AL293" s="108">
        <f t="shared" si="309"/>
        <v>0</v>
      </c>
      <c r="AN293" s="100">
        <v>15</v>
      </c>
      <c r="AO293" s="100">
        <f t="shared" si="310"/>
        <v>0</v>
      </c>
      <c r="AP293" s="100">
        <f t="shared" si="311"/>
        <v>0</v>
      </c>
      <c r="AQ293" s="111" t="s">
        <v>13</v>
      </c>
      <c r="AV293" s="100">
        <f t="shared" si="312"/>
        <v>0</v>
      </c>
      <c r="AW293" s="100">
        <f t="shared" si="313"/>
        <v>0</v>
      </c>
      <c r="AX293" s="100">
        <f t="shared" si="314"/>
        <v>0</v>
      </c>
      <c r="AY293" s="110" t="s">
        <v>1709</v>
      </c>
      <c r="AZ293" s="110" t="s">
        <v>1733</v>
      </c>
      <c r="BA293" s="109" t="s">
        <v>1737</v>
      </c>
      <c r="BC293" s="100">
        <f t="shared" si="315"/>
        <v>0</v>
      </c>
      <c r="BD293" s="100">
        <f t="shared" si="316"/>
        <v>0</v>
      </c>
      <c r="BE293" s="100">
        <v>0</v>
      </c>
      <c r="BF293" s="100">
        <f>293</f>
        <v>293</v>
      </c>
      <c r="BH293" s="108">
        <f t="shared" si="317"/>
        <v>0</v>
      </c>
      <c r="BI293" s="108">
        <f t="shared" si="318"/>
        <v>0</v>
      </c>
      <c r="BJ293" s="108">
        <f t="shared" si="319"/>
        <v>0</v>
      </c>
    </row>
    <row r="294" spans="1:62" x14ac:dyDescent="0.2">
      <c r="A294" s="117" t="s">
        <v>256</v>
      </c>
      <c r="B294" s="117" t="s">
        <v>2760</v>
      </c>
      <c r="C294" s="304" t="s">
        <v>1330</v>
      </c>
      <c r="D294" s="305"/>
      <c r="E294" s="305"/>
      <c r="F294" s="117" t="s">
        <v>1646</v>
      </c>
      <c r="G294" s="116">
        <v>44</v>
      </c>
      <c r="H294" s="159"/>
      <c r="I294" s="108">
        <f t="shared" si="296"/>
        <v>0</v>
      </c>
      <c r="J294" s="108">
        <f t="shared" si="297"/>
        <v>0</v>
      </c>
      <c r="K294" s="108">
        <f t="shared" si="298"/>
        <v>0</v>
      </c>
      <c r="L294" s="111"/>
      <c r="Z294" s="100">
        <f t="shared" si="299"/>
        <v>0</v>
      </c>
      <c r="AB294" s="100">
        <f t="shared" si="300"/>
        <v>0</v>
      </c>
      <c r="AC294" s="100">
        <f t="shared" si="301"/>
        <v>0</v>
      </c>
      <c r="AD294" s="100">
        <f t="shared" si="302"/>
        <v>0</v>
      </c>
      <c r="AE294" s="100">
        <f t="shared" si="303"/>
        <v>0</v>
      </c>
      <c r="AF294" s="100">
        <f t="shared" si="304"/>
        <v>0</v>
      </c>
      <c r="AG294" s="100">
        <f t="shared" si="305"/>
        <v>0</v>
      </c>
      <c r="AH294" s="100">
        <f t="shared" si="306"/>
        <v>0</v>
      </c>
      <c r="AI294" s="109"/>
      <c r="AJ294" s="108">
        <f t="shared" si="307"/>
        <v>0</v>
      </c>
      <c r="AK294" s="108">
        <f t="shared" si="308"/>
        <v>0</v>
      </c>
      <c r="AL294" s="108">
        <f t="shared" si="309"/>
        <v>0</v>
      </c>
      <c r="AN294" s="100">
        <v>15</v>
      </c>
      <c r="AO294" s="100">
        <f t="shared" si="310"/>
        <v>0</v>
      </c>
      <c r="AP294" s="100">
        <f t="shared" si="311"/>
        <v>0</v>
      </c>
      <c r="AQ294" s="111" t="s">
        <v>13</v>
      </c>
      <c r="AV294" s="100">
        <f t="shared" si="312"/>
        <v>0</v>
      </c>
      <c r="AW294" s="100">
        <f t="shared" si="313"/>
        <v>0</v>
      </c>
      <c r="AX294" s="100">
        <f t="shared" si="314"/>
        <v>0</v>
      </c>
      <c r="AY294" s="110" t="s">
        <v>1709</v>
      </c>
      <c r="AZ294" s="110" t="s">
        <v>1733</v>
      </c>
      <c r="BA294" s="109" t="s">
        <v>1737</v>
      </c>
      <c r="BC294" s="100">
        <f t="shared" si="315"/>
        <v>0</v>
      </c>
      <c r="BD294" s="100">
        <f t="shared" si="316"/>
        <v>0</v>
      </c>
      <c r="BE294" s="100">
        <v>0</v>
      </c>
      <c r="BF294" s="100">
        <f>294</f>
        <v>294</v>
      </c>
      <c r="BH294" s="108">
        <f t="shared" si="317"/>
        <v>0</v>
      </c>
      <c r="BI294" s="108">
        <f t="shared" si="318"/>
        <v>0</v>
      </c>
      <c r="BJ294" s="108">
        <f t="shared" si="319"/>
        <v>0</v>
      </c>
    </row>
    <row r="295" spans="1:62" x14ac:dyDescent="0.2">
      <c r="A295" s="117" t="s">
        <v>257</v>
      </c>
      <c r="B295" s="117" t="s">
        <v>2759</v>
      </c>
      <c r="C295" s="304" t="s">
        <v>1331</v>
      </c>
      <c r="D295" s="305"/>
      <c r="E295" s="305"/>
      <c r="F295" s="117" t="s">
        <v>1646</v>
      </c>
      <c r="G295" s="116">
        <v>20</v>
      </c>
      <c r="H295" s="159"/>
      <c r="I295" s="108">
        <f t="shared" si="296"/>
        <v>0</v>
      </c>
      <c r="J295" s="108">
        <f t="shared" si="297"/>
        <v>0</v>
      </c>
      <c r="K295" s="108">
        <f t="shared" si="298"/>
        <v>0</v>
      </c>
      <c r="L295" s="111"/>
      <c r="Z295" s="100">
        <f t="shared" si="299"/>
        <v>0</v>
      </c>
      <c r="AB295" s="100">
        <f t="shared" si="300"/>
        <v>0</v>
      </c>
      <c r="AC295" s="100">
        <f t="shared" si="301"/>
        <v>0</v>
      </c>
      <c r="AD295" s="100">
        <f t="shared" si="302"/>
        <v>0</v>
      </c>
      <c r="AE295" s="100">
        <f t="shared" si="303"/>
        <v>0</v>
      </c>
      <c r="AF295" s="100">
        <f t="shared" si="304"/>
        <v>0</v>
      </c>
      <c r="AG295" s="100">
        <f t="shared" si="305"/>
        <v>0</v>
      </c>
      <c r="AH295" s="100">
        <f t="shared" si="306"/>
        <v>0</v>
      </c>
      <c r="AI295" s="109"/>
      <c r="AJ295" s="108">
        <f t="shared" si="307"/>
        <v>0</v>
      </c>
      <c r="AK295" s="108">
        <f t="shared" si="308"/>
        <v>0</v>
      </c>
      <c r="AL295" s="108">
        <f t="shared" si="309"/>
        <v>0</v>
      </c>
      <c r="AN295" s="100">
        <v>15</v>
      </c>
      <c r="AO295" s="100">
        <f t="shared" si="310"/>
        <v>0</v>
      </c>
      <c r="AP295" s="100">
        <f t="shared" si="311"/>
        <v>0</v>
      </c>
      <c r="AQ295" s="111" t="s">
        <v>13</v>
      </c>
      <c r="AV295" s="100">
        <f t="shared" si="312"/>
        <v>0</v>
      </c>
      <c r="AW295" s="100">
        <f t="shared" si="313"/>
        <v>0</v>
      </c>
      <c r="AX295" s="100">
        <f t="shared" si="314"/>
        <v>0</v>
      </c>
      <c r="AY295" s="110" t="s">
        <v>1709</v>
      </c>
      <c r="AZ295" s="110" t="s">
        <v>1733</v>
      </c>
      <c r="BA295" s="109" t="s">
        <v>1737</v>
      </c>
      <c r="BC295" s="100">
        <f t="shared" si="315"/>
        <v>0</v>
      </c>
      <c r="BD295" s="100">
        <f t="shared" si="316"/>
        <v>0</v>
      </c>
      <c r="BE295" s="100">
        <v>0</v>
      </c>
      <c r="BF295" s="100">
        <f>295</f>
        <v>295</v>
      </c>
      <c r="BH295" s="108">
        <f t="shared" si="317"/>
        <v>0</v>
      </c>
      <c r="BI295" s="108">
        <f t="shared" si="318"/>
        <v>0</v>
      </c>
      <c r="BJ295" s="108">
        <f t="shared" si="319"/>
        <v>0</v>
      </c>
    </row>
    <row r="296" spans="1:62" x14ac:dyDescent="0.2">
      <c r="A296" s="117" t="s">
        <v>258</v>
      </c>
      <c r="B296" s="117" t="s">
        <v>2758</v>
      </c>
      <c r="C296" s="304" t="s">
        <v>1332</v>
      </c>
      <c r="D296" s="305"/>
      <c r="E296" s="305"/>
      <c r="F296" s="117" t="s">
        <v>1646</v>
      </c>
      <c r="G296" s="116">
        <v>4</v>
      </c>
      <c r="H296" s="159"/>
      <c r="I296" s="108">
        <f t="shared" si="296"/>
        <v>0</v>
      </c>
      <c r="J296" s="108">
        <f t="shared" si="297"/>
        <v>0</v>
      </c>
      <c r="K296" s="108">
        <f t="shared" si="298"/>
        <v>0</v>
      </c>
      <c r="L296" s="111"/>
      <c r="Z296" s="100">
        <f t="shared" si="299"/>
        <v>0</v>
      </c>
      <c r="AB296" s="100">
        <f t="shared" si="300"/>
        <v>0</v>
      </c>
      <c r="AC296" s="100">
        <f t="shared" si="301"/>
        <v>0</v>
      </c>
      <c r="AD296" s="100">
        <f t="shared" si="302"/>
        <v>0</v>
      </c>
      <c r="AE296" s="100">
        <f t="shared" si="303"/>
        <v>0</v>
      </c>
      <c r="AF296" s="100">
        <f t="shared" si="304"/>
        <v>0</v>
      </c>
      <c r="AG296" s="100">
        <f t="shared" si="305"/>
        <v>0</v>
      </c>
      <c r="AH296" s="100">
        <f t="shared" si="306"/>
        <v>0</v>
      </c>
      <c r="AI296" s="109"/>
      <c r="AJ296" s="108">
        <f t="shared" si="307"/>
        <v>0</v>
      </c>
      <c r="AK296" s="108">
        <f t="shared" si="308"/>
        <v>0</v>
      </c>
      <c r="AL296" s="108">
        <f t="shared" si="309"/>
        <v>0</v>
      </c>
      <c r="AN296" s="100">
        <v>15</v>
      </c>
      <c r="AO296" s="100">
        <f t="shared" si="310"/>
        <v>0</v>
      </c>
      <c r="AP296" s="100">
        <f t="shared" si="311"/>
        <v>0</v>
      </c>
      <c r="AQ296" s="111" t="s">
        <v>13</v>
      </c>
      <c r="AV296" s="100">
        <f t="shared" si="312"/>
        <v>0</v>
      </c>
      <c r="AW296" s="100">
        <f t="shared" si="313"/>
        <v>0</v>
      </c>
      <c r="AX296" s="100">
        <f t="shared" si="314"/>
        <v>0</v>
      </c>
      <c r="AY296" s="110" t="s">
        <v>1709</v>
      </c>
      <c r="AZ296" s="110" t="s">
        <v>1733</v>
      </c>
      <c r="BA296" s="109" t="s">
        <v>1737</v>
      </c>
      <c r="BC296" s="100">
        <f t="shared" si="315"/>
        <v>0</v>
      </c>
      <c r="BD296" s="100">
        <f t="shared" si="316"/>
        <v>0</v>
      </c>
      <c r="BE296" s="100">
        <v>0</v>
      </c>
      <c r="BF296" s="100">
        <f>296</f>
        <v>296</v>
      </c>
      <c r="BH296" s="108">
        <f t="shared" si="317"/>
        <v>0</v>
      </c>
      <c r="BI296" s="108">
        <f t="shared" si="318"/>
        <v>0</v>
      </c>
      <c r="BJ296" s="108">
        <f t="shared" si="319"/>
        <v>0</v>
      </c>
    </row>
    <row r="297" spans="1:62" x14ac:dyDescent="0.2">
      <c r="A297" s="117" t="s">
        <v>259</v>
      </c>
      <c r="B297" s="117" t="s">
        <v>2757</v>
      </c>
      <c r="C297" s="304" t="s">
        <v>1333</v>
      </c>
      <c r="D297" s="305"/>
      <c r="E297" s="305"/>
      <c r="F297" s="117" t="s">
        <v>1646</v>
      </c>
      <c r="G297" s="116">
        <v>44</v>
      </c>
      <c r="H297" s="159"/>
      <c r="I297" s="108">
        <f t="shared" si="296"/>
        <v>0</v>
      </c>
      <c r="J297" s="108">
        <f t="shared" si="297"/>
        <v>0</v>
      </c>
      <c r="K297" s="108">
        <f t="shared" si="298"/>
        <v>0</v>
      </c>
      <c r="L297" s="111"/>
      <c r="Z297" s="100">
        <f t="shared" si="299"/>
        <v>0</v>
      </c>
      <c r="AB297" s="100">
        <f t="shared" si="300"/>
        <v>0</v>
      </c>
      <c r="AC297" s="100">
        <f t="shared" si="301"/>
        <v>0</v>
      </c>
      <c r="AD297" s="100">
        <f t="shared" si="302"/>
        <v>0</v>
      </c>
      <c r="AE297" s="100">
        <f t="shared" si="303"/>
        <v>0</v>
      </c>
      <c r="AF297" s="100">
        <f t="shared" si="304"/>
        <v>0</v>
      </c>
      <c r="AG297" s="100">
        <f t="shared" si="305"/>
        <v>0</v>
      </c>
      <c r="AH297" s="100">
        <f t="shared" si="306"/>
        <v>0</v>
      </c>
      <c r="AI297" s="109"/>
      <c r="AJ297" s="108">
        <f t="shared" si="307"/>
        <v>0</v>
      </c>
      <c r="AK297" s="108">
        <f t="shared" si="308"/>
        <v>0</v>
      </c>
      <c r="AL297" s="108">
        <f t="shared" si="309"/>
        <v>0</v>
      </c>
      <c r="AN297" s="100">
        <v>15</v>
      </c>
      <c r="AO297" s="100">
        <f t="shared" si="310"/>
        <v>0</v>
      </c>
      <c r="AP297" s="100">
        <f t="shared" si="311"/>
        <v>0</v>
      </c>
      <c r="AQ297" s="111" t="s">
        <v>13</v>
      </c>
      <c r="AV297" s="100">
        <f t="shared" si="312"/>
        <v>0</v>
      </c>
      <c r="AW297" s="100">
        <f t="shared" si="313"/>
        <v>0</v>
      </c>
      <c r="AX297" s="100">
        <f t="shared" si="314"/>
        <v>0</v>
      </c>
      <c r="AY297" s="110" t="s">
        <v>1709</v>
      </c>
      <c r="AZ297" s="110" t="s">
        <v>1733</v>
      </c>
      <c r="BA297" s="109" t="s">
        <v>1737</v>
      </c>
      <c r="BC297" s="100">
        <f t="shared" si="315"/>
        <v>0</v>
      </c>
      <c r="BD297" s="100">
        <f t="shared" si="316"/>
        <v>0</v>
      </c>
      <c r="BE297" s="100">
        <v>0</v>
      </c>
      <c r="BF297" s="100">
        <f>297</f>
        <v>297</v>
      </c>
      <c r="BH297" s="108">
        <f t="shared" si="317"/>
        <v>0</v>
      </c>
      <c r="BI297" s="108">
        <f t="shared" si="318"/>
        <v>0</v>
      </c>
      <c r="BJ297" s="108">
        <f t="shared" si="319"/>
        <v>0</v>
      </c>
    </row>
    <row r="298" spans="1:62" x14ac:dyDescent="0.2">
      <c r="A298" s="117" t="s">
        <v>260</v>
      </c>
      <c r="B298" s="117" t="s">
        <v>2756</v>
      </c>
      <c r="C298" s="304" t="s">
        <v>1334</v>
      </c>
      <c r="D298" s="305"/>
      <c r="E298" s="305"/>
      <c r="F298" s="117" t="s">
        <v>1646</v>
      </c>
      <c r="G298" s="116">
        <v>24</v>
      </c>
      <c r="H298" s="159"/>
      <c r="I298" s="108">
        <f t="shared" si="296"/>
        <v>0</v>
      </c>
      <c r="J298" s="108">
        <f t="shared" si="297"/>
        <v>0</v>
      </c>
      <c r="K298" s="108">
        <f t="shared" si="298"/>
        <v>0</v>
      </c>
      <c r="L298" s="111"/>
      <c r="Z298" s="100">
        <f t="shared" si="299"/>
        <v>0</v>
      </c>
      <c r="AB298" s="100">
        <f t="shared" si="300"/>
        <v>0</v>
      </c>
      <c r="AC298" s="100">
        <f t="shared" si="301"/>
        <v>0</v>
      </c>
      <c r="AD298" s="100">
        <f t="shared" si="302"/>
        <v>0</v>
      </c>
      <c r="AE298" s="100">
        <f t="shared" si="303"/>
        <v>0</v>
      </c>
      <c r="AF298" s="100">
        <f t="shared" si="304"/>
        <v>0</v>
      </c>
      <c r="AG298" s="100">
        <f t="shared" si="305"/>
        <v>0</v>
      </c>
      <c r="AH298" s="100">
        <f t="shared" si="306"/>
        <v>0</v>
      </c>
      <c r="AI298" s="109"/>
      <c r="AJ298" s="108">
        <f t="shared" si="307"/>
        <v>0</v>
      </c>
      <c r="AK298" s="108">
        <f t="shared" si="308"/>
        <v>0</v>
      </c>
      <c r="AL298" s="108">
        <f t="shared" si="309"/>
        <v>0</v>
      </c>
      <c r="AN298" s="100">
        <v>15</v>
      </c>
      <c r="AO298" s="100">
        <f t="shared" si="310"/>
        <v>0</v>
      </c>
      <c r="AP298" s="100">
        <f t="shared" si="311"/>
        <v>0</v>
      </c>
      <c r="AQ298" s="111" t="s">
        <v>13</v>
      </c>
      <c r="AV298" s="100">
        <f t="shared" si="312"/>
        <v>0</v>
      </c>
      <c r="AW298" s="100">
        <f t="shared" si="313"/>
        <v>0</v>
      </c>
      <c r="AX298" s="100">
        <f t="shared" si="314"/>
        <v>0</v>
      </c>
      <c r="AY298" s="110" t="s">
        <v>1709</v>
      </c>
      <c r="AZ298" s="110" t="s">
        <v>1733</v>
      </c>
      <c r="BA298" s="109" t="s">
        <v>1737</v>
      </c>
      <c r="BC298" s="100">
        <f t="shared" si="315"/>
        <v>0</v>
      </c>
      <c r="BD298" s="100">
        <f t="shared" si="316"/>
        <v>0</v>
      </c>
      <c r="BE298" s="100">
        <v>0</v>
      </c>
      <c r="BF298" s="100">
        <f>298</f>
        <v>298</v>
      </c>
      <c r="BH298" s="108">
        <f t="shared" si="317"/>
        <v>0</v>
      </c>
      <c r="BI298" s="108">
        <f t="shared" si="318"/>
        <v>0</v>
      </c>
      <c r="BJ298" s="108">
        <f t="shared" si="319"/>
        <v>0</v>
      </c>
    </row>
    <row r="299" spans="1:62" x14ac:dyDescent="0.2">
      <c r="A299" s="117" t="s">
        <v>261</v>
      </c>
      <c r="B299" s="117" t="s">
        <v>2755</v>
      </c>
      <c r="C299" s="304" t="s">
        <v>1335</v>
      </c>
      <c r="D299" s="305"/>
      <c r="E299" s="305"/>
      <c r="F299" s="117" t="s">
        <v>1645</v>
      </c>
      <c r="G299" s="116">
        <v>0.7</v>
      </c>
      <c r="H299" s="159"/>
      <c r="I299" s="108">
        <f t="shared" si="296"/>
        <v>0</v>
      </c>
      <c r="J299" s="108">
        <f t="shared" si="297"/>
        <v>0</v>
      </c>
      <c r="K299" s="108">
        <f t="shared" si="298"/>
        <v>0</v>
      </c>
      <c r="L299" s="111"/>
      <c r="Z299" s="100">
        <f t="shared" si="299"/>
        <v>0</v>
      </c>
      <c r="AB299" s="100">
        <f t="shared" si="300"/>
        <v>0</v>
      </c>
      <c r="AC299" s="100">
        <f t="shared" si="301"/>
        <v>0</v>
      </c>
      <c r="AD299" s="100">
        <f t="shared" si="302"/>
        <v>0</v>
      </c>
      <c r="AE299" s="100">
        <f t="shared" si="303"/>
        <v>0</v>
      </c>
      <c r="AF299" s="100">
        <f t="shared" si="304"/>
        <v>0</v>
      </c>
      <c r="AG299" s="100">
        <f t="shared" si="305"/>
        <v>0</v>
      </c>
      <c r="AH299" s="100">
        <f t="shared" si="306"/>
        <v>0</v>
      </c>
      <c r="AI299" s="109"/>
      <c r="AJ299" s="108">
        <f t="shared" si="307"/>
        <v>0</v>
      </c>
      <c r="AK299" s="108">
        <f t="shared" si="308"/>
        <v>0</v>
      </c>
      <c r="AL299" s="108">
        <f t="shared" si="309"/>
        <v>0</v>
      </c>
      <c r="AN299" s="100">
        <v>15</v>
      </c>
      <c r="AO299" s="100">
        <f t="shared" si="310"/>
        <v>0</v>
      </c>
      <c r="AP299" s="100">
        <f t="shared" si="311"/>
        <v>0</v>
      </c>
      <c r="AQ299" s="111" t="s">
        <v>13</v>
      </c>
      <c r="AV299" s="100">
        <f t="shared" si="312"/>
        <v>0</v>
      </c>
      <c r="AW299" s="100">
        <f t="shared" si="313"/>
        <v>0</v>
      </c>
      <c r="AX299" s="100">
        <f t="shared" si="314"/>
        <v>0</v>
      </c>
      <c r="AY299" s="110" t="s">
        <v>1709</v>
      </c>
      <c r="AZ299" s="110" t="s">
        <v>1733</v>
      </c>
      <c r="BA299" s="109" t="s">
        <v>1737</v>
      </c>
      <c r="BC299" s="100">
        <f t="shared" si="315"/>
        <v>0</v>
      </c>
      <c r="BD299" s="100">
        <f t="shared" si="316"/>
        <v>0</v>
      </c>
      <c r="BE299" s="100">
        <v>0</v>
      </c>
      <c r="BF299" s="100">
        <f>299</f>
        <v>299</v>
      </c>
      <c r="BH299" s="108">
        <f t="shared" si="317"/>
        <v>0</v>
      </c>
      <c r="BI299" s="108">
        <f t="shared" si="318"/>
        <v>0</v>
      </c>
      <c r="BJ299" s="108">
        <f t="shared" si="319"/>
        <v>0</v>
      </c>
    </row>
    <row r="300" spans="1:62" x14ac:dyDescent="0.2">
      <c r="A300" s="117" t="s">
        <v>262</v>
      </c>
      <c r="B300" s="117" t="s">
        <v>2754</v>
      </c>
      <c r="C300" s="304" t="s">
        <v>1336</v>
      </c>
      <c r="D300" s="305"/>
      <c r="E300" s="305"/>
      <c r="F300" s="117" t="s">
        <v>1644</v>
      </c>
      <c r="G300" s="116">
        <v>1</v>
      </c>
      <c r="H300" s="159"/>
      <c r="I300" s="108">
        <f t="shared" si="296"/>
        <v>0</v>
      </c>
      <c r="J300" s="108">
        <f t="shared" si="297"/>
        <v>0</v>
      </c>
      <c r="K300" s="108">
        <f t="shared" si="298"/>
        <v>0</v>
      </c>
      <c r="L300" s="111"/>
      <c r="Z300" s="100">
        <f t="shared" si="299"/>
        <v>0</v>
      </c>
      <c r="AB300" s="100">
        <f t="shared" si="300"/>
        <v>0</v>
      </c>
      <c r="AC300" s="100">
        <f t="shared" si="301"/>
        <v>0</v>
      </c>
      <c r="AD300" s="100">
        <f t="shared" si="302"/>
        <v>0</v>
      </c>
      <c r="AE300" s="100">
        <f t="shared" si="303"/>
        <v>0</v>
      </c>
      <c r="AF300" s="100">
        <f t="shared" si="304"/>
        <v>0</v>
      </c>
      <c r="AG300" s="100">
        <f t="shared" si="305"/>
        <v>0</v>
      </c>
      <c r="AH300" s="100">
        <f t="shared" si="306"/>
        <v>0</v>
      </c>
      <c r="AI300" s="109"/>
      <c r="AJ300" s="108">
        <f t="shared" si="307"/>
        <v>0</v>
      </c>
      <c r="AK300" s="108">
        <f t="shared" si="308"/>
        <v>0</v>
      </c>
      <c r="AL300" s="108">
        <f t="shared" si="309"/>
        <v>0</v>
      </c>
      <c r="AN300" s="100">
        <v>15</v>
      </c>
      <c r="AO300" s="100">
        <f t="shared" si="310"/>
        <v>0</v>
      </c>
      <c r="AP300" s="100">
        <f t="shared" si="311"/>
        <v>0</v>
      </c>
      <c r="AQ300" s="111" t="s">
        <v>13</v>
      </c>
      <c r="AV300" s="100">
        <f t="shared" si="312"/>
        <v>0</v>
      </c>
      <c r="AW300" s="100">
        <f t="shared" si="313"/>
        <v>0</v>
      </c>
      <c r="AX300" s="100">
        <f t="shared" si="314"/>
        <v>0</v>
      </c>
      <c r="AY300" s="110" t="s">
        <v>1709</v>
      </c>
      <c r="AZ300" s="110" t="s">
        <v>1733</v>
      </c>
      <c r="BA300" s="109" t="s">
        <v>1737</v>
      </c>
      <c r="BC300" s="100">
        <f t="shared" si="315"/>
        <v>0</v>
      </c>
      <c r="BD300" s="100">
        <f t="shared" si="316"/>
        <v>0</v>
      </c>
      <c r="BE300" s="100">
        <v>0</v>
      </c>
      <c r="BF300" s="100">
        <f>300</f>
        <v>300</v>
      </c>
      <c r="BH300" s="108">
        <f t="shared" si="317"/>
        <v>0</v>
      </c>
      <c r="BI300" s="108">
        <f t="shared" si="318"/>
        <v>0</v>
      </c>
      <c r="BJ300" s="108">
        <f t="shared" si="319"/>
        <v>0</v>
      </c>
    </row>
    <row r="301" spans="1:62" x14ac:dyDescent="0.2">
      <c r="A301" s="117" t="s">
        <v>263</v>
      </c>
      <c r="B301" s="117" t="s">
        <v>2753</v>
      </c>
      <c r="C301" s="304" t="s">
        <v>1337</v>
      </c>
      <c r="D301" s="305"/>
      <c r="E301" s="305"/>
      <c r="F301" s="117" t="s">
        <v>1644</v>
      </c>
      <c r="G301" s="116">
        <v>1</v>
      </c>
      <c r="H301" s="159"/>
      <c r="I301" s="108">
        <f t="shared" si="296"/>
        <v>0</v>
      </c>
      <c r="J301" s="108">
        <f t="shared" si="297"/>
        <v>0</v>
      </c>
      <c r="K301" s="108">
        <f t="shared" si="298"/>
        <v>0</v>
      </c>
      <c r="L301" s="111"/>
      <c r="Z301" s="100">
        <f t="shared" si="299"/>
        <v>0</v>
      </c>
      <c r="AB301" s="100">
        <f t="shared" si="300"/>
        <v>0</v>
      </c>
      <c r="AC301" s="100">
        <f t="shared" si="301"/>
        <v>0</v>
      </c>
      <c r="AD301" s="100">
        <f t="shared" si="302"/>
        <v>0</v>
      </c>
      <c r="AE301" s="100">
        <f t="shared" si="303"/>
        <v>0</v>
      </c>
      <c r="AF301" s="100">
        <f t="shared" si="304"/>
        <v>0</v>
      </c>
      <c r="AG301" s="100">
        <f t="shared" si="305"/>
        <v>0</v>
      </c>
      <c r="AH301" s="100">
        <f t="shared" si="306"/>
        <v>0</v>
      </c>
      <c r="AI301" s="109"/>
      <c r="AJ301" s="108">
        <f t="shared" si="307"/>
        <v>0</v>
      </c>
      <c r="AK301" s="108">
        <f t="shared" si="308"/>
        <v>0</v>
      </c>
      <c r="AL301" s="108">
        <f t="shared" si="309"/>
        <v>0</v>
      </c>
      <c r="AN301" s="100">
        <v>15</v>
      </c>
      <c r="AO301" s="100">
        <f t="shared" si="310"/>
        <v>0</v>
      </c>
      <c r="AP301" s="100">
        <f t="shared" si="311"/>
        <v>0</v>
      </c>
      <c r="AQ301" s="111" t="s">
        <v>13</v>
      </c>
      <c r="AV301" s="100">
        <f t="shared" si="312"/>
        <v>0</v>
      </c>
      <c r="AW301" s="100">
        <f t="shared" si="313"/>
        <v>0</v>
      </c>
      <c r="AX301" s="100">
        <f t="shared" si="314"/>
        <v>0</v>
      </c>
      <c r="AY301" s="110" t="s">
        <v>1709</v>
      </c>
      <c r="AZ301" s="110" t="s">
        <v>1733</v>
      </c>
      <c r="BA301" s="109" t="s">
        <v>1737</v>
      </c>
      <c r="BC301" s="100">
        <f t="shared" si="315"/>
        <v>0</v>
      </c>
      <c r="BD301" s="100">
        <f t="shared" si="316"/>
        <v>0</v>
      </c>
      <c r="BE301" s="100">
        <v>0</v>
      </c>
      <c r="BF301" s="100">
        <f>301</f>
        <v>301</v>
      </c>
      <c r="BH301" s="108">
        <f t="shared" si="317"/>
        <v>0</v>
      </c>
      <c r="BI301" s="108">
        <f t="shared" si="318"/>
        <v>0</v>
      </c>
      <c r="BJ301" s="108">
        <f t="shared" si="319"/>
        <v>0</v>
      </c>
    </row>
    <row r="302" spans="1:62" x14ac:dyDescent="0.2">
      <c r="A302" s="117" t="s">
        <v>264</v>
      </c>
      <c r="B302" s="117" t="s">
        <v>2752</v>
      </c>
      <c r="C302" s="304" t="s">
        <v>1338</v>
      </c>
      <c r="D302" s="305"/>
      <c r="E302" s="305"/>
      <c r="F302" s="117" t="s">
        <v>1644</v>
      </c>
      <c r="G302" s="116">
        <v>1</v>
      </c>
      <c r="H302" s="159"/>
      <c r="I302" s="108">
        <f t="shared" si="296"/>
        <v>0</v>
      </c>
      <c r="J302" s="108">
        <f t="shared" si="297"/>
        <v>0</v>
      </c>
      <c r="K302" s="108">
        <f t="shared" si="298"/>
        <v>0</v>
      </c>
      <c r="L302" s="111"/>
      <c r="Z302" s="100">
        <f t="shared" si="299"/>
        <v>0</v>
      </c>
      <c r="AB302" s="100">
        <f t="shared" si="300"/>
        <v>0</v>
      </c>
      <c r="AC302" s="100">
        <f t="shared" si="301"/>
        <v>0</v>
      </c>
      <c r="AD302" s="100">
        <f t="shared" si="302"/>
        <v>0</v>
      </c>
      <c r="AE302" s="100">
        <f t="shared" si="303"/>
        <v>0</v>
      </c>
      <c r="AF302" s="100">
        <f t="shared" si="304"/>
        <v>0</v>
      </c>
      <c r="AG302" s="100">
        <f t="shared" si="305"/>
        <v>0</v>
      </c>
      <c r="AH302" s="100">
        <f t="shared" si="306"/>
        <v>0</v>
      </c>
      <c r="AI302" s="109"/>
      <c r="AJ302" s="108">
        <f t="shared" si="307"/>
        <v>0</v>
      </c>
      <c r="AK302" s="108">
        <f t="shared" si="308"/>
        <v>0</v>
      </c>
      <c r="AL302" s="108">
        <f t="shared" si="309"/>
        <v>0</v>
      </c>
      <c r="AN302" s="100">
        <v>15</v>
      </c>
      <c r="AO302" s="100">
        <f t="shared" si="310"/>
        <v>0</v>
      </c>
      <c r="AP302" s="100">
        <f t="shared" si="311"/>
        <v>0</v>
      </c>
      <c r="AQ302" s="111" t="s">
        <v>13</v>
      </c>
      <c r="AV302" s="100">
        <f t="shared" si="312"/>
        <v>0</v>
      </c>
      <c r="AW302" s="100">
        <f t="shared" si="313"/>
        <v>0</v>
      </c>
      <c r="AX302" s="100">
        <f t="shared" si="314"/>
        <v>0</v>
      </c>
      <c r="AY302" s="110" t="s">
        <v>1709</v>
      </c>
      <c r="AZ302" s="110" t="s">
        <v>1733</v>
      </c>
      <c r="BA302" s="109" t="s">
        <v>1737</v>
      </c>
      <c r="BC302" s="100">
        <f t="shared" si="315"/>
        <v>0</v>
      </c>
      <c r="BD302" s="100">
        <f t="shared" si="316"/>
        <v>0</v>
      </c>
      <c r="BE302" s="100">
        <v>0</v>
      </c>
      <c r="BF302" s="100">
        <f>302</f>
        <v>302</v>
      </c>
      <c r="BH302" s="108">
        <f t="shared" si="317"/>
        <v>0</v>
      </c>
      <c r="BI302" s="108">
        <f t="shared" si="318"/>
        <v>0</v>
      </c>
      <c r="BJ302" s="108">
        <f t="shared" si="319"/>
        <v>0</v>
      </c>
    </row>
    <row r="303" spans="1:62" x14ac:dyDescent="0.2">
      <c r="A303" s="117" t="s">
        <v>265</v>
      </c>
      <c r="B303" s="117" t="s">
        <v>2751</v>
      </c>
      <c r="C303" s="304" t="s">
        <v>1339</v>
      </c>
      <c r="D303" s="305"/>
      <c r="E303" s="305"/>
      <c r="F303" s="117" t="s">
        <v>1644</v>
      </c>
      <c r="G303" s="116">
        <v>1</v>
      </c>
      <c r="H303" s="159"/>
      <c r="I303" s="108">
        <f t="shared" si="296"/>
        <v>0</v>
      </c>
      <c r="J303" s="108">
        <f t="shared" si="297"/>
        <v>0</v>
      </c>
      <c r="K303" s="108">
        <f t="shared" si="298"/>
        <v>0</v>
      </c>
      <c r="L303" s="111"/>
      <c r="Z303" s="100">
        <f t="shared" si="299"/>
        <v>0</v>
      </c>
      <c r="AB303" s="100">
        <f t="shared" si="300"/>
        <v>0</v>
      </c>
      <c r="AC303" s="100">
        <f t="shared" si="301"/>
        <v>0</v>
      </c>
      <c r="AD303" s="100">
        <f t="shared" si="302"/>
        <v>0</v>
      </c>
      <c r="AE303" s="100">
        <f t="shared" si="303"/>
        <v>0</v>
      </c>
      <c r="AF303" s="100">
        <f t="shared" si="304"/>
        <v>0</v>
      </c>
      <c r="AG303" s="100">
        <f t="shared" si="305"/>
        <v>0</v>
      </c>
      <c r="AH303" s="100">
        <f t="shared" si="306"/>
        <v>0</v>
      </c>
      <c r="AI303" s="109"/>
      <c r="AJ303" s="108">
        <f t="shared" si="307"/>
        <v>0</v>
      </c>
      <c r="AK303" s="108">
        <f t="shared" si="308"/>
        <v>0</v>
      </c>
      <c r="AL303" s="108">
        <f t="shared" si="309"/>
        <v>0</v>
      </c>
      <c r="AN303" s="100">
        <v>15</v>
      </c>
      <c r="AO303" s="100">
        <f t="shared" si="310"/>
        <v>0</v>
      </c>
      <c r="AP303" s="100">
        <f t="shared" si="311"/>
        <v>0</v>
      </c>
      <c r="AQ303" s="111" t="s">
        <v>13</v>
      </c>
      <c r="AV303" s="100">
        <f t="shared" si="312"/>
        <v>0</v>
      </c>
      <c r="AW303" s="100">
        <f t="shared" si="313"/>
        <v>0</v>
      </c>
      <c r="AX303" s="100">
        <f t="shared" si="314"/>
        <v>0</v>
      </c>
      <c r="AY303" s="110" t="s">
        <v>1709</v>
      </c>
      <c r="AZ303" s="110" t="s">
        <v>1733</v>
      </c>
      <c r="BA303" s="109" t="s">
        <v>1737</v>
      </c>
      <c r="BC303" s="100">
        <f t="shared" si="315"/>
        <v>0</v>
      </c>
      <c r="BD303" s="100">
        <f t="shared" si="316"/>
        <v>0</v>
      </c>
      <c r="BE303" s="100">
        <v>0</v>
      </c>
      <c r="BF303" s="100">
        <f>303</f>
        <v>303</v>
      </c>
      <c r="BH303" s="108">
        <f t="shared" si="317"/>
        <v>0</v>
      </c>
      <c r="BI303" s="108">
        <f t="shared" si="318"/>
        <v>0</v>
      </c>
      <c r="BJ303" s="108">
        <f t="shared" si="319"/>
        <v>0</v>
      </c>
    </row>
    <row r="304" spans="1:62" x14ac:dyDescent="0.2">
      <c r="A304" s="117" t="s">
        <v>266</v>
      </c>
      <c r="B304" s="117" t="s">
        <v>2750</v>
      </c>
      <c r="C304" s="304" t="s">
        <v>2749</v>
      </c>
      <c r="D304" s="305"/>
      <c r="E304" s="305"/>
      <c r="F304" s="117" t="s">
        <v>1644</v>
      </c>
      <c r="G304" s="116">
        <v>1</v>
      </c>
      <c r="H304" s="159"/>
      <c r="I304" s="108">
        <f t="shared" si="296"/>
        <v>0</v>
      </c>
      <c r="J304" s="108">
        <f t="shared" si="297"/>
        <v>0</v>
      </c>
      <c r="K304" s="108">
        <f t="shared" si="298"/>
        <v>0</v>
      </c>
      <c r="L304" s="111"/>
      <c r="Z304" s="100">
        <f t="shared" si="299"/>
        <v>0</v>
      </c>
      <c r="AB304" s="100">
        <f t="shared" si="300"/>
        <v>0</v>
      </c>
      <c r="AC304" s="100">
        <f t="shared" si="301"/>
        <v>0</v>
      </c>
      <c r="AD304" s="100">
        <f t="shared" si="302"/>
        <v>0</v>
      </c>
      <c r="AE304" s="100">
        <f t="shared" si="303"/>
        <v>0</v>
      </c>
      <c r="AF304" s="100">
        <f t="shared" si="304"/>
        <v>0</v>
      </c>
      <c r="AG304" s="100">
        <f t="shared" si="305"/>
        <v>0</v>
      </c>
      <c r="AH304" s="100">
        <f t="shared" si="306"/>
        <v>0</v>
      </c>
      <c r="AI304" s="109"/>
      <c r="AJ304" s="108">
        <f t="shared" si="307"/>
        <v>0</v>
      </c>
      <c r="AK304" s="108">
        <f t="shared" si="308"/>
        <v>0</v>
      </c>
      <c r="AL304" s="108">
        <f t="shared" si="309"/>
        <v>0</v>
      </c>
      <c r="AN304" s="100">
        <v>15</v>
      </c>
      <c r="AO304" s="100">
        <f t="shared" si="310"/>
        <v>0</v>
      </c>
      <c r="AP304" s="100">
        <f t="shared" si="311"/>
        <v>0</v>
      </c>
      <c r="AQ304" s="111" t="s">
        <v>13</v>
      </c>
      <c r="AV304" s="100">
        <f t="shared" si="312"/>
        <v>0</v>
      </c>
      <c r="AW304" s="100">
        <f t="shared" si="313"/>
        <v>0</v>
      </c>
      <c r="AX304" s="100">
        <f t="shared" si="314"/>
        <v>0</v>
      </c>
      <c r="AY304" s="110" t="s">
        <v>1709</v>
      </c>
      <c r="AZ304" s="110" t="s">
        <v>1733</v>
      </c>
      <c r="BA304" s="109" t="s">
        <v>1737</v>
      </c>
      <c r="BC304" s="100">
        <f t="shared" si="315"/>
        <v>0</v>
      </c>
      <c r="BD304" s="100">
        <f t="shared" si="316"/>
        <v>0</v>
      </c>
      <c r="BE304" s="100">
        <v>0</v>
      </c>
      <c r="BF304" s="100">
        <f>304</f>
        <v>304</v>
      </c>
      <c r="BH304" s="108">
        <f t="shared" si="317"/>
        <v>0</v>
      </c>
      <c r="BI304" s="108">
        <f t="shared" si="318"/>
        <v>0</v>
      </c>
      <c r="BJ304" s="108">
        <f t="shared" si="319"/>
        <v>0</v>
      </c>
    </row>
    <row r="305" spans="1:62" x14ac:dyDescent="0.2">
      <c r="A305" s="117" t="s">
        <v>267</v>
      </c>
      <c r="B305" s="117" t="s">
        <v>2748</v>
      </c>
      <c r="C305" s="304" t="s">
        <v>1340</v>
      </c>
      <c r="D305" s="305"/>
      <c r="E305" s="305"/>
      <c r="F305" s="117" t="s">
        <v>1644</v>
      </c>
      <c r="G305" s="116">
        <v>1</v>
      </c>
      <c r="H305" s="159"/>
      <c r="I305" s="108">
        <f t="shared" si="296"/>
        <v>0</v>
      </c>
      <c r="J305" s="108">
        <f t="shared" si="297"/>
        <v>0</v>
      </c>
      <c r="K305" s="108">
        <f t="shared" si="298"/>
        <v>0</v>
      </c>
      <c r="L305" s="111"/>
      <c r="Z305" s="100">
        <f t="shared" si="299"/>
        <v>0</v>
      </c>
      <c r="AB305" s="100">
        <f t="shared" si="300"/>
        <v>0</v>
      </c>
      <c r="AC305" s="100">
        <f t="shared" si="301"/>
        <v>0</v>
      </c>
      <c r="AD305" s="100">
        <f t="shared" si="302"/>
        <v>0</v>
      </c>
      <c r="AE305" s="100">
        <f t="shared" si="303"/>
        <v>0</v>
      </c>
      <c r="AF305" s="100">
        <f t="shared" si="304"/>
        <v>0</v>
      </c>
      <c r="AG305" s="100">
        <f t="shared" si="305"/>
        <v>0</v>
      </c>
      <c r="AH305" s="100">
        <f t="shared" si="306"/>
        <v>0</v>
      </c>
      <c r="AI305" s="109"/>
      <c r="AJ305" s="108">
        <f t="shared" si="307"/>
        <v>0</v>
      </c>
      <c r="AK305" s="108">
        <f t="shared" si="308"/>
        <v>0</v>
      </c>
      <c r="AL305" s="108">
        <f t="shared" si="309"/>
        <v>0</v>
      </c>
      <c r="AN305" s="100">
        <v>15</v>
      </c>
      <c r="AO305" s="100">
        <f t="shared" si="310"/>
        <v>0</v>
      </c>
      <c r="AP305" s="100">
        <f t="shared" si="311"/>
        <v>0</v>
      </c>
      <c r="AQ305" s="111" t="s">
        <v>13</v>
      </c>
      <c r="AV305" s="100">
        <f t="shared" si="312"/>
        <v>0</v>
      </c>
      <c r="AW305" s="100">
        <f t="shared" si="313"/>
        <v>0</v>
      </c>
      <c r="AX305" s="100">
        <f t="shared" si="314"/>
        <v>0</v>
      </c>
      <c r="AY305" s="110" t="s">
        <v>1709</v>
      </c>
      <c r="AZ305" s="110" t="s">
        <v>1733</v>
      </c>
      <c r="BA305" s="109" t="s">
        <v>1737</v>
      </c>
      <c r="BC305" s="100">
        <f t="shared" si="315"/>
        <v>0</v>
      </c>
      <c r="BD305" s="100">
        <f t="shared" si="316"/>
        <v>0</v>
      </c>
      <c r="BE305" s="100">
        <v>0</v>
      </c>
      <c r="BF305" s="100">
        <f>305</f>
        <v>305</v>
      </c>
      <c r="BH305" s="108">
        <f t="shared" si="317"/>
        <v>0</v>
      </c>
      <c r="BI305" s="108">
        <f t="shared" si="318"/>
        <v>0</v>
      </c>
      <c r="BJ305" s="108">
        <f t="shared" si="319"/>
        <v>0</v>
      </c>
    </row>
    <row r="306" spans="1:62" x14ac:dyDescent="0.2">
      <c r="A306" s="117" t="s">
        <v>268</v>
      </c>
      <c r="B306" s="117" t="s">
        <v>2747</v>
      </c>
      <c r="C306" s="304" t="s">
        <v>1341</v>
      </c>
      <c r="D306" s="305"/>
      <c r="E306" s="305"/>
      <c r="F306" s="117" t="s">
        <v>1644</v>
      </c>
      <c r="G306" s="116">
        <v>1</v>
      </c>
      <c r="H306" s="159"/>
      <c r="I306" s="108">
        <f t="shared" si="296"/>
        <v>0</v>
      </c>
      <c r="J306" s="108">
        <f t="shared" si="297"/>
        <v>0</v>
      </c>
      <c r="K306" s="108">
        <f t="shared" si="298"/>
        <v>0</v>
      </c>
      <c r="L306" s="111"/>
      <c r="Z306" s="100">
        <f t="shared" si="299"/>
        <v>0</v>
      </c>
      <c r="AB306" s="100">
        <f t="shared" si="300"/>
        <v>0</v>
      </c>
      <c r="AC306" s="100">
        <f t="shared" si="301"/>
        <v>0</v>
      </c>
      <c r="AD306" s="100">
        <f t="shared" si="302"/>
        <v>0</v>
      </c>
      <c r="AE306" s="100">
        <f t="shared" si="303"/>
        <v>0</v>
      </c>
      <c r="AF306" s="100">
        <f t="shared" si="304"/>
        <v>0</v>
      </c>
      <c r="AG306" s="100">
        <f t="shared" si="305"/>
        <v>0</v>
      </c>
      <c r="AH306" s="100">
        <f t="shared" si="306"/>
        <v>0</v>
      </c>
      <c r="AI306" s="109"/>
      <c r="AJ306" s="108">
        <f t="shared" si="307"/>
        <v>0</v>
      </c>
      <c r="AK306" s="108">
        <f t="shared" si="308"/>
        <v>0</v>
      </c>
      <c r="AL306" s="108">
        <f t="shared" si="309"/>
        <v>0</v>
      </c>
      <c r="AN306" s="100">
        <v>15</v>
      </c>
      <c r="AO306" s="100">
        <f t="shared" si="310"/>
        <v>0</v>
      </c>
      <c r="AP306" s="100">
        <f t="shared" si="311"/>
        <v>0</v>
      </c>
      <c r="AQ306" s="111" t="s">
        <v>13</v>
      </c>
      <c r="AV306" s="100">
        <f t="shared" si="312"/>
        <v>0</v>
      </c>
      <c r="AW306" s="100">
        <f t="shared" si="313"/>
        <v>0</v>
      </c>
      <c r="AX306" s="100">
        <f t="shared" si="314"/>
        <v>0</v>
      </c>
      <c r="AY306" s="110" t="s">
        <v>1709</v>
      </c>
      <c r="AZ306" s="110" t="s">
        <v>1733</v>
      </c>
      <c r="BA306" s="109" t="s">
        <v>1737</v>
      </c>
      <c r="BC306" s="100">
        <f t="shared" si="315"/>
        <v>0</v>
      </c>
      <c r="BD306" s="100">
        <f t="shared" si="316"/>
        <v>0</v>
      </c>
      <c r="BE306" s="100">
        <v>0</v>
      </c>
      <c r="BF306" s="100">
        <f>306</f>
        <v>306</v>
      </c>
      <c r="BH306" s="108">
        <f t="shared" si="317"/>
        <v>0</v>
      </c>
      <c r="BI306" s="108">
        <f t="shared" si="318"/>
        <v>0</v>
      </c>
      <c r="BJ306" s="108">
        <f t="shared" si="319"/>
        <v>0</v>
      </c>
    </row>
    <row r="307" spans="1:62" x14ac:dyDescent="0.2">
      <c r="A307" s="117" t="s">
        <v>269</v>
      </c>
      <c r="B307" s="117" t="s">
        <v>2746</v>
      </c>
      <c r="C307" s="304" t="s">
        <v>1342</v>
      </c>
      <c r="D307" s="305"/>
      <c r="E307" s="305"/>
      <c r="F307" s="117" t="s">
        <v>1646</v>
      </c>
      <c r="G307" s="116">
        <v>5</v>
      </c>
      <c r="H307" s="159"/>
      <c r="I307" s="108">
        <f t="shared" si="296"/>
        <v>0</v>
      </c>
      <c r="J307" s="108">
        <f t="shared" si="297"/>
        <v>0</v>
      </c>
      <c r="K307" s="108">
        <f t="shared" si="298"/>
        <v>0</v>
      </c>
      <c r="L307" s="111"/>
      <c r="Z307" s="100">
        <f t="shared" si="299"/>
        <v>0</v>
      </c>
      <c r="AB307" s="100">
        <f t="shared" si="300"/>
        <v>0</v>
      </c>
      <c r="AC307" s="100">
        <f t="shared" si="301"/>
        <v>0</v>
      </c>
      <c r="AD307" s="100">
        <f t="shared" si="302"/>
        <v>0</v>
      </c>
      <c r="AE307" s="100">
        <f t="shared" si="303"/>
        <v>0</v>
      </c>
      <c r="AF307" s="100">
        <f t="shared" si="304"/>
        <v>0</v>
      </c>
      <c r="AG307" s="100">
        <f t="shared" si="305"/>
        <v>0</v>
      </c>
      <c r="AH307" s="100">
        <f t="shared" si="306"/>
        <v>0</v>
      </c>
      <c r="AI307" s="109"/>
      <c r="AJ307" s="108">
        <f t="shared" si="307"/>
        <v>0</v>
      </c>
      <c r="AK307" s="108">
        <f t="shared" si="308"/>
        <v>0</v>
      </c>
      <c r="AL307" s="108">
        <f t="shared" si="309"/>
        <v>0</v>
      </c>
      <c r="AN307" s="100">
        <v>15</v>
      </c>
      <c r="AO307" s="100">
        <f t="shared" si="310"/>
        <v>0</v>
      </c>
      <c r="AP307" s="100">
        <f t="shared" si="311"/>
        <v>0</v>
      </c>
      <c r="AQ307" s="111" t="s">
        <v>13</v>
      </c>
      <c r="AV307" s="100">
        <f t="shared" si="312"/>
        <v>0</v>
      </c>
      <c r="AW307" s="100">
        <f t="shared" si="313"/>
        <v>0</v>
      </c>
      <c r="AX307" s="100">
        <f t="shared" si="314"/>
        <v>0</v>
      </c>
      <c r="AY307" s="110" t="s">
        <v>1709</v>
      </c>
      <c r="AZ307" s="110" t="s">
        <v>1733</v>
      </c>
      <c r="BA307" s="109" t="s">
        <v>1737</v>
      </c>
      <c r="BC307" s="100">
        <f t="shared" si="315"/>
        <v>0</v>
      </c>
      <c r="BD307" s="100">
        <f t="shared" si="316"/>
        <v>0</v>
      </c>
      <c r="BE307" s="100">
        <v>0</v>
      </c>
      <c r="BF307" s="100">
        <f>307</f>
        <v>307</v>
      </c>
      <c r="BH307" s="108">
        <f t="shared" si="317"/>
        <v>0</v>
      </c>
      <c r="BI307" s="108">
        <f t="shared" si="318"/>
        <v>0</v>
      </c>
      <c r="BJ307" s="108">
        <f t="shared" si="319"/>
        <v>0</v>
      </c>
    </row>
    <row r="308" spans="1:62" x14ac:dyDescent="0.2">
      <c r="A308" s="117" t="s">
        <v>270</v>
      </c>
      <c r="B308" s="117" t="s">
        <v>2745</v>
      </c>
      <c r="C308" s="304" t="s">
        <v>1343</v>
      </c>
      <c r="D308" s="305"/>
      <c r="E308" s="305"/>
      <c r="F308" s="117" t="s">
        <v>1646</v>
      </c>
      <c r="G308" s="116">
        <v>9</v>
      </c>
      <c r="H308" s="159"/>
      <c r="I308" s="108">
        <f t="shared" ref="I308:I320" si="320">G308*AO308</f>
        <v>0</v>
      </c>
      <c r="J308" s="108">
        <f t="shared" ref="J308:J320" si="321">G308*AP308</f>
        <v>0</v>
      </c>
      <c r="K308" s="108">
        <f t="shared" ref="K308:K320" si="322">G308*H308</f>
        <v>0</v>
      </c>
      <c r="L308" s="111"/>
      <c r="Z308" s="100">
        <f t="shared" ref="Z308:Z320" si="323">IF(AQ308="5",BJ308,0)</f>
        <v>0</v>
      </c>
      <c r="AB308" s="100">
        <f t="shared" ref="AB308:AB320" si="324">IF(AQ308="1",BH308,0)</f>
        <v>0</v>
      </c>
      <c r="AC308" s="100">
        <f t="shared" ref="AC308:AC320" si="325">IF(AQ308="1",BI308,0)</f>
        <v>0</v>
      </c>
      <c r="AD308" s="100">
        <f t="shared" ref="AD308:AD320" si="326">IF(AQ308="7",BH308,0)</f>
        <v>0</v>
      </c>
      <c r="AE308" s="100">
        <f t="shared" ref="AE308:AE320" si="327">IF(AQ308="7",BI308,0)</f>
        <v>0</v>
      </c>
      <c r="AF308" s="100">
        <f t="shared" ref="AF308:AF320" si="328">IF(AQ308="2",BH308,0)</f>
        <v>0</v>
      </c>
      <c r="AG308" s="100">
        <f t="shared" ref="AG308:AG320" si="329">IF(AQ308="2",BI308,0)</f>
        <v>0</v>
      </c>
      <c r="AH308" s="100">
        <f t="shared" ref="AH308:AH320" si="330">IF(AQ308="0",BJ308,0)</f>
        <v>0</v>
      </c>
      <c r="AI308" s="109"/>
      <c r="AJ308" s="108">
        <f t="shared" ref="AJ308:AJ320" si="331">IF(AN308=0,K308,0)</f>
        <v>0</v>
      </c>
      <c r="AK308" s="108">
        <f t="shared" ref="AK308:AK320" si="332">IF(AN308=15,K308,0)</f>
        <v>0</v>
      </c>
      <c r="AL308" s="108">
        <f t="shared" ref="AL308:AL320" si="333">IF(AN308=21,K308,0)</f>
        <v>0</v>
      </c>
      <c r="AN308" s="100">
        <v>15</v>
      </c>
      <c r="AO308" s="100">
        <f t="shared" ref="AO308:AO320" si="334">H308*0</f>
        <v>0</v>
      </c>
      <c r="AP308" s="100">
        <f t="shared" ref="AP308:AP320" si="335">H308*(1-0)</f>
        <v>0</v>
      </c>
      <c r="AQ308" s="111" t="s">
        <v>13</v>
      </c>
      <c r="AV308" s="100">
        <f t="shared" ref="AV308:AV320" si="336">AW308+AX308</f>
        <v>0</v>
      </c>
      <c r="AW308" s="100">
        <f t="shared" ref="AW308:AW320" si="337">G308*AO308</f>
        <v>0</v>
      </c>
      <c r="AX308" s="100">
        <f t="shared" ref="AX308:AX320" si="338">G308*AP308</f>
        <v>0</v>
      </c>
      <c r="AY308" s="110" t="s">
        <v>1709</v>
      </c>
      <c r="AZ308" s="110" t="s">
        <v>1733</v>
      </c>
      <c r="BA308" s="109" t="s">
        <v>1737</v>
      </c>
      <c r="BC308" s="100">
        <f t="shared" ref="BC308:BC320" si="339">AW308+AX308</f>
        <v>0</v>
      </c>
      <c r="BD308" s="100">
        <f t="shared" ref="BD308:BD320" si="340">H308/(100-BE308)*100</f>
        <v>0</v>
      </c>
      <c r="BE308" s="100">
        <v>0</v>
      </c>
      <c r="BF308" s="100">
        <f>308</f>
        <v>308</v>
      </c>
      <c r="BH308" s="108">
        <f t="shared" ref="BH308:BH320" si="341">G308*AO308</f>
        <v>0</v>
      </c>
      <c r="BI308" s="108">
        <f t="shared" ref="BI308:BI320" si="342">G308*AP308</f>
        <v>0</v>
      </c>
      <c r="BJ308" s="108">
        <f t="shared" ref="BJ308:BJ320" si="343">G308*H308</f>
        <v>0</v>
      </c>
    </row>
    <row r="309" spans="1:62" x14ac:dyDescent="0.2">
      <c r="A309" s="117" t="s">
        <v>271</v>
      </c>
      <c r="B309" s="117" t="s">
        <v>2744</v>
      </c>
      <c r="C309" s="304" t="s">
        <v>1344</v>
      </c>
      <c r="D309" s="305"/>
      <c r="E309" s="305"/>
      <c r="F309" s="117" t="s">
        <v>1646</v>
      </c>
      <c r="G309" s="116">
        <v>20</v>
      </c>
      <c r="H309" s="159"/>
      <c r="I309" s="108">
        <f t="shared" si="320"/>
        <v>0</v>
      </c>
      <c r="J309" s="108">
        <f t="shared" si="321"/>
        <v>0</v>
      </c>
      <c r="K309" s="108">
        <f t="shared" si="322"/>
        <v>0</v>
      </c>
      <c r="L309" s="111"/>
      <c r="Z309" s="100">
        <f t="shared" si="323"/>
        <v>0</v>
      </c>
      <c r="AB309" s="100">
        <f t="shared" si="324"/>
        <v>0</v>
      </c>
      <c r="AC309" s="100">
        <f t="shared" si="325"/>
        <v>0</v>
      </c>
      <c r="AD309" s="100">
        <f t="shared" si="326"/>
        <v>0</v>
      </c>
      <c r="AE309" s="100">
        <f t="shared" si="327"/>
        <v>0</v>
      </c>
      <c r="AF309" s="100">
        <f t="shared" si="328"/>
        <v>0</v>
      </c>
      <c r="AG309" s="100">
        <f t="shared" si="329"/>
        <v>0</v>
      </c>
      <c r="AH309" s="100">
        <f t="shared" si="330"/>
        <v>0</v>
      </c>
      <c r="AI309" s="109"/>
      <c r="AJ309" s="108">
        <f t="shared" si="331"/>
        <v>0</v>
      </c>
      <c r="AK309" s="108">
        <f t="shared" si="332"/>
        <v>0</v>
      </c>
      <c r="AL309" s="108">
        <f t="shared" si="333"/>
        <v>0</v>
      </c>
      <c r="AN309" s="100">
        <v>15</v>
      </c>
      <c r="AO309" s="100">
        <f t="shared" si="334"/>
        <v>0</v>
      </c>
      <c r="AP309" s="100">
        <f t="shared" si="335"/>
        <v>0</v>
      </c>
      <c r="AQ309" s="111" t="s">
        <v>13</v>
      </c>
      <c r="AV309" s="100">
        <f t="shared" si="336"/>
        <v>0</v>
      </c>
      <c r="AW309" s="100">
        <f t="shared" si="337"/>
        <v>0</v>
      </c>
      <c r="AX309" s="100">
        <f t="shared" si="338"/>
        <v>0</v>
      </c>
      <c r="AY309" s="110" t="s">
        <v>1709</v>
      </c>
      <c r="AZ309" s="110" t="s">
        <v>1733</v>
      </c>
      <c r="BA309" s="109" t="s">
        <v>1737</v>
      </c>
      <c r="BC309" s="100">
        <f t="shared" si="339"/>
        <v>0</v>
      </c>
      <c r="BD309" s="100">
        <f t="shared" si="340"/>
        <v>0</v>
      </c>
      <c r="BE309" s="100">
        <v>0</v>
      </c>
      <c r="BF309" s="100">
        <f>309</f>
        <v>309</v>
      </c>
      <c r="BH309" s="108">
        <f t="shared" si="341"/>
        <v>0</v>
      </c>
      <c r="BI309" s="108">
        <f t="shared" si="342"/>
        <v>0</v>
      </c>
      <c r="BJ309" s="108">
        <f t="shared" si="343"/>
        <v>0</v>
      </c>
    </row>
    <row r="310" spans="1:62" x14ac:dyDescent="0.2">
      <c r="A310" s="117" t="s">
        <v>272</v>
      </c>
      <c r="B310" s="117" t="s">
        <v>2743</v>
      </c>
      <c r="C310" s="304" t="s">
        <v>1345</v>
      </c>
      <c r="D310" s="305"/>
      <c r="E310" s="305"/>
      <c r="F310" s="117" t="s">
        <v>1646</v>
      </c>
      <c r="G310" s="116">
        <v>20</v>
      </c>
      <c r="H310" s="159"/>
      <c r="I310" s="108">
        <f t="shared" si="320"/>
        <v>0</v>
      </c>
      <c r="J310" s="108">
        <f t="shared" si="321"/>
        <v>0</v>
      </c>
      <c r="K310" s="108">
        <f t="shared" si="322"/>
        <v>0</v>
      </c>
      <c r="L310" s="111"/>
      <c r="Z310" s="100">
        <f t="shared" si="323"/>
        <v>0</v>
      </c>
      <c r="AB310" s="100">
        <f t="shared" si="324"/>
        <v>0</v>
      </c>
      <c r="AC310" s="100">
        <f t="shared" si="325"/>
        <v>0</v>
      </c>
      <c r="AD310" s="100">
        <f t="shared" si="326"/>
        <v>0</v>
      </c>
      <c r="AE310" s="100">
        <f t="shared" si="327"/>
        <v>0</v>
      </c>
      <c r="AF310" s="100">
        <f t="shared" si="328"/>
        <v>0</v>
      </c>
      <c r="AG310" s="100">
        <f t="shared" si="329"/>
        <v>0</v>
      </c>
      <c r="AH310" s="100">
        <f t="shared" si="330"/>
        <v>0</v>
      </c>
      <c r="AI310" s="109"/>
      <c r="AJ310" s="108">
        <f t="shared" si="331"/>
        <v>0</v>
      </c>
      <c r="AK310" s="108">
        <f t="shared" si="332"/>
        <v>0</v>
      </c>
      <c r="AL310" s="108">
        <f t="shared" si="333"/>
        <v>0</v>
      </c>
      <c r="AN310" s="100">
        <v>15</v>
      </c>
      <c r="AO310" s="100">
        <f t="shared" si="334"/>
        <v>0</v>
      </c>
      <c r="AP310" s="100">
        <f t="shared" si="335"/>
        <v>0</v>
      </c>
      <c r="AQ310" s="111" t="s">
        <v>13</v>
      </c>
      <c r="AV310" s="100">
        <f t="shared" si="336"/>
        <v>0</v>
      </c>
      <c r="AW310" s="100">
        <f t="shared" si="337"/>
        <v>0</v>
      </c>
      <c r="AX310" s="100">
        <f t="shared" si="338"/>
        <v>0</v>
      </c>
      <c r="AY310" s="110" t="s">
        <v>1709</v>
      </c>
      <c r="AZ310" s="110" t="s">
        <v>1733</v>
      </c>
      <c r="BA310" s="109" t="s">
        <v>1737</v>
      </c>
      <c r="BC310" s="100">
        <f t="shared" si="339"/>
        <v>0</v>
      </c>
      <c r="BD310" s="100">
        <f t="shared" si="340"/>
        <v>0</v>
      </c>
      <c r="BE310" s="100">
        <v>0</v>
      </c>
      <c r="BF310" s="100">
        <f>310</f>
        <v>310</v>
      </c>
      <c r="BH310" s="108">
        <f t="shared" si="341"/>
        <v>0</v>
      </c>
      <c r="BI310" s="108">
        <f t="shared" si="342"/>
        <v>0</v>
      </c>
      <c r="BJ310" s="108">
        <f t="shared" si="343"/>
        <v>0</v>
      </c>
    </row>
    <row r="311" spans="1:62" x14ac:dyDescent="0.2">
      <c r="A311" s="117" t="s">
        <v>273</v>
      </c>
      <c r="B311" s="117" t="s">
        <v>2742</v>
      </c>
      <c r="C311" s="304" t="s">
        <v>1346</v>
      </c>
      <c r="D311" s="305"/>
      <c r="E311" s="305"/>
      <c r="F311" s="117" t="s">
        <v>1644</v>
      </c>
      <c r="G311" s="116">
        <v>1</v>
      </c>
      <c r="H311" s="159"/>
      <c r="I311" s="108">
        <f t="shared" si="320"/>
        <v>0</v>
      </c>
      <c r="J311" s="108">
        <f t="shared" si="321"/>
        <v>0</v>
      </c>
      <c r="K311" s="108">
        <f t="shared" si="322"/>
        <v>0</v>
      </c>
      <c r="L311" s="111"/>
      <c r="Z311" s="100">
        <f t="shared" si="323"/>
        <v>0</v>
      </c>
      <c r="AB311" s="100">
        <f t="shared" si="324"/>
        <v>0</v>
      </c>
      <c r="AC311" s="100">
        <f t="shared" si="325"/>
        <v>0</v>
      </c>
      <c r="AD311" s="100">
        <f t="shared" si="326"/>
        <v>0</v>
      </c>
      <c r="AE311" s="100">
        <f t="shared" si="327"/>
        <v>0</v>
      </c>
      <c r="AF311" s="100">
        <f t="shared" si="328"/>
        <v>0</v>
      </c>
      <c r="AG311" s="100">
        <f t="shared" si="329"/>
        <v>0</v>
      </c>
      <c r="AH311" s="100">
        <f t="shared" si="330"/>
        <v>0</v>
      </c>
      <c r="AI311" s="109"/>
      <c r="AJ311" s="108">
        <f t="shared" si="331"/>
        <v>0</v>
      </c>
      <c r="AK311" s="108">
        <f t="shared" si="332"/>
        <v>0</v>
      </c>
      <c r="AL311" s="108">
        <f t="shared" si="333"/>
        <v>0</v>
      </c>
      <c r="AN311" s="100">
        <v>15</v>
      </c>
      <c r="AO311" s="100">
        <f t="shared" si="334"/>
        <v>0</v>
      </c>
      <c r="AP311" s="100">
        <f t="shared" si="335"/>
        <v>0</v>
      </c>
      <c r="AQ311" s="111" t="s">
        <v>13</v>
      </c>
      <c r="AV311" s="100">
        <f t="shared" si="336"/>
        <v>0</v>
      </c>
      <c r="AW311" s="100">
        <f t="shared" si="337"/>
        <v>0</v>
      </c>
      <c r="AX311" s="100">
        <f t="shared" si="338"/>
        <v>0</v>
      </c>
      <c r="AY311" s="110" t="s">
        <v>1709</v>
      </c>
      <c r="AZ311" s="110" t="s">
        <v>1733</v>
      </c>
      <c r="BA311" s="109" t="s">
        <v>1737</v>
      </c>
      <c r="BC311" s="100">
        <f t="shared" si="339"/>
        <v>0</v>
      </c>
      <c r="BD311" s="100">
        <f t="shared" si="340"/>
        <v>0</v>
      </c>
      <c r="BE311" s="100">
        <v>0</v>
      </c>
      <c r="BF311" s="100">
        <f>311</f>
        <v>311</v>
      </c>
      <c r="BH311" s="108">
        <f t="shared" si="341"/>
        <v>0</v>
      </c>
      <c r="BI311" s="108">
        <f t="shared" si="342"/>
        <v>0</v>
      </c>
      <c r="BJ311" s="108">
        <f t="shared" si="343"/>
        <v>0</v>
      </c>
    </row>
    <row r="312" spans="1:62" x14ac:dyDescent="0.2">
      <c r="A312" s="117" t="s">
        <v>274</v>
      </c>
      <c r="B312" s="117" t="s">
        <v>2741</v>
      </c>
      <c r="C312" s="304" t="s">
        <v>1253</v>
      </c>
      <c r="D312" s="305"/>
      <c r="E312" s="305"/>
      <c r="F312" s="117" t="s">
        <v>1644</v>
      </c>
      <c r="G312" s="116">
        <v>1</v>
      </c>
      <c r="H312" s="159"/>
      <c r="I312" s="108">
        <f t="shared" si="320"/>
        <v>0</v>
      </c>
      <c r="J312" s="108">
        <f t="shared" si="321"/>
        <v>0</v>
      </c>
      <c r="K312" s="108">
        <f t="shared" si="322"/>
        <v>0</v>
      </c>
      <c r="L312" s="111"/>
      <c r="Z312" s="100">
        <f t="shared" si="323"/>
        <v>0</v>
      </c>
      <c r="AB312" s="100">
        <f t="shared" si="324"/>
        <v>0</v>
      </c>
      <c r="AC312" s="100">
        <f t="shared" si="325"/>
        <v>0</v>
      </c>
      <c r="AD312" s="100">
        <f t="shared" si="326"/>
        <v>0</v>
      </c>
      <c r="AE312" s="100">
        <f t="shared" si="327"/>
        <v>0</v>
      </c>
      <c r="AF312" s="100">
        <f t="shared" si="328"/>
        <v>0</v>
      </c>
      <c r="AG312" s="100">
        <f t="shared" si="329"/>
        <v>0</v>
      </c>
      <c r="AH312" s="100">
        <f t="shared" si="330"/>
        <v>0</v>
      </c>
      <c r="AI312" s="109"/>
      <c r="AJ312" s="108">
        <f t="shared" si="331"/>
        <v>0</v>
      </c>
      <c r="AK312" s="108">
        <f t="shared" si="332"/>
        <v>0</v>
      </c>
      <c r="AL312" s="108">
        <f t="shared" si="333"/>
        <v>0</v>
      </c>
      <c r="AN312" s="100">
        <v>15</v>
      </c>
      <c r="AO312" s="100">
        <f t="shared" si="334"/>
        <v>0</v>
      </c>
      <c r="AP312" s="100">
        <f t="shared" si="335"/>
        <v>0</v>
      </c>
      <c r="AQ312" s="111" t="s">
        <v>13</v>
      </c>
      <c r="AV312" s="100">
        <f t="shared" si="336"/>
        <v>0</v>
      </c>
      <c r="AW312" s="100">
        <f t="shared" si="337"/>
        <v>0</v>
      </c>
      <c r="AX312" s="100">
        <f t="shared" si="338"/>
        <v>0</v>
      </c>
      <c r="AY312" s="110" t="s">
        <v>1709</v>
      </c>
      <c r="AZ312" s="110" t="s">
        <v>1733</v>
      </c>
      <c r="BA312" s="109" t="s">
        <v>1737</v>
      </c>
      <c r="BC312" s="100">
        <f t="shared" si="339"/>
        <v>0</v>
      </c>
      <c r="BD312" s="100">
        <f t="shared" si="340"/>
        <v>0</v>
      </c>
      <c r="BE312" s="100">
        <v>0</v>
      </c>
      <c r="BF312" s="100">
        <f>312</f>
        <v>312</v>
      </c>
      <c r="BH312" s="108">
        <f t="shared" si="341"/>
        <v>0</v>
      </c>
      <c r="BI312" s="108">
        <f t="shared" si="342"/>
        <v>0</v>
      </c>
      <c r="BJ312" s="108">
        <f t="shared" si="343"/>
        <v>0</v>
      </c>
    </row>
    <row r="313" spans="1:62" x14ac:dyDescent="0.2">
      <c r="A313" s="117" t="s">
        <v>275</v>
      </c>
      <c r="B313" s="117" t="s">
        <v>2740</v>
      </c>
      <c r="C313" s="304" t="s">
        <v>1347</v>
      </c>
      <c r="D313" s="305"/>
      <c r="E313" s="305"/>
      <c r="F313" s="117" t="s">
        <v>1646</v>
      </c>
      <c r="G313" s="116">
        <v>83</v>
      </c>
      <c r="H313" s="159"/>
      <c r="I313" s="108">
        <f t="shared" si="320"/>
        <v>0</v>
      </c>
      <c r="J313" s="108">
        <f t="shared" si="321"/>
        <v>0</v>
      </c>
      <c r="K313" s="108">
        <f t="shared" si="322"/>
        <v>0</v>
      </c>
      <c r="L313" s="111"/>
      <c r="Z313" s="100">
        <f t="shared" si="323"/>
        <v>0</v>
      </c>
      <c r="AB313" s="100">
        <f t="shared" si="324"/>
        <v>0</v>
      </c>
      <c r="AC313" s="100">
        <f t="shared" si="325"/>
        <v>0</v>
      </c>
      <c r="AD313" s="100">
        <f t="shared" si="326"/>
        <v>0</v>
      </c>
      <c r="AE313" s="100">
        <f t="shared" si="327"/>
        <v>0</v>
      </c>
      <c r="AF313" s="100">
        <f t="shared" si="328"/>
        <v>0</v>
      </c>
      <c r="AG313" s="100">
        <f t="shared" si="329"/>
        <v>0</v>
      </c>
      <c r="AH313" s="100">
        <f t="shared" si="330"/>
        <v>0</v>
      </c>
      <c r="AI313" s="109"/>
      <c r="AJ313" s="108">
        <f t="shared" si="331"/>
        <v>0</v>
      </c>
      <c r="AK313" s="108">
        <f t="shared" si="332"/>
        <v>0</v>
      </c>
      <c r="AL313" s="108">
        <f t="shared" si="333"/>
        <v>0</v>
      </c>
      <c r="AN313" s="100">
        <v>15</v>
      </c>
      <c r="AO313" s="100">
        <f t="shared" si="334"/>
        <v>0</v>
      </c>
      <c r="AP313" s="100">
        <f t="shared" si="335"/>
        <v>0</v>
      </c>
      <c r="AQ313" s="111" t="s">
        <v>13</v>
      </c>
      <c r="AV313" s="100">
        <f t="shared" si="336"/>
        <v>0</v>
      </c>
      <c r="AW313" s="100">
        <f t="shared" si="337"/>
        <v>0</v>
      </c>
      <c r="AX313" s="100">
        <f t="shared" si="338"/>
        <v>0</v>
      </c>
      <c r="AY313" s="110" t="s">
        <v>1709</v>
      </c>
      <c r="AZ313" s="110" t="s">
        <v>1733</v>
      </c>
      <c r="BA313" s="109" t="s">
        <v>1737</v>
      </c>
      <c r="BC313" s="100">
        <f t="shared" si="339"/>
        <v>0</v>
      </c>
      <c r="BD313" s="100">
        <f t="shared" si="340"/>
        <v>0</v>
      </c>
      <c r="BE313" s="100">
        <v>0</v>
      </c>
      <c r="BF313" s="100">
        <f>313</f>
        <v>313</v>
      </c>
      <c r="BH313" s="108">
        <f t="shared" si="341"/>
        <v>0</v>
      </c>
      <c r="BI313" s="108">
        <f t="shared" si="342"/>
        <v>0</v>
      </c>
      <c r="BJ313" s="108">
        <f t="shared" si="343"/>
        <v>0</v>
      </c>
    </row>
    <row r="314" spans="1:62" x14ac:dyDescent="0.2">
      <c r="A314" s="117" t="s">
        <v>276</v>
      </c>
      <c r="B314" s="117" t="s">
        <v>2739</v>
      </c>
      <c r="C314" s="304" t="s">
        <v>1348</v>
      </c>
      <c r="D314" s="305"/>
      <c r="E314" s="305"/>
      <c r="F314" s="117" t="s">
        <v>1644</v>
      </c>
      <c r="G314" s="116">
        <v>1</v>
      </c>
      <c r="H314" s="159"/>
      <c r="I314" s="108">
        <f t="shared" si="320"/>
        <v>0</v>
      </c>
      <c r="J314" s="108">
        <f t="shared" si="321"/>
        <v>0</v>
      </c>
      <c r="K314" s="108">
        <f t="shared" si="322"/>
        <v>0</v>
      </c>
      <c r="L314" s="111"/>
      <c r="Z314" s="100">
        <f t="shared" si="323"/>
        <v>0</v>
      </c>
      <c r="AB314" s="100">
        <f t="shared" si="324"/>
        <v>0</v>
      </c>
      <c r="AC314" s="100">
        <f t="shared" si="325"/>
        <v>0</v>
      </c>
      <c r="AD314" s="100">
        <f t="shared" si="326"/>
        <v>0</v>
      </c>
      <c r="AE314" s="100">
        <f t="shared" si="327"/>
        <v>0</v>
      </c>
      <c r="AF314" s="100">
        <f t="shared" si="328"/>
        <v>0</v>
      </c>
      <c r="AG314" s="100">
        <f t="shared" si="329"/>
        <v>0</v>
      </c>
      <c r="AH314" s="100">
        <f t="shared" si="330"/>
        <v>0</v>
      </c>
      <c r="AI314" s="109"/>
      <c r="AJ314" s="108">
        <f t="shared" si="331"/>
        <v>0</v>
      </c>
      <c r="AK314" s="108">
        <f t="shared" si="332"/>
        <v>0</v>
      </c>
      <c r="AL314" s="108">
        <f t="shared" si="333"/>
        <v>0</v>
      </c>
      <c r="AN314" s="100">
        <v>15</v>
      </c>
      <c r="AO314" s="100">
        <f t="shared" si="334"/>
        <v>0</v>
      </c>
      <c r="AP314" s="100">
        <f t="shared" si="335"/>
        <v>0</v>
      </c>
      <c r="AQ314" s="111" t="s">
        <v>13</v>
      </c>
      <c r="AV314" s="100">
        <f t="shared" si="336"/>
        <v>0</v>
      </c>
      <c r="AW314" s="100">
        <f t="shared" si="337"/>
        <v>0</v>
      </c>
      <c r="AX314" s="100">
        <f t="shared" si="338"/>
        <v>0</v>
      </c>
      <c r="AY314" s="110" t="s">
        <v>1709</v>
      </c>
      <c r="AZ314" s="110" t="s">
        <v>1733</v>
      </c>
      <c r="BA314" s="109" t="s">
        <v>1737</v>
      </c>
      <c r="BC314" s="100">
        <f t="shared" si="339"/>
        <v>0</v>
      </c>
      <c r="BD314" s="100">
        <f t="shared" si="340"/>
        <v>0</v>
      </c>
      <c r="BE314" s="100">
        <v>0</v>
      </c>
      <c r="BF314" s="100">
        <f>314</f>
        <v>314</v>
      </c>
      <c r="BH314" s="108">
        <f t="shared" si="341"/>
        <v>0</v>
      </c>
      <c r="BI314" s="108">
        <f t="shared" si="342"/>
        <v>0</v>
      </c>
      <c r="BJ314" s="108">
        <f t="shared" si="343"/>
        <v>0</v>
      </c>
    </row>
    <row r="315" spans="1:62" x14ac:dyDescent="0.2">
      <c r="A315" s="117" t="s">
        <v>277</v>
      </c>
      <c r="B315" s="117" t="s">
        <v>2738</v>
      </c>
      <c r="C315" s="304" t="s">
        <v>1349</v>
      </c>
      <c r="D315" s="305"/>
      <c r="E315" s="305"/>
      <c r="F315" s="117" t="s">
        <v>1644</v>
      </c>
      <c r="G315" s="116">
        <v>2</v>
      </c>
      <c r="H315" s="159"/>
      <c r="I315" s="108">
        <f t="shared" si="320"/>
        <v>0</v>
      </c>
      <c r="J315" s="108">
        <f t="shared" si="321"/>
        <v>0</v>
      </c>
      <c r="K315" s="108">
        <f t="shared" si="322"/>
        <v>0</v>
      </c>
      <c r="L315" s="111"/>
      <c r="Z315" s="100">
        <f t="shared" si="323"/>
        <v>0</v>
      </c>
      <c r="AB315" s="100">
        <f t="shared" si="324"/>
        <v>0</v>
      </c>
      <c r="AC315" s="100">
        <f t="shared" si="325"/>
        <v>0</v>
      </c>
      <c r="AD315" s="100">
        <f t="shared" si="326"/>
        <v>0</v>
      </c>
      <c r="AE315" s="100">
        <f t="shared" si="327"/>
        <v>0</v>
      </c>
      <c r="AF315" s="100">
        <f t="shared" si="328"/>
        <v>0</v>
      </c>
      <c r="AG315" s="100">
        <f t="shared" si="329"/>
        <v>0</v>
      </c>
      <c r="AH315" s="100">
        <f t="shared" si="330"/>
        <v>0</v>
      </c>
      <c r="AI315" s="109"/>
      <c r="AJ315" s="108">
        <f t="shared" si="331"/>
        <v>0</v>
      </c>
      <c r="AK315" s="108">
        <f t="shared" si="332"/>
        <v>0</v>
      </c>
      <c r="AL315" s="108">
        <f t="shared" si="333"/>
        <v>0</v>
      </c>
      <c r="AN315" s="100">
        <v>15</v>
      </c>
      <c r="AO315" s="100">
        <f t="shared" si="334"/>
        <v>0</v>
      </c>
      <c r="AP315" s="100">
        <f t="shared" si="335"/>
        <v>0</v>
      </c>
      <c r="AQ315" s="111" t="s">
        <v>13</v>
      </c>
      <c r="AV315" s="100">
        <f t="shared" si="336"/>
        <v>0</v>
      </c>
      <c r="AW315" s="100">
        <f t="shared" si="337"/>
        <v>0</v>
      </c>
      <c r="AX315" s="100">
        <f t="shared" si="338"/>
        <v>0</v>
      </c>
      <c r="AY315" s="110" t="s">
        <v>1709</v>
      </c>
      <c r="AZ315" s="110" t="s">
        <v>1733</v>
      </c>
      <c r="BA315" s="109" t="s">
        <v>1737</v>
      </c>
      <c r="BC315" s="100">
        <f t="shared" si="339"/>
        <v>0</v>
      </c>
      <c r="BD315" s="100">
        <f t="shared" si="340"/>
        <v>0</v>
      </c>
      <c r="BE315" s="100">
        <v>0</v>
      </c>
      <c r="BF315" s="100">
        <f>315</f>
        <v>315</v>
      </c>
      <c r="BH315" s="108">
        <f t="shared" si="341"/>
        <v>0</v>
      </c>
      <c r="BI315" s="108">
        <f t="shared" si="342"/>
        <v>0</v>
      </c>
      <c r="BJ315" s="108">
        <f t="shared" si="343"/>
        <v>0</v>
      </c>
    </row>
    <row r="316" spans="1:62" x14ac:dyDescent="0.2">
      <c r="A316" s="117" t="s">
        <v>278</v>
      </c>
      <c r="B316" s="117" t="s">
        <v>2737</v>
      </c>
      <c r="C316" s="304" t="s">
        <v>1350</v>
      </c>
      <c r="D316" s="305"/>
      <c r="E316" s="305"/>
      <c r="F316" s="117" t="s">
        <v>1644</v>
      </c>
      <c r="G316" s="116">
        <v>1</v>
      </c>
      <c r="H316" s="159"/>
      <c r="I316" s="108">
        <f t="shared" si="320"/>
        <v>0</v>
      </c>
      <c r="J316" s="108">
        <f t="shared" si="321"/>
        <v>0</v>
      </c>
      <c r="K316" s="108">
        <f t="shared" si="322"/>
        <v>0</v>
      </c>
      <c r="L316" s="111"/>
      <c r="Z316" s="100">
        <f t="shared" si="323"/>
        <v>0</v>
      </c>
      <c r="AB316" s="100">
        <f t="shared" si="324"/>
        <v>0</v>
      </c>
      <c r="AC316" s="100">
        <f t="shared" si="325"/>
        <v>0</v>
      </c>
      <c r="AD316" s="100">
        <f t="shared" si="326"/>
        <v>0</v>
      </c>
      <c r="AE316" s="100">
        <f t="shared" si="327"/>
        <v>0</v>
      </c>
      <c r="AF316" s="100">
        <f t="shared" si="328"/>
        <v>0</v>
      </c>
      <c r="AG316" s="100">
        <f t="shared" si="329"/>
        <v>0</v>
      </c>
      <c r="AH316" s="100">
        <f t="shared" si="330"/>
        <v>0</v>
      </c>
      <c r="AI316" s="109"/>
      <c r="AJ316" s="108">
        <f t="shared" si="331"/>
        <v>0</v>
      </c>
      <c r="AK316" s="108">
        <f t="shared" si="332"/>
        <v>0</v>
      </c>
      <c r="AL316" s="108">
        <f t="shared" si="333"/>
        <v>0</v>
      </c>
      <c r="AN316" s="100">
        <v>15</v>
      </c>
      <c r="AO316" s="100">
        <f t="shared" si="334"/>
        <v>0</v>
      </c>
      <c r="AP316" s="100">
        <f t="shared" si="335"/>
        <v>0</v>
      </c>
      <c r="AQ316" s="111" t="s">
        <v>13</v>
      </c>
      <c r="AV316" s="100">
        <f t="shared" si="336"/>
        <v>0</v>
      </c>
      <c r="AW316" s="100">
        <f t="shared" si="337"/>
        <v>0</v>
      </c>
      <c r="AX316" s="100">
        <f t="shared" si="338"/>
        <v>0</v>
      </c>
      <c r="AY316" s="110" t="s">
        <v>1709</v>
      </c>
      <c r="AZ316" s="110" t="s">
        <v>1733</v>
      </c>
      <c r="BA316" s="109" t="s">
        <v>1737</v>
      </c>
      <c r="BC316" s="100">
        <f t="shared" si="339"/>
        <v>0</v>
      </c>
      <c r="BD316" s="100">
        <f t="shared" si="340"/>
        <v>0</v>
      </c>
      <c r="BE316" s="100">
        <v>0</v>
      </c>
      <c r="BF316" s="100">
        <f>316</f>
        <v>316</v>
      </c>
      <c r="BH316" s="108">
        <f t="shared" si="341"/>
        <v>0</v>
      </c>
      <c r="BI316" s="108">
        <f t="shared" si="342"/>
        <v>0</v>
      </c>
      <c r="BJ316" s="108">
        <f t="shared" si="343"/>
        <v>0</v>
      </c>
    </row>
    <row r="317" spans="1:62" x14ac:dyDescent="0.2">
      <c r="A317" s="117" t="s">
        <v>279</v>
      </c>
      <c r="B317" s="117" t="s">
        <v>2736</v>
      </c>
      <c r="C317" s="304" t="s">
        <v>1351</v>
      </c>
      <c r="D317" s="305"/>
      <c r="E317" s="305"/>
      <c r="F317" s="117" t="s">
        <v>1644</v>
      </c>
      <c r="G317" s="116">
        <v>1</v>
      </c>
      <c r="H317" s="159"/>
      <c r="I317" s="108">
        <f t="shared" si="320"/>
        <v>0</v>
      </c>
      <c r="J317" s="108">
        <f t="shared" si="321"/>
        <v>0</v>
      </c>
      <c r="K317" s="108">
        <f t="shared" si="322"/>
        <v>0</v>
      </c>
      <c r="L317" s="111"/>
      <c r="Z317" s="100">
        <f t="shared" si="323"/>
        <v>0</v>
      </c>
      <c r="AB317" s="100">
        <f t="shared" si="324"/>
        <v>0</v>
      </c>
      <c r="AC317" s="100">
        <f t="shared" si="325"/>
        <v>0</v>
      </c>
      <c r="AD317" s="100">
        <f t="shared" si="326"/>
        <v>0</v>
      </c>
      <c r="AE317" s="100">
        <f t="shared" si="327"/>
        <v>0</v>
      </c>
      <c r="AF317" s="100">
        <f t="shared" si="328"/>
        <v>0</v>
      </c>
      <c r="AG317" s="100">
        <f t="shared" si="329"/>
        <v>0</v>
      </c>
      <c r="AH317" s="100">
        <f t="shared" si="330"/>
        <v>0</v>
      </c>
      <c r="AI317" s="109"/>
      <c r="AJ317" s="108">
        <f t="shared" si="331"/>
        <v>0</v>
      </c>
      <c r="AK317" s="108">
        <f t="shared" si="332"/>
        <v>0</v>
      </c>
      <c r="AL317" s="108">
        <f t="shared" si="333"/>
        <v>0</v>
      </c>
      <c r="AN317" s="100">
        <v>15</v>
      </c>
      <c r="AO317" s="100">
        <f t="shared" si="334"/>
        <v>0</v>
      </c>
      <c r="AP317" s="100">
        <f t="shared" si="335"/>
        <v>0</v>
      </c>
      <c r="AQ317" s="111" t="s">
        <v>13</v>
      </c>
      <c r="AV317" s="100">
        <f t="shared" si="336"/>
        <v>0</v>
      </c>
      <c r="AW317" s="100">
        <f t="shared" si="337"/>
        <v>0</v>
      </c>
      <c r="AX317" s="100">
        <f t="shared" si="338"/>
        <v>0</v>
      </c>
      <c r="AY317" s="110" t="s">
        <v>1709</v>
      </c>
      <c r="AZ317" s="110" t="s">
        <v>1733</v>
      </c>
      <c r="BA317" s="109" t="s">
        <v>1737</v>
      </c>
      <c r="BC317" s="100">
        <f t="shared" si="339"/>
        <v>0</v>
      </c>
      <c r="BD317" s="100">
        <f t="shared" si="340"/>
        <v>0</v>
      </c>
      <c r="BE317" s="100">
        <v>0</v>
      </c>
      <c r="BF317" s="100">
        <f>317</f>
        <v>317</v>
      </c>
      <c r="BH317" s="108">
        <f t="shared" si="341"/>
        <v>0</v>
      </c>
      <c r="BI317" s="108">
        <f t="shared" si="342"/>
        <v>0</v>
      </c>
      <c r="BJ317" s="108">
        <f t="shared" si="343"/>
        <v>0</v>
      </c>
    </row>
    <row r="318" spans="1:62" x14ac:dyDescent="0.2">
      <c r="A318" s="117" t="s">
        <v>280</v>
      </c>
      <c r="B318" s="117" t="s">
        <v>2735</v>
      </c>
      <c r="C318" s="304" t="s">
        <v>1352</v>
      </c>
      <c r="D318" s="305"/>
      <c r="E318" s="305"/>
      <c r="F318" s="117" t="s">
        <v>1644</v>
      </c>
      <c r="G318" s="116">
        <v>16</v>
      </c>
      <c r="H318" s="159"/>
      <c r="I318" s="108">
        <f t="shared" si="320"/>
        <v>0</v>
      </c>
      <c r="J318" s="108">
        <f t="shared" si="321"/>
        <v>0</v>
      </c>
      <c r="K318" s="108">
        <f t="shared" si="322"/>
        <v>0</v>
      </c>
      <c r="L318" s="111"/>
      <c r="Z318" s="100">
        <f t="shared" si="323"/>
        <v>0</v>
      </c>
      <c r="AB318" s="100">
        <f t="shared" si="324"/>
        <v>0</v>
      </c>
      <c r="AC318" s="100">
        <f t="shared" si="325"/>
        <v>0</v>
      </c>
      <c r="AD318" s="100">
        <f t="shared" si="326"/>
        <v>0</v>
      </c>
      <c r="AE318" s="100">
        <f t="shared" si="327"/>
        <v>0</v>
      </c>
      <c r="AF318" s="100">
        <f t="shared" si="328"/>
        <v>0</v>
      </c>
      <c r="AG318" s="100">
        <f t="shared" si="329"/>
        <v>0</v>
      </c>
      <c r="AH318" s="100">
        <f t="shared" si="330"/>
        <v>0</v>
      </c>
      <c r="AI318" s="109"/>
      <c r="AJ318" s="108">
        <f t="shared" si="331"/>
        <v>0</v>
      </c>
      <c r="AK318" s="108">
        <f t="shared" si="332"/>
        <v>0</v>
      </c>
      <c r="AL318" s="108">
        <f t="shared" si="333"/>
        <v>0</v>
      </c>
      <c r="AN318" s="100">
        <v>15</v>
      </c>
      <c r="AO318" s="100">
        <f t="shared" si="334"/>
        <v>0</v>
      </c>
      <c r="AP318" s="100">
        <f t="shared" si="335"/>
        <v>0</v>
      </c>
      <c r="AQ318" s="111" t="s">
        <v>13</v>
      </c>
      <c r="AV318" s="100">
        <f t="shared" si="336"/>
        <v>0</v>
      </c>
      <c r="AW318" s="100">
        <f t="shared" si="337"/>
        <v>0</v>
      </c>
      <c r="AX318" s="100">
        <f t="shared" si="338"/>
        <v>0</v>
      </c>
      <c r="AY318" s="110" t="s">
        <v>1709</v>
      </c>
      <c r="AZ318" s="110" t="s">
        <v>1733</v>
      </c>
      <c r="BA318" s="109" t="s">
        <v>1737</v>
      </c>
      <c r="BC318" s="100">
        <f t="shared" si="339"/>
        <v>0</v>
      </c>
      <c r="BD318" s="100">
        <f t="shared" si="340"/>
        <v>0</v>
      </c>
      <c r="BE318" s="100">
        <v>0</v>
      </c>
      <c r="BF318" s="100">
        <f>318</f>
        <v>318</v>
      </c>
      <c r="BH318" s="108">
        <f t="shared" si="341"/>
        <v>0</v>
      </c>
      <c r="BI318" s="108">
        <f t="shared" si="342"/>
        <v>0</v>
      </c>
      <c r="BJ318" s="108">
        <f t="shared" si="343"/>
        <v>0</v>
      </c>
    </row>
    <row r="319" spans="1:62" x14ac:dyDescent="0.2">
      <c r="A319" s="117" t="s">
        <v>281</v>
      </c>
      <c r="B319" s="117" t="s">
        <v>2734</v>
      </c>
      <c r="C319" s="304" t="s">
        <v>1353</v>
      </c>
      <c r="D319" s="305"/>
      <c r="E319" s="305"/>
      <c r="F319" s="117" t="s">
        <v>1644</v>
      </c>
      <c r="G319" s="116">
        <v>1</v>
      </c>
      <c r="H319" s="159"/>
      <c r="I319" s="108">
        <f t="shared" si="320"/>
        <v>0</v>
      </c>
      <c r="J319" s="108">
        <f t="shared" si="321"/>
        <v>0</v>
      </c>
      <c r="K319" s="108">
        <f t="shared" si="322"/>
        <v>0</v>
      </c>
      <c r="L319" s="111"/>
      <c r="Z319" s="100">
        <f t="shared" si="323"/>
        <v>0</v>
      </c>
      <c r="AB319" s="100">
        <f t="shared" si="324"/>
        <v>0</v>
      </c>
      <c r="AC319" s="100">
        <f t="shared" si="325"/>
        <v>0</v>
      </c>
      <c r="AD319" s="100">
        <f t="shared" si="326"/>
        <v>0</v>
      </c>
      <c r="AE319" s="100">
        <f t="shared" si="327"/>
        <v>0</v>
      </c>
      <c r="AF319" s="100">
        <f t="shared" si="328"/>
        <v>0</v>
      </c>
      <c r="AG319" s="100">
        <f t="shared" si="329"/>
        <v>0</v>
      </c>
      <c r="AH319" s="100">
        <f t="shared" si="330"/>
        <v>0</v>
      </c>
      <c r="AI319" s="109"/>
      <c r="AJ319" s="108">
        <f t="shared" si="331"/>
        <v>0</v>
      </c>
      <c r="AK319" s="108">
        <f t="shared" si="332"/>
        <v>0</v>
      </c>
      <c r="AL319" s="108">
        <f t="shared" si="333"/>
        <v>0</v>
      </c>
      <c r="AN319" s="100">
        <v>15</v>
      </c>
      <c r="AO319" s="100">
        <f t="shared" si="334"/>
        <v>0</v>
      </c>
      <c r="AP319" s="100">
        <f t="shared" si="335"/>
        <v>0</v>
      </c>
      <c r="AQ319" s="111" t="s">
        <v>13</v>
      </c>
      <c r="AV319" s="100">
        <f t="shared" si="336"/>
        <v>0</v>
      </c>
      <c r="AW319" s="100">
        <f t="shared" si="337"/>
        <v>0</v>
      </c>
      <c r="AX319" s="100">
        <f t="shared" si="338"/>
        <v>0</v>
      </c>
      <c r="AY319" s="110" t="s">
        <v>1709</v>
      </c>
      <c r="AZ319" s="110" t="s">
        <v>1733</v>
      </c>
      <c r="BA319" s="109" t="s">
        <v>1737</v>
      </c>
      <c r="BC319" s="100">
        <f t="shared" si="339"/>
        <v>0</v>
      </c>
      <c r="BD319" s="100">
        <f t="shared" si="340"/>
        <v>0</v>
      </c>
      <c r="BE319" s="100">
        <v>0</v>
      </c>
      <c r="BF319" s="100">
        <f>319</f>
        <v>319</v>
      </c>
      <c r="BH319" s="108">
        <f t="shared" si="341"/>
        <v>0</v>
      </c>
      <c r="BI319" s="108">
        <f t="shared" si="342"/>
        <v>0</v>
      </c>
      <c r="BJ319" s="108">
        <f t="shared" si="343"/>
        <v>0</v>
      </c>
    </row>
    <row r="320" spans="1:62" x14ac:dyDescent="0.2">
      <c r="A320" s="117" t="s">
        <v>282</v>
      </c>
      <c r="B320" s="117" t="s">
        <v>2733</v>
      </c>
      <c r="C320" s="304" t="s">
        <v>1354</v>
      </c>
      <c r="D320" s="305"/>
      <c r="E320" s="305"/>
      <c r="F320" s="117" t="s">
        <v>1644</v>
      </c>
      <c r="G320" s="116">
        <v>1</v>
      </c>
      <c r="H320" s="159"/>
      <c r="I320" s="108">
        <f t="shared" si="320"/>
        <v>0</v>
      </c>
      <c r="J320" s="108">
        <f t="shared" si="321"/>
        <v>0</v>
      </c>
      <c r="K320" s="108">
        <f t="shared" si="322"/>
        <v>0</v>
      </c>
      <c r="L320" s="111"/>
      <c r="Z320" s="100">
        <f t="shared" si="323"/>
        <v>0</v>
      </c>
      <c r="AB320" s="100">
        <f t="shared" si="324"/>
        <v>0</v>
      </c>
      <c r="AC320" s="100">
        <f t="shared" si="325"/>
        <v>0</v>
      </c>
      <c r="AD320" s="100">
        <f t="shared" si="326"/>
        <v>0</v>
      </c>
      <c r="AE320" s="100">
        <f t="shared" si="327"/>
        <v>0</v>
      </c>
      <c r="AF320" s="100">
        <f t="shared" si="328"/>
        <v>0</v>
      </c>
      <c r="AG320" s="100">
        <f t="shared" si="329"/>
        <v>0</v>
      </c>
      <c r="AH320" s="100">
        <f t="shared" si="330"/>
        <v>0</v>
      </c>
      <c r="AI320" s="109"/>
      <c r="AJ320" s="108">
        <f t="shared" si="331"/>
        <v>0</v>
      </c>
      <c r="AK320" s="108">
        <f t="shared" si="332"/>
        <v>0</v>
      </c>
      <c r="AL320" s="108">
        <f t="shared" si="333"/>
        <v>0</v>
      </c>
      <c r="AN320" s="100">
        <v>15</v>
      </c>
      <c r="AO320" s="100">
        <f t="shared" si="334"/>
        <v>0</v>
      </c>
      <c r="AP320" s="100">
        <f t="shared" si="335"/>
        <v>0</v>
      </c>
      <c r="AQ320" s="111" t="s">
        <v>13</v>
      </c>
      <c r="AV320" s="100">
        <f t="shared" si="336"/>
        <v>0</v>
      </c>
      <c r="AW320" s="100">
        <f t="shared" si="337"/>
        <v>0</v>
      </c>
      <c r="AX320" s="100">
        <f t="shared" si="338"/>
        <v>0</v>
      </c>
      <c r="AY320" s="110" t="s">
        <v>1709</v>
      </c>
      <c r="AZ320" s="110" t="s">
        <v>1733</v>
      </c>
      <c r="BA320" s="109" t="s">
        <v>1737</v>
      </c>
      <c r="BC320" s="100">
        <f t="shared" si="339"/>
        <v>0</v>
      </c>
      <c r="BD320" s="100">
        <f t="shared" si="340"/>
        <v>0</v>
      </c>
      <c r="BE320" s="100">
        <v>0</v>
      </c>
      <c r="BF320" s="100">
        <f>320</f>
        <v>320</v>
      </c>
      <c r="BH320" s="108">
        <f t="shared" si="341"/>
        <v>0</v>
      </c>
      <c r="BI320" s="108">
        <f t="shared" si="342"/>
        <v>0</v>
      </c>
      <c r="BJ320" s="108">
        <f t="shared" si="343"/>
        <v>0</v>
      </c>
    </row>
    <row r="321" spans="1:62" x14ac:dyDescent="0.2">
      <c r="A321" s="119"/>
      <c r="B321" s="120" t="s">
        <v>772</v>
      </c>
      <c r="C321" s="306" t="s">
        <v>1355</v>
      </c>
      <c r="D321" s="307"/>
      <c r="E321" s="307"/>
      <c r="F321" s="119" t="s">
        <v>6</v>
      </c>
      <c r="G321" s="119" t="s">
        <v>6</v>
      </c>
      <c r="H321" s="119" t="s">
        <v>6</v>
      </c>
      <c r="I321" s="118">
        <f>SUM(I322:I338)</f>
        <v>0</v>
      </c>
      <c r="J321" s="118">
        <f>SUM(J322:J338)</f>
        <v>0</v>
      </c>
      <c r="K321" s="118">
        <f>SUM(K322:K338)</f>
        <v>0</v>
      </c>
      <c r="L321" s="109"/>
      <c r="AI321" s="109"/>
      <c r="AS321" s="118">
        <f>SUM(AJ322:AJ338)</f>
        <v>0</v>
      </c>
      <c r="AT321" s="118">
        <f>SUM(AK322:AK338)</f>
        <v>0</v>
      </c>
      <c r="AU321" s="118">
        <f>SUM(AL322:AL338)</f>
        <v>0</v>
      </c>
    </row>
    <row r="322" spans="1:62" x14ac:dyDescent="0.2">
      <c r="A322" s="117" t="s">
        <v>283</v>
      </c>
      <c r="B322" s="117" t="s">
        <v>2732</v>
      </c>
      <c r="C322" s="304" t="s">
        <v>1356</v>
      </c>
      <c r="D322" s="305"/>
      <c r="E322" s="305"/>
      <c r="F322" s="117" t="s">
        <v>1644</v>
      </c>
      <c r="G322" s="116">
        <v>1</v>
      </c>
      <c r="H322" s="159"/>
      <c r="I322" s="108">
        <f t="shared" ref="I322:I338" si="344">G322*AO322</f>
        <v>0</v>
      </c>
      <c r="J322" s="108">
        <f t="shared" ref="J322:J338" si="345">G322*AP322</f>
        <v>0</v>
      </c>
      <c r="K322" s="108">
        <f t="shared" ref="K322:K338" si="346">G322*H322</f>
        <v>0</v>
      </c>
      <c r="L322" s="111"/>
      <c r="Z322" s="100">
        <f t="shared" ref="Z322:Z338" si="347">IF(AQ322="5",BJ322,0)</f>
        <v>0</v>
      </c>
      <c r="AB322" s="100">
        <f t="shared" ref="AB322:AB338" si="348">IF(AQ322="1",BH322,0)</f>
        <v>0</v>
      </c>
      <c r="AC322" s="100">
        <f t="shared" ref="AC322:AC338" si="349">IF(AQ322="1",BI322,0)</f>
        <v>0</v>
      </c>
      <c r="AD322" s="100">
        <f t="shared" ref="AD322:AD338" si="350">IF(AQ322="7",BH322,0)</f>
        <v>0</v>
      </c>
      <c r="AE322" s="100">
        <f t="shared" ref="AE322:AE338" si="351">IF(AQ322="7",BI322,0)</f>
        <v>0</v>
      </c>
      <c r="AF322" s="100">
        <f t="shared" ref="AF322:AF338" si="352">IF(AQ322="2",BH322,0)</f>
        <v>0</v>
      </c>
      <c r="AG322" s="100">
        <f t="shared" ref="AG322:AG338" si="353">IF(AQ322="2",BI322,0)</f>
        <v>0</v>
      </c>
      <c r="AH322" s="100">
        <f t="shared" ref="AH322:AH338" si="354">IF(AQ322="0",BJ322,0)</f>
        <v>0</v>
      </c>
      <c r="AI322" s="109"/>
      <c r="AJ322" s="108">
        <f t="shared" ref="AJ322:AJ338" si="355">IF(AN322=0,K322,0)</f>
        <v>0</v>
      </c>
      <c r="AK322" s="108">
        <f t="shared" ref="AK322:AK338" si="356">IF(AN322=15,K322,0)</f>
        <v>0</v>
      </c>
      <c r="AL322" s="108">
        <f t="shared" ref="AL322:AL338" si="357">IF(AN322=21,K322,0)</f>
        <v>0</v>
      </c>
      <c r="AN322" s="100">
        <v>15</v>
      </c>
      <c r="AO322" s="100">
        <f t="shared" ref="AO322:AO338" si="358">H322*0</f>
        <v>0</v>
      </c>
      <c r="AP322" s="100">
        <f t="shared" ref="AP322:AP338" si="359">H322*(1-0)</f>
        <v>0</v>
      </c>
      <c r="AQ322" s="111" t="s">
        <v>13</v>
      </c>
      <c r="AV322" s="100">
        <f t="shared" ref="AV322:AV338" si="360">AW322+AX322</f>
        <v>0</v>
      </c>
      <c r="AW322" s="100">
        <f t="shared" ref="AW322:AW338" si="361">G322*AO322</f>
        <v>0</v>
      </c>
      <c r="AX322" s="100">
        <f t="shared" ref="AX322:AX338" si="362">G322*AP322</f>
        <v>0</v>
      </c>
      <c r="AY322" s="110" t="s">
        <v>1710</v>
      </c>
      <c r="AZ322" s="110" t="s">
        <v>1733</v>
      </c>
      <c r="BA322" s="109" t="s">
        <v>1737</v>
      </c>
      <c r="BC322" s="100">
        <f t="shared" ref="BC322:BC338" si="363">AW322+AX322</f>
        <v>0</v>
      </c>
      <c r="BD322" s="100">
        <f t="shared" ref="BD322:BD338" si="364">H322/(100-BE322)*100</f>
        <v>0</v>
      </c>
      <c r="BE322" s="100">
        <v>0</v>
      </c>
      <c r="BF322" s="100">
        <f>322</f>
        <v>322</v>
      </c>
      <c r="BH322" s="108">
        <f t="shared" ref="BH322:BH338" si="365">G322*AO322</f>
        <v>0</v>
      </c>
      <c r="BI322" s="108">
        <f t="shared" ref="BI322:BI338" si="366">G322*AP322</f>
        <v>0</v>
      </c>
      <c r="BJ322" s="108">
        <f t="shared" ref="BJ322:BJ338" si="367">G322*H322</f>
        <v>0</v>
      </c>
    </row>
    <row r="323" spans="1:62" x14ac:dyDescent="0.2">
      <c r="A323" s="117" t="s">
        <v>284</v>
      </c>
      <c r="B323" s="117" t="s">
        <v>2731</v>
      </c>
      <c r="C323" s="304" t="s">
        <v>1357</v>
      </c>
      <c r="D323" s="305"/>
      <c r="E323" s="305"/>
      <c r="F323" s="117" t="s">
        <v>1644</v>
      </c>
      <c r="G323" s="116">
        <v>1</v>
      </c>
      <c r="H323" s="159"/>
      <c r="I323" s="108">
        <f t="shared" si="344"/>
        <v>0</v>
      </c>
      <c r="J323" s="108">
        <f t="shared" si="345"/>
        <v>0</v>
      </c>
      <c r="K323" s="108">
        <f t="shared" si="346"/>
        <v>0</v>
      </c>
      <c r="L323" s="111"/>
      <c r="Z323" s="100">
        <f t="shared" si="347"/>
        <v>0</v>
      </c>
      <c r="AB323" s="100">
        <f t="shared" si="348"/>
        <v>0</v>
      </c>
      <c r="AC323" s="100">
        <f t="shared" si="349"/>
        <v>0</v>
      </c>
      <c r="AD323" s="100">
        <f t="shared" si="350"/>
        <v>0</v>
      </c>
      <c r="AE323" s="100">
        <f t="shared" si="351"/>
        <v>0</v>
      </c>
      <c r="AF323" s="100">
        <f t="shared" si="352"/>
        <v>0</v>
      </c>
      <c r="AG323" s="100">
        <f t="shared" si="353"/>
        <v>0</v>
      </c>
      <c r="AH323" s="100">
        <f t="shared" si="354"/>
        <v>0</v>
      </c>
      <c r="AI323" s="109"/>
      <c r="AJ323" s="108">
        <f t="shared" si="355"/>
        <v>0</v>
      </c>
      <c r="AK323" s="108">
        <f t="shared" si="356"/>
        <v>0</v>
      </c>
      <c r="AL323" s="108">
        <f t="shared" si="357"/>
        <v>0</v>
      </c>
      <c r="AN323" s="100">
        <v>15</v>
      </c>
      <c r="AO323" s="100">
        <f t="shared" si="358"/>
        <v>0</v>
      </c>
      <c r="AP323" s="100">
        <f t="shared" si="359"/>
        <v>0</v>
      </c>
      <c r="AQ323" s="111" t="s">
        <v>13</v>
      </c>
      <c r="AV323" s="100">
        <f t="shared" si="360"/>
        <v>0</v>
      </c>
      <c r="AW323" s="100">
        <f t="shared" si="361"/>
        <v>0</v>
      </c>
      <c r="AX323" s="100">
        <f t="shared" si="362"/>
        <v>0</v>
      </c>
      <c r="AY323" s="110" t="s">
        <v>1710</v>
      </c>
      <c r="AZ323" s="110" t="s">
        <v>1733</v>
      </c>
      <c r="BA323" s="109" t="s">
        <v>1737</v>
      </c>
      <c r="BC323" s="100">
        <f t="shared" si="363"/>
        <v>0</v>
      </c>
      <c r="BD323" s="100">
        <f t="shared" si="364"/>
        <v>0</v>
      </c>
      <c r="BE323" s="100">
        <v>0</v>
      </c>
      <c r="BF323" s="100">
        <f>323</f>
        <v>323</v>
      </c>
      <c r="BH323" s="108">
        <f t="shared" si="365"/>
        <v>0</v>
      </c>
      <c r="BI323" s="108">
        <f t="shared" si="366"/>
        <v>0</v>
      </c>
      <c r="BJ323" s="108">
        <f t="shared" si="367"/>
        <v>0</v>
      </c>
    </row>
    <row r="324" spans="1:62" x14ac:dyDescent="0.2">
      <c r="A324" s="117" t="s">
        <v>285</v>
      </c>
      <c r="B324" s="117" t="s">
        <v>2730</v>
      </c>
      <c r="C324" s="304" t="s">
        <v>1358</v>
      </c>
      <c r="D324" s="305"/>
      <c r="E324" s="305"/>
      <c r="F324" s="117" t="s">
        <v>1644</v>
      </c>
      <c r="G324" s="116">
        <v>1</v>
      </c>
      <c r="H324" s="159"/>
      <c r="I324" s="108">
        <f t="shared" si="344"/>
        <v>0</v>
      </c>
      <c r="J324" s="108">
        <f t="shared" si="345"/>
        <v>0</v>
      </c>
      <c r="K324" s="108">
        <f t="shared" si="346"/>
        <v>0</v>
      </c>
      <c r="L324" s="111"/>
      <c r="Z324" s="100">
        <f t="shared" si="347"/>
        <v>0</v>
      </c>
      <c r="AB324" s="100">
        <f t="shared" si="348"/>
        <v>0</v>
      </c>
      <c r="AC324" s="100">
        <f t="shared" si="349"/>
        <v>0</v>
      </c>
      <c r="AD324" s="100">
        <f t="shared" si="350"/>
        <v>0</v>
      </c>
      <c r="AE324" s="100">
        <f t="shared" si="351"/>
        <v>0</v>
      </c>
      <c r="AF324" s="100">
        <f t="shared" si="352"/>
        <v>0</v>
      </c>
      <c r="AG324" s="100">
        <f t="shared" si="353"/>
        <v>0</v>
      </c>
      <c r="AH324" s="100">
        <f t="shared" si="354"/>
        <v>0</v>
      </c>
      <c r="AI324" s="109"/>
      <c r="AJ324" s="108">
        <f t="shared" si="355"/>
        <v>0</v>
      </c>
      <c r="AK324" s="108">
        <f t="shared" si="356"/>
        <v>0</v>
      </c>
      <c r="AL324" s="108">
        <f t="shared" si="357"/>
        <v>0</v>
      </c>
      <c r="AN324" s="100">
        <v>15</v>
      </c>
      <c r="AO324" s="100">
        <f t="shared" si="358"/>
        <v>0</v>
      </c>
      <c r="AP324" s="100">
        <f t="shared" si="359"/>
        <v>0</v>
      </c>
      <c r="AQ324" s="111" t="s">
        <v>13</v>
      </c>
      <c r="AV324" s="100">
        <f t="shared" si="360"/>
        <v>0</v>
      </c>
      <c r="AW324" s="100">
        <f t="shared" si="361"/>
        <v>0</v>
      </c>
      <c r="AX324" s="100">
        <f t="shared" si="362"/>
        <v>0</v>
      </c>
      <c r="AY324" s="110" t="s">
        <v>1710</v>
      </c>
      <c r="AZ324" s="110" t="s">
        <v>1733</v>
      </c>
      <c r="BA324" s="109" t="s">
        <v>1737</v>
      </c>
      <c r="BC324" s="100">
        <f t="shared" si="363"/>
        <v>0</v>
      </c>
      <c r="BD324" s="100">
        <f t="shared" si="364"/>
        <v>0</v>
      </c>
      <c r="BE324" s="100">
        <v>0</v>
      </c>
      <c r="BF324" s="100">
        <f>324</f>
        <v>324</v>
      </c>
      <c r="BH324" s="108">
        <f t="shared" si="365"/>
        <v>0</v>
      </c>
      <c r="BI324" s="108">
        <f t="shared" si="366"/>
        <v>0</v>
      </c>
      <c r="BJ324" s="108">
        <f t="shared" si="367"/>
        <v>0</v>
      </c>
    </row>
    <row r="325" spans="1:62" x14ac:dyDescent="0.2">
      <c r="A325" s="117" t="s">
        <v>286</v>
      </c>
      <c r="B325" s="117" t="s">
        <v>2729</v>
      </c>
      <c r="C325" s="304" t="s">
        <v>1360</v>
      </c>
      <c r="D325" s="305"/>
      <c r="E325" s="305"/>
      <c r="F325" s="117" t="s">
        <v>1644</v>
      </c>
      <c r="G325" s="116">
        <v>1</v>
      </c>
      <c r="H325" s="159"/>
      <c r="I325" s="108">
        <f t="shared" si="344"/>
        <v>0</v>
      </c>
      <c r="J325" s="108">
        <f t="shared" si="345"/>
        <v>0</v>
      </c>
      <c r="K325" s="108">
        <f t="shared" si="346"/>
        <v>0</v>
      </c>
      <c r="L325" s="111"/>
      <c r="Z325" s="100">
        <f t="shared" si="347"/>
        <v>0</v>
      </c>
      <c r="AB325" s="100">
        <f t="shared" si="348"/>
        <v>0</v>
      </c>
      <c r="AC325" s="100">
        <f t="shared" si="349"/>
        <v>0</v>
      </c>
      <c r="AD325" s="100">
        <f t="shared" si="350"/>
        <v>0</v>
      </c>
      <c r="AE325" s="100">
        <f t="shared" si="351"/>
        <v>0</v>
      </c>
      <c r="AF325" s="100">
        <f t="shared" si="352"/>
        <v>0</v>
      </c>
      <c r="AG325" s="100">
        <f t="shared" si="353"/>
        <v>0</v>
      </c>
      <c r="AH325" s="100">
        <f t="shared" si="354"/>
        <v>0</v>
      </c>
      <c r="AI325" s="109"/>
      <c r="AJ325" s="108">
        <f t="shared" si="355"/>
        <v>0</v>
      </c>
      <c r="AK325" s="108">
        <f t="shared" si="356"/>
        <v>0</v>
      </c>
      <c r="AL325" s="108">
        <f t="shared" si="357"/>
        <v>0</v>
      </c>
      <c r="AN325" s="100">
        <v>15</v>
      </c>
      <c r="AO325" s="100">
        <f t="shared" si="358"/>
        <v>0</v>
      </c>
      <c r="AP325" s="100">
        <f t="shared" si="359"/>
        <v>0</v>
      </c>
      <c r="AQ325" s="111" t="s">
        <v>13</v>
      </c>
      <c r="AV325" s="100">
        <f t="shared" si="360"/>
        <v>0</v>
      </c>
      <c r="AW325" s="100">
        <f t="shared" si="361"/>
        <v>0</v>
      </c>
      <c r="AX325" s="100">
        <f t="shared" si="362"/>
        <v>0</v>
      </c>
      <c r="AY325" s="110" t="s">
        <v>1710</v>
      </c>
      <c r="AZ325" s="110" t="s">
        <v>1733</v>
      </c>
      <c r="BA325" s="109" t="s">
        <v>1737</v>
      </c>
      <c r="BC325" s="100">
        <f t="shared" si="363"/>
        <v>0</v>
      </c>
      <c r="BD325" s="100">
        <f t="shared" si="364"/>
        <v>0</v>
      </c>
      <c r="BE325" s="100">
        <v>0</v>
      </c>
      <c r="BF325" s="100">
        <f>325</f>
        <v>325</v>
      </c>
      <c r="BH325" s="108">
        <f t="shared" si="365"/>
        <v>0</v>
      </c>
      <c r="BI325" s="108">
        <f t="shared" si="366"/>
        <v>0</v>
      </c>
      <c r="BJ325" s="108">
        <f t="shared" si="367"/>
        <v>0</v>
      </c>
    </row>
    <row r="326" spans="1:62" x14ac:dyDescent="0.2">
      <c r="A326" s="117" t="s">
        <v>287</v>
      </c>
      <c r="B326" s="117" t="s">
        <v>2728</v>
      </c>
      <c r="C326" s="304" t="s">
        <v>1361</v>
      </c>
      <c r="D326" s="305"/>
      <c r="E326" s="305"/>
      <c r="F326" s="117" t="s">
        <v>1644</v>
      </c>
      <c r="G326" s="116">
        <v>1</v>
      </c>
      <c r="H326" s="159"/>
      <c r="I326" s="108">
        <f t="shared" si="344"/>
        <v>0</v>
      </c>
      <c r="J326" s="108">
        <f t="shared" si="345"/>
        <v>0</v>
      </c>
      <c r="K326" s="108">
        <f t="shared" si="346"/>
        <v>0</v>
      </c>
      <c r="L326" s="111"/>
      <c r="Z326" s="100">
        <f t="shared" si="347"/>
        <v>0</v>
      </c>
      <c r="AB326" s="100">
        <f t="shared" si="348"/>
        <v>0</v>
      </c>
      <c r="AC326" s="100">
        <f t="shared" si="349"/>
        <v>0</v>
      </c>
      <c r="AD326" s="100">
        <f t="shared" si="350"/>
        <v>0</v>
      </c>
      <c r="AE326" s="100">
        <f t="shared" si="351"/>
        <v>0</v>
      </c>
      <c r="AF326" s="100">
        <f t="shared" si="352"/>
        <v>0</v>
      </c>
      <c r="AG326" s="100">
        <f t="shared" si="353"/>
        <v>0</v>
      </c>
      <c r="AH326" s="100">
        <f t="shared" si="354"/>
        <v>0</v>
      </c>
      <c r="AI326" s="109"/>
      <c r="AJ326" s="108">
        <f t="shared" si="355"/>
        <v>0</v>
      </c>
      <c r="AK326" s="108">
        <f t="shared" si="356"/>
        <v>0</v>
      </c>
      <c r="AL326" s="108">
        <f t="shared" si="357"/>
        <v>0</v>
      </c>
      <c r="AN326" s="100">
        <v>15</v>
      </c>
      <c r="AO326" s="100">
        <f t="shared" si="358"/>
        <v>0</v>
      </c>
      <c r="AP326" s="100">
        <f t="shared" si="359"/>
        <v>0</v>
      </c>
      <c r="AQ326" s="111" t="s">
        <v>13</v>
      </c>
      <c r="AV326" s="100">
        <f t="shared" si="360"/>
        <v>0</v>
      </c>
      <c r="AW326" s="100">
        <f t="shared" si="361"/>
        <v>0</v>
      </c>
      <c r="AX326" s="100">
        <f t="shared" si="362"/>
        <v>0</v>
      </c>
      <c r="AY326" s="110" t="s">
        <v>1710</v>
      </c>
      <c r="AZ326" s="110" t="s">
        <v>1733</v>
      </c>
      <c r="BA326" s="109" t="s">
        <v>1737</v>
      </c>
      <c r="BC326" s="100">
        <f t="shared" si="363"/>
        <v>0</v>
      </c>
      <c r="BD326" s="100">
        <f t="shared" si="364"/>
        <v>0</v>
      </c>
      <c r="BE326" s="100">
        <v>0</v>
      </c>
      <c r="BF326" s="100">
        <f>326</f>
        <v>326</v>
      </c>
      <c r="BH326" s="108">
        <f t="shared" si="365"/>
        <v>0</v>
      </c>
      <c r="BI326" s="108">
        <f t="shared" si="366"/>
        <v>0</v>
      </c>
      <c r="BJ326" s="108">
        <f t="shared" si="367"/>
        <v>0</v>
      </c>
    </row>
    <row r="327" spans="1:62" x14ac:dyDescent="0.2">
      <c r="A327" s="117" t="s">
        <v>288</v>
      </c>
      <c r="B327" s="117" t="s">
        <v>2727</v>
      </c>
      <c r="C327" s="304" t="s">
        <v>1362</v>
      </c>
      <c r="D327" s="305"/>
      <c r="E327" s="305"/>
      <c r="F327" s="117" t="s">
        <v>1644</v>
      </c>
      <c r="G327" s="116">
        <v>1</v>
      </c>
      <c r="H327" s="159"/>
      <c r="I327" s="108">
        <f t="shared" si="344"/>
        <v>0</v>
      </c>
      <c r="J327" s="108">
        <f t="shared" si="345"/>
        <v>0</v>
      </c>
      <c r="K327" s="108">
        <f t="shared" si="346"/>
        <v>0</v>
      </c>
      <c r="L327" s="111"/>
      <c r="Z327" s="100">
        <f t="shared" si="347"/>
        <v>0</v>
      </c>
      <c r="AB327" s="100">
        <f t="shared" si="348"/>
        <v>0</v>
      </c>
      <c r="AC327" s="100">
        <f t="shared" si="349"/>
        <v>0</v>
      </c>
      <c r="AD327" s="100">
        <f t="shared" si="350"/>
        <v>0</v>
      </c>
      <c r="AE327" s="100">
        <f t="shared" si="351"/>
        <v>0</v>
      </c>
      <c r="AF327" s="100">
        <f t="shared" si="352"/>
        <v>0</v>
      </c>
      <c r="AG327" s="100">
        <f t="shared" si="353"/>
        <v>0</v>
      </c>
      <c r="AH327" s="100">
        <f t="shared" si="354"/>
        <v>0</v>
      </c>
      <c r="AI327" s="109"/>
      <c r="AJ327" s="108">
        <f t="shared" si="355"/>
        <v>0</v>
      </c>
      <c r="AK327" s="108">
        <f t="shared" si="356"/>
        <v>0</v>
      </c>
      <c r="AL327" s="108">
        <f t="shared" si="357"/>
        <v>0</v>
      </c>
      <c r="AN327" s="100">
        <v>15</v>
      </c>
      <c r="AO327" s="100">
        <f t="shared" si="358"/>
        <v>0</v>
      </c>
      <c r="AP327" s="100">
        <f t="shared" si="359"/>
        <v>0</v>
      </c>
      <c r="AQ327" s="111" t="s">
        <v>13</v>
      </c>
      <c r="AV327" s="100">
        <f t="shared" si="360"/>
        <v>0</v>
      </c>
      <c r="AW327" s="100">
        <f t="shared" si="361"/>
        <v>0</v>
      </c>
      <c r="AX327" s="100">
        <f t="shared" si="362"/>
        <v>0</v>
      </c>
      <c r="AY327" s="110" t="s">
        <v>1710</v>
      </c>
      <c r="AZ327" s="110" t="s">
        <v>1733</v>
      </c>
      <c r="BA327" s="109" t="s">
        <v>1737</v>
      </c>
      <c r="BC327" s="100">
        <f t="shared" si="363"/>
        <v>0</v>
      </c>
      <c r="BD327" s="100">
        <f t="shared" si="364"/>
        <v>0</v>
      </c>
      <c r="BE327" s="100">
        <v>0</v>
      </c>
      <c r="BF327" s="100">
        <f>327</f>
        <v>327</v>
      </c>
      <c r="BH327" s="108">
        <f t="shared" si="365"/>
        <v>0</v>
      </c>
      <c r="BI327" s="108">
        <f t="shared" si="366"/>
        <v>0</v>
      </c>
      <c r="BJ327" s="108">
        <f t="shared" si="367"/>
        <v>0</v>
      </c>
    </row>
    <row r="328" spans="1:62" x14ac:dyDescent="0.2">
      <c r="A328" s="117" t="s">
        <v>289</v>
      </c>
      <c r="B328" s="117" t="s">
        <v>2726</v>
      </c>
      <c r="C328" s="304" t="s">
        <v>1363</v>
      </c>
      <c r="D328" s="305"/>
      <c r="E328" s="305"/>
      <c r="F328" s="117" t="s">
        <v>1644</v>
      </c>
      <c r="G328" s="116">
        <v>1</v>
      </c>
      <c r="H328" s="159"/>
      <c r="I328" s="108">
        <f t="shared" si="344"/>
        <v>0</v>
      </c>
      <c r="J328" s="108">
        <f t="shared" si="345"/>
        <v>0</v>
      </c>
      <c r="K328" s="108">
        <f t="shared" si="346"/>
        <v>0</v>
      </c>
      <c r="L328" s="111"/>
      <c r="Z328" s="100">
        <f t="shared" si="347"/>
        <v>0</v>
      </c>
      <c r="AB328" s="100">
        <f t="shared" si="348"/>
        <v>0</v>
      </c>
      <c r="AC328" s="100">
        <f t="shared" si="349"/>
        <v>0</v>
      </c>
      <c r="AD328" s="100">
        <f t="shared" si="350"/>
        <v>0</v>
      </c>
      <c r="AE328" s="100">
        <f t="shared" si="351"/>
        <v>0</v>
      </c>
      <c r="AF328" s="100">
        <f t="shared" si="352"/>
        <v>0</v>
      </c>
      <c r="AG328" s="100">
        <f t="shared" si="353"/>
        <v>0</v>
      </c>
      <c r="AH328" s="100">
        <f t="shared" si="354"/>
        <v>0</v>
      </c>
      <c r="AI328" s="109"/>
      <c r="AJ328" s="108">
        <f t="shared" si="355"/>
        <v>0</v>
      </c>
      <c r="AK328" s="108">
        <f t="shared" si="356"/>
        <v>0</v>
      </c>
      <c r="AL328" s="108">
        <f t="shared" si="357"/>
        <v>0</v>
      </c>
      <c r="AN328" s="100">
        <v>15</v>
      </c>
      <c r="AO328" s="100">
        <f t="shared" si="358"/>
        <v>0</v>
      </c>
      <c r="AP328" s="100">
        <f t="shared" si="359"/>
        <v>0</v>
      </c>
      <c r="AQ328" s="111" t="s">
        <v>13</v>
      </c>
      <c r="AV328" s="100">
        <f t="shared" si="360"/>
        <v>0</v>
      </c>
      <c r="AW328" s="100">
        <f t="shared" si="361"/>
        <v>0</v>
      </c>
      <c r="AX328" s="100">
        <f t="shared" si="362"/>
        <v>0</v>
      </c>
      <c r="AY328" s="110" t="s">
        <v>1710</v>
      </c>
      <c r="AZ328" s="110" t="s">
        <v>1733</v>
      </c>
      <c r="BA328" s="109" t="s">
        <v>1737</v>
      </c>
      <c r="BC328" s="100">
        <f t="shared" si="363"/>
        <v>0</v>
      </c>
      <c r="BD328" s="100">
        <f t="shared" si="364"/>
        <v>0</v>
      </c>
      <c r="BE328" s="100">
        <v>0</v>
      </c>
      <c r="BF328" s="100">
        <f>328</f>
        <v>328</v>
      </c>
      <c r="BH328" s="108">
        <f t="shared" si="365"/>
        <v>0</v>
      </c>
      <c r="BI328" s="108">
        <f t="shared" si="366"/>
        <v>0</v>
      </c>
      <c r="BJ328" s="108">
        <f t="shared" si="367"/>
        <v>0</v>
      </c>
    </row>
    <row r="329" spans="1:62" x14ac:dyDescent="0.2">
      <c r="A329" s="117" t="s">
        <v>290</v>
      </c>
      <c r="B329" s="117" t="s">
        <v>2725</v>
      </c>
      <c r="C329" s="304" t="s">
        <v>1364</v>
      </c>
      <c r="D329" s="305"/>
      <c r="E329" s="305"/>
      <c r="F329" s="117" t="s">
        <v>1644</v>
      </c>
      <c r="G329" s="116">
        <v>2</v>
      </c>
      <c r="H329" s="159"/>
      <c r="I329" s="108">
        <f t="shared" si="344"/>
        <v>0</v>
      </c>
      <c r="J329" s="108">
        <f t="shared" si="345"/>
        <v>0</v>
      </c>
      <c r="K329" s="108">
        <f t="shared" si="346"/>
        <v>0</v>
      </c>
      <c r="L329" s="111"/>
      <c r="Z329" s="100">
        <f t="shared" si="347"/>
        <v>0</v>
      </c>
      <c r="AB329" s="100">
        <f t="shared" si="348"/>
        <v>0</v>
      </c>
      <c r="AC329" s="100">
        <f t="shared" si="349"/>
        <v>0</v>
      </c>
      <c r="AD329" s="100">
        <f t="shared" si="350"/>
        <v>0</v>
      </c>
      <c r="AE329" s="100">
        <f t="shared" si="351"/>
        <v>0</v>
      </c>
      <c r="AF329" s="100">
        <f t="shared" si="352"/>
        <v>0</v>
      </c>
      <c r="AG329" s="100">
        <f t="shared" si="353"/>
        <v>0</v>
      </c>
      <c r="AH329" s="100">
        <f t="shared" si="354"/>
        <v>0</v>
      </c>
      <c r="AI329" s="109"/>
      <c r="AJ329" s="108">
        <f t="shared" si="355"/>
        <v>0</v>
      </c>
      <c r="AK329" s="108">
        <f t="shared" si="356"/>
        <v>0</v>
      </c>
      <c r="AL329" s="108">
        <f t="shared" si="357"/>
        <v>0</v>
      </c>
      <c r="AN329" s="100">
        <v>15</v>
      </c>
      <c r="AO329" s="100">
        <f t="shared" si="358"/>
        <v>0</v>
      </c>
      <c r="AP329" s="100">
        <f t="shared" si="359"/>
        <v>0</v>
      </c>
      <c r="AQ329" s="111" t="s">
        <v>13</v>
      </c>
      <c r="AV329" s="100">
        <f t="shared" si="360"/>
        <v>0</v>
      </c>
      <c r="AW329" s="100">
        <f t="shared" si="361"/>
        <v>0</v>
      </c>
      <c r="AX329" s="100">
        <f t="shared" si="362"/>
        <v>0</v>
      </c>
      <c r="AY329" s="110" t="s">
        <v>1710</v>
      </c>
      <c r="AZ329" s="110" t="s">
        <v>1733</v>
      </c>
      <c r="BA329" s="109" t="s">
        <v>1737</v>
      </c>
      <c r="BC329" s="100">
        <f t="shared" si="363"/>
        <v>0</v>
      </c>
      <c r="BD329" s="100">
        <f t="shared" si="364"/>
        <v>0</v>
      </c>
      <c r="BE329" s="100">
        <v>0</v>
      </c>
      <c r="BF329" s="100">
        <f>329</f>
        <v>329</v>
      </c>
      <c r="BH329" s="108">
        <f t="shared" si="365"/>
        <v>0</v>
      </c>
      <c r="BI329" s="108">
        <f t="shared" si="366"/>
        <v>0</v>
      </c>
      <c r="BJ329" s="108">
        <f t="shared" si="367"/>
        <v>0</v>
      </c>
    </row>
    <row r="330" spans="1:62" x14ac:dyDescent="0.2">
      <c r="A330" s="117" t="s">
        <v>291</v>
      </c>
      <c r="B330" s="117" t="s">
        <v>2724</v>
      </c>
      <c r="C330" s="304" t="s">
        <v>1365</v>
      </c>
      <c r="D330" s="305"/>
      <c r="E330" s="305"/>
      <c r="F330" s="117" t="s">
        <v>1644</v>
      </c>
      <c r="G330" s="116">
        <v>1</v>
      </c>
      <c r="H330" s="159"/>
      <c r="I330" s="108">
        <f t="shared" si="344"/>
        <v>0</v>
      </c>
      <c r="J330" s="108">
        <f t="shared" si="345"/>
        <v>0</v>
      </c>
      <c r="K330" s="108">
        <f t="shared" si="346"/>
        <v>0</v>
      </c>
      <c r="L330" s="111"/>
      <c r="Z330" s="100">
        <f t="shared" si="347"/>
        <v>0</v>
      </c>
      <c r="AB330" s="100">
        <f t="shared" si="348"/>
        <v>0</v>
      </c>
      <c r="AC330" s="100">
        <f t="shared" si="349"/>
        <v>0</v>
      </c>
      <c r="AD330" s="100">
        <f t="shared" si="350"/>
        <v>0</v>
      </c>
      <c r="AE330" s="100">
        <f t="shared" si="351"/>
        <v>0</v>
      </c>
      <c r="AF330" s="100">
        <f t="shared" si="352"/>
        <v>0</v>
      </c>
      <c r="AG330" s="100">
        <f t="shared" si="353"/>
        <v>0</v>
      </c>
      <c r="AH330" s="100">
        <f t="shared" si="354"/>
        <v>0</v>
      </c>
      <c r="AI330" s="109"/>
      <c r="AJ330" s="108">
        <f t="shared" si="355"/>
        <v>0</v>
      </c>
      <c r="AK330" s="108">
        <f t="shared" si="356"/>
        <v>0</v>
      </c>
      <c r="AL330" s="108">
        <f t="shared" si="357"/>
        <v>0</v>
      </c>
      <c r="AN330" s="100">
        <v>15</v>
      </c>
      <c r="AO330" s="100">
        <f t="shared" si="358"/>
        <v>0</v>
      </c>
      <c r="AP330" s="100">
        <f t="shared" si="359"/>
        <v>0</v>
      </c>
      <c r="AQ330" s="111" t="s">
        <v>13</v>
      </c>
      <c r="AV330" s="100">
        <f t="shared" si="360"/>
        <v>0</v>
      </c>
      <c r="AW330" s="100">
        <f t="shared" si="361"/>
        <v>0</v>
      </c>
      <c r="AX330" s="100">
        <f t="shared" si="362"/>
        <v>0</v>
      </c>
      <c r="AY330" s="110" t="s">
        <v>1710</v>
      </c>
      <c r="AZ330" s="110" t="s">
        <v>1733</v>
      </c>
      <c r="BA330" s="109" t="s">
        <v>1737</v>
      </c>
      <c r="BC330" s="100">
        <f t="shared" si="363"/>
        <v>0</v>
      </c>
      <c r="BD330" s="100">
        <f t="shared" si="364"/>
        <v>0</v>
      </c>
      <c r="BE330" s="100">
        <v>0</v>
      </c>
      <c r="BF330" s="100">
        <f>330</f>
        <v>330</v>
      </c>
      <c r="BH330" s="108">
        <f t="shared" si="365"/>
        <v>0</v>
      </c>
      <c r="BI330" s="108">
        <f t="shared" si="366"/>
        <v>0</v>
      </c>
      <c r="BJ330" s="108">
        <f t="shared" si="367"/>
        <v>0</v>
      </c>
    </row>
    <row r="331" spans="1:62" x14ac:dyDescent="0.2">
      <c r="A331" s="117" t="s">
        <v>292</v>
      </c>
      <c r="B331" s="117" t="s">
        <v>2723</v>
      </c>
      <c r="C331" s="304" t="s">
        <v>1368</v>
      </c>
      <c r="D331" s="305"/>
      <c r="E331" s="305"/>
      <c r="F331" s="117" t="s">
        <v>1644</v>
      </c>
      <c r="G331" s="116">
        <v>5</v>
      </c>
      <c r="H331" s="159"/>
      <c r="I331" s="108">
        <f t="shared" si="344"/>
        <v>0</v>
      </c>
      <c r="J331" s="108">
        <f t="shared" si="345"/>
        <v>0</v>
      </c>
      <c r="K331" s="108">
        <f t="shared" si="346"/>
        <v>0</v>
      </c>
      <c r="L331" s="111"/>
      <c r="Z331" s="100">
        <f t="shared" si="347"/>
        <v>0</v>
      </c>
      <c r="AB331" s="100">
        <f t="shared" si="348"/>
        <v>0</v>
      </c>
      <c r="AC331" s="100">
        <f t="shared" si="349"/>
        <v>0</v>
      </c>
      <c r="AD331" s="100">
        <f t="shared" si="350"/>
        <v>0</v>
      </c>
      <c r="AE331" s="100">
        <f t="shared" si="351"/>
        <v>0</v>
      </c>
      <c r="AF331" s="100">
        <f t="shared" si="352"/>
        <v>0</v>
      </c>
      <c r="AG331" s="100">
        <f t="shared" si="353"/>
        <v>0</v>
      </c>
      <c r="AH331" s="100">
        <f t="shared" si="354"/>
        <v>0</v>
      </c>
      <c r="AI331" s="109"/>
      <c r="AJ331" s="108">
        <f t="shared" si="355"/>
        <v>0</v>
      </c>
      <c r="AK331" s="108">
        <f t="shared" si="356"/>
        <v>0</v>
      </c>
      <c r="AL331" s="108">
        <f t="shared" si="357"/>
        <v>0</v>
      </c>
      <c r="AN331" s="100">
        <v>15</v>
      </c>
      <c r="AO331" s="100">
        <f t="shared" si="358"/>
        <v>0</v>
      </c>
      <c r="AP331" s="100">
        <f t="shared" si="359"/>
        <v>0</v>
      </c>
      <c r="AQ331" s="111" t="s">
        <v>13</v>
      </c>
      <c r="AV331" s="100">
        <f t="shared" si="360"/>
        <v>0</v>
      </c>
      <c r="AW331" s="100">
        <f t="shared" si="361"/>
        <v>0</v>
      </c>
      <c r="AX331" s="100">
        <f t="shared" si="362"/>
        <v>0</v>
      </c>
      <c r="AY331" s="110" t="s">
        <v>1710</v>
      </c>
      <c r="AZ331" s="110" t="s">
        <v>1733</v>
      </c>
      <c r="BA331" s="109" t="s">
        <v>1737</v>
      </c>
      <c r="BC331" s="100">
        <f t="shared" si="363"/>
        <v>0</v>
      </c>
      <c r="BD331" s="100">
        <f t="shared" si="364"/>
        <v>0</v>
      </c>
      <c r="BE331" s="100">
        <v>0</v>
      </c>
      <c r="BF331" s="100">
        <f>331</f>
        <v>331</v>
      </c>
      <c r="BH331" s="108">
        <f t="shared" si="365"/>
        <v>0</v>
      </c>
      <c r="BI331" s="108">
        <f t="shared" si="366"/>
        <v>0</v>
      </c>
      <c r="BJ331" s="108">
        <f t="shared" si="367"/>
        <v>0</v>
      </c>
    </row>
    <row r="332" spans="1:62" x14ac:dyDescent="0.2">
      <c r="A332" s="117" t="s">
        <v>293</v>
      </c>
      <c r="B332" s="117" t="s">
        <v>2722</v>
      </c>
      <c r="C332" s="304" t="s">
        <v>1326</v>
      </c>
      <c r="D332" s="305"/>
      <c r="E332" s="305"/>
      <c r="F332" s="117" t="s">
        <v>1644</v>
      </c>
      <c r="G332" s="116">
        <v>1</v>
      </c>
      <c r="H332" s="159"/>
      <c r="I332" s="108">
        <f t="shared" si="344"/>
        <v>0</v>
      </c>
      <c r="J332" s="108">
        <f t="shared" si="345"/>
        <v>0</v>
      </c>
      <c r="K332" s="108">
        <f t="shared" si="346"/>
        <v>0</v>
      </c>
      <c r="L332" s="111"/>
      <c r="Z332" s="100">
        <f t="shared" si="347"/>
        <v>0</v>
      </c>
      <c r="AB332" s="100">
        <f t="shared" si="348"/>
        <v>0</v>
      </c>
      <c r="AC332" s="100">
        <f t="shared" si="349"/>
        <v>0</v>
      </c>
      <c r="AD332" s="100">
        <f t="shared" si="350"/>
        <v>0</v>
      </c>
      <c r="AE332" s="100">
        <f t="shared" si="351"/>
        <v>0</v>
      </c>
      <c r="AF332" s="100">
        <f t="shared" si="352"/>
        <v>0</v>
      </c>
      <c r="AG332" s="100">
        <f t="shared" si="353"/>
        <v>0</v>
      </c>
      <c r="AH332" s="100">
        <f t="shared" si="354"/>
        <v>0</v>
      </c>
      <c r="AI332" s="109"/>
      <c r="AJ332" s="108">
        <f t="shared" si="355"/>
        <v>0</v>
      </c>
      <c r="AK332" s="108">
        <f t="shared" si="356"/>
        <v>0</v>
      </c>
      <c r="AL332" s="108">
        <f t="shared" si="357"/>
        <v>0</v>
      </c>
      <c r="AN332" s="100">
        <v>15</v>
      </c>
      <c r="AO332" s="100">
        <f t="shared" si="358"/>
        <v>0</v>
      </c>
      <c r="AP332" s="100">
        <f t="shared" si="359"/>
        <v>0</v>
      </c>
      <c r="AQ332" s="111" t="s">
        <v>13</v>
      </c>
      <c r="AV332" s="100">
        <f t="shared" si="360"/>
        <v>0</v>
      </c>
      <c r="AW332" s="100">
        <f t="shared" si="361"/>
        <v>0</v>
      </c>
      <c r="AX332" s="100">
        <f t="shared" si="362"/>
        <v>0</v>
      </c>
      <c r="AY332" s="110" t="s">
        <v>1710</v>
      </c>
      <c r="AZ332" s="110" t="s">
        <v>1733</v>
      </c>
      <c r="BA332" s="109" t="s">
        <v>1737</v>
      </c>
      <c r="BC332" s="100">
        <f t="shared" si="363"/>
        <v>0</v>
      </c>
      <c r="BD332" s="100">
        <f t="shared" si="364"/>
        <v>0</v>
      </c>
      <c r="BE332" s="100">
        <v>0</v>
      </c>
      <c r="BF332" s="100">
        <f>332</f>
        <v>332</v>
      </c>
      <c r="BH332" s="108">
        <f t="shared" si="365"/>
        <v>0</v>
      </c>
      <c r="BI332" s="108">
        <f t="shared" si="366"/>
        <v>0</v>
      </c>
      <c r="BJ332" s="108">
        <f t="shared" si="367"/>
        <v>0</v>
      </c>
    </row>
    <row r="333" spans="1:62" x14ac:dyDescent="0.2">
      <c r="A333" s="117" t="s">
        <v>294</v>
      </c>
      <c r="B333" s="117" t="s">
        <v>2721</v>
      </c>
      <c r="C333" s="304" t="s">
        <v>1327</v>
      </c>
      <c r="D333" s="305"/>
      <c r="E333" s="305"/>
      <c r="F333" s="117" t="s">
        <v>1644</v>
      </c>
      <c r="G333" s="116">
        <v>1</v>
      </c>
      <c r="H333" s="159"/>
      <c r="I333" s="108">
        <f t="shared" si="344"/>
        <v>0</v>
      </c>
      <c r="J333" s="108">
        <f t="shared" si="345"/>
        <v>0</v>
      </c>
      <c r="K333" s="108">
        <f t="shared" si="346"/>
        <v>0</v>
      </c>
      <c r="L333" s="111"/>
      <c r="Z333" s="100">
        <f t="shared" si="347"/>
        <v>0</v>
      </c>
      <c r="AB333" s="100">
        <f t="shared" si="348"/>
        <v>0</v>
      </c>
      <c r="AC333" s="100">
        <f t="shared" si="349"/>
        <v>0</v>
      </c>
      <c r="AD333" s="100">
        <f t="shared" si="350"/>
        <v>0</v>
      </c>
      <c r="AE333" s="100">
        <f t="shared" si="351"/>
        <v>0</v>
      </c>
      <c r="AF333" s="100">
        <f t="shared" si="352"/>
        <v>0</v>
      </c>
      <c r="AG333" s="100">
        <f t="shared" si="353"/>
        <v>0</v>
      </c>
      <c r="AH333" s="100">
        <f t="shared" si="354"/>
        <v>0</v>
      </c>
      <c r="AI333" s="109"/>
      <c r="AJ333" s="108">
        <f t="shared" si="355"/>
        <v>0</v>
      </c>
      <c r="AK333" s="108">
        <f t="shared" si="356"/>
        <v>0</v>
      </c>
      <c r="AL333" s="108">
        <f t="shared" si="357"/>
        <v>0</v>
      </c>
      <c r="AN333" s="100">
        <v>15</v>
      </c>
      <c r="AO333" s="100">
        <f t="shared" si="358"/>
        <v>0</v>
      </c>
      <c r="AP333" s="100">
        <f t="shared" si="359"/>
        <v>0</v>
      </c>
      <c r="AQ333" s="111" t="s">
        <v>13</v>
      </c>
      <c r="AV333" s="100">
        <f t="shared" si="360"/>
        <v>0</v>
      </c>
      <c r="AW333" s="100">
        <f t="shared" si="361"/>
        <v>0</v>
      </c>
      <c r="AX333" s="100">
        <f t="shared" si="362"/>
        <v>0</v>
      </c>
      <c r="AY333" s="110" t="s">
        <v>1710</v>
      </c>
      <c r="AZ333" s="110" t="s">
        <v>1733</v>
      </c>
      <c r="BA333" s="109" t="s">
        <v>1737</v>
      </c>
      <c r="BC333" s="100">
        <f t="shared" si="363"/>
        <v>0</v>
      </c>
      <c r="BD333" s="100">
        <f t="shared" si="364"/>
        <v>0</v>
      </c>
      <c r="BE333" s="100">
        <v>0</v>
      </c>
      <c r="BF333" s="100">
        <f>333</f>
        <v>333</v>
      </c>
      <c r="BH333" s="108">
        <f t="shared" si="365"/>
        <v>0</v>
      </c>
      <c r="BI333" s="108">
        <f t="shared" si="366"/>
        <v>0</v>
      </c>
      <c r="BJ333" s="108">
        <f t="shared" si="367"/>
        <v>0</v>
      </c>
    </row>
    <row r="334" spans="1:62" x14ac:dyDescent="0.2">
      <c r="A334" s="117" t="s">
        <v>295</v>
      </c>
      <c r="B334" s="117" t="s">
        <v>2720</v>
      </c>
      <c r="C334" s="304" t="s">
        <v>1372</v>
      </c>
      <c r="D334" s="305"/>
      <c r="E334" s="305"/>
      <c r="F334" s="117" t="s">
        <v>1646</v>
      </c>
      <c r="G334" s="116">
        <v>10</v>
      </c>
      <c r="H334" s="159"/>
      <c r="I334" s="108">
        <f t="shared" si="344"/>
        <v>0</v>
      </c>
      <c r="J334" s="108">
        <f t="shared" si="345"/>
        <v>0</v>
      </c>
      <c r="K334" s="108">
        <f t="shared" si="346"/>
        <v>0</v>
      </c>
      <c r="L334" s="111"/>
      <c r="Z334" s="100">
        <f t="shared" si="347"/>
        <v>0</v>
      </c>
      <c r="AB334" s="100">
        <f t="shared" si="348"/>
        <v>0</v>
      </c>
      <c r="AC334" s="100">
        <f t="shared" si="349"/>
        <v>0</v>
      </c>
      <c r="AD334" s="100">
        <f t="shared" si="350"/>
        <v>0</v>
      </c>
      <c r="AE334" s="100">
        <f t="shared" si="351"/>
        <v>0</v>
      </c>
      <c r="AF334" s="100">
        <f t="shared" si="352"/>
        <v>0</v>
      </c>
      <c r="AG334" s="100">
        <f t="shared" si="353"/>
        <v>0</v>
      </c>
      <c r="AH334" s="100">
        <f t="shared" si="354"/>
        <v>0</v>
      </c>
      <c r="AI334" s="109"/>
      <c r="AJ334" s="108">
        <f t="shared" si="355"/>
        <v>0</v>
      </c>
      <c r="AK334" s="108">
        <f t="shared" si="356"/>
        <v>0</v>
      </c>
      <c r="AL334" s="108">
        <f t="shared" si="357"/>
        <v>0</v>
      </c>
      <c r="AN334" s="100">
        <v>15</v>
      </c>
      <c r="AO334" s="100">
        <f t="shared" si="358"/>
        <v>0</v>
      </c>
      <c r="AP334" s="100">
        <f t="shared" si="359"/>
        <v>0</v>
      </c>
      <c r="AQ334" s="111" t="s">
        <v>13</v>
      </c>
      <c r="AV334" s="100">
        <f t="shared" si="360"/>
        <v>0</v>
      </c>
      <c r="AW334" s="100">
        <f t="shared" si="361"/>
        <v>0</v>
      </c>
      <c r="AX334" s="100">
        <f t="shared" si="362"/>
        <v>0</v>
      </c>
      <c r="AY334" s="110" t="s">
        <v>1710</v>
      </c>
      <c r="AZ334" s="110" t="s">
        <v>1733</v>
      </c>
      <c r="BA334" s="109" t="s">
        <v>1737</v>
      </c>
      <c r="BC334" s="100">
        <f t="shared" si="363"/>
        <v>0</v>
      </c>
      <c r="BD334" s="100">
        <f t="shared" si="364"/>
        <v>0</v>
      </c>
      <c r="BE334" s="100">
        <v>0</v>
      </c>
      <c r="BF334" s="100">
        <f>334</f>
        <v>334</v>
      </c>
      <c r="BH334" s="108">
        <f t="shared" si="365"/>
        <v>0</v>
      </c>
      <c r="BI334" s="108">
        <f t="shared" si="366"/>
        <v>0</v>
      </c>
      <c r="BJ334" s="108">
        <f t="shared" si="367"/>
        <v>0</v>
      </c>
    </row>
    <row r="335" spans="1:62" x14ac:dyDescent="0.2">
      <c r="A335" s="117" t="s">
        <v>296</v>
      </c>
      <c r="B335" s="117" t="s">
        <v>2719</v>
      </c>
      <c r="C335" s="304" t="s">
        <v>1373</v>
      </c>
      <c r="D335" s="305"/>
      <c r="E335" s="305"/>
      <c r="F335" s="117" t="s">
        <v>1646</v>
      </c>
      <c r="G335" s="116">
        <v>6</v>
      </c>
      <c r="H335" s="159"/>
      <c r="I335" s="108">
        <f t="shared" si="344"/>
        <v>0</v>
      </c>
      <c r="J335" s="108">
        <f t="shared" si="345"/>
        <v>0</v>
      </c>
      <c r="K335" s="108">
        <f t="shared" si="346"/>
        <v>0</v>
      </c>
      <c r="L335" s="111"/>
      <c r="Z335" s="100">
        <f t="shared" si="347"/>
        <v>0</v>
      </c>
      <c r="AB335" s="100">
        <f t="shared" si="348"/>
        <v>0</v>
      </c>
      <c r="AC335" s="100">
        <f t="shared" si="349"/>
        <v>0</v>
      </c>
      <c r="AD335" s="100">
        <f t="shared" si="350"/>
        <v>0</v>
      </c>
      <c r="AE335" s="100">
        <f t="shared" si="351"/>
        <v>0</v>
      </c>
      <c r="AF335" s="100">
        <f t="shared" si="352"/>
        <v>0</v>
      </c>
      <c r="AG335" s="100">
        <f t="shared" si="353"/>
        <v>0</v>
      </c>
      <c r="AH335" s="100">
        <f t="shared" si="354"/>
        <v>0</v>
      </c>
      <c r="AI335" s="109"/>
      <c r="AJ335" s="108">
        <f t="shared" si="355"/>
        <v>0</v>
      </c>
      <c r="AK335" s="108">
        <f t="shared" si="356"/>
        <v>0</v>
      </c>
      <c r="AL335" s="108">
        <f t="shared" si="357"/>
        <v>0</v>
      </c>
      <c r="AN335" s="100">
        <v>15</v>
      </c>
      <c r="AO335" s="100">
        <f t="shared" si="358"/>
        <v>0</v>
      </c>
      <c r="AP335" s="100">
        <f t="shared" si="359"/>
        <v>0</v>
      </c>
      <c r="AQ335" s="111" t="s">
        <v>13</v>
      </c>
      <c r="AV335" s="100">
        <f t="shared" si="360"/>
        <v>0</v>
      </c>
      <c r="AW335" s="100">
        <f t="shared" si="361"/>
        <v>0</v>
      </c>
      <c r="AX335" s="100">
        <f t="shared" si="362"/>
        <v>0</v>
      </c>
      <c r="AY335" s="110" t="s">
        <v>1710</v>
      </c>
      <c r="AZ335" s="110" t="s">
        <v>1733</v>
      </c>
      <c r="BA335" s="109" t="s">
        <v>1737</v>
      </c>
      <c r="BC335" s="100">
        <f t="shared" si="363"/>
        <v>0</v>
      </c>
      <c r="BD335" s="100">
        <f t="shared" si="364"/>
        <v>0</v>
      </c>
      <c r="BE335" s="100">
        <v>0</v>
      </c>
      <c r="BF335" s="100">
        <f>335</f>
        <v>335</v>
      </c>
      <c r="BH335" s="108">
        <f t="shared" si="365"/>
        <v>0</v>
      </c>
      <c r="BI335" s="108">
        <f t="shared" si="366"/>
        <v>0</v>
      </c>
      <c r="BJ335" s="108">
        <f t="shared" si="367"/>
        <v>0</v>
      </c>
    </row>
    <row r="336" spans="1:62" x14ac:dyDescent="0.2">
      <c r="A336" s="117" t="s">
        <v>297</v>
      </c>
      <c r="B336" s="117" t="s">
        <v>2718</v>
      </c>
      <c r="C336" s="304" t="s">
        <v>1374</v>
      </c>
      <c r="D336" s="305"/>
      <c r="E336" s="305"/>
      <c r="F336" s="117" t="s">
        <v>1646</v>
      </c>
      <c r="G336" s="116">
        <v>4</v>
      </c>
      <c r="H336" s="159"/>
      <c r="I336" s="108">
        <f t="shared" si="344"/>
        <v>0</v>
      </c>
      <c r="J336" s="108">
        <f t="shared" si="345"/>
        <v>0</v>
      </c>
      <c r="K336" s="108">
        <f t="shared" si="346"/>
        <v>0</v>
      </c>
      <c r="L336" s="111"/>
      <c r="Z336" s="100">
        <f t="shared" si="347"/>
        <v>0</v>
      </c>
      <c r="AB336" s="100">
        <f t="shared" si="348"/>
        <v>0</v>
      </c>
      <c r="AC336" s="100">
        <f t="shared" si="349"/>
        <v>0</v>
      </c>
      <c r="AD336" s="100">
        <f t="shared" si="350"/>
        <v>0</v>
      </c>
      <c r="AE336" s="100">
        <f t="shared" si="351"/>
        <v>0</v>
      </c>
      <c r="AF336" s="100">
        <f t="shared" si="352"/>
        <v>0</v>
      </c>
      <c r="AG336" s="100">
        <f t="shared" si="353"/>
        <v>0</v>
      </c>
      <c r="AH336" s="100">
        <f t="shared" si="354"/>
        <v>0</v>
      </c>
      <c r="AI336" s="109"/>
      <c r="AJ336" s="108">
        <f t="shared" si="355"/>
        <v>0</v>
      </c>
      <c r="AK336" s="108">
        <f t="shared" si="356"/>
        <v>0</v>
      </c>
      <c r="AL336" s="108">
        <f t="shared" si="357"/>
        <v>0</v>
      </c>
      <c r="AN336" s="100">
        <v>15</v>
      </c>
      <c r="AO336" s="100">
        <f t="shared" si="358"/>
        <v>0</v>
      </c>
      <c r="AP336" s="100">
        <f t="shared" si="359"/>
        <v>0</v>
      </c>
      <c r="AQ336" s="111" t="s">
        <v>13</v>
      </c>
      <c r="AV336" s="100">
        <f t="shared" si="360"/>
        <v>0</v>
      </c>
      <c r="AW336" s="100">
        <f t="shared" si="361"/>
        <v>0</v>
      </c>
      <c r="AX336" s="100">
        <f t="shared" si="362"/>
        <v>0</v>
      </c>
      <c r="AY336" s="110" t="s">
        <v>1710</v>
      </c>
      <c r="AZ336" s="110" t="s">
        <v>1733</v>
      </c>
      <c r="BA336" s="109" t="s">
        <v>1737</v>
      </c>
      <c r="BC336" s="100">
        <f t="shared" si="363"/>
        <v>0</v>
      </c>
      <c r="BD336" s="100">
        <f t="shared" si="364"/>
        <v>0</v>
      </c>
      <c r="BE336" s="100">
        <v>0</v>
      </c>
      <c r="BF336" s="100">
        <f>336</f>
        <v>336</v>
      </c>
      <c r="BH336" s="108">
        <f t="shared" si="365"/>
        <v>0</v>
      </c>
      <c r="BI336" s="108">
        <f t="shared" si="366"/>
        <v>0</v>
      </c>
      <c r="BJ336" s="108">
        <f t="shared" si="367"/>
        <v>0</v>
      </c>
    </row>
    <row r="337" spans="1:62" x14ac:dyDescent="0.2">
      <c r="A337" s="117" t="s">
        <v>298</v>
      </c>
      <c r="B337" s="117" t="s">
        <v>2717</v>
      </c>
      <c r="C337" s="304" t="s">
        <v>1376</v>
      </c>
      <c r="D337" s="305"/>
      <c r="E337" s="305"/>
      <c r="F337" s="117" t="s">
        <v>1646</v>
      </c>
      <c r="G337" s="116">
        <v>8</v>
      </c>
      <c r="H337" s="159"/>
      <c r="I337" s="108">
        <f t="shared" si="344"/>
        <v>0</v>
      </c>
      <c r="J337" s="108">
        <f t="shared" si="345"/>
        <v>0</v>
      </c>
      <c r="K337" s="108">
        <f t="shared" si="346"/>
        <v>0</v>
      </c>
      <c r="L337" s="111"/>
      <c r="Z337" s="100">
        <f t="shared" si="347"/>
        <v>0</v>
      </c>
      <c r="AB337" s="100">
        <f t="shared" si="348"/>
        <v>0</v>
      </c>
      <c r="AC337" s="100">
        <f t="shared" si="349"/>
        <v>0</v>
      </c>
      <c r="AD337" s="100">
        <f t="shared" si="350"/>
        <v>0</v>
      </c>
      <c r="AE337" s="100">
        <f t="shared" si="351"/>
        <v>0</v>
      </c>
      <c r="AF337" s="100">
        <f t="shared" si="352"/>
        <v>0</v>
      </c>
      <c r="AG337" s="100">
        <f t="shared" si="353"/>
        <v>0</v>
      </c>
      <c r="AH337" s="100">
        <f t="shared" si="354"/>
        <v>0</v>
      </c>
      <c r="AI337" s="109"/>
      <c r="AJ337" s="108">
        <f t="shared" si="355"/>
        <v>0</v>
      </c>
      <c r="AK337" s="108">
        <f t="shared" si="356"/>
        <v>0</v>
      </c>
      <c r="AL337" s="108">
        <f t="shared" si="357"/>
        <v>0</v>
      </c>
      <c r="AN337" s="100">
        <v>15</v>
      </c>
      <c r="AO337" s="100">
        <f t="shared" si="358"/>
        <v>0</v>
      </c>
      <c r="AP337" s="100">
        <f t="shared" si="359"/>
        <v>0</v>
      </c>
      <c r="AQ337" s="111" t="s">
        <v>13</v>
      </c>
      <c r="AV337" s="100">
        <f t="shared" si="360"/>
        <v>0</v>
      </c>
      <c r="AW337" s="100">
        <f t="shared" si="361"/>
        <v>0</v>
      </c>
      <c r="AX337" s="100">
        <f t="shared" si="362"/>
        <v>0</v>
      </c>
      <c r="AY337" s="110" t="s">
        <v>1710</v>
      </c>
      <c r="AZ337" s="110" t="s">
        <v>1733</v>
      </c>
      <c r="BA337" s="109" t="s">
        <v>1737</v>
      </c>
      <c r="BC337" s="100">
        <f t="shared" si="363"/>
        <v>0</v>
      </c>
      <c r="BD337" s="100">
        <f t="shared" si="364"/>
        <v>0</v>
      </c>
      <c r="BE337" s="100">
        <v>0</v>
      </c>
      <c r="BF337" s="100">
        <f>337</f>
        <v>337</v>
      </c>
      <c r="BH337" s="108">
        <f t="shared" si="365"/>
        <v>0</v>
      </c>
      <c r="BI337" s="108">
        <f t="shared" si="366"/>
        <v>0</v>
      </c>
      <c r="BJ337" s="108">
        <f t="shared" si="367"/>
        <v>0</v>
      </c>
    </row>
    <row r="338" spans="1:62" x14ac:dyDescent="0.2">
      <c r="A338" s="117" t="s">
        <v>299</v>
      </c>
      <c r="B338" s="117" t="s">
        <v>2716</v>
      </c>
      <c r="C338" s="304" t="s">
        <v>1377</v>
      </c>
      <c r="D338" s="305"/>
      <c r="E338" s="305"/>
      <c r="F338" s="117" t="s">
        <v>1646</v>
      </c>
      <c r="G338" s="116">
        <v>14</v>
      </c>
      <c r="H338" s="159"/>
      <c r="I338" s="108">
        <f t="shared" si="344"/>
        <v>0</v>
      </c>
      <c r="J338" s="108">
        <f t="shared" si="345"/>
        <v>0</v>
      </c>
      <c r="K338" s="108">
        <f t="shared" si="346"/>
        <v>0</v>
      </c>
      <c r="L338" s="111"/>
      <c r="Z338" s="100">
        <f t="shared" si="347"/>
        <v>0</v>
      </c>
      <c r="AB338" s="100">
        <f t="shared" si="348"/>
        <v>0</v>
      </c>
      <c r="AC338" s="100">
        <f t="shared" si="349"/>
        <v>0</v>
      </c>
      <c r="AD338" s="100">
        <f t="shared" si="350"/>
        <v>0</v>
      </c>
      <c r="AE338" s="100">
        <f t="shared" si="351"/>
        <v>0</v>
      </c>
      <c r="AF338" s="100">
        <f t="shared" si="352"/>
        <v>0</v>
      </c>
      <c r="AG338" s="100">
        <f t="shared" si="353"/>
        <v>0</v>
      </c>
      <c r="AH338" s="100">
        <f t="shared" si="354"/>
        <v>0</v>
      </c>
      <c r="AI338" s="109"/>
      <c r="AJ338" s="108">
        <f t="shared" si="355"/>
        <v>0</v>
      </c>
      <c r="AK338" s="108">
        <f t="shared" si="356"/>
        <v>0</v>
      </c>
      <c r="AL338" s="108">
        <f t="shared" si="357"/>
        <v>0</v>
      </c>
      <c r="AN338" s="100">
        <v>15</v>
      </c>
      <c r="AO338" s="100">
        <f t="shared" si="358"/>
        <v>0</v>
      </c>
      <c r="AP338" s="100">
        <f t="shared" si="359"/>
        <v>0</v>
      </c>
      <c r="AQ338" s="111" t="s">
        <v>13</v>
      </c>
      <c r="AV338" s="100">
        <f t="shared" si="360"/>
        <v>0</v>
      </c>
      <c r="AW338" s="100">
        <f t="shared" si="361"/>
        <v>0</v>
      </c>
      <c r="AX338" s="100">
        <f t="shared" si="362"/>
        <v>0</v>
      </c>
      <c r="AY338" s="110" t="s">
        <v>1710</v>
      </c>
      <c r="AZ338" s="110" t="s">
        <v>1733</v>
      </c>
      <c r="BA338" s="109" t="s">
        <v>1737</v>
      </c>
      <c r="BC338" s="100">
        <f t="shared" si="363"/>
        <v>0</v>
      </c>
      <c r="BD338" s="100">
        <f t="shared" si="364"/>
        <v>0</v>
      </c>
      <c r="BE338" s="100">
        <v>0</v>
      </c>
      <c r="BF338" s="100">
        <f>338</f>
        <v>338</v>
      </c>
      <c r="BH338" s="108">
        <f t="shared" si="365"/>
        <v>0</v>
      </c>
      <c r="BI338" s="108">
        <f t="shared" si="366"/>
        <v>0</v>
      </c>
      <c r="BJ338" s="108">
        <f t="shared" si="367"/>
        <v>0</v>
      </c>
    </row>
    <row r="339" spans="1:62" x14ac:dyDescent="0.2">
      <c r="A339" s="119"/>
      <c r="B339" s="120" t="s">
        <v>798</v>
      </c>
      <c r="C339" s="306" t="s">
        <v>1379</v>
      </c>
      <c r="D339" s="307"/>
      <c r="E339" s="307"/>
      <c r="F339" s="119" t="s">
        <v>6</v>
      </c>
      <c r="G339" s="119" t="s">
        <v>6</v>
      </c>
      <c r="H339" s="119" t="s">
        <v>6</v>
      </c>
      <c r="I339" s="118">
        <f>SUM(I340:I362)</f>
        <v>0</v>
      </c>
      <c r="J339" s="118">
        <f>SUM(J340:J362)</f>
        <v>0</v>
      </c>
      <c r="K339" s="118">
        <f>SUM(K340:K362)</f>
        <v>0</v>
      </c>
      <c r="L339" s="109"/>
      <c r="AI339" s="109"/>
      <c r="AS339" s="118">
        <f>SUM(AJ340:AJ362)</f>
        <v>0</v>
      </c>
      <c r="AT339" s="118">
        <f>SUM(AK340:AK362)</f>
        <v>0</v>
      </c>
      <c r="AU339" s="118">
        <f>SUM(AL340:AL362)</f>
        <v>0</v>
      </c>
    </row>
    <row r="340" spans="1:62" x14ac:dyDescent="0.2">
      <c r="A340" s="117" t="s">
        <v>300</v>
      </c>
      <c r="B340" s="117" t="s">
        <v>2715</v>
      </c>
      <c r="C340" s="304" t="s">
        <v>1380</v>
      </c>
      <c r="D340" s="305"/>
      <c r="E340" s="305"/>
      <c r="F340" s="117" t="s">
        <v>1646</v>
      </c>
      <c r="G340" s="116">
        <v>1.5</v>
      </c>
      <c r="H340" s="159"/>
      <c r="I340" s="108">
        <f t="shared" ref="I340:I362" si="368">G340*AO340</f>
        <v>0</v>
      </c>
      <c r="J340" s="108">
        <f t="shared" ref="J340:J362" si="369">G340*AP340</f>
        <v>0</v>
      </c>
      <c r="K340" s="108">
        <f t="shared" ref="K340:K362" si="370">G340*H340</f>
        <v>0</v>
      </c>
      <c r="L340" s="111"/>
      <c r="Z340" s="100">
        <f t="shared" ref="Z340:Z362" si="371">IF(AQ340="5",BJ340,0)</f>
        <v>0</v>
      </c>
      <c r="AB340" s="100">
        <f t="shared" ref="AB340:AB362" si="372">IF(AQ340="1",BH340,0)</f>
        <v>0</v>
      </c>
      <c r="AC340" s="100">
        <f t="shared" ref="AC340:AC362" si="373">IF(AQ340="1",BI340,0)</f>
        <v>0</v>
      </c>
      <c r="AD340" s="100">
        <f t="shared" ref="AD340:AD362" si="374">IF(AQ340="7",BH340,0)</f>
        <v>0</v>
      </c>
      <c r="AE340" s="100">
        <f t="shared" ref="AE340:AE362" si="375">IF(AQ340="7",BI340,0)</f>
        <v>0</v>
      </c>
      <c r="AF340" s="100">
        <f t="shared" ref="AF340:AF362" si="376">IF(AQ340="2",BH340,0)</f>
        <v>0</v>
      </c>
      <c r="AG340" s="100">
        <f t="shared" ref="AG340:AG362" si="377">IF(AQ340="2",BI340,0)</f>
        <v>0</v>
      </c>
      <c r="AH340" s="100">
        <f t="shared" ref="AH340:AH362" si="378">IF(AQ340="0",BJ340,0)</f>
        <v>0</v>
      </c>
      <c r="AI340" s="109"/>
      <c r="AJ340" s="108">
        <f t="shared" ref="AJ340:AJ362" si="379">IF(AN340=0,K340,0)</f>
        <v>0</v>
      </c>
      <c r="AK340" s="108">
        <f t="shared" ref="AK340:AK362" si="380">IF(AN340=15,K340,0)</f>
        <v>0</v>
      </c>
      <c r="AL340" s="108">
        <f t="shared" ref="AL340:AL362" si="381">IF(AN340=21,K340,0)</f>
        <v>0</v>
      </c>
      <c r="AN340" s="100">
        <v>15</v>
      </c>
      <c r="AO340" s="100">
        <f t="shared" ref="AO340:AO362" si="382">H340*0</f>
        <v>0</v>
      </c>
      <c r="AP340" s="100">
        <f t="shared" ref="AP340:AP362" si="383">H340*(1-0)</f>
        <v>0</v>
      </c>
      <c r="AQ340" s="111" t="s">
        <v>13</v>
      </c>
      <c r="AV340" s="100">
        <f t="shared" ref="AV340:AV362" si="384">AW340+AX340</f>
        <v>0</v>
      </c>
      <c r="AW340" s="100">
        <f t="shared" ref="AW340:AW362" si="385">G340*AO340</f>
        <v>0</v>
      </c>
      <c r="AX340" s="100">
        <f t="shared" ref="AX340:AX362" si="386">G340*AP340</f>
        <v>0</v>
      </c>
      <c r="AY340" s="110" t="s">
        <v>1711</v>
      </c>
      <c r="AZ340" s="110" t="s">
        <v>1733</v>
      </c>
      <c r="BA340" s="109" t="s">
        <v>1737</v>
      </c>
      <c r="BC340" s="100">
        <f t="shared" ref="BC340:BC362" si="387">AW340+AX340</f>
        <v>0</v>
      </c>
      <c r="BD340" s="100">
        <f t="shared" ref="BD340:BD362" si="388">H340/(100-BE340)*100</f>
        <v>0</v>
      </c>
      <c r="BE340" s="100">
        <v>0</v>
      </c>
      <c r="BF340" s="100">
        <f>340</f>
        <v>340</v>
      </c>
      <c r="BH340" s="108">
        <f t="shared" ref="BH340:BH362" si="389">G340*AO340</f>
        <v>0</v>
      </c>
      <c r="BI340" s="108">
        <f t="shared" ref="BI340:BI362" si="390">G340*AP340</f>
        <v>0</v>
      </c>
      <c r="BJ340" s="108">
        <f t="shared" ref="BJ340:BJ362" si="391">G340*H340</f>
        <v>0</v>
      </c>
    </row>
    <row r="341" spans="1:62" x14ac:dyDescent="0.2">
      <c r="A341" s="117" t="s">
        <v>301</v>
      </c>
      <c r="B341" s="117" t="s">
        <v>2714</v>
      </c>
      <c r="C341" s="304" t="s">
        <v>1381</v>
      </c>
      <c r="D341" s="305"/>
      <c r="E341" s="305"/>
      <c r="F341" s="117" t="s">
        <v>1644</v>
      </c>
      <c r="G341" s="116">
        <v>1</v>
      </c>
      <c r="H341" s="159"/>
      <c r="I341" s="108">
        <f t="shared" si="368"/>
        <v>0</v>
      </c>
      <c r="J341" s="108">
        <f t="shared" si="369"/>
        <v>0</v>
      </c>
      <c r="K341" s="108">
        <f t="shared" si="370"/>
        <v>0</v>
      </c>
      <c r="L341" s="111"/>
      <c r="Z341" s="100">
        <f t="shared" si="371"/>
        <v>0</v>
      </c>
      <c r="AB341" s="100">
        <f t="shared" si="372"/>
        <v>0</v>
      </c>
      <c r="AC341" s="100">
        <f t="shared" si="373"/>
        <v>0</v>
      </c>
      <c r="AD341" s="100">
        <f t="shared" si="374"/>
        <v>0</v>
      </c>
      <c r="AE341" s="100">
        <f t="shared" si="375"/>
        <v>0</v>
      </c>
      <c r="AF341" s="100">
        <f t="shared" si="376"/>
        <v>0</v>
      </c>
      <c r="AG341" s="100">
        <f t="shared" si="377"/>
        <v>0</v>
      </c>
      <c r="AH341" s="100">
        <f t="shared" si="378"/>
        <v>0</v>
      </c>
      <c r="AI341" s="109"/>
      <c r="AJ341" s="108">
        <f t="shared" si="379"/>
        <v>0</v>
      </c>
      <c r="AK341" s="108">
        <f t="shared" si="380"/>
        <v>0</v>
      </c>
      <c r="AL341" s="108">
        <f t="shared" si="381"/>
        <v>0</v>
      </c>
      <c r="AN341" s="100">
        <v>15</v>
      </c>
      <c r="AO341" s="100">
        <f t="shared" si="382"/>
        <v>0</v>
      </c>
      <c r="AP341" s="100">
        <f t="shared" si="383"/>
        <v>0</v>
      </c>
      <c r="AQ341" s="111" t="s">
        <v>13</v>
      </c>
      <c r="AV341" s="100">
        <f t="shared" si="384"/>
        <v>0</v>
      </c>
      <c r="AW341" s="100">
        <f t="shared" si="385"/>
        <v>0</v>
      </c>
      <c r="AX341" s="100">
        <f t="shared" si="386"/>
        <v>0</v>
      </c>
      <c r="AY341" s="110" t="s">
        <v>1711</v>
      </c>
      <c r="AZ341" s="110" t="s">
        <v>1733</v>
      </c>
      <c r="BA341" s="109" t="s">
        <v>1737</v>
      </c>
      <c r="BC341" s="100">
        <f t="shared" si="387"/>
        <v>0</v>
      </c>
      <c r="BD341" s="100">
        <f t="shared" si="388"/>
        <v>0</v>
      </c>
      <c r="BE341" s="100">
        <v>0</v>
      </c>
      <c r="BF341" s="100">
        <f>341</f>
        <v>341</v>
      </c>
      <c r="BH341" s="108">
        <f t="shared" si="389"/>
        <v>0</v>
      </c>
      <c r="BI341" s="108">
        <f t="shared" si="390"/>
        <v>0</v>
      </c>
      <c r="BJ341" s="108">
        <f t="shared" si="391"/>
        <v>0</v>
      </c>
    </row>
    <row r="342" spans="1:62" x14ac:dyDescent="0.2">
      <c r="A342" s="117" t="s">
        <v>302</v>
      </c>
      <c r="B342" s="117" t="s">
        <v>2713</v>
      </c>
      <c r="C342" s="304" t="s">
        <v>1382</v>
      </c>
      <c r="D342" s="305"/>
      <c r="E342" s="305"/>
      <c r="F342" s="117" t="s">
        <v>1644</v>
      </c>
      <c r="G342" s="116">
        <v>1</v>
      </c>
      <c r="H342" s="159"/>
      <c r="I342" s="108">
        <f t="shared" si="368"/>
        <v>0</v>
      </c>
      <c r="J342" s="108">
        <f t="shared" si="369"/>
        <v>0</v>
      </c>
      <c r="K342" s="108">
        <f t="shared" si="370"/>
        <v>0</v>
      </c>
      <c r="L342" s="111"/>
      <c r="Z342" s="100">
        <f t="shared" si="371"/>
        <v>0</v>
      </c>
      <c r="AB342" s="100">
        <f t="shared" si="372"/>
        <v>0</v>
      </c>
      <c r="AC342" s="100">
        <f t="shared" si="373"/>
        <v>0</v>
      </c>
      <c r="AD342" s="100">
        <f t="shared" si="374"/>
        <v>0</v>
      </c>
      <c r="AE342" s="100">
        <f t="shared" si="375"/>
        <v>0</v>
      </c>
      <c r="AF342" s="100">
        <f t="shared" si="376"/>
        <v>0</v>
      </c>
      <c r="AG342" s="100">
        <f t="shared" si="377"/>
        <v>0</v>
      </c>
      <c r="AH342" s="100">
        <f t="shared" si="378"/>
        <v>0</v>
      </c>
      <c r="AI342" s="109"/>
      <c r="AJ342" s="108">
        <f t="shared" si="379"/>
        <v>0</v>
      </c>
      <c r="AK342" s="108">
        <f t="shared" si="380"/>
        <v>0</v>
      </c>
      <c r="AL342" s="108">
        <f t="shared" si="381"/>
        <v>0</v>
      </c>
      <c r="AN342" s="100">
        <v>15</v>
      </c>
      <c r="AO342" s="100">
        <f t="shared" si="382"/>
        <v>0</v>
      </c>
      <c r="AP342" s="100">
        <f t="shared" si="383"/>
        <v>0</v>
      </c>
      <c r="AQ342" s="111" t="s">
        <v>13</v>
      </c>
      <c r="AV342" s="100">
        <f t="shared" si="384"/>
        <v>0</v>
      </c>
      <c r="AW342" s="100">
        <f t="shared" si="385"/>
        <v>0</v>
      </c>
      <c r="AX342" s="100">
        <f t="shared" si="386"/>
        <v>0</v>
      </c>
      <c r="AY342" s="110" t="s">
        <v>1711</v>
      </c>
      <c r="AZ342" s="110" t="s">
        <v>1733</v>
      </c>
      <c r="BA342" s="109" t="s">
        <v>1737</v>
      </c>
      <c r="BC342" s="100">
        <f t="shared" si="387"/>
        <v>0</v>
      </c>
      <c r="BD342" s="100">
        <f t="shared" si="388"/>
        <v>0</v>
      </c>
      <c r="BE342" s="100">
        <v>0</v>
      </c>
      <c r="BF342" s="100">
        <f>342</f>
        <v>342</v>
      </c>
      <c r="BH342" s="108">
        <f t="shared" si="389"/>
        <v>0</v>
      </c>
      <c r="BI342" s="108">
        <f t="shared" si="390"/>
        <v>0</v>
      </c>
      <c r="BJ342" s="108">
        <f t="shared" si="391"/>
        <v>0</v>
      </c>
    </row>
    <row r="343" spans="1:62" x14ac:dyDescent="0.2">
      <c r="A343" s="117" t="s">
        <v>303</v>
      </c>
      <c r="B343" s="117" t="s">
        <v>2712</v>
      </c>
      <c r="C343" s="304" t="s">
        <v>1383</v>
      </c>
      <c r="D343" s="305"/>
      <c r="E343" s="305"/>
      <c r="F343" s="117" t="s">
        <v>1644</v>
      </c>
      <c r="G343" s="116">
        <v>1</v>
      </c>
      <c r="H343" s="159"/>
      <c r="I343" s="108">
        <f t="shared" si="368"/>
        <v>0</v>
      </c>
      <c r="J343" s="108">
        <f t="shared" si="369"/>
        <v>0</v>
      </c>
      <c r="K343" s="108">
        <f t="shared" si="370"/>
        <v>0</v>
      </c>
      <c r="L343" s="111"/>
      <c r="Z343" s="100">
        <f t="shared" si="371"/>
        <v>0</v>
      </c>
      <c r="AB343" s="100">
        <f t="shared" si="372"/>
        <v>0</v>
      </c>
      <c r="AC343" s="100">
        <f t="shared" si="373"/>
        <v>0</v>
      </c>
      <c r="AD343" s="100">
        <f t="shared" si="374"/>
        <v>0</v>
      </c>
      <c r="AE343" s="100">
        <f t="shared" si="375"/>
        <v>0</v>
      </c>
      <c r="AF343" s="100">
        <f t="shared" si="376"/>
        <v>0</v>
      </c>
      <c r="AG343" s="100">
        <f t="shared" si="377"/>
        <v>0</v>
      </c>
      <c r="AH343" s="100">
        <f t="shared" si="378"/>
        <v>0</v>
      </c>
      <c r="AI343" s="109"/>
      <c r="AJ343" s="108">
        <f t="shared" si="379"/>
        <v>0</v>
      </c>
      <c r="AK343" s="108">
        <f t="shared" si="380"/>
        <v>0</v>
      </c>
      <c r="AL343" s="108">
        <f t="shared" si="381"/>
        <v>0</v>
      </c>
      <c r="AN343" s="100">
        <v>15</v>
      </c>
      <c r="AO343" s="100">
        <f t="shared" si="382"/>
        <v>0</v>
      </c>
      <c r="AP343" s="100">
        <f t="shared" si="383"/>
        <v>0</v>
      </c>
      <c r="AQ343" s="111" t="s">
        <v>13</v>
      </c>
      <c r="AV343" s="100">
        <f t="shared" si="384"/>
        <v>0</v>
      </c>
      <c r="AW343" s="100">
        <f t="shared" si="385"/>
        <v>0</v>
      </c>
      <c r="AX343" s="100">
        <f t="shared" si="386"/>
        <v>0</v>
      </c>
      <c r="AY343" s="110" t="s">
        <v>1711</v>
      </c>
      <c r="AZ343" s="110" t="s">
        <v>1733</v>
      </c>
      <c r="BA343" s="109" t="s">
        <v>1737</v>
      </c>
      <c r="BC343" s="100">
        <f t="shared" si="387"/>
        <v>0</v>
      </c>
      <c r="BD343" s="100">
        <f t="shared" si="388"/>
        <v>0</v>
      </c>
      <c r="BE343" s="100">
        <v>0</v>
      </c>
      <c r="BF343" s="100">
        <f>343</f>
        <v>343</v>
      </c>
      <c r="BH343" s="108">
        <f t="shared" si="389"/>
        <v>0</v>
      </c>
      <c r="BI343" s="108">
        <f t="shared" si="390"/>
        <v>0</v>
      </c>
      <c r="BJ343" s="108">
        <f t="shared" si="391"/>
        <v>0</v>
      </c>
    </row>
    <row r="344" spans="1:62" x14ac:dyDescent="0.2">
      <c r="A344" s="117" t="s">
        <v>304</v>
      </c>
      <c r="B344" s="117" t="s">
        <v>2711</v>
      </c>
      <c r="C344" s="304" t="s">
        <v>1384</v>
      </c>
      <c r="D344" s="305"/>
      <c r="E344" s="305"/>
      <c r="F344" s="117" t="s">
        <v>1644</v>
      </c>
      <c r="G344" s="116">
        <v>1</v>
      </c>
      <c r="H344" s="159"/>
      <c r="I344" s="108">
        <f t="shared" si="368"/>
        <v>0</v>
      </c>
      <c r="J344" s="108">
        <f t="shared" si="369"/>
        <v>0</v>
      </c>
      <c r="K344" s="108">
        <f t="shared" si="370"/>
        <v>0</v>
      </c>
      <c r="L344" s="111"/>
      <c r="Z344" s="100">
        <f t="shared" si="371"/>
        <v>0</v>
      </c>
      <c r="AB344" s="100">
        <f t="shared" si="372"/>
        <v>0</v>
      </c>
      <c r="AC344" s="100">
        <f t="shared" si="373"/>
        <v>0</v>
      </c>
      <c r="AD344" s="100">
        <f t="shared" si="374"/>
        <v>0</v>
      </c>
      <c r="AE344" s="100">
        <f t="shared" si="375"/>
        <v>0</v>
      </c>
      <c r="AF344" s="100">
        <f t="shared" si="376"/>
        <v>0</v>
      </c>
      <c r="AG344" s="100">
        <f t="shared" si="377"/>
        <v>0</v>
      </c>
      <c r="AH344" s="100">
        <f t="shared" si="378"/>
        <v>0</v>
      </c>
      <c r="AI344" s="109"/>
      <c r="AJ344" s="108">
        <f t="shared" si="379"/>
        <v>0</v>
      </c>
      <c r="AK344" s="108">
        <f t="shared" si="380"/>
        <v>0</v>
      </c>
      <c r="AL344" s="108">
        <f t="shared" si="381"/>
        <v>0</v>
      </c>
      <c r="AN344" s="100">
        <v>15</v>
      </c>
      <c r="AO344" s="100">
        <f t="shared" si="382"/>
        <v>0</v>
      </c>
      <c r="AP344" s="100">
        <f t="shared" si="383"/>
        <v>0</v>
      </c>
      <c r="AQ344" s="111" t="s">
        <v>13</v>
      </c>
      <c r="AV344" s="100">
        <f t="shared" si="384"/>
        <v>0</v>
      </c>
      <c r="AW344" s="100">
        <f t="shared" si="385"/>
        <v>0</v>
      </c>
      <c r="AX344" s="100">
        <f t="shared" si="386"/>
        <v>0</v>
      </c>
      <c r="AY344" s="110" t="s">
        <v>1711</v>
      </c>
      <c r="AZ344" s="110" t="s">
        <v>1733</v>
      </c>
      <c r="BA344" s="109" t="s">
        <v>1737</v>
      </c>
      <c r="BC344" s="100">
        <f t="shared" si="387"/>
        <v>0</v>
      </c>
      <c r="BD344" s="100">
        <f t="shared" si="388"/>
        <v>0</v>
      </c>
      <c r="BE344" s="100">
        <v>0</v>
      </c>
      <c r="BF344" s="100">
        <f>344</f>
        <v>344</v>
      </c>
      <c r="BH344" s="108">
        <f t="shared" si="389"/>
        <v>0</v>
      </c>
      <c r="BI344" s="108">
        <f t="shared" si="390"/>
        <v>0</v>
      </c>
      <c r="BJ344" s="108">
        <f t="shared" si="391"/>
        <v>0</v>
      </c>
    </row>
    <row r="345" spans="1:62" x14ac:dyDescent="0.2">
      <c r="A345" s="117" t="s">
        <v>305</v>
      </c>
      <c r="B345" s="117" t="s">
        <v>2710</v>
      </c>
      <c r="C345" s="304" t="s">
        <v>1385</v>
      </c>
      <c r="D345" s="305"/>
      <c r="E345" s="305"/>
      <c r="F345" s="117" t="s">
        <v>1646</v>
      </c>
      <c r="G345" s="116">
        <v>9</v>
      </c>
      <c r="H345" s="159"/>
      <c r="I345" s="108">
        <f t="shared" si="368"/>
        <v>0</v>
      </c>
      <c r="J345" s="108">
        <f t="shared" si="369"/>
        <v>0</v>
      </c>
      <c r="K345" s="108">
        <f t="shared" si="370"/>
        <v>0</v>
      </c>
      <c r="L345" s="111"/>
      <c r="Z345" s="100">
        <f t="shared" si="371"/>
        <v>0</v>
      </c>
      <c r="AB345" s="100">
        <f t="shared" si="372"/>
        <v>0</v>
      </c>
      <c r="AC345" s="100">
        <f t="shared" si="373"/>
        <v>0</v>
      </c>
      <c r="AD345" s="100">
        <f t="shared" si="374"/>
        <v>0</v>
      </c>
      <c r="AE345" s="100">
        <f t="shared" si="375"/>
        <v>0</v>
      </c>
      <c r="AF345" s="100">
        <f t="shared" si="376"/>
        <v>0</v>
      </c>
      <c r="AG345" s="100">
        <f t="shared" si="377"/>
        <v>0</v>
      </c>
      <c r="AH345" s="100">
        <f t="shared" si="378"/>
        <v>0</v>
      </c>
      <c r="AI345" s="109"/>
      <c r="AJ345" s="108">
        <f t="shared" si="379"/>
        <v>0</v>
      </c>
      <c r="AK345" s="108">
        <f t="shared" si="380"/>
        <v>0</v>
      </c>
      <c r="AL345" s="108">
        <f t="shared" si="381"/>
        <v>0</v>
      </c>
      <c r="AN345" s="100">
        <v>15</v>
      </c>
      <c r="AO345" s="100">
        <f t="shared" si="382"/>
        <v>0</v>
      </c>
      <c r="AP345" s="100">
        <f t="shared" si="383"/>
        <v>0</v>
      </c>
      <c r="AQ345" s="111" t="s">
        <v>13</v>
      </c>
      <c r="AV345" s="100">
        <f t="shared" si="384"/>
        <v>0</v>
      </c>
      <c r="AW345" s="100">
        <f t="shared" si="385"/>
        <v>0</v>
      </c>
      <c r="AX345" s="100">
        <f t="shared" si="386"/>
        <v>0</v>
      </c>
      <c r="AY345" s="110" t="s">
        <v>1711</v>
      </c>
      <c r="AZ345" s="110" t="s">
        <v>1733</v>
      </c>
      <c r="BA345" s="109" t="s">
        <v>1737</v>
      </c>
      <c r="BC345" s="100">
        <f t="shared" si="387"/>
        <v>0</v>
      </c>
      <c r="BD345" s="100">
        <f t="shared" si="388"/>
        <v>0</v>
      </c>
      <c r="BE345" s="100">
        <v>0</v>
      </c>
      <c r="BF345" s="100">
        <f>345</f>
        <v>345</v>
      </c>
      <c r="BH345" s="108">
        <f t="shared" si="389"/>
        <v>0</v>
      </c>
      <c r="BI345" s="108">
        <f t="shared" si="390"/>
        <v>0</v>
      </c>
      <c r="BJ345" s="108">
        <f t="shared" si="391"/>
        <v>0</v>
      </c>
    </row>
    <row r="346" spans="1:62" x14ac:dyDescent="0.2">
      <c r="A346" s="117" t="s">
        <v>306</v>
      </c>
      <c r="B346" s="117" t="s">
        <v>2709</v>
      </c>
      <c r="C346" s="304" t="s">
        <v>1386</v>
      </c>
      <c r="D346" s="305"/>
      <c r="E346" s="305"/>
      <c r="F346" s="117" t="s">
        <v>1644</v>
      </c>
      <c r="G346" s="116">
        <v>1</v>
      </c>
      <c r="H346" s="159"/>
      <c r="I346" s="108">
        <f t="shared" si="368"/>
        <v>0</v>
      </c>
      <c r="J346" s="108">
        <f t="shared" si="369"/>
        <v>0</v>
      </c>
      <c r="K346" s="108">
        <f t="shared" si="370"/>
        <v>0</v>
      </c>
      <c r="L346" s="111"/>
      <c r="Z346" s="100">
        <f t="shared" si="371"/>
        <v>0</v>
      </c>
      <c r="AB346" s="100">
        <f t="shared" si="372"/>
        <v>0</v>
      </c>
      <c r="AC346" s="100">
        <f t="shared" si="373"/>
        <v>0</v>
      </c>
      <c r="AD346" s="100">
        <f t="shared" si="374"/>
        <v>0</v>
      </c>
      <c r="AE346" s="100">
        <f t="shared" si="375"/>
        <v>0</v>
      </c>
      <c r="AF346" s="100">
        <f t="shared" si="376"/>
        <v>0</v>
      </c>
      <c r="AG346" s="100">
        <f t="shared" si="377"/>
        <v>0</v>
      </c>
      <c r="AH346" s="100">
        <f t="shared" si="378"/>
        <v>0</v>
      </c>
      <c r="AI346" s="109"/>
      <c r="AJ346" s="108">
        <f t="shared" si="379"/>
        <v>0</v>
      </c>
      <c r="AK346" s="108">
        <f t="shared" si="380"/>
        <v>0</v>
      </c>
      <c r="AL346" s="108">
        <f t="shared" si="381"/>
        <v>0</v>
      </c>
      <c r="AN346" s="100">
        <v>15</v>
      </c>
      <c r="AO346" s="100">
        <f t="shared" si="382"/>
        <v>0</v>
      </c>
      <c r="AP346" s="100">
        <f t="shared" si="383"/>
        <v>0</v>
      </c>
      <c r="AQ346" s="111" t="s">
        <v>13</v>
      </c>
      <c r="AV346" s="100">
        <f t="shared" si="384"/>
        <v>0</v>
      </c>
      <c r="AW346" s="100">
        <f t="shared" si="385"/>
        <v>0</v>
      </c>
      <c r="AX346" s="100">
        <f t="shared" si="386"/>
        <v>0</v>
      </c>
      <c r="AY346" s="110" t="s">
        <v>1711</v>
      </c>
      <c r="AZ346" s="110" t="s">
        <v>1733</v>
      </c>
      <c r="BA346" s="109" t="s">
        <v>1737</v>
      </c>
      <c r="BC346" s="100">
        <f t="shared" si="387"/>
        <v>0</v>
      </c>
      <c r="BD346" s="100">
        <f t="shared" si="388"/>
        <v>0</v>
      </c>
      <c r="BE346" s="100">
        <v>0</v>
      </c>
      <c r="BF346" s="100">
        <f>346</f>
        <v>346</v>
      </c>
      <c r="BH346" s="108">
        <f t="shared" si="389"/>
        <v>0</v>
      </c>
      <c r="BI346" s="108">
        <f t="shared" si="390"/>
        <v>0</v>
      </c>
      <c r="BJ346" s="108">
        <f t="shared" si="391"/>
        <v>0</v>
      </c>
    </row>
    <row r="347" spans="1:62" x14ac:dyDescent="0.2">
      <c r="A347" s="117" t="s">
        <v>307</v>
      </c>
      <c r="B347" s="117" t="s">
        <v>2708</v>
      </c>
      <c r="C347" s="304" t="s">
        <v>1387</v>
      </c>
      <c r="D347" s="305"/>
      <c r="E347" s="305"/>
      <c r="F347" s="117" t="s">
        <v>1644</v>
      </c>
      <c r="G347" s="116">
        <v>1</v>
      </c>
      <c r="H347" s="159"/>
      <c r="I347" s="108">
        <f t="shared" si="368"/>
        <v>0</v>
      </c>
      <c r="J347" s="108">
        <f t="shared" si="369"/>
        <v>0</v>
      </c>
      <c r="K347" s="108">
        <f t="shared" si="370"/>
        <v>0</v>
      </c>
      <c r="L347" s="111"/>
      <c r="Z347" s="100">
        <f t="shared" si="371"/>
        <v>0</v>
      </c>
      <c r="AB347" s="100">
        <f t="shared" si="372"/>
        <v>0</v>
      </c>
      <c r="AC347" s="100">
        <f t="shared" si="373"/>
        <v>0</v>
      </c>
      <c r="AD347" s="100">
        <f t="shared" si="374"/>
        <v>0</v>
      </c>
      <c r="AE347" s="100">
        <f t="shared" si="375"/>
        <v>0</v>
      </c>
      <c r="AF347" s="100">
        <f t="shared" si="376"/>
        <v>0</v>
      </c>
      <c r="AG347" s="100">
        <f t="shared" si="377"/>
        <v>0</v>
      </c>
      <c r="AH347" s="100">
        <f t="shared" si="378"/>
        <v>0</v>
      </c>
      <c r="AI347" s="109"/>
      <c r="AJ347" s="108">
        <f t="shared" si="379"/>
        <v>0</v>
      </c>
      <c r="AK347" s="108">
        <f t="shared" si="380"/>
        <v>0</v>
      </c>
      <c r="AL347" s="108">
        <f t="shared" si="381"/>
        <v>0</v>
      </c>
      <c r="AN347" s="100">
        <v>15</v>
      </c>
      <c r="AO347" s="100">
        <f t="shared" si="382"/>
        <v>0</v>
      </c>
      <c r="AP347" s="100">
        <f t="shared" si="383"/>
        <v>0</v>
      </c>
      <c r="AQ347" s="111" t="s">
        <v>13</v>
      </c>
      <c r="AV347" s="100">
        <f t="shared" si="384"/>
        <v>0</v>
      </c>
      <c r="AW347" s="100">
        <f t="shared" si="385"/>
        <v>0</v>
      </c>
      <c r="AX347" s="100">
        <f t="shared" si="386"/>
        <v>0</v>
      </c>
      <c r="AY347" s="110" t="s">
        <v>1711</v>
      </c>
      <c r="AZ347" s="110" t="s">
        <v>1733</v>
      </c>
      <c r="BA347" s="109" t="s">
        <v>1737</v>
      </c>
      <c r="BC347" s="100">
        <f t="shared" si="387"/>
        <v>0</v>
      </c>
      <c r="BD347" s="100">
        <f t="shared" si="388"/>
        <v>0</v>
      </c>
      <c r="BE347" s="100">
        <v>0</v>
      </c>
      <c r="BF347" s="100">
        <f>347</f>
        <v>347</v>
      </c>
      <c r="BH347" s="108">
        <f t="shared" si="389"/>
        <v>0</v>
      </c>
      <c r="BI347" s="108">
        <f t="shared" si="390"/>
        <v>0</v>
      </c>
      <c r="BJ347" s="108">
        <f t="shared" si="391"/>
        <v>0</v>
      </c>
    </row>
    <row r="348" spans="1:62" x14ac:dyDescent="0.2">
      <c r="A348" s="117" t="s">
        <v>308</v>
      </c>
      <c r="B348" s="117" t="s">
        <v>2707</v>
      </c>
      <c r="C348" s="304" t="s">
        <v>1388</v>
      </c>
      <c r="D348" s="305"/>
      <c r="E348" s="305"/>
      <c r="F348" s="117" t="s">
        <v>1644</v>
      </c>
      <c r="G348" s="116">
        <v>1</v>
      </c>
      <c r="H348" s="159"/>
      <c r="I348" s="108">
        <f t="shared" si="368"/>
        <v>0</v>
      </c>
      <c r="J348" s="108">
        <f t="shared" si="369"/>
        <v>0</v>
      </c>
      <c r="K348" s="108">
        <f t="shared" si="370"/>
        <v>0</v>
      </c>
      <c r="L348" s="111"/>
      <c r="Z348" s="100">
        <f t="shared" si="371"/>
        <v>0</v>
      </c>
      <c r="AB348" s="100">
        <f t="shared" si="372"/>
        <v>0</v>
      </c>
      <c r="AC348" s="100">
        <f t="shared" si="373"/>
        <v>0</v>
      </c>
      <c r="AD348" s="100">
        <f t="shared" si="374"/>
        <v>0</v>
      </c>
      <c r="AE348" s="100">
        <f t="shared" si="375"/>
        <v>0</v>
      </c>
      <c r="AF348" s="100">
        <f t="shared" si="376"/>
        <v>0</v>
      </c>
      <c r="AG348" s="100">
        <f t="shared" si="377"/>
        <v>0</v>
      </c>
      <c r="AH348" s="100">
        <f t="shared" si="378"/>
        <v>0</v>
      </c>
      <c r="AI348" s="109"/>
      <c r="AJ348" s="108">
        <f t="shared" si="379"/>
        <v>0</v>
      </c>
      <c r="AK348" s="108">
        <f t="shared" si="380"/>
        <v>0</v>
      </c>
      <c r="AL348" s="108">
        <f t="shared" si="381"/>
        <v>0</v>
      </c>
      <c r="AN348" s="100">
        <v>15</v>
      </c>
      <c r="AO348" s="100">
        <f t="shared" si="382"/>
        <v>0</v>
      </c>
      <c r="AP348" s="100">
        <f t="shared" si="383"/>
        <v>0</v>
      </c>
      <c r="AQ348" s="111" t="s">
        <v>13</v>
      </c>
      <c r="AV348" s="100">
        <f t="shared" si="384"/>
        <v>0</v>
      </c>
      <c r="AW348" s="100">
        <f t="shared" si="385"/>
        <v>0</v>
      </c>
      <c r="AX348" s="100">
        <f t="shared" si="386"/>
        <v>0</v>
      </c>
      <c r="AY348" s="110" t="s">
        <v>1711</v>
      </c>
      <c r="AZ348" s="110" t="s">
        <v>1733</v>
      </c>
      <c r="BA348" s="109" t="s">
        <v>1737</v>
      </c>
      <c r="BC348" s="100">
        <f t="shared" si="387"/>
        <v>0</v>
      </c>
      <c r="BD348" s="100">
        <f t="shared" si="388"/>
        <v>0</v>
      </c>
      <c r="BE348" s="100">
        <v>0</v>
      </c>
      <c r="BF348" s="100">
        <f>348</f>
        <v>348</v>
      </c>
      <c r="BH348" s="108">
        <f t="shared" si="389"/>
        <v>0</v>
      </c>
      <c r="BI348" s="108">
        <f t="shared" si="390"/>
        <v>0</v>
      </c>
      <c r="BJ348" s="108">
        <f t="shared" si="391"/>
        <v>0</v>
      </c>
    </row>
    <row r="349" spans="1:62" x14ac:dyDescent="0.2">
      <c r="A349" s="117" t="s">
        <v>309</v>
      </c>
      <c r="B349" s="117" t="s">
        <v>2706</v>
      </c>
      <c r="C349" s="304" t="s">
        <v>1389</v>
      </c>
      <c r="D349" s="305"/>
      <c r="E349" s="305"/>
      <c r="F349" s="117" t="s">
        <v>1644</v>
      </c>
      <c r="G349" s="116">
        <v>1</v>
      </c>
      <c r="H349" s="159"/>
      <c r="I349" s="108">
        <f t="shared" si="368"/>
        <v>0</v>
      </c>
      <c r="J349" s="108">
        <f t="shared" si="369"/>
        <v>0</v>
      </c>
      <c r="K349" s="108">
        <f t="shared" si="370"/>
        <v>0</v>
      </c>
      <c r="L349" s="111"/>
      <c r="Z349" s="100">
        <f t="shared" si="371"/>
        <v>0</v>
      </c>
      <c r="AB349" s="100">
        <f t="shared" si="372"/>
        <v>0</v>
      </c>
      <c r="AC349" s="100">
        <f t="shared" si="373"/>
        <v>0</v>
      </c>
      <c r="AD349" s="100">
        <f t="shared" si="374"/>
        <v>0</v>
      </c>
      <c r="AE349" s="100">
        <f t="shared" si="375"/>
        <v>0</v>
      </c>
      <c r="AF349" s="100">
        <f t="shared" si="376"/>
        <v>0</v>
      </c>
      <c r="AG349" s="100">
        <f t="shared" si="377"/>
        <v>0</v>
      </c>
      <c r="AH349" s="100">
        <f t="shared" si="378"/>
        <v>0</v>
      </c>
      <c r="AI349" s="109"/>
      <c r="AJ349" s="108">
        <f t="shared" si="379"/>
        <v>0</v>
      </c>
      <c r="AK349" s="108">
        <f t="shared" si="380"/>
        <v>0</v>
      </c>
      <c r="AL349" s="108">
        <f t="shared" si="381"/>
        <v>0</v>
      </c>
      <c r="AN349" s="100">
        <v>15</v>
      </c>
      <c r="AO349" s="100">
        <f t="shared" si="382"/>
        <v>0</v>
      </c>
      <c r="AP349" s="100">
        <f t="shared" si="383"/>
        <v>0</v>
      </c>
      <c r="AQ349" s="111" t="s">
        <v>13</v>
      </c>
      <c r="AV349" s="100">
        <f t="shared" si="384"/>
        <v>0</v>
      </c>
      <c r="AW349" s="100">
        <f t="shared" si="385"/>
        <v>0</v>
      </c>
      <c r="AX349" s="100">
        <f t="shared" si="386"/>
        <v>0</v>
      </c>
      <c r="AY349" s="110" t="s">
        <v>1711</v>
      </c>
      <c r="AZ349" s="110" t="s">
        <v>1733</v>
      </c>
      <c r="BA349" s="109" t="s">
        <v>1737</v>
      </c>
      <c r="BC349" s="100">
        <f t="shared" si="387"/>
        <v>0</v>
      </c>
      <c r="BD349" s="100">
        <f t="shared" si="388"/>
        <v>0</v>
      </c>
      <c r="BE349" s="100">
        <v>0</v>
      </c>
      <c r="BF349" s="100">
        <f>349</f>
        <v>349</v>
      </c>
      <c r="BH349" s="108">
        <f t="shared" si="389"/>
        <v>0</v>
      </c>
      <c r="BI349" s="108">
        <f t="shared" si="390"/>
        <v>0</v>
      </c>
      <c r="BJ349" s="108">
        <f t="shared" si="391"/>
        <v>0</v>
      </c>
    </row>
    <row r="350" spans="1:62" x14ac:dyDescent="0.2">
      <c r="A350" s="117" t="s">
        <v>310</v>
      </c>
      <c r="B350" s="117" t="s">
        <v>2705</v>
      </c>
      <c r="C350" s="304" t="s">
        <v>1380</v>
      </c>
      <c r="D350" s="305"/>
      <c r="E350" s="305"/>
      <c r="F350" s="117" t="s">
        <v>1646</v>
      </c>
      <c r="G350" s="116">
        <v>1.5</v>
      </c>
      <c r="H350" s="159"/>
      <c r="I350" s="108">
        <f t="shared" si="368"/>
        <v>0</v>
      </c>
      <c r="J350" s="108">
        <f t="shared" si="369"/>
        <v>0</v>
      </c>
      <c r="K350" s="108">
        <f t="shared" si="370"/>
        <v>0</v>
      </c>
      <c r="L350" s="111"/>
      <c r="Z350" s="100">
        <f t="shared" si="371"/>
        <v>0</v>
      </c>
      <c r="AB350" s="100">
        <f t="shared" si="372"/>
        <v>0</v>
      </c>
      <c r="AC350" s="100">
        <f t="shared" si="373"/>
        <v>0</v>
      </c>
      <c r="AD350" s="100">
        <f t="shared" si="374"/>
        <v>0</v>
      </c>
      <c r="AE350" s="100">
        <f t="shared" si="375"/>
        <v>0</v>
      </c>
      <c r="AF350" s="100">
        <f t="shared" si="376"/>
        <v>0</v>
      </c>
      <c r="AG350" s="100">
        <f t="shared" si="377"/>
        <v>0</v>
      </c>
      <c r="AH350" s="100">
        <f t="shared" si="378"/>
        <v>0</v>
      </c>
      <c r="AI350" s="109"/>
      <c r="AJ350" s="108">
        <f t="shared" si="379"/>
        <v>0</v>
      </c>
      <c r="AK350" s="108">
        <f t="shared" si="380"/>
        <v>0</v>
      </c>
      <c r="AL350" s="108">
        <f t="shared" si="381"/>
        <v>0</v>
      </c>
      <c r="AN350" s="100">
        <v>15</v>
      </c>
      <c r="AO350" s="100">
        <f t="shared" si="382"/>
        <v>0</v>
      </c>
      <c r="AP350" s="100">
        <f t="shared" si="383"/>
        <v>0</v>
      </c>
      <c r="AQ350" s="111" t="s">
        <v>13</v>
      </c>
      <c r="AV350" s="100">
        <f t="shared" si="384"/>
        <v>0</v>
      </c>
      <c r="AW350" s="100">
        <f t="shared" si="385"/>
        <v>0</v>
      </c>
      <c r="AX350" s="100">
        <f t="shared" si="386"/>
        <v>0</v>
      </c>
      <c r="AY350" s="110" t="s">
        <v>1711</v>
      </c>
      <c r="AZ350" s="110" t="s">
        <v>1733</v>
      </c>
      <c r="BA350" s="109" t="s">
        <v>1737</v>
      </c>
      <c r="BC350" s="100">
        <f t="shared" si="387"/>
        <v>0</v>
      </c>
      <c r="BD350" s="100">
        <f t="shared" si="388"/>
        <v>0</v>
      </c>
      <c r="BE350" s="100">
        <v>0</v>
      </c>
      <c r="BF350" s="100">
        <f>350</f>
        <v>350</v>
      </c>
      <c r="BH350" s="108">
        <f t="shared" si="389"/>
        <v>0</v>
      </c>
      <c r="BI350" s="108">
        <f t="shared" si="390"/>
        <v>0</v>
      </c>
      <c r="BJ350" s="108">
        <f t="shared" si="391"/>
        <v>0</v>
      </c>
    </row>
    <row r="351" spans="1:62" x14ac:dyDescent="0.2">
      <c r="A351" s="117" t="s">
        <v>311</v>
      </c>
      <c r="B351" s="117" t="s">
        <v>2704</v>
      </c>
      <c r="C351" s="304" t="s">
        <v>1390</v>
      </c>
      <c r="D351" s="305"/>
      <c r="E351" s="305"/>
      <c r="F351" s="117" t="s">
        <v>1644</v>
      </c>
      <c r="G351" s="116">
        <v>1</v>
      </c>
      <c r="H351" s="159"/>
      <c r="I351" s="108">
        <f t="shared" si="368"/>
        <v>0</v>
      </c>
      <c r="J351" s="108">
        <f t="shared" si="369"/>
        <v>0</v>
      </c>
      <c r="K351" s="108">
        <f t="shared" si="370"/>
        <v>0</v>
      </c>
      <c r="L351" s="111"/>
      <c r="Z351" s="100">
        <f t="shared" si="371"/>
        <v>0</v>
      </c>
      <c r="AB351" s="100">
        <f t="shared" si="372"/>
        <v>0</v>
      </c>
      <c r="AC351" s="100">
        <f t="shared" si="373"/>
        <v>0</v>
      </c>
      <c r="AD351" s="100">
        <f t="shared" si="374"/>
        <v>0</v>
      </c>
      <c r="AE351" s="100">
        <f t="shared" si="375"/>
        <v>0</v>
      </c>
      <c r="AF351" s="100">
        <f t="shared" si="376"/>
        <v>0</v>
      </c>
      <c r="AG351" s="100">
        <f t="shared" si="377"/>
        <v>0</v>
      </c>
      <c r="AH351" s="100">
        <f t="shared" si="378"/>
        <v>0</v>
      </c>
      <c r="AI351" s="109"/>
      <c r="AJ351" s="108">
        <f t="shared" si="379"/>
        <v>0</v>
      </c>
      <c r="AK351" s="108">
        <f t="shared" si="380"/>
        <v>0</v>
      </c>
      <c r="AL351" s="108">
        <f t="shared" si="381"/>
        <v>0</v>
      </c>
      <c r="AN351" s="100">
        <v>15</v>
      </c>
      <c r="AO351" s="100">
        <f t="shared" si="382"/>
        <v>0</v>
      </c>
      <c r="AP351" s="100">
        <f t="shared" si="383"/>
        <v>0</v>
      </c>
      <c r="AQ351" s="111" t="s">
        <v>13</v>
      </c>
      <c r="AV351" s="100">
        <f t="shared" si="384"/>
        <v>0</v>
      </c>
      <c r="AW351" s="100">
        <f t="shared" si="385"/>
        <v>0</v>
      </c>
      <c r="AX351" s="100">
        <f t="shared" si="386"/>
        <v>0</v>
      </c>
      <c r="AY351" s="110" t="s">
        <v>1711</v>
      </c>
      <c r="AZ351" s="110" t="s">
        <v>1733</v>
      </c>
      <c r="BA351" s="109" t="s">
        <v>1737</v>
      </c>
      <c r="BC351" s="100">
        <f t="shared" si="387"/>
        <v>0</v>
      </c>
      <c r="BD351" s="100">
        <f t="shared" si="388"/>
        <v>0</v>
      </c>
      <c r="BE351" s="100">
        <v>0</v>
      </c>
      <c r="BF351" s="100">
        <f>351</f>
        <v>351</v>
      </c>
      <c r="BH351" s="108">
        <f t="shared" si="389"/>
        <v>0</v>
      </c>
      <c r="BI351" s="108">
        <f t="shared" si="390"/>
        <v>0</v>
      </c>
      <c r="BJ351" s="108">
        <f t="shared" si="391"/>
        <v>0</v>
      </c>
    </row>
    <row r="352" spans="1:62" x14ac:dyDescent="0.2">
      <c r="A352" s="117" t="s">
        <v>312</v>
      </c>
      <c r="B352" s="117" t="s">
        <v>2703</v>
      </c>
      <c r="C352" s="304" t="s">
        <v>1391</v>
      </c>
      <c r="D352" s="305"/>
      <c r="E352" s="305"/>
      <c r="F352" s="117" t="s">
        <v>1644</v>
      </c>
      <c r="G352" s="116">
        <v>3</v>
      </c>
      <c r="H352" s="159"/>
      <c r="I352" s="108">
        <f t="shared" si="368"/>
        <v>0</v>
      </c>
      <c r="J352" s="108">
        <f t="shared" si="369"/>
        <v>0</v>
      </c>
      <c r="K352" s="108">
        <f t="shared" si="370"/>
        <v>0</v>
      </c>
      <c r="L352" s="111"/>
      <c r="Z352" s="100">
        <f t="shared" si="371"/>
        <v>0</v>
      </c>
      <c r="AB352" s="100">
        <f t="shared" si="372"/>
        <v>0</v>
      </c>
      <c r="AC352" s="100">
        <f t="shared" si="373"/>
        <v>0</v>
      </c>
      <c r="AD352" s="100">
        <f t="shared" si="374"/>
        <v>0</v>
      </c>
      <c r="AE352" s="100">
        <f t="shared" si="375"/>
        <v>0</v>
      </c>
      <c r="AF352" s="100">
        <f t="shared" si="376"/>
        <v>0</v>
      </c>
      <c r="AG352" s="100">
        <f t="shared" si="377"/>
        <v>0</v>
      </c>
      <c r="AH352" s="100">
        <f t="shared" si="378"/>
        <v>0</v>
      </c>
      <c r="AI352" s="109"/>
      <c r="AJ352" s="108">
        <f t="shared" si="379"/>
        <v>0</v>
      </c>
      <c r="AK352" s="108">
        <f t="shared" si="380"/>
        <v>0</v>
      </c>
      <c r="AL352" s="108">
        <f t="shared" si="381"/>
        <v>0</v>
      </c>
      <c r="AN352" s="100">
        <v>15</v>
      </c>
      <c r="AO352" s="100">
        <f t="shared" si="382"/>
        <v>0</v>
      </c>
      <c r="AP352" s="100">
        <f t="shared" si="383"/>
        <v>0</v>
      </c>
      <c r="AQ352" s="111" t="s">
        <v>13</v>
      </c>
      <c r="AV352" s="100">
        <f t="shared" si="384"/>
        <v>0</v>
      </c>
      <c r="AW352" s="100">
        <f t="shared" si="385"/>
        <v>0</v>
      </c>
      <c r="AX352" s="100">
        <f t="shared" si="386"/>
        <v>0</v>
      </c>
      <c r="AY352" s="110" t="s">
        <v>1711</v>
      </c>
      <c r="AZ352" s="110" t="s">
        <v>1733</v>
      </c>
      <c r="BA352" s="109" t="s">
        <v>1737</v>
      </c>
      <c r="BC352" s="100">
        <f t="shared" si="387"/>
        <v>0</v>
      </c>
      <c r="BD352" s="100">
        <f t="shared" si="388"/>
        <v>0</v>
      </c>
      <c r="BE352" s="100">
        <v>0</v>
      </c>
      <c r="BF352" s="100">
        <f>352</f>
        <v>352</v>
      </c>
      <c r="BH352" s="108">
        <f t="shared" si="389"/>
        <v>0</v>
      </c>
      <c r="BI352" s="108">
        <f t="shared" si="390"/>
        <v>0</v>
      </c>
      <c r="BJ352" s="108">
        <f t="shared" si="391"/>
        <v>0</v>
      </c>
    </row>
    <row r="353" spans="1:62" x14ac:dyDescent="0.2">
      <c r="A353" s="117" t="s">
        <v>313</v>
      </c>
      <c r="B353" s="117" t="s">
        <v>2702</v>
      </c>
      <c r="C353" s="304" t="s">
        <v>1388</v>
      </c>
      <c r="D353" s="305"/>
      <c r="E353" s="305"/>
      <c r="F353" s="117" t="s">
        <v>1644</v>
      </c>
      <c r="G353" s="116">
        <v>1</v>
      </c>
      <c r="H353" s="159"/>
      <c r="I353" s="108">
        <f t="shared" si="368"/>
        <v>0</v>
      </c>
      <c r="J353" s="108">
        <f t="shared" si="369"/>
        <v>0</v>
      </c>
      <c r="K353" s="108">
        <f t="shared" si="370"/>
        <v>0</v>
      </c>
      <c r="L353" s="111"/>
      <c r="Z353" s="100">
        <f t="shared" si="371"/>
        <v>0</v>
      </c>
      <c r="AB353" s="100">
        <f t="shared" si="372"/>
        <v>0</v>
      </c>
      <c r="AC353" s="100">
        <f t="shared" si="373"/>
        <v>0</v>
      </c>
      <c r="AD353" s="100">
        <f t="shared" si="374"/>
        <v>0</v>
      </c>
      <c r="AE353" s="100">
        <f t="shared" si="375"/>
        <v>0</v>
      </c>
      <c r="AF353" s="100">
        <f t="shared" si="376"/>
        <v>0</v>
      </c>
      <c r="AG353" s="100">
        <f t="shared" si="377"/>
        <v>0</v>
      </c>
      <c r="AH353" s="100">
        <f t="shared" si="378"/>
        <v>0</v>
      </c>
      <c r="AI353" s="109"/>
      <c r="AJ353" s="108">
        <f t="shared" si="379"/>
        <v>0</v>
      </c>
      <c r="AK353" s="108">
        <f t="shared" si="380"/>
        <v>0</v>
      </c>
      <c r="AL353" s="108">
        <f t="shared" si="381"/>
        <v>0</v>
      </c>
      <c r="AN353" s="100">
        <v>15</v>
      </c>
      <c r="AO353" s="100">
        <f t="shared" si="382"/>
        <v>0</v>
      </c>
      <c r="AP353" s="100">
        <f t="shared" si="383"/>
        <v>0</v>
      </c>
      <c r="AQ353" s="111" t="s">
        <v>13</v>
      </c>
      <c r="AV353" s="100">
        <f t="shared" si="384"/>
        <v>0</v>
      </c>
      <c r="AW353" s="100">
        <f t="shared" si="385"/>
        <v>0</v>
      </c>
      <c r="AX353" s="100">
        <f t="shared" si="386"/>
        <v>0</v>
      </c>
      <c r="AY353" s="110" t="s">
        <v>1711</v>
      </c>
      <c r="AZ353" s="110" t="s">
        <v>1733</v>
      </c>
      <c r="BA353" s="109" t="s">
        <v>1737</v>
      </c>
      <c r="BC353" s="100">
        <f t="shared" si="387"/>
        <v>0</v>
      </c>
      <c r="BD353" s="100">
        <f t="shared" si="388"/>
        <v>0</v>
      </c>
      <c r="BE353" s="100">
        <v>0</v>
      </c>
      <c r="BF353" s="100">
        <f>353</f>
        <v>353</v>
      </c>
      <c r="BH353" s="108">
        <f t="shared" si="389"/>
        <v>0</v>
      </c>
      <c r="BI353" s="108">
        <f t="shared" si="390"/>
        <v>0</v>
      </c>
      <c r="BJ353" s="108">
        <f t="shared" si="391"/>
        <v>0</v>
      </c>
    </row>
    <row r="354" spans="1:62" x14ac:dyDescent="0.2">
      <c r="A354" s="117" t="s">
        <v>314</v>
      </c>
      <c r="B354" s="117" t="s">
        <v>2701</v>
      </c>
      <c r="C354" s="304" t="s">
        <v>1383</v>
      </c>
      <c r="D354" s="305"/>
      <c r="E354" s="305"/>
      <c r="F354" s="117" t="s">
        <v>1644</v>
      </c>
      <c r="G354" s="116">
        <v>1</v>
      </c>
      <c r="H354" s="159"/>
      <c r="I354" s="108">
        <f t="shared" si="368"/>
        <v>0</v>
      </c>
      <c r="J354" s="108">
        <f t="shared" si="369"/>
        <v>0</v>
      </c>
      <c r="K354" s="108">
        <f t="shared" si="370"/>
        <v>0</v>
      </c>
      <c r="L354" s="111"/>
      <c r="Z354" s="100">
        <f t="shared" si="371"/>
        <v>0</v>
      </c>
      <c r="AB354" s="100">
        <f t="shared" si="372"/>
        <v>0</v>
      </c>
      <c r="AC354" s="100">
        <f t="shared" si="373"/>
        <v>0</v>
      </c>
      <c r="AD354" s="100">
        <f t="shared" si="374"/>
        <v>0</v>
      </c>
      <c r="AE354" s="100">
        <f t="shared" si="375"/>
        <v>0</v>
      </c>
      <c r="AF354" s="100">
        <f t="shared" si="376"/>
        <v>0</v>
      </c>
      <c r="AG354" s="100">
        <f t="shared" si="377"/>
        <v>0</v>
      </c>
      <c r="AH354" s="100">
        <f t="shared" si="378"/>
        <v>0</v>
      </c>
      <c r="AI354" s="109"/>
      <c r="AJ354" s="108">
        <f t="shared" si="379"/>
        <v>0</v>
      </c>
      <c r="AK354" s="108">
        <f t="shared" si="380"/>
        <v>0</v>
      </c>
      <c r="AL354" s="108">
        <f t="shared" si="381"/>
        <v>0</v>
      </c>
      <c r="AN354" s="100">
        <v>15</v>
      </c>
      <c r="AO354" s="100">
        <f t="shared" si="382"/>
        <v>0</v>
      </c>
      <c r="AP354" s="100">
        <f t="shared" si="383"/>
        <v>0</v>
      </c>
      <c r="AQ354" s="111" t="s">
        <v>13</v>
      </c>
      <c r="AV354" s="100">
        <f t="shared" si="384"/>
        <v>0</v>
      </c>
      <c r="AW354" s="100">
        <f t="shared" si="385"/>
        <v>0</v>
      </c>
      <c r="AX354" s="100">
        <f t="shared" si="386"/>
        <v>0</v>
      </c>
      <c r="AY354" s="110" t="s">
        <v>1711</v>
      </c>
      <c r="AZ354" s="110" t="s">
        <v>1733</v>
      </c>
      <c r="BA354" s="109" t="s">
        <v>1737</v>
      </c>
      <c r="BC354" s="100">
        <f t="shared" si="387"/>
        <v>0</v>
      </c>
      <c r="BD354" s="100">
        <f t="shared" si="388"/>
        <v>0</v>
      </c>
      <c r="BE354" s="100">
        <v>0</v>
      </c>
      <c r="BF354" s="100">
        <f>354</f>
        <v>354</v>
      </c>
      <c r="BH354" s="108">
        <f t="shared" si="389"/>
        <v>0</v>
      </c>
      <c r="BI354" s="108">
        <f t="shared" si="390"/>
        <v>0</v>
      </c>
      <c r="BJ354" s="108">
        <f t="shared" si="391"/>
        <v>0</v>
      </c>
    </row>
    <row r="355" spans="1:62" x14ac:dyDescent="0.2">
      <c r="A355" s="117" t="s">
        <v>315</v>
      </c>
      <c r="B355" s="117" t="s">
        <v>2700</v>
      </c>
      <c r="C355" s="304" t="s">
        <v>1385</v>
      </c>
      <c r="D355" s="305"/>
      <c r="E355" s="305"/>
      <c r="F355" s="117" t="s">
        <v>1646</v>
      </c>
      <c r="G355" s="116">
        <v>9</v>
      </c>
      <c r="H355" s="159"/>
      <c r="I355" s="108">
        <f t="shared" si="368"/>
        <v>0</v>
      </c>
      <c r="J355" s="108">
        <f t="shared" si="369"/>
        <v>0</v>
      </c>
      <c r="K355" s="108">
        <f t="shared" si="370"/>
        <v>0</v>
      </c>
      <c r="L355" s="111"/>
      <c r="Z355" s="100">
        <f t="shared" si="371"/>
        <v>0</v>
      </c>
      <c r="AB355" s="100">
        <f t="shared" si="372"/>
        <v>0</v>
      </c>
      <c r="AC355" s="100">
        <f t="shared" si="373"/>
        <v>0</v>
      </c>
      <c r="AD355" s="100">
        <f t="shared" si="374"/>
        <v>0</v>
      </c>
      <c r="AE355" s="100">
        <f t="shared" si="375"/>
        <v>0</v>
      </c>
      <c r="AF355" s="100">
        <f t="shared" si="376"/>
        <v>0</v>
      </c>
      <c r="AG355" s="100">
        <f t="shared" si="377"/>
        <v>0</v>
      </c>
      <c r="AH355" s="100">
        <f t="shared" si="378"/>
        <v>0</v>
      </c>
      <c r="AI355" s="109"/>
      <c r="AJ355" s="108">
        <f t="shared" si="379"/>
        <v>0</v>
      </c>
      <c r="AK355" s="108">
        <f t="shared" si="380"/>
        <v>0</v>
      </c>
      <c r="AL355" s="108">
        <f t="shared" si="381"/>
        <v>0</v>
      </c>
      <c r="AN355" s="100">
        <v>15</v>
      </c>
      <c r="AO355" s="100">
        <f t="shared" si="382"/>
        <v>0</v>
      </c>
      <c r="AP355" s="100">
        <f t="shared" si="383"/>
        <v>0</v>
      </c>
      <c r="AQ355" s="111" t="s">
        <v>13</v>
      </c>
      <c r="AV355" s="100">
        <f t="shared" si="384"/>
        <v>0</v>
      </c>
      <c r="AW355" s="100">
        <f t="shared" si="385"/>
        <v>0</v>
      </c>
      <c r="AX355" s="100">
        <f t="shared" si="386"/>
        <v>0</v>
      </c>
      <c r="AY355" s="110" t="s">
        <v>1711</v>
      </c>
      <c r="AZ355" s="110" t="s">
        <v>1733</v>
      </c>
      <c r="BA355" s="109" t="s">
        <v>1737</v>
      </c>
      <c r="BC355" s="100">
        <f t="shared" si="387"/>
        <v>0</v>
      </c>
      <c r="BD355" s="100">
        <f t="shared" si="388"/>
        <v>0</v>
      </c>
      <c r="BE355" s="100">
        <v>0</v>
      </c>
      <c r="BF355" s="100">
        <f>355</f>
        <v>355</v>
      </c>
      <c r="BH355" s="108">
        <f t="shared" si="389"/>
        <v>0</v>
      </c>
      <c r="BI355" s="108">
        <f t="shared" si="390"/>
        <v>0</v>
      </c>
      <c r="BJ355" s="108">
        <f t="shared" si="391"/>
        <v>0</v>
      </c>
    </row>
    <row r="356" spans="1:62" x14ac:dyDescent="0.2">
      <c r="A356" s="117" t="s">
        <v>316</v>
      </c>
      <c r="B356" s="117" t="s">
        <v>2699</v>
      </c>
      <c r="C356" s="304" t="s">
        <v>1386</v>
      </c>
      <c r="D356" s="305"/>
      <c r="E356" s="305"/>
      <c r="F356" s="117" t="s">
        <v>1644</v>
      </c>
      <c r="G356" s="116">
        <v>1</v>
      </c>
      <c r="H356" s="159"/>
      <c r="I356" s="108">
        <f t="shared" si="368"/>
        <v>0</v>
      </c>
      <c r="J356" s="108">
        <f t="shared" si="369"/>
        <v>0</v>
      </c>
      <c r="K356" s="108">
        <f t="shared" si="370"/>
        <v>0</v>
      </c>
      <c r="L356" s="111"/>
      <c r="Z356" s="100">
        <f t="shared" si="371"/>
        <v>0</v>
      </c>
      <c r="AB356" s="100">
        <f t="shared" si="372"/>
        <v>0</v>
      </c>
      <c r="AC356" s="100">
        <f t="shared" si="373"/>
        <v>0</v>
      </c>
      <c r="AD356" s="100">
        <f t="shared" si="374"/>
        <v>0</v>
      </c>
      <c r="AE356" s="100">
        <f t="shared" si="375"/>
        <v>0</v>
      </c>
      <c r="AF356" s="100">
        <f t="shared" si="376"/>
        <v>0</v>
      </c>
      <c r="AG356" s="100">
        <f t="shared" si="377"/>
        <v>0</v>
      </c>
      <c r="AH356" s="100">
        <f t="shared" si="378"/>
        <v>0</v>
      </c>
      <c r="AI356" s="109"/>
      <c r="AJ356" s="108">
        <f t="shared" si="379"/>
        <v>0</v>
      </c>
      <c r="AK356" s="108">
        <f t="shared" si="380"/>
        <v>0</v>
      </c>
      <c r="AL356" s="108">
        <f t="shared" si="381"/>
        <v>0</v>
      </c>
      <c r="AN356" s="100">
        <v>15</v>
      </c>
      <c r="AO356" s="100">
        <f t="shared" si="382"/>
        <v>0</v>
      </c>
      <c r="AP356" s="100">
        <f t="shared" si="383"/>
        <v>0</v>
      </c>
      <c r="AQ356" s="111" t="s">
        <v>13</v>
      </c>
      <c r="AV356" s="100">
        <f t="shared" si="384"/>
        <v>0</v>
      </c>
      <c r="AW356" s="100">
        <f t="shared" si="385"/>
        <v>0</v>
      </c>
      <c r="AX356" s="100">
        <f t="shared" si="386"/>
        <v>0</v>
      </c>
      <c r="AY356" s="110" t="s">
        <v>1711</v>
      </c>
      <c r="AZ356" s="110" t="s">
        <v>1733</v>
      </c>
      <c r="BA356" s="109" t="s">
        <v>1737</v>
      </c>
      <c r="BC356" s="100">
        <f t="shared" si="387"/>
        <v>0</v>
      </c>
      <c r="BD356" s="100">
        <f t="shared" si="388"/>
        <v>0</v>
      </c>
      <c r="BE356" s="100">
        <v>0</v>
      </c>
      <c r="BF356" s="100">
        <f>356</f>
        <v>356</v>
      </c>
      <c r="BH356" s="108">
        <f t="shared" si="389"/>
        <v>0</v>
      </c>
      <c r="BI356" s="108">
        <f t="shared" si="390"/>
        <v>0</v>
      </c>
      <c r="BJ356" s="108">
        <f t="shared" si="391"/>
        <v>0</v>
      </c>
    </row>
    <row r="357" spans="1:62" x14ac:dyDescent="0.2">
      <c r="A357" s="117" t="s">
        <v>317</v>
      </c>
      <c r="B357" s="117" t="s">
        <v>2698</v>
      </c>
      <c r="C357" s="304" t="s">
        <v>1387</v>
      </c>
      <c r="D357" s="305"/>
      <c r="E357" s="305"/>
      <c r="F357" s="117" t="s">
        <v>1644</v>
      </c>
      <c r="G357" s="116">
        <v>1</v>
      </c>
      <c r="H357" s="159"/>
      <c r="I357" s="108">
        <f t="shared" si="368"/>
        <v>0</v>
      </c>
      <c r="J357" s="108">
        <f t="shared" si="369"/>
        <v>0</v>
      </c>
      <c r="K357" s="108">
        <f t="shared" si="370"/>
        <v>0</v>
      </c>
      <c r="L357" s="111"/>
      <c r="Z357" s="100">
        <f t="shared" si="371"/>
        <v>0</v>
      </c>
      <c r="AB357" s="100">
        <f t="shared" si="372"/>
        <v>0</v>
      </c>
      <c r="AC357" s="100">
        <f t="shared" si="373"/>
        <v>0</v>
      </c>
      <c r="AD357" s="100">
        <f t="shared" si="374"/>
        <v>0</v>
      </c>
      <c r="AE357" s="100">
        <f t="shared" si="375"/>
        <v>0</v>
      </c>
      <c r="AF357" s="100">
        <f t="shared" si="376"/>
        <v>0</v>
      </c>
      <c r="AG357" s="100">
        <f t="shared" si="377"/>
        <v>0</v>
      </c>
      <c r="AH357" s="100">
        <f t="shared" si="378"/>
        <v>0</v>
      </c>
      <c r="AI357" s="109"/>
      <c r="AJ357" s="108">
        <f t="shared" si="379"/>
        <v>0</v>
      </c>
      <c r="AK357" s="108">
        <f t="shared" si="380"/>
        <v>0</v>
      </c>
      <c r="AL357" s="108">
        <f t="shared" si="381"/>
        <v>0</v>
      </c>
      <c r="AN357" s="100">
        <v>15</v>
      </c>
      <c r="AO357" s="100">
        <f t="shared" si="382"/>
        <v>0</v>
      </c>
      <c r="AP357" s="100">
        <f t="shared" si="383"/>
        <v>0</v>
      </c>
      <c r="AQ357" s="111" t="s">
        <v>13</v>
      </c>
      <c r="AV357" s="100">
        <f t="shared" si="384"/>
        <v>0</v>
      </c>
      <c r="AW357" s="100">
        <f t="shared" si="385"/>
        <v>0</v>
      </c>
      <c r="AX357" s="100">
        <f t="shared" si="386"/>
        <v>0</v>
      </c>
      <c r="AY357" s="110" t="s">
        <v>1711</v>
      </c>
      <c r="AZ357" s="110" t="s">
        <v>1733</v>
      </c>
      <c r="BA357" s="109" t="s">
        <v>1737</v>
      </c>
      <c r="BC357" s="100">
        <f t="shared" si="387"/>
        <v>0</v>
      </c>
      <c r="BD357" s="100">
        <f t="shared" si="388"/>
        <v>0</v>
      </c>
      <c r="BE357" s="100">
        <v>0</v>
      </c>
      <c r="BF357" s="100">
        <f>357</f>
        <v>357</v>
      </c>
      <c r="BH357" s="108">
        <f t="shared" si="389"/>
        <v>0</v>
      </c>
      <c r="BI357" s="108">
        <f t="shared" si="390"/>
        <v>0</v>
      </c>
      <c r="BJ357" s="108">
        <f t="shared" si="391"/>
        <v>0</v>
      </c>
    </row>
    <row r="358" spans="1:62" x14ac:dyDescent="0.2">
      <c r="A358" s="117" t="s">
        <v>318</v>
      </c>
      <c r="B358" s="117" t="s">
        <v>2697</v>
      </c>
      <c r="C358" s="304" t="s">
        <v>1388</v>
      </c>
      <c r="D358" s="305"/>
      <c r="E358" s="305"/>
      <c r="F358" s="117" t="s">
        <v>1644</v>
      </c>
      <c r="G358" s="116">
        <v>1</v>
      </c>
      <c r="H358" s="159"/>
      <c r="I358" s="108">
        <f t="shared" si="368"/>
        <v>0</v>
      </c>
      <c r="J358" s="108">
        <f t="shared" si="369"/>
        <v>0</v>
      </c>
      <c r="K358" s="108">
        <f t="shared" si="370"/>
        <v>0</v>
      </c>
      <c r="L358" s="111"/>
      <c r="Z358" s="100">
        <f t="shared" si="371"/>
        <v>0</v>
      </c>
      <c r="AB358" s="100">
        <f t="shared" si="372"/>
        <v>0</v>
      </c>
      <c r="AC358" s="100">
        <f t="shared" si="373"/>
        <v>0</v>
      </c>
      <c r="AD358" s="100">
        <f t="shared" si="374"/>
        <v>0</v>
      </c>
      <c r="AE358" s="100">
        <f t="shared" si="375"/>
        <v>0</v>
      </c>
      <c r="AF358" s="100">
        <f t="shared" si="376"/>
        <v>0</v>
      </c>
      <c r="AG358" s="100">
        <f t="shared" si="377"/>
        <v>0</v>
      </c>
      <c r="AH358" s="100">
        <f t="shared" si="378"/>
        <v>0</v>
      </c>
      <c r="AI358" s="109"/>
      <c r="AJ358" s="108">
        <f t="shared" si="379"/>
        <v>0</v>
      </c>
      <c r="AK358" s="108">
        <f t="shared" si="380"/>
        <v>0</v>
      </c>
      <c r="AL358" s="108">
        <f t="shared" si="381"/>
        <v>0</v>
      </c>
      <c r="AN358" s="100">
        <v>15</v>
      </c>
      <c r="AO358" s="100">
        <f t="shared" si="382"/>
        <v>0</v>
      </c>
      <c r="AP358" s="100">
        <f t="shared" si="383"/>
        <v>0</v>
      </c>
      <c r="AQ358" s="111" t="s">
        <v>13</v>
      </c>
      <c r="AV358" s="100">
        <f t="shared" si="384"/>
        <v>0</v>
      </c>
      <c r="AW358" s="100">
        <f t="shared" si="385"/>
        <v>0</v>
      </c>
      <c r="AX358" s="100">
        <f t="shared" si="386"/>
        <v>0</v>
      </c>
      <c r="AY358" s="110" t="s">
        <v>1711</v>
      </c>
      <c r="AZ358" s="110" t="s">
        <v>1733</v>
      </c>
      <c r="BA358" s="109" t="s">
        <v>1737</v>
      </c>
      <c r="BC358" s="100">
        <f t="shared" si="387"/>
        <v>0</v>
      </c>
      <c r="BD358" s="100">
        <f t="shared" si="388"/>
        <v>0</v>
      </c>
      <c r="BE358" s="100">
        <v>0</v>
      </c>
      <c r="BF358" s="100">
        <f>358</f>
        <v>358</v>
      </c>
      <c r="BH358" s="108">
        <f t="shared" si="389"/>
        <v>0</v>
      </c>
      <c r="BI358" s="108">
        <f t="shared" si="390"/>
        <v>0</v>
      </c>
      <c r="BJ358" s="108">
        <f t="shared" si="391"/>
        <v>0</v>
      </c>
    </row>
    <row r="359" spans="1:62" x14ac:dyDescent="0.2">
      <c r="A359" s="117" t="s">
        <v>319</v>
      </c>
      <c r="B359" s="117" t="s">
        <v>2696</v>
      </c>
      <c r="C359" s="304" t="s">
        <v>1389</v>
      </c>
      <c r="D359" s="305"/>
      <c r="E359" s="305"/>
      <c r="F359" s="117" t="s">
        <v>1644</v>
      </c>
      <c r="G359" s="116">
        <v>1</v>
      </c>
      <c r="H359" s="159"/>
      <c r="I359" s="108">
        <f t="shared" si="368"/>
        <v>0</v>
      </c>
      <c r="J359" s="108">
        <f t="shared" si="369"/>
        <v>0</v>
      </c>
      <c r="K359" s="108">
        <f t="shared" si="370"/>
        <v>0</v>
      </c>
      <c r="L359" s="111"/>
      <c r="Z359" s="100">
        <f t="shared" si="371"/>
        <v>0</v>
      </c>
      <c r="AB359" s="100">
        <f t="shared" si="372"/>
        <v>0</v>
      </c>
      <c r="AC359" s="100">
        <f t="shared" si="373"/>
        <v>0</v>
      </c>
      <c r="AD359" s="100">
        <f t="shared" si="374"/>
        <v>0</v>
      </c>
      <c r="AE359" s="100">
        <f t="shared" si="375"/>
        <v>0</v>
      </c>
      <c r="AF359" s="100">
        <f t="shared" si="376"/>
        <v>0</v>
      </c>
      <c r="AG359" s="100">
        <f t="shared" si="377"/>
        <v>0</v>
      </c>
      <c r="AH359" s="100">
        <f t="shared" si="378"/>
        <v>0</v>
      </c>
      <c r="AI359" s="109"/>
      <c r="AJ359" s="108">
        <f t="shared" si="379"/>
        <v>0</v>
      </c>
      <c r="AK359" s="108">
        <f t="shared" si="380"/>
        <v>0</v>
      </c>
      <c r="AL359" s="108">
        <f t="shared" si="381"/>
        <v>0</v>
      </c>
      <c r="AN359" s="100">
        <v>15</v>
      </c>
      <c r="AO359" s="100">
        <f t="shared" si="382"/>
        <v>0</v>
      </c>
      <c r="AP359" s="100">
        <f t="shared" si="383"/>
        <v>0</v>
      </c>
      <c r="AQ359" s="111" t="s">
        <v>13</v>
      </c>
      <c r="AV359" s="100">
        <f t="shared" si="384"/>
        <v>0</v>
      </c>
      <c r="AW359" s="100">
        <f t="shared" si="385"/>
        <v>0</v>
      </c>
      <c r="AX359" s="100">
        <f t="shared" si="386"/>
        <v>0</v>
      </c>
      <c r="AY359" s="110" t="s">
        <v>1711</v>
      </c>
      <c r="AZ359" s="110" t="s">
        <v>1733</v>
      </c>
      <c r="BA359" s="109" t="s">
        <v>1737</v>
      </c>
      <c r="BC359" s="100">
        <f t="shared" si="387"/>
        <v>0</v>
      </c>
      <c r="BD359" s="100">
        <f t="shared" si="388"/>
        <v>0</v>
      </c>
      <c r="BE359" s="100">
        <v>0</v>
      </c>
      <c r="BF359" s="100">
        <f>359</f>
        <v>359</v>
      </c>
      <c r="BH359" s="108">
        <f t="shared" si="389"/>
        <v>0</v>
      </c>
      <c r="BI359" s="108">
        <f t="shared" si="390"/>
        <v>0</v>
      </c>
      <c r="BJ359" s="108">
        <f t="shared" si="391"/>
        <v>0</v>
      </c>
    </row>
    <row r="360" spans="1:62" x14ac:dyDescent="0.2">
      <c r="A360" s="117" t="s">
        <v>320</v>
      </c>
      <c r="B360" s="117" t="s">
        <v>2695</v>
      </c>
      <c r="C360" s="304" t="s">
        <v>1392</v>
      </c>
      <c r="D360" s="305"/>
      <c r="E360" s="305"/>
      <c r="F360" s="117" t="s">
        <v>1644</v>
      </c>
      <c r="G360" s="116">
        <v>2</v>
      </c>
      <c r="H360" s="159"/>
      <c r="I360" s="108">
        <f t="shared" si="368"/>
        <v>0</v>
      </c>
      <c r="J360" s="108">
        <f t="shared" si="369"/>
        <v>0</v>
      </c>
      <c r="K360" s="108">
        <f t="shared" si="370"/>
        <v>0</v>
      </c>
      <c r="L360" s="111"/>
      <c r="Z360" s="100">
        <f t="shared" si="371"/>
        <v>0</v>
      </c>
      <c r="AB360" s="100">
        <f t="shared" si="372"/>
        <v>0</v>
      </c>
      <c r="AC360" s="100">
        <f t="shared" si="373"/>
        <v>0</v>
      </c>
      <c r="AD360" s="100">
        <f t="shared" si="374"/>
        <v>0</v>
      </c>
      <c r="AE360" s="100">
        <f t="shared" si="375"/>
        <v>0</v>
      </c>
      <c r="AF360" s="100">
        <f t="shared" si="376"/>
        <v>0</v>
      </c>
      <c r="AG360" s="100">
        <f t="shared" si="377"/>
        <v>0</v>
      </c>
      <c r="AH360" s="100">
        <f t="shared" si="378"/>
        <v>0</v>
      </c>
      <c r="AI360" s="109"/>
      <c r="AJ360" s="108">
        <f t="shared" si="379"/>
        <v>0</v>
      </c>
      <c r="AK360" s="108">
        <f t="shared" si="380"/>
        <v>0</v>
      </c>
      <c r="AL360" s="108">
        <f t="shared" si="381"/>
        <v>0</v>
      </c>
      <c r="AN360" s="100">
        <v>15</v>
      </c>
      <c r="AO360" s="100">
        <f t="shared" si="382"/>
        <v>0</v>
      </c>
      <c r="AP360" s="100">
        <f t="shared" si="383"/>
        <v>0</v>
      </c>
      <c r="AQ360" s="111" t="s">
        <v>13</v>
      </c>
      <c r="AV360" s="100">
        <f t="shared" si="384"/>
        <v>0</v>
      </c>
      <c r="AW360" s="100">
        <f t="shared" si="385"/>
        <v>0</v>
      </c>
      <c r="AX360" s="100">
        <f t="shared" si="386"/>
        <v>0</v>
      </c>
      <c r="AY360" s="110" t="s">
        <v>1711</v>
      </c>
      <c r="AZ360" s="110" t="s">
        <v>1733</v>
      </c>
      <c r="BA360" s="109" t="s">
        <v>1737</v>
      </c>
      <c r="BC360" s="100">
        <f t="shared" si="387"/>
        <v>0</v>
      </c>
      <c r="BD360" s="100">
        <f t="shared" si="388"/>
        <v>0</v>
      </c>
      <c r="BE360" s="100">
        <v>0</v>
      </c>
      <c r="BF360" s="100">
        <f>360</f>
        <v>360</v>
      </c>
      <c r="BH360" s="108">
        <f t="shared" si="389"/>
        <v>0</v>
      </c>
      <c r="BI360" s="108">
        <f t="shared" si="390"/>
        <v>0</v>
      </c>
      <c r="BJ360" s="108">
        <f t="shared" si="391"/>
        <v>0</v>
      </c>
    </row>
    <row r="361" spans="1:62" x14ac:dyDescent="0.2">
      <c r="A361" s="117" t="s">
        <v>321</v>
      </c>
      <c r="B361" s="117" t="s">
        <v>2694</v>
      </c>
      <c r="C361" s="304" t="s">
        <v>1393</v>
      </c>
      <c r="D361" s="305"/>
      <c r="E361" s="305"/>
      <c r="F361" s="117" t="s">
        <v>1644</v>
      </c>
      <c r="G361" s="116">
        <v>1</v>
      </c>
      <c r="H361" s="159"/>
      <c r="I361" s="108">
        <f t="shared" si="368"/>
        <v>0</v>
      </c>
      <c r="J361" s="108">
        <f t="shared" si="369"/>
        <v>0</v>
      </c>
      <c r="K361" s="108">
        <f t="shared" si="370"/>
        <v>0</v>
      </c>
      <c r="L361" s="111"/>
      <c r="Z361" s="100">
        <f t="shared" si="371"/>
        <v>0</v>
      </c>
      <c r="AB361" s="100">
        <f t="shared" si="372"/>
        <v>0</v>
      </c>
      <c r="AC361" s="100">
        <f t="shared" si="373"/>
        <v>0</v>
      </c>
      <c r="AD361" s="100">
        <f t="shared" si="374"/>
        <v>0</v>
      </c>
      <c r="AE361" s="100">
        <f t="shared" si="375"/>
        <v>0</v>
      </c>
      <c r="AF361" s="100">
        <f t="shared" si="376"/>
        <v>0</v>
      </c>
      <c r="AG361" s="100">
        <f t="shared" si="377"/>
        <v>0</v>
      </c>
      <c r="AH361" s="100">
        <f t="shared" si="378"/>
        <v>0</v>
      </c>
      <c r="AI361" s="109"/>
      <c r="AJ361" s="108">
        <f t="shared" si="379"/>
        <v>0</v>
      </c>
      <c r="AK361" s="108">
        <f t="shared" si="380"/>
        <v>0</v>
      </c>
      <c r="AL361" s="108">
        <f t="shared" si="381"/>
        <v>0</v>
      </c>
      <c r="AN361" s="100">
        <v>15</v>
      </c>
      <c r="AO361" s="100">
        <f t="shared" si="382"/>
        <v>0</v>
      </c>
      <c r="AP361" s="100">
        <f t="shared" si="383"/>
        <v>0</v>
      </c>
      <c r="AQ361" s="111" t="s">
        <v>13</v>
      </c>
      <c r="AV361" s="100">
        <f t="shared" si="384"/>
        <v>0</v>
      </c>
      <c r="AW361" s="100">
        <f t="shared" si="385"/>
        <v>0</v>
      </c>
      <c r="AX361" s="100">
        <f t="shared" si="386"/>
        <v>0</v>
      </c>
      <c r="AY361" s="110" t="s">
        <v>1711</v>
      </c>
      <c r="AZ361" s="110" t="s">
        <v>1733</v>
      </c>
      <c r="BA361" s="109" t="s">
        <v>1737</v>
      </c>
      <c r="BC361" s="100">
        <f t="shared" si="387"/>
        <v>0</v>
      </c>
      <c r="BD361" s="100">
        <f t="shared" si="388"/>
        <v>0</v>
      </c>
      <c r="BE361" s="100">
        <v>0</v>
      </c>
      <c r="BF361" s="100">
        <f>361</f>
        <v>361</v>
      </c>
      <c r="BH361" s="108">
        <f t="shared" si="389"/>
        <v>0</v>
      </c>
      <c r="BI361" s="108">
        <f t="shared" si="390"/>
        <v>0</v>
      </c>
      <c r="BJ361" s="108">
        <f t="shared" si="391"/>
        <v>0</v>
      </c>
    </row>
    <row r="362" spans="1:62" x14ac:dyDescent="0.2">
      <c r="A362" s="117" t="s">
        <v>322</v>
      </c>
      <c r="B362" s="117" t="s">
        <v>2693</v>
      </c>
      <c r="C362" s="304" t="s">
        <v>1394</v>
      </c>
      <c r="D362" s="305"/>
      <c r="E362" s="305"/>
      <c r="F362" s="117" t="s">
        <v>1644</v>
      </c>
      <c r="G362" s="116">
        <v>1</v>
      </c>
      <c r="H362" s="159"/>
      <c r="I362" s="108">
        <f t="shared" si="368"/>
        <v>0</v>
      </c>
      <c r="J362" s="108">
        <f t="shared" si="369"/>
        <v>0</v>
      </c>
      <c r="K362" s="108">
        <f t="shared" si="370"/>
        <v>0</v>
      </c>
      <c r="L362" s="111"/>
      <c r="Z362" s="100">
        <f t="shared" si="371"/>
        <v>0</v>
      </c>
      <c r="AB362" s="100">
        <f t="shared" si="372"/>
        <v>0</v>
      </c>
      <c r="AC362" s="100">
        <f t="shared" si="373"/>
        <v>0</v>
      </c>
      <c r="AD362" s="100">
        <f t="shared" si="374"/>
        <v>0</v>
      </c>
      <c r="AE362" s="100">
        <f t="shared" si="375"/>
        <v>0</v>
      </c>
      <c r="AF362" s="100">
        <f t="shared" si="376"/>
        <v>0</v>
      </c>
      <c r="AG362" s="100">
        <f t="shared" si="377"/>
        <v>0</v>
      </c>
      <c r="AH362" s="100">
        <f t="shared" si="378"/>
        <v>0</v>
      </c>
      <c r="AI362" s="109"/>
      <c r="AJ362" s="108">
        <f t="shared" si="379"/>
        <v>0</v>
      </c>
      <c r="AK362" s="108">
        <f t="shared" si="380"/>
        <v>0</v>
      </c>
      <c r="AL362" s="108">
        <f t="shared" si="381"/>
        <v>0</v>
      </c>
      <c r="AN362" s="100">
        <v>15</v>
      </c>
      <c r="AO362" s="100">
        <f t="shared" si="382"/>
        <v>0</v>
      </c>
      <c r="AP362" s="100">
        <f t="shared" si="383"/>
        <v>0</v>
      </c>
      <c r="AQ362" s="111" t="s">
        <v>13</v>
      </c>
      <c r="AV362" s="100">
        <f t="shared" si="384"/>
        <v>0</v>
      </c>
      <c r="AW362" s="100">
        <f t="shared" si="385"/>
        <v>0</v>
      </c>
      <c r="AX362" s="100">
        <f t="shared" si="386"/>
        <v>0</v>
      </c>
      <c r="AY362" s="110" t="s">
        <v>1711</v>
      </c>
      <c r="AZ362" s="110" t="s">
        <v>1733</v>
      </c>
      <c r="BA362" s="109" t="s">
        <v>1737</v>
      </c>
      <c r="BC362" s="100">
        <f t="shared" si="387"/>
        <v>0</v>
      </c>
      <c r="BD362" s="100">
        <f t="shared" si="388"/>
        <v>0</v>
      </c>
      <c r="BE362" s="100">
        <v>0</v>
      </c>
      <c r="BF362" s="100">
        <f>362</f>
        <v>362</v>
      </c>
      <c r="BH362" s="108">
        <f t="shared" si="389"/>
        <v>0</v>
      </c>
      <c r="BI362" s="108">
        <f t="shared" si="390"/>
        <v>0</v>
      </c>
      <c r="BJ362" s="108">
        <f t="shared" si="391"/>
        <v>0</v>
      </c>
    </row>
    <row r="363" spans="1:62" x14ac:dyDescent="0.2">
      <c r="A363" s="119"/>
      <c r="B363" s="120" t="s">
        <v>822</v>
      </c>
      <c r="C363" s="306" t="s">
        <v>1395</v>
      </c>
      <c r="D363" s="307"/>
      <c r="E363" s="307"/>
      <c r="F363" s="119" t="s">
        <v>6</v>
      </c>
      <c r="G363" s="119" t="s">
        <v>6</v>
      </c>
      <c r="H363" s="119" t="s">
        <v>6</v>
      </c>
      <c r="I363" s="118">
        <f>SUM(I364:I391)</f>
        <v>0</v>
      </c>
      <c r="J363" s="118">
        <f>SUM(J364:J391)</f>
        <v>0</v>
      </c>
      <c r="K363" s="118">
        <f>SUM(K364:K391)</f>
        <v>0</v>
      </c>
      <c r="L363" s="109"/>
      <c r="AI363" s="109"/>
      <c r="AS363" s="118">
        <f>SUM(AJ364:AJ391)</f>
        <v>0</v>
      </c>
      <c r="AT363" s="118">
        <f>SUM(AK364:AK391)</f>
        <v>0</v>
      </c>
      <c r="AU363" s="118">
        <f>SUM(AL364:AL391)</f>
        <v>0</v>
      </c>
    </row>
    <row r="364" spans="1:62" x14ac:dyDescent="0.2">
      <c r="A364" s="117" t="s">
        <v>323</v>
      </c>
      <c r="B364" s="117" t="s">
        <v>117</v>
      </c>
      <c r="C364" s="304" t="s">
        <v>1396</v>
      </c>
      <c r="D364" s="305"/>
      <c r="E364" s="305"/>
      <c r="F364" s="117" t="s">
        <v>1652</v>
      </c>
      <c r="G364" s="116">
        <v>1</v>
      </c>
      <c r="H364" s="159"/>
      <c r="I364" s="108">
        <f t="shared" ref="I364:I391" si="392">G364*AO364</f>
        <v>0</v>
      </c>
      <c r="J364" s="108">
        <f t="shared" ref="J364:J391" si="393">G364*AP364</f>
        <v>0</v>
      </c>
      <c r="K364" s="108">
        <f t="shared" ref="K364:K391" si="394">G364*H364</f>
        <v>0</v>
      </c>
      <c r="L364" s="111"/>
      <c r="Z364" s="100">
        <f t="shared" ref="Z364:Z391" si="395">IF(AQ364="5",BJ364,0)</f>
        <v>0</v>
      </c>
      <c r="AB364" s="100">
        <f t="shared" ref="AB364:AB391" si="396">IF(AQ364="1",BH364,0)</f>
        <v>0</v>
      </c>
      <c r="AC364" s="100">
        <f t="shared" ref="AC364:AC391" si="397">IF(AQ364="1",BI364,0)</f>
        <v>0</v>
      </c>
      <c r="AD364" s="100">
        <f t="shared" ref="AD364:AD391" si="398">IF(AQ364="7",BH364,0)</f>
        <v>0</v>
      </c>
      <c r="AE364" s="100">
        <f t="shared" ref="AE364:AE391" si="399">IF(AQ364="7",BI364,0)</f>
        <v>0</v>
      </c>
      <c r="AF364" s="100">
        <f t="shared" ref="AF364:AF391" si="400">IF(AQ364="2",BH364,0)</f>
        <v>0</v>
      </c>
      <c r="AG364" s="100">
        <f t="shared" ref="AG364:AG391" si="401">IF(AQ364="2",BI364,0)</f>
        <v>0</v>
      </c>
      <c r="AH364" s="100">
        <f t="shared" ref="AH364:AH391" si="402">IF(AQ364="0",BJ364,0)</f>
        <v>0</v>
      </c>
      <c r="AI364" s="109"/>
      <c r="AJ364" s="108">
        <f t="shared" ref="AJ364:AJ391" si="403">IF(AN364=0,K364,0)</f>
        <v>0</v>
      </c>
      <c r="AK364" s="108">
        <f t="shared" ref="AK364:AK391" si="404">IF(AN364=15,K364,0)</f>
        <v>0</v>
      </c>
      <c r="AL364" s="108">
        <f t="shared" ref="AL364:AL391" si="405">IF(AN364=21,K364,0)</f>
        <v>0</v>
      </c>
      <c r="AN364" s="100">
        <v>15</v>
      </c>
      <c r="AO364" s="100">
        <f t="shared" ref="AO364:AO391" si="406">H364*0</f>
        <v>0</v>
      </c>
      <c r="AP364" s="100">
        <f t="shared" ref="AP364:AP391" si="407">H364*(1-0)</f>
        <v>0</v>
      </c>
      <c r="AQ364" s="111" t="s">
        <v>13</v>
      </c>
      <c r="AV364" s="100">
        <f t="shared" ref="AV364:AV391" si="408">AW364+AX364</f>
        <v>0</v>
      </c>
      <c r="AW364" s="100">
        <f t="shared" ref="AW364:AW391" si="409">G364*AO364</f>
        <v>0</v>
      </c>
      <c r="AX364" s="100">
        <f t="shared" ref="AX364:AX391" si="410">G364*AP364</f>
        <v>0</v>
      </c>
      <c r="AY364" s="110" t="s">
        <v>1712</v>
      </c>
      <c r="AZ364" s="110" t="s">
        <v>1733</v>
      </c>
      <c r="BA364" s="109" t="s">
        <v>1737</v>
      </c>
      <c r="BC364" s="100">
        <f t="shared" ref="BC364:BC391" si="411">AW364+AX364</f>
        <v>0</v>
      </c>
      <c r="BD364" s="100">
        <f t="shared" ref="BD364:BD391" si="412">H364/(100-BE364)*100</f>
        <v>0</v>
      </c>
      <c r="BE364" s="100">
        <v>0</v>
      </c>
      <c r="BF364" s="100">
        <f>364</f>
        <v>364</v>
      </c>
      <c r="BH364" s="108">
        <f t="shared" ref="BH364:BH391" si="413">G364*AO364</f>
        <v>0</v>
      </c>
      <c r="BI364" s="108">
        <f t="shared" ref="BI364:BI391" si="414">G364*AP364</f>
        <v>0</v>
      </c>
      <c r="BJ364" s="108">
        <f t="shared" ref="BJ364:BJ391" si="415">G364*H364</f>
        <v>0</v>
      </c>
    </row>
    <row r="365" spans="1:62" x14ac:dyDescent="0.2">
      <c r="A365" s="117" t="s">
        <v>324</v>
      </c>
      <c r="B365" s="117" t="s">
        <v>118</v>
      </c>
      <c r="C365" s="304" t="s">
        <v>1397</v>
      </c>
      <c r="D365" s="305"/>
      <c r="E365" s="305"/>
      <c r="F365" s="117" t="s">
        <v>1652</v>
      </c>
      <c r="G365" s="116">
        <v>1</v>
      </c>
      <c r="H365" s="159"/>
      <c r="I365" s="108">
        <f t="shared" si="392"/>
        <v>0</v>
      </c>
      <c r="J365" s="108">
        <f t="shared" si="393"/>
        <v>0</v>
      </c>
      <c r="K365" s="108">
        <f t="shared" si="394"/>
        <v>0</v>
      </c>
      <c r="L365" s="111"/>
      <c r="Z365" s="100">
        <f t="shared" si="395"/>
        <v>0</v>
      </c>
      <c r="AB365" s="100">
        <f t="shared" si="396"/>
        <v>0</v>
      </c>
      <c r="AC365" s="100">
        <f t="shared" si="397"/>
        <v>0</v>
      </c>
      <c r="AD365" s="100">
        <f t="shared" si="398"/>
        <v>0</v>
      </c>
      <c r="AE365" s="100">
        <f t="shared" si="399"/>
        <v>0</v>
      </c>
      <c r="AF365" s="100">
        <f t="shared" si="400"/>
        <v>0</v>
      </c>
      <c r="AG365" s="100">
        <f t="shared" si="401"/>
        <v>0</v>
      </c>
      <c r="AH365" s="100">
        <f t="shared" si="402"/>
        <v>0</v>
      </c>
      <c r="AI365" s="109"/>
      <c r="AJ365" s="108">
        <f t="shared" si="403"/>
        <v>0</v>
      </c>
      <c r="AK365" s="108">
        <f t="shared" si="404"/>
        <v>0</v>
      </c>
      <c r="AL365" s="108">
        <f t="shared" si="405"/>
        <v>0</v>
      </c>
      <c r="AN365" s="100">
        <v>15</v>
      </c>
      <c r="AO365" s="100">
        <f t="shared" si="406"/>
        <v>0</v>
      </c>
      <c r="AP365" s="100">
        <f t="shared" si="407"/>
        <v>0</v>
      </c>
      <c r="AQ365" s="111" t="s">
        <v>13</v>
      </c>
      <c r="AV365" s="100">
        <f t="shared" si="408"/>
        <v>0</v>
      </c>
      <c r="AW365" s="100">
        <f t="shared" si="409"/>
        <v>0</v>
      </c>
      <c r="AX365" s="100">
        <f t="shared" si="410"/>
        <v>0</v>
      </c>
      <c r="AY365" s="110" t="s">
        <v>1712</v>
      </c>
      <c r="AZ365" s="110" t="s">
        <v>1733</v>
      </c>
      <c r="BA365" s="109" t="s">
        <v>1737</v>
      </c>
      <c r="BC365" s="100">
        <f t="shared" si="411"/>
        <v>0</v>
      </c>
      <c r="BD365" s="100">
        <f t="shared" si="412"/>
        <v>0</v>
      </c>
      <c r="BE365" s="100">
        <v>0</v>
      </c>
      <c r="BF365" s="100">
        <f>365</f>
        <v>365</v>
      </c>
      <c r="BH365" s="108">
        <f t="shared" si="413"/>
        <v>0</v>
      </c>
      <c r="BI365" s="108">
        <f t="shared" si="414"/>
        <v>0</v>
      </c>
      <c r="BJ365" s="108">
        <f t="shared" si="415"/>
        <v>0</v>
      </c>
    </row>
    <row r="366" spans="1:62" x14ac:dyDescent="0.2">
      <c r="A366" s="117" t="s">
        <v>325</v>
      </c>
      <c r="B366" s="117" t="s">
        <v>119</v>
      </c>
      <c r="C366" s="304" t="s">
        <v>1398</v>
      </c>
      <c r="D366" s="305"/>
      <c r="E366" s="305"/>
      <c r="F366" s="117" t="s">
        <v>1652</v>
      </c>
      <c r="G366" s="116">
        <v>1</v>
      </c>
      <c r="H366" s="159"/>
      <c r="I366" s="108">
        <f t="shared" si="392"/>
        <v>0</v>
      </c>
      <c r="J366" s="108">
        <f t="shared" si="393"/>
        <v>0</v>
      </c>
      <c r="K366" s="108">
        <f t="shared" si="394"/>
        <v>0</v>
      </c>
      <c r="L366" s="111"/>
      <c r="Z366" s="100">
        <f t="shared" si="395"/>
        <v>0</v>
      </c>
      <c r="AB366" s="100">
        <f t="shared" si="396"/>
        <v>0</v>
      </c>
      <c r="AC366" s="100">
        <f t="shared" si="397"/>
        <v>0</v>
      </c>
      <c r="AD366" s="100">
        <f t="shared" si="398"/>
        <v>0</v>
      </c>
      <c r="AE366" s="100">
        <f t="shared" si="399"/>
        <v>0</v>
      </c>
      <c r="AF366" s="100">
        <f t="shared" si="400"/>
        <v>0</v>
      </c>
      <c r="AG366" s="100">
        <f t="shared" si="401"/>
        <v>0</v>
      </c>
      <c r="AH366" s="100">
        <f t="shared" si="402"/>
        <v>0</v>
      </c>
      <c r="AI366" s="109"/>
      <c r="AJ366" s="108">
        <f t="shared" si="403"/>
        <v>0</v>
      </c>
      <c r="AK366" s="108">
        <f t="shared" si="404"/>
        <v>0</v>
      </c>
      <c r="AL366" s="108">
        <f t="shared" si="405"/>
        <v>0</v>
      </c>
      <c r="AN366" s="100">
        <v>15</v>
      </c>
      <c r="AO366" s="100">
        <f t="shared" si="406"/>
        <v>0</v>
      </c>
      <c r="AP366" s="100">
        <f t="shared" si="407"/>
        <v>0</v>
      </c>
      <c r="AQ366" s="111" t="s">
        <v>13</v>
      </c>
      <c r="AV366" s="100">
        <f t="shared" si="408"/>
        <v>0</v>
      </c>
      <c r="AW366" s="100">
        <f t="shared" si="409"/>
        <v>0</v>
      </c>
      <c r="AX366" s="100">
        <f t="shared" si="410"/>
        <v>0</v>
      </c>
      <c r="AY366" s="110" t="s">
        <v>1712</v>
      </c>
      <c r="AZ366" s="110" t="s">
        <v>1733</v>
      </c>
      <c r="BA366" s="109" t="s">
        <v>1737</v>
      </c>
      <c r="BC366" s="100">
        <f t="shared" si="411"/>
        <v>0</v>
      </c>
      <c r="BD366" s="100">
        <f t="shared" si="412"/>
        <v>0</v>
      </c>
      <c r="BE366" s="100">
        <v>0</v>
      </c>
      <c r="BF366" s="100">
        <f>366</f>
        <v>366</v>
      </c>
      <c r="BH366" s="108">
        <f t="shared" si="413"/>
        <v>0</v>
      </c>
      <c r="BI366" s="108">
        <f t="shared" si="414"/>
        <v>0</v>
      </c>
      <c r="BJ366" s="108">
        <f t="shared" si="415"/>
        <v>0</v>
      </c>
    </row>
    <row r="367" spans="1:62" x14ac:dyDescent="0.2">
      <c r="A367" s="117" t="s">
        <v>326</v>
      </c>
      <c r="B367" s="117" t="s">
        <v>120</v>
      </c>
      <c r="C367" s="304" t="s">
        <v>1399</v>
      </c>
      <c r="D367" s="305"/>
      <c r="E367" s="305"/>
      <c r="F367" s="117" t="s">
        <v>1652</v>
      </c>
      <c r="G367" s="116">
        <v>1</v>
      </c>
      <c r="H367" s="159"/>
      <c r="I367" s="108">
        <f t="shared" si="392"/>
        <v>0</v>
      </c>
      <c r="J367" s="108">
        <f t="shared" si="393"/>
        <v>0</v>
      </c>
      <c r="K367" s="108">
        <f t="shared" si="394"/>
        <v>0</v>
      </c>
      <c r="L367" s="111"/>
      <c r="Z367" s="100">
        <f t="shared" si="395"/>
        <v>0</v>
      </c>
      <c r="AB367" s="100">
        <f t="shared" si="396"/>
        <v>0</v>
      </c>
      <c r="AC367" s="100">
        <f t="shared" si="397"/>
        <v>0</v>
      </c>
      <c r="AD367" s="100">
        <f t="shared" si="398"/>
        <v>0</v>
      </c>
      <c r="AE367" s="100">
        <f t="shared" si="399"/>
        <v>0</v>
      </c>
      <c r="AF367" s="100">
        <f t="shared" si="400"/>
        <v>0</v>
      </c>
      <c r="AG367" s="100">
        <f t="shared" si="401"/>
        <v>0</v>
      </c>
      <c r="AH367" s="100">
        <f t="shared" si="402"/>
        <v>0</v>
      </c>
      <c r="AI367" s="109"/>
      <c r="AJ367" s="108">
        <f t="shared" si="403"/>
        <v>0</v>
      </c>
      <c r="AK367" s="108">
        <f t="shared" si="404"/>
        <v>0</v>
      </c>
      <c r="AL367" s="108">
        <f t="shared" si="405"/>
        <v>0</v>
      </c>
      <c r="AN367" s="100">
        <v>15</v>
      </c>
      <c r="AO367" s="100">
        <f t="shared" si="406"/>
        <v>0</v>
      </c>
      <c r="AP367" s="100">
        <f t="shared" si="407"/>
        <v>0</v>
      </c>
      <c r="AQ367" s="111" t="s">
        <v>13</v>
      </c>
      <c r="AV367" s="100">
        <f t="shared" si="408"/>
        <v>0</v>
      </c>
      <c r="AW367" s="100">
        <f t="shared" si="409"/>
        <v>0</v>
      </c>
      <c r="AX367" s="100">
        <f t="shared" si="410"/>
        <v>0</v>
      </c>
      <c r="AY367" s="110" t="s">
        <v>1712</v>
      </c>
      <c r="AZ367" s="110" t="s">
        <v>1733</v>
      </c>
      <c r="BA367" s="109" t="s">
        <v>1737</v>
      </c>
      <c r="BC367" s="100">
        <f t="shared" si="411"/>
        <v>0</v>
      </c>
      <c r="BD367" s="100">
        <f t="shared" si="412"/>
        <v>0</v>
      </c>
      <c r="BE367" s="100">
        <v>0</v>
      </c>
      <c r="BF367" s="100">
        <f>367</f>
        <v>367</v>
      </c>
      <c r="BH367" s="108">
        <f t="shared" si="413"/>
        <v>0</v>
      </c>
      <c r="BI367" s="108">
        <f t="shared" si="414"/>
        <v>0</v>
      </c>
      <c r="BJ367" s="108">
        <f t="shared" si="415"/>
        <v>0</v>
      </c>
    </row>
    <row r="368" spans="1:62" x14ac:dyDescent="0.2">
      <c r="A368" s="117" t="s">
        <v>327</v>
      </c>
      <c r="B368" s="117" t="s">
        <v>121</v>
      </c>
      <c r="C368" s="304" t="s">
        <v>1400</v>
      </c>
      <c r="D368" s="305"/>
      <c r="E368" s="305"/>
      <c r="F368" s="117" t="s">
        <v>1652</v>
      </c>
      <c r="G368" s="116">
        <v>1</v>
      </c>
      <c r="H368" s="159"/>
      <c r="I368" s="108">
        <f t="shared" si="392"/>
        <v>0</v>
      </c>
      <c r="J368" s="108">
        <f t="shared" si="393"/>
        <v>0</v>
      </c>
      <c r="K368" s="108">
        <f t="shared" si="394"/>
        <v>0</v>
      </c>
      <c r="L368" s="111"/>
      <c r="Z368" s="100">
        <f t="shared" si="395"/>
        <v>0</v>
      </c>
      <c r="AB368" s="100">
        <f t="shared" si="396"/>
        <v>0</v>
      </c>
      <c r="AC368" s="100">
        <f t="shared" si="397"/>
        <v>0</v>
      </c>
      <c r="AD368" s="100">
        <f t="shared" si="398"/>
        <v>0</v>
      </c>
      <c r="AE368" s="100">
        <f t="shared" si="399"/>
        <v>0</v>
      </c>
      <c r="AF368" s="100">
        <f t="shared" si="400"/>
        <v>0</v>
      </c>
      <c r="AG368" s="100">
        <f t="shared" si="401"/>
        <v>0</v>
      </c>
      <c r="AH368" s="100">
        <f t="shared" si="402"/>
        <v>0</v>
      </c>
      <c r="AI368" s="109"/>
      <c r="AJ368" s="108">
        <f t="shared" si="403"/>
        <v>0</v>
      </c>
      <c r="AK368" s="108">
        <f t="shared" si="404"/>
        <v>0</v>
      </c>
      <c r="AL368" s="108">
        <f t="shared" si="405"/>
        <v>0</v>
      </c>
      <c r="AN368" s="100">
        <v>15</v>
      </c>
      <c r="AO368" s="100">
        <f t="shared" si="406"/>
        <v>0</v>
      </c>
      <c r="AP368" s="100">
        <f t="shared" si="407"/>
        <v>0</v>
      </c>
      <c r="AQ368" s="111" t="s">
        <v>13</v>
      </c>
      <c r="AV368" s="100">
        <f t="shared" si="408"/>
        <v>0</v>
      </c>
      <c r="AW368" s="100">
        <f t="shared" si="409"/>
        <v>0</v>
      </c>
      <c r="AX368" s="100">
        <f t="shared" si="410"/>
        <v>0</v>
      </c>
      <c r="AY368" s="110" t="s">
        <v>1712</v>
      </c>
      <c r="AZ368" s="110" t="s">
        <v>1733</v>
      </c>
      <c r="BA368" s="109" t="s">
        <v>1737</v>
      </c>
      <c r="BC368" s="100">
        <f t="shared" si="411"/>
        <v>0</v>
      </c>
      <c r="BD368" s="100">
        <f t="shared" si="412"/>
        <v>0</v>
      </c>
      <c r="BE368" s="100">
        <v>0</v>
      </c>
      <c r="BF368" s="100">
        <f>368</f>
        <v>368</v>
      </c>
      <c r="BH368" s="108">
        <f t="shared" si="413"/>
        <v>0</v>
      </c>
      <c r="BI368" s="108">
        <f t="shared" si="414"/>
        <v>0</v>
      </c>
      <c r="BJ368" s="108">
        <f t="shared" si="415"/>
        <v>0</v>
      </c>
    </row>
    <row r="369" spans="1:62" x14ac:dyDescent="0.2">
      <c r="A369" s="117" t="s">
        <v>328</v>
      </c>
      <c r="B369" s="117" t="s">
        <v>122</v>
      </c>
      <c r="C369" s="304" t="s">
        <v>1401</v>
      </c>
      <c r="D369" s="305"/>
      <c r="E369" s="305"/>
      <c r="F369" s="117" t="s">
        <v>1652</v>
      </c>
      <c r="G369" s="116">
        <v>1</v>
      </c>
      <c r="H369" s="159"/>
      <c r="I369" s="108">
        <f t="shared" si="392"/>
        <v>0</v>
      </c>
      <c r="J369" s="108">
        <f t="shared" si="393"/>
        <v>0</v>
      </c>
      <c r="K369" s="108">
        <f t="shared" si="394"/>
        <v>0</v>
      </c>
      <c r="L369" s="111"/>
      <c r="Z369" s="100">
        <f t="shared" si="395"/>
        <v>0</v>
      </c>
      <c r="AB369" s="100">
        <f t="shared" si="396"/>
        <v>0</v>
      </c>
      <c r="AC369" s="100">
        <f t="shared" si="397"/>
        <v>0</v>
      </c>
      <c r="AD369" s="100">
        <f t="shared" si="398"/>
        <v>0</v>
      </c>
      <c r="AE369" s="100">
        <f t="shared" si="399"/>
        <v>0</v>
      </c>
      <c r="AF369" s="100">
        <f t="shared" si="400"/>
        <v>0</v>
      </c>
      <c r="AG369" s="100">
        <f t="shared" si="401"/>
        <v>0</v>
      </c>
      <c r="AH369" s="100">
        <f t="shared" si="402"/>
        <v>0</v>
      </c>
      <c r="AI369" s="109"/>
      <c r="AJ369" s="108">
        <f t="shared" si="403"/>
        <v>0</v>
      </c>
      <c r="AK369" s="108">
        <f t="shared" si="404"/>
        <v>0</v>
      </c>
      <c r="AL369" s="108">
        <f t="shared" si="405"/>
        <v>0</v>
      </c>
      <c r="AN369" s="100">
        <v>15</v>
      </c>
      <c r="AO369" s="100">
        <f t="shared" si="406"/>
        <v>0</v>
      </c>
      <c r="AP369" s="100">
        <f t="shared" si="407"/>
        <v>0</v>
      </c>
      <c r="AQ369" s="111" t="s">
        <v>13</v>
      </c>
      <c r="AV369" s="100">
        <f t="shared" si="408"/>
        <v>0</v>
      </c>
      <c r="AW369" s="100">
        <f t="shared" si="409"/>
        <v>0</v>
      </c>
      <c r="AX369" s="100">
        <f t="shared" si="410"/>
        <v>0</v>
      </c>
      <c r="AY369" s="110" t="s">
        <v>1712</v>
      </c>
      <c r="AZ369" s="110" t="s">
        <v>1733</v>
      </c>
      <c r="BA369" s="109" t="s">
        <v>1737</v>
      </c>
      <c r="BC369" s="100">
        <f t="shared" si="411"/>
        <v>0</v>
      </c>
      <c r="BD369" s="100">
        <f t="shared" si="412"/>
        <v>0</v>
      </c>
      <c r="BE369" s="100">
        <v>0</v>
      </c>
      <c r="BF369" s="100">
        <f>369</f>
        <v>369</v>
      </c>
      <c r="BH369" s="108">
        <f t="shared" si="413"/>
        <v>0</v>
      </c>
      <c r="BI369" s="108">
        <f t="shared" si="414"/>
        <v>0</v>
      </c>
      <c r="BJ369" s="108">
        <f t="shared" si="415"/>
        <v>0</v>
      </c>
    </row>
    <row r="370" spans="1:62" x14ac:dyDescent="0.2">
      <c r="A370" s="117" t="s">
        <v>329</v>
      </c>
      <c r="B370" s="117" t="s">
        <v>123</v>
      </c>
      <c r="C370" s="304" t="s">
        <v>1402</v>
      </c>
      <c r="D370" s="305"/>
      <c r="E370" s="305"/>
      <c r="F370" s="117" t="s">
        <v>1652</v>
      </c>
      <c r="G370" s="116">
        <v>1</v>
      </c>
      <c r="H370" s="159"/>
      <c r="I370" s="108">
        <f t="shared" si="392"/>
        <v>0</v>
      </c>
      <c r="J370" s="108">
        <f t="shared" si="393"/>
        <v>0</v>
      </c>
      <c r="K370" s="108">
        <f t="shared" si="394"/>
        <v>0</v>
      </c>
      <c r="L370" s="111"/>
      <c r="Z370" s="100">
        <f t="shared" si="395"/>
        <v>0</v>
      </c>
      <c r="AB370" s="100">
        <f t="shared" si="396"/>
        <v>0</v>
      </c>
      <c r="AC370" s="100">
        <f t="shared" si="397"/>
        <v>0</v>
      </c>
      <c r="AD370" s="100">
        <f t="shared" si="398"/>
        <v>0</v>
      </c>
      <c r="AE370" s="100">
        <f t="shared" si="399"/>
        <v>0</v>
      </c>
      <c r="AF370" s="100">
        <f t="shared" si="400"/>
        <v>0</v>
      </c>
      <c r="AG370" s="100">
        <f t="shared" si="401"/>
        <v>0</v>
      </c>
      <c r="AH370" s="100">
        <f t="shared" si="402"/>
        <v>0</v>
      </c>
      <c r="AI370" s="109"/>
      <c r="AJ370" s="108">
        <f t="shared" si="403"/>
        <v>0</v>
      </c>
      <c r="AK370" s="108">
        <f t="shared" si="404"/>
        <v>0</v>
      </c>
      <c r="AL370" s="108">
        <f t="shared" si="405"/>
        <v>0</v>
      </c>
      <c r="AN370" s="100">
        <v>15</v>
      </c>
      <c r="AO370" s="100">
        <f t="shared" si="406"/>
        <v>0</v>
      </c>
      <c r="AP370" s="100">
        <f t="shared" si="407"/>
        <v>0</v>
      </c>
      <c r="AQ370" s="111" t="s">
        <v>13</v>
      </c>
      <c r="AV370" s="100">
        <f t="shared" si="408"/>
        <v>0</v>
      </c>
      <c r="AW370" s="100">
        <f t="shared" si="409"/>
        <v>0</v>
      </c>
      <c r="AX370" s="100">
        <f t="shared" si="410"/>
        <v>0</v>
      </c>
      <c r="AY370" s="110" t="s">
        <v>1712</v>
      </c>
      <c r="AZ370" s="110" t="s">
        <v>1733</v>
      </c>
      <c r="BA370" s="109" t="s">
        <v>1737</v>
      </c>
      <c r="BC370" s="100">
        <f t="shared" si="411"/>
        <v>0</v>
      </c>
      <c r="BD370" s="100">
        <f t="shared" si="412"/>
        <v>0</v>
      </c>
      <c r="BE370" s="100">
        <v>0</v>
      </c>
      <c r="BF370" s="100">
        <f>370</f>
        <v>370</v>
      </c>
      <c r="BH370" s="108">
        <f t="shared" si="413"/>
        <v>0</v>
      </c>
      <c r="BI370" s="108">
        <f t="shared" si="414"/>
        <v>0</v>
      </c>
      <c r="BJ370" s="108">
        <f t="shared" si="415"/>
        <v>0</v>
      </c>
    </row>
    <row r="371" spans="1:62" x14ac:dyDescent="0.2">
      <c r="A371" s="117" t="s">
        <v>330</v>
      </c>
      <c r="B371" s="117" t="s">
        <v>124</v>
      </c>
      <c r="C371" s="304" t="s">
        <v>1403</v>
      </c>
      <c r="D371" s="305"/>
      <c r="E371" s="305"/>
      <c r="F371" s="117" t="s">
        <v>1652</v>
      </c>
      <c r="G371" s="116">
        <v>1</v>
      </c>
      <c r="H371" s="159"/>
      <c r="I371" s="108">
        <f t="shared" si="392"/>
        <v>0</v>
      </c>
      <c r="J371" s="108">
        <f t="shared" si="393"/>
        <v>0</v>
      </c>
      <c r="K371" s="108">
        <f t="shared" si="394"/>
        <v>0</v>
      </c>
      <c r="L371" s="111"/>
      <c r="Z371" s="100">
        <f t="shared" si="395"/>
        <v>0</v>
      </c>
      <c r="AB371" s="100">
        <f t="shared" si="396"/>
        <v>0</v>
      </c>
      <c r="AC371" s="100">
        <f t="shared" si="397"/>
        <v>0</v>
      </c>
      <c r="AD371" s="100">
        <f t="shared" si="398"/>
        <v>0</v>
      </c>
      <c r="AE371" s="100">
        <f t="shared" si="399"/>
        <v>0</v>
      </c>
      <c r="AF371" s="100">
        <f t="shared" si="400"/>
        <v>0</v>
      </c>
      <c r="AG371" s="100">
        <f t="shared" si="401"/>
        <v>0</v>
      </c>
      <c r="AH371" s="100">
        <f t="shared" si="402"/>
        <v>0</v>
      </c>
      <c r="AI371" s="109"/>
      <c r="AJ371" s="108">
        <f t="shared" si="403"/>
        <v>0</v>
      </c>
      <c r="AK371" s="108">
        <f t="shared" si="404"/>
        <v>0</v>
      </c>
      <c r="AL371" s="108">
        <f t="shared" si="405"/>
        <v>0</v>
      </c>
      <c r="AN371" s="100">
        <v>15</v>
      </c>
      <c r="AO371" s="100">
        <f t="shared" si="406"/>
        <v>0</v>
      </c>
      <c r="AP371" s="100">
        <f t="shared" si="407"/>
        <v>0</v>
      </c>
      <c r="AQ371" s="111" t="s">
        <v>13</v>
      </c>
      <c r="AV371" s="100">
        <f t="shared" si="408"/>
        <v>0</v>
      </c>
      <c r="AW371" s="100">
        <f t="shared" si="409"/>
        <v>0</v>
      </c>
      <c r="AX371" s="100">
        <f t="shared" si="410"/>
        <v>0</v>
      </c>
      <c r="AY371" s="110" t="s">
        <v>1712</v>
      </c>
      <c r="AZ371" s="110" t="s">
        <v>1733</v>
      </c>
      <c r="BA371" s="109" t="s">
        <v>1737</v>
      </c>
      <c r="BC371" s="100">
        <f t="shared" si="411"/>
        <v>0</v>
      </c>
      <c r="BD371" s="100">
        <f t="shared" si="412"/>
        <v>0</v>
      </c>
      <c r="BE371" s="100">
        <v>0</v>
      </c>
      <c r="BF371" s="100">
        <f>371</f>
        <v>371</v>
      </c>
      <c r="BH371" s="108">
        <f t="shared" si="413"/>
        <v>0</v>
      </c>
      <c r="BI371" s="108">
        <f t="shared" si="414"/>
        <v>0</v>
      </c>
      <c r="BJ371" s="108">
        <f t="shared" si="415"/>
        <v>0</v>
      </c>
    </row>
    <row r="372" spans="1:62" x14ac:dyDescent="0.2">
      <c r="A372" s="117" t="s">
        <v>331</v>
      </c>
      <c r="B372" s="117" t="s">
        <v>125</v>
      </c>
      <c r="C372" s="304" t="s">
        <v>1404</v>
      </c>
      <c r="D372" s="305"/>
      <c r="E372" s="305"/>
      <c r="F372" s="117" t="s">
        <v>1646</v>
      </c>
      <c r="G372" s="116">
        <v>450</v>
      </c>
      <c r="H372" s="159"/>
      <c r="I372" s="108">
        <f t="shared" si="392"/>
        <v>0</v>
      </c>
      <c r="J372" s="108">
        <f t="shared" si="393"/>
        <v>0</v>
      </c>
      <c r="K372" s="108">
        <f t="shared" si="394"/>
        <v>0</v>
      </c>
      <c r="L372" s="111"/>
      <c r="Z372" s="100">
        <f t="shared" si="395"/>
        <v>0</v>
      </c>
      <c r="AB372" s="100">
        <f t="shared" si="396"/>
        <v>0</v>
      </c>
      <c r="AC372" s="100">
        <f t="shared" si="397"/>
        <v>0</v>
      </c>
      <c r="AD372" s="100">
        <f t="shared" si="398"/>
        <v>0</v>
      </c>
      <c r="AE372" s="100">
        <f t="shared" si="399"/>
        <v>0</v>
      </c>
      <c r="AF372" s="100">
        <f t="shared" si="400"/>
        <v>0</v>
      </c>
      <c r="AG372" s="100">
        <f t="shared" si="401"/>
        <v>0</v>
      </c>
      <c r="AH372" s="100">
        <f t="shared" si="402"/>
        <v>0</v>
      </c>
      <c r="AI372" s="109"/>
      <c r="AJ372" s="108">
        <f t="shared" si="403"/>
        <v>0</v>
      </c>
      <c r="AK372" s="108">
        <f t="shared" si="404"/>
        <v>0</v>
      </c>
      <c r="AL372" s="108">
        <f t="shared" si="405"/>
        <v>0</v>
      </c>
      <c r="AN372" s="100">
        <v>15</v>
      </c>
      <c r="AO372" s="100">
        <f t="shared" si="406"/>
        <v>0</v>
      </c>
      <c r="AP372" s="100">
        <f t="shared" si="407"/>
        <v>0</v>
      </c>
      <c r="AQ372" s="111" t="s">
        <v>13</v>
      </c>
      <c r="AV372" s="100">
        <f t="shared" si="408"/>
        <v>0</v>
      </c>
      <c r="AW372" s="100">
        <f t="shared" si="409"/>
        <v>0</v>
      </c>
      <c r="AX372" s="100">
        <f t="shared" si="410"/>
        <v>0</v>
      </c>
      <c r="AY372" s="110" t="s">
        <v>1712</v>
      </c>
      <c r="AZ372" s="110" t="s">
        <v>1733</v>
      </c>
      <c r="BA372" s="109" t="s">
        <v>1737</v>
      </c>
      <c r="BC372" s="100">
        <f t="shared" si="411"/>
        <v>0</v>
      </c>
      <c r="BD372" s="100">
        <f t="shared" si="412"/>
        <v>0</v>
      </c>
      <c r="BE372" s="100">
        <v>0</v>
      </c>
      <c r="BF372" s="100">
        <f>372</f>
        <v>372</v>
      </c>
      <c r="BH372" s="108">
        <f t="shared" si="413"/>
        <v>0</v>
      </c>
      <c r="BI372" s="108">
        <f t="shared" si="414"/>
        <v>0</v>
      </c>
      <c r="BJ372" s="108">
        <f t="shared" si="415"/>
        <v>0</v>
      </c>
    </row>
    <row r="373" spans="1:62" x14ac:dyDescent="0.2">
      <c r="A373" s="117" t="s">
        <v>332</v>
      </c>
      <c r="B373" s="117" t="s">
        <v>823</v>
      </c>
      <c r="C373" s="304" t="s">
        <v>1405</v>
      </c>
      <c r="D373" s="305"/>
      <c r="E373" s="305"/>
      <c r="F373" s="117" t="s">
        <v>1646</v>
      </c>
      <c r="G373" s="116">
        <v>180</v>
      </c>
      <c r="H373" s="159"/>
      <c r="I373" s="108">
        <f t="shared" si="392"/>
        <v>0</v>
      </c>
      <c r="J373" s="108">
        <f t="shared" si="393"/>
        <v>0</v>
      </c>
      <c r="K373" s="108">
        <f t="shared" si="394"/>
        <v>0</v>
      </c>
      <c r="L373" s="111"/>
      <c r="Z373" s="100">
        <f t="shared" si="395"/>
        <v>0</v>
      </c>
      <c r="AB373" s="100">
        <f t="shared" si="396"/>
        <v>0</v>
      </c>
      <c r="AC373" s="100">
        <f t="shared" si="397"/>
        <v>0</v>
      </c>
      <c r="AD373" s="100">
        <f t="shared" si="398"/>
        <v>0</v>
      </c>
      <c r="AE373" s="100">
        <f t="shared" si="399"/>
        <v>0</v>
      </c>
      <c r="AF373" s="100">
        <f t="shared" si="400"/>
        <v>0</v>
      </c>
      <c r="AG373" s="100">
        <f t="shared" si="401"/>
        <v>0</v>
      </c>
      <c r="AH373" s="100">
        <f t="shared" si="402"/>
        <v>0</v>
      </c>
      <c r="AI373" s="109"/>
      <c r="AJ373" s="108">
        <f t="shared" si="403"/>
        <v>0</v>
      </c>
      <c r="AK373" s="108">
        <f t="shared" si="404"/>
        <v>0</v>
      </c>
      <c r="AL373" s="108">
        <f t="shared" si="405"/>
        <v>0</v>
      </c>
      <c r="AN373" s="100">
        <v>15</v>
      </c>
      <c r="AO373" s="100">
        <f t="shared" si="406"/>
        <v>0</v>
      </c>
      <c r="AP373" s="100">
        <f t="shared" si="407"/>
        <v>0</v>
      </c>
      <c r="AQ373" s="111" t="s">
        <v>13</v>
      </c>
      <c r="AV373" s="100">
        <f t="shared" si="408"/>
        <v>0</v>
      </c>
      <c r="AW373" s="100">
        <f t="shared" si="409"/>
        <v>0</v>
      </c>
      <c r="AX373" s="100">
        <f t="shared" si="410"/>
        <v>0</v>
      </c>
      <c r="AY373" s="110" t="s">
        <v>1712</v>
      </c>
      <c r="AZ373" s="110" t="s">
        <v>1733</v>
      </c>
      <c r="BA373" s="109" t="s">
        <v>1737</v>
      </c>
      <c r="BC373" s="100">
        <f t="shared" si="411"/>
        <v>0</v>
      </c>
      <c r="BD373" s="100">
        <f t="shared" si="412"/>
        <v>0</v>
      </c>
      <c r="BE373" s="100">
        <v>0</v>
      </c>
      <c r="BF373" s="100">
        <f>373</f>
        <v>373</v>
      </c>
      <c r="BH373" s="108">
        <f t="shared" si="413"/>
        <v>0</v>
      </c>
      <c r="BI373" s="108">
        <f t="shared" si="414"/>
        <v>0</v>
      </c>
      <c r="BJ373" s="108">
        <f t="shared" si="415"/>
        <v>0</v>
      </c>
    </row>
    <row r="374" spans="1:62" x14ac:dyDescent="0.2">
      <c r="A374" s="117" t="s">
        <v>333</v>
      </c>
      <c r="B374" s="117" t="s">
        <v>824</v>
      </c>
      <c r="C374" s="304" t="s">
        <v>1406</v>
      </c>
      <c r="D374" s="305"/>
      <c r="E374" s="305"/>
      <c r="F374" s="117" t="s">
        <v>1652</v>
      </c>
      <c r="G374" s="116">
        <v>3</v>
      </c>
      <c r="H374" s="159"/>
      <c r="I374" s="108">
        <f t="shared" si="392"/>
        <v>0</v>
      </c>
      <c r="J374" s="108">
        <f t="shared" si="393"/>
        <v>0</v>
      </c>
      <c r="K374" s="108">
        <f t="shared" si="394"/>
        <v>0</v>
      </c>
      <c r="L374" s="111"/>
      <c r="Z374" s="100">
        <f t="shared" si="395"/>
        <v>0</v>
      </c>
      <c r="AB374" s="100">
        <f t="shared" si="396"/>
        <v>0</v>
      </c>
      <c r="AC374" s="100">
        <f t="shared" si="397"/>
        <v>0</v>
      </c>
      <c r="AD374" s="100">
        <f t="shared" si="398"/>
        <v>0</v>
      </c>
      <c r="AE374" s="100">
        <f t="shared" si="399"/>
        <v>0</v>
      </c>
      <c r="AF374" s="100">
        <f t="shared" si="400"/>
        <v>0</v>
      </c>
      <c r="AG374" s="100">
        <f t="shared" si="401"/>
        <v>0</v>
      </c>
      <c r="AH374" s="100">
        <f t="shared" si="402"/>
        <v>0</v>
      </c>
      <c r="AI374" s="109"/>
      <c r="AJ374" s="108">
        <f t="shared" si="403"/>
        <v>0</v>
      </c>
      <c r="AK374" s="108">
        <f t="shared" si="404"/>
        <v>0</v>
      </c>
      <c r="AL374" s="108">
        <f t="shared" si="405"/>
        <v>0</v>
      </c>
      <c r="AN374" s="100">
        <v>15</v>
      </c>
      <c r="AO374" s="100">
        <f t="shared" si="406"/>
        <v>0</v>
      </c>
      <c r="AP374" s="100">
        <f t="shared" si="407"/>
        <v>0</v>
      </c>
      <c r="AQ374" s="111" t="s">
        <v>13</v>
      </c>
      <c r="AV374" s="100">
        <f t="shared" si="408"/>
        <v>0</v>
      </c>
      <c r="AW374" s="100">
        <f t="shared" si="409"/>
        <v>0</v>
      </c>
      <c r="AX374" s="100">
        <f t="shared" si="410"/>
        <v>0</v>
      </c>
      <c r="AY374" s="110" t="s">
        <v>1712</v>
      </c>
      <c r="AZ374" s="110" t="s">
        <v>1733</v>
      </c>
      <c r="BA374" s="109" t="s">
        <v>1737</v>
      </c>
      <c r="BC374" s="100">
        <f t="shared" si="411"/>
        <v>0</v>
      </c>
      <c r="BD374" s="100">
        <f t="shared" si="412"/>
        <v>0</v>
      </c>
      <c r="BE374" s="100">
        <v>0</v>
      </c>
      <c r="BF374" s="100">
        <f>374</f>
        <v>374</v>
      </c>
      <c r="BH374" s="108">
        <f t="shared" si="413"/>
        <v>0</v>
      </c>
      <c r="BI374" s="108">
        <f t="shared" si="414"/>
        <v>0</v>
      </c>
      <c r="BJ374" s="108">
        <f t="shared" si="415"/>
        <v>0</v>
      </c>
    </row>
    <row r="375" spans="1:62" x14ac:dyDescent="0.2">
      <c r="A375" s="117" t="s">
        <v>334</v>
      </c>
      <c r="B375" s="117" t="s">
        <v>825</v>
      </c>
      <c r="C375" s="304" t="s">
        <v>1407</v>
      </c>
      <c r="D375" s="305"/>
      <c r="E375" s="305"/>
      <c r="F375" s="117" t="s">
        <v>1644</v>
      </c>
      <c r="G375" s="116">
        <v>3</v>
      </c>
      <c r="H375" s="159"/>
      <c r="I375" s="108">
        <f t="shared" si="392"/>
        <v>0</v>
      </c>
      <c r="J375" s="108">
        <f t="shared" si="393"/>
        <v>0</v>
      </c>
      <c r="K375" s="108">
        <f t="shared" si="394"/>
        <v>0</v>
      </c>
      <c r="L375" s="111"/>
      <c r="Z375" s="100">
        <f t="shared" si="395"/>
        <v>0</v>
      </c>
      <c r="AB375" s="100">
        <f t="shared" si="396"/>
        <v>0</v>
      </c>
      <c r="AC375" s="100">
        <f t="shared" si="397"/>
        <v>0</v>
      </c>
      <c r="AD375" s="100">
        <f t="shared" si="398"/>
        <v>0</v>
      </c>
      <c r="AE375" s="100">
        <f t="shared" si="399"/>
        <v>0</v>
      </c>
      <c r="AF375" s="100">
        <f t="shared" si="400"/>
        <v>0</v>
      </c>
      <c r="AG375" s="100">
        <f t="shared" si="401"/>
        <v>0</v>
      </c>
      <c r="AH375" s="100">
        <f t="shared" si="402"/>
        <v>0</v>
      </c>
      <c r="AI375" s="109"/>
      <c r="AJ375" s="108">
        <f t="shared" si="403"/>
        <v>0</v>
      </c>
      <c r="AK375" s="108">
        <f t="shared" si="404"/>
        <v>0</v>
      </c>
      <c r="AL375" s="108">
        <f t="shared" si="405"/>
        <v>0</v>
      </c>
      <c r="AN375" s="100">
        <v>15</v>
      </c>
      <c r="AO375" s="100">
        <f t="shared" si="406"/>
        <v>0</v>
      </c>
      <c r="AP375" s="100">
        <f t="shared" si="407"/>
        <v>0</v>
      </c>
      <c r="AQ375" s="111" t="s">
        <v>13</v>
      </c>
      <c r="AV375" s="100">
        <f t="shared" si="408"/>
        <v>0</v>
      </c>
      <c r="AW375" s="100">
        <f t="shared" si="409"/>
        <v>0</v>
      </c>
      <c r="AX375" s="100">
        <f t="shared" si="410"/>
        <v>0</v>
      </c>
      <c r="AY375" s="110" t="s">
        <v>1712</v>
      </c>
      <c r="AZ375" s="110" t="s">
        <v>1733</v>
      </c>
      <c r="BA375" s="109" t="s">
        <v>1737</v>
      </c>
      <c r="BC375" s="100">
        <f t="shared" si="411"/>
        <v>0</v>
      </c>
      <c r="BD375" s="100">
        <f t="shared" si="412"/>
        <v>0</v>
      </c>
      <c r="BE375" s="100">
        <v>0</v>
      </c>
      <c r="BF375" s="100">
        <f>375</f>
        <v>375</v>
      </c>
      <c r="BH375" s="108">
        <f t="shared" si="413"/>
        <v>0</v>
      </c>
      <c r="BI375" s="108">
        <f t="shared" si="414"/>
        <v>0</v>
      </c>
      <c r="BJ375" s="108">
        <f t="shared" si="415"/>
        <v>0</v>
      </c>
    </row>
    <row r="376" spans="1:62" x14ac:dyDescent="0.2">
      <c r="A376" s="117" t="s">
        <v>335</v>
      </c>
      <c r="B376" s="117" t="s">
        <v>826</v>
      </c>
      <c r="C376" s="304" t="s">
        <v>1408</v>
      </c>
      <c r="D376" s="305"/>
      <c r="E376" s="305"/>
      <c r="F376" s="117" t="s">
        <v>1644</v>
      </c>
      <c r="G376" s="116">
        <v>3</v>
      </c>
      <c r="H376" s="159"/>
      <c r="I376" s="108">
        <f t="shared" si="392"/>
        <v>0</v>
      </c>
      <c r="J376" s="108">
        <f t="shared" si="393"/>
        <v>0</v>
      </c>
      <c r="K376" s="108">
        <f t="shared" si="394"/>
        <v>0</v>
      </c>
      <c r="L376" s="111"/>
      <c r="Z376" s="100">
        <f t="shared" si="395"/>
        <v>0</v>
      </c>
      <c r="AB376" s="100">
        <f t="shared" si="396"/>
        <v>0</v>
      </c>
      <c r="AC376" s="100">
        <f t="shared" si="397"/>
        <v>0</v>
      </c>
      <c r="AD376" s="100">
        <f t="shared" si="398"/>
        <v>0</v>
      </c>
      <c r="AE376" s="100">
        <f t="shared" si="399"/>
        <v>0</v>
      </c>
      <c r="AF376" s="100">
        <f t="shared" si="400"/>
        <v>0</v>
      </c>
      <c r="AG376" s="100">
        <f t="shared" si="401"/>
        <v>0</v>
      </c>
      <c r="AH376" s="100">
        <f t="shared" si="402"/>
        <v>0</v>
      </c>
      <c r="AI376" s="109"/>
      <c r="AJ376" s="108">
        <f t="shared" si="403"/>
        <v>0</v>
      </c>
      <c r="AK376" s="108">
        <f t="shared" si="404"/>
        <v>0</v>
      </c>
      <c r="AL376" s="108">
        <f t="shared" si="405"/>
        <v>0</v>
      </c>
      <c r="AN376" s="100">
        <v>15</v>
      </c>
      <c r="AO376" s="100">
        <f t="shared" si="406"/>
        <v>0</v>
      </c>
      <c r="AP376" s="100">
        <f t="shared" si="407"/>
        <v>0</v>
      </c>
      <c r="AQ376" s="111" t="s">
        <v>13</v>
      </c>
      <c r="AV376" s="100">
        <f t="shared" si="408"/>
        <v>0</v>
      </c>
      <c r="AW376" s="100">
        <f t="shared" si="409"/>
        <v>0</v>
      </c>
      <c r="AX376" s="100">
        <f t="shared" si="410"/>
        <v>0</v>
      </c>
      <c r="AY376" s="110" t="s">
        <v>1712</v>
      </c>
      <c r="AZ376" s="110" t="s">
        <v>1733</v>
      </c>
      <c r="BA376" s="109" t="s">
        <v>1737</v>
      </c>
      <c r="BC376" s="100">
        <f t="shared" si="411"/>
        <v>0</v>
      </c>
      <c r="BD376" s="100">
        <f t="shared" si="412"/>
        <v>0</v>
      </c>
      <c r="BE376" s="100">
        <v>0</v>
      </c>
      <c r="BF376" s="100">
        <f>376</f>
        <v>376</v>
      </c>
      <c r="BH376" s="108">
        <f t="shared" si="413"/>
        <v>0</v>
      </c>
      <c r="BI376" s="108">
        <f t="shared" si="414"/>
        <v>0</v>
      </c>
      <c r="BJ376" s="108">
        <f t="shared" si="415"/>
        <v>0</v>
      </c>
    </row>
    <row r="377" spans="1:62" x14ac:dyDescent="0.2">
      <c r="A377" s="117" t="s">
        <v>336</v>
      </c>
      <c r="B377" s="117" t="s">
        <v>827</v>
      </c>
      <c r="C377" s="304" t="s">
        <v>1409</v>
      </c>
      <c r="D377" s="305"/>
      <c r="E377" s="305"/>
      <c r="F377" s="117" t="s">
        <v>1644</v>
      </c>
      <c r="G377" s="116">
        <v>3</v>
      </c>
      <c r="H377" s="159"/>
      <c r="I377" s="108">
        <f t="shared" si="392"/>
        <v>0</v>
      </c>
      <c r="J377" s="108">
        <f t="shared" si="393"/>
        <v>0</v>
      </c>
      <c r="K377" s="108">
        <f t="shared" si="394"/>
        <v>0</v>
      </c>
      <c r="L377" s="111"/>
      <c r="Z377" s="100">
        <f t="shared" si="395"/>
        <v>0</v>
      </c>
      <c r="AB377" s="100">
        <f t="shared" si="396"/>
        <v>0</v>
      </c>
      <c r="AC377" s="100">
        <f t="shared" si="397"/>
        <v>0</v>
      </c>
      <c r="AD377" s="100">
        <f t="shared" si="398"/>
        <v>0</v>
      </c>
      <c r="AE377" s="100">
        <f t="shared" si="399"/>
        <v>0</v>
      </c>
      <c r="AF377" s="100">
        <f t="shared" si="400"/>
        <v>0</v>
      </c>
      <c r="AG377" s="100">
        <f t="shared" si="401"/>
        <v>0</v>
      </c>
      <c r="AH377" s="100">
        <f t="shared" si="402"/>
        <v>0</v>
      </c>
      <c r="AI377" s="109"/>
      <c r="AJ377" s="108">
        <f t="shared" si="403"/>
        <v>0</v>
      </c>
      <c r="AK377" s="108">
        <f t="shared" si="404"/>
        <v>0</v>
      </c>
      <c r="AL377" s="108">
        <f t="shared" si="405"/>
        <v>0</v>
      </c>
      <c r="AN377" s="100">
        <v>15</v>
      </c>
      <c r="AO377" s="100">
        <f t="shared" si="406"/>
        <v>0</v>
      </c>
      <c r="AP377" s="100">
        <f t="shared" si="407"/>
        <v>0</v>
      </c>
      <c r="AQ377" s="111" t="s">
        <v>13</v>
      </c>
      <c r="AV377" s="100">
        <f t="shared" si="408"/>
        <v>0</v>
      </c>
      <c r="AW377" s="100">
        <f t="shared" si="409"/>
        <v>0</v>
      </c>
      <c r="AX377" s="100">
        <f t="shared" si="410"/>
        <v>0</v>
      </c>
      <c r="AY377" s="110" t="s">
        <v>1712</v>
      </c>
      <c r="AZ377" s="110" t="s">
        <v>1733</v>
      </c>
      <c r="BA377" s="109" t="s">
        <v>1737</v>
      </c>
      <c r="BC377" s="100">
        <f t="shared" si="411"/>
        <v>0</v>
      </c>
      <c r="BD377" s="100">
        <f t="shared" si="412"/>
        <v>0</v>
      </c>
      <c r="BE377" s="100">
        <v>0</v>
      </c>
      <c r="BF377" s="100">
        <f>377</f>
        <v>377</v>
      </c>
      <c r="BH377" s="108">
        <f t="shared" si="413"/>
        <v>0</v>
      </c>
      <c r="BI377" s="108">
        <f t="shared" si="414"/>
        <v>0</v>
      </c>
      <c r="BJ377" s="108">
        <f t="shared" si="415"/>
        <v>0</v>
      </c>
    </row>
    <row r="378" spans="1:62" x14ac:dyDescent="0.2">
      <c r="A378" s="117" t="s">
        <v>337</v>
      </c>
      <c r="B378" s="117" t="s">
        <v>828</v>
      </c>
      <c r="C378" s="304" t="s">
        <v>1410</v>
      </c>
      <c r="D378" s="305"/>
      <c r="E378" s="305"/>
      <c r="F378" s="117" t="s">
        <v>1652</v>
      </c>
      <c r="G378" s="116">
        <v>3</v>
      </c>
      <c r="H378" s="159"/>
      <c r="I378" s="108">
        <f t="shared" si="392"/>
        <v>0</v>
      </c>
      <c r="J378" s="108">
        <f t="shared" si="393"/>
        <v>0</v>
      </c>
      <c r="K378" s="108">
        <f t="shared" si="394"/>
        <v>0</v>
      </c>
      <c r="L378" s="111"/>
      <c r="Z378" s="100">
        <f t="shared" si="395"/>
        <v>0</v>
      </c>
      <c r="AB378" s="100">
        <f t="shared" si="396"/>
        <v>0</v>
      </c>
      <c r="AC378" s="100">
        <f t="shared" si="397"/>
        <v>0</v>
      </c>
      <c r="AD378" s="100">
        <f t="shared" si="398"/>
        <v>0</v>
      </c>
      <c r="AE378" s="100">
        <f t="shared" si="399"/>
        <v>0</v>
      </c>
      <c r="AF378" s="100">
        <f t="shared" si="400"/>
        <v>0</v>
      </c>
      <c r="AG378" s="100">
        <f t="shared" si="401"/>
        <v>0</v>
      </c>
      <c r="AH378" s="100">
        <f t="shared" si="402"/>
        <v>0</v>
      </c>
      <c r="AI378" s="109"/>
      <c r="AJ378" s="108">
        <f t="shared" si="403"/>
        <v>0</v>
      </c>
      <c r="AK378" s="108">
        <f t="shared" si="404"/>
        <v>0</v>
      </c>
      <c r="AL378" s="108">
        <f t="shared" si="405"/>
        <v>0</v>
      </c>
      <c r="AN378" s="100">
        <v>15</v>
      </c>
      <c r="AO378" s="100">
        <f t="shared" si="406"/>
        <v>0</v>
      </c>
      <c r="AP378" s="100">
        <f t="shared" si="407"/>
        <v>0</v>
      </c>
      <c r="AQ378" s="111" t="s">
        <v>13</v>
      </c>
      <c r="AV378" s="100">
        <f t="shared" si="408"/>
        <v>0</v>
      </c>
      <c r="AW378" s="100">
        <f t="shared" si="409"/>
        <v>0</v>
      </c>
      <c r="AX378" s="100">
        <f t="shared" si="410"/>
        <v>0</v>
      </c>
      <c r="AY378" s="110" t="s">
        <v>1712</v>
      </c>
      <c r="AZ378" s="110" t="s">
        <v>1733</v>
      </c>
      <c r="BA378" s="109" t="s">
        <v>1737</v>
      </c>
      <c r="BC378" s="100">
        <f t="shared" si="411"/>
        <v>0</v>
      </c>
      <c r="BD378" s="100">
        <f t="shared" si="412"/>
        <v>0</v>
      </c>
      <c r="BE378" s="100">
        <v>0</v>
      </c>
      <c r="BF378" s="100">
        <f>378</f>
        <v>378</v>
      </c>
      <c r="BH378" s="108">
        <f t="shared" si="413"/>
        <v>0</v>
      </c>
      <c r="BI378" s="108">
        <f t="shared" si="414"/>
        <v>0</v>
      </c>
      <c r="BJ378" s="108">
        <f t="shared" si="415"/>
        <v>0</v>
      </c>
    </row>
    <row r="379" spans="1:62" x14ac:dyDescent="0.2">
      <c r="A379" s="117" t="s">
        <v>338</v>
      </c>
      <c r="B379" s="117" t="s">
        <v>829</v>
      </c>
      <c r="C379" s="304" t="s">
        <v>1411</v>
      </c>
      <c r="D379" s="305"/>
      <c r="E379" s="305"/>
      <c r="F379" s="117" t="s">
        <v>1652</v>
      </c>
      <c r="G379" s="116">
        <v>3</v>
      </c>
      <c r="H379" s="159"/>
      <c r="I379" s="108">
        <f t="shared" si="392"/>
        <v>0</v>
      </c>
      <c r="J379" s="108">
        <f t="shared" si="393"/>
        <v>0</v>
      </c>
      <c r="K379" s="108">
        <f t="shared" si="394"/>
        <v>0</v>
      </c>
      <c r="L379" s="111"/>
      <c r="Z379" s="100">
        <f t="shared" si="395"/>
        <v>0</v>
      </c>
      <c r="AB379" s="100">
        <f t="shared" si="396"/>
        <v>0</v>
      </c>
      <c r="AC379" s="100">
        <f t="shared" si="397"/>
        <v>0</v>
      </c>
      <c r="AD379" s="100">
        <f t="shared" si="398"/>
        <v>0</v>
      </c>
      <c r="AE379" s="100">
        <f t="shared" si="399"/>
        <v>0</v>
      </c>
      <c r="AF379" s="100">
        <f t="shared" si="400"/>
        <v>0</v>
      </c>
      <c r="AG379" s="100">
        <f t="shared" si="401"/>
        <v>0</v>
      </c>
      <c r="AH379" s="100">
        <f t="shared" si="402"/>
        <v>0</v>
      </c>
      <c r="AI379" s="109"/>
      <c r="AJ379" s="108">
        <f t="shared" si="403"/>
        <v>0</v>
      </c>
      <c r="AK379" s="108">
        <f t="shared" si="404"/>
        <v>0</v>
      </c>
      <c r="AL379" s="108">
        <f t="shared" si="405"/>
        <v>0</v>
      </c>
      <c r="AN379" s="100">
        <v>15</v>
      </c>
      <c r="AO379" s="100">
        <f t="shared" si="406"/>
        <v>0</v>
      </c>
      <c r="AP379" s="100">
        <f t="shared" si="407"/>
        <v>0</v>
      </c>
      <c r="AQ379" s="111" t="s">
        <v>13</v>
      </c>
      <c r="AV379" s="100">
        <f t="shared" si="408"/>
        <v>0</v>
      </c>
      <c r="AW379" s="100">
        <f t="shared" si="409"/>
        <v>0</v>
      </c>
      <c r="AX379" s="100">
        <f t="shared" si="410"/>
        <v>0</v>
      </c>
      <c r="AY379" s="110" t="s">
        <v>1712</v>
      </c>
      <c r="AZ379" s="110" t="s">
        <v>1733</v>
      </c>
      <c r="BA379" s="109" t="s">
        <v>1737</v>
      </c>
      <c r="BC379" s="100">
        <f t="shared" si="411"/>
        <v>0</v>
      </c>
      <c r="BD379" s="100">
        <f t="shared" si="412"/>
        <v>0</v>
      </c>
      <c r="BE379" s="100">
        <v>0</v>
      </c>
      <c r="BF379" s="100">
        <f>379</f>
        <v>379</v>
      </c>
      <c r="BH379" s="108">
        <f t="shared" si="413"/>
        <v>0</v>
      </c>
      <c r="BI379" s="108">
        <f t="shared" si="414"/>
        <v>0</v>
      </c>
      <c r="BJ379" s="108">
        <f t="shared" si="415"/>
        <v>0</v>
      </c>
    </row>
    <row r="380" spans="1:62" x14ac:dyDescent="0.2">
      <c r="A380" s="117" t="s">
        <v>339</v>
      </c>
      <c r="B380" s="117" t="s">
        <v>830</v>
      </c>
      <c r="C380" s="304" t="s">
        <v>1412</v>
      </c>
      <c r="D380" s="305"/>
      <c r="E380" s="305"/>
      <c r="F380" s="117" t="s">
        <v>1647</v>
      </c>
      <c r="G380" s="116">
        <v>7</v>
      </c>
      <c r="H380" s="159"/>
      <c r="I380" s="108">
        <f t="shared" si="392"/>
        <v>0</v>
      </c>
      <c r="J380" s="108">
        <f t="shared" si="393"/>
        <v>0</v>
      </c>
      <c r="K380" s="108">
        <f t="shared" si="394"/>
        <v>0</v>
      </c>
      <c r="L380" s="111"/>
      <c r="Z380" s="100">
        <f t="shared" si="395"/>
        <v>0</v>
      </c>
      <c r="AB380" s="100">
        <f t="shared" si="396"/>
        <v>0</v>
      </c>
      <c r="AC380" s="100">
        <f t="shared" si="397"/>
        <v>0</v>
      </c>
      <c r="AD380" s="100">
        <f t="shared" si="398"/>
        <v>0</v>
      </c>
      <c r="AE380" s="100">
        <f t="shared" si="399"/>
        <v>0</v>
      </c>
      <c r="AF380" s="100">
        <f t="shared" si="400"/>
        <v>0</v>
      </c>
      <c r="AG380" s="100">
        <f t="shared" si="401"/>
        <v>0</v>
      </c>
      <c r="AH380" s="100">
        <f t="shared" si="402"/>
        <v>0</v>
      </c>
      <c r="AI380" s="109"/>
      <c r="AJ380" s="108">
        <f t="shared" si="403"/>
        <v>0</v>
      </c>
      <c r="AK380" s="108">
        <f t="shared" si="404"/>
        <v>0</v>
      </c>
      <c r="AL380" s="108">
        <f t="shared" si="405"/>
        <v>0</v>
      </c>
      <c r="AN380" s="100">
        <v>15</v>
      </c>
      <c r="AO380" s="100">
        <f t="shared" si="406"/>
        <v>0</v>
      </c>
      <c r="AP380" s="100">
        <f t="shared" si="407"/>
        <v>0</v>
      </c>
      <c r="AQ380" s="111" t="s">
        <v>13</v>
      </c>
      <c r="AV380" s="100">
        <f t="shared" si="408"/>
        <v>0</v>
      </c>
      <c r="AW380" s="100">
        <f t="shared" si="409"/>
        <v>0</v>
      </c>
      <c r="AX380" s="100">
        <f t="shared" si="410"/>
        <v>0</v>
      </c>
      <c r="AY380" s="110" t="s">
        <v>1712</v>
      </c>
      <c r="AZ380" s="110" t="s">
        <v>1733</v>
      </c>
      <c r="BA380" s="109" t="s">
        <v>1737</v>
      </c>
      <c r="BC380" s="100">
        <f t="shared" si="411"/>
        <v>0</v>
      </c>
      <c r="BD380" s="100">
        <f t="shared" si="412"/>
        <v>0</v>
      </c>
      <c r="BE380" s="100">
        <v>0</v>
      </c>
      <c r="BF380" s="100">
        <f>380</f>
        <v>380</v>
      </c>
      <c r="BH380" s="108">
        <f t="shared" si="413"/>
        <v>0</v>
      </c>
      <c r="BI380" s="108">
        <f t="shared" si="414"/>
        <v>0</v>
      </c>
      <c r="BJ380" s="108">
        <f t="shared" si="415"/>
        <v>0</v>
      </c>
    </row>
    <row r="381" spans="1:62" x14ac:dyDescent="0.2">
      <c r="A381" s="117" t="s">
        <v>340</v>
      </c>
      <c r="B381" s="117" t="s">
        <v>831</v>
      </c>
      <c r="C381" s="304" t="s">
        <v>1413</v>
      </c>
      <c r="D381" s="305"/>
      <c r="E381" s="305"/>
      <c r="F381" s="117" t="s">
        <v>1652</v>
      </c>
      <c r="G381" s="116">
        <v>1</v>
      </c>
      <c r="H381" s="159"/>
      <c r="I381" s="108">
        <f t="shared" si="392"/>
        <v>0</v>
      </c>
      <c r="J381" s="108">
        <f t="shared" si="393"/>
        <v>0</v>
      </c>
      <c r="K381" s="108">
        <f t="shared" si="394"/>
        <v>0</v>
      </c>
      <c r="L381" s="111"/>
      <c r="Z381" s="100">
        <f t="shared" si="395"/>
        <v>0</v>
      </c>
      <c r="AB381" s="100">
        <f t="shared" si="396"/>
        <v>0</v>
      </c>
      <c r="AC381" s="100">
        <f t="shared" si="397"/>
        <v>0</v>
      </c>
      <c r="AD381" s="100">
        <f t="shared" si="398"/>
        <v>0</v>
      </c>
      <c r="AE381" s="100">
        <f t="shared" si="399"/>
        <v>0</v>
      </c>
      <c r="AF381" s="100">
        <f t="shared" si="400"/>
        <v>0</v>
      </c>
      <c r="AG381" s="100">
        <f t="shared" si="401"/>
        <v>0</v>
      </c>
      <c r="AH381" s="100">
        <f t="shared" si="402"/>
        <v>0</v>
      </c>
      <c r="AI381" s="109"/>
      <c r="AJ381" s="108">
        <f t="shared" si="403"/>
        <v>0</v>
      </c>
      <c r="AK381" s="108">
        <f t="shared" si="404"/>
        <v>0</v>
      </c>
      <c r="AL381" s="108">
        <f t="shared" si="405"/>
        <v>0</v>
      </c>
      <c r="AN381" s="100">
        <v>15</v>
      </c>
      <c r="AO381" s="100">
        <f t="shared" si="406"/>
        <v>0</v>
      </c>
      <c r="AP381" s="100">
        <f t="shared" si="407"/>
        <v>0</v>
      </c>
      <c r="AQ381" s="111" t="s">
        <v>13</v>
      </c>
      <c r="AV381" s="100">
        <f t="shared" si="408"/>
        <v>0</v>
      </c>
      <c r="AW381" s="100">
        <f t="shared" si="409"/>
        <v>0</v>
      </c>
      <c r="AX381" s="100">
        <f t="shared" si="410"/>
        <v>0</v>
      </c>
      <c r="AY381" s="110" t="s">
        <v>1712</v>
      </c>
      <c r="AZ381" s="110" t="s">
        <v>1733</v>
      </c>
      <c r="BA381" s="109" t="s">
        <v>1737</v>
      </c>
      <c r="BC381" s="100">
        <f t="shared" si="411"/>
        <v>0</v>
      </c>
      <c r="BD381" s="100">
        <f t="shared" si="412"/>
        <v>0</v>
      </c>
      <c r="BE381" s="100">
        <v>0</v>
      </c>
      <c r="BF381" s="100">
        <f>381</f>
        <v>381</v>
      </c>
      <c r="BH381" s="108">
        <f t="shared" si="413"/>
        <v>0</v>
      </c>
      <c r="BI381" s="108">
        <f t="shared" si="414"/>
        <v>0</v>
      </c>
      <c r="BJ381" s="108">
        <f t="shared" si="415"/>
        <v>0</v>
      </c>
    </row>
    <row r="382" spans="1:62" x14ac:dyDescent="0.2">
      <c r="A382" s="117" t="s">
        <v>341</v>
      </c>
      <c r="B382" s="117" t="s">
        <v>832</v>
      </c>
      <c r="C382" s="304" t="s">
        <v>1414</v>
      </c>
      <c r="D382" s="305"/>
      <c r="E382" s="305"/>
      <c r="F382" s="117" t="s">
        <v>1652</v>
      </c>
      <c r="G382" s="116">
        <v>1</v>
      </c>
      <c r="H382" s="159"/>
      <c r="I382" s="108">
        <f t="shared" si="392"/>
        <v>0</v>
      </c>
      <c r="J382" s="108">
        <f t="shared" si="393"/>
        <v>0</v>
      </c>
      <c r="K382" s="108">
        <f t="shared" si="394"/>
        <v>0</v>
      </c>
      <c r="L382" s="111"/>
      <c r="Z382" s="100">
        <f t="shared" si="395"/>
        <v>0</v>
      </c>
      <c r="AB382" s="100">
        <f t="shared" si="396"/>
        <v>0</v>
      </c>
      <c r="AC382" s="100">
        <f t="shared" si="397"/>
        <v>0</v>
      </c>
      <c r="AD382" s="100">
        <f t="shared" si="398"/>
        <v>0</v>
      </c>
      <c r="AE382" s="100">
        <f t="shared" si="399"/>
        <v>0</v>
      </c>
      <c r="AF382" s="100">
        <f t="shared" si="400"/>
        <v>0</v>
      </c>
      <c r="AG382" s="100">
        <f t="shared" si="401"/>
        <v>0</v>
      </c>
      <c r="AH382" s="100">
        <f t="shared" si="402"/>
        <v>0</v>
      </c>
      <c r="AI382" s="109"/>
      <c r="AJ382" s="108">
        <f t="shared" si="403"/>
        <v>0</v>
      </c>
      <c r="AK382" s="108">
        <f t="shared" si="404"/>
        <v>0</v>
      </c>
      <c r="AL382" s="108">
        <f t="shared" si="405"/>
        <v>0</v>
      </c>
      <c r="AN382" s="100">
        <v>15</v>
      </c>
      <c r="AO382" s="100">
        <f t="shared" si="406"/>
        <v>0</v>
      </c>
      <c r="AP382" s="100">
        <f t="shared" si="407"/>
        <v>0</v>
      </c>
      <c r="AQ382" s="111" t="s">
        <v>13</v>
      </c>
      <c r="AV382" s="100">
        <f t="shared" si="408"/>
        <v>0</v>
      </c>
      <c r="AW382" s="100">
        <f t="shared" si="409"/>
        <v>0</v>
      </c>
      <c r="AX382" s="100">
        <f t="shared" si="410"/>
        <v>0</v>
      </c>
      <c r="AY382" s="110" t="s">
        <v>1712</v>
      </c>
      <c r="AZ382" s="110" t="s">
        <v>1733</v>
      </c>
      <c r="BA382" s="109" t="s">
        <v>1737</v>
      </c>
      <c r="BC382" s="100">
        <f t="shared" si="411"/>
        <v>0</v>
      </c>
      <c r="BD382" s="100">
        <f t="shared" si="412"/>
        <v>0</v>
      </c>
      <c r="BE382" s="100">
        <v>0</v>
      </c>
      <c r="BF382" s="100">
        <f>382</f>
        <v>382</v>
      </c>
      <c r="BH382" s="108">
        <f t="shared" si="413"/>
        <v>0</v>
      </c>
      <c r="BI382" s="108">
        <f t="shared" si="414"/>
        <v>0</v>
      </c>
      <c r="BJ382" s="108">
        <f t="shared" si="415"/>
        <v>0</v>
      </c>
    </row>
    <row r="383" spans="1:62" x14ac:dyDescent="0.2">
      <c r="A383" s="117" t="s">
        <v>342</v>
      </c>
      <c r="B383" s="117" t="s">
        <v>833</v>
      </c>
      <c r="C383" s="304" t="s">
        <v>1415</v>
      </c>
      <c r="D383" s="305"/>
      <c r="E383" s="305"/>
      <c r="F383" s="117" t="s">
        <v>1652</v>
      </c>
      <c r="G383" s="116">
        <v>1</v>
      </c>
      <c r="H383" s="159"/>
      <c r="I383" s="108">
        <f t="shared" si="392"/>
        <v>0</v>
      </c>
      <c r="J383" s="108">
        <f t="shared" si="393"/>
        <v>0</v>
      </c>
      <c r="K383" s="108">
        <f t="shared" si="394"/>
        <v>0</v>
      </c>
      <c r="L383" s="111"/>
      <c r="Z383" s="100">
        <f t="shared" si="395"/>
        <v>0</v>
      </c>
      <c r="AB383" s="100">
        <f t="shared" si="396"/>
        <v>0</v>
      </c>
      <c r="AC383" s="100">
        <f t="shared" si="397"/>
        <v>0</v>
      </c>
      <c r="AD383" s="100">
        <f t="shared" si="398"/>
        <v>0</v>
      </c>
      <c r="AE383" s="100">
        <f t="shared" si="399"/>
        <v>0</v>
      </c>
      <c r="AF383" s="100">
        <f t="shared" si="400"/>
        <v>0</v>
      </c>
      <c r="AG383" s="100">
        <f t="shared" si="401"/>
        <v>0</v>
      </c>
      <c r="AH383" s="100">
        <f t="shared" si="402"/>
        <v>0</v>
      </c>
      <c r="AI383" s="109"/>
      <c r="AJ383" s="108">
        <f t="shared" si="403"/>
        <v>0</v>
      </c>
      <c r="AK383" s="108">
        <f t="shared" si="404"/>
        <v>0</v>
      </c>
      <c r="AL383" s="108">
        <f t="shared" si="405"/>
        <v>0</v>
      </c>
      <c r="AN383" s="100">
        <v>15</v>
      </c>
      <c r="AO383" s="100">
        <f t="shared" si="406"/>
        <v>0</v>
      </c>
      <c r="AP383" s="100">
        <f t="shared" si="407"/>
        <v>0</v>
      </c>
      <c r="AQ383" s="111" t="s">
        <v>13</v>
      </c>
      <c r="AV383" s="100">
        <f t="shared" si="408"/>
        <v>0</v>
      </c>
      <c r="AW383" s="100">
        <f t="shared" si="409"/>
        <v>0</v>
      </c>
      <c r="AX383" s="100">
        <f t="shared" si="410"/>
        <v>0</v>
      </c>
      <c r="AY383" s="110" t="s">
        <v>1712</v>
      </c>
      <c r="AZ383" s="110" t="s">
        <v>1733</v>
      </c>
      <c r="BA383" s="109" t="s">
        <v>1737</v>
      </c>
      <c r="BC383" s="100">
        <f t="shared" si="411"/>
        <v>0</v>
      </c>
      <c r="BD383" s="100">
        <f t="shared" si="412"/>
        <v>0</v>
      </c>
      <c r="BE383" s="100">
        <v>0</v>
      </c>
      <c r="BF383" s="100">
        <f>383</f>
        <v>383</v>
      </c>
      <c r="BH383" s="108">
        <f t="shared" si="413"/>
        <v>0</v>
      </c>
      <c r="BI383" s="108">
        <f t="shared" si="414"/>
        <v>0</v>
      </c>
      <c r="BJ383" s="108">
        <f t="shared" si="415"/>
        <v>0</v>
      </c>
    </row>
    <row r="384" spans="1:62" x14ac:dyDescent="0.2">
      <c r="A384" s="117" t="s">
        <v>343</v>
      </c>
      <c r="B384" s="117" t="s">
        <v>834</v>
      </c>
      <c r="C384" s="304" t="s">
        <v>1416</v>
      </c>
      <c r="D384" s="305"/>
      <c r="E384" s="305"/>
      <c r="F384" s="117" t="s">
        <v>1652</v>
      </c>
      <c r="G384" s="116">
        <v>6</v>
      </c>
      <c r="H384" s="159"/>
      <c r="I384" s="108">
        <f t="shared" si="392"/>
        <v>0</v>
      </c>
      <c r="J384" s="108">
        <f t="shared" si="393"/>
        <v>0</v>
      </c>
      <c r="K384" s="108">
        <f t="shared" si="394"/>
        <v>0</v>
      </c>
      <c r="L384" s="111"/>
      <c r="Z384" s="100">
        <f t="shared" si="395"/>
        <v>0</v>
      </c>
      <c r="AB384" s="100">
        <f t="shared" si="396"/>
        <v>0</v>
      </c>
      <c r="AC384" s="100">
        <f t="shared" si="397"/>
        <v>0</v>
      </c>
      <c r="AD384" s="100">
        <f t="shared" si="398"/>
        <v>0</v>
      </c>
      <c r="AE384" s="100">
        <f t="shared" si="399"/>
        <v>0</v>
      </c>
      <c r="AF384" s="100">
        <f t="shared" si="400"/>
        <v>0</v>
      </c>
      <c r="AG384" s="100">
        <f t="shared" si="401"/>
        <v>0</v>
      </c>
      <c r="AH384" s="100">
        <f t="shared" si="402"/>
        <v>0</v>
      </c>
      <c r="AI384" s="109"/>
      <c r="AJ384" s="108">
        <f t="shared" si="403"/>
        <v>0</v>
      </c>
      <c r="AK384" s="108">
        <f t="shared" si="404"/>
        <v>0</v>
      </c>
      <c r="AL384" s="108">
        <f t="shared" si="405"/>
        <v>0</v>
      </c>
      <c r="AN384" s="100">
        <v>15</v>
      </c>
      <c r="AO384" s="100">
        <f t="shared" si="406"/>
        <v>0</v>
      </c>
      <c r="AP384" s="100">
        <f t="shared" si="407"/>
        <v>0</v>
      </c>
      <c r="AQ384" s="111" t="s">
        <v>13</v>
      </c>
      <c r="AV384" s="100">
        <f t="shared" si="408"/>
        <v>0</v>
      </c>
      <c r="AW384" s="100">
        <f t="shared" si="409"/>
        <v>0</v>
      </c>
      <c r="AX384" s="100">
        <f t="shared" si="410"/>
        <v>0</v>
      </c>
      <c r="AY384" s="110" t="s">
        <v>1712</v>
      </c>
      <c r="AZ384" s="110" t="s">
        <v>1733</v>
      </c>
      <c r="BA384" s="109" t="s">
        <v>1737</v>
      </c>
      <c r="BC384" s="100">
        <f t="shared" si="411"/>
        <v>0</v>
      </c>
      <c r="BD384" s="100">
        <f t="shared" si="412"/>
        <v>0</v>
      </c>
      <c r="BE384" s="100">
        <v>0</v>
      </c>
      <c r="BF384" s="100">
        <f>384</f>
        <v>384</v>
      </c>
      <c r="BH384" s="108">
        <f t="shared" si="413"/>
        <v>0</v>
      </c>
      <c r="BI384" s="108">
        <f t="shared" si="414"/>
        <v>0</v>
      </c>
      <c r="BJ384" s="108">
        <f t="shared" si="415"/>
        <v>0</v>
      </c>
    </row>
    <row r="385" spans="1:62" x14ac:dyDescent="0.2">
      <c r="A385" s="117" t="s">
        <v>344</v>
      </c>
      <c r="B385" s="117" t="s">
        <v>835</v>
      </c>
      <c r="C385" s="304" t="s">
        <v>1417</v>
      </c>
      <c r="D385" s="305"/>
      <c r="E385" s="305"/>
      <c r="F385" s="117" t="s">
        <v>1653</v>
      </c>
      <c r="G385" s="116">
        <v>6</v>
      </c>
      <c r="H385" s="159"/>
      <c r="I385" s="108">
        <f t="shared" si="392"/>
        <v>0</v>
      </c>
      <c r="J385" s="108">
        <f t="shared" si="393"/>
        <v>0</v>
      </c>
      <c r="K385" s="108">
        <f t="shared" si="394"/>
        <v>0</v>
      </c>
      <c r="L385" s="111"/>
      <c r="Z385" s="100">
        <f t="shared" si="395"/>
        <v>0</v>
      </c>
      <c r="AB385" s="100">
        <f t="shared" si="396"/>
        <v>0</v>
      </c>
      <c r="AC385" s="100">
        <f t="shared" si="397"/>
        <v>0</v>
      </c>
      <c r="AD385" s="100">
        <f t="shared" si="398"/>
        <v>0</v>
      </c>
      <c r="AE385" s="100">
        <f t="shared" si="399"/>
        <v>0</v>
      </c>
      <c r="AF385" s="100">
        <f t="shared" si="400"/>
        <v>0</v>
      </c>
      <c r="AG385" s="100">
        <f t="shared" si="401"/>
        <v>0</v>
      </c>
      <c r="AH385" s="100">
        <f t="shared" si="402"/>
        <v>0</v>
      </c>
      <c r="AI385" s="109"/>
      <c r="AJ385" s="108">
        <f t="shared" si="403"/>
        <v>0</v>
      </c>
      <c r="AK385" s="108">
        <f t="shared" si="404"/>
        <v>0</v>
      </c>
      <c r="AL385" s="108">
        <f t="shared" si="405"/>
        <v>0</v>
      </c>
      <c r="AN385" s="100">
        <v>15</v>
      </c>
      <c r="AO385" s="100">
        <f t="shared" si="406"/>
        <v>0</v>
      </c>
      <c r="AP385" s="100">
        <f t="shared" si="407"/>
        <v>0</v>
      </c>
      <c r="AQ385" s="111" t="s">
        <v>13</v>
      </c>
      <c r="AV385" s="100">
        <f t="shared" si="408"/>
        <v>0</v>
      </c>
      <c r="AW385" s="100">
        <f t="shared" si="409"/>
        <v>0</v>
      </c>
      <c r="AX385" s="100">
        <f t="shared" si="410"/>
        <v>0</v>
      </c>
      <c r="AY385" s="110" t="s">
        <v>1712</v>
      </c>
      <c r="AZ385" s="110" t="s">
        <v>1733</v>
      </c>
      <c r="BA385" s="109" t="s">
        <v>1737</v>
      </c>
      <c r="BC385" s="100">
        <f t="shared" si="411"/>
        <v>0</v>
      </c>
      <c r="BD385" s="100">
        <f t="shared" si="412"/>
        <v>0</v>
      </c>
      <c r="BE385" s="100">
        <v>0</v>
      </c>
      <c r="BF385" s="100">
        <f>385</f>
        <v>385</v>
      </c>
      <c r="BH385" s="108">
        <f t="shared" si="413"/>
        <v>0</v>
      </c>
      <c r="BI385" s="108">
        <f t="shared" si="414"/>
        <v>0</v>
      </c>
      <c r="BJ385" s="108">
        <f t="shared" si="415"/>
        <v>0</v>
      </c>
    </row>
    <row r="386" spans="1:62" x14ac:dyDescent="0.2">
      <c r="A386" s="117" t="s">
        <v>345</v>
      </c>
      <c r="B386" s="117" t="s">
        <v>836</v>
      </c>
      <c r="C386" s="304" t="s">
        <v>1418</v>
      </c>
      <c r="D386" s="305"/>
      <c r="E386" s="305"/>
      <c r="F386" s="117" t="s">
        <v>1652</v>
      </c>
      <c r="G386" s="116">
        <v>1</v>
      </c>
      <c r="H386" s="159"/>
      <c r="I386" s="108">
        <f t="shared" si="392"/>
        <v>0</v>
      </c>
      <c r="J386" s="108">
        <f t="shared" si="393"/>
        <v>0</v>
      </c>
      <c r="K386" s="108">
        <f t="shared" si="394"/>
        <v>0</v>
      </c>
      <c r="L386" s="111"/>
      <c r="Z386" s="100">
        <f t="shared" si="395"/>
        <v>0</v>
      </c>
      <c r="AB386" s="100">
        <f t="shared" si="396"/>
        <v>0</v>
      </c>
      <c r="AC386" s="100">
        <f t="shared" si="397"/>
        <v>0</v>
      </c>
      <c r="AD386" s="100">
        <f t="shared" si="398"/>
        <v>0</v>
      </c>
      <c r="AE386" s="100">
        <f t="shared" si="399"/>
        <v>0</v>
      </c>
      <c r="AF386" s="100">
        <f t="shared" si="400"/>
        <v>0</v>
      </c>
      <c r="AG386" s="100">
        <f t="shared" si="401"/>
        <v>0</v>
      </c>
      <c r="AH386" s="100">
        <f t="shared" si="402"/>
        <v>0</v>
      </c>
      <c r="AI386" s="109"/>
      <c r="AJ386" s="108">
        <f t="shared" si="403"/>
        <v>0</v>
      </c>
      <c r="AK386" s="108">
        <f t="shared" si="404"/>
        <v>0</v>
      </c>
      <c r="AL386" s="108">
        <f t="shared" si="405"/>
        <v>0</v>
      </c>
      <c r="AN386" s="100">
        <v>15</v>
      </c>
      <c r="AO386" s="100">
        <f t="shared" si="406"/>
        <v>0</v>
      </c>
      <c r="AP386" s="100">
        <f t="shared" si="407"/>
        <v>0</v>
      </c>
      <c r="AQ386" s="111" t="s">
        <v>13</v>
      </c>
      <c r="AV386" s="100">
        <f t="shared" si="408"/>
        <v>0</v>
      </c>
      <c r="AW386" s="100">
        <f t="shared" si="409"/>
        <v>0</v>
      </c>
      <c r="AX386" s="100">
        <f t="shared" si="410"/>
        <v>0</v>
      </c>
      <c r="AY386" s="110" t="s">
        <v>1712</v>
      </c>
      <c r="AZ386" s="110" t="s">
        <v>1733</v>
      </c>
      <c r="BA386" s="109" t="s">
        <v>1737</v>
      </c>
      <c r="BC386" s="100">
        <f t="shared" si="411"/>
        <v>0</v>
      </c>
      <c r="BD386" s="100">
        <f t="shared" si="412"/>
        <v>0</v>
      </c>
      <c r="BE386" s="100">
        <v>0</v>
      </c>
      <c r="BF386" s="100">
        <f>386</f>
        <v>386</v>
      </c>
      <c r="BH386" s="108">
        <f t="shared" si="413"/>
        <v>0</v>
      </c>
      <c r="BI386" s="108">
        <f t="shared" si="414"/>
        <v>0</v>
      </c>
      <c r="BJ386" s="108">
        <f t="shared" si="415"/>
        <v>0</v>
      </c>
    </row>
    <row r="387" spans="1:62" x14ac:dyDescent="0.2">
      <c r="A387" s="117" t="s">
        <v>346</v>
      </c>
      <c r="B387" s="117" t="s">
        <v>837</v>
      </c>
      <c r="C387" s="304" t="s">
        <v>1419</v>
      </c>
      <c r="D387" s="305"/>
      <c r="E387" s="305"/>
      <c r="F387" s="117" t="s">
        <v>1652</v>
      </c>
      <c r="G387" s="116">
        <v>1</v>
      </c>
      <c r="H387" s="159"/>
      <c r="I387" s="108">
        <f t="shared" si="392"/>
        <v>0</v>
      </c>
      <c r="J387" s="108">
        <f t="shared" si="393"/>
        <v>0</v>
      </c>
      <c r="K387" s="108">
        <f t="shared" si="394"/>
        <v>0</v>
      </c>
      <c r="L387" s="111"/>
      <c r="Z387" s="100">
        <f t="shared" si="395"/>
        <v>0</v>
      </c>
      <c r="AB387" s="100">
        <f t="shared" si="396"/>
        <v>0</v>
      </c>
      <c r="AC387" s="100">
        <f t="shared" si="397"/>
        <v>0</v>
      </c>
      <c r="AD387" s="100">
        <f t="shared" si="398"/>
        <v>0</v>
      </c>
      <c r="AE387" s="100">
        <f t="shared" si="399"/>
        <v>0</v>
      </c>
      <c r="AF387" s="100">
        <f t="shared" si="400"/>
        <v>0</v>
      </c>
      <c r="AG387" s="100">
        <f t="shared" si="401"/>
        <v>0</v>
      </c>
      <c r="AH387" s="100">
        <f t="shared" si="402"/>
        <v>0</v>
      </c>
      <c r="AI387" s="109"/>
      <c r="AJ387" s="108">
        <f t="shared" si="403"/>
        <v>0</v>
      </c>
      <c r="AK387" s="108">
        <f t="shared" si="404"/>
        <v>0</v>
      </c>
      <c r="AL387" s="108">
        <f t="shared" si="405"/>
        <v>0</v>
      </c>
      <c r="AN387" s="100">
        <v>15</v>
      </c>
      <c r="AO387" s="100">
        <f t="shared" si="406"/>
        <v>0</v>
      </c>
      <c r="AP387" s="100">
        <f t="shared" si="407"/>
        <v>0</v>
      </c>
      <c r="AQ387" s="111" t="s">
        <v>13</v>
      </c>
      <c r="AV387" s="100">
        <f t="shared" si="408"/>
        <v>0</v>
      </c>
      <c r="AW387" s="100">
        <f t="shared" si="409"/>
        <v>0</v>
      </c>
      <c r="AX387" s="100">
        <f t="shared" si="410"/>
        <v>0</v>
      </c>
      <c r="AY387" s="110" t="s">
        <v>1712</v>
      </c>
      <c r="AZ387" s="110" t="s">
        <v>1733</v>
      </c>
      <c r="BA387" s="109" t="s">
        <v>1737</v>
      </c>
      <c r="BC387" s="100">
        <f t="shared" si="411"/>
        <v>0</v>
      </c>
      <c r="BD387" s="100">
        <f t="shared" si="412"/>
        <v>0</v>
      </c>
      <c r="BE387" s="100">
        <v>0</v>
      </c>
      <c r="BF387" s="100">
        <f>387</f>
        <v>387</v>
      </c>
      <c r="BH387" s="108">
        <f t="shared" si="413"/>
        <v>0</v>
      </c>
      <c r="BI387" s="108">
        <f t="shared" si="414"/>
        <v>0</v>
      </c>
      <c r="BJ387" s="108">
        <f t="shared" si="415"/>
        <v>0</v>
      </c>
    </row>
    <row r="388" spans="1:62" x14ac:dyDescent="0.2">
      <c r="A388" s="117" t="s">
        <v>347</v>
      </c>
      <c r="B388" s="117" t="s">
        <v>838</v>
      </c>
      <c r="C388" s="304" t="s">
        <v>1420</v>
      </c>
      <c r="D388" s="305"/>
      <c r="E388" s="305"/>
      <c r="F388" s="117" t="s">
        <v>1652</v>
      </c>
      <c r="G388" s="116">
        <v>1</v>
      </c>
      <c r="H388" s="159"/>
      <c r="I388" s="108">
        <f t="shared" si="392"/>
        <v>0</v>
      </c>
      <c r="J388" s="108">
        <f t="shared" si="393"/>
        <v>0</v>
      </c>
      <c r="K388" s="108">
        <f t="shared" si="394"/>
        <v>0</v>
      </c>
      <c r="L388" s="111"/>
      <c r="Z388" s="100">
        <f t="shared" si="395"/>
        <v>0</v>
      </c>
      <c r="AB388" s="100">
        <f t="shared" si="396"/>
        <v>0</v>
      </c>
      <c r="AC388" s="100">
        <f t="shared" si="397"/>
        <v>0</v>
      </c>
      <c r="AD388" s="100">
        <f t="shared" si="398"/>
        <v>0</v>
      </c>
      <c r="AE388" s="100">
        <f t="shared" si="399"/>
        <v>0</v>
      </c>
      <c r="AF388" s="100">
        <f t="shared" si="400"/>
        <v>0</v>
      </c>
      <c r="AG388" s="100">
        <f t="shared" si="401"/>
        <v>0</v>
      </c>
      <c r="AH388" s="100">
        <f t="shared" si="402"/>
        <v>0</v>
      </c>
      <c r="AI388" s="109"/>
      <c r="AJ388" s="108">
        <f t="shared" si="403"/>
        <v>0</v>
      </c>
      <c r="AK388" s="108">
        <f t="shared" si="404"/>
        <v>0</v>
      </c>
      <c r="AL388" s="108">
        <f t="shared" si="405"/>
        <v>0</v>
      </c>
      <c r="AN388" s="100">
        <v>15</v>
      </c>
      <c r="AO388" s="100">
        <f t="shared" si="406"/>
        <v>0</v>
      </c>
      <c r="AP388" s="100">
        <f t="shared" si="407"/>
        <v>0</v>
      </c>
      <c r="AQ388" s="111" t="s">
        <v>13</v>
      </c>
      <c r="AV388" s="100">
        <f t="shared" si="408"/>
        <v>0</v>
      </c>
      <c r="AW388" s="100">
        <f t="shared" si="409"/>
        <v>0</v>
      </c>
      <c r="AX388" s="100">
        <f t="shared" si="410"/>
        <v>0</v>
      </c>
      <c r="AY388" s="110" t="s">
        <v>1712</v>
      </c>
      <c r="AZ388" s="110" t="s">
        <v>1733</v>
      </c>
      <c r="BA388" s="109" t="s">
        <v>1737</v>
      </c>
      <c r="BC388" s="100">
        <f t="shared" si="411"/>
        <v>0</v>
      </c>
      <c r="BD388" s="100">
        <f t="shared" si="412"/>
        <v>0</v>
      </c>
      <c r="BE388" s="100">
        <v>0</v>
      </c>
      <c r="BF388" s="100">
        <f>388</f>
        <v>388</v>
      </c>
      <c r="BH388" s="108">
        <f t="shared" si="413"/>
        <v>0</v>
      </c>
      <c r="BI388" s="108">
        <f t="shared" si="414"/>
        <v>0</v>
      </c>
      <c r="BJ388" s="108">
        <f t="shared" si="415"/>
        <v>0</v>
      </c>
    </row>
    <row r="389" spans="1:62" x14ac:dyDescent="0.2">
      <c r="A389" s="117" t="s">
        <v>348</v>
      </c>
      <c r="B389" s="117" t="s">
        <v>839</v>
      </c>
      <c r="C389" s="304" t="s">
        <v>1421</v>
      </c>
      <c r="D389" s="305"/>
      <c r="E389" s="305"/>
      <c r="F389" s="117" t="s">
        <v>1652</v>
      </c>
      <c r="G389" s="116">
        <v>1</v>
      </c>
      <c r="H389" s="159"/>
      <c r="I389" s="108">
        <f t="shared" si="392"/>
        <v>0</v>
      </c>
      <c r="J389" s="108">
        <f t="shared" si="393"/>
        <v>0</v>
      </c>
      <c r="K389" s="108">
        <f t="shared" si="394"/>
        <v>0</v>
      </c>
      <c r="L389" s="111"/>
      <c r="Z389" s="100">
        <f t="shared" si="395"/>
        <v>0</v>
      </c>
      <c r="AB389" s="100">
        <f t="shared" si="396"/>
        <v>0</v>
      </c>
      <c r="AC389" s="100">
        <f t="shared" si="397"/>
        <v>0</v>
      </c>
      <c r="AD389" s="100">
        <f t="shared" si="398"/>
        <v>0</v>
      </c>
      <c r="AE389" s="100">
        <f t="shared" si="399"/>
        <v>0</v>
      </c>
      <c r="AF389" s="100">
        <f t="shared" si="400"/>
        <v>0</v>
      </c>
      <c r="AG389" s="100">
        <f t="shared" si="401"/>
        <v>0</v>
      </c>
      <c r="AH389" s="100">
        <f t="shared" si="402"/>
        <v>0</v>
      </c>
      <c r="AI389" s="109"/>
      <c r="AJ389" s="108">
        <f t="shared" si="403"/>
        <v>0</v>
      </c>
      <c r="AK389" s="108">
        <f t="shared" si="404"/>
        <v>0</v>
      </c>
      <c r="AL389" s="108">
        <f t="shared" si="405"/>
        <v>0</v>
      </c>
      <c r="AN389" s="100">
        <v>15</v>
      </c>
      <c r="AO389" s="100">
        <f t="shared" si="406"/>
        <v>0</v>
      </c>
      <c r="AP389" s="100">
        <f t="shared" si="407"/>
        <v>0</v>
      </c>
      <c r="AQ389" s="111" t="s">
        <v>13</v>
      </c>
      <c r="AV389" s="100">
        <f t="shared" si="408"/>
        <v>0</v>
      </c>
      <c r="AW389" s="100">
        <f t="shared" si="409"/>
        <v>0</v>
      </c>
      <c r="AX389" s="100">
        <f t="shared" si="410"/>
        <v>0</v>
      </c>
      <c r="AY389" s="110" t="s">
        <v>1712</v>
      </c>
      <c r="AZ389" s="110" t="s">
        <v>1733</v>
      </c>
      <c r="BA389" s="109" t="s">
        <v>1737</v>
      </c>
      <c r="BC389" s="100">
        <f t="shared" si="411"/>
        <v>0</v>
      </c>
      <c r="BD389" s="100">
        <f t="shared" si="412"/>
        <v>0</v>
      </c>
      <c r="BE389" s="100">
        <v>0</v>
      </c>
      <c r="BF389" s="100">
        <f>389</f>
        <v>389</v>
      </c>
      <c r="BH389" s="108">
        <f t="shared" si="413"/>
        <v>0</v>
      </c>
      <c r="BI389" s="108">
        <f t="shared" si="414"/>
        <v>0</v>
      </c>
      <c r="BJ389" s="108">
        <f t="shared" si="415"/>
        <v>0</v>
      </c>
    </row>
    <row r="390" spans="1:62" x14ac:dyDescent="0.2">
      <c r="A390" s="117" t="s">
        <v>349</v>
      </c>
      <c r="B390" s="117" t="s">
        <v>840</v>
      </c>
      <c r="C390" s="304" t="s">
        <v>1422</v>
      </c>
      <c r="D390" s="305"/>
      <c r="E390" s="305"/>
      <c r="F390" s="117" t="s">
        <v>1652</v>
      </c>
      <c r="G390" s="116">
        <v>1</v>
      </c>
      <c r="H390" s="159"/>
      <c r="I390" s="108">
        <f t="shared" si="392"/>
        <v>0</v>
      </c>
      <c r="J390" s="108">
        <f t="shared" si="393"/>
        <v>0</v>
      </c>
      <c r="K390" s="108">
        <f t="shared" si="394"/>
        <v>0</v>
      </c>
      <c r="L390" s="111"/>
      <c r="Z390" s="100">
        <f t="shared" si="395"/>
        <v>0</v>
      </c>
      <c r="AB390" s="100">
        <f t="shared" si="396"/>
        <v>0</v>
      </c>
      <c r="AC390" s="100">
        <f t="shared" si="397"/>
        <v>0</v>
      </c>
      <c r="AD390" s="100">
        <f t="shared" si="398"/>
        <v>0</v>
      </c>
      <c r="AE390" s="100">
        <f t="shared" si="399"/>
        <v>0</v>
      </c>
      <c r="AF390" s="100">
        <f t="shared" si="400"/>
        <v>0</v>
      </c>
      <c r="AG390" s="100">
        <f t="shared" si="401"/>
        <v>0</v>
      </c>
      <c r="AH390" s="100">
        <f t="shared" si="402"/>
        <v>0</v>
      </c>
      <c r="AI390" s="109"/>
      <c r="AJ390" s="108">
        <f t="shared" si="403"/>
        <v>0</v>
      </c>
      <c r="AK390" s="108">
        <f t="shared" si="404"/>
        <v>0</v>
      </c>
      <c r="AL390" s="108">
        <f t="shared" si="405"/>
        <v>0</v>
      </c>
      <c r="AN390" s="100">
        <v>15</v>
      </c>
      <c r="AO390" s="100">
        <f t="shared" si="406"/>
        <v>0</v>
      </c>
      <c r="AP390" s="100">
        <f t="shared" si="407"/>
        <v>0</v>
      </c>
      <c r="AQ390" s="111" t="s">
        <v>13</v>
      </c>
      <c r="AV390" s="100">
        <f t="shared" si="408"/>
        <v>0</v>
      </c>
      <c r="AW390" s="100">
        <f t="shared" si="409"/>
        <v>0</v>
      </c>
      <c r="AX390" s="100">
        <f t="shared" si="410"/>
        <v>0</v>
      </c>
      <c r="AY390" s="110" t="s">
        <v>1712</v>
      </c>
      <c r="AZ390" s="110" t="s">
        <v>1733</v>
      </c>
      <c r="BA390" s="109" t="s">
        <v>1737</v>
      </c>
      <c r="BC390" s="100">
        <f t="shared" si="411"/>
        <v>0</v>
      </c>
      <c r="BD390" s="100">
        <f t="shared" si="412"/>
        <v>0</v>
      </c>
      <c r="BE390" s="100">
        <v>0</v>
      </c>
      <c r="BF390" s="100">
        <f>390</f>
        <v>390</v>
      </c>
      <c r="BH390" s="108">
        <f t="shared" si="413"/>
        <v>0</v>
      </c>
      <c r="BI390" s="108">
        <f t="shared" si="414"/>
        <v>0</v>
      </c>
      <c r="BJ390" s="108">
        <f t="shared" si="415"/>
        <v>0</v>
      </c>
    </row>
    <row r="391" spans="1:62" x14ac:dyDescent="0.2">
      <c r="A391" s="117" t="s">
        <v>350</v>
      </c>
      <c r="B391" s="117" t="s">
        <v>841</v>
      </c>
      <c r="C391" s="304" t="s">
        <v>1423</v>
      </c>
      <c r="D391" s="305"/>
      <c r="E391" s="305"/>
      <c r="F391" s="117" t="s">
        <v>1652</v>
      </c>
      <c r="G391" s="116">
        <v>1</v>
      </c>
      <c r="H391" s="159"/>
      <c r="I391" s="108">
        <f t="shared" si="392"/>
        <v>0</v>
      </c>
      <c r="J391" s="108">
        <f t="shared" si="393"/>
        <v>0</v>
      </c>
      <c r="K391" s="108">
        <f t="shared" si="394"/>
        <v>0</v>
      </c>
      <c r="L391" s="111"/>
      <c r="Z391" s="100">
        <f t="shared" si="395"/>
        <v>0</v>
      </c>
      <c r="AB391" s="100">
        <f t="shared" si="396"/>
        <v>0</v>
      </c>
      <c r="AC391" s="100">
        <f t="shared" si="397"/>
        <v>0</v>
      </c>
      <c r="AD391" s="100">
        <f t="shared" si="398"/>
        <v>0</v>
      </c>
      <c r="AE391" s="100">
        <f t="shared" si="399"/>
        <v>0</v>
      </c>
      <c r="AF391" s="100">
        <f t="shared" si="400"/>
        <v>0</v>
      </c>
      <c r="AG391" s="100">
        <f t="shared" si="401"/>
        <v>0</v>
      </c>
      <c r="AH391" s="100">
        <f t="shared" si="402"/>
        <v>0</v>
      </c>
      <c r="AI391" s="109"/>
      <c r="AJ391" s="108">
        <f t="shared" si="403"/>
        <v>0</v>
      </c>
      <c r="AK391" s="108">
        <f t="shared" si="404"/>
        <v>0</v>
      </c>
      <c r="AL391" s="108">
        <f t="shared" si="405"/>
        <v>0</v>
      </c>
      <c r="AN391" s="100">
        <v>15</v>
      </c>
      <c r="AO391" s="100">
        <f t="shared" si="406"/>
        <v>0</v>
      </c>
      <c r="AP391" s="100">
        <f t="shared" si="407"/>
        <v>0</v>
      </c>
      <c r="AQ391" s="111" t="s">
        <v>13</v>
      </c>
      <c r="AV391" s="100">
        <f t="shared" si="408"/>
        <v>0</v>
      </c>
      <c r="AW391" s="100">
        <f t="shared" si="409"/>
        <v>0</v>
      </c>
      <c r="AX391" s="100">
        <f t="shared" si="410"/>
        <v>0</v>
      </c>
      <c r="AY391" s="110" t="s">
        <v>1712</v>
      </c>
      <c r="AZ391" s="110" t="s">
        <v>1733</v>
      </c>
      <c r="BA391" s="109" t="s">
        <v>1737</v>
      </c>
      <c r="BC391" s="100">
        <f t="shared" si="411"/>
        <v>0</v>
      </c>
      <c r="BD391" s="100">
        <f t="shared" si="412"/>
        <v>0</v>
      </c>
      <c r="BE391" s="100">
        <v>0</v>
      </c>
      <c r="BF391" s="100">
        <f>391</f>
        <v>391</v>
      </c>
      <c r="BH391" s="108">
        <f t="shared" si="413"/>
        <v>0</v>
      </c>
      <c r="BI391" s="108">
        <f t="shared" si="414"/>
        <v>0</v>
      </c>
      <c r="BJ391" s="108">
        <f t="shared" si="415"/>
        <v>0</v>
      </c>
    </row>
    <row r="392" spans="1:62" x14ac:dyDescent="0.2">
      <c r="A392" s="119"/>
      <c r="B392" s="120" t="s">
        <v>842</v>
      </c>
      <c r="C392" s="306" t="s">
        <v>1424</v>
      </c>
      <c r="D392" s="307"/>
      <c r="E392" s="307"/>
      <c r="F392" s="119" t="s">
        <v>6</v>
      </c>
      <c r="G392" s="119" t="s">
        <v>6</v>
      </c>
      <c r="H392" s="119" t="s">
        <v>6</v>
      </c>
      <c r="I392" s="118">
        <f>SUM(I393:I426)</f>
        <v>0</v>
      </c>
      <c r="J392" s="118">
        <f>SUM(J393:J426)</f>
        <v>0</v>
      </c>
      <c r="K392" s="118">
        <f>SUM(K393:K426)</f>
        <v>0</v>
      </c>
      <c r="L392" s="109"/>
      <c r="AI392" s="109"/>
      <c r="AS392" s="118">
        <f>SUM(AJ393:AJ426)</f>
        <v>0</v>
      </c>
      <c r="AT392" s="118">
        <f>SUM(AK393:AK426)</f>
        <v>0</v>
      </c>
      <c r="AU392" s="118">
        <f>SUM(AL393:AL426)</f>
        <v>0</v>
      </c>
    </row>
    <row r="393" spans="1:62" x14ac:dyDescent="0.2">
      <c r="A393" s="117" t="s">
        <v>351</v>
      </c>
      <c r="B393" s="117" t="s">
        <v>127</v>
      </c>
      <c r="C393" s="304" t="s">
        <v>1425</v>
      </c>
      <c r="D393" s="305"/>
      <c r="E393" s="305"/>
      <c r="F393" s="117" t="s">
        <v>1644</v>
      </c>
      <c r="G393" s="116">
        <v>6</v>
      </c>
      <c r="H393" s="159"/>
      <c r="I393" s="108">
        <f t="shared" ref="I393:I426" si="416">G393*AO393</f>
        <v>0</v>
      </c>
      <c r="J393" s="108">
        <f t="shared" ref="J393:J426" si="417">G393*AP393</f>
        <v>0</v>
      </c>
      <c r="K393" s="108">
        <f t="shared" ref="K393:K426" si="418">G393*H393</f>
        <v>0</v>
      </c>
      <c r="L393" s="111"/>
      <c r="Z393" s="100">
        <f t="shared" ref="Z393:Z426" si="419">IF(AQ393="5",BJ393,0)</f>
        <v>0</v>
      </c>
      <c r="AB393" s="100">
        <f t="shared" ref="AB393:AB426" si="420">IF(AQ393="1",BH393,0)</f>
        <v>0</v>
      </c>
      <c r="AC393" s="100">
        <f t="shared" ref="AC393:AC426" si="421">IF(AQ393="1",BI393,0)</f>
        <v>0</v>
      </c>
      <c r="AD393" s="100">
        <f t="shared" ref="AD393:AD426" si="422">IF(AQ393="7",BH393,0)</f>
        <v>0</v>
      </c>
      <c r="AE393" s="100">
        <f t="shared" ref="AE393:AE426" si="423">IF(AQ393="7",BI393,0)</f>
        <v>0</v>
      </c>
      <c r="AF393" s="100">
        <f t="shared" ref="AF393:AF426" si="424">IF(AQ393="2",BH393,0)</f>
        <v>0</v>
      </c>
      <c r="AG393" s="100">
        <f t="shared" ref="AG393:AG426" si="425">IF(AQ393="2",BI393,0)</f>
        <v>0</v>
      </c>
      <c r="AH393" s="100">
        <f t="shared" ref="AH393:AH426" si="426">IF(AQ393="0",BJ393,0)</f>
        <v>0</v>
      </c>
      <c r="AI393" s="109"/>
      <c r="AJ393" s="108">
        <f t="shared" ref="AJ393:AJ426" si="427">IF(AN393=0,K393,0)</f>
        <v>0</v>
      </c>
      <c r="AK393" s="108">
        <f t="shared" ref="AK393:AK426" si="428">IF(AN393=15,K393,0)</f>
        <v>0</v>
      </c>
      <c r="AL393" s="108">
        <f t="shared" ref="AL393:AL426" si="429">IF(AN393=21,K393,0)</f>
        <v>0</v>
      </c>
      <c r="AN393" s="100">
        <v>15</v>
      </c>
      <c r="AO393" s="100">
        <f t="shared" ref="AO393:AO426" si="430">H393*0</f>
        <v>0</v>
      </c>
      <c r="AP393" s="100">
        <f t="shared" ref="AP393:AP426" si="431">H393*(1-0)</f>
        <v>0</v>
      </c>
      <c r="AQ393" s="111" t="s">
        <v>13</v>
      </c>
      <c r="AV393" s="100">
        <f t="shared" ref="AV393:AV426" si="432">AW393+AX393</f>
        <v>0</v>
      </c>
      <c r="AW393" s="100">
        <f t="shared" ref="AW393:AW426" si="433">G393*AO393</f>
        <v>0</v>
      </c>
      <c r="AX393" s="100">
        <f t="shared" ref="AX393:AX426" si="434">G393*AP393</f>
        <v>0</v>
      </c>
      <c r="AY393" s="110" t="s">
        <v>1713</v>
      </c>
      <c r="AZ393" s="110" t="s">
        <v>1733</v>
      </c>
      <c r="BA393" s="109" t="s">
        <v>1737</v>
      </c>
      <c r="BC393" s="100">
        <f t="shared" ref="BC393:BC426" si="435">AW393+AX393</f>
        <v>0</v>
      </c>
      <c r="BD393" s="100">
        <f t="shared" ref="BD393:BD426" si="436">H393/(100-BE393)*100</f>
        <v>0</v>
      </c>
      <c r="BE393" s="100">
        <v>0</v>
      </c>
      <c r="BF393" s="100">
        <f>393</f>
        <v>393</v>
      </c>
      <c r="BH393" s="108">
        <f t="shared" ref="BH393:BH426" si="437">G393*AO393</f>
        <v>0</v>
      </c>
      <c r="BI393" s="108">
        <f t="shared" ref="BI393:BI426" si="438">G393*AP393</f>
        <v>0</v>
      </c>
      <c r="BJ393" s="108">
        <f t="shared" ref="BJ393:BJ426" si="439">G393*H393</f>
        <v>0</v>
      </c>
    </row>
    <row r="394" spans="1:62" x14ac:dyDescent="0.2">
      <c r="A394" s="117" t="s">
        <v>352</v>
      </c>
      <c r="B394" s="117" t="s">
        <v>128</v>
      </c>
      <c r="C394" s="304" t="s">
        <v>1426</v>
      </c>
      <c r="D394" s="305"/>
      <c r="E394" s="305"/>
      <c r="F394" s="117" t="s">
        <v>1646</v>
      </c>
      <c r="G394" s="116">
        <v>70</v>
      </c>
      <c r="H394" s="159"/>
      <c r="I394" s="108">
        <f t="shared" si="416"/>
        <v>0</v>
      </c>
      <c r="J394" s="108">
        <f t="shared" si="417"/>
        <v>0</v>
      </c>
      <c r="K394" s="108">
        <f t="shared" si="418"/>
        <v>0</v>
      </c>
      <c r="L394" s="111"/>
      <c r="Z394" s="100">
        <f t="shared" si="419"/>
        <v>0</v>
      </c>
      <c r="AB394" s="100">
        <f t="shared" si="420"/>
        <v>0</v>
      </c>
      <c r="AC394" s="100">
        <f t="shared" si="421"/>
        <v>0</v>
      </c>
      <c r="AD394" s="100">
        <f t="shared" si="422"/>
        <v>0</v>
      </c>
      <c r="AE394" s="100">
        <f t="shared" si="423"/>
        <v>0</v>
      </c>
      <c r="AF394" s="100">
        <f t="shared" si="424"/>
        <v>0</v>
      </c>
      <c r="AG394" s="100">
        <f t="shared" si="425"/>
        <v>0</v>
      </c>
      <c r="AH394" s="100">
        <f t="shared" si="426"/>
        <v>0</v>
      </c>
      <c r="AI394" s="109"/>
      <c r="AJ394" s="108">
        <f t="shared" si="427"/>
        <v>0</v>
      </c>
      <c r="AK394" s="108">
        <f t="shared" si="428"/>
        <v>0</v>
      </c>
      <c r="AL394" s="108">
        <f t="shared" si="429"/>
        <v>0</v>
      </c>
      <c r="AN394" s="100">
        <v>15</v>
      </c>
      <c r="AO394" s="100">
        <f t="shared" si="430"/>
        <v>0</v>
      </c>
      <c r="AP394" s="100">
        <f t="shared" si="431"/>
        <v>0</v>
      </c>
      <c r="AQ394" s="111" t="s">
        <v>13</v>
      </c>
      <c r="AV394" s="100">
        <f t="shared" si="432"/>
        <v>0</v>
      </c>
      <c r="AW394" s="100">
        <f t="shared" si="433"/>
        <v>0</v>
      </c>
      <c r="AX394" s="100">
        <f t="shared" si="434"/>
        <v>0</v>
      </c>
      <c r="AY394" s="110" t="s">
        <v>1713</v>
      </c>
      <c r="AZ394" s="110" t="s">
        <v>1733</v>
      </c>
      <c r="BA394" s="109" t="s">
        <v>1737</v>
      </c>
      <c r="BC394" s="100">
        <f t="shared" si="435"/>
        <v>0</v>
      </c>
      <c r="BD394" s="100">
        <f t="shared" si="436"/>
        <v>0</v>
      </c>
      <c r="BE394" s="100">
        <v>0</v>
      </c>
      <c r="BF394" s="100">
        <f>394</f>
        <v>394</v>
      </c>
      <c r="BH394" s="108">
        <f t="shared" si="437"/>
        <v>0</v>
      </c>
      <c r="BI394" s="108">
        <f t="shared" si="438"/>
        <v>0</v>
      </c>
      <c r="BJ394" s="108">
        <f t="shared" si="439"/>
        <v>0</v>
      </c>
    </row>
    <row r="395" spans="1:62" x14ac:dyDescent="0.2">
      <c r="A395" s="117" t="s">
        <v>353</v>
      </c>
      <c r="B395" s="117" t="s">
        <v>129</v>
      </c>
      <c r="C395" s="304" t="s">
        <v>1427</v>
      </c>
      <c r="D395" s="305"/>
      <c r="E395" s="305"/>
      <c r="F395" s="117" t="s">
        <v>1644</v>
      </c>
      <c r="G395" s="116">
        <v>6</v>
      </c>
      <c r="H395" s="159"/>
      <c r="I395" s="108">
        <f t="shared" si="416"/>
        <v>0</v>
      </c>
      <c r="J395" s="108">
        <f t="shared" si="417"/>
        <v>0</v>
      </c>
      <c r="K395" s="108">
        <f t="shared" si="418"/>
        <v>0</v>
      </c>
      <c r="L395" s="111"/>
      <c r="Z395" s="100">
        <f t="shared" si="419"/>
        <v>0</v>
      </c>
      <c r="AB395" s="100">
        <f t="shared" si="420"/>
        <v>0</v>
      </c>
      <c r="AC395" s="100">
        <f t="shared" si="421"/>
        <v>0</v>
      </c>
      <c r="AD395" s="100">
        <f t="shared" si="422"/>
        <v>0</v>
      </c>
      <c r="AE395" s="100">
        <f t="shared" si="423"/>
        <v>0</v>
      </c>
      <c r="AF395" s="100">
        <f t="shared" si="424"/>
        <v>0</v>
      </c>
      <c r="AG395" s="100">
        <f t="shared" si="425"/>
        <v>0</v>
      </c>
      <c r="AH395" s="100">
        <f t="shared" si="426"/>
        <v>0</v>
      </c>
      <c r="AI395" s="109"/>
      <c r="AJ395" s="108">
        <f t="shared" si="427"/>
        <v>0</v>
      </c>
      <c r="AK395" s="108">
        <f t="shared" si="428"/>
        <v>0</v>
      </c>
      <c r="AL395" s="108">
        <f t="shared" si="429"/>
        <v>0</v>
      </c>
      <c r="AN395" s="100">
        <v>15</v>
      </c>
      <c r="AO395" s="100">
        <f t="shared" si="430"/>
        <v>0</v>
      </c>
      <c r="AP395" s="100">
        <f t="shared" si="431"/>
        <v>0</v>
      </c>
      <c r="AQ395" s="111" t="s">
        <v>13</v>
      </c>
      <c r="AV395" s="100">
        <f t="shared" si="432"/>
        <v>0</v>
      </c>
      <c r="AW395" s="100">
        <f t="shared" si="433"/>
        <v>0</v>
      </c>
      <c r="AX395" s="100">
        <f t="shared" si="434"/>
        <v>0</v>
      </c>
      <c r="AY395" s="110" t="s">
        <v>1713</v>
      </c>
      <c r="AZ395" s="110" t="s">
        <v>1733</v>
      </c>
      <c r="BA395" s="109" t="s">
        <v>1737</v>
      </c>
      <c r="BC395" s="100">
        <f t="shared" si="435"/>
        <v>0</v>
      </c>
      <c r="BD395" s="100">
        <f t="shared" si="436"/>
        <v>0</v>
      </c>
      <c r="BE395" s="100">
        <v>0</v>
      </c>
      <c r="BF395" s="100">
        <f>395</f>
        <v>395</v>
      </c>
      <c r="BH395" s="108">
        <f t="shared" si="437"/>
        <v>0</v>
      </c>
      <c r="BI395" s="108">
        <f t="shared" si="438"/>
        <v>0</v>
      </c>
      <c r="BJ395" s="108">
        <f t="shared" si="439"/>
        <v>0</v>
      </c>
    </row>
    <row r="396" spans="1:62" x14ac:dyDescent="0.2">
      <c r="A396" s="117" t="s">
        <v>354</v>
      </c>
      <c r="B396" s="117" t="s">
        <v>130</v>
      </c>
      <c r="C396" s="304" t="s">
        <v>1430</v>
      </c>
      <c r="D396" s="305"/>
      <c r="E396" s="305"/>
      <c r="F396" s="117" t="s">
        <v>1644</v>
      </c>
      <c r="G396" s="116">
        <v>1</v>
      </c>
      <c r="H396" s="159"/>
      <c r="I396" s="108">
        <f t="shared" si="416"/>
        <v>0</v>
      </c>
      <c r="J396" s="108">
        <f t="shared" si="417"/>
        <v>0</v>
      </c>
      <c r="K396" s="108">
        <f t="shared" si="418"/>
        <v>0</v>
      </c>
      <c r="L396" s="111"/>
      <c r="Z396" s="100">
        <f t="shared" si="419"/>
        <v>0</v>
      </c>
      <c r="AB396" s="100">
        <f t="shared" si="420"/>
        <v>0</v>
      </c>
      <c r="AC396" s="100">
        <f t="shared" si="421"/>
        <v>0</v>
      </c>
      <c r="AD396" s="100">
        <f t="shared" si="422"/>
        <v>0</v>
      </c>
      <c r="AE396" s="100">
        <f t="shared" si="423"/>
        <v>0</v>
      </c>
      <c r="AF396" s="100">
        <f t="shared" si="424"/>
        <v>0</v>
      </c>
      <c r="AG396" s="100">
        <f t="shared" si="425"/>
        <v>0</v>
      </c>
      <c r="AH396" s="100">
        <f t="shared" si="426"/>
        <v>0</v>
      </c>
      <c r="AI396" s="109"/>
      <c r="AJ396" s="108">
        <f t="shared" si="427"/>
        <v>0</v>
      </c>
      <c r="AK396" s="108">
        <f t="shared" si="428"/>
        <v>0</v>
      </c>
      <c r="AL396" s="108">
        <f t="shared" si="429"/>
        <v>0</v>
      </c>
      <c r="AN396" s="100">
        <v>15</v>
      </c>
      <c r="AO396" s="100">
        <f t="shared" si="430"/>
        <v>0</v>
      </c>
      <c r="AP396" s="100">
        <f t="shared" si="431"/>
        <v>0</v>
      </c>
      <c r="AQ396" s="111" t="s">
        <v>13</v>
      </c>
      <c r="AV396" s="100">
        <f t="shared" si="432"/>
        <v>0</v>
      </c>
      <c r="AW396" s="100">
        <f t="shared" si="433"/>
        <v>0</v>
      </c>
      <c r="AX396" s="100">
        <f t="shared" si="434"/>
        <v>0</v>
      </c>
      <c r="AY396" s="110" t="s">
        <v>1713</v>
      </c>
      <c r="AZ396" s="110" t="s">
        <v>1733</v>
      </c>
      <c r="BA396" s="109" t="s">
        <v>1737</v>
      </c>
      <c r="BC396" s="100">
        <f t="shared" si="435"/>
        <v>0</v>
      </c>
      <c r="BD396" s="100">
        <f t="shared" si="436"/>
        <v>0</v>
      </c>
      <c r="BE396" s="100">
        <v>0</v>
      </c>
      <c r="BF396" s="100">
        <f>396</f>
        <v>396</v>
      </c>
      <c r="BH396" s="108">
        <f t="shared" si="437"/>
        <v>0</v>
      </c>
      <c r="BI396" s="108">
        <f t="shared" si="438"/>
        <v>0</v>
      </c>
      <c r="BJ396" s="108">
        <f t="shared" si="439"/>
        <v>0</v>
      </c>
    </row>
    <row r="397" spans="1:62" x14ac:dyDescent="0.2">
      <c r="A397" s="117" t="s">
        <v>355</v>
      </c>
      <c r="B397" s="117" t="s">
        <v>131</v>
      </c>
      <c r="C397" s="304" t="s">
        <v>1431</v>
      </c>
      <c r="D397" s="305"/>
      <c r="E397" s="305"/>
      <c r="F397" s="117" t="s">
        <v>1646</v>
      </c>
      <c r="G397" s="116">
        <v>95</v>
      </c>
      <c r="H397" s="159"/>
      <c r="I397" s="108">
        <f t="shared" si="416"/>
        <v>0</v>
      </c>
      <c r="J397" s="108">
        <f t="shared" si="417"/>
        <v>0</v>
      </c>
      <c r="K397" s="108">
        <f t="shared" si="418"/>
        <v>0</v>
      </c>
      <c r="L397" s="111"/>
      <c r="Z397" s="100">
        <f t="shared" si="419"/>
        <v>0</v>
      </c>
      <c r="AB397" s="100">
        <f t="shared" si="420"/>
        <v>0</v>
      </c>
      <c r="AC397" s="100">
        <f t="shared" si="421"/>
        <v>0</v>
      </c>
      <c r="AD397" s="100">
        <f t="shared" si="422"/>
        <v>0</v>
      </c>
      <c r="AE397" s="100">
        <f t="shared" si="423"/>
        <v>0</v>
      </c>
      <c r="AF397" s="100">
        <f t="shared" si="424"/>
        <v>0</v>
      </c>
      <c r="AG397" s="100">
        <f t="shared" si="425"/>
        <v>0</v>
      </c>
      <c r="AH397" s="100">
        <f t="shared" si="426"/>
        <v>0</v>
      </c>
      <c r="AI397" s="109"/>
      <c r="AJ397" s="108">
        <f t="shared" si="427"/>
        <v>0</v>
      </c>
      <c r="AK397" s="108">
        <f t="shared" si="428"/>
        <v>0</v>
      </c>
      <c r="AL397" s="108">
        <f t="shared" si="429"/>
        <v>0</v>
      </c>
      <c r="AN397" s="100">
        <v>15</v>
      </c>
      <c r="AO397" s="100">
        <f t="shared" si="430"/>
        <v>0</v>
      </c>
      <c r="AP397" s="100">
        <f t="shared" si="431"/>
        <v>0</v>
      </c>
      <c r="AQ397" s="111" t="s">
        <v>13</v>
      </c>
      <c r="AV397" s="100">
        <f t="shared" si="432"/>
        <v>0</v>
      </c>
      <c r="AW397" s="100">
        <f t="shared" si="433"/>
        <v>0</v>
      </c>
      <c r="AX397" s="100">
        <f t="shared" si="434"/>
        <v>0</v>
      </c>
      <c r="AY397" s="110" t="s">
        <v>1713</v>
      </c>
      <c r="AZ397" s="110" t="s">
        <v>1733</v>
      </c>
      <c r="BA397" s="109" t="s">
        <v>1737</v>
      </c>
      <c r="BC397" s="100">
        <f t="shared" si="435"/>
        <v>0</v>
      </c>
      <c r="BD397" s="100">
        <f t="shared" si="436"/>
        <v>0</v>
      </c>
      <c r="BE397" s="100">
        <v>0</v>
      </c>
      <c r="BF397" s="100">
        <f>397</f>
        <v>397</v>
      </c>
      <c r="BH397" s="108">
        <f t="shared" si="437"/>
        <v>0</v>
      </c>
      <c r="BI397" s="108">
        <f t="shared" si="438"/>
        <v>0</v>
      </c>
      <c r="BJ397" s="108">
        <f t="shared" si="439"/>
        <v>0</v>
      </c>
    </row>
    <row r="398" spans="1:62" x14ac:dyDescent="0.2">
      <c r="A398" s="117" t="s">
        <v>356</v>
      </c>
      <c r="B398" s="117" t="s">
        <v>132</v>
      </c>
      <c r="C398" s="304" t="s">
        <v>1432</v>
      </c>
      <c r="D398" s="305"/>
      <c r="E398" s="305"/>
      <c r="F398" s="117" t="s">
        <v>1644</v>
      </c>
      <c r="G398" s="116">
        <v>4</v>
      </c>
      <c r="H398" s="159"/>
      <c r="I398" s="108">
        <f t="shared" si="416"/>
        <v>0</v>
      </c>
      <c r="J398" s="108">
        <f t="shared" si="417"/>
        <v>0</v>
      </c>
      <c r="K398" s="108">
        <f t="shared" si="418"/>
        <v>0</v>
      </c>
      <c r="L398" s="111"/>
      <c r="Z398" s="100">
        <f t="shared" si="419"/>
        <v>0</v>
      </c>
      <c r="AB398" s="100">
        <f t="shared" si="420"/>
        <v>0</v>
      </c>
      <c r="AC398" s="100">
        <f t="shared" si="421"/>
        <v>0</v>
      </c>
      <c r="AD398" s="100">
        <f t="shared" si="422"/>
        <v>0</v>
      </c>
      <c r="AE398" s="100">
        <f t="shared" si="423"/>
        <v>0</v>
      </c>
      <c r="AF398" s="100">
        <f t="shared" si="424"/>
        <v>0</v>
      </c>
      <c r="AG398" s="100">
        <f t="shared" si="425"/>
        <v>0</v>
      </c>
      <c r="AH398" s="100">
        <f t="shared" si="426"/>
        <v>0</v>
      </c>
      <c r="AI398" s="109"/>
      <c r="AJ398" s="108">
        <f t="shared" si="427"/>
        <v>0</v>
      </c>
      <c r="AK398" s="108">
        <f t="shared" si="428"/>
        <v>0</v>
      </c>
      <c r="AL398" s="108">
        <f t="shared" si="429"/>
        <v>0</v>
      </c>
      <c r="AN398" s="100">
        <v>15</v>
      </c>
      <c r="AO398" s="100">
        <f t="shared" si="430"/>
        <v>0</v>
      </c>
      <c r="AP398" s="100">
        <f t="shared" si="431"/>
        <v>0</v>
      </c>
      <c r="AQ398" s="111" t="s">
        <v>13</v>
      </c>
      <c r="AV398" s="100">
        <f t="shared" si="432"/>
        <v>0</v>
      </c>
      <c r="AW398" s="100">
        <f t="shared" si="433"/>
        <v>0</v>
      </c>
      <c r="AX398" s="100">
        <f t="shared" si="434"/>
        <v>0</v>
      </c>
      <c r="AY398" s="110" t="s">
        <v>1713</v>
      </c>
      <c r="AZ398" s="110" t="s">
        <v>1733</v>
      </c>
      <c r="BA398" s="109" t="s">
        <v>1737</v>
      </c>
      <c r="BC398" s="100">
        <f t="shared" si="435"/>
        <v>0</v>
      </c>
      <c r="BD398" s="100">
        <f t="shared" si="436"/>
        <v>0</v>
      </c>
      <c r="BE398" s="100">
        <v>0</v>
      </c>
      <c r="BF398" s="100">
        <f>398</f>
        <v>398</v>
      </c>
      <c r="BH398" s="108">
        <f t="shared" si="437"/>
        <v>0</v>
      </c>
      <c r="BI398" s="108">
        <f t="shared" si="438"/>
        <v>0</v>
      </c>
      <c r="BJ398" s="108">
        <f t="shared" si="439"/>
        <v>0</v>
      </c>
    </row>
    <row r="399" spans="1:62" x14ac:dyDescent="0.2">
      <c r="A399" s="117" t="s">
        <v>357</v>
      </c>
      <c r="B399" s="117" t="s">
        <v>133</v>
      </c>
      <c r="C399" s="304" t="s">
        <v>1996</v>
      </c>
      <c r="D399" s="305"/>
      <c r="E399" s="305"/>
      <c r="F399" s="117" t="s">
        <v>1644</v>
      </c>
      <c r="G399" s="116">
        <v>4</v>
      </c>
      <c r="H399" s="159"/>
      <c r="I399" s="108">
        <f t="shared" si="416"/>
        <v>0</v>
      </c>
      <c r="J399" s="108">
        <f t="shared" si="417"/>
        <v>0</v>
      </c>
      <c r="K399" s="108">
        <f t="shared" si="418"/>
        <v>0</v>
      </c>
      <c r="L399" s="111"/>
      <c r="Z399" s="100">
        <f t="shared" si="419"/>
        <v>0</v>
      </c>
      <c r="AB399" s="100">
        <f t="shared" si="420"/>
        <v>0</v>
      </c>
      <c r="AC399" s="100">
        <f t="shared" si="421"/>
        <v>0</v>
      </c>
      <c r="AD399" s="100">
        <f t="shared" si="422"/>
        <v>0</v>
      </c>
      <c r="AE399" s="100">
        <f t="shared" si="423"/>
        <v>0</v>
      </c>
      <c r="AF399" s="100">
        <f t="shared" si="424"/>
        <v>0</v>
      </c>
      <c r="AG399" s="100">
        <f t="shared" si="425"/>
        <v>0</v>
      </c>
      <c r="AH399" s="100">
        <f t="shared" si="426"/>
        <v>0</v>
      </c>
      <c r="AI399" s="109"/>
      <c r="AJ399" s="108">
        <f t="shared" si="427"/>
        <v>0</v>
      </c>
      <c r="AK399" s="108">
        <f t="shared" si="428"/>
        <v>0</v>
      </c>
      <c r="AL399" s="108">
        <f t="shared" si="429"/>
        <v>0</v>
      </c>
      <c r="AN399" s="100">
        <v>15</v>
      </c>
      <c r="AO399" s="100">
        <f t="shared" si="430"/>
        <v>0</v>
      </c>
      <c r="AP399" s="100">
        <f t="shared" si="431"/>
        <v>0</v>
      </c>
      <c r="AQ399" s="111" t="s">
        <v>13</v>
      </c>
      <c r="AV399" s="100">
        <f t="shared" si="432"/>
        <v>0</v>
      </c>
      <c r="AW399" s="100">
        <f t="shared" si="433"/>
        <v>0</v>
      </c>
      <c r="AX399" s="100">
        <f t="shared" si="434"/>
        <v>0</v>
      </c>
      <c r="AY399" s="110" t="s">
        <v>1713</v>
      </c>
      <c r="AZ399" s="110" t="s">
        <v>1733</v>
      </c>
      <c r="BA399" s="109" t="s">
        <v>1737</v>
      </c>
      <c r="BC399" s="100">
        <f t="shared" si="435"/>
        <v>0</v>
      </c>
      <c r="BD399" s="100">
        <f t="shared" si="436"/>
        <v>0</v>
      </c>
      <c r="BE399" s="100">
        <v>0</v>
      </c>
      <c r="BF399" s="100">
        <f>399</f>
        <v>399</v>
      </c>
      <c r="BH399" s="108">
        <f t="shared" si="437"/>
        <v>0</v>
      </c>
      <c r="BI399" s="108">
        <f t="shared" si="438"/>
        <v>0</v>
      </c>
      <c r="BJ399" s="108">
        <f t="shared" si="439"/>
        <v>0</v>
      </c>
    </row>
    <row r="400" spans="1:62" x14ac:dyDescent="0.2">
      <c r="A400" s="117" t="s">
        <v>358</v>
      </c>
      <c r="B400" s="117" t="s">
        <v>134</v>
      </c>
      <c r="C400" s="304" t="s">
        <v>1433</v>
      </c>
      <c r="D400" s="305"/>
      <c r="E400" s="305"/>
      <c r="F400" s="117" t="s">
        <v>1646</v>
      </c>
      <c r="G400" s="116">
        <v>95</v>
      </c>
      <c r="H400" s="159"/>
      <c r="I400" s="108">
        <f t="shared" si="416"/>
        <v>0</v>
      </c>
      <c r="J400" s="108">
        <f t="shared" si="417"/>
        <v>0</v>
      </c>
      <c r="K400" s="108">
        <f t="shared" si="418"/>
        <v>0</v>
      </c>
      <c r="L400" s="111"/>
      <c r="Z400" s="100">
        <f t="shared" si="419"/>
        <v>0</v>
      </c>
      <c r="AB400" s="100">
        <f t="shared" si="420"/>
        <v>0</v>
      </c>
      <c r="AC400" s="100">
        <f t="shared" si="421"/>
        <v>0</v>
      </c>
      <c r="AD400" s="100">
        <f t="shared" si="422"/>
        <v>0</v>
      </c>
      <c r="AE400" s="100">
        <f t="shared" si="423"/>
        <v>0</v>
      </c>
      <c r="AF400" s="100">
        <f t="shared" si="424"/>
        <v>0</v>
      </c>
      <c r="AG400" s="100">
        <f t="shared" si="425"/>
        <v>0</v>
      </c>
      <c r="AH400" s="100">
        <f t="shared" si="426"/>
        <v>0</v>
      </c>
      <c r="AI400" s="109"/>
      <c r="AJ400" s="108">
        <f t="shared" si="427"/>
        <v>0</v>
      </c>
      <c r="AK400" s="108">
        <f t="shared" si="428"/>
        <v>0</v>
      </c>
      <c r="AL400" s="108">
        <f t="shared" si="429"/>
        <v>0</v>
      </c>
      <c r="AN400" s="100">
        <v>15</v>
      </c>
      <c r="AO400" s="100">
        <f t="shared" si="430"/>
        <v>0</v>
      </c>
      <c r="AP400" s="100">
        <f t="shared" si="431"/>
        <v>0</v>
      </c>
      <c r="AQ400" s="111" t="s">
        <v>13</v>
      </c>
      <c r="AV400" s="100">
        <f t="shared" si="432"/>
        <v>0</v>
      </c>
      <c r="AW400" s="100">
        <f t="shared" si="433"/>
        <v>0</v>
      </c>
      <c r="AX400" s="100">
        <f t="shared" si="434"/>
        <v>0</v>
      </c>
      <c r="AY400" s="110" t="s">
        <v>1713</v>
      </c>
      <c r="AZ400" s="110" t="s">
        <v>1733</v>
      </c>
      <c r="BA400" s="109" t="s">
        <v>1737</v>
      </c>
      <c r="BC400" s="100">
        <f t="shared" si="435"/>
        <v>0</v>
      </c>
      <c r="BD400" s="100">
        <f t="shared" si="436"/>
        <v>0</v>
      </c>
      <c r="BE400" s="100">
        <v>0</v>
      </c>
      <c r="BF400" s="100">
        <f>400</f>
        <v>400</v>
      </c>
      <c r="BH400" s="108">
        <f t="shared" si="437"/>
        <v>0</v>
      </c>
      <c r="BI400" s="108">
        <f t="shared" si="438"/>
        <v>0</v>
      </c>
      <c r="BJ400" s="108">
        <f t="shared" si="439"/>
        <v>0</v>
      </c>
    </row>
    <row r="401" spans="1:62" x14ac:dyDescent="0.2">
      <c r="A401" s="117" t="s">
        <v>359</v>
      </c>
      <c r="B401" s="117" t="s">
        <v>135</v>
      </c>
      <c r="C401" s="304" t="s">
        <v>1434</v>
      </c>
      <c r="D401" s="305"/>
      <c r="E401" s="305"/>
      <c r="F401" s="117" t="s">
        <v>1646</v>
      </c>
      <c r="G401" s="116">
        <v>95</v>
      </c>
      <c r="H401" s="159"/>
      <c r="I401" s="108">
        <f t="shared" si="416"/>
        <v>0</v>
      </c>
      <c r="J401" s="108">
        <f t="shared" si="417"/>
        <v>0</v>
      </c>
      <c r="K401" s="108">
        <f t="shared" si="418"/>
        <v>0</v>
      </c>
      <c r="L401" s="111"/>
      <c r="Z401" s="100">
        <f t="shared" si="419"/>
        <v>0</v>
      </c>
      <c r="AB401" s="100">
        <f t="shared" si="420"/>
        <v>0</v>
      </c>
      <c r="AC401" s="100">
        <f t="shared" si="421"/>
        <v>0</v>
      </c>
      <c r="AD401" s="100">
        <f t="shared" si="422"/>
        <v>0</v>
      </c>
      <c r="AE401" s="100">
        <f t="shared" si="423"/>
        <v>0</v>
      </c>
      <c r="AF401" s="100">
        <f t="shared" si="424"/>
        <v>0</v>
      </c>
      <c r="AG401" s="100">
        <f t="shared" si="425"/>
        <v>0</v>
      </c>
      <c r="AH401" s="100">
        <f t="shared" si="426"/>
        <v>0</v>
      </c>
      <c r="AI401" s="109"/>
      <c r="AJ401" s="108">
        <f t="shared" si="427"/>
        <v>0</v>
      </c>
      <c r="AK401" s="108">
        <f t="shared" si="428"/>
        <v>0</v>
      </c>
      <c r="AL401" s="108">
        <f t="shared" si="429"/>
        <v>0</v>
      </c>
      <c r="AN401" s="100">
        <v>15</v>
      </c>
      <c r="AO401" s="100">
        <f t="shared" si="430"/>
        <v>0</v>
      </c>
      <c r="AP401" s="100">
        <f t="shared" si="431"/>
        <v>0</v>
      </c>
      <c r="AQ401" s="111" t="s">
        <v>13</v>
      </c>
      <c r="AV401" s="100">
        <f t="shared" si="432"/>
        <v>0</v>
      </c>
      <c r="AW401" s="100">
        <f t="shared" si="433"/>
        <v>0</v>
      </c>
      <c r="AX401" s="100">
        <f t="shared" si="434"/>
        <v>0</v>
      </c>
      <c r="AY401" s="110" t="s">
        <v>1713</v>
      </c>
      <c r="AZ401" s="110" t="s">
        <v>1733</v>
      </c>
      <c r="BA401" s="109" t="s">
        <v>1737</v>
      </c>
      <c r="BC401" s="100">
        <f t="shared" si="435"/>
        <v>0</v>
      </c>
      <c r="BD401" s="100">
        <f t="shared" si="436"/>
        <v>0</v>
      </c>
      <c r="BE401" s="100">
        <v>0</v>
      </c>
      <c r="BF401" s="100">
        <f>401</f>
        <v>401</v>
      </c>
      <c r="BH401" s="108">
        <f t="shared" si="437"/>
        <v>0</v>
      </c>
      <c r="BI401" s="108">
        <f t="shared" si="438"/>
        <v>0</v>
      </c>
      <c r="BJ401" s="108">
        <f t="shared" si="439"/>
        <v>0</v>
      </c>
    </row>
    <row r="402" spans="1:62" x14ac:dyDescent="0.2">
      <c r="A402" s="117" t="s">
        <v>360</v>
      </c>
      <c r="B402" s="117" t="s">
        <v>843</v>
      </c>
      <c r="C402" s="304" t="s">
        <v>1435</v>
      </c>
      <c r="D402" s="305"/>
      <c r="E402" s="305"/>
      <c r="F402" s="117" t="s">
        <v>1652</v>
      </c>
      <c r="G402" s="116">
        <v>1</v>
      </c>
      <c r="H402" s="159"/>
      <c r="I402" s="108">
        <f t="shared" si="416"/>
        <v>0</v>
      </c>
      <c r="J402" s="108">
        <f t="shared" si="417"/>
        <v>0</v>
      </c>
      <c r="K402" s="108">
        <f t="shared" si="418"/>
        <v>0</v>
      </c>
      <c r="L402" s="111"/>
      <c r="Z402" s="100">
        <f t="shared" si="419"/>
        <v>0</v>
      </c>
      <c r="AB402" s="100">
        <f t="shared" si="420"/>
        <v>0</v>
      </c>
      <c r="AC402" s="100">
        <f t="shared" si="421"/>
        <v>0</v>
      </c>
      <c r="AD402" s="100">
        <f t="shared" si="422"/>
        <v>0</v>
      </c>
      <c r="AE402" s="100">
        <f t="shared" si="423"/>
        <v>0</v>
      </c>
      <c r="AF402" s="100">
        <f t="shared" si="424"/>
        <v>0</v>
      </c>
      <c r="AG402" s="100">
        <f t="shared" si="425"/>
        <v>0</v>
      </c>
      <c r="AH402" s="100">
        <f t="shared" si="426"/>
        <v>0</v>
      </c>
      <c r="AI402" s="109"/>
      <c r="AJ402" s="108">
        <f t="shared" si="427"/>
        <v>0</v>
      </c>
      <c r="AK402" s="108">
        <f t="shared" si="428"/>
        <v>0</v>
      </c>
      <c r="AL402" s="108">
        <f t="shared" si="429"/>
        <v>0</v>
      </c>
      <c r="AN402" s="100">
        <v>15</v>
      </c>
      <c r="AO402" s="100">
        <f t="shared" si="430"/>
        <v>0</v>
      </c>
      <c r="AP402" s="100">
        <f t="shared" si="431"/>
        <v>0</v>
      </c>
      <c r="AQ402" s="111" t="s">
        <v>13</v>
      </c>
      <c r="AV402" s="100">
        <f t="shared" si="432"/>
        <v>0</v>
      </c>
      <c r="AW402" s="100">
        <f t="shared" si="433"/>
        <v>0</v>
      </c>
      <c r="AX402" s="100">
        <f t="shared" si="434"/>
        <v>0</v>
      </c>
      <c r="AY402" s="110" t="s">
        <v>1713</v>
      </c>
      <c r="AZ402" s="110" t="s">
        <v>1733</v>
      </c>
      <c r="BA402" s="109" t="s">
        <v>1737</v>
      </c>
      <c r="BC402" s="100">
        <f t="shared" si="435"/>
        <v>0</v>
      </c>
      <c r="BD402" s="100">
        <f t="shared" si="436"/>
        <v>0</v>
      </c>
      <c r="BE402" s="100">
        <v>0</v>
      </c>
      <c r="BF402" s="100">
        <f>402</f>
        <v>402</v>
      </c>
      <c r="BH402" s="108">
        <f t="shared" si="437"/>
        <v>0</v>
      </c>
      <c r="BI402" s="108">
        <f t="shared" si="438"/>
        <v>0</v>
      </c>
      <c r="BJ402" s="108">
        <f t="shared" si="439"/>
        <v>0</v>
      </c>
    </row>
    <row r="403" spans="1:62" x14ac:dyDescent="0.2">
      <c r="A403" s="117" t="s">
        <v>361</v>
      </c>
      <c r="B403" s="117" t="s">
        <v>844</v>
      </c>
      <c r="C403" s="304" t="s">
        <v>2327</v>
      </c>
      <c r="D403" s="305"/>
      <c r="E403" s="305"/>
      <c r="F403" s="117" t="s">
        <v>1652</v>
      </c>
      <c r="G403" s="116">
        <v>1</v>
      </c>
      <c r="H403" s="159"/>
      <c r="I403" s="108">
        <f t="shared" si="416"/>
        <v>0</v>
      </c>
      <c r="J403" s="108">
        <f t="shared" si="417"/>
        <v>0</v>
      </c>
      <c r="K403" s="108">
        <f t="shared" si="418"/>
        <v>0</v>
      </c>
      <c r="L403" s="111"/>
      <c r="Z403" s="100">
        <f t="shared" si="419"/>
        <v>0</v>
      </c>
      <c r="AB403" s="100">
        <f t="shared" si="420"/>
        <v>0</v>
      </c>
      <c r="AC403" s="100">
        <f t="shared" si="421"/>
        <v>0</v>
      </c>
      <c r="AD403" s="100">
        <f t="shared" si="422"/>
        <v>0</v>
      </c>
      <c r="AE403" s="100">
        <f t="shared" si="423"/>
        <v>0</v>
      </c>
      <c r="AF403" s="100">
        <f t="shared" si="424"/>
        <v>0</v>
      </c>
      <c r="AG403" s="100">
        <f t="shared" si="425"/>
        <v>0</v>
      </c>
      <c r="AH403" s="100">
        <f t="shared" si="426"/>
        <v>0</v>
      </c>
      <c r="AI403" s="109"/>
      <c r="AJ403" s="108">
        <f t="shared" si="427"/>
        <v>0</v>
      </c>
      <c r="AK403" s="108">
        <f t="shared" si="428"/>
        <v>0</v>
      </c>
      <c r="AL403" s="108">
        <f t="shared" si="429"/>
        <v>0</v>
      </c>
      <c r="AN403" s="100">
        <v>15</v>
      </c>
      <c r="AO403" s="100">
        <f t="shared" si="430"/>
        <v>0</v>
      </c>
      <c r="AP403" s="100">
        <f t="shared" si="431"/>
        <v>0</v>
      </c>
      <c r="AQ403" s="111" t="s">
        <v>13</v>
      </c>
      <c r="AV403" s="100">
        <f t="shared" si="432"/>
        <v>0</v>
      </c>
      <c r="AW403" s="100">
        <f t="shared" si="433"/>
        <v>0</v>
      </c>
      <c r="AX403" s="100">
        <f t="shared" si="434"/>
        <v>0</v>
      </c>
      <c r="AY403" s="110" t="s">
        <v>1713</v>
      </c>
      <c r="AZ403" s="110" t="s">
        <v>1733</v>
      </c>
      <c r="BA403" s="109" t="s">
        <v>1737</v>
      </c>
      <c r="BC403" s="100">
        <f t="shared" si="435"/>
        <v>0</v>
      </c>
      <c r="BD403" s="100">
        <f t="shared" si="436"/>
        <v>0</v>
      </c>
      <c r="BE403" s="100">
        <v>0</v>
      </c>
      <c r="BF403" s="100">
        <f>403</f>
        <v>403</v>
      </c>
      <c r="BH403" s="108">
        <f t="shared" si="437"/>
        <v>0</v>
      </c>
      <c r="BI403" s="108">
        <f t="shared" si="438"/>
        <v>0</v>
      </c>
      <c r="BJ403" s="108">
        <f t="shared" si="439"/>
        <v>0</v>
      </c>
    </row>
    <row r="404" spans="1:62" x14ac:dyDescent="0.2">
      <c r="A404" s="117" t="s">
        <v>362</v>
      </c>
      <c r="B404" s="117" t="s">
        <v>845</v>
      </c>
      <c r="C404" s="304" t="s">
        <v>1437</v>
      </c>
      <c r="D404" s="305"/>
      <c r="E404" s="305"/>
      <c r="F404" s="117" t="s">
        <v>1654</v>
      </c>
      <c r="G404" s="116">
        <v>390</v>
      </c>
      <c r="H404" s="159"/>
      <c r="I404" s="108">
        <f t="shared" si="416"/>
        <v>0</v>
      </c>
      <c r="J404" s="108">
        <f t="shared" si="417"/>
        <v>0</v>
      </c>
      <c r="K404" s="108">
        <f t="shared" si="418"/>
        <v>0</v>
      </c>
      <c r="L404" s="111"/>
      <c r="Z404" s="100">
        <f t="shared" si="419"/>
        <v>0</v>
      </c>
      <c r="AB404" s="100">
        <f t="shared" si="420"/>
        <v>0</v>
      </c>
      <c r="AC404" s="100">
        <f t="shared" si="421"/>
        <v>0</v>
      </c>
      <c r="AD404" s="100">
        <f t="shared" si="422"/>
        <v>0</v>
      </c>
      <c r="AE404" s="100">
        <f t="shared" si="423"/>
        <v>0</v>
      </c>
      <c r="AF404" s="100">
        <f t="shared" si="424"/>
        <v>0</v>
      </c>
      <c r="AG404" s="100">
        <f t="shared" si="425"/>
        <v>0</v>
      </c>
      <c r="AH404" s="100">
        <f t="shared" si="426"/>
        <v>0</v>
      </c>
      <c r="AI404" s="109"/>
      <c r="AJ404" s="108">
        <f t="shared" si="427"/>
        <v>0</v>
      </c>
      <c r="AK404" s="108">
        <f t="shared" si="428"/>
        <v>0</v>
      </c>
      <c r="AL404" s="108">
        <f t="shared" si="429"/>
        <v>0</v>
      </c>
      <c r="AN404" s="100">
        <v>15</v>
      </c>
      <c r="AO404" s="100">
        <f t="shared" si="430"/>
        <v>0</v>
      </c>
      <c r="AP404" s="100">
        <f t="shared" si="431"/>
        <v>0</v>
      </c>
      <c r="AQ404" s="111" t="s">
        <v>13</v>
      </c>
      <c r="AV404" s="100">
        <f t="shared" si="432"/>
        <v>0</v>
      </c>
      <c r="AW404" s="100">
        <f t="shared" si="433"/>
        <v>0</v>
      </c>
      <c r="AX404" s="100">
        <f t="shared" si="434"/>
        <v>0</v>
      </c>
      <c r="AY404" s="110" t="s">
        <v>1713</v>
      </c>
      <c r="AZ404" s="110" t="s">
        <v>1733</v>
      </c>
      <c r="BA404" s="109" t="s">
        <v>1737</v>
      </c>
      <c r="BC404" s="100">
        <f t="shared" si="435"/>
        <v>0</v>
      </c>
      <c r="BD404" s="100">
        <f t="shared" si="436"/>
        <v>0</v>
      </c>
      <c r="BE404" s="100">
        <v>0</v>
      </c>
      <c r="BF404" s="100">
        <f>404</f>
        <v>404</v>
      </c>
      <c r="BH404" s="108">
        <f t="shared" si="437"/>
        <v>0</v>
      </c>
      <c r="BI404" s="108">
        <f t="shared" si="438"/>
        <v>0</v>
      </c>
      <c r="BJ404" s="108">
        <f t="shared" si="439"/>
        <v>0</v>
      </c>
    </row>
    <row r="405" spans="1:62" x14ac:dyDescent="0.2">
      <c r="A405" s="117" t="s">
        <v>363</v>
      </c>
      <c r="B405" s="117" t="s">
        <v>846</v>
      </c>
      <c r="C405" s="304" t="s">
        <v>1438</v>
      </c>
      <c r="D405" s="305"/>
      <c r="E405" s="305"/>
      <c r="F405" s="117" t="s">
        <v>1652</v>
      </c>
      <c r="G405" s="116">
        <v>1</v>
      </c>
      <c r="H405" s="159"/>
      <c r="I405" s="108">
        <f t="shared" si="416"/>
        <v>0</v>
      </c>
      <c r="J405" s="108">
        <f t="shared" si="417"/>
        <v>0</v>
      </c>
      <c r="K405" s="108">
        <f t="shared" si="418"/>
        <v>0</v>
      </c>
      <c r="L405" s="111"/>
      <c r="Z405" s="100">
        <f t="shared" si="419"/>
        <v>0</v>
      </c>
      <c r="AB405" s="100">
        <f t="shared" si="420"/>
        <v>0</v>
      </c>
      <c r="AC405" s="100">
        <f t="shared" si="421"/>
        <v>0</v>
      </c>
      <c r="AD405" s="100">
        <f t="shared" si="422"/>
        <v>0</v>
      </c>
      <c r="AE405" s="100">
        <f t="shared" si="423"/>
        <v>0</v>
      </c>
      <c r="AF405" s="100">
        <f t="shared" si="424"/>
        <v>0</v>
      </c>
      <c r="AG405" s="100">
        <f t="shared" si="425"/>
        <v>0</v>
      </c>
      <c r="AH405" s="100">
        <f t="shared" si="426"/>
        <v>0</v>
      </c>
      <c r="AI405" s="109"/>
      <c r="AJ405" s="108">
        <f t="shared" si="427"/>
        <v>0</v>
      </c>
      <c r="AK405" s="108">
        <f t="shared" si="428"/>
        <v>0</v>
      </c>
      <c r="AL405" s="108">
        <f t="shared" si="429"/>
        <v>0</v>
      </c>
      <c r="AN405" s="100">
        <v>15</v>
      </c>
      <c r="AO405" s="100">
        <f t="shared" si="430"/>
        <v>0</v>
      </c>
      <c r="AP405" s="100">
        <f t="shared" si="431"/>
        <v>0</v>
      </c>
      <c r="AQ405" s="111" t="s">
        <v>13</v>
      </c>
      <c r="AV405" s="100">
        <f t="shared" si="432"/>
        <v>0</v>
      </c>
      <c r="AW405" s="100">
        <f t="shared" si="433"/>
        <v>0</v>
      </c>
      <c r="AX405" s="100">
        <f t="shared" si="434"/>
        <v>0</v>
      </c>
      <c r="AY405" s="110" t="s">
        <v>1713</v>
      </c>
      <c r="AZ405" s="110" t="s">
        <v>1733</v>
      </c>
      <c r="BA405" s="109" t="s">
        <v>1737</v>
      </c>
      <c r="BC405" s="100">
        <f t="shared" si="435"/>
        <v>0</v>
      </c>
      <c r="BD405" s="100">
        <f t="shared" si="436"/>
        <v>0</v>
      </c>
      <c r="BE405" s="100">
        <v>0</v>
      </c>
      <c r="BF405" s="100">
        <f>405</f>
        <v>405</v>
      </c>
      <c r="BH405" s="108">
        <f t="shared" si="437"/>
        <v>0</v>
      </c>
      <c r="BI405" s="108">
        <f t="shared" si="438"/>
        <v>0</v>
      </c>
      <c r="BJ405" s="108">
        <f t="shared" si="439"/>
        <v>0</v>
      </c>
    </row>
    <row r="406" spans="1:62" x14ac:dyDescent="0.2">
      <c r="A406" s="117" t="s">
        <v>364</v>
      </c>
      <c r="B406" s="117" t="s">
        <v>847</v>
      </c>
      <c r="C406" s="304" t="s">
        <v>1439</v>
      </c>
      <c r="D406" s="305"/>
      <c r="E406" s="305"/>
      <c r="F406" s="117" t="s">
        <v>1652</v>
      </c>
      <c r="G406" s="116">
        <v>1</v>
      </c>
      <c r="H406" s="159"/>
      <c r="I406" s="108">
        <f t="shared" si="416"/>
        <v>0</v>
      </c>
      <c r="J406" s="108">
        <f t="shared" si="417"/>
        <v>0</v>
      </c>
      <c r="K406" s="108">
        <f t="shared" si="418"/>
        <v>0</v>
      </c>
      <c r="L406" s="111"/>
      <c r="Z406" s="100">
        <f t="shared" si="419"/>
        <v>0</v>
      </c>
      <c r="AB406" s="100">
        <f t="shared" si="420"/>
        <v>0</v>
      </c>
      <c r="AC406" s="100">
        <f t="shared" si="421"/>
        <v>0</v>
      </c>
      <c r="AD406" s="100">
        <f t="shared" si="422"/>
        <v>0</v>
      </c>
      <c r="AE406" s="100">
        <f t="shared" si="423"/>
        <v>0</v>
      </c>
      <c r="AF406" s="100">
        <f t="shared" si="424"/>
        <v>0</v>
      </c>
      <c r="AG406" s="100">
        <f t="shared" si="425"/>
        <v>0</v>
      </c>
      <c r="AH406" s="100">
        <f t="shared" si="426"/>
        <v>0</v>
      </c>
      <c r="AI406" s="109"/>
      <c r="AJ406" s="108">
        <f t="shared" si="427"/>
        <v>0</v>
      </c>
      <c r="AK406" s="108">
        <f t="shared" si="428"/>
        <v>0</v>
      </c>
      <c r="AL406" s="108">
        <f t="shared" si="429"/>
        <v>0</v>
      </c>
      <c r="AN406" s="100">
        <v>15</v>
      </c>
      <c r="AO406" s="100">
        <f t="shared" si="430"/>
        <v>0</v>
      </c>
      <c r="AP406" s="100">
        <f t="shared" si="431"/>
        <v>0</v>
      </c>
      <c r="AQ406" s="111" t="s">
        <v>13</v>
      </c>
      <c r="AV406" s="100">
        <f t="shared" si="432"/>
        <v>0</v>
      </c>
      <c r="AW406" s="100">
        <f t="shared" si="433"/>
        <v>0</v>
      </c>
      <c r="AX406" s="100">
        <f t="shared" si="434"/>
        <v>0</v>
      </c>
      <c r="AY406" s="110" t="s">
        <v>1713</v>
      </c>
      <c r="AZ406" s="110" t="s">
        <v>1733</v>
      </c>
      <c r="BA406" s="109" t="s">
        <v>1737</v>
      </c>
      <c r="BC406" s="100">
        <f t="shared" si="435"/>
        <v>0</v>
      </c>
      <c r="BD406" s="100">
        <f t="shared" si="436"/>
        <v>0</v>
      </c>
      <c r="BE406" s="100">
        <v>0</v>
      </c>
      <c r="BF406" s="100">
        <f>406</f>
        <v>406</v>
      </c>
      <c r="BH406" s="108">
        <f t="shared" si="437"/>
        <v>0</v>
      </c>
      <c r="BI406" s="108">
        <f t="shared" si="438"/>
        <v>0</v>
      </c>
      <c r="BJ406" s="108">
        <f t="shared" si="439"/>
        <v>0</v>
      </c>
    </row>
    <row r="407" spans="1:62" x14ac:dyDescent="0.2">
      <c r="A407" s="117" t="s">
        <v>365</v>
      </c>
      <c r="B407" s="117" t="s">
        <v>848</v>
      </c>
      <c r="C407" s="304" t="s">
        <v>1440</v>
      </c>
      <c r="D407" s="305"/>
      <c r="E407" s="305"/>
      <c r="F407" s="117" t="s">
        <v>1652</v>
      </c>
      <c r="G407" s="116">
        <v>1</v>
      </c>
      <c r="H407" s="159"/>
      <c r="I407" s="108">
        <f t="shared" si="416"/>
        <v>0</v>
      </c>
      <c r="J407" s="108">
        <f t="shared" si="417"/>
        <v>0</v>
      </c>
      <c r="K407" s="108">
        <f t="shared" si="418"/>
        <v>0</v>
      </c>
      <c r="L407" s="111"/>
      <c r="Z407" s="100">
        <f t="shared" si="419"/>
        <v>0</v>
      </c>
      <c r="AB407" s="100">
        <f t="shared" si="420"/>
        <v>0</v>
      </c>
      <c r="AC407" s="100">
        <f t="shared" si="421"/>
        <v>0</v>
      </c>
      <c r="AD407" s="100">
        <f t="shared" si="422"/>
        <v>0</v>
      </c>
      <c r="AE407" s="100">
        <f t="shared" si="423"/>
        <v>0</v>
      </c>
      <c r="AF407" s="100">
        <f t="shared" si="424"/>
        <v>0</v>
      </c>
      <c r="AG407" s="100">
        <f t="shared" si="425"/>
        <v>0</v>
      </c>
      <c r="AH407" s="100">
        <f t="shared" si="426"/>
        <v>0</v>
      </c>
      <c r="AI407" s="109"/>
      <c r="AJ407" s="108">
        <f t="shared" si="427"/>
        <v>0</v>
      </c>
      <c r="AK407" s="108">
        <f t="shared" si="428"/>
        <v>0</v>
      </c>
      <c r="AL407" s="108">
        <f t="shared" si="429"/>
        <v>0</v>
      </c>
      <c r="AN407" s="100">
        <v>15</v>
      </c>
      <c r="AO407" s="100">
        <f t="shared" si="430"/>
        <v>0</v>
      </c>
      <c r="AP407" s="100">
        <f t="shared" si="431"/>
        <v>0</v>
      </c>
      <c r="AQ407" s="111" t="s">
        <v>13</v>
      </c>
      <c r="AV407" s="100">
        <f t="shared" si="432"/>
        <v>0</v>
      </c>
      <c r="AW407" s="100">
        <f t="shared" si="433"/>
        <v>0</v>
      </c>
      <c r="AX407" s="100">
        <f t="shared" si="434"/>
        <v>0</v>
      </c>
      <c r="AY407" s="110" t="s">
        <v>1713</v>
      </c>
      <c r="AZ407" s="110" t="s">
        <v>1733</v>
      </c>
      <c r="BA407" s="109" t="s">
        <v>1737</v>
      </c>
      <c r="BC407" s="100">
        <f t="shared" si="435"/>
        <v>0</v>
      </c>
      <c r="BD407" s="100">
        <f t="shared" si="436"/>
        <v>0</v>
      </c>
      <c r="BE407" s="100">
        <v>0</v>
      </c>
      <c r="BF407" s="100">
        <f>407</f>
        <v>407</v>
      </c>
      <c r="BH407" s="108">
        <f t="shared" si="437"/>
        <v>0</v>
      </c>
      <c r="BI407" s="108">
        <f t="shared" si="438"/>
        <v>0</v>
      </c>
      <c r="BJ407" s="108">
        <f t="shared" si="439"/>
        <v>0</v>
      </c>
    </row>
    <row r="408" spans="1:62" x14ac:dyDescent="0.2">
      <c r="A408" s="117" t="s">
        <v>366</v>
      </c>
      <c r="B408" s="117" t="s">
        <v>849</v>
      </c>
      <c r="C408" s="304" t="s">
        <v>1441</v>
      </c>
      <c r="D408" s="305"/>
      <c r="E408" s="305"/>
      <c r="F408" s="117" t="s">
        <v>1652</v>
      </c>
      <c r="G408" s="116">
        <v>1</v>
      </c>
      <c r="H408" s="159"/>
      <c r="I408" s="108">
        <f t="shared" si="416"/>
        <v>0</v>
      </c>
      <c r="J408" s="108">
        <f t="shared" si="417"/>
        <v>0</v>
      </c>
      <c r="K408" s="108">
        <f t="shared" si="418"/>
        <v>0</v>
      </c>
      <c r="L408" s="111"/>
      <c r="Z408" s="100">
        <f t="shared" si="419"/>
        <v>0</v>
      </c>
      <c r="AB408" s="100">
        <f t="shared" si="420"/>
        <v>0</v>
      </c>
      <c r="AC408" s="100">
        <f t="shared" si="421"/>
        <v>0</v>
      </c>
      <c r="AD408" s="100">
        <f t="shared" si="422"/>
        <v>0</v>
      </c>
      <c r="AE408" s="100">
        <f t="shared" si="423"/>
        <v>0</v>
      </c>
      <c r="AF408" s="100">
        <f t="shared" si="424"/>
        <v>0</v>
      </c>
      <c r="AG408" s="100">
        <f t="shared" si="425"/>
        <v>0</v>
      </c>
      <c r="AH408" s="100">
        <f t="shared" si="426"/>
        <v>0</v>
      </c>
      <c r="AI408" s="109"/>
      <c r="AJ408" s="108">
        <f t="shared" si="427"/>
        <v>0</v>
      </c>
      <c r="AK408" s="108">
        <f t="shared" si="428"/>
        <v>0</v>
      </c>
      <c r="AL408" s="108">
        <f t="shared" si="429"/>
        <v>0</v>
      </c>
      <c r="AN408" s="100">
        <v>15</v>
      </c>
      <c r="AO408" s="100">
        <f t="shared" si="430"/>
        <v>0</v>
      </c>
      <c r="AP408" s="100">
        <f t="shared" si="431"/>
        <v>0</v>
      </c>
      <c r="AQ408" s="111" t="s">
        <v>13</v>
      </c>
      <c r="AV408" s="100">
        <f t="shared" si="432"/>
        <v>0</v>
      </c>
      <c r="AW408" s="100">
        <f t="shared" si="433"/>
        <v>0</v>
      </c>
      <c r="AX408" s="100">
        <f t="shared" si="434"/>
        <v>0</v>
      </c>
      <c r="AY408" s="110" t="s">
        <v>1713</v>
      </c>
      <c r="AZ408" s="110" t="s">
        <v>1733</v>
      </c>
      <c r="BA408" s="109" t="s">
        <v>1737</v>
      </c>
      <c r="BC408" s="100">
        <f t="shared" si="435"/>
        <v>0</v>
      </c>
      <c r="BD408" s="100">
        <f t="shared" si="436"/>
        <v>0</v>
      </c>
      <c r="BE408" s="100">
        <v>0</v>
      </c>
      <c r="BF408" s="100">
        <f>408</f>
        <v>408</v>
      </c>
      <c r="BH408" s="108">
        <f t="shared" si="437"/>
        <v>0</v>
      </c>
      <c r="BI408" s="108">
        <f t="shared" si="438"/>
        <v>0</v>
      </c>
      <c r="BJ408" s="108">
        <f t="shared" si="439"/>
        <v>0</v>
      </c>
    </row>
    <row r="409" spans="1:62" x14ac:dyDescent="0.2">
      <c r="A409" s="117" t="s">
        <v>367</v>
      </c>
      <c r="B409" s="117" t="s">
        <v>850</v>
      </c>
      <c r="C409" s="304" t="s">
        <v>1442</v>
      </c>
      <c r="D409" s="305"/>
      <c r="E409" s="305"/>
      <c r="F409" s="117" t="s">
        <v>1652</v>
      </c>
      <c r="G409" s="116">
        <v>1</v>
      </c>
      <c r="H409" s="159"/>
      <c r="I409" s="108">
        <f t="shared" si="416"/>
        <v>0</v>
      </c>
      <c r="J409" s="108">
        <f t="shared" si="417"/>
        <v>0</v>
      </c>
      <c r="K409" s="108">
        <f t="shared" si="418"/>
        <v>0</v>
      </c>
      <c r="L409" s="111"/>
      <c r="Z409" s="100">
        <f t="shared" si="419"/>
        <v>0</v>
      </c>
      <c r="AB409" s="100">
        <f t="shared" si="420"/>
        <v>0</v>
      </c>
      <c r="AC409" s="100">
        <f t="shared" si="421"/>
        <v>0</v>
      </c>
      <c r="AD409" s="100">
        <f t="shared" si="422"/>
        <v>0</v>
      </c>
      <c r="AE409" s="100">
        <f t="shared" si="423"/>
        <v>0</v>
      </c>
      <c r="AF409" s="100">
        <f t="shared" si="424"/>
        <v>0</v>
      </c>
      <c r="AG409" s="100">
        <f t="shared" si="425"/>
        <v>0</v>
      </c>
      <c r="AH409" s="100">
        <f t="shared" si="426"/>
        <v>0</v>
      </c>
      <c r="AI409" s="109"/>
      <c r="AJ409" s="108">
        <f t="shared" si="427"/>
        <v>0</v>
      </c>
      <c r="AK409" s="108">
        <f t="shared" si="428"/>
        <v>0</v>
      </c>
      <c r="AL409" s="108">
        <f t="shared" si="429"/>
        <v>0</v>
      </c>
      <c r="AN409" s="100">
        <v>15</v>
      </c>
      <c r="AO409" s="100">
        <f t="shared" si="430"/>
        <v>0</v>
      </c>
      <c r="AP409" s="100">
        <f t="shared" si="431"/>
        <v>0</v>
      </c>
      <c r="AQ409" s="111" t="s">
        <v>13</v>
      </c>
      <c r="AV409" s="100">
        <f t="shared" si="432"/>
        <v>0</v>
      </c>
      <c r="AW409" s="100">
        <f t="shared" si="433"/>
        <v>0</v>
      </c>
      <c r="AX409" s="100">
        <f t="shared" si="434"/>
        <v>0</v>
      </c>
      <c r="AY409" s="110" t="s">
        <v>1713</v>
      </c>
      <c r="AZ409" s="110" t="s">
        <v>1733</v>
      </c>
      <c r="BA409" s="109" t="s">
        <v>1737</v>
      </c>
      <c r="BC409" s="100">
        <f t="shared" si="435"/>
        <v>0</v>
      </c>
      <c r="BD409" s="100">
        <f t="shared" si="436"/>
        <v>0</v>
      </c>
      <c r="BE409" s="100">
        <v>0</v>
      </c>
      <c r="BF409" s="100">
        <f>409</f>
        <v>409</v>
      </c>
      <c r="BH409" s="108">
        <f t="shared" si="437"/>
        <v>0</v>
      </c>
      <c r="BI409" s="108">
        <f t="shared" si="438"/>
        <v>0</v>
      </c>
      <c r="BJ409" s="108">
        <f t="shared" si="439"/>
        <v>0</v>
      </c>
    </row>
    <row r="410" spans="1:62" x14ac:dyDescent="0.2">
      <c r="A410" s="117" t="s">
        <v>368</v>
      </c>
      <c r="B410" s="117" t="s">
        <v>851</v>
      </c>
      <c r="C410" s="304" t="s">
        <v>1443</v>
      </c>
      <c r="D410" s="305"/>
      <c r="E410" s="305"/>
      <c r="F410" s="117" t="s">
        <v>1645</v>
      </c>
      <c r="G410" s="116">
        <v>20</v>
      </c>
      <c r="H410" s="159"/>
      <c r="I410" s="108">
        <f t="shared" si="416"/>
        <v>0</v>
      </c>
      <c r="J410" s="108">
        <f t="shared" si="417"/>
        <v>0</v>
      </c>
      <c r="K410" s="108">
        <f t="shared" si="418"/>
        <v>0</v>
      </c>
      <c r="L410" s="111"/>
      <c r="Z410" s="100">
        <f t="shared" si="419"/>
        <v>0</v>
      </c>
      <c r="AB410" s="100">
        <f t="shared" si="420"/>
        <v>0</v>
      </c>
      <c r="AC410" s="100">
        <f t="shared" si="421"/>
        <v>0</v>
      </c>
      <c r="AD410" s="100">
        <f t="shared" si="422"/>
        <v>0</v>
      </c>
      <c r="AE410" s="100">
        <f t="shared" si="423"/>
        <v>0</v>
      </c>
      <c r="AF410" s="100">
        <f t="shared" si="424"/>
        <v>0</v>
      </c>
      <c r="AG410" s="100">
        <f t="shared" si="425"/>
        <v>0</v>
      </c>
      <c r="AH410" s="100">
        <f t="shared" si="426"/>
        <v>0</v>
      </c>
      <c r="AI410" s="109"/>
      <c r="AJ410" s="108">
        <f t="shared" si="427"/>
        <v>0</v>
      </c>
      <c r="AK410" s="108">
        <f t="shared" si="428"/>
        <v>0</v>
      </c>
      <c r="AL410" s="108">
        <f t="shared" si="429"/>
        <v>0</v>
      </c>
      <c r="AN410" s="100">
        <v>15</v>
      </c>
      <c r="AO410" s="100">
        <f t="shared" si="430"/>
        <v>0</v>
      </c>
      <c r="AP410" s="100">
        <f t="shared" si="431"/>
        <v>0</v>
      </c>
      <c r="AQ410" s="111" t="s">
        <v>13</v>
      </c>
      <c r="AV410" s="100">
        <f t="shared" si="432"/>
        <v>0</v>
      </c>
      <c r="AW410" s="100">
        <f t="shared" si="433"/>
        <v>0</v>
      </c>
      <c r="AX410" s="100">
        <f t="shared" si="434"/>
        <v>0</v>
      </c>
      <c r="AY410" s="110" t="s">
        <v>1713</v>
      </c>
      <c r="AZ410" s="110" t="s">
        <v>1733</v>
      </c>
      <c r="BA410" s="109" t="s">
        <v>1737</v>
      </c>
      <c r="BC410" s="100">
        <f t="shared" si="435"/>
        <v>0</v>
      </c>
      <c r="BD410" s="100">
        <f t="shared" si="436"/>
        <v>0</v>
      </c>
      <c r="BE410" s="100">
        <v>0</v>
      </c>
      <c r="BF410" s="100">
        <f>410</f>
        <v>410</v>
      </c>
      <c r="BH410" s="108">
        <f t="shared" si="437"/>
        <v>0</v>
      </c>
      <c r="BI410" s="108">
        <f t="shared" si="438"/>
        <v>0</v>
      </c>
      <c r="BJ410" s="108">
        <f t="shared" si="439"/>
        <v>0</v>
      </c>
    </row>
    <row r="411" spans="1:62" x14ac:dyDescent="0.2">
      <c r="A411" s="117" t="s">
        <v>369</v>
      </c>
      <c r="B411" s="117" t="s">
        <v>852</v>
      </c>
      <c r="C411" s="304" t="s">
        <v>1444</v>
      </c>
      <c r="D411" s="305"/>
      <c r="E411" s="305"/>
      <c r="F411" s="117" t="s">
        <v>1647</v>
      </c>
      <c r="G411" s="116">
        <v>20</v>
      </c>
      <c r="H411" s="159"/>
      <c r="I411" s="108">
        <f t="shared" si="416"/>
        <v>0</v>
      </c>
      <c r="J411" s="108">
        <f t="shared" si="417"/>
        <v>0</v>
      </c>
      <c r="K411" s="108">
        <f t="shared" si="418"/>
        <v>0</v>
      </c>
      <c r="L411" s="111"/>
      <c r="Z411" s="100">
        <f t="shared" si="419"/>
        <v>0</v>
      </c>
      <c r="AB411" s="100">
        <f t="shared" si="420"/>
        <v>0</v>
      </c>
      <c r="AC411" s="100">
        <f t="shared" si="421"/>
        <v>0</v>
      </c>
      <c r="AD411" s="100">
        <f t="shared" si="422"/>
        <v>0</v>
      </c>
      <c r="AE411" s="100">
        <f t="shared" si="423"/>
        <v>0</v>
      </c>
      <c r="AF411" s="100">
        <f t="shared" si="424"/>
        <v>0</v>
      </c>
      <c r="AG411" s="100">
        <f t="shared" si="425"/>
        <v>0</v>
      </c>
      <c r="AH411" s="100">
        <f t="shared" si="426"/>
        <v>0</v>
      </c>
      <c r="AI411" s="109"/>
      <c r="AJ411" s="108">
        <f t="shared" si="427"/>
        <v>0</v>
      </c>
      <c r="AK411" s="108">
        <f t="shared" si="428"/>
        <v>0</v>
      </c>
      <c r="AL411" s="108">
        <f t="shared" si="429"/>
        <v>0</v>
      </c>
      <c r="AN411" s="100">
        <v>15</v>
      </c>
      <c r="AO411" s="100">
        <f t="shared" si="430"/>
        <v>0</v>
      </c>
      <c r="AP411" s="100">
        <f t="shared" si="431"/>
        <v>0</v>
      </c>
      <c r="AQ411" s="111" t="s">
        <v>13</v>
      </c>
      <c r="AV411" s="100">
        <f t="shared" si="432"/>
        <v>0</v>
      </c>
      <c r="AW411" s="100">
        <f t="shared" si="433"/>
        <v>0</v>
      </c>
      <c r="AX411" s="100">
        <f t="shared" si="434"/>
        <v>0</v>
      </c>
      <c r="AY411" s="110" t="s">
        <v>1713</v>
      </c>
      <c r="AZ411" s="110" t="s">
        <v>1733</v>
      </c>
      <c r="BA411" s="109" t="s">
        <v>1737</v>
      </c>
      <c r="BC411" s="100">
        <f t="shared" si="435"/>
        <v>0</v>
      </c>
      <c r="BD411" s="100">
        <f t="shared" si="436"/>
        <v>0</v>
      </c>
      <c r="BE411" s="100">
        <v>0</v>
      </c>
      <c r="BF411" s="100">
        <f>411</f>
        <v>411</v>
      </c>
      <c r="BH411" s="108">
        <f t="shared" si="437"/>
        <v>0</v>
      </c>
      <c r="BI411" s="108">
        <f t="shared" si="438"/>
        <v>0</v>
      </c>
      <c r="BJ411" s="108">
        <f t="shared" si="439"/>
        <v>0</v>
      </c>
    </row>
    <row r="412" spans="1:62" x14ac:dyDescent="0.2">
      <c r="A412" s="117" t="s">
        <v>370</v>
      </c>
      <c r="B412" s="117" t="s">
        <v>853</v>
      </c>
      <c r="C412" s="304" t="s">
        <v>1445</v>
      </c>
      <c r="D412" s="305"/>
      <c r="E412" s="305"/>
      <c r="F412" s="117" t="s">
        <v>1647</v>
      </c>
      <c r="G412" s="116">
        <v>1</v>
      </c>
      <c r="H412" s="159"/>
      <c r="I412" s="108">
        <f t="shared" si="416"/>
        <v>0</v>
      </c>
      <c r="J412" s="108">
        <f t="shared" si="417"/>
        <v>0</v>
      </c>
      <c r="K412" s="108">
        <f t="shared" si="418"/>
        <v>0</v>
      </c>
      <c r="L412" s="111"/>
      <c r="Z412" s="100">
        <f t="shared" si="419"/>
        <v>0</v>
      </c>
      <c r="AB412" s="100">
        <f t="shared" si="420"/>
        <v>0</v>
      </c>
      <c r="AC412" s="100">
        <f t="shared" si="421"/>
        <v>0</v>
      </c>
      <c r="AD412" s="100">
        <f t="shared" si="422"/>
        <v>0</v>
      </c>
      <c r="AE412" s="100">
        <f t="shared" si="423"/>
        <v>0</v>
      </c>
      <c r="AF412" s="100">
        <f t="shared" si="424"/>
        <v>0</v>
      </c>
      <c r="AG412" s="100">
        <f t="shared" si="425"/>
        <v>0</v>
      </c>
      <c r="AH412" s="100">
        <f t="shared" si="426"/>
        <v>0</v>
      </c>
      <c r="AI412" s="109"/>
      <c r="AJ412" s="108">
        <f t="shared" si="427"/>
        <v>0</v>
      </c>
      <c r="AK412" s="108">
        <f t="shared" si="428"/>
        <v>0</v>
      </c>
      <c r="AL412" s="108">
        <f t="shared" si="429"/>
        <v>0</v>
      </c>
      <c r="AN412" s="100">
        <v>15</v>
      </c>
      <c r="AO412" s="100">
        <f t="shared" si="430"/>
        <v>0</v>
      </c>
      <c r="AP412" s="100">
        <f t="shared" si="431"/>
        <v>0</v>
      </c>
      <c r="AQ412" s="111" t="s">
        <v>13</v>
      </c>
      <c r="AV412" s="100">
        <f t="shared" si="432"/>
        <v>0</v>
      </c>
      <c r="AW412" s="100">
        <f t="shared" si="433"/>
        <v>0</v>
      </c>
      <c r="AX412" s="100">
        <f t="shared" si="434"/>
        <v>0</v>
      </c>
      <c r="AY412" s="110" t="s">
        <v>1713</v>
      </c>
      <c r="AZ412" s="110" t="s">
        <v>1733</v>
      </c>
      <c r="BA412" s="109" t="s">
        <v>1737</v>
      </c>
      <c r="BC412" s="100">
        <f t="shared" si="435"/>
        <v>0</v>
      </c>
      <c r="BD412" s="100">
        <f t="shared" si="436"/>
        <v>0</v>
      </c>
      <c r="BE412" s="100">
        <v>0</v>
      </c>
      <c r="BF412" s="100">
        <f>412</f>
        <v>412</v>
      </c>
      <c r="BH412" s="108">
        <f t="shared" si="437"/>
        <v>0</v>
      </c>
      <c r="BI412" s="108">
        <f t="shared" si="438"/>
        <v>0</v>
      </c>
      <c r="BJ412" s="108">
        <f t="shared" si="439"/>
        <v>0</v>
      </c>
    </row>
    <row r="413" spans="1:62" x14ac:dyDescent="0.2">
      <c r="A413" s="117" t="s">
        <v>371</v>
      </c>
      <c r="B413" s="117" t="s">
        <v>854</v>
      </c>
      <c r="C413" s="304" t="s">
        <v>1446</v>
      </c>
      <c r="D413" s="305"/>
      <c r="E413" s="305"/>
      <c r="F413" s="117" t="s">
        <v>1647</v>
      </c>
      <c r="G413" s="116">
        <v>21</v>
      </c>
      <c r="H413" s="159"/>
      <c r="I413" s="108">
        <f t="shared" si="416"/>
        <v>0</v>
      </c>
      <c r="J413" s="108">
        <f t="shared" si="417"/>
        <v>0</v>
      </c>
      <c r="K413" s="108">
        <f t="shared" si="418"/>
        <v>0</v>
      </c>
      <c r="L413" s="111"/>
      <c r="Z413" s="100">
        <f t="shared" si="419"/>
        <v>0</v>
      </c>
      <c r="AB413" s="100">
        <f t="shared" si="420"/>
        <v>0</v>
      </c>
      <c r="AC413" s="100">
        <f t="shared" si="421"/>
        <v>0</v>
      </c>
      <c r="AD413" s="100">
        <f t="shared" si="422"/>
        <v>0</v>
      </c>
      <c r="AE413" s="100">
        <f t="shared" si="423"/>
        <v>0</v>
      </c>
      <c r="AF413" s="100">
        <f t="shared" si="424"/>
        <v>0</v>
      </c>
      <c r="AG413" s="100">
        <f t="shared" si="425"/>
        <v>0</v>
      </c>
      <c r="AH413" s="100">
        <f t="shared" si="426"/>
        <v>0</v>
      </c>
      <c r="AI413" s="109"/>
      <c r="AJ413" s="108">
        <f t="shared" si="427"/>
        <v>0</v>
      </c>
      <c r="AK413" s="108">
        <f t="shared" si="428"/>
        <v>0</v>
      </c>
      <c r="AL413" s="108">
        <f t="shared" si="429"/>
        <v>0</v>
      </c>
      <c r="AN413" s="100">
        <v>15</v>
      </c>
      <c r="AO413" s="100">
        <f t="shared" si="430"/>
        <v>0</v>
      </c>
      <c r="AP413" s="100">
        <f t="shared" si="431"/>
        <v>0</v>
      </c>
      <c r="AQ413" s="111" t="s">
        <v>13</v>
      </c>
      <c r="AV413" s="100">
        <f t="shared" si="432"/>
        <v>0</v>
      </c>
      <c r="AW413" s="100">
        <f t="shared" si="433"/>
        <v>0</v>
      </c>
      <c r="AX413" s="100">
        <f t="shared" si="434"/>
        <v>0</v>
      </c>
      <c r="AY413" s="110" t="s">
        <v>1713</v>
      </c>
      <c r="AZ413" s="110" t="s">
        <v>1733</v>
      </c>
      <c r="BA413" s="109" t="s">
        <v>1737</v>
      </c>
      <c r="BC413" s="100">
        <f t="shared" si="435"/>
        <v>0</v>
      </c>
      <c r="BD413" s="100">
        <f t="shared" si="436"/>
        <v>0</v>
      </c>
      <c r="BE413" s="100">
        <v>0</v>
      </c>
      <c r="BF413" s="100">
        <f>413</f>
        <v>413</v>
      </c>
      <c r="BH413" s="108">
        <f t="shared" si="437"/>
        <v>0</v>
      </c>
      <c r="BI413" s="108">
        <f t="shared" si="438"/>
        <v>0</v>
      </c>
      <c r="BJ413" s="108">
        <f t="shared" si="439"/>
        <v>0</v>
      </c>
    </row>
    <row r="414" spans="1:62" x14ac:dyDescent="0.2">
      <c r="A414" s="117" t="s">
        <v>372</v>
      </c>
      <c r="B414" s="117" t="s">
        <v>855</v>
      </c>
      <c r="C414" s="304" t="s">
        <v>1447</v>
      </c>
      <c r="D414" s="305"/>
      <c r="E414" s="305"/>
      <c r="F414" s="117" t="s">
        <v>1647</v>
      </c>
      <c r="G414" s="116">
        <v>21</v>
      </c>
      <c r="H414" s="159"/>
      <c r="I414" s="108">
        <f t="shared" si="416"/>
        <v>0</v>
      </c>
      <c r="J414" s="108">
        <f t="shared" si="417"/>
        <v>0</v>
      </c>
      <c r="K414" s="108">
        <f t="shared" si="418"/>
        <v>0</v>
      </c>
      <c r="L414" s="111"/>
      <c r="Z414" s="100">
        <f t="shared" si="419"/>
        <v>0</v>
      </c>
      <c r="AB414" s="100">
        <f t="shared" si="420"/>
        <v>0</v>
      </c>
      <c r="AC414" s="100">
        <f t="shared" si="421"/>
        <v>0</v>
      </c>
      <c r="AD414" s="100">
        <f t="shared" si="422"/>
        <v>0</v>
      </c>
      <c r="AE414" s="100">
        <f t="shared" si="423"/>
        <v>0</v>
      </c>
      <c r="AF414" s="100">
        <f t="shared" si="424"/>
        <v>0</v>
      </c>
      <c r="AG414" s="100">
        <f t="shared" si="425"/>
        <v>0</v>
      </c>
      <c r="AH414" s="100">
        <f t="shared" si="426"/>
        <v>0</v>
      </c>
      <c r="AI414" s="109"/>
      <c r="AJ414" s="108">
        <f t="shared" si="427"/>
        <v>0</v>
      </c>
      <c r="AK414" s="108">
        <f t="shared" si="428"/>
        <v>0</v>
      </c>
      <c r="AL414" s="108">
        <f t="shared" si="429"/>
        <v>0</v>
      </c>
      <c r="AN414" s="100">
        <v>15</v>
      </c>
      <c r="AO414" s="100">
        <f t="shared" si="430"/>
        <v>0</v>
      </c>
      <c r="AP414" s="100">
        <f t="shared" si="431"/>
        <v>0</v>
      </c>
      <c r="AQ414" s="111" t="s">
        <v>13</v>
      </c>
      <c r="AV414" s="100">
        <f t="shared" si="432"/>
        <v>0</v>
      </c>
      <c r="AW414" s="100">
        <f t="shared" si="433"/>
        <v>0</v>
      </c>
      <c r="AX414" s="100">
        <f t="shared" si="434"/>
        <v>0</v>
      </c>
      <c r="AY414" s="110" t="s">
        <v>1713</v>
      </c>
      <c r="AZ414" s="110" t="s">
        <v>1733</v>
      </c>
      <c r="BA414" s="109" t="s">
        <v>1737</v>
      </c>
      <c r="BC414" s="100">
        <f t="shared" si="435"/>
        <v>0</v>
      </c>
      <c r="BD414" s="100">
        <f t="shared" si="436"/>
        <v>0</v>
      </c>
      <c r="BE414" s="100">
        <v>0</v>
      </c>
      <c r="BF414" s="100">
        <f>414</f>
        <v>414</v>
      </c>
      <c r="BH414" s="108">
        <f t="shared" si="437"/>
        <v>0</v>
      </c>
      <c r="BI414" s="108">
        <f t="shared" si="438"/>
        <v>0</v>
      </c>
      <c r="BJ414" s="108">
        <f t="shared" si="439"/>
        <v>0</v>
      </c>
    </row>
    <row r="415" spans="1:62" x14ac:dyDescent="0.2">
      <c r="A415" s="117" t="s">
        <v>373</v>
      </c>
      <c r="B415" s="117" t="s">
        <v>856</v>
      </c>
      <c r="C415" s="304" t="s">
        <v>1448</v>
      </c>
      <c r="D415" s="305"/>
      <c r="E415" s="305"/>
      <c r="F415" s="117" t="s">
        <v>1647</v>
      </c>
      <c r="G415" s="116">
        <v>4</v>
      </c>
      <c r="H415" s="159"/>
      <c r="I415" s="108">
        <f t="shared" si="416"/>
        <v>0</v>
      </c>
      <c r="J415" s="108">
        <f t="shared" si="417"/>
        <v>0</v>
      </c>
      <c r="K415" s="108">
        <f t="shared" si="418"/>
        <v>0</v>
      </c>
      <c r="L415" s="111"/>
      <c r="Z415" s="100">
        <f t="shared" si="419"/>
        <v>0</v>
      </c>
      <c r="AB415" s="100">
        <f t="shared" si="420"/>
        <v>0</v>
      </c>
      <c r="AC415" s="100">
        <f t="shared" si="421"/>
        <v>0</v>
      </c>
      <c r="AD415" s="100">
        <f t="shared" si="422"/>
        <v>0</v>
      </c>
      <c r="AE415" s="100">
        <f t="shared" si="423"/>
        <v>0</v>
      </c>
      <c r="AF415" s="100">
        <f t="shared" si="424"/>
        <v>0</v>
      </c>
      <c r="AG415" s="100">
        <f t="shared" si="425"/>
        <v>0</v>
      </c>
      <c r="AH415" s="100">
        <f t="shared" si="426"/>
        <v>0</v>
      </c>
      <c r="AI415" s="109"/>
      <c r="AJ415" s="108">
        <f t="shared" si="427"/>
        <v>0</v>
      </c>
      <c r="AK415" s="108">
        <f t="shared" si="428"/>
        <v>0</v>
      </c>
      <c r="AL415" s="108">
        <f t="shared" si="429"/>
        <v>0</v>
      </c>
      <c r="AN415" s="100">
        <v>15</v>
      </c>
      <c r="AO415" s="100">
        <f t="shared" si="430"/>
        <v>0</v>
      </c>
      <c r="AP415" s="100">
        <f t="shared" si="431"/>
        <v>0</v>
      </c>
      <c r="AQ415" s="111" t="s">
        <v>13</v>
      </c>
      <c r="AV415" s="100">
        <f t="shared" si="432"/>
        <v>0</v>
      </c>
      <c r="AW415" s="100">
        <f t="shared" si="433"/>
        <v>0</v>
      </c>
      <c r="AX415" s="100">
        <f t="shared" si="434"/>
        <v>0</v>
      </c>
      <c r="AY415" s="110" t="s">
        <v>1713</v>
      </c>
      <c r="AZ415" s="110" t="s">
        <v>1733</v>
      </c>
      <c r="BA415" s="109" t="s">
        <v>1737</v>
      </c>
      <c r="BC415" s="100">
        <f t="shared" si="435"/>
        <v>0</v>
      </c>
      <c r="BD415" s="100">
        <f t="shared" si="436"/>
        <v>0</v>
      </c>
      <c r="BE415" s="100">
        <v>0</v>
      </c>
      <c r="BF415" s="100">
        <f>415</f>
        <v>415</v>
      </c>
      <c r="BH415" s="108">
        <f t="shared" si="437"/>
        <v>0</v>
      </c>
      <c r="BI415" s="108">
        <f t="shared" si="438"/>
        <v>0</v>
      </c>
      <c r="BJ415" s="108">
        <f t="shared" si="439"/>
        <v>0</v>
      </c>
    </row>
    <row r="416" spans="1:62" x14ac:dyDescent="0.2">
      <c r="A416" s="117" t="s">
        <v>374</v>
      </c>
      <c r="B416" s="117" t="s">
        <v>857</v>
      </c>
      <c r="C416" s="304" t="s">
        <v>1449</v>
      </c>
      <c r="D416" s="305"/>
      <c r="E416" s="305"/>
      <c r="F416" s="117" t="s">
        <v>1647</v>
      </c>
      <c r="G416" s="116">
        <v>8</v>
      </c>
      <c r="H416" s="159"/>
      <c r="I416" s="108">
        <f t="shared" si="416"/>
        <v>0</v>
      </c>
      <c r="J416" s="108">
        <f t="shared" si="417"/>
        <v>0</v>
      </c>
      <c r="K416" s="108">
        <f t="shared" si="418"/>
        <v>0</v>
      </c>
      <c r="L416" s="111"/>
      <c r="Z416" s="100">
        <f t="shared" si="419"/>
        <v>0</v>
      </c>
      <c r="AB416" s="100">
        <f t="shared" si="420"/>
        <v>0</v>
      </c>
      <c r="AC416" s="100">
        <f t="shared" si="421"/>
        <v>0</v>
      </c>
      <c r="AD416" s="100">
        <f t="shared" si="422"/>
        <v>0</v>
      </c>
      <c r="AE416" s="100">
        <f t="shared" si="423"/>
        <v>0</v>
      </c>
      <c r="AF416" s="100">
        <f t="shared" si="424"/>
        <v>0</v>
      </c>
      <c r="AG416" s="100">
        <f t="shared" si="425"/>
        <v>0</v>
      </c>
      <c r="AH416" s="100">
        <f t="shared" si="426"/>
        <v>0</v>
      </c>
      <c r="AI416" s="109"/>
      <c r="AJ416" s="108">
        <f t="shared" si="427"/>
        <v>0</v>
      </c>
      <c r="AK416" s="108">
        <f t="shared" si="428"/>
        <v>0</v>
      </c>
      <c r="AL416" s="108">
        <f t="shared" si="429"/>
        <v>0</v>
      </c>
      <c r="AN416" s="100">
        <v>15</v>
      </c>
      <c r="AO416" s="100">
        <f t="shared" si="430"/>
        <v>0</v>
      </c>
      <c r="AP416" s="100">
        <f t="shared" si="431"/>
        <v>0</v>
      </c>
      <c r="AQ416" s="111" t="s">
        <v>13</v>
      </c>
      <c r="AV416" s="100">
        <f t="shared" si="432"/>
        <v>0</v>
      </c>
      <c r="AW416" s="100">
        <f t="shared" si="433"/>
        <v>0</v>
      </c>
      <c r="AX416" s="100">
        <f t="shared" si="434"/>
        <v>0</v>
      </c>
      <c r="AY416" s="110" t="s">
        <v>1713</v>
      </c>
      <c r="AZ416" s="110" t="s">
        <v>1733</v>
      </c>
      <c r="BA416" s="109" t="s">
        <v>1737</v>
      </c>
      <c r="BC416" s="100">
        <f t="shared" si="435"/>
        <v>0</v>
      </c>
      <c r="BD416" s="100">
        <f t="shared" si="436"/>
        <v>0</v>
      </c>
      <c r="BE416" s="100">
        <v>0</v>
      </c>
      <c r="BF416" s="100">
        <f>416</f>
        <v>416</v>
      </c>
      <c r="BH416" s="108">
        <f t="shared" si="437"/>
        <v>0</v>
      </c>
      <c r="BI416" s="108">
        <f t="shared" si="438"/>
        <v>0</v>
      </c>
      <c r="BJ416" s="108">
        <f t="shared" si="439"/>
        <v>0</v>
      </c>
    </row>
    <row r="417" spans="1:62" x14ac:dyDescent="0.2">
      <c r="A417" s="117" t="s">
        <v>375</v>
      </c>
      <c r="B417" s="117" t="s">
        <v>858</v>
      </c>
      <c r="C417" s="304" t="s">
        <v>1450</v>
      </c>
      <c r="D417" s="305"/>
      <c r="E417" s="305"/>
      <c r="F417" s="117" t="s">
        <v>1647</v>
      </c>
      <c r="G417" s="116">
        <v>4</v>
      </c>
      <c r="H417" s="159"/>
      <c r="I417" s="108">
        <f t="shared" si="416"/>
        <v>0</v>
      </c>
      <c r="J417" s="108">
        <f t="shared" si="417"/>
        <v>0</v>
      </c>
      <c r="K417" s="108">
        <f t="shared" si="418"/>
        <v>0</v>
      </c>
      <c r="L417" s="111"/>
      <c r="Z417" s="100">
        <f t="shared" si="419"/>
        <v>0</v>
      </c>
      <c r="AB417" s="100">
        <f t="shared" si="420"/>
        <v>0</v>
      </c>
      <c r="AC417" s="100">
        <f t="shared" si="421"/>
        <v>0</v>
      </c>
      <c r="AD417" s="100">
        <f t="shared" si="422"/>
        <v>0</v>
      </c>
      <c r="AE417" s="100">
        <f t="shared" si="423"/>
        <v>0</v>
      </c>
      <c r="AF417" s="100">
        <f t="shared" si="424"/>
        <v>0</v>
      </c>
      <c r="AG417" s="100">
        <f t="shared" si="425"/>
        <v>0</v>
      </c>
      <c r="AH417" s="100">
        <f t="shared" si="426"/>
        <v>0</v>
      </c>
      <c r="AI417" s="109"/>
      <c r="AJ417" s="108">
        <f t="shared" si="427"/>
        <v>0</v>
      </c>
      <c r="AK417" s="108">
        <f t="shared" si="428"/>
        <v>0</v>
      </c>
      <c r="AL417" s="108">
        <f t="shared" si="429"/>
        <v>0</v>
      </c>
      <c r="AN417" s="100">
        <v>15</v>
      </c>
      <c r="AO417" s="100">
        <f t="shared" si="430"/>
        <v>0</v>
      </c>
      <c r="AP417" s="100">
        <f t="shared" si="431"/>
        <v>0</v>
      </c>
      <c r="AQ417" s="111" t="s">
        <v>13</v>
      </c>
      <c r="AV417" s="100">
        <f t="shared" si="432"/>
        <v>0</v>
      </c>
      <c r="AW417" s="100">
        <f t="shared" si="433"/>
        <v>0</v>
      </c>
      <c r="AX417" s="100">
        <f t="shared" si="434"/>
        <v>0</v>
      </c>
      <c r="AY417" s="110" t="s">
        <v>1713</v>
      </c>
      <c r="AZ417" s="110" t="s">
        <v>1733</v>
      </c>
      <c r="BA417" s="109" t="s">
        <v>1737</v>
      </c>
      <c r="BC417" s="100">
        <f t="shared" si="435"/>
        <v>0</v>
      </c>
      <c r="BD417" s="100">
        <f t="shared" si="436"/>
        <v>0</v>
      </c>
      <c r="BE417" s="100">
        <v>0</v>
      </c>
      <c r="BF417" s="100">
        <f>417</f>
        <v>417</v>
      </c>
      <c r="BH417" s="108">
        <f t="shared" si="437"/>
        <v>0</v>
      </c>
      <c r="BI417" s="108">
        <f t="shared" si="438"/>
        <v>0</v>
      </c>
      <c r="BJ417" s="108">
        <f t="shared" si="439"/>
        <v>0</v>
      </c>
    </row>
    <row r="418" spans="1:62" x14ac:dyDescent="0.2">
      <c r="A418" s="117" t="s">
        <v>376</v>
      </c>
      <c r="B418" s="117" t="s">
        <v>859</v>
      </c>
      <c r="C418" s="304" t="s">
        <v>1451</v>
      </c>
      <c r="D418" s="305"/>
      <c r="E418" s="305"/>
      <c r="F418" s="117" t="s">
        <v>1647</v>
      </c>
      <c r="G418" s="116">
        <v>21</v>
      </c>
      <c r="H418" s="159"/>
      <c r="I418" s="108">
        <f t="shared" si="416"/>
        <v>0</v>
      </c>
      <c r="J418" s="108">
        <f t="shared" si="417"/>
        <v>0</v>
      </c>
      <c r="K418" s="108">
        <f t="shared" si="418"/>
        <v>0</v>
      </c>
      <c r="L418" s="111"/>
      <c r="Z418" s="100">
        <f t="shared" si="419"/>
        <v>0</v>
      </c>
      <c r="AB418" s="100">
        <f t="shared" si="420"/>
        <v>0</v>
      </c>
      <c r="AC418" s="100">
        <f t="shared" si="421"/>
        <v>0</v>
      </c>
      <c r="AD418" s="100">
        <f t="shared" si="422"/>
        <v>0</v>
      </c>
      <c r="AE418" s="100">
        <f t="shared" si="423"/>
        <v>0</v>
      </c>
      <c r="AF418" s="100">
        <f t="shared" si="424"/>
        <v>0</v>
      </c>
      <c r="AG418" s="100">
        <f t="shared" si="425"/>
        <v>0</v>
      </c>
      <c r="AH418" s="100">
        <f t="shared" si="426"/>
        <v>0</v>
      </c>
      <c r="AI418" s="109"/>
      <c r="AJ418" s="108">
        <f t="shared" si="427"/>
        <v>0</v>
      </c>
      <c r="AK418" s="108">
        <f t="shared" si="428"/>
        <v>0</v>
      </c>
      <c r="AL418" s="108">
        <f t="shared" si="429"/>
        <v>0</v>
      </c>
      <c r="AN418" s="100">
        <v>15</v>
      </c>
      <c r="AO418" s="100">
        <f t="shared" si="430"/>
        <v>0</v>
      </c>
      <c r="AP418" s="100">
        <f t="shared" si="431"/>
        <v>0</v>
      </c>
      <c r="AQ418" s="111" t="s">
        <v>13</v>
      </c>
      <c r="AV418" s="100">
        <f t="shared" si="432"/>
        <v>0</v>
      </c>
      <c r="AW418" s="100">
        <f t="shared" si="433"/>
        <v>0</v>
      </c>
      <c r="AX418" s="100">
        <f t="shared" si="434"/>
        <v>0</v>
      </c>
      <c r="AY418" s="110" t="s">
        <v>1713</v>
      </c>
      <c r="AZ418" s="110" t="s">
        <v>1733</v>
      </c>
      <c r="BA418" s="109" t="s">
        <v>1737</v>
      </c>
      <c r="BC418" s="100">
        <f t="shared" si="435"/>
        <v>0</v>
      </c>
      <c r="BD418" s="100">
        <f t="shared" si="436"/>
        <v>0</v>
      </c>
      <c r="BE418" s="100">
        <v>0</v>
      </c>
      <c r="BF418" s="100">
        <f>418</f>
        <v>418</v>
      </c>
      <c r="BH418" s="108">
        <f t="shared" si="437"/>
        <v>0</v>
      </c>
      <c r="BI418" s="108">
        <f t="shared" si="438"/>
        <v>0</v>
      </c>
      <c r="BJ418" s="108">
        <f t="shared" si="439"/>
        <v>0</v>
      </c>
    </row>
    <row r="419" spans="1:62" x14ac:dyDescent="0.2">
      <c r="A419" s="117" t="s">
        <v>377</v>
      </c>
      <c r="B419" s="117" t="s">
        <v>860</v>
      </c>
      <c r="C419" s="304" t="s">
        <v>1452</v>
      </c>
      <c r="D419" s="305"/>
      <c r="E419" s="305"/>
      <c r="F419" s="117" t="s">
        <v>1644</v>
      </c>
      <c r="G419" s="116">
        <v>1</v>
      </c>
      <c r="H419" s="159"/>
      <c r="I419" s="108">
        <f t="shared" si="416"/>
        <v>0</v>
      </c>
      <c r="J419" s="108">
        <f t="shared" si="417"/>
        <v>0</v>
      </c>
      <c r="K419" s="108">
        <f t="shared" si="418"/>
        <v>0</v>
      </c>
      <c r="L419" s="111"/>
      <c r="Z419" s="100">
        <f t="shared" si="419"/>
        <v>0</v>
      </c>
      <c r="AB419" s="100">
        <f t="shared" si="420"/>
        <v>0</v>
      </c>
      <c r="AC419" s="100">
        <f t="shared" si="421"/>
        <v>0</v>
      </c>
      <c r="AD419" s="100">
        <f t="shared" si="422"/>
        <v>0</v>
      </c>
      <c r="AE419" s="100">
        <f t="shared" si="423"/>
        <v>0</v>
      </c>
      <c r="AF419" s="100">
        <f t="shared" si="424"/>
        <v>0</v>
      </c>
      <c r="AG419" s="100">
        <f t="shared" si="425"/>
        <v>0</v>
      </c>
      <c r="AH419" s="100">
        <f t="shared" si="426"/>
        <v>0</v>
      </c>
      <c r="AI419" s="109"/>
      <c r="AJ419" s="108">
        <f t="shared" si="427"/>
        <v>0</v>
      </c>
      <c r="AK419" s="108">
        <f t="shared" si="428"/>
        <v>0</v>
      </c>
      <c r="AL419" s="108">
        <f t="shared" si="429"/>
        <v>0</v>
      </c>
      <c r="AN419" s="100">
        <v>15</v>
      </c>
      <c r="AO419" s="100">
        <f t="shared" si="430"/>
        <v>0</v>
      </c>
      <c r="AP419" s="100">
        <f t="shared" si="431"/>
        <v>0</v>
      </c>
      <c r="AQ419" s="111" t="s">
        <v>13</v>
      </c>
      <c r="AV419" s="100">
        <f t="shared" si="432"/>
        <v>0</v>
      </c>
      <c r="AW419" s="100">
        <f t="shared" si="433"/>
        <v>0</v>
      </c>
      <c r="AX419" s="100">
        <f t="shared" si="434"/>
        <v>0</v>
      </c>
      <c r="AY419" s="110" t="s">
        <v>1713</v>
      </c>
      <c r="AZ419" s="110" t="s">
        <v>1733</v>
      </c>
      <c r="BA419" s="109" t="s">
        <v>1737</v>
      </c>
      <c r="BC419" s="100">
        <f t="shared" si="435"/>
        <v>0</v>
      </c>
      <c r="BD419" s="100">
        <f t="shared" si="436"/>
        <v>0</v>
      </c>
      <c r="BE419" s="100">
        <v>0</v>
      </c>
      <c r="BF419" s="100">
        <f>419</f>
        <v>419</v>
      </c>
      <c r="BH419" s="108">
        <f t="shared" si="437"/>
        <v>0</v>
      </c>
      <c r="BI419" s="108">
        <f t="shared" si="438"/>
        <v>0</v>
      </c>
      <c r="BJ419" s="108">
        <f t="shared" si="439"/>
        <v>0</v>
      </c>
    </row>
    <row r="420" spans="1:62" x14ac:dyDescent="0.2">
      <c r="A420" s="117" t="s">
        <v>378</v>
      </c>
      <c r="B420" s="117" t="s">
        <v>861</v>
      </c>
      <c r="C420" s="304" t="s">
        <v>1453</v>
      </c>
      <c r="D420" s="305"/>
      <c r="E420" s="305"/>
      <c r="F420" s="117" t="s">
        <v>1645</v>
      </c>
      <c r="G420" s="116">
        <v>20</v>
      </c>
      <c r="H420" s="159"/>
      <c r="I420" s="108">
        <f t="shared" si="416"/>
        <v>0</v>
      </c>
      <c r="J420" s="108">
        <f t="shared" si="417"/>
        <v>0</v>
      </c>
      <c r="K420" s="108">
        <f t="shared" si="418"/>
        <v>0</v>
      </c>
      <c r="L420" s="111"/>
      <c r="Z420" s="100">
        <f t="shared" si="419"/>
        <v>0</v>
      </c>
      <c r="AB420" s="100">
        <f t="shared" si="420"/>
        <v>0</v>
      </c>
      <c r="AC420" s="100">
        <f t="shared" si="421"/>
        <v>0</v>
      </c>
      <c r="AD420" s="100">
        <f t="shared" si="422"/>
        <v>0</v>
      </c>
      <c r="AE420" s="100">
        <f t="shared" si="423"/>
        <v>0</v>
      </c>
      <c r="AF420" s="100">
        <f t="shared" si="424"/>
        <v>0</v>
      </c>
      <c r="AG420" s="100">
        <f t="shared" si="425"/>
        <v>0</v>
      </c>
      <c r="AH420" s="100">
        <f t="shared" si="426"/>
        <v>0</v>
      </c>
      <c r="AI420" s="109"/>
      <c r="AJ420" s="108">
        <f t="shared" si="427"/>
        <v>0</v>
      </c>
      <c r="AK420" s="108">
        <f t="shared" si="428"/>
        <v>0</v>
      </c>
      <c r="AL420" s="108">
        <f t="shared" si="429"/>
        <v>0</v>
      </c>
      <c r="AN420" s="100">
        <v>15</v>
      </c>
      <c r="AO420" s="100">
        <f t="shared" si="430"/>
        <v>0</v>
      </c>
      <c r="AP420" s="100">
        <f t="shared" si="431"/>
        <v>0</v>
      </c>
      <c r="AQ420" s="111" t="s">
        <v>13</v>
      </c>
      <c r="AV420" s="100">
        <f t="shared" si="432"/>
        <v>0</v>
      </c>
      <c r="AW420" s="100">
        <f t="shared" si="433"/>
        <v>0</v>
      </c>
      <c r="AX420" s="100">
        <f t="shared" si="434"/>
        <v>0</v>
      </c>
      <c r="AY420" s="110" t="s">
        <v>1713</v>
      </c>
      <c r="AZ420" s="110" t="s">
        <v>1733</v>
      </c>
      <c r="BA420" s="109" t="s">
        <v>1737</v>
      </c>
      <c r="BC420" s="100">
        <f t="shared" si="435"/>
        <v>0</v>
      </c>
      <c r="BD420" s="100">
        <f t="shared" si="436"/>
        <v>0</v>
      </c>
      <c r="BE420" s="100">
        <v>0</v>
      </c>
      <c r="BF420" s="100">
        <f>420</f>
        <v>420</v>
      </c>
      <c r="BH420" s="108">
        <f t="shared" si="437"/>
        <v>0</v>
      </c>
      <c r="BI420" s="108">
        <f t="shared" si="438"/>
        <v>0</v>
      </c>
      <c r="BJ420" s="108">
        <f t="shared" si="439"/>
        <v>0</v>
      </c>
    </row>
    <row r="421" spans="1:62" x14ac:dyDescent="0.2">
      <c r="A421" s="117" t="s">
        <v>379</v>
      </c>
      <c r="B421" s="117" t="s">
        <v>862</v>
      </c>
      <c r="C421" s="304" t="s">
        <v>1454</v>
      </c>
      <c r="D421" s="305"/>
      <c r="E421" s="305"/>
      <c r="F421" s="117" t="s">
        <v>1652</v>
      </c>
      <c r="G421" s="116">
        <v>1</v>
      </c>
      <c r="H421" s="159"/>
      <c r="I421" s="108">
        <f t="shared" si="416"/>
        <v>0</v>
      </c>
      <c r="J421" s="108">
        <f t="shared" si="417"/>
        <v>0</v>
      </c>
      <c r="K421" s="108">
        <f t="shared" si="418"/>
        <v>0</v>
      </c>
      <c r="L421" s="111"/>
      <c r="Z421" s="100">
        <f t="shared" si="419"/>
        <v>0</v>
      </c>
      <c r="AB421" s="100">
        <f t="shared" si="420"/>
        <v>0</v>
      </c>
      <c r="AC421" s="100">
        <f t="shared" si="421"/>
        <v>0</v>
      </c>
      <c r="AD421" s="100">
        <f t="shared" si="422"/>
        <v>0</v>
      </c>
      <c r="AE421" s="100">
        <f t="shared" si="423"/>
        <v>0</v>
      </c>
      <c r="AF421" s="100">
        <f t="shared" si="424"/>
        <v>0</v>
      </c>
      <c r="AG421" s="100">
        <f t="shared" si="425"/>
        <v>0</v>
      </c>
      <c r="AH421" s="100">
        <f t="shared" si="426"/>
        <v>0</v>
      </c>
      <c r="AI421" s="109"/>
      <c r="AJ421" s="108">
        <f t="shared" si="427"/>
        <v>0</v>
      </c>
      <c r="AK421" s="108">
        <f t="shared" si="428"/>
        <v>0</v>
      </c>
      <c r="AL421" s="108">
        <f t="shared" si="429"/>
        <v>0</v>
      </c>
      <c r="AN421" s="100">
        <v>15</v>
      </c>
      <c r="AO421" s="100">
        <f t="shared" si="430"/>
        <v>0</v>
      </c>
      <c r="AP421" s="100">
        <f t="shared" si="431"/>
        <v>0</v>
      </c>
      <c r="AQ421" s="111" t="s">
        <v>13</v>
      </c>
      <c r="AV421" s="100">
        <f t="shared" si="432"/>
        <v>0</v>
      </c>
      <c r="AW421" s="100">
        <f t="shared" si="433"/>
        <v>0</v>
      </c>
      <c r="AX421" s="100">
        <f t="shared" si="434"/>
        <v>0</v>
      </c>
      <c r="AY421" s="110" t="s">
        <v>1713</v>
      </c>
      <c r="AZ421" s="110" t="s">
        <v>1733</v>
      </c>
      <c r="BA421" s="109" t="s">
        <v>1737</v>
      </c>
      <c r="BC421" s="100">
        <f t="shared" si="435"/>
        <v>0</v>
      </c>
      <c r="BD421" s="100">
        <f t="shared" si="436"/>
        <v>0</v>
      </c>
      <c r="BE421" s="100">
        <v>0</v>
      </c>
      <c r="BF421" s="100">
        <f>421</f>
        <v>421</v>
      </c>
      <c r="BH421" s="108">
        <f t="shared" si="437"/>
        <v>0</v>
      </c>
      <c r="BI421" s="108">
        <f t="shared" si="438"/>
        <v>0</v>
      </c>
      <c r="BJ421" s="108">
        <f t="shared" si="439"/>
        <v>0</v>
      </c>
    </row>
    <row r="422" spans="1:62" x14ac:dyDescent="0.2">
      <c r="A422" s="117" t="s">
        <v>380</v>
      </c>
      <c r="B422" s="117" t="s">
        <v>863</v>
      </c>
      <c r="C422" s="304" t="s">
        <v>1455</v>
      </c>
      <c r="D422" s="305"/>
      <c r="E422" s="305"/>
      <c r="F422" s="117" t="s">
        <v>1652</v>
      </c>
      <c r="G422" s="116">
        <v>1</v>
      </c>
      <c r="H422" s="159"/>
      <c r="I422" s="108">
        <f t="shared" si="416"/>
        <v>0</v>
      </c>
      <c r="J422" s="108">
        <f t="shared" si="417"/>
        <v>0</v>
      </c>
      <c r="K422" s="108">
        <f t="shared" si="418"/>
        <v>0</v>
      </c>
      <c r="L422" s="111"/>
      <c r="Z422" s="100">
        <f t="shared" si="419"/>
        <v>0</v>
      </c>
      <c r="AB422" s="100">
        <f t="shared" si="420"/>
        <v>0</v>
      </c>
      <c r="AC422" s="100">
        <f t="shared" si="421"/>
        <v>0</v>
      </c>
      <c r="AD422" s="100">
        <f t="shared" si="422"/>
        <v>0</v>
      </c>
      <c r="AE422" s="100">
        <f t="shared" si="423"/>
        <v>0</v>
      </c>
      <c r="AF422" s="100">
        <f t="shared" si="424"/>
        <v>0</v>
      </c>
      <c r="AG422" s="100">
        <f t="shared" si="425"/>
        <v>0</v>
      </c>
      <c r="AH422" s="100">
        <f t="shared" si="426"/>
        <v>0</v>
      </c>
      <c r="AI422" s="109"/>
      <c r="AJ422" s="108">
        <f t="shared" si="427"/>
        <v>0</v>
      </c>
      <c r="AK422" s="108">
        <f t="shared" si="428"/>
        <v>0</v>
      </c>
      <c r="AL422" s="108">
        <f t="shared" si="429"/>
        <v>0</v>
      </c>
      <c r="AN422" s="100">
        <v>15</v>
      </c>
      <c r="AO422" s="100">
        <f t="shared" si="430"/>
        <v>0</v>
      </c>
      <c r="AP422" s="100">
        <f t="shared" si="431"/>
        <v>0</v>
      </c>
      <c r="AQ422" s="111" t="s">
        <v>13</v>
      </c>
      <c r="AV422" s="100">
        <f t="shared" si="432"/>
        <v>0</v>
      </c>
      <c r="AW422" s="100">
        <f t="shared" si="433"/>
        <v>0</v>
      </c>
      <c r="AX422" s="100">
        <f t="shared" si="434"/>
        <v>0</v>
      </c>
      <c r="AY422" s="110" t="s">
        <v>1713</v>
      </c>
      <c r="AZ422" s="110" t="s">
        <v>1733</v>
      </c>
      <c r="BA422" s="109" t="s">
        <v>1737</v>
      </c>
      <c r="BC422" s="100">
        <f t="shared" si="435"/>
        <v>0</v>
      </c>
      <c r="BD422" s="100">
        <f t="shared" si="436"/>
        <v>0</v>
      </c>
      <c r="BE422" s="100">
        <v>0</v>
      </c>
      <c r="BF422" s="100">
        <f>422</f>
        <v>422</v>
      </c>
      <c r="BH422" s="108">
        <f t="shared" si="437"/>
        <v>0</v>
      </c>
      <c r="BI422" s="108">
        <f t="shared" si="438"/>
        <v>0</v>
      </c>
      <c r="BJ422" s="108">
        <f t="shared" si="439"/>
        <v>0</v>
      </c>
    </row>
    <row r="423" spans="1:62" x14ac:dyDescent="0.2">
      <c r="A423" s="117" t="s">
        <v>381</v>
      </c>
      <c r="B423" s="117" t="s">
        <v>864</v>
      </c>
      <c r="C423" s="304" t="s">
        <v>1456</v>
      </c>
      <c r="D423" s="305"/>
      <c r="E423" s="305"/>
      <c r="F423" s="117" t="s">
        <v>1652</v>
      </c>
      <c r="G423" s="116">
        <v>1</v>
      </c>
      <c r="H423" s="159"/>
      <c r="I423" s="108">
        <f t="shared" si="416"/>
        <v>0</v>
      </c>
      <c r="J423" s="108">
        <f t="shared" si="417"/>
        <v>0</v>
      </c>
      <c r="K423" s="108">
        <f t="shared" si="418"/>
        <v>0</v>
      </c>
      <c r="L423" s="111"/>
      <c r="Z423" s="100">
        <f t="shared" si="419"/>
        <v>0</v>
      </c>
      <c r="AB423" s="100">
        <f t="shared" si="420"/>
        <v>0</v>
      </c>
      <c r="AC423" s="100">
        <f t="shared" si="421"/>
        <v>0</v>
      </c>
      <c r="AD423" s="100">
        <f t="shared" si="422"/>
        <v>0</v>
      </c>
      <c r="AE423" s="100">
        <f t="shared" si="423"/>
        <v>0</v>
      </c>
      <c r="AF423" s="100">
        <f t="shared" si="424"/>
        <v>0</v>
      </c>
      <c r="AG423" s="100">
        <f t="shared" si="425"/>
        <v>0</v>
      </c>
      <c r="AH423" s="100">
        <f t="shared" si="426"/>
        <v>0</v>
      </c>
      <c r="AI423" s="109"/>
      <c r="AJ423" s="108">
        <f t="shared" si="427"/>
        <v>0</v>
      </c>
      <c r="AK423" s="108">
        <f t="shared" si="428"/>
        <v>0</v>
      </c>
      <c r="AL423" s="108">
        <f t="shared" si="429"/>
        <v>0</v>
      </c>
      <c r="AN423" s="100">
        <v>15</v>
      </c>
      <c r="AO423" s="100">
        <f t="shared" si="430"/>
        <v>0</v>
      </c>
      <c r="AP423" s="100">
        <f t="shared" si="431"/>
        <v>0</v>
      </c>
      <c r="AQ423" s="111" t="s">
        <v>13</v>
      </c>
      <c r="AV423" s="100">
        <f t="shared" si="432"/>
        <v>0</v>
      </c>
      <c r="AW423" s="100">
        <f t="shared" si="433"/>
        <v>0</v>
      </c>
      <c r="AX423" s="100">
        <f t="shared" si="434"/>
        <v>0</v>
      </c>
      <c r="AY423" s="110" t="s">
        <v>1713</v>
      </c>
      <c r="AZ423" s="110" t="s">
        <v>1733</v>
      </c>
      <c r="BA423" s="109" t="s">
        <v>1737</v>
      </c>
      <c r="BC423" s="100">
        <f t="shared" si="435"/>
        <v>0</v>
      </c>
      <c r="BD423" s="100">
        <f t="shared" si="436"/>
        <v>0</v>
      </c>
      <c r="BE423" s="100">
        <v>0</v>
      </c>
      <c r="BF423" s="100">
        <f>423</f>
        <v>423</v>
      </c>
      <c r="BH423" s="108">
        <f t="shared" si="437"/>
        <v>0</v>
      </c>
      <c r="BI423" s="108">
        <f t="shared" si="438"/>
        <v>0</v>
      </c>
      <c r="BJ423" s="108">
        <f t="shared" si="439"/>
        <v>0</v>
      </c>
    </row>
    <row r="424" spans="1:62" x14ac:dyDescent="0.2">
      <c r="A424" s="117" t="s">
        <v>382</v>
      </c>
      <c r="B424" s="117" t="s">
        <v>865</v>
      </c>
      <c r="C424" s="304" t="s">
        <v>1420</v>
      </c>
      <c r="D424" s="305"/>
      <c r="E424" s="305"/>
      <c r="F424" s="117" t="s">
        <v>1652</v>
      </c>
      <c r="G424" s="116">
        <v>1</v>
      </c>
      <c r="H424" s="159"/>
      <c r="I424" s="108">
        <f t="shared" si="416"/>
        <v>0</v>
      </c>
      <c r="J424" s="108">
        <f t="shared" si="417"/>
        <v>0</v>
      </c>
      <c r="K424" s="108">
        <f t="shared" si="418"/>
        <v>0</v>
      </c>
      <c r="L424" s="111"/>
      <c r="Z424" s="100">
        <f t="shared" si="419"/>
        <v>0</v>
      </c>
      <c r="AB424" s="100">
        <f t="shared" si="420"/>
        <v>0</v>
      </c>
      <c r="AC424" s="100">
        <f t="shared" si="421"/>
        <v>0</v>
      </c>
      <c r="AD424" s="100">
        <f t="shared" si="422"/>
        <v>0</v>
      </c>
      <c r="AE424" s="100">
        <f t="shared" si="423"/>
        <v>0</v>
      </c>
      <c r="AF424" s="100">
        <f t="shared" si="424"/>
        <v>0</v>
      </c>
      <c r="AG424" s="100">
        <f t="shared" si="425"/>
        <v>0</v>
      </c>
      <c r="AH424" s="100">
        <f t="shared" si="426"/>
        <v>0</v>
      </c>
      <c r="AI424" s="109"/>
      <c r="AJ424" s="108">
        <f t="shared" si="427"/>
        <v>0</v>
      </c>
      <c r="AK424" s="108">
        <f t="shared" si="428"/>
        <v>0</v>
      </c>
      <c r="AL424" s="108">
        <f t="shared" si="429"/>
        <v>0</v>
      </c>
      <c r="AN424" s="100">
        <v>15</v>
      </c>
      <c r="AO424" s="100">
        <f t="shared" si="430"/>
        <v>0</v>
      </c>
      <c r="AP424" s="100">
        <f t="shared" si="431"/>
        <v>0</v>
      </c>
      <c r="AQ424" s="111" t="s">
        <v>13</v>
      </c>
      <c r="AV424" s="100">
        <f t="shared" si="432"/>
        <v>0</v>
      </c>
      <c r="AW424" s="100">
        <f t="shared" si="433"/>
        <v>0</v>
      </c>
      <c r="AX424" s="100">
        <f t="shared" si="434"/>
        <v>0</v>
      </c>
      <c r="AY424" s="110" t="s">
        <v>1713</v>
      </c>
      <c r="AZ424" s="110" t="s">
        <v>1733</v>
      </c>
      <c r="BA424" s="109" t="s">
        <v>1737</v>
      </c>
      <c r="BC424" s="100">
        <f t="shared" si="435"/>
        <v>0</v>
      </c>
      <c r="BD424" s="100">
        <f t="shared" si="436"/>
        <v>0</v>
      </c>
      <c r="BE424" s="100">
        <v>0</v>
      </c>
      <c r="BF424" s="100">
        <f>424</f>
        <v>424</v>
      </c>
      <c r="BH424" s="108">
        <f t="shared" si="437"/>
        <v>0</v>
      </c>
      <c r="BI424" s="108">
        <f t="shared" si="438"/>
        <v>0</v>
      </c>
      <c r="BJ424" s="108">
        <f t="shared" si="439"/>
        <v>0</v>
      </c>
    </row>
    <row r="425" spans="1:62" x14ac:dyDescent="0.2">
      <c r="A425" s="117" t="s">
        <v>383</v>
      </c>
      <c r="B425" s="117" t="s">
        <v>866</v>
      </c>
      <c r="C425" s="304" t="s">
        <v>1421</v>
      </c>
      <c r="D425" s="305"/>
      <c r="E425" s="305"/>
      <c r="F425" s="117" t="s">
        <v>1652</v>
      </c>
      <c r="G425" s="116">
        <v>1</v>
      </c>
      <c r="H425" s="159"/>
      <c r="I425" s="108">
        <f t="shared" si="416"/>
        <v>0</v>
      </c>
      <c r="J425" s="108">
        <f t="shared" si="417"/>
        <v>0</v>
      </c>
      <c r="K425" s="108">
        <f t="shared" si="418"/>
        <v>0</v>
      </c>
      <c r="L425" s="111"/>
      <c r="Z425" s="100">
        <f t="shared" si="419"/>
        <v>0</v>
      </c>
      <c r="AB425" s="100">
        <f t="shared" si="420"/>
        <v>0</v>
      </c>
      <c r="AC425" s="100">
        <f t="shared" si="421"/>
        <v>0</v>
      </c>
      <c r="AD425" s="100">
        <f t="shared" si="422"/>
        <v>0</v>
      </c>
      <c r="AE425" s="100">
        <f t="shared" si="423"/>
        <v>0</v>
      </c>
      <c r="AF425" s="100">
        <f t="shared" si="424"/>
        <v>0</v>
      </c>
      <c r="AG425" s="100">
        <f t="shared" si="425"/>
        <v>0</v>
      </c>
      <c r="AH425" s="100">
        <f t="shared" si="426"/>
        <v>0</v>
      </c>
      <c r="AI425" s="109"/>
      <c r="AJ425" s="108">
        <f t="shared" si="427"/>
        <v>0</v>
      </c>
      <c r="AK425" s="108">
        <f t="shared" si="428"/>
        <v>0</v>
      </c>
      <c r="AL425" s="108">
        <f t="shared" si="429"/>
        <v>0</v>
      </c>
      <c r="AN425" s="100">
        <v>15</v>
      </c>
      <c r="AO425" s="100">
        <f t="shared" si="430"/>
        <v>0</v>
      </c>
      <c r="AP425" s="100">
        <f t="shared" si="431"/>
        <v>0</v>
      </c>
      <c r="AQ425" s="111" t="s">
        <v>13</v>
      </c>
      <c r="AV425" s="100">
        <f t="shared" si="432"/>
        <v>0</v>
      </c>
      <c r="AW425" s="100">
        <f t="shared" si="433"/>
        <v>0</v>
      </c>
      <c r="AX425" s="100">
        <f t="shared" si="434"/>
        <v>0</v>
      </c>
      <c r="AY425" s="110" t="s">
        <v>1713</v>
      </c>
      <c r="AZ425" s="110" t="s">
        <v>1733</v>
      </c>
      <c r="BA425" s="109" t="s">
        <v>1737</v>
      </c>
      <c r="BC425" s="100">
        <f t="shared" si="435"/>
        <v>0</v>
      </c>
      <c r="BD425" s="100">
        <f t="shared" si="436"/>
        <v>0</v>
      </c>
      <c r="BE425" s="100">
        <v>0</v>
      </c>
      <c r="BF425" s="100">
        <f>425</f>
        <v>425</v>
      </c>
      <c r="BH425" s="108">
        <f t="shared" si="437"/>
        <v>0</v>
      </c>
      <c r="BI425" s="108">
        <f t="shared" si="438"/>
        <v>0</v>
      </c>
      <c r="BJ425" s="108">
        <f t="shared" si="439"/>
        <v>0</v>
      </c>
    </row>
    <row r="426" spans="1:62" x14ac:dyDescent="0.2">
      <c r="A426" s="117" t="s">
        <v>384</v>
      </c>
      <c r="B426" s="117" t="s">
        <v>867</v>
      </c>
      <c r="C426" s="304" t="s">
        <v>1457</v>
      </c>
      <c r="D426" s="305"/>
      <c r="E426" s="305"/>
      <c r="F426" s="117" t="s">
        <v>1652</v>
      </c>
      <c r="G426" s="116">
        <v>1</v>
      </c>
      <c r="H426" s="159"/>
      <c r="I426" s="108">
        <f t="shared" si="416"/>
        <v>0</v>
      </c>
      <c r="J426" s="108">
        <f t="shared" si="417"/>
        <v>0</v>
      </c>
      <c r="K426" s="108">
        <f t="shared" si="418"/>
        <v>0</v>
      </c>
      <c r="L426" s="111"/>
      <c r="Z426" s="100">
        <f t="shared" si="419"/>
        <v>0</v>
      </c>
      <c r="AB426" s="100">
        <f t="shared" si="420"/>
        <v>0</v>
      </c>
      <c r="AC426" s="100">
        <f t="shared" si="421"/>
        <v>0</v>
      </c>
      <c r="AD426" s="100">
        <f t="shared" si="422"/>
        <v>0</v>
      </c>
      <c r="AE426" s="100">
        <f t="shared" si="423"/>
        <v>0</v>
      </c>
      <c r="AF426" s="100">
        <f t="shared" si="424"/>
        <v>0</v>
      </c>
      <c r="AG426" s="100">
        <f t="shared" si="425"/>
        <v>0</v>
      </c>
      <c r="AH426" s="100">
        <f t="shared" si="426"/>
        <v>0</v>
      </c>
      <c r="AI426" s="109"/>
      <c r="AJ426" s="108">
        <f t="shared" si="427"/>
        <v>0</v>
      </c>
      <c r="AK426" s="108">
        <f t="shared" si="428"/>
        <v>0</v>
      </c>
      <c r="AL426" s="108">
        <f t="shared" si="429"/>
        <v>0</v>
      </c>
      <c r="AN426" s="100">
        <v>15</v>
      </c>
      <c r="AO426" s="100">
        <f t="shared" si="430"/>
        <v>0</v>
      </c>
      <c r="AP426" s="100">
        <f t="shared" si="431"/>
        <v>0</v>
      </c>
      <c r="AQ426" s="111" t="s">
        <v>13</v>
      </c>
      <c r="AV426" s="100">
        <f t="shared" si="432"/>
        <v>0</v>
      </c>
      <c r="AW426" s="100">
        <f t="shared" si="433"/>
        <v>0</v>
      </c>
      <c r="AX426" s="100">
        <f t="shared" si="434"/>
        <v>0</v>
      </c>
      <c r="AY426" s="110" t="s">
        <v>1713</v>
      </c>
      <c r="AZ426" s="110" t="s">
        <v>1733</v>
      </c>
      <c r="BA426" s="109" t="s">
        <v>1737</v>
      </c>
      <c r="BC426" s="100">
        <f t="shared" si="435"/>
        <v>0</v>
      </c>
      <c r="BD426" s="100">
        <f t="shared" si="436"/>
        <v>0</v>
      </c>
      <c r="BE426" s="100">
        <v>0</v>
      </c>
      <c r="BF426" s="100">
        <f>426</f>
        <v>426</v>
      </c>
      <c r="BH426" s="108">
        <f t="shared" si="437"/>
        <v>0</v>
      </c>
      <c r="BI426" s="108">
        <f t="shared" si="438"/>
        <v>0</v>
      </c>
      <c r="BJ426" s="108">
        <f t="shared" si="439"/>
        <v>0</v>
      </c>
    </row>
    <row r="427" spans="1:62" x14ac:dyDescent="0.2">
      <c r="A427" s="119"/>
      <c r="B427" s="120" t="s">
        <v>869</v>
      </c>
      <c r="C427" s="306" t="s">
        <v>1458</v>
      </c>
      <c r="D427" s="307"/>
      <c r="E427" s="307"/>
      <c r="F427" s="119" t="s">
        <v>6</v>
      </c>
      <c r="G427" s="119" t="s">
        <v>6</v>
      </c>
      <c r="H427" s="119" t="s">
        <v>6</v>
      </c>
      <c r="I427" s="118">
        <f>SUM(I428:I439)</f>
        <v>0</v>
      </c>
      <c r="J427" s="118">
        <f>SUM(J428:J439)</f>
        <v>0</v>
      </c>
      <c r="K427" s="118">
        <f>SUM(K428:K439)</f>
        <v>0</v>
      </c>
      <c r="L427" s="109"/>
      <c r="AI427" s="109"/>
      <c r="AS427" s="118">
        <f>SUM(AJ428:AJ439)</f>
        <v>0</v>
      </c>
      <c r="AT427" s="118">
        <f>SUM(AK428:AK439)</f>
        <v>0</v>
      </c>
      <c r="AU427" s="118">
        <f>SUM(AL428:AL439)</f>
        <v>0</v>
      </c>
    </row>
    <row r="428" spans="1:62" x14ac:dyDescent="0.2">
      <c r="A428" s="117" t="s">
        <v>385</v>
      </c>
      <c r="B428" s="117" t="s">
        <v>870</v>
      </c>
      <c r="C428" s="304" t="s">
        <v>1459</v>
      </c>
      <c r="D428" s="305"/>
      <c r="E428" s="305"/>
      <c r="F428" s="117" t="s">
        <v>1644</v>
      </c>
      <c r="G428" s="116">
        <v>3</v>
      </c>
      <c r="H428" s="159"/>
      <c r="I428" s="108">
        <f t="shared" ref="I428:I439" si="440">G428*AO428</f>
        <v>0</v>
      </c>
      <c r="J428" s="108">
        <f t="shared" ref="J428:J439" si="441">G428*AP428</f>
        <v>0</v>
      </c>
      <c r="K428" s="108">
        <f t="shared" ref="K428:K439" si="442">G428*H428</f>
        <v>0</v>
      </c>
      <c r="L428" s="111" t="s">
        <v>1671</v>
      </c>
      <c r="Z428" s="100">
        <f t="shared" ref="Z428:Z439" si="443">IF(AQ428="5",BJ428,0)</f>
        <v>0</v>
      </c>
      <c r="AB428" s="100">
        <f t="shared" ref="AB428:AB439" si="444">IF(AQ428="1",BH428,0)</f>
        <v>0</v>
      </c>
      <c r="AC428" s="100">
        <f t="shared" ref="AC428:AC439" si="445">IF(AQ428="1",BI428,0)</f>
        <v>0</v>
      </c>
      <c r="AD428" s="100">
        <f t="shared" ref="AD428:AD439" si="446">IF(AQ428="7",BH428,0)</f>
        <v>0</v>
      </c>
      <c r="AE428" s="100">
        <f t="shared" ref="AE428:AE439" si="447">IF(AQ428="7",BI428,0)</f>
        <v>0</v>
      </c>
      <c r="AF428" s="100">
        <f t="shared" ref="AF428:AF439" si="448">IF(AQ428="2",BH428,0)</f>
        <v>0</v>
      </c>
      <c r="AG428" s="100">
        <f t="shared" ref="AG428:AG439" si="449">IF(AQ428="2",BI428,0)</f>
        <v>0</v>
      </c>
      <c r="AH428" s="100">
        <f t="shared" ref="AH428:AH439" si="450">IF(AQ428="0",BJ428,0)</f>
        <v>0</v>
      </c>
      <c r="AI428" s="109"/>
      <c r="AJ428" s="108">
        <f t="shared" ref="AJ428:AJ439" si="451">IF(AN428=0,K428,0)</f>
        <v>0</v>
      </c>
      <c r="AK428" s="108">
        <f t="shared" ref="AK428:AK439" si="452">IF(AN428=15,K428,0)</f>
        <v>0</v>
      </c>
      <c r="AL428" s="108">
        <f t="shared" ref="AL428:AL439" si="453">IF(AN428=21,K428,0)</f>
        <v>0</v>
      </c>
      <c r="AN428" s="100">
        <v>15</v>
      </c>
      <c r="AO428" s="100">
        <f>H428*0.0692044609665427</f>
        <v>0</v>
      </c>
      <c r="AP428" s="100">
        <f>H428*(1-0.0692044609665427)</f>
        <v>0</v>
      </c>
      <c r="AQ428" s="111" t="s">
        <v>13</v>
      </c>
      <c r="AV428" s="100">
        <f t="shared" ref="AV428:AV439" si="454">AW428+AX428</f>
        <v>0</v>
      </c>
      <c r="AW428" s="100">
        <f t="shared" ref="AW428:AW439" si="455">G428*AO428</f>
        <v>0</v>
      </c>
      <c r="AX428" s="100">
        <f t="shared" ref="AX428:AX439" si="456">G428*AP428</f>
        <v>0</v>
      </c>
      <c r="AY428" s="110" t="s">
        <v>1714</v>
      </c>
      <c r="AZ428" s="110" t="s">
        <v>1734</v>
      </c>
      <c r="BA428" s="109" t="s">
        <v>1737</v>
      </c>
      <c r="BC428" s="100">
        <f t="shared" ref="BC428:BC439" si="457">AW428+AX428</f>
        <v>0</v>
      </c>
      <c r="BD428" s="100">
        <f t="shared" ref="BD428:BD439" si="458">H428/(100-BE428)*100</f>
        <v>0</v>
      </c>
      <c r="BE428" s="100">
        <v>0</v>
      </c>
      <c r="BF428" s="100">
        <f>428</f>
        <v>428</v>
      </c>
      <c r="BH428" s="108">
        <f t="shared" ref="BH428:BH439" si="459">G428*AO428</f>
        <v>0</v>
      </c>
      <c r="BI428" s="108">
        <f t="shared" ref="BI428:BI439" si="460">G428*AP428</f>
        <v>0</v>
      </c>
      <c r="BJ428" s="108">
        <f t="shared" ref="BJ428:BJ439" si="461">G428*H428</f>
        <v>0</v>
      </c>
    </row>
    <row r="429" spans="1:62" x14ac:dyDescent="0.2">
      <c r="A429" s="117" t="s">
        <v>386</v>
      </c>
      <c r="B429" s="117" t="s">
        <v>871</v>
      </c>
      <c r="C429" s="304" t="s">
        <v>2692</v>
      </c>
      <c r="D429" s="305"/>
      <c r="E429" s="305"/>
      <c r="F429" s="117" t="s">
        <v>1645</v>
      </c>
      <c r="G429" s="116">
        <v>310.892</v>
      </c>
      <c r="H429" s="159"/>
      <c r="I429" s="108">
        <f t="shared" si="440"/>
        <v>0</v>
      </c>
      <c r="J429" s="108">
        <f t="shared" si="441"/>
        <v>0</v>
      </c>
      <c r="K429" s="108">
        <f t="shared" si="442"/>
        <v>0</v>
      </c>
      <c r="L429" s="111" t="s">
        <v>1671</v>
      </c>
      <c r="Z429" s="100">
        <f t="shared" si="443"/>
        <v>0</v>
      </c>
      <c r="AB429" s="100">
        <f t="shared" si="444"/>
        <v>0</v>
      </c>
      <c r="AC429" s="100">
        <f t="shared" si="445"/>
        <v>0</v>
      </c>
      <c r="AD429" s="100">
        <f t="shared" si="446"/>
        <v>0</v>
      </c>
      <c r="AE429" s="100">
        <f t="shared" si="447"/>
        <v>0</v>
      </c>
      <c r="AF429" s="100">
        <f t="shared" si="448"/>
        <v>0</v>
      </c>
      <c r="AG429" s="100">
        <f t="shared" si="449"/>
        <v>0</v>
      </c>
      <c r="AH429" s="100">
        <f t="shared" si="450"/>
        <v>0</v>
      </c>
      <c r="AI429" s="109"/>
      <c r="AJ429" s="108">
        <f t="shared" si="451"/>
        <v>0</v>
      </c>
      <c r="AK429" s="108">
        <f t="shared" si="452"/>
        <v>0</v>
      </c>
      <c r="AL429" s="108">
        <f t="shared" si="453"/>
        <v>0</v>
      </c>
      <c r="AN429" s="100">
        <v>15</v>
      </c>
      <c r="AO429" s="100">
        <f>H429*0.493473684210526</f>
        <v>0</v>
      </c>
      <c r="AP429" s="100">
        <f>H429*(1-0.493473684210526)</f>
        <v>0</v>
      </c>
      <c r="AQ429" s="111" t="s">
        <v>13</v>
      </c>
      <c r="AV429" s="100">
        <f t="shared" si="454"/>
        <v>0</v>
      </c>
      <c r="AW429" s="100">
        <f t="shared" si="455"/>
        <v>0</v>
      </c>
      <c r="AX429" s="100">
        <f t="shared" si="456"/>
        <v>0</v>
      </c>
      <c r="AY429" s="110" t="s">
        <v>1714</v>
      </c>
      <c r="AZ429" s="110" t="s">
        <v>1734</v>
      </c>
      <c r="BA429" s="109" t="s">
        <v>1737</v>
      </c>
      <c r="BC429" s="100">
        <f t="shared" si="457"/>
        <v>0</v>
      </c>
      <c r="BD429" s="100">
        <f t="shared" si="458"/>
        <v>0</v>
      </c>
      <c r="BE429" s="100">
        <v>0</v>
      </c>
      <c r="BF429" s="100">
        <f>429</f>
        <v>429</v>
      </c>
      <c r="BH429" s="108">
        <f t="shared" si="459"/>
        <v>0</v>
      </c>
      <c r="BI429" s="108">
        <f t="shared" si="460"/>
        <v>0</v>
      </c>
      <c r="BJ429" s="108">
        <f t="shared" si="461"/>
        <v>0</v>
      </c>
    </row>
    <row r="430" spans="1:62" x14ac:dyDescent="0.2">
      <c r="A430" s="117" t="s">
        <v>387</v>
      </c>
      <c r="B430" s="117" t="s">
        <v>872</v>
      </c>
      <c r="C430" s="304" t="s">
        <v>1461</v>
      </c>
      <c r="D430" s="305"/>
      <c r="E430" s="305"/>
      <c r="F430" s="117" t="s">
        <v>1645</v>
      </c>
      <c r="G430" s="116">
        <v>357.27</v>
      </c>
      <c r="H430" s="159"/>
      <c r="I430" s="108">
        <f t="shared" si="440"/>
        <v>0</v>
      </c>
      <c r="J430" s="108">
        <f t="shared" si="441"/>
        <v>0</v>
      </c>
      <c r="K430" s="108">
        <f t="shared" si="442"/>
        <v>0</v>
      </c>
      <c r="L430" s="111" t="s">
        <v>1671</v>
      </c>
      <c r="Z430" s="100">
        <f t="shared" si="443"/>
        <v>0</v>
      </c>
      <c r="AB430" s="100">
        <f t="shared" si="444"/>
        <v>0</v>
      </c>
      <c r="AC430" s="100">
        <f t="shared" si="445"/>
        <v>0</v>
      </c>
      <c r="AD430" s="100">
        <f t="shared" si="446"/>
        <v>0</v>
      </c>
      <c r="AE430" s="100">
        <f t="shared" si="447"/>
        <v>0</v>
      </c>
      <c r="AF430" s="100">
        <f t="shared" si="448"/>
        <v>0</v>
      </c>
      <c r="AG430" s="100">
        <f t="shared" si="449"/>
        <v>0</v>
      </c>
      <c r="AH430" s="100">
        <f t="shared" si="450"/>
        <v>0</v>
      </c>
      <c r="AI430" s="109"/>
      <c r="AJ430" s="108">
        <f t="shared" si="451"/>
        <v>0</v>
      </c>
      <c r="AK430" s="108">
        <f t="shared" si="452"/>
        <v>0</v>
      </c>
      <c r="AL430" s="108">
        <f t="shared" si="453"/>
        <v>0</v>
      </c>
      <c r="AN430" s="100">
        <v>15</v>
      </c>
      <c r="AO430" s="100">
        <f>H430*0.493506493506494</f>
        <v>0</v>
      </c>
      <c r="AP430" s="100">
        <f>H430*(1-0.493506493506494)</f>
        <v>0</v>
      </c>
      <c r="AQ430" s="111" t="s">
        <v>13</v>
      </c>
      <c r="AV430" s="100">
        <f t="shared" si="454"/>
        <v>0</v>
      </c>
      <c r="AW430" s="100">
        <f t="shared" si="455"/>
        <v>0</v>
      </c>
      <c r="AX430" s="100">
        <f t="shared" si="456"/>
        <v>0</v>
      </c>
      <c r="AY430" s="110" t="s">
        <v>1714</v>
      </c>
      <c r="AZ430" s="110" t="s">
        <v>1734</v>
      </c>
      <c r="BA430" s="109" t="s">
        <v>1737</v>
      </c>
      <c r="BC430" s="100">
        <f t="shared" si="457"/>
        <v>0</v>
      </c>
      <c r="BD430" s="100">
        <f t="shared" si="458"/>
        <v>0</v>
      </c>
      <c r="BE430" s="100">
        <v>0</v>
      </c>
      <c r="BF430" s="100">
        <f>430</f>
        <v>430</v>
      </c>
      <c r="BH430" s="108">
        <f t="shared" si="459"/>
        <v>0</v>
      </c>
      <c r="BI430" s="108">
        <f t="shared" si="460"/>
        <v>0</v>
      </c>
      <c r="BJ430" s="108">
        <f t="shared" si="461"/>
        <v>0</v>
      </c>
    </row>
    <row r="431" spans="1:62" x14ac:dyDescent="0.2">
      <c r="A431" s="117" t="s">
        <v>388</v>
      </c>
      <c r="B431" s="117" t="s">
        <v>873</v>
      </c>
      <c r="C431" s="304" t="s">
        <v>1462</v>
      </c>
      <c r="D431" s="305"/>
      <c r="E431" s="305"/>
      <c r="F431" s="117" t="s">
        <v>1645</v>
      </c>
      <c r="G431" s="116">
        <v>357.27</v>
      </c>
      <c r="H431" s="159"/>
      <c r="I431" s="108">
        <f t="shared" si="440"/>
        <v>0</v>
      </c>
      <c r="J431" s="108">
        <f t="shared" si="441"/>
        <v>0</v>
      </c>
      <c r="K431" s="108">
        <f t="shared" si="442"/>
        <v>0</v>
      </c>
      <c r="L431" s="111" t="s">
        <v>1671</v>
      </c>
      <c r="Z431" s="100">
        <f t="shared" si="443"/>
        <v>0</v>
      </c>
      <c r="AB431" s="100">
        <f t="shared" si="444"/>
        <v>0</v>
      </c>
      <c r="AC431" s="100">
        <f t="shared" si="445"/>
        <v>0</v>
      </c>
      <c r="AD431" s="100">
        <f t="shared" si="446"/>
        <v>0</v>
      </c>
      <c r="AE431" s="100">
        <f t="shared" si="447"/>
        <v>0</v>
      </c>
      <c r="AF431" s="100">
        <f t="shared" si="448"/>
        <v>0</v>
      </c>
      <c r="AG431" s="100">
        <f t="shared" si="449"/>
        <v>0</v>
      </c>
      <c r="AH431" s="100">
        <f t="shared" si="450"/>
        <v>0</v>
      </c>
      <c r="AI431" s="109"/>
      <c r="AJ431" s="108">
        <f t="shared" si="451"/>
        <v>0</v>
      </c>
      <c r="AK431" s="108">
        <f t="shared" si="452"/>
        <v>0</v>
      </c>
      <c r="AL431" s="108">
        <f t="shared" si="453"/>
        <v>0</v>
      </c>
      <c r="AN431" s="100">
        <v>15</v>
      </c>
      <c r="AO431" s="100">
        <f>H431*0.493489096573209</f>
        <v>0</v>
      </c>
      <c r="AP431" s="100">
        <f>H431*(1-0.493489096573209)</f>
        <v>0</v>
      </c>
      <c r="AQ431" s="111" t="s">
        <v>13</v>
      </c>
      <c r="AV431" s="100">
        <f t="shared" si="454"/>
        <v>0</v>
      </c>
      <c r="AW431" s="100">
        <f t="shared" si="455"/>
        <v>0</v>
      </c>
      <c r="AX431" s="100">
        <f t="shared" si="456"/>
        <v>0</v>
      </c>
      <c r="AY431" s="110" t="s">
        <v>1714</v>
      </c>
      <c r="AZ431" s="110" t="s">
        <v>1734</v>
      </c>
      <c r="BA431" s="109" t="s">
        <v>1737</v>
      </c>
      <c r="BC431" s="100">
        <f t="shared" si="457"/>
        <v>0</v>
      </c>
      <c r="BD431" s="100">
        <f t="shared" si="458"/>
        <v>0</v>
      </c>
      <c r="BE431" s="100">
        <v>0</v>
      </c>
      <c r="BF431" s="100">
        <f>431</f>
        <v>431</v>
      </c>
      <c r="BH431" s="108">
        <f t="shared" si="459"/>
        <v>0</v>
      </c>
      <c r="BI431" s="108">
        <f t="shared" si="460"/>
        <v>0</v>
      </c>
      <c r="BJ431" s="108">
        <f t="shared" si="461"/>
        <v>0</v>
      </c>
    </row>
    <row r="432" spans="1:62" x14ac:dyDescent="0.2">
      <c r="A432" s="117" t="s">
        <v>389</v>
      </c>
      <c r="B432" s="117" t="s">
        <v>874</v>
      </c>
      <c r="C432" s="304" t="s">
        <v>2691</v>
      </c>
      <c r="D432" s="305"/>
      <c r="E432" s="305"/>
      <c r="F432" s="117" t="s">
        <v>1645</v>
      </c>
      <c r="G432" s="116">
        <v>357.27</v>
      </c>
      <c r="H432" s="159"/>
      <c r="I432" s="108">
        <f t="shared" si="440"/>
        <v>0</v>
      </c>
      <c r="J432" s="108">
        <f t="shared" si="441"/>
        <v>0</v>
      </c>
      <c r="K432" s="108">
        <f t="shared" si="442"/>
        <v>0</v>
      </c>
      <c r="L432" s="111" t="s">
        <v>1671</v>
      </c>
      <c r="Z432" s="100">
        <f t="shared" si="443"/>
        <v>0</v>
      </c>
      <c r="AB432" s="100">
        <f t="shared" si="444"/>
        <v>0</v>
      </c>
      <c r="AC432" s="100">
        <f t="shared" si="445"/>
        <v>0</v>
      </c>
      <c r="AD432" s="100">
        <f t="shared" si="446"/>
        <v>0</v>
      </c>
      <c r="AE432" s="100">
        <f t="shared" si="447"/>
        <v>0</v>
      </c>
      <c r="AF432" s="100">
        <f t="shared" si="448"/>
        <v>0</v>
      </c>
      <c r="AG432" s="100">
        <f t="shared" si="449"/>
        <v>0</v>
      </c>
      <c r="AH432" s="100">
        <f t="shared" si="450"/>
        <v>0</v>
      </c>
      <c r="AI432" s="109"/>
      <c r="AJ432" s="108">
        <f t="shared" si="451"/>
        <v>0</v>
      </c>
      <c r="AK432" s="108">
        <f t="shared" si="452"/>
        <v>0</v>
      </c>
      <c r="AL432" s="108">
        <f t="shared" si="453"/>
        <v>0</v>
      </c>
      <c r="AN432" s="100">
        <v>15</v>
      </c>
      <c r="AO432" s="100">
        <f>H432*0</f>
        <v>0</v>
      </c>
      <c r="AP432" s="100">
        <f>H432*(1-0)</f>
        <v>0</v>
      </c>
      <c r="AQ432" s="111" t="s">
        <v>13</v>
      </c>
      <c r="AV432" s="100">
        <f t="shared" si="454"/>
        <v>0</v>
      </c>
      <c r="AW432" s="100">
        <f t="shared" si="455"/>
        <v>0</v>
      </c>
      <c r="AX432" s="100">
        <f t="shared" si="456"/>
        <v>0</v>
      </c>
      <c r="AY432" s="110" t="s">
        <v>1714</v>
      </c>
      <c r="AZ432" s="110" t="s">
        <v>1734</v>
      </c>
      <c r="BA432" s="109" t="s">
        <v>1737</v>
      </c>
      <c r="BC432" s="100">
        <f t="shared" si="457"/>
        <v>0</v>
      </c>
      <c r="BD432" s="100">
        <f t="shared" si="458"/>
        <v>0</v>
      </c>
      <c r="BE432" s="100">
        <v>0</v>
      </c>
      <c r="BF432" s="100">
        <f>432</f>
        <v>432</v>
      </c>
      <c r="BH432" s="108">
        <f t="shared" si="459"/>
        <v>0</v>
      </c>
      <c r="BI432" s="108">
        <f t="shared" si="460"/>
        <v>0</v>
      </c>
      <c r="BJ432" s="108">
        <f t="shared" si="461"/>
        <v>0</v>
      </c>
    </row>
    <row r="433" spans="1:62" x14ac:dyDescent="0.2">
      <c r="A433" s="124" t="s">
        <v>390</v>
      </c>
      <c r="B433" s="124" t="s">
        <v>875</v>
      </c>
      <c r="C433" s="311" t="s">
        <v>1464</v>
      </c>
      <c r="D433" s="312"/>
      <c r="E433" s="312"/>
      <c r="F433" s="124" t="s">
        <v>1645</v>
      </c>
      <c r="G433" s="123">
        <v>375.13400000000001</v>
      </c>
      <c r="H433" s="160"/>
      <c r="I433" s="121">
        <f t="shared" si="440"/>
        <v>0</v>
      </c>
      <c r="J433" s="121">
        <f t="shared" si="441"/>
        <v>0</v>
      </c>
      <c r="K433" s="121">
        <f t="shared" si="442"/>
        <v>0</v>
      </c>
      <c r="L433" s="122" t="s">
        <v>1671</v>
      </c>
      <c r="Z433" s="100">
        <f t="shared" si="443"/>
        <v>0</v>
      </c>
      <c r="AB433" s="100">
        <f t="shared" si="444"/>
        <v>0</v>
      </c>
      <c r="AC433" s="100">
        <f t="shared" si="445"/>
        <v>0</v>
      </c>
      <c r="AD433" s="100">
        <f t="shared" si="446"/>
        <v>0</v>
      </c>
      <c r="AE433" s="100">
        <f t="shared" si="447"/>
        <v>0</v>
      </c>
      <c r="AF433" s="100">
        <f t="shared" si="448"/>
        <v>0</v>
      </c>
      <c r="AG433" s="100">
        <f t="shared" si="449"/>
        <v>0</v>
      </c>
      <c r="AH433" s="100">
        <f t="shared" si="450"/>
        <v>0</v>
      </c>
      <c r="AI433" s="109"/>
      <c r="AJ433" s="121">
        <f t="shared" si="451"/>
        <v>0</v>
      </c>
      <c r="AK433" s="121">
        <f t="shared" si="452"/>
        <v>0</v>
      </c>
      <c r="AL433" s="121">
        <f t="shared" si="453"/>
        <v>0</v>
      </c>
      <c r="AN433" s="100">
        <v>15</v>
      </c>
      <c r="AO433" s="100">
        <f>H433*1</f>
        <v>0</v>
      </c>
      <c r="AP433" s="100">
        <f>H433*(1-1)</f>
        <v>0</v>
      </c>
      <c r="AQ433" s="122" t="s">
        <v>13</v>
      </c>
      <c r="AV433" s="100">
        <f t="shared" si="454"/>
        <v>0</v>
      </c>
      <c r="AW433" s="100">
        <f t="shared" si="455"/>
        <v>0</v>
      </c>
      <c r="AX433" s="100">
        <f t="shared" si="456"/>
        <v>0</v>
      </c>
      <c r="AY433" s="110" t="s">
        <v>1714</v>
      </c>
      <c r="AZ433" s="110" t="s">
        <v>1734</v>
      </c>
      <c r="BA433" s="109" t="s">
        <v>1737</v>
      </c>
      <c r="BC433" s="100">
        <f t="shared" si="457"/>
        <v>0</v>
      </c>
      <c r="BD433" s="100">
        <f t="shared" si="458"/>
        <v>0</v>
      </c>
      <c r="BE433" s="100">
        <v>0</v>
      </c>
      <c r="BF433" s="100">
        <f>433</f>
        <v>433</v>
      </c>
      <c r="BH433" s="121">
        <f t="shared" si="459"/>
        <v>0</v>
      </c>
      <c r="BI433" s="121">
        <f t="shared" si="460"/>
        <v>0</v>
      </c>
      <c r="BJ433" s="121">
        <f t="shared" si="461"/>
        <v>0</v>
      </c>
    </row>
    <row r="434" spans="1:62" x14ac:dyDescent="0.2">
      <c r="A434" s="117" t="s">
        <v>391</v>
      </c>
      <c r="B434" s="117" t="s">
        <v>876</v>
      </c>
      <c r="C434" s="304" t="s">
        <v>1465</v>
      </c>
      <c r="D434" s="305"/>
      <c r="E434" s="305"/>
      <c r="F434" s="117" t="s">
        <v>1645</v>
      </c>
      <c r="G434" s="116">
        <v>357.27</v>
      </c>
      <c r="H434" s="159"/>
      <c r="I434" s="108">
        <f t="shared" si="440"/>
        <v>0</v>
      </c>
      <c r="J434" s="108">
        <f t="shared" si="441"/>
        <v>0</v>
      </c>
      <c r="K434" s="108">
        <f t="shared" si="442"/>
        <v>0</v>
      </c>
      <c r="L434" s="111" t="s">
        <v>1671</v>
      </c>
      <c r="Z434" s="100">
        <f t="shared" si="443"/>
        <v>0</v>
      </c>
      <c r="AB434" s="100">
        <f t="shared" si="444"/>
        <v>0</v>
      </c>
      <c r="AC434" s="100">
        <f t="shared" si="445"/>
        <v>0</v>
      </c>
      <c r="AD434" s="100">
        <f t="shared" si="446"/>
        <v>0</v>
      </c>
      <c r="AE434" s="100">
        <f t="shared" si="447"/>
        <v>0</v>
      </c>
      <c r="AF434" s="100">
        <f t="shared" si="448"/>
        <v>0</v>
      </c>
      <c r="AG434" s="100">
        <f t="shared" si="449"/>
        <v>0</v>
      </c>
      <c r="AH434" s="100">
        <f t="shared" si="450"/>
        <v>0</v>
      </c>
      <c r="AI434" s="109"/>
      <c r="AJ434" s="108">
        <f t="shared" si="451"/>
        <v>0</v>
      </c>
      <c r="AK434" s="108">
        <f t="shared" si="452"/>
        <v>0</v>
      </c>
      <c r="AL434" s="108">
        <f t="shared" si="453"/>
        <v>0</v>
      </c>
      <c r="AN434" s="100">
        <v>15</v>
      </c>
      <c r="AO434" s="100">
        <f>H434*0</f>
        <v>0</v>
      </c>
      <c r="AP434" s="100">
        <f>H434*(1-0)</f>
        <v>0</v>
      </c>
      <c r="AQ434" s="111" t="s">
        <v>13</v>
      </c>
      <c r="AV434" s="100">
        <f t="shared" si="454"/>
        <v>0</v>
      </c>
      <c r="AW434" s="100">
        <f t="shared" si="455"/>
        <v>0</v>
      </c>
      <c r="AX434" s="100">
        <f t="shared" si="456"/>
        <v>0</v>
      </c>
      <c r="AY434" s="110" t="s">
        <v>1714</v>
      </c>
      <c r="AZ434" s="110" t="s">
        <v>1734</v>
      </c>
      <c r="BA434" s="109" t="s">
        <v>1737</v>
      </c>
      <c r="BC434" s="100">
        <f t="shared" si="457"/>
        <v>0</v>
      </c>
      <c r="BD434" s="100">
        <f t="shared" si="458"/>
        <v>0</v>
      </c>
      <c r="BE434" s="100">
        <v>0</v>
      </c>
      <c r="BF434" s="100">
        <f>434</f>
        <v>434</v>
      </c>
      <c r="BH434" s="108">
        <f t="shared" si="459"/>
        <v>0</v>
      </c>
      <c r="BI434" s="108">
        <f t="shared" si="460"/>
        <v>0</v>
      </c>
      <c r="BJ434" s="108">
        <f t="shared" si="461"/>
        <v>0</v>
      </c>
    </row>
    <row r="435" spans="1:62" x14ac:dyDescent="0.2">
      <c r="A435" s="117" t="s">
        <v>392</v>
      </c>
      <c r="B435" s="117" t="s">
        <v>877</v>
      </c>
      <c r="C435" s="304" t="s">
        <v>1466</v>
      </c>
      <c r="D435" s="305"/>
      <c r="E435" s="305"/>
      <c r="F435" s="117" t="s">
        <v>1647</v>
      </c>
      <c r="G435" s="116">
        <v>7.86</v>
      </c>
      <c r="H435" s="159"/>
      <c r="I435" s="108">
        <f t="shared" si="440"/>
        <v>0</v>
      </c>
      <c r="J435" s="108">
        <f t="shared" si="441"/>
        <v>0</v>
      </c>
      <c r="K435" s="108">
        <f t="shared" si="442"/>
        <v>0</v>
      </c>
      <c r="L435" s="111" t="s">
        <v>1671</v>
      </c>
      <c r="Z435" s="100">
        <f t="shared" si="443"/>
        <v>0</v>
      </c>
      <c r="AB435" s="100">
        <f t="shared" si="444"/>
        <v>0</v>
      </c>
      <c r="AC435" s="100">
        <f t="shared" si="445"/>
        <v>0</v>
      </c>
      <c r="AD435" s="100">
        <f t="shared" si="446"/>
        <v>0</v>
      </c>
      <c r="AE435" s="100">
        <f t="shared" si="447"/>
        <v>0</v>
      </c>
      <c r="AF435" s="100">
        <f t="shared" si="448"/>
        <v>0</v>
      </c>
      <c r="AG435" s="100">
        <f t="shared" si="449"/>
        <v>0</v>
      </c>
      <c r="AH435" s="100">
        <f t="shared" si="450"/>
        <v>0</v>
      </c>
      <c r="AI435" s="109"/>
      <c r="AJ435" s="108">
        <f t="shared" si="451"/>
        <v>0</v>
      </c>
      <c r="AK435" s="108">
        <f t="shared" si="452"/>
        <v>0</v>
      </c>
      <c r="AL435" s="108">
        <f t="shared" si="453"/>
        <v>0</v>
      </c>
      <c r="AN435" s="100">
        <v>15</v>
      </c>
      <c r="AO435" s="100">
        <f>H435*1</f>
        <v>0</v>
      </c>
      <c r="AP435" s="100">
        <f>H435*(1-1)</f>
        <v>0</v>
      </c>
      <c r="AQ435" s="111" t="s">
        <v>13</v>
      </c>
      <c r="AV435" s="100">
        <f t="shared" si="454"/>
        <v>0</v>
      </c>
      <c r="AW435" s="100">
        <f t="shared" si="455"/>
        <v>0</v>
      </c>
      <c r="AX435" s="100">
        <f t="shared" si="456"/>
        <v>0</v>
      </c>
      <c r="AY435" s="110" t="s">
        <v>1714</v>
      </c>
      <c r="AZ435" s="110" t="s">
        <v>1734</v>
      </c>
      <c r="BA435" s="109" t="s">
        <v>1737</v>
      </c>
      <c r="BC435" s="100">
        <f t="shared" si="457"/>
        <v>0</v>
      </c>
      <c r="BD435" s="100">
        <f t="shared" si="458"/>
        <v>0</v>
      </c>
      <c r="BE435" s="100">
        <v>0</v>
      </c>
      <c r="BF435" s="100">
        <f>435</f>
        <v>435</v>
      </c>
      <c r="BH435" s="108">
        <f t="shared" si="459"/>
        <v>0</v>
      </c>
      <c r="BI435" s="108">
        <f t="shared" si="460"/>
        <v>0</v>
      </c>
      <c r="BJ435" s="108">
        <f t="shared" si="461"/>
        <v>0</v>
      </c>
    </row>
    <row r="436" spans="1:62" x14ac:dyDescent="0.2">
      <c r="A436" s="117" t="s">
        <v>393</v>
      </c>
      <c r="B436" s="117" t="s">
        <v>878</v>
      </c>
      <c r="C436" s="304" t="s">
        <v>1467</v>
      </c>
      <c r="D436" s="305"/>
      <c r="E436" s="305"/>
      <c r="F436" s="117" t="s">
        <v>1645</v>
      </c>
      <c r="G436" s="116">
        <v>54.9</v>
      </c>
      <c r="H436" s="159"/>
      <c r="I436" s="108">
        <f t="shared" si="440"/>
        <v>0</v>
      </c>
      <c r="J436" s="108">
        <f t="shared" si="441"/>
        <v>0</v>
      </c>
      <c r="K436" s="108">
        <f t="shared" si="442"/>
        <v>0</v>
      </c>
      <c r="L436" s="111" t="s">
        <v>1671</v>
      </c>
      <c r="Z436" s="100">
        <f t="shared" si="443"/>
        <v>0</v>
      </c>
      <c r="AB436" s="100">
        <f t="shared" si="444"/>
        <v>0</v>
      </c>
      <c r="AC436" s="100">
        <f t="shared" si="445"/>
        <v>0</v>
      </c>
      <c r="AD436" s="100">
        <f t="shared" si="446"/>
        <v>0</v>
      </c>
      <c r="AE436" s="100">
        <f t="shared" si="447"/>
        <v>0</v>
      </c>
      <c r="AF436" s="100">
        <f t="shared" si="448"/>
        <v>0</v>
      </c>
      <c r="AG436" s="100">
        <f t="shared" si="449"/>
        <v>0</v>
      </c>
      <c r="AH436" s="100">
        <f t="shared" si="450"/>
        <v>0</v>
      </c>
      <c r="AI436" s="109"/>
      <c r="AJ436" s="108">
        <f t="shared" si="451"/>
        <v>0</v>
      </c>
      <c r="AK436" s="108">
        <f t="shared" si="452"/>
        <v>0</v>
      </c>
      <c r="AL436" s="108">
        <f t="shared" si="453"/>
        <v>0</v>
      </c>
      <c r="AN436" s="100">
        <v>15</v>
      </c>
      <c r="AO436" s="100">
        <f>H436*0.650037878787879</f>
        <v>0</v>
      </c>
      <c r="AP436" s="100">
        <f>H436*(1-0.650037878787879)</f>
        <v>0</v>
      </c>
      <c r="AQ436" s="111" t="s">
        <v>13</v>
      </c>
      <c r="AV436" s="100">
        <f t="shared" si="454"/>
        <v>0</v>
      </c>
      <c r="AW436" s="100">
        <f t="shared" si="455"/>
        <v>0</v>
      </c>
      <c r="AX436" s="100">
        <f t="shared" si="456"/>
        <v>0</v>
      </c>
      <c r="AY436" s="110" t="s">
        <v>1714</v>
      </c>
      <c r="AZ436" s="110" t="s">
        <v>1734</v>
      </c>
      <c r="BA436" s="109" t="s">
        <v>1737</v>
      </c>
      <c r="BC436" s="100">
        <f t="shared" si="457"/>
        <v>0</v>
      </c>
      <c r="BD436" s="100">
        <f t="shared" si="458"/>
        <v>0</v>
      </c>
      <c r="BE436" s="100">
        <v>0</v>
      </c>
      <c r="BF436" s="100">
        <f>436</f>
        <v>436</v>
      </c>
      <c r="BH436" s="108">
        <f t="shared" si="459"/>
        <v>0</v>
      </c>
      <c r="BI436" s="108">
        <f t="shared" si="460"/>
        <v>0</v>
      </c>
      <c r="BJ436" s="108">
        <f t="shared" si="461"/>
        <v>0</v>
      </c>
    </row>
    <row r="437" spans="1:62" x14ac:dyDescent="0.2">
      <c r="A437" s="117" t="s">
        <v>394</v>
      </c>
      <c r="B437" s="117" t="s">
        <v>879</v>
      </c>
      <c r="C437" s="304" t="s">
        <v>1468</v>
      </c>
      <c r="D437" s="305"/>
      <c r="E437" s="305"/>
      <c r="F437" s="117" t="s">
        <v>1645</v>
      </c>
      <c r="G437" s="116">
        <v>54.9</v>
      </c>
      <c r="H437" s="159"/>
      <c r="I437" s="108">
        <f t="shared" si="440"/>
        <v>0</v>
      </c>
      <c r="J437" s="108">
        <f t="shared" si="441"/>
        <v>0</v>
      </c>
      <c r="K437" s="108">
        <f t="shared" si="442"/>
        <v>0</v>
      </c>
      <c r="L437" s="111" t="s">
        <v>1671</v>
      </c>
      <c r="Z437" s="100">
        <f t="shared" si="443"/>
        <v>0</v>
      </c>
      <c r="AB437" s="100">
        <f t="shared" si="444"/>
        <v>0</v>
      </c>
      <c r="AC437" s="100">
        <f t="shared" si="445"/>
        <v>0</v>
      </c>
      <c r="AD437" s="100">
        <f t="shared" si="446"/>
        <v>0</v>
      </c>
      <c r="AE437" s="100">
        <f t="shared" si="447"/>
        <v>0</v>
      </c>
      <c r="AF437" s="100">
        <f t="shared" si="448"/>
        <v>0</v>
      </c>
      <c r="AG437" s="100">
        <f t="shared" si="449"/>
        <v>0</v>
      </c>
      <c r="AH437" s="100">
        <f t="shared" si="450"/>
        <v>0</v>
      </c>
      <c r="AI437" s="109"/>
      <c r="AJ437" s="108">
        <f t="shared" si="451"/>
        <v>0</v>
      </c>
      <c r="AK437" s="108">
        <f t="shared" si="452"/>
        <v>0</v>
      </c>
      <c r="AL437" s="108">
        <f t="shared" si="453"/>
        <v>0</v>
      </c>
      <c r="AN437" s="100">
        <v>15</v>
      </c>
      <c r="AO437" s="100">
        <f>H437*0.0505464480874317</f>
        <v>0</v>
      </c>
      <c r="AP437" s="100">
        <f>H437*(1-0.0505464480874317)</f>
        <v>0</v>
      </c>
      <c r="AQ437" s="111" t="s">
        <v>13</v>
      </c>
      <c r="AV437" s="100">
        <f t="shared" si="454"/>
        <v>0</v>
      </c>
      <c r="AW437" s="100">
        <f t="shared" si="455"/>
        <v>0</v>
      </c>
      <c r="AX437" s="100">
        <f t="shared" si="456"/>
        <v>0</v>
      </c>
      <c r="AY437" s="110" t="s">
        <v>1714</v>
      </c>
      <c r="AZ437" s="110" t="s">
        <v>1734</v>
      </c>
      <c r="BA437" s="109" t="s">
        <v>1737</v>
      </c>
      <c r="BC437" s="100">
        <f t="shared" si="457"/>
        <v>0</v>
      </c>
      <c r="BD437" s="100">
        <f t="shared" si="458"/>
        <v>0</v>
      </c>
      <c r="BE437" s="100">
        <v>0</v>
      </c>
      <c r="BF437" s="100">
        <f>437</f>
        <v>437</v>
      </c>
      <c r="BH437" s="108">
        <f t="shared" si="459"/>
        <v>0</v>
      </c>
      <c r="BI437" s="108">
        <f t="shared" si="460"/>
        <v>0</v>
      </c>
      <c r="BJ437" s="108">
        <f t="shared" si="461"/>
        <v>0</v>
      </c>
    </row>
    <row r="438" spans="1:62" x14ac:dyDescent="0.2">
      <c r="A438" s="117" t="s">
        <v>395</v>
      </c>
      <c r="B438" s="117" t="s">
        <v>880</v>
      </c>
      <c r="C438" s="304" t="s">
        <v>1469</v>
      </c>
      <c r="D438" s="305"/>
      <c r="E438" s="305"/>
      <c r="F438" s="117" t="s">
        <v>1647</v>
      </c>
      <c r="G438" s="116">
        <v>1.0429999999999999</v>
      </c>
      <c r="H438" s="159"/>
      <c r="I438" s="108">
        <f t="shared" si="440"/>
        <v>0</v>
      </c>
      <c r="J438" s="108">
        <f t="shared" si="441"/>
        <v>0</v>
      </c>
      <c r="K438" s="108">
        <f t="shared" si="442"/>
        <v>0</v>
      </c>
      <c r="L438" s="111" t="s">
        <v>1671</v>
      </c>
      <c r="Z438" s="100">
        <f t="shared" si="443"/>
        <v>0</v>
      </c>
      <c r="AB438" s="100">
        <f t="shared" si="444"/>
        <v>0</v>
      </c>
      <c r="AC438" s="100">
        <f t="shared" si="445"/>
        <v>0</v>
      </c>
      <c r="AD438" s="100">
        <f t="shared" si="446"/>
        <v>0</v>
      </c>
      <c r="AE438" s="100">
        <f t="shared" si="447"/>
        <v>0</v>
      </c>
      <c r="AF438" s="100">
        <f t="shared" si="448"/>
        <v>0</v>
      </c>
      <c r="AG438" s="100">
        <f t="shared" si="449"/>
        <v>0</v>
      </c>
      <c r="AH438" s="100">
        <f t="shared" si="450"/>
        <v>0</v>
      </c>
      <c r="AI438" s="109"/>
      <c r="AJ438" s="108">
        <f t="shared" si="451"/>
        <v>0</v>
      </c>
      <c r="AK438" s="108">
        <f t="shared" si="452"/>
        <v>0</v>
      </c>
      <c r="AL438" s="108">
        <f t="shared" si="453"/>
        <v>0</v>
      </c>
      <c r="AN438" s="100">
        <v>15</v>
      </c>
      <c r="AO438" s="100">
        <f>H438*1.00000541682466</f>
        <v>0</v>
      </c>
      <c r="AP438" s="100">
        <f>H438*(1-1.00000541682466)</f>
        <v>0</v>
      </c>
      <c r="AQ438" s="111" t="s">
        <v>13</v>
      </c>
      <c r="AV438" s="100">
        <f t="shared" si="454"/>
        <v>0</v>
      </c>
      <c r="AW438" s="100">
        <f t="shared" si="455"/>
        <v>0</v>
      </c>
      <c r="AX438" s="100">
        <f t="shared" si="456"/>
        <v>0</v>
      </c>
      <c r="AY438" s="110" t="s">
        <v>1714</v>
      </c>
      <c r="AZ438" s="110" t="s">
        <v>1734</v>
      </c>
      <c r="BA438" s="109" t="s">
        <v>1737</v>
      </c>
      <c r="BC438" s="100">
        <f t="shared" si="457"/>
        <v>0</v>
      </c>
      <c r="BD438" s="100">
        <f t="shared" si="458"/>
        <v>0</v>
      </c>
      <c r="BE438" s="100">
        <v>0</v>
      </c>
      <c r="BF438" s="100">
        <f>438</f>
        <v>438</v>
      </c>
      <c r="BH438" s="108">
        <f t="shared" si="459"/>
        <v>0</v>
      </c>
      <c r="BI438" s="108">
        <f t="shared" si="460"/>
        <v>0</v>
      </c>
      <c r="BJ438" s="108">
        <f t="shared" si="461"/>
        <v>0</v>
      </c>
    </row>
    <row r="439" spans="1:62" x14ac:dyDescent="0.2">
      <c r="A439" s="117" t="s">
        <v>396</v>
      </c>
      <c r="B439" s="117" t="s">
        <v>881</v>
      </c>
      <c r="C439" s="304" t="s">
        <v>1470</v>
      </c>
      <c r="D439" s="305"/>
      <c r="E439" s="305"/>
      <c r="F439" s="117" t="s">
        <v>1648</v>
      </c>
      <c r="G439" s="116">
        <v>32.53</v>
      </c>
      <c r="H439" s="159"/>
      <c r="I439" s="108">
        <f t="shared" si="440"/>
        <v>0</v>
      </c>
      <c r="J439" s="108">
        <f t="shared" si="441"/>
        <v>0</v>
      </c>
      <c r="K439" s="108">
        <f t="shared" si="442"/>
        <v>0</v>
      </c>
      <c r="L439" s="111" t="s">
        <v>1671</v>
      </c>
      <c r="Z439" s="100">
        <f t="shared" si="443"/>
        <v>0</v>
      </c>
      <c r="AB439" s="100">
        <f t="shared" si="444"/>
        <v>0</v>
      </c>
      <c r="AC439" s="100">
        <f t="shared" si="445"/>
        <v>0</v>
      </c>
      <c r="AD439" s="100">
        <f t="shared" si="446"/>
        <v>0</v>
      </c>
      <c r="AE439" s="100">
        <f t="shared" si="447"/>
        <v>0</v>
      </c>
      <c r="AF439" s="100">
        <f t="shared" si="448"/>
        <v>0</v>
      </c>
      <c r="AG439" s="100">
        <f t="shared" si="449"/>
        <v>0</v>
      </c>
      <c r="AH439" s="100">
        <f t="shared" si="450"/>
        <v>0</v>
      </c>
      <c r="AI439" s="109"/>
      <c r="AJ439" s="108">
        <f t="shared" si="451"/>
        <v>0</v>
      </c>
      <c r="AK439" s="108">
        <f t="shared" si="452"/>
        <v>0</v>
      </c>
      <c r="AL439" s="108">
        <f t="shared" si="453"/>
        <v>0</v>
      </c>
      <c r="AN439" s="100">
        <v>15</v>
      </c>
      <c r="AO439" s="100">
        <f>H439*0</f>
        <v>0</v>
      </c>
      <c r="AP439" s="100">
        <f>H439*(1-0)</f>
        <v>0</v>
      </c>
      <c r="AQ439" s="111" t="s">
        <v>11</v>
      </c>
      <c r="AV439" s="100">
        <f t="shared" si="454"/>
        <v>0</v>
      </c>
      <c r="AW439" s="100">
        <f t="shared" si="455"/>
        <v>0</v>
      </c>
      <c r="AX439" s="100">
        <f t="shared" si="456"/>
        <v>0</v>
      </c>
      <c r="AY439" s="110" t="s">
        <v>1714</v>
      </c>
      <c r="AZ439" s="110" t="s">
        <v>1734</v>
      </c>
      <c r="BA439" s="109" t="s">
        <v>1737</v>
      </c>
      <c r="BC439" s="100">
        <f t="shared" si="457"/>
        <v>0</v>
      </c>
      <c r="BD439" s="100">
        <f t="shared" si="458"/>
        <v>0</v>
      </c>
      <c r="BE439" s="100">
        <v>0</v>
      </c>
      <c r="BF439" s="100">
        <f>439</f>
        <v>439</v>
      </c>
      <c r="BH439" s="108">
        <f t="shared" si="459"/>
        <v>0</v>
      </c>
      <c r="BI439" s="108">
        <f t="shared" si="460"/>
        <v>0</v>
      </c>
      <c r="BJ439" s="108">
        <f t="shared" si="461"/>
        <v>0</v>
      </c>
    </row>
    <row r="440" spans="1:62" x14ac:dyDescent="0.2">
      <c r="A440" s="119"/>
      <c r="B440" s="120" t="s">
        <v>882</v>
      </c>
      <c r="C440" s="306" t="s">
        <v>1471</v>
      </c>
      <c r="D440" s="307"/>
      <c r="E440" s="307"/>
      <c r="F440" s="119" t="s">
        <v>6</v>
      </c>
      <c r="G440" s="119" t="s">
        <v>6</v>
      </c>
      <c r="H440" s="119" t="s">
        <v>6</v>
      </c>
      <c r="I440" s="118">
        <f>SUM(I441:I460)</f>
        <v>0</v>
      </c>
      <c r="J440" s="118">
        <f>SUM(J441:J460)</f>
        <v>0</v>
      </c>
      <c r="K440" s="118">
        <f>SUM(K441:K460)</f>
        <v>0</v>
      </c>
      <c r="L440" s="109"/>
      <c r="AI440" s="109"/>
      <c r="AS440" s="118">
        <f>SUM(AJ441:AJ460)</f>
        <v>0</v>
      </c>
      <c r="AT440" s="118">
        <f>SUM(AK441:AK460)</f>
        <v>0</v>
      </c>
      <c r="AU440" s="118">
        <f>SUM(AL441:AL460)</f>
        <v>0</v>
      </c>
    </row>
    <row r="441" spans="1:62" x14ac:dyDescent="0.2">
      <c r="A441" s="117" t="s">
        <v>397</v>
      </c>
      <c r="B441" s="117" t="s">
        <v>883</v>
      </c>
      <c r="C441" s="304" t="s">
        <v>1472</v>
      </c>
      <c r="D441" s="305"/>
      <c r="E441" s="305"/>
      <c r="F441" s="117" t="s">
        <v>1645</v>
      </c>
      <c r="G441" s="116">
        <v>357.27</v>
      </c>
      <c r="H441" s="159"/>
      <c r="I441" s="108">
        <f t="shared" ref="I441:I460" si="462">G441*AO441</f>
        <v>0</v>
      </c>
      <c r="J441" s="108">
        <f t="shared" ref="J441:J460" si="463">G441*AP441</f>
        <v>0</v>
      </c>
      <c r="K441" s="108">
        <f t="shared" ref="K441:K460" si="464">G441*H441</f>
        <v>0</v>
      </c>
      <c r="L441" s="111" t="s">
        <v>1671</v>
      </c>
      <c r="Z441" s="100">
        <f t="shared" ref="Z441:Z460" si="465">IF(AQ441="5",BJ441,0)</f>
        <v>0</v>
      </c>
      <c r="AB441" s="100">
        <f t="shared" ref="AB441:AB460" si="466">IF(AQ441="1",BH441,0)</f>
        <v>0</v>
      </c>
      <c r="AC441" s="100">
        <f t="shared" ref="AC441:AC460" si="467">IF(AQ441="1",BI441,0)</f>
        <v>0</v>
      </c>
      <c r="AD441" s="100">
        <f t="shared" ref="AD441:AD460" si="468">IF(AQ441="7",BH441,0)</f>
        <v>0</v>
      </c>
      <c r="AE441" s="100">
        <f t="shared" ref="AE441:AE460" si="469">IF(AQ441="7",BI441,0)</f>
        <v>0</v>
      </c>
      <c r="AF441" s="100">
        <f t="shared" ref="AF441:AF460" si="470">IF(AQ441="2",BH441,0)</f>
        <v>0</v>
      </c>
      <c r="AG441" s="100">
        <f t="shared" ref="AG441:AG460" si="471">IF(AQ441="2",BI441,0)</f>
        <v>0</v>
      </c>
      <c r="AH441" s="100">
        <f t="shared" ref="AH441:AH460" si="472">IF(AQ441="0",BJ441,0)</f>
        <v>0</v>
      </c>
      <c r="AI441" s="109"/>
      <c r="AJ441" s="108">
        <f t="shared" ref="AJ441:AJ460" si="473">IF(AN441=0,K441,0)</f>
        <v>0</v>
      </c>
      <c r="AK441" s="108">
        <f t="shared" ref="AK441:AK460" si="474">IF(AN441=15,K441,0)</f>
        <v>0</v>
      </c>
      <c r="AL441" s="108">
        <f t="shared" ref="AL441:AL460" si="475">IF(AN441=21,K441,0)</f>
        <v>0</v>
      </c>
      <c r="AN441" s="100">
        <v>15</v>
      </c>
      <c r="AO441" s="100">
        <f>H441*0</f>
        <v>0</v>
      </c>
      <c r="AP441" s="100">
        <f>H441*(1-0)</f>
        <v>0</v>
      </c>
      <c r="AQ441" s="111" t="s">
        <v>13</v>
      </c>
      <c r="AV441" s="100">
        <f t="shared" ref="AV441:AV460" si="476">AW441+AX441</f>
        <v>0</v>
      </c>
      <c r="AW441" s="100">
        <f t="shared" ref="AW441:AW460" si="477">G441*AO441</f>
        <v>0</v>
      </c>
      <c r="AX441" s="100">
        <f t="shared" ref="AX441:AX460" si="478">G441*AP441</f>
        <v>0</v>
      </c>
      <c r="AY441" s="110" t="s">
        <v>1715</v>
      </c>
      <c r="AZ441" s="110" t="s">
        <v>1734</v>
      </c>
      <c r="BA441" s="109" t="s">
        <v>1737</v>
      </c>
      <c r="BC441" s="100">
        <f t="shared" ref="BC441:BC460" si="479">AW441+AX441</f>
        <v>0</v>
      </c>
      <c r="BD441" s="100">
        <f t="shared" ref="BD441:BD460" si="480">H441/(100-BE441)*100</f>
        <v>0</v>
      </c>
      <c r="BE441" s="100">
        <v>0</v>
      </c>
      <c r="BF441" s="100">
        <f>441</f>
        <v>441</v>
      </c>
      <c r="BH441" s="108">
        <f t="shared" ref="BH441:BH460" si="481">G441*AO441</f>
        <v>0</v>
      </c>
      <c r="BI441" s="108">
        <f t="shared" ref="BI441:BI460" si="482">G441*AP441</f>
        <v>0</v>
      </c>
      <c r="BJ441" s="108">
        <f t="shared" ref="BJ441:BJ460" si="483">G441*H441</f>
        <v>0</v>
      </c>
    </row>
    <row r="442" spans="1:62" x14ac:dyDescent="0.2">
      <c r="A442" s="117" t="s">
        <v>398</v>
      </c>
      <c r="B442" s="117" t="s">
        <v>884</v>
      </c>
      <c r="C442" s="304" t="s">
        <v>1473</v>
      </c>
      <c r="D442" s="305"/>
      <c r="E442" s="305"/>
      <c r="F442" s="117" t="s">
        <v>1646</v>
      </c>
      <c r="G442" s="116">
        <v>106</v>
      </c>
      <c r="H442" s="159"/>
      <c r="I442" s="108">
        <f t="shared" si="462"/>
        <v>0</v>
      </c>
      <c r="J442" s="108">
        <f t="shared" si="463"/>
        <v>0</v>
      </c>
      <c r="K442" s="108">
        <f t="shared" si="464"/>
        <v>0</v>
      </c>
      <c r="L442" s="111" t="s">
        <v>1671</v>
      </c>
      <c r="Z442" s="100">
        <f t="shared" si="465"/>
        <v>0</v>
      </c>
      <c r="AB442" s="100">
        <f t="shared" si="466"/>
        <v>0</v>
      </c>
      <c r="AC442" s="100">
        <f t="shared" si="467"/>
        <v>0</v>
      </c>
      <c r="AD442" s="100">
        <f t="shared" si="468"/>
        <v>0</v>
      </c>
      <c r="AE442" s="100">
        <f t="shared" si="469"/>
        <v>0</v>
      </c>
      <c r="AF442" s="100">
        <f t="shared" si="470"/>
        <v>0</v>
      </c>
      <c r="AG442" s="100">
        <f t="shared" si="471"/>
        <v>0</v>
      </c>
      <c r="AH442" s="100">
        <f t="shared" si="472"/>
        <v>0</v>
      </c>
      <c r="AI442" s="109"/>
      <c r="AJ442" s="108">
        <f t="shared" si="473"/>
        <v>0</v>
      </c>
      <c r="AK442" s="108">
        <f t="shared" si="474"/>
        <v>0</v>
      </c>
      <c r="AL442" s="108">
        <f t="shared" si="475"/>
        <v>0</v>
      </c>
      <c r="AN442" s="100">
        <v>15</v>
      </c>
      <c r="AO442" s="100">
        <f>H442*0</f>
        <v>0</v>
      </c>
      <c r="AP442" s="100">
        <f>H442*(1-0)</f>
        <v>0</v>
      </c>
      <c r="AQ442" s="111" t="s">
        <v>13</v>
      </c>
      <c r="AV442" s="100">
        <f t="shared" si="476"/>
        <v>0</v>
      </c>
      <c r="AW442" s="100">
        <f t="shared" si="477"/>
        <v>0</v>
      </c>
      <c r="AX442" s="100">
        <f t="shared" si="478"/>
        <v>0</v>
      </c>
      <c r="AY442" s="110" t="s">
        <v>1715</v>
      </c>
      <c r="AZ442" s="110" t="s">
        <v>1734</v>
      </c>
      <c r="BA442" s="109" t="s">
        <v>1737</v>
      </c>
      <c r="BC442" s="100">
        <f t="shared" si="479"/>
        <v>0</v>
      </c>
      <c r="BD442" s="100">
        <f t="shared" si="480"/>
        <v>0</v>
      </c>
      <c r="BE442" s="100">
        <v>0</v>
      </c>
      <c r="BF442" s="100">
        <f>442</f>
        <v>442</v>
      </c>
      <c r="BH442" s="108">
        <f t="shared" si="481"/>
        <v>0</v>
      </c>
      <c r="BI442" s="108">
        <f t="shared" si="482"/>
        <v>0</v>
      </c>
      <c r="BJ442" s="108">
        <f t="shared" si="483"/>
        <v>0</v>
      </c>
    </row>
    <row r="443" spans="1:62" x14ac:dyDescent="0.2">
      <c r="A443" s="117" t="s">
        <v>399</v>
      </c>
      <c r="B443" s="117" t="s">
        <v>885</v>
      </c>
      <c r="C443" s="304" t="s">
        <v>1474</v>
      </c>
      <c r="D443" s="305"/>
      <c r="E443" s="305"/>
      <c r="F443" s="117" t="s">
        <v>1645</v>
      </c>
      <c r="G443" s="116">
        <v>1.952</v>
      </c>
      <c r="H443" s="159"/>
      <c r="I443" s="108">
        <f t="shared" si="462"/>
        <v>0</v>
      </c>
      <c r="J443" s="108">
        <f t="shared" si="463"/>
        <v>0</v>
      </c>
      <c r="K443" s="108">
        <f t="shared" si="464"/>
        <v>0</v>
      </c>
      <c r="L443" s="111" t="s">
        <v>1671</v>
      </c>
      <c r="Z443" s="100">
        <f t="shared" si="465"/>
        <v>0</v>
      </c>
      <c r="AB443" s="100">
        <f t="shared" si="466"/>
        <v>0</v>
      </c>
      <c r="AC443" s="100">
        <f t="shared" si="467"/>
        <v>0</v>
      </c>
      <c r="AD443" s="100">
        <f t="shared" si="468"/>
        <v>0</v>
      </c>
      <c r="AE443" s="100">
        <f t="shared" si="469"/>
        <v>0</v>
      </c>
      <c r="AF443" s="100">
        <f t="shared" si="470"/>
        <v>0</v>
      </c>
      <c r="AG443" s="100">
        <f t="shared" si="471"/>
        <v>0</v>
      </c>
      <c r="AH443" s="100">
        <f t="shared" si="472"/>
        <v>0</v>
      </c>
      <c r="AI443" s="109"/>
      <c r="AJ443" s="108">
        <f t="shared" si="473"/>
        <v>0</v>
      </c>
      <c r="AK443" s="108">
        <f t="shared" si="474"/>
        <v>0</v>
      </c>
      <c r="AL443" s="108">
        <f t="shared" si="475"/>
        <v>0</v>
      </c>
      <c r="AN443" s="100">
        <v>15</v>
      </c>
      <c r="AO443" s="100">
        <f>H443*0</f>
        <v>0</v>
      </c>
      <c r="AP443" s="100">
        <f>H443*(1-0)</f>
        <v>0</v>
      </c>
      <c r="AQ443" s="111" t="s">
        <v>13</v>
      </c>
      <c r="AV443" s="100">
        <f t="shared" si="476"/>
        <v>0</v>
      </c>
      <c r="AW443" s="100">
        <f t="shared" si="477"/>
        <v>0</v>
      </c>
      <c r="AX443" s="100">
        <f t="shared" si="478"/>
        <v>0</v>
      </c>
      <c r="AY443" s="110" t="s">
        <v>1715</v>
      </c>
      <c r="AZ443" s="110" t="s">
        <v>1734</v>
      </c>
      <c r="BA443" s="109" t="s">
        <v>1737</v>
      </c>
      <c r="BC443" s="100">
        <f t="shared" si="479"/>
        <v>0</v>
      </c>
      <c r="BD443" s="100">
        <f t="shared" si="480"/>
        <v>0</v>
      </c>
      <c r="BE443" s="100">
        <v>0</v>
      </c>
      <c r="BF443" s="100">
        <f>443</f>
        <v>443</v>
      </c>
      <c r="BH443" s="108">
        <f t="shared" si="481"/>
        <v>0</v>
      </c>
      <c r="BI443" s="108">
        <f t="shared" si="482"/>
        <v>0</v>
      </c>
      <c r="BJ443" s="108">
        <f t="shared" si="483"/>
        <v>0</v>
      </c>
    </row>
    <row r="444" spans="1:62" x14ac:dyDescent="0.2">
      <c r="A444" s="117" t="s">
        <v>400</v>
      </c>
      <c r="B444" s="117" t="s">
        <v>886</v>
      </c>
      <c r="C444" s="304" t="s">
        <v>1475</v>
      </c>
      <c r="D444" s="305"/>
      <c r="E444" s="305"/>
      <c r="F444" s="117" t="s">
        <v>1646</v>
      </c>
      <c r="G444" s="116">
        <v>64.5</v>
      </c>
      <c r="H444" s="159"/>
      <c r="I444" s="108">
        <f t="shared" si="462"/>
        <v>0</v>
      </c>
      <c r="J444" s="108">
        <f t="shared" si="463"/>
        <v>0</v>
      </c>
      <c r="K444" s="108">
        <f t="shared" si="464"/>
        <v>0</v>
      </c>
      <c r="L444" s="111" t="s">
        <v>1671</v>
      </c>
      <c r="Z444" s="100">
        <f t="shared" si="465"/>
        <v>0</v>
      </c>
      <c r="AB444" s="100">
        <f t="shared" si="466"/>
        <v>0</v>
      </c>
      <c r="AC444" s="100">
        <f t="shared" si="467"/>
        <v>0</v>
      </c>
      <c r="AD444" s="100">
        <f t="shared" si="468"/>
        <v>0</v>
      </c>
      <c r="AE444" s="100">
        <f t="shared" si="469"/>
        <v>0</v>
      </c>
      <c r="AF444" s="100">
        <f t="shared" si="470"/>
        <v>0</v>
      </c>
      <c r="AG444" s="100">
        <f t="shared" si="471"/>
        <v>0</v>
      </c>
      <c r="AH444" s="100">
        <f t="shared" si="472"/>
        <v>0</v>
      </c>
      <c r="AI444" s="109"/>
      <c r="AJ444" s="108">
        <f t="shared" si="473"/>
        <v>0</v>
      </c>
      <c r="AK444" s="108">
        <f t="shared" si="474"/>
        <v>0</v>
      </c>
      <c r="AL444" s="108">
        <f t="shared" si="475"/>
        <v>0</v>
      </c>
      <c r="AN444" s="100">
        <v>15</v>
      </c>
      <c r="AO444" s="100">
        <f>H444*0</f>
        <v>0</v>
      </c>
      <c r="AP444" s="100">
        <f>H444*(1-0)</f>
        <v>0</v>
      </c>
      <c r="AQ444" s="111" t="s">
        <v>13</v>
      </c>
      <c r="AV444" s="100">
        <f t="shared" si="476"/>
        <v>0</v>
      </c>
      <c r="AW444" s="100">
        <f t="shared" si="477"/>
        <v>0</v>
      </c>
      <c r="AX444" s="100">
        <f t="shared" si="478"/>
        <v>0</v>
      </c>
      <c r="AY444" s="110" t="s">
        <v>1715</v>
      </c>
      <c r="AZ444" s="110" t="s">
        <v>1734</v>
      </c>
      <c r="BA444" s="109" t="s">
        <v>1737</v>
      </c>
      <c r="BC444" s="100">
        <f t="shared" si="479"/>
        <v>0</v>
      </c>
      <c r="BD444" s="100">
        <f t="shared" si="480"/>
        <v>0</v>
      </c>
      <c r="BE444" s="100">
        <v>0</v>
      </c>
      <c r="BF444" s="100">
        <f>444</f>
        <v>444</v>
      </c>
      <c r="BH444" s="108">
        <f t="shared" si="481"/>
        <v>0</v>
      </c>
      <c r="BI444" s="108">
        <f t="shared" si="482"/>
        <v>0</v>
      </c>
      <c r="BJ444" s="108">
        <f t="shared" si="483"/>
        <v>0</v>
      </c>
    </row>
    <row r="445" spans="1:62" x14ac:dyDescent="0.2">
      <c r="A445" s="117" t="s">
        <v>401</v>
      </c>
      <c r="B445" s="117" t="s">
        <v>887</v>
      </c>
      <c r="C445" s="304" t="s">
        <v>1476</v>
      </c>
      <c r="D445" s="305"/>
      <c r="E445" s="305"/>
      <c r="F445" s="117" t="s">
        <v>1644</v>
      </c>
      <c r="G445" s="116">
        <v>4</v>
      </c>
      <c r="H445" s="159"/>
      <c r="I445" s="108">
        <f t="shared" si="462"/>
        <v>0</v>
      </c>
      <c r="J445" s="108">
        <f t="shared" si="463"/>
        <v>0</v>
      </c>
      <c r="K445" s="108">
        <f t="shared" si="464"/>
        <v>0</v>
      </c>
      <c r="L445" s="111" t="s">
        <v>1671</v>
      </c>
      <c r="Z445" s="100">
        <f t="shared" si="465"/>
        <v>0</v>
      </c>
      <c r="AB445" s="100">
        <f t="shared" si="466"/>
        <v>0</v>
      </c>
      <c r="AC445" s="100">
        <f t="shared" si="467"/>
        <v>0</v>
      </c>
      <c r="AD445" s="100">
        <f t="shared" si="468"/>
        <v>0</v>
      </c>
      <c r="AE445" s="100">
        <f t="shared" si="469"/>
        <v>0</v>
      </c>
      <c r="AF445" s="100">
        <f t="shared" si="470"/>
        <v>0</v>
      </c>
      <c r="AG445" s="100">
        <f t="shared" si="471"/>
        <v>0</v>
      </c>
      <c r="AH445" s="100">
        <f t="shared" si="472"/>
        <v>0</v>
      </c>
      <c r="AI445" s="109"/>
      <c r="AJ445" s="108">
        <f t="shared" si="473"/>
        <v>0</v>
      </c>
      <c r="AK445" s="108">
        <f t="shared" si="474"/>
        <v>0</v>
      </c>
      <c r="AL445" s="108">
        <f t="shared" si="475"/>
        <v>0</v>
      </c>
      <c r="AN445" s="100">
        <v>15</v>
      </c>
      <c r="AO445" s="100">
        <f>H445*0</f>
        <v>0</v>
      </c>
      <c r="AP445" s="100">
        <f>H445*(1-0)</f>
        <v>0</v>
      </c>
      <c r="AQ445" s="111" t="s">
        <v>13</v>
      </c>
      <c r="AV445" s="100">
        <f t="shared" si="476"/>
        <v>0</v>
      </c>
      <c r="AW445" s="100">
        <f t="shared" si="477"/>
        <v>0</v>
      </c>
      <c r="AX445" s="100">
        <f t="shared" si="478"/>
        <v>0</v>
      </c>
      <c r="AY445" s="110" t="s">
        <v>1715</v>
      </c>
      <c r="AZ445" s="110" t="s">
        <v>1734</v>
      </c>
      <c r="BA445" s="109" t="s">
        <v>1737</v>
      </c>
      <c r="BC445" s="100">
        <f t="shared" si="479"/>
        <v>0</v>
      </c>
      <c r="BD445" s="100">
        <f t="shared" si="480"/>
        <v>0</v>
      </c>
      <c r="BE445" s="100">
        <v>0</v>
      </c>
      <c r="BF445" s="100">
        <f>445</f>
        <v>445</v>
      </c>
      <c r="BH445" s="108">
        <f t="shared" si="481"/>
        <v>0</v>
      </c>
      <c r="BI445" s="108">
        <f t="shared" si="482"/>
        <v>0</v>
      </c>
      <c r="BJ445" s="108">
        <f t="shared" si="483"/>
        <v>0</v>
      </c>
    </row>
    <row r="446" spans="1:62" x14ac:dyDescent="0.2">
      <c r="A446" s="117" t="s">
        <v>402</v>
      </c>
      <c r="B446" s="117" t="s">
        <v>888</v>
      </c>
      <c r="C446" s="304" t="s">
        <v>1477</v>
      </c>
      <c r="D446" s="305"/>
      <c r="E446" s="305"/>
      <c r="F446" s="117" t="s">
        <v>1644</v>
      </c>
      <c r="G446" s="116">
        <v>1</v>
      </c>
      <c r="H446" s="159"/>
      <c r="I446" s="108">
        <f t="shared" si="462"/>
        <v>0</v>
      </c>
      <c r="J446" s="108">
        <f t="shared" si="463"/>
        <v>0</v>
      </c>
      <c r="K446" s="108">
        <f t="shared" si="464"/>
        <v>0</v>
      </c>
      <c r="L446" s="111" t="s">
        <v>1671</v>
      </c>
      <c r="Z446" s="100">
        <f t="shared" si="465"/>
        <v>0</v>
      </c>
      <c r="AB446" s="100">
        <f t="shared" si="466"/>
        <v>0</v>
      </c>
      <c r="AC446" s="100">
        <f t="shared" si="467"/>
        <v>0</v>
      </c>
      <c r="AD446" s="100">
        <f t="shared" si="468"/>
        <v>0</v>
      </c>
      <c r="AE446" s="100">
        <f t="shared" si="469"/>
        <v>0</v>
      </c>
      <c r="AF446" s="100">
        <f t="shared" si="470"/>
        <v>0</v>
      </c>
      <c r="AG446" s="100">
        <f t="shared" si="471"/>
        <v>0</v>
      </c>
      <c r="AH446" s="100">
        <f t="shared" si="472"/>
        <v>0</v>
      </c>
      <c r="AI446" s="109"/>
      <c r="AJ446" s="108">
        <f t="shared" si="473"/>
        <v>0</v>
      </c>
      <c r="AK446" s="108">
        <f t="shared" si="474"/>
        <v>0</v>
      </c>
      <c r="AL446" s="108">
        <f t="shared" si="475"/>
        <v>0</v>
      </c>
      <c r="AN446" s="100">
        <v>15</v>
      </c>
      <c r="AO446" s="100">
        <f>H446*0.270879136690647</f>
        <v>0</v>
      </c>
      <c r="AP446" s="100">
        <f>H446*(1-0.270879136690647)</f>
        <v>0</v>
      </c>
      <c r="AQ446" s="111" t="s">
        <v>13</v>
      </c>
      <c r="AV446" s="100">
        <f t="shared" si="476"/>
        <v>0</v>
      </c>
      <c r="AW446" s="100">
        <f t="shared" si="477"/>
        <v>0</v>
      </c>
      <c r="AX446" s="100">
        <f t="shared" si="478"/>
        <v>0</v>
      </c>
      <c r="AY446" s="110" t="s">
        <v>1715</v>
      </c>
      <c r="AZ446" s="110" t="s">
        <v>1734</v>
      </c>
      <c r="BA446" s="109" t="s">
        <v>1737</v>
      </c>
      <c r="BC446" s="100">
        <f t="shared" si="479"/>
        <v>0</v>
      </c>
      <c r="BD446" s="100">
        <f t="shared" si="480"/>
        <v>0</v>
      </c>
      <c r="BE446" s="100">
        <v>0</v>
      </c>
      <c r="BF446" s="100">
        <f>446</f>
        <v>446</v>
      </c>
      <c r="BH446" s="108">
        <f t="shared" si="481"/>
        <v>0</v>
      </c>
      <c r="BI446" s="108">
        <f t="shared" si="482"/>
        <v>0</v>
      </c>
      <c r="BJ446" s="108">
        <f t="shared" si="483"/>
        <v>0</v>
      </c>
    </row>
    <row r="447" spans="1:62" x14ac:dyDescent="0.2">
      <c r="A447" s="117" t="s">
        <v>403</v>
      </c>
      <c r="B447" s="117" t="s">
        <v>889</v>
      </c>
      <c r="C447" s="304" t="s">
        <v>1478</v>
      </c>
      <c r="D447" s="305"/>
      <c r="E447" s="305"/>
      <c r="F447" s="117" t="s">
        <v>1646</v>
      </c>
      <c r="G447" s="116">
        <v>37.799999999999997</v>
      </c>
      <c r="H447" s="159"/>
      <c r="I447" s="108">
        <f t="shared" si="462"/>
        <v>0</v>
      </c>
      <c r="J447" s="108">
        <f t="shared" si="463"/>
        <v>0</v>
      </c>
      <c r="K447" s="108">
        <f t="shared" si="464"/>
        <v>0</v>
      </c>
      <c r="L447" s="111" t="s">
        <v>1671</v>
      </c>
      <c r="Z447" s="100">
        <f t="shared" si="465"/>
        <v>0</v>
      </c>
      <c r="AB447" s="100">
        <f t="shared" si="466"/>
        <v>0</v>
      </c>
      <c r="AC447" s="100">
        <f t="shared" si="467"/>
        <v>0</v>
      </c>
      <c r="AD447" s="100">
        <f t="shared" si="468"/>
        <v>0</v>
      </c>
      <c r="AE447" s="100">
        <f t="shared" si="469"/>
        <v>0</v>
      </c>
      <c r="AF447" s="100">
        <f t="shared" si="470"/>
        <v>0</v>
      </c>
      <c r="AG447" s="100">
        <f t="shared" si="471"/>
        <v>0</v>
      </c>
      <c r="AH447" s="100">
        <f t="shared" si="472"/>
        <v>0</v>
      </c>
      <c r="AI447" s="109"/>
      <c r="AJ447" s="108">
        <f t="shared" si="473"/>
        <v>0</v>
      </c>
      <c r="AK447" s="108">
        <f t="shared" si="474"/>
        <v>0</v>
      </c>
      <c r="AL447" s="108">
        <f t="shared" si="475"/>
        <v>0</v>
      </c>
      <c r="AN447" s="100">
        <v>15</v>
      </c>
      <c r="AO447" s="100">
        <f>H447*0.28170135170443</f>
        <v>0</v>
      </c>
      <c r="AP447" s="100">
        <f>H447*(1-0.28170135170443)</f>
        <v>0</v>
      </c>
      <c r="AQ447" s="111" t="s">
        <v>13</v>
      </c>
      <c r="AV447" s="100">
        <f t="shared" si="476"/>
        <v>0</v>
      </c>
      <c r="AW447" s="100">
        <f t="shared" si="477"/>
        <v>0</v>
      </c>
      <c r="AX447" s="100">
        <f t="shared" si="478"/>
        <v>0</v>
      </c>
      <c r="AY447" s="110" t="s">
        <v>1715</v>
      </c>
      <c r="AZ447" s="110" t="s">
        <v>1734</v>
      </c>
      <c r="BA447" s="109" t="s">
        <v>1737</v>
      </c>
      <c r="BC447" s="100">
        <f t="shared" si="479"/>
        <v>0</v>
      </c>
      <c r="BD447" s="100">
        <f t="shared" si="480"/>
        <v>0</v>
      </c>
      <c r="BE447" s="100">
        <v>0</v>
      </c>
      <c r="BF447" s="100">
        <f>447</f>
        <v>447</v>
      </c>
      <c r="BH447" s="108">
        <f t="shared" si="481"/>
        <v>0</v>
      </c>
      <c r="BI447" s="108">
        <f t="shared" si="482"/>
        <v>0</v>
      </c>
      <c r="BJ447" s="108">
        <f t="shared" si="483"/>
        <v>0</v>
      </c>
    </row>
    <row r="448" spans="1:62" x14ac:dyDescent="0.2">
      <c r="A448" s="117" t="s">
        <v>404</v>
      </c>
      <c r="B448" s="117" t="s">
        <v>890</v>
      </c>
      <c r="C448" s="304" t="s">
        <v>1479</v>
      </c>
      <c r="D448" s="305"/>
      <c r="E448" s="305"/>
      <c r="F448" s="117" t="s">
        <v>1646</v>
      </c>
      <c r="G448" s="116">
        <v>9.6</v>
      </c>
      <c r="H448" s="159"/>
      <c r="I448" s="108">
        <f t="shared" si="462"/>
        <v>0</v>
      </c>
      <c r="J448" s="108">
        <f t="shared" si="463"/>
        <v>0</v>
      </c>
      <c r="K448" s="108">
        <f t="shared" si="464"/>
        <v>0</v>
      </c>
      <c r="L448" s="111" t="s">
        <v>1671</v>
      </c>
      <c r="Z448" s="100">
        <f t="shared" si="465"/>
        <v>0</v>
      </c>
      <c r="AB448" s="100">
        <f t="shared" si="466"/>
        <v>0</v>
      </c>
      <c r="AC448" s="100">
        <f t="shared" si="467"/>
        <v>0</v>
      </c>
      <c r="AD448" s="100">
        <f t="shared" si="468"/>
        <v>0</v>
      </c>
      <c r="AE448" s="100">
        <f t="shared" si="469"/>
        <v>0</v>
      </c>
      <c r="AF448" s="100">
        <f t="shared" si="470"/>
        <v>0</v>
      </c>
      <c r="AG448" s="100">
        <f t="shared" si="471"/>
        <v>0</v>
      </c>
      <c r="AH448" s="100">
        <f t="shared" si="472"/>
        <v>0</v>
      </c>
      <c r="AI448" s="109"/>
      <c r="AJ448" s="108">
        <f t="shared" si="473"/>
        <v>0</v>
      </c>
      <c r="AK448" s="108">
        <f t="shared" si="474"/>
        <v>0</v>
      </c>
      <c r="AL448" s="108">
        <f t="shared" si="475"/>
        <v>0</v>
      </c>
      <c r="AN448" s="100">
        <v>15</v>
      </c>
      <c r="AO448" s="100">
        <f>H448*0.31016318537859</f>
        <v>0</v>
      </c>
      <c r="AP448" s="100">
        <f>H448*(1-0.31016318537859)</f>
        <v>0</v>
      </c>
      <c r="AQ448" s="111" t="s">
        <v>13</v>
      </c>
      <c r="AV448" s="100">
        <f t="shared" si="476"/>
        <v>0</v>
      </c>
      <c r="AW448" s="100">
        <f t="shared" si="477"/>
        <v>0</v>
      </c>
      <c r="AX448" s="100">
        <f t="shared" si="478"/>
        <v>0</v>
      </c>
      <c r="AY448" s="110" t="s">
        <v>1715</v>
      </c>
      <c r="AZ448" s="110" t="s">
        <v>1734</v>
      </c>
      <c r="BA448" s="109" t="s">
        <v>1737</v>
      </c>
      <c r="BC448" s="100">
        <f t="shared" si="479"/>
        <v>0</v>
      </c>
      <c r="BD448" s="100">
        <f t="shared" si="480"/>
        <v>0</v>
      </c>
      <c r="BE448" s="100">
        <v>0</v>
      </c>
      <c r="BF448" s="100">
        <f>448</f>
        <v>448</v>
      </c>
      <c r="BH448" s="108">
        <f t="shared" si="481"/>
        <v>0</v>
      </c>
      <c r="BI448" s="108">
        <f t="shared" si="482"/>
        <v>0</v>
      </c>
      <c r="BJ448" s="108">
        <f t="shared" si="483"/>
        <v>0</v>
      </c>
    </row>
    <row r="449" spans="1:62" x14ac:dyDescent="0.2">
      <c r="A449" s="117" t="s">
        <v>405</v>
      </c>
      <c r="B449" s="117" t="s">
        <v>891</v>
      </c>
      <c r="C449" s="304" t="s">
        <v>1480</v>
      </c>
      <c r="D449" s="305"/>
      <c r="E449" s="305"/>
      <c r="F449" s="117" t="s">
        <v>1646</v>
      </c>
      <c r="G449" s="116">
        <v>36</v>
      </c>
      <c r="H449" s="159"/>
      <c r="I449" s="108">
        <f t="shared" si="462"/>
        <v>0</v>
      </c>
      <c r="J449" s="108">
        <f t="shared" si="463"/>
        <v>0</v>
      </c>
      <c r="K449" s="108">
        <f t="shared" si="464"/>
        <v>0</v>
      </c>
      <c r="L449" s="111" t="s">
        <v>1671</v>
      </c>
      <c r="Z449" s="100">
        <f t="shared" si="465"/>
        <v>0</v>
      </c>
      <c r="AB449" s="100">
        <f t="shared" si="466"/>
        <v>0</v>
      </c>
      <c r="AC449" s="100">
        <f t="shared" si="467"/>
        <v>0</v>
      </c>
      <c r="AD449" s="100">
        <f t="shared" si="468"/>
        <v>0</v>
      </c>
      <c r="AE449" s="100">
        <f t="shared" si="469"/>
        <v>0</v>
      </c>
      <c r="AF449" s="100">
        <f t="shared" si="470"/>
        <v>0</v>
      </c>
      <c r="AG449" s="100">
        <f t="shared" si="471"/>
        <v>0</v>
      </c>
      <c r="AH449" s="100">
        <f t="shared" si="472"/>
        <v>0</v>
      </c>
      <c r="AI449" s="109"/>
      <c r="AJ449" s="108">
        <f t="shared" si="473"/>
        <v>0</v>
      </c>
      <c r="AK449" s="108">
        <f t="shared" si="474"/>
        <v>0</v>
      </c>
      <c r="AL449" s="108">
        <f t="shared" si="475"/>
        <v>0</v>
      </c>
      <c r="AN449" s="100">
        <v>15</v>
      </c>
      <c r="AO449" s="100">
        <f>H449*0</f>
        <v>0</v>
      </c>
      <c r="AP449" s="100">
        <f>H449*(1-0)</f>
        <v>0</v>
      </c>
      <c r="AQ449" s="111" t="s">
        <v>13</v>
      </c>
      <c r="AV449" s="100">
        <f t="shared" si="476"/>
        <v>0</v>
      </c>
      <c r="AW449" s="100">
        <f t="shared" si="477"/>
        <v>0</v>
      </c>
      <c r="AX449" s="100">
        <f t="shared" si="478"/>
        <v>0</v>
      </c>
      <c r="AY449" s="110" t="s">
        <v>1715</v>
      </c>
      <c r="AZ449" s="110" t="s">
        <v>1734</v>
      </c>
      <c r="BA449" s="109" t="s">
        <v>1737</v>
      </c>
      <c r="BC449" s="100">
        <f t="shared" si="479"/>
        <v>0</v>
      </c>
      <c r="BD449" s="100">
        <f t="shared" si="480"/>
        <v>0</v>
      </c>
      <c r="BE449" s="100">
        <v>0</v>
      </c>
      <c r="BF449" s="100">
        <f>449</f>
        <v>449</v>
      </c>
      <c r="BH449" s="108">
        <f t="shared" si="481"/>
        <v>0</v>
      </c>
      <c r="BI449" s="108">
        <f t="shared" si="482"/>
        <v>0</v>
      </c>
      <c r="BJ449" s="108">
        <f t="shared" si="483"/>
        <v>0</v>
      </c>
    </row>
    <row r="450" spans="1:62" x14ac:dyDescent="0.2">
      <c r="A450" s="117" t="s">
        <v>406</v>
      </c>
      <c r="B450" s="117" t="s">
        <v>892</v>
      </c>
      <c r="C450" s="304" t="s">
        <v>1481</v>
      </c>
      <c r="D450" s="305"/>
      <c r="E450" s="305"/>
      <c r="F450" s="117" t="s">
        <v>1646</v>
      </c>
      <c r="G450" s="116">
        <v>31</v>
      </c>
      <c r="H450" s="159"/>
      <c r="I450" s="108">
        <f t="shared" si="462"/>
        <v>0</v>
      </c>
      <c r="J450" s="108">
        <f t="shared" si="463"/>
        <v>0</v>
      </c>
      <c r="K450" s="108">
        <f t="shared" si="464"/>
        <v>0</v>
      </c>
      <c r="L450" s="111" t="s">
        <v>1671</v>
      </c>
      <c r="Z450" s="100">
        <f t="shared" si="465"/>
        <v>0</v>
      </c>
      <c r="AB450" s="100">
        <f t="shared" si="466"/>
        <v>0</v>
      </c>
      <c r="AC450" s="100">
        <f t="shared" si="467"/>
        <v>0</v>
      </c>
      <c r="AD450" s="100">
        <f t="shared" si="468"/>
        <v>0</v>
      </c>
      <c r="AE450" s="100">
        <f t="shared" si="469"/>
        <v>0</v>
      </c>
      <c r="AF450" s="100">
        <f t="shared" si="470"/>
        <v>0</v>
      </c>
      <c r="AG450" s="100">
        <f t="shared" si="471"/>
        <v>0</v>
      </c>
      <c r="AH450" s="100">
        <f t="shared" si="472"/>
        <v>0</v>
      </c>
      <c r="AI450" s="109"/>
      <c r="AJ450" s="108">
        <f t="shared" si="473"/>
        <v>0</v>
      </c>
      <c r="AK450" s="108">
        <f t="shared" si="474"/>
        <v>0</v>
      </c>
      <c r="AL450" s="108">
        <f t="shared" si="475"/>
        <v>0</v>
      </c>
      <c r="AN450" s="100">
        <v>15</v>
      </c>
      <c r="AO450" s="100">
        <f>H450*0</f>
        <v>0</v>
      </c>
      <c r="AP450" s="100">
        <f>H450*(1-0)</f>
        <v>0</v>
      </c>
      <c r="AQ450" s="111" t="s">
        <v>13</v>
      </c>
      <c r="AV450" s="100">
        <f t="shared" si="476"/>
        <v>0</v>
      </c>
      <c r="AW450" s="100">
        <f t="shared" si="477"/>
        <v>0</v>
      </c>
      <c r="AX450" s="100">
        <f t="shared" si="478"/>
        <v>0</v>
      </c>
      <c r="AY450" s="110" t="s">
        <v>1715</v>
      </c>
      <c r="AZ450" s="110" t="s">
        <v>1734</v>
      </c>
      <c r="BA450" s="109" t="s">
        <v>1737</v>
      </c>
      <c r="BC450" s="100">
        <f t="shared" si="479"/>
        <v>0</v>
      </c>
      <c r="BD450" s="100">
        <f t="shared" si="480"/>
        <v>0</v>
      </c>
      <c r="BE450" s="100">
        <v>0</v>
      </c>
      <c r="BF450" s="100">
        <f>450</f>
        <v>450</v>
      </c>
      <c r="BH450" s="108">
        <f t="shared" si="481"/>
        <v>0</v>
      </c>
      <c r="BI450" s="108">
        <f t="shared" si="482"/>
        <v>0</v>
      </c>
      <c r="BJ450" s="108">
        <f t="shared" si="483"/>
        <v>0</v>
      </c>
    </row>
    <row r="451" spans="1:62" x14ac:dyDescent="0.2">
      <c r="A451" s="117" t="s">
        <v>407</v>
      </c>
      <c r="B451" s="117" t="s">
        <v>893</v>
      </c>
      <c r="C451" s="304" t="s">
        <v>1482</v>
      </c>
      <c r="D451" s="305"/>
      <c r="E451" s="305"/>
      <c r="F451" s="117" t="s">
        <v>1646</v>
      </c>
      <c r="G451" s="116">
        <v>64.5</v>
      </c>
      <c r="H451" s="159"/>
      <c r="I451" s="108">
        <f t="shared" si="462"/>
        <v>0</v>
      </c>
      <c r="J451" s="108">
        <f t="shared" si="463"/>
        <v>0</v>
      </c>
      <c r="K451" s="108">
        <f t="shared" si="464"/>
        <v>0</v>
      </c>
      <c r="L451" s="111" t="s">
        <v>1671</v>
      </c>
      <c r="Z451" s="100">
        <f t="shared" si="465"/>
        <v>0</v>
      </c>
      <c r="AB451" s="100">
        <f t="shared" si="466"/>
        <v>0</v>
      </c>
      <c r="AC451" s="100">
        <f t="shared" si="467"/>
        <v>0</v>
      </c>
      <c r="AD451" s="100">
        <f t="shared" si="468"/>
        <v>0</v>
      </c>
      <c r="AE451" s="100">
        <f t="shared" si="469"/>
        <v>0</v>
      </c>
      <c r="AF451" s="100">
        <f t="shared" si="470"/>
        <v>0</v>
      </c>
      <c r="AG451" s="100">
        <f t="shared" si="471"/>
        <v>0</v>
      </c>
      <c r="AH451" s="100">
        <f t="shared" si="472"/>
        <v>0</v>
      </c>
      <c r="AI451" s="109"/>
      <c r="AJ451" s="108">
        <f t="shared" si="473"/>
        <v>0</v>
      </c>
      <c r="AK451" s="108">
        <f t="shared" si="474"/>
        <v>0</v>
      </c>
      <c r="AL451" s="108">
        <f t="shared" si="475"/>
        <v>0</v>
      </c>
      <c r="AN451" s="100">
        <v>15</v>
      </c>
      <c r="AO451" s="100">
        <f>H451*0.603371428571429</f>
        <v>0</v>
      </c>
      <c r="AP451" s="100">
        <f>H451*(1-0.603371428571429)</f>
        <v>0</v>
      </c>
      <c r="AQ451" s="111" t="s">
        <v>13</v>
      </c>
      <c r="AV451" s="100">
        <f t="shared" si="476"/>
        <v>0</v>
      </c>
      <c r="AW451" s="100">
        <f t="shared" si="477"/>
        <v>0</v>
      </c>
      <c r="AX451" s="100">
        <f t="shared" si="478"/>
        <v>0</v>
      </c>
      <c r="AY451" s="110" t="s">
        <v>1715</v>
      </c>
      <c r="AZ451" s="110" t="s">
        <v>1734</v>
      </c>
      <c r="BA451" s="109" t="s">
        <v>1737</v>
      </c>
      <c r="BC451" s="100">
        <f t="shared" si="479"/>
        <v>0</v>
      </c>
      <c r="BD451" s="100">
        <f t="shared" si="480"/>
        <v>0</v>
      </c>
      <c r="BE451" s="100">
        <v>0</v>
      </c>
      <c r="BF451" s="100">
        <f>451</f>
        <v>451</v>
      </c>
      <c r="BH451" s="108">
        <f t="shared" si="481"/>
        <v>0</v>
      </c>
      <c r="BI451" s="108">
        <f t="shared" si="482"/>
        <v>0</v>
      </c>
      <c r="BJ451" s="108">
        <f t="shared" si="483"/>
        <v>0</v>
      </c>
    </row>
    <row r="452" spans="1:62" x14ac:dyDescent="0.2">
      <c r="A452" s="117" t="s">
        <v>408</v>
      </c>
      <c r="B452" s="117" t="s">
        <v>894</v>
      </c>
      <c r="C452" s="304" t="s">
        <v>1483</v>
      </c>
      <c r="D452" s="305"/>
      <c r="E452" s="305"/>
      <c r="F452" s="117" t="s">
        <v>1644</v>
      </c>
      <c r="G452" s="116">
        <v>4</v>
      </c>
      <c r="H452" s="159"/>
      <c r="I452" s="108">
        <f t="shared" si="462"/>
        <v>0</v>
      </c>
      <c r="J452" s="108">
        <f t="shared" si="463"/>
        <v>0</v>
      </c>
      <c r="K452" s="108">
        <f t="shared" si="464"/>
        <v>0</v>
      </c>
      <c r="L452" s="111" t="s">
        <v>1671</v>
      </c>
      <c r="Z452" s="100">
        <f t="shared" si="465"/>
        <v>0</v>
      </c>
      <c r="AB452" s="100">
        <f t="shared" si="466"/>
        <v>0</v>
      </c>
      <c r="AC452" s="100">
        <f t="shared" si="467"/>
        <v>0</v>
      </c>
      <c r="AD452" s="100">
        <f t="shared" si="468"/>
        <v>0</v>
      </c>
      <c r="AE452" s="100">
        <f t="shared" si="469"/>
        <v>0</v>
      </c>
      <c r="AF452" s="100">
        <f t="shared" si="470"/>
        <v>0</v>
      </c>
      <c r="AG452" s="100">
        <f t="shared" si="471"/>
        <v>0</v>
      </c>
      <c r="AH452" s="100">
        <f t="shared" si="472"/>
        <v>0</v>
      </c>
      <c r="AI452" s="109"/>
      <c r="AJ452" s="108">
        <f t="shared" si="473"/>
        <v>0</v>
      </c>
      <c r="AK452" s="108">
        <f t="shared" si="474"/>
        <v>0</v>
      </c>
      <c r="AL452" s="108">
        <f t="shared" si="475"/>
        <v>0</v>
      </c>
      <c r="AN452" s="100">
        <v>15</v>
      </c>
      <c r="AO452" s="100">
        <f>H452*0.568224852071006</f>
        <v>0</v>
      </c>
      <c r="AP452" s="100">
        <f>H452*(1-0.568224852071006)</f>
        <v>0</v>
      </c>
      <c r="AQ452" s="111" t="s">
        <v>13</v>
      </c>
      <c r="AV452" s="100">
        <f t="shared" si="476"/>
        <v>0</v>
      </c>
      <c r="AW452" s="100">
        <f t="shared" si="477"/>
        <v>0</v>
      </c>
      <c r="AX452" s="100">
        <f t="shared" si="478"/>
        <v>0</v>
      </c>
      <c r="AY452" s="110" t="s">
        <v>1715</v>
      </c>
      <c r="AZ452" s="110" t="s">
        <v>1734</v>
      </c>
      <c r="BA452" s="109" t="s">
        <v>1737</v>
      </c>
      <c r="BC452" s="100">
        <f t="shared" si="479"/>
        <v>0</v>
      </c>
      <c r="BD452" s="100">
        <f t="shared" si="480"/>
        <v>0</v>
      </c>
      <c r="BE452" s="100">
        <v>0</v>
      </c>
      <c r="BF452" s="100">
        <f>452</f>
        <v>452</v>
      </c>
      <c r="BH452" s="108">
        <f t="shared" si="481"/>
        <v>0</v>
      </c>
      <c r="BI452" s="108">
        <f t="shared" si="482"/>
        <v>0</v>
      </c>
      <c r="BJ452" s="108">
        <f t="shared" si="483"/>
        <v>0</v>
      </c>
    </row>
    <row r="453" spans="1:62" x14ac:dyDescent="0.2">
      <c r="A453" s="117" t="s">
        <v>409</v>
      </c>
      <c r="B453" s="117" t="s">
        <v>895</v>
      </c>
      <c r="C453" s="304" t="s">
        <v>1484</v>
      </c>
      <c r="D453" s="305"/>
      <c r="E453" s="305"/>
      <c r="F453" s="117" t="s">
        <v>1646</v>
      </c>
      <c r="G453" s="116">
        <v>31</v>
      </c>
      <c r="H453" s="159"/>
      <c r="I453" s="108">
        <f t="shared" si="462"/>
        <v>0</v>
      </c>
      <c r="J453" s="108">
        <f t="shared" si="463"/>
        <v>0</v>
      </c>
      <c r="K453" s="108">
        <f t="shared" si="464"/>
        <v>0</v>
      </c>
      <c r="L453" s="111" t="s">
        <v>1671</v>
      </c>
      <c r="Z453" s="100">
        <f t="shared" si="465"/>
        <v>0</v>
      </c>
      <c r="AB453" s="100">
        <f t="shared" si="466"/>
        <v>0</v>
      </c>
      <c r="AC453" s="100">
        <f t="shared" si="467"/>
        <v>0</v>
      </c>
      <c r="AD453" s="100">
        <f t="shared" si="468"/>
        <v>0</v>
      </c>
      <c r="AE453" s="100">
        <f t="shared" si="469"/>
        <v>0</v>
      </c>
      <c r="AF453" s="100">
        <f t="shared" si="470"/>
        <v>0</v>
      </c>
      <c r="AG453" s="100">
        <f t="shared" si="471"/>
        <v>0</v>
      </c>
      <c r="AH453" s="100">
        <f t="shared" si="472"/>
        <v>0</v>
      </c>
      <c r="AI453" s="109"/>
      <c r="AJ453" s="108">
        <f t="shared" si="473"/>
        <v>0</v>
      </c>
      <c r="AK453" s="108">
        <f t="shared" si="474"/>
        <v>0</v>
      </c>
      <c r="AL453" s="108">
        <f t="shared" si="475"/>
        <v>0</v>
      </c>
      <c r="AN453" s="100">
        <v>15</v>
      </c>
      <c r="AO453" s="100">
        <f>H453*0.772046783625731</f>
        <v>0</v>
      </c>
      <c r="AP453" s="100">
        <f>H453*(1-0.772046783625731)</f>
        <v>0</v>
      </c>
      <c r="AQ453" s="111" t="s">
        <v>13</v>
      </c>
      <c r="AV453" s="100">
        <f t="shared" si="476"/>
        <v>0</v>
      </c>
      <c r="AW453" s="100">
        <f t="shared" si="477"/>
        <v>0</v>
      </c>
      <c r="AX453" s="100">
        <f t="shared" si="478"/>
        <v>0</v>
      </c>
      <c r="AY453" s="110" t="s">
        <v>1715</v>
      </c>
      <c r="AZ453" s="110" t="s">
        <v>1734</v>
      </c>
      <c r="BA453" s="109" t="s">
        <v>1737</v>
      </c>
      <c r="BC453" s="100">
        <f t="shared" si="479"/>
        <v>0</v>
      </c>
      <c r="BD453" s="100">
        <f t="shared" si="480"/>
        <v>0</v>
      </c>
      <c r="BE453" s="100">
        <v>0</v>
      </c>
      <c r="BF453" s="100">
        <f>453</f>
        <v>453</v>
      </c>
      <c r="BH453" s="108">
        <f t="shared" si="481"/>
        <v>0</v>
      </c>
      <c r="BI453" s="108">
        <f t="shared" si="482"/>
        <v>0</v>
      </c>
      <c r="BJ453" s="108">
        <f t="shared" si="483"/>
        <v>0</v>
      </c>
    </row>
    <row r="454" spans="1:62" x14ac:dyDescent="0.2">
      <c r="A454" s="117" t="s">
        <v>410</v>
      </c>
      <c r="B454" s="117" t="s">
        <v>896</v>
      </c>
      <c r="C454" s="304" t="s">
        <v>2690</v>
      </c>
      <c r="D454" s="305"/>
      <c r="E454" s="305"/>
      <c r="F454" s="117" t="s">
        <v>1646</v>
      </c>
      <c r="G454" s="116">
        <v>106</v>
      </c>
      <c r="H454" s="159"/>
      <c r="I454" s="108">
        <f t="shared" si="462"/>
        <v>0</v>
      </c>
      <c r="J454" s="108">
        <f t="shared" si="463"/>
        <v>0</v>
      </c>
      <c r="K454" s="108">
        <f t="shared" si="464"/>
        <v>0</v>
      </c>
      <c r="L454" s="111" t="s">
        <v>1671</v>
      </c>
      <c r="Z454" s="100">
        <f t="shared" si="465"/>
        <v>0</v>
      </c>
      <c r="AB454" s="100">
        <f t="shared" si="466"/>
        <v>0</v>
      </c>
      <c r="AC454" s="100">
        <f t="shared" si="467"/>
        <v>0</v>
      </c>
      <c r="AD454" s="100">
        <f t="shared" si="468"/>
        <v>0</v>
      </c>
      <c r="AE454" s="100">
        <f t="shared" si="469"/>
        <v>0</v>
      </c>
      <c r="AF454" s="100">
        <f t="shared" si="470"/>
        <v>0</v>
      </c>
      <c r="AG454" s="100">
        <f t="shared" si="471"/>
        <v>0</v>
      </c>
      <c r="AH454" s="100">
        <f t="shared" si="472"/>
        <v>0</v>
      </c>
      <c r="AI454" s="109"/>
      <c r="AJ454" s="108">
        <f t="shared" si="473"/>
        <v>0</v>
      </c>
      <c r="AK454" s="108">
        <f t="shared" si="474"/>
        <v>0</v>
      </c>
      <c r="AL454" s="108">
        <f t="shared" si="475"/>
        <v>0</v>
      </c>
      <c r="AN454" s="100">
        <v>15</v>
      </c>
      <c r="AO454" s="100">
        <f>H454*0.816326164874552</f>
        <v>0</v>
      </c>
      <c r="AP454" s="100">
        <f>H454*(1-0.816326164874552)</f>
        <v>0</v>
      </c>
      <c r="AQ454" s="111" t="s">
        <v>13</v>
      </c>
      <c r="AV454" s="100">
        <f t="shared" si="476"/>
        <v>0</v>
      </c>
      <c r="AW454" s="100">
        <f t="shared" si="477"/>
        <v>0</v>
      </c>
      <c r="AX454" s="100">
        <f t="shared" si="478"/>
        <v>0</v>
      </c>
      <c r="AY454" s="110" t="s">
        <v>1715</v>
      </c>
      <c r="AZ454" s="110" t="s">
        <v>1734</v>
      </c>
      <c r="BA454" s="109" t="s">
        <v>1737</v>
      </c>
      <c r="BC454" s="100">
        <f t="shared" si="479"/>
        <v>0</v>
      </c>
      <c r="BD454" s="100">
        <f t="shared" si="480"/>
        <v>0</v>
      </c>
      <c r="BE454" s="100">
        <v>0</v>
      </c>
      <c r="BF454" s="100">
        <f>454</f>
        <v>454</v>
      </c>
      <c r="BH454" s="108">
        <f t="shared" si="481"/>
        <v>0</v>
      </c>
      <c r="BI454" s="108">
        <f t="shared" si="482"/>
        <v>0</v>
      </c>
      <c r="BJ454" s="108">
        <f t="shared" si="483"/>
        <v>0</v>
      </c>
    </row>
    <row r="455" spans="1:62" x14ac:dyDescent="0.2">
      <c r="A455" s="117" t="s">
        <v>411</v>
      </c>
      <c r="B455" s="117" t="s">
        <v>897</v>
      </c>
      <c r="C455" s="304" t="s">
        <v>1486</v>
      </c>
      <c r="D455" s="305"/>
      <c r="E455" s="305"/>
      <c r="F455" s="117" t="s">
        <v>1646</v>
      </c>
      <c r="G455" s="116">
        <v>6.2</v>
      </c>
      <c r="H455" s="159"/>
      <c r="I455" s="108">
        <f t="shared" si="462"/>
        <v>0</v>
      </c>
      <c r="J455" s="108">
        <f t="shared" si="463"/>
        <v>0</v>
      </c>
      <c r="K455" s="108">
        <f t="shared" si="464"/>
        <v>0</v>
      </c>
      <c r="L455" s="111" t="s">
        <v>1671</v>
      </c>
      <c r="Z455" s="100">
        <f t="shared" si="465"/>
        <v>0</v>
      </c>
      <c r="AB455" s="100">
        <f t="shared" si="466"/>
        <v>0</v>
      </c>
      <c r="AC455" s="100">
        <f t="shared" si="467"/>
        <v>0</v>
      </c>
      <c r="AD455" s="100">
        <f t="shared" si="468"/>
        <v>0</v>
      </c>
      <c r="AE455" s="100">
        <f t="shared" si="469"/>
        <v>0</v>
      </c>
      <c r="AF455" s="100">
        <f t="shared" si="470"/>
        <v>0</v>
      </c>
      <c r="AG455" s="100">
        <f t="shared" si="471"/>
        <v>0</v>
      </c>
      <c r="AH455" s="100">
        <f t="shared" si="472"/>
        <v>0</v>
      </c>
      <c r="AI455" s="109"/>
      <c r="AJ455" s="108">
        <f t="shared" si="473"/>
        <v>0</v>
      </c>
      <c r="AK455" s="108">
        <f t="shared" si="474"/>
        <v>0</v>
      </c>
      <c r="AL455" s="108">
        <f t="shared" si="475"/>
        <v>0</v>
      </c>
      <c r="AN455" s="100">
        <v>15</v>
      </c>
      <c r="AO455" s="100">
        <f>H455*0.816325503355705</f>
        <v>0</v>
      </c>
      <c r="AP455" s="100">
        <f>H455*(1-0.816325503355705)</f>
        <v>0</v>
      </c>
      <c r="AQ455" s="111" t="s">
        <v>13</v>
      </c>
      <c r="AV455" s="100">
        <f t="shared" si="476"/>
        <v>0</v>
      </c>
      <c r="AW455" s="100">
        <f t="shared" si="477"/>
        <v>0</v>
      </c>
      <c r="AX455" s="100">
        <f t="shared" si="478"/>
        <v>0</v>
      </c>
      <c r="AY455" s="110" t="s">
        <v>1715</v>
      </c>
      <c r="AZ455" s="110" t="s">
        <v>1734</v>
      </c>
      <c r="BA455" s="109" t="s">
        <v>1737</v>
      </c>
      <c r="BC455" s="100">
        <f t="shared" si="479"/>
        <v>0</v>
      </c>
      <c r="BD455" s="100">
        <f t="shared" si="480"/>
        <v>0</v>
      </c>
      <c r="BE455" s="100">
        <v>0</v>
      </c>
      <c r="BF455" s="100">
        <f>455</f>
        <v>455</v>
      </c>
      <c r="BH455" s="108">
        <f t="shared" si="481"/>
        <v>0</v>
      </c>
      <c r="BI455" s="108">
        <f t="shared" si="482"/>
        <v>0</v>
      </c>
      <c r="BJ455" s="108">
        <f t="shared" si="483"/>
        <v>0</v>
      </c>
    </row>
    <row r="456" spans="1:62" x14ac:dyDescent="0.2">
      <c r="A456" s="117" t="s">
        <v>412</v>
      </c>
      <c r="B456" s="117" t="s">
        <v>898</v>
      </c>
      <c r="C456" s="304" t="s">
        <v>1487</v>
      </c>
      <c r="D456" s="305"/>
      <c r="E456" s="305"/>
      <c r="F456" s="117" t="s">
        <v>1646</v>
      </c>
      <c r="G456" s="116">
        <v>3.2</v>
      </c>
      <c r="H456" s="159"/>
      <c r="I456" s="108">
        <f t="shared" si="462"/>
        <v>0</v>
      </c>
      <c r="J456" s="108">
        <f t="shared" si="463"/>
        <v>0</v>
      </c>
      <c r="K456" s="108">
        <f t="shared" si="464"/>
        <v>0</v>
      </c>
      <c r="L456" s="111" t="s">
        <v>1671</v>
      </c>
      <c r="Z456" s="100">
        <f t="shared" si="465"/>
        <v>0</v>
      </c>
      <c r="AB456" s="100">
        <f t="shared" si="466"/>
        <v>0</v>
      </c>
      <c r="AC456" s="100">
        <f t="shared" si="467"/>
        <v>0</v>
      </c>
      <c r="AD456" s="100">
        <f t="shared" si="468"/>
        <v>0</v>
      </c>
      <c r="AE456" s="100">
        <f t="shared" si="469"/>
        <v>0</v>
      </c>
      <c r="AF456" s="100">
        <f t="shared" si="470"/>
        <v>0</v>
      </c>
      <c r="AG456" s="100">
        <f t="shared" si="471"/>
        <v>0</v>
      </c>
      <c r="AH456" s="100">
        <f t="shared" si="472"/>
        <v>0</v>
      </c>
      <c r="AI456" s="109"/>
      <c r="AJ456" s="108">
        <f t="shared" si="473"/>
        <v>0</v>
      </c>
      <c r="AK456" s="108">
        <f t="shared" si="474"/>
        <v>0</v>
      </c>
      <c r="AL456" s="108">
        <f t="shared" si="475"/>
        <v>0</v>
      </c>
      <c r="AN456" s="100">
        <v>15</v>
      </c>
      <c r="AO456" s="100">
        <f>H456*0.816330128205128</f>
        <v>0</v>
      </c>
      <c r="AP456" s="100">
        <f>H456*(1-0.816330128205128)</f>
        <v>0</v>
      </c>
      <c r="AQ456" s="111" t="s">
        <v>13</v>
      </c>
      <c r="AV456" s="100">
        <f t="shared" si="476"/>
        <v>0</v>
      </c>
      <c r="AW456" s="100">
        <f t="shared" si="477"/>
        <v>0</v>
      </c>
      <c r="AX456" s="100">
        <f t="shared" si="478"/>
        <v>0</v>
      </c>
      <c r="AY456" s="110" t="s">
        <v>1715</v>
      </c>
      <c r="AZ456" s="110" t="s">
        <v>1734</v>
      </c>
      <c r="BA456" s="109" t="s">
        <v>1737</v>
      </c>
      <c r="BC456" s="100">
        <f t="shared" si="479"/>
        <v>0</v>
      </c>
      <c r="BD456" s="100">
        <f t="shared" si="480"/>
        <v>0</v>
      </c>
      <c r="BE456" s="100">
        <v>0</v>
      </c>
      <c r="BF456" s="100">
        <f>456</f>
        <v>456</v>
      </c>
      <c r="BH456" s="108">
        <f t="shared" si="481"/>
        <v>0</v>
      </c>
      <c r="BI456" s="108">
        <f t="shared" si="482"/>
        <v>0</v>
      </c>
      <c r="BJ456" s="108">
        <f t="shared" si="483"/>
        <v>0</v>
      </c>
    </row>
    <row r="457" spans="1:62" x14ac:dyDescent="0.2">
      <c r="A457" s="117" t="s">
        <v>413</v>
      </c>
      <c r="B457" s="117" t="s">
        <v>899</v>
      </c>
      <c r="C457" s="304" t="s">
        <v>1488</v>
      </c>
      <c r="D457" s="305"/>
      <c r="E457" s="305"/>
      <c r="F457" s="117" t="s">
        <v>1646</v>
      </c>
      <c r="G457" s="116">
        <v>31.18</v>
      </c>
      <c r="H457" s="159"/>
      <c r="I457" s="108">
        <f t="shared" si="462"/>
        <v>0</v>
      </c>
      <c r="J457" s="108">
        <f t="shared" si="463"/>
        <v>0</v>
      </c>
      <c r="K457" s="108">
        <f t="shared" si="464"/>
        <v>0</v>
      </c>
      <c r="L457" s="111" t="s">
        <v>1671</v>
      </c>
      <c r="Z457" s="100">
        <f t="shared" si="465"/>
        <v>0</v>
      </c>
      <c r="AB457" s="100">
        <f t="shared" si="466"/>
        <v>0</v>
      </c>
      <c r="AC457" s="100">
        <f t="shared" si="467"/>
        <v>0</v>
      </c>
      <c r="AD457" s="100">
        <f t="shared" si="468"/>
        <v>0</v>
      </c>
      <c r="AE457" s="100">
        <f t="shared" si="469"/>
        <v>0</v>
      </c>
      <c r="AF457" s="100">
        <f t="shared" si="470"/>
        <v>0</v>
      </c>
      <c r="AG457" s="100">
        <f t="shared" si="471"/>
        <v>0</v>
      </c>
      <c r="AH457" s="100">
        <f t="shared" si="472"/>
        <v>0</v>
      </c>
      <c r="AI457" s="109"/>
      <c r="AJ457" s="108">
        <f t="shared" si="473"/>
        <v>0</v>
      </c>
      <c r="AK457" s="108">
        <f t="shared" si="474"/>
        <v>0</v>
      </c>
      <c r="AL457" s="108">
        <f t="shared" si="475"/>
        <v>0</v>
      </c>
      <c r="AN457" s="100">
        <v>15</v>
      </c>
      <c r="AO457" s="100">
        <f>H457*0.857614814814815</f>
        <v>0</v>
      </c>
      <c r="AP457" s="100">
        <f>H457*(1-0.857614814814815)</f>
        <v>0</v>
      </c>
      <c r="AQ457" s="111" t="s">
        <v>13</v>
      </c>
      <c r="AV457" s="100">
        <f t="shared" si="476"/>
        <v>0</v>
      </c>
      <c r="AW457" s="100">
        <f t="shared" si="477"/>
        <v>0</v>
      </c>
      <c r="AX457" s="100">
        <f t="shared" si="478"/>
        <v>0</v>
      </c>
      <c r="AY457" s="110" t="s">
        <v>1715</v>
      </c>
      <c r="AZ457" s="110" t="s">
        <v>1734</v>
      </c>
      <c r="BA457" s="109" t="s">
        <v>1737</v>
      </c>
      <c r="BC457" s="100">
        <f t="shared" si="479"/>
        <v>0</v>
      </c>
      <c r="BD457" s="100">
        <f t="shared" si="480"/>
        <v>0</v>
      </c>
      <c r="BE457" s="100">
        <v>0</v>
      </c>
      <c r="BF457" s="100">
        <f>457</f>
        <v>457</v>
      </c>
      <c r="BH457" s="108">
        <f t="shared" si="481"/>
        <v>0</v>
      </c>
      <c r="BI457" s="108">
        <f t="shared" si="482"/>
        <v>0</v>
      </c>
      <c r="BJ457" s="108">
        <f t="shared" si="483"/>
        <v>0</v>
      </c>
    </row>
    <row r="458" spans="1:62" x14ac:dyDescent="0.2">
      <c r="A458" s="117" t="s">
        <v>414</v>
      </c>
      <c r="B458" s="117" t="s">
        <v>900</v>
      </c>
      <c r="C458" s="304" t="s">
        <v>1489</v>
      </c>
      <c r="D458" s="305"/>
      <c r="E458" s="305"/>
      <c r="F458" s="117" t="s">
        <v>1646</v>
      </c>
      <c r="G458" s="116">
        <v>31.18</v>
      </c>
      <c r="H458" s="159"/>
      <c r="I458" s="108">
        <f t="shared" si="462"/>
        <v>0</v>
      </c>
      <c r="J458" s="108">
        <f t="shared" si="463"/>
        <v>0</v>
      </c>
      <c r="K458" s="108">
        <f t="shared" si="464"/>
        <v>0</v>
      </c>
      <c r="L458" s="111" t="s">
        <v>1671</v>
      </c>
      <c r="Z458" s="100">
        <f t="shared" si="465"/>
        <v>0</v>
      </c>
      <c r="AB458" s="100">
        <f t="shared" si="466"/>
        <v>0</v>
      </c>
      <c r="AC458" s="100">
        <f t="shared" si="467"/>
        <v>0</v>
      </c>
      <c r="AD458" s="100">
        <f t="shared" si="468"/>
        <v>0</v>
      </c>
      <c r="AE458" s="100">
        <f t="shared" si="469"/>
        <v>0</v>
      </c>
      <c r="AF458" s="100">
        <f t="shared" si="470"/>
        <v>0</v>
      </c>
      <c r="AG458" s="100">
        <f t="shared" si="471"/>
        <v>0</v>
      </c>
      <c r="AH458" s="100">
        <f t="shared" si="472"/>
        <v>0</v>
      </c>
      <c r="AI458" s="109"/>
      <c r="AJ458" s="108">
        <f t="shared" si="473"/>
        <v>0</v>
      </c>
      <c r="AK458" s="108">
        <f t="shared" si="474"/>
        <v>0</v>
      </c>
      <c r="AL458" s="108">
        <f t="shared" si="475"/>
        <v>0</v>
      </c>
      <c r="AN458" s="100">
        <v>15</v>
      </c>
      <c r="AO458" s="100">
        <f>H458*0.417402597402597</f>
        <v>0</v>
      </c>
      <c r="AP458" s="100">
        <f>H458*(1-0.417402597402597)</f>
        <v>0</v>
      </c>
      <c r="AQ458" s="111" t="s">
        <v>13</v>
      </c>
      <c r="AV458" s="100">
        <f t="shared" si="476"/>
        <v>0</v>
      </c>
      <c r="AW458" s="100">
        <f t="shared" si="477"/>
        <v>0</v>
      </c>
      <c r="AX458" s="100">
        <f t="shared" si="478"/>
        <v>0</v>
      </c>
      <c r="AY458" s="110" t="s">
        <v>1715</v>
      </c>
      <c r="AZ458" s="110" t="s">
        <v>1734</v>
      </c>
      <c r="BA458" s="109" t="s">
        <v>1737</v>
      </c>
      <c r="BC458" s="100">
        <f t="shared" si="479"/>
        <v>0</v>
      </c>
      <c r="BD458" s="100">
        <f t="shared" si="480"/>
        <v>0</v>
      </c>
      <c r="BE458" s="100">
        <v>0</v>
      </c>
      <c r="BF458" s="100">
        <f>458</f>
        <v>458</v>
      </c>
      <c r="BH458" s="108">
        <f t="shared" si="481"/>
        <v>0</v>
      </c>
      <c r="BI458" s="108">
        <f t="shared" si="482"/>
        <v>0</v>
      </c>
      <c r="BJ458" s="108">
        <f t="shared" si="483"/>
        <v>0</v>
      </c>
    </row>
    <row r="459" spans="1:62" x14ac:dyDescent="0.2">
      <c r="A459" s="117" t="s">
        <v>415</v>
      </c>
      <c r="B459" s="117" t="s">
        <v>901</v>
      </c>
      <c r="C459" s="304" t="s">
        <v>1490</v>
      </c>
      <c r="D459" s="305"/>
      <c r="E459" s="305"/>
      <c r="F459" s="117" t="s">
        <v>1646</v>
      </c>
      <c r="G459" s="116">
        <v>64.5</v>
      </c>
      <c r="H459" s="159"/>
      <c r="I459" s="108">
        <f t="shared" si="462"/>
        <v>0</v>
      </c>
      <c r="J459" s="108">
        <f t="shared" si="463"/>
        <v>0</v>
      </c>
      <c r="K459" s="108">
        <f t="shared" si="464"/>
        <v>0</v>
      </c>
      <c r="L459" s="111" t="s">
        <v>1671</v>
      </c>
      <c r="Z459" s="100">
        <f t="shared" si="465"/>
        <v>0</v>
      </c>
      <c r="AB459" s="100">
        <f t="shared" si="466"/>
        <v>0</v>
      </c>
      <c r="AC459" s="100">
        <f t="shared" si="467"/>
        <v>0</v>
      </c>
      <c r="AD459" s="100">
        <f t="shared" si="468"/>
        <v>0</v>
      </c>
      <c r="AE459" s="100">
        <f t="shared" si="469"/>
        <v>0</v>
      </c>
      <c r="AF459" s="100">
        <f t="shared" si="470"/>
        <v>0</v>
      </c>
      <c r="AG459" s="100">
        <f t="shared" si="471"/>
        <v>0</v>
      </c>
      <c r="AH459" s="100">
        <f t="shared" si="472"/>
        <v>0</v>
      </c>
      <c r="AI459" s="109"/>
      <c r="AJ459" s="108">
        <f t="shared" si="473"/>
        <v>0</v>
      </c>
      <c r="AK459" s="108">
        <f t="shared" si="474"/>
        <v>0</v>
      </c>
      <c r="AL459" s="108">
        <f t="shared" si="475"/>
        <v>0</v>
      </c>
      <c r="AN459" s="100">
        <v>15</v>
      </c>
      <c r="AO459" s="100">
        <f>H459*0.41738255033557</f>
        <v>0</v>
      </c>
      <c r="AP459" s="100">
        <f>H459*(1-0.41738255033557)</f>
        <v>0</v>
      </c>
      <c r="AQ459" s="111" t="s">
        <v>13</v>
      </c>
      <c r="AV459" s="100">
        <f t="shared" si="476"/>
        <v>0</v>
      </c>
      <c r="AW459" s="100">
        <f t="shared" si="477"/>
        <v>0</v>
      </c>
      <c r="AX459" s="100">
        <f t="shared" si="478"/>
        <v>0</v>
      </c>
      <c r="AY459" s="110" t="s">
        <v>1715</v>
      </c>
      <c r="AZ459" s="110" t="s">
        <v>1734</v>
      </c>
      <c r="BA459" s="109" t="s">
        <v>1737</v>
      </c>
      <c r="BC459" s="100">
        <f t="shared" si="479"/>
        <v>0</v>
      </c>
      <c r="BD459" s="100">
        <f t="shared" si="480"/>
        <v>0</v>
      </c>
      <c r="BE459" s="100">
        <v>0</v>
      </c>
      <c r="BF459" s="100">
        <f>459</f>
        <v>459</v>
      </c>
      <c r="BH459" s="108">
        <f t="shared" si="481"/>
        <v>0</v>
      </c>
      <c r="BI459" s="108">
        <f t="shared" si="482"/>
        <v>0</v>
      </c>
      <c r="BJ459" s="108">
        <f t="shared" si="483"/>
        <v>0</v>
      </c>
    </row>
    <row r="460" spans="1:62" x14ac:dyDescent="0.2">
      <c r="A460" s="117" t="s">
        <v>416</v>
      </c>
      <c r="B460" s="117" t="s">
        <v>902</v>
      </c>
      <c r="C460" s="304" t="s">
        <v>1491</v>
      </c>
      <c r="D460" s="305"/>
      <c r="E460" s="305"/>
      <c r="F460" s="117" t="s">
        <v>1648</v>
      </c>
      <c r="G460" s="116">
        <v>4.6790000000000003</v>
      </c>
      <c r="H460" s="159"/>
      <c r="I460" s="108">
        <f t="shared" si="462"/>
        <v>0</v>
      </c>
      <c r="J460" s="108">
        <f t="shared" si="463"/>
        <v>0</v>
      </c>
      <c r="K460" s="108">
        <f t="shared" si="464"/>
        <v>0</v>
      </c>
      <c r="L460" s="111" t="s">
        <v>1671</v>
      </c>
      <c r="Z460" s="100">
        <f t="shared" si="465"/>
        <v>0</v>
      </c>
      <c r="AB460" s="100">
        <f t="shared" si="466"/>
        <v>0</v>
      </c>
      <c r="AC460" s="100">
        <f t="shared" si="467"/>
        <v>0</v>
      </c>
      <c r="AD460" s="100">
        <f t="shared" si="468"/>
        <v>0</v>
      </c>
      <c r="AE460" s="100">
        <f t="shared" si="469"/>
        <v>0</v>
      </c>
      <c r="AF460" s="100">
        <f t="shared" si="470"/>
        <v>0</v>
      </c>
      <c r="AG460" s="100">
        <f t="shared" si="471"/>
        <v>0</v>
      </c>
      <c r="AH460" s="100">
        <f t="shared" si="472"/>
        <v>0</v>
      </c>
      <c r="AI460" s="109"/>
      <c r="AJ460" s="108">
        <f t="shared" si="473"/>
        <v>0</v>
      </c>
      <c r="AK460" s="108">
        <f t="shared" si="474"/>
        <v>0</v>
      </c>
      <c r="AL460" s="108">
        <f t="shared" si="475"/>
        <v>0</v>
      </c>
      <c r="AN460" s="100">
        <v>15</v>
      </c>
      <c r="AO460" s="100">
        <f>H460*0</f>
        <v>0</v>
      </c>
      <c r="AP460" s="100">
        <f>H460*(1-0)</f>
        <v>0</v>
      </c>
      <c r="AQ460" s="111" t="s">
        <v>11</v>
      </c>
      <c r="AV460" s="100">
        <f t="shared" si="476"/>
        <v>0</v>
      </c>
      <c r="AW460" s="100">
        <f t="shared" si="477"/>
        <v>0</v>
      </c>
      <c r="AX460" s="100">
        <f t="shared" si="478"/>
        <v>0</v>
      </c>
      <c r="AY460" s="110" t="s">
        <v>1715</v>
      </c>
      <c r="AZ460" s="110" t="s">
        <v>1734</v>
      </c>
      <c r="BA460" s="109" t="s">
        <v>1737</v>
      </c>
      <c r="BC460" s="100">
        <f t="shared" si="479"/>
        <v>0</v>
      </c>
      <c r="BD460" s="100">
        <f t="shared" si="480"/>
        <v>0</v>
      </c>
      <c r="BE460" s="100">
        <v>0</v>
      </c>
      <c r="BF460" s="100">
        <f>460</f>
        <v>460</v>
      </c>
      <c r="BH460" s="108">
        <f t="shared" si="481"/>
        <v>0</v>
      </c>
      <c r="BI460" s="108">
        <f t="shared" si="482"/>
        <v>0</v>
      </c>
      <c r="BJ460" s="108">
        <f t="shared" si="483"/>
        <v>0</v>
      </c>
    </row>
    <row r="461" spans="1:62" x14ac:dyDescent="0.2">
      <c r="A461" s="119"/>
      <c r="B461" s="120" t="s">
        <v>903</v>
      </c>
      <c r="C461" s="306" t="s">
        <v>1492</v>
      </c>
      <c r="D461" s="307"/>
      <c r="E461" s="307"/>
      <c r="F461" s="119" t="s">
        <v>6</v>
      </c>
      <c r="G461" s="119" t="s">
        <v>6</v>
      </c>
      <c r="H461" s="119" t="s">
        <v>6</v>
      </c>
      <c r="I461" s="118">
        <f>SUM(I462:I470)</f>
        <v>0</v>
      </c>
      <c r="J461" s="118">
        <f>SUM(J462:J470)</f>
        <v>0</v>
      </c>
      <c r="K461" s="118">
        <f>SUM(K462:K470)</f>
        <v>0</v>
      </c>
      <c r="L461" s="109"/>
      <c r="AI461" s="109"/>
      <c r="AS461" s="118">
        <f>SUM(AJ462:AJ470)</f>
        <v>0</v>
      </c>
      <c r="AT461" s="118">
        <f>SUM(AK462:AK470)</f>
        <v>0</v>
      </c>
      <c r="AU461" s="118">
        <f>SUM(AL462:AL470)</f>
        <v>0</v>
      </c>
    </row>
    <row r="462" spans="1:62" x14ac:dyDescent="0.2">
      <c r="A462" s="117" t="s">
        <v>417</v>
      </c>
      <c r="B462" s="117" t="s">
        <v>2689</v>
      </c>
      <c r="C462" s="304" t="s">
        <v>2688</v>
      </c>
      <c r="D462" s="305"/>
      <c r="E462" s="305"/>
      <c r="F462" s="117" t="s">
        <v>1646</v>
      </c>
      <c r="G462" s="116">
        <v>33</v>
      </c>
      <c r="H462" s="159"/>
      <c r="I462" s="108">
        <f t="shared" ref="I462:I470" si="484">G462*AO462</f>
        <v>0</v>
      </c>
      <c r="J462" s="108">
        <f t="shared" ref="J462:J470" si="485">G462*AP462</f>
        <v>0</v>
      </c>
      <c r="K462" s="108">
        <f t="shared" ref="K462:K470" si="486">G462*H462</f>
        <v>0</v>
      </c>
      <c r="L462" s="111" t="s">
        <v>1671</v>
      </c>
      <c r="Z462" s="100">
        <f t="shared" ref="Z462:Z470" si="487">IF(AQ462="5",BJ462,0)</f>
        <v>0</v>
      </c>
      <c r="AB462" s="100">
        <f t="shared" ref="AB462:AB470" si="488">IF(AQ462="1",BH462,0)</f>
        <v>0</v>
      </c>
      <c r="AC462" s="100">
        <f t="shared" ref="AC462:AC470" si="489">IF(AQ462="1",BI462,0)</f>
        <v>0</v>
      </c>
      <c r="AD462" s="100">
        <f t="shared" ref="AD462:AD470" si="490">IF(AQ462="7",BH462,0)</f>
        <v>0</v>
      </c>
      <c r="AE462" s="100">
        <f t="shared" ref="AE462:AE470" si="491">IF(AQ462="7",BI462,0)</f>
        <v>0</v>
      </c>
      <c r="AF462" s="100">
        <f t="shared" ref="AF462:AF470" si="492">IF(AQ462="2",BH462,0)</f>
        <v>0</v>
      </c>
      <c r="AG462" s="100">
        <f t="shared" ref="AG462:AG470" si="493">IF(AQ462="2",BI462,0)</f>
        <v>0</v>
      </c>
      <c r="AH462" s="100">
        <f t="shared" ref="AH462:AH470" si="494">IF(AQ462="0",BJ462,0)</f>
        <v>0</v>
      </c>
      <c r="AI462" s="109"/>
      <c r="AJ462" s="108">
        <f t="shared" ref="AJ462:AJ470" si="495">IF(AN462=0,K462,0)</f>
        <v>0</v>
      </c>
      <c r="AK462" s="108">
        <f t="shared" ref="AK462:AK470" si="496">IF(AN462=15,K462,0)</f>
        <v>0</v>
      </c>
      <c r="AL462" s="108">
        <f t="shared" ref="AL462:AL470" si="497">IF(AN462=21,K462,0)</f>
        <v>0</v>
      </c>
      <c r="AN462" s="100">
        <v>15</v>
      </c>
      <c r="AO462" s="100">
        <f>H462*0.461014808056706</f>
        <v>0</v>
      </c>
      <c r="AP462" s="100">
        <f>H462*(1-0.461014808056706)</f>
        <v>0</v>
      </c>
      <c r="AQ462" s="111" t="s">
        <v>13</v>
      </c>
      <c r="AV462" s="100">
        <f t="shared" ref="AV462:AV470" si="498">AW462+AX462</f>
        <v>0</v>
      </c>
      <c r="AW462" s="100">
        <f t="shared" ref="AW462:AW470" si="499">G462*AO462</f>
        <v>0</v>
      </c>
      <c r="AX462" s="100">
        <f t="shared" ref="AX462:AX470" si="500">G462*AP462</f>
        <v>0</v>
      </c>
      <c r="AY462" s="110" t="s">
        <v>1716</v>
      </c>
      <c r="AZ462" s="110" t="s">
        <v>1734</v>
      </c>
      <c r="BA462" s="109" t="s">
        <v>1737</v>
      </c>
      <c r="BC462" s="100">
        <f t="shared" ref="BC462:BC470" si="501">AW462+AX462</f>
        <v>0</v>
      </c>
      <c r="BD462" s="100">
        <f t="shared" ref="BD462:BD470" si="502">H462/(100-BE462)*100</f>
        <v>0</v>
      </c>
      <c r="BE462" s="100">
        <v>0</v>
      </c>
      <c r="BF462" s="100">
        <f>462</f>
        <v>462</v>
      </c>
      <c r="BH462" s="108">
        <f t="shared" ref="BH462:BH470" si="503">G462*AO462</f>
        <v>0</v>
      </c>
      <c r="BI462" s="108">
        <f t="shared" ref="BI462:BI470" si="504">G462*AP462</f>
        <v>0</v>
      </c>
      <c r="BJ462" s="108">
        <f t="shared" ref="BJ462:BJ470" si="505">G462*H462</f>
        <v>0</v>
      </c>
    </row>
    <row r="463" spans="1:62" x14ac:dyDescent="0.2">
      <c r="A463" s="117" t="s">
        <v>418</v>
      </c>
      <c r="B463" s="117" t="s">
        <v>2687</v>
      </c>
      <c r="C463" s="304" t="s">
        <v>2686</v>
      </c>
      <c r="D463" s="305"/>
      <c r="E463" s="305"/>
      <c r="F463" s="117" t="s">
        <v>1646</v>
      </c>
      <c r="G463" s="116">
        <v>11.4</v>
      </c>
      <c r="H463" s="159"/>
      <c r="I463" s="108">
        <f t="shared" si="484"/>
        <v>0</v>
      </c>
      <c r="J463" s="108">
        <f t="shared" si="485"/>
        <v>0</v>
      </c>
      <c r="K463" s="108">
        <f t="shared" si="486"/>
        <v>0</v>
      </c>
      <c r="L463" s="111" t="s">
        <v>1671</v>
      </c>
      <c r="Z463" s="100">
        <f t="shared" si="487"/>
        <v>0</v>
      </c>
      <c r="AB463" s="100">
        <f t="shared" si="488"/>
        <v>0</v>
      </c>
      <c r="AC463" s="100">
        <f t="shared" si="489"/>
        <v>0</v>
      </c>
      <c r="AD463" s="100">
        <f t="shared" si="490"/>
        <v>0</v>
      </c>
      <c r="AE463" s="100">
        <f t="shared" si="491"/>
        <v>0</v>
      </c>
      <c r="AF463" s="100">
        <f t="shared" si="492"/>
        <v>0</v>
      </c>
      <c r="AG463" s="100">
        <f t="shared" si="493"/>
        <v>0</v>
      </c>
      <c r="AH463" s="100">
        <f t="shared" si="494"/>
        <v>0</v>
      </c>
      <c r="AI463" s="109"/>
      <c r="AJ463" s="108">
        <f t="shared" si="495"/>
        <v>0</v>
      </c>
      <c r="AK463" s="108">
        <f t="shared" si="496"/>
        <v>0</v>
      </c>
      <c r="AL463" s="108">
        <f t="shared" si="497"/>
        <v>0</v>
      </c>
      <c r="AN463" s="100">
        <v>15</v>
      </c>
      <c r="AO463" s="100">
        <f>H463*0.40109649122807</f>
        <v>0</v>
      </c>
      <c r="AP463" s="100">
        <f>H463*(1-0.40109649122807)</f>
        <v>0</v>
      </c>
      <c r="AQ463" s="111" t="s">
        <v>13</v>
      </c>
      <c r="AV463" s="100">
        <f t="shared" si="498"/>
        <v>0</v>
      </c>
      <c r="AW463" s="100">
        <f t="shared" si="499"/>
        <v>0</v>
      </c>
      <c r="AX463" s="100">
        <f t="shared" si="500"/>
        <v>0</v>
      </c>
      <c r="AY463" s="110" t="s">
        <v>1716</v>
      </c>
      <c r="AZ463" s="110" t="s">
        <v>1734</v>
      </c>
      <c r="BA463" s="109" t="s">
        <v>1737</v>
      </c>
      <c r="BC463" s="100">
        <f t="shared" si="501"/>
        <v>0</v>
      </c>
      <c r="BD463" s="100">
        <f t="shared" si="502"/>
        <v>0</v>
      </c>
      <c r="BE463" s="100">
        <v>0</v>
      </c>
      <c r="BF463" s="100">
        <f>463</f>
        <v>463</v>
      </c>
      <c r="BH463" s="108">
        <f t="shared" si="503"/>
        <v>0</v>
      </c>
      <c r="BI463" s="108">
        <f t="shared" si="504"/>
        <v>0</v>
      </c>
      <c r="BJ463" s="108">
        <f t="shared" si="505"/>
        <v>0</v>
      </c>
    </row>
    <row r="464" spans="1:62" x14ac:dyDescent="0.2">
      <c r="A464" s="117" t="s">
        <v>419</v>
      </c>
      <c r="B464" s="117" t="s">
        <v>904</v>
      </c>
      <c r="C464" s="304" t="s">
        <v>1493</v>
      </c>
      <c r="D464" s="305"/>
      <c r="E464" s="305"/>
      <c r="F464" s="117" t="s">
        <v>1644</v>
      </c>
      <c r="G464" s="116">
        <v>1</v>
      </c>
      <c r="H464" s="159"/>
      <c r="I464" s="108">
        <f t="shared" si="484"/>
        <v>0</v>
      </c>
      <c r="J464" s="108">
        <f t="shared" si="485"/>
        <v>0</v>
      </c>
      <c r="K464" s="108">
        <f t="shared" si="486"/>
        <v>0</v>
      </c>
      <c r="L464" s="111" t="s">
        <v>1671</v>
      </c>
      <c r="Z464" s="100">
        <f t="shared" si="487"/>
        <v>0</v>
      </c>
      <c r="AB464" s="100">
        <f t="shared" si="488"/>
        <v>0</v>
      </c>
      <c r="AC464" s="100">
        <f t="shared" si="489"/>
        <v>0</v>
      </c>
      <c r="AD464" s="100">
        <f t="shared" si="490"/>
        <v>0</v>
      </c>
      <c r="AE464" s="100">
        <f t="shared" si="491"/>
        <v>0</v>
      </c>
      <c r="AF464" s="100">
        <f t="shared" si="492"/>
        <v>0</v>
      </c>
      <c r="AG464" s="100">
        <f t="shared" si="493"/>
        <v>0</v>
      </c>
      <c r="AH464" s="100">
        <f t="shared" si="494"/>
        <v>0</v>
      </c>
      <c r="AI464" s="109"/>
      <c r="AJ464" s="108">
        <f t="shared" si="495"/>
        <v>0</v>
      </c>
      <c r="AK464" s="108">
        <f t="shared" si="496"/>
        <v>0</v>
      </c>
      <c r="AL464" s="108">
        <f t="shared" si="497"/>
        <v>0</v>
      </c>
      <c r="AN464" s="100">
        <v>15</v>
      </c>
      <c r="AO464" s="100">
        <f>H464*0.007425</f>
        <v>0</v>
      </c>
      <c r="AP464" s="100">
        <f>H464*(1-0.007425)</f>
        <v>0</v>
      </c>
      <c r="AQ464" s="111" t="s">
        <v>13</v>
      </c>
      <c r="AV464" s="100">
        <f t="shared" si="498"/>
        <v>0</v>
      </c>
      <c r="AW464" s="100">
        <f t="shared" si="499"/>
        <v>0</v>
      </c>
      <c r="AX464" s="100">
        <f t="shared" si="500"/>
        <v>0</v>
      </c>
      <c r="AY464" s="110" t="s">
        <v>1716</v>
      </c>
      <c r="AZ464" s="110" t="s">
        <v>1734</v>
      </c>
      <c r="BA464" s="109" t="s">
        <v>1737</v>
      </c>
      <c r="BC464" s="100">
        <f t="shared" si="501"/>
        <v>0</v>
      </c>
      <c r="BD464" s="100">
        <f t="shared" si="502"/>
        <v>0</v>
      </c>
      <c r="BE464" s="100">
        <v>0</v>
      </c>
      <c r="BF464" s="100">
        <f>464</f>
        <v>464</v>
      </c>
      <c r="BH464" s="108">
        <f t="shared" si="503"/>
        <v>0</v>
      </c>
      <c r="BI464" s="108">
        <f t="shared" si="504"/>
        <v>0</v>
      </c>
      <c r="BJ464" s="108">
        <f t="shared" si="505"/>
        <v>0</v>
      </c>
    </row>
    <row r="465" spans="1:62" x14ac:dyDescent="0.2">
      <c r="A465" s="117" t="s">
        <v>420</v>
      </c>
      <c r="B465" s="117" t="s">
        <v>905</v>
      </c>
      <c r="C465" s="304" t="s">
        <v>1987</v>
      </c>
      <c r="D465" s="305"/>
      <c r="E465" s="305"/>
      <c r="F465" s="117" t="s">
        <v>1644</v>
      </c>
      <c r="G465" s="116">
        <v>1</v>
      </c>
      <c r="H465" s="159"/>
      <c r="I465" s="108">
        <f t="shared" si="484"/>
        <v>0</v>
      </c>
      <c r="J465" s="108">
        <f t="shared" si="485"/>
        <v>0</v>
      </c>
      <c r="K465" s="108">
        <f t="shared" si="486"/>
        <v>0</v>
      </c>
      <c r="L465" s="111" t="s">
        <v>1671</v>
      </c>
      <c r="Z465" s="100">
        <f t="shared" si="487"/>
        <v>0</v>
      </c>
      <c r="AB465" s="100">
        <f t="shared" si="488"/>
        <v>0</v>
      </c>
      <c r="AC465" s="100">
        <f t="shared" si="489"/>
        <v>0</v>
      </c>
      <c r="AD465" s="100">
        <f t="shared" si="490"/>
        <v>0</v>
      </c>
      <c r="AE465" s="100">
        <f t="shared" si="491"/>
        <v>0</v>
      </c>
      <c r="AF465" s="100">
        <f t="shared" si="492"/>
        <v>0</v>
      </c>
      <c r="AG465" s="100">
        <f t="shared" si="493"/>
        <v>0</v>
      </c>
      <c r="AH465" s="100">
        <f t="shared" si="494"/>
        <v>0</v>
      </c>
      <c r="AI465" s="109"/>
      <c r="AJ465" s="108">
        <f t="shared" si="495"/>
        <v>0</v>
      </c>
      <c r="AK465" s="108">
        <f t="shared" si="496"/>
        <v>0</v>
      </c>
      <c r="AL465" s="108">
        <f t="shared" si="497"/>
        <v>0</v>
      </c>
      <c r="AN465" s="100">
        <v>15</v>
      </c>
      <c r="AO465" s="100">
        <f>H465*0.0040695652173913</f>
        <v>0</v>
      </c>
      <c r="AP465" s="100">
        <f>H465*(1-0.0040695652173913)</f>
        <v>0</v>
      </c>
      <c r="AQ465" s="111" t="s">
        <v>13</v>
      </c>
      <c r="AV465" s="100">
        <f t="shared" si="498"/>
        <v>0</v>
      </c>
      <c r="AW465" s="100">
        <f t="shared" si="499"/>
        <v>0</v>
      </c>
      <c r="AX465" s="100">
        <f t="shared" si="500"/>
        <v>0</v>
      </c>
      <c r="AY465" s="110" t="s">
        <v>1716</v>
      </c>
      <c r="AZ465" s="110" t="s">
        <v>1734</v>
      </c>
      <c r="BA465" s="109" t="s">
        <v>1737</v>
      </c>
      <c r="BC465" s="100">
        <f t="shared" si="501"/>
        <v>0</v>
      </c>
      <c r="BD465" s="100">
        <f t="shared" si="502"/>
        <v>0</v>
      </c>
      <c r="BE465" s="100">
        <v>0</v>
      </c>
      <c r="BF465" s="100">
        <f>465</f>
        <v>465</v>
      </c>
      <c r="BH465" s="108">
        <f t="shared" si="503"/>
        <v>0</v>
      </c>
      <c r="BI465" s="108">
        <f t="shared" si="504"/>
        <v>0</v>
      </c>
      <c r="BJ465" s="108">
        <f t="shared" si="505"/>
        <v>0</v>
      </c>
    </row>
    <row r="466" spans="1:62" x14ac:dyDescent="0.2">
      <c r="A466" s="117" t="s">
        <v>421</v>
      </c>
      <c r="B466" s="117" t="s">
        <v>2685</v>
      </c>
      <c r="C466" s="304" t="s">
        <v>2684</v>
      </c>
      <c r="D466" s="305"/>
      <c r="E466" s="305"/>
      <c r="F466" s="117" t="s">
        <v>1644</v>
      </c>
      <c r="G466" s="116">
        <v>8</v>
      </c>
      <c r="H466" s="159"/>
      <c r="I466" s="108">
        <f t="shared" si="484"/>
        <v>0</v>
      </c>
      <c r="J466" s="108">
        <f t="shared" si="485"/>
        <v>0</v>
      </c>
      <c r="K466" s="108">
        <f t="shared" si="486"/>
        <v>0</v>
      </c>
      <c r="L466" s="111" t="s">
        <v>1671</v>
      </c>
      <c r="Z466" s="100">
        <f t="shared" si="487"/>
        <v>0</v>
      </c>
      <c r="AB466" s="100">
        <f t="shared" si="488"/>
        <v>0</v>
      </c>
      <c r="AC466" s="100">
        <f t="shared" si="489"/>
        <v>0</v>
      </c>
      <c r="AD466" s="100">
        <f t="shared" si="490"/>
        <v>0</v>
      </c>
      <c r="AE466" s="100">
        <f t="shared" si="491"/>
        <v>0</v>
      </c>
      <c r="AF466" s="100">
        <f t="shared" si="492"/>
        <v>0</v>
      </c>
      <c r="AG466" s="100">
        <f t="shared" si="493"/>
        <v>0</v>
      </c>
      <c r="AH466" s="100">
        <f t="shared" si="494"/>
        <v>0</v>
      </c>
      <c r="AI466" s="109"/>
      <c r="AJ466" s="108">
        <f t="shared" si="495"/>
        <v>0</v>
      </c>
      <c r="AK466" s="108">
        <f t="shared" si="496"/>
        <v>0</v>
      </c>
      <c r="AL466" s="108">
        <f t="shared" si="497"/>
        <v>0</v>
      </c>
      <c r="AN466" s="100">
        <v>15</v>
      </c>
      <c r="AO466" s="100">
        <f>H466*0.0607105719237435</f>
        <v>0</v>
      </c>
      <c r="AP466" s="100">
        <f>H466*(1-0.0607105719237435)</f>
        <v>0</v>
      </c>
      <c r="AQ466" s="111" t="s">
        <v>13</v>
      </c>
      <c r="AV466" s="100">
        <f t="shared" si="498"/>
        <v>0</v>
      </c>
      <c r="AW466" s="100">
        <f t="shared" si="499"/>
        <v>0</v>
      </c>
      <c r="AX466" s="100">
        <f t="shared" si="500"/>
        <v>0</v>
      </c>
      <c r="AY466" s="110" t="s">
        <v>1716</v>
      </c>
      <c r="AZ466" s="110" t="s">
        <v>1734</v>
      </c>
      <c r="BA466" s="109" t="s">
        <v>1737</v>
      </c>
      <c r="BC466" s="100">
        <f t="shared" si="501"/>
        <v>0</v>
      </c>
      <c r="BD466" s="100">
        <f t="shared" si="502"/>
        <v>0</v>
      </c>
      <c r="BE466" s="100">
        <v>0</v>
      </c>
      <c r="BF466" s="100">
        <f>466</f>
        <v>466</v>
      </c>
      <c r="BH466" s="108">
        <f t="shared" si="503"/>
        <v>0</v>
      </c>
      <c r="BI466" s="108">
        <f t="shared" si="504"/>
        <v>0</v>
      </c>
      <c r="BJ466" s="108">
        <f t="shared" si="505"/>
        <v>0</v>
      </c>
    </row>
    <row r="467" spans="1:62" x14ac:dyDescent="0.2">
      <c r="A467" s="124" t="s">
        <v>422</v>
      </c>
      <c r="B467" s="124" t="s">
        <v>2683</v>
      </c>
      <c r="C467" s="311" t="s">
        <v>2682</v>
      </c>
      <c r="D467" s="312"/>
      <c r="E467" s="312"/>
      <c r="F467" s="124" t="s">
        <v>1644</v>
      </c>
      <c r="G467" s="123">
        <v>8</v>
      </c>
      <c r="H467" s="160"/>
      <c r="I467" s="121">
        <f t="shared" si="484"/>
        <v>0</v>
      </c>
      <c r="J467" s="121">
        <f t="shared" si="485"/>
        <v>0</v>
      </c>
      <c r="K467" s="121">
        <f t="shared" si="486"/>
        <v>0</v>
      </c>
      <c r="L467" s="122" t="s">
        <v>1671</v>
      </c>
      <c r="Z467" s="100">
        <f t="shared" si="487"/>
        <v>0</v>
      </c>
      <c r="AB467" s="100">
        <f t="shared" si="488"/>
        <v>0</v>
      </c>
      <c r="AC467" s="100">
        <f t="shared" si="489"/>
        <v>0</v>
      </c>
      <c r="AD467" s="100">
        <f t="shared" si="490"/>
        <v>0</v>
      </c>
      <c r="AE467" s="100">
        <f t="shared" si="491"/>
        <v>0</v>
      </c>
      <c r="AF467" s="100">
        <f t="shared" si="492"/>
        <v>0</v>
      </c>
      <c r="AG467" s="100">
        <f t="shared" si="493"/>
        <v>0</v>
      </c>
      <c r="AH467" s="100">
        <f t="shared" si="494"/>
        <v>0</v>
      </c>
      <c r="AI467" s="109"/>
      <c r="AJ467" s="121">
        <f t="shared" si="495"/>
        <v>0</v>
      </c>
      <c r="AK467" s="121">
        <f t="shared" si="496"/>
        <v>0</v>
      </c>
      <c r="AL467" s="121">
        <f t="shared" si="497"/>
        <v>0</v>
      </c>
      <c r="AN467" s="100">
        <v>15</v>
      </c>
      <c r="AO467" s="100">
        <f>H467*1</f>
        <v>0</v>
      </c>
      <c r="AP467" s="100">
        <f>H467*(1-1)</f>
        <v>0</v>
      </c>
      <c r="AQ467" s="122" t="s">
        <v>13</v>
      </c>
      <c r="AV467" s="100">
        <f t="shared" si="498"/>
        <v>0</v>
      </c>
      <c r="AW467" s="100">
        <f t="shared" si="499"/>
        <v>0</v>
      </c>
      <c r="AX467" s="100">
        <f t="shared" si="500"/>
        <v>0</v>
      </c>
      <c r="AY467" s="110" t="s">
        <v>1716</v>
      </c>
      <c r="AZ467" s="110" t="s">
        <v>1734</v>
      </c>
      <c r="BA467" s="109" t="s">
        <v>1737</v>
      </c>
      <c r="BC467" s="100">
        <f t="shared" si="501"/>
        <v>0</v>
      </c>
      <c r="BD467" s="100">
        <f t="shared" si="502"/>
        <v>0</v>
      </c>
      <c r="BE467" s="100">
        <v>0</v>
      </c>
      <c r="BF467" s="100">
        <f>467</f>
        <v>467</v>
      </c>
      <c r="BH467" s="121">
        <f t="shared" si="503"/>
        <v>0</v>
      </c>
      <c r="BI467" s="121">
        <f t="shared" si="504"/>
        <v>0</v>
      </c>
      <c r="BJ467" s="121">
        <f t="shared" si="505"/>
        <v>0</v>
      </c>
    </row>
    <row r="468" spans="1:62" x14ac:dyDescent="0.2">
      <c r="A468" s="117" t="s">
        <v>423</v>
      </c>
      <c r="B468" s="117" t="s">
        <v>2681</v>
      </c>
      <c r="C468" s="304" t="s">
        <v>2680</v>
      </c>
      <c r="D468" s="305"/>
      <c r="E468" s="305"/>
      <c r="F468" s="117" t="s">
        <v>1644</v>
      </c>
      <c r="G468" s="116">
        <v>2</v>
      </c>
      <c r="H468" s="159"/>
      <c r="I468" s="108">
        <f t="shared" si="484"/>
        <v>0</v>
      </c>
      <c r="J468" s="108">
        <f t="shared" si="485"/>
        <v>0</v>
      </c>
      <c r="K468" s="108">
        <f t="shared" si="486"/>
        <v>0</v>
      </c>
      <c r="L468" s="111" t="s">
        <v>1671</v>
      </c>
      <c r="Z468" s="100">
        <f t="shared" si="487"/>
        <v>0</v>
      </c>
      <c r="AB468" s="100">
        <f t="shared" si="488"/>
        <v>0</v>
      </c>
      <c r="AC468" s="100">
        <f t="shared" si="489"/>
        <v>0</v>
      </c>
      <c r="AD468" s="100">
        <f t="shared" si="490"/>
        <v>0</v>
      </c>
      <c r="AE468" s="100">
        <f t="shared" si="491"/>
        <v>0</v>
      </c>
      <c r="AF468" s="100">
        <f t="shared" si="492"/>
        <v>0</v>
      </c>
      <c r="AG468" s="100">
        <f t="shared" si="493"/>
        <v>0</v>
      </c>
      <c r="AH468" s="100">
        <f t="shared" si="494"/>
        <v>0</v>
      </c>
      <c r="AI468" s="109"/>
      <c r="AJ468" s="108">
        <f t="shared" si="495"/>
        <v>0</v>
      </c>
      <c r="AK468" s="108">
        <f t="shared" si="496"/>
        <v>0</v>
      </c>
      <c r="AL468" s="108">
        <f t="shared" si="497"/>
        <v>0</v>
      </c>
      <c r="AN468" s="100">
        <v>15</v>
      </c>
      <c r="AO468" s="100">
        <f>H468*0.0665726681127983</f>
        <v>0</v>
      </c>
      <c r="AP468" s="100">
        <f>H468*(1-0.0665726681127983)</f>
        <v>0</v>
      </c>
      <c r="AQ468" s="111" t="s">
        <v>13</v>
      </c>
      <c r="AV468" s="100">
        <f t="shared" si="498"/>
        <v>0</v>
      </c>
      <c r="AW468" s="100">
        <f t="shared" si="499"/>
        <v>0</v>
      </c>
      <c r="AX468" s="100">
        <f t="shared" si="500"/>
        <v>0</v>
      </c>
      <c r="AY468" s="110" t="s">
        <v>1716</v>
      </c>
      <c r="AZ468" s="110" t="s">
        <v>1734</v>
      </c>
      <c r="BA468" s="109" t="s">
        <v>1737</v>
      </c>
      <c r="BC468" s="100">
        <f t="shared" si="501"/>
        <v>0</v>
      </c>
      <c r="BD468" s="100">
        <f t="shared" si="502"/>
        <v>0</v>
      </c>
      <c r="BE468" s="100">
        <v>0</v>
      </c>
      <c r="BF468" s="100">
        <f>468</f>
        <v>468</v>
      </c>
      <c r="BH468" s="108">
        <f t="shared" si="503"/>
        <v>0</v>
      </c>
      <c r="BI468" s="108">
        <f t="shared" si="504"/>
        <v>0</v>
      </c>
      <c r="BJ468" s="108">
        <f t="shared" si="505"/>
        <v>0</v>
      </c>
    </row>
    <row r="469" spans="1:62" x14ac:dyDescent="0.2">
      <c r="A469" s="124" t="s">
        <v>424</v>
      </c>
      <c r="B469" s="124" t="s">
        <v>2679</v>
      </c>
      <c r="C469" s="311" t="s">
        <v>2678</v>
      </c>
      <c r="D469" s="312"/>
      <c r="E469" s="312"/>
      <c r="F469" s="124" t="s">
        <v>1644</v>
      </c>
      <c r="G469" s="123">
        <v>2</v>
      </c>
      <c r="H469" s="160"/>
      <c r="I469" s="121">
        <f t="shared" si="484"/>
        <v>0</v>
      </c>
      <c r="J469" s="121">
        <f t="shared" si="485"/>
        <v>0</v>
      </c>
      <c r="K469" s="121">
        <f t="shared" si="486"/>
        <v>0</v>
      </c>
      <c r="L469" s="122" t="s">
        <v>1671</v>
      </c>
      <c r="Z469" s="100">
        <f t="shared" si="487"/>
        <v>0</v>
      </c>
      <c r="AB469" s="100">
        <f t="shared" si="488"/>
        <v>0</v>
      </c>
      <c r="AC469" s="100">
        <f t="shared" si="489"/>
        <v>0</v>
      </c>
      <c r="AD469" s="100">
        <f t="shared" si="490"/>
        <v>0</v>
      </c>
      <c r="AE469" s="100">
        <f t="shared" si="491"/>
        <v>0</v>
      </c>
      <c r="AF469" s="100">
        <f t="shared" si="492"/>
        <v>0</v>
      </c>
      <c r="AG469" s="100">
        <f t="shared" si="493"/>
        <v>0</v>
      </c>
      <c r="AH469" s="100">
        <f t="shared" si="494"/>
        <v>0</v>
      </c>
      <c r="AI469" s="109"/>
      <c r="AJ469" s="121">
        <f t="shared" si="495"/>
        <v>0</v>
      </c>
      <c r="AK469" s="121">
        <f t="shared" si="496"/>
        <v>0</v>
      </c>
      <c r="AL469" s="121">
        <f t="shared" si="497"/>
        <v>0</v>
      </c>
      <c r="AN469" s="100">
        <v>15</v>
      </c>
      <c r="AO469" s="100">
        <f>H469*1</f>
        <v>0</v>
      </c>
      <c r="AP469" s="100">
        <f>H469*(1-1)</f>
        <v>0</v>
      </c>
      <c r="AQ469" s="122" t="s">
        <v>13</v>
      </c>
      <c r="AV469" s="100">
        <f t="shared" si="498"/>
        <v>0</v>
      </c>
      <c r="AW469" s="100">
        <f t="shared" si="499"/>
        <v>0</v>
      </c>
      <c r="AX469" s="100">
        <f t="shared" si="500"/>
        <v>0</v>
      </c>
      <c r="AY469" s="110" t="s">
        <v>1716</v>
      </c>
      <c r="AZ469" s="110" t="s">
        <v>1734</v>
      </c>
      <c r="BA469" s="109" t="s">
        <v>1737</v>
      </c>
      <c r="BC469" s="100">
        <f t="shared" si="501"/>
        <v>0</v>
      </c>
      <c r="BD469" s="100">
        <f t="shared" si="502"/>
        <v>0</v>
      </c>
      <c r="BE469" s="100">
        <v>0</v>
      </c>
      <c r="BF469" s="100">
        <f>469</f>
        <v>469</v>
      </c>
      <c r="BH469" s="121">
        <f t="shared" si="503"/>
        <v>0</v>
      </c>
      <c r="BI469" s="121">
        <f t="shared" si="504"/>
        <v>0</v>
      </c>
      <c r="BJ469" s="121">
        <f t="shared" si="505"/>
        <v>0</v>
      </c>
    </row>
    <row r="470" spans="1:62" x14ac:dyDescent="0.2">
      <c r="A470" s="117" t="s">
        <v>425</v>
      </c>
      <c r="B470" s="117" t="s">
        <v>906</v>
      </c>
      <c r="C470" s="304" t="s">
        <v>1495</v>
      </c>
      <c r="D470" s="305"/>
      <c r="E470" s="305"/>
      <c r="F470" s="117" t="s">
        <v>1648</v>
      </c>
      <c r="G470" s="116">
        <v>0.36799999999999999</v>
      </c>
      <c r="H470" s="159"/>
      <c r="I470" s="108">
        <f t="shared" si="484"/>
        <v>0</v>
      </c>
      <c r="J470" s="108">
        <f t="shared" si="485"/>
        <v>0</v>
      </c>
      <c r="K470" s="108">
        <f t="shared" si="486"/>
        <v>0</v>
      </c>
      <c r="L470" s="111" t="s">
        <v>1671</v>
      </c>
      <c r="Z470" s="100">
        <f t="shared" si="487"/>
        <v>0</v>
      </c>
      <c r="AB470" s="100">
        <f t="shared" si="488"/>
        <v>0</v>
      </c>
      <c r="AC470" s="100">
        <f t="shared" si="489"/>
        <v>0</v>
      </c>
      <c r="AD470" s="100">
        <f t="shared" si="490"/>
        <v>0</v>
      </c>
      <c r="AE470" s="100">
        <f t="shared" si="491"/>
        <v>0</v>
      </c>
      <c r="AF470" s="100">
        <f t="shared" si="492"/>
        <v>0</v>
      </c>
      <c r="AG470" s="100">
        <f t="shared" si="493"/>
        <v>0</v>
      </c>
      <c r="AH470" s="100">
        <f t="shared" si="494"/>
        <v>0</v>
      </c>
      <c r="AI470" s="109"/>
      <c r="AJ470" s="108">
        <f t="shared" si="495"/>
        <v>0</v>
      </c>
      <c r="AK470" s="108">
        <f t="shared" si="496"/>
        <v>0</v>
      </c>
      <c r="AL470" s="108">
        <f t="shared" si="497"/>
        <v>0</v>
      </c>
      <c r="AN470" s="100">
        <v>15</v>
      </c>
      <c r="AO470" s="100">
        <f>H470*0</f>
        <v>0</v>
      </c>
      <c r="AP470" s="100">
        <f>H470*(1-0)</f>
        <v>0</v>
      </c>
      <c r="AQ470" s="111" t="s">
        <v>11</v>
      </c>
      <c r="AV470" s="100">
        <f t="shared" si="498"/>
        <v>0</v>
      </c>
      <c r="AW470" s="100">
        <f t="shared" si="499"/>
        <v>0</v>
      </c>
      <c r="AX470" s="100">
        <f t="shared" si="500"/>
        <v>0</v>
      </c>
      <c r="AY470" s="110" t="s">
        <v>1716</v>
      </c>
      <c r="AZ470" s="110" t="s">
        <v>1734</v>
      </c>
      <c r="BA470" s="109" t="s">
        <v>1737</v>
      </c>
      <c r="BC470" s="100">
        <f t="shared" si="501"/>
        <v>0</v>
      </c>
      <c r="BD470" s="100">
        <f t="shared" si="502"/>
        <v>0</v>
      </c>
      <c r="BE470" s="100">
        <v>0</v>
      </c>
      <c r="BF470" s="100">
        <f>470</f>
        <v>470</v>
      </c>
      <c r="BH470" s="108">
        <f t="shared" si="503"/>
        <v>0</v>
      </c>
      <c r="BI470" s="108">
        <f t="shared" si="504"/>
        <v>0</v>
      </c>
      <c r="BJ470" s="108">
        <f t="shared" si="505"/>
        <v>0</v>
      </c>
    </row>
    <row r="471" spans="1:62" x14ac:dyDescent="0.2">
      <c r="A471" s="119"/>
      <c r="B471" s="120" t="s">
        <v>907</v>
      </c>
      <c r="C471" s="306" t="s">
        <v>1496</v>
      </c>
      <c r="D471" s="307"/>
      <c r="E471" s="307"/>
      <c r="F471" s="119" t="s">
        <v>6</v>
      </c>
      <c r="G471" s="119" t="s">
        <v>6</v>
      </c>
      <c r="H471" s="119" t="s">
        <v>6</v>
      </c>
      <c r="I471" s="118">
        <f>SUM(I472:I484)</f>
        <v>0</v>
      </c>
      <c r="J471" s="118">
        <f>SUM(J472:J484)</f>
        <v>0</v>
      </c>
      <c r="K471" s="118">
        <f>SUM(K472:K484)</f>
        <v>0</v>
      </c>
      <c r="L471" s="109"/>
      <c r="AI471" s="109"/>
      <c r="AS471" s="118">
        <f>SUM(AJ472:AJ484)</f>
        <v>0</v>
      </c>
      <c r="AT471" s="118">
        <f>SUM(AK472:AK484)</f>
        <v>0</v>
      </c>
      <c r="AU471" s="118">
        <f>SUM(AL472:AL484)</f>
        <v>0</v>
      </c>
    </row>
    <row r="472" spans="1:62" x14ac:dyDescent="0.2">
      <c r="A472" s="117" t="s">
        <v>426</v>
      </c>
      <c r="B472" s="117" t="s">
        <v>908</v>
      </c>
      <c r="C472" s="304" t="s">
        <v>1497</v>
      </c>
      <c r="D472" s="305"/>
      <c r="E472" s="305"/>
      <c r="F472" s="117" t="s">
        <v>1644</v>
      </c>
      <c r="G472" s="116">
        <v>1</v>
      </c>
      <c r="H472" s="159"/>
      <c r="I472" s="108">
        <f t="shared" ref="I472:I484" si="506">G472*AO472</f>
        <v>0</v>
      </c>
      <c r="J472" s="108">
        <f t="shared" ref="J472:J484" si="507">G472*AP472</f>
        <v>0</v>
      </c>
      <c r="K472" s="108">
        <f t="shared" ref="K472:K484" si="508">G472*H472</f>
        <v>0</v>
      </c>
      <c r="L472" s="111" t="s">
        <v>1671</v>
      </c>
      <c r="Z472" s="100">
        <f t="shared" ref="Z472:Z484" si="509">IF(AQ472="5",BJ472,0)</f>
        <v>0</v>
      </c>
      <c r="AB472" s="100">
        <f t="shared" ref="AB472:AB484" si="510">IF(AQ472="1",BH472,0)</f>
        <v>0</v>
      </c>
      <c r="AC472" s="100">
        <f t="shared" ref="AC472:AC484" si="511">IF(AQ472="1",BI472,0)</f>
        <v>0</v>
      </c>
      <c r="AD472" s="100">
        <f t="shared" ref="AD472:AD484" si="512">IF(AQ472="7",BH472,0)</f>
        <v>0</v>
      </c>
      <c r="AE472" s="100">
        <f t="shared" ref="AE472:AE484" si="513">IF(AQ472="7",BI472,0)</f>
        <v>0</v>
      </c>
      <c r="AF472" s="100">
        <f t="shared" ref="AF472:AF484" si="514">IF(AQ472="2",BH472,0)</f>
        <v>0</v>
      </c>
      <c r="AG472" s="100">
        <f t="shared" ref="AG472:AG484" si="515">IF(AQ472="2",BI472,0)</f>
        <v>0</v>
      </c>
      <c r="AH472" s="100">
        <f t="shared" ref="AH472:AH484" si="516">IF(AQ472="0",BJ472,0)</f>
        <v>0</v>
      </c>
      <c r="AI472" s="109"/>
      <c r="AJ472" s="108">
        <f t="shared" ref="AJ472:AJ484" si="517">IF(AN472=0,K472,0)</f>
        <v>0</v>
      </c>
      <c r="AK472" s="108">
        <f t="shared" ref="AK472:AK484" si="518">IF(AN472=15,K472,0)</f>
        <v>0</v>
      </c>
      <c r="AL472" s="108">
        <f t="shared" ref="AL472:AL484" si="519">IF(AN472=21,K472,0)</f>
        <v>0</v>
      </c>
      <c r="AN472" s="100">
        <v>15</v>
      </c>
      <c r="AO472" s="100">
        <f>H472*0.0305007936507936</f>
        <v>0</v>
      </c>
      <c r="AP472" s="100">
        <f>H472*(1-0.0305007936507936)</f>
        <v>0</v>
      </c>
      <c r="AQ472" s="111" t="s">
        <v>13</v>
      </c>
      <c r="AV472" s="100">
        <f t="shared" ref="AV472:AV484" si="520">AW472+AX472</f>
        <v>0</v>
      </c>
      <c r="AW472" s="100">
        <f t="shared" ref="AW472:AW484" si="521">G472*AO472</f>
        <v>0</v>
      </c>
      <c r="AX472" s="100">
        <f t="shared" ref="AX472:AX484" si="522">G472*AP472</f>
        <v>0</v>
      </c>
      <c r="AY472" s="110" t="s">
        <v>1717</v>
      </c>
      <c r="AZ472" s="110" t="s">
        <v>1734</v>
      </c>
      <c r="BA472" s="109" t="s">
        <v>1737</v>
      </c>
      <c r="BC472" s="100">
        <f t="shared" ref="BC472:BC484" si="523">AW472+AX472</f>
        <v>0</v>
      </c>
      <c r="BD472" s="100">
        <f t="shared" ref="BD472:BD484" si="524">H472/(100-BE472)*100</f>
        <v>0</v>
      </c>
      <c r="BE472" s="100">
        <v>0</v>
      </c>
      <c r="BF472" s="100">
        <f>472</f>
        <v>472</v>
      </c>
      <c r="BH472" s="108">
        <f t="shared" ref="BH472:BH484" si="525">G472*AO472</f>
        <v>0</v>
      </c>
      <c r="BI472" s="108">
        <f t="shared" ref="BI472:BI484" si="526">G472*AP472</f>
        <v>0</v>
      </c>
      <c r="BJ472" s="108">
        <f t="shared" ref="BJ472:BJ484" si="527">G472*H472</f>
        <v>0</v>
      </c>
    </row>
    <row r="473" spans="1:62" x14ac:dyDescent="0.2">
      <c r="A473" s="117" t="s">
        <v>427</v>
      </c>
      <c r="B473" s="117" t="s">
        <v>909</v>
      </c>
      <c r="C473" s="304" t="s">
        <v>1498</v>
      </c>
      <c r="D473" s="305"/>
      <c r="E473" s="305"/>
      <c r="F473" s="117" t="s">
        <v>1644</v>
      </c>
      <c r="G473" s="116">
        <v>1</v>
      </c>
      <c r="H473" s="159"/>
      <c r="I473" s="108">
        <f t="shared" si="506"/>
        <v>0</v>
      </c>
      <c r="J473" s="108">
        <f t="shared" si="507"/>
        <v>0</v>
      </c>
      <c r="K473" s="108">
        <f t="shared" si="508"/>
        <v>0</v>
      </c>
      <c r="L473" s="111" t="s">
        <v>1671</v>
      </c>
      <c r="Z473" s="100">
        <f t="shared" si="509"/>
        <v>0</v>
      </c>
      <c r="AB473" s="100">
        <f t="shared" si="510"/>
        <v>0</v>
      </c>
      <c r="AC473" s="100">
        <f t="shared" si="511"/>
        <v>0</v>
      </c>
      <c r="AD473" s="100">
        <f t="shared" si="512"/>
        <v>0</v>
      </c>
      <c r="AE473" s="100">
        <f t="shared" si="513"/>
        <v>0</v>
      </c>
      <c r="AF473" s="100">
        <f t="shared" si="514"/>
        <v>0</v>
      </c>
      <c r="AG473" s="100">
        <f t="shared" si="515"/>
        <v>0</v>
      </c>
      <c r="AH473" s="100">
        <f t="shared" si="516"/>
        <v>0</v>
      </c>
      <c r="AI473" s="109"/>
      <c r="AJ473" s="108">
        <f t="shared" si="517"/>
        <v>0</v>
      </c>
      <c r="AK473" s="108">
        <f t="shared" si="518"/>
        <v>0</v>
      </c>
      <c r="AL473" s="108">
        <f t="shared" si="519"/>
        <v>0</v>
      </c>
      <c r="AN473" s="100">
        <v>15</v>
      </c>
      <c r="AO473" s="100">
        <f>H473*0</f>
        <v>0</v>
      </c>
      <c r="AP473" s="100">
        <f>H473*(1-0)</f>
        <v>0</v>
      </c>
      <c r="AQ473" s="111" t="s">
        <v>13</v>
      </c>
      <c r="AV473" s="100">
        <f t="shared" si="520"/>
        <v>0</v>
      </c>
      <c r="AW473" s="100">
        <f t="shared" si="521"/>
        <v>0</v>
      </c>
      <c r="AX473" s="100">
        <f t="shared" si="522"/>
        <v>0</v>
      </c>
      <c r="AY473" s="110" t="s">
        <v>1717</v>
      </c>
      <c r="AZ473" s="110" t="s">
        <v>1734</v>
      </c>
      <c r="BA473" s="109" t="s">
        <v>1737</v>
      </c>
      <c r="BC473" s="100">
        <f t="shared" si="523"/>
        <v>0</v>
      </c>
      <c r="BD473" s="100">
        <f t="shared" si="524"/>
        <v>0</v>
      </c>
      <c r="BE473" s="100">
        <v>0</v>
      </c>
      <c r="BF473" s="100">
        <f>473</f>
        <v>473</v>
      </c>
      <c r="BH473" s="108">
        <f t="shared" si="525"/>
        <v>0</v>
      </c>
      <c r="BI473" s="108">
        <f t="shared" si="526"/>
        <v>0</v>
      </c>
      <c r="BJ473" s="108">
        <f t="shared" si="527"/>
        <v>0</v>
      </c>
    </row>
    <row r="474" spans="1:62" x14ac:dyDescent="0.2">
      <c r="A474" s="117" t="s">
        <v>428</v>
      </c>
      <c r="B474" s="117" t="s">
        <v>910</v>
      </c>
      <c r="C474" s="304" t="s">
        <v>1499</v>
      </c>
      <c r="D474" s="305"/>
      <c r="E474" s="305"/>
      <c r="F474" s="117" t="s">
        <v>1644</v>
      </c>
      <c r="G474" s="116">
        <v>1</v>
      </c>
      <c r="H474" s="159"/>
      <c r="I474" s="108">
        <f t="shared" si="506"/>
        <v>0</v>
      </c>
      <c r="J474" s="108">
        <f t="shared" si="507"/>
        <v>0</v>
      </c>
      <c r="K474" s="108">
        <f t="shared" si="508"/>
        <v>0</v>
      </c>
      <c r="L474" s="111" t="s">
        <v>1671</v>
      </c>
      <c r="Z474" s="100">
        <f t="shared" si="509"/>
        <v>0</v>
      </c>
      <c r="AB474" s="100">
        <f t="shared" si="510"/>
        <v>0</v>
      </c>
      <c r="AC474" s="100">
        <f t="shared" si="511"/>
        <v>0</v>
      </c>
      <c r="AD474" s="100">
        <f t="shared" si="512"/>
        <v>0</v>
      </c>
      <c r="AE474" s="100">
        <f t="shared" si="513"/>
        <v>0</v>
      </c>
      <c r="AF474" s="100">
        <f t="shared" si="514"/>
        <v>0</v>
      </c>
      <c r="AG474" s="100">
        <f t="shared" si="515"/>
        <v>0</v>
      </c>
      <c r="AH474" s="100">
        <f t="shared" si="516"/>
        <v>0</v>
      </c>
      <c r="AI474" s="109"/>
      <c r="AJ474" s="108">
        <f t="shared" si="517"/>
        <v>0</v>
      </c>
      <c r="AK474" s="108">
        <f t="shared" si="518"/>
        <v>0</v>
      </c>
      <c r="AL474" s="108">
        <f t="shared" si="519"/>
        <v>0</v>
      </c>
      <c r="AN474" s="100">
        <v>15</v>
      </c>
      <c r="AO474" s="100">
        <f>H474*0</f>
        <v>0</v>
      </c>
      <c r="AP474" s="100">
        <f>H474*(1-0)</f>
        <v>0</v>
      </c>
      <c r="AQ474" s="111" t="s">
        <v>13</v>
      </c>
      <c r="AV474" s="100">
        <f t="shared" si="520"/>
        <v>0</v>
      </c>
      <c r="AW474" s="100">
        <f t="shared" si="521"/>
        <v>0</v>
      </c>
      <c r="AX474" s="100">
        <f t="shared" si="522"/>
        <v>0</v>
      </c>
      <c r="AY474" s="110" t="s">
        <v>1717</v>
      </c>
      <c r="AZ474" s="110" t="s">
        <v>1734</v>
      </c>
      <c r="BA474" s="109" t="s">
        <v>1737</v>
      </c>
      <c r="BC474" s="100">
        <f t="shared" si="523"/>
        <v>0</v>
      </c>
      <c r="BD474" s="100">
        <f t="shared" si="524"/>
        <v>0</v>
      </c>
      <c r="BE474" s="100">
        <v>0</v>
      </c>
      <c r="BF474" s="100">
        <f>474</f>
        <v>474</v>
      </c>
      <c r="BH474" s="108">
        <f t="shared" si="525"/>
        <v>0</v>
      </c>
      <c r="BI474" s="108">
        <f t="shared" si="526"/>
        <v>0</v>
      </c>
      <c r="BJ474" s="108">
        <f t="shared" si="527"/>
        <v>0</v>
      </c>
    </row>
    <row r="475" spans="1:62" x14ac:dyDescent="0.2">
      <c r="A475" s="117" t="s">
        <v>429</v>
      </c>
      <c r="B475" s="117" t="s">
        <v>913</v>
      </c>
      <c r="C475" s="304" t="s">
        <v>1502</v>
      </c>
      <c r="D475" s="305"/>
      <c r="E475" s="305"/>
      <c r="F475" s="117" t="s">
        <v>1644</v>
      </c>
      <c r="G475" s="116">
        <v>4</v>
      </c>
      <c r="H475" s="159"/>
      <c r="I475" s="108">
        <f t="shared" si="506"/>
        <v>0</v>
      </c>
      <c r="J475" s="108">
        <f t="shared" si="507"/>
        <v>0</v>
      </c>
      <c r="K475" s="108">
        <f t="shared" si="508"/>
        <v>0</v>
      </c>
      <c r="L475" s="111" t="s">
        <v>1671</v>
      </c>
      <c r="Z475" s="100">
        <f t="shared" si="509"/>
        <v>0</v>
      </c>
      <c r="AB475" s="100">
        <f t="shared" si="510"/>
        <v>0</v>
      </c>
      <c r="AC475" s="100">
        <f t="shared" si="511"/>
        <v>0</v>
      </c>
      <c r="AD475" s="100">
        <f t="shared" si="512"/>
        <v>0</v>
      </c>
      <c r="AE475" s="100">
        <f t="shared" si="513"/>
        <v>0</v>
      </c>
      <c r="AF475" s="100">
        <f t="shared" si="514"/>
        <v>0</v>
      </c>
      <c r="AG475" s="100">
        <f t="shared" si="515"/>
        <v>0</v>
      </c>
      <c r="AH475" s="100">
        <f t="shared" si="516"/>
        <v>0</v>
      </c>
      <c r="AI475" s="109"/>
      <c r="AJ475" s="108">
        <f t="shared" si="517"/>
        <v>0</v>
      </c>
      <c r="AK475" s="108">
        <f t="shared" si="518"/>
        <v>0</v>
      </c>
      <c r="AL475" s="108">
        <f t="shared" si="519"/>
        <v>0</v>
      </c>
      <c r="AN475" s="100">
        <v>15</v>
      </c>
      <c r="AO475" s="100">
        <f>H475*0</f>
        <v>0</v>
      </c>
      <c r="AP475" s="100">
        <f>H475*(1-0)</f>
        <v>0</v>
      </c>
      <c r="AQ475" s="111" t="s">
        <v>13</v>
      </c>
      <c r="AV475" s="100">
        <f t="shared" si="520"/>
        <v>0</v>
      </c>
      <c r="AW475" s="100">
        <f t="shared" si="521"/>
        <v>0</v>
      </c>
      <c r="AX475" s="100">
        <f t="shared" si="522"/>
        <v>0</v>
      </c>
      <c r="AY475" s="110" t="s">
        <v>1717</v>
      </c>
      <c r="AZ475" s="110" t="s">
        <v>1734</v>
      </c>
      <c r="BA475" s="109" t="s">
        <v>1737</v>
      </c>
      <c r="BC475" s="100">
        <f t="shared" si="523"/>
        <v>0</v>
      </c>
      <c r="BD475" s="100">
        <f t="shared" si="524"/>
        <v>0</v>
      </c>
      <c r="BE475" s="100">
        <v>0</v>
      </c>
      <c r="BF475" s="100">
        <f>475</f>
        <v>475</v>
      </c>
      <c r="BH475" s="108">
        <f t="shared" si="525"/>
        <v>0</v>
      </c>
      <c r="BI475" s="108">
        <f t="shared" si="526"/>
        <v>0</v>
      </c>
      <c r="BJ475" s="108">
        <f t="shared" si="527"/>
        <v>0</v>
      </c>
    </row>
    <row r="476" spans="1:62" x14ac:dyDescent="0.2">
      <c r="A476" s="117" t="s">
        <v>430</v>
      </c>
      <c r="B476" s="117" t="s">
        <v>914</v>
      </c>
      <c r="C476" s="304" t="s">
        <v>1503</v>
      </c>
      <c r="D476" s="305"/>
      <c r="E476" s="305"/>
      <c r="F476" s="117" t="s">
        <v>1644</v>
      </c>
      <c r="G476" s="116">
        <v>2</v>
      </c>
      <c r="H476" s="159"/>
      <c r="I476" s="108">
        <f t="shared" si="506"/>
        <v>0</v>
      </c>
      <c r="J476" s="108">
        <f t="shared" si="507"/>
        <v>0</v>
      </c>
      <c r="K476" s="108">
        <f t="shared" si="508"/>
        <v>0</v>
      </c>
      <c r="L476" s="111" t="s">
        <v>1671</v>
      </c>
      <c r="Z476" s="100">
        <f t="shared" si="509"/>
        <v>0</v>
      </c>
      <c r="AB476" s="100">
        <f t="shared" si="510"/>
        <v>0</v>
      </c>
      <c r="AC476" s="100">
        <f t="shared" si="511"/>
        <v>0</v>
      </c>
      <c r="AD476" s="100">
        <f t="shared" si="512"/>
        <v>0</v>
      </c>
      <c r="AE476" s="100">
        <f t="shared" si="513"/>
        <v>0</v>
      </c>
      <c r="AF476" s="100">
        <f t="shared" si="514"/>
        <v>0</v>
      </c>
      <c r="AG476" s="100">
        <f t="shared" si="515"/>
        <v>0</v>
      </c>
      <c r="AH476" s="100">
        <f t="shared" si="516"/>
        <v>0</v>
      </c>
      <c r="AI476" s="109"/>
      <c r="AJ476" s="108">
        <f t="shared" si="517"/>
        <v>0</v>
      </c>
      <c r="AK476" s="108">
        <f t="shared" si="518"/>
        <v>0</v>
      </c>
      <c r="AL476" s="108">
        <f t="shared" si="519"/>
        <v>0</v>
      </c>
      <c r="AN476" s="100">
        <v>15</v>
      </c>
      <c r="AO476" s="100">
        <f>H476*0</f>
        <v>0</v>
      </c>
      <c r="AP476" s="100">
        <f>H476*(1-0)</f>
        <v>0</v>
      </c>
      <c r="AQ476" s="111" t="s">
        <v>13</v>
      </c>
      <c r="AV476" s="100">
        <f t="shared" si="520"/>
        <v>0</v>
      </c>
      <c r="AW476" s="100">
        <f t="shared" si="521"/>
        <v>0</v>
      </c>
      <c r="AX476" s="100">
        <f t="shared" si="522"/>
        <v>0</v>
      </c>
      <c r="AY476" s="110" t="s">
        <v>1717</v>
      </c>
      <c r="AZ476" s="110" t="s">
        <v>1734</v>
      </c>
      <c r="BA476" s="109" t="s">
        <v>1737</v>
      </c>
      <c r="BC476" s="100">
        <f t="shared" si="523"/>
        <v>0</v>
      </c>
      <c r="BD476" s="100">
        <f t="shared" si="524"/>
        <v>0</v>
      </c>
      <c r="BE476" s="100">
        <v>0</v>
      </c>
      <c r="BF476" s="100">
        <f>476</f>
        <v>476</v>
      </c>
      <c r="BH476" s="108">
        <f t="shared" si="525"/>
        <v>0</v>
      </c>
      <c r="BI476" s="108">
        <f t="shared" si="526"/>
        <v>0</v>
      </c>
      <c r="BJ476" s="108">
        <f t="shared" si="527"/>
        <v>0</v>
      </c>
    </row>
    <row r="477" spans="1:62" x14ac:dyDescent="0.2">
      <c r="A477" s="117" t="s">
        <v>431</v>
      </c>
      <c r="B477" s="117" t="s">
        <v>916</v>
      </c>
      <c r="C477" s="304" t="s">
        <v>1505</v>
      </c>
      <c r="D477" s="305"/>
      <c r="E477" s="305"/>
      <c r="F477" s="117" t="s">
        <v>1644</v>
      </c>
      <c r="G477" s="116">
        <v>1</v>
      </c>
      <c r="H477" s="159"/>
      <c r="I477" s="108">
        <f t="shared" si="506"/>
        <v>0</v>
      </c>
      <c r="J477" s="108">
        <f t="shared" si="507"/>
        <v>0</v>
      </c>
      <c r="K477" s="108">
        <f t="shared" si="508"/>
        <v>0</v>
      </c>
      <c r="L477" s="111" t="s">
        <v>1671</v>
      </c>
      <c r="Z477" s="100">
        <f t="shared" si="509"/>
        <v>0</v>
      </c>
      <c r="AB477" s="100">
        <f t="shared" si="510"/>
        <v>0</v>
      </c>
      <c r="AC477" s="100">
        <f t="shared" si="511"/>
        <v>0</v>
      </c>
      <c r="AD477" s="100">
        <f t="shared" si="512"/>
        <v>0</v>
      </c>
      <c r="AE477" s="100">
        <f t="shared" si="513"/>
        <v>0</v>
      </c>
      <c r="AF477" s="100">
        <f t="shared" si="514"/>
        <v>0</v>
      </c>
      <c r="AG477" s="100">
        <f t="shared" si="515"/>
        <v>0</v>
      </c>
      <c r="AH477" s="100">
        <f t="shared" si="516"/>
        <v>0</v>
      </c>
      <c r="AI477" s="109"/>
      <c r="AJ477" s="108">
        <f t="shared" si="517"/>
        <v>0</v>
      </c>
      <c r="AK477" s="108">
        <f t="shared" si="518"/>
        <v>0</v>
      </c>
      <c r="AL477" s="108">
        <f t="shared" si="519"/>
        <v>0</v>
      </c>
      <c r="AN477" s="100">
        <v>15</v>
      </c>
      <c r="AO477" s="100">
        <f>H477*0.0282374100719424</f>
        <v>0</v>
      </c>
      <c r="AP477" s="100">
        <f>H477*(1-0.0282374100719424)</f>
        <v>0</v>
      </c>
      <c r="AQ477" s="111" t="s">
        <v>13</v>
      </c>
      <c r="AV477" s="100">
        <f t="shared" si="520"/>
        <v>0</v>
      </c>
      <c r="AW477" s="100">
        <f t="shared" si="521"/>
        <v>0</v>
      </c>
      <c r="AX477" s="100">
        <f t="shared" si="522"/>
        <v>0</v>
      </c>
      <c r="AY477" s="110" t="s">
        <v>1717</v>
      </c>
      <c r="AZ477" s="110" t="s">
        <v>1734</v>
      </c>
      <c r="BA477" s="109" t="s">
        <v>1737</v>
      </c>
      <c r="BC477" s="100">
        <f t="shared" si="523"/>
        <v>0</v>
      </c>
      <c r="BD477" s="100">
        <f t="shared" si="524"/>
        <v>0</v>
      </c>
      <c r="BE477" s="100">
        <v>0</v>
      </c>
      <c r="BF477" s="100">
        <f>477</f>
        <v>477</v>
      </c>
      <c r="BH477" s="108">
        <f t="shared" si="525"/>
        <v>0</v>
      </c>
      <c r="BI477" s="108">
        <f t="shared" si="526"/>
        <v>0</v>
      </c>
      <c r="BJ477" s="108">
        <f t="shared" si="527"/>
        <v>0</v>
      </c>
    </row>
    <row r="478" spans="1:62" x14ac:dyDescent="0.2">
      <c r="A478" s="117" t="s">
        <v>432</v>
      </c>
      <c r="B478" s="117" t="s">
        <v>918</v>
      </c>
      <c r="C478" s="304" t="s">
        <v>1507</v>
      </c>
      <c r="D478" s="305"/>
      <c r="E478" s="305"/>
      <c r="F478" s="117" t="s">
        <v>1644</v>
      </c>
      <c r="G478" s="116">
        <v>3</v>
      </c>
      <c r="H478" s="159"/>
      <c r="I478" s="108">
        <f t="shared" si="506"/>
        <v>0</v>
      </c>
      <c r="J478" s="108">
        <f t="shared" si="507"/>
        <v>0</v>
      </c>
      <c r="K478" s="108">
        <f t="shared" si="508"/>
        <v>0</v>
      </c>
      <c r="L478" s="111" t="s">
        <v>1671</v>
      </c>
      <c r="Z478" s="100">
        <f t="shared" si="509"/>
        <v>0</v>
      </c>
      <c r="AB478" s="100">
        <f t="shared" si="510"/>
        <v>0</v>
      </c>
      <c r="AC478" s="100">
        <f t="shared" si="511"/>
        <v>0</v>
      </c>
      <c r="AD478" s="100">
        <f t="shared" si="512"/>
        <v>0</v>
      </c>
      <c r="AE478" s="100">
        <f t="shared" si="513"/>
        <v>0</v>
      </c>
      <c r="AF478" s="100">
        <f t="shared" si="514"/>
        <v>0</v>
      </c>
      <c r="AG478" s="100">
        <f t="shared" si="515"/>
        <v>0</v>
      </c>
      <c r="AH478" s="100">
        <f t="shared" si="516"/>
        <v>0</v>
      </c>
      <c r="AI478" s="109"/>
      <c r="AJ478" s="108">
        <f t="shared" si="517"/>
        <v>0</v>
      </c>
      <c r="AK478" s="108">
        <f t="shared" si="518"/>
        <v>0</v>
      </c>
      <c r="AL478" s="108">
        <f t="shared" si="519"/>
        <v>0</v>
      </c>
      <c r="AN478" s="100">
        <v>15</v>
      </c>
      <c r="AO478" s="100">
        <f>H478*0.71982</f>
        <v>0</v>
      </c>
      <c r="AP478" s="100">
        <f>H478*(1-0.71982)</f>
        <v>0</v>
      </c>
      <c r="AQ478" s="111" t="s">
        <v>13</v>
      </c>
      <c r="AV478" s="100">
        <f t="shared" si="520"/>
        <v>0</v>
      </c>
      <c r="AW478" s="100">
        <f t="shared" si="521"/>
        <v>0</v>
      </c>
      <c r="AX478" s="100">
        <f t="shared" si="522"/>
        <v>0</v>
      </c>
      <c r="AY478" s="110" t="s">
        <v>1717</v>
      </c>
      <c r="AZ478" s="110" t="s">
        <v>1734</v>
      </c>
      <c r="BA478" s="109" t="s">
        <v>1737</v>
      </c>
      <c r="BC478" s="100">
        <f t="shared" si="523"/>
        <v>0</v>
      </c>
      <c r="BD478" s="100">
        <f t="shared" si="524"/>
        <v>0</v>
      </c>
      <c r="BE478" s="100">
        <v>0</v>
      </c>
      <c r="BF478" s="100">
        <f>478</f>
        <v>478</v>
      </c>
      <c r="BH478" s="108">
        <f t="shared" si="525"/>
        <v>0</v>
      </c>
      <c r="BI478" s="108">
        <f t="shared" si="526"/>
        <v>0</v>
      </c>
      <c r="BJ478" s="108">
        <f t="shared" si="527"/>
        <v>0</v>
      </c>
    </row>
    <row r="479" spans="1:62" x14ac:dyDescent="0.2">
      <c r="A479" s="117" t="s">
        <v>433</v>
      </c>
      <c r="B479" s="117" t="s">
        <v>919</v>
      </c>
      <c r="C479" s="304" t="s">
        <v>1508</v>
      </c>
      <c r="D479" s="305"/>
      <c r="E479" s="305"/>
      <c r="F479" s="117" t="s">
        <v>1644</v>
      </c>
      <c r="G479" s="116">
        <v>3</v>
      </c>
      <c r="H479" s="159"/>
      <c r="I479" s="108">
        <f t="shared" si="506"/>
        <v>0</v>
      </c>
      <c r="J479" s="108">
        <f t="shared" si="507"/>
        <v>0</v>
      </c>
      <c r="K479" s="108">
        <f t="shared" si="508"/>
        <v>0</v>
      </c>
      <c r="L479" s="111" t="s">
        <v>1671</v>
      </c>
      <c r="Z479" s="100">
        <f t="shared" si="509"/>
        <v>0</v>
      </c>
      <c r="AB479" s="100">
        <f t="shared" si="510"/>
        <v>0</v>
      </c>
      <c r="AC479" s="100">
        <f t="shared" si="511"/>
        <v>0</v>
      </c>
      <c r="AD479" s="100">
        <f t="shared" si="512"/>
        <v>0</v>
      </c>
      <c r="AE479" s="100">
        <f t="shared" si="513"/>
        <v>0</v>
      </c>
      <c r="AF479" s="100">
        <f t="shared" si="514"/>
        <v>0</v>
      </c>
      <c r="AG479" s="100">
        <f t="shared" si="515"/>
        <v>0</v>
      </c>
      <c r="AH479" s="100">
        <f t="shared" si="516"/>
        <v>0</v>
      </c>
      <c r="AI479" s="109"/>
      <c r="AJ479" s="108">
        <f t="shared" si="517"/>
        <v>0</v>
      </c>
      <c r="AK479" s="108">
        <f t="shared" si="518"/>
        <v>0</v>
      </c>
      <c r="AL479" s="108">
        <f t="shared" si="519"/>
        <v>0</v>
      </c>
      <c r="AN479" s="100">
        <v>15</v>
      </c>
      <c r="AO479" s="100">
        <f>H479*0.71976</f>
        <v>0</v>
      </c>
      <c r="AP479" s="100">
        <f>H479*(1-0.71976)</f>
        <v>0</v>
      </c>
      <c r="AQ479" s="111" t="s">
        <v>13</v>
      </c>
      <c r="AV479" s="100">
        <f t="shared" si="520"/>
        <v>0</v>
      </c>
      <c r="AW479" s="100">
        <f t="shared" si="521"/>
        <v>0</v>
      </c>
      <c r="AX479" s="100">
        <f t="shared" si="522"/>
        <v>0</v>
      </c>
      <c r="AY479" s="110" t="s">
        <v>1717</v>
      </c>
      <c r="AZ479" s="110" t="s">
        <v>1734</v>
      </c>
      <c r="BA479" s="109" t="s">
        <v>1737</v>
      </c>
      <c r="BC479" s="100">
        <f t="shared" si="523"/>
        <v>0</v>
      </c>
      <c r="BD479" s="100">
        <f t="shared" si="524"/>
        <v>0</v>
      </c>
      <c r="BE479" s="100">
        <v>0</v>
      </c>
      <c r="BF479" s="100">
        <f>479</f>
        <v>479</v>
      </c>
      <c r="BH479" s="108">
        <f t="shared" si="525"/>
        <v>0</v>
      </c>
      <c r="BI479" s="108">
        <f t="shared" si="526"/>
        <v>0</v>
      </c>
      <c r="BJ479" s="108">
        <f t="shared" si="527"/>
        <v>0</v>
      </c>
    </row>
    <row r="480" spans="1:62" x14ac:dyDescent="0.2">
      <c r="A480" s="117" t="s">
        <v>434</v>
      </c>
      <c r="B480" s="117" t="s">
        <v>917</v>
      </c>
      <c r="C480" s="304" t="s">
        <v>1506</v>
      </c>
      <c r="D480" s="305"/>
      <c r="E480" s="305"/>
      <c r="F480" s="117" t="s">
        <v>1644</v>
      </c>
      <c r="G480" s="116">
        <v>1</v>
      </c>
      <c r="H480" s="159"/>
      <c r="I480" s="108">
        <f t="shared" si="506"/>
        <v>0</v>
      </c>
      <c r="J480" s="108">
        <f t="shared" si="507"/>
        <v>0</v>
      </c>
      <c r="K480" s="108">
        <f t="shared" si="508"/>
        <v>0</v>
      </c>
      <c r="L480" s="111" t="s">
        <v>1671</v>
      </c>
      <c r="Z480" s="100">
        <f t="shared" si="509"/>
        <v>0</v>
      </c>
      <c r="AB480" s="100">
        <f t="shared" si="510"/>
        <v>0</v>
      </c>
      <c r="AC480" s="100">
        <f t="shared" si="511"/>
        <v>0</v>
      </c>
      <c r="AD480" s="100">
        <f t="shared" si="512"/>
        <v>0</v>
      </c>
      <c r="AE480" s="100">
        <f t="shared" si="513"/>
        <v>0</v>
      </c>
      <c r="AF480" s="100">
        <f t="shared" si="514"/>
        <v>0</v>
      </c>
      <c r="AG480" s="100">
        <f t="shared" si="515"/>
        <v>0</v>
      </c>
      <c r="AH480" s="100">
        <f t="shared" si="516"/>
        <v>0</v>
      </c>
      <c r="AI480" s="109"/>
      <c r="AJ480" s="108">
        <f t="shared" si="517"/>
        <v>0</v>
      </c>
      <c r="AK480" s="108">
        <f t="shared" si="518"/>
        <v>0</v>
      </c>
      <c r="AL480" s="108">
        <f t="shared" si="519"/>
        <v>0</v>
      </c>
      <c r="AN480" s="100">
        <v>15</v>
      </c>
      <c r="AO480" s="100">
        <f>H480*0.781246290322581</f>
        <v>0</v>
      </c>
      <c r="AP480" s="100">
        <f>H480*(1-0.781246290322581)</f>
        <v>0</v>
      </c>
      <c r="AQ480" s="111" t="s">
        <v>13</v>
      </c>
      <c r="AV480" s="100">
        <f t="shared" si="520"/>
        <v>0</v>
      </c>
      <c r="AW480" s="100">
        <f t="shared" si="521"/>
        <v>0</v>
      </c>
      <c r="AX480" s="100">
        <f t="shared" si="522"/>
        <v>0</v>
      </c>
      <c r="AY480" s="110" t="s">
        <v>1717</v>
      </c>
      <c r="AZ480" s="110" t="s">
        <v>1734</v>
      </c>
      <c r="BA480" s="109" t="s">
        <v>1737</v>
      </c>
      <c r="BC480" s="100">
        <f t="shared" si="523"/>
        <v>0</v>
      </c>
      <c r="BD480" s="100">
        <f t="shared" si="524"/>
        <v>0</v>
      </c>
      <c r="BE480" s="100">
        <v>0</v>
      </c>
      <c r="BF480" s="100">
        <f>480</f>
        <v>480</v>
      </c>
      <c r="BH480" s="108">
        <f t="shared" si="525"/>
        <v>0</v>
      </c>
      <c r="BI480" s="108">
        <f t="shared" si="526"/>
        <v>0</v>
      </c>
      <c r="BJ480" s="108">
        <f t="shared" si="527"/>
        <v>0</v>
      </c>
    </row>
    <row r="481" spans="1:62" x14ac:dyDescent="0.2">
      <c r="A481" s="117" t="s">
        <v>435</v>
      </c>
      <c r="B481" s="117" t="s">
        <v>920</v>
      </c>
      <c r="C481" s="304" t="s">
        <v>1509</v>
      </c>
      <c r="D481" s="305"/>
      <c r="E481" s="305"/>
      <c r="F481" s="117" t="s">
        <v>1644</v>
      </c>
      <c r="G481" s="116">
        <v>2</v>
      </c>
      <c r="H481" s="159"/>
      <c r="I481" s="108">
        <f t="shared" si="506"/>
        <v>0</v>
      </c>
      <c r="J481" s="108">
        <f t="shared" si="507"/>
        <v>0</v>
      </c>
      <c r="K481" s="108">
        <f t="shared" si="508"/>
        <v>0</v>
      </c>
      <c r="L481" s="111" t="s">
        <v>1671</v>
      </c>
      <c r="Z481" s="100">
        <f t="shared" si="509"/>
        <v>0</v>
      </c>
      <c r="AB481" s="100">
        <f t="shared" si="510"/>
        <v>0</v>
      </c>
      <c r="AC481" s="100">
        <f t="shared" si="511"/>
        <v>0</v>
      </c>
      <c r="AD481" s="100">
        <f t="shared" si="512"/>
        <v>0</v>
      </c>
      <c r="AE481" s="100">
        <f t="shared" si="513"/>
        <v>0</v>
      </c>
      <c r="AF481" s="100">
        <f t="shared" si="514"/>
        <v>0</v>
      </c>
      <c r="AG481" s="100">
        <f t="shared" si="515"/>
        <v>0</v>
      </c>
      <c r="AH481" s="100">
        <f t="shared" si="516"/>
        <v>0</v>
      </c>
      <c r="AI481" s="109"/>
      <c r="AJ481" s="108">
        <f t="shared" si="517"/>
        <v>0</v>
      </c>
      <c r="AK481" s="108">
        <f t="shared" si="518"/>
        <v>0</v>
      </c>
      <c r="AL481" s="108">
        <f t="shared" si="519"/>
        <v>0</v>
      </c>
      <c r="AN481" s="100">
        <v>15</v>
      </c>
      <c r="AO481" s="100">
        <f>H481*0</f>
        <v>0</v>
      </c>
      <c r="AP481" s="100">
        <f>H481*(1-0)</f>
        <v>0</v>
      </c>
      <c r="AQ481" s="111" t="s">
        <v>13</v>
      </c>
      <c r="AV481" s="100">
        <f t="shared" si="520"/>
        <v>0</v>
      </c>
      <c r="AW481" s="100">
        <f t="shared" si="521"/>
        <v>0</v>
      </c>
      <c r="AX481" s="100">
        <f t="shared" si="522"/>
        <v>0</v>
      </c>
      <c r="AY481" s="110" t="s">
        <v>1717</v>
      </c>
      <c r="AZ481" s="110" t="s">
        <v>1734</v>
      </c>
      <c r="BA481" s="109" t="s">
        <v>1737</v>
      </c>
      <c r="BC481" s="100">
        <f t="shared" si="523"/>
        <v>0</v>
      </c>
      <c r="BD481" s="100">
        <f t="shared" si="524"/>
        <v>0</v>
      </c>
      <c r="BE481" s="100">
        <v>0</v>
      </c>
      <c r="BF481" s="100">
        <f>481</f>
        <v>481</v>
      </c>
      <c r="BH481" s="108">
        <f t="shared" si="525"/>
        <v>0</v>
      </c>
      <c r="BI481" s="108">
        <f t="shared" si="526"/>
        <v>0</v>
      </c>
      <c r="BJ481" s="108">
        <f t="shared" si="527"/>
        <v>0</v>
      </c>
    </row>
    <row r="482" spans="1:62" x14ac:dyDescent="0.2">
      <c r="A482" s="117" t="s">
        <v>436</v>
      </c>
      <c r="B482" s="117" t="s">
        <v>2677</v>
      </c>
      <c r="C482" s="304" t="s">
        <v>2676</v>
      </c>
      <c r="D482" s="305"/>
      <c r="E482" s="305"/>
      <c r="F482" s="117" t="s">
        <v>1644</v>
      </c>
      <c r="G482" s="116">
        <v>2</v>
      </c>
      <c r="H482" s="159"/>
      <c r="I482" s="108">
        <f t="shared" si="506"/>
        <v>0</v>
      </c>
      <c r="J482" s="108">
        <f t="shared" si="507"/>
        <v>0</v>
      </c>
      <c r="K482" s="108">
        <f t="shared" si="508"/>
        <v>0</v>
      </c>
      <c r="L482" s="111" t="s">
        <v>1671</v>
      </c>
      <c r="Z482" s="100">
        <f t="shared" si="509"/>
        <v>0</v>
      </c>
      <c r="AB482" s="100">
        <f t="shared" si="510"/>
        <v>0</v>
      </c>
      <c r="AC482" s="100">
        <f t="shared" si="511"/>
        <v>0</v>
      </c>
      <c r="AD482" s="100">
        <f t="shared" si="512"/>
        <v>0</v>
      </c>
      <c r="AE482" s="100">
        <f t="shared" si="513"/>
        <v>0</v>
      </c>
      <c r="AF482" s="100">
        <f t="shared" si="514"/>
        <v>0</v>
      </c>
      <c r="AG482" s="100">
        <f t="shared" si="515"/>
        <v>0</v>
      </c>
      <c r="AH482" s="100">
        <f t="shared" si="516"/>
        <v>0</v>
      </c>
      <c r="AI482" s="109"/>
      <c r="AJ482" s="108">
        <f t="shared" si="517"/>
        <v>0</v>
      </c>
      <c r="AK482" s="108">
        <f t="shared" si="518"/>
        <v>0</v>
      </c>
      <c r="AL482" s="108">
        <f t="shared" si="519"/>
        <v>0</v>
      </c>
      <c r="AN482" s="100">
        <v>15</v>
      </c>
      <c r="AO482" s="100">
        <f>H482*0.0669529411764706</f>
        <v>0</v>
      </c>
      <c r="AP482" s="100">
        <f>H482*(1-0.0669529411764706)</f>
        <v>0</v>
      </c>
      <c r="AQ482" s="111" t="s">
        <v>13</v>
      </c>
      <c r="AV482" s="100">
        <f t="shared" si="520"/>
        <v>0</v>
      </c>
      <c r="AW482" s="100">
        <f t="shared" si="521"/>
        <v>0</v>
      </c>
      <c r="AX482" s="100">
        <f t="shared" si="522"/>
        <v>0</v>
      </c>
      <c r="AY482" s="110" t="s">
        <v>1717</v>
      </c>
      <c r="AZ482" s="110" t="s">
        <v>1734</v>
      </c>
      <c r="BA482" s="109" t="s">
        <v>1737</v>
      </c>
      <c r="BC482" s="100">
        <f t="shared" si="523"/>
        <v>0</v>
      </c>
      <c r="BD482" s="100">
        <f t="shared" si="524"/>
        <v>0</v>
      </c>
      <c r="BE482" s="100">
        <v>0</v>
      </c>
      <c r="BF482" s="100">
        <f>482</f>
        <v>482</v>
      </c>
      <c r="BH482" s="108">
        <f t="shared" si="525"/>
        <v>0</v>
      </c>
      <c r="BI482" s="108">
        <f t="shared" si="526"/>
        <v>0</v>
      </c>
      <c r="BJ482" s="108">
        <f t="shared" si="527"/>
        <v>0</v>
      </c>
    </row>
    <row r="483" spans="1:62" x14ac:dyDescent="0.2">
      <c r="A483" s="117" t="s">
        <v>437</v>
      </c>
      <c r="B483" s="117" t="s">
        <v>2675</v>
      </c>
      <c r="C483" s="304" t="s">
        <v>2674</v>
      </c>
      <c r="D483" s="305"/>
      <c r="E483" s="305"/>
      <c r="F483" s="117" t="s">
        <v>1644</v>
      </c>
      <c r="G483" s="116">
        <v>2</v>
      </c>
      <c r="H483" s="159"/>
      <c r="I483" s="108">
        <f t="shared" si="506"/>
        <v>0</v>
      </c>
      <c r="J483" s="108">
        <f t="shared" si="507"/>
        <v>0</v>
      </c>
      <c r="K483" s="108">
        <f t="shared" si="508"/>
        <v>0</v>
      </c>
      <c r="L483" s="111" t="s">
        <v>1671</v>
      </c>
      <c r="Z483" s="100">
        <f t="shared" si="509"/>
        <v>0</v>
      </c>
      <c r="AB483" s="100">
        <f t="shared" si="510"/>
        <v>0</v>
      </c>
      <c r="AC483" s="100">
        <f t="shared" si="511"/>
        <v>0</v>
      </c>
      <c r="AD483" s="100">
        <f t="shared" si="512"/>
        <v>0</v>
      </c>
      <c r="AE483" s="100">
        <f t="shared" si="513"/>
        <v>0</v>
      </c>
      <c r="AF483" s="100">
        <f t="shared" si="514"/>
        <v>0</v>
      </c>
      <c r="AG483" s="100">
        <f t="shared" si="515"/>
        <v>0</v>
      </c>
      <c r="AH483" s="100">
        <f t="shared" si="516"/>
        <v>0</v>
      </c>
      <c r="AI483" s="109"/>
      <c r="AJ483" s="108">
        <f t="shared" si="517"/>
        <v>0</v>
      </c>
      <c r="AK483" s="108">
        <f t="shared" si="518"/>
        <v>0</v>
      </c>
      <c r="AL483" s="108">
        <f t="shared" si="519"/>
        <v>0</v>
      </c>
      <c r="AN483" s="100">
        <v>15</v>
      </c>
      <c r="AO483" s="100">
        <f>H483*0.0915933333333333</f>
        <v>0</v>
      </c>
      <c r="AP483" s="100">
        <f>H483*(1-0.0915933333333333)</f>
        <v>0</v>
      </c>
      <c r="AQ483" s="111" t="s">
        <v>13</v>
      </c>
      <c r="AV483" s="100">
        <f t="shared" si="520"/>
        <v>0</v>
      </c>
      <c r="AW483" s="100">
        <f t="shared" si="521"/>
        <v>0</v>
      </c>
      <c r="AX483" s="100">
        <f t="shared" si="522"/>
        <v>0</v>
      </c>
      <c r="AY483" s="110" t="s">
        <v>1717</v>
      </c>
      <c r="AZ483" s="110" t="s">
        <v>1734</v>
      </c>
      <c r="BA483" s="109" t="s">
        <v>1737</v>
      </c>
      <c r="BC483" s="100">
        <f t="shared" si="523"/>
        <v>0</v>
      </c>
      <c r="BD483" s="100">
        <f t="shared" si="524"/>
        <v>0</v>
      </c>
      <c r="BE483" s="100">
        <v>0</v>
      </c>
      <c r="BF483" s="100">
        <f>483</f>
        <v>483</v>
      </c>
      <c r="BH483" s="108">
        <f t="shared" si="525"/>
        <v>0</v>
      </c>
      <c r="BI483" s="108">
        <f t="shared" si="526"/>
        <v>0</v>
      </c>
      <c r="BJ483" s="108">
        <f t="shared" si="527"/>
        <v>0</v>
      </c>
    </row>
    <row r="484" spans="1:62" x14ac:dyDescent="0.2">
      <c r="A484" s="117" t="s">
        <v>438</v>
      </c>
      <c r="B484" s="117" t="s">
        <v>921</v>
      </c>
      <c r="C484" s="304" t="s">
        <v>1510</v>
      </c>
      <c r="D484" s="305"/>
      <c r="E484" s="305"/>
      <c r="F484" s="117" t="s">
        <v>1648</v>
      </c>
      <c r="G484" s="116">
        <v>0.754</v>
      </c>
      <c r="H484" s="159"/>
      <c r="I484" s="108">
        <f t="shared" si="506"/>
        <v>0</v>
      </c>
      <c r="J484" s="108">
        <f t="shared" si="507"/>
        <v>0</v>
      </c>
      <c r="K484" s="108">
        <f t="shared" si="508"/>
        <v>0</v>
      </c>
      <c r="L484" s="111" t="s">
        <v>1671</v>
      </c>
      <c r="Z484" s="100">
        <f t="shared" si="509"/>
        <v>0</v>
      </c>
      <c r="AB484" s="100">
        <f t="shared" si="510"/>
        <v>0</v>
      </c>
      <c r="AC484" s="100">
        <f t="shared" si="511"/>
        <v>0</v>
      </c>
      <c r="AD484" s="100">
        <f t="shared" si="512"/>
        <v>0</v>
      </c>
      <c r="AE484" s="100">
        <f t="shared" si="513"/>
        <v>0</v>
      </c>
      <c r="AF484" s="100">
        <f t="shared" si="514"/>
        <v>0</v>
      </c>
      <c r="AG484" s="100">
        <f t="shared" si="515"/>
        <v>0</v>
      </c>
      <c r="AH484" s="100">
        <f t="shared" si="516"/>
        <v>0</v>
      </c>
      <c r="AI484" s="109"/>
      <c r="AJ484" s="108">
        <f t="shared" si="517"/>
        <v>0</v>
      </c>
      <c r="AK484" s="108">
        <f t="shared" si="518"/>
        <v>0</v>
      </c>
      <c r="AL484" s="108">
        <f t="shared" si="519"/>
        <v>0</v>
      </c>
      <c r="AN484" s="100">
        <v>15</v>
      </c>
      <c r="AO484" s="100">
        <f>H484*0</f>
        <v>0</v>
      </c>
      <c r="AP484" s="100">
        <f>H484*(1-0)</f>
        <v>0</v>
      </c>
      <c r="AQ484" s="111" t="s">
        <v>11</v>
      </c>
      <c r="AV484" s="100">
        <f t="shared" si="520"/>
        <v>0</v>
      </c>
      <c r="AW484" s="100">
        <f t="shared" si="521"/>
        <v>0</v>
      </c>
      <c r="AX484" s="100">
        <f t="shared" si="522"/>
        <v>0</v>
      </c>
      <c r="AY484" s="110" t="s">
        <v>1717</v>
      </c>
      <c r="AZ484" s="110" t="s">
        <v>1734</v>
      </c>
      <c r="BA484" s="109" t="s">
        <v>1737</v>
      </c>
      <c r="BC484" s="100">
        <f t="shared" si="523"/>
        <v>0</v>
      </c>
      <c r="BD484" s="100">
        <f t="shared" si="524"/>
        <v>0</v>
      </c>
      <c r="BE484" s="100">
        <v>0</v>
      </c>
      <c r="BF484" s="100">
        <f>484</f>
        <v>484</v>
      </c>
      <c r="BH484" s="108">
        <f t="shared" si="525"/>
        <v>0</v>
      </c>
      <c r="BI484" s="108">
        <f t="shared" si="526"/>
        <v>0</v>
      </c>
      <c r="BJ484" s="108">
        <f t="shared" si="527"/>
        <v>0</v>
      </c>
    </row>
    <row r="485" spans="1:62" x14ac:dyDescent="0.2">
      <c r="A485" s="119"/>
      <c r="B485" s="120" t="s">
        <v>922</v>
      </c>
      <c r="C485" s="306" t="s">
        <v>1511</v>
      </c>
      <c r="D485" s="307"/>
      <c r="E485" s="307"/>
      <c r="F485" s="119" t="s">
        <v>6</v>
      </c>
      <c r="G485" s="119" t="s">
        <v>6</v>
      </c>
      <c r="H485" s="119" t="s">
        <v>6</v>
      </c>
      <c r="I485" s="118">
        <f>SUM(I486:I492)</f>
        <v>0</v>
      </c>
      <c r="J485" s="118">
        <f>SUM(J486:J492)</f>
        <v>0</v>
      </c>
      <c r="K485" s="118">
        <f>SUM(K486:K492)</f>
        <v>0</v>
      </c>
      <c r="L485" s="109"/>
      <c r="AI485" s="109"/>
      <c r="AS485" s="118">
        <f>SUM(AJ486:AJ492)</f>
        <v>0</v>
      </c>
      <c r="AT485" s="118">
        <f>SUM(AK486:AK492)</f>
        <v>0</v>
      </c>
      <c r="AU485" s="118">
        <f>SUM(AL486:AL492)</f>
        <v>0</v>
      </c>
    </row>
    <row r="486" spans="1:62" x14ac:dyDescent="0.2">
      <c r="A486" s="117" t="s">
        <v>439</v>
      </c>
      <c r="B486" s="117" t="s">
        <v>923</v>
      </c>
      <c r="C486" s="304" t="s">
        <v>1512</v>
      </c>
      <c r="D486" s="305"/>
      <c r="E486" s="305"/>
      <c r="F486" s="117" t="s">
        <v>1645</v>
      </c>
      <c r="G486" s="116">
        <v>15.744999999999999</v>
      </c>
      <c r="H486" s="159"/>
      <c r="I486" s="108">
        <f t="shared" ref="I486:I492" si="528">G486*AO486</f>
        <v>0</v>
      </c>
      <c r="J486" s="108">
        <f t="shared" ref="J486:J492" si="529">G486*AP486</f>
        <v>0</v>
      </c>
      <c r="K486" s="108">
        <f t="shared" ref="K486:K492" si="530">G486*H486</f>
        <v>0</v>
      </c>
      <c r="L486" s="111" t="s">
        <v>1671</v>
      </c>
      <c r="Z486" s="100">
        <f t="shared" ref="Z486:Z492" si="531">IF(AQ486="5",BJ486,0)</f>
        <v>0</v>
      </c>
      <c r="AB486" s="100">
        <f t="shared" ref="AB486:AB492" si="532">IF(AQ486="1",BH486,0)</f>
        <v>0</v>
      </c>
      <c r="AC486" s="100">
        <f t="shared" ref="AC486:AC492" si="533">IF(AQ486="1",BI486,0)</f>
        <v>0</v>
      </c>
      <c r="AD486" s="100">
        <f t="shared" ref="AD486:AD492" si="534">IF(AQ486="7",BH486,0)</f>
        <v>0</v>
      </c>
      <c r="AE486" s="100">
        <f t="shared" ref="AE486:AE492" si="535">IF(AQ486="7",BI486,0)</f>
        <v>0</v>
      </c>
      <c r="AF486" s="100">
        <f t="shared" ref="AF486:AF492" si="536">IF(AQ486="2",BH486,0)</f>
        <v>0</v>
      </c>
      <c r="AG486" s="100">
        <f t="shared" ref="AG486:AG492" si="537">IF(AQ486="2",BI486,0)</f>
        <v>0</v>
      </c>
      <c r="AH486" s="100">
        <f t="shared" ref="AH486:AH492" si="538">IF(AQ486="0",BJ486,0)</f>
        <v>0</v>
      </c>
      <c r="AI486" s="109"/>
      <c r="AJ486" s="108">
        <f t="shared" ref="AJ486:AJ492" si="539">IF(AN486=0,K486,0)</f>
        <v>0</v>
      </c>
      <c r="AK486" s="108">
        <f t="shared" ref="AK486:AK492" si="540">IF(AN486=15,K486,0)</f>
        <v>0</v>
      </c>
      <c r="AL486" s="108">
        <f t="shared" ref="AL486:AL492" si="541">IF(AN486=21,K486,0)</f>
        <v>0</v>
      </c>
      <c r="AN486" s="100">
        <v>15</v>
      </c>
      <c r="AO486" s="100">
        <f>H486*0</f>
        <v>0</v>
      </c>
      <c r="AP486" s="100">
        <f>H486*(1-0)</f>
        <v>0</v>
      </c>
      <c r="AQ486" s="111" t="s">
        <v>13</v>
      </c>
      <c r="AV486" s="100">
        <f t="shared" ref="AV486:AV492" si="542">AW486+AX486</f>
        <v>0</v>
      </c>
      <c r="AW486" s="100">
        <f t="shared" ref="AW486:AW492" si="543">G486*AO486</f>
        <v>0</v>
      </c>
      <c r="AX486" s="100">
        <f t="shared" ref="AX486:AX492" si="544">G486*AP486</f>
        <v>0</v>
      </c>
      <c r="AY486" s="110" t="s">
        <v>1718</v>
      </c>
      <c r="AZ486" s="110" t="s">
        <v>1735</v>
      </c>
      <c r="BA486" s="109" t="s">
        <v>1737</v>
      </c>
      <c r="BC486" s="100">
        <f t="shared" ref="BC486:BC492" si="545">AW486+AX486</f>
        <v>0</v>
      </c>
      <c r="BD486" s="100">
        <f t="shared" ref="BD486:BD492" si="546">H486/(100-BE486)*100</f>
        <v>0</v>
      </c>
      <c r="BE486" s="100">
        <v>0</v>
      </c>
      <c r="BF486" s="100">
        <f>486</f>
        <v>486</v>
      </c>
      <c r="BH486" s="108">
        <f t="shared" ref="BH486:BH492" si="547">G486*AO486</f>
        <v>0</v>
      </c>
      <c r="BI486" s="108">
        <f t="shared" ref="BI486:BI492" si="548">G486*AP486</f>
        <v>0</v>
      </c>
      <c r="BJ486" s="108">
        <f t="shared" ref="BJ486:BJ492" si="549">G486*H486</f>
        <v>0</v>
      </c>
    </row>
    <row r="487" spans="1:62" x14ac:dyDescent="0.2">
      <c r="A487" s="117" t="s">
        <v>440</v>
      </c>
      <c r="B487" s="117" t="s">
        <v>924</v>
      </c>
      <c r="C487" s="304" t="s">
        <v>1513</v>
      </c>
      <c r="D487" s="305"/>
      <c r="E487" s="305"/>
      <c r="F487" s="117" t="s">
        <v>1645</v>
      </c>
      <c r="G487" s="116">
        <v>15.744999999999999</v>
      </c>
      <c r="H487" s="159"/>
      <c r="I487" s="108">
        <f t="shared" si="528"/>
        <v>0</v>
      </c>
      <c r="J487" s="108">
        <f t="shared" si="529"/>
        <v>0</v>
      </c>
      <c r="K487" s="108">
        <f t="shared" si="530"/>
        <v>0</v>
      </c>
      <c r="L487" s="111" t="s">
        <v>1671</v>
      </c>
      <c r="Z487" s="100">
        <f t="shared" si="531"/>
        <v>0</v>
      </c>
      <c r="AB487" s="100">
        <f t="shared" si="532"/>
        <v>0</v>
      </c>
      <c r="AC487" s="100">
        <f t="shared" si="533"/>
        <v>0</v>
      </c>
      <c r="AD487" s="100">
        <f t="shared" si="534"/>
        <v>0</v>
      </c>
      <c r="AE487" s="100">
        <f t="shared" si="535"/>
        <v>0</v>
      </c>
      <c r="AF487" s="100">
        <f t="shared" si="536"/>
        <v>0</v>
      </c>
      <c r="AG487" s="100">
        <f t="shared" si="537"/>
        <v>0</v>
      </c>
      <c r="AH487" s="100">
        <f t="shared" si="538"/>
        <v>0</v>
      </c>
      <c r="AI487" s="109"/>
      <c r="AJ487" s="108">
        <f t="shared" si="539"/>
        <v>0</v>
      </c>
      <c r="AK487" s="108">
        <f t="shared" si="540"/>
        <v>0</v>
      </c>
      <c r="AL487" s="108">
        <f t="shared" si="541"/>
        <v>0</v>
      </c>
      <c r="AN487" s="100">
        <v>15</v>
      </c>
      <c r="AO487" s="100">
        <f>H487*0.476936980720068</f>
        <v>0</v>
      </c>
      <c r="AP487" s="100">
        <f>H487*(1-0.476936980720068)</f>
        <v>0</v>
      </c>
      <c r="AQ487" s="111" t="s">
        <v>13</v>
      </c>
      <c r="AV487" s="100">
        <f t="shared" si="542"/>
        <v>0</v>
      </c>
      <c r="AW487" s="100">
        <f t="shared" si="543"/>
        <v>0</v>
      </c>
      <c r="AX487" s="100">
        <f t="shared" si="544"/>
        <v>0</v>
      </c>
      <c r="AY487" s="110" t="s">
        <v>1718</v>
      </c>
      <c r="AZ487" s="110" t="s">
        <v>1735</v>
      </c>
      <c r="BA487" s="109" t="s">
        <v>1737</v>
      </c>
      <c r="BC487" s="100">
        <f t="shared" si="545"/>
        <v>0</v>
      </c>
      <c r="BD487" s="100">
        <f t="shared" si="546"/>
        <v>0</v>
      </c>
      <c r="BE487" s="100">
        <v>0</v>
      </c>
      <c r="BF487" s="100">
        <f>487</f>
        <v>487</v>
      </c>
      <c r="BH487" s="108">
        <f t="shared" si="547"/>
        <v>0</v>
      </c>
      <c r="BI487" s="108">
        <f t="shared" si="548"/>
        <v>0</v>
      </c>
      <c r="BJ487" s="108">
        <f t="shared" si="549"/>
        <v>0</v>
      </c>
    </row>
    <row r="488" spans="1:62" x14ac:dyDescent="0.2">
      <c r="A488" s="117" t="s">
        <v>441</v>
      </c>
      <c r="B488" s="117" t="s">
        <v>925</v>
      </c>
      <c r="C488" s="304" t="s">
        <v>1514</v>
      </c>
      <c r="D488" s="305"/>
      <c r="E488" s="305"/>
      <c r="F488" s="117" t="s">
        <v>1645</v>
      </c>
      <c r="G488" s="116">
        <v>15.744999999999999</v>
      </c>
      <c r="H488" s="159"/>
      <c r="I488" s="108">
        <f t="shared" si="528"/>
        <v>0</v>
      </c>
      <c r="J488" s="108">
        <f t="shared" si="529"/>
        <v>0</v>
      </c>
      <c r="K488" s="108">
        <f t="shared" si="530"/>
        <v>0</v>
      </c>
      <c r="L488" s="111" t="s">
        <v>1671</v>
      </c>
      <c r="Z488" s="100">
        <f t="shared" si="531"/>
        <v>0</v>
      </c>
      <c r="AB488" s="100">
        <f t="shared" si="532"/>
        <v>0</v>
      </c>
      <c r="AC488" s="100">
        <f t="shared" si="533"/>
        <v>0</v>
      </c>
      <c r="AD488" s="100">
        <f t="shared" si="534"/>
        <v>0</v>
      </c>
      <c r="AE488" s="100">
        <f t="shared" si="535"/>
        <v>0</v>
      </c>
      <c r="AF488" s="100">
        <f t="shared" si="536"/>
        <v>0</v>
      </c>
      <c r="AG488" s="100">
        <f t="shared" si="537"/>
        <v>0</v>
      </c>
      <c r="AH488" s="100">
        <f t="shared" si="538"/>
        <v>0</v>
      </c>
      <c r="AI488" s="109"/>
      <c r="AJ488" s="108">
        <f t="shared" si="539"/>
        <v>0</v>
      </c>
      <c r="AK488" s="108">
        <f t="shared" si="540"/>
        <v>0</v>
      </c>
      <c r="AL488" s="108">
        <f t="shared" si="541"/>
        <v>0</v>
      </c>
      <c r="AN488" s="100">
        <v>15</v>
      </c>
      <c r="AO488" s="100">
        <f>H488*0</f>
        <v>0</v>
      </c>
      <c r="AP488" s="100">
        <f>H488*(1-0)</f>
        <v>0</v>
      </c>
      <c r="AQ488" s="111" t="s">
        <v>13</v>
      </c>
      <c r="AV488" s="100">
        <f t="shared" si="542"/>
        <v>0</v>
      </c>
      <c r="AW488" s="100">
        <f t="shared" si="543"/>
        <v>0</v>
      </c>
      <c r="AX488" s="100">
        <f t="shared" si="544"/>
        <v>0</v>
      </c>
      <c r="AY488" s="110" t="s">
        <v>1718</v>
      </c>
      <c r="AZ488" s="110" t="s">
        <v>1735</v>
      </c>
      <c r="BA488" s="109" t="s">
        <v>1737</v>
      </c>
      <c r="BC488" s="100">
        <f t="shared" si="545"/>
        <v>0</v>
      </c>
      <c r="BD488" s="100">
        <f t="shared" si="546"/>
        <v>0</v>
      </c>
      <c r="BE488" s="100">
        <v>0</v>
      </c>
      <c r="BF488" s="100">
        <f>488</f>
        <v>488</v>
      </c>
      <c r="BH488" s="108">
        <f t="shared" si="547"/>
        <v>0</v>
      </c>
      <c r="BI488" s="108">
        <f t="shared" si="548"/>
        <v>0</v>
      </c>
      <c r="BJ488" s="108">
        <f t="shared" si="549"/>
        <v>0</v>
      </c>
    </row>
    <row r="489" spans="1:62" x14ac:dyDescent="0.2">
      <c r="A489" s="124" t="s">
        <v>442</v>
      </c>
      <c r="B489" s="124" t="s">
        <v>926</v>
      </c>
      <c r="C489" s="311" t="s">
        <v>1515</v>
      </c>
      <c r="D489" s="312"/>
      <c r="E489" s="312"/>
      <c r="F489" s="124" t="s">
        <v>1645</v>
      </c>
      <c r="G489" s="123">
        <v>16.532</v>
      </c>
      <c r="H489" s="160"/>
      <c r="I489" s="121">
        <f t="shared" si="528"/>
        <v>0</v>
      </c>
      <c r="J489" s="121">
        <f t="shared" si="529"/>
        <v>0</v>
      </c>
      <c r="K489" s="121">
        <f t="shared" si="530"/>
        <v>0</v>
      </c>
      <c r="L489" s="122" t="s">
        <v>1671</v>
      </c>
      <c r="Z489" s="100">
        <f t="shared" si="531"/>
        <v>0</v>
      </c>
      <c r="AB489" s="100">
        <f t="shared" si="532"/>
        <v>0</v>
      </c>
      <c r="AC489" s="100">
        <f t="shared" si="533"/>
        <v>0</v>
      </c>
      <c r="AD489" s="100">
        <f t="shared" si="534"/>
        <v>0</v>
      </c>
      <c r="AE489" s="100">
        <f t="shared" si="535"/>
        <v>0</v>
      </c>
      <c r="AF489" s="100">
        <f t="shared" si="536"/>
        <v>0</v>
      </c>
      <c r="AG489" s="100">
        <f t="shared" si="537"/>
        <v>0</v>
      </c>
      <c r="AH489" s="100">
        <f t="shared" si="538"/>
        <v>0</v>
      </c>
      <c r="AI489" s="109"/>
      <c r="AJ489" s="121">
        <f t="shared" si="539"/>
        <v>0</v>
      </c>
      <c r="AK489" s="121">
        <f t="shared" si="540"/>
        <v>0</v>
      </c>
      <c r="AL489" s="121">
        <f t="shared" si="541"/>
        <v>0</v>
      </c>
      <c r="AN489" s="100">
        <v>15</v>
      </c>
      <c r="AO489" s="100">
        <f>H489*1</f>
        <v>0</v>
      </c>
      <c r="AP489" s="100">
        <f>H489*(1-1)</f>
        <v>0</v>
      </c>
      <c r="AQ489" s="122" t="s">
        <v>13</v>
      </c>
      <c r="AV489" s="100">
        <f t="shared" si="542"/>
        <v>0</v>
      </c>
      <c r="AW489" s="100">
        <f t="shared" si="543"/>
        <v>0</v>
      </c>
      <c r="AX489" s="100">
        <f t="shared" si="544"/>
        <v>0</v>
      </c>
      <c r="AY489" s="110" t="s">
        <v>1718</v>
      </c>
      <c r="AZ489" s="110" t="s">
        <v>1735</v>
      </c>
      <c r="BA489" s="109" t="s">
        <v>1737</v>
      </c>
      <c r="BC489" s="100">
        <f t="shared" si="545"/>
        <v>0</v>
      </c>
      <c r="BD489" s="100">
        <f t="shared" si="546"/>
        <v>0</v>
      </c>
      <c r="BE489" s="100">
        <v>0</v>
      </c>
      <c r="BF489" s="100">
        <f>489</f>
        <v>489</v>
      </c>
      <c r="BH489" s="121">
        <f t="shared" si="547"/>
        <v>0</v>
      </c>
      <c r="BI489" s="121">
        <f t="shared" si="548"/>
        <v>0</v>
      </c>
      <c r="BJ489" s="121">
        <f t="shared" si="549"/>
        <v>0</v>
      </c>
    </row>
    <row r="490" spans="1:62" x14ac:dyDescent="0.2">
      <c r="A490" s="117" t="s">
        <v>443</v>
      </c>
      <c r="B490" s="117" t="s">
        <v>927</v>
      </c>
      <c r="C490" s="304" t="s">
        <v>1516</v>
      </c>
      <c r="D490" s="305"/>
      <c r="E490" s="305"/>
      <c r="F490" s="117" t="s">
        <v>1646</v>
      </c>
      <c r="G490" s="116">
        <v>20.13</v>
      </c>
      <c r="H490" s="159"/>
      <c r="I490" s="108">
        <f t="shared" si="528"/>
        <v>0</v>
      </c>
      <c r="J490" s="108">
        <f t="shared" si="529"/>
        <v>0</v>
      </c>
      <c r="K490" s="108">
        <f t="shared" si="530"/>
        <v>0</v>
      </c>
      <c r="L490" s="111" t="s">
        <v>1671</v>
      </c>
      <c r="Z490" s="100">
        <f t="shared" si="531"/>
        <v>0</v>
      </c>
      <c r="AB490" s="100">
        <f t="shared" si="532"/>
        <v>0</v>
      </c>
      <c r="AC490" s="100">
        <f t="shared" si="533"/>
        <v>0</v>
      </c>
      <c r="AD490" s="100">
        <f t="shared" si="534"/>
        <v>0</v>
      </c>
      <c r="AE490" s="100">
        <f t="shared" si="535"/>
        <v>0</v>
      </c>
      <c r="AF490" s="100">
        <f t="shared" si="536"/>
        <v>0</v>
      </c>
      <c r="AG490" s="100">
        <f t="shared" si="537"/>
        <v>0</v>
      </c>
      <c r="AH490" s="100">
        <f t="shared" si="538"/>
        <v>0</v>
      </c>
      <c r="AI490" s="109"/>
      <c r="AJ490" s="108">
        <f t="shared" si="539"/>
        <v>0</v>
      </c>
      <c r="AK490" s="108">
        <f t="shared" si="540"/>
        <v>0</v>
      </c>
      <c r="AL490" s="108">
        <f t="shared" si="541"/>
        <v>0</v>
      </c>
      <c r="AN490" s="100">
        <v>15</v>
      </c>
      <c r="AO490" s="100">
        <f>H490*0.0774900451184066</f>
        <v>0</v>
      </c>
      <c r="AP490" s="100">
        <f>H490*(1-0.0774900451184066)</f>
        <v>0</v>
      </c>
      <c r="AQ490" s="111" t="s">
        <v>13</v>
      </c>
      <c r="AV490" s="100">
        <f t="shared" si="542"/>
        <v>0</v>
      </c>
      <c r="AW490" s="100">
        <f t="shared" si="543"/>
        <v>0</v>
      </c>
      <c r="AX490" s="100">
        <f t="shared" si="544"/>
        <v>0</v>
      </c>
      <c r="AY490" s="110" t="s">
        <v>1718</v>
      </c>
      <c r="AZ490" s="110" t="s">
        <v>1735</v>
      </c>
      <c r="BA490" s="109" t="s">
        <v>1737</v>
      </c>
      <c r="BC490" s="100">
        <f t="shared" si="545"/>
        <v>0</v>
      </c>
      <c r="BD490" s="100">
        <f t="shared" si="546"/>
        <v>0</v>
      </c>
      <c r="BE490" s="100">
        <v>0</v>
      </c>
      <c r="BF490" s="100">
        <f>490</f>
        <v>490</v>
      </c>
      <c r="BH490" s="108">
        <f t="shared" si="547"/>
        <v>0</v>
      </c>
      <c r="BI490" s="108">
        <f t="shared" si="548"/>
        <v>0</v>
      </c>
      <c r="BJ490" s="108">
        <f t="shared" si="549"/>
        <v>0</v>
      </c>
    </row>
    <row r="491" spans="1:62" x14ac:dyDescent="0.2">
      <c r="A491" s="124" t="s">
        <v>444</v>
      </c>
      <c r="B491" s="124" t="s">
        <v>928</v>
      </c>
      <c r="C491" s="311" t="s">
        <v>1517</v>
      </c>
      <c r="D491" s="312"/>
      <c r="E491" s="312"/>
      <c r="F491" s="124" t="s">
        <v>1645</v>
      </c>
      <c r="G491" s="123">
        <v>2.516</v>
      </c>
      <c r="H491" s="160"/>
      <c r="I491" s="121">
        <f t="shared" si="528"/>
        <v>0</v>
      </c>
      <c r="J491" s="121">
        <f t="shared" si="529"/>
        <v>0</v>
      </c>
      <c r="K491" s="121">
        <f t="shared" si="530"/>
        <v>0</v>
      </c>
      <c r="L491" s="122" t="s">
        <v>1671</v>
      </c>
      <c r="Z491" s="100">
        <f t="shared" si="531"/>
        <v>0</v>
      </c>
      <c r="AB491" s="100">
        <f t="shared" si="532"/>
        <v>0</v>
      </c>
      <c r="AC491" s="100">
        <f t="shared" si="533"/>
        <v>0</v>
      </c>
      <c r="AD491" s="100">
        <f t="shared" si="534"/>
        <v>0</v>
      </c>
      <c r="AE491" s="100">
        <f t="shared" si="535"/>
        <v>0</v>
      </c>
      <c r="AF491" s="100">
        <f t="shared" si="536"/>
        <v>0</v>
      </c>
      <c r="AG491" s="100">
        <f t="shared" si="537"/>
        <v>0</v>
      </c>
      <c r="AH491" s="100">
        <f t="shared" si="538"/>
        <v>0</v>
      </c>
      <c r="AI491" s="109"/>
      <c r="AJ491" s="121">
        <f t="shared" si="539"/>
        <v>0</v>
      </c>
      <c r="AK491" s="121">
        <f t="shared" si="540"/>
        <v>0</v>
      </c>
      <c r="AL491" s="121">
        <f t="shared" si="541"/>
        <v>0</v>
      </c>
      <c r="AN491" s="100">
        <v>15</v>
      </c>
      <c r="AO491" s="100">
        <f>H491*1</f>
        <v>0</v>
      </c>
      <c r="AP491" s="100">
        <f>H491*(1-1)</f>
        <v>0</v>
      </c>
      <c r="AQ491" s="122" t="s">
        <v>13</v>
      </c>
      <c r="AV491" s="100">
        <f t="shared" si="542"/>
        <v>0</v>
      </c>
      <c r="AW491" s="100">
        <f t="shared" si="543"/>
        <v>0</v>
      </c>
      <c r="AX491" s="100">
        <f t="shared" si="544"/>
        <v>0</v>
      </c>
      <c r="AY491" s="110" t="s">
        <v>1718</v>
      </c>
      <c r="AZ491" s="110" t="s">
        <v>1735</v>
      </c>
      <c r="BA491" s="109" t="s">
        <v>1737</v>
      </c>
      <c r="BC491" s="100">
        <f t="shared" si="545"/>
        <v>0</v>
      </c>
      <c r="BD491" s="100">
        <f t="shared" si="546"/>
        <v>0</v>
      </c>
      <c r="BE491" s="100">
        <v>0</v>
      </c>
      <c r="BF491" s="100">
        <f>491</f>
        <v>491</v>
      </c>
      <c r="BH491" s="121">
        <f t="shared" si="547"/>
        <v>0</v>
      </c>
      <c r="BI491" s="121">
        <f t="shared" si="548"/>
        <v>0</v>
      </c>
      <c r="BJ491" s="121">
        <f t="shared" si="549"/>
        <v>0</v>
      </c>
    </row>
    <row r="492" spans="1:62" x14ac:dyDescent="0.2">
      <c r="A492" s="117" t="s">
        <v>445</v>
      </c>
      <c r="B492" s="117" t="s">
        <v>929</v>
      </c>
      <c r="C492" s="304" t="s">
        <v>1518</v>
      </c>
      <c r="D492" s="305"/>
      <c r="E492" s="305"/>
      <c r="F492" s="117" t="s">
        <v>1648</v>
      </c>
      <c r="G492" s="116">
        <v>0.56799999999999995</v>
      </c>
      <c r="H492" s="159"/>
      <c r="I492" s="108">
        <f t="shared" si="528"/>
        <v>0</v>
      </c>
      <c r="J492" s="108">
        <f t="shared" si="529"/>
        <v>0</v>
      </c>
      <c r="K492" s="108">
        <f t="shared" si="530"/>
        <v>0</v>
      </c>
      <c r="L492" s="111" t="s">
        <v>1671</v>
      </c>
      <c r="Z492" s="100">
        <f t="shared" si="531"/>
        <v>0</v>
      </c>
      <c r="AB492" s="100">
        <f t="shared" si="532"/>
        <v>0</v>
      </c>
      <c r="AC492" s="100">
        <f t="shared" si="533"/>
        <v>0</v>
      </c>
      <c r="AD492" s="100">
        <f t="shared" si="534"/>
        <v>0</v>
      </c>
      <c r="AE492" s="100">
        <f t="shared" si="535"/>
        <v>0</v>
      </c>
      <c r="AF492" s="100">
        <f t="shared" si="536"/>
        <v>0</v>
      </c>
      <c r="AG492" s="100">
        <f t="shared" si="537"/>
        <v>0</v>
      </c>
      <c r="AH492" s="100">
        <f t="shared" si="538"/>
        <v>0</v>
      </c>
      <c r="AI492" s="109"/>
      <c r="AJ492" s="108">
        <f t="shared" si="539"/>
        <v>0</v>
      </c>
      <c r="AK492" s="108">
        <f t="shared" si="540"/>
        <v>0</v>
      </c>
      <c r="AL492" s="108">
        <f t="shared" si="541"/>
        <v>0</v>
      </c>
      <c r="AN492" s="100">
        <v>15</v>
      </c>
      <c r="AO492" s="100">
        <f>H492*0</f>
        <v>0</v>
      </c>
      <c r="AP492" s="100">
        <f>H492*(1-0)</f>
        <v>0</v>
      </c>
      <c r="AQ492" s="111" t="s">
        <v>11</v>
      </c>
      <c r="AV492" s="100">
        <f t="shared" si="542"/>
        <v>0</v>
      </c>
      <c r="AW492" s="100">
        <f t="shared" si="543"/>
        <v>0</v>
      </c>
      <c r="AX492" s="100">
        <f t="shared" si="544"/>
        <v>0</v>
      </c>
      <c r="AY492" s="110" t="s">
        <v>1718</v>
      </c>
      <c r="AZ492" s="110" t="s">
        <v>1735</v>
      </c>
      <c r="BA492" s="109" t="s">
        <v>1737</v>
      </c>
      <c r="BC492" s="100">
        <f t="shared" si="545"/>
        <v>0</v>
      </c>
      <c r="BD492" s="100">
        <f t="shared" si="546"/>
        <v>0</v>
      </c>
      <c r="BE492" s="100">
        <v>0</v>
      </c>
      <c r="BF492" s="100">
        <f>492</f>
        <v>492</v>
      </c>
      <c r="BH492" s="108">
        <f t="shared" si="547"/>
        <v>0</v>
      </c>
      <c r="BI492" s="108">
        <f t="shared" si="548"/>
        <v>0</v>
      </c>
      <c r="BJ492" s="108">
        <f t="shared" si="549"/>
        <v>0</v>
      </c>
    </row>
    <row r="493" spans="1:62" x14ac:dyDescent="0.2">
      <c r="A493" s="119"/>
      <c r="B493" s="120" t="s">
        <v>930</v>
      </c>
      <c r="C493" s="306" t="s">
        <v>1519</v>
      </c>
      <c r="D493" s="307"/>
      <c r="E493" s="307"/>
      <c r="F493" s="119" t="s">
        <v>6</v>
      </c>
      <c r="G493" s="119" t="s">
        <v>6</v>
      </c>
      <c r="H493" s="119" t="s">
        <v>6</v>
      </c>
      <c r="I493" s="118">
        <f>SUM(I494:I498)</f>
        <v>0</v>
      </c>
      <c r="J493" s="118">
        <f>SUM(J494:J498)</f>
        <v>0</v>
      </c>
      <c r="K493" s="118">
        <f>SUM(K494:K498)</f>
        <v>0</v>
      </c>
      <c r="L493" s="109"/>
      <c r="AI493" s="109"/>
      <c r="AS493" s="118">
        <f>SUM(AJ494:AJ498)</f>
        <v>0</v>
      </c>
      <c r="AT493" s="118">
        <f>SUM(AK494:AK498)</f>
        <v>0</v>
      </c>
      <c r="AU493" s="118">
        <f>SUM(AL494:AL498)</f>
        <v>0</v>
      </c>
    </row>
    <row r="494" spans="1:62" x14ac:dyDescent="0.2">
      <c r="A494" s="117" t="s">
        <v>446</v>
      </c>
      <c r="B494" s="117" t="s">
        <v>931</v>
      </c>
      <c r="C494" s="304" t="s">
        <v>1520</v>
      </c>
      <c r="D494" s="305"/>
      <c r="E494" s="305"/>
      <c r="F494" s="117" t="s">
        <v>1645</v>
      </c>
      <c r="G494" s="116">
        <v>578.35599999999999</v>
      </c>
      <c r="H494" s="159"/>
      <c r="I494" s="108">
        <f>G494*AO494</f>
        <v>0</v>
      </c>
      <c r="J494" s="108">
        <f>G494*AP494</f>
        <v>0</v>
      </c>
      <c r="K494" s="108">
        <f>G494*H494</f>
        <v>0</v>
      </c>
      <c r="L494" s="111" t="s">
        <v>1671</v>
      </c>
      <c r="Z494" s="100">
        <f>IF(AQ494="5",BJ494,0)</f>
        <v>0</v>
      </c>
      <c r="AB494" s="100">
        <f>IF(AQ494="1",BH494,0)</f>
        <v>0</v>
      </c>
      <c r="AC494" s="100">
        <f>IF(AQ494="1",BI494,0)</f>
        <v>0</v>
      </c>
      <c r="AD494" s="100">
        <f>IF(AQ494="7",BH494,0)</f>
        <v>0</v>
      </c>
      <c r="AE494" s="100">
        <f>IF(AQ494="7",BI494,0)</f>
        <v>0</v>
      </c>
      <c r="AF494" s="100">
        <f>IF(AQ494="2",BH494,0)</f>
        <v>0</v>
      </c>
      <c r="AG494" s="100">
        <f>IF(AQ494="2",BI494,0)</f>
        <v>0</v>
      </c>
      <c r="AH494" s="100">
        <f>IF(AQ494="0",BJ494,0)</f>
        <v>0</v>
      </c>
      <c r="AI494" s="109"/>
      <c r="AJ494" s="108">
        <f>IF(AN494=0,K494,0)</f>
        <v>0</v>
      </c>
      <c r="AK494" s="108">
        <f>IF(AN494=15,K494,0)</f>
        <v>0</v>
      </c>
      <c r="AL494" s="108">
        <f>IF(AN494=21,K494,0)</f>
        <v>0</v>
      </c>
      <c r="AN494" s="100">
        <v>15</v>
      </c>
      <c r="AO494" s="100">
        <f>H494*0</f>
        <v>0</v>
      </c>
      <c r="AP494" s="100">
        <f>H494*(1-0)</f>
        <v>0</v>
      </c>
      <c r="AQ494" s="111" t="s">
        <v>13</v>
      </c>
      <c r="AV494" s="100">
        <f>AW494+AX494</f>
        <v>0</v>
      </c>
      <c r="AW494" s="100">
        <f>G494*AO494</f>
        <v>0</v>
      </c>
      <c r="AX494" s="100">
        <f>G494*AP494</f>
        <v>0</v>
      </c>
      <c r="AY494" s="110" t="s">
        <v>1719</v>
      </c>
      <c r="AZ494" s="110" t="s">
        <v>1736</v>
      </c>
      <c r="BA494" s="109" t="s">
        <v>1737</v>
      </c>
      <c r="BC494" s="100">
        <f>AW494+AX494</f>
        <v>0</v>
      </c>
      <c r="BD494" s="100">
        <f>H494/(100-BE494)*100</f>
        <v>0</v>
      </c>
      <c r="BE494" s="100">
        <v>0</v>
      </c>
      <c r="BF494" s="100">
        <f>494</f>
        <v>494</v>
      </c>
      <c r="BH494" s="108">
        <f>G494*AO494</f>
        <v>0</v>
      </c>
      <c r="BI494" s="108">
        <f>G494*AP494</f>
        <v>0</v>
      </c>
      <c r="BJ494" s="108">
        <f>G494*H494</f>
        <v>0</v>
      </c>
    </row>
    <row r="495" spans="1:62" x14ac:dyDescent="0.2">
      <c r="A495" s="117" t="s">
        <v>447</v>
      </c>
      <c r="B495" s="117" t="s">
        <v>932</v>
      </c>
      <c r="C495" s="304" t="s">
        <v>1521</v>
      </c>
      <c r="D495" s="305"/>
      <c r="E495" s="305"/>
      <c r="F495" s="117" t="s">
        <v>1645</v>
      </c>
      <c r="G495" s="116">
        <v>105.97799999999999</v>
      </c>
      <c r="H495" s="159"/>
      <c r="I495" s="108">
        <f>G495*AO495</f>
        <v>0</v>
      </c>
      <c r="J495" s="108">
        <f>G495*AP495</f>
        <v>0</v>
      </c>
      <c r="K495" s="108">
        <f>G495*H495</f>
        <v>0</v>
      </c>
      <c r="L495" s="111" t="s">
        <v>1671</v>
      </c>
      <c r="Z495" s="100">
        <f>IF(AQ495="5",BJ495,0)</f>
        <v>0</v>
      </c>
      <c r="AB495" s="100">
        <f>IF(AQ495="1",BH495,0)</f>
        <v>0</v>
      </c>
      <c r="AC495" s="100">
        <f>IF(AQ495="1",BI495,0)</f>
        <v>0</v>
      </c>
      <c r="AD495" s="100">
        <f>IF(AQ495="7",BH495,0)</f>
        <v>0</v>
      </c>
      <c r="AE495" s="100">
        <f>IF(AQ495="7",BI495,0)</f>
        <v>0</v>
      </c>
      <c r="AF495" s="100">
        <f>IF(AQ495="2",BH495,0)</f>
        <v>0</v>
      </c>
      <c r="AG495" s="100">
        <f>IF(AQ495="2",BI495,0)</f>
        <v>0</v>
      </c>
      <c r="AH495" s="100">
        <f>IF(AQ495="0",BJ495,0)</f>
        <v>0</v>
      </c>
      <c r="AI495" s="109"/>
      <c r="AJ495" s="108">
        <f>IF(AN495=0,K495,0)</f>
        <v>0</v>
      </c>
      <c r="AK495" s="108">
        <f>IF(AN495=15,K495,0)</f>
        <v>0</v>
      </c>
      <c r="AL495" s="108">
        <f>IF(AN495=21,K495,0)</f>
        <v>0</v>
      </c>
      <c r="AN495" s="100">
        <v>15</v>
      </c>
      <c r="AO495" s="100">
        <f>H495*0.590823892373661</f>
        <v>0</v>
      </c>
      <c r="AP495" s="100">
        <f>H495*(1-0.590823892373661)</f>
        <v>0</v>
      </c>
      <c r="AQ495" s="111" t="s">
        <v>13</v>
      </c>
      <c r="AV495" s="100">
        <f>AW495+AX495</f>
        <v>0</v>
      </c>
      <c r="AW495" s="100">
        <f>G495*AO495</f>
        <v>0</v>
      </c>
      <c r="AX495" s="100">
        <f>G495*AP495</f>
        <v>0</v>
      </c>
      <c r="AY495" s="110" t="s">
        <v>1719</v>
      </c>
      <c r="AZ495" s="110" t="s">
        <v>1736</v>
      </c>
      <c r="BA495" s="109" t="s">
        <v>1737</v>
      </c>
      <c r="BC495" s="100">
        <f>AW495+AX495</f>
        <v>0</v>
      </c>
      <c r="BD495" s="100">
        <f>H495/(100-BE495)*100</f>
        <v>0</v>
      </c>
      <c r="BE495" s="100">
        <v>0</v>
      </c>
      <c r="BF495" s="100">
        <f>495</f>
        <v>495</v>
      </c>
      <c r="BH495" s="108">
        <f>G495*AO495</f>
        <v>0</v>
      </c>
      <c r="BI495" s="108">
        <f>G495*AP495</f>
        <v>0</v>
      </c>
      <c r="BJ495" s="108">
        <f>G495*H495</f>
        <v>0</v>
      </c>
    </row>
    <row r="496" spans="1:62" x14ac:dyDescent="0.2">
      <c r="A496" s="117" t="s">
        <v>448</v>
      </c>
      <c r="B496" s="117" t="s">
        <v>933</v>
      </c>
      <c r="C496" s="304" t="s">
        <v>1522</v>
      </c>
      <c r="D496" s="305"/>
      <c r="E496" s="305"/>
      <c r="F496" s="117" t="s">
        <v>1645</v>
      </c>
      <c r="G496" s="116">
        <v>578.35599999999999</v>
      </c>
      <c r="H496" s="159"/>
      <c r="I496" s="108">
        <f>G496*AO496</f>
        <v>0</v>
      </c>
      <c r="J496" s="108">
        <f>G496*AP496</f>
        <v>0</v>
      </c>
      <c r="K496" s="108">
        <f>G496*H496</f>
        <v>0</v>
      </c>
      <c r="L496" s="111" t="s">
        <v>1671</v>
      </c>
      <c r="Z496" s="100">
        <f>IF(AQ496="5",BJ496,0)</f>
        <v>0</v>
      </c>
      <c r="AB496" s="100">
        <f>IF(AQ496="1",BH496,0)</f>
        <v>0</v>
      </c>
      <c r="AC496" s="100">
        <f>IF(AQ496="1",BI496,0)</f>
        <v>0</v>
      </c>
      <c r="AD496" s="100">
        <f>IF(AQ496="7",BH496,0)</f>
        <v>0</v>
      </c>
      <c r="AE496" s="100">
        <f>IF(AQ496="7",BI496,0)</f>
        <v>0</v>
      </c>
      <c r="AF496" s="100">
        <f>IF(AQ496="2",BH496,0)</f>
        <v>0</v>
      </c>
      <c r="AG496" s="100">
        <f>IF(AQ496="2",BI496,0)</f>
        <v>0</v>
      </c>
      <c r="AH496" s="100">
        <f>IF(AQ496="0",BJ496,0)</f>
        <v>0</v>
      </c>
      <c r="AI496" s="109"/>
      <c r="AJ496" s="108">
        <f>IF(AN496=0,K496,0)</f>
        <v>0</v>
      </c>
      <c r="AK496" s="108">
        <f>IF(AN496=15,K496,0)</f>
        <v>0</v>
      </c>
      <c r="AL496" s="108">
        <f>IF(AN496=21,K496,0)</f>
        <v>0</v>
      </c>
      <c r="AN496" s="100">
        <v>15</v>
      </c>
      <c r="AO496" s="100">
        <f>H496*0.400704235110327</f>
        <v>0</v>
      </c>
      <c r="AP496" s="100">
        <f>H496*(1-0.400704235110327)</f>
        <v>0</v>
      </c>
      <c r="AQ496" s="111" t="s">
        <v>13</v>
      </c>
      <c r="AV496" s="100">
        <f>AW496+AX496</f>
        <v>0</v>
      </c>
      <c r="AW496" s="100">
        <f>G496*AO496</f>
        <v>0</v>
      </c>
      <c r="AX496" s="100">
        <f>G496*AP496</f>
        <v>0</v>
      </c>
      <c r="AY496" s="110" t="s">
        <v>1719</v>
      </c>
      <c r="AZ496" s="110" t="s">
        <v>1736</v>
      </c>
      <c r="BA496" s="109" t="s">
        <v>1737</v>
      </c>
      <c r="BC496" s="100">
        <f>AW496+AX496</f>
        <v>0</v>
      </c>
      <c r="BD496" s="100">
        <f>H496/(100-BE496)*100</f>
        <v>0</v>
      </c>
      <c r="BE496" s="100">
        <v>0</v>
      </c>
      <c r="BF496" s="100">
        <f>496</f>
        <v>496</v>
      </c>
      <c r="BH496" s="108">
        <f>G496*AO496</f>
        <v>0</v>
      </c>
      <c r="BI496" s="108">
        <f>G496*AP496</f>
        <v>0</v>
      </c>
      <c r="BJ496" s="108">
        <f>G496*H496</f>
        <v>0</v>
      </c>
    </row>
    <row r="497" spans="1:62" x14ac:dyDescent="0.2">
      <c r="A497" s="117" t="s">
        <v>449</v>
      </c>
      <c r="B497" s="117" t="s">
        <v>934</v>
      </c>
      <c r="C497" s="304" t="s">
        <v>1523</v>
      </c>
      <c r="D497" s="305"/>
      <c r="E497" s="305"/>
      <c r="F497" s="117" t="s">
        <v>1645</v>
      </c>
      <c r="G497" s="116">
        <v>163.66999999999999</v>
      </c>
      <c r="H497" s="159"/>
      <c r="I497" s="108">
        <f>G497*AO497</f>
        <v>0</v>
      </c>
      <c r="J497" s="108">
        <f>G497*AP497</f>
        <v>0</v>
      </c>
      <c r="K497" s="108">
        <f>G497*H497</f>
        <v>0</v>
      </c>
      <c r="L497" s="111" t="s">
        <v>1671</v>
      </c>
      <c r="Z497" s="100">
        <f>IF(AQ497="5",BJ497,0)</f>
        <v>0</v>
      </c>
      <c r="AB497" s="100">
        <f>IF(AQ497="1",BH497,0)</f>
        <v>0</v>
      </c>
      <c r="AC497" s="100">
        <f>IF(AQ497="1",BI497,0)</f>
        <v>0</v>
      </c>
      <c r="AD497" s="100">
        <f>IF(AQ497="7",BH497,0)</f>
        <v>0</v>
      </c>
      <c r="AE497" s="100">
        <f>IF(AQ497="7",BI497,0)</f>
        <v>0</v>
      </c>
      <c r="AF497" s="100">
        <f>IF(AQ497="2",BH497,0)</f>
        <v>0</v>
      </c>
      <c r="AG497" s="100">
        <f>IF(AQ497="2",BI497,0)</f>
        <v>0</v>
      </c>
      <c r="AH497" s="100">
        <f>IF(AQ497="0",BJ497,0)</f>
        <v>0</v>
      </c>
      <c r="AI497" s="109"/>
      <c r="AJ497" s="108">
        <f>IF(AN497=0,K497,0)</f>
        <v>0</v>
      </c>
      <c r="AK497" s="108">
        <f>IF(AN497=15,K497,0)</f>
        <v>0</v>
      </c>
      <c r="AL497" s="108">
        <f>IF(AN497=21,K497,0)</f>
        <v>0</v>
      </c>
      <c r="AN497" s="100">
        <v>15</v>
      </c>
      <c r="AO497" s="100">
        <f>H497*0.122818181818182</f>
        <v>0</v>
      </c>
      <c r="AP497" s="100">
        <f>H497*(1-0.122818181818182)</f>
        <v>0</v>
      </c>
      <c r="AQ497" s="111" t="s">
        <v>13</v>
      </c>
      <c r="AV497" s="100">
        <f>AW497+AX497</f>
        <v>0</v>
      </c>
      <c r="AW497" s="100">
        <f>G497*AO497</f>
        <v>0</v>
      </c>
      <c r="AX497" s="100">
        <f>G497*AP497</f>
        <v>0</v>
      </c>
      <c r="AY497" s="110" t="s">
        <v>1719</v>
      </c>
      <c r="AZ497" s="110" t="s">
        <v>1736</v>
      </c>
      <c r="BA497" s="109" t="s">
        <v>1737</v>
      </c>
      <c r="BC497" s="100">
        <f>AW497+AX497</f>
        <v>0</v>
      </c>
      <c r="BD497" s="100">
        <f>H497/(100-BE497)*100</f>
        <v>0</v>
      </c>
      <c r="BE497" s="100">
        <v>0</v>
      </c>
      <c r="BF497" s="100">
        <f>497</f>
        <v>497</v>
      </c>
      <c r="BH497" s="108">
        <f>G497*AO497</f>
        <v>0</v>
      </c>
      <c r="BI497" s="108">
        <f>G497*AP497</f>
        <v>0</v>
      </c>
      <c r="BJ497" s="108">
        <f>G497*H497</f>
        <v>0</v>
      </c>
    </row>
    <row r="498" spans="1:62" x14ac:dyDescent="0.2">
      <c r="A498" s="117" t="s">
        <v>450</v>
      </c>
      <c r="B498" s="117" t="s">
        <v>935</v>
      </c>
      <c r="C498" s="304" t="s">
        <v>1524</v>
      </c>
      <c r="D498" s="305"/>
      <c r="E498" s="305"/>
      <c r="F498" s="117" t="s">
        <v>1645</v>
      </c>
      <c r="G498" s="116">
        <v>414.68599999999998</v>
      </c>
      <c r="H498" s="159"/>
      <c r="I498" s="108">
        <f>G498*AO498</f>
        <v>0</v>
      </c>
      <c r="J498" s="108">
        <f>G498*AP498</f>
        <v>0</v>
      </c>
      <c r="K498" s="108">
        <f>G498*H498</f>
        <v>0</v>
      </c>
      <c r="L498" s="111" t="s">
        <v>1671</v>
      </c>
      <c r="Z498" s="100">
        <f>IF(AQ498="5",BJ498,0)</f>
        <v>0</v>
      </c>
      <c r="AB498" s="100">
        <f>IF(AQ498="1",BH498,0)</f>
        <v>0</v>
      </c>
      <c r="AC498" s="100">
        <f>IF(AQ498="1",BI498,0)</f>
        <v>0</v>
      </c>
      <c r="AD498" s="100">
        <f>IF(AQ498="7",BH498,0)</f>
        <v>0</v>
      </c>
      <c r="AE498" s="100">
        <f>IF(AQ498="7",BI498,0)</f>
        <v>0</v>
      </c>
      <c r="AF498" s="100">
        <f>IF(AQ498="2",BH498,0)</f>
        <v>0</v>
      </c>
      <c r="AG498" s="100">
        <f>IF(AQ498="2",BI498,0)</f>
        <v>0</v>
      </c>
      <c r="AH498" s="100">
        <f>IF(AQ498="0",BJ498,0)</f>
        <v>0</v>
      </c>
      <c r="AI498" s="109"/>
      <c r="AJ498" s="108">
        <f>IF(AN498=0,K498,0)</f>
        <v>0</v>
      </c>
      <c r="AK498" s="108">
        <f>IF(AN498=15,K498,0)</f>
        <v>0</v>
      </c>
      <c r="AL498" s="108">
        <f>IF(AN498=21,K498,0)</f>
        <v>0</v>
      </c>
      <c r="AN498" s="100">
        <v>15</v>
      </c>
      <c r="AO498" s="100">
        <f>H498*0.0909911438928038</f>
        <v>0</v>
      </c>
      <c r="AP498" s="100">
        <f>H498*(1-0.0909911438928038)</f>
        <v>0</v>
      </c>
      <c r="AQ498" s="111" t="s">
        <v>13</v>
      </c>
      <c r="AV498" s="100">
        <f>AW498+AX498</f>
        <v>0</v>
      </c>
      <c r="AW498" s="100">
        <f>G498*AO498</f>
        <v>0</v>
      </c>
      <c r="AX498" s="100">
        <f>G498*AP498</f>
        <v>0</v>
      </c>
      <c r="AY498" s="110" t="s">
        <v>1719</v>
      </c>
      <c r="AZ498" s="110" t="s">
        <v>1736</v>
      </c>
      <c r="BA498" s="109" t="s">
        <v>1737</v>
      </c>
      <c r="BC498" s="100">
        <f>AW498+AX498</f>
        <v>0</v>
      </c>
      <c r="BD498" s="100">
        <f>H498/(100-BE498)*100</f>
        <v>0</v>
      </c>
      <c r="BE498" s="100">
        <v>0</v>
      </c>
      <c r="BF498" s="100">
        <f>498</f>
        <v>498</v>
      </c>
      <c r="BH498" s="108">
        <f>G498*AO498</f>
        <v>0</v>
      </c>
      <c r="BI498" s="108">
        <f>G498*AP498</f>
        <v>0</v>
      </c>
      <c r="BJ498" s="108">
        <f>G498*H498</f>
        <v>0</v>
      </c>
    </row>
    <row r="499" spans="1:62" x14ac:dyDescent="0.2">
      <c r="A499" s="119"/>
      <c r="B499" s="120" t="s">
        <v>936</v>
      </c>
      <c r="C499" s="306" t="s">
        <v>1525</v>
      </c>
      <c r="D499" s="307"/>
      <c r="E499" s="307"/>
      <c r="F499" s="119" t="s">
        <v>6</v>
      </c>
      <c r="G499" s="119" t="s">
        <v>6</v>
      </c>
      <c r="H499" s="119" t="s">
        <v>6</v>
      </c>
      <c r="I499" s="118">
        <f>SUM(I500:I528)</f>
        <v>0</v>
      </c>
      <c r="J499" s="118">
        <f>SUM(J500:J528)</f>
        <v>0</v>
      </c>
      <c r="K499" s="118">
        <f>SUM(K500:K528)</f>
        <v>0</v>
      </c>
      <c r="L499" s="109"/>
      <c r="AI499" s="109"/>
      <c r="AS499" s="118">
        <f>SUM(AJ500:AJ528)</f>
        <v>0</v>
      </c>
      <c r="AT499" s="118">
        <f>SUM(AK500:AK528)</f>
        <v>0</v>
      </c>
      <c r="AU499" s="118">
        <f>SUM(AL500:AL528)</f>
        <v>0</v>
      </c>
    </row>
    <row r="500" spans="1:62" x14ac:dyDescent="0.2">
      <c r="A500" s="117" t="s">
        <v>451</v>
      </c>
      <c r="B500" s="117" t="s">
        <v>937</v>
      </c>
      <c r="C500" s="304" t="s">
        <v>1526</v>
      </c>
      <c r="D500" s="305"/>
      <c r="E500" s="305"/>
      <c r="F500" s="117" t="s">
        <v>1644</v>
      </c>
      <c r="G500" s="116">
        <v>2</v>
      </c>
      <c r="H500" s="159"/>
      <c r="I500" s="108">
        <f t="shared" ref="I500:I528" si="550">G500*AO500</f>
        <v>0</v>
      </c>
      <c r="J500" s="108">
        <f t="shared" ref="J500:J528" si="551">G500*AP500</f>
        <v>0</v>
      </c>
      <c r="K500" s="108">
        <f t="shared" ref="K500:K528" si="552">G500*H500</f>
        <v>0</v>
      </c>
      <c r="L500" s="111" t="s">
        <v>1671</v>
      </c>
      <c r="Z500" s="100">
        <f t="shared" ref="Z500:Z528" si="553">IF(AQ500="5",BJ500,0)</f>
        <v>0</v>
      </c>
      <c r="AB500" s="100">
        <f t="shared" ref="AB500:AB528" si="554">IF(AQ500="1",BH500,0)</f>
        <v>0</v>
      </c>
      <c r="AC500" s="100">
        <f t="shared" ref="AC500:AC528" si="555">IF(AQ500="1",BI500,0)</f>
        <v>0</v>
      </c>
      <c r="AD500" s="100">
        <f t="shared" ref="AD500:AD528" si="556">IF(AQ500="7",BH500,0)</f>
        <v>0</v>
      </c>
      <c r="AE500" s="100">
        <f t="shared" ref="AE500:AE528" si="557">IF(AQ500="7",BI500,0)</f>
        <v>0</v>
      </c>
      <c r="AF500" s="100">
        <f t="shared" ref="AF500:AF528" si="558">IF(AQ500="2",BH500,0)</f>
        <v>0</v>
      </c>
      <c r="AG500" s="100">
        <f t="shared" ref="AG500:AG528" si="559">IF(AQ500="2",BI500,0)</f>
        <v>0</v>
      </c>
      <c r="AH500" s="100">
        <f t="shared" ref="AH500:AH528" si="560">IF(AQ500="0",BJ500,0)</f>
        <v>0</v>
      </c>
      <c r="AI500" s="109"/>
      <c r="AJ500" s="108">
        <f t="shared" ref="AJ500:AJ528" si="561">IF(AN500=0,K500,0)</f>
        <v>0</v>
      </c>
      <c r="AK500" s="108">
        <f t="shared" ref="AK500:AK528" si="562">IF(AN500=15,K500,0)</f>
        <v>0</v>
      </c>
      <c r="AL500" s="108">
        <f t="shared" ref="AL500:AL528" si="563">IF(AN500=21,K500,0)</f>
        <v>0</v>
      </c>
      <c r="AN500" s="100">
        <v>15</v>
      </c>
      <c r="AO500" s="100">
        <f t="shared" ref="AO500:AO528" si="564">H500*0</f>
        <v>0</v>
      </c>
      <c r="AP500" s="100">
        <f t="shared" ref="AP500:AP528" si="565">H500*(1-0)</f>
        <v>0</v>
      </c>
      <c r="AQ500" s="111" t="s">
        <v>8</v>
      </c>
      <c r="AV500" s="100">
        <f t="shared" ref="AV500:AV528" si="566">AW500+AX500</f>
        <v>0</v>
      </c>
      <c r="AW500" s="100">
        <f t="shared" ref="AW500:AW528" si="567">G500*AO500</f>
        <v>0</v>
      </c>
      <c r="AX500" s="100">
        <f t="shared" ref="AX500:AX528" si="568">G500*AP500</f>
        <v>0</v>
      </c>
      <c r="AY500" s="110" t="s">
        <v>1720</v>
      </c>
      <c r="AZ500" s="110" t="s">
        <v>1730</v>
      </c>
      <c r="BA500" s="109" t="s">
        <v>1737</v>
      </c>
      <c r="BC500" s="100">
        <f t="shared" ref="BC500:BC528" si="569">AW500+AX500</f>
        <v>0</v>
      </c>
      <c r="BD500" s="100">
        <f t="shared" ref="BD500:BD528" si="570">H500/(100-BE500)*100</f>
        <v>0</v>
      </c>
      <c r="BE500" s="100">
        <v>0</v>
      </c>
      <c r="BF500" s="100">
        <f>500</f>
        <v>500</v>
      </c>
      <c r="BH500" s="108">
        <f t="shared" ref="BH500:BH528" si="571">G500*AO500</f>
        <v>0</v>
      </c>
      <c r="BI500" s="108">
        <f t="shared" ref="BI500:BI528" si="572">G500*AP500</f>
        <v>0</v>
      </c>
      <c r="BJ500" s="108">
        <f t="shared" ref="BJ500:BJ528" si="573">G500*H500</f>
        <v>0</v>
      </c>
    </row>
    <row r="501" spans="1:62" x14ac:dyDescent="0.2">
      <c r="A501" s="117" t="s">
        <v>452</v>
      </c>
      <c r="B501" s="117" t="s">
        <v>939</v>
      </c>
      <c r="C501" s="304" t="s">
        <v>1528</v>
      </c>
      <c r="D501" s="305"/>
      <c r="E501" s="305"/>
      <c r="F501" s="117" t="s">
        <v>1644</v>
      </c>
      <c r="G501" s="116">
        <v>1</v>
      </c>
      <c r="H501" s="159"/>
      <c r="I501" s="108">
        <f t="shared" si="550"/>
        <v>0</v>
      </c>
      <c r="J501" s="108">
        <f t="shared" si="551"/>
        <v>0</v>
      </c>
      <c r="K501" s="108">
        <f t="shared" si="552"/>
        <v>0</v>
      </c>
      <c r="L501" s="111" t="s">
        <v>1671</v>
      </c>
      <c r="Z501" s="100">
        <f t="shared" si="553"/>
        <v>0</v>
      </c>
      <c r="AB501" s="100">
        <f t="shared" si="554"/>
        <v>0</v>
      </c>
      <c r="AC501" s="100">
        <f t="shared" si="555"/>
        <v>0</v>
      </c>
      <c r="AD501" s="100">
        <f t="shared" si="556"/>
        <v>0</v>
      </c>
      <c r="AE501" s="100">
        <f t="shared" si="557"/>
        <v>0</v>
      </c>
      <c r="AF501" s="100">
        <f t="shared" si="558"/>
        <v>0</v>
      </c>
      <c r="AG501" s="100">
        <f t="shared" si="559"/>
        <v>0</v>
      </c>
      <c r="AH501" s="100">
        <f t="shared" si="560"/>
        <v>0</v>
      </c>
      <c r="AI501" s="109"/>
      <c r="AJ501" s="108">
        <f t="shared" si="561"/>
        <v>0</v>
      </c>
      <c r="AK501" s="108">
        <f t="shared" si="562"/>
        <v>0</v>
      </c>
      <c r="AL501" s="108">
        <f t="shared" si="563"/>
        <v>0</v>
      </c>
      <c r="AN501" s="100">
        <v>15</v>
      </c>
      <c r="AO501" s="100">
        <f t="shared" si="564"/>
        <v>0</v>
      </c>
      <c r="AP501" s="100">
        <f t="shared" si="565"/>
        <v>0</v>
      </c>
      <c r="AQ501" s="111" t="s">
        <v>8</v>
      </c>
      <c r="AV501" s="100">
        <f t="shared" si="566"/>
        <v>0</v>
      </c>
      <c r="AW501" s="100">
        <f t="shared" si="567"/>
        <v>0</v>
      </c>
      <c r="AX501" s="100">
        <f t="shared" si="568"/>
        <v>0</v>
      </c>
      <c r="AY501" s="110" t="s">
        <v>1720</v>
      </c>
      <c r="AZ501" s="110" t="s">
        <v>1730</v>
      </c>
      <c r="BA501" s="109" t="s">
        <v>1737</v>
      </c>
      <c r="BC501" s="100">
        <f t="shared" si="569"/>
        <v>0</v>
      </c>
      <c r="BD501" s="100">
        <f t="shared" si="570"/>
        <v>0</v>
      </c>
      <c r="BE501" s="100">
        <v>0</v>
      </c>
      <c r="BF501" s="100">
        <f>501</f>
        <v>501</v>
      </c>
      <c r="BH501" s="108">
        <f t="shared" si="571"/>
        <v>0</v>
      </c>
      <c r="BI501" s="108">
        <f t="shared" si="572"/>
        <v>0</v>
      </c>
      <c r="BJ501" s="108">
        <f t="shared" si="573"/>
        <v>0</v>
      </c>
    </row>
    <row r="502" spans="1:62" x14ac:dyDescent="0.2">
      <c r="A502" s="117" t="s">
        <v>453</v>
      </c>
      <c r="B502" s="117" t="s">
        <v>2673</v>
      </c>
      <c r="C502" s="304" t="s">
        <v>2672</v>
      </c>
      <c r="D502" s="305"/>
      <c r="E502" s="305"/>
      <c r="F502" s="117" t="s">
        <v>1644</v>
      </c>
      <c r="G502" s="116">
        <v>2</v>
      </c>
      <c r="H502" s="159"/>
      <c r="I502" s="108">
        <f t="shared" si="550"/>
        <v>0</v>
      </c>
      <c r="J502" s="108">
        <f t="shared" si="551"/>
        <v>0</v>
      </c>
      <c r="K502" s="108">
        <f t="shared" si="552"/>
        <v>0</v>
      </c>
      <c r="L502" s="111" t="s">
        <v>1671</v>
      </c>
      <c r="Z502" s="100">
        <f t="shared" si="553"/>
        <v>0</v>
      </c>
      <c r="AB502" s="100">
        <f t="shared" si="554"/>
        <v>0</v>
      </c>
      <c r="AC502" s="100">
        <f t="shared" si="555"/>
        <v>0</v>
      </c>
      <c r="AD502" s="100">
        <f t="shared" si="556"/>
        <v>0</v>
      </c>
      <c r="AE502" s="100">
        <f t="shared" si="557"/>
        <v>0</v>
      </c>
      <c r="AF502" s="100">
        <f t="shared" si="558"/>
        <v>0</v>
      </c>
      <c r="AG502" s="100">
        <f t="shared" si="559"/>
        <v>0</v>
      </c>
      <c r="AH502" s="100">
        <f t="shared" si="560"/>
        <v>0</v>
      </c>
      <c r="AI502" s="109"/>
      <c r="AJ502" s="108">
        <f t="shared" si="561"/>
        <v>0</v>
      </c>
      <c r="AK502" s="108">
        <f t="shared" si="562"/>
        <v>0</v>
      </c>
      <c r="AL502" s="108">
        <f t="shared" si="563"/>
        <v>0</v>
      </c>
      <c r="AN502" s="100">
        <v>15</v>
      </c>
      <c r="AO502" s="100">
        <f t="shared" si="564"/>
        <v>0</v>
      </c>
      <c r="AP502" s="100">
        <f t="shared" si="565"/>
        <v>0</v>
      </c>
      <c r="AQ502" s="111" t="s">
        <v>8</v>
      </c>
      <c r="AV502" s="100">
        <f t="shared" si="566"/>
        <v>0</v>
      </c>
      <c r="AW502" s="100">
        <f t="shared" si="567"/>
        <v>0</v>
      </c>
      <c r="AX502" s="100">
        <f t="shared" si="568"/>
        <v>0</v>
      </c>
      <c r="AY502" s="110" t="s">
        <v>1720</v>
      </c>
      <c r="AZ502" s="110" t="s">
        <v>1730</v>
      </c>
      <c r="BA502" s="109" t="s">
        <v>1737</v>
      </c>
      <c r="BC502" s="100">
        <f t="shared" si="569"/>
        <v>0</v>
      </c>
      <c r="BD502" s="100">
        <f t="shared" si="570"/>
        <v>0</v>
      </c>
      <c r="BE502" s="100">
        <v>0</v>
      </c>
      <c r="BF502" s="100">
        <f>502</f>
        <v>502</v>
      </c>
      <c r="BH502" s="108">
        <f t="shared" si="571"/>
        <v>0</v>
      </c>
      <c r="BI502" s="108">
        <f t="shared" si="572"/>
        <v>0</v>
      </c>
      <c r="BJ502" s="108">
        <f t="shared" si="573"/>
        <v>0</v>
      </c>
    </row>
    <row r="503" spans="1:62" x14ac:dyDescent="0.2">
      <c r="A503" s="117" t="s">
        <v>454</v>
      </c>
      <c r="B503" s="117" t="s">
        <v>940</v>
      </c>
      <c r="C503" s="304" t="s">
        <v>1529</v>
      </c>
      <c r="D503" s="305"/>
      <c r="E503" s="305"/>
      <c r="F503" s="117" t="s">
        <v>1644</v>
      </c>
      <c r="G503" s="116">
        <v>1</v>
      </c>
      <c r="H503" s="159"/>
      <c r="I503" s="108">
        <f t="shared" si="550"/>
        <v>0</v>
      </c>
      <c r="J503" s="108">
        <f t="shared" si="551"/>
        <v>0</v>
      </c>
      <c r="K503" s="108">
        <f t="shared" si="552"/>
        <v>0</v>
      </c>
      <c r="L503" s="111" t="s">
        <v>1671</v>
      </c>
      <c r="Z503" s="100">
        <f t="shared" si="553"/>
        <v>0</v>
      </c>
      <c r="AB503" s="100">
        <f t="shared" si="554"/>
        <v>0</v>
      </c>
      <c r="AC503" s="100">
        <f t="shared" si="555"/>
        <v>0</v>
      </c>
      <c r="AD503" s="100">
        <f t="shared" si="556"/>
        <v>0</v>
      </c>
      <c r="AE503" s="100">
        <f t="shared" si="557"/>
        <v>0</v>
      </c>
      <c r="AF503" s="100">
        <f t="shared" si="558"/>
        <v>0</v>
      </c>
      <c r="AG503" s="100">
        <f t="shared" si="559"/>
        <v>0</v>
      </c>
      <c r="AH503" s="100">
        <f t="shared" si="560"/>
        <v>0</v>
      </c>
      <c r="AI503" s="109"/>
      <c r="AJ503" s="108">
        <f t="shared" si="561"/>
        <v>0</v>
      </c>
      <c r="AK503" s="108">
        <f t="shared" si="562"/>
        <v>0</v>
      </c>
      <c r="AL503" s="108">
        <f t="shared" si="563"/>
        <v>0</v>
      </c>
      <c r="AN503" s="100">
        <v>15</v>
      </c>
      <c r="AO503" s="100">
        <f t="shared" si="564"/>
        <v>0</v>
      </c>
      <c r="AP503" s="100">
        <f t="shared" si="565"/>
        <v>0</v>
      </c>
      <c r="AQ503" s="111" t="s">
        <v>8</v>
      </c>
      <c r="AV503" s="100">
        <f t="shared" si="566"/>
        <v>0</v>
      </c>
      <c r="AW503" s="100">
        <f t="shared" si="567"/>
        <v>0</v>
      </c>
      <c r="AX503" s="100">
        <f t="shared" si="568"/>
        <v>0</v>
      </c>
      <c r="AY503" s="110" t="s">
        <v>1720</v>
      </c>
      <c r="AZ503" s="110" t="s">
        <v>1730</v>
      </c>
      <c r="BA503" s="109" t="s">
        <v>1737</v>
      </c>
      <c r="BC503" s="100">
        <f t="shared" si="569"/>
        <v>0</v>
      </c>
      <c r="BD503" s="100">
        <f t="shared" si="570"/>
        <v>0</v>
      </c>
      <c r="BE503" s="100">
        <v>0</v>
      </c>
      <c r="BF503" s="100">
        <f>503</f>
        <v>503</v>
      </c>
      <c r="BH503" s="108">
        <f t="shared" si="571"/>
        <v>0</v>
      </c>
      <c r="BI503" s="108">
        <f t="shared" si="572"/>
        <v>0</v>
      </c>
      <c r="BJ503" s="108">
        <f t="shared" si="573"/>
        <v>0</v>
      </c>
    </row>
    <row r="504" spans="1:62" x14ac:dyDescent="0.2">
      <c r="A504" s="117" t="s">
        <v>455</v>
      </c>
      <c r="B504" s="117" t="s">
        <v>2671</v>
      </c>
      <c r="C504" s="304" t="s">
        <v>1531</v>
      </c>
      <c r="D504" s="305"/>
      <c r="E504" s="305"/>
      <c r="F504" s="117" t="s">
        <v>1644</v>
      </c>
      <c r="G504" s="116">
        <v>1</v>
      </c>
      <c r="H504" s="159"/>
      <c r="I504" s="108">
        <f t="shared" si="550"/>
        <v>0</v>
      </c>
      <c r="J504" s="108">
        <f t="shared" si="551"/>
        <v>0</v>
      </c>
      <c r="K504" s="108">
        <f t="shared" si="552"/>
        <v>0</v>
      </c>
      <c r="L504" s="111"/>
      <c r="Z504" s="100">
        <f t="shared" si="553"/>
        <v>0</v>
      </c>
      <c r="AB504" s="100">
        <f t="shared" si="554"/>
        <v>0</v>
      </c>
      <c r="AC504" s="100">
        <f t="shared" si="555"/>
        <v>0</v>
      </c>
      <c r="AD504" s="100">
        <f t="shared" si="556"/>
        <v>0</v>
      </c>
      <c r="AE504" s="100">
        <f t="shared" si="557"/>
        <v>0</v>
      </c>
      <c r="AF504" s="100">
        <f t="shared" si="558"/>
        <v>0</v>
      </c>
      <c r="AG504" s="100">
        <f t="shared" si="559"/>
        <v>0</v>
      </c>
      <c r="AH504" s="100">
        <f t="shared" si="560"/>
        <v>0</v>
      </c>
      <c r="AI504" s="109"/>
      <c r="AJ504" s="108">
        <f t="shared" si="561"/>
        <v>0</v>
      </c>
      <c r="AK504" s="108">
        <f t="shared" si="562"/>
        <v>0</v>
      </c>
      <c r="AL504" s="108">
        <f t="shared" si="563"/>
        <v>0</v>
      </c>
      <c r="AN504" s="100">
        <v>15</v>
      </c>
      <c r="AO504" s="100">
        <f t="shared" si="564"/>
        <v>0</v>
      </c>
      <c r="AP504" s="100">
        <f t="shared" si="565"/>
        <v>0</v>
      </c>
      <c r="AQ504" s="111" t="s">
        <v>7</v>
      </c>
      <c r="AV504" s="100">
        <f t="shared" si="566"/>
        <v>0</v>
      </c>
      <c r="AW504" s="100">
        <f t="shared" si="567"/>
        <v>0</v>
      </c>
      <c r="AX504" s="100">
        <f t="shared" si="568"/>
        <v>0</v>
      </c>
      <c r="AY504" s="110" t="s">
        <v>1720</v>
      </c>
      <c r="AZ504" s="110" t="s">
        <v>1730</v>
      </c>
      <c r="BA504" s="109" t="s">
        <v>1737</v>
      </c>
      <c r="BC504" s="100">
        <f t="shared" si="569"/>
        <v>0</v>
      </c>
      <c r="BD504" s="100">
        <f t="shared" si="570"/>
        <v>0</v>
      </c>
      <c r="BE504" s="100">
        <v>0</v>
      </c>
      <c r="BF504" s="100">
        <f>504</f>
        <v>504</v>
      </c>
      <c r="BH504" s="108">
        <f t="shared" si="571"/>
        <v>0</v>
      </c>
      <c r="BI504" s="108">
        <f t="shared" si="572"/>
        <v>0</v>
      </c>
      <c r="BJ504" s="108">
        <f t="shared" si="573"/>
        <v>0</v>
      </c>
    </row>
    <row r="505" spans="1:62" x14ac:dyDescent="0.2">
      <c r="A505" s="117" t="s">
        <v>456</v>
      </c>
      <c r="B505" s="117" t="s">
        <v>2670</v>
      </c>
      <c r="C505" s="304" t="s">
        <v>1532</v>
      </c>
      <c r="D505" s="305"/>
      <c r="E505" s="305"/>
      <c r="F505" s="117" t="s">
        <v>1646</v>
      </c>
      <c r="G505" s="116">
        <v>40</v>
      </c>
      <c r="H505" s="159"/>
      <c r="I505" s="108">
        <f t="shared" si="550"/>
        <v>0</v>
      </c>
      <c r="J505" s="108">
        <f t="shared" si="551"/>
        <v>0</v>
      </c>
      <c r="K505" s="108">
        <f t="shared" si="552"/>
        <v>0</v>
      </c>
      <c r="L505" s="111"/>
      <c r="Z505" s="100">
        <f t="shared" si="553"/>
        <v>0</v>
      </c>
      <c r="AB505" s="100">
        <f t="shared" si="554"/>
        <v>0</v>
      </c>
      <c r="AC505" s="100">
        <f t="shared" si="555"/>
        <v>0</v>
      </c>
      <c r="AD505" s="100">
        <f t="shared" si="556"/>
        <v>0</v>
      </c>
      <c r="AE505" s="100">
        <f t="shared" si="557"/>
        <v>0</v>
      </c>
      <c r="AF505" s="100">
        <f t="shared" si="558"/>
        <v>0</v>
      </c>
      <c r="AG505" s="100">
        <f t="shared" si="559"/>
        <v>0</v>
      </c>
      <c r="AH505" s="100">
        <f t="shared" si="560"/>
        <v>0</v>
      </c>
      <c r="AI505" s="109"/>
      <c r="AJ505" s="108">
        <f t="shared" si="561"/>
        <v>0</v>
      </c>
      <c r="AK505" s="108">
        <f t="shared" si="562"/>
        <v>0</v>
      </c>
      <c r="AL505" s="108">
        <f t="shared" si="563"/>
        <v>0</v>
      </c>
      <c r="AN505" s="100">
        <v>15</v>
      </c>
      <c r="AO505" s="100">
        <f t="shared" si="564"/>
        <v>0</v>
      </c>
      <c r="AP505" s="100">
        <f t="shared" si="565"/>
        <v>0</v>
      </c>
      <c r="AQ505" s="111" t="s">
        <v>7</v>
      </c>
      <c r="AV505" s="100">
        <f t="shared" si="566"/>
        <v>0</v>
      </c>
      <c r="AW505" s="100">
        <f t="shared" si="567"/>
        <v>0</v>
      </c>
      <c r="AX505" s="100">
        <f t="shared" si="568"/>
        <v>0</v>
      </c>
      <c r="AY505" s="110" t="s">
        <v>1720</v>
      </c>
      <c r="AZ505" s="110" t="s">
        <v>1730</v>
      </c>
      <c r="BA505" s="109" t="s">
        <v>1737</v>
      </c>
      <c r="BC505" s="100">
        <f t="shared" si="569"/>
        <v>0</v>
      </c>
      <c r="BD505" s="100">
        <f t="shared" si="570"/>
        <v>0</v>
      </c>
      <c r="BE505" s="100">
        <v>0</v>
      </c>
      <c r="BF505" s="100">
        <f>505</f>
        <v>505</v>
      </c>
      <c r="BH505" s="108">
        <f t="shared" si="571"/>
        <v>0</v>
      </c>
      <c r="BI505" s="108">
        <f t="shared" si="572"/>
        <v>0</v>
      </c>
      <c r="BJ505" s="108">
        <f t="shared" si="573"/>
        <v>0</v>
      </c>
    </row>
    <row r="506" spans="1:62" x14ac:dyDescent="0.2">
      <c r="A506" s="117" t="s">
        <v>457</v>
      </c>
      <c r="B506" s="117" t="s">
        <v>2669</v>
      </c>
      <c r="C506" s="304" t="s">
        <v>1533</v>
      </c>
      <c r="D506" s="305"/>
      <c r="E506" s="305"/>
      <c r="F506" s="117" t="s">
        <v>1646</v>
      </c>
      <c r="G506" s="116">
        <v>20</v>
      </c>
      <c r="H506" s="159"/>
      <c r="I506" s="108">
        <f t="shared" si="550"/>
        <v>0</v>
      </c>
      <c r="J506" s="108">
        <f t="shared" si="551"/>
        <v>0</v>
      </c>
      <c r="K506" s="108">
        <f t="shared" si="552"/>
        <v>0</v>
      </c>
      <c r="L506" s="111"/>
      <c r="Z506" s="100">
        <f t="shared" si="553"/>
        <v>0</v>
      </c>
      <c r="AB506" s="100">
        <f t="shared" si="554"/>
        <v>0</v>
      </c>
      <c r="AC506" s="100">
        <f t="shared" si="555"/>
        <v>0</v>
      </c>
      <c r="AD506" s="100">
        <f t="shared" si="556"/>
        <v>0</v>
      </c>
      <c r="AE506" s="100">
        <f t="shared" si="557"/>
        <v>0</v>
      </c>
      <c r="AF506" s="100">
        <f t="shared" si="558"/>
        <v>0</v>
      </c>
      <c r="AG506" s="100">
        <f t="shared" si="559"/>
        <v>0</v>
      </c>
      <c r="AH506" s="100">
        <f t="shared" si="560"/>
        <v>0</v>
      </c>
      <c r="AI506" s="109"/>
      <c r="AJ506" s="108">
        <f t="shared" si="561"/>
        <v>0</v>
      </c>
      <c r="AK506" s="108">
        <f t="shared" si="562"/>
        <v>0</v>
      </c>
      <c r="AL506" s="108">
        <f t="shared" si="563"/>
        <v>0</v>
      </c>
      <c r="AN506" s="100">
        <v>15</v>
      </c>
      <c r="AO506" s="100">
        <f t="shared" si="564"/>
        <v>0</v>
      </c>
      <c r="AP506" s="100">
        <f t="shared" si="565"/>
        <v>0</v>
      </c>
      <c r="AQ506" s="111" t="s">
        <v>7</v>
      </c>
      <c r="AV506" s="100">
        <f t="shared" si="566"/>
        <v>0</v>
      </c>
      <c r="AW506" s="100">
        <f t="shared" si="567"/>
        <v>0</v>
      </c>
      <c r="AX506" s="100">
        <f t="shared" si="568"/>
        <v>0</v>
      </c>
      <c r="AY506" s="110" t="s">
        <v>1720</v>
      </c>
      <c r="AZ506" s="110" t="s">
        <v>1730</v>
      </c>
      <c r="BA506" s="109" t="s">
        <v>1737</v>
      </c>
      <c r="BC506" s="100">
        <f t="shared" si="569"/>
        <v>0</v>
      </c>
      <c r="BD506" s="100">
        <f t="shared" si="570"/>
        <v>0</v>
      </c>
      <c r="BE506" s="100">
        <v>0</v>
      </c>
      <c r="BF506" s="100">
        <f>506</f>
        <v>506</v>
      </c>
      <c r="BH506" s="108">
        <f t="shared" si="571"/>
        <v>0</v>
      </c>
      <c r="BI506" s="108">
        <f t="shared" si="572"/>
        <v>0</v>
      </c>
      <c r="BJ506" s="108">
        <f t="shared" si="573"/>
        <v>0</v>
      </c>
    </row>
    <row r="507" spans="1:62" x14ac:dyDescent="0.2">
      <c r="A507" s="117" t="s">
        <v>458</v>
      </c>
      <c r="B507" s="117" t="s">
        <v>2668</v>
      </c>
      <c r="C507" s="304" t="s">
        <v>1534</v>
      </c>
      <c r="D507" s="305"/>
      <c r="E507" s="305"/>
      <c r="F507" s="117" t="s">
        <v>1644</v>
      </c>
      <c r="G507" s="116">
        <v>5</v>
      </c>
      <c r="H507" s="159"/>
      <c r="I507" s="108">
        <f t="shared" si="550"/>
        <v>0</v>
      </c>
      <c r="J507" s="108">
        <f t="shared" si="551"/>
        <v>0</v>
      </c>
      <c r="K507" s="108">
        <f t="shared" si="552"/>
        <v>0</v>
      </c>
      <c r="L507" s="111"/>
      <c r="Z507" s="100">
        <f t="shared" si="553"/>
        <v>0</v>
      </c>
      <c r="AB507" s="100">
        <f t="shared" si="554"/>
        <v>0</v>
      </c>
      <c r="AC507" s="100">
        <f t="shared" si="555"/>
        <v>0</v>
      </c>
      <c r="AD507" s="100">
        <f t="shared" si="556"/>
        <v>0</v>
      </c>
      <c r="AE507" s="100">
        <f t="shared" si="557"/>
        <v>0</v>
      </c>
      <c r="AF507" s="100">
        <f t="shared" si="558"/>
        <v>0</v>
      </c>
      <c r="AG507" s="100">
        <f t="shared" si="559"/>
        <v>0</v>
      </c>
      <c r="AH507" s="100">
        <f t="shared" si="560"/>
        <v>0</v>
      </c>
      <c r="AI507" s="109"/>
      <c r="AJ507" s="108">
        <f t="shared" si="561"/>
        <v>0</v>
      </c>
      <c r="AK507" s="108">
        <f t="shared" si="562"/>
        <v>0</v>
      </c>
      <c r="AL507" s="108">
        <f t="shared" si="563"/>
        <v>0</v>
      </c>
      <c r="AN507" s="100">
        <v>15</v>
      </c>
      <c r="AO507" s="100">
        <f t="shared" si="564"/>
        <v>0</v>
      </c>
      <c r="AP507" s="100">
        <f t="shared" si="565"/>
        <v>0</v>
      </c>
      <c r="AQ507" s="111" t="s">
        <v>7</v>
      </c>
      <c r="AV507" s="100">
        <f t="shared" si="566"/>
        <v>0</v>
      </c>
      <c r="AW507" s="100">
        <f t="shared" si="567"/>
        <v>0</v>
      </c>
      <c r="AX507" s="100">
        <f t="shared" si="568"/>
        <v>0</v>
      </c>
      <c r="AY507" s="110" t="s">
        <v>1720</v>
      </c>
      <c r="AZ507" s="110" t="s">
        <v>1730</v>
      </c>
      <c r="BA507" s="109" t="s">
        <v>1737</v>
      </c>
      <c r="BC507" s="100">
        <f t="shared" si="569"/>
        <v>0</v>
      </c>
      <c r="BD507" s="100">
        <f t="shared" si="570"/>
        <v>0</v>
      </c>
      <c r="BE507" s="100">
        <v>0</v>
      </c>
      <c r="BF507" s="100">
        <f>507</f>
        <v>507</v>
      </c>
      <c r="BH507" s="108">
        <f t="shared" si="571"/>
        <v>0</v>
      </c>
      <c r="BI507" s="108">
        <f t="shared" si="572"/>
        <v>0</v>
      </c>
      <c r="BJ507" s="108">
        <f t="shared" si="573"/>
        <v>0</v>
      </c>
    </row>
    <row r="508" spans="1:62" x14ac:dyDescent="0.2">
      <c r="A508" s="117" t="s">
        <v>459</v>
      </c>
      <c r="B508" s="117" t="s">
        <v>2667</v>
      </c>
      <c r="C508" s="304" t="s">
        <v>1535</v>
      </c>
      <c r="D508" s="305"/>
      <c r="E508" s="305"/>
      <c r="F508" s="117" t="s">
        <v>1644</v>
      </c>
      <c r="G508" s="116">
        <v>3</v>
      </c>
      <c r="H508" s="159"/>
      <c r="I508" s="108">
        <f t="shared" si="550"/>
        <v>0</v>
      </c>
      <c r="J508" s="108">
        <f t="shared" si="551"/>
        <v>0</v>
      </c>
      <c r="K508" s="108">
        <f t="shared" si="552"/>
        <v>0</v>
      </c>
      <c r="L508" s="111"/>
      <c r="Z508" s="100">
        <f t="shared" si="553"/>
        <v>0</v>
      </c>
      <c r="AB508" s="100">
        <f t="shared" si="554"/>
        <v>0</v>
      </c>
      <c r="AC508" s="100">
        <f t="shared" si="555"/>
        <v>0</v>
      </c>
      <c r="AD508" s="100">
        <f t="shared" si="556"/>
        <v>0</v>
      </c>
      <c r="AE508" s="100">
        <f t="shared" si="557"/>
        <v>0</v>
      </c>
      <c r="AF508" s="100">
        <f t="shared" si="558"/>
        <v>0</v>
      </c>
      <c r="AG508" s="100">
        <f t="shared" si="559"/>
        <v>0</v>
      </c>
      <c r="AH508" s="100">
        <f t="shared" si="560"/>
        <v>0</v>
      </c>
      <c r="AI508" s="109"/>
      <c r="AJ508" s="108">
        <f t="shared" si="561"/>
        <v>0</v>
      </c>
      <c r="AK508" s="108">
        <f t="shared" si="562"/>
        <v>0</v>
      </c>
      <c r="AL508" s="108">
        <f t="shared" si="563"/>
        <v>0</v>
      </c>
      <c r="AN508" s="100">
        <v>15</v>
      </c>
      <c r="AO508" s="100">
        <f t="shared" si="564"/>
        <v>0</v>
      </c>
      <c r="AP508" s="100">
        <f t="shared" si="565"/>
        <v>0</v>
      </c>
      <c r="AQ508" s="111" t="s">
        <v>7</v>
      </c>
      <c r="AV508" s="100">
        <f t="shared" si="566"/>
        <v>0</v>
      </c>
      <c r="AW508" s="100">
        <f t="shared" si="567"/>
        <v>0</v>
      </c>
      <c r="AX508" s="100">
        <f t="shared" si="568"/>
        <v>0</v>
      </c>
      <c r="AY508" s="110" t="s">
        <v>1720</v>
      </c>
      <c r="AZ508" s="110" t="s">
        <v>1730</v>
      </c>
      <c r="BA508" s="109" t="s">
        <v>1737</v>
      </c>
      <c r="BC508" s="100">
        <f t="shared" si="569"/>
        <v>0</v>
      </c>
      <c r="BD508" s="100">
        <f t="shared" si="570"/>
        <v>0</v>
      </c>
      <c r="BE508" s="100">
        <v>0</v>
      </c>
      <c r="BF508" s="100">
        <f>508</f>
        <v>508</v>
      </c>
      <c r="BH508" s="108">
        <f t="shared" si="571"/>
        <v>0</v>
      </c>
      <c r="BI508" s="108">
        <f t="shared" si="572"/>
        <v>0</v>
      </c>
      <c r="BJ508" s="108">
        <f t="shared" si="573"/>
        <v>0</v>
      </c>
    </row>
    <row r="509" spans="1:62" x14ac:dyDescent="0.2">
      <c r="A509" s="117" t="s">
        <v>460</v>
      </c>
      <c r="B509" s="117" t="s">
        <v>2666</v>
      </c>
      <c r="C509" s="304" t="s">
        <v>1536</v>
      </c>
      <c r="D509" s="305"/>
      <c r="E509" s="305"/>
      <c r="F509" s="117" t="s">
        <v>1644</v>
      </c>
      <c r="G509" s="116">
        <v>24</v>
      </c>
      <c r="H509" s="159"/>
      <c r="I509" s="108">
        <f t="shared" si="550"/>
        <v>0</v>
      </c>
      <c r="J509" s="108">
        <f t="shared" si="551"/>
        <v>0</v>
      </c>
      <c r="K509" s="108">
        <f t="shared" si="552"/>
        <v>0</v>
      </c>
      <c r="L509" s="111"/>
      <c r="Z509" s="100">
        <f t="shared" si="553"/>
        <v>0</v>
      </c>
      <c r="AB509" s="100">
        <f t="shared" si="554"/>
        <v>0</v>
      </c>
      <c r="AC509" s="100">
        <f t="shared" si="555"/>
        <v>0</v>
      </c>
      <c r="AD509" s="100">
        <f t="shared" si="556"/>
        <v>0</v>
      </c>
      <c r="AE509" s="100">
        <f t="shared" si="557"/>
        <v>0</v>
      </c>
      <c r="AF509" s="100">
        <f t="shared" si="558"/>
        <v>0</v>
      </c>
      <c r="AG509" s="100">
        <f t="shared" si="559"/>
        <v>0</v>
      </c>
      <c r="AH509" s="100">
        <f t="shared" si="560"/>
        <v>0</v>
      </c>
      <c r="AI509" s="109"/>
      <c r="AJ509" s="108">
        <f t="shared" si="561"/>
        <v>0</v>
      </c>
      <c r="AK509" s="108">
        <f t="shared" si="562"/>
        <v>0</v>
      </c>
      <c r="AL509" s="108">
        <f t="shared" si="563"/>
        <v>0</v>
      </c>
      <c r="AN509" s="100">
        <v>15</v>
      </c>
      <c r="AO509" s="100">
        <f t="shared" si="564"/>
        <v>0</v>
      </c>
      <c r="AP509" s="100">
        <f t="shared" si="565"/>
        <v>0</v>
      </c>
      <c r="AQ509" s="111" t="s">
        <v>7</v>
      </c>
      <c r="AV509" s="100">
        <f t="shared" si="566"/>
        <v>0</v>
      </c>
      <c r="AW509" s="100">
        <f t="shared" si="567"/>
        <v>0</v>
      </c>
      <c r="AX509" s="100">
        <f t="shared" si="568"/>
        <v>0</v>
      </c>
      <c r="AY509" s="110" t="s">
        <v>1720</v>
      </c>
      <c r="AZ509" s="110" t="s">
        <v>1730</v>
      </c>
      <c r="BA509" s="109" t="s">
        <v>1737</v>
      </c>
      <c r="BC509" s="100">
        <f t="shared" si="569"/>
        <v>0</v>
      </c>
      <c r="BD509" s="100">
        <f t="shared" si="570"/>
        <v>0</v>
      </c>
      <c r="BE509" s="100">
        <v>0</v>
      </c>
      <c r="BF509" s="100">
        <f>509</f>
        <v>509</v>
      </c>
      <c r="BH509" s="108">
        <f t="shared" si="571"/>
        <v>0</v>
      </c>
      <c r="BI509" s="108">
        <f t="shared" si="572"/>
        <v>0</v>
      </c>
      <c r="BJ509" s="108">
        <f t="shared" si="573"/>
        <v>0</v>
      </c>
    </row>
    <row r="510" spans="1:62" x14ac:dyDescent="0.2">
      <c r="A510" s="117" t="s">
        <v>461</v>
      </c>
      <c r="B510" s="117" t="s">
        <v>2665</v>
      </c>
      <c r="C510" s="304" t="s">
        <v>1537</v>
      </c>
      <c r="D510" s="305"/>
      <c r="E510" s="305"/>
      <c r="F510" s="117" t="s">
        <v>1644</v>
      </c>
      <c r="G510" s="116">
        <v>1</v>
      </c>
      <c r="H510" s="159"/>
      <c r="I510" s="108">
        <f t="shared" si="550"/>
        <v>0</v>
      </c>
      <c r="J510" s="108">
        <f t="shared" si="551"/>
        <v>0</v>
      </c>
      <c r="K510" s="108">
        <f t="shared" si="552"/>
        <v>0</v>
      </c>
      <c r="L510" s="111"/>
      <c r="Z510" s="100">
        <f t="shared" si="553"/>
        <v>0</v>
      </c>
      <c r="AB510" s="100">
        <f t="shared" si="554"/>
        <v>0</v>
      </c>
      <c r="AC510" s="100">
        <f t="shared" si="555"/>
        <v>0</v>
      </c>
      <c r="AD510" s="100">
        <f t="shared" si="556"/>
        <v>0</v>
      </c>
      <c r="AE510" s="100">
        <f t="shared" si="557"/>
        <v>0</v>
      </c>
      <c r="AF510" s="100">
        <f t="shared" si="558"/>
        <v>0</v>
      </c>
      <c r="AG510" s="100">
        <f t="shared" si="559"/>
        <v>0</v>
      </c>
      <c r="AH510" s="100">
        <f t="shared" si="560"/>
        <v>0</v>
      </c>
      <c r="AI510" s="109"/>
      <c r="AJ510" s="108">
        <f t="shared" si="561"/>
        <v>0</v>
      </c>
      <c r="AK510" s="108">
        <f t="shared" si="562"/>
        <v>0</v>
      </c>
      <c r="AL510" s="108">
        <f t="shared" si="563"/>
        <v>0</v>
      </c>
      <c r="AN510" s="100">
        <v>15</v>
      </c>
      <c r="AO510" s="100">
        <f t="shared" si="564"/>
        <v>0</v>
      </c>
      <c r="AP510" s="100">
        <f t="shared" si="565"/>
        <v>0</v>
      </c>
      <c r="AQ510" s="111" t="s">
        <v>7</v>
      </c>
      <c r="AV510" s="100">
        <f t="shared" si="566"/>
        <v>0</v>
      </c>
      <c r="AW510" s="100">
        <f t="shared" si="567"/>
        <v>0</v>
      </c>
      <c r="AX510" s="100">
        <f t="shared" si="568"/>
        <v>0</v>
      </c>
      <c r="AY510" s="110" t="s">
        <v>1720</v>
      </c>
      <c r="AZ510" s="110" t="s">
        <v>1730</v>
      </c>
      <c r="BA510" s="109" t="s">
        <v>1737</v>
      </c>
      <c r="BC510" s="100">
        <f t="shared" si="569"/>
        <v>0</v>
      </c>
      <c r="BD510" s="100">
        <f t="shared" si="570"/>
        <v>0</v>
      </c>
      <c r="BE510" s="100">
        <v>0</v>
      </c>
      <c r="BF510" s="100">
        <f>510</f>
        <v>510</v>
      </c>
      <c r="BH510" s="108">
        <f t="shared" si="571"/>
        <v>0</v>
      </c>
      <c r="BI510" s="108">
        <f t="shared" si="572"/>
        <v>0</v>
      </c>
      <c r="BJ510" s="108">
        <f t="shared" si="573"/>
        <v>0</v>
      </c>
    </row>
    <row r="511" spans="1:62" x14ac:dyDescent="0.2">
      <c r="A511" s="117" t="s">
        <v>462</v>
      </c>
      <c r="B511" s="117" t="s">
        <v>2664</v>
      </c>
      <c r="C511" s="304" t="s">
        <v>1538</v>
      </c>
      <c r="D511" s="305"/>
      <c r="E511" s="305"/>
      <c r="F511" s="117" t="s">
        <v>1646</v>
      </c>
      <c r="G511" s="116">
        <v>10</v>
      </c>
      <c r="H511" s="159"/>
      <c r="I511" s="108">
        <f t="shared" si="550"/>
        <v>0</v>
      </c>
      <c r="J511" s="108">
        <f t="shared" si="551"/>
        <v>0</v>
      </c>
      <c r="K511" s="108">
        <f t="shared" si="552"/>
        <v>0</v>
      </c>
      <c r="L511" s="111"/>
      <c r="Z511" s="100">
        <f t="shared" si="553"/>
        <v>0</v>
      </c>
      <c r="AB511" s="100">
        <f t="shared" si="554"/>
        <v>0</v>
      </c>
      <c r="AC511" s="100">
        <f t="shared" si="555"/>
        <v>0</v>
      </c>
      <c r="AD511" s="100">
        <f t="shared" si="556"/>
        <v>0</v>
      </c>
      <c r="AE511" s="100">
        <f t="shared" si="557"/>
        <v>0</v>
      </c>
      <c r="AF511" s="100">
        <f t="shared" si="558"/>
        <v>0</v>
      </c>
      <c r="AG511" s="100">
        <f t="shared" si="559"/>
        <v>0</v>
      </c>
      <c r="AH511" s="100">
        <f t="shared" si="560"/>
        <v>0</v>
      </c>
      <c r="AI511" s="109"/>
      <c r="AJ511" s="108">
        <f t="shared" si="561"/>
        <v>0</v>
      </c>
      <c r="AK511" s="108">
        <f t="shared" si="562"/>
        <v>0</v>
      </c>
      <c r="AL511" s="108">
        <f t="shared" si="563"/>
        <v>0</v>
      </c>
      <c r="AN511" s="100">
        <v>15</v>
      </c>
      <c r="AO511" s="100">
        <f t="shared" si="564"/>
        <v>0</v>
      </c>
      <c r="AP511" s="100">
        <f t="shared" si="565"/>
        <v>0</v>
      </c>
      <c r="AQ511" s="111" t="s">
        <v>7</v>
      </c>
      <c r="AV511" s="100">
        <f t="shared" si="566"/>
        <v>0</v>
      </c>
      <c r="AW511" s="100">
        <f t="shared" si="567"/>
        <v>0</v>
      </c>
      <c r="AX511" s="100">
        <f t="shared" si="568"/>
        <v>0</v>
      </c>
      <c r="AY511" s="110" t="s">
        <v>1720</v>
      </c>
      <c r="AZ511" s="110" t="s">
        <v>1730</v>
      </c>
      <c r="BA511" s="109" t="s">
        <v>1737</v>
      </c>
      <c r="BC511" s="100">
        <f t="shared" si="569"/>
        <v>0</v>
      </c>
      <c r="BD511" s="100">
        <f t="shared" si="570"/>
        <v>0</v>
      </c>
      <c r="BE511" s="100">
        <v>0</v>
      </c>
      <c r="BF511" s="100">
        <f>511</f>
        <v>511</v>
      </c>
      <c r="BH511" s="108">
        <f t="shared" si="571"/>
        <v>0</v>
      </c>
      <c r="BI511" s="108">
        <f t="shared" si="572"/>
        <v>0</v>
      </c>
      <c r="BJ511" s="108">
        <f t="shared" si="573"/>
        <v>0</v>
      </c>
    </row>
    <row r="512" spans="1:62" x14ac:dyDescent="0.2">
      <c r="A512" s="117" t="s">
        <v>463</v>
      </c>
      <c r="B512" s="117" t="s">
        <v>2663</v>
      </c>
      <c r="C512" s="304" t="s">
        <v>1539</v>
      </c>
      <c r="D512" s="305"/>
      <c r="E512" s="305"/>
      <c r="F512" s="117" t="s">
        <v>1646</v>
      </c>
      <c r="G512" s="116">
        <v>20</v>
      </c>
      <c r="H512" s="159"/>
      <c r="I512" s="108">
        <f t="shared" si="550"/>
        <v>0</v>
      </c>
      <c r="J512" s="108">
        <f t="shared" si="551"/>
        <v>0</v>
      </c>
      <c r="K512" s="108">
        <f t="shared" si="552"/>
        <v>0</v>
      </c>
      <c r="L512" s="111"/>
      <c r="Z512" s="100">
        <f t="shared" si="553"/>
        <v>0</v>
      </c>
      <c r="AB512" s="100">
        <f t="shared" si="554"/>
        <v>0</v>
      </c>
      <c r="AC512" s="100">
        <f t="shared" si="555"/>
        <v>0</v>
      </c>
      <c r="AD512" s="100">
        <f t="shared" si="556"/>
        <v>0</v>
      </c>
      <c r="AE512" s="100">
        <f t="shared" si="557"/>
        <v>0</v>
      </c>
      <c r="AF512" s="100">
        <f t="shared" si="558"/>
        <v>0</v>
      </c>
      <c r="AG512" s="100">
        <f t="shared" si="559"/>
        <v>0</v>
      </c>
      <c r="AH512" s="100">
        <f t="shared" si="560"/>
        <v>0</v>
      </c>
      <c r="AI512" s="109"/>
      <c r="AJ512" s="108">
        <f t="shared" si="561"/>
        <v>0</v>
      </c>
      <c r="AK512" s="108">
        <f t="shared" si="562"/>
        <v>0</v>
      </c>
      <c r="AL512" s="108">
        <f t="shared" si="563"/>
        <v>0</v>
      </c>
      <c r="AN512" s="100">
        <v>15</v>
      </c>
      <c r="AO512" s="100">
        <f t="shared" si="564"/>
        <v>0</v>
      </c>
      <c r="AP512" s="100">
        <f t="shared" si="565"/>
        <v>0</v>
      </c>
      <c r="AQ512" s="111" t="s">
        <v>7</v>
      </c>
      <c r="AV512" s="100">
        <f t="shared" si="566"/>
        <v>0</v>
      </c>
      <c r="AW512" s="100">
        <f t="shared" si="567"/>
        <v>0</v>
      </c>
      <c r="AX512" s="100">
        <f t="shared" si="568"/>
        <v>0</v>
      </c>
      <c r="AY512" s="110" t="s">
        <v>1720</v>
      </c>
      <c r="AZ512" s="110" t="s">
        <v>1730</v>
      </c>
      <c r="BA512" s="109" t="s">
        <v>1737</v>
      </c>
      <c r="BC512" s="100">
        <f t="shared" si="569"/>
        <v>0</v>
      </c>
      <c r="BD512" s="100">
        <f t="shared" si="570"/>
        <v>0</v>
      </c>
      <c r="BE512" s="100">
        <v>0</v>
      </c>
      <c r="BF512" s="100">
        <f>512</f>
        <v>512</v>
      </c>
      <c r="BH512" s="108">
        <f t="shared" si="571"/>
        <v>0</v>
      </c>
      <c r="BI512" s="108">
        <f t="shared" si="572"/>
        <v>0</v>
      </c>
      <c r="BJ512" s="108">
        <f t="shared" si="573"/>
        <v>0</v>
      </c>
    </row>
    <row r="513" spans="1:62" x14ac:dyDescent="0.2">
      <c r="A513" s="117" t="s">
        <v>464</v>
      </c>
      <c r="B513" s="117" t="s">
        <v>2662</v>
      </c>
      <c r="C513" s="304" t="s">
        <v>1540</v>
      </c>
      <c r="D513" s="305"/>
      <c r="E513" s="305"/>
      <c r="F513" s="117" t="s">
        <v>1646</v>
      </c>
      <c r="G513" s="116">
        <v>30</v>
      </c>
      <c r="H513" s="159"/>
      <c r="I513" s="108">
        <f t="shared" si="550"/>
        <v>0</v>
      </c>
      <c r="J513" s="108">
        <f t="shared" si="551"/>
        <v>0</v>
      </c>
      <c r="K513" s="108">
        <f t="shared" si="552"/>
        <v>0</v>
      </c>
      <c r="L513" s="111"/>
      <c r="Z513" s="100">
        <f t="shared" si="553"/>
        <v>0</v>
      </c>
      <c r="AB513" s="100">
        <f t="shared" si="554"/>
        <v>0</v>
      </c>
      <c r="AC513" s="100">
        <f t="shared" si="555"/>
        <v>0</v>
      </c>
      <c r="AD513" s="100">
        <f t="shared" si="556"/>
        <v>0</v>
      </c>
      <c r="AE513" s="100">
        <f t="shared" si="557"/>
        <v>0</v>
      </c>
      <c r="AF513" s="100">
        <f t="shared" si="558"/>
        <v>0</v>
      </c>
      <c r="AG513" s="100">
        <f t="shared" si="559"/>
        <v>0</v>
      </c>
      <c r="AH513" s="100">
        <f t="shared" si="560"/>
        <v>0</v>
      </c>
      <c r="AI513" s="109"/>
      <c r="AJ513" s="108">
        <f t="shared" si="561"/>
        <v>0</v>
      </c>
      <c r="AK513" s="108">
        <f t="shared" si="562"/>
        <v>0</v>
      </c>
      <c r="AL513" s="108">
        <f t="shared" si="563"/>
        <v>0</v>
      </c>
      <c r="AN513" s="100">
        <v>15</v>
      </c>
      <c r="AO513" s="100">
        <f t="shared" si="564"/>
        <v>0</v>
      </c>
      <c r="AP513" s="100">
        <f t="shared" si="565"/>
        <v>0</v>
      </c>
      <c r="AQ513" s="111" t="s">
        <v>7</v>
      </c>
      <c r="AV513" s="100">
        <f t="shared" si="566"/>
        <v>0</v>
      </c>
      <c r="AW513" s="100">
        <f t="shared" si="567"/>
        <v>0</v>
      </c>
      <c r="AX513" s="100">
        <f t="shared" si="568"/>
        <v>0</v>
      </c>
      <c r="AY513" s="110" t="s">
        <v>1720</v>
      </c>
      <c r="AZ513" s="110" t="s">
        <v>1730</v>
      </c>
      <c r="BA513" s="109" t="s">
        <v>1737</v>
      </c>
      <c r="BC513" s="100">
        <f t="shared" si="569"/>
        <v>0</v>
      </c>
      <c r="BD513" s="100">
        <f t="shared" si="570"/>
        <v>0</v>
      </c>
      <c r="BE513" s="100">
        <v>0</v>
      </c>
      <c r="BF513" s="100">
        <f>513</f>
        <v>513</v>
      </c>
      <c r="BH513" s="108">
        <f t="shared" si="571"/>
        <v>0</v>
      </c>
      <c r="BI513" s="108">
        <f t="shared" si="572"/>
        <v>0</v>
      </c>
      <c r="BJ513" s="108">
        <f t="shared" si="573"/>
        <v>0</v>
      </c>
    </row>
    <row r="514" spans="1:62" x14ac:dyDescent="0.2">
      <c r="A514" s="117" t="s">
        <v>465</v>
      </c>
      <c r="B514" s="117" t="s">
        <v>2661</v>
      </c>
      <c r="C514" s="304" t="s">
        <v>1541</v>
      </c>
      <c r="D514" s="305"/>
      <c r="E514" s="305"/>
      <c r="F514" s="117" t="s">
        <v>1646</v>
      </c>
      <c r="G514" s="116">
        <v>30</v>
      </c>
      <c r="H514" s="159"/>
      <c r="I514" s="108">
        <f t="shared" si="550"/>
        <v>0</v>
      </c>
      <c r="J514" s="108">
        <f t="shared" si="551"/>
        <v>0</v>
      </c>
      <c r="K514" s="108">
        <f t="shared" si="552"/>
        <v>0</v>
      </c>
      <c r="L514" s="111"/>
      <c r="Z514" s="100">
        <f t="shared" si="553"/>
        <v>0</v>
      </c>
      <c r="AB514" s="100">
        <f t="shared" si="554"/>
        <v>0</v>
      </c>
      <c r="AC514" s="100">
        <f t="shared" si="555"/>
        <v>0</v>
      </c>
      <c r="AD514" s="100">
        <f t="shared" si="556"/>
        <v>0</v>
      </c>
      <c r="AE514" s="100">
        <f t="shared" si="557"/>
        <v>0</v>
      </c>
      <c r="AF514" s="100">
        <f t="shared" si="558"/>
        <v>0</v>
      </c>
      <c r="AG514" s="100">
        <f t="shared" si="559"/>
        <v>0</v>
      </c>
      <c r="AH514" s="100">
        <f t="shared" si="560"/>
        <v>0</v>
      </c>
      <c r="AI514" s="109"/>
      <c r="AJ514" s="108">
        <f t="shared" si="561"/>
        <v>0</v>
      </c>
      <c r="AK514" s="108">
        <f t="shared" si="562"/>
        <v>0</v>
      </c>
      <c r="AL514" s="108">
        <f t="shared" si="563"/>
        <v>0</v>
      </c>
      <c r="AN514" s="100">
        <v>15</v>
      </c>
      <c r="AO514" s="100">
        <f t="shared" si="564"/>
        <v>0</v>
      </c>
      <c r="AP514" s="100">
        <f t="shared" si="565"/>
        <v>0</v>
      </c>
      <c r="AQ514" s="111" t="s">
        <v>7</v>
      </c>
      <c r="AV514" s="100">
        <f t="shared" si="566"/>
        <v>0</v>
      </c>
      <c r="AW514" s="100">
        <f t="shared" si="567"/>
        <v>0</v>
      </c>
      <c r="AX514" s="100">
        <f t="shared" si="568"/>
        <v>0</v>
      </c>
      <c r="AY514" s="110" t="s">
        <v>1720</v>
      </c>
      <c r="AZ514" s="110" t="s">
        <v>1730</v>
      </c>
      <c r="BA514" s="109" t="s">
        <v>1737</v>
      </c>
      <c r="BC514" s="100">
        <f t="shared" si="569"/>
        <v>0</v>
      </c>
      <c r="BD514" s="100">
        <f t="shared" si="570"/>
        <v>0</v>
      </c>
      <c r="BE514" s="100">
        <v>0</v>
      </c>
      <c r="BF514" s="100">
        <f>514</f>
        <v>514</v>
      </c>
      <c r="BH514" s="108">
        <f t="shared" si="571"/>
        <v>0</v>
      </c>
      <c r="BI514" s="108">
        <f t="shared" si="572"/>
        <v>0</v>
      </c>
      <c r="BJ514" s="108">
        <f t="shared" si="573"/>
        <v>0</v>
      </c>
    </row>
    <row r="515" spans="1:62" x14ac:dyDescent="0.2">
      <c r="A515" s="117" t="s">
        <v>466</v>
      </c>
      <c r="B515" s="117" t="s">
        <v>2660</v>
      </c>
      <c r="C515" s="304" t="s">
        <v>1542</v>
      </c>
      <c r="D515" s="305"/>
      <c r="E515" s="305"/>
      <c r="F515" s="117" t="s">
        <v>1646</v>
      </c>
      <c r="G515" s="116">
        <v>20</v>
      </c>
      <c r="H515" s="159"/>
      <c r="I515" s="108">
        <f t="shared" si="550"/>
        <v>0</v>
      </c>
      <c r="J515" s="108">
        <f t="shared" si="551"/>
        <v>0</v>
      </c>
      <c r="K515" s="108">
        <f t="shared" si="552"/>
        <v>0</v>
      </c>
      <c r="L515" s="111"/>
      <c r="Z515" s="100">
        <f t="shared" si="553"/>
        <v>0</v>
      </c>
      <c r="AB515" s="100">
        <f t="shared" si="554"/>
        <v>0</v>
      </c>
      <c r="AC515" s="100">
        <f t="shared" si="555"/>
        <v>0</v>
      </c>
      <c r="AD515" s="100">
        <f t="shared" si="556"/>
        <v>0</v>
      </c>
      <c r="AE515" s="100">
        <f t="shared" si="557"/>
        <v>0</v>
      </c>
      <c r="AF515" s="100">
        <f t="shared" si="558"/>
        <v>0</v>
      </c>
      <c r="AG515" s="100">
        <f t="shared" si="559"/>
        <v>0</v>
      </c>
      <c r="AH515" s="100">
        <f t="shared" si="560"/>
        <v>0</v>
      </c>
      <c r="AI515" s="109"/>
      <c r="AJ515" s="108">
        <f t="shared" si="561"/>
        <v>0</v>
      </c>
      <c r="AK515" s="108">
        <f t="shared" si="562"/>
        <v>0</v>
      </c>
      <c r="AL515" s="108">
        <f t="shared" si="563"/>
        <v>0</v>
      </c>
      <c r="AN515" s="100">
        <v>15</v>
      </c>
      <c r="AO515" s="100">
        <f t="shared" si="564"/>
        <v>0</v>
      </c>
      <c r="AP515" s="100">
        <f t="shared" si="565"/>
        <v>0</v>
      </c>
      <c r="AQ515" s="111" t="s">
        <v>7</v>
      </c>
      <c r="AV515" s="100">
        <f t="shared" si="566"/>
        <v>0</v>
      </c>
      <c r="AW515" s="100">
        <f t="shared" si="567"/>
        <v>0</v>
      </c>
      <c r="AX515" s="100">
        <f t="shared" si="568"/>
        <v>0</v>
      </c>
      <c r="AY515" s="110" t="s">
        <v>1720</v>
      </c>
      <c r="AZ515" s="110" t="s">
        <v>1730</v>
      </c>
      <c r="BA515" s="109" t="s">
        <v>1737</v>
      </c>
      <c r="BC515" s="100">
        <f t="shared" si="569"/>
        <v>0</v>
      </c>
      <c r="BD515" s="100">
        <f t="shared" si="570"/>
        <v>0</v>
      </c>
      <c r="BE515" s="100">
        <v>0</v>
      </c>
      <c r="BF515" s="100">
        <f>515</f>
        <v>515</v>
      </c>
      <c r="BH515" s="108">
        <f t="shared" si="571"/>
        <v>0</v>
      </c>
      <c r="BI515" s="108">
        <f t="shared" si="572"/>
        <v>0</v>
      </c>
      <c r="BJ515" s="108">
        <f t="shared" si="573"/>
        <v>0</v>
      </c>
    </row>
    <row r="516" spans="1:62" x14ac:dyDescent="0.2">
      <c r="A516" s="117" t="s">
        <v>467</v>
      </c>
      <c r="B516" s="117" t="s">
        <v>2659</v>
      </c>
      <c r="C516" s="304" t="s">
        <v>1543</v>
      </c>
      <c r="D516" s="305"/>
      <c r="E516" s="305"/>
      <c r="F516" s="117" t="s">
        <v>1644</v>
      </c>
      <c r="G516" s="116">
        <v>1</v>
      </c>
      <c r="H516" s="159"/>
      <c r="I516" s="108">
        <f t="shared" si="550"/>
        <v>0</v>
      </c>
      <c r="J516" s="108">
        <f t="shared" si="551"/>
        <v>0</v>
      </c>
      <c r="K516" s="108">
        <f t="shared" si="552"/>
        <v>0</v>
      </c>
      <c r="L516" s="111"/>
      <c r="Z516" s="100">
        <f t="shared" si="553"/>
        <v>0</v>
      </c>
      <c r="AB516" s="100">
        <f t="shared" si="554"/>
        <v>0</v>
      </c>
      <c r="AC516" s="100">
        <f t="shared" si="555"/>
        <v>0</v>
      </c>
      <c r="AD516" s="100">
        <f t="shared" si="556"/>
        <v>0</v>
      </c>
      <c r="AE516" s="100">
        <f t="shared" si="557"/>
        <v>0</v>
      </c>
      <c r="AF516" s="100">
        <f t="shared" si="558"/>
        <v>0</v>
      </c>
      <c r="AG516" s="100">
        <f t="shared" si="559"/>
        <v>0</v>
      </c>
      <c r="AH516" s="100">
        <f t="shared" si="560"/>
        <v>0</v>
      </c>
      <c r="AI516" s="109"/>
      <c r="AJ516" s="108">
        <f t="shared" si="561"/>
        <v>0</v>
      </c>
      <c r="AK516" s="108">
        <f t="shared" si="562"/>
        <v>0</v>
      </c>
      <c r="AL516" s="108">
        <f t="shared" si="563"/>
        <v>0</v>
      </c>
      <c r="AN516" s="100">
        <v>15</v>
      </c>
      <c r="AO516" s="100">
        <f t="shared" si="564"/>
        <v>0</v>
      </c>
      <c r="AP516" s="100">
        <f t="shared" si="565"/>
        <v>0</v>
      </c>
      <c r="AQ516" s="111" t="s">
        <v>7</v>
      </c>
      <c r="AV516" s="100">
        <f t="shared" si="566"/>
        <v>0</v>
      </c>
      <c r="AW516" s="100">
        <f t="shared" si="567"/>
        <v>0</v>
      </c>
      <c r="AX516" s="100">
        <f t="shared" si="568"/>
        <v>0</v>
      </c>
      <c r="AY516" s="110" t="s">
        <v>1720</v>
      </c>
      <c r="AZ516" s="110" t="s">
        <v>1730</v>
      </c>
      <c r="BA516" s="109" t="s">
        <v>1737</v>
      </c>
      <c r="BC516" s="100">
        <f t="shared" si="569"/>
        <v>0</v>
      </c>
      <c r="BD516" s="100">
        <f t="shared" si="570"/>
        <v>0</v>
      </c>
      <c r="BE516" s="100">
        <v>0</v>
      </c>
      <c r="BF516" s="100">
        <f>516</f>
        <v>516</v>
      </c>
      <c r="BH516" s="108">
        <f t="shared" si="571"/>
        <v>0</v>
      </c>
      <c r="BI516" s="108">
        <f t="shared" si="572"/>
        <v>0</v>
      </c>
      <c r="BJ516" s="108">
        <f t="shared" si="573"/>
        <v>0</v>
      </c>
    </row>
    <row r="517" spans="1:62" x14ac:dyDescent="0.2">
      <c r="A517" s="117" t="s">
        <v>468</v>
      </c>
      <c r="B517" s="117" t="s">
        <v>2658</v>
      </c>
      <c r="C517" s="304" t="s">
        <v>1544</v>
      </c>
      <c r="D517" s="305"/>
      <c r="E517" s="305"/>
      <c r="F517" s="117" t="s">
        <v>1644</v>
      </c>
      <c r="G517" s="116">
        <v>4</v>
      </c>
      <c r="H517" s="159"/>
      <c r="I517" s="108">
        <f t="shared" si="550"/>
        <v>0</v>
      </c>
      <c r="J517" s="108">
        <f t="shared" si="551"/>
        <v>0</v>
      </c>
      <c r="K517" s="108">
        <f t="shared" si="552"/>
        <v>0</v>
      </c>
      <c r="L517" s="111"/>
      <c r="Z517" s="100">
        <f t="shared" si="553"/>
        <v>0</v>
      </c>
      <c r="AB517" s="100">
        <f t="shared" si="554"/>
        <v>0</v>
      </c>
      <c r="AC517" s="100">
        <f t="shared" si="555"/>
        <v>0</v>
      </c>
      <c r="AD517" s="100">
        <f t="shared" si="556"/>
        <v>0</v>
      </c>
      <c r="AE517" s="100">
        <f t="shared" si="557"/>
        <v>0</v>
      </c>
      <c r="AF517" s="100">
        <f t="shared" si="558"/>
        <v>0</v>
      </c>
      <c r="AG517" s="100">
        <f t="shared" si="559"/>
        <v>0</v>
      </c>
      <c r="AH517" s="100">
        <f t="shared" si="560"/>
        <v>0</v>
      </c>
      <c r="AI517" s="109"/>
      <c r="AJ517" s="108">
        <f t="shared" si="561"/>
        <v>0</v>
      </c>
      <c r="AK517" s="108">
        <f t="shared" si="562"/>
        <v>0</v>
      </c>
      <c r="AL517" s="108">
        <f t="shared" si="563"/>
        <v>0</v>
      </c>
      <c r="AN517" s="100">
        <v>15</v>
      </c>
      <c r="AO517" s="100">
        <f t="shared" si="564"/>
        <v>0</v>
      </c>
      <c r="AP517" s="100">
        <f t="shared" si="565"/>
        <v>0</v>
      </c>
      <c r="AQ517" s="111" t="s">
        <v>7</v>
      </c>
      <c r="AV517" s="100">
        <f t="shared" si="566"/>
        <v>0</v>
      </c>
      <c r="AW517" s="100">
        <f t="shared" si="567"/>
        <v>0</v>
      </c>
      <c r="AX517" s="100">
        <f t="shared" si="568"/>
        <v>0</v>
      </c>
      <c r="AY517" s="110" t="s">
        <v>1720</v>
      </c>
      <c r="AZ517" s="110" t="s">
        <v>1730</v>
      </c>
      <c r="BA517" s="109" t="s">
        <v>1737</v>
      </c>
      <c r="BC517" s="100">
        <f t="shared" si="569"/>
        <v>0</v>
      </c>
      <c r="BD517" s="100">
        <f t="shared" si="570"/>
        <v>0</v>
      </c>
      <c r="BE517" s="100">
        <v>0</v>
      </c>
      <c r="BF517" s="100">
        <f>517</f>
        <v>517</v>
      </c>
      <c r="BH517" s="108">
        <f t="shared" si="571"/>
        <v>0</v>
      </c>
      <c r="BI517" s="108">
        <f t="shared" si="572"/>
        <v>0</v>
      </c>
      <c r="BJ517" s="108">
        <f t="shared" si="573"/>
        <v>0</v>
      </c>
    </row>
    <row r="518" spans="1:62" x14ac:dyDescent="0.2">
      <c r="A518" s="117" t="s">
        <v>469</v>
      </c>
      <c r="B518" s="117" t="s">
        <v>2657</v>
      </c>
      <c r="C518" s="304" t="s">
        <v>1545</v>
      </c>
      <c r="D518" s="305"/>
      <c r="E518" s="305"/>
      <c r="F518" s="117" t="s">
        <v>1646</v>
      </c>
      <c r="G518" s="116">
        <v>120</v>
      </c>
      <c r="H518" s="159"/>
      <c r="I518" s="108">
        <f t="shared" si="550"/>
        <v>0</v>
      </c>
      <c r="J518" s="108">
        <f t="shared" si="551"/>
        <v>0</v>
      </c>
      <c r="K518" s="108">
        <f t="shared" si="552"/>
        <v>0</v>
      </c>
      <c r="L518" s="111"/>
      <c r="Z518" s="100">
        <f t="shared" si="553"/>
        <v>0</v>
      </c>
      <c r="AB518" s="100">
        <f t="shared" si="554"/>
        <v>0</v>
      </c>
      <c r="AC518" s="100">
        <f t="shared" si="555"/>
        <v>0</v>
      </c>
      <c r="AD518" s="100">
        <f t="shared" si="556"/>
        <v>0</v>
      </c>
      <c r="AE518" s="100">
        <f t="shared" si="557"/>
        <v>0</v>
      </c>
      <c r="AF518" s="100">
        <f t="shared" si="558"/>
        <v>0</v>
      </c>
      <c r="AG518" s="100">
        <f t="shared" si="559"/>
        <v>0</v>
      </c>
      <c r="AH518" s="100">
        <f t="shared" si="560"/>
        <v>0</v>
      </c>
      <c r="AI518" s="109"/>
      <c r="AJ518" s="108">
        <f t="shared" si="561"/>
        <v>0</v>
      </c>
      <c r="AK518" s="108">
        <f t="shared" si="562"/>
        <v>0</v>
      </c>
      <c r="AL518" s="108">
        <f t="shared" si="563"/>
        <v>0</v>
      </c>
      <c r="AN518" s="100">
        <v>15</v>
      </c>
      <c r="AO518" s="100">
        <f t="shared" si="564"/>
        <v>0</v>
      </c>
      <c r="AP518" s="100">
        <f t="shared" si="565"/>
        <v>0</v>
      </c>
      <c r="AQ518" s="111" t="s">
        <v>7</v>
      </c>
      <c r="AV518" s="100">
        <f t="shared" si="566"/>
        <v>0</v>
      </c>
      <c r="AW518" s="100">
        <f t="shared" si="567"/>
        <v>0</v>
      </c>
      <c r="AX518" s="100">
        <f t="shared" si="568"/>
        <v>0</v>
      </c>
      <c r="AY518" s="110" t="s">
        <v>1720</v>
      </c>
      <c r="AZ518" s="110" t="s">
        <v>1730</v>
      </c>
      <c r="BA518" s="109" t="s">
        <v>1737</v>
      </c>
      <c r="BC518" s="100">
        <f t="shared" si="569"/>
        <v>0</v>
      </c>
      <c r="BD518" s="100">
        <f t="shared" si="570"/>
        <v>0</v>
      </c>
      <c r="BE518" s="100">
        <v>0</v>
      </c>
      <c r="BF518" s="100">
        <f>518</f>
        <v>518</v>
      </c>
      <c r="BH518" s="108">
        <f t="shared" si="571"/>
        <v>0</v>
      </c>
      <c r="BI518" s="108">
        <f t="shared" si="572"/>
        <v>0</v>
      </c>
      <c r="BJ518" s="108">
        <f t="shared" si="573"/>
        <v>0</v>
      </c>
    </row>
    <row r="519" spans="1:62" x14ac:dyDescent="0.2">
      <c r="A519" s="117" t="s">
        <v>470</v>
      </c>
      <c r="B519" s="117" t="s">
        <v>2656</v>
      </c>
      <c r="C519" s="304" t="s">
        <v>1546</v>
      </c>
      <c r="D519" s="305"/>
      <c r="E519" s="305"/>
      <c r="F519" s="117" t="s">
        <v>1646</v>
      </c>
      <c r="G519" s="116">
        <v>30</v>
      </c>
      <c r="H519" s="159"/>
      <c r="I519" s="108">
        <f t="shared" si="550"/>
        <v>0</v>
      </c>
      <c r="J519" s="108">
        <f t="shared" si="551"/>
        <v>0</v>
      </c>
      <c r="K519" s="108">
        <f t="shared" si="552"/>
        <v>0</v>
      </c>
      <c r="L519" s="111"/>
      <c r="Z519" s="100">
        <f t="shared" si="553"/>
        <v>0</v>
      </c>
      <c r="AB519" s="100">
        <f t="shared" si="554"/>
        <v>0</v>
      </c>
      <c r="AC519" s="100">
        <f t="shared" si="555"/>
        <v>0</v>
      </c>
      <c r="AD519" s="100">
        <f t="shared" si="556"/>
        <v>0</v>
      </c>
      <c r="AE519" s="100">
        <f t="shared" si="557"/>
        <v>0</v>
      </c>
      <c r="AF519" s="100">
        <f t="shared" si="558"/>
        <v>0</v>
      </c>
      <c r="AG519" s="100">
        <f t="shared" si="559"/>
        <v>0</v>
      </c>
      <c r="AH519" s="100">
        <f t="shared" si="560"/>
        <v>0</v>
      </c>
      <c r="AI519" s="109"/>
      <c r="AJ519" s="108">
        <f t="shared" si="561"/>
        <v>0</v>
      </c>
      <c r="AK519" s="108">
        <f t="shared" si="562"/>
        <v>0</v>
      </c>
      <c r="AL519" s="108">
        <f t="shared" si="563"/>
        <v>0</v>
      </c>
      <c r="AN519" s="100">
        <v>15</v>
      </c>
      <c r="AO519" s="100">
        <f t="shared" si="564"/>
        <v>0</v>
      </c>
      <c r="AP519" s="100">
        <f t="shared" si="565"/>
        <v>0</v>
      </c>
      <c r="AQ519" s="111" t="s">
        <v>7</v>
      </c>
      <c r="AV519" s="100">
        <f t="shared" si="566"/>
        <v>0</v>
      </c>
      <c r="AW519" s="100">
        <f t="shared" si="567"/>
        <v>0</v>
      </c>
      <c r="AX519" s="100">
        <f t="shared" si="568"/>
        <v>0</v>
      </c>
      <c r="AY519" s="110" t="s">
        <v>1720</v>
      </c>
      <c r="AZ519" s="110" t="s">
        <v>1730</v>
      </c>
      <c r="BA519" s="109" t="s">
        <v>1737</v>
      </c>
      <c r="BC519" s="100">
        <f t="shared" si="569"/>
        <v>0</v>
      </c>
      <c r="BD519" s="100">
        <f t="shared" si="570"/>
        <v>0</v>
      </c>
      <c r="BE519" s="100">
        <v>0</v>
      </c>
      <c r="BF519" s="100">
        <f>519</f>
        <v>519</v>
      </c>
      <c r="BH519" s="108">
        <f t="shared" si="571"/>
        <v>0</v>
      </c>
      <c r="BI519" s="108">
        <f t="shared" si="572"/>
        <v>0</v>
      </c>
      <c r="BJ519" s="108">
        <f t="shared" si="573"/>
        <v>0</v>
      </c>
    </row>
    <row r="520" spans="1:62" x14ac:dyDescent="0.2">
      <c r="A520" s="117" t="s">
        <v>471</v>
      </c>
      <c r="B520" s="117" t="s">
        <v>2655</v>
      </c>
      <c r="C520" s="304" t="s">
        <v>1547</v>
      </c>
      <c r="D520" s="305"/>
      <c r="E520" s="305"/>
      <c r="F520" s="117" t="s">
        <v>1646</v>
      </c>
      <c r="G520" s="116">
        <v>100</v>
      </c>
      <c r="H520" s="159"/>
      <c r="I520" s="108">
        <f t="shared" si="550"/>
        <v>0</v>
      </c>
      <c r="J520" s="108">
        <f t="shared" si="551"/>
        <v>0</v>
      </c>
      <c r="K520" s="108">
        <f t="shared" si="552"/>
        <v>0</v>
      </c>
      <c r="L520" s="111"/>
      <c r="Z520" s="100">
        <f t="shared" si="553"/>
        <v>0</v>
      </c>
      <c r="AB520" s="100">
        <f t="shared" si="554"/>
        <v>0</v>
      </c>
      <c r="AC520" s="100">
        <f t="shared" si="555"/>
        <v>0</v>
      </c>
      <c r="AD520" s="100">
        <f t="shared" si="556"/>
        <v>0</v>
      </c>
      <c r="AE520" s="100">
        <f t="shared" si="557"/>
        <v>0</v>
      </c>
      <c r="AF520" s="100">
        <f t="shared" si="558"/>
        <v>0</v>
      </c>
      <c r="AG520" s="100">
        <f t="shared" si="559"/>
        <v>0</v>
      </c>
      <c r="AH520" s="100">
        <f t="shared" si="560"/>
        <v>0</v>
      </c>
      <c r="AI520" s="109"/>
      <c r="AJ520" s="108">
        <f t="shared" si="561"/>
        <v>0</v>
      </c>
      <c r="AK520" s="108">
        <f t="shared" si="562"/>
        <v>0</v>
      </c>
      <c r="AL520" s="108">
        <f t="shared" si="563"/>
        <v>0</v>
      </c>
      <c r="AN520" s="100">
        <v>15</v>
      </c>
      <c r="AO520" s="100">
        <f t="shared" si="564"/>
        <v>0</v>
      </c>
      <c r="AP520" s="100">
        <f t="shared" si="565"/>
        <v>0</v>
      </c>
      <c r="AQ520" s="111" t="s">
        <v>7</v>
      </c>
      <c r="AV520" s="100">
        <f t="shared" si="566"/>
        <v>0</v>
      </c>
      <c r="AW520" s="100">
        <f t="shared" si="567"/>
        <v>0</v>
      </c>
      <c r="AX520" s="100">
        <f t="shared" si="568"/>
        <v>0</v>
      </c>
      <c r="AY520" s="110" t="s">
        <v>1720</v>
      </c>
      <c r="AZ520" s="110" t="s">
        <v>1730</v>
      </c>
      <c r="BA520" s="109" t="s">
        <v>1737</v>
      </c>
      <c r="BC520" s="100">
        <f t="shared" si="569"/>
        <v>0</v>
      </c>
      <c r="BD520" s="100">
        <f t="shared" si="570"/>
        <v>0</v>
      </c>
      <c r="BE520" s="100">
        <v>0</v>
      </c>
      <c r="BF520" s="100">
        <f>520</f>
        <v>520</v>
      </c>
      <c r="BH520" s="108">
        <f t="shared" si="571"/>
        <v>0</v>
      </c>
      <c r="BI520" s="108">
        <f t="shared" si="572"/>
        <v>0</v>
      </c>
      <c r="BJ520" s="108">
        <f t="shared" si="573"/>
        <v>0</v>
      </c>
    </row>
    <row r="521" spans="1:62" x14ac:dyDescent="0.2">
      <c r="A521" s="117" t="s">
        <v>472</v>
      </c>
      <c r="B521" s="117" t="s">
        <v>2654</v>
      </c>
      <c r="C521" s="304" t="s">
        <v>1548</v>
      </c>
      <c r="D521" s="305"/>
      <c r="E521" s="305"/>
      <c r="F521" s="117" t="s">
        <v>1644</v>
      </c>
      <c r="G521" s="116">
        <v>4</v>
      </c>
      <c r="H521" s="159"/>
      <c r="I521" s="108">
        <f t="shared" si="550"/>
        <v>0</v>
      </c>
      <c r="J521" s="108">
        <f t="shared" si="551"/>
        <v>0</v>
      </c>
      <c r="K521" s="108">
        <f t="shared" si="552"/>
        <v>0</v>
      </c>
      <c r="L521" s="111"/>
      <c r="Z521" s="100">
        <f t="shared" si="553"/>
        <v>0</v>
      </c>
      <c r="AB521" s="100">
        <f t="shared" si="554"/>
        <v>0</v>
      </c>
      <c r="AC521" s="100">
        <f t="shared" si="555"/>
        <v>0</v>
      </c>
      <c r="AD521" s="100">
        <f t="shared" si="556"/>
        <v>0</v>
      </c>
      <c r="AE521" s="100">
        <f t="shared" si="557"/>
        <v>0</v>
      </c>
      <c r="AF521" s="100">
        <f t="shared" si="558"/>
        <v>0</v>
      </c>
      <c r="AG521" s="100">
        <f t="shared" si="559"/>
        <v>0</v>
      </c>
      <c r="AH521" s="100">
        <f t="shared" si="560"/>
        <v>0</v>
      </c>
      <c r="AI521" s="109"/>
      <c r="AJ521" s="108">
        <f t="shared" si="561"/>
        <v>0</v>
      </c>
      <c r="AK521" s="108">
        <f t="shared" si="562"/>
        <v>0</v>
      </c>
      <c r="AL521" s="108">
        <f t="shared" si="563"/>
        <v>0</v>
      </c>
      <c r="AN521" s="100">
        <v>15</v>
      </c>
      <c r="AO521" s="100">
        <f t="shared" si="564"/>
        <v>0</v>
      </c>
      <c r="AP521" s="100">
        <f t="shared" si="565"/>
        <v>0</v>
      </c>
      <c r="AQ521" s="111" t="s">
        <v>7</v>
      </c>
      <c r="AV521" s="100">
        <f t="shared" si="566"/>
        <v>0</v>
      </c>
      <c r="AW521" s="100">
        <f t="shared" si="567"/>
        <v>0</v>
      </c>
      <c r="AX521" s="100">
        <f t="shared" si="568"/>
        <v>0</v>
      </c>
      <c r="AY521" s="110" t="s">
        <v>1720</v>
      </c>
      <c r="AZ521" s="110" t="s">
        <v>1730</v>
      </c>
      <c r="BA521" s="109" t="s">
        <v>1737</v>
      </c>
      <c r="BC521" s="100">
        <f t="shared" si="569"/>
        <v>0</v>
      </c>
      <c r="BD521" s="100">
        <f t="shared" si="570"/>
        <v>0</v>
      </c>
      <c r="BE521" s="100">
        <v>0</v>
      </c>
      <c r="BF521" s="100">
        <f>521</f>
        <v>521</v>
      </c>
      <c r="BH521" s="108">
        <f t="shared" si="571"/>
        <v>0</v>
      </c>
      <c r="BI521" s="108">
        <f t="shared" si="572"/>
        <v>0</v>
      </c>
      <c r="BJ521" s="108">
        <f t="shared" si="573"/>
        <v>0</v>
      </c>
    </row>
    <row r="522" spans="1:62" x14ac:dyDescent="0.2">
      <c r="A522" s="117" t="s">
        <v>473</v>
      </c>
      <c r="B522" s="117" t="s">
        <v>2653</v>
      </c>
      <c r="C522" s="304" t="s">
        <v>1549</v>
      </c>
      <c r="D522" s="305"/>
      <c r="E522" s="305"/>
      <c r="F522" s="117" t="s">
        <v>1644</v>
      </c>
      <c r="G522" s="116">
        <v>5</v>
      </c>
      <c r="H522" s="159"/>
      <c r="I522" s="108">
        <f t="shared" si="550"/>
        <v>0</v>
      </c>
      <c r="J522" s="108">
        <f t="shared" si="551"/>
        <v>0</v>
      </c>
      <c r="K522" s="108">
        <f t="shared" si="552"/>
        <v>0</v>
      </c>
      <c r="L522" s="111"/>
      <c r="Z522" s="100">
        <f t="shared" si="553"/>
        <v>0</v>
      </c>
      <c r="AB522" s="100">
        <f t="shared" si="554"/>
        <v>0</v>
      </c>
      <c r="AC522" s="100">
        <f t="shared" si="555"/>
        <v>0</v>
      </c>
      <c r="AD522" s="100">
        <f t="shared" si="556"/>
        <v>0</v>
      </c>
      <c r="AE522" s="100">
        <f t="shared" si="557"/>
        <v>0</v>
      </c>
      <c r="AF522" s="100">
        <f t="shared" si="558"/>
        <v>0</v>
      </c>
      <c r="AG522" s="100">
        <f t="shared" si="559"/>
        <v>0</v>
      </c>
      <c r="AH522" s="100">
        <f t="shared" si="560"/>
        <v>0</v>
      </c>
      <c r="AI522" s="109"/>
      <c r="AJ522" s="108">
        <f t="shared" si="561"/>
        <v>0</v>
      </c>
      <c r="AK522" s="108">
        <f t="shared" si="562"/>
        <v>0</v>
      </c>
      <c r="AL522" s="108">
        <f t="shared" si="563"/>
        <v>0</v>
      </c>
      <c r="AN522" s="100">
        <v>15</v>
      </c>
      <c r="AO522" s="100">
        <f t="shared" si="564"/>
        <v>0</v>
      </c>
      <c r="AP522" s="100">
        <f t="shared" si="565"/>
        <v>0</v>
      </c>
      <c r="AQ522" s="111" t="s">
        <v>7</v>
      </c>
      <c r="AV522" s="100">
        <f t="shared" si="566"/>
        <v>0</v>
      </c>
      <c r="AW522" s="100">
        <f t="shared" si="567"/>
        <v>0</v>
      </c>
      <c r="AX522" s="100">
        <f t="shared" si="568"/>
        <v>0</v>
      </c>
      <c r="AY522" s="110" t="s">
        <v>1720</v>
      </c>
      <c r="AZ522" s="110" t="s">
        <v>1730</v>
      </c>
      <c r="BA522" s="109" t="s">
        <v>1737</v>
      </c>
      <c r="BC522" s="100">
        <f t="shared" si="569"/>
        <v>0</v>
      </c>
      <c r="BD522" s="100">
        <f t="shared" si="570"/>
        <v>0</v>
      </c>
      <c r="BE522" s="100">
        <v>0</v>
      </c>
      <c r="BF522" s="100">
        <f>522</f>
        <v>522</v>
      </c>
      <c r="BH522" s="108">
        <f t="shared" si="571"/>
        <v>0</v>
      </c>
      <c r="BI522" s="108">
        <f t="shared" si="572"/>
        <v>0</v>
      </c>
      <c r="BJ522" s="108">
        <f t="shared" si="573"/>
        <v>0</v>
      </c>
    </row>
    <row r="523" spans="1:62" x14ac:dyDescent="0.2">
      <c r="A523" s="117" t="s">
        <v>474</v>
      </c>
      <c r="B523" s="117" t="s">
        <v>2652</v>
      </c>
      <c r="C523" s="304" t="s">
        <v>1550</v>
      </c>
      <c r="D523" s="305"/>
      <c r="E523" s="305"/>
      <c r="F523" s="117" t="s">
        <v>1646</v>
      </c>
      <c r="G523" s="116">
        <v>80</v>
      </c>
      <c r="H523" s="159"/>
      <c r="I523" s="108">
        <f t="shared" si="550"/>
        <v>0</v>
      </c>
      <c r="J523" s="108">
        <f t="shared" si="551"/>
        <v>0</v>
      </c>
      <c r="K523" s="108">
        <f t="shared" si="552"/>
        <v>0</v>
      </c>
      <c r="L523" s="111"/>
      <c r="Z523" s="100">
        <f t="shared" si="553"/>
        <v>0</v>
      </c>
      <c r="AB523" s="100">
        <f t="shared" si="554"/>
        <v>0</v>
      </c>
      <c r="AC523" s="100">
        <f t="shared" si="555"/>
        <v>0</v>
      </c>
      <c r="AD523" s="100">
        <f t="shared" si="556"/>
        <v>0</v>
      </c>
      <c r="AE523" s="100">
        <f t="shared" si="557"/>
        <v>0</v>
      </c>
      <c r="AF523" s="100">
        <f t="shared" si="558"/>
        <v>0</v>
      </c>
      <c r="AG523" s="100">
        <f t="shared" si="559"/>
        <v>0</v>
      </c>
      <c r="AH523" s="100">
        <f t="shared" si="560"/>
        <v>0</v>
      </c>
      <c r="AI523" s="109"/>
      <c r="AJ523" s="108">
        <f t="shared" si="561"/>
        <v>0</v>
      </c>
      <c r="AK523" s="108">
        <f t="shared" si="562"/>
        <v>0</v>
      </c>
      <c r="AL523" s="108">
        <f t="shared" si="563"/>
        <v>0</v>
      </c>
      <c r="AN523" s="100">
        <v>15</v>
      </c>
      <c r="AO523" s="100">
        <f t="shared" si="564"/>
        <v>0</v>
      </c>
      <c r="AP523" s="100">
        <f t="shared" si="565"/>
        <v>0</v>
      </c>
      <c r="AQ523" s="111" t="s">
        <v>7</v>
      </c>
      <c r="AV523" s="100">
        <f t="shared" si="566"/>
        <v>0</v>
      </c>
      <c r="AW523" s="100">
        <f t="shared" si="567"/>
        <v>0</v>
      </c>
      <c r="AX523" s="100">
        <f t="shared" si="568"/>
        <v>0</v>
      </c>
      <c r="AY523" s="110" t="s">
        <v>1720</v>
      </c>
      <c r="AZ523" s="110" t="s">
        <v>1730</v>
      </c>
      <c r="BA523" s="109" t="s">
        <v>1737</v>
      </c>
      <c r="BC523" s="100">
        <f t="shared" si="569"/>
        <v>0</v>
      </c>
      <c r="BD523" s="100">
        <f t="shared" si="570"/>
        <v>0</v>
      </c>
      <c r="BE523" s="100">
        <v>0</v>
      </c>
      <c r="BF523" s="100">
        <f>523</f>
        <v>523</v>
      </c>
      <c r="BH523" s="108">
        <f t="shared" si="571"/>
        <v>0</v>
      </c>
      <c r="BI523" s="108">
        <f t="shared" si="572"/>
        <v>0</v>
      </c>
      <c r="BJ523" s="108">
        <f t="shared" si="573"/>
        <v>0</v>
      </c>
    </row>
    <row r="524" spans="1:62" x14ac:dyDescent="0.2">
      <c r="A524" s="117" t="s">
        <v>475</v>
      </c>
      <c r="B524" s="117" t="s">
        <v>2651</v>
      </c>
      <c r="C524" s="304" t="s">
        <v>1551</v>
      </c>
      <c r="D524" s="305"/>
      <c r="E524" s="305"/>
      <c r="F524" s="117" t="s">
        <v>1644</v>
      </c>
      <c r="G524" s="116">
        <v>1</v>
      </c>
      <c r="H524" s="159"/>
      <c r="I524" s="108">
        <f t="shared" si="550"/>
        <v>0</v>
      </c>
      <c r="J524" s="108">
        <f t="shared" si="551"/>
        <v>0</v>
      </c>
      <c r="K524" s="108">
        <f t="shared" si="552"/>
        <v>0</v>
      </c>
      <c r="L524" s="111"/>
      <c r="Z524" s="100">
        <f t="shared" si="553"/>
        <v>0</v>
      </c>
      <c r="AB524" s="100">
        <f t="shared" si="554"/>
        <v>0</v>
      </c>
      <c r="AC524" s="100">
        <f t="shared" si="555"/>
        <v>0</v>
      </c>
      <c r="AD524" s="100">
        <f t="shared" si="556"/>
        <v>0</v>
      </c>
      <c r="AE524" s="100">
        <f t="shared" si="557"/>
        <v>0</v>
      </c>
      <c r="AF524" s="100">
        <f t="shared" si="558"/>
        <v>0</v>
      </c>
      <c r="AG524" s="100">
        <f t="shared" si="559"/>
        <v>0</v>
      </c>
      <c r="AH524" s="100">
        <f t="shared" si="560"/>
        <v>0</v>
      </c>
      <c r="AI524" s="109"/>
      <c r="AJ524" s="108">
        <f t="shared" si="561"/>
        <v>0</v>
      </c>
      <c r="AK524" s="108">
        <f t="shared" si="562"/>
        <v>0</v>
      </c>
      <c r="AL524" s="108">
        <f t="shared" si="563"/>
        <v>0</v>
      </c>
      <c r="AN524" s="100">
        <v>15</v>
      </c>
      <c r="AO524" s="100">
        <f t="shared" si="564"/>
        <v>0</v>
      </c>
      <c r="AP524" s="100">
        <f t="shared" si="565"/>
        <v>0</v>
      </c>
      <c r="AQ524" s="111" t="s">
        <v>7</v>
      </c>
      <c r="AV524" s="100">
        <f t="shared" si="566"/>
        <v>0</v>
      </c>
      <c r="AW524" s="100">
        <f t="shared" si="567"/>
        <v>0</v>
      </c>
      <c r="AX524" s="100">
        <f t="shared" si="568"/>
        <v>0</v>
      </c>
      <c r="AY524" s="110" t="s">
        <v>1720</v>
      </c>
      <c r="AZ524" s="110" t="s">
        <v>1730</v>
      </c>
      <c r="BA524" s="109" t="s">
        <v>1737</v>
      </c>
      <c r="BC524" s="100">
        <f t="shared" si="569"/>
        <v>0</v>
      </c>
      <c r="BD524" s="100">
        <f t="shared" si="570"/>
        <v>0</v>
      </c>
      <c r="BE524" s="100">
        <v>0</v>
      </c>
      <c r="BF524" s="100">
        <f>524</f>
        <v>524</v>
      </c>
      <c r="BH524" s="108">
        <f t="shared" si="571"/>
        <v>0</v>
      </c>
      <c r="BI524" s="108">
        <f t="shared" si="572"/>
        <v>0</v>
      </c>
      <c r="BJ524" s="108">
        <f t="shared" si="573"/>
        <v>0</v>
      </c>
    </row>
    <row r="525" spans="1:62" x14ac:dyDescent="0.2">
      <c r="A525" s="117" t="s">
        <v>476</v>
      </c>
      <c r="B525" s="117" t="s">
        <v>2650</v>
      </c>
      <c r="C525" s="304" t="s">
        <v>1552</v>
      </c>
      <c r="D525" s="305"/>
      <c r="E525" s="305"/>
      <c r="F525" s="117" t="s">
        <v>1644</v>
      </c>
      <c r="G525" s="116">
        <v>1</v>
      </c>
      <c r="H525" s="159"/>
      <c r="I525" s="108">
        <f t="shared" si="550"/>
        <v>0</v>
      </c>
      <c r="J525" s="108">
        <f t="shared" si="551"/>
        <v>0</v>
      </c>
      <c r="K525" s="108">
        <f t="shared" si="552"/>
        <v>0</v>
      </c>
      <c r="L525" s="111"/>
      <c r="Z525" s="100">
        <f t="shared" si="553"/>
        <v>0</v>
      </c>
      <c r="AB525" s="100">
        <f t="shared" si="554"/>
        <v>0</v>
      </c>
      <c r="AC525" s="100">
        <f t="shared" si="555"/>
        <v>0</v>
      </c>
      <c r="AD525" s="100">
        <f t="shared" si="556"/>
        <v>0</v>
      </c>
      <c r="AE525" s="100">
        <f t="shared" si="557"/>
        <v>0</v>
      </c>
      <c r="AF525" s="100">
        <f t="shared" si="558"/>
        <v>0</v>
      </c>
      <c r="AG525" s="100">
        <f t="shared" si="559"/>
        <v>0</v>
      </c>
      <c r="AH525" s="100">
        <f t="shared" si="560"/>
        <v>0</v>
      </c>
      <c r="AI525" s="109"/>
      <c r="AJ525" s="108">
        <f t="shared" si="561"/>
        <v>0</v>
      </c>
      <c r="AK525" s="108">
        <f t="shared" si="562"/>
        <v>0</v>
      </c>
      <c r="AL525" s="108">
        <f t="shared" si="563"/>
        <v>0</v>
      </c>
      <c r="AN525" s="100">
        <v>15</v>
      </c>
      <c r="AO525" s="100">
        <f t="shared" si="564"/>
        <v>0</v>
      </c>
      <c r="AP525" s="100">
        <f t="shared" si="565"/>
        <v>0</v>
      </c>
      <c r="AQ525" s="111" t="s">
        <v>7</v>
      </c>
      <c r="AV525" s="100">
        <f t="shared" si="566"/>
        <v>0</v>
      </c>
      <c r="AW525" s="100">
        <f t="shared" si="567"/>
        <v>0</v>
      </c>
      <c r="AX525" s="100">
        <f t="shared" si="568"/>
        <v>0</v>
      </c>
      <c r="AY525" s="110" t="s">
        <v>1720</v>
      </c>
      <c r="AZ525" s="110" t="s">
        <v>1730</v>
      </c>
      <c r="BA525" s="109" t="s">
        <v>1737</v>
      </c>
      <c r="BC525" s="100">
        <f t="shared" si="569"/>
        <v>0</v>
      </c>
      <c r="BD525" s="100">
        <f t="shared" si="570"/>
        <v>0</v>
      </c>
      <c r="BE525" s="100">
        <v>0</v>
      </c>
      <c r="BF525" s="100">
        <f>525</f>
        <v>525</v>
      </c>
      <c r="BH525" s="108">
        <f t="shared" si="571"/>
        <v>0</v>
      </c>
      <c r="BI525" s="108">
        <f t="shared" si="572"/>
        <v>0</v>
      </c>
      <c r="BJ525" s="108">
        <f t="shared" si="573"/>
        <v>0</v>
      </c>
    </row>
    <row r="526" spans="1:62" x14ac:dyDescent="0.2">
      <c r="A526" s="117" t="s">
        <v>477</v>
      </c>
      <c r="B526" s="117" t="s">
        <v>2649</v>
      </c>
      <c r="C526" s="304" t="s">
        <v>1553</v>
      </c>
      <c r="D526" s="305"/>
      <c r="E526" s="305"/>
      <c r="F526" s="117" t="s">
        <v>1644</v>
      </c>
      <c r="G526" s="116">
        <v>1</v>
      </c>
      <c r="H526" s="159"/>
      <c r="I526" s="108">
        <f t="shared" si="550"/>
        <v>0</v>
      </c>
      <c r="J526" s="108">
        <f t="shared" si="551"/>
        <v>0</v>
      </c>
      <c r="K526" s="108">
        <f t="shared" si="552"/>
        <v>0</v>
      </c>
      <c r="L526" s="111"/>
      <c r="Z526" s="100">
        <f t="shared" si="553"/>
        <v>0</v>
      </c>
      <c r="AB526" s="100">
        <f t="shared" si="554"/>
        <v>0</v>
      </c>
      <c r="AC526" s="100">
        <f t="shared" si="555"/>
        <v>0</v>
      </c>
      <c r="AD526" s="100">
        <f t="shared" si="556"/>
        <v>0</v>
      </c>
      <c r="AE526" s="100">
        <f t="shared" si="557"/>
        <v>0</v>
      </c>
      <c r="AF526" s="100">
        <f t="shared" si="558"/>
        <v>0</v>
      </c>
      <c r="AG526" s="100">
        <f t="shared" si="559"/>
        <v>0</v>
      </c>
      <c r="AH526" s="100">
        <f t="shared" si="560"/>
        <v>0</v>
      </c>
      <c r="AI526" s="109"/>
      <c r="AJ526" s="108">
        <f t="shared" si="561"/>
        <v>0</v>
      </c>
      <c r="AK526" s="108">
        <f t="shared" si="562"/>
        <v>0</v>
      </c>
      <c r="AL526" s="108">
        <f t="shared" si="563"/>
        <v>0</v>
      </c>
      <c r="AN526" s="100">
        <v>15</v>
      </c>
      <c r="AO526" s="100">
        <f t="shared" si="564"/>
        <v>0</v>
      </c>
      <c r="AP526" s="100">
        <f t="shared" si="565"/>
        <v>0</v>
      </c>
      <c r="AQ526" s="111" t="s">
        <v>7</v>
      </c>
      <c r="AV526" s="100">
        <f t="shared" si="566"/>
        <v>0</v>
      </c>
      <c r="AW526" s="100">
        <f t="shared" si="567"/>
        <v>0</v>
      </c>
      <c r="AX526" s="100">
        <f t="shared" si="568"/>
        <v>0</v>
      </c>
      <c r="AY526" s="110" t="s">
        <v>1720</v>
      </c>
      <c r="AZ526" s="110" t="s">
        <v>1730</v>
      </c>
      <c r="BA526" s="109" t="s">
        <v>1737</v>
      </c>
      <c r="BC526" s="100">
        <f t="shared" si="569"/>
        <v>0</v>
      </c>
      <c r="BD526" s="100">
        <f t="shared" si="570"/>
        <v>0</v>
      </c>
      <c r="BE526" s="100">
        <v>0</v>
      </c>
      <c r="BF526" s="100">
        <f>526</f>
        <v>526</v>
      </c>
      <c r="BH526" s="108">
        <f t="shared" si="571"/>
        <v>0</v>
      </c>
      <c r="BI526" s="108">
        <f t="shared" si="572"/>
        <v>0</v>
      </c>
      <c r="BJ526" s="108">
        <f t="shared" si="573"/>
        <v>0</v>
      </c>
    </row>
    <row r="527" spans="1:62" x14ac:dyDescent="0.2">
      <c r="A527" s="117" t="s">
        <v>478</v>
      </c>
      <c r="B527" s="117" t="s">
        <v>2648</v>
      </c>
      <c r="C527" s="304" t="s">
        <v>1554</v>
      </c>
      <c r="D527" s="305"/>
      <c r="E527" s="305"/>
      <c r="F527" s="117" t="s">
        <v>1644</v>
      </c>
      <c r="G527" s="116">
        <v>1</v>
      </c>
      <c r="H527" s="159"/>
      <c r="I527" s="108">
        <f t="shared" si="550"/>
        <v>0</v>
      </c>
      <c r="J527" s="108">
        <f t="shared" si="551"/>
        <v>0</v>
      </c>
      <c r="K527" s="108">
        <f t="shared" si="552"/>
        <v>0</v>
      </c>
      <c r="L527" s="111"/>
      <c r="Z527" s="100">
        <f t="shared" si="553"/>
        <v>0</v>
      </c>
      <c r="AB527" s="100">
        <f t="shared" si="554"/>
        <v>0</v>
      </c>
      <c r="AC527" s="100">
        <f t="shared" si="555"/>
        <v>0</v>
      </c>
      <c r="AD527" s="100">
        <f t="shared" si="556"/>
        <v>0</v>
      </c>
      <c r="AE527" s="100">
        <f t="shared" si="557"/>
        <v>0</v>
      </c>
      <c r="AF527" s="100">
        <f t="shared" si="558"/>
        <v>0</v>
      </c>
      <c r="AG527" s="100">
        <f t="shared" si="559"/>
        <v>0</v>
      </c>
      <c r="AH527" s="100">
        <f t="shared" si="560"/>
        <v>0</v>
      </c>
      <c r="AI527" s="109"/>
      <c r="AJ527" s="108">
        <f t="shared" si="561"/>
        <v>0</v>
      </c>
      <c r="AK527" s="108">
        <f t="shared" si="562"/>
        <v>0</v>
      </c>
      <c r="AL527" s="108">
        <f t="shared" si="563"/>
        <v>0</v>
      </c>
      <c r="AN527" s="100">
        <v>15</v>
      </c>
      <c r="AO527" s="100">
        <f t="shared" si="564"/>
        <v>0</v>
      </c>
      <c r="AP527" s="100">
        <f t="shared" si="565"/>
        <v>0</v>
      </c>
      <c r="AQ527" s="111" t="s">
        <v>7</v>
      </c>
      <c r="AV527" s="100">
        <f t="shared" si="566"/>
        <v>0</v>
      </c>
      <c r="AW527" s="100">
        <f t="shared" si="567"/>
        <v>0</v>
      </c>
      <c r="AX527" s="100">
        <f t="shared" si="568"/>
        <v>0</v>
      </c>
      <c r="AY527" s="110" t="s">
        <v>1720</v>
      </c>
      <c r="AZ527" s="110" t="s">
        <v>1730</v>
      </c>
      <c r="BA527" s="109" t="s">
        <v>1737</v>
      </c>
      <c r="BC527" s="100">
        <f t="shared" si="569"/>
        <v>0</v>
      </c>
      <c r="BD527" s="100">
        <f t="shared" si="570"/>
        <v>0</v>
      </c>
      <c r="BE527" s="100">
        <v>0</v>
      </c>
      <c r="BF527" s="100">
        <f>527</f>
        <v>527</v>
      </c>
      <c r="BH527" s="108">
        <f t="shared" si="571"/>
        <v>0</v>
      </c>
      <c r="BI527" s="108">
        <f t="shared" si="572"/>
        <v>0</v>
      </c>
      <c r="BJ527" s="108">
        <f t="shared" si="573"/>
        <v>0</v>
      </c>
    </row>
    <row r="528" spans="1:62" x14ac:dyDescent="0.2">
      <c r="A528" s="117" t="s">
        <v>479</v>
      </c>
      <c r="B528" s="117" t="s">
        <v>2647</v>
      </c>
      <c r="C528" s="304" t="s">
        <v>1555</v>
      </c>
      <c r="D528" s="305"/>
      <c r="E528" s="305"/>
      <c r="F528" s="117" t="s">
        <v>1644</v>
      </c>
      <c r="G528" s="116">
        <v>1</v>
      </c>
      <c r="H528" s="159"/>
      <c r="I528" s="108">
        <f t="shared" si="550"/>
        <v>0</v>
      </c>
      <c r="J528" s="108">
        <f t="shared" si="551"/>
        <v>0</v>
      </c>
      <c r="K528" s="108">
        <f t="shared" si="552"/>
        <v>0</v>
      </c>
      <c r="L528" s="111"/>
      <c r="Z528" s="100">
        <f t="shared" si="553"/>
        <v>0</v>
      </c>
      <c r="AB528" s="100">
        <f t="shared" si="554"/>
        <v>0</v>
      </c>
      <c r="AC528" s="100">
        <f t="shared" si="555"/>
        <v>0</v>
      </c>
      <c r="AD528" s="100">
        <f t="shared" si="556"/>
        <v>0</v>
      </c>
      <c r="AE528" s="100">
        <f t="shared" si="557"/>
        <v>0</v>
      </c>
      <c r="AF528" s="100">
        <f t="shared" si="558"/>
        <v>0</v>
      </c>
      <c r="AG528" s="100">
        <f t="shared" si="559"/>
        <v>0</v>
      </c>
      <c r="AH528" s="100">
        <f t="shared" si="560"/>
        <v>0</v>
      </c>
      <c r="AI528" s="109"/>
      <c r="AJ528" s="108">
        <f t="shared" si="561"/>
        <v>0</v>
      </c>
      <c r="AK528" s="108">
        <f t="shared" si="562"/>
        <v>0</v>
      </c>
      <c r="AL528" s="108">
        <f t="shared" si="563"/>
        <v>0</v>
      </c>
      <c r="AN528" s="100">
        <v>15</v>
      </c>
      <c r="AO528" s="100">
        <f t="shared" si="564"/>
        <v>0</v>
      </c>
      <c r="AP528" s="100">
        <f t="shared" si="565"/>
        <v>0</v>
      </c>
      <c r="AQ528" s="111" t="s">
        <v>7</v>
      </c>
      <c r="AV528" s="100">
        <f t="shared" si="566"/>
        <v>0</v>
      </c>
      <c r="AW528" s="100">
        <f t="shared" si="567"/>
        <v>0</v>
      </c>
      <c r="AX528" s="100">
        <f t="shared" si="568"/>
        <v>0</v>
      </c>
      <c r="AY528" s="110" t="s">
        <v>1720</v>
      </c>
      <c r="AZ528" s="110" t="s">
        <v>1730</v>
      </c>
      <c r="BA528" s="109" t="s">
        <v>1737</v>
      </c>
      <c r="BC528" s="100">
        <f t="shared" si="569"/>
        <v>0</v>
      </c>
      <c r="BD528" s="100">
        <f t="shared" si="570"/>
        <v>0</v>
      </c>
      <c r="BE528" s="100">
        <v>0</v>
      </c>
      <c r="BF528" s="100">
        <f>528</f>
        <v>528</v>
      </c>
      <c r="BH528" s="108">
        <f t="shared" si="571"/>
        <v>0</v>
      </c>
      <c r="BI528" s="108">
        <f t="shared" si="572"/>
        <v>0</v>
      </c>
      <c r="BJ528" s="108">
        <f t="shared" si="573"/>
        <v>0</v>
      </c>
    </row>
    <row r="529" spans="1:62" x14ac:dyDescent="0.2">
      <c r="A529" s="119"/>
      <c r="B529" s="120" t="s">
        <v>2574</v>
      </c>
      <c r="C529" s="306" t="s">
        <v>2573</v>
      </c>
      <c r="D529" s="307"/>
      <c r="E529" s="307"/>
      <c r="F529" s="119" t="s">
        <v>6</v>
      </c>
      <c r="G529" s="119" t="s">
        <v>6</v>
      </c>
      <c r="H529" s="119" t="s">
        <v>6</v>
      </c>
      <c r="I529" s="118">
        <f>SUM(I530:I545)</f>
        <v>0</v>
      </c>
      <c r="J529" s="118">
        <f>SUM(J530:J545)</f>
        <v>0</v>
      </c>
      <c r="K529" s="118">
        <f>SUM(K530:K545)</f>
        <v>0</v>
      </c>
      <c r="L529" s="109"/>
      <c r="AI529" s="109"/>
      <c r="AS529" s="118">
        <f>SUM(AJ530:AJ545)</f>
        <v>0</v>
      </c>
      <c r="AT529" s="118">
        <f>SUM(AK530:AK545)</f>
        <v>0</v>
      </c>
      <c r="AU529" s="118">
        <f>SUM(AL530:AL545)</f>
        <v>0</v>
      </c>
    </row>
    <row r="530" spans="1:62" x14ac:dyDescent="0.2">
      <c r="A530" s="117" t="s">
        <v>480</v>
      </c>
      <c r="B530" s="117" t="s">
        <v>2646</v>
      </c>
      <c r="C530" s="341" t="s">
        <v>4662</v>
      </c>
      <c r="D530" s="305"/>
      <c r="E530" s="305"/>
      <c r="F530" s="172" t="s">
        <v>1655</v>
      </c>
      <c r="G530" s="116">
        <v>1</v>
      </c>
      <c r="H530" s="159"/>
      <c r="I530" s="108">
        <f t="shared" ref="I530:I545" si="574">G530*AO530</f>
        <v>0</v>
      </c>
      <c r="J530" s="108">
        <f t="shared" ref="J530:J545" si="575">G530*AP530</f>
        <v>0</v>
      </c>
      <c r="K530" s="108">
        <f t="shared" ref="K530:K545" si="576">G530*H530</f>
        <v>0</v>
      </c>
      <c r="L530" s="111"/>
      <c r="Z530" s="100">
        <f t="shared" ref="Z530:Z545" si="577">IF(AQ530="5",BJ530,0)</f>
        <v>0</v>
      </c>
      <c r="AB530" s="100">
        <f t="shared" ref="AB530:AB545" si="578">IF(AQ530="1",BH530,0)</f>
        <v>0</v>
      </c>
      <c r="AC530" s="100">
        <f t="shared" ref="AC530:AC545" si="579">IF(AQ530="1",BI530,0)</f>
        <v>0</v>
      </c>
      <c r="AD530" s="100">
        <f t="shared" ref="AD530:AD545" si="580">IF(AQ530="7",BH530,0)</f>
        <v>0</v>
      </c>
      <c r="AE530" s="100">
        <f t="shared" ref="AE530:AE545" si="581">IF(AQ530="7",BI530,0)</f>
        <v>0</v>
      </c>
      <c r="AF530" s="100">
        <f t="shared" ref="AF530:AF545" si="582">IF(AQ530="2",BH530,0)</f>
        <v>0</v>
      </c>
      <c r="AG530" s="100">
        <f t="shared" ref="AG530:AG545" si="583">IF(AQ530="2",BI530,0)</f>
        <v>0</v>
      </c>
      <c r="AH530" s="100">
        <f t="shared" ref="AH530:AH545" si="584">IF(AQ530="0",BJ530,0)</f>
        <v>0</v>
      </c>
      <c r="AI530" s="109"/>
      <c r="AJ530" s="108">
        <f t="shared" ref="AJ530:AJ545" si="585">IF(AN530=0,K530,0)</f>
        <v>0</v>
      </c>
      <c r="AK530" s="108">
        <f t="shared" ref="AK530:AK545" si="586">IF(AN530=15,K530,0)</f>
        <v>0</v>
      </c>
      <c r="AL530" s="108">
        <f t="shared" ref="AL530:AL545" si="587">IF(AN530=21,K530,0)</f>
        <v>0</v>
      </c>
      <c r="AN530" s="100">
        <v>15</v>
      </c>
      <c r="AO530" s="100">
        <f t="shared" ref="AO530:AO545" si="588">H530*0</f>
        <v>0</v>
      </c>
      <c r="AP530" s="100">
        <f t="shared" ref="AP530:AP545" si="589">H530*(1-0)</f>
        <v>0</v>
      </c>
      <c r="AQ530" s="111" t="s">
        <v>7</v>
      </c>
      <c r="AV530" s="100">
        <f t="shared" ref="AV530:AV545" si="590">AW530+AX530</f>
        <v>0</v>
      </c>
      <c r="AW530" s="100">
        <f t="shared" ref="AW530:AW545" si="591">G530*AO530</f>
        <v>0</v>
      </c>
      <c r="AX530" s="100">
        <f t="shared" ref="AX530:AX545" si="592">G530*AP530</f>
        <v>0</v>
      </c>
      <c r="AY530" s="110" t="s">
        <v>2623</v>
      </c>
      <c r="AZ530" s="110" t="s">
        <v>1730</v>
      </c>
      <c r="BA530" s="109" t="s">
        <v>1737</v>
      </c>
      <c r="BC530" s="100">
        <f t="shared" ref="BC530:BC545" si="593">AW530+AX530</f>
        <v>0</v>
      </c>
      <c r="BD530" s="100">
        <f t="shared" ref="BD530:BD545" si="594">H530/(100-BE530)*100</f>
        <v>0</v>
      </c>
      <c r="BE530" s="100">
        <v>0</v>
      </c>
      <c r="BF530" s="100">
        <f>530</f>
        <v>530</v>
      </c>
      <c r="BH530" s="108">
        <f t="shared" ref="BH530:BH545" si="595">G530*AO530</f>
        <v>0</v>
      </c>
      <c r="BI530" s="108">
        <f t="shared" ref="BI530:BI545" si="596">G530*AP530</f>
        <v>0</v>
      </c>
      <c r="BJ530" s="108">
        <f t="shared" ref="BJ530:BJ545" si="597">G530*H530</f>
        <v>0</v>
      </c>
    </row>
    <row r="531" spans="1:62" x14ac:dyDescent="0.2">
      <c r="A531" s="117" t="s">
        <v>481</v>
      </c>
      <c r="B531" s="117" t="s">
        <v>2645</v>
      </c>
      <c r="C531" s="341" t="s">
        <v>4664</v>
      </c>
      <c r="D531" s="305"/>
      <c r="E531" s="305"/>
      <c r="F531" s="172" t="s">
        <v>1655</v>
      </c>
      <c r="G531" s="116">
        <v>1</v>
      </c>
      <c r="H531" s="159"/>
      <c r="I531" s="108">
        <f t="shared" si="574"/>
        <v>0</v>
      </c>
      <c r="J531" s="108">
        <f t="shared" si="575"/>
        <v>0</v>
      </c>
      <c r="K531" s="108">
        <f t="shared" si="576"/>
        <v>0</v>
      </c>
      <c r="L531" s="111"/>
      <c r="Z531" s="100">
        <f t="shared" si="577"/>
        <v>0</v>
      </c>
      <c r="AB531" s="100">
        <f t="shared" si="578"/>
        <v>0</v>
      </c>
      <c r="AC531" s="100">
        <f t="shared" si="579"/>
        <v>0</v>
      </c>
      <c r="AD531" s="100">
        <f t="shared" si="580"/>
        <v>0</v>
      </c>
      <c r="AE531" s="100">
        <f t="shared" si="581"/>
        <v>0</v>
      </c>
      <c r="AF531" s="100">
        <f t="shared" si="582"/>
        <v>0</v>
      </c>
      <c r="AG531" s="100">
        <f t="shared" si="583"/>
        <v>0</v>
      </c>
      <c r="AH531" s="100">
        <f t="shared" si="584"/>
        <v>0</v>
      </c>
      <c r="AI531" s="109"/>
      <c r="AJ531" s="108">
        <f t="shared" si="585"/>
        <v>0</v>
      </c>
      <c r="AK531" s="108">
        <f t="shared" si="586"/>
        <v>0</v>
      </c>
      <c r="AL531" s="108">
        <f t="shared" si="587"/>
        <v>0</v>
      </c>
      <c r="AN531" s="100">
        <v>15</v>
      </c>
      <c r="AO531" s="100">
        <f t="shared" si="588"/>
        <v>0</v>
      </c>
      <c r="AP531" s="100">
        <f t="shared" si="589"/>
        <v>0</v>
      </c>
      <c r="AQ531" s="111" t="s">
        <v>7</v>
      </c>
      <c r="AV531" s="100">
        <f t="shared" si="590"/>
        <v>0</v>
      </c>
      <c r="AW531" s="100">
        <f t="shared" si="591"/>
        <v>0</v>
      </c>
      <c r="AX531" s="100">
        <f t="shared" si="592"/>
        <v>0</v>
      </c>
      <c r="AY531" s="110" t="s">
        <v>2623</v>
      </c>
      <c r="AZ531" s="110" t="s">
        <v>1730</v>
      </c>
      <c r="BA531" s="109" t="s">
        <v>1737</v>
      </c>
      <c r="BC531" s="100">
        <f t="shared" si="593"/>
        <v>0</v>
      </c>
      <c r="BD531" s="100">
        <f t="shared" si="594"/>
        <v>0</v>
      </c>
      <c r="BE531" s="100">
        <v>0</v>
      </c>
      <c r="BF531" s="100">
        <f>531</f>
        <v>531</v>
      </c>
      <c r="BH531" s="108">
        <f t="shared" si="595"/>
        <v>0</v>
      </c>
      <c r="BI531" s="108">
        <f t="shared" si="596"/>
        <v>0</v>
      </c>
      <c r="BJ531" s="108">
        <f t="shared" si="597"/>
        <v>0</v>
      </c>
    </row>
    <row r="532" spans="1:62" x14ac:dyDescent="0.2">
      <c r="A532" s="117" t="s">
        <v>482</v>
      </c>
      <c r="B532" s="117" t="s">
        <v>2644</v>
      </c>
      <c r="C532" s="341" t="s">
        <v>4663</v>
      </c>
      <c r="D532" s="305"/>
      <c r="E532" s="305"/>
      <c r="F532" s="117" t="s">
        <v>1644</v>
      </c>
      <c r="G532" s="116">
        <v>1</v>
      </c>
      <c r="H532" s="159"/>
      <c r="I532" s="108">
        <f t="shared" si="574"/>
        <v>0</v>
      </c>
      <c r="J532" s="108">
        <f t="shared" si="575"/>
        <v>0</v>
      </c>
      <c r="K532" s="108">
        <f t="shared" si="576"/>
        <v>0</v>
      </c>
      <c r="L532" s="111"/>
      <c r="Z532" s="100">
        <f t="shared" si="577"/>
        <v>0</v>
      </c>
      <c r="AB532" s="100">
        <f t="shared" si="578"/>
        <v>0</v>
      </c>
      <c r="AC532" s="100">
        <f t="shared" si="579"/>
        <v>0</v>
      </c>
      <c r="AD532" s="100">
        <f t="shared" si="580"/>
        <v>0</v>
      </c>
      <c r="AE532" s="100">
        <f t="shared" si="581"/>
        <v>0</v>
      </c>
      <c r="AF532" s="100">
        <f t="shared" si="582"/>
        <v>0</v>
      </c>
      <c r="AG532" s="100">
        <f t="shared" si="583"/>
        <v>0</v>
      </c>
      <c r="AH532" s="100">
        <f t="shared" si="584"/>
        <v>0</v>
      </c>
      <c r="AI532" s="109"/>
      <c r="AJ532" s="108">
        <f t="shared" si="585"/>
        <v>0</v>
      </c>
      <c r="AK532" s="108">
        <f t="shared" si="586"/>
        <v>0</v>
      </c>
      <c r="AL532" s="108">
        <f t="shared" si="587"/>
        <v>0</v>
      </c>
      <c r="AN532" s="100">
        <v>15</v>
      </c>
      <c r="AO532" s="100">
        <f t="shared" si="588"/>
        <v>0</v>
      </c>
      <c r="AP532" s="100">
        <f t="shared" si="589"/>
        <v>0</v>
      </c>
      <c r="AQ532" s="111" t="s">
        <v>7</v>
      </c>
      <c r="AV532" s="100">
        <f t="shared" si="590"/>
        <v>0</v>
      </c>
      <c r="AW532" s="100">
        <f t="shared" si="591"/>
        <v>0</v>
      </c>
      <c r="AX532" s="100">
        <f t="shared" si="592"/>
        <v>0</v>
      </c>
      <c r="AY532" s="110" t="s">
        <v>2623</v>
      </c>
      <c r="AZ532" s="110" t="s">
        <v>1730</v>
      </c>
      <c r="BA532" s="109" t="s">
        <v>1737</v>
      </c>
      <c r="BC532" s="100">
        <f t="shared" si="593"/>
        <v>0</v>
      </c>
      <c r="BD532" s="100">
        <f t="shared" si="594"/>
        <v>0</v>
      </c>
      <c r="BE532" s="100">
        <v>0</v>
      </c>
      <c r="BF532" s="100">
        <f>532</f>
        <v>532</v>
      </c>
      <c r="BH532" s="108">
        <f t="shared" si="595"/>
        <v>0</v>
      </c>
      <c r="BI532" s="108">
        <f t="shared" si="596"/>
        <v>0</v>
      </c>
      <c r="BJ532" s="108">
        <f t="shared" si="597"/>
        <v>0</v>
      </c>
    </row>
    <row r="533" spans="1:62" x14ac:dyDescent="0.2">
      <c r="A533" s="117" t="s">
        <v>483</v>
      </c>
      <c r="B533" s="117" t="s">
        <v>2642</v>
      </c>
      <c r="C533" s="304" t="s">
        <v>2641</v>
      </c>
      <c r="D533" s="305"/>
      <c r="E533" s="305"/>
      <c r="F533" s="117" t="s">
        <v>1646</v>
      </c>
      <c r="G533" s="116">
        <v>230</v>
      </c>
      <c r="H533" s="159"/>
      <c r="I533" s="108">
        <f t="shared" si="574"/>
        <v>0</v>
      </c>
      <c r="J533" s="108">
        <f t="shared" si="575"/>
        <v>0</v>
      </c>
      <c r="K533" s="108">
        <f t="shared" si="576"/>
        <v>0</v>
      </c>
      <c r="L533" s="111"/>
      <c r="Z533" s="100">
        <f t="shared" si="577"/>
        <v>0</v>
      </c>
      <c r="AB533" s="100">
        <f t="shared" si="578"/>
        <v>0</v>
      </c>
      <c r="AC533" s="100">
        <f t="shared" si="579"/>
        <v>0</v>
      </c>
      <c r="AD533" s="100">
        <f t="shared" si="580"/>
        <v>0</v>
      </c>
      <c r="AE533" s="100">
        <f t="shared" si="581"/>
        <v>0</v>
      </c>
      <c r="AF533" s="100">
        <f t="shared" si="582"/>
        <v>0</v>
      </c>
      <c r="AG533" s="100">
        <f t="shared" si="583"/>
        <v>0</v>
      </c>
      <c r="AH533" s="100">
        <f t="shared" si="584"/>
        <v>0</v>
      </c>
      <c r="AI533" s="109"/>
      <c r="AJ533" s="108">
        <f t="shared" si="585"/>
        <v>0</v>
      </c>
      <c r="AK533" s="108">
        <f t="shared" si="586"/>
        <v>0</v>
      </c>
      <c r="AL533" s="108">
        <f t="shared" si="587"/>
        <v>0</v>
      </c>
      <c r="AN533" s="100">
        <v>15</v>
      </c>
      <c r="AO533" s="100">
        <f t="shared" si="588"/>
        <v>0</v>
      </c>
      <c r="AP533" s="100">
        <f t="shared" si="589"/>
        <v>0</v>
      </c>
      <c r="AQ533" s="111" t="s">
        <v>7</v>
      </c>
      <c r="AV533" s="100">
        <f t="shared" si="590"/>
        <v>0</v>
      </c>
      <c r="AW533" s="100">
        <f t="shared" si="591"/>
        <v>0</v>
      </c>
      <c r="AX533" s="100">
        <f t="shared" si="592"/>
        <v>0</v>
      </c>
      <c r="AY533" s="110" t="s">
        <v>2623</v>
      </c>
      <c r="AZ533" s="110" t="s">
        <v>1730</v>
      </c>
      <c r="BA533" s="109" t="s">
        <v>1737</v>
      </c>
      <c r="BC533" s="100">
        <f t="shared" si="593"/>
        <v>0</v>
      </c>
      <c r="BD533" s="100">
        <f t="shared" si="594"/>
        <v>0</v>
      </c>
      <c r="BE533" s="100">
        <v>0</v>
      </c>
      <c r="BF533" s="100">
        <f>533</f>
        <v>533</v>
      </c>
      <c r="BH533" s="108">
        <f t="shared" si="595"/>
        <v>0</v>
      </c>
      <c r="BI533" s="108">
        <f t="shared" si="596"/>
        <v>0</v>
      </c>
      <c r="BJ533" s="108">
        <f t="shared" si="597"/>
        <v>0</v>
      </c>
    </row>
    <row r="534" spans="1:62" x14ac:dyDescent="0.2">
      <c r="A534" s="117" t="s">
        <v>484</v>
      </c>
      <c r="B534" s="117" t="s">
        <v>2640</v>
      </c>
      <c r="C534" s="304" t="s">
        <v>1539</v>
      </c>
      <c r="D534" s="305"/>
      <c r="E534" s="305"/>
      <c r="F534" s="117" t="s">
        <v>1646</v>
      </c>
      <c r="G534" s="116">
        <v>10</v>
      </c>
      <c r="H534" s="159"/>
      <c r="I534" s="108">
        <f t="shared" si="574"/>
        <v>0</v>
      </c>
      <c r="J534" s="108">
        <f t="shared" si="575"/>
        <v>0</v>
      </c>
      <c r="K534" s="108">
        <f t="shared" si="576"/>
        <v>0</v>
      </c>
      <c r="L534" s="111"/>
      <c r="Z534" s="100">
        <f t="shared" si="577"/>
        <v>0</v>
      </c>
      <c r="AB534" s="100">
        <f t="shared" si="578"/>
        <v>0</v>
      </c>
      <c r="AC534" s="100">
        <f t="shared" si="579"/>
        <v>0</v>
      </c>
      <c r="AD534" s="100">
        <f t="shared" si="580"/>
        <v>0</v>
      </c>
      <c r="AE534" s="100">
        <f t="shared" si="581"/>
        <v>0</v>
      </c>
      <c r="AF534" s="100">
        <f t="shared" si="582"/>
        <v>0</v>
      </c>
      <c r="AG534" s="100">
        <f t="shared" si="583"/>
        <v>0</v>
      </c>
      <c r="AH534" s="100">
        <f t="shared" si="584"/>
        <v>0</v>
      </c>
      <c r="AI534" s="109"/>
      <c r="AJ534" s="108">
        <f t="shared" si="585"/>
        <v>0</v>
      </c>
      <c r="AK534" s="108">
        <f t="shared" si="586"/>
        <v>0</v>
      </c>
      <c r="AL534" s="108">
        <f t="shared" si="587"/>
        <v>0</v>
      </c>
      <c r="AN534" s="100">
        <v>15</v>
      </c>
      <c r="AO534" s="100">
        <f t="shared" si="588"/>
        <v>0</v>
      </c>
      <c r="AP534" s="100">
        <f t="shared" si="589"/>
        <v>0</v>
      </c>
      <c r="AQ534" s="111" t="s">
        <v>7</v>
      </c>
      <c r="AV534" s="100">
        <f t="shared" si="590"/>
        <v>0</v>
      </c>
      <c r="AW534" s="100">
        <f t="shared" si="591"/>
        <v>0</v>
      </c>
      <c r="AX534" s="100">
        <f t="shared" si="592"/>
        <v>0</v>
      </c>
      <c r="AY534" s="110" t="s">
        <v>2623</v>
      </c>
      <c r="AZ534" s="110" t="s">
        <v>1730</v>
      </c>
      <c r="BA534" s="109" t="s">
        <v>1737</v>
      </c>
      <c r="BC534" s="100">
        <f t="shared" si="593"/>
        <v>0</v>
      </c>
      <c r="BD534" s="100">
        <f t="shared" si="594"/>
        <v>0</v>
      </c>
      <c r="BE534" s="100">
        <v>0</v>
      </c>
      <c r="BF534" s="100">
        <f>534</f>
        <v>534</v>
      </c>
      <c r="BH534" s="108">
        <f t="shared" si="595"/>
        <v>0</v>
      </c>
      <c r="BI534" s="108">
        <f t="shared" si="596"/>
        <v>0</v>
      </c>
      <c r="BJ534" s="108">
        <f t="shared" si="597"/>
        <v>0</v>
      </c>
    </row>
    <row r="535" spans="1:62" x14ac:dyDescent="0.2">
      <c r="A535" s="117" t="s">
        <v>485</v>
      </c>
      <c r="B535" s="117" t="s">
        <v>2639</v>
      </c>
      <c r="C535" s="304" t="s">
        <v>2638</v>
      </c>
      <c r="D535" s="305"/>
      <c r="E535" s="305"/>
      <c r="F535" s="117" t="s">
        <v>1646</v>
      </c>
      <c r="G535" s="116">
        <v>50</v>
      </c>
      <c r="H535" s="159"/>
      <c r="I535" s="108">
        <f t="shared" si="574"/>
        <v>0</v>
      </c>
      <c r="J535" s="108">
        <f t="shared" si="575"/>
        <v>0</v>
      </c>
      <c r="K535" s="108">
        <f t="shared" si="576"/>
        <v>0</v>
      </c>
      <c r="L535" s="111"/>
      <c r="Z535" s="100">
        <f t="shared" si="577"/>
        <v>0</v>
      </c>
      <c r="AB535" s="100">
        <f t="shared" si="578"/>
        <v>0</v>
      </c>
      <c r="AC535" s="100">
        <f t="shared" si="579"/>
        <v>0</v>
      </c>
      <c r="AD535" s="100">
        <f t="shared" si="580"/>
        <v>0</v>
      </c>
      <c r="AE535" s="100">
        <f t="shared" si="581"/>
        <v>0</v>
      </c>
      <c r="AF535" s="100">
        <f t="shared" si="582"/>
        <v>0</v>
      </c>
      <c r="AG535" s="100">
        <f t="shared" si="583"/>
        <v>0</v>
      </c>
      <c r="AH535" s="100">
        <f t="shared" si="584"/>
        <v>0</v>
      </c>
      <c r="AI535" s="109"/>
      <c r="AJ535" s="108">
        <f t="shared" si="585"/>
        <v>0</v>
      </c>
      <c r="AK535" s="108">
        <f t="shared" si="586"/>
        <v>0</v>
      </c>
      <c r="AL535" s="108">
        <f t="shared" si="587"/>
        <v>0</v>
      </c>
      <c r="AN535" s="100">
        <v>15</v>
      </c>
      <c r="AO535" s="100">
        <f t="shared" si="588"/>
        <v>0</v>
      </c>
      <c r="AP535" s="100">
        <f t="shared" si="589"/>
        <v>0</v>
      </c>
      <c r="AQ535" s="111" t="s">
        <v>7</v>
      </c>
      <c r="AV535" s="100">
        <f t="shared" si="590"/>
        <v>0</v>
      </c>
      <c r="AW535" s="100">
        <f t="shared" si="591"/>
        <v>0</v>
      </c>
      <c r="AX535" s="100">
        <f t="shared" si="592"/>
        <v>0</v>
      </c>
      <c r="AY535" s="110" t="s">
        <v>2623</v>
      </c>
      <c r="AZ535" s="110" t="s">
        <v>1730</v>
      </c>
      <c r="BA535" s="109" t="s">
        <v>1737</v>
      </c>
      <c r="BC535" s="100">
        <f t="shared" si="593"/>
        <v>0</v>
      </c>
      <c r="BD535" s="100">
        <f t="shared" si="594"/>
        <v>0</v>
      </c>
      <c r="BE535" s="100">
        <v>0</v>
      </c>
      <c r="BF535" s="100">
        <f>535</f>
        <v>535</v>
      </c>
      <c r="BH535" s="108">
        <f t="shared" si="595"/>
        <v>0</v>
      </c>
      <c r="BI535" s="108">
        <f t="shared" si="596"/>
        <v>0</v>
      </c>
      <c r="BJ535" s="108">
        <f t="shared" si="597"/>
        <v>0</v>
      </c>
    </row>
    <row r="536" spans="1:62" x14ac:dyDescent="0.2">
      <c r="A536" s="117" t="s">
        <v>486</v>
      </c>
      <c r="B536" s="117" t="s">
        <v>2637</v>
      </c>
      <c r="C536" s="304" t="s">
        <v>2636</v>
      </c>
      <c r="D536" s="305"/>
      <c r="E536" s="305"/>
      <c r="F536" s="117" t="s">
        <v>1646</v>
      </c>
      <c r="G536" s="116">
        <v>230</v>
      </c>
      <c r="H536" s="159"/>
      <c r="I536" s="108">
        <f t="shared" si="574"/>
        <v>0</v>
      </c>
      <c r="J536" s="108">
        <f t="shared" si="575"/>
        <v>0</v>
      </c>
      <c r="K536" s="108">
        <f t="shared" si="576"/>
        <v>0</v>
      </c>
      <c r="L536" s="111"/>
      <c r="Z536" s="100">
        <f t="shared" si="577"/>
        <v>0</v>
      </c>
      <c r="AB536" s="100">
        <f t="shared" si="578"/>
        <v>0</v>
      </c>
      <c r="AC536" s="100">
        <f t="shared" si="579"/>
        <v>0</v>
      </c>
      <c r="AD536" s="100">
        <f t="shared" si="580"/>
        <v>0</v>
      </c>
      <c r="AE536" s="100">
        <f t="shared" si="581"/>
        <v>0</v>
      </c>
      <c r="AF536" s="100">
        <f t="shared" si="582"/>
        <v>0</v>
      </c>
      <c r="AG536" s="100">
        <f t="shared" si="583"/>
        <v>0</v>
      </c>
      <c r="AH536" s="100">
        <f t="shared" si="584"/>
        <v>0</v>
      </c>
      <c r="AI536" s="109"/>
      <c r="AJ536" s="108">
        <f t="shared" si="585"/>
        <v>0</v>
      </c>
      <c r="AK536" s="108">
        <f t="shared" si="586"/>
        <v>0</v>
      </c>
      <c r="AL536" s="108">
        <f t="shared" si="587"/>
        <v>0</v>
      </c>
      <c r="AN536" s="100">
        <v>15</v>
      </c>
      <c r="AO536" s="100">
        <f t="shared" si="588"/>
        <v>0</v>
      </c>
      <c r="AP536" s="100">
        <f t="shared" si="589"/>
        <v>0</v>
      </c>
      <c r="AQ536" s="111" t="s">
        <v>7</v>
      </c>
      <c r="AV536" s="100">
        <f t="shared" si="590"/>
        <v>0</v>
      </c>
      <c r="AW536" s="100">
        <f t="shared" si="591"/>
        <v>0</v>
      </c>
      <c r="AX536" s="100">
        <f t="shared" si="592"/>
        <v>0</v>
      </c>
      <c r="AY536" s="110" t="s">
        <v>2623</v>
      </c>
      <c r="AZ536" s="110" t="s">
        <v>1730</v>
      </c>
      <c r="BA536" s="109" t="s">
        <v>1737</v>
      </c>
      <c r="BC536" s="100">
        <f t="shared" si="593"/>
        <v>0</v>
      </c>
      <c r="BD536" s="100">
        <f t="shared" si="594"/>
        <v>0</v>
      </c>
      <c r="BE536" s="100">
        <v>0</v>
      </c>
      <c r="BF536" s="100">
        <f>536</f>
        <v>536</v>
      </c>
      <c r="BH536" s="108">
        <f t="shared" si="595"/>
        <v>0</v>
      </c>
      <c r="BI536" s="108">
        <f t="shared" si="596"/>
        <v>0</v>
      </c>
      <c r="BJ536" s="108">
        <f t="shared" si="597"/>
        <v>0</v>
      </c>
    </row>
    <row r="537" spans="1:62" x14ac:dyDescent="0.2">
      <c r="A537" s="117" t="s">
        <v>487</v>
      </c>
      <c r="B537" s="117" t="s">
        <v>2635</v>
      </c>
      <c r="C537" s="304" t="s">
        <v>2634</v>
      </c>
      <c r="D537" s="305"/>
      <c r="E537" s="305"/>
      <c r="F537" s="117" t="s">
        <v>1644</v>
      </c>
      <c r="G537" s="116">
        <v>8</v>
      </c>
      <c r="H537" s="159"/>
      <c r="I537" s="108">
        <f t="shared" si="574"/>
        <v>0</v>
      </c>
      <c r="J537" s="108">
        <f t="shared" si="575"/>
        <v>0</v>
      </c>
      <c r="K537" s="108">
        <f t="shared" si="576"/>
        <v>0</v>
      </c>
      <c r="L537" s="111"/>
      <c r="Z537" s="100">
        <f t="shared" si="577"/>
        <v>0</v>
      </c>
      <c r="AB537" s="100">
        <f t="shared" si="578"/>
        <v>0</v>
      </c>
      <c r="AC537" s="100">
        <f t="shared" si="579"/>
        <v>0</v>
      </c>
      <c r="AD537" s="100">
        <f t="shared" si="580"/>
        <v>0</v>
      </c>
      <c r="AE537" s="100">
        <f t="shared" si="581"/>
        <v>0</v>
      </c>
      <c r="AF537" s="100">
        <f t="shared" si="582"/>
        <v>0</v>
      </c>
      <c r="AG537" s="100">
        <f t="shared" si="583"/>
        <v>0</v>
      </c>
      <c r="AH537" s="100">
        <f t="shared" si="584"/>
        <v>0</v>
      </c>
      <c r="AI537" s="109"/>
      <c r="AJ537" s="108">
        <f t="shared" si="585"/>
        <v>0</v>
      </c>
      <c r="AK537" s="108">
        <f t="shared" si="586"/>
        <v>0</v>
      </c>
      <c r="AL537" s="108">
        <f t="shared" si="587"/>
        <v>0</v>
      </c>
      <c r="AN537" s="100">
        <v>15</v>
      </c>
      <c r="AO537" s="100">
        <f t="shared" si="588"/>
        <v>0</v>
      </c>
      <c r="AP537" s="100">
        <f t="shared" si="589"/>
        <v>0</v>
      </c>
      <c r="AQ537" s="111" t="s">
        <v>7</v>
      </c>
      <c r="AV537" s="100">
        <f t="shared" si="590"/>
        <v>0</v>
      </c>
      <c r="AW537" s="100">
        <f t="shared" si="591"/>
        <v>0</v>
      </c>
      <c r="AX537" s="100">
        <f t="shared" si="592"/>
        <v>0</v>
      </c>
      <c r="AY537" s="110" t="s">
        <v>2623</v>
      </c>
      <c r="AZ537" s="110" t="s">
        <v>1730</v>
      </c>
      <c r="BA537" s="109" t="s">
        <v>1737</v>
      </c>
      <c r="BC537" s="100">
        <f t="shared" si="593"/>
        <v>0</v>
      </c>
      <c r="BD537" s="100">
        <f t="shared" si="594"/>
        <v>0</v>
      </c>
      <c r="BE537" s="100">
        <v>0</v>
      </c>
      <c r="BF537" s="100">
        <f>537</f>
        <v>537</v>
      </c>
      <c r="BH537" s="108">
        <f t="shared" si="595"/>
        <v>0</v>
      </c>
      <c r="BI537" s="108">
        <f t="shared" si="596"/>
        <v>0</v>
      </c>
      <c r="BJ537" s="108">
        <f t="shared" si="597"/>
        <v>0</v>
      </c>
    </row>
    <row r="538" spans="1:62" x14ac:dyDescent="0.2">
      <c r="A538" s="117" t="s">
        <v>488</v>
      </c>
      <c r="B538" s="117" t="s">
        <v>2633</v>
      </c>
      <c r="C538" s="304" t="s">
        <v>1538</v>
      </c>
      <c r="D538" s="305"/>
      <c r="E538" s="305"/>
      <c r="F538" s="117" t="s">
        <v>1646</v>
      </c>
      <c r="G538" s="116">
        <v>50</v>
      </c>
      <c r="H538" s="159"/>
      <c r="I538" s="108">
        <f t="shared" si="574"/>
        <v>0</v>
      </c>
      <c r="J538" s="108">
        <f t="shared" si="575"/>
        <v>0</v>
      </c>
      <c r="K538" s="108">
        <f t="shared" si="576"/>
        <v>0</v>
      </c>
      <c r="L538" s="111"/>
      <c r="Z538" s="100">
        <f t="shared" si="577"/>
        <v>0</v>
      </c>
      <c r="AB538" s="100">
        <f t="shared" si="578"/>
        <v>0</v>
      </c>
      <c r="AC538" s="100">
        <f t="shared" si="579"/>
        <v>0</v>
      </c>
      <c r="AD538" s="100">
        <f t="shared" si="580"/>
        <v>0</v>
      </c>
      <c r="AE538" s="100">
        <f t="shared" si="581"/>
        <v>0</v>
      </c>
      <c r="AF538" s="100">
        <f t="shared" si="582"/>
        <v>0</v>
      </c>
      <c r="AG538" s="100">
        <f t="shared" si="583"/>
        <v>0</v>
      </c>
      <c r="AH538" s="100">
        <f t="shared" si="584"/>
        <v>0</v>
      </c>
      <c r="AI538" s="109"/>
      <c r="AJ538" s="108">
        <f t="shared" si="585"/>
        <v>0</v>
      </c>
      <c r="AK538" s="108">
        <f t="shared" si="586"/>
        <v>0</v>
      </c>
      <c r="AL538" s="108">
        <f t="shared" si="587"/>
        <v>0</v>
      </c>
      <c r="AN538" s="100">
        <v>15</v>
      </c>
      <c r="AO538" s="100">
        <f t="shared" si="588"/>
        <v>0</v>
      </c>
      <c r="AP538" s="100">
        <f t="shared" si="589"/>
        <v>0</v>
      </c>
      <c r="AQ538" s="111" t="s">
        <v>7</v>
      </c>
      <c r="AV538" s="100">
        <f t="shared" si="590"/>
        <v>0</v>
      </c>
      <c r="AW538" s="100">
        <f t="shared" si="591"/>
        <v>0</v>
      </c>
      <c r="AX538" s="100">
        <f t="shared" si="592"/>
        <v>0</v>
      </c>
      <c r="AY538" s="110" t="s">
        <v>2623</v>
      </c>
      <c r="AZ538" s="110" t="s">
        <v>1730</v>
      </c>
      <c r="BA538" s="109" t="s">
        <v>1737</v>
      </c>
      <c r="BC538" s="100">
        <f t="shared" si="593"/>
        <v>0</v>
      </c>
      <c r="BD538" s="100">
        <f t="shared" si="594"/>
        <v>0</v>
      </c>
      <c r="BE538" s="100">
        <v>0</v>
      </c>
      <c r="BF538" s="100">
        <f>538</f>
        <v>538</v>
      </c>
      <c r="BH538" s="108">
        <f t="shared" si="595"/>
        <v>0</v>
      </c>
      <c r="BI538" s="108">
        <f t="shared" si="596"/>
        <v>0</v>
      </c>
      <c r="BJ538" s="108">
        <f t="shared" si="597"/>
        <v>0</v>
      </c>
    </row>
    <row r="539" spans="1:62" x14ac:dyDescent="0.2">
      <c r="A539" s="117" t="s">
        <v>489</v>
      </c>
      <c r="B539" s="117" t="s">
        <v>2632</v>
      </c>
      <c r="C539" s="304" t="s">
        <v>2631</v>
      </c>
      <c r="D539" s="305"/>
      <c r="E539" s="305"/>
      <c r="F539" s="117" t="s">
        <v>1644</v>
      </c>
      <c r="G539" s="116">
        <v>1</v>
      </c>
      <c r="H539" s="159"/>
      <c r="I539" s="108">
        <f t="shared" si="574"/>
        <v>0</v>
      </c>
      <c r="J539" s="108">
        <f t="shared" si="575"/>
        <v>0</v>
      </c>
      <c r="K539" s="108">
        <f t="shared" si="576"/>
        <v>0</v>
      </c>
      <c r="L539" s="111"/>
      <c r="Z539" s="100">
        <f t="shared" si="577"/>
        <v>0</v>
      </c>
      <c r="AB539" s="100">
        <f t="shared" si="578"/>
        <v>0</v>
      </c>
      <c r="AC539" s="100">
        <f t="shared" si="579"/>
        <v>0</v>
      </c>
      <c r="AD539" s="100">
        <f t="shared" si="580"/>
        <v>0</v>
      </c>
      <c r="AE539" s="100">
        <f t="shared" si="581"/>
        <v>0</v>
      </c>
      <c r="AF539" s="100">
        <f t="shared" si="582"/>
        <v>0</v>
      </c>
      <c r="AG539" s="100">
        <f t="shared" si="583"/>
        <v>0</v>
      </c>
      <c r="AH539" s="100">
        <f t="shared" si="584"/>
        <v>0</v>
      </c>
      <c r="AI539" s="109"/>
      <c r="AJ539" s="108">
        <f t="shared" si="585"/>
        <v>0</v>
      </c>
      <c r="AK539" s="108">
        <f t="shared" si="586"/>
        <v>0</v>
      </c>
      <c r="AL539" s="108">
        <f t="shared" si="587"/>
        <v>0</v>
      </c>
      <c r="AN539" s="100">
        <v>15</v>
      </c>
      <c r="AO539" s="100">
        <f t="shared" si="588"/>
        <v>0</v>
      </c>
      <c r="AP539" s="100">
        <f t="shared" si="589"/>
        <v>0</v>
      </c>
      <c r="AQ539" s="111" t="s">
        <v>7</v>
      </c>
      <c r="AV539" s="100">
        <f t="shared" si="590"/>
        <v>0</v>
      </c>
      <c r="AW539" s="100">
        <f t="shared" si="591"/>
        <v>0</v>
      </c>
      <c r="AX539" s="100">
        <f t="shared" si="592"/>
        <v>0</v>
      </c>
      <c r="AY539" s="110" t="s">
        <v>2623</v>
      </c>
      <c r="AZ539" s="110" t="s">
        <v>1730</v>
      </c>
      <c r="BA539" s="109" t="s">
        <v>1737</v>
      </c>
      <c r="BC539" s="100">
        <f t="shared" si="593"/>
        <v>0</v>
      </c>
      <c r="BD539" s="100">
        <f t="shared" si="594"/>
        <v>0</v>
      </c>
      <c r="BE539" s="100">
        <v>0</v>
      </c>
      <c r="BF539" s="100">
        <f>539</f>
        <v>539</v>
      </c>
      <c r="BH539" s="108">
        <f t="shared" si="595"/>
        <v>0</v>
      </c>
      <c r="BI539" s="108">
        <f t="shared" si="596"/>
        <v>0</v>
      </c>
      <c r="BJ539" s="108">
        <f t="shared" si="597"/>
        <v>0</v>
      </c>
    </row>
    <row r="540" spans="1:62" x14ac:dyDescent="0.2">
      <c r="A540" s="117" t="s">
        <v>490</v>
      </c>
      <c r="B540" s="117" t="s">
        <v>2630</v>
      </c>
      <c r="C540" s="304" t="s">
        <v>2629</v>
      </c>
      <c r="D540" s="305"/>
      <c r="E540" s="305"/>
      <c r="F540" s="117" t="s">
        <v>1646</v>
      </c>
      <c r="G540" s="116">
        <v>15</v>
      </c>
      <c r="H540" s="159"/>
      <c r="I540" s="108">
        <f t="shared" si="574"/>
        <v>0</v>
      </c>
      <c r="J540" s="108">
        <f t="shared" si="575"/>
        <v>0</v>
      </c>
      <c r="K540" s="108">
        <f t="shared" si="576"/>
        <v>0</v>
      </c>
      <c r="L540" s="111"/>
      <c r="Z540" s="100">
        <f t="shared" si="577"/>
        <v>0</v>
      </c>
      <c r="AB540" s="100">
        <f t="shared" si="578"/>
        <v>0</v>
      </c>
      <c r="AC540" s="100">
        <f t="shared" si="579"/>
        <v>0</v>
      </c>
      <c r="AD540" s="100">
        <f t="shared" si="580"/>
        <v>0</v>
      </c>
      <c r="AE540" s="100">
        <f t="shared" si="581"/>
        <v>0</v>
      </c>
      <c r="AF540" s="100">
        <f t="shared" si="582"/>
        <v>0</v>
      </c>
      <c r="AG540" s="100">
        <f t="shared" si="583"/>
        <v>0</v>
      </c>
      <c r="AH540" s="100">
        <f t="shared" si="584"/>
        <v>0</v>
      </c>
      <c r="AI540" s="109"/>
      <c r="AJ540" s="108">
        <f t="shared" si="585"/>
        <v>0</v>
      </c>
      <c r="AK540" s="108">
        <f t="shared" si="586"/>
        <v>0</v>
      </c>
      <c r="AL540" s="108">
        <f t="shared" si="587"/>
        <v>0</v>
      </c>
      <c r="AN540" s="100">
        <v>15</v>
      </c>
      <c r="AO540" s="100">
        <f t="shared" si="588"/>
        <v>0</v>
      </c>
      <c r="AP540" s="100">
        <f t="shared" si="589"/>
        <v>0</v>
      </c>
      <c r="AQ540" s="111" t="s">
        <v>7</v>
      </c>
      <c r="AV540" s="100">
        <f t="shared" si="590"/>
        <v>0</v>
      </c>
      <c r="AW540" s="100">
        <f t="shared" si="591"/>
        <v>0</v>
      </c>
      <c r="AX540" s="100">
        <f t="shared" si="592"/>
        <v>0</v>
      </c>
      <c r="AY540" s="110" t="s">
        <v>2623</v>
      </c>
      <c r="AZ540" s="110" t="s">
        <v>1730</v>
      </c>
      <c r="BA540" s="109" t="s">
        <v>1737</v>
      </c>
      <c r="BC540" s="100">
        <f t="shared" si="593"/>
        <v>0</v>
      </c>
      <c r="BD540" s="100">
        <f t="shared" si="594"/>
        <v>0</v>
      </c>
      <c r="BE540" s="100">
        <v>0</v>
      </c>
      <c r="BF540" s="100">
        <f>540</f>
        <v>540</v>
      </c>
      <c r="BH540" s="108">
        <f t="shared" si="595"/>
        <v>0</v>
      </c>
      <c r="BI540" s="108">
        <f t="shared" si="596"/>
        <v>0</v>
      </c>
      <c r="BJ540" s="108">
        <f t="shared" si="597"/>
        <v>0</v>
      </c>
    </row>
    <row r="541" spans="1:62" x14ac:dyDescent="0.2">
      <c r="A541" s="117" t="s">
        <v>491</v>
      </c>
      <c r="B541" s="117" t="s">
        <v>2628</v>
      </c>
      <c r="C541" s="304" t="s">
        <v>1551</v>
      </c>
      <c r="D541" s="305"/>
      <c r="E541" s="305"/>
      <c r="F541" s="117" t="s">
        <v>1644</v>
      </c>
      <c r="G541" s="116">
        <v>1</v>
      </c>
      <c r="H541" s="159"/>
      <c r="I541" s="108">
        <f t="shared" si="574"/>
        <v>0</v>
      </c>
      <c r="J541" s="108">
        <f t="shared" si="575"/>
        <v>0</v>
      </c>
      <c r="K541" s="108">
        <f t="shared" si="576"/>
        <v>0</v>
      </c>
      <c r="L541" s="111"/>
      <c r="Z541" s="100">
        <f t="shared" si="577"/>
        <v>0</v>
      </c>
      <c r="AB541" s="100">
        <f t="shared" si="578"/>
        <v>0</v>
      </c>
      <c r="AC541" s="100">
        <f t="shared" si="579"/>
        <v>0</v>
      </c>
      <c r="AD541" s="100">
        <f t="shared" si="580"/>
        <v>0</v>
      </c>
      <c r="AE541" s="100">
        <f t="shared" si="581"/>
        <v>0</v>
      </c>
      <c r="AF541" s="100">
        <f t="shared" si="582"/>
        <v>0</v>
      </c>
      <c r="AG541" s="100">
        <f t="shared" si="583"/>
        <v>0</v>
      </c>
      <c r="AH541" s="100">
        <f t="shared" si="584"/>
        <v>0</v>
      </c>
      <c r="AI541" s="109"/>
      <c r="AJ541" s="108">
        <f t="shared" si="585"/>
        <v>0</v>
      </c>
      <c r="AK541" s="108">
        <f t="shared" si="586"/>
        <v>0</v>
      </c>
      <c r="AL541" s="108">
        <f t="shared" si="587"/>
        <v>0</v>
      </c>
      <c r="AN541" s="100">
        <v>15</v>
      </c>
      <c r="AO541" s="100">
        <f t="shared" si="588"/>
        <v>0</v>
      </c>
      <c r="AP541" s="100">
        <f t="shared" si="589"/>
        <v>0</v>
      </c>
      <c r="AQ541" s="111" t="s">
        <v>7</v>
      </c>
      <c r="AV541" s="100">
        <f t="shared" si="590"/>
        <v>0</v>
      </c>
      <c r="AW541" s="100">
        <f t="shared" si="591"/>
        <v>0</v>
      </c>
      <c r="AX541" s="100">
        <f t="shared" si="592"/>
        <v>0</v>
      </c>
      <c r="AY541" s="110" t="s">
        <v>2623</v>
      </c>
      <c r="AZ541" s="110" t="s">
        <v>1730</v>
      </c>
      <c r="BA541" s="109" t="s">
        <v>1737</v>
      </c>
      <c r="BC541" s="100">
        <f t="shared" si="593"/>
        <v>0</v>
      </c>
      <c r="BD541" s="100">
        <f t="shared" si="594"/>
        <v>0</v>
      </c>
      <c r="BE541" s="100">
        <v>0</v>
      </c>
      <c r="BF541" s="100">
        <f>541</f>
        <v>541</v>
      </c>
      <c r="BH541" s="108">
        <f t="shared" si="595"/>
        <v>0</v>
      </c>
      <c r="BI541" s="108">
        <f t="shared" si="596"/>
        <v>0</v>
      </c>
      <c r="BJ541" s="108">
        <f t="shared" si="597"/>
        <v>0</v>
      </c>
    </row>
    <row r="542" spans="1:62" x14ac:dyDescent="0.2">
      <c r="A542" s="117" t="s">
        <v>492</v>
      </c>
      <c r="B542" s="117" t="s">
        <v>2627</v>
      </c>
      <c r="C542" s="304" t="s">
        <v>1552</v>
      </c>
      <c r="D542" s="305"/>
      <c r="E542" s="305"/>
      <c r="F542" s="117" t="s">
        <v>1644</v>
      </c>
      <c r="G542" s="116">
        <v>1</v>
      </c>
      <c r="H542" s="159"/>
      <c r="I542" s="108">
        <f t="shared" si="574"/>
        <v>0</v>
      </c>
      <c r="J542" s="108">
        <f t="shared" si="575"/>
        <v>0</v>
      </c>
      <c r="K542" s="108">
        <f t="shared" si="576"/>
        <v>0</v>
      </c>
      <c r="L542" s="111"/>
      <c r="Z542" s="100">
        <f t="shared" si="577"/>
        <v>0</v>
      </c>
      <c r="AB542" s="100">
        <f t="shared" si="578"/>
        <v>0</v>
      </c>
      <c r="AC542" s="100">
        <f t="shared" si="579"/>
        <v>0</v>
      </c>
      <c r="AD542" s="100">
        <f t="shared" si="580"/>
        <v>0</v>
      </c>
      <c r="AE542" s="100">
        <f t="shared" si="581"/>
        <v>0</v>
      </c>
      <c r="AF542" s="100">
        <f t="shared" si="582"/>
        <v>0</v>
      </c>
      <c r="AG542" s="100">
        <f t="shared" si="583"/>
        <v>0</v>
      </c>
      <c r="AH542" s="100">
        <f t="shared" si="584"/>
        <v>0</v>
      </c>
      <c r="AI542" s="109"/>
      <c r="AJ542" s="108">
        <f t="shared" si="585"/>
        <v>0</v>
      </c>
      <c r="AK542" s="108">
        <f t="shared" si="586"/>
        <v>0</v>
      </c>
      <c r="AL542" s="108">
        <f t="shared" si="587"/>
        <v>0</v>
      </c>
      <c r="AN542" s="100">
        <v>15</v>
      </c>
      <c r="AO542" s="100">
        <f t="shared" si="588"/>
        <v>0</v>
      </c>
      <c r="AP542" s="100">
        <f t="shared" si="589"/>
        <v>0</v>
      </c>
      <c r="AQ542" s="111" t="s">
        <v>7</v>
      </c>
      <c r="AV542" s="100">
        <f t="shared" si="590"/>
        <v>0</v>
      </c>
      <c r="AW542" s="100">
        <f t="shared" si="591"/>
        <v>0</v>
      </c>
      <c r="AX542" s="100">
        <f t="shared" si="592"/>
        <v>0</v>
      </c>
      <c r="AY542" s="110" t="s">
        <v>2623</v>
      </c>
      <c r="AZ542" s="110" t="s">
        <v>1730</v>
      </c>
      <c r="BA542" s="109" t="s">
        <v>1737</v>
      </c>
      <c r="BC542" s="100">
        <f t="shared" si="593"/>
        <v>0</v>
      </c>
      <c r="BD542" s="100">
        <f t="shared" si="594"/>
        <v>0</v>
      </c>
      <c r="BE542" s="100">
        <v>0</v>
      </c>
      <c r="BF542" s="100">
        <f>542</f>
        <v>542</v>
      </c>
      <c r="BH542" s="108">
        <f t="shared" si="595"/>
        <v>0</v>
      </c>
      <c r="BI542" s="108">
        <f t="shared" si="596"/>
        <v>0</v>
      </c>
      <c r="BJ542" s="108">
        <f t="shared" si="597"/>
        <v>0</v>
      </c>
    </row>
    <row r="543" spans="1:62" x14ac:dyDescent="0.2">
      <c r="A543" s="117" t="s">
        <v>493</v>
      </c>
      <c r="B543" s="117" t="s">
        <v>2626</v>
      </c>
      <c r="C543" s="304" t="s">
        <v>1553</v>
      </c>
      <c r="D543" s="305"/>
      <c r="E543" s="305"/>
      <c r="F543" s="117" t="s">
        <v>1644</v>
      </c>
      <c r="G543" s="116">
        <v>1</v>
      </c>
      <c r="H543" s="159"/>
      <c r="I543" s="108">
        <f t="shared" si="574"/>
        <v>0</v>
      </c>
      <c r="J543" s="108">
        <f t="shared" si="575"/>
        <v>0</v>
      </c>
      <c r="K543" s="108">
        <f t="shared" si="576"/>
        <v>0</v>
      </c>
      <c r="L543" s="111"/>
      <c r="Z543" s="100">
        <f t="shared" si="577"/>
        <v>0</v>
      </c>
      <c r="AB543" s="100">
        <f t="shared" si="578"/>
        <v>0</v>
      </c>
      <c r="AC543" s="100">
        <f t="shared" si="579"/>
        <v>0</v>
      </c>
      <c r="AD543" s="100">
        <f t="shared" si="580"/>
        <v>0</v>
      </c>
      <c r="AE543" s="100">
        <f t="shared" si="581"/>
        <v>0</v>
      </c>
      <c r="AF543" s="100">
        <f t="shared" si="582"/>
        <v>0</v>
      </c>
      <c r="AG543" s="100">
        <f t="shared" si="583"/>
        <v>0</v>
      </c>
      <c r="AH543" s="100">
        <f t="shared" si="584"/>
        <v>0</v>
      </c>
      <c r="AI543" s="109"/>
      <c r="AJ543" s="108">
        <f t="shared" si="585"/>
        <v>0</v>
      </c>
      <c r="AK543" s="108">
        <f t="shared" si="586"/>
        <v>0</v>
      </c>
      <c r="AL543" s="108">
        <f t="shared" si="587"/>
        <v>0</v>
      </c>
      <c r="AN543" s="100">
        <v>15</v>
      </c>
      <c r="AO543" s="100">
        <f t="shared" si="588"/>
        <v>0</v>
      </c>
      <c r="AP543" s="100">
        <f t="shared" si="589"/>
        <v>0</v>
      </c>
      <c r="AQ543" s="111" t="s">
        <v>7</v>
      </c>
      <c r="AV543" s="100">
        <f t="shared" si="590"/>
        <v>0</v>
      </c>
      <c r="AW543" s="100">
        <f t="shared" si="591"/>
        <v>0</v>
      </c>
      <c r="AX543" s="100">
        <f t="shared" si="592"/>
        <v>0</v>
      </c>
      <c r="AY543" s="110" t="s">
        <v>2623</v>
      </c>
      <c r="AZ543" s="110" t="s">
        <v>1730</v>
      </c>
      <c r="BA543" s="109" t="s">
        <v>1737</v>
      </c>
      <c r="BC543" s="100">
        <f t="shared" si="593"/>
        <v>0</v>
      </c>
      <c r="BD543" s="100">
        <f t="shared" si="594"/>
        <v>0</v>
      </c>
      <c r="BE543" s="100">
        <v>0</v>
      </c>
      <c r="BF543" s="100">
        <f>543</f>
        <v>543</v>
      </c>
      <c r="BH543" s="108">
        <f t="shared" si="595"/>
        <v>0</v>
      </c>
      <c r="BI543" s="108">
        <f t="shared" si="596"/>
        <v>0</v>
      </c>
      <c r="BJ543" s="108">
        <f t="shared" si="597"/>
        <v>0</v>
      </c>
    </row>
    <row r="544" spans="1:62" x14ac:dyDescent="0.2">
      <c r="A544" s="117" t="s">
        <v>494</v>
      </c>
      <c r="B544" s="117" t="s">
        <v>2625</v>
      </c>
      <c r="C544" s="304" t="s">
        <v>1554</v>
      </c>
      <c r="D544" s="305"/>
      <c r="E544" s="305"/>
      <c r="F544" s="117" t="s">
        <v>1644</v>
      </c>
      <c r="G544" s="116">
        <v>1</v>
      </c>
      <c r="H544" s="159"/>
      <c r="I544" s="108">
        <f t="shared" si="574"/>
        <v>0</v>
      </c>
      <c r="J544" s="108">
        <f t="shared" si="575"/>
        <v>0</v>
      </c>
      <c r="K544" s="108">
        <f t="shared" si="576"/>
        <v>0</v>
      </c>
      <c r="L544" s="111"/>
      <c r="Z544" s="100">
        <f t="shared" si="577"/>
        <v>0</v>
      </c>
      <c r="AB544" s="100">
        <f t="shared" si="578"/>
        <v>0</v>
      </c>
      <c r="AC544" s="100">
        <f t="shared" si="579"/>
        <v>0</v>
      </c>
      <c r="AD544" s="100">
        <f t="shared" si="580"/>
        <v>0</v>
      </c>
      <c r="AE544" s="100">
        <f t="shared" si="581"/>
        <v>0</v>
      </c>
      <c r="AF544" s="100">
        <f t="shared" si="582"/>
        <v>0</v>
      </c>
      <c r="AG544" s="100">
        <f t="shared" si="583"/>
        <v>0</v>
      </c>
      <c r="AH544" s="100">
        <f t="shared" si="584"/>
        <v>0</v>
      </c>
      <c r="AI544" s="109"/>
      <c r="AJ544" s="108">
        <f t="shared" si="585"/>
        <v>0</v>
      </c>
      <c r="AK544" s="108">
        <f t="shared" si="586"/>
        <v>0</v>
      </c>
      <c r="AL544" s="108">
        <f t="shared" si="587"/>
        <v>0</v>
      </c>
      <c r="AN544" s="100">
        <v>15</v>
      </c>
      <c r="AO544" s="100">
        <f t="shared" si="588"/>
        <v>0</v>
      </c>
      <c r="AP544" s="100">
        <f t="shared" si="589"/>
        <v>0</v>
      </c>
      <c r="AQ544" s="111" t="s">
        <v>7</v>
      </c>
      <c r="AV544" s="100">
        <f t="shared" si="590"/>
        <v>0</v>
      </c>
      <c r="AW544" s="100">
        <f t="shared" si="591"/>
        <v>0</v>
      </c>
      <c r="AX544" s="100">
        <f t="shared" si="592"/>
        <v>0</v>
      </c>
      <c r="AY544" s="110" t="s">
        <v>2623</v>
      </c>
      <c r="AZ544" s="110" t="s">
        <v>1730</v>
      </c>
      <c r="BA544" s="109" t="s">
        <v>1737</v>
      </c>
      <c r="BC544" s="100">
        <f t="shared" si="593"/>
        <v>0</v>
      </c>
      <c r="BD544" s="100">
        <f t="shared" si="594"/>
        <v>0</v>
      </c>
      <c r="BE544" s="100">
        <v>0</v>
      </c>
      <c r="BF544" s="100">
        <f>544</f>
        <v>544</v>
      </c>
      <c r="BH544" s="108">
        <f t="shared" si="595"/>
        <v>0</v>
      </c>
      <c r="BI544" s="108">
        <f t="shared" si="596"/>
        <v>0</v>
      </c>
      <c r="BJ544" s="108">
        <f t="shared" si="597"/>
        <v>0</v>
      </c>
    </row>
    <row r="545" spans="1:62" x14ac:dyDescent="0.2">
      <c r="A545" s="117" t="s">
        <v>495</v>
      </c>
      <c r="B545" s="117" t="s">
        <v>2624</v>
      </c>
      <c r="C545" s="304" t="s">
        <v>1555</v>
      </c>
      <c r="D545" s="305"/>
      <c r="E545" s="305"/>
      <c r="F545" s="117" t="s">
        <v>1644</v>
      </c>
      <c r="G545" s="116">
        <v>1</v>
      </c>
      <c r="H545" s="159"/>
      <c r="I545" s="108">
        <f t="shared" si="574"/>
        <v>0</v>
      </c>
      <c r="J545" s="108">
        <f t="shared" si="575"/>
        <v>0</v>
      </c>
      <c r="K545" s="108">
        <f t="shared" si="576"/>
        <v>0</v>
      </c>
      <c r="L545" s="111"/>
      <c r="Z545" s="100">
        <f t="shared" si="577"/>
        <v>0</v>
      </c>
      <c r="AB545" s="100">
        <f t="shared" si="578"/>
        <v>0</v>
      </c>
      <c r="AC545" s="100">
        <f t="shared" si="579"/>
        <v>0</v>
      </c>
      <c r="AD545" s="100">
        <f t="shared" si="580"/>
        <v>0</v>
      </c>
      <c r="AE545" s="100">
        <f t="shared" si="581"/>
        <v>0</v>
      </c>
      <c r="AF545" s="100">
        <f t="shared" si="582"/>
        <v>0</v>
      </c>
      <c r="AG545" s="100">
        <f t="shared" si="583"/>
        <v>0</v>
      </c>
      <c r="AH545" s="100">
        <f t="shared" si="584"/>
        <v>0</v>
      </c>
      <c r="AI545" s="109"/>
      <c r="AJ545" s="108">
        <f t="shared" si="585"/>
        <v>0</v>
      </c>
      <c r="AK545" s="108">
        <f t="shared" si="586"/>
        <v>0</v>
      </c>
      <c r="AL545" s="108">
        <f t="shared" si="587"/>
        <v>0</v>
      </c>
      <c r="AN545" s="100">
        <v>15</v>
      </c>
      <c r="AO545" s="100">
        <f t="shared" si="588"/>
        <v>0</v>
      </c>
      <c r="AP545" s="100">
        <f t="shared" si="589"/>
        <v>0</v>
      </c>
      <c r="AQ545" s="111" t="s">
        <v>7</v>
      </c>
      <c r="AV545" s="100">
        <f t="shared" si="590"/>
        <v>0</v>
      </c>
      <c r="AW545" s="100">
        <f t="shared" si="591"/>
        <v>0</v>
      </c>
      <c r="AX545" s="100">
        <f t="shared" si="592"/>
        <v>0</v>
      </c>
      <c r="AY545" s="110" t="s">
        <v>2623</v>
      </c>
      <c r="AZ545" s="110" t="s">
        <v>1730</v>
      </c>
      <c r="BA545" s="109" t="s">
        <v>1737</v>
      </c>
      <c r="BC545" s="100">
        <f t="shared" si="593"/>
        <v>0</v>
      </c>
      <c r="BD545" s="100">
        <f t="shared" si="594"/>
        <v>0</v>
      </c>
      <c r="BE545" s="100">
        <v>0</v>
      </c>
      <c r="BF545" s="100">
        <f>545</f>
        <v>545</v>
      </c>
      <c r="BH545" s="108">
        <f t="shared" si="595"/>
        <v>0</v>
      </c>
      <c r="BI545" s="108">
        <f t="shared" si="596"/>
        <v>0</v>
      </c>
      <c r="BJ545" s="108">
        <f t="shared" si="597"/>
        <v>0</v>
      </c>
    </row>
    <row r="546" spans="1:62" x14ac:dyDescent="0.2">
      <c r="A546" s="119"/>
      <c r="B546" s="120" t="s">
        <v>967</v>
      </c>
      <c r="C546" s="306" t="s">
        <v>1556</v>
      </c>
      <c r="D546" s="307"/>
      <c r="E546" s="307"/>
      <c r="F546" s="119" t="s">
        <v>6</v>
      </c>
      <c r="G546" s="119" t="s">
        <v>6</v>
      </c>
      <c r="H546" s="119" t="s">
        <v>6</v>
      </c>
      <c r="I546" s="118">
        <f>SUM(I547:I548)</f>
        <v>0</v>
      </c>
      <c r="J546" s="118">
        <f>SUM(J547:J548)</f>
        <v>0</v>
      </c>
      <c r="K546" s="118">
        <f>SUM(K547:K548)</f>
        <v>0</v>
      </c>
      <c r="L546" s="109"/>
      <c r="AI546" s="109"/>
      <c r="AS546" s="118">
        <f>SUM(AJ547:AJ548)</f>
        <v>0</v>
      </c>
      <c r="AT546" s="118">
        <f>SUM(AK547:AK548)</f>
        <v>0</v>
      </c>
      <c r="AU546" s="118">
        <f>SUM(AL547:AL548)</f>
        <v>0</v>
      </c>
    </row>
    <row r="547" spans="1:62" x14ac:dyDescent="0.2">
      <c r="A547" s="117" t="s">
        <v>496</v>
      </c>
      <c r="B547" s="117" t="s">
        <v>968</v>
      </c>
      <c r="C547" s="304" t="s">
        <v>1557</v>
      </c>
      <c r="D547" s="305"/>
      <c r="E547" s="305"/>
      <c r="F547" s="117" t="s">
        <v>1644</v>
      </c>
      <c r="G547" s="116">
        <v>1</v>
      </c>
      <c r="H547" s="159"/>
      <c r="I547" s="108">
        <f>G547*AO547</f>
        <v>0</v>
      </c>
      <c r="J547" s="108">
        <f>G547*AP547</f>
        <v>0</v>
      </c>
      <c r="K547" s="108">
        <f>G547*H547</f>
        <v>0</v>
      </c>
      <c r="L547" s="111" t="s">
        <v>1671</v>
      </c>
      <c r="Z547" s="100">
        <f>IF(AQ547="5",BJ547,0)</f>
        <v>0</v>
      </c>
      <c r="AB547" s="100">
        <f>IF(AQ547="1",BH547,0)</f>
        <v>0</v>
      </c>
      <c r="AC547" s="100">
        <f>IF(AQ547="1",BI547,0)</f>
        <v>0</v>
      </c>
      <c r="AD547" s="100">
        <f>IF(AQ547="7",BH547,0)</f>
        <v>0</v>
      </c>
      <c r="AE547" s="100">
        <f>IF(AQ547="7",BI547,0)</f>
        <v>0</v>
      </c>
      <c r="AF547" s="100">
        <f>IF(AQ547="2",BH547,0)</f>
        <v>0</v>
      </c>
      <c r="AG547" s="100">
        <f>IF(AQ547="2",BI547,0)</f>
        <v>0</v>
      </c>
      <c r="AH547" s="100">
        <f>IF(AQ547="0",BJ547,0)</f>
        <v>0</v>
      </c>
      <c r="AI547" s="109"/>
      <c r="AJ547" s="108">
        <f>IF(AN547=0,K547,0)</f>
        <v>0</v>
      </c>
      <c r="AK547" s="108">
        <f>IF(AN547=15,K547,0)</f>
        <v>0</v>
      </c>
      <c r="AL547" s="108">
        <f>IF(AN547=21,K547,0)</f>
        <v>0</v>
      </c>
      <c r="AN547" s="100">
        <v>15</v>
      </c>
      <c r="AO547" s="100">
        <f>H547*0</f>
        <v>0</v>
      </c>
      <c r="AP547" s="100">
        <f>H547*(1-0)</f>
        <v>0</v>
      </c>
      <c r="AQ547" s="111" t="s">
        <v>8</v>
      </c>
      <c r="AV547" s="100">
        <f>AW547+AX547</f>
        <v>0</v>
      </c>
      <c r="AW547" s="100">
        <f>G547*AO547</f>
        <v>0</v>
      </c>
      <c r="AX547" s="100">
        <f>G547*AP547</f>
        <v>0</v>
      </c>
      <c r="AY547" s="110" t="s">
        <v>1721</v>
      </c>
      <c r="AZ547" s="110" t="s">
        <v>1730</v>
      </c>
      <c r="BA547" s="109" t="s">
        <v>1737</v>
      </c>
      <c r="BC547" s="100">
        <f>AW547+AX547</f>
        <v>0</v>
      </c>
      <c r="BD547" s="100">
        <f>H547/(100-BE547)*100</f>
        <v>0</v>
      </c>
      <c r="BE547" s="100">
        <v>0</v>
      </c>
      <c r="BF547" s="100">
        <f>547</f>
        <v>547</v>
      </c>
      <c r="BH547" s="108">
        <f>G547*AO547</f>
        <v>0</v>
      </c>
      <c r="BI547" s="108">
        <f>G547*AP547</f>
        <v>0</v>
      </c>
      <c r="BJ547" s="108">
        <f>G547*H547</f>
        <v>0</v>
      </c>
    </row>
    <row r="548" spans="1:62" x14ac:dyDescent="0.2">
      <c r="A548" s="117" t="s">
        <v>497</v>
      </c>
      <c r="B548" s="117" t="s">
        <v>969</v>
      </c>
      <c r="C548" s="304" t="s">
        <v>1558</v>
      </c>
      <c r="D548" s="305"/>
      <c r="E548" s="305"/>
      <c r="F548" s="117" t="s">
        <v>1644</v>
      </c>
      <c r="G548" s="116">
        <v>1</v>
      </c>
      <c r="H548" s="159"/>
      <c r="I548" s="108">
        <f>G548*AO548</f>
        <v>0</v>
      </c>
      <c r="J548" s="108">
        <f>G548*AP548</f>
        <v>0</v>
      </c>
      <c r="K548" s="108">
        <f>G548*H548</f>
        <v>0</v>
      </c>
      <c r="L548" s="111" t="s">
        <v>1671</v>
      </c>
      <c r="Z548" s="100">
        <f>IF(AQ548="5",BJ548,0)</f>
        <v>0</v>
      </c>
      <c r="AB548" s="100">
        <f>IF(AQ548="1",BH548,0)</f>
        <v>0</v>
      </c>
      <c r="AC548" s="100">
        <f>IF(AQ548="1",BI548,0)</f>
        <v>0</v>
      </c>
      <c r="AD548" s="100">
        <f>IF(AQ548="7",BH548,0)</f>
        <v>0</v>
      </c>
      <c r="AE548" s="100">
        <f>IF(AQ548="7",BI548,0)</f>
        <v>0</v>
      </c>
      <c r="AF548" s="100">
        <f>IF(AQ548="2",BH548,0)</f>
        <v>0</v>
      </c>
      <c r="AG548" s="100">
        <f>IF(AQ548="2",BI548,0)</f>
        <v>0</v>
      </c>
      <c r="AH548" s="100">
        <f>IF(AQ548="0",BJ548,0)</f>
        <v>0</v>
      </c>
      <c r="AI548" s="109"/>
      <c r="AJ548" s="108">
        <f>IF(AN548=0,K548,0)</f>
        <v>0</v>
      </c>
      <c r="AK548" s="108">
        <f>IF(AN548=15,K548,0)</f>
        <v>0</v>
      </c>
      <c r="AL548" s="108">
        <f>IF(AN548=21,K548,0)</f>
        <v>0</v>
      </c>
      <c r="AN548" s="100">
        <v>15</v>
      </c>
      <c r="AO548" s="100">
        <f>H548*0</f>
        <v>0</v>
      </c>
      <c r="AP548" s="100">
        <f>H548*(1-0)</f>
        <v>0</v>
      </c>
      <c r="AQ548" s="111" t="s">
        <v>8</v>
      </c>
      <c r="AV548" s="100">
        <f>AW548+AX548</f>
        <v>0</v>
      </c>
      <c r="AW548" s="100">
        <f>G548*AO548</f>
        <v>0</v>
      </c>
      <c r="AX548" s="100">
        <f>G548*AP548</f>
        <v>0</v>
      </c>
      <c r="AY548" s="110" t="s">
        <v>1721</v>
      </c>
      <c r="AZ548" s="110" t="s">
        <v>1730</v>
      </c>
      <c r="BA548" s="109" t="s">
        <v>1737</v>
      </c>
      <c r="BC548" s="100">
        <f>AW548+AX548</f>
        <v>0</v>
      </c>
      <c r="BD548" s="100">
        <f>H548/(100-BE548)*100</f>
        <v>0</v>
      </c>
      <c r="BE548" s="100">
        <v>0</v>
      </c>
      <c r="BF548" s="100">
        <f>548</f>
        <v>548</v>
      </c>
      <c r="BH548" s="108">
        <f>G548*AO548</f>
        <v>0</v>
      </c>
      <c r="BI548" s="108">
        <f>G548*AP548</f>
        <v>0</v>
      </c>
      <c r="BJ548" s="108">
        <f>G548*H548</f>
        <v>0</v>
      </c>
    </row>
    <row r="549" spans="1:62" x14ac:dyDescent="0.2">
      <c r="A549" s="119"/>
      <c r="B549" s="120" t="s">
        <v>970</v>
      </c>
      <c r="C549" s="306" t="s">
        <v>1559</v>
      </c>
      <c r="D549" s="307"/>
      <c r="E549" s="307"/>
      <c r="F549" s="119" t="s">
        <v>6</v>
      </c>
      <c r="G549" s="119" t="s">
        <v>6</v>
      </c>
      <c r="H549" s="119" t="s">
        <v>6</v>
      </c>
      <c r="I549" s="118">
        <f>SUM(I550:I624)</f>
        <v>0</v>
      </c>
      <c r="J549" s="118">
        <f>SUM(J550:J624)</f>
        <v>0</v>
      </c>
      <c r="K549" s="118">
        <f>SUM(K550:K624)</f>
        <v>0</v>
      </c>
      <c r="L549" s="109"/>
      <c r="AI549" s="109"/>
      <c r="AS549" s="118">
        <f>SUM(AJ550:AJ624)</f>
        <v>0</v>
      </c>
      <c r="AT549" s="118">
        <f>SUM(AK550:AK624)</f>
        <v>0</v>
      </c>
      <c r="AU549" s="118">
        <f>SUM(AL550:AL624)</f>
        <v>0</v>
      </c>
    </row>
    <row r="550" spans="1:62" x14ac:dyDescent="0.2">
      <c r="A550" s="117" t="s">
        <v>498</v>
      </c>
      <c r="B550" s="117" t="s">
        <v>2622</v>
      </c>
      <c r="C550" s="304" t="s">
        <v>1560</v>
      </c>
      <c r="D550" s="305"/>
      <c r="E550" s="305"/>
      <c r="F550" s="117" t="s">
        <v>1644</v>
      </c>
      <c r="G550" s="116">
        <v>1</v>
      </c>
      <c r="H550" s="159"/>
      <c r="I550" s="108">
        <f t="shared" ref="I550:I581" si="598">G550*AO550</f>
        <v>0</v>
      </c>
      <c r="J550" s="108">
        <f t="shared" ref="J550:J581" si="599">G550*AP550</f>
        <v>0</v>
      </c>
      <c r="K550" s="108">
        <f t="shared" ref="K550:K581" si="600">G550*H550</f>
        <v>0</v>
      </c>
      <c r="L550" s="111"/>
      <c r="Z550" s="100">
        <f t="shared" ref="Z550:Z581" si="601">IF(AQ550="5",BJ550,0)</f>
        <v>0</v>
      </c>
      <c r="AB550" s="100">
        <f t="shared" ref="AB550:AB581" si="602">IF(AQ550="1",BH550,0)</f>
        <v>0</v>
      </c>
      <c r="AC550" s="100">
        <f t="shared" ref="AC550:AC581" si="603">IF(AQ550="1",BI550,0)</f>
        <v>0</v>
      </c>
      <c r="AD550" s="100">
        <f t="shared" ref="AD550:AD581" si="604">IF(AQ550="7",BH550,0)</f>
        <v>0</v>
      </c>
      <c r="AE550" s="100">
        <f t="shared" ref="AE550:AE581" si="605">IF(AQ550="7",BI550,0)</f>
        <v>0</v>
      </c>
      <c r="AF550" s="100">
        <f t="shared" ref="AF550:AF581" si="606">IF(AQ550="2",BH550,0)</f>
        <v>0</v>
      </c>
      <c r="AG550" s="100">
        <f t="shared" ref="AG550:AG581" si="607">IF(AQ550="2",BI550,0)</f>
        <v>0</v>
      </c>
      <c r="AH550" s="100">
        <f t="shared" ref="AH550:AH581" si="608">IF(AQ550="0",BJ550,0)</f>
        <v>0</v>
      </c>
      <c r="AI550" s="109"/>
      <c r="AJ550" s="108">
        <f t="shared" ref="AJ550:AJ581" si="609">IF(AN550=0,K550,0)</f>
        <v>0</v>
      </c>
      <c r="AK550" s="108">
        <f t="shared" ref="AK550:AK581" si="610">IF(AN550=15,K550,0)</f>
        <v>0</v>
      </c>
      <c r="AL550" s="108">
        <f t="shared" ref="AL550:AL581" si="611">IF(AN550=21,K550,0)</f>
        <v>0</v>
      </c>
      <c r="AN550" s="100">
        <v>15</v>
      </c>
      <c r="AO550" s="100">
        <f t="shared" ref="AO550:AO581" si="612">H550*0</f>
        <v>0</v>
      </c>
      <c r="AP550" s="100">
        <f t="shared" ref="AP550:AP581" si="613">H550*(1-0)</f>
        <v>0</v>
      </c>
      <c r="AQ550" s="111" t="s">
        <v>7</v>
      </c>
      <c r="AV550" s="100">
        <f t="shared" ref="AV550:AV581" si="614">AW550+AX550</f>
        <v>0</v>
      </c>
      <c r="AW550" s="100">
        <f t="shared" ref="AW550:AW581" si="615">G550*AO550</f>
        <v>0</v>
      </c>
      <c r="AX550" s="100">
        <f t="shared" ref="AX550:AX581" si="616">G550*AP550</f>
        <v>0</v>
      </c>
      <c r="AY550" s="110" t="s">
        <v>1722</v>
      </c>
      <c r="AZ550" s="110" t="s">
        <v>1730</v>
      </c>
      <c r="BA550" s="109" t="s">
        <v>1737</v>
      </c>
      <c r="BC550" s="100">
        <f t="shared" ref="BC550:BC581" si="617">AW550+AX550</f>
        <v>0</v>
      </c>
      <c r="BD550" s="100">
        <f t="shared" ref="BD550:BD581" si="618">H550/(100-BE550)*100</f>
        <v>0</v>
      </c>
      <c r="BE550" s="100">
        <v>0</v>
      </c>
      <c r="BF550" s="100">
        <f>550</f>
        <v>550</v>
      </c>
      <c r="BH550" s="108">
        <f t="shared" ref="BH550:BH581" si="619">G550*AO550</f>
        <v>0</v>
      </c>
      <c r="BI550" s="108">
        <f t="shared" ref="BI550:BI581" si="620">G550*AP550</f>
        <v>0</v>
      </c>
      <c r="BJ550" s="108">
        <f t="shared" ref="BJ550:BJ581" si="621">G550*H550</f>
        <v>0</v>
      </c>
    </row>
    <row r="551" spans="1:62" x14ac:dyDescent="0.2">
      <c r="A551" s="117" t="s">
        <v>499</v>
      </c>
      <c r="B551" s="117" t="s">
        <v>2621</v>
      </c>
      <c r="C551" s="304" t="s">
        <v>1561</v>
      </c>
      <c r="D551" s="305"/>
      <c r="E551" s="305"/>
      <c r="F551" s="117" t="s">
        <v>1644</v>
      </c>
      <c r="G551" s="116">
        <v>1</v>
      </c>
      <c r="H551" s="159"/>
      <c r="I551" s="108">
        <f t="shared" si="598"/>
        <v>0</v>
      </c>
      <c r="J551" s="108">
        <f t="shared" si="599"/>
        <v>0</v>
      </c>
      <c r="K551" s="108">
        <f t="shared" si="600"/>
        <v>0</v>
      </c>
      <c r="L551" s="111"/>
      <c r="Z551" s="100">
        <f t="shared" si="601"/>
        <v>0</v>
      </c>
      <c r="AB551" s="100">
        <f t="shared" si="602"/>
        <v>0</v>
      </c>
      <c r="AC551" s="100">
        <f t="shared" si="603"/>
        <v>0</v>
      </c>
      <c r="AD551" s="100">
        <f t="shared" si="604"/>
        <v>0</v>
      </c>
      <c r="AE551" s="100">
        <f t="shared" si="605"/>
        <v>0</v>
      </c>
      <c r="AF551" s="100">
        <f t="shared" si="606"/>
        <v>0</v>
      </c>
      <c r="AG551" s="100">
        <f t="shared" si="607"/>
        <v>0</v>
      </c>
      <c r="AH551" s="100">
        <f t="shared" si="608"/>
        <v>0</v>
      </c>
      <c r="AI551" s="109"/>
      <c r="AJ551" s="108">
        <f t="shared" si="609"/>
        <v>0</v>
      </c>
      <c r="AK551" s="108">
        <f t="shared" si="610"/>
        <v>0</v>
      </c>
      <c r="AL551" s="108">
        <f t="shared" si="611"/>
        <v>0</v>
      </c>
      <c r="AN551" s="100">
        <v>15</v>
      </c>
      <c r="AO551" s="100">
        <f t="shared" si="612"/>
        <v>0</v>
      </c>
      <c r="AP551" s="100">
        <f t="shared" si="613"/>
        <v>0</v>
      </c>
      <c r="AQ551" s="111" t="s">
        <v>7</v>
      </c>
      <c r="AV551" s="100">
        <f t="shared" si="614"/>
        <v>0</v>
      </c>
      <c r="AW551" s="100">
        <f t="shared" si="615"/>
        <v>0</v>
      </c>
      <c r="AX551" s="100">
        <f t="shared" si="616"/>
        <v>0</v>
      </c>
      <c r="AY551" s="110" t="s">
        <v>1722</v>
      </c>
      <c r="AZ551" s="110" t="s">
        <v>1730</v>
      </c>
      <c r="BA551" s="109" t="s">
        <v>1737</v>
      </c>
      <c r="BC551" s="100">
        <f t="shared" si="617"/>
        <v>0</v>
      </c>
      <c r="BD551" s="100">
        <f t="shared" si="618"/>
        <v>0</v>
      </c>
      <c r="BE551" s="100">
        <v>0</v>
      </c>
      <c r="BF551" s="100">
        <f>551</f>
        <v>551</v>
      </c>
      <c r="BH551" s="108">
        <f t="shared" si="619"/>
        <v>0</v>
      </c>
      <c r="BI551" s="108">
        <f t="shared" si="620"/>
        <v>0</v>
      </c>
      <c r="BJ551" s="108">
        <f t="shared" si="621"/>
        <v>0</v>
      </c>
    </row>
    <row r="552" spans="1:62" x14ac:dyDescent="0.2">
      <c r="A552" s="117" t="s">
        <v>500</v>
      </c>
      <c r="B552" s="117" t="s">
        <v>973</v>
      </c>
      <c r="C552" s="304" t="s">
        <v>1562</v>
      </c>
      <c r="D552" s="305"/>
      <c r="E552" s="305"/>
      <c r="F552" s="117" t="s">
        <v>1644</v>
      </c>
      <c r="G552" s="116">
        <v>1</v>
      </c>
      <c r="H552" s="159"/>
      <c r="I552" s="108">
        <f t="shared" si="598"/>
        <v>0</v>
      </c>
      <c r="J552" s="108">
        <f t="shared" si="599"/>
        <v>0</v>
      </c>
      <c r="K552" s="108">
        <f t="shared" si="600"/>
        <v>0</v>
      </c>
      <c r="L552" s="111"/>
      <c r="Z552" s="100">
        <f t="shared" si="601"/>
        <v>0</v>
      </c>
      <c r="AB552" s="100">
        <f t="shared" si="602"/>
        <v>0</v>
      </c>
      <c r="AC552" s="100">
        <f t="shared" si="603"/>
        <v>0</v>
      </c>
      <c r="AD552" s="100">
        <f t="shared" si="604"/>
        <v>0</v>
      </c>
      <c r="AE552" s="100">
        <f t="shared" si="605"/>
        <v>0</v>
      </c>
      <c r="AF552" s="100">
        <f t="shared" si="606"/>
        <v>0</v>
      </c>
      <c r="AG552" s="100">
        <f t="shared" si="607"/>
        <v>0</v>
      </c>
      <c r="AH552" s="100">
        <f t="shared" si="608"/>
        <v>0</v>
      </c>
      <c r="AI552" s="109"/>
      <c r="AJ552" s="108">
        <f t="shared" si="609"/>
        <v>0</v>
      </c>
      <c r="AK552" s="108">
        <f t="shared" si="610"/>
        <v>0</v>
      </c>
      <c r="AL552" s="108">
        <f t="shared" si="611"/>
        <v>0</v>
      </c>
      <c r="AN552" s="100">
        <v>15</v>
      </c>
      <c r="AO552" s="100">
        <f t="shared" si="612"/>
        <v>0</v>
      </c>
      <c r="AP552" s="100">
        <f t="shared" si="613"/>
        <v>0</v>
      </c>
      <c r="AQ552" s="111" t="s">
        <v>7</v>
      </c>
      <c r="AV552" s="100">
        <f t="shared" si="614"/>
        <v>0</v>
      </c>
      <c r="AW552" s="100">
        <f t="shared" si="615"/>
        <v>0</v>
      </c>
      <c r="AX552" s="100">
        <f t="shared" si="616"/>
        <v>0</v>
      </c>
      <c r="AY552" s="110" t="s">
        <v>1722</v>
      </c>
      <c r="AZ552" s="110" t="s">
        <v>1730</v>
      </c>
      <c r="BA552" s="109" t="s">
        <v>1737</v>
      </c>
      <c r="BC552" s="100">
        <f t="shared" si="617"/>
        <v>0</v>
      </c>
      <c r="BD552" s="100">
        <f t="shared" si="618"/>
        <v>0</v>
      </c>
      <c r="BE552" s="100">
        <v>0</v>
      </c>
      <c r="BF552" s="100">
        <f>552</f>
        <v>552</v>
      </c>
      <c r="BH552" s="108">
        <f t="shared" si="619"/>
        <v>0</v>
      </c>
      <c r="BI552" s="108">
        <f t="shared" si="620"/>
        <v>0</v>
      </c>
      <c r="BJ552" s="108">
        <f t="shared" si="621"/>
        <v>0</v>
      </c>
    </row>
    <row r="553" spans="1:62" x14ac:dyDescent="0.2">
      <c r="A553" s="117" t="s">
        <v>501</v>
      </c>
      <c r="B553" s="117" t="s">
        <v>974</v>
      </c>
      <c r="C553" s="304" t="s">
        <v>1563</v>
      </c>
      <c r="D553" s="305"/>
      <c r="E553" s="305"/>
      <c r="F553" s="117" t="s">
        <v>1644</v>
      </c>
      <c r="G553" s="116">
        <v>1</v>
      </c>
      <c r="H553" s="159"/>
      <c r="I553" s="108">
        <f t="shared" si="598"/>
        <v>0</v>
      </c>
      <c r="J553" s="108">
        <f t="shared" si="599"/>
        <v>0</v>
      </c>
      <c r="K553" s="108">
        <f t="shared" si="600"/>
        <v>0</v>
      </c>
      <c r="L553" s="111"/>
      <c r="Z553" s="100">
        <f t="shared" si="601"/>
        <v>0</v>
      </c>
      <c r="AB553" s="100">
        <f t="shared" si="602"/>
        <v>0</v>
      </c>
      <c r="AC553" s="100">
        <f t="shared" si="603"/>
        <v>0</v>
      </c>
      <c r="AD553" s="100">
        <f t="shared" si="604"/>
        <v>0</v>
      </c>
      <c r="AE553" s="100">
        <f t="shared" si="605"/>
        <v>0</v>
      </c>
      <c r="AF553" s="100">
        <f t="shared" si="606"/>
        <v>0</v>
      </c>
      <c r="AG553" s="100">
        <f t="shared" si="607"/>
        <v>0</v>
      </c>
      <c r="AH553" s="100">
        <f t="shared" si="608"/>
        <v>0</v>
      </c>
      <c r="AI553" s="109"/>
      <c r="AJ553" s="108">
        <f t="shared" si="609"/>
        <v>0</v>
      </c>
      <c r="AK553" s="108">
        <f t="shared" si="610"/>
        <v>0</v>
      </c>
      <c r="AL553" s="108">
        <f t="shared" si="611"/>
        <v>0</v>
      </c>
      <c r="AN553" s="100">
        <v>15</v>
      </c>
      <c r="AO553" s="100">
        <f t="shared" si="612"/>
        <v>0</v>
      </c>
      <c r="AP553" s="100">
        <f t="shared" si="613"/>
        <v>0</v>
      </c>
      <c r="AQ553" s="111" t="s">
        <v>7</v>
      </c>
      <c r="AV553" s="100">
        <f t="shared" si="614"/>
        <v>0</v>
      </c>
      <c r="AW553" s="100">
        <f t="shared" si="615"/>
        <v>0</v>
      </c>
      <c r="AX553" s="100">
        <f t="shared" si="616"/>
        <v>0</v>
      </c>
      <c r="AY553" s="110" t="s">
        <v>1722</v>
      </c>
      <c r="AZ553" s="110" t="s">
        <v>1730</v>
      </c>
      <c r="BA553" s="109" t="s">
        <v>1737</v>
      </c>
      <c r="BC553" s="100">
        <f t="shared" si="617"/>
        <v>0</v>
      </c>
      <c r="BD553" s="100">
        <f t="shared" si="618"/>
        <v>0</v>
      </c>
      <c r="BE553" s="100">
        <v>0</v>
      </c>
      <c r="BF553" s="100">
        <f>553</f>
        <v>553</v>
      </c>
      <c r="BH553" s="108">
        <f t="shared" si="619"/>
        <v>0</v>
      </c>
      <c r="BI553" s="108">
        <f t="shared" si="620"/>
        <v>0</v>
      </c>
      <c r="BJ553" s="108">
        <f t="shared" si="621"/>
        <v>0</v>
      </c>
    </row>
    <row r="554" spans="1:62" x14ac:dyDescent="0.2">
      <c r="A554" s="117" t="s">
        <v>502</v>
      </c>
      <c r="B554" s="117" t="s">
        <v>975</v>
      </c>
      <c r="C554" s="304" t="s">
        <v>1564</v>
      </c>
      <c r="D554" s="305"/>
      <c r="E554" s="305"/>
      <c r="F554" s="117" t="s">
        <v>1644</v>
      </c>
      <c r="G554" s="116">
        <v>1</v>
      </c>
      <c r="H554" s="159"/>
      <c r="I554" s="108">
        <f t="shared" si="598"/>
        <v>0</v>
      </c>
      <c r="J554" s="108">
        <f t="shared" si="599"/>
        <v>0</v>
      </c>
      <c r="K554" s="108">
        <f t="shared" si="600"/>
        <v>0</v>
      </c>
      <c r="L554" s="111"/>
      <c r="Z554" s="100">
        <f t="shared" si="601"/>
        <v>0</v>
      </c>
      <c r="AB554" s="100">
        <f t="shared" si="602"/>
        <v>0</v>
      </c>
      <c r="AC554" s="100">
        <f t="shared" si="603"/>
        <v>0</v>
      </c>
      <c r="AD554" s="100">
        <f t="shared" si="604"/>
        <v>0</v>
      </c>
      <c r="AE554" s="100">
        <f t="shared" si="605"/>
        <v>0</v>
      </c>
      <c r="AF554" s="100">
        <f t="shared" si="606"/>
        <v>0</v>
      </c>
      <c r="AG554" s="100">
        <f t="shared" si="607"/>
        <v>0</v>
      </c>
      <c r="AH554" s="100">
        <f t="shared" si="608"/>
        <v>0</v>
      </c>
      <c r="AI554" s="109"/>
      <c r="AJ554" s="108">
        <f t="shared" si="609"/>
        <v>0</v>
      </c>
      <c r="AK554" s="108">
        <f t="shared" si="610"/>
        <v>0</v>
      </c>
      <c r="AL554" s="108">
        <f t="shared" si="611"/>
        <v>0</v>
      </c>
      <c r="AN554" s="100">
        <v>15</v>
      </c>
      <c r="AO554" s="100">
        <f t="shared" si="612"/>
        <v>0</v>
      </c>
      <c r="AP554" s="100">
        <f t="shared" si="613"/>
        <v>0</v>
      </c>
      <c r="AQ554" s="111" t="s">
        <v>7</v>
      </c>
      <c r="AV554" s="100">
        <f t="shared" si="614"/>
        <v>0</v>
      </c>
      <c r="AW554" s="100">
        <f t="shared" si="615"/>
        <v>0</v>
      </c>
      <c r="AX554" s="100">
        <f t="shared" si="616"/>
        <v>0</v>
      </c>
      <c r="AY554" s="110" t="s">
        <v>1722</v>
      </c>
      <c r="AZ554" s="110" t="s">
        <v>1730</v>
      </c>
      <c r="BA554" s="109" t="s">
        <v>1737</v>
      </c>
      <c r="BC554" s="100">
        <f t="shared" si="617"/>
        <v>0</v>
      </c>
      <c r="BD554" s="100">
        <f t="shared" si="618"/>
        <v>0</v>
      </c>
      <c r="BE554" s="100">
        <v>0</v>
      </c>
      <c r="BF554" s="100">
        <f>554</f>
        <v>554</v>
      </c>
      <c r="BH554" s="108">
        <f t="shared" si="619"/>
        <v>0</v>
      </c>
      <c r="BI554" s="108">
        <f t="shared" si="620"/>
        <v>0</v>
      </c>
      <c r="BJ554" s="108">
        <f t="shared" si="621"/>
        <v>0</v>
      </c>
    </row>
    <row r="555" spans="1:62" x14ac:dyDescent="0.2">
      <c r="A555" s="117" t="s">
        <v>503</v>
      </c>
      <c r="B555" s="117" t="s">
        <v>976</v>
      </c>
      <c r="C555" s="304" t="s">
        <v>1565</v>
      </c>
      <c r="D555" s="305"/>
      <c r="E555" s="305"/>
      <c r="F555" s="117" t="s">
        <v>1644</v>
      </c>
      <c r="G555" s="116">
        <v>2</v>
      </c>
      <c r="H555" s="159"/>
      <c r="I555" s="108">
        <f t="shared" si="598"/>
        <v>0</v>
      </c>
      <c r="J555" s="108">
        <f t="shared" si="599"/>
        <v>0</v>
      </c>
      <c r="K555" s="108">
        <f t="shared" si="600"/>
        <v>0</v>
      </c>
      <c r="L555" s="111"/>
      <c r="Z555" s="100">
        <f t="shared" si="601"/>
        <v>0</v>
      </c>
      <c r="AB555" s="100">
        <f t="shared" si="602"/>
        <v>0</v>
      </c>
      <c r="AC555" s="100">
        <f t="shared" si="603"/>
        <v>0</v>
      </c>
      <c r="AD555" s="100">
        <f t="shared" si="604"/>
        <v>0</v>
      </c>
      <c r="AE555" s="100">
        <f t="shared" si="605"/>
        <v>0</v>
      </c>
      <c r="AF555" s="100">
        <f t="shared" si="606"/>
        <v>0</v>
      </c>
      <c r="AG555" s="100">
        <f t="shared" si="607"/>
        <v>0</v>
      </c>
      <c r="AH555" s="100">
        <f t="shared" si="608"/>
        <v>0</v>
      </c>
      <c r="AI555" s="109"/>
      <c r="AJ555" s="108">
        <f t="shared" si="609"/>
        <v>0</v>
      </c>
      <c r="AK555" s="108">
        <f t="shared" si="610"/>
        <v>0</v>
      </c>
      <c r="AL555" s="108">
        <f t="shared" si="611"/>
        <v>0</v>
      </c>
      <c r="AN555" s="100">
        <v>15</v>
      </c>
      <c r="AO555" s="100">
        <f t="shared" si="612"/>
        <v>0</v>
      </c>
      <c r="AP555" s="100">
        <f t="shared" si="613"/>
        <v>0</v>
      </c>
      <c r="AQ555" s="111" t="s">
        <v>7</v>
      </c>
      <c r="AV555" s="100">
        <f t="shared" si="614"/>
        <v>0</v>
      </c>
      <c r="AW555" s="100">
        <f t="shared" si="615"/>
        <v>0</v>
      </c>
      <c r="AX555" s="100">
        <f t="shared" si="616"/>
        <v>0</v>
      </c>
      <c r="AY555" s="110" t="s">
        <v>1722</v>
      </c>
      <c r="AZ555" s="110" t="s">
        <v>1730</v>
      </c>
      <c r="BA555" s="109" t="s">
        <v>1737</v>
      </c>
      <c r="BC555" s="100">
        <f t="shared" si="617"/>
        <v>0</v>
      </c>
      <c r="BD555" s="100">
        <f t="shared" si="618"/>
        <v>0</v>
      </c>
      <c r="BE555" s="100">
        <v>0</v>
      </c>
      <c r="BF555" s="100">
        <f>555</f>
        <v>555</v>
      </c>
      <c r="BH555" s="108">
        <f t="shared" si="619"/>
        <v>0</v>
      </c>
      <c r="BI555" s="108">
        <f t="shared" si="620"/>
        <v>0</v>
      </c>
      <c r="BJ555" s="108">
        <f t="shared" si="621"/>
        <v>0</v>
      </c>
    </row>
    <row r="556" spans="1:62" x14ac:dyDescent="0.2">
      <c r="A556" s="117" t="s">
        <v>504</v>
      </c>
      <c r="B556" s="117" t="s">
        <v>977</v>
      </c>
      <c r="C556" s="304" t="s">
        <v>1566</v>
      </c>
      <c r="D556" s="305"/>
      <c r="E556" s="305"/>
      <c r="F556" s="117" t="s">
        <v>1644</v>
      </c>
      <c r="G556" s="116">
        <v>1</v>
      </c>
      <c r="H556" s="159"/>
      <c r="I556" s="108">
        <f t="shared" si="598"/>
        <v>0</v>
      </c>
      <c r="J556" s="108">
        <f t="shared" si="599"/>
        <v>0</v>
      </c>
      <c r="K556" s="108">
        <f t="shared" si="600"/>
        <v>0</v>
      </c>
      <c r="L556" s="111"/>
      <c r="Z556" s="100">
        <f t="shared" si="601"/>
        <v>0</v>
      </c>
      <c r="AB556" s="100">
        <f t="shared" si="602"/>
        <v>0</v>
      </c>
      <c r="AC556" s="100">
        <f t="shared" si="603"/>
        <v>0</v>
      </c>
      <c r="AD556" s="100">
        <f t="shared" si="604"/>
        <v>0</v>
      </c>
      <c r="AE556" s="100">
        <f t="shared" si="605"/>
        <v>0</v>
      </c>
      <c r="AF556" s="100">
        <f t="shared" si="606"/>
        <v>0</v>
      </c>
      <c r="AG556" s="100">
        <f t="shared" si="607"/>
        <v>0</v>
      </c>
      <c r="AH556" s="100">
        <f t="shared" si="608"/>
        <v>0</v>
      </c>
      <c r="AI556" s="109"/>
      <c r="AJ556" s="108">
        <f t="shared" si="609"/>
        <v>0</v>
      </c>
      <c r="AK556" s="108">
        <f t="shared" si="610"/>
        <v>0</v>
      </c>
      <c r="AL556" s="108">
        <f t="shared" si="611"/>
        <v>0</v>
      </c>
      <c r="AN556" s="100">
        <v>15</v>
      </c>
      <c r="AO556" s="100">
        <f t="shared" si="612"/>
        <v>0</v>
      </c>
      <c r="AP556" s="100">
        <f t="shared" si="613"/>
        <v>0</v>
      </c>
      <c r="AQ556" s="111" t="s">
        <v>7</v>
      </c>
      <c r="AV556" s="100">
        <f t="shared" si="614"/>
        <v>0</v>
      </c>
      <c r="AW556" s="100">
        <f t="shared" si="615"/>
        <v>0</v>
      </c>
      <c r="AX556" s="100">
        <f t="shared" si="616"/>
        <v>0</v>
      </c>
      <c r="AY556" s="110" t="s">
        <v>1722</v>
      </c>
      <c r="AZ556" s="110" t="s">
        <v>1730</v>
      </c>
      <c r="BA556" s="109" t="s">
        <v>1737</v>
      </c>
      <c r="BC556" s="100">
        <f t="shared" si="617"/>
        <v>0</v>
      </c>
      <c r="BD556" s="100">
        <f t="shared" si="618"/>
        <v>0</v>
      </c>
      <c r="BE556" s="100">
        <v>0</v>
      </c>
      <c r="BF556" s="100">
        <f>556</f>
        <v>556</v>
      </c>
      <c r="BH556" s="108">
        <f t="shared" si="619"/>
        <v>0</v>
      </c>
      <c r="BI556" s="108">
        <f t="shared" si="620"/>
        <v>0</v>
      </c>
      <c r="BJ556" s="108">
        <f t="shared" si="621"/>
        <v>0</v>
      </c>
    </row>
    <row r="557" spans="1:62" x14ac:dyDescent="0.2">
      <c r="A557" s="117" t="s">
        <v>505</v>
      </c>
      <c r="B557" s="117" t="s">
        <v>978</v>
      </c>
      <c r="C557" s="304" t="s">
        <v>1567</v>
      </c>
      <c r="D557" s="305"/>
      <c r="E557" s="305"/>
      <c r="F557" s="117" t="s">
        <v>1644</v>
      </c>
      <c r="G557" s="116">
        <v>1</v>
      </c>
      <c r="H557" s="159"/>
      <c r="I557" s="108">
        <f t="shared" si="598"/>
        <v>0</v>
      </c>
      <c r="J557" s="108">
        <f t="shared" si="599"/>
        <v>0</v>
      </c>
      <c r="K557" s="108">
        <f t="shared" si="600"/>
        <v>0</v>
      </c>
      <c r="L557" s="111"/>
      <c r="Z557" s="100">
        <f t="shared" si="601"/>
        <v>0</v>
      </c>
      <c r="AB557" s="100">
        <f t="shared" si="602"/>
        <v>0</v>
      </c>
      <c r="AC557" s="100">
        <f t="shared" si="603"/>
        <v>0</v>
      </c>
      <c r="AD557" s="100">
        <f t="shared" si="604"/>
        <v>0</v>
      </c>
      <c r="AE557" s="100">
        <f t="shared" si="605"/>
        <v>0</v>
      </c>
      <c r="AF557" s="100">
        <f t="shared" si="606"/>
        <v>0</v>
      </c>
      <c r="AG557" s="100">
        <f t="shared" si="607"/>
        <v>0</v>
      </c>
      <c r="AH557" s="100">
        <f t="shared" si="608"/>
        <v>0</v>
      </c>
      <c r="AI557" s="109"/>
      <c r="AJ557" s="108">
        <f t="shared" si="609"/>
        <v>0</v>
      </c>
      <c r="AK557" s="108">
        <f t="shared" si="610"/>
        <v>0</v>
      </c>
      <c r="AL557" s="108">
        <f t="shared" si="611"/>
        <v>0</v>
      </c>
      <c r="AN557" s="100">
        <v>15</v>
      </c>
      <c r="AO557" s="100">
        <f t="shared" si="612"/>
        <v>0</v>
      </c>
      <c r="AP557" s="100">
        <f t="shared" si="613"/>
        <v>0</v>
      </c>
      <c r="AQ557" s="111" t="s">
        <v>7</v>
      </c>
      <c r="AV557" s="100">
        <f t="shared" si="614"/>
        <v>0</v>
      </c>
      <c r="AW557" s="100">
        <f t="shared" si="615"/>
        <v>0</v>
      </c>
      <c r="AX557" s="100">
        <f t="shared" si="616"/>
        <v>0</v>
      </c>
      <c r="AY557" s="110" t="s">
        <v>1722</v>
      </c>
      <c r="AZ557" s="110" t="s">
        <v>1730</v>
      </c>
      <c r="BA557" s="109" t="s">
        <v>1737</v>
      </c>
      <c r="BC557" s="100">
        <f t="shared" si="617"/>
        <v>0</v>
      </c>
      <c r="BD557" s="100">
        <f t="shared" si="618"/>
        <v>0</v>
      </c>
      <c r="BE557" s="100">
        <v>0</v>
      </c>
      <c r="BF557" s="100">
        <f>557</f>
        <v>557</v>
      </c>
      <c r="BH557" s="108">
        <f t="shared" si="619"/>
        <v>0</v>
      </c>
      <c r="BI557" s="108">
        <f t="shared" si="620"/>
        <v>0</v>
      </c>
      <c r="BJ557" s="108">
        <f t="shared" si="621"/>
        <v>0</v>
      </c>
    </row>
    <row r="558" spans="1:62" x14ac:dyDescent="0.2">
      <c r="A558" s="117" t="s">
        <v>506</v>
      </c>
      <c r="B558" s="117" t="s">
        <v>979</v>
      </c>
      <c r="C558" s="304" t="s">
        <v>1568</v>
      </c>
      <c r="D558" s="305"/>
      <c r="E558" s="305"/>
      <c r="F558" s="117" t="s">
        <v>1644</v>
      </c>
      <c r="G558" s="116">
        <v>1</v>
      </c>
      <c r="H558" s="159"/>
      <c r="I558" s="108">
        <f t="shared" si="598"/>
        <v>0</v>
      </c>
      <c r="J558" s="108">
        <f t="shared" si="599"/>
        <v>0</v>
      </c>
      <c r="K558" s="108">
        <f t="shared" si="600"/>
        <v>0</v>
      </c>
      <c r="L558" s="111"/>
      <c r="Z558" s="100">
        <f t="shared" si="601"/>
        <v>0</v>
      </c>
      <c r="AB558" s="100">
        <f t="shared" si="602"/>
        <v>0</v>
      </c>
      <c r="AC558" s="100">
        <f t="shared" si="603"/>
        <v>0</v>
      </c>
      <c r="AD558" s="100">
        <f t="shared" si="604"/>
        <v>0</v>
      </c>
      <c r="AE558" s="100">
        <f t="shared" si="605"/>
        <v>0</v>
      </c>
      <c r="AF558" s="100">
        <f t="shared" si="606"/>
        <v>0</v>
      </c>
      <c r="AG558" s="100">
        <f t="shared" si="607"/>
        <v>0</v>
      </c>
      <c r="AH558" s="100">
        <f t="shared" si="608"/>
        <v>0</v>
      </c>
      <c r="AI558" s="109"/>
      <c r="AJ558" s="108">
        <f t="shared" si="609"/>
        <v>0</v>
      </c>
      <c r="AK558" s="108">
        <f t="shared" si="610"/>
        <v>0</v>
      </c>
      <c r="AL558" s="108">
        <f t="shared" si="611"/>
        <v>0</v>
      </c>
      <c r="AN558" s="100">
        <v>15</v>
      </c>
      <c r="AO558" s="100">
        <f t="shared" si="612"/>
        <v>0</v>
      </c>
      <c r="AP558" s="100">
        <f t="shared" si="613"/>
        <v>0</v>
      </c>
      <c r="AQ558" s="111" t="s">
        <v>7</v>
      </c>
      <c r="AV558" s="100">
        <f t="shared" si="614"/>
        <v>0</v>
      </c>
      <c r="AW558" s="100">
        <f t="shared" si="615"/>
        <v>0</v>
      </c>
      <c r="AX558" s="100">
        <f t="shared" si="616"/>
        <v>0</v>
      </c>
      <c r="AY558" s="110" t="s">
        <v>1722</v>
      </c>
      <c r="AZ558" s="110" t="s">
        <v>1730</v>
      </c>
      <c r="BA558" s="109" t="s">
        <v>1737</v>
      </c>
      <c r="BC558" s="100">
        <f t="shared" si="617"/>
        <v>0</v>
      </c>
      <c r="BD558" s="100">
        <f t="shared" si="618"/>
        <v>0</v>
      </c>
      <c r="BE558" s="100">
        <v>0</v>
      </c>
      <c r="BF558" s="100">
        <f>558</f>
        <v>558</v>
      </c>
      <c r="BH558" s="108">
        <f t="shared" si="619"/>
        <v>0</v>
      </c>
      <c r="BI558" s="108">
        <f t="shared" si="620"/>
        <v>0</v>
      </c>
      <c r="BJ558" s="108">
        <f t="shared" si="621"/>
        <v>0</v>
      </c>
    </row>
    <row r="559" spans="1:62" x14ac:dyDescent="0.2">
      <c r="A559" s="117" t="s">
        <v>507</v>
      </c>
      <c r="B559" s="117" t="s">
        <v>2620</v>
      </c>
      <c r="C559" s="304" t="s">
        <v>1569</v>
      </c>
      <c r="D559" s="305"/>
      <c r="E559" s="305"/>
      <c r="F559" s="117" t="s">
        <v>1644</v>
      </c>
      <c r="G559" s="116">
        <v>1</v>
      </c>
      <c r="H559" s="159"/>
      <c r="I559" s="108">
        <f t="shared" si="598"/>
        <v>0</v>
      </c>
      <c r="J559" s="108">
        <f t="shared" si="599"/>
        <v>0</v>
      </c>
      <c r="K559" s="108">
        <f t="shared" si="600"/>
        <v>0</v>
      </c>
      <c r="L559" s="111"/>
      <c r="Z559" s="100">
        <f t="shared" si="601"/>
        <v>0</v>
      </c>
      <c r="AB559" s="100">
        <f t="shared" si="602"/>
        <v>0</v>
      </c>
      <c r="AC559" s="100">
        <f t="shared" si="603"/>
        <v>0</v>
      </c>
      <c r="AD559" s="100">
        <f t="shared" si="604"/>
        <v>0</v>
      </c>
      <c r="AE559" s="100">
        <f t="shared" si="605"/>
        <v>0</v>
      </c>
      <c r="AF559" s="100">
        <f t="shared" si="606"/>
        <v>0</v>
      </c>
      <c r="AG559" s="100">
        <f t="shared" si="607"/>
        <v>0</v>
      </c>
      <c r="AH559" s="100">
        <f t="shared" si="608"/>
        <v>0</v>
      </c>
      <c r="AI559" s="109"/>
      <c r="AJ559" s="108">
        <f t="shared" si="609"/>
        <v>0</v>
      </c>
      <c r="AK559" s="108">
        <f t="shared" si="610"/>
        <v>0</v>
      </c>
      <c r="AL559" s="108">
        <f t="shared" si="611"/>
        <v>0</v>
      </c>
      <c r="AN559" s="100">
        <v>15</v>
      </c>
      <c r="AO559" s="100">
        <f t="shared" si="612"/>
        <v>0</v>
      </c>
      <c r="AP559" s="100">
        <f t="shared" si="613"/>
        <v>0</v>
      </c>
      <c r="AQ559" s="111" t="s">
        <v>7</v>
      </c>
      <c r="AV559" s="100">
        <f t="shared" si="614"/>
        <v>0</v>
      </c>
      <c r="AW559" s="100">
        <f t="shared" si="615"/>
        <v>0</v>
      </c>
      <c r="AX559" s="100">
        <f t="shared" si="616"/>
        <v>0</v>
      </c>
      <c r="AY559" s="110" t="s">
        <v>1722</v>
      </c>
      <c r="AZ559" s="110" t="s">
        <v>1730</v>
      </c>
      <c r="BA559" s="109" t="s">
        <v>1737</v>
      </c>
      <c r="BC559" s="100">
        <f t="shared" si="617"/>
        <v>0</v>
      </c>
      <c r="BD559" s="100">
        <f t="shared" si="618"/>
        <v>0</v>
      </c>
      <c r="BE559" s="100">
        <v>0</v>
      </c>
      <c r="BF559" s="100">
        <f>559</f>
        <v>559</v>
      </c>
      <c r="BH559" s="108">
        <f t="shared" si="619"/>
        <v>0</v>
      </c>
      <c r="BI559" s="108">
        <f t="shared" si="620"/>
        <v>0</v>
      </c>
      <c r="BJ559" s="108">
        <f t="shared" si="621"/>
        <v>0</v>
      </c>
    </row>
    <row r="560" spans="1:62" x14ac:dyDescent="0.2">
      <c r="A560" s="117" t="s">
        <v>508</v>
      </c>
      <c r="B560" s="117" t="s">
        <v>2619</v>
      </c>
      <c r="C560" s="304" t="s">
        <v>1570</v>
      </c>
      <c r="D560" s="305"/>
      <c r="E560" s="305"/>
      <c r="F560" s="117" t="s">
        <v>1644</v>
      </c>
      <c r="G560" s="116">
        <v>1</v>
      </c>
      <c r="H560" s="159"/>
      <c r="I560" s="108">
        <f t="shared" si="598"/>
        <v>0</v>
      </c>
      <c r="J560" s="108">
        <f t="shared" si="599"/>
        <v>0</v>
      </c>
      <c r="K560" s="108">
        <f t="shared" si="600"/>
        <v>0</v>
      </c>
      <c r="L560" s="111"/>
      <c r="Z560" s="100">
        <f t="shared" si="601"/>
        <v>0</v>
      </c>
      <c r="AB560" s="100">
        <f t="shared" si="602"/>
        <v>0</v>
      </c>
      <c r="AC560" s="100">
        <f t="shared" si="603"/>
        <v>0</v>
      </c>
      <c r="AD560" s="100">
        <f t="shared" si="604"/>
        <v>0</v>
      </c>
      <c r="AE560" s="100">
        <f t="shared" si="605"/>
        <v>0</v>
      </c>
      <c r="AF560" s="100">
        <f t="shared" si="606"/>
        <v>0</v>
      </c>
      <c r="AG560" s="100">
        <f t="shared" si="607"/>
        <v>0</v>
      </c>
      <c r="AH560" s="100">
        <f t="shared" si="608"/>
        <v>0</v>
      </c>
      <c r="AI560" s="109"/>
      <c r="AJ560" s="108">
        <f t="shared" si="609"/>
        <v>0</v>
      </c>
      <c r="AK560" s="108">
        <f t="shared" si="610"/>
        <v>0</v>
      </c>
      <c r="AL560" s="108">
        <f t="shared" si="611"/>
        <v>0</v>
      </c>
      <c r="AN560" s="100">
        <v>15</v>
      </c>
      <c r="AO560" s="100">
        <f t="shared" si="612"/>
        <v>0</v>
      </c>
      <c r="AP560" s="100">
        <f t="shared" si="613"/>
        <v>0</v>
      </c>
      <c r="AQ560" s="111" t="s">
        <v>7</v>
      </c>
      <c r="AV560" s="100">
        <f t="shared" si="614"/>
        <v>0</v>
      </c>
      <c r="AW560" s="100">
        <f t="shared" si="615"/>
        <v>0</v>
      </c>
      <c r="AX560" s="100">
        <f t="shared" si="616"/>
        <v>0</v>
      </c>
      <c r="AY560" s="110" t="s">
        <v>1722</v>
      </c>
      <c r="AZ560" s="110" t="s">
        <v>1730</v>
      </c>
      <c r="BA560" s="109" t="s">
        <v>1737</v>
      </c>
      <c r="BC560" s="100">
        <f t="shared" si="617"/>
        <v>0</v>
      </c>
      <c r="BD560" s="100">
        <f t="shared" si="618"/>
        <v>0</v>
      </c>
      <c r="BE560" s="100">
        <v>0</v>
      </c>
      <c r="BF560" s="100">
        <f>560</f>
        <v>560</v>
      </c>
      <c r="BH560" s="108">
        <f t="shared" si="619"/>
        <v>0</v>
      </c>
      <c r="BI560" s="108">
        <f t="shared" si="620"/>
        <v>0</v>
      </c>
      <c r="BJ560" s="108">
        <f t="shared" si="621"/>
        <v>0</v>
      </c>
    </row>
    <row r="561" spans="1:62" x14ac:dyDescent="0.2">
      <c r="A561" s="117" t="s">
        <v>509</v>
      </c>
      <c r="B561" s="117" t="s">
        <v>2618</v>
      </c>
      <c r="C561" s="304" t="s">
        <v>1571</v>
      </c>
      <c r="D561" s="305"/>
      <c r="E561" s="305"/>
      <c r="F561" s="117" t="s">
        <v>1644</v>
      </c>
      <c r="G561" s="116">
        <v>1</v>
      </c>
      <c r="H561" s="159"/>
      <c r="I561" s="108">
        <f t="shared" si="598"/>
        <v>0</v>
      </c>
      <c r="J561" s="108">
        <f t="shared" si="599"/>
        <v>0</v>
      </c>
      <c r="K561" s="108">
        <f t="shared" si="600"/>
        <v>0</v>
      </c>
      <c r="L561" s="111"/>
      <c r="Z561" s="100">
        <f t="shared" si="601"/>
        <v>0</v>
      </c>
      <c r="AB561" s="100">
        <f t="shared" si="602"/>
        <v>0</v>
      </c>
      <c r="AC561" s="100">
        <f t="shared" si="603"/>
        <v>0</v>
      </c>
      <c r="AD561" s="100">
        <f t="shared" si="604"/>
        <v>0</v>
      </c>
      <c r="AE561" s="100">
        <f t="shared" si="605"/>
        <v>0</v>
      </c>
      <c r="AF561" s="100">
        <f t="shared" si="606"/>
        <v>0</v>
      </c>
      <c r="AG561" s="100">
        <f t="shared" si="607"/>
        <v>0</v>
      </c>
      <c r="AH561" s="100">
        <f t="shared" si="608"/>
        <v>0</v>
      </c>
      <c r="AI561" s="109"/>
      <c r="AJ561" s="108">
        <f t="shared" si="609"/>
        <v>0</v>
      </c>
      <c r="AK561" s="108">
        <f t="shared" si="610"/>
        <v>0</v>
      </c>
      <c r="AL561" s="108">
        <f t="shared" si="611"/>
        <v>0</v>
      </c>
      <c r="AN561" s="100">
        <v>15</v>
      </c>
      <c r="AO561" s="100">
        <f t="shared" si="612"/>
        <v>0</v>
      </c>
      <c r="AP561" s="100">
        <f t="shared" si="613"/>
        <v>0</v>
      </c>
      <c r="AQ561" s="111" t="s">
        <v>7</v>
      </c>
      <c r="AV561" s="100">
        <f t="shared" si="614"/>
        <v>0</v>
      </c>
      <c r="AW561" s="100">
        <f t="shared" si="615"/>
        <v>0</v>
      </c>
      <c r="AX561" s="100">
        <f t="shared" si="616"/>
        <v>0</v>
      </c>
      <c r="AY561" s="110" t="s">
        <v>1722</v>
      </c>
      <c r="AZ561" s="110" t="s">
        <v>1730</v>
      </c>
      <c r="BA561" s="109" t="s">
        <v>1737</v>
      </c>
      <c r="BC561" s="100">
        <f t="shared" si="617"/>
        <v>0</v>
      </c>
      <c r="BD561" s="100">
        <f t="shared" si="618"/>
        <v>0</v>
      </c>
      <c r="BE561" s="100">
        <v>0</v>
      </c>
      <c r="BF561" s="100">
        <f>561</f>
        <v>561</v>
      </c>
      <c r="BH561" s="108">
        <f t="shared" si="619"/>
        <v>0</v>
      </c>
      <c r="BI561" s="108">
        <f t="shared" si="620"/>
        <v>0</v>
      </c>
      <c r="BJ561" s="108">
        <f t="shared" si="621"/>
        <v>0</v>
      </c>
    </row>
    <row r="562" spans="1:62" x14ac:dyDescent="0.2">
      <c r="A562" s="117" t="s">
        <v>510</v>
      </c>
      <c r="B562" s="117" t="s">
        <v>2617</v>
      </c>
      <c r="C562" s="304" t="s">
        <v>1572</v>
      </c>
      <c r="D562" s="305"/>
      <c r="E562" s="305"/>
      <c r="F562" s="117" t="s">
        <v>1644</v>
      </c>
      <c r="G562" s="116">
        <v>1</v>
      </c>
      <c r="H562" s="159"/>
      <c r="I562" s="108">
        <f t="shared" si="598"/>
        <v>0</v>
      </c>
      <c r="J562" s="108">
        <f t="shared" si="599"/>
        <v>0</v>
      </c>
      <c r="K562" s="108">
        <f t="shared" si="600"/>
        <v>0</v>
      </c>
      <c r="L562" s="111"/>
      <c r="Z562" s="100">
        <f t="shared" si="601"/>
        <v>0</v>
      </c>
      <c r="AB562" s="100">
        <f t="shared" si="602"/>
        <v>0</v>
      </c>
      <c r="AC562" s="100">
        <f t="shared" si="603"/>
        <v>0</v>
      </c>
      <c r="AD562" s="100">
        <f t="shared" si="604"/>
        <v>0</v>
      </c>
      <c r="AE562" s="100">
        <f t="shared" si="605"/>
        <v>0</v>
      </c>
      <c r="AF562" s="100">
        <f t="shared" si="606"/>
        <v>0</v>
      </c>
      <c r="AG562" s="100">
        <f t="shared" si="607"/>
        <v>0</v>
      </c>
      <c r="AH562" s="100">
        <f t="shared" si="608"/>
        <v>0</v>
      </c>
      <c r="AI562" s="109"/>
      <c r="AJ562" s="108">
        <f t="shared" si="609"/>
        <v>0</v>
      </c>
      <c r="AK562" s="108">
        <f t="shared" si="610"/>
        <v>0</v>
      </c>
      <c r="AL562" s="108">
        <f t="shared" si="611"/>
        <v>0</v>
      </c>
      <c r="AN562" s="100">
        <v>15</v>
      </c>
      <c r="AO562" s="100">
        <f t="shared" si="612"/>
        <v>0</v>
      </c>
      <c r="AP562" s="100">
        <f t="shared" si="613"/>
        <v>0</v>
      </c>
      <c r="AQ562" s="111" t="s">
        <v>7</v>
      </c>
      <c r="AV562" s="100">
        <f t="shared" si="614"/>
        <v>0</v>
      </c>
      <c r="AW562" s="100">
        <f t="shared" si="615"/>
        <v>0</v>
      </c>
      <c r="AX562" s="100">
        <f t="shared" si="616"/>
        <v>0</v>
      </c>
      <c r="AY562" s="110" t="s">
        <v>1722</v>
      </c>
      <c r="AZ562" s="110" t="s">
        <v>1730</v>
      </c>
      <c r="BA562" s="109" t="s">
        <v>1737</v>
      </c>
      <c r="BC562" s="100">
        <f t="shared" si="617"/>
        <v>0</v>
      </c>
      <c r="BD562" s="100">
        <f t="shared" si="618"/>
        <v>0</v>
      </c>
      <c r="BE562" s="100">
        <v>0</v>
      </c>
      <c r="BF562" s="100">
        <f>562</f>
        <v>562</v>
      </c>
      <c r="BH562" s="108">
        <f t="shared" si="619"/>
        <v>0</v>
      </c>
      <c r="BI562" s="108">
        <f t="shared" si="620"/>
        <v>0</v>
      </c>
      <c r="BJ562" s="108">
        <f t="shared" si="621"/>
        <v>0</v>
      </c>
    </row>
    <row r="563" spans="1:62" x14ac:dyDescent="0.2">
      <c r="A563" s="117" t="s">
        <v>511</v>
      </c>
      <c r="B563" s="117" t="s">
        <v>2616</v>
      </c>
      <c r="C563" s="304" t="s">
        <v>1573</v>
      </c>
      <c r="D563" s="305"/>
      <c r="E563" s="305"/>
      <c r="F563" s="117" t="s">
        <v>1644</v>
      </c>
      <c r="G563" s="116">
        <v>1</v>
      </c>
      <c r="H563" s="159"/>
      <c r="I563" s="108">
        <f t="shared" si="598"/>
        <v>0</v>
      </c>
      <c r="J563" s="108">
        <f t="shared" si="599"/>
        <v>0</v>
      </c>
      <c r="K563" s="108">
        <f t="shared" si="600"/>
        <v>0</v>
      </c>
      <c r="L563" s="111"/>
      <c r="Z563" s="100">
        <f t="shared" si="601"/>
        <v>0</v>
      </c>
      <c r="AB563" s="100">
        <f t="shared" si="602"/>
        <v>0</v>
      </c>
      <c r="AC563" s="100">
        <f t="shared" si="603"/>
        <v>0</v>
      </c>
      <c r="AD563" s="100">
        <f t="shared" si="604"/>
        <v>0</v>
      </c>
      <c r="AE563" s="100">
        <f t="shared" si="605"/>
        <v>0</v>
      </c>
      <c r="AF563" s="100">
        <f t="shared" si="606"/>
        <v>0</v>
      </c>
      <c r="AG563" s="100">
        <f t="shared" si="607"/>
        <v>0</v>
      </c>
      <c r="AH563" s="100">
        <f t="shared" si="608"/>
        <v>0</v>
      </c>
      <c r="AI563" s="109"/>
      <c r="AJ563" s="108">
        <f t="shared" si="609"/>
        <v>0</v>
      </c>
      <c r="AK563" s="108">
        <f t="shared" si="610"/>
        <v>0</v>
      </c>
      <c r="AL563" s="108">
        <f t="shared" si="611"/>
        <v>0</v>
      </c>
      <c r="AN563" s="100">
        <v>15</v>
      </c>
      <c r="AO563" s="100">
        <f t="shared" si="612"/>
        <v>0</v>
      </c>
      <c r="AP563" s="100">
        <f t="shared" si="613"/>
        <v>0</v>
      </c>
      <c r="AQ563" s="111" t="s">
        <v>7</v>
      </c>
      <c r="AV563" s="100">
        <f t="shared" si="614"/>
        <v>0</v>
      </c>
      <c r="AW563" s="100">
        <f t="shared" si="615"/>
        <v>0</v>
      </c>
      <c r="AX563" s="100">
        <f t="shared" si="616"/>
        <v>0</v>
      </c>
      <c r="AY563" s="110" t="s">
        <v>1722</v>
      </c>
      <c r="AZ563" s="110" t="s">
        <v>1730</v>
      </c>
      <c r="BA563" s="109" t="s">
        <v>1737</v>
      </c>
      <c r="BC563" s="100">
        <f t="shared" si="617"/>
        <v>0</v>
      </c>
      <c r="BD563" s="100">
        <f t="shared" si="618"/>
        <v>0</v>
      </c>
      <c r="BE563" s="100">
        <v>0</v>
      </c>
      <c r="BF563" s="100">
        <f>563</f>
        <v>563</v>
      </c>
      <c r="BH563" s="108">
        <f t="shared" si="619"/>
        <v>0</v>
      </c>
      <c r="BI563" s="108">
        <f t="shared" si="620"/>
        <v>0</v>
      </c>
      <c r="BJ563" s="108">
        <f t="shared" si="621"/>
        <v>0</v>
      </c>
    </row>
    <row r="564" spans="1:62" x14ac:dyDescent="0.2">
      <c r="A564" s="117" t="s">
        <v>512</v>
      </c>
      <c r="B564" s="117" t="s">
        <v>2615</v>
      </c>
      <c r="C564" s="304" t="s">
        <v>1574</v>
      </c>
      <c r="D564" s="305"/>
      <c r="E564" s="305"/>
      <c r="F564" s="117" t="s">
        <v>1644</v>
      </c>
      <c r="G564" s="116">
        <v>1</v>
      </c>
      <c r="H564" s="159"/>
      <c r="I564" s="108">
        <f t="shared" si="598"/>
        <v>0</v>
      </c>
      <c r="J564" s="108">
        <f t="shared" si="599"/>
        <v>0</v>
      </c>
      <c r="K564" s="108">
        <f t="shared" si="600"/>
        <v>0</v>
      </c>
      <c r="L564" s="111"/>
      <c r="Z564" s="100">
        <f t="shared" si="601"/>
        <v>0</v>
      </c>
      <c r="AB564" s="100">
        <f t="shared" si="602"/>
        <v>0</v>
      </c>
      <c r="AC564" s="100">
        <f t="shared" si="603"/>
        <v>0</v>
      </c>
      <c r="AD564" s="100">
        <f t="shared" si="604"/>
        <v>0</v>
      </c>
      <c r="AE564" s="100">
        <f t="shared" si="605"/>
        <v>0</v>
      </c>
      <c r="AF564" s="100">
        <f t="shared" si="606"/>
        <v>0</v>
      </c>
      <c r="AG564" s="100">
        <f t="shared" si="607"/>
        <v>0</v>
      </c>
      <c r="AH564" s="100">
        <f t="shared" si="608"/>
        <v>0</v>
      </c>
      <c r="AI564" s="109"/>
      <c r="AJ564" s="108">
        <f t="shared" si="609"/>
        <v>0</v>
      </c>
      <c r="AK564" s="108">
        <f t="shared" si="610"/>
        <v>0</v>
      </c>
      <c r="AL564" s="108">
        <f t="shared" si="611"/>
        <v>0</v>
      </c>
      <c r="AN564" s="100">
        <v>15</v>
      </c>
      <c r="AO564" s="100">
        <f t="shared" si="612"/>
        <v>0</v>
      </c>
      <c r="AP564" s="100">
        <f t="shared" si="613"/>
        <v>0</v>
      </c>
      <c r="AQ564" s="111" t="s">
        <v>7</v>
      </c>
      <c r="AV564" s="100">
        <f t="shared" si="614"/>
        <v>0</v>
      </c>
      <c r="AW564" s="100">
        <f t="shared" si="615"/>
        <v>0</v>
      </c>
      <c r="AX564" s="100">
        <f t="shared" si="616"/>
        <v>0</v>
      </c>
      <c r="AY564" s="110" t="s">
        <v>1722</v>
      </c>
      <c r="AZ564" s="110" t="s">
        <v>1730</v>
      </c>
      <c r="BA564" s="109" t="s">
        <v>1737</v>
      </c>
      <c r="BC564" s="100">
        <f t="shared" si="617"/>
        <v>0</v>
      </c>
      <c r="BD564" s="100">
        <f t="shared" si="618"/>
        <v>0</v>
      </c>
      <c r="BE564" s="100">
        <v>0</v>
      </c>
      <c r="BF564" s="100">
        <f>564</f>
        <v>564</v>
      </c>
      <c r="BH564" s="108">
        <f t="shared" si="619"/>
        <v>0</v>
      </c>
      <c r="BI564" s="108">
        <f t="shared" si="620"/>
        <v>0</v>
      </c>
      <c r="BJ564" s="108">
        <f t="shared" si="621"/>
        <v>0</v>
      </c>
    </row>
    <row r="565" spans="1:62" x14ac:dyDescent="0.2">
      <c r="A565" s="117" t="s">
        <v>513</v>
      </c>
      <c r="B565" s="117" t="s">
        <v>2614</v>
      </c>
      <c r="C565" s="304" t="s">
        <v>1575</v>
      </c>
      <c r="D565" s="305"/>
      <c r="E565" s="305"/>
      <c r="F565" s="117" t="s">
        <v>1644</v>
      </c>
      <c r="G565" s="116">
        <v>1</v>
      </c>
      <c r="H565" s="159"/>
      <c r="I565" s="108">
        <f t="shared" si="598"/>
        <v>0</v>
      </c>
      <c r="J565" s="108">
        <f t="shared" si="599"/>
        <v>0</v>
      </c>
      <c r="K565" s="108">
        <f t="shared" si="600"/>
        <v>0</v>
      </c>
      <c r="L565" s="111"/>
      <c r="Z565" s="100">
        <f t="shared" si="601"/>
        <v>0</v>
      </c>
      <c r="AB565" s="100">
        <f t="shared" si="602"/>
        <v>0</v>
      </c>
      <c r="AC565" s="100">
        <f t="shared" si="603"/>
        <v>0</v>
      </c>
      <c r="AD565" s="100">
        <f t="shared" si="604"/>
        <v>0</v>
      </c>
      <c r="AE565" s="100">
        <f t="shared" si="605"/>
        <v>0</v>
      </c>
      <c r="AF565" s="100">
        <f t="shared" si="606"/>
        <v>0</v>
      </c>
      <c r="AG565" s="100">
        <f t="shared" si="607"/>
        <v>0</v>
      </c>
      <c r="AH565" s="100">
        <f t="shared" si="608"/>
        <v>0</v>
      </c>
      <c r="AI565" s="109"/>
      <c r="AJ565" s="108">
        <f t="shared" si="609"/>
        <v>0</v>
      </c>
      <c r="AK565" s="108">
        <f t="shared" si="610"/>
        <v>0</v>
      </c>
      <c r="AL565" s="108">
        <f t="shared" si="611"/>
        <v>0</v>
      </c>
      <c r="AN565" s="100">
        <v>15</v>
      </c>
      <c r="AO565" s="100">
        <f t="shared" si="612"/>
        <v>0</v>
      </c>
      <c r="AP565" s="100">
        <f t="shared" si="613"/>
        <v>0</v>
      </c>
      <c r="AQ565" s="111" t="s">
        <v>7</v>
      </c>
      <c r="AV565" s="100">
        <f t="shared" si="614"/>
        <v>0</v>
      </c>
      <c r="AW565" s="100">
        <f t="shared" si="615"/>
        <v>0</v>
      </c>
      <c r="AX565" s="100">
        <f t="shared" si="616"/>
        <v>0</v>
      </c>
      <c r="AY565" s="110" t="s">
        <v>1722</v>
      </c>
      <c r="AZ565" s="110" t="s">
        <v>1730</v>
      </c>
      <c r="BA565" s="109" t="s">
        <v>1737</v>
      </c>
      <c r="BC565" s="100">
        <f t="shared" si="617"/>
        <v>0</v>
      </c>
      <c r="BD565" s="100">
        <f t="shared" si="618"/>
        <v>0</v>
      </c>
      <c r="BE565" s="100">
        <v>0</v>
      </c>
      <c r="BF565" s="100">
        <f>565</f>
        <v>565</v>
      </c>
      <c r="BH565" s="108">
        <f t="shared" si="619"/>
        <v>0</v>
      </c>
      <c r="BI565" s="108">
        <f t="shared" si="620"/>
        <v>0</v>
      </c>
      <c r="BJ565" s="108">
        <f t="shared" si="621"/>
        <v>0</v>
      </c>
    </row>
    <row r="566" spans="1:62" x14ac:dyDescent="0.2">
      <c r="A566" s="117" t="s">
        <v>514</v>
      </c>
      <c r="B566" s="117" t="s">
        <v>2613</v>
      </c>
      <c r="C566" s="304" t="s">
        <v>1576</v>
      </c>
      <c r="D566" s="305"/>
      <c r="E566" s="305"/>
      <c r="F566" s="117" t="s">
        <v>1644</v>
      </c>
      <c r="G566" s="116">
        <v>1</v>
      </c>
      <c r="H566" s="159"/>
      <c r="I566" s="108">
        <f t="shared" si="598"/>
        <v>0</v>
      </c>
      <c r="J566" s="108">
        <f t="shared" si="599"/>
        <v>0</v>
      </c>
      <c r="K566" s="108">
        <f t="shared" si="600"/>
        <v>0</v>
      </c>
      <c r="L566" s="111"/>
      <c r="Z566" s="100">
        <f t="shared" si="601"/>
        <v>0</v>
      </c>
      <c r="AB566" s="100">
        <f t="shared" si="602"/>
        <v>0</v>
      </c>
      <c r="AC566" s="100">
        <f t="shared" si="603"/>
        <v>0</v>
      </c>
      <c r="AD566" s="100">
        <f t="shared" si="604"/>
        <v>0</v>
      </c>
      <c r="AE566" s="100">
        <f t="shared" si="605"/>
        <v>0</v>
      </c>
      <c r="AF566" s="100">
        <f t="shared" si="606"/>
        <v>0</v>
      </c>
      <c r="AG566" s="100">
        <f t="shared" si="607"/>
        <v>0</v>
      </c>
      <c r="AH566" s="100">
        <f t="shared" si="608"/>
        <v>0</v>
      </c>
      <c r="AI566" s="109"/>
      <c r="AJ566" s="108">
        <f t="shared" si="609"/>
        <v>0</v>
      </c>
      <c r="AK566" s="108">
        <f t="shared" si="610"/>
        <v>0</v>
      </c>
      <c r="AL566" s="108">
        <f t="shared" si="611"/>
        <v>0</v>
      </c>
      <c r="AN566" s="100">
        <v>15</v>
      </c>
      <c r="AO566" s="100">
        <f t="shared" si="612"/>
        <v>0</v>
      </c>
      <c r="AP566" s="100">
        <f t="shared" si="613"/>
        <v>0</v>
      </c>
      <c r="AQ566" s="111" t="s">
        <v>7</v>
      </c>
      <c r="AV566" s="100">
        <f t="shared" si="614"/>
        <v>0</v>
      </c>
      <c r="AW566" s="100">
        <f t="shared" si="615"/>
        <v>0</v>
      </c>
      <c r="AX566" s="100">
        <f t="shared" si="616"/>
        <v>0</v>
      </c>
      <c r="AY566" s="110" t="s">
        <v>1722</v>
      </c>
      <c r="AZ566" s="110" t="s">
        <v>1730</v>
      </c>
      <c r="BA566" s="109" t="s">
        <v>1737</v>
      </c>
      <c r="BC566" s="100">
        <f t="shared" si="617"/>
        <v>0</v>
      </c>
      <c r="BD566" s="100">
        <f t="shared" si="618"/>
        <v>0</v>
      </c>
      <c r="BE566" s="100">
        <v>0</v>
      </c>
      <c r="BF566" s="100">
        <f>566</f>
        <v>566</v>
      </c>
      <c r="BH566" s="108">
        <f t="shared" si="619"/>
        <v>0</v>
      </c>
      <c r="BI566" s="108">
        <f t="shared" si="620"/>
        <v>0</v>
      </c>
      <c r="BJ566" s="108">
        <f t="shared" si="621"/>
        <v>0</v>
      </c>
    </row>
    <row r="567" spans="1:62" x14ac:dyDescent="0.2">
      <c r="A567" s="117" t="s">
        <v>515</v>
      </c>
      <c r="B567" s="117" t="s">
        <v>973</v>
      </c>
      <c r="C567" s="304" t="s">
        <v>1577</v>
      </c>
      <c r="D567" s="305"/>
      <c r="E567" s="305"/>
      <c r="F567" s="117" t="s">
        <v>1644</v>
      </c>
      <c r="G567" s="116">
        <v>1</v>
      </c>
      <c r="H567" s="159"/>
      <c r="I567" s="108">
        <f t="shared" si="598"/>
        <v>0</v>
      </c>
      <c r="J567" s="108">
        <f t="shared" si="599"/>
        <v>0</v>
      </c>
      <c r="K567" s="108">
        <f t="shared" si="600"/>
        <v>0</v>
      </c>
      <c r="L567" s="111"/>
      <c r="Z567" s="100">
        <f t="shared" si="601"/>
        <v>0</v>
      </c>
      <c r="AB567" s="100">
        <f t="shared" si="602"/>
        <v>0</v>
      </c>
      <c r="AC567" s="100">
        <f t="shared" si="603"/>
        <v>0</v>
      </c>
      <c r="AD567" s="100">
        <f t="shared" si="604"/>
        <v>0</v>
      </c>
      <c r="AE567" s="100">
        <f t="shared" si="605"/>
        <v>0</v>
      </c>
      <c r="AF567" s="100">
        <f t="shared" si="606"/>
        <v>0</v>
      </c>
      <c r="AG567" s="100">
        <f t="shared" si="607"/>
        <v>0</v>
      </c>
      <c r="AH567" s="100">
        <f t="shared" si="608"/>
        <v>0</v>
      </c>
      <c r="AI567" s="109"/>
      <c r="AJ567" s="108">
        <f t="shared" si="609"/>
        <v>0</v>
      </c>
      <c r="AK567" s="108">
        <f t="shared" si="610"/>
        <v>0</v>
      </c>
      <c r="AL567" s="108">
        <f t="shared" si="611"/>
        <v>0</v>
      </c>
      <c r="AN567" s="100">
        <v>15</v>
      </c>
      <c r="AO567" s="100">
        <f t="shared" si="612"/>
        <v>0</v>
      </c>
      <c r="AP567" s="100">
        <f t="shared" si="613"/>
        <v>0</v>
      </c>
      <c r="AQ567" s="111" t="s">
        <v>7</v>
      </c>
      <c r="AV567" s="100">
        <f t="shared" si="614"/>
        <v>0</v>
      </c>
      <c r="AW567" s="100">
        <f t="shared" si="615"/>
        <v>0</v>
      </c>
      <c r="AX567" s="100">
        <f t="shared" si="616"/>
        <v>0</v>
      </c>
      <c r="AY567" s="110" t="s">
        <v>1722</v>
      </c>
      <c r="AZ567" s="110" t="s">
        <v>1730</v>
      </c>
      <c r="BA567" s="109" t="s">
        <v>1737</v>
      </c>
      <c r="BC567" s="100">
        <f t="shared" si="617"/>
        <v>0</v>
      </c>
      <c r="BD567" s="100">
        <f t="shared" si="618"/>
        <v>0</v>
      </c>
      <c r="BE567" s="100">
        <v>0</v>
      </c>
      <c r="BF567" s="100">
        <f>567</f>
        <v>567</v>
      </c>
      <c r="BH567" s="108">
        <f t="shared" si="619"/>
        <v>0</v>
      </c>
      <c r="BI567" s="108">
        <f t="shared" si="620"/>
        <v>0</v>
      </c>
      <c r="BJ567" s="108">
        <f t="shared" si="621"/>
        <v>0</v>
      </c>
    </row>
    <row r="568" spans="1:62" x14ac:dyDescent="0.2">
      <c r="A568" s="117" t="s">
        <v>516</v>
      </c>
      <c r="B568" s="117" t="s">
        <v>988</v>
      </c>
      <c r="C568" s="304" t="s">
        <v>1578</v>
      </c>
      <c r="D568" s="305"/>
      <c r="E568" s="305"/>
      <c r="F568" s="117" t="s">
        <v>1644</v>
      </c>
      <c r="G568" s="116">
        <v>1</v>
      </c>
      <c r="H568" s="159"/>
      <c r="I568" s="108">
        <f t="shared" si="598"/>
        <v>0</v>
      </c>
      <c r="J568" s="108">
        <f t="shared" si="599"/>
        <v>0</v>
      </c>
      <c r="K568" s="108">
        <f t="shared" si="600"/>
        <v>0</v>
      </c>
      <c r="L568" s="111"/>
      <c r="Z568" s="100">
        <f t="shared" si="601"/>
        <v>0</v>
      </c>
      <c r="AB568" s="100">
        <f t="shared" si="602"/>
        <v>0</v>
      </c>
      <c r="AC568" s="100">
        <f t="shared" si="603"/>
        <v>0</v>
      </c>
      <c r="AD568" s="100">
        <f t="shared" si="604"/>
        <v>0</v>
      </c>
      <c r="AE568" s="100">
        <f t="shared" si="605"/>
        <v>0</v>
      </c>
      <c r="AF568" s="100">
        <f t="shared" si="606"/>
        <v>0</v>
      </c>
      <c r="AG568" s="100">
        <f t="shared" si="607"/>
        <v>0</v>
      </c>
      <c r="AH568" s="100">
        <f t="shared" si="608"/>
        <v>0</v>
      </c>
      <c r="AI568" s="109"/>
      <c r="AJ568" s="108">
        <f t="shared" si="609"/>
        <v>0</v>
      </c>
      <c r="AK568" s="108">
        <f t="shared" si="610"/>
        <v>0</v>
      </c>
      <c r="AL568" s="108">
        <f t="shared" si="611"/>
        <v>0</v>
      </c>
      <c r="AN568" s="100">
        <v>15</v>
      </c>
      <c r="AO568" s="100">
        <f t="shared" si="612"/>
        <v>0</v>
      </c>
      <c r="AP568" s="100">
        <f t="shared" si="613"/>
        <v>0</v>
      </c>
      <c r="AQ568" s="111" t="s">
        <v>7</v>
      </c>
      <c r="AV568" s="100">
        <f t="shared" si="614"/>
        <v>0</v>
      </c>
      <c r="AW568" s="100">
        <f t="shared" si="615"/>
        <v>0</v>
      </c>
      <c r="AX568" s="100">
        <f t="shared" si="616"/>
        <v>0</v>
      </c>
      <c r="AY568" s="110" t="s">
        <v>1722</v>
      </c>
      <c r="AZ568" s="110" t="s">
        <v>1730</v>
      </c>
      <c r="BA568" s="109" t="s">
        <v>1737</v>
      </c>
      <c r="BC568" s="100">
        <f t="shared" si="617"/>
        <v>0</v>
      </c>
      <c r="BD568" s="100">
        <f t="shared" si="618"/>
        <v>0</v>
      </c>
      <c r="BE568" s="100">
        <v>0</v>
      </c>
      <c r="BF568" s="100">
        <f>568</f>
        <v>568</v>
      </c>
      <c r="BH568" s="108">
        <f t="shared" si="619"/>
        <v>0</v>
      </c>
      <c r="BI568" s="108">
        <f t="shared" si="620"/>
        <v>0</v>
      </c>
      <c r="BJ568" s="108">
        <f t="shared" si="621"/>
        <v>0</v>
      </c>
    </row>
    <row r="569" spans="1:62" x14ac:dyDescent="0.2">
      <c r="A569" s="117" t="s">
        <v>517</v>
      </c>
      <c r="B569" s="117" t="s">
        <v>989</v>
      </c>
      <c r="C569" s="304" t="s">
        <v>1579</v>
      </c>
      <c r="D569" s="305"/>
      <c r="E569" s="305"/>
      <c r="F569" s="117" t="s">
        <v>1644</v>
      </c>
      <c r="G569" s="116">
        <v>1</v>
      </c>
      <c r="H569" s="159"/>
      <c r="I569" s="108">
        <f t="shared" si="598"/>
        <v>0</v>
      </c>
      <c r="J569" s="108">
        <f t="shared" si="599"/>
        <v>0</v>
      </c>
      <c r="K569" s="108">
        <f t="shared" si="600"/>
        <v>0</v>
      </c>
      <c r="L569" s="111"/>
      <c r="Z569" s="100">
        <f t="shared" si="601"/>
        <v>0</v>
      </c>
      <c r="AB569" s="100">
        <f t="shared" si="602"/>
        <v>0</v>
      </c>
      <c r="AC569" s="100">
        <f t="shared" si="603"/>
        <v>0</v>
      </c>
      <c r="AD569" s="100">
        <f t="shared" si="604"/>
        <v>0</v>
      </c>
      <c r="AE569" s="100">
        <f t="shared" si="605"/>
        <v>0</v>
      </c>
      <c r="AF569" s="100">
        <f t="shared" si="606"/>
        <v>0</v>
      </c>
      <c r="AG569" s="100">
        <f t="shared" si="607"/>
        <v>0</v>
      </c>
      <c r="AH569" s="100">
        <f t="shared" si="608"/>
        <v>0</v>
      </c>
      <c r="AI569" s="109"/>
      <c r="AJ569" s="108">
        <f t="shared" si="609"/>
        <v>0</v>
      </c>
      <c r="AK569" s="108">
        <f t="shared" si="610"/>
        <v>0</v>
      </c>
      <c r="AL569" s="108">
        <f t="shared" si="611"/>
        <v>0</v>
      </c>
      <c r="AN569" s="100">
        <v>15</v>
      </c>
      <c r="AO569" s="100">
        <f t="shared" si="612"/>
        <v>0</v>
      </c>
      <c r="AP569" s="100">
        <f t="shared" si="613"/>
        <v>0</v>
      </c>
      <c r="AQ569" s="111" t="s">
        <v>7</v>
      </c>
      <c r="AV569" s="100">
        <f t="shared" si="614"/>
        <v>0</v>
      </c>
      <c r="AW569" s="100">
        <f t="shared" si="615"/>
        <v>0</v>
      </c>
      <c r="AX569" s="100">
        <f t="shared" si="616"/>
        <v>0</v>
      </c>
      <c r="AY569" s="110" t="s">
        <v>1722</v>
      </c>
      <c r="AZ569" s="110" t="s">
        <v>1730</v>
      </c>
      <c r="BA569" s="109" t="s">
        <v>1737</v>
      </c>
      <c r="BC569" s="100">
        <f t="shared" si="617"/>
        <v>0</v>
      </c>
      <c r="BD569" s="100">
        <f t="shared" si="618"/>
        <v>0</v>
      </c>
      <c r="BE569" s="100">
        <v>0</v>
      </c>
      <c r="BF569" s="100">
        <f>569</f>
        <v>569</v>
      </c>
      <c r="BH569" s="108">
        <f t="shared" si="619"/>
        <v>0</v>
      </c>
      <c r="BI569" s="108">
        <f t="shared" si="620"/>
        <v>0</v>
      </c>
      <c r="BJ569" s="108">
        <f t="shared" si="621"/>
        <v>0</v>
      </c>
    </row>
    <row r="570" spans="1:62" x14ac:dyDescent="0.2">
      <c r="A570" s="117" t="s">
        <v>518</v>
      </c>
      <c r="B570" s="117" t="s">
        <v>990</v>
      </c>
      <c r="C570" s="304" t="s">
        <v>1580</v>
      </c>
      <c r="D570" s="305"/>
      <c r="E570" s="305"/>
      <c r="F570" s="117" t="s">
        <v>1644</v>
      </c>
      <c r="G570" s="116">
        <v>1</v>
      </c>
      <c r="H570" s="159"/>
      <c r="I570" s="108">
        <f t="shared" si="598"/>
        <v>0</v>
      </c>
      <c r="J570" s="108">
        <f t="shared" si="599"/>
        <v>0</v>
      </c>
      <c r="K570" s="108">
        <f t="shared" si="600"/>
        <v>0</v>
      </c>
      <c r="L570" s="111"/>
      <c r="Z570" s="100">
        <f t="shared" si="601"/>
        <v>0</v>
      </c>
      <c r="AB570" s="100">
        <f t="shared" si="602"/>
        <v>0</v>
      </c>
      <c r="AC570" s="100">
        <f t="shared" si="603"/>
        <v>0</v>
      </c>
      <c r="AD570" s="100">
        <f t="shared" si="604"/>
        <v>0</v>
      </c>
      <c r="AE570" s="100">
        <f t="shared" si="605"/>
        <v>0</v>
      </c>
      <c r="AF570" s="100">
        <f t="shared" si="606"/>
        <v>0</v>
      </c>
      <c r="AG570" s="100">
        <f t="shared" si="607"/>
        <v>0</v>
      </c>
      <c r="AH570" s="100">
        <f t="shared" si="608"/>
        <v>0</v>
      </c>
      <c r="AI570" s="109"/>
      <c r="AJ570" s="108">
        <f t="shared" si="609"/>
        <v>0</v>
      </c>
      <c r="AK570" s="108">
        <f t="shared" si="610"/>
        <v>0</v>
      </c>
      <c r="AL570" s="108">
        <f t="shared" si="611"/>
        <v>0</v>
      </c>
      <c r="AN570" s="100">
        <v>15</v>
      </c>
      <c r="AO570" s="100">
        <f t="shared" si="612"/>
        <v>0</v>
      </c>
      <c r="AP570" s="100">
        <f t="shared" si="613"/>
        <v>0</v>
      </c>
      <c r="AQ570" s="111" t="s">
        <v>7</v>
      </c>
      <c r="AV570" s="100">
        <f t="shared" si="614"/>
        <v>0</v>
      </c>
      <c r="AW570" s="100">
        <f t="shared" si="615"/>
        <v>0</v>
      </c>
      <c r="AX570" s="100">
        <f t="shared" si="616"/>
        <v>0</v>
      </c>
      <c r="AY570" s="110" t="s">
        <v>1722</v>
      </c>
      <c r="AZ570" s="110" t="s">
        <v>1730</v>
      </c>
      <c r="BA570" s="109" t="s">
        <v>1737</v>
      </c>
      <c r="BC570" s="100">
        <f t="shared" si="617"/>
        <v>0</v>
      </c>
      <c r="BD570" s="100">
        <f t="shared" si="618"/>
        <v>0</v>
      </c>
      <c r="BE570" s="100">
        <v>0</v>
      </c>
      <c r="BF570" s="100">
        <f>570</f>
        <v>570</v>
      </c>
      <c r="BH570" s="108">
        <f t="shared" si="619"/>
        <v>0</v>
      </c>
      <c r="BI570" s="108">
        <f t="shared" si="620"/>
        <v>0</v>
      </c>
      <c r="BJ570" s="108">
        <f t="shared" si="621"/>
        <v>0</v>
      </c>
    </row>
    <row r="571" spans="1:62" x14ac:dyDescent="0.2">
      <c r="A571" s="117" t="s">
        <v>519</v>
      </c>
      <c r="B571" s="117" t="s">
        <v>991</v>
      </c>
      <c r="C571" s="304" t="s">
        <v>1581</v>
      </c>
      <c r="D571" s="305"/>
      <c r="E571" s="305"/>
      <c r="F571" s="117" t="s">
        <v>1644</v>
      </c>
      <c r="G571" s="116">
        <v>2</v>
      </c>
      <c r="H571" s="159"/>
      <c r="I571" s="108">
        <f t="shared" si="598"/>
        <v>0</v>
      </c>
      <c r="J571" s="108">
        <f t="shared" si="599"/>
        <v>0</v>
      </c>
      <c r="K571" s="108">
        <f t="shared" si="600"/>
        <v>0</v>
      </c>
      <c r="L571" s="111"/>
      <c r="Z571" s="100">
        <f t="shared" si="601"/>
        <v>0</v>
      </c>
      <c r="AB571" s="100">
        <f t="shared" si="602"/>
        <v>0</v>
      </c>
      <c r="AC571" s="100">
        <f t="shared" si="603"/>
        <v>0</v>
      </c>
      <c r="AD571" s="100">
        <f t="shared" si="604"/>
        <v>0</v>
      </c>
      <c r="AE571" s="100">
        <f t="shared" si="605"/>
        <v>0</v>
      </c>
      <c r="AF571" s="100">
        <f t="shared" si="606"/>
        <v>0</v>
      </c>
      <c r="AG571" s="100">
        <f t="shared" si="607"/>
        <v>0</v>
      </c>
      <c r="AH571" s="100">
        <f t="shared" si="608"/>
        <v>0</v>
      </c>
      <c r="AI571" s="109"/>
      <c r="AJ571" s="108">
        <f t="shared" si="609"/>
        <v>0</v>
      </c>
      <c r="AK571" s="108">
        <f t="shared" si="610"/>
        <v>0</v>
      </c>
      <c r="AL571" s="108">
        <f t="shared" si="611"/>
        <v>0</v>
      </c>
      <c r="AN571" s="100">
        <v>15</v>
      </c>
      <c r="AO571" s="100">
        <f t="shared" si="612"/>
        <v>0</v>
      </c>
      <c r="AP571" s="100">
        <f t="shared" si="613"/>
        <v>0</v>
      </c>
      <c r="AQ571" s="111" t="s">
        <v>7</v>
      </c>
      <c r="AV571" s="100">
        <f t="shared" si="614"/>
        <v>0</v>
      </c>
      <c r="AW571" s="100">
        <f t="shared" si="615"/>
        <v>0</v>
      </c>
      <c r="AX571" s="100">
        <f t="shared" si="616"/>
        <v>0</v>
      </c>
      <c r="AY571" s="110" t="s">
        <v>1722</v>
      </c>
      <c r="AZ571" s="110" t="s">
        <v>1730</v>
      </c>
      <c r="BA571" s="109" t="s">
        <v>1737</v>
      </c>
      <c r="BC571" s="100">
        <f t="shared" si="617"/>
        <v>0</v>
      </c>
      <c r="BD571" s="100">
        <f t="shared" si="618"/>
        <v>0</v>
      </c>
      <c r="BE571" s="100">
        <v>0</v>
      </c>
      <c r="BF571" s="100">
        <f>571</f>
        <v>571</v>
      </c>
      <c r="BH571" s="108">
        <f t="shared" si="619"/>
        <v>0</v>
      </c>
      <c r="BI571" s="108">
        <f t="shared" si="620"/>
        <v>0</v>
      </c>
      <c r="BJ571" s="108">
        <f t="shared" si="621"/>
        <v>0</v>
      </c>
    </row>
    <row r="572" spans="1:62" x14ac:dyDescent="0.2">
      <c r="A572" s="117" t="s">
        <v>520</v>
      </c>
      <c r="B572" s="117" t="s">
        <v>992</v>
      </c>
      <c r="C572" s="304" t="s">
        <v>1582</v>
      </c>
      <c r="D572" s="305"/>
      <c r="E572" s="305"/>
      <c r="F572" s="117" t="s">
        <v>1644</v>
      </c>
      <c r="G572" s="116">
        <v>1</v>
      </c>
      <c r="H572" s="159"/>
      <c r="I572" s="108">
        <f t="shared" si="598"/>
        <v>0</v>
      </c>
      <c r="J572" s="108">
        <f t="shared" si="599"/>
        <v>0</v>
      </c>
      <c r="K572" s="108">
        <f t="shared" si="600"/>
        <v>0</v>
      </c>
      <c r="L572" s="111"/>
      <c r="Z572" s="100">
        <f t="shared" si="601"/>
        <v>0</v>
      </c>
      <c r="AB572" s="100">
        <f t="shared" si="602"/>
        <v>0</v>
      </c>
      <c r="AC572" s="100">
        <f t="shared" si="603"/>
        <v>0</v>
      </c>
      <c r="AD572" s="100">
        <f t="shared" si="604"/>
        <v>0</v>
      </c>
      <c r="AE572" s="100">
        <f t="shared" si="605"/>
        <v>0</v>
      </c>
      <c r="AF572" s="100">
        <f t="shared" si="606"/>
        <v>0</v>
      </c>
      <c r="AG572" s="100">
        <f t="shared" si="607"/>
        <v>0</v>
      </c>
      <c r="AH572" s="100">
        <f t="shared" si="608"/>
        <v>0</v>
      </c>
      <c r="AI572" s="109"/>
      <c r="AJ572" s="108">
        <f t="shared" si="609"/>
        <v>0</v>
      </c>
      <c r="AK572" s="108">
        <f t="shared" si="610"/>
        <v>0</v>
      </c>
      <c r="AL572" s="108">
        <f t="shared" si="611"/>
        <v>0</v>
      </c>
      <c r="AN572" s="100">
        <v>15</v>
      </c>
      <c r="AO572" s="100">
        <f t="shared" si="612"/>
        <v>0</v>
      </c>
      <c r="AP572" s="100">
        <f t="shared" si="613"/>
        <v>0</v>
      </c>
      <c r="AQ572" s="111" t="s">
        <v>7</v>
      </c>
      <c r="AV572" s="100">
        <f t="shared" si="614"/>
        <v>0</v>
      </c>
      <c r="AW572" s="100">
        <f t="shared" si="615"/>
        <v>0</v>
      </c>
      <c r="AX572" s="100">
        <f t="shared" si="616"/>
        <v>0</v>
      </c>
      <c r="AY572" s="110" t="s">
        <v>1722</v>
      </c>
      <c r="AZ572" s="110" t="s">
        <v>1730</v>
      </c>
      <c r="BA572" s="109" t="s">
        <v>1737</v>
      </c>
      <c r="BC572" s="100">
        <f t="shared" si="617"/>
        <v>0</v>
      </c>
      <c r="BD572" s="100">
        <f t="shared" si="618"/>
        <v>0</v>
      </c>
      <c r="BE572" s="100">
        <v>0</v>
      </c>
      <c r="BF572" s="100">
        <f>572</f>
        <v>572</v>
      </c>
      <c r="BH572" s="108">
        <f t="shared" si="619"/>
        <v>0</v>
      </c>
      <c r="BI572" s="108">
        <f t="shared" si="620"/>
        <v>0</v>
      </c>
      <c r="BJ572" s="108">
        <f t="shared" si="621"/>
        <v>0</v>
      </c>
    </row>
    <row r="573" spans="1:62" x14ac:dyDescent="0.2">
      <c r="A573" s="117" t="s">
        <v>521</v>
      </c>
      <c r="B573" s="117" t="s">
        <v>975</v>
      </c>
      <c r="C573" s="304" t="s">
        <v>1583</v>
      </c>
      <c r="D573" s="305"/>
      <c r="E573" s="305"/>
      <c r="F573" s="117" t="s">
        <v>1644</v>
      </c>
      <c r="G573" s="116">
        <v>1</v>
      </c>
      <c r="H573" s="159"/>
      <c r="I573" s="108">
        <f t="shared" si="598"/>
        <v>0</v>
      </c>
      <c r="J573" s="108">
        <f t="shared" si="599"/>
        <v>0</v>
      </c>
      <c r="K573" s="108">
        <f t="shared" si="600"/>
        <v>0</v>
      </c>
      <c r="L573" s="111"/>
      <c r="Z573" s="100">
        <f t="shared" si="601"/>
        <v>0</v>
      </c>
      <c r="AB573" s="100">
        <f t="shared" si="602"/>
        <v>0</v>
      </c>
      <c r="AC573" s="100">
        <f t="shared" si="603"/>
        <v>0</v>
      </c>
      <c r="AD573" s="100">
        <f t="shared" si="604"/>
        <v>0</v>
      </c>
      <c r="AE573" s="100">
        <f t="shared" si="605"/>
        <v>0</v>
      </c>
      <c r="AF573" s="100">
        <f t="shared" si="606"/>
        <v>0</v>
      </c>
      <c r="AG573" s="100">
        <f t="shared" si="607"/>
        <v>0</v>
      </c>
      <c r="AH573" s="100">
        <f t="shared" si="608"/>
        <v>0</v>
      </c>
      <c r="AI573" s="109"/>
      <c r="AJ573" s="108">
        <f t="shared" si="609"/>
        <v>0</v>
      </c>
      <c r="AK573" s="108">
        <f t="shared" si="610"/>
        <v>0</v>
      </c>
      <c r="AL573" s="108">
        <f t="shared" si="611"/>
        <v>0</v>
      </c>
      <c r="AN573" s="100">
        <v>15</v>
      </c>
      <c r="AO573" s="100">
        <f t="shared" si="612"/>
        <v>0</v>
      </c>
      <c r="AP573" s="100">
        <f t="shared" si="613"/>
        <v>0</v>
      </c>
      <c r="AQ573" s="111" t="s">
        <v>7</v>
      </c>
      <c r="AV573" s="100">
        <f t="shared" si="614"/>
        <v>0</v>
      </c>
      <c r="AW573" s="100">
        <f t="shared" si="615"/>
        <v>0</v>
      </c>
      <c r="AX573" s="100">
        <f t="shared" si="616"/>
        <v>0</v>
      </c>
      <c r="AY573" s="110" t="s">
        <v>1722</v>
      </c>
      <c r="AZ573" s="110" t="s">
        <v>1730</v>
      </c>
      <c r="BA573" s="109" t="s">
        <v>1737</v>
      </c>
      <c r="BC573" s="100">
        <f t="shared" si="617"/>
        <v>0</v>
      </c>
      <c r="BD573" s="100">
        <f t="shared" si="618"/>
        <v>0</v>
      </c>
      <c r="BE573" s="100">
        <v>0</v>
      </c>
      <c r="BF573" s="100">
        <f>573</f>
        <v>573</v>
      </c>
      <c r="BH573" s="108">
        <f t="shared" si="619"/>
        <v>0</v>
      </c>
      <c r="BI573" s="108">
        <f t="shared" si="620"/>
        <v>0</v>
      </c>
      <c r="BJ573" s="108">
        <f t="shared" si="621"/>
        <v>0</v>
      </c>
    </row>
    <row r="574" spans="1:62" x14ac:dyDescent="0.2">
      <c r="A574" s="117" t="s">
        <v>522</v>
      </c>
      <c r="B574" s="117" t="s">
        <v>993</v>
      </c>
      <c r="C574" s="304" t="s">
        <v>1581</v>
      </c>
      <c r="D574" s="305"/>
      <c r="E574" s="305"/>
      <c r="F574" s="117" t="s">
        <v>1644</v>
      </c>
      <c r="G574" s="116">
        <v>1</v>
      </c>
      <c r="H574" s="159"/>
      <c r="I574" s="108">
        <f t="shared" si="598"/>
        <v>0</v>
      </c>
      <c r="J574" s="108">
        <f t="shared" si="599"/>
        <v>0</v>
      </c>
      <c r="K574" s="108">
        <f t="shared" si="600"/>
        <v>0</v>
      </c>
      <c r="L574" s="111"/>
      <c r="Z574" s="100">
        <f t="shared" si="601"/>
        <v>0</v>
      </c>
      <c r="AB574" s="100">
        <f t="shared" si="602"/>
        <v>0</v>
      </c>
      <c r="AC574" s="100">
        <f t="shared" si="603"/>
        <v>0</v>
      </c>
      <c r="AD574" s="100">
        <f t="shared" si="604"/>
        <v>0</v>
      </c>
      <c r="AE574" s="100">
        <f t="shared" si="605"/>
        <v>0</v>
      </c>
      <c r="AF574" s="100">
        <f t="shared" si="606"/>
        <v>0</v>
      </c>
      <c r="AG574" s="100">
        <f t="shared" si="607"/>
        <v>0</v>
      </c>
      <c r="AH574" s="100">
        <f t="shared" si="608"/>
        <v>0</v>
      </c>
      <c r="AI574" s="109"/>
      <c r="AJ574" s="108">
        <f t="shared" si="609"/>
        <v>0</v>
      </c>
      <c r="AK574" s="108">
        <f t="shared" si="610"/>
        <v>0</v>
      </c>
      <c r="AL574" s="108">
        <f t="shared" si="611"/>
        <v>0</v>
      </c>
      <c r="AN574" s="100">
        <v>15</v>
      </c>
      <c r="AO574" s="100">
        <f t="shared" si="612"/>
        <v>0</v>
      </c>
      <c r="AP574" s="100">
        <f t="shared" si="613"/>
        <v>0</v>
      </c>
      <c r="AQ574" s="111" t="s">
        <v>7</v>
      </c>
      <c r="AV574" s="100">
        <f t="shared" si="614"/>
        <v>0</v>
      </c>
      <c r="AW574" s="100">
        <f t="shared" si="615"/>
        <v>0</v>
      </c>
      <c r="AX574" s="100">
        <f t="shared" si="616"/>
        <v>0</v>
      </c>
      <c r="AY574" s="110" t="s">
        <v>1722</v>
      </c>
      <c r="AZ574" s="110" t="s">
        <v>1730</v>
      </c>
      <c r="BA574" s="109" t="s">
        <v>1737</v>
      </c>
      <c r="BC574" s="100">
        <f t="shared" si="617"/>
        <v>0</v>
      </c>
      <c r="BD574" s="100">
        <f t="shared" si="618"/>
        <v>0</v>
      </c>
      <c r="BE574" s="100">
        <v>0</v>
      </c>
      <c r="BF574" s="100">
        <f>574</f>
        <v>574</v>
      </c>
      <c r="BH574" s="108">
        <f t="shared" si="619"/>
        <v>0</v>
      </c>
      <c r="BI574" s="108">
        <f t="shared" si="620"/>
        <v>0</v>
      </c>
      <c r="BJ574" s="108">
        <f t="shared" si="621"/>
        <v>0</v>
      </c>
    </row>
    <row r="575" spans="1:62" x14ac:dyDescent="0.2">
      <c r="A575" s="117" t="s">
        <v>523</v>
      </c>
      <c r="B575" s="117" t="s">
        <v>994</v>
      </c>
      <c r="C575" s="304" t="s">
        <v>1584</v>
      </c>
      <c r="D575" s="305"/>
      <c r="E575" s="305"/>
      <c r="F575" s="117" t="s">
        <v>1644</v>
      </c>
      <c r="G575" s="116">
        <v>2</v>
      </c>
      <c r="H575" s="159"/>
      <c r="I575" s="108">
        <f t="shared" si="598"/>
        <v>0</v>
      </c>
      <c r="J575" s="108">
        <f t="shared" si="599"/>
        <v>0</v>
      </c>
      <c r="K575" s="108">
        <f t="shared" si="600"/>
        <v>0</v>
      </c>
      <c r="L575" s="111"/>
      <c r="Z575" s="100">
        <f t="shared" si="601"/>
        <v>0</v>
      </c>
      <c r="AB575" s="100">
        <f t="shared" si="602"/>
        <v>0</v>
      </c>
      <c r="AC575" s="100">
        <f t="shared" si="603"/>
        <v>0</v>
      </c>
      <c r="AD575" s="100">
        <f t="shared" si="604"/>
        <v>0</v>
      </c>
      <c r="AE575" s="100">
        <f t="shared" si="605"/>
        <v>0</v>
      </c>
      <c r="AF575" s="100">
        <f t="shared" si="606"/>
        <v>0</v>
      </c>
      <c r="AG575" s="100">
        <f t="shared" si="607"/>
        <v>0</v>
      </c>
      <c r="AH575" s="100">
        <f t="shared" si="608"/>
        <v>0</v>
      </c>
      <c r="AI575" s="109"/>
      <c r="AJ575" s="108">
        <f t="shared" si="609"/>
        <v>0</v>
      </c>
      <c r="AK575" s="108">
        <f t="shared" si="610"/>
        <v>0</v>
      </c>
      <c r="AL575" s="108">
        <f t="shared" si="611"/>
        <v>0</v>
      </c>
      <c r="AN575" s="100">
        <v>15</v>
      </c>
      <c r="AO575" s="100">
        <f t="shared" si="612"/>
        <v>0</v>
      </c>
      <c r="AP575" s="100">
        <f t="shared" si="613"/>
        <v>0</v>
      </c>
      <c r="AQ575" s="111" t="s">
        <v>7</v>
      </c>
      <c r="AV575" s="100">
        <f t="shared" si="614"/>
        <v>0</v>
      </c>
      <c r="AW575" s="100">
        <f t="shared" si="615"/>
        <v>0</v>
      </c>
      <c r="AX575" s="100">
        <f t="shared" si="616"/>
        <v>0</v>
      </c>
      <c r="AY575" s="110" t="s">
        <v>1722</v>
      </c>
      <c r="AZ575" s="110" t="s">
        <v>1730</v>
      </c>
      <c r="BA575" s="109" t="s">
        <v>1737</v>
      </c>
      <c r="BC575" s="100">
        <f t="shared" si="617"/>
        <v>0</v>
      </c>
      <c r="BD575" s="100">
        <f t="shared" si="618"/>
        <v>0</v>
      </c>
      <c r="BE575" s="100">
        <v>0</v>
      </c>
      <c r="BF575" s="100">
        <f>575</f>
        <v>575</v>
      </c>
      <c r="BH575" s="108">
        <f t="shared" si="619"/>
        <v>0</v>
      </c>
      <c r="BI575" s="108">
        <f t="shared" si="620"/>
        <v>0</v>
      </c>
      <c r="BJ575" s="108">
        <f t="shared" si="621"/>
        <v>0</v>
      </c>
    </row>
    <row r="576" spans="1:62" x14ac:dyDescent="0.2">
      <c r="A576" s="117" t="s">
        <v>524</v>
      </c>
      <c r="B576" s="117" t="s">
        <v>995</v>
      </c>
      <c r="C576" s="304" t="s">
        <v>1585</v>
      </c>
      <c r="D576" s="305"/>
      <c r="E576" s="305"/>
      <c r="F576" s="117" t="s">
        <v>1644</v>
      </c>
      <c r="G576" s="116">
        <v>1</v>
      </c>
      <c r="H576" s="159"/>
      <c r="I576" s="108">
        <f t="shared" si="598"/>
        <v>0</v>
      </c>
      <c r="J576" s="108">
        <f t="shared" si="599"/>
        <v>0</v>
      </c>
      <c r="K576" s="108">
        <f t="shared" si="600"/>
        <v>0</v>
      </c>
      <c r="L576" s="111"/>
      <c r="Z576" s="100">
        <f t="shared" si="601"/>
        <v>0</v>
      </c>
      <c r="AB576" s="100">
        <f t="shared" si="602"/>
        <v>0</v>
      </c>
      <c r="AC576" s="100">
        <f t="shared" si="603"/>
        <v>0</v>
      </c>
      <c r="AD576" s="100">
        <f t="shared" si="604"/>
        <v>0</v>
      </c>
      <c r="AE576" s="100">
        <f t="shared" si="605"/>
        <v>0</v>
      </c>
      <c r="AF576" s="100">
        <f t="shared" si="606"/>
        <v>0</v>
      </c>
      <c r="AG576" s="100">
        <f t="shared" si="607"/>
        <v>0</v>
      </c>
      <c r="AH576" s="100">
        <f t="shared" si="608"/>
        <v>0</v>
      </c>
      <c r="AI576" s="109"/>
      <c r="AJ576" s="108">
        <f t="shared" si="609"/>
        <v>0</v>
      </c>
      <c r="AK576" s="108">
        <f t="shared" si="610"/>
        <v>0</v>
      </c>
      <c r="AL576" s="108">
        <f t="shared" si="611"/>
        <v>0</v>
      </c>
      <c r="AN576" s="100">
        <v>15</v>
      </c>
      <c r="AO576" s="100">
        <f t="shared" si="612"/>
        <v>0</v>
      </c>
      <c r="AP576" s="100">
        <f t="shared" si="613"/>
        <v>0</v>
      </c>
      <c r="AQ576" s="111" t="s">
        <v>7</v>
      </c>
      <c r="AV576" s="100">
        <f t="shared" si="614"/>
        <v>0</v>
      </c>
      <c r="AW576" s="100">
        <f t="shared" si="615"/>
        <v>0</v>
      </c>
      <c r="AX576" s="100">
        <f t="shared" si="616"/>
        <v>0</v>
      </c>
      <c r="AY576" s="110" t="s">
        <v>1722</v>
      </c>
      <c r="AZ576" s="110" t="s">
        <v>1730</v>
      </c>
      <c r="BA576" s="109" t="s">
        <v>1737</v>
      </c>
      <c r="BC576" s="100">
        <f t="shared" si="617"/>
        <v>0</v>
      </c>
      <c r="BD576" s="100">
        <f t="shared" si="618"/>
        <v>0</v>
      </c>
      <c r="BE576" s="100">
        <v>0</v>
      </c>
      <c r="BF576" s="100">
        <f>576</f>
        <v>576</v>
      </c>
      <c r="BH576" s="108">
        <f t="shared" si="619"/>
        <v>0</v>
      </c>
      <c r="BI576" s="108">
        <f t="shared" si="620"/>
        <v>0</v>
      </c>
      <c r="BJ576" s="108">
        <f t="shared" si="621"/>
        <v>0</v>
      </c>
    </row>
    <row r="577" spans="1:62" x14ac:dyDescent="0.2">
      <c r="A577" s="117" t="s">
        <v>525</v>
      </c>
      <c r="B577" s="117" t="s">
        <v>996</v>
      </c>
      <c r="C577" s="304" t="s">
        <v>1586</v>
      </c>
      <c r="D577" s="305"/>
      <c r="E577" s="305"/>
      <c r="F577" s="117" t="s">
        <v>1644</v>
      </c>
      <c r="G577" s="116">
        <v>1</v>
      </c>
      <c r="H577" s="159"/>
      <c r="I577" s="108">
        <f t="shared" si="598"/>
        <v>0</v>
      </c>
      <c r="J577" s="108">
        <f t="shared" si="599"/>
        <v>0</v>
      </c>
      <c r="K577" s="108">
        <f t="shared" si="600"/>
        <v>0</v>
      </c>
      <c r="L577" s="111"/>
      <c r="Z577" s="100">
        <f t="shared" si="601"/>
        <v>0</v>
      </c>
      <c r="AB577" s="100">
        <f t="shared" si="602"/>
        <v>0</v>
      </c>
      <c r="AC577" s="100">
        <f t="shared" si="603"/>
        <v>0</v>
      </c>
      <c r="AD577" s="100">
        <f t="shared" si="604"/>
        <v>0</v>
      </c>
      <c r="AE577" s="100">
        <f t="shared" si="605"/>
        <v>0</v>
      </c>
      <c r="AF577" s="100">
        <f t="shared" si="606"/>
        <v>0</v>
      </c>
      <c r="AG577" s="100">
        <f t="shared" si="607"/>
        <v>0</v>
      </c>
      <c r="AH577" s="100">
        <f t="shared" si="608"/>
        <v>0</v>
      </c>
      <c r="AI577" s="109"/>
      <c r="AJ577" s="108">
        <f t="shared" si="609"/>
        <v>0</v>
      </c>
      <c r="AK577" s="108">
        <f t="shared" si="610"/>
        <v>0</v>
      </c>
      <c r="AL577" s="108">
        <f t="shared" si="611"/>
        <v>0</v>
      </c>
      <c r="AN577" s="100">
        <v>15</v>
      </c>
      <c r="AO577" s="100">
        <f t="shared" si="612"/>
        <v>0</v>
      </c>
      <c r="AP577" s="100">
        <f t="shared" si="613"/>
        <v>0</v>
      </c>
      <c r="AQ577" s="111" t="s">
        <v>7</v>
      </c>
      <c r="AV577" s="100">
        <f t="shared" si="614"/>
        <v>0</v>
      </c>
      <c r="AW577" s="100">
        <f t="shared" si="615"/>
        <v>0</v>
      </c>
      <c r="AX577" s="100">
        <f t="shared" si="616"/>
        <v>0</v>
      </c>
      <c r="AY577" s="110" t="s">
        <v>1722</v>
      </c>
      <c r="AZ577" s="110" t="s">
        <v>1730</v>
      </c>
      <c r="BA577" s="109" t="s">
        <v>1737</v>
      </c>
      <c r="BC577" s="100">
        <f t="shared" si="617"/>
        <v>0</v>
      </c>
      <c r="BD577" s="100">
        <f t="shared" si="618"/>
        <v>0</v>
      </c>
      <c r="BE577" s="100">
        <v>0</v>
      </c>
      <c r="BF577" s="100">
        <f>577</f>
        <v>577</v>
      </c>
      <c r="BH577" s="108">
        <f t="shared" si="619"/>
        <v>0</v>
      </c>
      <c r="BI577" s="108">
        <f t="shared" si="620"/>
        <v>0</v>
      </c>
      <c r="BJ577" s="108">
        <f t="shared" si="621"/>
        <v>0</v>
      </c>
    </row>
    <row r="578" spans="1:62" x14ac:dyDescent="0.2">
      <c r="A578" s="117" t="s">
        <v>526</v>
      </c>
      <c r="B578" s="117" t="s">
        <v>996</v>
      </c>
      <c r="C578" s="304" t="s">
        <v>1587</v>
      </c>
      <c r="D578" s="305"/>
      <c r="E578" s="305"/>
      <c r="F578" s="117" t="s">
        <v>1644</v>
      </c>
      <c r="G578" s="116">
        <v>1</v>
      </c>
      <c r="H578" s="159"/>
      <c r="I578" s="108">
        <f t="shared" si="598"/>
        <v>0</v>
      </c>
      <c r="J578" s="108">
        <f t="shared" si="599"/>
        <v>0</v>
      </c>
      <c r="K578" s="108">
        <f t="shared" si="600"/>
        <v>0</v>
      </c>
      <c r="L578" s="111"/>
      <c r="Z578" s="100">
        <f t="shared" si="601"/>
        <v>0</v>
      </c>
      <c r="AB578" s="100">
        <f t="shared" si="602"/>
        <v>0</v>
      </c>
      <c r="AC578" s="100">
        <f t="shared" si="603"/>
        <v>0</v>
      </c>
      <c r="AD578" s="100">
        <f t="shared" si="604"/>
        <v>0</v>
      </c>
      <c r="AE578" s="100">
        <f t="shared" si="605"/>
        <v>0</v>
      </c>
      <c r="AF578" s="100">
        <f t="shared" si="606"/>
        <v>0</v>
      </c>
      <c r="AG578" s="100">
        <f t="shared" si="607"/>
        <v>0</v>
      </c>
      <c r="AH578" s="100">
        <f t="shared" si="608"/>
        <v>0</v>
      </c>
      <c r="AI578" s="109"/>
      <c r="AJ578" s="108">
        <f t="shared" si="609"/>
        <v>0</v>
      </c>
      <c r="AK578" s="108">
        <f t="shared" si="610"/>
        <v>0</v>
      </c>
      <c r="AL578" s="108">
        <f t="shared" si="611"/>
        <v>0</v>
      </c>
      <c r="AN578" s="100">
        <v>15</v>
      </c>
      <c r="AO578" s="100">
        <f t="shared" si="612"/>
        <v>0</v>
      </c>
      <c r="AP578" s="100">
        <f t="shared" si="613"/>
        <v>0</v>
      </c>
      <c r="AQ578" s="111" t="s">
        <v>7</v>
      </c>
      <c r="AV578" s="100">
        <f t="shared" si="614"/>
        <v>0</v>
      </c>
      <c r="AW578" s="100">
        <f t="shared" si="615"/>
        <v>0</v>
      </c>
      <c r="AX578" s="100">
        <f t="shared" si="616"/>
        <v>0</v>
      </c>
      <c r="AY578" s="110" t="s">
        <v>1722</v>
      </c>
      <c r="AZ578" s="110" t="s">
        <v>1730</v>
      </c>
      <c r="BA578" s="109" t="s">
        <v>1737</v>
      </c>
      <c r="BC578" s="100">
        <f t="shared" si="617"/>
        <v>0</v>
      </c>
      <c r="BD578" s="100">
        <f t="shared" si="618"/>
        <v>0</v>
      </c>
      <c r="BE578" s="100">
        <v>0</v>
      </c>
      <c r="BF578" s="100">
        <f>578</f>
        <v>578</v>
      </c>
      <c r="BH578" s="108">
        <f t="shared" si="619"/>
        <v>0</v>
      </c>
      <c r="BI578" s="108">
        <f t="shared" si="620"/>
        <v>0</v>
      </c>
      <c r="BJ578" s="108">
        <f t="shared" si="621"/>
        <v>0</v>
      </c>
    </row>
    <row r="579" spans="1:62" x14ac:dyDescent="0.2">
      <c r="A579" s="117" t="s">
        <v>527</v>
      </c>
      <c r="B579" s="117" t="s">
        <v>997</v>
      </c>
      <c r="C579" s="304" t="s">
        <v>1588</v>
      </c>
      <c r="D579" s="305"/>
      <c r="E579" s="305"/>
      <c r="F579" s="117" t="s">
        <v>1644</v>
      </c>
      <c r="G579" s="116">
        <v>1</v>
      </c>
      <c r="H579" s="159"/>
      <c r="I579" s="108">
        <f t="shared" si="598"/>
        <v>0</v>
      </c>
      <c r="J579" s="108">
        <f t="shared" si="599"/>
        <v>0</v>
      </c>
      <c r="K579" s="108">
        <f t="shared" si="600"/>
        <v>0</v>
      </c>
      <c r="L579" s="111"/>
      <c r="Z579" s="100">
        <f t="shared" si="601"/>
        <v>0</v>
      </c>
      <c r="AB579" s="100">
        <f t="shared" si="602"/>
        <v>0</v>
      </c>
      <c r="AC579" s="100">
        <f t="shared" si="603"/>
        <v>0</v>
      </c>
      <c r="AD579" s="100">
        <f t="shared" si="604"/>
        <v>0</v>
      </c>
      <c r="AE579" s="100">
        <f t="shared" si="605"/>
        <v>0</v>
      </c>
      <c r="AF579" s="100">
        <f t="shared" si="606"/>
        <v>0</v>
      </c>
      <c r="AG579" s="100">
        <f t="shared" si="607"/>
        <v>0</v>
      </c>
      <c r="AH579" s="100">
        <f t="shared" si="608"/>
        <v>0</v>
      </c>
      <c r="AI579" s="109"/>
      <c r="AJ579" s="108">
        <f t="shared" si="609"/>
        <v>0</v>
      </c>
      <c r="AK579" s="108">
        <f t="shared" si="610"/>
        <v>0</v>
      </c>
      <c r="AL579" s="108">
        <f t="shared" si="611"/>
        <v>0</v>
      </c>
      <c r="AN579" s="100">
        <v>15</v>
      </c>
      <c r="AO579" s="100">
        <f t="shared" si="612"/>
        <v>0</v>
      </c>
      <c r="AP579" s="100">
        <f t="shared" si="613"/>
        <v>0</v>
      </c>
      <c r="AQ579" s="111" t="s">
        <v>7</v>
      </c>
      <c r="AV579" s="100">
        <f t="shared" si="614"/>
        <v>0</v>
      </c>
      <c r="AW579" s="100">
        <f t="shared" si="615"/>
        <v>0</v>
      </c>
      <c r="AX579" s="100">
        <f t="shared" si="616"/>
        <v>0</v>
      </c>
      <c r="AY579" s="110" t="s">
        <v>1722</v>
      </c>
      <c r="AZ579" s="110" t="s">
        <v>1730</v>
      </c>
      <c r="BA579" s="109" t="s">
        <v>1737</v>
      </c>
      <c r="BC579" s="100">
        <f t="shared" si="617"/>
        <v>0</v>
      </c>
      <c r="BD579" s="100">
        <f t="shared" si="618"/>
        <v>0</v>
      </c>
      <c r="BE579" s="100">
        <v>0</v>
      </c>
      <c r="BF579" s="100">
        <f>579</f>
        <v>579</v>
      </c>
      <c r="BH579" s="108">
        <f t="shared" si="619"/>
        <v>0</v>
      </c>
      <c r="BI579" s="108">
        <f t="shared" si="620"/>
        <v>0</v>
      </c>
      <c r="BJ579" s="108">
        <f t="shared" si="621"/>
        <v>0</v>
      </c>
    </row>
    <row r="580" spans="1:62" x14ac:dyDescent="0.2">
      <c r="A580" s="117" t="s">
        <v>528</v>
      </c>
      <c r="B580" s="117" t="s">
        <v>997</v>
      </c>
      <c r="C580" s="304" t="s">
        <v>1589</v>
      </c>
      <c r="D580" s="305"/>
      <c r="E580" s="305"/>
      <c r="F580" s="117" t="s">
        <v>1644</v>
      </c>
      <c r="G580" s="116">
        <v>1</v>
      </c>
      <c r="H580" s="159"/>
      <c r="I580" s="108">
        <f t="shared" si="598"/>
        <v>0</v>
      </c>
      <c r="J580" s="108">
        <f t="shared" si="599"/>
        <v>0</v>
      </c>
      <c r="K580" s="108">
        <f t="shared" si="600"/>
        <v>0</v>
      </c>
      <c r="L580" s="111"/>
      <c r="Z580" s="100">
        <f t="shared" si="601"/>
        <v>0</v>
      </c>
      <c r="AB580" s="100">
        <f t="shared" si="602"/>
        <v>0</v>
      </c>
      <c r="AC580" s="100">
        <f t="shared" si="603"/>
        <v>0</v>
      </c>
      <c r="AD580" s="100">
        <f t="shared" si="604"/>
        <v>0</v>
      </c>
      <c r="AE580" s="100">
        <f t="shared" si="605"/>
        <v>0</v>
      </c>
      <c r="AF580" s="100">
        <f t="shared" si="606"/>
        <v>0</v>
      </c>
      <c r="AG580" s="100">
        <f t="shared" si="607"/>
        <v>0</v>
      </c>
      <c r="AH580" s="100">
        <f t="shared" si="608"/>
        <v>0</v>
      </c>
      <c r="AI580" s="109"/>
      <c r="AJ580" s="108">
        <f t="shared" si="609"/>
        <v>0</v>
      </c>
      <c r="AK580" s="108">
        <f t="shared" si="610"/>
        <v>0</v>
      </c>
      <c r="AL580" s="108">
        <f t="shared" si="611"/>
        <v>0</v>
      </c>
      <c r="AN580" s="100">
        <v>15</v>
      </c>
      <c r="AO580" s="100">
        <f t="shared" si="612"/>
        <v>0</v>
      </c>
      <c r="AP580" s="100">
        <f t="shared" si="613"/>
        <v>0</v>
      </c>
      <c r="AQ580" s="111" t="s">
        <v>7</v>
      </c>
      <c r="AV580" s="100">
        <f t="shared" si="614"/>
        <v>0</v>
      </c>
      <c r="AW580" s="100">
        <f t="shared" si="615"/>
        <v>0</v>
      </c>
      <c r="AX580" s="100">
        <f t="shared" si="616"/>
        <v>0</v>
      </c>
      <c r="AY580" s="110" t="s">
        <v>1722</v>
      </c>
      <c r="AZ580" s="110" t="s">
        <v>1730</v>
      </c>
      <c r="BA580" s="109" t="s">
        <v>1737</v>
      </c>
      <c r="BC580" s="100">
        <f t="shared" si="617"/>
        <v>0</v>
      </c>
      <c r="BD580" s="100">
        <f t="shared" si="618"/>
        <v>0</v>
      </c>
      <c r="BE580" s="100">
        <v>0</v>
      </c>
      <c r="BF580" s="100">
        <f>580</f>
        <v>580</v>
      </c>
      <c r="BH580" s="108">
        <f t="shared" si="619"/>
        <v>0</v>
      </c>
      <c r="BI580" s="108">
        <f t="shared" si="620"/>
        <v>0</v>
      </c>
      <c r="BJ580" s="108">
        <f t="shared" si="621"/>
        <v>0</v>
      </c>
    </row>
    <row r="581" spans="1:62" x14ac:dyDescent="0.2">
      <c r="A581" s="117" t="s">
        <v>529</v>
      </c>
      <c r="B581" s="117" t="s">
        <v>977</v>
      </c>
      <c r="C581" s="304" t="s">
        <v>1590</v>
      </c>
      <c r="D581" s="305"/>
      <c r="E581" s="305"/>
      <c r="F581" s="117" t="s">
        <v>1644</v>
      </c>
      <c r="G581" s="116">
        <v>1</v>
      </c>
      <c r="H581" s="159"/>
      <c r="I581" s="108">
        <f t="shared" si="598"/>
        <v>0</v>
      </c>
      <c r="J581" s="108">
        <f t="shared" si="599"/>
        <v>0</v>
      </c>
      <c r="K581" s="108">
        <f t="shared" si="600"/>
        <v>0</v>
      </c>
      <c r="L581" s="111"/>
      <c r="Z581" s="100">
        <f t="shared" si="601"/>
        <v>0</v>
      </c>
      <c r="AB581" s="100">
        <f t="shared" si="602"/>
        <v>0</v>
      </c>
      <c r="AC581" s="100">
        <f t="shared" si="603"/>
        <v>0</v>
      </c>
      <c r="AD581" s="100">
        <f t="shared" si="604"/>
        <v>0</v>
      </c>
      <c r="AE581" s="100">
        <f t="shared" si="605"/>
        <v>0</v>
      </c>
      <c r="AF581" s="100">
        <f t="shared" si="606"/>
        <v>0</v>
      </c>
      <c r="AG581" s="100">
        <f t="shared" si="607"/>
        <v>0</v>
      </c>
      <c r="AH581" s="100">
        <f t="shared" si="608"/>
        <v>0</v>
      </c>
      <c r="AI581" s="109"/>
      <c r="AJ581" s="108">
        <f t="shared" si="609"/>
        <v>0</v>
      </c>
      <c r="AK581" s="108">
        <f t="shared" si="610"/>
        <v>0</v>
      </c>
      <c r="AL581" s="108">
        <f t="shared" si="611"/>
        <v>0</v>
      </c>
      <c r="AN581" s="100">
        <v>15</v>
      </c>
      <c r="AO581" s="100">
        <f t="shared" si="612"/>
        <v>0</v>
      </c>
      <c r="AP581" s="100">
        <f t="shared" si="613"/>
        <v>0</v>
      </c>
      <c r="AQ581" s="111" t="s">
        <v>7</v>
      </c>
      <c r="AV581" s="100">
        <f t="shared" si="614"/>
        <v>0</v>
      </c>
      <c r="AW581" s="100">
        <f t="shared" si="615"/>
        <v>0</v>
      </c>
      <c r="AX581" s="100">
        <f t="shared" si="616"/>
        <v>0</v>
      </c>
      <c r="AY581" s="110" t="s">
        <v>1722</v>
      </c>
      <c r="AZ581" s="110" t="s">
        <v>1730</v>
      </c>
      <c r="BA581" s="109" t="s">
        <v>1737</v>
      </c>
      <c r="BC581" s="100">
        <f t="shared" si="617"/>
        <v>0</v>
      </c>
      <c r="BD581" s="100">
        <f t="shared" si="618"/>
        <v>0</v>
      </c>
      <c r="BE581" s="100">
        <v>0</v>
      </c>
      <c r="BF581" s="100">
        <f>581</f>
        <v>581</v>
      </c>
      <c r="BH581" s="108">
        <f t="shared" si="619"/>
        <v>0</v>
      </c>
      <c r="BI581" s="108">
        <f t="shared" si="620"/>
        <v>0</v>
      </c>
      <c r="BJ581" s="108">
        <f t="shared" si="621"/>
        <v>0</v>
      </c>
    </row>
    <row r="582" spans="1:62" x14ac:dyDescent="0.2">
      <c r="A582" s="117" t="s">
        <v>530</v>
      </c>
      <c r="B582" s="117" t="s">
        <v>998</v>
      </c>
      <c r="C582" s="304" t="s">
        <v>1591</v>
      </c>
      <c r="D582" s="305"/>
      <c r="E582" s="305"/>
      <c r="F582" s="117" t="s">
        <v>1644</v>
      </c>
      <c r="G582" s="116">
        <v>1</v>
      </c>
      <c r="H582" s="159"/>
      <c r="I582" s="108">
        <f t="shared" ref="I582:I613" si="622">G582*AO582</f>
        <v>0</v>
      </c>
      <c r="J582" s="108">
        <f t="shared" ref="J582:J613" si="623">G582*AP582</f>
        <v>0</v>
      </c>
      <c r="K582" s="108">
        <f t="shared" ref="K582:K613" si="624">G582*H582</f>
        <v>0</v>
      </c>
      <c r="L582" s="111"/>
      <c r="Z582" s="100">
        <f t="shared" ref="Z582:Z613" si="625">IF(AQ582="5",BJ582,0)</f>
        <v>0</v>
      </c>
      <c r="AB582" s="100">
        <f t="shared" ref="AB582:AB613" si="626">IF(AQ582="1",BH582,0)</f>
        <v>0</v>
      </c>
      <c r="AC582" s="100">
        <f t="shared" ref="AC582:AC613" si="627">IF(AQ582="1",BI582,0)</f>
        <v>0</v>
      </c>
      <c r="AD582" s="100">
        <f t="shared" ref="AD582:AD613" si="628">IF(AQ582="7",BH582,0)</f>
        <v>0</v>
      </c>
      <c r="AE582" s="100">
        <f t="shared" ref="AE582:AE613" si="629">IF(AQ582="7",BI582,0)</f>
        <v>0</v>
      </c>
      <c r="AF582" s="100">
        <f t="shared" ref="AF582:AF613" si="630">IF(AQ582="2",BH582,0)</f>
        <v>0</v>
      </c>
      <c r="AG582" s="100">
        <f t="shared" ref="AG582:AG613" si="631">IF(AQ582="2",BI582,0)</f>
        <v>0</v>
      </c>
      <c r="AH582" s="100">
        <f t="shared" ref="AH582:AH613" si="632">IF(AQ582="0",BJ582,0)</f>
        <v>0</v>
      </c>
      <c r="AI582" s="109"/>
      <c r="AJ582" s="108">
        <f t="shared" ref="AJ582:AJ613" si="633">IF(AN582=0,K582,0)</f>
        <v>0</v>
      </c>
      <c r="AK582" s="108">
        <f t="shared" ref="AK582:AK613" si="634">IF(AN582=15,K582,0)</f>
        <v>0</v>
      </c>
      <c r="AL582" s="108">
        <f t="shared" ref="AL582:AL613" si="635">IF(AN582=21,K582,0)</f>
        <v>0</v>
      </c>
      <c r="AN582" s="100">
        <v>15</v>
      </c>
      <c r="AO582" s="100">
        <f t="shared" ref="AO582:AO613" si="636">H582*0</f>
        <v>0</v>
      </c>
      <c r="AP582" s="100">
        <f t="shared" ref="AP582:AP613" si="637">H582*(1-0)</f>
        <v>0</v>
      </c>
      <c r="AQ582" s="111" t="s">
        <v>7</v>
      </c>
      <c r="AV582" s="100">
        <f t="shared" ref="AV582:AV613" si="638">AW582+AX582</f>
        <v>0</v>
      </c>
      <c r="AW582" s="100">
        <f t="shared" ref="AW582:AW613" si="639">G582*AO582</f>
        <v>0</v>
      </c>
      <c r="AX582" s="100">
        <f t="shared" ref="AX582:AX613" si="640">G582*AP582</f>
        <v>0</v>
      </c>
      <c r="AY582" s="110" t="s">
        <v>1722</v>
      </c>
      <c r="AZ582" s="110" t="s">
        <v>1730</v>
      </c>
      <c r="BA582" s="109" t="s">
        <v>1737</v>
      </c>
      <c r="BC582" s="100">
        <f t="shared" ref="BC582:BC613" si="641">AW582+AX582</f>
        <v>0</v>
      </c>
      <c r="BD582" s="100">
        <f t="shared" ref="BD582:BD613" si="642">H582/(100-BE582)*100</f>
        <v>0</v>
      </c>
      <c r="BE582" s="100">
        <v>0</v>
      </c>
      <c r="BF582" s="100">
        <f>582</f>
        <v>582</v>
      </c>
      <c r="BH582" s="108">
        <f t="shared" ref="BH582:BH613" si="643">G582*AO582</f>
        <v>0</v>
      </c>
      <c r="BI582" s="108">
        <f t="shared" ref="BI582:BI613" si="644">G582*AP582</f>
        <v>0</v>
      </c>
      <c r="BJ582" s="108">
        <f t="shared" ref="BJ582:BJ613" si="645">G582*H582</f>
        <v>0</v>
      </c>
    </row>
    <row r="583" spans="1:62" x14ac:dyDescent="0.2">
      <c r="A583" s="117" t="s">
        <v>531</v>
      </c>
      <c r="B583" s="117" t="s">
        <v>999</v>
      </c>
      <c r="C583" s="304" t="s">
        <v>1586</v>
      </c>
      <c r="D583" s="305"/>
      <c r="E583" s="305"/>
      <c r="F583" s="117" t="s">
        <v>1644</v>
      </c>
      <c r="G583" s="116">
        <v>2</v>
      </c>
      <c r="H583" s="159"/>
      <c r="I583" s="108">
        <f t="shared" si="622"/>
        <v>0</v>
      </c>
      <c r="J583" s="108">
        <f t="shared" si="623"/>
        <v>0</v>
      </c>
      <c r="K583" s="108">
        <f t="shared" si="624"/>
        <v>0</v>
      </c>
      <c r="L583" s="111"/>
      <c r="Z583" s="100">
        <f t="shared" si="625"/>
        <v>0</v>
      </c>
      <c r="AB583" s="100">
        <f t="shared" si="626"/>
        <v>0</v>
      </c>
      <c r="AC583" s="100">
        <f t="shared" si="627"/>
        <v>0</v>
      </c>
      <c r="AD583" s="100">
        <f t="shared" si="628"/>
        <v>0</v>
      </c>
      <c r="AE583" s="100">
        <f t="shared" si="629"/>
        <v>0</v>
      </c>
      <c r="AF583" s="100">
        <f t="shared" si="630"/>
        <v>0</v>
      </c>
      <c r="AG583" s="100">
        <f t="shared" si="631"/>
        <v>0</v>
      </c>
      <c r="AH583" s="100">
        <f t="shared" si="632"/>
        <v>0</v>
      </c>
      <c r="AI583" s="109"/>
      <c r="AJ583" s="108">
        <f t="shared" si="633"/>
        <v>0</v>
      </c>
      <c r="AK583" s="108">
        <f t="shared" si="634"/>
        <v>0</v>
      </c>
      <c r="AL583" s="108">
        <f t="shared" si="635"/>
        <v>0</v>
      </c>
      <c r="AN583" s="100">
        <v>15</v>
      </c>
      <c r="AO583" s="100">
        <f t="shared" si="636"/>
        <v>0</v>
      </c>
      <c r="AP583" s="100">
        <f t="shared" si="637"/>
        <v>0</v>
      </c>
      <c r="AQ583" s="111" t="s">
        <v>7</v>
      </c>
      <c r="AV583" s="100">
        <f t="shared" si="638"/>
        <v>0</v>
      </c>
      <c r="AW583" s="100">
        <f t="shared" si="639"/>
        <v>0</v>
      </c>
      <c r="AX583" s="100">
        <f t="shared" si="640"/>
        <v>0</v>
      </c>
      <c r="AY583" s="110" t="s">
        <v>1722</v>
      </c>
      <c r="AZ583" s="110" t="s">
        <v>1730</v>
      </c>
      <c r="BA583" s="109" t="s">
        <v>1737</v>
      </c>
      <c r="BC583" s="100">
        <f t="shared" si="641"/>
        <v>0</v>
      </c>
      <c r="BD583" s="100">
        <f t="shared" si="642"/>
        <v>0</v>
      </c>
      <c r="BE583" s="100">
        <v>0</v>
      </c>
      <c r="BF583" s="100">
        <f>583</f>
        <v>583</v>
      </c>
      <c r="BH583" s="108">
        <f t="shared" si="643"/>
        <v>0</v>
      </c>
      <c r="BI583" s="108">
        <f t="shared" si="644"/>
        <v>0</v>
      </c>
      <c r="BJ583" s="108">
        <f t="shared" si="645"/>
        <v>0</v>
      </c>
    </row>
    <row r="584" spans="1:62" x14ac:dyDescent="0.2">
      <c r="A584" s="117" t="s">
        <v>532</v>
      </c>
      <c r="B584" s="117" t="s">
        <v>999</v>
      </c>
      <c r="C584" s="304" t="s">
        <v>1587</v>
      </c>
      <c r="D584" s="305"/>
      <c r="E584" s="305"/>
      <c r="F584" s="117" t="s">
        <v>1644</v>
      </c>
      <c r="G584" s="116">
        <v>2</v>
      </c>
      <c r="H584" s="159"/>
      <c r="I584" s="108">
        <f t="shared" si="622"/>
        <v>0</v>
      </c>
      <c r="J584" s="108">
        <f t="shared" si="623"/>
        <v>0</v>
      </c>
      <c r="K584" s="108">
        <f t="shared" si="624"/>
        <v>0</v>
      </c>
      <c r="L584" s="111"/>
      <c r="Z584" s="100">
        <f t="shared" si="625"/>
        <v>0</v>
      </c>
      <c r="AB584" s="100">
        <f t="shared" si="626"/>
        <v>0</v>
      </c>
      <c r="AC584" s="100">
        <f t="shared" si="627"/>
        <v>0</v>
      </c>
      <c r="AD584" s="100">
        <f t="shared" si="628"/>
        <v>0</v>
      </c>
      <c r="AE584" s="100">
        <f t="shared" si="629"/>
        <v>0</v>
      </c>
      <c r="AF584" s="100">
        <f t="shared" si="630"/>
        <v>0</v>
      </c>
      <c r="AG584" s="100">
        <f t="shared" si="631"/>
        <v>0</v>
      </c>
      <c r="AH584" s="100">
        <f t="shared" si="632"/>
        <v>0</v>
      </c>
      <c r="AI584" s="109"/>
      <c r="AJ584" s="108">
        <f t="shared" si="633"/>
        <v>0</v>
      </c>
      <c r="AK584" s="108">
        <f t="shared" si="634"/>
        <v>0</v>
      </c>
      <c r="AL584" s="108">
        <f t="shared" si="635"/>
        <v>0</v>
      </c>
      <c r="AN584" s="100">
        <v>15</v>
      </c>
      <c r="AO584" s="100">
        <f t="shared" si="636"/>
        <v>0</v>
      </c>
      <c r="AP584" s="100">
        <f t="shared" si="637"/>
        <v>0</v>
      </c>
      <c r="AQ584" s="111" t="s">
        <v>7</v>
      </c>
      <c r="AV584" s="100">
        <f t="shared" si="638"/>
        <v>0</v>
      </c>
      <c r="AW584" s="100">
        <f t="shared" si="639"/>
        <v>0</v>
      </c>
      <c r="AX584" s="100">
        <f t="shared" si="640"/>
        <v>0</v>
      </c>
      <c r="AY584" s="110" t="s">
        <v>1722</v>
      </c>
      <c r="AZ584" s="110" t="s">
        <v>1730</v>
      </c>
      <c r="BA584" s="109" t="s">
        <v>1737</v>
      </c>
      <c r="BC584" s="100">
        <f t="shared" si="641"/>
        <v>0</v>
      </c>
      <c r="BD584" s="100">
        <f t="shared" si="642"/>
        <v>0</v>
      </c>
      <c r="BE584" s="100">
        <v>0</v>
      </c>
      <c r="BF584" s="100">
        <f>584</f>
        <v>584</v>
      </c>
      <c r="BH584" s="108">
        <f t="shared" si="643"/>
        <v>0</v>
      </c>
      <c r="BI584" s="108">
        <f t="shared" si="644"/>
        <v>0</v>
      </c>
      <c r="BJ584" s="108">
        <f t="shared" si="645"/>
        <v>0</v>
      </c>
    </row>
    <row r="585" spans="1:62" x14ac:dyDescent="0.2">
      <c r="A585" s="117" t="s">
        <v>533</v>
      </c>
      <c r="B585" s="117" t="s">
        <v>1000</v>
      </c>
      <c r="C585" s="304" t="s">
        <v>1581</v>
      </c>
      <c r="D585" s="305"/>
      <c r="E585" s="305"/>
      <c r="F585" s="117" t="s">
        <v>1644</v>
      </c>
      <c r="G585" s="116">
        <v>1</v>
      </c>
      <c r="H585" s="159"/>
      <c r="I585" s="108">
        <f t="shared" si="622"/>
        <v>0</v>
      </c>
      <c r="J585" s="108">
        <f t="shared" si="623"/>
        <v>0</v>
      </c>
      <c r="K585" s="108">
        <f t="shared" si="624"/>
        <v>0</v>
      </c>
      <c r="L585" s="111"/>
      <c r="Z585" s="100">
        <f t="shared" si="625"/>
        <v>0</v>
      </c>
      <c r="AB585" s="100">
        <f t="shared" si="626"/>
        <v>0</v>
      </c>
      <c r="AC585" s="100">
        <f t="shared" si="627"/>
        <v>0</v>
      </c>
      <c r="AD585" s="100">
        <f t="shared" si="628"/>
        <v>0</v>
      </c>
      <c r="AE585" s="100">
        <f t="shared" si="629"/>
        <v>0</v>
      </c>
      <c r="AF585" s="100">
        <f t="shared" si="630"/>
        <v>0</v>
      </c>
      <c r="AG585" s="100">
        <f t="shared" si="631"/>
        <v>0</v>
      </c>
      <c r="AH585" s="100">
        <f t="shared" si="632"/>
        <v>0</v>
      </c>
      <c r="AI585" s="109"/>
      <c r="AJ585" s="108">
        <f t="shared" si="633"/>
        <v>0</v>
      </c>
      <c r="AK585" s="108">
        <f t="shared" si="634"/>
        <v>0</v>
      </c>
      <c r="AL585" s="108">
        <f t="shared" si="635"/>
        <v>0</v>
      </c>
      <c r="AN585" s="100">
        <v>15</v>
      </c>
      <c r="AO585" s="100">
        <f t="shared" si="636"/>
        <v>0</v>
      </c>
      <c r="AP585" s="100">
        <f t="shared" si="637"/>
        <v>0</v>
      </c>
      <c r="AQ585" s="111" t="s">
        <v>7</v>
      </c>
      <c r="AV585" s="100">
        <f t="shared" si="638"/>
        <v>0</v>
      </c>
      <c r="AW585" s="100">
        <f t="shared" si="639"/>
        <v>0</v>
      </c>
      <c r="AX585" s="100">
        <f t="shared" si="640"/>
        <v>0</v>
      </c>
      <c r="AY585" s="110" t="s">
        <v>1722</v>
      </c>
      <c r="AZ585" s="110" t="s">
        <v>1730</v>
      </c>
      <c r="BA585" s="109" t="s">
        <v>1737</v>
      </c>
      <c r="BC585" s="100">
        <f t="shared" si="641"/>
        <v>0</v>
      </c>
      <c r="BD585" s="100">
        <f t="shared" si="642"/>
        <v>0</v>
      </c>
      <c r="BE585" s="100">
        <v>0</v>
      </c>
      <c r="BF585" s="100">
        <f>585</f>
        <v>585</v>
      </c>
      <c r="BH585" s="108">
        <f t="shared" si="643"/>
        <v>0</v>
      </c>
      <c r="BI585" s="108">
        <f t="shared" si="644"/>
        <v>0</v>
      </c>
      <c r="BJ585" s="108">
        <f t="shared" si="645"/>
        <v>0</v>
      </c>
    </row>
    <row r="586" spans="1:62" x14ac:dyDescent="0.2">
      <c r="A586" s="117" t="s">
        <v>534</v>
      </c>
      <c r="B586" s="117" t="s">
        <v>1001</v>
      </c>
      <c r="C586" s="304" t="s">
        <v>1592</v>
      </c>
      <c r="D586" s="305"/>
      <c r="E586" s="305"/>
      <c r="F586" s="117" t="s">
        <v>1644</v>
      </c>
      <c r="G586" s="116">
        <v>1</v>
      </c>
      <c r="H586" s="159"/>
      <c r="I586" s="108">
        <f t="shared" si="622"/>
        <v>0</v>
      </c>
      <c r="J586" s="108">
        <f t="shared" si="623"/>
        <v>0</v>
      </c>
      <c r="K586" s="108">
        <f t="shared" si="624"/>
        <v>0</v>
      </c>
      <c r="L586" s="111"/>
      <c r="Z586" s="100">
        <f t="shared" si="625"/>
        <v>0</v>
      </c>
      <c r="AB586" s="100">
        <f t="shared" si="626"/>
        <v>0</v>
      </c>
      <c r="AC586" s="100">
        <f t="shared" si="627"/>
        <v>0</v>
      </c>
      <c r="AD586" s="100">
        <f t="shared" si="628"/>
        <v>0</v>
      </c>
      <c r="AE586" s="100">
        <f t="shared" si="629"/>
        <v>0</v>
      </c>
      <c r="AF586" s="100">
        <f t="shared" si="630"/>
        <v>0</v>
      </c>
      <c r="AG586" s="100">
        <f t="shared" si="631"/>
        <v>0</v>
      </c>
      <c r="AH586" s="100">
        <f t="shared" si="632"/>
        <v>0</v>
      </c>
      <c r="AI586" s="109"/>
      <c r="AJ586" s="108">
        <f t="shared" si="633"/>
        <v>0</v>
      </c>
      <c r="AK586" s="108">
        <f t="shared" si="634"/>
        <v>0</v>
      </c>
      <c r="AL586" s="108">
        <f t="shared" si="635"/>
        <v>0</v>
      </c>
      <c r="AN586" s="100">
        <v>15</v>
      </c>
      <c r="AO586" s="100">
        <f t="shared" si="636"/>
        <v>0</v>
      </c>
      <c r="AP586" s="100">
        <f t="shared" si="637"/>
        <v>0</v>
      </c>
      <c r="AQ586" s="111" t="s">
        <v>7</v>
      </c>
      <c r="AV586" s="100">
        <f t="shared" si="638"/>
        <v>0</v>
      </c>
      <c r="AW586" s="100">
        <f t="shared" si="639"/>
        <v>0</v>
      </c>
      <c r="AX586" s="100">
        <f t="shared" si="640"/>
        <v>0</v>
      </c>
      <c r="AY586" s="110" t="s">
        <v>1722</v>
      </c>
      <c r="AZ586" s="110" t="s">
        <v>1730</v>
      </c>
      <c r="BA586" s="109" t="s">
        <v>1737</v>
      </c>
      <c r="BC586" s="100">
        <f t="shared" si="641"/>
        <v>0</v>
      </c>
      <c r="BD586" s="100">
        <f t="shared" si="642"/>
        <v>0</v>
      </c>
      <c r="BE586" s="100">
        <v>0</v>
      </c>
      <c r="BF586" s="100">
        <f>586</f>
        <v>586</v>
      </c>
      <c r="BH586" s="108">
        <f t="shared" si="643"/>
        <v>0</v>
      </c>
      <c r="BI586" s="108">
        <f t="shared" si="644"/>
        <v>0</v>
      </c>
      <c r="BJ586" s="108">
        <f t="shared" si="645"/>
        <v>0</v>
      </c>
    </row>
    <row r="587" spans="1:62" x14ac:dyDescent="0.2">
      <c r="A587" s="117" t="s">
        <v>535</v>
      </c>
      <c r="B587" s="117" t="s">
        <v>1002</v>
      </c>
      <c r="C587" s="304" t="s">
        <v>1593</v>
      </c>
      <c r="D587" s="305"/>
      <c r="E587" s="305"/>
      <c r="F587" s="117" t="s">
        <v>1644</v>
      </c>
      <c r="G587" s="116">
        <v>1</v>
      </c>
      <c r="H587" s="159"/>
      <c r="I587" s="108">
        <f t="shared" si="622"/>
        <v>0</v>
      </c>
      <c r="J587" s="108">
        <f t="shared" si="623"/>
        <v>0</v>
      </c>
      <c r="K587" s="108">
        <f t="shared" si="624"/>
        <v>0</v>
      </c>
      <c r="L587" s="111"/>
      <c r="Z587" s="100">
        <f t="shared" si="625"/>
        <v>0</v>
      </c>
      <c r="AB587" s="100">
        <f t="shared" si="626"/>
        <v>0</v>
      </c>
      <c r="AC587" s="100">
        <f t="shared" si="627"/>
        <v>0</v>
      </c>
      <c r="AD587" s="100">
        <f t="shared" si="628"/>
        <v>0</v>
      </c>
      <c r="AE587" s="100">
        <f t="shared" si="629"/>
        <v>0</v>
      </c>
      <c r="AF587" s="100">
        <f t="shared" si="630"/>
        <v>0</v>
      </c>
      <c r="AG587" s="100">
        <f t="shared" si="631"/>
        <v>0</v>
      </c>
      <c r="AH587" s="100">
        <f t="shared" si="632"/>
        <v>0</v>
      </c>
      <c r="AI587" s="109"/>
      <c r="AJ587" s="108">
        <f t="shared" si="633"/>
        <v>0</v>
      </c>
      <c r="AK587" s="108">
        <f t="shared" si="634"/>
        <v>0</v>
      </c>
      <c r="AL587" s="108">
        <f t="shared" si="635"/>
        <v>0</v>
      </c>
      <c r="AN587" s="100">
        <v>15</v>
      </c>
      <c r="AO587" s="100">
        <f t="shared" si="636"/>
        <v>0</v>
      </c>
      <c r="AP587" s="100">
        <f t="shared" si="637"/>
        <v>0</v>
      </c>
      <c r="AQ587" s="111" t="s">
        <v>7</v>
      </c>
      <c r="AV587" s="100">
        <f t="shared" si="638"/>
        <v>0</v>
      </c>
      <c r="AW587" s="100">
        <f t="shared" si="639"/>
        <v>0</v>
      </c>
      <c r="AX587" s="100">
        <f t="shared" si="640"/>
        <v>0</v>
      </c>
      <c r="AY587" s="110" t="s">
        <v>1722</v>
      </c>
      <c r="AZ587" s="110" t="s">
        <v>1730</v>
      </c>
      <c r="BA587" s="109" t="s">
        <v>1737</v>
      </c>
      <c r="BC587" s="100">
        <f t="shared" si="641"/>
        <v>0</v>
      </c>
      <c r="BD587" s="100">
        <f t="shared" si="642"/>
        <v>0</v>
      </c>
      <c r="BE587" s="100">
        <v>0</v>
      </c>
      <c r="BF587" s="100">
        <f>587</f>
        <v>587</v>
      </c>
      <c r="BH587" s="108">
        <f t="shared" si="643"/>
        <v>0</v>
      </c>
      <c r="BI587" s="108">
        <f t="shared" si="644"/>
        <v>0</v>
      </c>
      <c r="BJ587" s="108">
        <f t="shared" si="645"/>
        <v>0</v>
      </c>
    </row>
    <row r="588" spans="1:62" x14ac:dyDescent="0.2">
      <c r="A588" s="117" t="s">
        <v>536</v>
      </c>
      <c r="B588" s="117" t="s">
        <v>1003</v>
      </c>
      <c r="C588" s="304" t="s">
        <v>1594</v>
      </c>
      <c r="D588" s="305"/>
      <c r="E588" s="305"/>
      <c r="F588" s="117" t="s">
        <v>1644</v>
      </c>
      <c r="G588" s="116">
        <v>1</v>
      </c>
      <c r="H588" s="159"/>
      <c r="I588" s="108">
        <f t="shared" si="622"/>
        <v>0</v>
      </c>
      <c r="J588" s="108">
        <f t="shared" si="623"/>
        <v>0</v>
      </c>
      <c r="K588" s="108">
        <f t="shared" si="624"/>
        <v>0</v>
      </c>
      <c r="L588" s="111"/>
      <c r="Z588" s="100">
        <f t="shared" si="625"/>
        <v>0</v>
      </c>
      <c r="AB588" s="100">
        <f t="shared" si="626"/>
        <v>0</v>
      </c>
      <c r="AC588" s="100">
        <f t="shared" si="627"/>
        <v>0</v>
      </c>
      <c r="AD588" s="100">
        <f t="shared" si="628"/>
        <v>0</v>
      </c>
      <c r="AE588" s="100">
        <f t="shared" si="629"/>
        <v>0</v>
      </c>
      <c r="AF588" s="100">
        <f t="shared" si="630"/>
        <v>0</v>
      </c>
      <c r="AG588" s="100">
        <f t="shared" si="631"/>
        <v>0</v>
      </c>
      <c r="AH588" s="100">
        <f t="shared" si="632"/>
        <v>0</v>
      </c>
      <c r="AI588" s="109"/>
      <c r="AJ588" s="108">
        <f t="shared" si="633"/>
        <v>0</v>
      </c>
      <c r="AK588" s="108">
        <f t="shared" si="634"/>
        <v>0</v>
      </c>
      <c r="AL588" s="108">
        <f t="shared" si="635"/>
        <v>0</v>
      </c>
      <c r="AN588" s="100">
        <v>15</v>
      </c>
      <c r="AO588" s="100">
        <f t="shared" si="636"/>
        <v>0</v>
      </c>
      <c r="AP588" s="100">
        <f t="shared" si="637"/>
        <v>0</v>
      </c>
      <c r="AQ588" s="111" t="s">
        <v>7</v>
      </c>
      <c r="AV588" s="100">
        <f t="shared" si="638"/>
        <v>0</v>
      </c>
      <c r="AW588" s="100">
        <f t="shared" si="639"/>
        <v>0</v>
      </c>
      <c r="AX588" s="100">
        <f t="shared" si="640"/>
        <v>0</v>
      </c>
      <c r="AY588" s="110" t="s">
        <v>1722</v>
      </c>
      <c r="AZ588" s="110" t="s">
        <v>1730</v>
      </c>
      <c r="BA588" s="109" t="s">
        <v>1737</v>
      </c>
      <c r="BC588" s="100">
        <f t="shared" si="641"/>
        <v>0</v>
      </c>
      <c r="BD588" s="100">
        <f t="shared" si="642"/>
        <v>0</v>
      </c>
      <c r="BE588" s="100">
        <v>0</v>
      </c>
      <c r="BF588" s="100">
        <f>588</f>
        <v>588</v>
      </c>
      <c r="BH588" s="108">
        <f t="shared" si="643"/>
        <v>0</v>
      </c>
      <c r="BI588" s="108">
        <f t="shared" si="644"/>
        <v>0</v>
      </c>
      <c r="BJ588" s="108">
        <f t="shared" si="645"/>
        <v>0</v>
      </c>
    </row>
    <row r="589" spans="1:62" x14ac:dyDescent="0.2">
      <c r="A589" s="117" t="s">
        <v>537</v>
      </c>
      <c r="B589" s="117" t="s">
        <v>1003</v>
      </c>
      <c r="C589" s="304" t="s">
        <v>1595</v>
      </c>
      <c r="D589" s="305"/>
      <c r="E589" s="305"/>
      <c r="F589" s="117" t="s">
        <v>1644</v>
      </c>
      <c r="G589" s="116">
        <v>1</v>
      </c>
      <c r="H589" s="159"/>
      <c r="I589" s="108">
        <f t="shared" si="622"/>
        <v>0</v>
      </c>
      <c r="J589" s="108">
        <f t="shared" si="623"/>
        <v>0</v>
      </c>
      <c r="K589" s="108">
        <f t="shared" si="624"/>
        <v>0</v>
      </c>
      <c r="L589" s="111"/>
      <c r="Z589" s="100">
        <f t="shared" si="625"/>
        <v>0</v>
      </c>
      <c r="AB589" s="100">
        <f t="shared" si="626"/>
        <v>0</v>
      </c>
      <c r="AC589" s="100">
        <f t="shared" si="627"/>
        <v>0</v>
      </c>
      <c r="AD589" s="100">
        <f t="shared" si="628"/>
        <v>0</v>
      </c>
      <c r="AE589" s="100">
        <f t="shared" si="629"/>
        <v>0</v>
      </c>
      <c r="AF589" s="100">
        <f t="shared" si="630"/>
        <v>0</v>
      </c>
      <c r="AG589" s="100">
        <f t="shared" si="631"/>
        <v>0</v>
      </c>
      <c r="AH589" s="100">
        <f t="shared" si="632"/>
        <v>0</v>
      </c>
      <c r="AI589" s="109"/>
      <c r="AJ589" s="108">
        <f t="shared" si="633"/>
        <v>0</v>
      </c>
      <c r="AK589" s="108">
        <f t="shared" si="634"/>
        <v>0</v>
      </c>
      <c r="AL589" s="108">
        <f t="shared" si="635"/>
        <v>0</v>
      </c>
      <c r="AN589" s="100">
        <v>15</v>
      </c>
      <c r="AO589" s="100">
        <f t="shared" si="636"/>
        <v>0</v>
      </c>
      <c r="AP589" s="100">
        <f t="shared" si="637"/>
        <v>0</v>
      </c>
      <c r="AQ589" s="111" t="s">
        <v>7</v>
      </c>
      <c r="AV589" s="100">
        <f t="shared" si="638"/>
        <v>0</v>
      </c>
      <c r="AW589" s="100">
        <f t="shared" si="639"/>
        <v>0</v>
      </c>
      <c r="AX589" s="100">
        <f t="shared" si="640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641"/>
        <v>0</v>
      </c>
      <c r="BD589" s="100">
        <f t="shared" si="642"/>
        <v>0</v>
      </c>
      <c r="BE589" s="100">
        <v>0</v>
      </c>
      <c r="BF589" s="100">
        <f>589</f>
        <v>589</v>
      </c>
      <c r="BH589" s="108">
        <f t="shared" si="643"/>
        <v>0</v>
      </c>
      <c r="BI589" s="108">
        <f t="shared" si="644"/>
        <v>0</v>
      </c>
      <c r="BJ589" s="108">
        <f t="shared" si="645"/>
        <v>0</v>
      </c>
    </row>
    <row r="590" spans="1:62" x14ac:dyDescent="0.2">
      <c r="A590" s="117" t="s">
        <v>538</v>
      </c>
      <c r="B590" s="117" t="s">
        <v>1004</v>
      </c>
      <c r="C590" s="304" t="s">
        <v>1596</v>
      </c>
      <c r="D590" s="305"/>
      <c r="E590" s="305"/>
      <c r="F590" s="117" t="s">
        <v>1644</v>
      </c>
      <c r="G590" s="116">
        <v>1</v>
      </c>
      <c r="H590" s="159"/>
      <c r="I590" s="108">
        <f t="shared" si="622"/>
        <v>0</v>
      </c>
      <c r="J590" s="108">
        <f t="shared" si="623"/>
        <v>0</v>
      </c>
      <c r="K590" s="108">
        <f t="shared" si="624"/>
        <v>0</v>
      </c>
      <c r="L590" s="111"/>
      <c r="Z590" s="100">
        <f t="shared" si="625"/>
        <v>0</v>
      </c>
      <c r="AB590" s="100">
        <f t="shared" si="626"/>
        <v>0</v>
      </c>
      <c r="AC590" s="100">
        <f t="shared" si="627"/>
        <v>0</v>
      </c>
      <c r="AD590" s="100">
        <f t="shared" si="628"/>
        <v>0</v>
      </c>
      <c r="AE590" s="100">
        <f t="shared" si="629"/>
        <v>0</v>
      </c>
      <c r="AF590" s="100">
        <f t="shared" si="630"/>
        <v>0</v>
      </c>
      <c r="AG590" s="100">
        <f t="shared" si="631"/>
        <v>0</v>
      </c>
      <c r="AH590" s="100">
        <f t="shared" si="632"/>
        <v>0</v>
      </c>
      <c r="AI590" s="109"/>
      <c r="AJ590" s="108">
        <f t="shared" si="633"/>
        <v>0</v>
      </c>
      <c r="AK590" s="108">
        <f t="shared" si="634"/>
        <v>0</v>
      </c>
      <c r="AL590" s="108">
        <f t="shared" si="635"/>
        <v>0</v>
      </c>
      <c r="AN590" s="100">
        <v>15</v>
      </c>
      <c r="AO590" s="100">
        <f t="shared" si="636"/>
        <v>0</v>
      </c>
      <c r="AP590" s="100">
        <f t="shared" si="637"/>
        <v>0</v>
      </c>
      <c r="AQ590" s="111" t="s">
        <v>7</v>
      </c>
      <c r="AV590" s="100">
        <f t="shared" si="638"/>
        <v>0</v>
      </c>
      <c r="AW590" s="100">
        <f t="shared" si="639"/>
        <v>0</v>
      </c>
      <c r="AX590" s="100">
        <f t="shared" si="640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641"/>
        <v>0</v>
      </c>
      <c r="BD590" s="100">
        <f t="shared" si="642"/>
        <v>0</v>
      </c>
      <c r="BE590" s="100">
        <v>0</v>
      </c>
      <c r="BF590" s="100">
        <f>590</f>
        <v>590</v>
      </c>
      <c r="BH590" s="108">
        <f t="shared" si="643"/>
        <v>0</v>
      </c>
      <c r="BI590" s="108">
        <f t="shared" si="644"/>
        <v>0</v>
      </c>
      <c r="BJ590" s="108">
        <f t="shared" si="645"/>
        <v>0</v>
      </c>
    </row>
    <row r="591" spans="1:62" x14ac:dyDescent="0.2">
      <c r="A591" s="117" t="s">
        <v>539</v>
      </c>
      <c r="B591" s="117" t="s">
        <v>1005</v>
      </c>
      <c r="C591" s="304" t="s">
        <v>1597</v>
      </c>
      <c r="D591" s="305"/>
      <c r="E591" s="305"/>
      <c r="F591" s="117" t="s">
        <v>1644</v>
      </c>
      <c r="G591" s="116">
        <v>1</v>
      </c>
      <c r="H591" s="159"/>
      <c r="I591" s="108">
        <f t="shared" si="622"/>
        <v>0</v>
      </c>
      <c r="J591" s="108">
        <f t="shared" si="623"/>
        <v>0</v>
      </c>
      <c r="K591" s="108">
        <f t="shared" si="624"/>
        <v>0</v>
      </c>
      <c r="L591" s="111"/>
      <c r="Z591" s="100">
        <f t="shared" si="625"/>
        <v>0</v>
      </c>
      <c r="AB591" s="100">
        <f t="shared" si="626"/>
        <v>0</v>
      </c>
      <c r="AC591" s="100">
        <f t="shared" si="627"/>
        <v>0</v>
      </c>
      <c r="AD591" s="100">
        <f t="shared" si="628"/>
        <v>0</v>
      </c>
      <c r="AE591" s="100">
        <f t="shared" si="629"/>
        <v>0</v>
      </c>
      <c r="AF591" s="100">
        <f t="shared" si="630"/>
        <v>0</v>
      </c>
      <c r="AG591" s="100">
        <f t="shared" si="631"/>
        <v>0</v>
      </c>
      <c r="AH591" s="100">
        <f t="shared" si="632"/>
        <v>0</v>
      </c>
      <c r="AI591" s="109"/>
      <c r="AJ591" s="108">
        <f t="shared" si="633"/>
        <v>0</v>
      </c>
      <c r="AK591" s="108">
        <f t="shared" si="634"/>
        <v>0</v>
      </c>
      <c r="AL591" s="108">
        <f t="shared" si="635"/>
        <v>0</v>
      </c>
      <c r="AN591" s="100">
        <v>15</v>
      </c>
      <c r="AO591" s="100">
        <f t="shared" si="636"/>
        <v>0</v>
      </c>
      <c r="AP591" s="100">
        <f t="shared" si="637"/>
        <v>0</v>
      </c>
      <c r="AQ591" s="111" t="s">
        <v>7</v>
      </c>
      <c r="AV591" s="100">
        <f t="shared" si="638"/>
        <v>0</v>
      </c>
      <c r="AW591" s="100">
        <f t="shared" si="639"/>
        <v>0</v>
      </c>
      <c r="AX591" s="100">
        <f t="shared" si="640"/>
        <v>0</v>
      </c>
      <c r="AY591" s="110" t="s">
        <v>1722</v>
      </c>
      <c r="AZ591" s="110" t="s">
        <v>1730</v>
      </c>
      <c r="BA591" s="109" t="s">
        <v>1737</v>
      </c>
      <c r="BC591" s="100">
        <f t="shared" si="641"/>
        <v>0</v>
      </c>
      <c r="BD591" s="100">
        <f t="shared" si="642"/>
        <v>0</v>
      </c>
      <c r="BE591" s="100">
        <v>0</v>
      </c>
      <c r="BF591" s="100">
        <f>591</f>
        <v>591</v>
      </c>
      <c r="BH591" s="108">
        <f t="shared" si="643"/>
        <v>0</v>
      </c>
      <c r="BI591" s="108">
        <f t="shared" si="644"/>
        <v>0</v>
      </c>
      <c r="BJ591" s="108">
        <f t="shared" si="645"/>
        <v>0</v>
      </c>
    </row>
    <row r="592" spans="1:62" x14ac:dyDescent="0.2">
      <c r="A592" s="117" t="s">
        <v>540</v>
      </c>
      <c r="B592" s="117" t="s">
        <v>1006</v>
      </c>
      <c r="C592" s="304" t="s">
        <v>1598</v>
      </c>
      <c r="D592" s="305"/>
      <c r="E592" s="305"/>
      <c r="F592" s="117" t="s">
        <v>1644</v>
      </c>
      <c r="G592" s="116">
        <v>1</v>
      </c>
      <c r="H592" s="159"/>
      <c r="I592" s="108">
        <f t="shared" si="622"/>
        <v>0</v>
      </c>
      <c r="J592" s="108">
        <f t="shared" si="623"/>
        <v>0</v>
      </c>
      <c r="K592" s="108">
        <f t="shared" si="624"/>
        <v>0</v>
      </c>
      <c r="L592" s="111"/>
      <c r="Z592" s="100">
        <f t="shared" si="625"/>
        <v>0</v>
      </c>
      <c r="AB592" s="100">
        <f t="shared" si="626"/>
        <v>0</v>
      </c>
      <c r="AC592" s="100">
        <f t="shared" si="627"/>
        <v>0</v>
      </c>
      <c r="AD592" s="100">
        <f t="shared" si="628"/>
        <v>0</v>
      </c>
      <c r="AE592" s="100">
        <f t="shared" si="629"/>
        <v>0</v>
      </c>
      <c r="AF592" s="100">
        <f t="shared" si="630"/>
        <v>0</v>
      </c>
      <c r="AG592" s="100">
        <f t="shared" si="631"/>
        <v>0</v>
      </c>
      <c r="AH592" s="100">
        <f t="shared" si="632"/>
        <v>0</v>
      </c>
      <c r="AI592" s="109"/>
      <c r="AJ592" s="108">
        <f t="shared" si="633"/>
        <v>0</v>
      </c>
      <c r="AK592" s="108">
        <f t="shared" si="634"/>
        <v>0</v>
      </c>
      <c r="AL592" s="108">
        <f t="shared" si="635"/>
        <v>0</v>
      </c>
      <c r="AN592" s="100">
        <v>15</v>
      </c>
      <c r="AO592" s="100">
        <f t="shared" si="636"/>
        <v>0</v>
      </c>
      <c r="AP592" s="100">
        <f t="shared" si="637"/>
        <v>0</v>
      </c>
      <c r="AQ592" s="111" t="s">
        <v>7</v>
      </c>
      <c r="AV592" s="100">
        <f t="shared" si="638"/>
        <v>0</v>
      </c>
      <c r="AW592" s="100">
        <f t="shared" si="639"/>
        <v>0</v>
      </c>
      <c r="AX592" s="100">
        <f t="shared" si="640"/>
        <v>0</v>
      </c>
      <c r="AY592" s="110" t="s">
        <v>1722</v>
      </c>
      <c r="AZ592" s="110" t="s">
        <v>1730</v>
      </c>
      <c r="BA592" s="109" t="s">
        <v>1737</v>
      </c>
      <c r="BC592" s="100">
        <f t="shared" si="641"/>
        <v>0</v>
      </c>
      <c r="BD592" s="100">
        <f t="shared" si="642"/>
        <v>0</v>
      </c>
      <c r="BE592" s="100">
        <v>0</v>
      </c>
      <c r="BF592" s="100">
        <f>592</f>
        <v>592</v>
      </c>
      <c r="BH592" s="108">
        <f t="shared" si="643"/>
        <v>0</v>
      </c>
      <c r="BI592" s="108">
        <f t="shared" si="644"/>
        <v>0</v>
      </c>
      <c r="BJ592" s="108">
        <f t="shared" si="645"/>
        <v>0</v>
      </c>
    </row>
    <row r="593" spans="1:62" x14ac:dyDescent="0.2">
      <c r="A593" s="117" t="s">
        <v>541</v>
      </c>
      <c r="B593" s="117" t="s">
        <v>1007</v>
      </c>
      <c r="C593" s="304" t="s">
        <v>1599</v>
      </c>
      <c r="D593" s="305"/>
      <c r="E593" s="305"/>
      <c r="F593" s="117" t="s">
        <v>1644</v>
      </c>
      <c r="G593" s="116">
        <v>1</v>
      </c>
      <c r="H593" s="159"/>
      <c r="I593" s="108">
        <f t="shared" si="622"/>
        <v>0</v>
      </c>
      <c r="J593" s="108">
        <f t="shared" si="623"/>
        <v>0</v>
      </c>
      <c r="K593" s="108">
        <f t="shared" si="624"/>
        <v>0</v>
      </c>
      <c r="L593" s="111"/>
      <c r="Z593" s="100">
        <f t="shared" si="625"/>
        <v>0</v>
      </c>
      <c r="AB593" s="100">
        <f t="shared" si="626"/>
        <v>0</v>
      </c>
      <c r="AC593" s="100">
        <f t="shared" si="627"/>
        <v>0</v>
      </c>
      <c r="AD593" s="100">
        <f t="shared" si="628"/>
        <v>0</v>
      </c>
      <c r="AE593" s="100">
        <f t="shared" si="629"/>
        <v>0</v>
      </c>
      <c r="AF593" s="100">
        <f t="shared" si="630"/>
        <v>0</v>
      </c>
      <c r="AG593" s="100">
        <f t="shared" si="631"/>
        <v>0</v>
      </c>
      <c r="AH593" s="100">
        <f t="shared" si="632"/>
        <v>0</v>
      </c>
      <c r="AI593" s="109"/>
      <c r="AJ593" s="108">
        <f t="shared" si="633"/>
        <v>0</v>
      </c>
      <c r="AK593" s="108">
        <f t="shared" si="634"/>
        <v>0</v>
      </c>
      <c r="AL593" s="108">
        <f t="shared" si="635"/>
        <v>0</v>
      </c>
      <c r="AN593" s="100">
        <v>15</v>
      </c>
      <c r="AO593" s="100">
        <f t="shared" si="636"/>
        <v>0</v>
      </c>
      <c r="AP593" s="100">
        <f t="shared" si="637"/>
        <v>0</v>
      </c>
      <c r="AQ593" s="111" t="s">
        <v>7</v>
      </c>
      <c r="AV593" s="100">
        <f t="shared" si="638"/>
        <v>0</v>
      </c>
      <c r="AW593" s="100">
        <f t="shared" si="639"/>
        <v>0</v>
      </c>
      <c r="AX593" s="100">
        <f t="shared" si="640"/>
        <v>0</v>
      </c>
      <c r="AY593" s="110" t="s">
        <v>1722</v>
      </c>
      <c r="AZ593" s="110" t="s">
        <v>1730</v>
      </c>
      <c r="BA593" s="109" t="s">
        <v>1737</v>
      </c>
      <c r="BC593" s="100">
        <f t="shared" si="641"/>
        <v>0</v>
      </c>
      <c r="BD593" s="100">
        <f t="shared" si="642"/>
        <v>0</v>
      </c>
      <c r="BE593" s="100">
        <v>0</v>
      </c>
      <c r="BF593" s="100">
        <f>593</f>
        <v>593</v>
      </c>
      <c r="BH593" s="108">
        <f t="shared" si="643"/>
        <v>0</v>
      </c>
      <c r="BI593" s="108">
        <f t="shared" si="644"/>
        <v>0</v>
      </c>
      <c r="BJ593" s="108">
        <f t="shared" si="645"/>
        <v>0</v>
      </c>
    </row>
    <row r="594" spans="1:62" x14ac:dyDescent="0.2">
      <c r="A594" s="117" t="s">
        <v>542</v>
      </c>
      <c r="B594" s="117" t="s">
        <v>1008</v>
      </c>
      <c r="C594" s="304" t="s">
        <v>1600</v>
      </c>
      <c r="D594" s="305"/>
      <c r="E594" s="305"/>
      <c r="F594" s="117" t="s">
        <v>1644</v>
      </c>
      <c r="G594" s="116">
        <v>1</v>
      </c>
      <c r="H594" s="159"/>
      <c r="I594" s="108">
        <f t="shared" si="622"/>
        <v>0</v>
      </c>
      <c r="J594" s="108">
        <f t="shared" si="623"/>
        <v>0</v>
      </c>
      <c r="K594" s="108">
        <f t="shared" si="624"/>
        <v>0</v>
      </c>
      <c r="L594" s="111"/>
      <c r="Z594" s="100">
        <f t="shared" si="625"/>
        <v>0</v>
      </c>
      <c r="AB594" s="100">
        <f t="shared" si="626"/>
        <v>0</v>
      </c>
      <c r="AC594" s="100">
        <f t="shared" si="627"/>
        <v>0</v>
      </c>
      <c r="AD594" s="100">
        <f t="shared" si="628"/>
        <v>0</v>
      </c>
      <c r="AE594" s="100">
        <f t="shared" si="629"/>
        <v>0</v>
      </c>
      <c r="AF594" s="100">
        <f t="shared" si="630"/>
        <v>0</v>
      </c>
      <c r="AG594" s="100">
        <f t="shared" si="631"/>
        <v>0</v>
      </c>
      <c r="AH594" s="100">
        <f t="shared" si="632"/>
        <v>0</v>
      </c>
      <c r="AI594" s="109"/>
      <c r="AJ594" s="108">
        <f t="shared" si="633"/>
        <v>0</v>
      </c>
      <c r="AK594" s="108">
        <f t="shared" si="634"/>
        <v>0</v>
      </c>
      <c r="AL594" s="108">
        <f t="shared" si="635"/>
        <v>0</v>
      </c>
      <c r="AN594" s="100">
        <v>15</v>
      </c>
      <c r="AO594" s="100">
        <f t="shared" si="636"/>
        <v>0</v>
      </c>
      <c r="AP594" s="100">
        <f t="shared" si="637"/>
        <v>0</v>
      </c>
      <c r="AQ594" s="111" t="s">
        <v>7</v>
      </c>
      <c r="AV594" s="100">
        <f t="shared" si="638"/>
        <v>0</v>
      </c>
      <c r="AW594" s="100">
        <f t="shared" si="639"/>
        <v>0</v>
      </c>
      <c r="AX594" s="100">
        <f t="shared" si="640"/>
        <v>0</v>
      </c>
      <c r="AY594" s="110" t="s">
        <v>1722</v>
      </c>
      <c r="AZ594" s="110" t="s">
        <v>1730</v>
      </c>
      <c r="BA594" s="109" t="s">
        <v>1737</v>
      </c>
      <c r="BC594" s="100">
        <f t="shared" si="641"/>
        <v>0</v>
      </c>
      <c r="BD594" s="100">
        <f t="shared" si="642"/>
        <v>0</v>
      </c>
      <c r="BE594" s="100">
        <v>0</v>
      </c>
      <c r="BF594" s="100">
        <f>594</f>
        <v>594</v>
      </c>
      <c r="BH594" s="108">
        <f t="shared" si="643"/>
        <v>0</v>
      </c>
      <c r="BI594" s="108">
        <f t="shared" si="644"/>
        <v>0</v>
      </c>
      <c r="BJ594" s="108">
        <f t="shared" si="645"/>
        <v>0</v>
      </c>
    </row>
    <row r="595" spans="1:62" x14ac:dyDescent="0.2">
      <c r="A595" s="117" t="s">
        <v>543</v>
      </c>
      <c r="B595" s="117" t="s">
        <v>1009</v>
      </c>
      <c r="C595" s="304" t="s">
        <v>1601</v>
      </c>
      <c r="D595" s="305"/>
      <c r="E595" s="305"/>
      <c r="F595" s="117" t="s">
        <v>1644</v>
      </c>
      <c r="G595" s="116">
        <v>1</v>
      </c>
      <c r="H595" s="159"/>
      <c r="I595" s="108">
        <f t="shared" si="622"/>
        <v>0</v>
      </c>
      <c r="J595" s="108">
        <f t="shared" si="623"/>
        <v>0</v>
      </c>
      <c r="K595" s="108">
        <f t="shared" si="624"/>
        <v>0</v>
      </c>
      <c r="L595" s="111"/>
      <c r="Z595" s="100">
        <f t="shared" si="625"/>
        <v>0</v>
      </c>
      <c r="AB595" s="100">
        <f t="shared" si="626"/>
        <v>0</v>
      </c>
      <c r="AC595" s="100">
        <f t="shared" si="627"/>
        <v>0</v>
      </c>
      <c r="AD595" s="100">
        <f t="shared" si="628"/>
        <v>0</v>
      </c>
      <c r="AE595" s="100">
        <f t="shared" si="629"/>
        <v>0</v>
      </c>
      <c r="AF595" s="100">
        <f t="shared" si="630"/>
        <v>0</v>
      </c>
      <c r="AG595" s="100">
        <f t="shared" si="631"/>
        <v>0</v>
      </c>
      <c r="AH595" s="100">
        <f t="shared" si="632"/>
        <v>0</v>
      </c>
      <c r="AI595" s="109"/>
      <c r="AJ595" s="108">
        <f t="shared" si="633"/>
        <v>0</v>
      </c>
      <c r="AK595" s="108">
        <f t="shared" si="634"/>
        <v>0</v>
      </c>
      <c r="AL595" s="108">
        <f t="shared" si="635"/>
        <v>0</v>
      </c>
      <c r="AN595" s="100">
        <v>15</v>
      </c>
      <c r="AO595" s="100">
        <f t="shared" si="636"/>
        <v>0</v>
      </c>
      <c r="AP595" s="100">
        <f t="shared" si="637"/>
        <v>0</v>
      </c>
      <c r="AQ595" s="111" t="s">
        <v>7</v>
      </c>
      <c r="AV595" s="100">
        <f t="shared" si="638"/>
        <v>0</v>
      </c>
      <c r="AW595" s="100">
        <f t="shared" si="639"/>
        <v>0</v>
      </c>
      <c r="AX595" s="100">
        <f t="shared" si="640"/>
        <v>0</v>
      </c>
      <c r="AY595" s="110" t="s">
        <v>1722</v>
      </c>
      <c r="AZ595" s="110" t="s">
        <v>1730</v>
      </c>
      <c r="BA595" s="109" t="s">
        <v>1737</v>
      </c>
      <c r="BC595" s="100">
        <f t="shared" si="641"/>
        <v>0</v>
      </c>
      <c r="BD595" s="100">
        <f t="shared" si="642"/>
        <v>0</v>
      </c>
      <c r="BE595" s="100">
        <v>0</v>
      </c>
      <c r="BF595" s="100">
        <f>595</f>
        <v>595</v>
      </c>
      <c r="BH595" s="108">
        <f t="shared" si="643"/>
        <v>0</v>
      </c>
      <c r="BI595" s="108">
        <f t="shared" si="644"/>
        <v>0</v>
      </c>
      <c r="BJ595" s="108">
        <f t="shared" si="645"/>
        <v>0</v>
      </c>
    </row>
    <row r="596" spans="1:62" x14ac:dyDescent="0.2">
      <c r="A596" s="117" t="s">
        <v>544</v>
      </c>
      <c r="B596" s="117" t="s">
        <v>2612</v>
      </c>
      <c r="C596" s="304" t="s">
        <v>1602</v>
      </c>
      <c r="D596" s="305"/>
      <c r="E596" s="305"/>
      <c r="F596" s="117" t="s">
        <v>1646</v>
      </c>
      <c r="G596" s="116">
        <v>20</v>
      </c>
      <c r="H596" s="159"/>
      <c r="I596" s="108">
        <f t="shared" si="622"/>
        <v>0</v>
      </c>
      <c r="J596" s="108">
        <f t="shared" si="623"/>
        <v>0</v>
      </c>
      <c r="K596" s="108">
        <f t="shared" si="624"/>
        <v>0</v>
      </c>
      <c r="L596" s="111"/>
      <c r="Z596" s="100">
        <f t="shared" si="625"/>
        <v>0</v>
      </c>
      <c r="AB596" s="100">
        <f t="shared" si="626"/>
        <v>0</v>
      </c>
      <c r="AC596" s="100">
        <f t="shared" si="627"/>
        <v>0</v>
      </c>
      <c r="AD596" s="100">
        <f t="shared" si="628"/>
        <v>0</v>
      </c>
      <c r="AE596" s="100">
        <f t="shared" si="629"/>
        <v>0</v>
      </c>
      <c r="AF596" s="100">
        <f t="shared" si="630"/>
        <v>0</v>
      </c>
      <c r="AG596" s="100">
        <f t="shared" si="631"/>
        <v>0</v>
      </c>
      <c r="AH596" s="100">
        <f t="shared" si="632"/>
        <v>0</v>
      </c>
      <c r="AI596" s="109"/>
      <c r="AJ596" s="108">
        <f t="shared" si="633"/>
        <v>0</v>
      </c>
      <c r="AK596" s="108">
        <f t="shared" si="634"/>
        <v>0</v>
      </c>
      <c r="AL596" s="108">
        <f t="shared" si="635"/>
        <v>0</v>
      </c>
      <c r="AN596" s="100">
        <v>15</v>
      </c>
      <c r="AO596" s="100">
        <f t="shared" si="636"/>
        <v>0</v>
      </c>
      <c r="AP596" s="100">
        <f t="shared" si="637"/>
        <v>0</v>
      </c>
      <c r="AQ596" s="111" t="s">
        <v>7</v>
      </c>
      <c r="AV596" s="100">
        <f t="shared" si="638"/>
        <v>0</v>
      </c>
      <c r="AW596" s="100">
        <f t="shared" si="639"/>
        <v>0</v>
      </c>
      <c r="AX596" s="100">
        <f t="shared" si="640"/>
        <v>0</v>
      </c>
      <c r="AY596" s="110" t="s">
        <v>1722</v>
      </c>
      <c r="AZ596" s="110" t="s">
        <v>1730</v>
      </c>
      <c r="BA596" s="109" t="s">
        <v>1737</v>
      </c>
      <c r="BC596" s="100">
        <f t="shared" si="641"/>
        <v>0</v>
      </c>
      <c r="BD596" s="100">
        <f t="shared" si="642"/>
        <v>0</v>
      </c>
      <c r="BE596" s="100">
        <v>0</v>
      </c>
      <c r="BF596" s="100">
        <f>596</f>
        <v>596</v>
      </c>
      <c r="BH596" s="108">
        <f t="shared" si="643"/>
        <v>0</v>
      </c>
      <c r="BI596" s="108">
        <f t="shared" si="644"/>
        <v>0</v>
      </c>
      <c r="BJ596" s="108">
        <f t="shared" si="645"/>
        <v>0</v>
      </c>
    </row>
    <row r="597" spans="1:62" x14ac:dyDescent="0.2">
      <c r="A597" s="117" t="s">
        <v>545</v>
      </c>
      <c r="B597" s="117" t="s">
        <v>2611</v>
      </c>
      <c r="C597" s="304" t="s">
        <v>1603</v>
      </c>
      <c r="D597" s="305"/>
      <c r="E597" s="305"/>
      <c r="F597" s="117" t="s">
        <v>1646</v>
      </c>
      <c r="G597" s="116">
        <v>10</v>
      </c>
      <c r="H597" s="159"/>
      <c r="I597" s="108">
        <f t="shared" si="622"/>
        <v>0</v>
      </c>
      <c r="J597" s="108">
        <f t="shared" si="623"/>
        <v>0</v>
      </c>
      <c r="K597" s="108">
        <f t="shared" si="624"/>
        <v>0</v>
      </c>
      <c r="L597" s="111"/>
      <c r="Z597" s="100">
        <f t="shared" si="625"/>
        <v>0</v>
      </c>
      <c r="AB597" s="100">
        <f t="shared" si="626"/>
        <v>0</v>
      </c>
      <c r="AC597" s="100">
        <f t="shared" si="627"/>
        <v>0</v>
      </c>
      <c r="AD597" s="100">
        <f t="shared" si="628"/>
        <v>0</v>
      </c>
      <c r="AE597" s="100">
        <f t="shared" si="629"/>
        <v>0</v>
      </c>
      <c r="AF597" s="100">
        <f t="shared" si="630"/>
        <v>0</v>
      </c>
      <c r="AG597" s="100">
        <f t="shared" si="631"/>
        <v>0</v>
      </c>
      <c r="AH597" s="100">
        <f t="shared" si="632"/>
        <v>0</v>
      </c>
      <c r="AI597" s="109"/>
      <c r="AJ597" s="108">
        <f t="shared" si="633"/>
        <v>0</v>
      </c>
      <c r="AK597" s="108">
        <f t="shared" si="634"/>
        <v>0</v>
      </c>
      <c r="AL597" s="108">
        <f t="shared" si="635"/>
        <v>0</v>
      </c>
      <c r="AN597" s="100">
        <v>15</v>
      </c>
      <c r="AO597" s="100">
        <f t="shared" si="636"/>
        <v>0</v>
      </c>
      <c r="AP597" s="100">
        <f t="shared" si="637"/>
        <v>0</v>
      </c>
      <c r="AQ597" s="111" t="s">
        <v>7</v>
      </c>
      <c r="AV597" s="100">
        <f t="shared" si="638"/>
        <v>0</v>
      </c>
      <c r="AW597" s="100">
        <f t="shared" si="639"/>
        <v>0</v>
      </c>
      <c r="AX597" s="100">
        <f t="shared" si="640"/>
        <v>0</v>
      </c>
      <c r="AY597" s="110" t="s">
        <v>1722</v>
      </c>
      <c r="AZ597" s="110" t="s">
        <v>1730</v>
      </c>
      <c r="BA597" s="109" t="s">
        <v>1737</v>
      </c>
      <c r="BC597" s="100">
        <f t="shared" si="641"/>
        <v>0</v>
      </c>
      <c r="BD597" s="100">
        <f t="shared" si="642"/>
        <v>0</v>
      </c>
      <c r="BE597" s="100">
        <v>0</v>
      </c>
      <c r="BF597" s="100">
        <f>597</f>
        <v>597</v>
      </c>
      <c r="BH597" s="108">
        <f t="shared" si="643"/>
        <v>0</v>
      </c>
      <c r="BI597" s="108">
        <f t="shared" si="644"/>
        <v>0</v>
      </c>
      <c r="BJ597" s="108">
        <f t="shared" si="645"/>
        <v>0</v>
      </c>
    </row>
    <row r="598" spans="1:62" x14ac:dyDescent="0.2">
      <c r="A598" s="117" t="s">
        <v>546</v>
      </c>
      <c r="B598" s="117" t="s">
        <v>2610</v>
      </c>
      <c r="C598" s="304" t="s">
        <v>1604</v>
      </c>
      <c r="D598" s="305"/>
      <c r="E598" s="305"/>
      <c r="F598" s="117" t="s">
        <v>1646</v>
      </c>
      <c r="G598" s="116">
        <v>5</v>
      </c>
      <c r="H598" s="159"/>
      <c r="I598" s="108">
        <f t="shared" si="622"/>
        <v>0</v>
      </c>
      <c r="J598" s="108">
        <f t="shared" si="623"/>
        <v>0</v>
      </c>
      <c r="K598" s="108">
        <f t="shared" si="624"/>
        <v>0</v>
      </c>
      <c r="L598" s="111"/>
      <c r="Z598" s="100">
        <f t="shared" si="625"/>
        <v>0</v>
      </c>
      <c r="AB598" s="100">
        <f t="shared" si="626"/>
        <v>0</v>
      </c>
      <c r="AC598" s="100">
        <f t="shared" si="627"/>
        <v>0</v>
      </c>
      <c r="AD598" s="100">
        <f t="shared" si="628"/>
        <v>0</v>
      </c>
      <c r="AE598" s="100">
        <f t="shared" si="629"/>
        <v>0</v>
      </c>
      <c r="AF598" s="100">
        <f t="shared" si="630"/>
        <v>0</v>
      </c>
      <c r="AG598" s="100">
        <f t="shared" si="631"/>
        <v>0</v>
      </c>
      <c r="AH598" s="100">
        <f t="shared" si="632"/>
        <v>0</v>
      </c>
      <c r="AI598" s="109"/>
      <c r="AJ598" s="108">
        <f t="shared" si="633"/>
        <v>0</v>
      </c>
      <c r="AK598" s="108">
        <f t="shared" si="634"/>
        <v>0</v>
      </c>
      <c r="AL598" s="108">
        <f t="shared" si="635"/>
        <v>0</v>
      </c>
      <c r="AN598" s="100">
        <v>15</v>
      </c>
      <c r="AO598" s="100">
        <f t="shared" si="636"/>
        <v>0</v>
      </c>
      <c r="AP598" s="100">
        <f t="shared" si="637"/>
        <v>0</v>
      </c>
      <c r="AQ598" s="111" t="s">
        <v>7</v>
      </c>
      <c r="AV598" s="100">
        <f t="shared" si="638"/>
        <v>0</v>
      </c>
      <c r="AW598" s="100">
        <f t="shared" si="639"/>
        <v>0</v>
      </c>
      <c r="AX598" s="100">
        <f t="shared" si="640"/>
        <v>0</v>
      </c>
      <c r="AY598" s="110" t="s">
        <v>1722</v>
      </c>
      <c r="AZ598" s="110" t="s">
        <v>1730</v>
      </c>
      <c r="BA598" s="109" t="s">
        <v>1737</v>
      </c>
      <c r="BC598" s="100">
        <f t="shared" si="641"/>
        <v>0</v>
      </c>
      <c r="BD598" s="100">
        <f t="shared" si="642"/>
        <v>0</v>
      </c>
      <c r="BE598" s="100">
        <v>0</v>
      </c>
      <c r="BF598" s="100">
        <f>598</f>
        <v>598</v>
      </c>
      <c r="BH598" s="108">
        <f t="shared" si="643"/>
        <v>0</v>
      </c>
      <c r="BI598" s="108">
        <f t="shared" si="644"/>
        <v>0</v>
      </c>
      <c r="BJ598" s="108">
        <f t="shared" si="645"/>
        <v>0</v>
      </c>
    </row>
    <row r="599" spans="1:62" x14ac:dyDescent="0.2">
      <c r="A599" s="117" t="s">
        <v>547</v>
      </c>
      <c r="B599" s="117" t="s">
        <v>2609</v>
      </c>
      <c r="C599" s="304" t="s">
        <v>1605</v>
      </c>
      <c r="D599" s="305"/>
      <c r="E599" s="305"/>
      <c r="F599" s="117" t="s">
        <v>1646</v>
      </c>
      <c r="G599" s="116">
        <v>5</v>
      </c>
      <c r="H599" s="159"/>
      <c r="I599" s="108">
        <f t="shared" si="622"/>
        <v>0</v>
      </c>
      <c r="J599" s="108">
        <f t="shared" si="623"/>
        <v>0</v>
      </c>
      <c r="K599" s="108">
        <f t="shared" si="624"/>
        <v>0</v>
      </c>
      <c r="L599" s="111"/>
      <c r="Z599" s="100">
        <f t="shared" si="625"/>
        <v>0</v>
      </c>
      <c r="AB599" s="100">
        <f t="shared" si="626"/>
        <v>0</v>
      </c>
      <c r="AC599" s="100">
        <f t="shared" si="627"/>
        <v>0</v>
      </c>
      <c r="AD599" s="100">
        <f t="shared" si="628"/>
        <v>0</v>
      </c>
      <c r="AE599" s="100">
        <f t="shared" si="629"/>
        <v>0</v>
      </c>
      <c r="AF599" s="100">
        <f t="shared" si="630"/>
        <v>0</v>
      </c>
      <c r="AG599" s="100">
        <f t="shared" si="631"/>
        <v>0</v>
      </c>
      <c r="AH599" s="100">
        <f t="shared" si="632"/>
        <v>0</v>
      </c>
      <c r="AI599" s="109"/>
      <c r="AJ599" s="108">
        <f t="shared" si="633"/>
        <v>0</v>
      </c>
      <c r="AK599" s="108">
        <f t="shared" si="634"/>
        <v>0</v>
      </c>
      <c r="AL599" s="108">
        <f t="shared" si="635"/>
        <v>0</v>
      </c>
      <c r="AN599" s="100">
        <v>15</v>
      </c>
      <c r="AO599" s="100">
        <f t="shared" si="636"/>
        <v>0</v>
      </c>
      <c r="AP599" s="100">
        <f t="shared" si="637"/>
        <v>0</v>
      </c>
      <c r="AQ599" s="111" t="s">
        <v>7</v>
      </c>
      <c r="AV599" s="100">
        <f t="shared" si="638"/>
        <v>0</v>
      </c>
      <c r="AW599" s="100">
        <f t="shared" si="639"/>
        <v>0</v>
      </c>
      <c r="AX599" s="100">
        <f t="shared" si="640"/>
        <v>0</v>
      </c>
      <c r="AY599" s="110" t="s">
        <v>1722</v>
      </c>
      <c r="AZ599" s="110" t="s">
        <v>1730</v>
      </c>
      <c r="BA599" s="109" t="s">
        <v>1737</v>
      </c>
      <c r="BC599" s="100">
        <f t="shared" si="641"/>
        <v>0</v>
      </c>
      <c r="BD599" s="100">
        <f t="shared" si="642"/>
        <v>0</v>
      </c>
      <c r="BE599" s="100">
        <v>0</v>
      </c>
      <c r="BF599" s="100">
        <f>599</f>
        <v>599</v>
      </c>
      <c r="BH599" s="108">
        <f t="shared" si="643"/>
        <v>0</v>
      </c>
      <c r="BI599" s="108">
        <f t="shared" si="644"/>
        <v>0</v>
      </c>
      <c r="BJ599" s="108">
        <f t="shared" si="645"/>
        <v>0</v>
      </c>
    </row>
    <row r="600" spans="1:62" x14ac:dyDescent="0.2">
      <c r="A600" s="117" t="s">
        <v>548</v>
      </c>
      <c r="B600" s="117" t="s">
        <v>2608</v>
      </c>
      <c r="C600" s="304" t="s">
        <v>1606</v>
      </c>
      <c r="D600" s="305"/>
      <c r="E600" s="305"/>
      <c r="F600" s="117" t="s">
        <v>1646</v>
      </c>
      <c r="G600" s="116">
        <v>20</v>
      </c>
      <c r="H600" s="159"/>
      <c r="I600" s="108">
        <f t="shared" si="622"/>
        <v>0</v>
      </c>
      <c r="J600" s="108">
        <f t="shared" si="623"/>
        <v>0</v>
      </c>
      <c r="K600" s="108">
        <f t="shared" si="624"/>
        <v>0</v>
      </c>
      <c r="L600" s="111"/>
      <c r="Z600" s="100">
        <f t="shared" si="625"/>
        <v>0</v>
      </c>
      <c r="AB600" s="100">
        <f t="shared" si="626"/>
        <v>0</v>
      </c>
      <c r="AC600" s="100">
        <f t="shared" si="627"/>
        <v>0</v>
      </c>
      <c r="AD600" s="100">
        <f t="shared" si="628"/>
        <v>0</v>
      </c>
      <c r="AE600" s="100">
        <f t="shared" si="629"/>
        <v>0</v>
      </c>
      <c r="AF600" s="100">
        <f t="shared" si="630"/>
        <v>0</v>
      </c>
      <c r="AG600" s="100">
        <f t="shared" si="631"/>
        <v>0</v>
      </c>
      <c r="AH600" s="100">
        <f t="shared" si="632"/>
        <v>0</v>
      </c>
      <c r="AI600" s="109"/>
      <c r="AJ600" s="108">
        <f t="shared" si="633"/>
        <v>0</v>
      </c>
      <c r="AK600" s="108">
        <f t="shared" si="634"/>
        <v>0</v>
      </c>
      <c r="AL600" s="108">
        <f t="shared" si="635"/>
        <v>0</v>
      </c>
      <c r="AN600" s="100">
        <v>15</v>
      </c>
      <c r="AO600" s="100">
        <f t="shared" si="636"/>
        <v>0</v>
      </c>
      <c r="AP600" s="100">
        <f t="shared" si="637"/>
        <v>0</v>
      </c>
      <c r="AQ600" s="111" t="s">
        <v>7</v>
      </c>
      <c r="AV600" s="100">
        <f t="shared" si="638"/>
        <v>0</v>
      </c>
      <c r="AW600" s="100">
        <f t="shared" si="639"/>
        <v>0</v>
      </c>
      <c r="AX600" s="100">
        <f t="shared" si="640"/>
        <v>0</v>
      </c>
      <c r="AY600" s="110" t="s">
        <v>1722</v>
      </c>
      <c r="AZ600" s="110" t="s">
        <v>1730</v>
      </c>
      <c r="BA600" s="109" t="s">
        <v>1737</v>
      </c>
      <c r="BC600" s="100">
        <f t="shared" si="641"/>
        <v>0</v>
      </c>
      <c r="BD600" s="100">
        <f t="shared" si="642"/>
        <v>0</v>
      </c>
      <c r="BE600" s="100">
        <v>0</v>
      </c>
      <c r="BF600" s="100">
        <f>600</f>
        <v>600</v>
      </c>
      <c r="BH600" s="108">
        <f t="shared" si="643"/>
        <v>0</v>
      </c>
      <c r="BI600" s="108">
        <f t="shared" si="644"/>
        <v>0</v>
      </c>
      <c r="BJ600" s="108">
        <f t="shared" si="645"/>
        <v>0</v>
      </c>
    </row>
    <row r="601" spans="1:62" x14ac:dyDescent="0.2">
      <c r="A601" s="117" t="s">
        <v>549</v>
      </c>
      <c r="B601" s="117" t="s">
        <v>2607</v>
      </c>
      <c r="C601" s="304" t="s">
        <v>1607</v>
      </c>
      <c r="D601" s="305"/>
      <c r="E601" s="305"/>
      <c r="F601" s="117" t="s">
        <v>1646</v>
      </c>
      <c r="G601" s="116">
        <v>10</v>
      </c>
      <c r="H601" s="159"/>
      <c r="I601" s="108">
        <f t="shared" si="622"/>
        <v>0</v>
      </c>
      <c r="J601" s="108">
        <f t="shared" si="623"/>
        <v>0</v>
      </c>
      <c r="K601" s="108">
        <f t="shared" si="624"/>
        <v>0</v>
      </c>
      <c r="L601" s="111"/>
      <c r="Z601" s="100">
        <f t="shared" si="625"/>
        <v>0</v>
      </c>
      <c r="AB601" s="100">
        <f t="shared" si="626"/>
        <v>0</v>
      </c>
      <c r="AC601" s="100">
        <f t="shared" si="627"/>
        <v>0</v>
      </c>
      <c r="AD601" s="100">
        <f t="shared" si="628"/>
        <v>0</v>
      </c>
      <c r="AE601" s="100">
        <f t="shared" si="629"/>
        <v>0</v>
      </c>
      <c r="AF601" s="100">
        <f t="shared" si="630"/>
        <v>0</v>
      </c>
      <c r="AG601" s="100">
        <f t="shared" si="631"/>
        <v>0</v>
      </c>
      <c r="AH601" s="100">
        <f t="shared" si="632"/>
        <v>0</v>
      </c>
      <c r="AI601" s="109"/>
      <c r="AJ601" s="108">
        <f t="shared" si="633"/>
        <v>0</v>
      </c>
      <c r="AK601" s="108">
        <f t="shared" si="634"/>
        <v>0</v>
      </c>
      <c r="AL601" s="108">
        <f t="shared" si="635"/>
        <v>0</v>
      </c>
      <c r="AN601" s="100">
        <v>15</v>
      </c>
      <c r="AO601" s="100">
        <f t="shared" si="636"/>
        <v>0</v>
      </c>
      <c r="AP601" s="100">
        <f t="shared" si="637"/>
        <v>0</v>
      </c>
      <c r="AQ601" s="111" t="s">
        <v>7</v>
      </c>
      <c r="AV601" s="100">
        <f t="shared" si="638"/>
        <v>0</v>
      </c>
      <c r="AW601" s="100">
        <f t="shared" si="639"/>
        <v>0</v>
      </c>
      <c r="AX601" s="100">
        <f t="shared" si="640"/>
        <v>0</v>
      </c>
      <c r="AY601" s="110" t="s">
        <v>1722</v>
      </c>
      <c r="AZ601" s="110" t="s">
        <v>1730</v>
      </c>
      <c r="BA601" s="109" t="s">
        <v>1737</v>
      </c>
      <c r="BC601" s="100">
        <f t="shared" si="641"/>
        <v>0</v>
      </c>
      <c r="BD601" s="100">
        <f t="shared" si="642"/>
        <v>0</v>
      </c>
      <c r="BE601" s="100">
        <v>0</v>
      </c>
      <c r="BF601" s="100">
        <f>601</f>
        <v>601</v>
      </c>
      <c r="BH601" s="108">
        <f t="shared" si="643"/>
        <v>0</v>
      </c>
      <c r="BI601" s="108">
        <f t="shared" si="644"/>
        <v>0</v>
      </c>
      <c r="BJ601" s="108">
        <f t="shared" si="645"/>
        <v>0</v>
      </c>
    </row>
    <row r="602" spans="1:62" x14ac:dyDescent="0.2">
      <c r="A602" s="117" t="s">
        <v>550</v>
      </c>
      <c r="B602" s="117" t="s">
        <v>2606</v>
      </c>
      <c r="C602" s="304" t="s">
        <v>1608</v>
      </c>
      <c r="D602" s="305"/>
      <c r="E602" s="305"/>
      <c r="F602" s="117" t="s">
        <v>1644</v>
      </c>
      <c r="G602" s="116">
        <v>70</v>
      </c>
      <c r="H602" s="159"/>
      <c r="I602" s="108">
        <f t="shared" si="622"/>
        <v>0</v>
      </c>
      <c r="J602" s="108">
        <f t="shared" si="623"/>
        <v>0</v>
      </c>
      <c r="K602" s="108">
        <f t="shared" si="624"/>
        <v>0</v>
      </c>
      <c r="L602" s="111"/>
      <c r="Z602" s="100">
        <f t="shared" si="625"/>
        <v>0</v>
      </c>
      <c r="AB602" s="100">
        <f t="shared" si="626"/>
        <v>0</v>
      </c>
      <c r="AC602" s="100">
        <f t="shared" si="627"/>
        <v>0</v>
      </c>
      <c r="AD602" s="100">
        <f t="shared" si="628"/>
        <v>0</v>
      </c>
      <c r="AE602" s="100">
        <f t="shared" si="629"/>
        <v>0</v>
      </c>
      <c r="AF602" s="100">
        <f t="shared" si="630"/>
        <v>0</v>
      </c>
      <c r="AG602" s="100">
        <f t="shared" si="631"/>
        <v>0</v>
      </c>
      <c r="AH602" s="100">
        <f t="shared" si="632"/>
        <v>0</v>
      </c>
      <c r="AI602" s="109"/>
      <c r="AJ602" s="108">
        <f t="shared" si="633"/>
        <v>0</v>
      </c>
      <c r="AK602" s="108">
        <f t="shared" si="634"/>
        <v>0</v>
      </c>
      <c r="AL602" s="108">
        <f t="shared" si="635"/>
        <v>0</v>
      </c>
      <c r="AN602" s="100">
        <v>15</v>
      </c>
      <c r="AO602" s="100">
        <f t="shared" si="636"/>
        <v>0</v>
      </c>
      <c r="AP602" s="100">
        <f t="shared" si="637"/>
        <v>0</v>
      </c>
      <c r="AQ602" s="111" t="s">
        <v>7</v>
      </c>
      <c r="AV602" s="100">
        <f t="shared" si="638"/>
        <v>0</v>
      </c>
      <c r="AW602" s="100">
        <f t="shared" si="639"/>
        <v>0</v>
      </c>
      <c r="AX602" s="100">
        <f t="shared" si="640"/>
        <v>0</v>
      </c>
      <c r="AY602" s="110" t="s">
        <v>1722</v>
      </c>
      <c r="AZ602" s="110" t="s">
        <v>1730</v>
      </c>
      <c r="BA602" s="109" t="s">
        <v>1737</v>
      </c>
      <c r="BC602" s="100">
        <f t="shared" si="641"/>
        <v>0</v>
      </c>
      <c r="BD602" s="100">
        <f t="shared" si="642"/>
        <v>0</v>
      </c>
      <c r="BE602" s="100">
        <v>0</v>
      </c>
      <c r="BF602" s="100">
        <f>602</f>
        <v>602</v>
      </c>
      <c r="BH602" s="108">
        <f t="shared" si="643"/>
        <v>0</v>
      </c>
      <c r="BI602" s="108">
        <f t="shared" si="644"/>
        <v>0</v>
      </c>
      <c r="BJ602" s="108">
        <f t="shared" si="645"/>
        <v>0</v>
      </c>
    </row>
    <row r="603" spans="1:62" x14ac:dyDescent="0.2">
      <c r="A603" s="117" t="s">
        <v>551</v>
      </c>
      <c r="B603" s="117" t="s">
        <v>2605</v>
      </c>
      <c r="C603" s="304" t="s">
        <v>1609</v>
      </c>
      <c r="D603" s="305"/>
      <c r="E603" s="305"/>
      <c r="F603" s="117" t="s">
        <v>1644</v>
      </c>
      <c r="G603" s="116">
        <v>3</v>
      </c>
      <c r="H603" s="159"/>
      <c r="I603" s="108">
        <f t="shared" si="622"/>
        <v>0</v>
      </c>
      <c r="J603" s="108">
        <f t="shared" si="623"/>
        <v>0</v>
      </c>
      <c r="K603" s="108">
        <f t="shared" si="624"/>
        <v>0</v>
      </c>
      <c r="L603" s="111"/>
      <c r="Z603" s="100">
        <f t="shared" si="625"/>
        <v>0</v>
      </c>
      <c r="AB603" s="100">
        <f t="shared" si="626"/>
        <v>0</v>
      </c>
      <c r="AC603" s="100">
        <f t="shared" si="627"/>
        <v>0</v>
      </c>
      <c r="AD603" s="100">
        <f t="shared" si="628"/>
        <v>0</v>
      </c>
      <c r="AE603" s="100">
        <f t="shared" si="629"/>
        <v>0</v>
      </c>
      <c r="AF603" s="100">
        <f t="shared" si="630"/>
        <v>0</v>
      </c>
      <c r="AG603" s="100">
        <f t="shared" si="631"/>
        <v>0</v>
      </c>
      <c r="AH603" s="100">
        <f t="shared" si="632"/>
        <v>0</v>
      </c>
      <c r="AI603" s="109"/>
      <c r="AJ603" s="108">
        <f t="shared" si="633"/>
        <v>0</v>
      </c>
      <c r="AK603" s="108">
        <f t="shared" si="634"/>
        <v>0</v>
      </c>
      <c r="AL603" s="108">
        <f t="shared" si="635"/>
        <v>0</v>
      </c>
      <c r="AN603" s="100">
        <v>15</v>
      </c>
      <c r="AO603" s="100">
        <f t="shared" si="636"/>
        <v>0</v>
      </c>
      <c r="AP603" s="100">
        <f t="shared" si="637"/>
        <v>0</v>
      </c>
      <c r="AQ603" s="111" t="s">
        <v>7</v>
      </c>
      <c r="AV603" s="100">
        <f t="shared" si="638"/>
        <v>0</v>
      </c>
      <c r="AW603" s="100">
        <f t="shared" si="639"/>
        <v>0</v>
      </c>
      <c r="AX603" s="100">
        <f t="shared" si="640"/>
        <v>0</v>
      </c>
      <c r="AY603" s="110" t="s">
        <v>1722</v>
      </c>
      <c r="AZ603" s="110" t="s">
        <v>1730</v>
      </c>
      <c r="BA603" s="109" t="s">
        <v>1737</v>
      </c>
      <c r="BC603" s="100">
        <f t="shared" si="641"/>
        <v>0</v>
      </c>
      <c r="BD603" s="100">
        <f t="shared" si="642"/>
        <v>0</v>
      </c>
      <c r="BE603" s="100">
        <v>0</v>
      </c>
      <c r="BF603" s="100">
        <f>603</f>
        <v>603</v>
      </c>
      <c r="BH603" s="108">
        <f t="shared" si="643"/>
        <v>0</v>
      </c>
      <c r="BI603" s="108">
        <f t="shared" si="644"/>
        <v>0</v>
      </c>
      <c r="BJ603" s="108">
        <f t="shared" si="645"/>
        <v>0</v>
      </c>
    </row>
    <row r="604" spans="1:62" x14ac:dyDescent="0.2">
      <c r="A604" s="117" t="s">
        <v>552</v>
      </c>
      <c r="B604" s="117" t="s">
        <v>2604</v>
      </c>
      <c r="C604" s="304" t="s">
        <v>1610</v>
      </c>
      <c r="D604" s="305"/>
      <c r="E604" s="305"/>
      <c r="F604" s="117" t="s">
        <v>1644</v>
      </c>
      <c r="G604" s="116">
        <v>1</v>
      </c>
      <c r="H604" s="159"/>
      <c r="I604" s="108">
        <f t="shared" si="622"/>
        <v>0</v>
      </c>
      <c r="J604" s="108">
        <f t="shared" si="623"/>
        <v>0</v>
      </c>
      <c r="K604" s="108">
        <f t="shared" si="624"/>
        <v>0</v>
      </c>
      <c r="L604" s="111"/>
      <c r="Z604" s="100">
        <f t="shared" si="625"/>
        <v>0</v>
      </c>
      <c r="AB604" s="100">
        <f t="shared" si="626"/>
        <v>0</v>
      </c>
      <c r="AC604" s="100">
        <f t="shared" si="627"/>
        <v>0</v>
      </c>
      <c r="AD604" s="100">
        <f t="shared" si="628"/>
        <v>0</v>
      </c>
      <c r="AE604" s="100">
        <f t="shared" si="629"/>
        <v>0</v>
      </c>
      <c r="AF604" s="100">
        <f t="shared" si="630"/>
        <v>0</v>
      </c>
      <c r="AG604" s="100">
        <f t="shared" si="631"/>
        <v>0</v>
      </c>
      <c r="AH604" s="100">
        <f t="shared" si="632"/>
        <v>0</v>
      </c>
      <c r="AI604" s="109"/>
      <c r="AJ604" s="108">
        <f t="shared" si="633"/>
        <v>0</v>
      </c>
      <c r="AK604" s="108">
        <f t="shared" si="634"/>
        <v>0</v>
      </c>
      <c r="AL604" s="108">
        <f t="shared" si="635"/>
        <v>0</v>
      </c>
      <c r="AN604" s="100">
        <v>15</v>
      </c>
      <c r="AO604" s="100">
        <f t="shared" si="636"/>
        <v>0</v>
      </c>
      <c r="AP604" s="100">
        <f t="shared" si="637"/>
        <v>0</v>
      </c>
      <c r="AQ604" s="111" t="s">
        <v>7</v>
      </c>
      <c r="AV604" s="100">
        <f t="shared" si="638"/>
        <v>0</v>
      </c>
      <c r="AW604" s="100">
        <f t="shared" si="639"/>
        <v>0</v>
      </c>
      <c r="AX604" s="100">
        <f t="shared" si="640"/>
        <v>0</v>
      </c>
      <c r="AY604" s="110" t="s">
        <v>1722</v>
      </c>
      <c r="AZ604" s="110" t="s">
        <v>1730</v>
      </c>
      <c r="BA604" s="109" t="s">
        <v>1737</v>
      </c>
      <c r="BC604" s="100">
        <f t="shared" si="641"/>
        <v>0</v>
      </c>
      <c r="BD604" s="100">
        <f t="shared" si="642"/>
        <v>0</v>
      </c>
      <c r="BE604" s="100">
        <v>0</v>
      </c>
      <c r="BF604" s="100">
        <f>604</f>
        <v>604</v>
      </c>
      <c r="BH604" s="108">
        <f t="shared" si="643"/>
        <v>0</v>
      </c>
      <c r="BI604" s="108">
        <f t="shared" si="644"/>
        <v>0</v>
      </c>
      <c r="BJ604" s="108">
        <f t="shared" si="645"/>
        <v>0</v>
      </c>
    </row>
    <row r="605" spans="1:62" x14ac:dyDescent="0.2">
      <c r="A605" s="117" t="s">
        <v>553</v>
      </c>
      <c r="B605" s="117" t="s">
        <v>2603</v>
      </c>
      <c r="C605" s="304" t="s">
        <v>1611</v>
      </c>
      <c r="D605" s="305"/>
      <c r="E605" s="305"/>
      <c r="F605" s="117" t="s">
        <v>1651</v>
      </c>
      <c r="G605" s="116">
        <v>1</v>
      </c>
      <c r="H605" s="159"/>
      <c r="I605" s="108">
        <f t="shared" si="622"/>
        <v>0</v>
      </c>
      <c r="J605" s="108">
        <f t="shared" si="623"/>
        <v>0</v>
      </c>
      <c r="K605" s="108">
        <f t="shared" si="624"/>
        <v>0</v>
      </c>
      <c r="L605" s="111"/>
      <c r="Z605" s="100">
        <f t="shared" si="625"/>
        <v>0</v>
      </c>
      <c r="AB605" s="100">
        <f t="shared" si="626"/>
        <v>0</v>
      </c>
      <c r="AC605" s="100">
        <f t="shared" si="627"/>
        <v>0</v>
      </c>
      <c r="AD605" s="100">
        <f t="shared" si="628"/>
        <v>0</v>
      </c>
      <c r="AE605" s="100">
        <f t="shared" si="629"/>
        <v>0</v>
      </c>
      <c r="AF605" s="100">
        <f t="shared" si="630"/>
        <v>0</v>
      </c>
      <c r="AG605" s="100">
        <f t="shared" si="631"/>
        <v>0</v>
      </c>
      <c r="AH605" s="100">
        <f t="shared" si="632"/>
        <v>0</v>
      </c>
      <c r="AI605" s="109"/>
      <c r="AJ605" s="108">
        <f t="shared" si="633"/>
        <v>0</v>
      </c>
      <c r="AK605" s="108">
        <f t="shared" si="634"/>
        <v>0</v>
      </c>
      <c r="AL605" s="108">
        <f t="shared" si="635"/>
        <v>0</v>
      </c>
      <c r="AN605" s="100">
        <v>15</v>
      </c>
      <c r="AO605" s="100">
        <f t="shared" si="636"/>
        <v>0</v>
      </c>
      <c r="AP605" s="100">
        <f t="shared" si="637"/>
        <v>0</v>
      </c>
      <c r="AQ605" s="111" t="s">
        <v>7</v>
      </c>
      <c r="AV605" s="100">
        <f t="shared" si="638"/>
        <v>0</v>
      </c>
      <c r="AW605" s="100">
        <f t="shared" si="639"/>
        <v>0</v>
      </c>
      <c r="AX605" s="100">
        <f t="shared" si="640"/>
        <v>0</v>
      </c>
      <c r="AY605" s="110" t="s">
        <v>1722</v>
      </c>
      <c r="AZ605" s="110" t="s">
        <v>1730</v>
      </c>
      <c r="BA605" s="109" t="s">
        <v>1737</v>
      </c>
      <c r="BC605" s="100">
        <f t="shared" si="641"/>
        <v>0</v>
      </c>
      <c r="BD605" s="100">
        <f t="shared" si="642"/>
        <v>0</v>
      </c>
      <c r="BE605" s="100">
        <v>0</v>
      </c>
      <c r="BF605" s="100">
        <f>605</f>
        <v>605</v>
      </c>
      <c r="BH605" s="108">
        <f t="shared" si="643"/>
        <v>0</v>
      </c>
      <c r="BI605" s="108">
        <f t="shared" si="644"/>
        <v>0</v>
      </c>
      <c r="BJ605" s="108">
        <f t="shared" si="645"/>
        <v>0</v>
      </c>
    </row>
    <row r="606" spans="1:62" x14ac:dyDescent="0.2">
      <c r="A606" s="117" t="s">
        <v>554</v>
      </c>
      <c r="B606" s="117" t="s">
        <v>2602</v>
      </c>
      <c r="C606" s="304" t="s">
        <v>1612</v>
      </c>
      <c r="D606" s="305"/>
      <c r="E606" s="305"/>
      <c r="F606" s="117" t="s">
        <v>1646</v>
      </c>
      <c r="G606" s="116">
        <v>170</v>
      </c>
      <c r="H606" s="159"/>
      <c r="I606" s="108">
        <f t="shared" si="622"/>
        <v>0</v>
      </c>
      <c r="J606" s="108">
        <f t="shared" si="623"/>
        <v>0</v>
      </c>
      <c r="K606" s="108">
        <f t="shared" si="624"/>
        <v>0</v>
      </c>
      <c r="L606" s="111"/>
      <c r="Z606" s="100">
        <f t="shared" si="625"/>
        <v>0</v>
      </c>
      <c r="AB606" s="100">
        <f t="shared" si="626"/>
        <v>0</v>
      </c>
      <c r="AC606" s="100">
        <f t="shared" si="627"/>
        <v>0</v>
      </c>
      <c r="AD606" s="100">
        <f t="shared" si="628"/>
        <v>0</v>
      </c>
      <c r="AE606" s="100">
        <f t="shared" si="629"/>
        <v>0</v>
      </c>
      <c r="AF606" s="100">
        <f t="shared" si="630"/>
        <v>0</v>
      </c>
      <c r="AG606" s="100">
        <f t="shared" si="631"/>
        <v>0</v>
      </c>
      <c r="AH606" s="100">
        <f t="shared" si="632"/>
        <v>0</v>
      </c>
      <c r="AI606" s="109"/>
      <c r="AJ606" s="108">
        <f t="shared" si="633"/>
        <v>0</v>
      </c>
      <c r="AK606" s="108">
        <f t="shared" si="634"/>
        <v>0</v>
      </c>
      <c r="AL606" s="108">
        <f t="shared" si="635"/>
        <v>0</v>
      </c>
      <c r="AN606" s="100">
        <v>15</v>
      </c>
      <c r="AO606" s="100">
        <f t="shared" si="636"/>
        <v>0</v>
      </c>
      <c r="AP606" s="100">
        <f t="shared" si="637"/>
        <v>0</v>
      </c>
      <c r="AQ606" s="111" t="s">
        <v>7</v>
      </c>
      <c r="AV606" s="100">
        <f t="shared" si="638"/>
        <v>0</v>
      </c>
      <c r="AW606" s="100">
        <f t="shared" si="639"/>
        <v>0</v>
      </c>
      <c r="AX606" s="100">
        <f t="shared" si="640"/>
        <v>0</v>
      </c>
      <c r="AY606" s="110" t="s">
        <v>1722</v>
      </c>
      <c r="AZ606" s="110" t="s">
        <v>1730</v>
      </c>
      <c r="BA606" s="109" t="s">
        <v>1737</v>
      </c>
      <c r="BC606" s="100">
        <f t="shared" si="641"/>
        <v>0</v>
      </c>
      <c r="BD606" s="100">
        <f t="shared" si="642"/>
        <v>0</v>
      </c>
      <c r="BE606" s="100">
        <v>0</v>
      </c>
      <c r="BF606" s="100">
        <f>606</f>
        <v>606</v>
      </c>
      <c r="BH606" s="108">
        <f t="shared" si="643"/>
        <v>0</v>
      </c>
      <c r="BI606" s="108">
        <f t="shared" si="644"/>
        <v>0</v>
      </c>
      <c r="BJ606" s="108">
        <f t="shared" si="645"/>
        <v>0</v>
      </c>
    </row>
    <row r="607" spans="1:62" x14ac:dyDescent="0.2">
      <c r="A607" s="117" t="s">
        <v>555</v>
      </c>
      <c r="B607" s="117" t="s">
        <v>2601</v>
      </c>
      <c r="C607" s="304" t="s">
        <v>1613</v>
      </c>
      <c r="D607" s="305"/>
      <c r="E607" s="305"/>
      <c r="F607" s="117" t="s">
        <v>1646</v>
      </c>
      <c r="G607" s="116">
        <v>45</v>
      </c>
      <c r="H607" s="159"/>
      <c r="I607" s="108">
        <f t="shared" si="622"/>
        <v>0</v>
      </c>
      <c r="J607" s="108">
        <f t="shared" si="623"/>
        <v>0</v>
      </c>
      <c r="K607" s="108">
        <f t="shared" si="624"/>
        <v>0</v>
      </c>
      <c r="L607" s="111"/>
      <c r="Z607" s="100">
        <f t="shared" si="625"/>
        <v>0</v>
      </c>
      <c r="AB607" s="100">
        <f t="shared" si="626"/>
        <v>0</v>
      </c>
      <c r="AC607" s="100">
        <f t="shared" si="627"/>
        <v>0</v>
      </c>
      <c r="AD607" s="100">
        <f t="shared" si="628"/>
        <v>0</v>
      </c>
      <c r="AE607" s="100">
        <f t="shared" si="629"/>
        <v>0</v>
      </c>
      <c r="AF607" s="100">
        <f t="shared" si="630"/>
        <v>0</v>
      </c>
      <c r="AG607" s="100">
        <f t="shared" si="631"/>
        <v>0</v>
      </c>
      <c r="AH607" s="100">
        <f t="shared" si="632"/>
        <v>0</v>
      </c>
      <c r="AI607" s="109"/>
      <c r="AJ607" s="108">
        <f t="shared" si="633"/>
        <v>0</v>
      </c>
      <c r="AK607" s="108">
        <f t="shared" si="634"/>
        <v>0</v>
      </c>
      <c r="AL607" s="108">
        <f t="shared" si="635"/>
        <v>0</v>
      </c>
      <c r="AN607" s="100">
        <v>15</v>
      </c>
      <c r="AO607" s="100">
        <f t="shared" si="636"/>
        <v>0</v>
      </c>
      <c r="AP607" s="100">
        <f t="shared" si="637"/>
        <v>0</v>
      </c>
      <c r="AQ607" s="111" t="s">
        <v>7</v>
      </c>
      <c r="AV607" s="100">
        <f t="shared" si="638"/>
        <v>0</v>
      </c>
      <c r="AW607" s="100">
        <f t="shared" si="639"/>
        <v>0</v>
      </c>
      <c r="AX607" s="100">
        <f t="shared" si="640"/>
        <v>0</v>
      </c>
      <c r="AY607" s="110" t="s">
        <v>1722</v>
      </c>
      <c r="AZ607" s="110" t="s">
        <v>1730</v>
      </c>
      <c r="BA607" s="109" t="s">
        <v>1737</v>
      </c>
      <c r="BC607" s="100">
        <f t="shared" si="641"/>
        <v>0</v>
      </c>
      <c r="BD607" s="100">
        <f t="shared" si="642"/>
        <v>0</v>
      </c>
      <c r="BE607" s="100">
        <v>0</v>
      </c>
      <c r="BF607" s="100">
        <f>607</f>
        <v>607</v>
      </c>
      <c r="BH607" s="108">
        <f t="shared" si="643"/>
        <v>0</v>
      </c>
      <c r="BI607" s="108">
        <f t="shared" si="644"/>
        <v>0</v>
      </c>
      <c r="BJ607" s="108">
        <f t="shared" si="645"/>
        <v>0</v>
      </c>
    </row>
    <row r="608" spans="1:62" x14ac:dyDescent="0.2">
      <c r="A608" s="117" t="s">
        <v>556</v>
      </c>
      <c r="B608" s="117" t="s">
        <v>2600</v>
      </c>
      <c r="C608" s="304" t="s">
        <v>1614</v>
      </c>
      <c r="D608" s="305"/>
      <c r="E608" s="305"/>
      <c r="F608" s="117" t="s">
        <v>1646</v>
      </c>
      <c r="G608" s="116">
        <v>80</v>
      </c>
      <c r="H608" s="159"/>
      <c r="I608" s="108">
        <f t="shared" si="622"/>
        <v>0</v>
      </c>
      <c r="J608" s="108">
        <f t="shared" si="623"/>
        <v>0</v>
      </c>
      <c r="K608" s="108">
        <f t="shared" si="624"/>
        <v>0</v>
      </c>
      <c r="L608" s="111"/>
      <c r="Z608" s="100">
        <f t="shared" si="625"/>
        <v>0</v>
      </c>
      <c r="AB608" s="100">
        <f t="shared" si="626"/>
        <v>0</v>
      </c>
      <c r="AC608" s="100">
        <f t="shared" si="627"/>
        <v>0</v>
      </c>
      <c r="AD608" s="100">
        <f t="shared" si="628"/>
        <v>0</v>
      </c>
      <c r="AE608" s="100">
        <f t="shared" si="629"/>
        <v>0</v>
      </c>
      <c r="AF608" s="100">
        <f t="shared" si="630"/>
        <v>0</v>
      </c>
      <c r="AG608" s="100">
        <f t="shared" si="631"/>
        <v>0</v>
      </c>
      <c r="AH608" s="100">
        <f t="shared" si="632"/>
        <v>0</v>
      </c>
      <c r="AI608" s="109"/>
      <c r="AJ608" s="108">
        <f t="shared" si="633"/>
        <v>0</v>
      </c>
      <c r="AK608" s="108">
        <f t="shared" si="634"/>
        <v>0</v>
      </c>
      <c r="AL608" s="108">
        <f t="shared" si="635"/>
        <v>0</v>
      </c>
      <c r="AN608" s="100">
        <v>15</v>
      </c>
      <c r="AO608" s="100">
        <f t="shared" si="636"/>
        <v>0</v>
      </c>
      <c r="AP608" s="100">
        <f t="shared" si="637"/>
        <v>0</v>
      </c>
      <c r="AQ608" s="111" t="s">
        <v>7</v>
      </c>
      <c r="AV608" s="100">
        <f t="shared" si="638"/>
        <v>0</v>
      </c>
      <c r="AW608" s="100">
        <f t="shared" si="639"/>
        <v>0</v>
      </c>
      <c r="AX608" s="100">
        <f t="shared" si="640"/>
        <v>0</v>
      </c>
      <c r="AY608" s="110" t="s">
        <v>1722</v>
      </c>
      <c r="AZ608" s="110" t="s">
        <v>1730</v>
      </c>
      <c r="BA608" s="109" t="s">
        <v>1737</v>
      </c>
      <c r="BC608" s="100">
        <f t="shared" si="641"/>
        <v>0</v>
      </c>
      <c r="BD608" s="100">
        <f t="shared" si="642"/>
        <v>0</v>
      </c>
      <c r="BE608" s="100">
        <v>0</v>
      </c>
      <c r="BF608" s="100">
        <f>608</f>
        <v>608</v>
      </c>
      <c r="BH608" s="108">
        <f t="shared" si="643"/>
        <v>0</v>
      </c>
      <c r="BI608" s="108">
        <f t="shared" si="644"/>
        <v>0</v>
      </c>
      <c r="BJ608" s="108">
        <f t="shared" si="645"/>
        <v>0</v>
      </c>
    </row>
    <row r="609" spans="1:62" x14ac:dyDescent="0.2">
      <c r="A609" s="117" t="s">
        <v>557</v>
      </c>
      <c r="B609" s="117" t="s">
        <v>2599</v>
      </c>
      <c r="C609" s="304" t="s">
        <v>1615</v>
      </c>
      <c r="D609" s="305"/>
      <c r="E609" s="305"/>
      <c r="F609" s="117" t="s">
        <v>1646</v>
      </c>
      <c r="G609" s="116">
        <v>30</v>
      </c>
      <c r="H609" s="159"/>
      <c r="I609" s="108">
        <f t="shared" si="622"/>
        <v>0</v>
      </c>
      <c r="J609" s="108">
        <f t="shared" si="623"/>
        <v>0</v>
      </c>
      <c r="K609" s="108">
        <f t="shared" si="624"/>
        <v>0</v>
      </c>
      <c r="L609" s="111"/>
      <c r="Z609" s="100">
        <f t="shared" si="625"/>
        <v>0</v>
      </c>
      <c r="AB609" s="100">
        <f t="shared" si="626"/>
        <v>0</v>
      </c>
      <c r="AC609" s="100">
        <f t="shared" si="627"/>
        <v>0</v>
      </c>
      <c r="AD609" s="100">
        <f t="shared" si="628"/>
        <v>0</v>
      </c>
      <c r="AE609" s="100">
        <f t="shared" si="629"/>
        <v>0</v>
      </c>
      <c r="AF609" s="100">
        <f t="shared" si="630"/>
        <v>0</v>
      </c>
      <c r="AG609" s="100">
        <f t="shared" si="631"/>
        <v>0</v>
      </c>
      <c r="AH609" s="100">
        <f t="shared" si="632"/>
        <v>0</v>
      </c>
      <c r="AI609" s="109"/>
      <c r="AJ609" s="108">
        <f t="shared" si="633"/>
        <v>0</v>
      </c>
      <c r="AK609" s="108">
        <f t="shared" si="634"/>
        <v>0</v>
      </c>
      <c r="AL609" s="108">
        <f t="shared" si="635"/>
        <v>0</v>
      </c>
      <c r="AN609" s="100">
        <v>15</v>
      </c>
      <c r="AO609" s="100">
        <f t="shared" si="636"/>
        <v>0</v>
      </c>
      <c r="AP609" s="100">
        <f t="shared" si="637"/>
        <v>0</v>
      </c>
      <c r="AQ609" s="111" t="s">
        <v>7</v>
      </c>
      <c r="AV609" s="100">
        <f t="shared" si="638"/>
        <v>0</v>
      </c>
      <c r="AW609" s="100">
        <f t="shared" si="639"/>
        <v>0</v>
      </c>
      <c r="AX609" s="100">
        <f t="shared" si="640"/>
        <v>0</v>
      </c>
      <c r="AY609" s="110" t="s">
        <v>1722</v>
      </c>
      <c r="AZ609" s="110" t="s">
        <v>1730</v>
      </c>
      <c r="BA609" s="109" t="s">
        <v>1737</v>
      </c>
      <c r="BC609" s="100">
        <f t="shared" si="641"/>
        <v>0</v>
      </c>
      <c r="BD609" s="100">
        <f t="shared" si="642"/>
        <v>0</v>
      </c>
      <c r="BE609" s="100">
        <v>0</v>
      </c>
      <c r="BF609" s="100">
        <f>609</f>
        <v>609</v>
      </c>
      <c r="BH609" s="108">
        <f t="shared" si="643"/>
        <v>0</v>
      </c>
      <c r="BI609" s="108">
        <f t="shared" si="644"/>
        <v>0</v>
      </c>
      <c r="BJ609" s="108">
        <f t="shared" si="645"/>
        <v>0</v>
      </c>
    </row>
    <row r="610" spans="1:62" x14ac:dyDescent="0.2">
      <c r="A610" s="117" t="s">
        <v>558</v>
      </c>
      <c r="B610" s="117" t="s">
        <v>2598</v>
      </c>
      <c r="C610" s="304" t="s">
        <v>1616</v>
      </c>
      <c r="D610" s="305"/>
      <c r="E610" s="305"/>
      <c r="F610" s="117" t="s">
        <v>1646</v>
      </c>
      <c r="G610" s="116">
        <v>30</v>
      </c>
      <c r="H610" s="159"/>
      <c r="I610" s="108">
        <f t="shared" si="622"/>
        <v>0</v>
      </c>
      <c r="J610" s="108">
        <f t="shared" si="623"/>
        <v>0</v>
      </c>
      <c r="K610" s="108">
        <f t="shared" si="624"/>
        <v>0</v>
      </c>
      <c r="L610" s="111"/>
      <c r="Z610" s="100">
        <f t="shared" si="625"/>
        <v>0</v>
      </c>
      <c r="AB610" s="100">
        <f t="shared" si="626"/>
        <v>0</v>
      </c>
      <c r="AC610" s="100">
        <f t="shared" si="627"/>
        <v>0</v>
      </c>
      <c r="AD610" s="100">
        <f t="shared" si="628"/>
        <v>0</v>
      </c>
      <c r="AE610" s="100">
        <f t="shared" si="629"/>
        <v>0</v>
      </c>
      <c r="AF610" s="100">
        <f t="shared" si="630"/>
        <v>0</v>
      </c>
      <c r="AG610" s="100">
        <f t="shared" si="631"/>
        <v>0</v>
      </c>
      <c r="AH610" s="100">
        <f t="shared" si="632"/>
        <v>0</v>
      </c>
      <c r="AI610" s="109"/>
      <c r="AJ610" s="108">
        <f t="shared" si="633"/>
        <v>0</v>
      </c>
      <c r="AK610" s="108">
        <f t="shared" si="634"/>
        <v>0</v>
      </c>
      <c r="AL610" s="108">
        <f t="shared" si="635"/>
        <v>0</v>
      </c>
      <c r="AN610" s="100">
        <v>15</v>
      </c>
      <c r="AO610" s="100">
        <f t="shared" si="636"/>
        <v>0</v>
      </c>
      <c r="AP610" s="100">
        <f t="shared" si="637"/>
        <v>0</v>
      </c>
      <c r="AQ610" s="111" t="s">
        <v>7</v>
      </c>
      <c r="AV610" s="100">
        <f t="shared" si="638"/>
        <v>0</v>
      </c>
      <c r="AW610" s="100">
        <f t="shared" si="639"/>
        <v>0</v>
      </c>
      <c r="AX610" s="100">
        <f t="shared" si="640"/>
        <v>0</v>
      </c>
      <c r="AY610" s="110" t="s">
        <v>1722</v>
      </c>
      <c r="AZ610" s="110" t="s">
        <v>1730</v>
      </c>
      <c r="BA610" s="109" t="s">
        <v>1737</v>
      </c>
      <c r="BC610" s="100">
        <f t="shared" si="641"/>
        <v>0</v>
      </c>
      <c r="BD610" s="100">
        <f t="shared" si="642"/>
        <v>0</v>
      </c>
      <c r="BE610" s="100">
        <v>0</v>
      </c>
      <c r="BF610" s="100">
        <f>610</f>
        <v>610</v>
      </c>
      <c r="BH610" s="108">
        <f t="shared" si="643"/>
        <v>0</v>
      </c>
      <c r="BI610" s="108">
        <f t="shared" si="644"/>
        <v>0</v>
      </c>
      <c r="BJ610" s="108">
        <f t="shared" si="645"/>
        <v>0</v>
      </c>
    </row>
    <row r="611" spans="1:62" x14ac:dyDescent="0.2">
      <c r="A611" s="117" t="s">
        <v>559</v>
      </c>
      <c r="B611" s="117" t="s">
        <v>2597</v>
      </c>
      <c r="C611" s="304" t="s">
        <v>1617</v>
      </c>
      <c r="D611" s="305"/>
      <c r="E611" s="305"/>
      <c r="F611" s="117" t="s">
        <v>1646</v>
      </c>
      <c r="G611" s="116">
        <v>20</v>
      </c>
      <c r="H611" s="159"/>
      <c r="I611" s="108">
        <f t="shared" si="622"/>
        <v>0</v>
      </c>
      <c r="J611" s="108">
        <f t="shared" si="623"/>
        <v>0</v>
      </c>
      <c r="K611" s="108">
        <f t="shared" si="624"/>
        <v>0</v>
      </c>
      <c r="L611" s="111"/>
      <c r="Z611" s="100">
        <f t="shared" si="625"/>
        <v>0</v>
      </c>
      <c r="AB611" s="100">
        <f t="shared" si="626"/>
        <v>0</v>
      </c>
      <c r="AC611" s="100">
        <f t="shared" si="627"/>
        <v>0</v>
      </c>
      <c r="AD611" s="100">
        <f t="shared" si="628"/>
        <v>0</v>
      </c>
      <c r="AE611" s="100">
        <f t="shared" si="629"/>
        <v>0</v>
      </c>
      <c r="AF611" s="100">
        <f t="shared" si="630"/>
        <v>0</v>
      </c>
      <c r="AG611" s="100">
        <f t="shared" si="631"/>
        <v>0</v>
      </c>
      <c r="AH611" s="100">
        <f t="shared" si="632"/>
        <v>0</v>
      </c>
      <c r="AI611" s="109"/>
      <c r="AJ611" s="108">
        <f t="shared" si="633"/>
        <v>0</v>
      </c>
      <c r="AK611" s="108">
        <f t="shared" si="634"/>
        <v>0</v>
      </c>
      <c r="AL611" s="108">
        <f t="shared" si="635"/>
        <v>0</v>
      </c>
      <c r="AN611" s="100">
        <v>15</v>
      </c>
      <c r="AO611" s="100">
        <f t="shared" si="636"/>
        <v>0</v>
      </c>
      <c r="AP611" s="100">
        <f t="shared" si="637"/>
        <v>0</v>
      </c>
      <c r="AQ611" s="111" t="s">
        <v>7</v>
      </c>
      <c r="AV611" s="100">
        <f t="shared" si="638"/>
        <v>0</v>
      </c>
      <c r="AW611" s="100">
        <f t="shared" si="639"/>
        <v>0</v>
      </c>
      <c r="AX611" s="100">
        <f t="shared" si="640"/>
        <v>0</v>
      </c>
      <c r="AY611" s="110" t="s">
        <v>1722</v>
      </c>
      <c r="AZ611" s="110" t="s">
        <v>1730</v>
      </c>
      <c r="BA611" s="109" t="s">
        <v>1737</v>
      </c>
      <c r="BC611" s="100">
        <f t="shared" si="641"/>
        <v>0</v>
      </c>
      <c r="BD611" s="100">
        <f t="shared" si="642"/>
        <v>0</v>
      </c>
      <c r="BE611" s="100">
        <v>0</v>
      </c>
      <c r="BF611" s="100">
        <f>611</f>
        <v>611</v>
      </c>
      <c r="BH611" s="108">
        <f t="shared" si="643"/>
        <v>0</v>
      </c>
      <c r="BI611" s="108">
        <f t="shared" si="644"/>
        <v>0</v>
      </c>
      <c r="BJ611" s="108">
        <f t="shared" si="645"/>
        <v>0</v>
      </c>
    </row>
    <row r="612" spans="1:62" x14ac:dyDescent="0.2">
      <c r="A612" s="117" t="s">
        <v>560</v>
      </c>
      <c r="B612" s="117" t="s">
        <v>2596</v>
      </c>
      <c r="C612" s="304" t="s">
        <v>1618</v>
      </c>
      <c r="D612" s="305"/>
      <c r="E612" s="305"/>
      <c r="F612" s="117" t="s">
        <v>1646</v>
      </c>
      <c r="G612" s="116">
        <v>25</v>
      </c>
      <c r="H612" s="159"/>
      <c r="I612" s="108">
        <f t="shared" si="622"/>
        <v>0</v>
      </c>
      <c r="J612" s="108">
        <f t="shared" si="623"/>
        <v>0</v>
      </c>
      <c r="K612" s="108">
        <f t="shared" si="624"/>
        <v>0</v>
      </c>
      <c r="L612" s="111"/>
      <c r="Z612" s="100">
        <f t="shared" si="625"/>
        <v>0</v>
      </c>
      <c r="AB612" s="100">
        <f t="shared" si="626"/>
        <v>0</v>
      </c>
      <c r="AC612" s="100">
        <f t="shared" si="627"/>
        <v>0</v>
      </c>
      <c r="AD612" s="100">
        <f t="shared" si="628"/>
        <v>0</v>
      </c>
      <c r="AE612" s="100">
        <f t="shared" si="629"/>
        <v>0</v>
      </c>
      <c r="AF612" s="100">
        <f t="shared" si="630"/>
        <v>0</v>
      </c>
      <c r="AG612" s="100">
        <f t="shared" si="631"/>
        <v>0</v>
      </c>
      <c r="AH612" s="100">
        <f t="shared" si="632"/>
        <v>0</v>
      </c>
      <c r="AI612" s="109"/>
      <c r="AJ612" s="108">
        <f t="shared" si="633"/>
        <v>0</v>
      </c>
      <c r="AK612" s="108">
        <f t="shared" si="634"/>
        <v>0</v>
      </c>
      <c r="AL612" s="108">
        <f t="shared" si="635"/>
        <v>0</v>
      </c>
      <c r="AN612" s="100">
        <v>15</v>
      </c>
      <c r="AO612" s="100">
        <f t="shared" si="636"/>
        <v>0</v>
      </c>
      <c r="AP612" s="100">
        <f t="shared" si="637"/>
        <v>0</v>
      </c>
      <c r="AQ612" s="111" t="s">
        <v>7</v>
      </c>
      <c r="AV612" s="100">
        <f t="shared" si="638"/>
        <v>0</v>
      </c>
      <c r="AW612" s="100">
        <f t="shared" si="639"/>
        <v>0</v>
      </c>
      <c r="AX612" s="100">
        <f t="shared" si="640"/>
        <v>0</v>
      </c>
      <c r="AY612" s="110" t="s">
        <v>1722</v>
      </c>
      <c r="AZ612" s="110" t="s">
        <v>1730</v>
      </c>
      <c r="BA612" s="109" t="s">
        <v>1737</v>
      </c>
      <c r="BC612" s="100">
        <f t="shared" si="641"/>
        <v>0</v>
      </c>
      <c r="BD612" s="100">
        <f t="shared" si="642"/>
        <v>0</v>
      </c>
      <c r="BE612" s="100">
        <v>0</v>
      </c>
      <c r="BF612" s="100">
        <f>612</f>
        <v>612</v>
      </c>
      <c r="BH612" s="108">
        <f t="shared" si="643"/>
        <v>0</v>
      </c>
      <c r="BI612" s="108">
        <f t="shared" si="644"/>
        <v>0</v>
      </c>
      <c r="BJ612" s="108">
        <f t="shared" si="645"/>
        <v>0</v>
      </c>
    </row>
    <row r="613" spans="1:62" x14ac:dyDescent="0.2">
      <c r="A613" s="117" t="s">
        <v>561</v>
      </c>
      <c r="B613" s="117" t="s">
        <v>2595</v>
      </c>
      <c r="C613" s="304" t="s">
        <v>1619</v>
      </c>
      <c r="D613" s="305"/>
      <c r="E613" s="305"/>
      <c r="F613" s="117" t="s">
        <v>1644</v>
      </c>
      <c r="G613" s="116">
        <v>1</v>
      </c>
      <c r="H613" s="159"/>
      <c r="I613" s="108">
        <f t="shared" si="622"/>
        <v>0</v>
      </c>
      <c r="J613" s="108">
        <f t="shared" si="623"/>
        <v>0</v>
      </c>
      <c r="K613" s="108">
        <f t="shared" si="624"/>
        <v>0</v>
      </c>
      <c r="L613" s="111"/>
      <c r="Z613" s="100">
        <f t="shared" si="625"/>
        <v>0</v>
      </c>
      <c r="AB613" s="100">
        <f t="shared" si="626"/>
        <v>0</v>
      </c>
      <c r="AC613" s="100">
        <f t="shared" si="627"/>
        <v>0</v>
      </c>
      <c r="AD613" s="100">
        <f t="shared" si="628"/>
        <v>0</v>
      </c>
      <c r="AE613" s="100">
        <f t="shared" si="629"/>
        <v>0</v>
      </c>
      <c r="AF613" s="100">
        <f t="shared" si="630"/>
        <v>0</v>
      </c>
      <c r="AG613" s="100">
        <f t="shared" si="631"/>
        <v>0</v>
      </c>
      <c r="AH613" s="100">
        <f t="shared" si="632"/>
        <v>0</v>
      </c>
      <c r="AI613" s="109"/>
      <c r="AJ613" s="108">
        <f t="shared" si="633"/>
        <v>0</v>
      </c>
      <c r="AK613" s="108">
        <f t="shared" si="634"/>
        <v>0</v>
      </c>
      <c r="AL613" s="108">
        <f t="shared" si="635"/>
        <v>0</v>
      </c>
      <c r="AN613" s="100">
        <v>15</v>
      </c>
      <c r="AO613" s="100">
        <f t="shared" si="636"/>
        <v>0</v>
      </c>
      <c r="AP613" s="100">
        <f t="shared" si="637"/>
        <v>0</v>
      </c>
      <c r="AQ613" s="111" t="s">
        <v>7</v>
      </c>
      <c r="AV613" s="100">
        <f t="shared" si="638"/>
        <v>0</v>
      </c>
      <c r="AW613" s="100">
        <f t="shared" si="639"/>
        <v>0</v>
      </c>
      <c r="AX613" s="100">
        <f t="shared" si="640"/>
        <v>0</v>
      </c>
      <c r="AY613" s="110" t="s">
        <v>1722</v>
      </c>
      <c r="AZ613" s="110" t="s">
        <v>1730</v>
      </c>
      <c r="BA613" s="109" t="s">
        <v>1737</v>
      </c>
      <c r="BC613" s="100">
        <f t="shared" si="641"/>
        <v>0</v>
      </c>
      <c r="BD613" s="100">
        <f t="shared" si="642"/>
        <v>0</v>
      </c>
      <c r="BE613" s="100">
        <v>0</v>
      </c>
      <c r="BF613" s="100">
        <f>613</f>
        <v>613</v>
      </c>
      <c r="BH613" s="108">
        <f t="shared" si="643"/>
        <v>0</v>
      </c>
      <c r="BI613" s="108">
        <f t="shared" si="644"/>
        <v>0</v>
      </c>
      <c r="BJ613" s="108">
        <f t="shared" si="645"/>
        <v>0</v>
      </c>
    </row>
    <row r="614" spans="1:62" x14ac:dyDescent="0.2">
      <c r="A614" s="117" t="s">
        <v>562</v>
      </c>
      <c r="B614" s="117" t="s">
        <v>2594</v>
      </c>
      <c r="C614" s="304" t="s">
        <v>1620</v>
      </c>
      <c r="D614" s="305"/>
      <c r="E614" s="305"/>
      <c r="F614" s="117" t="s">
        <v>1644</v>
      </c>
      <c r="G614" s="116">
        <v>1</v>
      </c>
      <c r="H614" s="159"/>
      <c r="I614" s="108">
        <f t="shared" ref="I614:I624" si="646">G614*AO614</f>
        <v>0</v>
      </c>
      <c r="J614" s="108">
        <f t="shared" ref="J614:J624" si="647">G614*AP614</f>
        <v>0</v>
      </c>
      <c r="K614" s="108">
        <f t="shared" ref="K614:K624" si="648">G614*H614</f>
        <v>0</v>
      </c>
      <c r="L614" s="111"/>
      <c r="Z614" s="100">
        <f t="shared" ref="Z614:Z624" si="649">IF(AQ614="5",BJ614,0)</f>
        <v>0</v>
      </c>
      <c r="AB614" s="100">
        <f t="shared" ref="AB614:AB624" si="650">IF(AQ614="1",BH614,0)</f>
        <v>0</v>
      </c>
      <c r="AC614" s="100">
        <f t="shared" ref="AC614:AC624" si="651">IF(AQ614="1",BI614,0)</f>
        <v>0</v>
      </c>
      <c r="AD614" s="100">
        <f t="shared" ref="AD614:AD624" si="652">IF(AQ614="7",BH614,0)</f>
        <v>0</v>
      </c>
      <c r="AE614" s="100">
        <f t="shared" ref="AE614:AE624" si="653">IF(AQ614="7",BI614,0)</f>
        <v>0</v>
      </c>
      <c r="AF614" s="100">
        <f t="shared" ref="AF614:AF624" si="654">IF(AQ614="2",BH614,0)</f>
        <v>0</v>
      </c>
      <c r="AG614" s="100">
        <f t="shared" ref="AG614:AG624" si="655">IF(AQ614="2",BI614,0)</f>
        <v>0</v>
      </c>
      <c r="AH614" s="100">
        <f t="shared" ref="AH614:AH624" si="656">IF(AQ614="0",BJ614,0)</f>
        <v>0</v>
      </c>
      <c r="AI614" s="109"/>
      <c r="AJ614" s="108">
        <f t="shared" ref="AJ614:AJ624" si="657">IF(AN614=0,K614,0)</f>
        <v>0</v>
      </c>
      <c r="AK614" s="108">
        <f t="shared" ref="AK614:AK624" si="658">IF(AN614=15,K614,0)</f>
        <v>0</v>
      </c>
      <c r="AL614" s="108">
        <f t="shared" ref="AL614:AL624" si="659">IF(AN614=21,K614,0)</f>
        <v>0</v>
      </c>
      <c r="AN614" s="100">
        <v>15</v>
      </c>
      <c r="AO614" s="100">
        <f t="shared" ref="AO614:AO624" si="660">H614*0</f>
        <v>0</v>
      </c>
      <c r="AP614" s="100">
        <f t="shared" ref="AP614:AP624" si="661">H614*(1-0)</f>
        <v>0</v>
      </c>
      <c r="AQ614" s="111" t="s">
        <v>7</v>
      </c>
      <c r="AV614" s="100">
        <f t="shared" ref="AV614:AV624" si="662">AW614+AX614</f>
        <v>0</v>
      </c>
      <c r="AW614" s="100">
        <f t="shared" ref="AW614:AW624" si="663">G614*AO614</f>
        <v>0</v>
      </c>
      <c r="AX614" s="100">
        <f t="shared" ref="AX614:AX624" si="664">G614*AP614</f>
        <v>0</v>
      </c>
      <c r="AY614" s="110" t="s">
        <v>1722</v>
      </c>
      <c r="AZ614" s="110" t="s">
        <v>1730</v>
      </c>
      <c r="BA614" s="109" t="s">
        <v>1737</v>
      </c>
      <c r="BC614" s="100">
        <f t="shared" ref="BC614:BC624" si="665">AW614+AX614</f>
        <v>0</v>
      </c>
      <c r="BD614" s="100">
        <f t="shared" ref="BD614:BD624" si="666">H614/(100-BE614)*100</f>
        <v>0</v>
      </c>
      <c r="BE614" s="100">
        <v>0</v>
      </c>
      <c r="BF614" s="100">
        <f>614</f>
        <v>614</v>
      </c>
      <c r="BH614" s="108">
        <f t="shared" ref="BH614:BH624" si="667">G614*AO614</f>
        <v>0</v>
      </c>
      <c r="BI614" s="108">
        <f t="shared" ref="BI614:BI624" si="668">G614*AP614</f>
        <v>0</v>
      </c>
      <c r="BJ614" s="108">
        <f t="shared" ref="BJ614:BJ624" si="669">G614*H614</f>
        <v>0</v>
      </c>
    </row>
    <row r="615" spans="1:62" x14ac:dyDescent="0.2">
      <c r="A615" s="117" t="s">
        <v>563</v>
      </c>
      <c r="B615" s="117" t="s">
        <v>2593</v>
      </c>
      <c r="C615" s="304" t="s">
        <v>1621</v>
      </c>
      <c r="D615" s="305"/>
      <c r="E615" s="305"/>
      <c r="F615" s="117" t="s">
        <v>1644</v>
      </c>
      <c r="G615" s="116">
        <v>1</v>
      </c>
      <c r="H615" s="159"/>
      <c r="I615" s="108">
        <f t="shared" si="646"/>
        <v>0</v>
      </c>
      <c r="J615" s="108">
        <f t="shared" si="647"/>
        <v>0</v>
      </c>
      <c r="K615" s="108">
        <f t="shared" si="648"/>
        <v>0</v>
      </c>
      <c r="L615" s="111"/>
      <c r="Z615" s="100">
        <f t="shared" si="649"/>
        <v>0</v>
      </c>
      <c r="AB615" s="100">
        <f t="shared" si="650"/>
        <v>0</v>
      </c>
      <c r="AC615" s="100">
        <f t="shared" si="651"/>
        <v>0</v>
      </c>
      <c r="AD615" s="100">
        <f t="shared" si="652"/>
        <v>0</v>
      </c>
      <c r="AE615" s="100">
        <f t="shared" si="653"/>
        <v>0</v>
      </c>
      <c r="AF615" s="100">
        <f t="shared" si="654"/>
        <v>0</v>
      </c>
      <c r="AG615" s="100">
        <f t="shared" si="655"/>
        <v>0</v>
      </c>
      <c r="AH615" s="100">
        <f t="shared" si="656"/>
        <v>0</v>
      </c>
      <c r="AI615" s="109"/>
      <c r="AJ615" s="108">
        <f t="shared" si="657"/>
        <v>0</v>
      </c>
      <c r="AK615" s="108">
        <f t="shared" si="658"/>
        <v>0</v>
      </c>
      <c r="AL615" s="108">
        <f t="shared" si="659"/>
        <v>0</v>
      </c>
      <c r="AN615" s="100">
        <v>15</v>
      </c>
      <c r="AO615" s="100">
        <f t="shared" si="660"/>
        <v>0</v>
      </c>
      <c r="AP615" s="100">
        <f t="shared" si="661"/>
        <v>0</v>
      </c>
      <c r="AQ615" s="111" t="s">
        <v>7</v>
      </c>
      <c r="AV615" s="100">
        <f t="shared" si="662"/>
        <v>0</v>
      </c>
      <c r="AW615" s="100">
        <f t="shared" si="663"/>
        <v>0</v>
      </c>
      <c r="AX615" s="100">
        <f t="shared" si="664"/>
        <v>0</v>
      </c>
      <c r="AY615" s="110" t="s">
        <v>1722</v>
      </c>
      <c r="AZ615" s="110" t="s">
        <v>1730</v>
      </c>
      <c r="BA615" s="109" t="s">
        <v>1737</v>
      </c>
      <c r="BC615" s="100">
        <f t="shared" si="665"/>
        <v>0</v>
      </c>
      <c r="BD615" s="100">
        <f t="shared" si="666"/>
        <v>0</v>
      </c>
      <c r="BE615" s="100">
        <v>0</v>
      </c>
      <c r="BF615" s="100">
        <f>615</f>
        <v>615</v>
      </c>
      <c r="BH615" s="108">
        <f t="shared" si="667"/>
        <v>0</v>
      </c>
      <c r="BI615" s="108">
        <f t="shared" si="668"/>
        <v>0</v>
      </c>
      <c r="BJ615" s="108">
        <f t="shared" si="669"/>
        <v>0</v>
      </c>
    </row>
    <row r="616" spans="1:62" x14ac:dyDescent="0.2">
      <c r="A616" s="117" t="s">
        <v>564</v>
      </c>
      <c r="B616" s="117" t="s">
        <v>2592</v>
      </c>
      <c r="C616" s="304" t="s">
        <v>1622</v>
      </c>
      <c r="D616" s="305"/>
      <c r="E616" s="305"/>
      <c r="F616" s="117" t="s">
        <v>1644</v>
      </c>
      <c r="G616" s="116">
        <v>1</v>
      </c>
      <c r="H616" s="159"/>
      <c r="I616" s="108">
        <f t="shared" si="646"/>
        <v>0</v>
      </c>
      <c r="J616" s="108">
        <f t="shared" si="647"/>
        <v>0</v>
      </c>
      <c r="K616" s="108">
        <f t="shared" si="648"/>
        <v>0</v>
      </c>
      <c r="L616" s="111"/>
      <c r="Z616" s="100">
        <f t="shared" si="649"/>
        <v>0</v>
      </c>
      <c r="AB616" s="100">
        <f t="shared" si="650"/>
        <v>0</v>
      </c>
      <c r="AC616" s="100">
        <f t="shared" si="651"/>
        <v>0</v>
      </c>
      <c r="AD616" s="100">
        <f t="shared" si="652"/>
        <v>0</v>
      </c>
      <c r="AE616" s="100">
        <f t="shared" si="653"/>
        <v>0</v>
      </c>
      <c r="AF616" s="100">
        <f t="shared" si="654"/>
        <v>0</v>
      </c>
      <c r="AG616" s="100">
        <f t="shared" si="655"/>
        <v>0</v>
      </c>
      <c r="AH616" s="100">
        <f t="shared" si="656"/>
        <v>0</v>
      </c>
      <c r="AI616" s="109"/>
      <c r="AJ616" s="108">
        <f t="shared" si="657"/>
        <v>0</v>
      </c>
      <c r="AK616" s="108">
        <f t="shared" si="658"/>
        <v>0</v>
      </c>
      <c r="AL616" s="108">
        <f t="shared" si="659"/>
        <v>0</v>
      </c>
      <c r="AN616" s="100">
        <v>15</v>
      </c>
      <c r="AO616" s="100">
        <f t="shared" si="660"/>
        <v>0</v>
      </c>
      <c r="AP616" s="100">
        <f t="shared" si="661"/>
        <v>0</v>
      </c>
      <c r="AQ616" s="111" t="s">
        <v>7</v>
      </c>
      <c r="AV616" s="100">
        <f t="shared" si="662"/>
        <v>0</v>
      </c>
      <c r="AW616" s="100">
        <f t="shared" si="663"/>
        <v>0</v>
      </c>
      <c r="AX616" s="100">
        <f t="shared" si="664"/>
        <v>0</v>
      </c>
      <c r="AY616" s="110" t="s">
        <v>1722</v>
      </c>
      <c r="AZ616" s="110" t="s">
        <v>1730</v>
      </c>
      <c r="BA616" s="109" t="s">
        <v>1737</v>
      </c>
      <c r="BC616" s="100">
        <f t="shared" si="665"/>
        <v>0</v>
      </c>
      <c r="BD616" s="100">
        <f t="shared" si="666"/>
        <v>0</v>
      </c>
      <c r="BE616" s="100">
        <v>0</v>
      </c>
      <c r="BF616" s="100">
        <f>616</f>
        <v>616</v>
      </c>
      <c r="BH616" s="108">
        <f t="shared" si="667"/>
        <v>0</v>
      </c>
      <c r="BI616" s="108">
        <f t="shared" si="668"/>
        <v>0</v>
      </c>
      <c r="BJ616" s="108">
        <f t="shared" si="669"/>
        <v>0</v>
      </c>
    </row>
    <row r="617" spans="1:62" x14ac:dyDescent="0.2">
      <c r="A617" s="117" t="s">
        <v>565</v>
      </c>
      <c r="B617" s="117" t="s">
        <v>2591</v>
      </c>
      <c r="C617" s="304" t="s">
        <v>1623</v>
      </c>
      <c r="D617" s="305"/>
      <c r="E617" s="305"/>
      <c r="F617" s="117" t="s">
        <v>1644</v>
      </c>
      <c r="G617" s="116">
        <v>1</v>
      </c>
      <c r="H617" s="159"/>
      <c r="I617" s="108">
        <f t="shared" si="646"/>
        <v>0</v>
      </c>
      <c r="J617" s="108">
        <f t="shared" si="647"/>
        <v>0</v>
      </c>
      <c r="K617" s="108">
        <f t="shared" si="648"/>
        <v>0</v>
      </c>
      <c r="L617" s="111"/>
      <c r="Z617" s="100">
        <f t="shared" si="649"/>
        <v>0</v>
      </c>
      <c r="AB617" s="100">
        <f t="shared" si="650"/>
        <v>0</v>
      </c>
      <c r="AC617" s="100">
        <f t="shared" si="651"/>
        <v>0</v>
      </c>
      <c r="AD617" s="100">
        <f t="shared" si="652"/>
        <v>0</v>
      </c>
      <c r="AE617" s="100">
        <f t="shared" si="653"/>
        <v>0</v>
      </c>
      <c r="AF617" s="100">
        <f t="shared" si="654"/>
        <v>0</v>
      </c>
      <c r="AG617" s="100">
        <f t="shared" si="655"/>
        <v>0</v>
      </c>
      <c r="AH617" s="100">
        <f t="shared" si="656"/>
        <v>0</v>
      </c>
      <c r="AI617" s="109"/>
      <c r="AJ617" s="108">
        <f t="shared" si="657"/>
        <v>0</v>
      </c>
      <c r="AK617" s="108">
        <f t="shared" si="658"/>
        <v>0</v>
      </c>
      <c r="AL617" s="108">
        <f t="shared" si="659"/>
        <v>0</v>
      </c>
      <c r="AN617" s="100">
        <v>15</v>
      </c>
      <c r="AO617" s="100">
        <f t="shared" si="660"/>
        <v>0</v>
      </c>
      <c r="AP617" s="100">
        <f t="shared" si="661"/>
        <v>0</v>
      </c>
      <c r="AQ617" s="111" t="s">
        <v>7</v>
      </c>
      <c r="AV617" s="100">
        <f t="shared" si="662"/>
        <v>0</v>
      </c>
      <c r="AW617" s="100">
        <f t="shared" si="663"/>
        <v>0</v>
      </c>
      <c r="AX617" s="100">
        <f t="shared" si="664"/>
        <v>0</v>
      </c>
      <c r="AY617" s="110" t="s">
        <v>1722</v>
      </c>
      <c r="AZ617" s="110" t="s">
        <v>1730</v>
      </c>
      <c r="BA617" s="109" t="s">
        <v>1737</v>
      </c>
      <c r="BC617" s="100">
        <f t="shared" si="665"/>
        <v>0</v>
      </c>
      <c r="BD617" s="100">
        <f t="shared" si="666"/>
        <v>0</v>
      </c>
      <c r="BE617" s="100">
        <v>0</v>
      </c>
      <c r="BF617" s="100">
        <f>617</f>
        <v>617</v>
      </c>
      <c r="BH617" s="108">
        <f t="shared" si="667"/>
        <v>0</v>
      </c>
      <c r="BI617" s="108">
        <f t="shared" si="668"/>
        <v>0</v>
      </c>
      <c r="BJ617" s="108">
        <f t="shared" si="669"/>
        <v>0</v>
      </c>
    </row>
    <row r="618" spans="1:62" x14ac:dyDescent="0.2">
      <c r="A618" s="117" t="s">
        <v>566</v>
      </c>
      <c r="B618" s="117" t="s">
        <v>2590</v>
      </c>
      <c r="C618" s="304" t="s">
        <v>1624</v>
      </c>
      <c r="D618" s="305"/>
      <c r="E618" s="305"/>
      <c r="F618" s="117" t="s">
        <v>1644</v>
      </c>
      <c r="G618" s="116">
        <v>1</v>
      </c>
      <c r="H618" s="159"/>
      <c r="I618" s="108">
        <f t="shared" si="646"/>
        <v>0</v>
      </c>
      <c r="J618" s="108">
        <f t="shared" si="647"/>
        <v>0</v>
      </c>
      <c r="K618" s="108">
        <f t="shared" si="648"/>
        <v>0</v>
      </c>
      <c r="L618" s="111"/>
      <c r="Z618" s="100">
        <f t="shared" si="649"/>
        <v>0</v>
      </c>
      <c r="AB618" s="100">
        <f t="shared" si="650"/>
        <v>0</v>
      </c>
      <c r="AC618" s="100">
        <f t="shared" si="651"/>
        <v>0</v>
      </c>
      <c r="AD618" s="100">
        <f t="shared" si="652"/>
        <v>0</v>
      </c>
      <c r="AE618" s="100">
        <f t="shared" si="653"/>
        <v>0</v>
      </c>
      <c r="AF618" s="100">
        <f t="shared" si="654"/>
        <v>0</v>
      </c>
      <c r="AG618" s="100">
        <f t="shared" si="655"/>
        <v>0</v>
      </c>
      <c r="AH618" s="100">
        <f t="shared" si="656"/>
        <v>0</v>
      </c>
      <c r="AI618" s="109"/>
      <c r="AJ618" s="108">
        <f t="shared" si="657"/>
        <v>0</v>
      </c>
      <c r="AK618" s="108">
        <f t="shared" si="658"/>
        <v>0</v>
      </c>
      <c r="AL618" s="108">
        <f t="shared" si="659"/>
        <v>0</v>
      </c>
      <c r="AN618" s="100">
        <v>15</v>
      </c>
      <c r="AO618" s="100">
        <f t="shared" si="660"/>
        <v>0</v>
      </c>
      <c r="AP618" s="100">
        <f t="shared" si="661"/>
        <v>0</v>
      </c>
      <c r="AQ618" s="111" t="s">
        <v>7</v>
      </c>
      <c r="AV618" s="100">
        <f t="shared" si="662"/>
        <v>0</v>
      </c>
      <c r="AW618" s="100">
        <f t="shared" si="663"/>
        <v>0</v>
      </c>
      <c r="AX618" s="100">
        <f t="shared" si="664"/>
        <v>0</v>
      </c>
      <c r="AY618" s="110" t="s">
        <v>1722</v>
      </c>
      <c r="AZ618" s="110" t="s">
        <v>1730</v>
      </c>
      <c r="BA618" s="109" t="s">
        <v>1737</v>
      </c>
      <c r="BC618" s="100">
        <f t="shared" si="665"/>
        <v>0</v>
      </c>
      <c r="BD618" s="100">
        <f t="shared" si="666"/>
        <v>0</v>
      </c>
      <c r="BE618" s="100">
        <v>0</v>
      </c>
      <c r="BF618" s="100">
        <f>618</f>
        <v>618</v>
      </c>
      <c r="BH618" s="108">
        <f t="shared" si="667"/>
        <v>0</v>
      </c>
      <c r="BI618" s="108">
        <f t="shared" si="668"/>
        <v>0</v>
      </c>
      <c r="BJ618" s="108">
        <f t="shared" si="669"/>
        <v>0</v>
      </c>
    </row>
    <row r="619" spans="1:62" x14ac:dyDescent="0.2">
      <c r="A619" s="117" t="s">
        <v>567</v>
      </c>
      <c r="B619" s="117" t="s">
        <v>2589</v>
      </c>
      <c r="C619" s="304" t="s">
        <v>1625</v>
      </c>
      <c r="D619" s="305"/>
      <c r="E619" s="305"/>
      <c r="F619" s="117" t="s">
        <v>1644</v>
      </c>
      <c r="G619" s="116">
        <v>1</v>
      </c>
      <c r="H619" s="159"/>
      <c r="I619" s="108">
        <f t="shared" si="646"/>
        <v>0</v>
      </c>
      <c r="J619" s="108">
        <f t="shared" si="647"/>
        <v>0</v>
      </c>
      <c r="K619" s="108">
        <f t="shared" si="648"/>
        <v>0</v>
      </c>
      <c r="L619" s="111"/>
      <c r="Z619" s="100">
        <f t="shared" si="649"/>
        <v>0</v>
      </c>
      <c r="AB619" s="100">
        <f t="shared" si="650"/>
        <v>0</v>
      </c>
      <c r="AC619" s="100">
        <f t="shared" si="651"/>
        <v>0</v>
      </c>
      <c r="AD619" s="100">
        <f t="shared" si="652"/>
        <v>0</v>
      </c>
      <c r="AE619" s="100">
        <f t="shared" si="653"/>
        <v>0</v>
      </c>
      <c r="AF619" s="100">
        <f t="shared" si="654"/>
        <v>0</v>
      </c>
      <c r="AG619" s="100">
        <f t="shared" si="655"/>
        <v>0</v>
      </c>
      <c r="AH619" s="100">
        <f t="shared" si="656"/>
        <v>0</v>
      </c>
      <c r="AI619" s="109"/>
      <c r="AJ619" s="108">
        <f t="shared" si="657"/>
        <v>0</v>
      </c>
      <c r="AK619" s="108">
        <f t="shared" si="658"/>
        <v>0</v>
      </c>
      <c r="AL619" s="108">
        <f t="shared" si="659"/>
        <v>0</v>
      </c>
      <c r="AN619" s="100">
        <v>15</v>
      </c>
      <c r="AO619" s="100">
        <f t="shared" si="660"/>
        <v>0</v>
      </c>
      <c r="AP619" s="100">
        <f t="shared" si="661"/>
        <v>0</v>
      </c>
      <c r="AQ619" s="111" t="s">
        <v>7</v>
      </c>
      <c r="AV619" s="100">
        <f t="shared" si="662"/>
        <v>0</v>
      </c>
      <c r="AW619" s="100">
        <f t="shared" si="663"/>
        <v>0</v>
      </c>
      <c r="AX619" s="100">
        <f t="shared" si="664"/>
        <v>0</v>
      </c>
      <c r="AY619" s="110" t="s">
        <v>1722</v>
      </c>
      <c r="AZ619" s="110" t="s">
        <v>1730</v>
      </c>
      <c r="BA619" s="109" t="s">
        <v>1737</v>
      </c>
      <c r="BC619" s="100">
        <f t="shared" si="665"/>
        <v>0</v>
      </c>
      <c r="BD619" s="100">
        <f t="shared" si="666"/>
        <v>0</v>
      </c>
      <c r="BE619" s="100">
        <v>0</v>
      </c>
      <c r="BF619" s="100">
        <f>619</f>
        <v>619</v>
      </c>
      <c r="BH619" s="108">
        <f t="shared" si="667"/>
        <v>0</v>
      </c>
      <c r="BI619" s="108">
        <f t="shared" si="668"/>
        <v>0</v>
      </c>
      <c r="BJ619" s="108">
        <f t="shared" si="669"/>
        <v>0</v>
      </c>
    </row>
    <row r="620" spans="1:62" x14ac:dyDescent="0.2">
      <c r="A620" s="117" t="s">
        <v>568</v>
      </c>
      <c r="B620" s="117" t="s">
        <v>2588</v>
      </c>
      <c r="C620" s="304" t="s">
        <v>1626</v>
      </c>
      <c r="D620" s="305"/>
      <c r="E620" s="305"/>
      <c r="F620" s="117" t="s">
        <v>1644</v>
      </c>
      <c r="G620" s="116">
        <v>1</v>
      </c>
      <c r="H620" s="159"/>
      <c r="I620" s="108">
        <f t="shared" si="646"/>
        <v>0</v>
      </c>
      <c r="J620" s="108">
        <f t="shared" si="647"/>
        <v>0</v>
      </c>
      <c r="K620" s="108">
        <f t="shared" si="648"/>
        <v>0</v>
      </c>
      <c r="L620" s="111"/>
      <c r="Z620" s="100">
        <f t="shared" si="649"/>
        <v>0</v>
      </c>
      <c r="AB620" s="100">
        <f t="shared" si="650"/>
        <v>0</v>
      </c>
      <c r="AC620" s="100">
        <f t="shared" si="651"/>
        <v>0</v>
      </c>
      <c r="AD620" s="100">
        <f t="shared" si="652"/>
        <v>0</v>
      </c>
      <c r="AE620" s="100">
        <f t="shared" si="653"/>
        <v>0</v>
      </c>
      <c r="AF620" s="100">
        <f t="shared" si="654"/>
        <v>0</v>
      </c>
      <c r="AG620" s="100">
        <f t="shared" si="655"/>
        <v>0</v>
      </c>
      <c r="AH620" s="100">
        <f t="shared" si="656"/>
        <v>0</v>
      </c>
      <c r="AI620" s="109"/>
      <c r="AJ620" s="108">
        <f t="shared" si="657"/>
        <v>0</v>
      </c>
      <c r="AK620" s="108">
        <f t="shared" si="658"/>
        <v>0</v>
      </c>
      <c r="AL620" s="108">
        <f t="shared" si="659"/>
        <v>0</v>
      </c>
      <c r="AN620" s="100">
        <v>15</v>
      </c>
      <c r="AO620" s="100">
        <f t="shared" si="660"/>
        <v>0</v>
      </c>
      <c r="AP620" s="100">
        <f t="shared" si="661"/>
        <v>0</v>
      </c>
      <c r="AQ620" s="111" t="s">
        <v>7</v>
      </c>
      <c r="AV620" s="100">
        <f t="shared" si="662"/>
        <v>0</v>
      </c>
      <c r="AW620" s="100">
        <f t="shared" si="663"/>
        <v>0</v>
      </c>
      <c r="AX620" s="100">
        <f t="shared" si="664"/>
        <v>0</v>
      </c>
      <c r="AY620" s="110" t="s">
        <v>1722</v>
      </c>
      <c r="AZ620" s="110" t="s">
        <v>1730</v>
      </c>
      <c r="BA620" s="109" t="s">
        <v>1737</v>
      </c>
      <c r="BC620" s="100">
        <f t="shared" si="665"/>
        <v>0</v>
      </c>
      <c r="BD620" s="100">
        <f t="shared" si="666"/>
        <v>0</v>
      </c>
      <c r="BE620" s="100">
        <v>0</v>
      </c>
      <c r="BF620" s="100">
        <f>620</f>
        <v>620</v>
      </c>
      <c r="BH620" s="108">
        <f t="shared" si="667"/>
        <v>0</v>
      </c>
      <c r="BI620" s="108">
        <f t="shared" si="668"/>
        <v>0</v>
      </c>
      <c r="BJ620" s="108">
        <f t="shared" si="669"/>
        <v>0</v>
      </c>
    </row>
    <row r="621" spans="1:62" x14ac:dyDescent="0.2">
      <c r="A621" s="117" t="s">
        <v>2231</v>
      </c>
      <c r="B621" s="117" t="s">
        <v>2587</v>
      </c>
      <c r="C621" s="304" t="s">
        <v>1627</v>
      </c>
      <c r="D621" s="305"/>
      <c r="E621" s="305"/>
      <c r="F621" s="117" t="s">
        <v>1644</v>
      </c>
      <c r="G621" s="116">
        <v>1</v>
      </c>
      <c r="H621" s="159"/>
      <c r="I621" s="108">
        <f t="shared" si="646"/>
        <v>0</v>
      </c>
      <c r="J621" s="108">
        <f t="shared" si="647"/>
        <v>0</v>
      </c>
      <c r="K621" s="108">
        <f t="shared" si="648"/>
        <v>0</v>
      </c>
      <c r="L621" s="111"/>
      <c r="Z621" s="100">
        <f t="shared" si="649"/>
        <v>0</v>
      </c>
      <c r="AB621" s="100">
        <f t="shared" si="650"/>
        <v>0</v>
      </c>
      <c r="AC621" s="100">
        <f t="shared" si="651"/>
        <v>0</v>
      </c>
      <c r="AD621" s="100">
        <f t="shared" si="652"/>
        <v>0</v>
      </c>
      <c r="AE621" s="100">
        <f t="shared" si="653"/>
        <v>0</v>
      </c>
      <c r="AF621" s="100">
        <f t="shared" si="654"/>
        <v>0</v>
      </c>
      <c r="AG621" s="100">
        <f t="shared" si="655"/>
        <v>0</v>
      </c>
      <c r="AH621" s="100">
        <f t="shared" si="656"/>
        <v>0</v>
      </c>
      <c r="AI621" s="109"/>
      <c r="AJ621" s="108">
        <f t="shared" si="657"/>
        <v>0</v>
      </c>
      <c r="AK621" s="108">
        <f t="shared" si="658"/>
        <v>0</v>
      </c>
      <c r="AL621" s="108">
        <f t="shared" si="659"/>
        <v>0</v>
      </c>
      <c r="AN621" s="100">
        <v>15</v>
      </c>
      <c r="AO621" s="100">
        <f t="shared" si="660"/>
        <v>0</v>
      </c>
      <c r="AP621" s="100">
        <f t="shared" si="661"/>
        <v>0</v>
      </c>
      <c r="AQ621" s="111" t="s">
        <v>7</v>
      </c>
      <c r="AV621" s="100">
        <f t="shared" si="662"/>
        <v>0</v>
      </c>
      <c r="AW621" s="100">
        <f t="shared" si="663"/>
        <v>0</v>
      </c>
      <c r="AX621" s="100">
        <f t="shared" si="664"/>
        <v>0</v>
      </c>
      <c r="AY621" s="110" t="s">
        <v>1722</v>
      </c>
      <c r="AZ621" s="110" t="s">
        <v>1730</v>
      </c>
      <c r="BA621" s="109" t="s">
        <v>1737</v>
      </c>
      <c r="BC621" s="100">
        <f t="shared" si="665"/>
        <v>0</v>
      </c>
      <c r="BD621" s="100">
        <f t="shared" si="666"/>
        <v>0</v>
      </c>
      <c r="BE621" s="100">
        <v>0</v>
      </c>
      <c r="BF621" s="100">
        <f>621</f>
        <v>621</v>
      </c>
      <c r="BH621" s="108">
        <f t="shared" si="667"/>
        <v>0</v>
      </c>
      <c r="BI621" s="108">
        <f t="shared" si="668"/>
        <v>0</v>
      </c>
      <c r="BJ621" s="108">
        <f t="shared" si="669"/>
        <v>0</v>
      </c>
    </row>
    <row r="622" spans="1:62" x14ac:dyDescent="0.2">
      <c r="A622" s="117" t="s">
        <v>2228</v>
      </c>
      <c r="B622" s="117" t="s">
        <v>2586</v>
      </c>
      <c r="C622" s="304" t="s">
        <v>1628</v>
      </c>
      <c r="D622" s="305"/>
      <c r="E622" s="305"/>
      <c r="F622" s="117" t="s">
        <v>1644</v>
      </c>
      <c r="G622" s="116">
        <v>1</v>
      </c>
      <c r="H622" s="159"/>
      <c r="I622" s="108">
        <f t="shared" si="646"/>
        <v>0</v>
      </c>
      <c r="J622" s="108">
        <f t="shared" si="647"/>
        <v>0</v>
      </c>
      <c r="K622" s="108">
        <f t="shared" si="648"/>
        <v>0</v>
      </c>
      <c r="L622" s="111"/>
      <c r="Z622" s="100">
        <f t="shared" si="649"/>
        <v>0</v>
      </c>
      <c r="AB622" s="100">
        <f t="shared" si="650"/>
        <v>0</v>
      </c>
      <c r="AC622" s="100">
        <f t="shared" si="651"/>
        <v>0</v>
      </c>
      <c r="AD622" s="100">
        <f t="shared" si="652"/>
        <v>0</v>
      </c>
      <c r="AE622" s="100">
        <f t="shared" si="653"/>
        <v>0</v>
      </c>
      <c r="AF622" s="100">
        <f t="shared" si="654"/>
        <v>0</v>
      </c>
      <c r="AG622" s="100">
        <f t="shared" si="655"/>
        <v>0</v>
      </c>
      <c r="AH622" s="100">
        <f t="shared" si="656"/>
        <v>0</v>
      </c>
      <c r="AI622" s="109"/>
      <c r="AJ622" s="108">
        <f t="shared" si="657"/>
        <v>0</v>
      </c>
      <c r="AK622" s="108">
        <f t="shared" si="658"/>
        <v>0</v>
      </c>
      <c r="AL622" s="108">
        <f t="shared" si="659"/>
        <v>0</v>
      </c>
      <c r="AN622" s="100">
        <v>15</v>
      </c>
      <c r="AO622" s="100">
        <f t="shared" si="660"/>
        <v>0</v>
      </c>
      <c r="AP622" s="100">
        <f t="shared" si="661"/>
        <v>0</v>
      </c>
      <c r="AQ622" s="111" t="s">
        <v>7</v>
      </c>
      <c r="AV622" s="100">
        <f t="shared" si="662"/>
        <v>0</v>
      </c>
      <c r="AW622" s="100">
        <f t="shared" si="663"/>
        <v>0</v>
      </c>
      <c r="AX622" s="100">
        <f t="shared" si="664"/>
        <v>0</v>
      </c>
      <c r="AY622" s="110" t="s">
        <v>1722</v>
      </c>
      <c r="AZ622" s="110" t="s">
        <v>1730</v>
      </c>
      <c r="BA622" s="109" t="s">
        <v>1737</v>
      </c>
      <c r="BC622" s="100">
        <f t="shared" si="665"/>
        <v>0</v>
      </c>
      <c r="BD622" s="100">
        <f t="shared" si="666"/>
        <v>0</v>
      </c>
      <c r="BE622" s="100">
        <v>0</v>
      </c>
      <c r="BF622" s="100">
        <f>622</f>
        <v>622</v>
      </c>
      <c r="BH622" s="108">
        <f t="shared" si="667"/>
        <v>0</v>
      </c>
      <c r="BI622" s="108">
        <f t="shared" si="668"/>
        <v>0</v>
      </c>
      <c r="BJ622" s="108">
        <f t="shared" si="669"/>
        <v>0</v>
      </c>
    </row>
    <row r="623" spans="1:62" x14ac:dyDescent="0.2">
      <c r="A623" s="117" t="s">
        <v>2585</v>
      </c>
      <c r="B623" s="117" t="s">
        <v>2584</v>
      </c>
      <c r="C623" s="304" t="s">
        <v>1629</v>
      </c>
      <c r="D623" s="305"/>
      <c r="E623" s="305"/>
      <c r="F623" s="117" t="s">
        <v>1644</v>
      </c>
      <c r="G623" s="116">
        <v>1</v>
      </c>
      <c r="H623" s="159"/>
      <c r="I623" s="108">
        <f t="shared" si="646"/>
        <v>0</v>
      </c>
      <c r="J623" s="108">
        <f t="shared" si="647"/>
        <v>0</v>
      </c>
      <c r="K623" s="108">
        <f t="shared" si="648"/>
        <v>0</v>
      </c>
      <c r="L623" s="111"/>
      <c r="Z623" s="100">
        <f t="shared" si="649"/>
        <v>0</v>
      </c>
      <c r="AB623" s="100">
        <f t="shared" si="650"/>
        <v>0</v>
      </c>
      <c r="AC623" s="100">
        <f t="shared" si="651"/>
        <v>0</v>
      </c>
      <c r="AD623" s="100">
        <f t="shared" si="652"/>
        <v>0</v>
      </c>
      <c r="AE623" s="100">
        <f t="shared" si="653"/>
        <v>0</v>
      </c>
      <c r="AF623" s="100">
        <f t="shared" si="654"/>
        <v>0</v>
      </c>
      <c r="AG623" s="100">
        <f t="shared" si="655"/>
        <v>0</v>
      </c>
      <c r="AH623" s="100">
        <f t="shared" si="656"/>
        <v>0</v>
      </c>
      <c r="AI623" s="109"/>
      <c r="AJ623" s="108">
        <f t="shared" si="657"/>
        <v>0</v>
      </c>
      <c r="AK623" s="108">
        <f t="shared" si="658"/>
        <v>0</v>
      </c>
      <c r="AL623" s="108">
        <f t="shared" si="659"/>
        <v>0</v>
      </c>
      <c r="AN623" s="100">
        <v>15</v>
      </c>
      <c r="AO623" s="100">
        <f t="shared" si="660"/>
        <v>0</v>
      </c>
      <c r="AP623" s="100">
        <f t="shared" si="661"/>
        <v>0</v>
      </c>
      <c r="AQ623" s="111" t="s">
        <v>7</v>
      </c>
      <c r="AV623" s="100">
        <f t="shared" si="662"/>
        <v>0</v>
      </c>
      <c r="AW623" s="100">
        <f t="shared" si="663"/>
        <v>0</v>
      </c>
      <c r="AX623" s="100">
        <f t="shared" si="664"/>
        <v>0</v>
      </c>
      <c r="AY623" s="110" t="s">
        <v>1722</v>
      </c>
      <c r="AZ623" s="110" t="s">
        <v>1730</v>
      </c>
      <c r="BA623" s="109" t="s">
        <v>1737</v>
      </c>
      <c r="BC623" s="100">
        <f t="shared" si="665"/>
        <v>0</v>
      </c>
      <c r="BD623" s="100">
        <f t="shared" si="666"/>
        <v>0</v>
      </c>
      <c r="BE623" s="100">
        <v>0</v>
      </c>
      <c r="BF623" s="100">
        <f>623</f>
        <v>623</v>
      </c>
      <c r="BH623" s="108">
        <f t="shared" si="667"/>
        <v>0</v>
      </c>
      <c r="BI623" s="108">
        <f t="shared" si="668"/>
        <v>0</v>
      </c>
      <c r="BJ623" s="108">
        <f t="shared" si="669"/>
        <v>0</v>
      </c>
    </row>
    <row r="624" spans="1:62" x14ac:dyDescent="0.2">
      <c r="A624" s="117" t="s">
        <v>2583</v>
      </c>
      <c r="B624" s="117" t="s">
        <v>2582</v>
      </c>
      <c r="C624" s="304" t="s">
        <v>1630</v>
      </c>
      <c r="D624" s="305"/>
      <c r="E624" s="305"/>
      <c r="F624" s="117" t="s">
        <v>1644</v>
      </c>
      <c r="G624" s="116">
        <v>1</v>
      </c>
      <c r="H624" s="159"/>
      <c r="I624" s="108">
        <f t="shared" si="646"/>
        <v>0</v>
      </c>
      <c r="J624" s="108">
        <f t="shared" si="647"/>
        <v>0</v>
      </c>
      <c r="K624" s="108">
        <f t="shared" si="648"/>
        <v>0</v>
      </c>
      <c r="L624" s="111"/>
      <c r="Z624" s="100">
        <f t="shared" si="649"/>
        <v>0</v>
      </c>
      <c r="AB624" s="100">
        <f t="shared" si="650"/>
        <v>0</v>
      </c>
      <c r="AC624" s="100">
        <f t="shared" si="651"/>
        <v>0</v>
      </c>
      <c r="AD624" s="100">
        <f t="shared" si="652"/>
        <v>0</v>
      </c>
      <c r="AE624" s="100">
        <f t="shared" si="653"/>
        <v>0</v>
      </c>
      <c r="AF624" s="100">
        <f t="shared" si="654"/>
        <v>0</v>
      </c>
      <c r="AG624" s="100">
        <f t="shared" si="655"/>
        <v>0</v>
      </c>
      <c r="AH624" s="100">
        <f t="shared" si="656"/>
        <v>0</v>
      </c>
      <c r="AI624" s="109"/>
      <c r="AJ624" s="108">
        <f t="shared" si="657"/>
        <v>0</v>
      </c>
      <c r="AK624" s="108">
        <f t="shared" si="658"/>
        <v>0</v>
      </c>
      <c r="AL624" s="108">
        <f t="shared" si="659"/>
        <v>0</v>
      </c>
      <c r="AN624" s="100">
        <v>15</v>
      </c>
      <c r="AO624" s="100">
        <f t="shared" si="660"/>
        <v>0</v>
      </c>
      <c r="AP624" s="100">
        <f t="shared" si="661"/>
        <v>0</v>
      </c>
      <c r="AQ624" s="111" t="s">
        <v>7</v>
      </c>
      <c r="AV624" s="100">
        <f t="shared" si="662"/>
        <v>0</v>
      </c>
      <c r="AW624" s="100">
        <f t="shared" si="663"/>
        <v>0</v>
      </c>
      <c r="AX624" s="100">
        <f t="shared" si="664"/>
        <v>0</v>
      </c>
      <c r="AY624" s="110" t="s">
        <v>1722</v>
      </c>
      <c r="AZ624" s="110" t="s">
        <v>1730</v>
      </c>
      <c r="BA624" s="109" t="s">
        <v>1737</v>
      </c>
      <c r="BC624" s="100">
        <f t="shared" si="665"/>
        <v>0</v>
      </c>
      <c r="BD624" s="100">
        <f t="shared" si="666"/>
        <v>0</v>
      </c>
      <c r="BE624" s="100">
        <v>0</v>
      </c>
      <c r="BF624" s="100">
        <f>624</f>
        <v>624</v>
      </c>
      <c r="BH624" s="108">
        <f t="shared" si="667"/>
        <v>0</v>
      </c>
      <c r="BI624" s="108">
        <f t="shared" si="668"/>
        <v>0</v>
      </c>
      <c r="BJ624" s="108">
        <f t="shared" si="669"/>
        <v>0</v>
      </c>
    </row>
    <row r="625" spans="1:62" x14ac:dyDescent="0.2">
      <c r="A625" s="119"/>
      <c r="B625" s="120" t="s">
        <v>1039</v>
      </c>
      <c r="C625" s="306" t="s">
        <v>1631</v>
      </c>
      <c r="D625" s="307"/>
      <c r="E625" s="307"/>
      <c r="F625" s="119" t="s">
        <v>6</v>
      </c>
      <c r="G625" s="119" t="s">
        <v>6</v>
      </c>
      <c r="H625" s="119" t="s">
        <v>6</v>
      </c>
      <c r="I625" s="118">
        <f>SUM(I626:I632)</f>
        <v>0</v>
      </c>
      <c r="J625" s="118">
        <f>SUM(J626:J632)</f>
        <v>0</v>
      </c>
      <c r="K625" s="118">
        <f>SUM(K626:K632)</f>
        <v>0</v>
      </c>
      <c r="L625" s="109"/>
      <c r="AI625" s="109"/>
      <c r="AS625" s="118">
        <f>SUM(AJ626:AJ632)</f>
        <v>0</v>
      </c>
      <c r="AT625" s="118">
        <f>SUM(AK626:AK632)</f>
        <v>0</v>
      </c>
      <c r="AU625" s="118">
        <f>SUM(AL626:AL632)</f>
        <v>0</v>
      </c>
    </row>
    <row r="626" spans="1:62" x14ac:dyDescent="0.2">
      <c r="A626" s="117" t="s">
        <v>2581</v>
      </c>
      <c r="B626" s="117" t="s">
        <v>1040</v>
      </c>
      <c r="C626" s="304" t="s">
        <v>1632</v>
      </c>
      <c r="D626" s="305"/>
      <c r="E626" s="305"/>
      <c r="F626" s="117" t="s">
        <v>1644</v>
      </c>
      <c r="G626" s="116">
        <v>1</v>
      </c>
      <c r="H626" s="159"/>
      <c r="I626" s="108">
        <f t="shared" ref="I626:I632" si="670">G626*AO626</f>
        <v>0</v>
      </c>
      <c r="J626" s="108">
        <f t="shared" ref="J626:J632" si="671">G626*AP626</f>
        <v>0</v>
      </c>
      <c r="K626" s="108">
        <f t="shared" ref="K626:K632" si="672">G626*H626</f>
        <v>0</v>
      </c>
      <c r="L626" s="111" t="s">
        <v>1671</v>
      </c>
      <c r="Z626" s="100">
        <f t="shared" ref="Z626:Z632" si="673">IF(AQ626="5",BJ626,0)</f>
        <v>0</v>
      </c>
      <c r="AB626" s="100">
        <f t="shared" ref="AB626:AB632" si="674">IF(AQ626="1",BH626,0)</f>
        <v>0</v>
      </c>
      <c r="AC626" s="100">
        <f t="shared" ref="AC626:AC632" si="675">IF(AQ626="1",BI626,0)</f>
        <v>0</v>
      </c>
      <c r="AD626" s="100">
        <f t="shared" ref="AD626:AD632" si="676">IF(AQ626="7",BH626,0)</f>
        <v>0</v>
      </c>
      <c r="AE626" s="100">
        <f t="shared" ref="AE626:AE632" si="677">IF(AQ626="7",BI626,0)</f>
        <v>0</v>
      </c>
      <c r="AF626" s="100">
        <f t="shared" ref="AF626:AF632" si="678">IF(AQ626="2",BH626,0)</f>
        <v>0</v>
      </c>
      <c r="AG626" s="100">
        <f t="shared" ref="AG626:AG632" si="679">IF(AQ626="2",BI626,0)</f>
        <v>0</v>
      </c>
      <c r="AH626" s="100">
        <f t="shared" ref="AH626:AH632" si="680">IF(AQ626="0",BJ626,0)</f>
        <v>0</v>
      </c>
      <c r="AI626" s="109"/>
      <c r="AJ626" s="108">
        <f t="shared" ref="AJ626:AJ632" si="681">IF(AN626=0,K626,0)</f>
        <v>0</v>
      </c>
      <c r="AK626" s="108">
        <f t="shared" ref="AK626:AK632" si="682">IF(AN626=15,K626,0)</f>
        <v>0</v>
      </c>
      <c r="AL626" s="108">
        <f t="shared" ref="AL626:AL632" si="683">IF(AN626=21,K626,0)</f>
        <v>0</v>
      </c>
      <c r="AN626" s="100">
        <v>15</v>
      </c>
      <c r="AO626" s="100">
        <f t="shared" ref="AO626:AO632" si="684">H626*0</f>
        <v>0</v>
      </c>
      <c r="AP626" s="100">
        <f t="shared" ref="AP626:AP632" si="685">H626*(1-0)</f>
        <v>0</v>
      </c>
      <c r="AQ626" s="111" t="s">
        <v>7</v>
      </c>
      <c r="AV626" s="100">
        <f t="shared" ref="AV626:AV632" si="686">AW626+AX626</f>
        <v>0</v>
      </c>
      <c r="AW626" s="100">
        <f t="shared" ref="AW626:AW632" si="687">G626*AO626</f>
        <v>0</v>
      </c>
      <c r="AX626" s="100">
        <f t="shared" ref="AX626:AX632" si="688">G626*AP626</f>
        <v>0</v>
      </c>
      <c r="AY626" s="110" t="s">
        <v>1723</v>
      </c>
      <c r="AZ626" s="110" t="s">
        <v>1730</v>
      </c>
      <c r="BA626" s="109" t="s">
        <v>1737</v>
      </c>
      <c r="BC626" s="100">
        <f t="shared" ref="BC626:BC632" si="689">AW626+AX626</f>
        <v>0</v>
      </c>
      <c r="BD626" s="100">
        <f t="shared" ref="BD626:BD632" si="690">H626/(100-BE626)*100</f>
        <v>0</v>
      </c>
      <c r="BE626" s="100">
        <v>0</v>
      </c>
      <c r="BF626" s="100">
        <f>626</f>
        <v>626</v>
      </c>
      <c r="BH626" s="108">
        <f t="shared" ref="BH626:BH632" si="691">G626*AO626</f>
        <v>0</v>
      </c>
      <c r="BI626" s="108">
        <f t="shared" ref="BI626:BI632" si="692">G626*AP626</f>
        <v>0</v>
      </c>
      <c r="BJ626" s="108">
        <f t="shared" ref="BJ626:BJ632" si="693">G626*H626</f>
        <v>0</v>
      </c>
    </row>
    <row r="627" spans="1:62" x14ac:dyDescent="0.2">
      <c r="A627" s="117" t="s">
        <v>2580</v>
      </c>
      <c r="B627" s="117" t="s">
        <v>1041</v>
      </c>
      <c r="C627" s="304" t="s">
        <v>1633</v>
      </c>
      <c r="D627" s="305"/>
      <c r="E627" s="305"/>
      <c r="F627" s="117" t="s">
        <v>1644</v>
      </c>
      <c r="G627" s="116">
        <v>1</v>
      </c>
      <c r="H627" s="159"/>
      <c r="I627" s="108">
        <f t="shared" si="670"/>
        <v>0</v>
      </c>
      <c r="J627" s="108">
        <f t="shared" si="671"/>
        <v>0</v>
      </c>
      <c r="K627" s="108">
        <f t="shared" si="672"/>
        <v>0</v>
      </c>
      <c r="L627" s="111" t="s">
        <v>1671</v>
      </c>
      <c r="Z627" s="100">
        <f t="shared" si="673"/>
        <v>0</v>
      </c>
      <c r="AB627" s="100">
        <f t="shared" si="674"/>
        <v>0</v>
      </c>
      <c r="AC627" s="100">
        <f t="shared" si="675"/>
        <v>0</v>
      </c>
      <c r="AD627" s="100">
        <f t="shared" si="676"/>
        <v>0</v>
      </c>
      <c r="AE627" s="100">
        <f t="shared" si="677"/>
        <v>0</v>
      </c>
      <c r="AF627" s="100">
        <f t="shared" si="678"/>
        <v>0</v>
      </c>
      <c r="AG627" s="100">
        <f t="shared" si="679"/>
        <v>0</v>
      </c>
      <c r="AH627" s="100">
        <f t="shared" si="680"/>
        <v>0</v>
      </c>
      <c r="AI627" s="109"/>
      <c r="AJ627" s="108">
        <f t="shared" si="681"/>
        <v>0</v>
      </c>
      <c r="AK627" s="108">
        <f t="shared" si="682"/>
        <v>0</v>
      </c>
      <c r="AL627" s="108">
        <f t="shared" si="683"/>
        <v>0</v>
      </c>
      <c r="AN627" s="100">
        <v>15</v>
      </c>
      <c r="AO627" s="100">
        <f t="shared" si="684"/>
        <v>0</v>
      </c>
      <c r="AP627" s="100">
        <f t="shared" si="685"/>
        <v>0</v>
      </c>
      <c r="AQ627" s="111" t="s">
        <v>7</v>
      </c>
      <c r="AV627" s="100">
        <f t="shared" si="686"/>
        <v>0</v>
      </c>
      <c r="AW627" s="100">
        <f t="shared" si="687"/>
        <v>0</v>
      </c>
      <c r="AX627" s="100">
        <f t="shared" si="688"/>
        <v>0</v>
      </c>
      <c r="AY627" s="110" t="s">
        <v>1723</v>
      </c>
      <c r="AZ627" s="110" t="s">
        <v>1730</v>
      </c>
      <c r="BA627" s="109" t="s">
        <v>1737</v>
      </c>
      <c r="BC627" s="100">
        <f t="shared" si="689"/>
        <v>0</v>
      </c>
      <c r="BD627" s="100">
        <f t="shared" si="690"/>
        <v>0</v>
      </c>
      <c r="BE627" s="100">
        <v>0</v>
      </c>
      <c r="BF627" s="100">
        <f>627</f>
        <v>627</v>
      </c>
      <c r="BH627" s="108">
        <f t="shared" si="691"/>
        <v>0</v>
      </c>
      <c r="BI627" s="108">
        <f t="shared" si="692"/>
        <v>0</v>
      </c>
      <c r="BJ627" s="108">
        <f t="shared" si="693"/>
        <v>0</v>
      </c>
    </row>
    <row r="628" spans="1:62" x14ac:dyDescent="0.2">
      <c r="A628" s="117" t="s">
        <v>2579</v>
      </c>
      <c r="B628" s="117" t="s">
        <v>1042</v>
      </c>
      <c r="C628" s="304" t="s">
        <v>1634</v>
      </c>
      <c r="D628" s="305"/>
      <c r="E628" s="305"/>
      <c r="F628" s="117" t="s">
        <v>1644</v>
      </c>
      <c r="G628" s="116">
        <v>1</v>
      </c>
      <c r="H628" s="159"/>
      <c r="I628" s="108">
        <f t="shared" si="670"/>
        <v>0</v>
      </c>
      <c r="J628" s="108">
        <f t="shared" si="671"/>
        <v>0</v>
      </c>
      <c r="K628" s="108">
        <f t="shared" si="672"/>
        <v>0</v>
      </c>
      <c r="L628" s="111" t="s">
        <v>1671</v>
      </c>
      <c r="Z628" s="100">
        <f t="shared" si="673"/>
        <v>0</v>
      </c>
      <c r="AB628" s="100">
        <f t="shared" si="674"/>
        <v>0</v>
      </c>
      <c r="AC628" s="100">
        <f t="shared" si="675"/>
        <v>0</v>
      </c>
      <c r="AD628" s="100">
        <f t="shared" si="676"/>
        <v>0</v>
      </c>
      <c r="AE628" s="100">
        <f t="shared" si="677"/>
        <v>0</v>
      </c>
      <c r="AF628" s="100">
        <f t="shared" si="678"/>
        <v>0</v>
      </c>
      <c r="AG628" s="100">
        <f t="shared" si="679"/>
        <v>0</v>
      </c>
      <c r="AH628" s="100">
        <f t="shared" si="680"/>
        <v>0</v>
      </c>
      <c r="AI628" s="109"/>
      <c r="AJ628" s="108">
        <f t="shared" si="681"/>
        <v>0</v>
      </c>
      <c r="AK628" s="108">
        <f t="shared" si="682"/>
        <v>0</v>
      </c>
      <c r="AL628" s="108">
        <f t="shared" si="683"/>
        <v>0</v>
      </c>
      <c r="AN628" s="100">
        <v>15</v>
      </c>
      <c r="AO628" s="100">
        <f t="shared" si="684"/>
        <v>0</v>
      </c>
      <c r="AP628" s="100">
        <f t="shared" si="685"/>
        <v>0</v>
      </c>
      <c r="AQ628" s="111" t="s">
        <v>7</v>
      </c>
      <c r="AV628" s="100">
        <f t="shared" si="686"/>
        <v>0</v>
      </c>
      <c r="AW628" s="100">
        <f t="shared" si="687"/>
        <v>0</v>
      </c>
      <c r="AX628" s="100">
        <f t="shared" si="688"/>
        <v>0</v>
      </c>
      <c r="AY628" s="110" t="s">
        <v>1723</v>
      </c>
      <c r="AZ628" s="110" t="s">
        <v>1730</v>
      </c>
      <c r="BA628" s="109" t="s">
        <v>1737</v>
      </c>
      <c r="BC628" s="100">
        <f t="shared" si="689"/>
        <v>0</v>
      </c>
      <c r="BD628" s="100">
        <f t="shared" si="690"/>
        <v>0</v>
      </c>
      <c r="BE628" s="100">
        <v>0</v>
      </c>
      <c r="BF628" s="100">
        <f>628</f>
        <v>628</v>
      </c>
      <c r="BH628" s="108">
        <f t="shared" si="691"/>
        <v>0</v>
      </c>
      <c r="BI628" s="108">
        <f t="shared" si="692"/>
        <v>0</v>
      </c>
      <c r="BJ628" s="108">
        <f t="shared" si="693"/>
        <v>0</v>
      </c>
    </row>
    <row r="629" spans="1:62" x14ac:dyDescent="0.2">
      <c r="A629" s="117" t="s">
        <v>2578</v>
      </c>
      <c r="B629" s="117" t="s">
        <v>1043</v>
      </c>
      <c r="C629" s="304" t="s">
        <v>1635</v>
      </c>
      <c r="D629" s="305"/>
      <c r="E629" s="305"/>
      <c r="F629" s="117" t="s">
        <v>1644</v>
      </c>
      <c r="G629" s="116">
        <v>1</v>
      </c>
      <c r="H629" s="159"/>
      <c r="I629" s="108">
        <f t="shared" si="670"/>
        <v>0</v>
      </c>
      <c r="J629" s="108">
        <f t="shared" si="671"/>
        <v>0</v>
      </c>
      <c r="K629" s="108">
        <f t="shared" si="672"/>
        <v>0</v>
      </c>
      <c r="L629" s="111" t="s">
        <v>1671</v>
      </c>
      <c r="Z629" s="100">
        <f t="shared" si="673"/>
        <v>0</v>
      </c>
      <c r="AB629" s="100">
        <f t="shared" si="674"/>
        <v>0</v>
      </c>
      <c r="AC629" s="100">
        <f t="shared" si="675"/>
        <v>0</v>
      </c>
      <c r="AD629" s="100">
        <f t="shared" si="676"/>
        <v>0</v>
      </c>
      <c r="AE629" s="100">
        <f t="shared" si="677"/>
        <v>0</v>
      </c>
      <c r="AF629" s="100">
        <f t="shared" si="678"/>
        <v>0</v>
      </c>
      <c r="AG629" s="100">
        <f t="shared" si="679"/>
        <v>0</v>
      </c>
      <c r="AH629" s="100">
        <f t="shared" si="680"/>
        <v>0</v>
      </c>
      <c r="AI629" s="109"/>
      <c r="AJ629" s="108">
        <f t="shared" si="681"/>
        <v>0</v>
      </c>
      <c r="AK629" s="108">
        <f t="shared" si="682"/>
        <v>0</v>
      </c>
      <c r="AL629" s="108">
        <f t="shared" si="683"/>
        <v>0</v>
      </c>
      <c r="AN629" s="100">
        <v>15</v>
      </c>
      <c r="AO629" s="100">
        <f t="shared" si="684"/>
        <v>0</v>
      </c>
      <c r="AP629" s="100">
        <f t="shared" si="685"/>
        <v>0</v>
      </c>
      <c r="AQ629" s="111" t="s">
        <v>7</v>
      </c>
      <c r="AV629" s="100">
        <f t="shared" si="686"/>
        <v>0</v>
      </c>
      <c r="AW629" s="100">
        <f t="shared" si="687"/>
        <v>0</v>
      </c>
      <c r="AX629" s="100">
        <f t="shared" si="688"/>
        <v>0</v>
      </c>
      <c r="AY629" s="110" t="s">
        <v>1723</v>
      </c>
      <c r="AZ629" s="110" t="s">
        <v>1730</v>
      </c>
      <c r="BA629" s="109" t="s">
        <v>1737</v>
      </c>
      <c r="BC629" s="100">
        <f t="shared" si="689"/>
        <v>0</v>
      </c>
      <c r="BD629" s="100">
        <f t="shared" si="690"/>
        <v>0</v>
      </c>
      <c r="BE629" s="100">
        <v>0</v>
      </c>
      <c r="BF629" s="100">
        <f>629</f>
        <v>629</v>
      </c>
      <c r="BH629" s="108">
        <f t="shared" si="691"/>
        <v>0</v>
      </c>
      <c r="BI629" s="108">
        <f t="shared" si="692"/>
        <v>0</v>
      </c>
      <c r="BJ629" s="108">
        <f t="shared" si="693"/>
        <v>0</v>
      </c>
    </row>
    <row r="630" spans="1:62" x14ac:dyDescent="0.2">
      <c r="A630" s="117" t="s">
        <v>2577</v>
      </c>
      <c r="B630" s="117" t="s">
        <v>1044</v>
      </c>
      <c r="C630" s="304" t="s">
        <v>1636</v>
      </c>
      <c r="D630" s="305"/>
      <c r="E630" s="305"/>
      <c r="F630" s="117" t="s">
        <v>1644</v>
      </c>
      <c r="G630" s="116">
        <v>1</v>
      </c>
      <c r="H630" s="159"/>
      <c r="I630" s="108">
        <f t="shared" si="670"/>
        <v>0</v>
      </c>
      <c r="J630" s="108">
        <f t="shared" si="671"/>
        <v>0</v>
      </c>
      <c r="K630" s="108">
        <f t="shared" si="672"/>
        <v>0</v>
      </c>
      <c r="L630" s="111" t="s">
        <v>1671</v>
      </c>
      <c r="Z630" s="100">
        <f t="shared" si="673"/>
        <v>0</v>
      </c>
      <c r="AB630" s="100">
        <f t="shared" si="674"/>
        <v>0</v>
      </c>
      <c r="AC630" s="100">
        <f t="shared" si="675"/>
        <v>0</v>
      </c>
      <c r="AD630" s="100">
        <f t="shared" si="676"/>
        <v>0</v>
      </c>
      <c r="AE630" s="100">
        <f t="shared" si="677"/>
        <v>0</v>
      </c>
      <c r="AF630" s="100">
        <f t="shared" si="678"/>
        <v>0</v>
      </c>
      <c r="AG630" s="100">
        <f t="shared" si="679"/>
        <v>0</v>
      </c>
      <c r="AH630" s="100">
        <f t="shared" si="680"/>
        <v>0</v>
      </c>
      <c r="AI630" s="109"/>
      <c r="AJ630" s="108">
        <f t="shared" si="681"/>
        <v>0</v>
      </c>
      <c r="AK630" s="108">
        <f t="shared" si="682"/>
        <v>0</v>
      </c>
      <c r="AL630" s="108">
        <f t="shared" si="683"/>
        <v>0</v>
      </c>
      <c r="AN630" s="100">
        <v>15</v>
      </c>
      <c r="AO630" s="100">
        <f t="shared" si="684"/>
        <v>0</v>
      </c>
      <c r="AP630" s="100">
        <f t="shared" si="685"/>
        <v>0</v>
      </c>
      <c r="AQ630" s="111" t="s">
        <v>7</v>
      </c>
      <c r="AV630" s="100">
        <f t="shared" si="686"/>
        <v>0</v>
      </c>
      <c r="AW630" s="100">
        <f t="shared" si="687"/>
        <v>0</v>
      </c>
      <c r="AX630" s="100">
        <f t="shared" si="688"/>
        <v>0</v>
      </c>
      <c r="AY630" s="110" t="s">
        <v>1723</v>
      </c>
      <c r="AZ630" s="110" t="s">
        <v>1730</v>
      </c>
      <c r="BA630" s="109" t="s">
        <v>1737</v>
      </c>
      <c r="BC630" s="100">
        <f t="shared" si="689"/>
        <v>0</v>
      </c>
      <c r="BD630" s="100">
        <f t="shared" si="690"/>
        <v>0</v>
      </c>
      <c r="BE630" s="100">
        <v>0</v>
      </c>
      <c r="BF630" s="100">
        <f>630</f>
        <v>630</v>
      </c>
      <c r="BH630" s="108">
        <f t="shared" si="691"/>
        <v>0</v>
      </c>
      <c r="BI630" s="108">
        <f t="shared" si="692"/>
        <v>0</v>
      </c>
      <c r="BJ630" s="108">
        <f t="shared" si="693"/>
        <v>0</v>
      </c>
    </row>
    <row r="631" spans="1:62" x14ac:dyDescent="0.2">
      <c r="A631" s="117" t="s">
        <v>2576</v>
      </c>
      <c r="B631" s="117" t="s">
        <v>1045</v>
      </c>
      <c r="C631" s="304" t="s">
        <v>1637</v>
      </c>
      <c r="D631" s="305"/>
      <c r="E631" s="305"/>
      <c r="F631" s="117" t="s">
        <v>1644</v>
      </c>
      <c r="G631" s="116">
        <v>1</v>
      </c>
      <c r="H631" s="159"/>
      <c r="I631" s="108">
        <f t="shared" si="670"/>
        <v>0</v>
      </c>
      <c r="J631" s="108">
        <f t="shared" si="671"/>
        <v>0</v>
      </c>
      <c r="K631" s="108">
        <f t="shared" si="672"/>
        <v>0</v>
      </c>
      <c r="L631" s="111" t="s">
        <v>1671</v>
      </c>
      <c r="Z631" s="100">
        <f t="shared" si="673"/>
        <v>0</v>
      </c>
      <c r="AB631" s="100">
        <f t="shared" si="674"/>
        <v>0</v>
      </c>
      <c r="AC631" s="100">
        <f t="shared" si="675"/>
        <v>0</v>
      </c>
      <c r="AD631" s="100">
        <f t="shared" si="676"/>
        <v>0</v>
      </c>
      <c r="AE631" s="100">
        <f t="shared" si="677"/>
        <v>0</v>
      </c>
      <c r="AF631" s="100">
        <f t="shared" si="678"/>
        <v>0</v>
      </c>
      <c r="AG631" s="100">
        <f t="shared" si="679"/>
        <v>0</v>
      </c>
      <c r="AH631" s="100">
        <f t="shared" si="680"/>
        <v>0</v>
      </c>
      <c r="AI631" s="109"/>
      <c r="AJ631" s="108">
        <f t="shared" si="681"/>
        <v>0</v>
      </c>
      <c r="AK631" s="108">
        <f t="shared" si="682"/>
        <v>0</v>
      </c>
      <c r="AL631" s="108">
        <f t="shared" si="683"/>
        <v>0</v>
      </c>
      <c r="AN631" s="100">
        <v>15</v>
      </c>
      <c r="AO631" s="100">
        <f t="shared" si="684"/>
        <v>0</v>
      </c>
      <c r="AP631" s="100">
        <f t="shared" si="685"/>
        <v>0</v>
      </c>
      <c r="AQ631" s="111" t="s">
        <v>7</v>
      </c>
      <c r="AV631" s="100">
        <f t="shared" si="686"/>
        <v>0</v>
      </c>
      <c r="AW631" s="100">
        <f t="shared" si="687"/>
        <v>0</v>
      </c>
      <c r="AX631" s="100">
        <f t="shared" si="688"/>
        <v>0</v>
      </c>
      <c r="AY631" s="110" t="s">
        <v>1723</v>
      </c>
      <c r="AZ631" s="110" t="s">
        <v>1730</v>
      </c>
      <c r="BA631" s="109" t="s">
        <v>1737</v>
      </c>
      <c r="BC631" s="100">
        <f t="shared" si="689"/>
        <v>0</v>
      </c>
      <c r="BD631" s="100">
        <f t="shared" si="690"/>
        <v>0</v>
      </c>
      <c r="BE631" s="100">
        <v>0</v>
      </c>
      <c r="BF631" s="100">
        <f>631</f>
        <v>631</v>
      </c>
      <c r="BH631" s="108">
        <f t="shared" si="691"/>
        <v>0</v>
      </c>
      <c r="BI631" s="108">
        <f t="shared" si="692"/>
        <v>0</v>
      </c>
      <c r="BJ631" s="108">
        <f t="shared" si="693"/>
        <v>0</v>
      </c>
    </row>
    <row r="632" spans="1:62" x14ac:dyDescent="0.2">
      <c r="A632" s="115" t="s">
        <v>2572</v>
      </c>
      <c r="B632" s="115" t="s">
        <v>1046</v>
      </c>
      <c r="C632" s="308" t="s">
        <v>1638</v>
      </c>
      <c r="D632" s="309"/>
      <c r="E632" s="309"/>
      <c r="F632" s="115" t="s">
        <v>1644</v>
      </c>
      <c r="G632" s="114">
        <v>1</v>
      </c>
      <c r="H632" s="161"/>
      <c r="I632" s="113">
        <f t="shared" si="670"/>
        <v>0</v>
      </c>
      <c r="J632" s="113">
        <f t="shared" si="671"/>
        <v>0</v>
      </c>
      <c r="K632" s="113">
        <f t="shared" si="672"/>
        <v>0</v>
      </c>
      <c r="L632" s="112" t="s">
        <v>1671</v>
      </c>
      <c r="Z632" s="100">
        <f t="shared" si="673"/>
        <v>0</v>
      </c>
      <c r="AB632" s="100">
        <f t="shared" si="674"/>
        <v>0</v>
      </c>
      <c r="AC632" s="100">
        <f t="shared" si="675"/>
        <v>0</v>
      </c>
      <c r="AD632" s="100">
        <f t="shared" si="676"/>
        <v>0</v>
      </c>
      <c r="AE632" s="100">
        <f t="shared" si="677"/>
        <v>0</v>
      </c>
      <c r="AF632" s="100">
        <f t="shared" si="678"/>
        <v>0</v>
      </c>
      <c r="AG632" s="100">
        <f t="shared" si="679"/>
        <v>0</v>
      </c>
      <c r="AH632" s="100">
        <f t="shared" si="680"/>
        <v>0</v>
      </c>
      <c r="AI632" s="109"/>
      <c r="AJ632" s="108">
        <f t="shared" si="681"/>
        <v>0</v>
      </c>
      <c r="AK632" s="108">
        <f t="shared" si="682"/>
        <v>0</v>
      </c>
      <c r="AL632" s="108">
        <f t="shared" si="683"/>
        <v>0</v>
      </c>
      <c r="AN632" s="100">
        <v>15</v>
      </c>
      <c r="AO632" s="100">
        <f t="shared" si="684"/>
        <v>0</v>
      </c>
      <c r="AP632" s="100">
        <f t="shared" si="685"/>
        <v>0</v>
      </c>
      <c r="AQ632" s="111" t="s">
        <v>7</v>
      </c>
      <c r="AV632" s="100">
        <f t="shared" si="686"/>
        <v>0</v>
      </c>
      <c r="AW632" s="100">
        <f t="shared" si="687"/>
        <v>0</v>
      </c>
      <c r="AX632" s="100">
        <f t="shared" si="688"/>
        <v>0</v>
      </c>
      <c r="AY632" s="110" t="s">
        <v>1723</v>
      </c>
      <c r="AZ632" s="110" t="s">
        <v>1730</v>
      </c>
      <c r="BA632" s="109" t="s">
        <v>1737</v>
      </c>
      <c r="BC632" s="100">
        <f t="shared" si="689"/>
        <v>0</v>
      </c>
      <c r="BD632" s="100">
        <f t="shared" si="690"/>
        <v>0</v>
      </c>
      <c r="BE632" s="100">
        <v>0</v>
      </c>
      <c r="BF632" s="100">
        <f>632</f>
        <v>632</v>
      </c>
      <c r="BH632" s="108">
        <f t="shared" si="691"/>
        <v>0</v>
      </c>
      <c r="BI632" s="108">
        <f t="shared" si="692"/>
        <v>0</v>
      </c>
      <c r="BJ632" s="108">
        <f t="shared" si="693"/>
        <v>0</v>
      </c>
    </row>
    <row r="633" spans="1:62" x14ac:dyDescent="0.2">
      <c r="A633" s="84"/>
      <c r="B633" s="84"/>
      <c r="C633" s="84"/>
      <c r="D633" s="84"/>
      <c r="E633" s="84"/>
      <c r="F633" s="84"/>
      <c r="G633" s="84"/>
      <c r="H633" s="84"/>
      <c r="I633" s="310" t="s">
        <v>1666</v>
      </c>
      <c r="J633" s="291"/>
      <c r="K633" s="107">
        <f>K12+K19+K21+K26+K30+K35+K37+K40+K43+K48+K52+K56+K64+K89+K91+K94+K97+K100+K103+K111+K122+K145+K168+K185+K187+K192+K201+K226+K243+K321+K339+K363+K392+K427+K440+K461+K471+K485+K493+K499+K529+K546+K549+K625</f>
        <v>0</v>
      </c>
      <c r="L633" s="84"/>
    </row>
    <row r="634" spans="1:62" ht="11.25" customHeight="1" x14ac:dyDescent="0.2">
      <c r="A634" s="106" t="s">
        <v>569</v>
      </c>
    </row>
    <row r="635" spans="1:62" x14ac:dyDescent="0.2">
      <c r="A635" s="255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</row>
  </sheetData>
  <mergeCells count="651">
    <mergeCell ref="C621:E621"/>
    <mergeCell ref="C622:E622"/>
    <mergeCell ref="C623:E623"/>
    <mergeCell ref="C624:E624"/>
    <mergeCell ref="C625:E625"/>
    <mergeCell ref="C618:E618"/>
    <mergeCell ref="C619:E619"/>
    <mergeCell ref="C620:E620"/>
    <mergeCell ref="C597:E597"/>
    <mergeCell ref="C598:E598"/>
    <mergeCell ref="C599:E599"/>
    <mergeCell ref="C600:E600"/>
    <mergeCell ref="C601:E601"/>
    <mergeCell ref="C602:E602"/>
    <mergeCell ref="C603:E603"/>
    <mergeCell ref="C604:E604"/>
    <mergeCell ref="C605:E605"/>
    <mergeCell ref="C606:E606"/>
    <mergeCell ref="C607:E607"/>
    <mergeCell ref="C608:E608"/>
    <mergeCell ref="C609:E609"/>
    <mergeCell ref="C610:E610"/>
    <mergeCell ref="C611:E611"/>
    <mergeCell ref="C612:E612"/>
    <mergeCell ref="C626:E626"/>
    <mergeCell ref="I633:J633"/>
    <mergeCell ref="A635:L635"/>
    <mergeCell ref="C627:E627"/>
    <mergeCell ref="C628:E628"/>
    <mergeCell ref="C629:E629"/>
    <mergeCell ref="C630:E630"/>
    <mergeCell ref="C631:E631"/>
    <mergeCell ref="C632:E632"/>
    <mergeCell ref="C613:E613"/>
    <mergeCell ref="C614:E614"/>
    <mergeCell ref="C615:E615"/>
    <mergeCell ref="C616:E616"/>
    <mergeCell ref="C617:E617"/>
    <mergeCell ref="C594:E594"/>
    <mergeCell ref="C595:E595"/>
    <mergeCell ref="C596:E596"/>
    <mergeCell ref="C573:E573"/>
    <mergeCell ref="C574:E574"/>
    <mergeCell ref="C575:E575"/>
    <mergeCell ref="C576:E576"/>
    <mergeCell ref="C577:E577"/>
    <mergeCell ref="C578:E578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88:E588"/>
    <mergeCell ref="C589:E589"/>
    <mergeCell ref="C590:E590"/>
    <mergeCell ref="C591:E591"/>
    <mergeCell ref="C592:E592"/>
    <mergeCell ref="C593:E593"/>
    <mergeCell ref="C570:E570"/>
    <mergeCell ref="C571:E571"/>
    <mergeCell ref="C572:E572"/>
    <mergeCell ref="C549:E549"/>
    <mergeCell ref="C550:E550"/>
    <mergeCell ref="C551:E551"/>
    <mergeCell ref="C552:E552"/>
    <mergeCell ref="C553:E553"/>
    <mergeCell ref="C554:E554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64:E564"/>
    <mergeCell ref="C565:E565"/>
    <mergeCell ref="C566:E566"/>
    <mergeCell ref="C567:E567"/>
    <mergeCell ref="C568:E568"/>
    <mergeCell ref="C569:E569"/>
    <mergeCell ref="C546:E546"/>
    <mergeCell ref="C547:E547"/>
    <mergeCell ref="C548:E548"/>
    <mergeCell ref="C525:E525"/>
    <mergeCell ref="C526:E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C537:E537"/>
    <mergeCell ref="C538:E538"/>
    <mergeCell ref="C539:E539"/>
    <mergeCell ref="C540:E540"/>
    <mergeCell ref="C541:E541"/>
    <mergeCell ref="C542:E542"/>
    <mergeCell ref="C543:E543"/>
    <mergeCell ref="C544:E544"/>
    <mergeCell ref="C545:E545"/>
    <mergeCell ref="C522:E522"/>
    <mergeCell ref="C523:E523"/>
    <mergeCell ref="C524:E524"/>
    <mergeCell ref="C501:E501"/>
    <mergeCell ref="C502:E502"/>
    <mergeCell ref="C503:E503"/>
    <mergeCell ref="C504:E504"/>
    <mergeCell ref="C505:E505"/>
    <mergeCell ref="C506:E506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516:E516"/>
    <mergeCell ref="C517:E517"/>
    <mergeCell ref="C518:E518"/>
    <mergeCell ref="C519:E519"/>
    <mergeCell ref="C520:E520"/>
    <mergeCell ref="C521:E521"/>
    <mergeCell ref="C498:E498"/>
    <mergeCell ref="C499:E499"/>
    <mergeCell ref="C500:E500"/>
    <mergeCell ref="C477:E477"/>
    <mergeCell ref="C478:E478"/>
    <mergeCell ref="C479:E479"/>
    <mergeCell ref="C480:E480"/>
    <mergeCell ref="C481:E481"/>
    <mergeCell ref="C482:E482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74:E474"/>
    <mergeCell ref="C475:E475"/>
    <mergeCell ref="C476:E476"/>
    <mergeCell ref="C453:E453"/>
    <mergeCell ref="C454:E454"/>
    <mergeCell ref="C455:E455"/>
    <mergeCell ref="C456:E456"/>
    <mergeCell ref="C457:E457"/>
    <mergeCell ref="C458:E458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50:E450"/>
    <mergeCell ref="C451:E451"/>
    <mergeCell ref="C452:E452"/>
    <mergeCell ref="C429:E429"/>
    <mergeCell ref="C430:E430"/>
    <mergeCell ref="C431:E431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26:E426"/>
    <mergeCell ref="C427:E427"/>
    <mergeCell ref="C428:E428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420:E420"/>
    <mergeCell ref="C421:E421"/>
    <mergeCell ref="C422:E422"/>
    <mergeCell ref="C423:E423"/>
    <mergeCell ref="C424:E424"/>
    <mergeCell ref="C425:E425"/>
    <mergeCell ref="C402:E402"/>
    <mergeCell ref="C403:E403"/>
    <mergeCell ref="C404:E404"/>
    <mergeCell ref="C381:E381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98:E398"/>
    <mergeCell ref="C399:E399"/>
    <mergeCell ref="C400:E400"/>
    <mergeCell ref="C401:E401"/>
    <mergeCell ref="C378:E378"/>
    <mergeCell ref="C379:E379"/>
    <mergeCell ref="C380:E380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54:E354"/>
    <mergeCell ref="C355:E355"/>
    <mergeCell ref="C356:E356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30:E330"/>
    <mergeCell ref="C331:E331"/>
    <mergeCell ref="C332:E332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27:E327"/>
    <mergeCell ref="C328:E328"/>
    <mergeCell ref="C329:E329"/>
    <mergeCell ref="C306:E306"/>
    <mergeCell ref="C307:E307"/>
    <mergeCell ref="C308:E308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C303:E303"/>
    <mergeCell ref="C304:E304"/>
    <mergeCell ref="C305:E305"/>
    <mergeCell ref="C282:E282"/>
    <mergeCell ref="C283:E283"/>
    <mergeCell ref="C284:E284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58:E258"/>
    <mergeCell ref="C259:E259"/>
    <mergeCell ref="C260:E260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C234:E234"/>
    <mergeCell ref="C235:E235"/>
    <mergeCell ref="C236:E236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10:E210"/>
    <mergeCell ref="C211:E211"/>
    <mergeCell ref="C212:E212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186:E186"/>
    <mergeCell ref="C187:E187"/>
    <mergeCell ref="C188:E188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62:E162"/>
    <mergeCell ref="C163:E163"/>
    <mergeCell ref="C164:E164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38:E138"/>
    <mergeCell ref="C139:E139"/>
    <mergeCell ref="C140:E140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14:E114"/>
    <mergeCell ref="C115:E115"/>
    <mergeCell ref="C116:E116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90:E90"/>
    <mergeCell ref="C91:E91"/>
    <mergeCell ref="C92:E92"/>
    <mergeCell ref="C69:E69"/>
    <mergeCell ref="C70:E70"/>
    <mergeCell ref="C72:E72"/>
    <mergeCell ref="C74:E74"/>
    <mergeCell ref="C76:E76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71:E71"/>
    <mergeCell ref="C73:E73"/>
    <mergeCell ref="C75:E75"/>
    <mergeCell ref="C77:E77"/>
    <mergeCell ref="C66:E66"/>
    <mergeCell ref="C67:E67"/>
    <mergeCell ref="C68:E68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42:E42"/>
    <mergeCell ref="C43:E43"/>
    <mergeCell ref="C44:E44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40:E40"/>
    <mergeCell ref="C41:E41"/>
    <mergeCell ref="C18:E18"/>
    <mergeCell ref="C19:E19"/>
    <mergeCell ref="C20:E20"/>
    <mergeCell ref="A6:B7"/>
    <mergeCell ref="C6:C7"/>
    <mergeCell ref="D6:E7"/>
    <mergeCell ref="C10:E10"/>
    <mergeCell ref="A8:B9"/>
    <mergeCell ref="C8:C9"/>
    <mergeCell ref="D8:E9"/>
    <mergeCell ref="F8:G9"/>
    <mergeCell ref="H8:H9"/>
    <mergeCell ref="I8:L9"/>
    <mergeCell ref="C37:E37"/>
    <mergeCell ref="C38:E38"/>
    <mergeCell ref="C39:E39"/>
    <mergeCell ref="I10:K10"/>
    <mergeCell ref="C11:E11"/>
    <mergeCell ref="C12:E12"/>
    <mergeCell ref="C13:E13"/>
    <mergeCell ref="C14:E14"/>
    <mergeCell ref="C15:E15"/>
    <mergeCell ref="C16:E16"/>
    <mergeCell ref="C17:E17"/>
    <mergeCell ref="F6:G7"/>
    <mergeCell ref="H6:H7"/>
    <mergeCell ref="I6:L7"/>
    <mergeCell ref="A1:L1"/>
    <mergeCell ref="A2:B3"/>
    <mergeCell ref="C2:C3"/>
    <mergeCell ref="D2:E3"/>
    <mergeCell ref="F2:G3"/>
    <mergeCell ref="H2:H3"/>
    <mergeCell ref="I2:L3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9" fitToHeight="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F2750-8526-467F-BE77-41E5BECC71E7}">
  <sheetPr>
    <pageSetUpPr fitToPage="1"/>
  </sheetPr>
  <dimension ref="A1:I877"/>
  <sheetViews>
    <sheetView workbookViewId="0">
      <pane ySplit="10" topLeftCell="A753" activePane="bottomLeft" state="frozenSplit"/>
      <selection pane="bottomLeft" activeCell="D777" sqref="D777:E777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6" style="75" customWidth="1"/>
    <col min="7" max="7" width="13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rozpočet-SO04'!C2</f>
        <v>Snížení energetické.náročnosti objektů Domova Kladno-Švermov</v>
      </c>
      <c r="D2" s="291"/>
      <c r="E2" s="293" t="s">
        <v>1657</v>
      </c>
      <c r="F2" s="293" t="str">
        <f>'Stavební rozpočet-SO04'!I2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rozpočet-SO04'!C4</f>
        <v>SO 04 - OBJEKT 4 - č.p.1435</v>
      </c>
      <c r="D4" s="256"/>
      <c r="E4" s="255" t="s">
        <v>1658</v>
      </c>
      <c r="F4" s="255" t="str">
        <f>'Stavební rozpočet-SO04'!I4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>
        <f>'Stavební rozpočet-SO04'!C6</f>
        <v>0</v>
      </c>
      <c r="D6" s="256"/>
      <c r="E6" s="255" t="s">
        <v>1659</v>
      </c>
      <c r="F6" s="255" t="str">
        <f>'Stavební rozpočet-SO04'!I6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rozpočet-SO04'!I8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572</v>
      </c>
      <c r="D14" s="304" t="s">
        <v>1053</v>
      </c>
      <c r="E14" s="305"/>
      <c r="F14" s="117" t="s">
        <v>1644</v>
      </c>
      <c r="G14" s="116">
        <v>1</v>
      </c>
      <c r="H14" s="108">
        <v>0</v>
      </c>
    </row>
    <row r="15" spans="1:9" ht="12.2" customHeight="1" x14ac:dyDescent="0.2">
      <c r="D15" s="334" t="s">
        <v>1749</v>
      </c>
      <c r="E15" s="335"/>
      <c r="F15" s="335"/>
      <c r="G15" s="143">
        <v>1</v>
      </c>
    </row>
    <row r="16" spans="1:9" x14ac:dyDescent="0.2">
      <c r="A16" s="117" t="s">
        <v>9</v>
      </c>
      <c r="B16" s="117"/>
      <c r="C16" s="117" t="s">
        <v>573</v>
      </c>
      <c r="D16" s="304" t="s">
        <v>1054</v>
      </c>
      <c r="E16" s="305"/>
      <c r="F16" s="117" t="s">
        <v>1645</v>
      </c>
      <c r="G16" s="116">
        <v>13.006</v>
      </c>
      <c r="H16" s="108">
        <v>0</v>
      </c>
    </row>
    <row r="17" spans="1:8" ht="12.2" customHeight="1" x14ac:dyDescent="0.2">
      <c r="D17" s="334" t="s">
        <v>2974</v>
      </c>
      <c r="E17" s="335"/>
      <c r="F17" s="335"/>
      <c r="G17" s="143">
        <v>13.006</v>
      </c>
    </row>
    <row r="18" spans="1:8" x14ac:dyDescent="0.2">
      <c r="A18" s="117" t="s">
        <v>10</v>
      </c>
      <c r="B18" s="117"/>
      <c r="C18" s="117" t="s">
        <v>574</v>
      </c>
      <c r="D18" s="304" t="s">
        <v>1056</v>
      </c>
      <c r="E18" s="305"/>
      <c r="F18" s="117" t="s">
        <v>1645</v>
      </c>
      <c r="G18" s="116">
        <v>38.820999999999998</v>
      </c>
      <c r="H18" s="108">
        <v>0</v>
      </c>
    </row>
    <row r="19" spans="1:8" ht="12.2" customHeight="1" x14ac:dyDescent="0.2">
      <c r="D19" s="334" t="s">
        <v>2973</v>
      </c>
      <c r="E19" s="335"/>
      <c r="F19" s="335"/>
      <c r="G19" s="143">
        <v>38.820999999999998</v>
      </c>
    </row>
    <row r="20" spans="1:8" x14ac:dyDescent="0.2">
      <c r="A20" s="117" t="s">
        <v>11</v>
      </c>
      <c r="B20" s="117"/>
      <c r="C20" s="117" t="s">
        <v>2867</v>
      </c>
      <c r="D20" s="304" t="s">
        <v>2866</v>
      </c>
      <c r="E20" s="305"/>
      <c r="F20" s="117" t="s">
        <v>1645</v>
      </c>
      <c r="G20" s="116">
        <v>4.548</v>
      </c>
      <c r="H20" s="108">
        <v>0</v>
      </c>
    </row>
    <row r="21" spans="1:8" ht="12.2" customHeight="1" x14ac:dyDescent="0.2">
      <c r="D21" s="334" t="s">
        <v>2972</v>
      </c>
      <c r="E21" s="335"/>
      <c r="F21" s="335"/>
      <c r="G21" s="143">
        <v>4.548</v>
      </c>
    </row>
    <row r="22" spans="1:8" x14ac:dyDescent="0.2">
      <c r="A22" s="117" t="s">
        <v>12</v>
      </c>
      <c r="B22" s="117"/>
      <c r="C22" s="117" t="s">
        <v>575</v>
      </c>
      <c r="D22" s="304" t="s">
        <v>1057</v>
      </c>
      <c r="E22" s="305"/>
      <c r="F22" s="117" t="s">
        <v>1646</v>
      </c>
      <c r="G22" s="116">
        <v>28.71</v>
      </c>
      <c r="H22" s="108">
        <v>0</v>
      </c>
    </row>
    <row r="23" spans="1:8" ht="12.2" customHeight="1" x14ac:dyDescent="0.2">
      <c r="D23" s="334" t="s">
        <v>2941</v>
      </c>
      <c r="E23" s="335"/>
      <c r="F23" s="335"/>
      <c r="G23" s="143">
        <v>28.71</v>
      </c>
    </row>
    <row r="24" spans="1:8" x14ac:dyDescent="0.2">
      <c r="A24" s="120"/>
      <c r="B24" s="120"/>
      <c r="C24" s="120" t="s">
        <v>18</v>
      </c>
      <c r="D24" s="306" t="s">
        <v>1059</v>
      </c>
      <c r="E24" s="307"/>
      <c r="F24" s="120"/>
      <c r="G24" s="142"/>
      <c r="H24" s="109"/>
    </row>
    <row r="25" spans="1:8" x14ac:dyDescent="0.2">
      <c r="A25" s="117" t="s">
        <v>13</v>
      </c>
      <c r="B25" s="117"/>
      <c r="C25" s="117" t="s">
        <v>577</v>
      </c>
      <c r="D25" s="304" t="s">
        <v>1060</v>
      </c>
      <c r="E25" s="305"/>
      <c r="F25" s="117" t="s">
        <v>1647</v>
      </c>
      <c r="G25" s="116">
        <v>9.9749999999999996</v>
      </c>
      <c r="H25" s="108">
        <v>0</v>
      </c>
    </row>
    <row r="26" spans="1:8" ht="12.2" customHeight="1" x14ac:dyDescent="0.2">
      <c r="D26" s="334" t="s">
        <v>2971</v>
      </c>
      <c r="E26" s="335"/>
      <c r="F26" s="335"/>
      <c r="G26" s="143">
        <v>9.9749999999999996</v>
      </c>
    </row>
    <row r="27" spans="1:8" x14ac:dyDescent="0.2">
      <c r="A27" s="120"/>
      <c r="B27" s="120"/>
      <c r="C27" s="120" t="s">
        <v>19</v>
      </c>
      <c r="D27" s="306" t="s">
        <v>1061</v>
      </c>
      <c r="E27" s="307"/>
      <c r="F27" s="120"/>
      <c r="G27" s="142"/>
      <c r="H27" s="109"/>
    </row>
    <row r="28" spans="1:8" x14ac:dyDescent="0.2">
      <c r="A28" s="117" t="s">
        <v>14</v>
      </c>
      <c r="B28" s="117"/>
      <c r="C28" s="117" t="s">
        <v>578</v>
      </c>
      <c r="D28" s="304" t="s">
        <v>1062</v>
      </c>
      <c r="E28" s="305"/>
      <c r="F28" s="117" t="s">
        <v>1647</v>
      </c>
      <c r="G28" s="116">
        <v>97.855000000000004</v>
      </c>
      <c r="H28" s="108">
        <v>0</v>
      </c>
    </row>
    <row r="29" spans="1:8" ht="12.2" customHeight="1" x14ac:dyDescent="0.2">
      <c r="D29" s="334" t="s">
        <v>2970</v>
      </c>
      <c r="E29" s="335"/>
      <c r="F29" s="335"/>
      <c r="G29" s="143">
        <v>97.855000000000004</v>
      </c>
    </row>
    <row r="30" spans="1:8" x14ac:dyDescent="0.2">
      <c r="A30" s="117" t="s">
        <v>15</v>
      </c>
      <c r="B30" s="117"/>
      <c r="C30" s="117" t="s">
        <v>579</v>
      </c>
      <c r="D30" s="304" t="s">
        <v>1063</v>
      </c>
      <c r="E30" s="305"/>
      <c r="F30" s="117" t="s">
        <v>1647</v>
      </c>
      <c r="G30" s="116">
        <v>97.885000000000005</v>
      </c>
      <c r="H30" s="108">
        <v>0</v>
      </c>
    </row>
    <row r="31" spans="1:8" ht="12.2" customHeight="1" x14ac:dyDescent="0.2">
      <c r="D31" s="334" t="s">
        <v>2969</v>
      </c>
      <c r="E31" s="335"/>
      <c r="F31" s="335"/>
      <c r="G31" s="143">
        <v>97.885000000000005</v>
      </c>
    </row>
    <row r="32" spans="1:8" x14ac:dyDescent="0.2">
      <c r="A32" s="117" t="s">
        <v>16</v>
      </c>
      <c r="B32" s="117"/>
      <c r="C32" s="117" t="s">
        <v>580</v>
      </c>
      <c r="D32" s="304" t="s">
        <v>1064</v>
      </c>
      <c r="E32" s="305"/>
      <c r="F32" s="117" t="s">
        <v>1647</v>
      </c>
      <c r="G32" s="116">
        <v>2.2050000000000001</v>
      </c>
      <c r="H32" s="108">
        <v>0</v>
      </c>
    </row>
    <row r="33" spans="1:8" ht="12.2" customHeight="1" x14ac:dyDescent="0.2">
      <c r="D33" s="334" t="s">
        <v>1758</v>
      </c>
      <c r="E33" s="335"/>
      <c r="F33" s="335"/>
      <c r="G33" s="143">
        <v>2.2050000000000001</v>
      </c>
    </row>
    <row r="34" spans="1:8" x14ac:dyDescent="0.2">
      <c r="A34" s="117" t="s">
        <v>17</v>
      </c>
      <c r="B34" s="117"/>
      <c r="C34" s="117" t="s">
        <v>580</v>
      </c>
      <c r="D34" s="304" t="s">
        <v>2162</v>
      </c>
      <c r="E34" s="305"/>
      <c r="F34" s="117" t="s">
        <v>1647</v>
      </c>
      <c r="G34" s="116">
        <v>3.36</v>
      </c>
      <c r="H34" s="108">
        <v>0</v>
      </c>
    </row>
    <row r="35" spans="1:8" ht="12.2" customHeight="1" x14ac:dyDescent="0.2">
      <c r="D35" s="334" t="s">
        <v>2968</v>
      </c>
      <c r="E35" s="335"/>
      <c r="F35" s="335"/>
      <c r="G35" s="143">
        <v>3.36</v>
      </c>
    </row>
    <row r="36" spans="1:8" x14ac:dyDescent="0.2">
      <c r="A36" s="120"/>
      <c r="B36" s="120"/>
      <c r="C36" s="120" t="s">
        <v>22</v>
      </c>
      <c r="D36" s="306" t="s">
        <v>1066</v>
      </c>
      <c r="E36" s="307"/>
      <c r="F36" s="120"/>
      <c r="G36" s="142"/>
      <c r="H36" s="109"/>
    </row>
    <row r="37" spans="1:8" x14ac:dyDescent="0.2">
      <c r="A37" s="117" t="s">
        <v>18</v>
      </c>
      <c r="B37" s="117"/>
      <c r="C37" s="117" t="s">
        <v>581</v>
      </c>
      <c r="D37" s="304" t="s">
        <v>1067</v>
      </c>
      <c r="E37" s="305"/>
      <c r="F37" s="117" t="s">
        <v>1647</v>
      </c>
      <c r="G37" s="116">
        <v>45.284999999999997</v>
      </c>
      <c r="H37" s="108">
        <v>0</v>
      </c>
    </row>
    <row r="38" spans="1:8" ht="12.2" customHeight="1" x14ac:dyDescent="0.2">
      <c r="D38" s="334" t="s">
        <v>2967</v>
      </c>
      <c r="E38" s="335"/>
      <c r="F38" s="335"/>
      <c r="G38" s="143">
        <v>45.284999999999997</v>
      </c>
    </row>
    <row r="39" spans="1:8" x14ac:dyDescent="0.2">
      <c r="A39" s="117" t="s">
        <v>19</v>
      </c>
      <c r="B39" s="117"/>
      <c r="C39" s="117" t="s">
        <v>582</v>
      </c>
      <c r="D39" s="304" t="s">
        <v>1068</v>
      </c>
      <c r="E39" s="305"/>
      <c r="F39" s="117" t="s">
        <v>1648</v>
      </c>
      <c r="G39" s="116">
        <v>79.248999999999995</v>
      </c>
      <c r="H39" s="108">
        <v>0</v>
      </c>
    </row>
    <row r="40" spans="1:8" ht="12.2" customHeight="1" x14ac:dyDescent="0.2">
      <c r="D40" s="334" t="s">
        <v>2966</v>
      </c>
      <c r="E40" s="335"/>
      <c r="F40" s="335"/>
      <c r="G40" s="143">
        <v>79.248999999999995</v>
      </c>
    </row>
    <row r="41" spans="1:8" x14ac:dyDescent="0.2">
      <c r="A41" s="117" t="s">
        <v>20</v>
      </c>
      <c r="B41" s="117"/>
      <c r="C41" s="117" t="s">
        <v>583</v>
      </c>
      <c r="D41" s="304" t="s">
        <v>1069</v>
      </c>
      <c r="E41" s="305"/>
      <c r="F41" s="117" t="s">
        <v>1647</v>
      </c>
      <c r="G41" s="116">
        <v>45.284999999999997</v>
      </c>
      <c r="H41" s="108">
        <v>0</v>
      </c>
    </row>
    <row r="42" spans="1:8" ht="12.2" customHeight="1" x14ac:dyDescent="0.2">
      <c r="D42" s="334" t="s">
        <v>2965</v>
      </c>
      <c r="E42" s="335"/>
      <c r="F42" s="335"/>
      <c r="G42" s="143">
        <v>45.284999999999997</v>
      </c>
    </row>
    <row r="43" spans="1:8" x14ac:dyDescent="0.2">
      <c r="A43" s="120"/>
      <c r="B43" s="120"/>
      <c r="C43" s="120" t="s">
        <v>23</v>
      </c>
      <c r="D43" s="306" t="s">
        <v>1070</v>
      </c>
      <c r="E43" s="307"/>
      <c r="F43" s="120"/>
      <c r="G43" s="142"/>
      <c r="H43" s="109"/>
    </row>
    <row r="44" spans="1:8" x14ac:dyDescent="0.2">
      <c r="A44" s="117" t="s">
        <v>21</v>
      </c>
      <c r="B44" s="117"/>
      <c r="C44" s="117" t="s">
        <v>584</v>
      </c>
      <c r="D44" s="304" t="s">
        <v>1071</v>
      </c>
      <c r="E44" s="305"/>
      <c r="F44" s="117" t="s">
        <v>1647</v>
      </c>
      <c r="G44" s="116">
        <v>45.284999999999997</v>
      </c>
      <c r="H44" s="108">
        <v>0</v>
      </c>
    </row>
    <row r="45" spans="1:8" ht="12.2" customHeight="1" x14ac:dyDescent="0.2">
      <c r="D45" s="334" t="s">
        <v>2965</v>
      </c>
      <c r="E45" s="335"/>
      <c r="F45" s="335"/>
      <c r="G45" s="143">
        <v>45.284999999999997</v>
      </c>
    </row>
    <row r="46" spans="1:8" x14ac:dyDescent="0.2">
      <c r="A46" s="117" t="s">
        <v>22</v>
      </c>
      <c r="B46" s="117"/>
      <c r="C46" s="117" t="s">
        <v>585</v>
      </c>
      <c r="D46" s="304" t="s">
        <v>1072</v>
      </c>
      <c r="E46" s="305"/>
      <c r="F46" s="117" t="s">
        <v>1647</v>
      </c>
      <c r="G46" s="116">
        <v>53.250999999999998</v>
      </c>
      <c r="H46" s="108">
        <v>0</v>
      </c>
    </row>
    <row r="47" spans="1:8" ht="12.2" customHeight="1" x14ac:dyDescent="0.2">
      <c r="D47" s="334" t="s">
        <v>2964</v>
      </c>
      <c r="E47" s="335"/>
      <c r="F47" s="335"/>
      <c r="G47" s="143">
        <v>53.250999999999998</v>
      </c>
    </row>
    <row r="48" spans="1:8" x14ac:dyDescent="0.2">
      <c r="A48" s="117" t="s">
        <v>23</v>
      </c>
      <c r="B48" s="117"/>
      <c r="C48" s="117" t="s">
        <v>585</v>
      </c>
      <c r="D48" s="304" t="s">
        <v>1074</v>
      </c>
      <c r="E48" s="305"/>
      <c r="F48" s="117" t="s">
        <v>1647</v>
      </c>
      <c r="G48" s="116">
        <v>1.86</v>
      </c>
      <c r="H48" s="108">
        <v>0</v>
      </c>
    </row>
    <row r="49" spans="1:8" ht="12.2" customHeight="1" x14ac:dyDescent="0.2">
      <c r="D49" s="334" t="s">
        <v>1765</v>
      </c>
      <c r="E49" s="335"/>
      <c r="F49" s="335"/>
      <c r="G49" s="143">
        <v>1.86</v>
      </c>
    </row>
    <row r="50" spans="1:8" x14ac:dyDescent="0.2">
      <c r="A50" s="117" t="s">
        <v>24</v>
      </c>
      <c r="B50" s="117"/>
      <c r="C50" s="117" t="s">
        <v>586</v>
      </c>
      <c r="D50" s="304" t="s">
        <v>2160</v>
      </c>
      <c r="E50" s="305"/>
      <c r="F50" s="117" t="s">
        <v>1647</v>
      </c>
      <c r="G50" s="116">
        <v>3.024</v>
      </c>
      <c r="H50" s="108">
        <v>0</v>
      </c>
    </row>
    <row r="51" spans="1:8" ht="12.2" customHeight="1" x14ac:dyDescent="0.2">
      <c r="D51" s="334" t="s">
        <v>2963</v>
      </c>
      <c r="E51" s="335"/>
      <c r="F51" s="335"/>
      <c r="G51" s="143">
        <v>3.024</v>
      </c>
    </row>
    <row r="52" spans="1:8" x14ac:dyDescent="0.2">
      <c r="A52" s="120"/>
      <c r="B52" s="120"/>
      <c r="C52" s="120" t="s">
        <v>24</v>
      </c>
      <c r="D52" s="306" t="s">
        <v>1076</v>
      </c>
      <c r="E52" s="307"/>
      <c r="F52" s="120"/>
      <c r="G52" s="142"/>
      <c r="H52" s="109"/>
    </row>
    <row r="53" spans="1:8" x14ac:dyDescent="0.2">
      <c r="A53" s="117" t="s">
        <v>25</v>
      </c>
      <c r="B53" s="117"/>
      <c r="C53" s="117" t="s">
        <v>587</v>
      </c>
      <c r="D53" s="304" t="s">
        <v>1077</v>
      </c>
      <c r="E53" s="305"/>
      <c r="F53" s="117" t="s">
        <v>1645</v>
      </c>
      <c r="G53" s="116">
        <v>149.876</v>
      </c>
      <c r="H53" s="108">
        <v>0</v>
      </c>
    </row>
    <row r="54" spans="1:8" ht="12.2" customHeight="1" x14ac:dyDescent="0.2">
      <c r="D54" s="334" t="s">
        <v>2962</v>
      </c>
      <c r="E54" s="335"/>
      <c r="F54" s="335"/>
      <c r="G54" s="143">
        <v>49.875999999999998</v>
      </c>
    </row>
    <row r="55" spans="1:8" ht="12.2" customHeight="1" x14ac:dyDescent="0.2">
      <c r="A55" s="117"/>
      <c r="B55" s="117"/>
      <c r="C55" s="117"/>
      <c r="D55" s="334" t="s">
        <v>1769</v>
      </c>
      <c r="E55" s="335"/>
      <c r="F55" s="334"/>
      <c r="G55" s="144">
        <v>100</v>
      </c>
      <c r="H55" s="111"/>
    </row>
    <row r="56" spans="1:8" x14ac:dyDescent="0.2">
      <c r="A56" s="120"/>
      <c r="B56" s="120"/>
      <c r="C56" s="120" t="s">
        <v>27</v>
      </c>
      <c r="D56" s="306" t="s">
        <v>1078</v>
      </c>
      <c r="E56" s="307"/>
      <c r="F56" s="120"/>
      <c r="G56" s="142"/>
      <c r="H56" s="109"/>
    </row>
    <row r="57" spans="1:8" x14ac:dyDescent="0.2">
      <c r="A57" s="117" t="s">
        <v>26</v>
      </c>
      <c r="B57" s="117"/>
      <c r="C57" s="117" t="s">
        <v>588</v>
      </c>
      <c r="D57" s="304" t="s">
        <v>1079</v>
      </c>
      <c r="E57" s="305"/>
      <c r="F57" s="117" t="s">
        <v>1646</v>
      </c>
      <c r="G57" s="116">
        <v>87.08</v>
      </c>
      <c r="H57" s="108">
        <v>0</v>
      </c>
    </row>
    <row r="58" spans="1:8" ht="12.2" customHeight="1" x14ac:dyDescent="0.2">
      <c r="D58" s="334" t="s">
        <v>2961</v>
      </c>
      <c r="E58" s="335"/>
      <c r="F58" s="335"/>
      <c r="G58" s="143">
        <v>87.08</v>
      </c>
    </row>
    <row r="59" spans="1:8" x14ac:dyDescent="0.2">
      <c r="A59" s="117" t="s">
        <v>27</v>
      </c>
      <c r="B59" s="117"/>
      <c r="C59" s="117" t="s">
        <v>589</v>
      </c>
      <c r="D59" s="304" t="s">
        <v>1080</v>
      </c>
      <c r="E59" s="305"/>
      <c r="F59" s="117" t="s">
        <v>1646</v>
      </c>
      <c r="G59" s="116">
        <v>87.08</v>
      </c>
      <c r="H59" s="108">
        <v>0</v>
      </c>
    </row>
    <row r="60" spans="1:8" ht="12.2" customHeight="1" x14ac:dyDescent="0.2">
      <c r="D60" s="334" t="s">
        <v>2961</v>
      </c>
      <c r="E60" s="335"/>
      <c r="F60" s="335"/>
      <c r="G60" s="143">
        <v>87.08</v>
      </c>
    </row>
    <row r="61" spans="1:8" x14ac:dyDescent="0.2">
      <c r="A61" s="120"/>
      <c r="B61" s="120"/>
      <c r="C61" s="120" t="s">
        <v>33</v>
      </c>
      <c r="D61" s="306" t="s">
        <v>1081</v>
      </c>
      <c r="E61" s="307"/>
      <c r="F61" s="120"/>
      <c r="G61" s="142"/>
      <c r="H61" s="109"/>
    </row>
    <row r="62" spans="1:8" x14ac:dyDescent="0.2">
      <c r="A62" s="117" t="s">
        <v>28</v>
      </c>
      <c r="B62" s="117"/>
      <c r="C62" s="117" t="s">
        <v>590</v>
      </c>
      <c r="D62" s="304" t="s">
        <v>1082</v>
      </c>
      <c r="E62" s="305"/>
      <c r="F62" s="117" t="s">
        <v>1647</v>
      </c>
      <c r="G62" s="116">
        <v>6.4000000000000001E-2</v>
      </c>
      <c r="H62" s="108">
        <v>0</v>
      </c>
    </row>
    <row r="63" spans="1:8" ht="12.2" customHeight="1" x14ac:dyDescent="0.2">
      <c r="D63" s="334" t="s">
        <v>1771</v>
      </c>
      <c r="E63" s="335"/>
      <c r="F63" s="335"/>
      <c r="G63" s="143">
        <v>6.4000000000000001E-2</v>
      </c>
    </row>
    <row r="64" spans="1:8" x14ac:dyDescent="0.2">
      <c r="A64" s="117" t="s">
        <v>29</v>
      </c>
      <c r="B64" s="117"/>
      <c r="C64" s="117" t="s">
        <v>591</v>
      </c>
      <c r="D64" s="304" t="s">
        <v>1083</v>
      </c>
      <c r="E64" s="305"/>
      <c r="F64" s="117" t="s">
        <v>1647</v>
      </c>
      <c r="G64" s="116">
        <v>0.29599999999999999</v>
      </c>
      <c r="H64" s="108">
        <v>0</v>
      </c>
    </row>
    <row r="65" spans="1:8" ht="12.2" customHeight="1" x14ac:dyDescent="0.2">
      <c r="D65" s="334" t="s">
        <v>1772</v>
      </c>
      <c r="E65" s="335"/>
      <c r="F65" s="335"/>
      <c r="G65" s="143">
        <v>0.29599999999999999</v>
      </c>
    </row>
    <row r="66" spans="1:8" x14ac:dyDescent="0.2">
      <c r="A66" s="120"/>
      <c r="B66" s="120"/>
      <c r="C66" s="120" t="s">
        <v>37</v>
      </c>
      <c r="D66" s="306" t="s">
        <v>1084</v>
      </c>
      <c r="E66" s="307"/>
      <c r="F66" s="120"/>
      <c r="G66" s="142"/>
      <c r="H66" s="109"/>
    </row>
    <row r="67" spans="1:8" x14ac:dyDescent="0.2">
      <c r="A67" s="117" t="s">
        <v>30</v>
      </c>
      <c r="B67" s="117"/>
      <c r="C67" s="117" t="s">
        <v>592</v>
      </c>
      <c r="D67" s="304" t="s">
        <v>1086</v>
      </c>
      <c r="E67" s="305"/>
      <c r="F67" s="117" t="s">
        <v>1644</v>
      </c>
      <c r="G67" s="116">
        <v>1</v>
      </c>
      <c r="H67" s="108">
        <v>0</v>
      </c>
    </row>
    <row r="68" spans="1:8" ht="12.2" customHeight="1" x14ac:dyDescent="0.2">
      <c r="D68" s="334" t="s">
        <v>1749</v>
      </c>
      <c r="E68" s="335"/>
      <c r="F68" s="335"/>
      <c r="G68" s="143">
        <v>1</v>
      </c>
    </row>
    <row r="69" spans="1:8" x14ac:dyDescent="0.2">
      <c r="A69" s="117" t="s">
        <v>31</v>
      </c>
      <c r="B69" s="117"/>
      <c r="C69" s="117" t="s">
        <v>593</v>
      </c>
      <c r="D69" s="304" t="s">
        <v>1087</v>
      </c>
      <c r="E69" s="305"/>
      <c r="F69" s="117" t="s">
        <v>1647</v>
      </c>
      <c r="G69" s="116">
        <v>0.21</v>
      </c>
      <c r="H69" s="108">
        <v>0</v>
      </c>
    </row>
    <row r="70" spans="1:8" ht="12.2" customHeight="1" x14ac:dyDescent="0.2">
      <c r="D70" s="334" t="s">
        <v>2960</v>
      </c>
      <c r="E70" s="335"/>
      <c r="F70" s="335"/>
      <c r="G70" s="143">
        <v>0.21</v>
      </c>
    </row>
    <row r="71" spans="1:8" x14ac:dyDescent="0.2">
      <c r="A71" s="117" t="s">
        <v>32</v>
      </c>
      <c r="B71" s="117"/>
      <c r="C71" s="117" t="s">
        <v>594</v>
      </c>
      <c r="D71" s="304" t="s">
        <v>2155</v>
      </c>
      <c r="E71" s="305"/>
      <c r="F71" s="117" t="s">
        <v>1648</v>
      </c>
      <c r="G71" s="116">
        <v>3.4000000000000002E-2</v>
      </c>
      <c r="H71" s="108">
        <v>0</v>
      </c>
    </row>
    <row r="72" spans="1:8" ht="12.2" customHeight="1" x14ac:dyDescent="0.2">
      <c r="D72" s="334" t="s">
        <v>1774</v>
      </c>
      <c r="E72" s="335"/>
      <c r="F72" s="335"/>
      <c r="G72" s="143">
        <v>3.4000000000000002E-2</v>
      </c>
    </row>
    <row r="73" spans="1:8" x14ac:dyDescent="0.2">
      <c r="A73" s="117" t="s">
        <v>33</v>
      </c>
      <c r="B73" s="117"/>
      <c r="C73" s="117" t="s">
        <v>595</v>
      </c>
      <c r="D73" s="304" t="s">
        <v>1089</v>
      </c>
      <c r="E73" s="305"/>
      <c r="F73" s="117" t="s">
        <v>1646</v>
      </c>
      <c r="G73" s="116">
        <v>100</v>
      </c>
      <c r="H73" s="108">
        <v>0</v>
      </c>
    </row>
    <row r="74" spans="1:8" ht="12.2" customHeight="1" x14ac:dyDescent="0.2">
      <c r="D74" s="334" t="s">
        <v>1769</v>
      </c>
      <c r="E74" s="335"/>
      <c r="F74" s="335"/>
      <c r="G74" s="143">
        <v>100</v>
      </c>
    </row>
    <row r="75" spans="1:8" x14ac:dyDescent="0.2">
      <c r="A75" s="120"/>
      <c r="B75" s="120"/>
      <c r="C75" s="120" t="s">
        <v>62</v>
      </c>
      <c r="D75" s="306" t="s">
        <v>1090</v>
      </c>
      <c r="E75" s="307"/>
      <c r="F75" s="120"/>
      <c r="G75" s="142"/>
      <c r="H75" s="109"/>
    </row>
    <row r="76" spans="1:8" x14ac:dyDescent="0.2">
      <c r="A76" s="117" t="s">
        <v>34</v>
      </c>
      <c r="B76" s="117"/>
      <c r="C76" s="117" t="s">
        <v>596</v>
      </c>
      <c r="D76" s="304" t="s">
        <v>1091</v>
      </c>
      <c r="E76" s="305"/>
      <c r="F76" s="117" t="s">
        <v>1645</v>
      </c>
      <c r="G76" s="116">
        <v>26.86</v>
      </c>
      <c r="H76" s="108">
        <v>0</v>
      </c>
    </row>
    <row r="77" spans="1:8" ht="12.2" customHeight="1" x14ac:dyDescent="0.2">
      <c r="D77" s="334" t="s">
        <v>2957</v>
      </c>
      <c r="E77" s="335"/>
      <c r="F77" s="335"/>
      <c r="G77" s="143">
        <v>26.86</v>
      </c>
    </row>
    <row r="78" spans="1:8" x14ac:dyDescent="0.2">
      <c r="A78" s="117" t="s">
        <v>35</v>
      </c>
      <c r="B78" s="117"/>
      <c r="C78" s="117" t="s">
        <v>597</v>
      </c>
      <c r="D78" s="304" t="s">
        <v>1092</v>
      </c>
      <c r="E78" s="305"/>
      <c r="F78" s="117" t="s">
        <v>1645</v>
      </c>
      <c r="G78" s="116">
        <v>26.86</v>
      </c>
      <c r="H78" s="108">
        <v>0</v>
      </c>
    </row>
    <row r="79" spans="1:8" ht="12.2" customHeight="1" x14ac:dyDescent="0.2">
      <c r="D79" s="334" t="s">
        <v>2957</v>
      </c>
      <c r="E79" s="335"/>
      <c r="F79" s="335"/>
      <c r="G79" s="143">
        <v>26.86</v>
      </c>
    </row>
    <row r="80" spans="1:8" x14ac:dyDescent="0.2">
      <c r="A80" s="117" t="s">
        <v>36</v>
      </c>
      <c r="B80" s="117"/>
      <c r="C80" s="117" t="s">
        <v>598</v>
      </c>
      <c r="D80" s="304" t="s">
        <v>1093</v>
      </c>
      <c r="E80" s="305"/>
      <c r="F80" s="117" t="s">
        <v>1645</v>
      </c>
      <c r="G80" s="116">
        <v>26.86</v>
      </c>
      <c r="H80" s="108">
        <v>0</v>
      </c>
    </row>
    <row r="81" spans="1:8" ht="12.2" customHeight="1" x14ac:dyDescent="0.2">
      <c r="D81" s="334" t="s">
        <v>2957</v>
      </c>
      <c r="E81" s="335"/>
      <c r="F81" s="335"/>
      <c r="G81" s="143">
        <v>26.86</v>
      </c>
    </row>
    <row r="82" spans="1:8" x14ac:dyDescent="0.2">
      <c r="A82" s="120"/>
      <c r="B82" s="120"/>
      <c r="C82" s="120" t="s">
        <v>65</v>
      </c>
      <c r="D82" s="306" t="s">
        <v>1094</v>
      </c>
      <c r="E82" s="307"/>
      <c r="F82" s="120"/>
      <c r="G82" s="142"/>
      <c r="H82" s="109"/>
    </row>
    <row r="83" spans="1:8" x14ac:dyDescent="0.2">
      <c r="A83" s="117" t="s">
        <v>37</v>
      </c>
      <c r="B83" s="117"/>
      <c r="C83" s="117" t="s">
        <v>599</v>
      </c>
      <c r="D83" s="304" t="s">
        <v>1095</v>
      </c>
      <c r="E83" s="305"/>
      <c r="F83" s="117" t="s">
        <v>1645</v>
      </c>
      <c r="G83" s="116">
        <v>58.475999999999999</v>
      </c>
      <c r="H83" s="108">
        <v>0</v>
      </c>
    </row>
    <row r="84" spans="1:8" ht="12.2" customHeight="1" x14ac:dyDescent="0.2">
      <c r="D84" s="334" t="s">
        <v>2959</v>
      </c>
      <c r="E84" s="335"/>
      <c r="F84" s="335"/>
      <c r="G84" s="143">
        <v>58.475999999999999</v>
      </c>
    </row>
    <row r="85" spans="1:8" x14ac:dyDescent="0.2">
      <c r="A85" s="117" t="s">
        <v>38</v>
      </c>
      <c r="B85" s="117"/>
      <c r="C85" s="117" t="s">
        <v>2865</v>
      </c>
      <c r="D85" s="304" t="s">
        <v>2864</v>
      </c>
      <c r="E85" s="305"/>
      <c r="F85" s="117" t="s">
        <v>1645</v>
      </c>
      <c r="G85" s="116">
        <v>6.2130000000000001</v>
      </c>
      <c r="H85" s="108">
        <v>0</v>
      </c>
    </row>
    <row r="86" spans="1:8" ht="12.2" customHeight="1" x14ac:dyDescent="0.2">
      <c r="D86" s="334" t="s">
        <v>2958</v>
      </c>
      <c r="E86" s="335"/>
      <c r="F86" s="335"/>
      <c r="G86" s="143">
        <v>6.2130000000000001</v>
      </c>
    </row>
    <row r="87" spans="1:8" x14ac:dyDescent="0.2">
      <c r="A87" s="117" t="s">
        <v>39</v>
      </c>
      <c r="B87" s="117"/>
      <c r="C87" s="117" t="s">
        <v>600</v>
      </c>
      <c r="D87" s="304" t="s">
        <v>1096</v>
      </c>
      <c r="E87" s="305"/>
      <c r="F87" s="117" t="s">
        <v>1645</v>
      </c>
      <c r="G87" s="116">
        <v>26.86</v>
      </c>
      <c r="H87" s="108">
        <v>0</v>
      </c>
    </row>
    <row r="88" spans="1:8" ht="12.2" customHeight="1" x14ac:dyDescent="0.2">
      <c r="D88" s="334" t="s">
        <v>2957</v>
      </c>
      <c r="E88" s="335"/>
      <c r="F88" s="335"/>
      <c r="G88" s="143">
        <v>26.86</v>
      </c>
    </row>
    <row r="89" spans="1:8" x14ac:dyDescent="0.2">
      <c r="A89" s="120"/>
      <c r="B89" s="120"/>
      <c r="C89" s="120" t="s">
        <v>67</v>
      </c>
      <c r="D89" s="306" t="s">
        <v>1097</v>
      </c>
      <c r="E89" s="307"/>
      <c r="F89" s="120"/>
      <c r="G89" s="142"/>
      <c r="H89" s="109"/>
    </row>
    <row r="90" spans="1:8" x14ac:dyDescent="0.2">
      <c r="A90" s="117" t="s">
        <v>40</v>
      </c>
      <c r="B90" s="117"/>
      <c r="C90" s="117" t="s">
        <v>601</v>
      </c>
      <c r="D90" s="304" t="s">
        <v>1098</v>
      </c>
      <c r="E90" s="305"/>
      <c r="F90" s="117" t="s">
        <v>1645</v>
      </c>
      <c r="G90" s="116">
        <v>18.702999999999999</v>
      </c>
      <c r="H90" s="108">
        <v>0</v>
      </c>
    </row>
    <row r="91" spans="1:8" ht="12.2" customHeight="1" x14ac:dyDescent="0.2">
      <c r="D91" s="334" t="s">
        <v>2936</v>
      </c>
      <c r="E91" s="335"/>
      <c r="F91" s="335"/>
      <c r="G91" s="143">
        <v>18.702999999999999</v>
      </c>
    </row>
    <row r="92" spans="1:8" x14ac:dyDescent="0.2">
      <c r="A92" s="117" t="s">
        <v>41</v>
      </c>
      <c r="B92" s="117"/>
      <c r="C92" s="117" t="s">
        <v>602</v>
      </c>
      <c r="D92" s="304" t="s">
        <v>1099</v>
      </c>
      <c r="E92" s="305"/>
      <c r="F92" s="117" t="s">
        <v>1645</v>
      </c>
      <c r="G92" s="116">
        <v>4.3499999999999996</v>
      </c>
      <c r="H92" s="108">
        <v>0</v>
      </c>
    </row>
    <row r="93" spans="1:8" ht="12.2" customHeight="1" x14ac:dyDescent="0.2">
      <c r="D93" s="334" t="s">
        <v>2956</v>
      </c>
      <c r="E93" s="335"/>
      <c r="F93" s="335"/>
      <c r="G93" s="143">
        <v>4.3499999999999996</v>
      </c>
    </row>
    <row r="94" spans="1:8" x14ac:dyDescent="0.2">
      <c r="A94" s="117" t="s">
        <v>42</v>
      </c>
      <c r="B94" s="117"/>
      <c r="C94" s="117" t="s">
        <v>603</v>
      </c>
      <c r="D94" s="304" t="s">
        <v>1100</v>
      </c>
      <c r="E94" s="305"/>
      <c r="F94" s="117" t="s">
        <v>1645</v>
      </c>
      <c r="G94" s="116">
        <v>4.3499999999999996</v>
      </c>
      <c r="H94" s="108">
        <v>0</v>
      </c>
    </row>
    <row r="95" spans="1:8" ht="12.2" customHeight="1" x14ac:dyDescent="0.2">
      <c r="D95" s="334" t="s">
        <v>2956</v>
      </c>
      <c r="E95" s="335"/>
      <c r="F95" s="335"/>
      <c r="G95" s="143">
        <v>4.3499999999999996</v>
      </c>
    </row>
    <row r="96" spans="1:8" x14ac:dyDescent="0.2">
      <c r="A96" s="117" t="s">
        <v>43</v>
      </c>
      <c r="B96" s="117"/>
      <c r="C96" s="117" t="s">
        <v>604</v>
      </c>
      <c r="D96" s="304" t="s">
        <v>2863</v>
      </c>
      <c r="E96" s="305"/>
      <c r="F96" s="117" t="s">
        <v>1645</v>
      </c>
      <c r="G96" s="116">
        <v>12.734999999999999</v>
      </c>
      <c r="H96" s="108">
        <v>0</v>
      </c>
    </row>
    <row r="97" spans="1:8" ht="12.2" customHeight="1" x14ac:dyDescent="0.2">
      <c r="D97" s="334" t="s">
        <v>2955</v>
      </c>
      <c r="E97" s="335"/>
      <c r="F97" s="335"/>
      <c r="G97" s="143">
        <v>12.734999999999999</v>
      </c>
    </row>
    <row r="98" spans="1:8" x14ac:dyDescent="0.2">
      <c r="A98" s="117" t="s">
        <v>44</v>
      </c>
      <c r="B98" s="117"/>
      <c r="C98" s="117" t="s">
        <v>2862</v>
      </c>
      <c r="D98" s="304" t="s">
        <v>2861</v>
      </c>
      <c r="E98" s="305"/>
      <c r="F98" s="117" t="s">
        <v>1646</v>
      </c>
      <c r="G98" s="116">
        <v>33</v>
      </c>
      <c r="H98" s="108">
        <v>0</v>
      </c>
    </row>
    <row r="99" spans="1:8" ht="12.2" customHeight="1" x14ac:dyDescent="0.2">
      <c r="D99" s="334" t="s">
        <v>2883</v>
      </c>
      <c r="E99" s="335"/>
      <c r="F99" s="335"/>
      <c r="G99" s="143">
        <v>33</v>
      </c>
    </row>
    <row r="100" spans="1:8" x14ac:dyDescent="0.2">
      <c r="A100" s="117" t="s">
        <v>45</v>
      </c>
      <c r="B100" s="117"/>
      <c r="C100" s="117" t="s">
        <v>605</v>
      </c>
      <c r="D100" s="304" t="s">
        <v>1102</v>
      </c>
      <c r="E100" s="305"/>
      <c r="F100" s="117" t="s">
        <v>1645</v>
      </c>
      <c r="G100" s="116">
        <v>265.774</v>
      </c>
      <c r="H100" s="108">
        <v>0</v>
      </c>
    </row>
    <row r="101" spans="1:8" ht="12.2" customHeight="1" x14ac:dyDescent="0.2">
      <c r="D101" s="334" t="s">
        <v>2920</v>
      </c>
      <c r="E101" s="335"/>
      <c r="F101" s="335"/>
      <c r="G101" s="143">
        <v>265.774</v>
      </c>
    </row>
    <row r="102" spans="1:8" x14ac:dyDescent="0.2">
      <c r="A102" s="117" t="s">
        <v>46</v>
      </c>
      <c r="B102" s="117"/>
      <c r="C102" s="117" t="s">
        <v>606</v>
      </c>
      <c r="D102" s="304" t="s">
        <v>2860</v>
      </c>
      <c r="E102" s="305"/>
      <c r="F102" s="117" t="s">
        <v>1645</v>
      </c>
      <c r="G102" s="116">
        <v>25.2</v>
      </c>
      <c r="H102" s="108">
        <v>0</v>
      </c>
    </row>
    <row r="103" spans="1:8" ht="12.2" customHeight="1" x14ac:dyDescent="0.2">
      <c r="D103" s="334" t="s">
        <v>2954</v>
      </c>
      <c r="E103" s="335"/>
      <c r="F103" s="335"/>
      <c r="G103" s="143">
        <v>25.2</v>
      </c>
    </row>
    <row r="104" spans="1:8" x14ac:dyDescent="0.2">
      <c r="A104" s="120"/>
      <c r="B104" s="120"/>
      <c r="C104" s="120" t="s">
        <v>68</v>
      </c>
      <c r="D104" s="306" t="s">
        <v>1104</v>
      </c>
      <c r="E104" s="307"/>
      <c r="F104" s="120"/>
      <c r="G104" s="142"/>
      <c r="H104" s="109"/>
    </row>
    <row r="105" spans="1:8" x14ac:dyDescent="0.2">
      <c r="A105" s="117" t="s">
        <v>47</v>
      </c>
      <c r="B105" s="117"/>
      <c r="C105" s="117" t="s">
        <v>607</v>
      </c>
      <c r="D105" s="304" t="s">
        <v>1105</v>
      </c>
      <c r="E105" s="305"/>
      <c r="F105" s="117" t="s">
        <v>1645</v>
      </c>
      <c r="G105" s="116">
        <v>68.34</v>
      </c>
      <c r="H105" s="108">
        <v>0</v>
      </c>
    </row>
    <row r="106" spans="1:8" ht="12.2" customHeight="1" x14ac:dyDescent="0.2">
      <c r="D106" s="334" t="s">
        <v>2953</v>
      </c>
      <c r="E106" s="335"/>
      <c r="F106" s="335"/>
      <c r="G106" s="143">
        <v>68.34</v>
      </c>
    </row>
    <row r="107" spans="1:8" x14ac:dyDescent="0.2">
      <c r="A107" s="117" t="s">
        <v>48</v>
      </c>
      <c r="B107" s="117"/>
      <c r="C107" s="117" t="s">
        <v>608</v>
      </c>
      <c r="D107" s="304" t="s">
        <v>1106</v>
      </c>
      <c r="E107" s="305"/>
      <c r="F107" s="117" t="s">
        <v>1645</v>
      </c>
      <c r="G107" s="116">
        <v>716.42499999999995</v>
      </c>
      <c r="H107" s="108">
        <v>0</v>
      </c>
    </row>
    <row r="108" spans="1:8" ht="12.2" customHeight="1" x14ac:dyDescent="0.2">
      <c r="D108" s="334" t="s">
        <v>2951</v>
      </c>
      <c r="E108" s="335"/>
      <c r="F108" s="335"/>
      <c r="G108" s="143">
        <v>76.400000000000006</v>
      </c>
    </row>
    <row r="109" spans="1:8" ht="12.2" customHeight="1" x14ac:dyDescent="0.2">
      <c r="A109" s="117"/>
      <c r="B109" s="117"/>
      <c r="C109" s="117"/>
      <c r="D109" s="334" t="s">
        <v>2916</v>
      </c>
      <c r="E109" s="335"/>
      <c r="F109" s="334"/>
      <c r="G109" s="144">
        <v>98.432000000000002</v>
      </c>
      <c r="H109" s="111"/>
    </row>
    <row r="110" spans="1:8" ht="12.2" customHeight="1" x14ac:dyDescent="0.2">
      <c r="A110" s="117"/>
      <c r="B110" s="117"/>
      <c r="C110" s="117"/>
      <c r="D110" s="334" t="s">
        <v>2917</v>
      </c>
      <c r="E110" s="335"/>
      <c r="F110" s="334"/>
      <c r="G110" s="144">
        <v>497.28899999999999</v>
      </c>
      <c r="H110" s="111"/>
    </row>
    <row r="111" spans="1:8" ht="12.2" customHeight="1" x14ac:dyDescent="0.2">
      <c r="A111" s="117"/>
      <c r="B111" s="117"/>
      <c r="C111" s="117"/>
      <c r="D111" s="334" t="s">
        <v>2950</v>
      </c>
      <c r="E111" s="335"/>
      <c r="F111" s="334"/>
      <c r="G111" s="144">
        <v>44.304000000000002</v>
      </c>
      <c r="H111" s="111"/>
    </row>
    <row r="112" spans="1:8" x14ac:dyDescent="0.2">
      <c r="A112" s="117" t="s">
        <v>49</v>
      </c>
      <c r="B112" s="117"/>
      <c r="C112" s="117" t="s">
        <v>609</v>
      </c>
      <c r="D112" s="304" t="s">
        <v>1107</v>
      </c>
      <c r="E112" s="305"/>
      <c r="F112" s="117" t="s">
        <v>1646</v>
      </c>
      <c r="G112" s="116">
        <v>40</v>
      </c>
      <c r="H112" s="108">
        <v>0</v>
      </c>
    </row>
    <row r="113" spans="1:8" ht="12.2" customHeight="1" x14ac:dyDescent="0.2">
      <c r="D113" s="334" t="s">
        <v>1786</v>
      </c>
      <c r="E113" s="335"/>
      <c r="F113" s="335"/>
      <c r="G113" s="143">
        <v>40</v>
      </c>
    </row>
    <row r="114" spans="1:8" x14ac:dyDescent="0.2">
      <c r="A114" s="117" t="s">
        <v>50</v>
      </c>
      <c r="B114" s="117"/>
      <c r="C114" s="117" t="s">
        <v>610</v>
      </c>
      <c r="D114" s="304" t="s">
        <v>1108</v>
      </c>
      <c r="E114" s="305"/>
      <c r="F114" s="117" t="s">
        <v>1646</v>
      </c>
      <c r="G114" s="116">
        <v>84.16</v>
      </c>
      <c r="H114" s="108">
        <v>0</v>
      </c>
    </row>
    <row r="115" spans="1:8" ht="12.2" customHeight="1" x14ac:dyDescent="0.2">
      <c r="D115" s="334" t="s">
        <v>2952</v>
      </c>
      <c r="E115" s="335"/>
      <c r="F115" s="335"/>
      <c r="G115" s="143">
        <v>84.16</v>
      </c>
    </row>
    <row r="116" spans="1:8" x14ac:dyDescent="0.2">
      <c r="A116" s="117" t="s">
        <v>51</v>
      </c>
      <c r="B116" s="117"/>
      <c r="C116" s="117" t="s">
        <v>611</v>
      </c>
      <c r="D116" s="304" t="s">
        <v>1109</v>
      </c>
      <c r="E116" s="305"/>
      <c r="F116" s="117" t="s">
        <v>1646</v>
      </c>
      <c r="G116" s="116">
        <v>15.7</v>
      </c>
      <c r="H116" s="108">
        <v>0</v>
      </c>
    </row>
    <row r="117" spans="1:8" ht="12.2" customHeight="1" x14ac:dyDescent="0.2">
      <c r="D117" s="334" t="s">
        <v>1788</v>
      </c>
      <c r="E117" s="335"/>
      <c r="F117" s="335"/>
      <c r="G117" s="143">
        <v>15.7</v>
      </c>
    </row>
    <row r="118" spans="1:8" x14ac:dyDescent="0.2">
      <c r="A118" s="117" t="s">
        <v>52</v>
      </c>
      <c r="B118" s="117"/>
      <c r="C118" s="117" t="s">
        <v>612</v>
      </c>
      <c r="D118" s="304" t="s">
        <v>1110</v>
      </c>
      <c r="E118" s="305"/>
      <c r="F118" s="117" t="s">
        <v>1645</v>
      </c>
      <c r="G118" s="116">
        <v>98.432000000000002</v>
      </c>
      <c r="H118" s="108">
        <v>0</v>
      </c>
    </row>
    <row r="119" spans="1:8" ht="12.2" customHeight="1" x14ac:dyDescent="0.2">
      <c r="D119" s="334" t="s">
        <v>2916</v>
      </c>
      <c r="E119" s="335"/>
      <c r="F119" s="335"/>
      <c r="G119" s="143">
        <v>98.432000000000002</v>
      </c>
    </row>
    <row r="120" spans="1:8" x14ac:dyDescent="0.2">
      <c r="A120" s="117" t="s">
        <v>53</v>
      </c>
      <c r="B120" s="117"/>
      <c r="C120" s="117" t="s">
        <v>614</v>
      </c>
      <c r="D120" s="304" t="s">
        <v>1112</v>
      </c>
      <c r="E120" s="305"/>
      <c r="F120" s="117" t="s">
        <v>1645</v>
      </c>
      <c r="G120" s="116">
        <v>76.400000000000006</v>
      </c>
      <c r="H120" s="108">
        <v>0</v>
      </c>
    </row>
    <row r="121" spans="1:8" ht="12.2" customHeight="1" x14ac:dyDescent="0.2">
      <c r="D121" s="334" t="s">
        <v>2951</v>
      </c>
      <c r="E121" s="335"/>
      <c r="F121" s="335"/>
      <c r="G121" s="143">
        <v>76.400000000000006</v>
      </c>
    </row>
    <row r="122" spans="1:8" x14ac:dyDescent="0.2">
      <c r="A122" s="117" t="s">
        <v>54</v>
      </c>
      <c r="B122" s="117"/>
      <c r="C122" s="117" t="s">
        <v>615</v>
      </c>
      <c r="D122" s="304" t="s">
        <v>1114</v>
      </c>
      <c r="E122" s="305"/>
      <c r="F122" s="117" t="s">
        <v>1645</v>
      </c>
      <c r="G122" s="116">
        <v>497.28899999999999</v>
      </c>
      <c r="H122" s="108">
        <v>0</v>
      </c>
    </row>
    <row r="123" spans="1:8" ht="12.2" customHeight="1" x14ac:dyDescent="0.2">
      <c r="D123" s="334" t="s">
        <v>2917</v>
      </c>
      <c r="E123" s="335"/>
      <c r="F123" s="335"/>
      <c r="G123" s="143">
        <v>497.28899999999999</v>
      </c>
    </row>
    <row r="124" spans="1:8" x14ac:dyDescent="0.2">
      <c r="A124" s="117" t="s">
        <v>55</v>
      </c>
      <c r="B124" s="117"/>
      <c r="C124" s="117" t="s">
        <v>616</v>
      </c>
      <c r="D124" s="304" t="s">
        <v>1116</v>
      </c>
      <c r="E124" s="305"/>
      <c r="F124" s="117" t="s">
        <v>1645</v>
      </c>
      <c r="G124" s="116">
        <v>44.304000000000002</v>
      </c>
      <c r="H124" s="108">
        <v>0</v>
      </c>
    </row>
    <row r="125" spans="1:8" ht="12.2" customHeight="1" x14ac:dyDescent="0.2">
      <c r="D125" s="334" t="s">
        <v>2950</v>
      </c>
      <c r="E125" s="335"/>
      <c r="F125" s="335"/>
      <c r="G125" s="143">
        <v>44.304000000000002</v>
      </c>
    </row>
    <row r="126" spans="1:8" x14ac:dyDescent="0.2">
      <c r="A126" s="117" t="s">
        <v>56</v>
      </c>
      <c r="B126" s="117"/>
      <c r="C126" s="117" t="s">
        <v>617</v>
      </c>
      <c r="D126" s="304" t="s">
        <v>1118</v>
      </c>
      <c r="E126" s="305"/>
      <c r="F126" s="117" t="s">
        <v>1646</v>
      </c>
      <c r="G126" s="116">
        <v>36</v>
      </c>
      <c r="H126" s="108">
        <v>0</v>
      </c>
    </row>
    <row r="127" spans="1:8" ht="12.2" customHeight="1" x14ac:dyDescent="0.2">
      <c r="D127" s="334" t="s">
        <v>2949</v>
      </c>
      <c r="E127" s="335"/>
      <c r="F127" s="335"/>
      <c r="G127" s="143">
        <v>36</v>
      </c>
    </row>
    <row r="128" spans="1:8" x14ac:dyDescent="0.2">
      <c r="A128" s="117" t="s">
        <v>57</v>
      </c>
      <c r="B128" s="117"/>
      <c r="C128" s="117" t="s">
        <v>2859</v>
      </c>
      <c r="D128" s="304" t="s">
        <v>2858</v>
      </c>
      <c r="E128" s="305"/>
      <c r="F128" s="117" t="s">
        <v>1646</v>
      </c>
      <c r="G128" s="116">
        <v>11.4</v>
      </c>
      <c r="H128" s="108">
        <v>0</v>
      </c>
    </row>
    <row r="129" spans="1:8" ht="12.2" customHeight="1" x14ac:dyDescent="0.2">
      <c r="D129" s="334" t="s">
        <v>2948</v>
      </c>
      <c r="E129" s="335"/>
      <c r="F129" s="335"/>
      <c r="G129" s="143">
        <v>11.4</v>
      </c>
    </row>
    <row r="130" spans="1:8" x14ac:dyDescent="0.2">
      <c r="A130" s="117" t="s">
        <v>58</v>
      </c>
      <c r="B130" s="117"/>
      <c r="C130" s="117" t="s">
        <v>618</v>
      </c>
      <c r="D130" s="304" t="s">
        <v>1119</v>
      </c>
      <c r="E130" s="305"/>
      <c r="F130" s="117" t="s">
        <v>1645</v>
      </c>
      <c r="G130" s="116">
        <v>716.42499999999995</v>
      </c>
      <c r="H130" s="108">
        <v>0</v>
      </c>
    </row>
    <row r="131" spans="1:8" ht="12.2" customHeight="1" x14ac:dyDescent="0.2">
      <c r="D131" s="334" t="s">
        <v>2947</v>
      </c>
      <c r="E131" s="335"/>
      <c r="F131" s="335"/>
      <c r="G131" s="143">
        <v>716.42499999999995</v>
      </c>
    </row>
    <row r="132" spans="1:8" x14ac:dyDescent="0.2">
      <c r="A132" s="117" t="s">
        <v>59</v>
      </c>
      <c r="B132" s="117"/>
      <c r="C132" s="117" t="s">
        <v>619</v>
      </c>
      <c r="D132" s="304" t="s">
        <v>1120</v>
      </c>
      <c r="E132" s="305"/>
      <c r="F132" s="117" t="s">
        <v>1646</v>
      </c>
      <c r="G132" s="116">
        <v>170.4</v>
      </c>
      <c r="H132" s="108">
        <v>0</v>
      </c>
    </row>
    <row r="133" spans="1:8" ht="12.2" customHeight="1" x14ac:dyDescent="0.2">
      <c r="D133" s="334" t="s">
        <v>2945</v>
      </c>
      <c r="E133" s="335"/>
      <c r="F133" s="335"/>
      <c r="G133" s="143">
        <v>170.4</v>
      </c>
    </row>
    <row r="134" spans="1:8" x14ac:dyDescent="0.2">
      <c r="A134" s="117" t="s">
        <v>60</v>
      </c>
      <c r="B134" s="117"/>
      <c r="C134" s="117" t="s">
        <v>620</v>
      </c>
      <c r="D134" s="304" t="s">
        <v>1121</v>
      </c>
      <c r="E134" s="305"/>
      <c r="F134" s="117" t="s">
        <v>1646</v>
      </c>
      <c r="G134" s="116">
        <v>47.4</v>
      </c>
      <c r="H134" s="108">
        <v>0</v>
      </c>
    </row>
    <row r="135" spans="1:8" ht="12.2" customHeight="1" x14ac:dyDescent="0.2">
      <c r="D135" s="334" t="s">
        <v>2946</v>
      </c>
      <c r="E135" s="335"/>
      <c r="F135" s="335"/>
      <c r="G135" s="143">
        <v>47.4</v>
      </c>
    </row>
    <row r="136" spans="1:8" x14ac:dyDescent="0.2">
      <c r="A136" s="117" t="s">
        <v>61</v>
      </c>
      <c r="B136" s="117"/>
      <c r="C136" s="117" t="s">
        <v>621</v>
      </c>
      <c r="D136" s="304" t="s">
        <v>1122</v>
      </c>
      <c r="E136" s="305"/>
      <c r="F136" s="117" t="s">
        <v>1645</v>
      </c>
      <c r="G136" s="116">
        <v>98.432000000000002</v>
      </c>
      <c r="H136" s="108">
        <v>0</v>
      </c>
    </row>
    <row r="137" spans="1:8" ht="12.2" customHeight="1" x14ac:dyDescent="0.2">
      <c r="D137" s="334" t="s">
        <v>2916</v>
      </c>
      <c r="E137" s="335"/>
      <c r="F137" s="335"/>
      <c r="G137" s="143">
        <v>98.432000000000002</v>
      </c>
    </row>
    <row r="138" spans="1:8" x14ac:dyDescent="0.2">
      <c r="A138" s="117" t="s">
        <v>62</v>
      </c>
      <c r="B138" s="117"/>
      <c r="C138" s="117" t="s">
        <v>622</v>
      </c>
      <c r="D138" s="304" t="s">
        <v>1123</v>
      </c>
      <c r="E138" s="305"/>
      <c r="F138" s="117" t="s">
        <v>1646</v>
      </c>
      <c r="G138" s="116">
        <v>170.4</v>
      </c>
      <c r="H138" s="108">
        <v>0</v>
      </c>
    </row>
    <row r="139" spans="1:8" ht="12.2" customHeight="1" x14ac:dyDescent="0.2">
      <c r="D139" s="334" t="s">
        <v>2945</v>
      </c>
      <c r="E139" s="335"/>
      <c r="F139" s="335"/>
      <c r="G139" s="143">
        <v>170.4</v>
      </c>
    </row>
    <row r="140" spans="1:8" x14ac:dyDescent="0.2">
      <c r="A140" s="117" t="s">
        <v>63</v>
      </c>
      <c r="B140" s="117"/>
      <c r="C140" s="117" t="s">
        <v>623</v>
      </c>
      <c r="D140" s="304" t="s">
        <v>1124</v>
      </c>
      <c r="E140" s="305"/>
      <c r="F140" s="117" t="s">
        <v>1645</v>
      </c>
      <c r="G140" s="116">
        <v>716.42499999999995</v>
      </c>
      <c r="H140" s="108">
        <v>0</v>
      </c>
    </row>
    <row r="141" spans="1:8" ht="12.2" customHeight="1" x14ac:dyDescent="0.2">
      <c r="D141" s="334" t="s">
        <v>2944</v>
      </c>
      <c r="E141" s="335"/>
      <c r="F141" s="335"/>
      <c r="G141" s="143">
        <v>716.42499999999995</v>
      </c>
    </row>
    <row r="142" spans="1:8" x14ac:dyDescent="0.2">
      <c r="A142" s="117" t="s">
        <v>64</v>
      </c>
      <c r="B142" s="117"/>
      <c r="C142" s="117" t="s">
        <v>624</v>
      </c>
      <c r="D142" s="304" t="s">
        <v>2857</v>
      </c>
      <c r="E142" s="305"/>
      <c r="F142" s="117" t="s">
        <v>1645</v>
      </c>
      <c r="G142" s="116">
        <v>716.42499999999995</v>
      </c>
      <c r="H142" s="108">
        <v>0</v>
      </c>
    </row>
    <row r="143" spans="1:8" ht="12.2" customHeight="1" x14ac:dyDescent="0.2">
      <c r="D143" s="334" t="s">
        <v>2944</v>
      </c>
      <c r="E143" s="335"/>
      <c r="F143" s="335"/>
      <c r="G143" s="143">
        <v>716.42499999999995</v>
      </c>
    </row>
    <row r="144" spans="1:8" x14ac:dyDescent="0.2">
      <c r="A144" s="117" t="s">
        <v>65</v>
      </c>
      <c r="B144" s="117"/>
      <c r="C144" s="117" t="s">
        <v>625</v>
      </c>
      <c r="D144" s="304" t="s">
        <v>1126</v>
      </c>
      <c r="E144" s="305"/>
      <c r="F144" s="117" t="s">
        <v>1645</v>
      </c>
      <c r="G144" s="116">
        <v>358.21300000000002</v>
      </c>
      <c r="H144" s="108">
        <v>0</v>
      </c>
    </row>
    <row r="145" spans="1:8" ht="12.2" customHeight="1" x14ac:dyDescent="0.2">
      <c r="D145" s="334" t="s">
        <v>2943</v>
      </c>
      <c r="E145" s="335"/>
      <c r="F145" s="335"/>
      <c r="G145" s="143">
        <v>358.21300000000002</v>
      </c>
    </row>
    <row r="146" spans="1:8" x14ac:dyDescent="0.2">
      <c r="A146" s="117" t="s">
        <v>66</v>
      </c>
      <c r="B146" s="117"/>
      <c r="C146" s="117" t="s">
        <v>626</v>
      </c>
      <c r="D146" s="304" t="s">
        <v>1127</v>
      </c>
      <c r="E146" s="305"/>
      <c r="F146" s="117" t="s">
        <v>1645</v>
      </c>
      <c r="G146" s="116">
        <v>358.21300000000002</v>
      </c>
      <c r="H146" s="108">
        <v>0</v>
      </c>
    </row>
    <row r="147" spans="1:8" ht="12.2" customHeight="1" x14ac:dyDescent="0.2">
      <c r="D147" s="334" t="s">
        <v>2943</v>
      </c>
      <c r="E147" s="335"/>
      <c r="F147" s="335"/>
      <c r="G147" s="143">
        <v>358.21300000000002</v>
      </c>
    </row>
    <row r="148" spans="1:8" x14ac:dyDescent="0.2">
      <c r="A148" s="120"/>
      <c r="B148" s="120"/>
      <c r="C148" s="120" t="s">
        <v>69</v>
      </c>
      <c r="D148" s="306" t="s">
        <v>1128</v>
      </c>
      <c r="E148" s="307"/>
      <c r="F148" s="120"/>
      <c r="G148" s="142"/>
      <c r="H148" s="109"/>
    </row>
    <row r="149" spans="1:8" x14ac:dyDescent="0.2">
      <c r="A149" s="117" t="s">
        <v>67</v>
      </c>
      <c r="B149" s="117"/>
      <c r="C149" s="117" t="s">
        <v>627</v>
      </c>
      <c r="D149" s="304" t="s">
        <v>1129</v>
      </c>
      <c r="E149" s="305"/>
      <c r="F149" s="117" t="s">
        <v>1645</v>
      </c>
      <c r="G149" s="116">
        <v>1</v>
      </c>
      <c r="H149" s="108">
        <v>0</v>
      </c>
    </row>
    <row r="150" spans="1:8" ht="12.2" customHeight="1" x14ac:dyDescent="0.2">
      <c r="D150" s="334" t="s">
        <v>1794</v>
      </c>
      <c r="E150" s="335"/>
      <c r="F150" s="335"/>
      <c r="G150" s="143">
        <v>1</v>
      </c>
    </row>
    <row r="151" spans="1:8" x14ac:dyDescent="0.2">
      <c r="A151" s="120"/>
      <c r="B151" s="120"/>
      <c r="C151" s="120" t="s">
        <v>70</v>
      </c>
      <c r="D151" s="306" t="s">
        <v>2575</v>
      </c>
      <c r="E151" s="307"/>
      <c r="F151" s="120"/>
      <c r="G151" s="142"/>
      <c r="H151" s="109"/>
    </row>
    <row r="152" spans="1:8" x14ac:dyDescent="0.2">
      <c r="A152" s="117" t="s">
        <v>68</v>
      </c>
      <c r="B152" s="117"/>
      <c r="C152" s="117" t="s">
        <v>2856</v>
      </c>
      <c r="D152" s="304" t="s">
        <v>2855</v>
      </c>
      <c r="E152" s="305"/>
      <c r="F152" s="117" t="s">
        <v>1646</v>
      </c>
      <c r="G152" s="116">
        <v>1.8</v>
      </c>
      <c r="H152" s="108">
        <v>0</v>
      </c>
    </row>
    <row r="153" spans="1:8" ht="12.2" customHeight="1" x14ac:dyDescent="0.2">
      <c r="D153" s="334" t="s">
        <v>2942</v>
      </c>
      <c r="E153" s="335"/>
      <c r="F153" s="335"/>
      <c r="G153" s="143">
        <v>1.8</v>
      </c>
    </row>
    <row r="154" spans="1:8" x14ac:dyDescent="0.2">
      <c r="A154" s="117" t="s">
        <v>69</v>
      </c>
      <c r="B154" s="117"/>
      <c r="C154" s="117" t="s">
        <v>2854</v>
      </c>
      <c r="D154" s="304" t="s">
        <v>2853</v>
      </c>
      <c r="E154" s="305"/>
      <c r="F154" s="117" t="s">
        <v>1646</v>
      </c>
      <c r="G154" s="116">
        <v>9.6</v>
      </c>
      <c r="H154" s="108">
        <v>0</v>
      </c>
    </row>
    <row r="155" spans="1:8" ht="12.2" customHeight="1" x14ac:dyDescent="0.2">
      <c r="D155" s="334" t="s">
        <v>2887</v>
      </c>
      <c r="E155" s="335"/>
      <c r="F155" s="335"/>
      <c r="G155" s="143">
        <v>9.6</v>
      </c>
    </row>
    <row r="156" spans="1:8" x14ac:dyDescent="0.2">
      <c r="A156" s="120"/>
      <c r="B156" s="120"/>
      <c r="C156" s="120" t="s">
        <v>89</v>
      </c>
      <c r="D156" s="306" t="s">
        <v>1130</v>
      </c>
      <c r="E156" s="307"/>
      <c r="F156" s="120"/>
      <c r="G156" s="142"/>
      <c r="H156" s="109"/>
    </row>
    <row r="157" spans="1:8" x14ac:dyDescent="0.2">
      <c r="A157" s="117" t="s">
        <v>70</v>
      </c>
      <c r="B157" s="117"/>
      <c r="C157" s="117" t="s">
        <v>628</v>
      </c>
      <c r="D157" s="304" t="s">
        <v>2489</v>
      </c>
      <c r="E157" s="305"/>
      <c r="F157" s="117" t="s">
        <v>1644</v>
      </c>
      <c r="G157" s="116">
        <v>4</v>
      </c>
      <c r="H157" s="108">
        <v>0</v>
      </c>
    </row>
    <row r="158" spans="1:8" ht="12.2" customHeight="1" x14ac:dyDescent="0.2">
      <c r="D158" s="334" t="s">
        <v>1795</v>
      </c>
      <c r="E158" s="335"/>
      <c r="F158" s="335"/>
      <c r="G158" s="143">
        <v>4</v>
      </c>
    </row>
    <row r="159" spans="1:8" x14ac:dyDescent="0.2">
      <c r="A159" s="117" t="s">
        <v>71</v>
      </c>
      <c r="B159" s="117"/>
      <c r="C159" s="117" t="s">
        <v>629</v>
      </c>
      <c r="D159" s="304" t="s">
        <v>1132</v>
      </c>
      <c r="E159" s="305"/>
      <c r="F159" s="117" t="s">
        <v>1646</v>
      </c>
      <c r="G159" s="116">
        <v>20</v>
      </c>
      <c r="H159" s="108">
        <v>0</v>
      </c>
    </row>
    <row r="160" spans="1:8" ht="12.2" customHeight="1" x14ac:dyDescent="0.2">
      <c r="D160" s="334" t="s">
        <v>1802</v>
      </c>
      <c r="E160" s="335"/>
      <c r="F160" s="335"/>
      <c r="G160" s="143">
        <v>20</v>
      </c>
    </row>
    <row r="161" spans="1:8" x14ac:dyDescent="0.2">
      <c r="A161" s="120"/>
      <c r="B161" s="120"/>
      <c r="C161" s="120" t="s">
        <v>95</v>
      </c>
      <c r="D161" s="306" t="s">
        <v>1133</v>
      </c>
      <c r="E161" s="307"/>
      <c r="F161" s="120"/>
      <c r="G161" s="142"/>
      <c r="H161" s="109"/>
    </row>
    <row r="162" spans="1:8" x14ac:dyDescent="0.2">
      <c r="A162" s="117" t="s">
        <v>72</v>
      </c>
      <c r="B162" s="117"/>
      <c r="C162" s="117" t="s">
        <v>630</v>
      </c>
      <c r="D162" s="304" t="s">
        <v>2851</v>
      </c>
      <c r="E162" s="305"/>
      <c r="F162" s="117" t="s">
        <v>1644</v>
      </c>
      <c r="G162" s="116">
        <v>6</v>
      </c>
      <c r="H162" s="108">
        <v>0</v>
      </c>
    </row>
    <row r="163" spans="1:8" ht="12.2" customHeight="1" x14ac:dyDescent="0.2">
      <c r="D163" s="334" t="s">
        <v>1806</v>
      </c>
      <c r="E163" s="335"/>
      <c r="F163" s="335"/>
      <c r="G163" s="143">
        <v>6</v>
      </c>
    </row>
    <row r="164" spans="1:8" x14ac:dyDescent="0.2">
      <c r="A164" s="117" t="s">
        <v>73</v>
      </c>
      <c r="B164" s="117"/>
      <c r="C164" s="117" t="s">
        <v>631</v>
      </c>
      <c r="D164" s="304" t="s">
        <v>1135</v>
      </c>
      <c r="E164" s="305"/>
      <c r="F164" s="117" t="s">
        <v>1644</v>
      </c>
      <c r="G164" s="116">
        <v>2</v>
      </c>
      <c r="H164" s="108">
        <v>0</v>
      </c>
    </row>
    <row r="165" spans="1:8" ht="12.2" customHeight="1" x14ac:dyDescent="0.2">
      <c r="D165" s="334" t="s">
        <v>1849</v>
      </c>
      <c r="E165" s="335"/>
      <c r="F165" s="335"/>
      <c r="G165" s="143">
        <v>2</v>
      </c>
    </row>
    <row r="166" spans="1:8" x14ac:dyDescent="0.2">
      <c r="A166" s="120"/>
      <c r="B166" s="120"/>
      <c r="C166" s="120" t="s">
        <v>97</v>
      </c>
      <c r="D166" s="306" t="s">
        <v>1136</v>
      </c>
      <c r="E166" s="307"/>
      <c r="F166" s="120"/>
      <c r="G166" s="142"/>
      <c r="H166" s="109"/>
    </row>
    <row r="167" spans="1:8" x14ac:dyDescent="0.2">
      <c r="A167" s="117" t="s">
        <v>74</v>
      </c>
      <c r="B167" s="117"/>
      <c r="C167" s="117" t="s">
        <v>632</v>
      </c>
      <c r="D167" s="304" t="s">
        <v>1137</v>
      </c>
      <c r="E167" s="305"/>
      <c r="F167" s="117" t="s">
        <v>1646</v>
      </c>
      <c r="G167" s="116">
        <v>28.71</v>
      </c>
      <c r="H167" s="108">
        <v>0</v>
      </c>
    </row>
    <row r="168" spans="1:8" ht="12.2" customHeight="1" x14ac:dyDescent="0.2">
      <c r="D168" s="334" t="s">
        <v>2941</v>
      </c>
      <c r="E168" s="335"/>
      <c r="F168" s="335"/>
      <c r="G168" s="143">
        <v>28.71</v>
      </c>
    </row>
    <row r="169" spans="1:8" x14ac:dyDescent="0.2">
      <c r="A169" s="117" t="s">
        <v>75</v>
      </c>
      <c r="B169" s="117"/>
      <c r="C169" s="117" t="s">
        <v>633</v>
      </c>
      <c r="D169" s="304" t="s">
        <v>1138</v>
      </c>
      <c r="E169" s="305"/>
      <c r="F169" s="117" t="s">
        <v>1647</v>
      </c>
      <c r="G169" s="116">
        <v>1.292</v>
      </c>
      <c r="H169" s="108">
        <v>0</v>
      </c>
    </row>
    <row r="170" spans="1:8" ht="12.2" customHeight="1" x14ac:dyDescent="0.2">
      <c r="D170" s="334" t="s">
        <v>2940</v>
      </c>
      <c r="E170" s="335"/>
      <c r="F170" s="335"/>
      <c r="G170" s="143">
        <v>1.292</v>
      </c>
    </row>
    <row r="171" spans="1:8" x14ac:dyDescent="0.2">
      <c r="A171" s="120"/>
      <c r="B171" s="120"/>
      <c r="C171" s="120" t="s">
        <v>100</v>
      </c>
      <c r="D171" s="306" t="s">
        <v>1139</v>
      </c>
      <c r="E171" s="307"/>
      <c r="F171" s="120"/>
      <c r="G171" s="142"/>
      <c r="H171" s="109"/>
    </row>
    <row r="172" spans="1:8" x14ac:dyDescent="0.2">
      <c r="A172" s="117" t="s">
        <v>76</v>
      </c>
      <c r="B172" s="117"/>
      <c r="C172" s="117" t="s">
        <v>634</v>
      </c>
      <c r="D172" s="304" t="s">
        <v>1140</v>
      </c>
      <c r="E172" s="305"/>
      <c r="F172" s="117" t="s">
        <v>1645</v>
      </c>
      <c r="G172" s="116">
        <v>765.49599999999998</v>
      </c>
      <c r="H172" s="108">
        <v>0</v>
      </c>
    </row>
    <row r="173" spans="1:8" ht="12.2" customHeight="1" x14ac:dyDescent="0.2">
      <c r="D173" s="334" t="s">
        <v>2938</v>
      </c>
      <c r="E173" s="335"/>
      <c r="F173" s="335"/>
      <c r="G173" s="143">
        <v>765.49599999999998</v>
      </c>
    </row>
    <row r="174" spans="1:8" x14ac:dyDescent="0.2">
      <c r="A174" s="117" t="s">
        <v>77</v>
      </c>
      <c r="B174" s="117"/>
      <c r="C174" s="117" t="s">
        <v>635</v>
      </c>
      <c r="D174" s="304" t="s">
        <v>1141</v>
      </c>
      <c r="E174" s="305"/>
      <c r="F174" s="117" t="s">
        <v>1645</v>
      </c>
      <c r="G174" s="116">
        <v>1530.992</v>
      </c>
      <c r="H174" s="108">
        <v>0</v>
      </c>
    </row>
    <row r="175" spans="1:8" ht="12.2" customHeight="1" x14ac:dyDescent="0.2">
      <c r="D175" s="334" t="s">
        <v>2939</v>
      </c>
      <c r="E175" s="335"/>
      <c r="F175" s="335"/>
      <c r="G175" s="143">
        <v>1530.992</v>
      </c>
    </row>
    <row r="176" spans="1:8" x14ac:dyDescent="0.2">
      <c r="A176" s="117" t="s">
        <v>78</v>
      </c>
      <c r="B176" s="117"/>
      <c r="C176" s="117" t="s">
        <v>636</v>
      </c>
      <c r="D176" s="304" t="s">
        <v>1142</v>
      </c>
      <c r="E176" s="305"/>
      <c r="F176" s="117" t="s">
        <v>1645</v>
      </c>
      <c r="G176" s="116">
        <v>765.49599999999998</v>
      </c>
      <c r="H176" s="108">
        <v>0</v>
      </c>
    </row>
    <row r="177" spans="1:8" ht="12.2" customHeight="1" x14ac:dyDescent="0.2">
      <c r="D177" s="334" t="s">
        <v>2938</v>
      </c>
      <c r="E177" s="335"/>
      <c r="F177" s="335"/>
      <c r="G177" s="143">
        <v>765.49599999999998</v>
      </c>
    </row>
    <row r="178" spans="1:8" x14ac:dyDescent="0.2">
      <c r="A178" s="117" t="s">
        <v>79</v>
      </c>
      <c r="B178" s="117"/>
      <c r="C178" s="117" t="s">
        <v>637</v>
      </c>
      <c r="D178" s="304" t="s">
        <v>1143</v>
      </c>
      <c r="E178" s="305"/>
      <c r="F178" s="117" t="s">
        <v>1645</v>
      </c>
      <c r="G178" s="116">
        <v>765.49599999999998</v>
      </c>
      <c r="H178" s="108">
        <v>0</v>
      </c>
    </row>
    <row r="179" spans="1:8" ht="12.2" customHeight="1" x14ac:dyDescent="0.2">
      <c r="D179" s="334" t="s">
        <v>2938</v>
      </c>
      <c r="E179" s="335"/>
      <c r="F179" s="335"/>
      <c r="G179" s="143">
        <v>765.49599999999998</v>
      </c>
    </row>
    <row r="180" spans="1:8" x14ac:dyDescent="0.2">
      <c r="A180" s="117" t="s">
        <v>80</v>
      </c>
      <c r="B180" s="117"/>
      <c r="C180" s="117" t="s">
        <v>638</v>
      </c>
      <c r="D180" s="304" t="s">
        <v>1144</v>
      </c>
      <c r="E180" s="305"/>
      <c r="F180" s="117" t="s">
        <v>1645</v>
      </c>
      <c r="G180" s="116">
        <v>1530.992</v>
      </c>
      <c r="H180" s="108">
        <v>0</v>
      </c>
    </row>
    <row r="181" spans="1:8" ht="12.2" customHeight="1" x14ac:dyDescent="0.2">
      <c r="D181" s="334" t="s">
        <v>2939</v>
      </c>
      <c r="E181" s="335"/>
      <c r="F181" s="335"/>
      <c r="G181" s="143">
        <v>1530.992</v>
      </c>
    </row>
    <row r="182" spans="1:8" x14ac:dyDescent="0.2">
      <c r="A182" s="117" t="s">
        <v>81</v>
      </c>
      <c r="B182" s="117"/>
      <c r="C182" s="117" t="s">
        <v>639</v>
      </c>
      <c r="D182" s="304" t="s">
        <v>1145</v>
      </c>
      <c r="E182" s="305"/>
      <c r="F182" s="117" t="s">
        <v>1645</v>
      </c>
      <c r="G182" s="116">
        <v>765.49599999999998</v>
      </c>
      <c r="H182" s="108">
        <v>0</v>
      </c>
    </row>
    <row r="183" spans="1:8" ht="12.2" customHeight="1" x14ac:dyDescent="0.2">
      <c r="D183" s="334" t="s">
        <v>2938</v>
      </c>
      <c r="E183" s="335"/>
      <c r="F183" s="335"/>
      <c r="G183" s="143">
        <v>765.49599999999998</v>
      </c>
    </row>
    <row r="184" spans="1:8" x14ac:dyDescent="0.2">
      <c r="A184" s="117" t="s">
        <v>82</v>
      </c>
      <c r="B184" s="117"/>
      <c r="C184" s="117" t="s">
        <v>640</v>
      </c>
      <c r="D184" s="304" t="s">
        <v>1146</v>
      </c>
      <c r="E184" s="305"/>
      <c r="F184" s="117" t="s">
        <v>1649</v>
      </c>
      <c r="G184" s="116">
        <v>20</v>
      </c>
      <c r="H184" s="108">
        <v>0</v>
      </c>
    </row>
    <row r="185" spans="1:8" ht="12.2" customHeight="1" x14ac:dyDescent="0.2">
      <c r="D185" s="334" t="s">
        <v>1802</v>
      </c>
      <c r="E185" s="335"/>
      <c r="F185" s="335"/>
      <c r="G185" s="143">
        <v>20</v>
      </c>
    </row>
    <row r="186" spans="1:8" x14ac:dyDescent="0.2">
      <c r="A186" s="120"/>
      <c r="B186" s="120"/>
      <c r="C186" s="120" t="s">
        <v>101</v>
      </c>
      <c r="D186" s="306" t="s">
        <v>1147</v>
      </c>
      <c r="E186" s="307"/>
      <c r="F186" s="120"/>
      <c r="G186" s="142"/>
      <c r="H186" s="109"/>
    </row>
    <row r="187" spans="1:8" x14ac:dyDescent="0.2">
      <c r="A187" s="117" t="s">
        <v>83</v>
      </c>
      <c r="B187" s="117"/>
      <c r="C187" s="117" t="s">
        <v>641</v>
      </c>
      <c r="D187" s="304" t="s">
        <v>1148</v>
      </c>
      <c r="E187" s="305"/>
      <c r="F187" s="117" t="s">
        <v>1645</v>
      </c>
      <c r="G187" s="116">
        <v>68.34</v>
      </c>
      <c r="H187" s="108">
        <v>0</v>
      </c>
    </row>
    <row r="188" spans="1:8" ht="12.2" customHeight="1" x14ac:dyDescent="0.2">
      <c r="D188" s="334" t="s">
        <v>2937</v>
      </c>
      <c r="E188" s="335"/>
      <c r="F188" s="335"/>
      <c r="G188" s="143">
        <v>68.34</v>
      </c>
    </row>
    <row r="189" spans="1:8" x14ac:dyDescent="0.2">
      <c r="A189" s="117" t="s">
        <v>84</v>
      </c>
      <c r="B189" s="117"/>
      <c r="C189" s="117" t="s">
        <v>642</v>
      </c>
      <c r="D189" s="304" t="s">
        <v>1149</v>
      </c>
      <c r="E189" s="305"/>
      <c r="F189" s="117" t="s">
        <v>1645</v>
      </c>
      <c r="G189" s="116">
        <v>18.702999999999999</v>
      </c>
      <c r="H189" s="108">
        <v>0</v>
      </c>
    </row>
    <row r="190" spans="1:8" ht="12.2" customHeight="1" x14ac:dyDescent="0.2">
      <c r="D190" s="334" t="s">
        <v>2936</v>
      </c>
      <c r="E190" s="335"/>
      <c r="F190" s="335"/>
      <c r="G190" s="143">
        <v>18.702999999999999</v>
      </c>
    </row>
    <row r="191" spans="1:8" x14ac:dyDescent="0.2">
      <c r="A191" s="117" t="s">
        <v>85</v>
      </c>
      <c r="B191" s="117"/>
      <c r="C191" s="117" t="s">
        <v>643</v>
      </c>
      <c r="D191" s="304" t="s">
        <v>2850</v>
      </c>
      <c r="E191" s="305"/>
      <c r="F191" s="117" t="s">
        <v>1645</v>
      </c>
      <c r="G191" s="116">
        <v>357.27</v>
      </c>
      <c r="H191" s="108">
        <v>0</v>
      </c>
    </row>
    <row r="192" spans="1:8" ht="12.2" customHeight="1" x14ac:dyDescent="0.2">
      <c r="D192" s="334" t="s">
        <v>2889</v>
      </c>
      <c r="E192" s="335"/>
      <c r="F192" s="335"/>
      <c r="G192" s="143">
        <v>357.27</v>
      </c>
    </row>
    <row r="193" spans="1:8" x14ac:dyDescent="0.2">
      <c r="A193" s="117" t="s">
        <v>86</v>
      </c>
      <c r="B193" s="117"/>
      <c r="C193" s="117" t="s">
        <v>644</v>
      </c>
      <c r="D193" s="304" t="s">
        <v>1151</v>
      </c>
      <c r="E193" s="305"/>
      <c r="F193" s="117" t="s">
        <v>1644</v>
      </c>
      <c r="G193" s="116">
        <v>1</v>
      </c>
      <c r="H193" s="108">
        <v>0</v>
      </c>
    </row>
    <row r="194" spans="1:8" ht="12.2" customHeight="1" x14ac:dyDescent="0.2">
      <c r="D194" s="334" t="s">
        <v>1749</v>
      </c>
      <c r="E194" s="335"/>
      <c r="F194" s="335"/>
      <c r="G194" s="143">
        <v>1</v>
      </c>
    </row>
    <row r="195" spans="1:8" x14ac:dyDescent="0.2">
      <c r="A195" s="117" t="s">
        <v>87</v>
      </c>
      <c r="B195" s="117"/>
      <c r="C195" s="117" t="s">
        <v>645</v>
      </c>
      <c r="D195" s="304" t="s">
        <v>1152</v>
      </c>
      <c r="E195" s="305"/>
      <c r="F195" s="117" t="s">
        <v>1645</v>
      </c>
      <c r="G195" s="116">
        <v>12</v>
      </c>
      <c r="H195" s="108">
        <v>0</v>
      </c>
    </row>
    <row r="196" spans="1:8" ht="12.2" customHeight="1" x14ac:dyDescent="0.2">
      <c r="D196" s="334" t="s">
        <v>1804</v>
      </c>
      <c r="E196" s="335"/>
      <c r="F196" s="335"/>
      <c r="G196" s="143">
        <v>12</v>
      </c>
    </row>
    <row r="197" spans="1:8" x14ac:dyDescent="0.2">
      <c r="A197" s="117" t="s">
        <v>88</v>
      </c>
      <c r="B197" s="117"/>
      <c r="C197" s="117" t="s">
        <v>646</v>
      </c>
      <c r="D197" s="304" t="s">
        <v>1153</v>
      </c>
      <c r="E197" s="305"/>
      <c r="F197" s="117" t="s">
        <v>1650</v>
      </c>
      <c r="G197" s="116">
        <v>150</v>
      </c>
      <c r="H197" s="108">
        <v>0</v>
      </c>
    </row>
    <row r="198" spans="1:8" ht="12.2" customHeight="1" x14ac:dyDescent="0.2">
      <c r="D198" s="334" t="s">
        <v>1805</v>
      </c>
      <c r="E198" s="335"/>
      <c r="F198" s="335"/>
      <c r="G198" s="143">
        <v>150</v>
      </c>
    </row>
    <row r="199" spans="1:8" x14ac:dyDescent="0.2">
      <c r="A199" s="117" t="s">
        <v>89</v>
      </c>
      <c r="B199" s="117"/>
      <c r="C199" s="117" t="s">
        <v>647</v>
      </c>
      <c r="D199" s="304" t="s">
        <v>1154</v>
      </c>
      <c r="E199" s="305"/>
      <c r="F199" s="117" t="s">
        <v>1644</v>
      </c>
      <c r="G199" s="116">
        <v>6</v>
      </c>
      <c r="H199" s="108">
        <v>0</v>
      </c>
    </row>
    <row r="200" spans="1:8" ht="12.2" customHeight="1" x14ac:dyDescent="0.2">
      <c r="D200" s="334" t="s">
        <v>1806</v>
      </c>
      <c r="E200" s="335"/>
      <c r="F200" s="335"/>
      <c r="G200" s="143">
        <v>6</v>
      </c>
    </row>
    <row r="201" spans="1:8" x14ac:dyDescent="0.2">
      <c r="A201" s="117" t="s">
        <v>90</v>
      </c>
      <c r="B201" s="117"/>
      <c r="C201" s="117" t="s">
        <v>648</v>
      </c>
      <c r="D201" s="304" t="s">
        <v>1155</v>
      </c>
      <c r="E201" s="305"/>
      <c r="F201" s="117" t="s">
        <v>1644</v>
      </c>
      <c r="G201" s="116">
        <v>1</v>
      </c>
      <c r="H201" s="108">
        <v>0</v>
      </c>
    </row>
    <row r="202" spans="1:8" ht="12.2" customHeight="1" x14ac:dyDescent="0.2">
      <c r="D202" s="334" t="s">
        <v>1749</v>
      </c>
      <c r="E202" s="335"/>
      <c r="F202" s="335"/>
      <c r="G202" s="143">
        <v>1</v>
      </c>
    </row>
    <row r="203" spans="1:8" x14ac:dyDescent="0.2">
      <c r="A203" s="117" t="s">
        <v>91</v>
      </c>
      <c r="B203" s="117"/>
      <c r="C203" s="117" t="s">
        <v>649</v>
      </c>
      <c r="D203" s="304" t="s">
        <v>1156</v>
      </c>
      <c r="E203" s="305"/>
      <c r="F203" s="117" t="s">
        <v>1644</v>
      </c>
      <c r="G203" s="116">
        <v>1</v>
      </c>
      <c r="H203" s="108">
        <v>0</v>
      </c>
    </row>
    <row r="204" spans="1:8" ht="12.2" customHeight="1" x14ac:dyDescent="0.2">
      <c r="D204" s="334" t="s">
        <v>1749</v>
      </c>
      <c r="E204" s="335"/>
      <c r="F204" s="335"/>
      <c r="G204" s="143">
        <v>1</v>
      </c>
    </row>
    <row r="205" spans="1:8" x14ac:dyDescent="0.2">
      <c r="A205" s="117" t="s">
        <v>92</v>
      </c>
      <c r="B205" s="117"/>
      <c r="C205" s="117" t="s">
        <v>650</v>
      </c>
      <c r="D205" s="304" t="s">
        <v>1157</v>
      </c>
      <c r="E205" s="305"/>
      <c r="F205" s="117" t="s">
        <v>1644</v>
      </c>
      <c r="G205" s="116">
        <v>1</v>
      </c>
      <c r="H205" s="108">
        <v>0</v>
      </c>
    </row>
    <row r="206" spans="1:8" ht="12.2" customHeight="1" x14ac:dyDescent="0.2">
      <c r="D206" s="334" t="s">
        <v>1749</v>
      </c>
      <c r="E206" s="335"/>
      <c r="F206" s="335"/>
      <c r="G206" s="143">
        <v>1</v>
      </c>
    </row>
    <row r="207" spans="1:8" x14ac:dyDescent="0.2">
      <c r="A207" s="120"/>
      <c r="B207" s="120"/>
      <c r="C207" s="120" t="s">
        <v>102</v>
      </c>
      <c r="D207" s="306" t="s">
        <v>1158</v>
      </c>
      <c r="E207" s="307"/>
      <c r="F207" s="120"/>
      <c r="G207" s="142"/>
      <c r="H207" s="109"/>
    </row>
    <row r="208" spans="1:8" x14ac:dyDescent="0.2">
      <c r="A208" s="117" t="s">
        <v>93</v>
      </c>
      <c r="B208" s="117"/>
      <c r="C208" s="117" t="s">
        <v>651</v>
      </c>
      <c r="D208" s="304" t="s">
        <v>1159</v>
      </c>
      <c r="E208" s="305"/>
      <c r="F208" s="117" t="s">
        <v>1645</v>
      </c>
      <c r="G208" s="116">
        <v>83.04</v>
      </c>
      <c r="H208" s="108">
        <v>0</v>
      </c>
    </row>
    <row r="209" spans="1:8" ht="12.2" customHeight="1" x14ac:dyDescent="0.2">
      <c r="D209" s="334" t="s">
        <v>2934</v>
      </c>
      <c r="E209" s="335"/>
      <c r="F209" s="335"/>
      <c r="G209" s="143">
        <v>83.04</v>
      </c>
    </row>
    <row r="210" spans="1:8" x14ac:dyDescent="0.2">
      <c r="A210" s="117" t="s">
        <v>94</v>
      </c>
      <c r="B210" s="117"/>
      <c r="C210" s="117" t="s">
        <v>652</v>
      </c>
      <c r="D210" s="304" t="s">
        <v>1160</v>
      </c>
      <c r="E210" s="305"/>
      <c r="F210" s="117" t="s">
        <v>1644</v>
      </c>
      <c r="G210" s="116">
        <v>4</v>
      </c>
      <c r="H210" s="108">
        <v>0</v>
      </c>
    </row>
    <row r="211" spans="1:8" ht="12.2" customHeight="1" x14ac:dyDescent="0.2">
      <c r="D211" s="334" t="s">
        <v>1795</v>
      </c>
      <c r="E211" s="335"/>
      <c r="F211" s="335"/>
      <c r="G211" s="143">
        <v>4</v>
      </c>
    </row>
    <row r="212" spans="1:8" x14ac:dyDescent="0.2">
      <c r="A212" s="117" t="s">
        <v>95</v>
      </c>
      <c r="B212" s="117"/>
      <c r="C212" s="117" t="s">
        <v>653</v>
      </c>
      <c r="D212" s="304" t="s">
        <v>1161</v>
      </c>
      <c r="E212" s="305"/>
      <c r="F212" s="117" t="s">
        <v>1647</v>
      </c>
      <c r="G212" s="116">
        <v>0.12</v>
      </c>
      <c r="H212" s="108">
        <v>0</v>
      </c>
    </row>
    <row r="213" spans="1:8" ht="12.2" customHeight="1" x14ac:dyDescent="0.2">
      <c r="D213" s="334" t="s">
        <v>1807</v>
      </c>
      <c r="E213" s="335"/>
      <c r="F213" s="335"/>
      <c r="G213" s="143">
        <v>0.12</v>
      </c>
    </row>
    <row r="214" spans="1:8" x14ac:dyDescent="0.2">
      <c r="A214" s="117" t="s">
        <v>96</v>
      </c>
      <c r="B214" s="117"/>
      <c r="C214" s="117" t="s">
        <v>2849</v>
      </c>
      <c r="D214" s="304" t="s">
        <v>2848</v>
      </c>
      <c r="E214" s="305"/>
      <c r="F214" s="117" t="s">
        <v>1645</v>
      </c>
      <c r="G214" s="116">
        <v>9</v>
      </c>
      <c r="H214" s="108">
        <v>0</v>
      </c>
    </row>
    <row r="215" spans="1:8" ht="12.2" customHeight="1" x14ac:dyDescent="0.2">
      <c r="D215" s="334" t="s">
        <v>2935</v>
      </c>
      <c r="E215" s="335"/>
      <c r="F215" s="335"/>
      <c r="G215" s="143">
        <v>9</v>
      </c>
    </row>
    <row r="216" spans="1:8" x14ac:dyDescent="0.2">
      <c r="A216" s="117" t="s">
        <v>97</v>
      </c>
      <c r="B216" s="117"/>
      <c r="C216" s="117" t="s">
        <v>654</v>
      </c>
      <c r="D216" s="304" t="s">
        <v>1162</v>
      </c>
      <c r="E216" s="305"/>
      <c r="F216" s="117" t="s">
        <v>1645</v>
      </c>
      <c r="G216" s="116">
        <v>83.04</v>
      </c>
      <c r="H216" s="108">
        <v>0</v>
      </c>
    </row>
    <row r="217" spans="1:8" ht="12.2" customHeight="1" x14ac:dyDescent="0.2">
      <c r="D217" s="334" t="s">
        <v>2934</v>
      </c>
      <c r="E217" s="335"/>
      <c r="F217" s="335"/>
      <c r="G217" s="143">
        <v>83.04</v>
      </c>
    </row>
    <row r="218" spans="1:8" x14ac:dyDescent="0.2">
      <c r="A218" s="117" t="s">
        <v>98</v>
      </c>
      <c r="B218" s="117"/>
      <c r="C218" s="117" t="s">
        <v>655</v>
      </c>
      <c r="D218" s="304" t="s">
        <v>1163</v>
      </c>
      <c r="E218" s="305"/>
      <c r="F218" s="117" t="s">
        <v>1647</v>
      </c>
      <c r="G218" s="116">
        <v>1.1000000000000001</v>
      </c>
      <c r="H218" s="108">
        <v>0</v>
      </c>
    </row>
    <row r="219" spans="1:8" ht="12.2" customHeight="1" x14ac:dyDescent="0.2">
      <c r="D219" s="334" t="s">
        <v>1808</v>
      </c>
      <c r="E219" s="335"/>
      <c r="F219" s="335"/>
      <c r="G219" s="143">
        <v>1.1000000000000001</v>
      </c>
    </row>
    <row r="220" spans="1:8" x14ac:dyDescent="0.2">
      <c r="A220" s="117" t="s">
        <v>99</v>
      </c>
      <c r="B220" s="117"/>
      <c r="C220" s="117" t="s">
        <v>2847</v>
      </c>
      <c r="D220" s="304" t="s">
        <v>2846</v>
      </c>
      <c r="E220" s="305"/>
      <c r="F220" s="117" t="s">
        <v>1645</v>
      </c>
      <c r="G220" s="116">
        <v>6.84</v>
      </c>
      <c r="H220" s="108">
        <v>0</v>
      </c>
    </row>
    <row r="221" spans="1:8" ht="12.2" customHeight="1" x14ac:dyDescent="0.2">
      <c r="D221" s="334" t="s">
        <v>2933</v>
      </c>
      <c r="E221" s="335"/>
      <c r="F221" s="335"/>
      <c r="G221" s="143">
        <v>6.84</v>
      </c>
    </row>
    <row r="222" spans="1:8" x14ac:dyDescent="0.2">
      <c r="A222" s="117" t="s">
        <v>100</v>
      </c>
      <c r="B222" s="117"/>
      <c r="C222" s="117" t="s">
        <v>657</v>
      </c>
      <c r="D222" s="304" t="s">
        <v>1165</v>
      </c>
      <c r="E222" s="305"/>
      <c r="F222" s="117" t="s">
        <v>1647</v>
      </c>
      <c r="G222" s="116">
        <v>0.15</v>
      </c>
      <c r="H222" s="108">
        <v>0</v>
      </c>
    </row>
    <row r="223" spans="1:8" ht="12.2" customHeight="1" x14ac:dyDescent="0.2">
      <c r="D223" s="334" t="s">
        <v>2932</v>
      </c>
      <c r="E223" s="335"/>
      <c r="F223" s="335"/>
      <c r="G223" s="143">
        <v>0.15</v>
      </c>
    </row>
    <row r="224" spans="1:8" x14ac:dyDescent="0.2">
      <c r="A224" s="117" t="s">
        <v>101</v>
      </c>
      <c r="B224" s="117"/>
      <c r="C224" s="117" t="s">
        <v>658</v>
      </c>
      <c r="D224" s="304" t="s">
        <v>2488</v>
      </c>
      <c r="E224" s="305"/>
      <c r="F224" s="117" t="s">
        <v>1645</v>
      </c>
      <c r="G224" s="116">
        <v>18.527999999999999</v>
      </c>
      <c r="H224" s="108">
        <v>0</v>
      </c>
    </row>
    <row r="225" spans="1:8" ht="12.2" customHeight="1" x14ac:dyDescent="0.2">
      <c r="D225" s="334" t="s">
        <v>2930</v>
      </c>
      <c r="E225" s="335"/>
      <c r="F225" s="335"/>
      <c r="G225" s="143">
        <v>18.527999999999999</v>
      </c>
    </row>
    <row r="226" spans="1:8" x14ac:dyDescent="0.2">
      <c r="A226" s="117" t="s">
        <v>102</v>
      </c>
      <c r="B226" s="117"/>
      <c r="C226" s="117" t="s">
        <v>659</v>
      </c>
      <c r="D226" s="304" t="s">
        <v>2487</v>
      </c>
      <c r="E226" s="305"/>
      <c r="F226" s="117" t="s">
        <v>1646</v>
      </c>
      <c r="G226" s="116">
        <v>20.100000000000001</v>
      </c>
      <c r="H226" s="108">
        <v>0</v>
      </c>
    </row>
    <row r="227" spans="1:8" ht="12.2" customHeight="1" x14ac:dyDescent="0.2">
      <c r="D227" s="334" t="s">
        <v>2931</v>
      </c>
      <c r="E227" s="335"/>
      <c r="F227" s="335"/>
      <c r="G227" s="143">
        <v>20.100000000000001</v>
      </c>
    </row>
    <row r="228" spans="1:8" x14ac:dyDescent="0.2">
      <c r="A228" s="117" t="s">
        <v>103</v>
      </c>
      <c r="B228" s="117"/>
      <c r="C228" s="117" t="s">
        <v>660</v>
      </c>
      <c r="D228" s="304" t="s">
        <v>2486</v>
      </c>
      <c r="E228" s="305"/>
      <c r="F228" s="117" t="s">
        <v>1645</v>
      </c>
      <c r="G228" s="116">
        <v>18.527999999999999</v>
      </c>
      <c r="H228" s="108">
        <v>0</v>
      </c>
    </row>
    <row r="229" spans="1:8" ht="12.2" customHeight="1" x14ac:dyDescent="0.2">
      <c r="D229" s="334" t="s">
        <v>2930</v>
      </c>
      <c r="E229" s="335"/>
      <c r="F229" s="335"/>
      <c r="G229" s="143">
        <v>18.527999999999999</v>
      </c>
    </row>
    <row r="230" spans="1:8" x14ac:dyDescent="0.2">
      <c r="A230" s="117" t="s">
        <v>104</v>
      </c>
      <c r="B230" s="117"/>
      <c r="C230" s="117" t="s">
        <v>662</v>
      </c>
      <c r="D230" s="304" t="s">
        <v>1170</v>
      </c>
      <c r="E230" s="305"/>
      <c r="F230" s="117" t="s">
        <v>1644</v>
      </c>
      <c r="G230" s="116">
        <v>1</v>
      </c>
      <c r="H230" s="108">
        <v>0</v>
      </c>
    </row>
    <row r="231" spans="1:8" ht="12.2" customHeight="1" x14ac:dyDescent="0.2">
      <c r="D231" s="334" t="s">
        <v>1749</v>
      </c>
      <c r="E231" s="335"/>
      <c r="F231" s="335"/>
      <c r="G231" s="143">
        <v>1</v>
      </c>
    </row>
    <row r="232" spans="1:8" x14ac:dyDescent="0.2">
      <c r="A232" s="117" t="s">
        <v>105</v>
      </c>
      <c r="B232" s="117"/>
      <c r="C232" s="117" t="s">
        <v>2145</v>
      </c>
      <c r="D232" s="304" t="s">
        <v>2144</v>
      </c>
      <c r="E232" s="305"/>
      <c r="F232" s="117" t="s">
        <v>1644</v>
      </c>
      <c r="G232" s="116">
        <v>1</v>
      </c>
      <c r="H232" s="108">
        <v>0</v>
      </c>
    </row>
    <row r="233" spans="1:8" ht="12.2" customHeight="1" x14ac:dyDescent="0.2">
      <c r="D233" s="334" t="s">
        <v>1749</v>
      </c>
      <c r="E233" s="335"/>
      <c r="F233" s="335"/>
      <c r="G233" s="143">
        <v>1</v>
      </c>
    </row>
    <row r="234" spans="1:8" x14ac:dyDescent="0.2">
      <c r="A234" s="117" t="s">
        <v>106</v>
      </c>
      <c r="B234" s="117"/>
      <c r="C234" s="117" t="s">
        <v>663</v>
      </c>
      <c r="D234" s="304" t="s">
        <v>1171</v>
      </c>
      <c r="E234" s="305"/>
      <c r="F234" s="117" t="s">
        <v>1644</v>
      </c>
      <c r="G234" s="116">
        <v>12</v>
      </c>
      <c r="H234" s="108">
        <v>0</v>
      </c>
    </row>
    <row r="235" spans="1:8" ht="12.2" customHeight="1" x14ac:dyDescent="0.2">
      <c r="D235" s="334" t="s">
        <v>2929</v>
      </c>
      <c r="E235" s="335"/>
      <c r="F235" s="335"/>
      <c r="G235" s="143">
        <v>12</v>
      </c>
    </row>
    <row r="236" spans="1:8" x14ac:dyDescent="0.2">
      <c r="A236" s="117" t="s">
        <v>107</v>
      </c>
      <c r="B236" s="117"/>
      <c r="C236" s="117" t="s">
        <v>664</v>
      </c>
      <c r="D236" s="304" t="s">
        <v>2845</v>
      </c>
      <c r="E236" s="305"/>
      <c r="F236" s="117" t="s">
        <v>1645</v>
      </c>
      <c r="G236" s="116">
        <v>0.85</v>
      </c>
      <c r="H236" s="108">
        <v>0</v>
      </c>
    </row>
    <row r="237" spans="1:8" ht="12.2" customHeight="1" x14ac:dyDescent="0.2">
      <c r="D237" s="334" t="s">
        <v>2928</v>
      </c>
      <c r="E237" s="335"/>
      <c r="F237" s="335"/>
      <c r="G237" s="143">
        <v>0.85</v>
      </c>
    </row>
    <row r="238" spans="1:8" x14ac:dyDescent="0.2">
      <c r="A238" s="117" t="s">
        <v>108</v>
      </c>
      <c r="B238" s="117"/>
      <c r="C238" s="117" t="s">
        <v>665</v>
      </c>
      <c r="D238" s="304" t="s">
        <v>1173</v>
      </c>
      <c r="E238" s="305"/>
      <c r="F238" s="117" t="s">
        <v>1645</v>
      </c>
      <c r="G238" s="116">
        <v>58.128</v>
      </c>
      <c r="H238" s="108">
        <v>0</v>
      </c>
    </row>
    <row r="239" spans="1:8" ht="12.2" customHeight="1" x14ac:dyDescent="0.2">
      <c r="D239" s="334" t="s">
        <v>2927</v>
      </c>
      <c r="E239" s="335"/>
      <c r="F239" s="335"/>
      <c r="G239" s="143">
        <v>58.128</v>
      </c>
    </row>
    <row r="240" spans="1:8" x14ac:dyDescent="0.2">
      <c r="A240" s="117" t="s">
        <v>109</v>
      </c>
      <c r="B240" s="117"/>
      <c r="C240" s="117" t="s">
        <v>666</v>
      </c>
      <c r="D240" s="304" t="s">
        <v>1174</v>
      </c>
      <c r="E240" s="305"/>
      <c r="F240" s="117" t="s">
        <v>1645</v>
      </c>
      <c r="G240" s="116">
        <v>24.911999999999999</v>
      </c>
      <c r="H240" s="108">
        <v>0</v>
      </c>
    </row>
    <row r="241" spans="1:8" ht="12.2" customHeight="1" x14ac:dyDescent="0.2">
      <c r="D241" s="334" t="s">
        <v>2926</v>
      </c>
      <c r="E241" s="335"/>
      <c r="F241" s="335"/>
      <c r="G241" s="143">
        <v>24.911999999999999</v>
      </c>
    </row>
    <row r="242" spans="1:8" x14ac:dyDescent="0.2">
      <c r="A242" s="117" t="s">
        <v>110</v>
      </c>
      <c r="B242" s="117"/>
      <c r="C242" s="117" t="s">
        <v>2844</v>
      </c>
      <c r="D242" s="304" t="s">
        <v>2843</v>
      </c>
      <c r="E242" s="305"/>
      <c r="F242" s="117" t="s">
        <v>1644</v>
      </c>
      <c r="G242" s="116">
        <v>7</v>
      </c>
      <c r="H242" s="108">
        <v>0</v>
      </c>
    </row>
    <row r="243" spans="1:8" ht="12.2" customHeight="1" x14ac:dyDescent="0.2">
      <c r="D243" s="334" t="s">
        <v>2925</v>
      </c>
      <c r="E243" s="335"/>
      <c r="F243" s="335"/>
      <c r="G243" s="143">
        <v>7</v>
      </c>
    </row>
    <row r="244" spans="1:8" x14ac:dyDescent="0.2">
      <c r="A244" s="117" t="s">
        <v>111</v>
      </c>
      <c r="B244" s="117"/>
      <c r="C244" s="117" t="s">
        <v>2842</v>
      </c>
      <c r="D244" s="304" t="s">
        <v>2841</v>
      </c>
      <c r="E244" s="305"/>
      <c r="F244" s="117" t="s">
        <v>1645</v>
      </c>
      <c r="G244" s="116">
        <v>4.32</v>
      </c>
      <c r="H244" s="108">
        <v>0</v>
      </c>
    </row>
    <row r="245" spans="1:8" ht="12.2" customHeight="1" x14ac:dyDescent="0.2">
      <c r="D245" s="334" t="s">
        <v>2924</v>
      </c>
      <c r="E245" s="335"/>
      <c r="F245" s="335"/>
      <c r="G245" s="143">
        <v>4.32</v>
      </c>
    </row>
    <row r="246" spans="1:8" x14ac:dyDescent="0.2">
      <c r="A246" s="117" t="s">
        <v>112</v>
      </c>
      <c r="B246" s="117"/>
      <c r="C246" s="117" t="s">
        <v>667</v>
      </c>
      <c r="D246" s="304" t="s">
        <v>2143</v>
      </c>
      <c r="E246" s="305"/>
      <c r="F246" s="117" t="s">
        <v>1644</v>
      </c>
      <c r="G246" s="116">
        <v>2</v>
      </c>
      <c r="H246" s="108">
        <v>0</v>
      </c>
    </row>
    <row r="247" spans="1:8" ht="12.2" customHeight="1" x14ac:dyDescent="0.2">
      <c r="D247" s="334" t="s">
        <v>2923</v>
      </c>
      <c r="E247" s="335"/>
      <c r="F247" s="335"/>
      <c r="G247" s="143">
        <v>2</v>
      </c>
    </row>
    <row r="248" spans="1:8" x14ac:dyDescent="0.2">
      <c r="A248" s="117" t="s">
        <v>113</v>
      </c>
      <c r="B248" s="117"/>
      <c r="C248" s="117" t="s">
        <v>2840</v>
      </c>
      <c r="D248" s="304" t="s">
        <v>2839</v>
      </c>
      <c r="E248" s="305"/>
      <c r="F248" s="117" t="s">
        <v>1645</v>
      </c>
      <c r="G248" s="116">
        <v>2.1</v>
      </c>
      <c r="H248" s="108">
        <v>0</v>
      </c>
    </row>
    <row r="249" spans="1:8" ht="12.2" customHeight="1" x14ac:dyDescent="0.2">
      <c r="D249" s="334" t="s">
        <v>2922</v>
      </c>
      <c r="E249" s="335"/>
      <c r="F249" s="335"/>
      <c r="G249" s="143">
        <v>2.1</v>
      </c>
    </row>
    <row r="250" spans="1:8" x14ac:dyDescent="0.2">
      <c r="A250" s="117" t="s">
        <v>114</v>
      </c>
      <c r="B250" s="117"/>
      <c r="C250" s="117" t="s">
        <v>668</v>
      </c>
      <c r="D250" s="304" t="s">
        <v>1176</v>
      </c>
      <c r="E250" s="305"/>
      <c r="F250" s="117" t="s">
        <v>1645</v>
      </c>
      <c r="G250" s="116">
        <v>1.56</v>
      </c>
      <c r="H250" s="108">
        <v>0</v>
      </c>
    </row>
    <row r="251" spans="1:8" ht="12.2" customHeight="1" x14ac:dyDescent="0.2">
      <c r="D251" s="334" t="s">
        <v>1817</v>
      </c>
      <c r="E251" s="335"/>
      <c r="F251" s="335"/>
      <c r="G251" s="143">
        <v>1.56</v>
      </c>
    </row>
    <row r="252" spans="1:8" x14ac:dyDescent="0.2">
      <c r="A252" s="120"/>
      <c r="B252" s="120"/>
      <c r="C252" s="120" t="s">
        <v>103</v>
      </c>
      <c r="D252" s="306" t="s">
        <v>1178</v>
      </c>
      <c r="E252" s="307"/>
      <c r="F252" s="120"/>
      <c r="G252" s="142"/>
      <c r="H252" s="109"/>
    </row>
    <row r="253" spans="1:8" x14ac:dyDescent="0.2">
      <c r="A253" s="117" t="s">
        <v>115</v>
      </c>
      <c r="B253" s="117"/>
      <c r="C253" s="117" t="s">
        <v>2485</v>
      </c>
      <c r="D253" s="304" t="s">
        <v>2484</v>
      </c>
      <c r="E253" s="305"/>
      <c r="F253" s="117" t="s">
        <v>1646</v>
      </c>
      <c r="G253" s="116">
        <v>0.45</v>
      </c>
      <c r="H253" s="108">
        <v>0</v>
      </c>
    </row>
    <row r="254" spans="1:8" ht="12.2" customHeight="1" x14ac:dyDescent="0.2">
      <c r="D254" s="334" t="s">
        <v>2546</v>
      </c>
      <c r="E254" s="335"/>
      <c r="F254" s="335"/>
      <c r="G254" s="143">
        <v>0.45</v>
      </c>
    </row>
    <row r="255" spans="1:8" x14ac:dyDescent="0.2">
      <c r="A255" s="117" t="s">
        <v>116</v>
      </c>
      <c r="B255" s="117"/>
      <c r="C255" s="117" t="s">
        <v>2483</v>
      </c>
      <c r="D255" s="304" t="s">
        <v>2482</v>
      </c>
      <c r="E255" s="305"/>
      <c r="F255" s="117" t="s">
        <v>1646</v>
      </c>
      <c r="G255" s="116">
        <v>0.45</v>
      </c>
      <c r="H255" s="108">
        <v>0</v>
      </c>
    </row>
    <row r="256" spans="1:8" ht="12.2" customHeight="1" x14ac:dyDescent="0.2">
      <c r="D256" s="334" t="s">
        <v>2546</v>
      </c>
      <c r="E256" s="335"/>
      <c r="F256" s="335"/>
      <c r="G256" s="143">
        <v>0.45</v>
      </c>
    </row>
    <row r="257" spans="1:8" x14ac:dyDescent="0.2">
      <c r="A257" s="117" t="s">
        <v>117</v>
      </c>
      <c r="B257" s="117"/>
      <c r="C257" s="117" t="s">
        <v>2481</v>
      </c>
      <c r="D257" s="304" t="s">
        <v>2480</v>
      </c>
      <c r="E257" s="305"/>
      <c r="F257" s="117" t="s">
        <v>1646</v>
      </c>
      <c r="G257" s="116">
        <v>0.45</v>
      </c>
      <c r="H257" s="108">
        <v>0</v>
      </c>
    </row>
    <row r="258" spans="1:8" ht="12.2" customHeight="1" x14ac:dyDescent="0.2">
      <c r="D258" s="334" t="s">
        <v>2546</v>
      </c>
      <c r="E258" s="335"/>
      <c r="F258" s="335"/>
      <c r="G258" s="143">
        <v>0.45</v>
      </c>
    </row>
    <row r="259" spans="1:8" x14ac:dyDescent="0.2">
      <c r="A259" s="117" t="s">
        <v>118</v>
      </c>
      <c r="B259" s="117"/>
      <c r="C259" s="117" t="s">
        <v>670</v>
      </c>
      <c r="D259" s="304" t="s">
        <v>1179</v>
      </c>
      <c r="E259" s="305"/>
      <c r="F259" s="117" t="s">
        <v>1646</v>
      </c>
      <c r="G259" s="116">
        <v>1.55</v>
      </c>
      <c r="H259" s="108">
        <v>0</v>
      </c>
    </row>
    <row r="260" spans="1:8" ht="12.2" customHeight="1" x14ac:dyDescent="0.2">
      <c r="D260" s="334" t="s">
        <v>2921</v>
      </c>
      <c r="E260" s="335"/>
      <c r="F260" s="335"/>
      <c r="G260" s="143">
        <v>1.55</v>
      </c>
    </row>
    <row r="261" spans="1:8" x14ac:dyDescent="0.2">
      <c r="A261" s="117" t="s">
        <v>119</v>
      </c>
      <c r="B261" s="117"/>
      <c r="C261" s="117" t="s">
        <v>671</v>
      </c>
      <c r="D261" s="304" t="s">
        <v>1180</v>
      </c>
      <c r="E261" s="305"/>
      <c r="F261" s="117" t="s">
        <v>1646</v>
      </c>
      <c r="G261" s="116">
        <v>1.55</v>
      </c>
      <c r="H261" s="108">
        <v>0</v>
      </c>
    </row>
    <row r="262" spans="1:8" ht="12.2" customHeight="1" x14ac:dyDescent="0.2">
      <c r="D262" s="334" t="s">
        <v>2921</v>
      </c>
      <c r="E262" s="335"/>
      <c r="F262" s="335"/>
      <c r="G262" s="143">
        <v>1.55</v>
      </c>
    </row>
    <row r="263" spans="1:8" x14ac:dyDescent="0.2">
      <c r="A263" s="117" t="s">
        <v>120</v>
      </c>
      <c r="B263" s="117"/>
      <c r="C263" s="117" t="s">
        <v>672</v>
      </c>
      <c r="D263" s="304" t="s">
        <v>1181</v>
      </c>
      <c r="E263" s="305"/>
      <c r="F263" s="117" t="s">
        <v>1646</v>
      </c>
      <c r="G263" s="116">
        <v>1.55</v>
      </c>
      <c r="H263" s="108">
        <v>0</v>
      </c>
    </row>
    <row r="264" spans="1:8" ht="12.2" customHeight="1" x14ac:dyDescent="0.2">
      <c r="D264" s="334" t="s">
        <v>2921</v>
      </c>
      <c r="E264" s="335"/>
      <c r="F264" s="335"/>
      <c r="G264" s="143">
        <v>1.55</v>
      </c>
    </row>
    <row r="265" spans="1:8" x14ac:dyDescent="0.2">
      <c r="A265" s="117" t="s">
        <v>121</v>
      </c>
      <c r="B265" s="117"/>
      <c r="C265" s="117" t="s">
        <v>2479</v>
      </c>
      <c r="D265" s="304" t="s">
        <v>2478</v>
      </c>
      <c r="E265" s="305"/>
      <c r="F265" s="117" t="s">
        <v>1646</v>
      </c>
      <c r="G265" s="116">
        <v>0.45</v>
      </c>
      <c r="H265" s="108">
        <v>0</v>
      </c>
    </row>
    <row r="266" spans="1:8" ht="12.2" customHeight="1" x14ac:dyDescent="0.2">
      <c r="D266" s="334" t="s">
        <v>2546</v>
      </c>
      <c r="E266" s="335"/>
      <c r="F266" s="335"/>
      <c r="G266" s="143">
        <v>0.45</v>
      </c>
    </row>
    <row r="267" spans="1:8" x14ac:dyDescent="0.2">
      <c r="A267" s="117" t="s">
        <v>122</v>
      </c>
      <c r="B267" s="117"/>
      <c r="C267" s="117" t="s">
        <v>2477</v>
      </c>
      <c r="D267" s="304" t="s">
        <v>2476</v>
      </c>
      <c r="E267" s="305"/>
      <c r="F267" s="117" t="s">
        <v>1646</v>
      </c>
      <c r="G267" s="116">
        <v>0.45</v>
      </c>
      <c r="H267" s="108">
        <v>0</v>
      </c>
    </row>
    <row r="268" spans="1:8" ht="12.2" customHeight="1" x14ac:dyDescent="0.2">
      <c r="D268" s="334" t="s">
        <v>2546</v>
      </c>
      <c r="E268" s="335"/>
      <c r="F268" s="335"/>
      <c r="G268" s="143">
        <v>0.45</v>
      </c>
    </row>
    <row r="269" spans="1:8" x14ac:dyDescent="0.2">
      <c r="A269" s="117" t="s">
        <v>123</v>
      </c>
      <c r="B269" s="117"/>
      <c r="C269" s="117" t="s">
        <v>673</v>
      </c>
      <c r="D269" s="304" t="s">
        <v>1182</v>
      </c>
      <c r="E269" s="305"/>
      <c r="F269" s="117" t="s">
        <v>1644</v>
      </c>
      <c r="G269" s="116">
        <v>8</v>
      </c>
      <c r="H269" s="108">
        <v>0</v>
      </c>
    </row>
    <row r="270" spans="1:8" ht="12.2" customHeight="1" x14ac:dyDescent="0.2">
      <c r="D270" s="334" t="s">
        <v>1821</v>
      </c>
      <c r="E270" s="335"/>
      <c r="F270" s="335"/>
      <c r="G270" s="143">
        <v>8</v>
      </c>
    </row>
    <row r="271" spans="1:8" x14ac:dyDescent="0.2">
      <c r="A271" s="117" t="s">
        <v>124</v>
      </c>
      <c r="B271" s="117"/>
      <c r="C271" s="117" t="s">
        <v>674</v>
      </c>
      <c r="D271" s="304" t="s">
        <v>2142</v>
      </c>
      <c r="E271" s="305"/>
      <c r="F271" s="117" t="s">
        <v>1646</v>
      </c>
      <c r="G271" s="116">
        <v>1.5</v>
      </c>
      <c r="H271" s="108">
        <v>0</v>
      </c>
    </row>
    <row r="272" spans="1:8" ht="12.2" customHeight="1" x14ac:dyDescent="0.2">
      <c r="D272" s="334" t="s">
        <v>2545</v>
      </c>
      <c r="E272" s="335"/>
      <c r="F272" s="335"/>
      <c r="G272" s="143">
        <v>1.5</v>
      </c>
    </row>
    <row r="273" spans="1:8" x14ac:dyDescent="0.2">
      <c r="A273" s="117" t="s">
        <v>125</v>
      </c>
      <c r="B273" s="117"/>
      <c r="C273" s="117" t="s">
        <v>675</v>
      </c>
      <c r="D273" s="304" t="s">
        <v>2141</v>
      </c>
      <c r="E273" s="305"/>
      <c r="F273" s="117" t="s">
        <v>1646</v>
      </c>
      <c r="G273" s="116">
        <v>2.25</v>
      </c>
      <c r="H273" s="108">
        <v>0</v>
      </c>
    </row>
    <row r="274" spans="1:8" ht="12.2" customHeight="1" x14ac:dyDescent="0.2">
      <c r="D274" s="334" t="s">
        <v>1822</v>
      </c>
      <c r="E274" s="335"/>
      <c r="F274" s="335"/>
      <c r="G274" s="143">
        <v>2.25</v>
      </c>
    </row>
    <row r="275" spans="1:8" x14ac:dyDescent="0.2">
      <c r="A275" s="117" t="s">
        <v>126</v>
      </c>
      <c r="B275" s="117"/>
      <c r="C275" s="117" t="s">
        <v>676</v>
      </c>
      <c r="D275" s="304" t="s">
        <v>1185</v>
      </c>
      <c r="E275" s="305"/>
      <c r="F275" s="117" t="s">
        <v>1645</v>
      </c>
      <c r="G275" s="116">
        <v>265.774</v>
      </c>
      <c r="H275" s="108">
        <v>0</v>
      </c>
    </row>
    <row r="276" spans="1:8" ht="12.2" customHeight="1" x14ac:dyDescent="0.2">
      <c r="D276" s="334" t="s">
        <v>2920</v>
      </c>
      <c r="E276" s="335"/>
      <c r="F276" s="335"/>
      <c r="G276" s="143">
        <v>265.774</v>
      </c>
    </row>
    <row r="277" spans="1:8" x14ac:dyDescent="0.2">
      <c r="A277" s="117" t="s">
        <v>127</v>
      </c>
      <c r="B277" s="117"/>
      <c r="C277" s="117" t="s">
        <v>677</v>
      </c>
      <c r="D277" s="304" t="s">
        <v>2475</v>
      </c>
      <c r="E277" s="305"/>
      <c r="F277" s="117" t="s">
        <v>1645</v>
      </c>
      <c r="G277" s="116">
        <v>18.527999999999999</v>
      </c>
      <c r="H277" s="108">
        <v>0</v>
      </c>
    </row>
    <row r="278" spans="1:8" ht="12.2" customHeight="1" x14ac:dyDescent="0.2">
      <c r="D278" s="334" t="s">
        <v>2919</v>
      </c>
      <c r="E278" s="335"/>
      <c r="F278" s="335"/>
      <c r="G278" s="143">
        <v>18.527999999999999</v>
      </c>
    </row>
    <row r="279" spans="1:8" x14ac:dyDescent="0.2">
      <c r="A279" s="117" t="s">
        <v>128</v>
      </c>
      <c r="B279" s="117"/>
      <c r="C279" s="117" t="s">
        <v>678</v>
      </c>
      <c r="D279" s="304" t="s">
        <v>2838</v>
      </c>
      <c r="E279" s="305"/>
      <c r="F279" s="117" t="s">
        <v>1645</v>
      </c>
      <c r="G279" s="116">
        <v>23.43</v>
      </c>
      <c r="H279" s="108">
        <v>0</v>
      </c>
    </row>
    <row r="280" spans="1:8" ht="12.2" customHeight="1" x14ac:dyDescent="0.2">
      <c r="D280" s="334" t="s">
        <v>2915</v>
      </c>
      <c r="E280" s="335"/>
      <c r="F280" s="335"/>
      <c r="G280" s="143">
        <v>23.43</v>
      </c>
    </row>
    <row r="281" spans="1:8" x14ac:dyDescent="0.2">
      <c r="A281" s="117" t="s">
        <v>129</v>
      </c>
      <c r="B281" s="117"/>
      <c r="C281" s="117" t="s">
        <v>679</v>
      </c>
      <c r="D281" s="304" t="s">
        <v>2473</v>
      </c>
      <c r="E281" s="305"/>
      <c r="F281" s="117" t="s">
        <v>1645</v>
      </c>
      <c r="G281" s="116">
        <v>11.445</v>
      </c>
      <c r="H281" s="108">
        <v>0</v>
      </c>
    </row>
    <row r="282" spans="1:8" ht="12.2" customHeight="1" x14ac:dyDescent="0.2">
      <c r="D282" s="334" t="s">
        <v>2918</v>
      </c>
      <c r="E282" s="335"/>
      <c r="F282" s="335"/>
      <c r="G282" s="143">
        <v>11.445</v>
      </c>
    </row>
    <row r="283" spans="1:8" x14ac:dyDescent="0.2">
      <c r="A283" s="117" t="s">
        <v>130</v>
      </c>
      <c r="B283" s="117"/>
      <c r="C283" s="117" t="s">
        <v>680</v>
      </c>
      <c r="D283" s="304" t="s">
        <v>1189</v>
      </c>
      <c r="E283" s="305"/>
      <c r="F283" s="117" t="s">
        <v>1645</v>
      </c>
      <c r="G283" s="116">
        <v>497.28899999999999</v>
      </c>
      <c r="H283" s="108">
        <v>0</v>
      </c>
    </row>
    <row r="284" spans="1:8" ht="12.2" customHeight="1" x14ac:dyDescent="0.2">
      <c r="D284" s="334" t="s">
        <v>2917</v>
      </c>
      <c r="E284" s="335"/>
      <c r="F284" s="335"/>
      <c r="G284" s="143">
        <v>497.28899999999999</v>
      </c>
    </row>
    <row r="285" spans="1:8" x14ac:dyDescent="0.2">
      <c r="A285" s="117" t="s">
        <v>131</v>
      </c>
      <c r="B285" s="117"/>
      <c r="C285" s="117" t="s">
        <v>681</v>
      </c>
      <c r="D285" s="304" t="s">
        <v>1190</v>
      </c>
      <c r="E285" s="305"/>
      <c r="F285" s="117" t="s">
        <v>1645</v>
      </c>
      <c r="G285" s="116">
        <v>497.28899999999999</v>
      </c>
      <c r="H285" s="108">
        <v>0</v>
      </c>
    </row>
    <row r="286" spans="1:8" ht="12.2" customHeight="1" x14ac:dyDescent="0.2">
      <c r="D286" s="334" t="s">
        <v>2917</v>
      </c>
      <c r="E286" s="335"/>
      <c r="F286" s="335"/>
      <c r="G286" s="143">
        <v>497.28899999999999</v>
      </c>
    </row>
    <row r="287" spans="1:8" x14ac:dyDescent="0.2">
      <c r="A287" s="117" t="s">
        <v>132</v>
      </c>
      <c r="B287" s="117"/>
      <c r="C287" s="117" t="s">
        <v>682</v>
      </c>
      <c r="D287" s="304" t="s">
        <v>1191</v>
      </c>
      <c r="E287" s="305"/>
      <c r="F287" s="117" t="s">
        <v>1645</v>
      </c>
      <c r="G287" s="116">
        <v>98.432000000000002</v>
      </c>
      <c r="H287" s="108">
        <v>0</v>
      </c>
    </row>
    <row r="288" spans="1:8" ht="12.2" customHeight="1" x14ac:dyDescent="0.2">
      <c r="D288" s="334" t="s">
        <v>2916</v>
      </c>
      <c r="E288" s="335"/>
      <c r="F288" s="335"/>
      <c r="G288" s="143">
        <v>98.432000000000002</v>
      </c>
    </row>
    <row r="289" spans="1:8" x14ac:dyDescent="0.2">
      <c r="A289" s="117" t="s">
        <v>133</v>
      </c>
      <c r="B289" s="117"/>
      <c r="C289" s="117" t="s">
        <v>682</v>
      </c>
      <c r="D289" s="304" t="s">
        <v>2837</v>
      </c>
      <c r="E289" s="305"/>
      <c r="F289" s="117" t="s">
        <v>1645</v>
      </c>
      <c r="G289" s="116">
        <v>80.08</v>
      </c>
      <c r="H289" s="108">
        <v>0</v>
      </c>
    </row>
    <row r="290" spans="1:8" ht="12.2" customHeight="1" x14ac:dyDescent="0.2">
      <c r="D290" s="334" t="s">
        <v>2913</v>
      </c>
      <c r="E290" s="335"/>
      <c r="F290" s="335"/>
      <c r="G290" s="143">
        <v>75.760000000000005</v>
      </c>
    </row>
    <row r="291" spans="1:8" ht="12.2" customHeight="1" x14ac:dyDescent="0.2">
      <c r="A291" s="117"/>
      <c r="B291" s="117"/>
      <c r="C291" s="117"/>
      <c r="D291" s="334" t="s">
        <v>2914</v>
      </c>
      <c r="E291" s="335"/>
      <c r="F291" s="334"/>
      <c r="G291" s="144">
        <v>4.32</v>
      </c>
      <c r="H291" s="111"/>
    </row>
    <row r="292" spans="1:8" x14ac:dyDescent="0.2">
      <c r="A292" s="117" t="s">
        <v>134</v>
      </c>
      <c r="B292" s="117"/>
      <c r="C292" s="117" t="s">
        <v>683</v>
      </c>
      <c r="D292" s="304" t="s">
        <v>1194</v>
      </c>
      <c r="E292" s="305"/>
      <c r="F292" s="117" t="s">
        <v>1645</v>
      </c>
      <c r="G292" s="116">
        <v>23.43</v>
      </c>
      <c r="H292" s="108">
        <v>0</v>
      </c>
    </row>
    <row r="293" spans="1:8" ht="12.2" customHeight="1" x14ac:dyDescent="0.2">
      <c r="D293" s="334" t="s">
        <v>2915</v>
      </c>
      <c r="E293" s="335"/>
      <c r="F293" s="335"/>
      <c r="G293" s="143">
        <v>23.43</v>
      </c>
    </row>
    <row r="294" spans="1:8" x14ac:dyDescent="0.2">
      <c r="A294" s="117" t="s">
        <v>135</v>
      </c>
      <c r="B294" s="117"/>
      <c r="C294" s="117" t="s">
        <v>2836</v>
      </c>
      <c r="D294" s="304" t="s">
        <v>2835</v>
      </c>
      <c r="E294" s="305"/>
      <c r="F294" s="117" t="s">
        <v>1645</v>
      </c>
      <c r="G294" s="116">
        <v>4.32</v>
      </c>
      <c r="H294" s="108">
        <v>0</v>
      </c>
    </row>
    <row r="295" spans="1:8" ht="12.2" customHeight="1" x14ac:dyDescent="0.2">
      <c r="D295" s="334" t="s">
        <v>2914</v>
      </c>
      <c r="E295" s="335"/>
      <c r="F295" s="335"/>
      <c r="G295" s="143">
        <v>4.32</v>
      </c>
    </row>
    <row r="296" spans="1:8" x14ac:dyDescent="0.2">
      <c r="A296" s="117" t="s">
        <v>136</v>
      </c>
      <c r="B296" s="117"/>
      <c r="C296" s="117" t="s">
        <v>2834</v>
      </c>
      <c r="D296" s="304" t="s">
        <v>2833</v>
      </c>
      <c r="E296" s="305"/>
      <c r="F296" s="117" t="s">
        <v>1645</v>
      </c>
      <c r="G296" s="116">
        <v>75.760000000000005</v>
      </c>
      <c r="H296" s="108">
        <v>0</v>
      </c>
    </row>
    <row r="297" spans="1:8" ht="12.2" customHeight="1" x14ac:dyDescent="0.2">
      <c r="D297" s="334" t="s">
        <v>2913</v>
      </c>
      <c r="E297" s="335"/>
      <c r="F297" s="335"/>
      <c r="G297" s="143">
        <v>75.760000000000005</v>
      </c>
    </row>
    <row r="298" spans="1:8" x14ac:dyDescent="0.2">
      <c r="A298" s="120"/>
      <c r="B298" s="120"/>
      <c r="C298" s="120" t="s">
        <v>686</v>
      </c>
      <c r="D298" s="306" t="s">
        <v>1198</v>
      </c>
      <c r="E298" s="307"/>
      <c r="F298" s="120"/>
      <c r="G298" s="142"/>
      <c r="H298" s="109"/>
    </row>
    <row r="299" spans="1:8" x14ac:dyDescent="0.2">
      <c r="A299" s="117" t="s">
        <v>137</v>
      </c>
      <c r="B299" s="117"/>
      <c r="C299" s="117" t="s">
        <v>687</v>
      </c>
      <c r="D299" s="304" t="s">
        <v>1199</v>
      </c>
      <c r="E299" s="305"/>
      <c r="F299" s="117" t="s">
        <v>1648</v>
      </c>
      <c r="G299" s="116">
        <v>27.809000000000001</v>
      </c>
      <c r="H299" s="108">
        <v>0</v>
      </c>
    </row>
    <row r="300" spans="1:8" ht="12.2" customHeight="1" x14ac:dyDescent="0.2">
      <c r="D300" s="334" t="s">
        <v>2912</v>
      </c>
      <c r="E300" s="335"/>
      <c r="F300" s="335"/>
      <c r="G300" s="143">
        <v>27.809000000000001</v>
      </c>
    </row>
    <row r="301" spans="1:8" x14ac:dyDescent="0.2">
      <c r="A301" s="117" t="s">
        <v>138</v>
      </c>
      <c r="B301" s="117"/>
      <c r="C301" s="117" t="s">
        <v>688</v>
      </c>
      <c r="D301" s="304" t="s">
        <v>1200</v>
      </c>
      <c r="E301" s="305"/>
      <c r="F301" s="117" t="s">
        <v>1648</v>
      </c>
      <c r="G301" s="116">
        <v>16.686</v>
      </c>
      <c r="H301" s="108">
        <v>0</v>
      </c>
    </row>
    <row r="302" spans="1:8" ht="12.2" customHeight="1" x14ac:dyDescent="0.2">
      <c r="D302" s="334" t="s">
        <v>2911</v>
      </c>
      <c r="E302" s="335"/>
      <c r="F302" s="335"/>
      <c r="G302" s="143">
        <v>16.686</v>
      </c>
    </row>
    <row r="303" spans="1:8" x14ac:dyDescent="0.2">
      <c r="A303" s="117" t="s">
        <v>139</v>
      </c>
      <c r="B303" s="117"/>
      <c r="C303" s="117" t="s">
        <v>689</v>
      </c>
      <c r="D303" s="304" t="s">
        <v>1201</v>
      </c>
      <c r="E303" s="305"/>
      <c r="F303" s="117" t="s">
        <v>1648</v>
      </c>
      <c r="G303" s="116">
        <v>83.427999999999997</v>
      </c>
      <c r="H303" s="108">
        <v>0</v>
      </c>
    </row>
    <row r="304" spans="1:8" ht="12.2" customHeight="1" x14ac:dyDescent="0.2">
      <c r="D304" s="334" t="s">
        <v>2908</v>
      </c>
      <c r="E304" s="335"/>
      <c r="F304" s="335"/>
      <c r="G304" s="143">
        <v>83.427999999999997</v>
      </c>
    </row>
    <row r="305" spans="1:8" x14ac:dyDescent="0.2">
      <c r="A305" s="117" t="s">
        <v>140</v>
      </c>
      <c r="B305" s="117"/>
      <c r="C305" s="117" t="s">
        <v>690</v>
      </c>
      <c r="D305" s="304" t="s">
        <v>1202</v>
      </c>
      <c r="E305" s="305"/>
      <c r="F305" s="117" t="s">
        <v>1648</v>
      </c>
      <c r="G305" s="116">
        <v>750.85199999999998</v>
      </c>
      <c r="H305" s="108">
        <v>0</v>
      </c>
    </row>
    <row r="306" spans="1:8" ht="12.2" customHeight="1" x14ac:dyDescent="0.2">
      <c r="D306" s="334" t="s">
        <v>2910</v>
      </c>
      <c r="E306" s="335"/>
      <c r="F306" s="335"/>
      <c r="G306" s="143">
        <v>750.85199999999998</v>
      </c>
    </row>
    <row r="307" spans="1:8" x14ac:dyDescent="0.2">
      <c r="A307" s="117" t="s">
        <v>141</v>
      </c>
      <c r="B307" s="117"/>
      <c r="C307" s="117" t="s">
        <v>691</v>
      </c>
      <c r="D307" s="304" t="s">
        <v>1203</v>
      </c>
      <c r="E307" s="305"/>
      <c r="F307" s="117" t="s">
        <v>1648</v>
      </c>
      <c r="G307" s="116">
        <v>83.427999999999997</v>
      </c>
      <c r="H307" s="108">
        <v>0</v>
      </c>
    </row>
    <row r="308" spans="1:8" ht="12.2" customHeight="1" x14ac:dyDescent="0.2">
      <c r="D308" s="334" t="s">
        <v>2908</v>
      </c>
      <c r="E308" s="335"/>
      <c r="F308" s="335"/>
      <c r="G308" s="143">
        <v>83.427999999999997</v>
      </c>
    </row>
    <row r="309" spans="1:8" x14ac:dyDescent="0.2">
      <c r="A309" s="117" t="s">
        <v>142</v>
      </c>
      <c r="B309" s="117"/>
      <c r="C309" s="117" t="s">
        <v>692</v>
      </c>
      <c r="D309" s="304" t="s">
        <v>1204</v>
      </c>
      <c r="E309" s="305"/>
      <c r="F309" s="117" t="s">
        <v>1648</v>
      </c>
      <c r="G309" s="116">
        <v>333.71199999999999</v>
      </c>
      <c r="H309" s="108">
        <v>0</v>
      </c>
    </row>
    <row r="310" spans="1:8" ht="12.2" customHeight="1" x14ac:dyDescent="0.2">
      <c r="D310" s="334" t="s">
        <v>2909</v>
      </c>
      <c r="E310" s="335"/>
      <c r="F310" s="335"/>
      <c r="G310" s="143">
        <v>333.71199999999999</v>
      </c>
    </row>
    <row r="311" spans="1:8" x14ac:dyDescent="0.2">
      <c r="A311" s="117" t="s">
        <v>143</v>
      </c>
      <c r="B311" s="117"/>
      <c r="C311" s="117" t="s">
        <v>693</v>
      </c>
      <c r="D311" s="304" t="s">
        <v>1205</v>
      </c>
      <c r="E311" s="305"/>
      <c r="F311" s="117" t="s">
        <v>1648</v>
      </c>
      <c r="G311" s="116">
        <v>83.427999999999997</v>
      </c>
      <c r="H311" s="108">
        <v>0</v>
      </c>
    </row>
    <row r="312" spans="1:8" ht="12.2" customHeight="1" x14ac:dyDescent="0.2">
      <c r="D312" s="334" t="s">
        <v>2908</v>
      </c>
      <c r="E312" s="335"/>
      <c r="F312" s="335"/>
      <c r="G312" s="143">
        <v>83.427999999999997</v>
      </c>
    </row>
    <row r="313" spans="1:8" x14ac:dyDescent="0.2">
      <c r="A313" s="117" t="s">
        <v>144</v>
      </c>
      <c r="B313" s="117"/>
      <c r="C313" s="117" t="s">
        <v>694</v>
      </c>
      <c r="D313" s="304" t="s">
        <v>1206</v>
      </c>
      <c r="E313" s="305"/>
      <c r="F313" s="117" t="s">
        <v>1648</v>
      </c>
      <c r="G313" s="116">
        <v>83.427999999999997</v>
      </c>
      <c r="H313" s="108">
        <v>0</v>
      </c>
    </row>
    <row r="314" spans="1:8" ht="12.2" customHeight="1" x14ac:dyDescent="0.2">
      <c r="D314" s="334" t="s">
        <v>2908</v>
      </c>
      <c r="E314" s="335"/>
      <c r="F314" s="335"/>
      <c r="G314" s="143">
        <v>83.427999999999997</v>
      </c>
    </row>
    <row r="315" spans="1:8" x14ac:dyDescent="0.2">
      <c r="A315" s="117" t="s">
        <v>145</v>
      </c>
      <c r="B315" s="117"/>
      <c r="C315" s="117" t="s">
        <v>695</v>
      </c>
      <c r="D315" s="304" t="s">
        <v>1207</v>
      </c>
      <c r="E315" s="305"/>
      <c r="F315" s="117" t="s">
        <v>1648</v>
      </c>
      <c r="G315" s="116">
        <v>3.5640000000000001</v>
      </c>
      <c r="H315" s="108">
        <v>0</v>
      </c>
    </row>
    <row r="316" spans="1:8" ht="12.2" customHeight="1" x14ac:dyDescent="0.2">
      <c r="D316" s="334" t="s">
        <v>2907</v>
      </c>
      <c r="E316" s="335"/>
      <c r="F316" s="335"/>
      <c r="G316" s="143">
        <v>3.5640000000000001</v>
      </c>
    </row>
    <row r="317" spans="1:8" x14ac:dyDescent="0.2">
      <c r="A317" s="117" t="s">
        <v>146</v>
      </c>
      <c r="B317" s="117"/>
      <c r="C317" s="117" t="s">
        <v>696</v>
      </c>
      <c r="D317" s="304" t="s">
        <v>1208</v>
      </c>
      <c r="E317" s="305"/>
      <c r="F317" s="117" t="s">
        <v>1648</v>
      </c>
      <c r="G317" s="116">
        <v>12.942</v>
      </c>
      <c r="H317" s="108">
        <v>0</v>
      </c>
    </row>
    <row r="318" spans="1:8" ht="12.2" customHeight="1" x14ac:dyDescent="0.2">
      <c r="D318" s="334" t="s">
        <v>2906</v>
      </c>
      <c r="E318" s="335"/>
      <c r="F318" s="335"/>
      <c r="G318" s="143">
        <v>12.942</v>
      </c>
    </row>
    <row r="319" spans="1:8" x14ac:dyDescent="0.2">
      <c r="A319" s="117" t="s">
        <v>147</v>
      </c>
      <c r="B319" s="117"/>
      <c r="C319" s="117" t="s">
        <v>697</v>
      </c>
      <c r="D319" s="304" t="s">
        <v>1209</v>
      </c>
      <c r="E319" s="305"/>
      <c r="F319" s="117" t="s">
        <v>1648</v>
      </c>
      <c r="G319" s="116">
        <v>25.37</v>
      </c>
      <c r="H319" s="108">
        <v>0</v>
      </c>
    </row>
    <row r="320" spans="1:8" ht="12.2" customHeight="1" x14ac:dyDescent="0.2">
      <c r="D320" s="334" t="s">
        <v>2905</v>
      </c>
      <c r="E320" s="335"/>
      <c r="F320" s="335"/>
      <c r="G320" s="143">
        <v>25.37</v>
      </c>
    </row>
    <row r="321" spans="1:8" x14ac:dyDescent="0.2">
      <c r="A321" s="117" t="s">
        <v>148</v>
      </c>
      <c r="B321" s="117"/>
      <c r="C321" s="117" t="s">
        <v>698</v>
      </c>
      <c r="D321" s="304" t="s">
        <v>2832</v>
      </c>
      <c r="E321" s="305"/>
      <c r="F321" s="117" t="s">
        <v>1648</v>
      </c>
      <c r="G321" s="116">
        <v>21.065999999999999</v>
      </c>
      <c r="H321" s="108">
        <v>0</v>
      </c>
    </row>
    <row r="322" spans="1:8" ht="12.2" customHeight="1" x14ac:dyDescent="0.2">
      <c r="D322" s="334" t="s">
        <v>2904</v>
      </c>
      <c r="E322" s="335"/>
      <c r="F322" s="335"/>
      <c r="G322" s="143">
        <v>21.065999999999999</v>
      </c>
    </row>
    <row r="323" spans="1:8" x14ac:dyDescent="0.2">
      <c r="A323" s="117" t="s">
        <v>149</v>
      </c>
      <c r="B323" s="117"/>
      <c r="C323" s="117" t="s">
        <v>699</v>
      </c>
      <c r="D323" s="304" t="s">
        <v>1211</v>
      </c>
      <c r="E323" s="305"/>
      <c r="F323" s="117" t="s">
        <v>1648</v>
      </c>
      <c r="G323" s="116">
        <v>0.38100000000000001</v>
      </c>
      <c r="H323" s="108">
        <v>0</v>
      </c>
    </row>
    <row r="324" spans="1:8" ht="12.2" customHeight="1" x14ac:dyDescent="0.2">
      <c r="D324" s="334" t="s">
        <v>2903</v>
      </c>
      <c r="E324" s="335"/>
      <c r="F324" s="335"/>
      <c r="G324" s="143">
        <v>0.38100000000000001</v>
      </c>
    </row>
    <row r="325" spans="1:8" x14ac:dyDescent="0.2">
      <c r="A325" s="117" t="s">
        <v>150</v>
      </c>
      <c r="B325" s="117"/>
      <c r="C325" s="117" t="s">
        <v>700</v>
      </c>
      <c r="D325" s="304" t="s">
        <v>1212</v>
      </c>
      <c r="E325" s="305"/>
      <c r="F325" s="117" t="s">
        <v>1648</v>
      </c>
      <c r="G325" s="116">
        <v>7.5060000000000002</v>
      </c>
      <c r="H325" s="108">
        <v>0</v>
      </c>
    </row>
    <row r="326" spans="1:8" ht="12.2" customHeight="1" x14ac:dyDescent="0.2">
      <c r="D326" s="334" t="s">
        <v>2902</v>
      </c>
      <c r="E326" s="335"/>
      <c r="F326" s="335"/>
      <c r="G326" s="143">
        <v>7.5060000000000002</v>
      </c>
    </row>
    <row r="327" spans="1:8" x14ac:dyDescent="0.2">
      <c r="A327" s="117" t="s">
        <v>151</v>
      </c>
      <c r="B327" s="117"/>
      <c r="C327" s="117" t="s">
        <v>701</v>
      </c>
      <c r="D327" s="304" t="s">
        <v>1213</v>
      </c>
      <c r="E327" s="305"/>
      <c r="F327" s="117" t="s">
        <v>1648</v>
      </c>
      <c r="G327" s="116">
        <v>4.4279999999999999</v>
      </c>
      <c r="H327" s="108">
        <v>0</v>
      </c>
    </row>
    <row r="328" spans="1:8" ht="12.2" customHeight="1" x14ac:dyDescent="0.2">
      <c r="D328" s="334" t="s">
        <v>2901</v>
      </c>
      <c r="E328" s="335"/>
      <c r="F328" s="335"/>
      <c r="G328" s="143">
        <v>4.4279999999999999</v>
      </c>
    </row>
    <row r="329" spans="1:8" x14ac:dyDescent="0.2">
      <c r="A329" s="117" t="s">
        <v>152</v>
      </c>
      <c r="B329" s="117"/>
      <c r="C329" s="117" t="s">
        <v>702</v>
      </c>
      <c r="D329" s="304" t="s">
        <v>1214</v>
      </c>
      <c r="E329" s="305"/>
      <c r="F329" s="117" t="s">
        <v>1648</v>
      </c>
      <c r="G329" s="116">
        <v>8.1709999999999994</v>
      </c>
      <c r="H329" s="108">
        <v>0</v>
      </c>
    </row>
    <row r="330" spans="1:8" ht="12.2" customHeight="1" x14ac:dyDescent="0.2">
      <c r="D330" s="334" t="s">
        <v>2900</v>
      </c>
      <c r="E330" s="335"/>
      <c r="F330" s="335"/>
      <c r="G330" s="143">
        <v>8.1709999999999994</v>
      </c>
    </row>
    <row r="331" spans="1:8" x14ac:dyDescent="0.2">
      <c r="A331" s="120"/>
      <c r="B331" s="120"/>
      <c r="C331" s="120" t="s">
        <v>703</v>
      </c>
      <c r="D331" s="306" t="s">
        <v>1215</v>
      </c>
      <c r="E331" s="307"/>
      <c r="F331" s="120"/>
      <c r="G331" s="142"/>
      <c r="H331" s="109"/>
    </row>
    <row r="332" spans="1:8" x14ac:dyDescent="0.2">
      <c r="A332" s="117" t="s">
        <v>153</v>
      </c>
      <c r="B332" s="117"/>
      <c r="C332" s="117" t="s">
        <v>704</v>
      </c>
      <c r="D332" s="304" t="s">
        <v>1216</v>
      </c>
      <c r="E332" s="305"/>
      <c r="F332" s="117" t="s">
        <v>1648</v>
      </c>
      <c r="G332" s="116">
        <v>176.02199999999999</v>
      </c>
      <c r="H332" s="108">
        <v>0</v>
      </c>
    </row>
    <row r="333" spans="1:8" ht="12.2" customHeight="1" x14ac:dyDescent="0.2">
      <c r="D333" s="334" t="s">
        <v>2899</v>
      </c>
      <c r="E333" s="335"/>
      <c r="F333" s="335"/>
      <c r="G333" s="143">
        <v>176.02199999999999</v>
      </c>
    </row>
    <row r="334" spans="1:8" x14ac:dyDescent="0.2">
      <c r="A334" s="120"/>
      <c r="B334" s="120"/>
      <c r="C334" s="120" t="s">
        <v>705</v>
      </c>
      <c r="D334" s="306" t="s">
        <v>1217</v>
      </c>
      <c r="E334" s="307"/>
      <c r="F334" s="120"/>
      <c r="G334" s="142"/>
      <c r="H334" s="109"/>
    </row>
    <row r="335" spans="1:8" x14ac:dyDescent="0.2">
      <c r="A335" s="117" t="s">
        <v>154</v>
      </c>
      <c r="B335" s="117"/>
      <c r="C335" s="117" t="s">
        <v>706</v>
      </c>
      <c r="D335" s="304" t="s">
        <v>1218</v>
      </c>
      <c r="E335" s="305"/>
      <c r="F335" s="117" t="s">
        <v>1645</v>
      </c>
      <c r="G335" s="116">
        <v>357.27</v>
      </c>
      <c r="H335" s="108">
        <v>0</v>
      </c>
    </row>
    <row r="336" spans="1:8" ht="12.2" customHeight="1" x14ac:dyDescent="0.2">
      <c r="D336" s="334" t="s">
        <v>2889</v>
      </c>
      <c r="E336" s="335"/>
      <c r="F336" s="335"/>
      <c r="G336" s="143">
        <v>357.27</v>
      </c>
    </row>
    <row r="337" spans="1:8" x14ac:dyDescent="0.2">
      <c r="A337" s="117" t="s">
        <v>155</v>
      </c>
      <c r="B337" s="117"/>
      <c r="C337" s="117" t="s">
        <v>707</v>
      </c>
      <c r="D337" s="304" t="s">
        <v>1219</v>
      </c>
      <c r="E337" s="305"/>
      <c r="F337" s="117" t="s">
        <v>1644</v>
      </c>
      <c r="G337" s="116">
        <v>20</v>
      </c>
      <c r="H337" s="108">
        <v>0</v>
      </c>
    </row>
    <row r="338" spans="1:8" ht="12.2" customHeight="1" x14ac:dyDescent="0.2">
      <c r="D338" s="334" t="s">
        <v>1802</v>
      </c>
      <c r="E338" s="335"/>
      <c r="F338" s="335"/>
      <c r="G338" s="143">
        <v>20</v>
      </c>
    </row>
    <row r="339" spans="1:8" x14ac:dyDescent="0.2">
      <c r="A339" s="117" t="s">
        <v>156</v>
      </c>
      <c r="B339" s="117"/>
      <c r="C339" s="117" t="s">
        <v>708</v>
      </c>
      <c r="D339" s="304" t="s">
        <v>2831</v>
      </c>
      <c r="E339" s="305"/>
      <c r="F339" s="117" t="s">
        <v>1645</v>
      </c>
      <c r="G339" s="116">
        <v>357.27</v>
      </c>
      <c r="H339" s="108">
        <v>0</v>
      </c>
    </row>
    <row r="340" spans="1:8" ht="12.2" customHeight="1" x14ac:dyDescent="0.2">
      <c r="D340" s="334" t="s">
        <v>2889</v>
      </c>
      <c r="E340" s="335"/>
      <c r="F340" s="335"/>
      <c r="G340" s="143">
        <v>357.27</v>
      </c>
    </row>
    <row r="341" spans="1:8" x14ac:dyDescent="0.2">
      <c r="A341" s="117" t="s">
        <v>157</v>
      </c>
      <c r="B341" s="117"/>
      <c r="C341" s="117" t="s">
        <v>709</v>
      </c>
      <c r="D341" s="304" t="s">
        <v>1221</v>
      </c>
      <c r="E341" s="305"/>
      <c r="F341" s="117" t="s">
        <v>1648</v>
      </c>
      <c r="G341" s="116">
        <v>4.4589999999999996</v>
      </c>
      <c r="H341" s="108">
        <v>0</v>
      </c>
    </row>
    <row r="342" spans="1:8" ht="12.2" customHeight="1" x14ac:dyDescent="0.2">
      <c r="D342" s="334" t="s">
        <v>2898</v>
      </c>
      <c r="E342" s="335"/>
      <c r="F342" s="335"/>
      <c r="G342" s="143">
        <v>4.4589999999999996</v>
      </c>
    </row>
    <row r="343" spans="1:8" x14ac:dyDescent="0.2">
      <c r="A343" s="120"/>
      <c r="B343" s="120"/>
      <c r="C343" s="120" t="s">
        <v>710</v>
      </c>
      <c r="D343" s="306" t="s">
        <v>1222</v>
      </c>
      <c r="E343" s="307"/>
      <c r="F343" s="120"/>
      <c r="G343" s="142"/>
      <c r="H343" s="109"/>
    </row>
    <row r="344" spans="1:8" x14ac:dyDescent="0.2">
      <c r="A344" s="117" t="s">
        <v>158</v>
      </c>
      <c r="B344" s="117"/>
      <c r="C344" s="117" t="s">
        <v>711</v>
      </c>
      <c r="D344" s="304" t="s">
        <v>2830</v>
      </c>
      <c r="E344" s="305"/>
      <c r="F344" s="117" t="s">
        <v>1645</v>
      </c>
      <c r="G344" s="116">
        <v>310.892</v>
      </c>
      <c r="H344" s="108">
        <v>0</v>
      </c>
    </row>
    <row r="345" spans="1:8" ht="12.2" customHeight="1" x14ac:dyDescent="0.2">
      <c r="D345" s="334" t="s">
        <v>2896</v>
      </c>
      <c r="E345" s="335"/>
      <c r="F345" s="335"/>
      <c r="G345" s="143">
        <v>310.892</v>
      </c>
    </row>
    <row r="346" spans="1:8" x14ac:dyDescent="0.2">
      <c r="A346" s="124" t="s">
        <v>159</v>
      </c>
      <c r="B346" s="124"/>
      <c r="C346" s="124" t="s">
        <v>712</v>
      </c>
      <c r="D346" s="311" t="s">
        <v>1224</v>
      </c>
      <c r="E346" s="312"/>
      <c r="F346" s="124" t="s">
        <v>1645</v>
      </c>
      <c r="G346" s="123">
        <v>341.98099999999999</v>
      </c>
      <c r="H346" s="121">
        <v>0</v>
      </c>
    </row>
    <row r="347" spans="1:8" ht="12.2" customHeight="1" x14ac:dyDescent="0.2">
      <c r="D347" s="336" t="s">
        <v>2896</v>
      </c>
      <c r="E347" s="337"/>
      <c r="F347" s="337"/>
      <c r="G347" s="146">
        <v>310.892</v>
      </c>
    </row>
    <row r="348" spans="1:8" ht="12.2" customHeight="1" x14ac:dyDescent="0.2">
      <c r="A348" s="124"/>
      <c r="B348" s="124"/>
      <c r="C348" s="124"/>
      <c r="D348" s="336" t="s">
        <v>2897</v>
      </c>
      <c r="E348" s="337"/>
      <c r="F348" s="336"/>
      <c r="G348" s="145">
        <v>31.088999999999999</v>
      </c>
      <c r="H348" s="122"/>
    </row>
    <row r="349" spans="1:8" x14ac:dyDescent="0.2">
      <c r="A349" s="124" t="s">
        <v>160</v>
      </c>
      <c r="B349" s="124"/>
      <c r="C349" s="124" t="s">
        <v>713</v>
      </c>
      <c r="D349" s="311" t="s">
        <v>1225</v>
      </c>
      <c r="E349" s="312"/>
      <c r="F349" s="124" t="s">
        <v>1645</v>
      </c>
      <c r="G349" s="123">
        <v>341.98099999999999</v>
      </c>
      <c r="H349" s="121">
        <v>0</v>
      </c>
    </row>
    <row r="350" spans="1:8" ht="12.2" customHeight="1" x14ac:dyDescent="0.2">
      <c r="D350" s="336" t="s">
        <v>2896</v>
      </c>
      <c r="E350" s="337"/>
      <c r="F350" s="337"/>
      <c r="G350" s="146">
        <v>310.892</v>
      </c>
    </row>
    <row r="351" spans="1:8" ht="12.2" customHeight="1" x14ac:dyDescent="0.2">
      <c r="A351" s="124"/>
      <c r="B351" s="124"/>
      <c r="C351" s="124"/>
      <c r="D351" s="336" t="s">
        <v>2897</v>
      </c>
      <c r="E351" s="337"/>
      <c r="F351" s="336"/>
      <c r="G351" s="145">
        <v>31.088999999999999</v>
      </c>
      <c r="H351" s="122"/>
    </row>
    <row r="352" spans="1:8" x14ac:dyDescent="0.2">
      <c r="A352" s="117" t="s">
        <v>161</v>
      </c>
      <c r="B352" s="117"/>
      <c r="C352" s="117" t="s">
        <v>714</v>
      </c>
      <c r="D352" s="304" t="s">
        <v>1226</v>
      </c>
      <c r="E352" s="305"/>
      <c r="F352" s="117" t="s">
        <v>1646</v>
      </c>
      <c r="G352" s="116">
        <v>64.5</v>
      </c>
      <c r="H352" s="108">
        <v>0</v>
      </c>
    </row>
    <row r="353" spans="1:8" ht="12.2" customHeight="1" x14ac:dyDescent="0.2">
      <c r="D353" s="334" t="s">
        <v>2885</v>
      </c>
      <c r="E353" s="335"/>
      <c r="F353" s="335"/>
      <c r="G353" s="143">
        <v>64.5</v>
      </c>
    </row>
    <row r="354" spans="1:8" x14ac:dyDescent="0.2">
      <c r="A354" s="117" t="s">
        <v>162</v>
      </c>
      <c r="B354" s="117"/>
      <c r="C354" s="117" t="s">
        <v>715</v>
      </c>
      <c r="D354" s="304" t="s">
        <v>2829</v>
      </c>
      <c r="E354" s="305"/>
      <c r="F354" s="117" t="s">
        <v>1645</v>
      </c>
      <c r="G354" s="116">
        <v>310.892</v>
      </c>
      <c r="H354" s="108">
        <v>0</v>
      </c>
    </row>
    <row r="355" spans="1:8" ht="12.2" customHeight="1" x14ac:dyDescent="0.2">
      <c r="D355" s="334" t="s">
        <v>2896</v>
      </c>
      <c r="E355" s="335"/>
      <c r="F355" s="335"/>
      <c r="G355" s="143">
        <v>310.892</v>
      </c>
    </row>
    <row r="356" spans="1:8" x14ac:dyDescent="0.2">
      <c r="A356" s="117" t="s">
        <v>163</v>
      </c>
      <c r="B356" s="117"/>
      <c r="C356" s="117" t="s">
        <v>716</v>
      </c>
      <c r="D356" s="304" t="s">
        <v>2828</v>
      </c>
      <c r="E356" s="305"/>
      <c r="F356" s="117" t="s">
        <v>1645</v>
      </c>
      <c r="G356" s="116">
        <v>310.892</v>
      </c>
      <c r="H356" s="108">
        <v>0</v>
      </c>
    </row>
    <row r="357" spans="1:8" ht="12.2" customHeight="1" x14ac:dyDescent="0.2">
      <c r="D357" s="334" t="s">
        <v>2896</v>
      </c>
      <c r="E357" s="335"/>
      <c r="F357" s="335"/>
      <c r="G357" s="143">
        <v>310.892</v>
      </c>
    </row>
    <row r="358" spans="1:8" x14ac:dyDescent="0.2">
      <c r="A358" s="117" t="s">
        <v>164</v>
      </c>
      <c r="B358" s="117"/>
      <c r="C358" s="117" t="s">
        <v>717</v>
      </c>
      <c r="D358" s="304" t="s">
        <v>2827</v>
      </c>
      <c r="E358" s="305"/>
      <c r="F358" s="117" t="s">
        <v>1645</v>
      </c>
      <c r="G358" s="116">
        <v>357.27</v>
      </c>
      <c r="H358" s="108">
        <v>0</v>
      </c>
    </row>
    <row r="359" spans="1:8" ht="12.2" customHeight="1" x14ac:dyDescent="0.2">
      <c r="D359" s="334" t="s">
        <v>2889</v>
      </c>
      <c r="E359" s="335"/>
      <c r="F359" s="335"/>
      <c r="G359" s="143">
        <v>357.27</v>
      </c>
    </row>
    <row r="360" spans="1:8" x14ac:dyDescent="0.2">
      <c r="A360" s="117" t="s">
        <v>165</v>
      </c>
      <c r="B360" s="117"/>
      <c r="C360" s="117" t="s">
        <v>718</v>
      </c>
      <c r="D360" s="304" t="s">
        <v>1230</v>
      </c>
      <c r="E360" s="305"/>
      <c r="F360" s="117" t="s">
        <v>1648</v>
      </c>
      <c r="G360" s="116">
        <v>1.482</v>
      </c>
      <c r="H360" s="108">
        <v>0</v>
      </c>
    </row>
    <row r="361" spans="1:8" ht="12.2" customHeight="1" x14ac:dyDescent="0.2">
      <c r="D361" s="334" t="s">
        <v>2895</v>
      </c>
      <c r="E361" s="335"/>
      <c r="F361" s="335"/>
      <c r="G361" s="143">
        <v>1.482</v>
      </c>
    </row>
    <row r="362" spans="1:8" x14ac:dyDescent="0.2">
      <c r="A362" s="120"/>
      <c r="B362" s="120"/>
      <c r="C362" s="120" t="s">
        <v>719</v>
      </c>
      <c r="D362" s="306" t="s">
        <v>1231</v>
      </c>
      <c r="E362" s="307"/>
      <c r="F362" s="120"/>
      <c r="G362" s="142"/>
      <c r="H362" s="109"/>
    </row>
    <row r="363" spans="1:8" x14ac:dyDescent="0.2">
      <c r="A363" s="117" t="s">
        <v>166</v>
      </c>
      <c r="B363" s="117"/>
      <c r="C363" s="117" t="s">
        <v>720</v>
      </c>
      <c r="D363" s="304" t="s">
        <v>1232</v>
      </c>
      <c r="E363" s="305"/>
      <c r="F363" s="117" t="s">
        <v>1646</v>
      </c>
      <c r="G363" s="116">
        <v>3.5</v>
      </c>
      <c r="H363" s="108">
        <v>0</v>
      </c>
    </row>
    <row r="364" spans="1:8" x14ac:dyDescent="0.2">
      <c r="A364" s="117" t="s">
        <v>167</v>
      </c>
      <c r="B364" s="117"/>
      <c r="C364" s="117" t="s">
        <v>721</v>
      </c>
      <c r="D364" s="304" t="s">
        <v>1233</v>
      </c>
      <c r="E364" s="305"/>
      <c r="F364" s="117" t="s">
        <v>1646</v>
      </c>
      <c r="G364" s="116">
        <v>3</v>
      </c>
      <c r="H364" s="108">
        <v>0</v>
      </c>
    </row>
    <row r="365" spans="1:8" x14ac:dyDescent="0.2">
      <c r="A365" s="117" t="s">
        <v>168</v>
      </c>
      <c r="B365" s="117"/>
      <c r="C365" s="117" t="s">
        <v>722</v>
      </c>
      <c r="D365" s="304" t="s">
        <v>1234</v>
      </c>
      <c r="E365" s="305"/>
      <c r="F365" s="117" t="s">
        <v>1646</v>
      </c>
      <c r="G365" s="116">
        <v>1.5</v>
      </c>
      <c r="H365" s="108">
        <v>0</v>
      </c>
    </row>
    <row r="366" spans="1:8" x14ac:dyDescent="0.2">
      <c r="A366" s="117" t="s">
        <v>169</v>
      </c>
      <c r="B366" s="117"/>
      <c r="C366" s="117" t="s">
        <v>723</v>
      </c>
      <c r="D366" s="304" t="s">
        <v>1235</v>
      </c>
      <c r="E366" s="305"/>
      <c r="F366" s="117" t="s">
        <v>1646</v>
      </c>
      <c r="G366" s="116">
        <v>3</v>
      </c>
      <c r="H366" s="108">
        <v>0</v>
      </c>
    </row>
    <row r="367" spans="1:8" x14ac:dyDescent="0.2">
      <c r="A367" s="117" t="s">
        <v>170</v>
      </c>
      <c r="B367" s="117"/>
      <c r="C367" s="117" t="s">
        <v>724</v>
      </c>
      <c r="D367" s="304" t="s">
        <v>1236</v>
      </c>
      <c r="E367" s="305"/>
      <c r="F367" s="117" t="s">
        <v>1646</v>
      </c>
      <c r="G367" s="116">
        <v>1</v>
      </c>
      <c r="H367" s="108">
        <v>0</v>
      </c>
    </row>
    <row r="368" spans="1:8" x14ac:dyDescent="0.2">
      <c r="A368" s="117" t="s">
        <v>171</v>
      </c>
      <c r="B368" s="117"/>
      <c r="C368" s="117" t="s">
        <v>725</v>
      </c>
      <c r="D368" s="304" t="s">
        <v>1237</v>
      </c>
      <c r="E368" s="305"/>
      <c r="F368" s="117" t="s">
        <v>1646</v>
      </c>
      <c r="G368" s="116">
        <v>21</v>
      </c>
      <c r="H368" s="108">
        <v>0</v>
      </c>
    </row>
    <row r="369" spans="1:8" x14ac:dyDescent="0.2">
      <c r="A369" s="117" t="s">
        <v>172</v>
      </c>
      <c r="B369" s="117"/>
      <c r="C369" s="117" t="s">
        <v>726</v>
      </c>
      <c r="D369" s="304" t="s">
        <v>1238</v>
      </c>
      <c r="E369" s="305"/>
      <c r="F369" s="117" t="s">
        <v>1644</v>
      </c>
      <c r="G369" s="116">
        <v>2</v>
      </c>
      <c r="H369" s="108">
        <v>0</v>
      </c>
    </row>
    <row r="370" spans="1:8" x14ac:dyDescent="0.2">
      <c r="A370" s="117" t="s">
        <v>173</v>
      </c>
      <c r="B370" s="117"/>
      <c r="C370" s="117" t="s">
        <v>727</v>
      </c>
      <c r="D370" s="304" t="s">
        <v>1239</v>
      </c>
      <c r="E370" s="305"/>
      <c r="F370" s="117" t="s">
        <v>1644</v>
      </c>
      <c r="G370" s="116">
        <v>1</v>
      </c>
      <c r="H370" s="108">
        <v>0</v>
      </c>
    </row>
    <row r="371" spans="1:8" x14ac:dyDescent="0.2">
      <c r="A371" s="117" t="s">
        <v>174</v>
      </c>
      <c r="B371" s="117"/>
      <c r="C371" s="117" t="s">
        <v>728</v>
      </c>
      <c r="D371" s="304" t="s">
        <v>1240</v>
      </c>
      <c r="E371" s="305"/>
      <c r="F371" s="117" t="s">
        <v>1644</v>
      </c>
      <c r="G371" s="116">
        <v>1</v>
      </c>
      <c r="H371" s="108">
        <v>0</v>
      </c>
    </row>
    <row r="372" spans="1:8" x14ac:dyDescent="0.2">
      <c r="A372" s="117" t="s">
        <v>175</v>
      </c>
      <c r="B372" s="117"/>
      <c r="C372" s="117" t="s">
        <v>729</v>
      </c>
      <c r="D372" s="304" t="s">
        <v>1241</v>
      </c>
      <c r="E372" s="305"/>
      <c r="F372" s="117" t="s">
        <v>1644</v>
      </c>
      <c r="G372" s="116">
        <v>1</v>
      </c>
      <c r="H372" s="108">
        <v>0</v>
      </c>
    </row>
    <row r="373" spans="1:8" x14ac:dyDescent="0.2">
      <c r="A373" s="117" t="s">
        <v>176</v>
      </c>
      <c r="B373" s="117"/>
      <c r="C373" s="117" t="s">
        <v>730</v>
      </c>
      <c r="D373" s="304" t="s">
        <v>1242</v>
      </c>
      <c r="E373" s="305"/>
      <c r="F373" s="117" t="s">
        <v>1644</v>
      </c>
      <c r="G373" s="116">
        <v>2</v>
      </c>
      <c r="H373" s="108">
        <v>0</v>
      </c>
    </row>
    <row r="374" spans="1:8" x14ac:dyDescent="0.2">
      <c r="A374" s="117" t="s">
        <v>177</v>
      </c>
      <c r="B374" s="117"/>
      <c r="C374" s="117" t="s">
        <v>731</v>
      </c>
      <c r="D374" s="304" t="s">
        <v>1243</v>
      </c>
      <c r="E374" s="305"/>
      <c r="F374" s="117" t="s">
        <v>1651</v>
      </c>
      <c r="G374" s="116">
        <v>1</v>
      </c>
      <c r="H374" s="108">
        <v>0</v>
      </c>
    </row>
    <row r="375" spans="1:8" x14ac:dyDescent="0.2">
      <c r="A375" s="117" t="s">
        <v>178</v>
      </c>
      <c r="B375" s="117"/>
      <c r="C375" s="117" t="s">
        <v>732</v>
      </c>
      <c r="D375" s="304" t="s">
        <v>1244</v>
      </c>
      <c r="E375" s="305"/>
      <c r="F375" s="117" t="s">
        <v>1651</v>
      </c>
      <c r="G375" s="116">
        <v>1</v>
      </c>
      <c r="H375" s="108">
        <v>0</v>
      </c>
    </row>
    <row r="376" spans="1:8" x14ac:dyDescent="0.2">
      <c r="A376" s="117" t="s">
        <v>179</v>
      </c>
      <c r="B376" s="117"/>
      <c r="C376" s="117" t="s">
        <v>733</v>
      </c>
      <c r="D376" s="304" t="s">
        <v>2137</v>
      </c>
      <c r="E376" s="305"/>
      <c r="F376" s="117" t="s">
        <v>1644</v>
      </c>
      <c r="G376" s="116">
        <v>1</v>
      </c>
      <c r="H376" s="108">
        <v>0</v>
      </c>
    </row>
    <row r="377" spans="1:8" x14ac:dyDescent="0.2">
      <c r="A377" s="117" t="s">
        <v>180</v>
      </c>
      <c r="B377" s="117"/>
      <c r="C377" s="117" t="s">
        <v>2138</v>
      </c>
      <c r="D377" s="304" t="s">
        <v>1246</v>
      </c>
      <c r="E377" s="305"/>
      <c r="F377" s="117" t="s">
        <v>1644</v>
      </c>
      <c r="G377" s="116">
        <v>2</v>
      </c>
      <c r="H377" s="108">
        <v>0</v>
      </c>
    </row>
    <row r="378" spans="1:8" x14ac:dyDescent="0.2">
      <c r="A378" s="117" t="s">
        <v>181</v>
      </c>
      <c r="B378" s="117"/>
      <c r="C378" s="117" t="s">
        <v>734</v>
      </c>
      <c r="D378" s="304" t="s">
        <v>1247</v>
      </c>
      <c r="E378" s="305"/>
      <c r="F378" s="117" t="s">
        <v>1650</v>
      </c>
      <c r="G378" s="116">
        <v>30</v>
      </c>
      <c r="H378" s="108">
        <v>0</v>
      </c>
    </row>
    <row r="379" spans="1:8" x14ac:dyDescent="0.2">
      <c r="A379" s="117" t="s">
        <v>182</v>
      </c>
      <c r="B379" s="117"/>
      <c r="C379" s="117" t="s">
        <v>736</v>
      </c>
      <c r="D379" s="304" t="s">
        <v>1248</v>
      </c>
      <c r="E379" s="305"/>
      <c r="F379" s="117" t="s">
        <v>1646</v>
      </c>
      <c r="G379" s="116">
        <v>33</v>
      </c>
      <c r="H379" s="108">
        <v>0</v>
      </c>
    </row>
    <row r="380" spans="1:8" x14ac:dyDescent="0.2">
      <c r="A380" s="117" t="s">
        <v>183</v>
      </c>
      <c r="B380" s="117"/>
      <c r="C380" s="117" t="s">
        <v>737</v>
      </c>
      <c r="D380" s="304" t="s">
        <v>1249</v>
      </c>
      <c r="E380" s="305"/>
      <c r="F380" s="117" t="s">
        <v>1646</v>
      </c>
      <c r="G380" s="116">
        <v>33</v>
      </c>
      <c r="H380" s="108">
        <v>0</v>
      </c>
    </row>
    <row r="381" spans="1:8" x14ac:dyDescent="0.2">
      <c r="A381" s="117" t="s">
        <v>184</v>
      </c>
      <c r="B381" s="117"/>
      <c r="C381" s="117" t="s">
        <v>738</v>
      </c>
      <c r="D381" s="304" t="s">
        <v>1250</v>
      </c>
      <c r="E381" s="305"/>
      <c r="F381" s="117" t="s">
        <v>1646</v>
      </c>
      <c r="G381" s="116">
        <v>33</v>
      </c>
      <c r="H381" s="108">
        <v>0</v>
      </c>
    </row>
    <row r="382" spans="1:8" x14ac:dyDescent="0.2">
      <c r="A382" s="117" t="s">
        <v>185</v>
      </c>
      <c r="B382" s="117"/>
      <c r="C382" s="117" t="s">
        <v>739</v>
      </c>
      <c r="D382" s="304" t="s">
        <v>1251</v>
      </c>
      <c r="E382" s="305"/>
      <c r="F382" s="117" t="s">
        <v>1650</v>
      </c>
      <c r="G382" s="116">
        <v>10</v>
      </c>
      <c r="H382" s="108">
        <v>0</v>
      </c>
    </row>
    <row r="383" spans="1:8" x14ac:dyDescent="0.2">
      <c r="A383" s="117" t="s">
        <v>186</v>
      </c>
      <c r="B383" s="117"/>
      <c r="C383" s="117" t="s">
        <v>740</v>
      </c>
      <c r="D383" s="304" t="s">
        <v>1252</v>
      </c>
      <c r="E383" s="305"/>
      <c r="F383" s="117" t="s">
        <v>1644</v>
      </c>
      <c r="G383" s="116">
        <v>1</v>
      </c>
      <c r="H383" s="108">
        <v>0</v>
      </c>
    </row>
    <row r="384" spans="1:8" x14ac:dyDescent="0.2">
      <c r="A384" s="117" t="s">
        <v>187</v>
      </c>
      <c r="B384" s="117"/>
      <c r="C384" s="117" t="s">
        <v>741</v>
      </c>
      <c r="D384" s="304" t="s">
        <v>1253</v>
      </c>
      <c r="E384" s="305"/>
      <c r="F384" s="117" t="s">
        <v>1644</v>
      </c>
      <c r="G384" s="116">
        <v>1</v>
      </c>
      <c r="H384" s="108">
        <v>0</v>
      </c>
    </row>
    <row r="385" spans="1:8" x14ac:dyDescent="0.2">
      <c r="A385" s="117" t="s">
        <v>188</v>
      </c>
      <c r="B385" s="117"/>
      <c r="C385" s="117" t="s">
        <v>742</v>
      </c>
      <c r="D385" s="304" t="s">
        <v>1254</v>
      </c>
      <c r="E385" s="305"/>
      <c r="F385" s="117" t="s">
        <v>1644</v>
      </c>
      <c r="G385" s="116">
        <v>1</v>
      </c>
      <c r="H385" s="108">
        <v>0</v>
      </c>
    </row>
    <row r="386" spans="1:8" x14ac:dyDescent="0.2">
      <c r="A386" s="117" t="s">
        <v>189</v>
      </c>
      <c r="B386" s="117"/>
      <c r="C386" s="117" t="s">
        <v>743</v>
      </c>
      <c r="D386" s="304" t="s">
        <v>1255</v>
      </c>
      <c r="E386" s="305"/>
      <c r="F386" s="117" t="s">
        <v>1644</v>
      </c>
      <c r="G386" s="116">
        <v>1</v>
      </c>
      <c r="H386" s="108">
        <v>0</v>
      </c>
    </row>
    <row r="387" spans="1:8" x14ac:dyDescent="0.2">
      <c r="A387" s="120"/>
      <c r="B387" s="120"/>
      <c r="C387" s="120" t="s">
        <v>744</v>
      </c>
      <c r="D387" s="306" t="s">
        <v>1256</v>
      </c>
      <c r="E387" s="307"/>
      <c r="F387" s="120"/>
      <c r="G387" s="142"/>
      <c r="H387" s="109"/>
    </row>
    <row r="388" spans="1:8" x14ac:dyDescent="0.2">
      <c r="A388" s="117" t="s">
        <v>190</v>
      </c>
      <c r="B388" s="117"/>
      <c r="C388" s="117" t="s">
        <v>2826</v>
      </c>
      <c r="D388" s="304" t="s">
        <v>1257</v>
      </c>
      <c r="E388" s="305"/>
      <c r="F388" s="117" t="s">
        <v>1646</v>
      </c>
      <c r="G388" s="116">
        <v>1</v>
      </c>
      <c r="H388" s="108">
        <v>0</v>
      </c>
    </row>
    <row r="389" spans="1:8" x14ac:dyDescent="0.2">
      <c r="A389" s="117" t="s">
        <v>191</v>
      </c>
      <c r="B389" s="117"/>
      <c r="C389" s="117" t="s">
        <v>2825</v>
      </c>
      <c r="D389" s="304" t="s">
        <v>1258</v>
      </c>
      <c r="E389" s="305"/>
      <c r="F389" s="117" t="s">
        <v>1646</v>
      </c>
      <c r="G389" s="116">
        <v>2</v>
      </c>
      <c r="H389" s="108">
        <v>0</v>
      </c>
    </row>
    <row r="390" spans="1:8" x14ac:dyDescent="0.2">
      <c r="A390" s="117" t="s">
        <v>192</v>
      </c>
      <c r="B390" s="117"/>
      <c r="C390" s="117" t="s">
        <v>2824</v>
      </c>
      <c r="D390" s="304" t="s">
        <v>2133</v>
      </c>
      <c r="E390" s="305"/>
      <c r="F390" s="117" t="s">
        <v>1646</v>
      </c>
      <c r="G390" s="116">
        <v>2</v>
      </c>
      <c r="H390" s="108">
        <v>0</v>
      </c>
    </row>
    <row r="391" spans="1:8" x14ac:dyDescent="0.2">
      <c r="A391" s="117" t="s">
        <v>193</v>
      </c>
      <c r="B391" s="117"/>
      <c r="C391" s="117" t="s">
        <v>2823</v>
      </c>
      <c r="D391" s="304" t="s">
        <v>1262</v>
      </c>
      <c r="E391" s="305"/>
      <c r="F391" s="117" t="s">
        <v>1644</v>
      </c>
      <c r="G391" s="116">
        <v>1</v>
      </c>
      <c r="H391" s="108">
        <v>0</v>
      </c>
    </row>
    <row r="392" spans="1:8" x14ac:dyDescent="0.2">
      <c r="A392" s="117" t="s">
        <v>194</v>
      </c>
      <c r="B392" s="117"/>
      <c r="C392" s="117" t="s">
        <v>2822</v>
      </c>
      <c r="D392" s="304" t="s">
        <v>1263</v>
      </c>
      <c r="E392" s="305"/>
      <c r="F392" s="117" t="s">
        <v>1644</v>
      </c>
      <c r="G392" s="116">
        <v>2</v>
      </c>
      <c r="H392" s="108">
        <v>0</v>
      </c>
    </row>
    <row r="393" spans="1:8" x14ac:dyDescent="0.2">
      <c r="A393" s="117" t="s">
        <v>195</v>
      </c>
      <c r="B393" s="117"/>
      <c r="C393" s="117" t="s">
        <v>2821</v>
      </c>
      <c r="D393" s="304" t="s">
        <v>1264</v>
      </c>
      <c r="E393" s="305"/>
      <c r="F393" s="117" t="s">
        <v>1644</v>
      </c>
      <c r="G393" s="116">
        <v>1</v>
      </c>
      <c r="H393" s="108">
        <v>0</v>
      </c>
    </row>
    <row r="394" spans="1:8" x14ac:dyDescent="0.2">
      <c r="A394" s="117" t="s">
        <v>196</v>
      </c>
      <c r="B394" s="117"/>
      <c r="C394" s="117" t="s">
        <v>2820</v>
      </c>
      <c r="D394" s="304" t="s">
        <v>1269</v>
      </c>
      <c r="E394" s="305"/>
      <c r="F394" s="117" t="s">
        <v>1644</v>
      </c>
      <c r="G394" s="116">
        <v>1</v>
      </c>
      <c r="H394" s="108">
        <v>0</v>
      </c>
    </row>
    <row r="395" spans="1:8" x14ac:dyDescent="0.2">
      <c r="A395" s="117" t="s">
        <v>197</v>
      </c>
      <c r="B395" s="117"/>
      <c r="C395" s="117" t="s">
        <v>2819</v>
      </c>
      <c r="D395" s="304" t="s">
        <v>1270</v>
      </c>
      <c r="E395" s="305"/>
      <c r="F395" s="117" t="s">
        <v>1644</v>
      </c>
      <c r="G395" s="116">
        <v>1</v>
      </c>
      <c r="H395" s="108">
        <v>0</v>
      </c>
    </row>
    <row r="396" spans="1:8" x14ac:dyDescent="0.2">
      <c r="A396" s="117" t="s">
        <v>198</v>
      </c>
      <c r="B396" s="117"/>
      <c r="C396" s="117" t="s">
        <v>2818</v>
      </c>
      <c r="D396" s="304" t="s">
        <v>1271</v>
      </c>
      <c r="E396" s="305"/>
      <c r="F396" s="117" t="s">
        <v>1644</v>
      </c>
      <c r="G396" s="116">
        <v>1</v>
      </c>
      <c r="H396" s="108">
        <v>0</v>
      </c>
    </row>
    <row r="397" spans="1:8" x14ac:dyDescent="0.2">
      <c r="A397" s="117" t="s">
        <v>199</v>
      </c>
      <c r="B397" s="117"/>
      <c r="C397" s="117" t="s">
        <v>2817</v>
      </c>
      <c r="D397" s="304" t="s">
        <v>1272</v>
      </c>
      <c r="E397" s="305"/>
      <c r="F397" s="117" t="s">
        <v>1644</v>
      </c>
      <c r="G397" s="116">
        <v>1</v>
      </c>
      <c r="H397" s="108">
        <v>0</v>
      </c>
    </row>
    <row r="398" spans="1:8" x14ac:dyDescent="0.2">
      <c r="A398" s="117" t="s">
        <v>200</v>
      </c>
      <c r="B398" s="117"/>
      <c r="C398" s="117" t="s">
        <v>2816</v>
      </c>
      <c r="D398" s="304" t="s">
        <v>1276</v>
      </c>
      <c r="E398" s="305"/>
      <c r="F398" s="117" t="s">
        <v>1644</v>
      </c>
      <c r="G398" s="116">
        <v>1</v>
      </c>
      <c r="H398" s="108">
        <v>0</v>
      </c>
    </row>
    <row r="399" spans="1:8" x14ac:dyDescent="0.2">
      <c r="A399" s="117" t="s">
        <v>201</v>
      </c>
      <c r="B399" s="117"/>
      <c r="C399" s="117" t="s">
        <v>2815</v>
      </c>
      <c r="D399" s="304" t="s">
        <v>1278</v>
      </c>
      <c r="E399" s="305"/>
      <c r="F399" s="117" t="s">
        <v>1644</v>
      </c>
      <c r="G399" s="116">
        <v>2</v>
      </c>
      <c r="H399" s="108">
        <v>0</v>
      </c>
    </row>
    <row r="400" spans="1:8" x14ac:dyDescent="0.2">
      <c r="A400" s="117" t="s">
        <v>202</v>
      </c>
      <c r="B400" s="117"/>
      <c r="C400" s="117" t="s">
        <v>2814</v>
      </c>
      <c r="D400" s="304" t="s">
        <v>2123</v>
      </c>
      <c r="E400" s="305"/>
      <c r="F400" s="117" t="s">
        <v>1644</v>
      </c>
      <c r="G400" s="116">
        <v>1</v>
      </c>
      <c r="H400" s="108">
        <v>0</v>
      </c>
    </row>
    <row r="401" spans="1:8" x14ac:dyDescent="0.2">
      <c r="A401" s="117" t="s">
        <v>203</v>
      </c>
      <c r="B401" s="117"/>
      <c r="C401" s="117" t="s">
        <v>2813</v>
      </c>
      <c r="D401" s="304" t="s">
        <v>1280</v>
      </c>
      <c r="E401" s="305"/>
      <c r="F401" s="117" t="s">
        <v>1646</v>
      </c>
      <c r="G401" s="116">
        <v>10</v>
      </c>
      <c r="H401" s="108">
        <v>0</v>
      </c>
    </row>
    <row r="402" spans="1:8" x14ac:dyDescent="0.2">
      <c r="A402" s="117" t="s">
        <v>204</v>
      </c>
      <c r="B402" s="117"/>
      <c r="C402" s="117" t="s">
        <v>2812</v>
      </c>
      <c r="D402" s="304" t="s">
        <v>1281</v>
      </c>
      <c r="E402" s="305"/>
      <c r="F402" s="117" t="s">
        <v>1646</v>
      </c>
      <c r="G402" s="116">
        <v>4</v>
      </c>
      <c r="H402" s="108">
        <v>0</v>
      </c>
    </row>
    <row r="403" spans="1:8" x14ac:dyDescent="0.2">
      <c r="A403" s="117" t="s">
        <v>205</v>
      </c>
      <c r="B403" s="117"/>
      <c r="C403" s="117" t="s">
        <v>2811</v>
      </c>
      <c r="D403" s="304" t="s">
        <v>1282</v>
      </c>
      <c r="E403" s="305"/>
      <c r="F403" s="117" t="s">
        <v>1644</v>
      </c>
      <c r="G403" s="116">
        <v>1</v>
      </c>
      <c r="H403" s="108">
        <v>0</v>
      </c>
    </row>
    <row r="404" spans="1:8" x14ac:dyDescent="0.2">
      <c r="A404" s="120"/>
      <c r="B404" s="120"/>
      <c r="C404" s="120" t="s">
        <v>771</v>
      </c>
      <c r="D404" s="306" t="s">
        <v>1283</v>
      </c>
      <c r="E404" s="307"/>
      <c r="F404" s="120"/>
      <c r="G404" s="142"/>
      <c r="H404" s="109"/>
    </row>
    <row r="405" spans="1:8" x14ac:dyDescent="0.2">
      <c r="A405" s="117" t="s">
        <v>206</v>
      </c>
      <c r="B405" s="117"/>
      <c r="C405" s="117" t="s">
        <v>2810</v>
      </c>
      <c r="D405" s="304" t="s">
        <v>1284</v>
      </c>
      <c r="E405" s="305"/>
      <c r="F405" s="117" t="s">
        <v>1644</v>
      </c>
      <c r="G405" s="116">
        <v>1</v>
      </c>
      <c r="H405" s="108">
        <v>0</v>
      </c>
    </row>
    <row r="406" spans="1:8" x14ac:dyDescent="0.2">
      <c r="A406" s="117" t="s">
        <v>207</v>
      </c>
      <c r="B406" s="117"/>
      <c r="C406" s="117" t="s">
        <v>2809</v>
      </c>
      <c r="D406" s="304" t="s">
        <v>1285</v>
      </c>
      <c r="E406" s="305"/>
      <c r="F406" s="117" t="s">
        <v>1644</v>
      </c>
      <c r="G406" s="116">
        <v>1</v>
      </c>
      <c r="H406" s="108">
        <v>0</v>
      </c>
    </row>
    <row r="407" spans="1:8" x14ac:dyDescent="0.2">
      <c r="A407" s="117" t="s">
        <v>208</v>
      </c>
      <c r="B407" s="117"/>
      <c r="C407" s="117" t="s">
        <v>2808</v>
      </c>
      <c r="D407" s="304" t="s">
        <v>1286</v>
      </c>
      <c r="E407" s="305"/>
      <c r="F407" s="117" t="s">
        <v>1644</v>
      </c>
      <c r="G407" s="116">
        <v>2</v>
      </c>
      <c r="H407" s="108">
        <v>0</v>
      </c>
    </row>
    <row r="408" spans="1:8" x14ac:dyDescent="0.2">
      <c r="A408" s="117" t="s">
        <v>209</v>
      </c>
      <c r="B408" s="117"/>
      <c r="C408" s="117" t="s">
        <v>2807</v>
      </c>
      <c r="D408" s="304" t="s">
        <v>1287</v>
      </c>
      <c r="E408" s="305"/>
      <c r="F408" s="117" t="s">
        <v>1644</v>
      </c>
      <c r="G408" s="116">
        <v>1</v>
      </c>
      <c r="H408" s="108">
        <v>0</v>
      </c>
    </row>
    <row r="409" spans="1:8" x14ac:dyDescent="0.2">
      <c r="A409" s="117" t="s">
        <v>210</v>
      </c>
      <c r="B409" s="117"/>
      <c r="C409" s="117" t="s">
        <v>2806</v>
      </c>
      <c r="D409" s="304" t="s">
        <v>1288</v>
      </c>
      <c r="E409" s="305"/>
      <c r="F409" s="117" t="s">
        <v>1644</v>
      </c>
      <c r="G409" s="116">
        <v>1</v>
      </c>
      <c r="H409" s="108">
        <v>0</v>
      </c>
    </row>
    <row r="410" spans="1:8" x14ac:dyDescent="0.2">
      <c r="A410" s="117" t="s">
        <v>211</v>
      </c>
      <c r="B410" s="117"/>
      <c r="C410" s="117" t="s">
        <v>2805</v>
      </c>
      <c r="D410" s="304" t="s">
        <v>1289</v>
      </c>
      <c r="E410" s="305"/>
      <c r="F410" s="117" t="s">
        <v>1644</v>
      </c>
      <c r="G410" s="116">
        <v>3</v>
      </c>
      <c r="H410" s="108">
        <v>0</v>
      </c>
    </row>
    <row r="411" spans="1:8" x14ac:dyDescent="0.2">
      <c r="A411" s="117" t="s">
        <v>212</v>
      </c>
      <c r="B411" s="117"/>
      <c r="C411" s="117" t="s">
        <v>2804</v>
      </c>
      <c r="D411" s="304" t="s">
        <v>1290</v>
      </c>
      <c r="E411" s="305"/>
      <c r="F411" s="117" t="s">
        <v>1644</v>
      </c>
      <c r="G411" s="116">
        <v>2</v>
      </c>
      <c r="H411" s="108">
        <v>0</v>
      </c>
    </row>
    <row r="412" spans="1:8" x14ac:dyDescent="0.2">
      <c r="A412" s="117" t="s">
        <v>213</v>
      </c>
      <c r="B412" s="117"/>
      <c r="C412" s="117" t="s">
        <v>2803</v>
      </c>
      <c r="D412" s="304" t="s">
        <v>1291</v>
      </c>
      <c r="E412" s="305"/>
      <c r="F412" s="117" t="s">
        <v>1644</v>
      </c>
      <c r="G412" s="116">
        <v>2</v>
      </c>
      <c r="H412" s="108">
        <v>0</v>
      </c>
    </row>
    <row r="413" spans="1:8" x14ac:dyDescent="0.2">
      <c r="A413" s="117" t="s">
        <v>214</v>
      </c>
      <c r="B413" s="117"/>
      <c r="C413" s="117" t="s">
        <v>2802</v>
      </c>
      <c r="D413" s="304" t="s">
        <v>1292</v>
      </c>
      <c r="E413" s="305"/>
      <c r="F413" s="117" t="s">
        <v>1644</v>
      </c>
      <c r="G413" s="116">
        <v>1</v>
      </c>
      <c r="H413" s="108">
        <v>0</v>
      </c>
    </row>
    <row r="414" spans="1:8" x14ac:dyDescent="0.2">
      <c r="A414" s="117" t="s">
        <v>215</v>
      </c>
      <c r="B414" s="117"/>
      <c r="C414" s="117" t="s">
        <v>2801</v>
      </c>
      <c r="D414" s="304" t="s">
        <v>1293</v>
      </c>
      <c r="E414" s="305"/>
      <c r="F414" s="117" t="s">
        <v>1644</v>
      </c>
      <c r="G414" s="116">
        <v>1</v>
      </c>
      <c r="H414" s="108">
        <v>0</v>
      </c>
    </row>
    <row r="415" spans="1:8" x14ac:dyDescent="0.2">
      <c r="A415" s="117" t="s">
        <v>216</v>
      </c>
      <c r="B415" s="117"/>
      <c r="C415" s="117" t="s">
        <v>2800</v>
      </c>
      <c r="D415" s="304" t="s">
        <v>1294</v>
      </c>
      <c r="E415" s="305"/>
      <c r="F415" s="117" t="s">
        <v>1644</v>
      </c>
      <c r="G415" s="116">
        <v>1</v>
      </c>
      <c r="H415" s="108">
        <v>0</v>
      </c>
    </row>
    <row r="416" spans="1:8" x14ac:dyDescent="0.2">
      <c r="A416" s="117" t="s">
        <v>217</v>
      </c>
      <c r="B416" s="117"/>
      <c r="C416" s="117" t="s">
        <v>2799</v>
      </c>
      <c r="D416" s="304" t="s">
        <v>1295</v>
      </c>
      <c r="E416" s="305"/>
      <c r="F416" s="117" t="s">
        <v>1644</v>
      </c>
      <c r="G416" s="116">
        <v>1</v>
      </c>
      <c r="H416" s="108">
        <v>0</v>
      </c>
    </row>
    <row r="417" spans="1:8" x14ac:dyDescent="0.2">
      <c r="A417" s="117" t="s">
        <v>218</v>
      </c>
      <c r="B417" s="117"/>
      <c r="C417" s="117" t="s">
        <v>2798</v>
      </c>
      <c r="D417" s="304" t="s">
        <v>1296</v>
      </c>
      <c r="E417" s="305"/>
      <c r="F417" s="117" t="s">
        <v>1644</v>
      </c>
      <c r="G417" s="116">
        <v>2</v>
      </c>
      <c r="H417" s="108">
        <v>0</v>
      </c>
    </row>
    <row r="418" spans="1:8" x14ac:dyDescent="0.2">
      <c r="A418" s="117" t="s">
        <v>219</v>
      </c>
      <c r="B418" s="117"/>
      <c r="C418" s="117" t="s">
        <v>2797</v>
      </c>
      <c r="D418" s="304" t="s">
        <v>1297</v>
      </c>
      <c r="E418" s="305"/>
      <c r="F418" s="117" t="s">
        <v>1644</v>
      </c>
      <c r="G418" s="116">
        <v>2</v>
      </c>
      <c r="H418" s="108">
        <v>0</v>
      </c>
    </row>
    <row r="419" spans="1:8" x14ac:dyDescent="0.2">
      <c r="A419" s="117" t="s">
        <v>220</v>
      </c>
      <c r="B419" s="117"/>
      <c r="C419" s="117" t="s">
        <v>2796</v>
      </c>
      <c r="D419" s="304" t="s">
        <v>1298</v>
      </c>
      <c r="E419" s="305"/>
      <c r="F419" s="117" t="s">
        <v>1644</v>
      </c>
      <c r="G419" s="116">
        <v>1</v>
      </c>
      <c r="H419" s="108">
        <v>0</v>
      </c>
    </row>
    <row r="420" spans="1:8" x14ac:dyDescent="0.2">
      <c r="A420" s="117" t="s">
        <v>221</v>
      </c>
      <c r="B420" s="117"/>
      <c r="C420" s="117" t="s">
        <v>2795</v>
      </c>
      <c r="D420" s="304" t="s">
        <v>1299</v>
      </c>
      <c r="E420" s="305"/>
      <c r="F420" s="117" t="s">
        <v>1646</v>
      </c>
      <c r="G420" s="116">
        <v>8</v>
      </c>
      <c r="H420" s="108">
        <v>0</v>
      </c>
    </row>
    <row r="421" spans="1:8" x14ac:dyDescent="0.2">
      <c r="A421" s="117" t="s">
        <v>222</v>
      </c>
      <c r="B421" s="117"/>
      <c r="C421" s="117" t="s">
        <v>2794</v>
      </c>
      <c r="D421" s="304" t="s">
        <v>1300</v>
      </c>
      <c r="E421" s="305"/>
      <c r="F421" s="117" t="s">
        <v>1646</v>
      </c>
      <c r="G421" s="116">
        <v>15</v>
      </c>
      <c r="H421" s="108">
        <v>0</v>
      </c>
    </row>
    <row r="422" spans="1:8" x14ac:dyDescent="0.2">
      <c r="A422" s="117" t="s">
        <v>223</v>
      </c>
      <c r="B422" s="117"/>
      <c r="C422" s="117" t="s">
        <v>2793</v>
      </c>
      <c r="D422" s="304" t="s">
        <v>1301</v>
      </c>
      <c r="E422" s="305"/>
      <c r="F422" s="117" t="s">
        <v>1646</v>
      </c>
      <c r="G422" s="116">
        <v>8</v>
      </c>
      <c r="H422" s="108">
        <v>0</v>
      </c>
    </row>
    <row r="423" spans="1:8" x14ac:dyDescent="0.2">
      <c r="A423" s="117" t="s">
        <v>224</v>
      </c>
      <c r="B423" s="117"/>
      <c r="C423" s="117" t="s">
        <v>2792</v>
      </c>
      <c r="D423" s="304" t="s">
        <v>1302</v>
      </c>
      <c r="E423" s="305"/>
      <c r="F423" s="117" t="s">
        <v>1644</v>
      </c>
      <c r="G423" s="116">
        <v>1</v>
      </c>
      <c r="H423" s="108">
        <v>0</v>
      </c>
    </row>
    <row r="424" spans="1:8" x14ac:dyDescent="0.2">
      <c r="A424" s="117" t="s">
        <v>225</v>
      </c>
      <c r="B424" s="117"/>
      <c r="C424" s="117" t="s">
        <v>2791</v>
      </c>
      <c r="D424" s="304" t="s">
        <v>1303</v>
      </c>
      <c r="E424" s="305"/>
      <c r="F424" s="117" t="s">
        <v>1644</v>
      </c>
      <c r="G424" s="116">
        <v>1</v>
      </c>
      <c r="H424" s="108">
        <v>0</v>
      </c>
    </row>
    <row r="425" spans="1:8" x14ac:dyDescent="0.2">
      <c r="A425" s="117" t="s">
        <v>226</v>
      </c>
      <c r="B425" s="117"/>
      <c r="C425" s="117" t="s">
        <v>2790</v>
      </c>
      <c r="D425" s="304" t="s">
        <v>1304</v>
      </c>
      <c r="E425" s="305"/>
      <c r="F425" s="117" t="s">
        <v>1644</v>
      </c>
      <c r="G425" s="116">
        <v>1</v>
      </c>
      <c r="H425" s="108">
        <v>0</v>
      </c>
    </row>
    <row r="426" spans="1:8" x14ac:dyDescent="0.2">
      <c r="A426" s="117" t="s">
        <v>227</v>
      </c>
      <c r="B426" s="117"/>
      <c r="C426" s="117" t="s">
        <v>2789</v>
      </c>
      <c r="D426" s="304" t="s">
        <v>1305</v>
      </c>
      <c r="E426" s="305"/>
      <c r="F426" s="117" t="s">
        <v>1644</v>
      </c>
      <c r="G426" s="116">
        <v>1</v>
      </c>
      <c r="H426" s="108">
        <v>0</v>
      </c>
    </row>
    <row r="427" spans="1:8" x14ac:dyDescent="0.2">
      <c r="A427" s="117" t="s">
        <v>228</v>
      </c>
      <c r="B427" s="117"/>
      <c r="C427" s="117" t="s">
        <v>2788</v>
      </c>
      <c r="D427" s="304" t="s">
        <v>1306</v>
      </c>
      <c r="E427" s="305"/>
      <c r="F427" s="117" t="s">
        <v>1646</v>
      </c>
      <c r="G427" s="116">
        <v>15</v>
      </c>
      <c r="H427" s="108">
        <v>0</v>
      </c>
    </row>
    <row r="428" spans="1:8" x14ac:dyDescent="0.2">
      <c r="A428" s="117" t="s">
        <v>229</v>
      </c>
      <c r="B428" s="117"/>
      <c r="C428" s="117" t="s">
        <v>2787</v>
      </c>
      <c r="D428" s="304" t="s">
        <v>1286</v>
      </c>
      <c r="E428" s="305"/>
      <c r="F428" s="117" t="s">
        <v>1644</v>
      </c>
      <c r="G428" s="116">
        <v>2</v>
      </c>
      <c r="H428" s="108">
        <v>0</v>
      </c>
    </row>
    <row r="429" spans="1:8" x14ac:dyDescent="0.2">
      <c r="A429" s="117" t="s">
        <v>230</v>
      </c>
      <c r="B429" s="117"/>
      <c r="C429" s="117" t="s">
        <v>2786</v>
      </c>
      <c r="D429" s="304" t="s">
        <v>1307</v>
      </c>
      <c r="E429" s="305"/>
      <c r="F429" s="117" t="s">
        <v>1644</v>
      </c>
      <c r="G429" s="116">
        <v>1</v>
      </c>
      <c r="H429" s="108">
        <v>0</v>
      </c>
    </row>
    <row r="430" spans="1:8" x14ac:dyDescent="0.2">
      <c r="A430" s="117" t="s">
        <v>231</v>
      </c>
      <c r="B430" s="117"/>
      <c r="C430" s="117" t="s">
        <v>2785</v>
      </c>
      <c r="D430" s="304" t="s">
        <v>1308</v>
      </c>
      <c r="E430" s="305"/>
      <c r="F430" s="117" t="s">
        <v>1644</v>
      </c>
      <c r="G430" s="116">
        <v>1</v>
      </c>
      <c r="H430" s="108">
        <v>0</v>
      </c>
    </row>
    <row r="431" spans="1:8" x14ac:dyDescent="0.2">
      <c r="A431" s="117" t="s">
        <v>232</v>
      </c>
      <c r="B431" s="117"/>
      <c r="C431" s="117" t="s">
        <v>2784</v>
      </c>
      <c r="D431" s="304" t="s">
        <v>1309</v>
      </c>
      <c r="E431" s="305"/>
      <c r="F431" s="117" t="s">
        <v>1644</v>
      </c>
      <c r="G431" s="116">
        <v>1</v>
      </c>
      <c r="H431" s="108">
        <v>0</v>
      </c>
    </row>
    <row r="432" spans="1:8" x14ac:dyDescent="0.2">
      <c r="A432" s="117" t="s">
        <v>233</v>
      </c>
      <c r="B432" s="117"/>
      <c r="C432" s="117" t="s">
        <v>2783</v>
      </c>
      <c r="D432" s="304" t="s">
        <v>1310</v>
      </c>
      <c r="E432" s="305"/>
      <c r="F432" s="117" t="s">
        <v>1644</v>
      </c>
      <c r="G432" s="116">
        <v>1</v>
      </c>
      <c r="H432" s="108">
        <v>0</v>
      </c>
    </row>
    <row r="433" spans="1:8" x14ac:dyDescent="0.2">
      <c r="A433" s="117" t="s">
        <v>234</v>
      </c>
      <c r="B433" s="117"/>
      <c r="C433" s="117" t="s">
        <v>2782</v>
      </c>
      <c r="D433" s="304" t="s">
        <v>1311</v>
      </c>
      <c r="E433" s="305"/>
      <c r="F433" s="117" t="s">
        <v>1644</v>
      </c>
      <c r="G433" s="116">
        <v>1</v>
      </c>
      <c r="H433" s="108">
        <v>0</v>
      </c>
    </row>
    <row r="434" spans="1:8" x14ac:dyDescent="0.2">
      <c r="A434" s="117" t="s">
        <v>235</v>
      </c>
      <c r="B434" s="117"/>
      <c r="C434" s="117" t="s">
        <v>2781</v>
      </c>
      <c r="D434" s="304" t="s">
        <v>1312</v>
      </c>
      <c r="E434" s="305"/>
      <c r="F434" s="117" t="s">
        <v>1644</v>
      </c>
      <c r="G434" s="116">
        <v>2</v>
      </c>
      <c r="H434" s="108">
        <v>0</v>
      </c>
    </row>
    <row r="435" spans="1:8" x14ac:dyDescent="0.2">
      <c r="A435" s="117" t="s">
        <v>236</v>
      </c>
      <c r="B435" s="117"/>
      <c r="C435" s="117" t="s">
        <v>2780</v>
      </c>
      <c r="D435" s="304" t="s">
        <v>1313</v>
      </c>
      <c r="E435" s="305"/>
      <c r="F435" s="117" t="s">
        <v>1644</v>
      </c>
      <c r="G435" s="116">
        <v>2</v>
      </c>
      <c r="H435" s="108">
        <v>0</v>
      </c>
    </row>
    <row r="436" spans="1:8" x14ac:dyDescent="0.2">
      <c r="A436" s="117" t="s">
        <v>237</v>
      </c>
      <c r="B436" s="117"/>
      <c r="C436" s="117" t="s">
        <v>2779</v>
      </c>
      <c r="D436" s="304" t="s">
        <v>1314</v>
      </c>
      <c r="E436" s="305"/>
      <c r="F436" s="117" t="s">
        <v>1644</v>
      </c>
      <c r="G436" s="116">
        <v>1</v>
      </c>
      <c r="H436" s="108">
        <v>0</v>
      </c>
    </row>
    <row r="437" spans="1:8" x14ac:dyDescent="0.2">
      <c r="A437" s="117" t="s">
        <v>238</v>
      </c>
      <c r="B437" s="117"/>
      <c r="C437" s="117" t="s">
        <v>2778</v>
      </c>
      <c r="D437" s="304" t="s">
        <v>1315</v>
      </c>
      <c r="E437" s="305"/>
      <c r="F437" s="117" t="s">
        <v>1644</v>
      </c>
      <c r="G437" s="116">
        <v>1</v>
      </c>
      <c r="H437" s="108">
        <v>0</v>
      </c>
    </row>
    <row r="438" spans="1:8" x14ac:dyDescent="0.2">
      <c r="A438" s="117" t="s">
        <v>239</v>
      </c>
      <c r="B438" s="117"/>
      <c r="C438" s="117" t="s">
        <v>2777</v>
      </c>
      <c r="D438" s="304" t="s">
        <v>1316</v>
      </c>
      <c r="E438" s="305"/>
      <c r="F438" s="117" t="s">
        <v>1644</v>
      </c>
      <c r="G438" s="116">
        <v>2</v>
      </c>
      <c r="H438" s="108">
        <v>0</v>
      </c>
    </row>
    <row r="439" spans="1:8" x14ac:dyDescent="0.2">
      <c r="A439" s="117" t="s">
        <v>240</v>
      </c>
      <c r="B439" s="117"/>
      <c r="C439" s="117" t="s">
        <v>2776</v>
      </c>
      <c r="D439" s="304" t="s">
        <v>1317</v>
      </c>
      <c r="E439" s="305"/>
      <c r="F439" s="117" t="s">
        <v>1644</v>
      </c>
      <c r="G439" s="116">
        <v>1</v>
      </c>
      <c r="H439" s="108">
        <v>0</v>
      </c>
    </row>
    <row r="440" spans="1:8" x14ac:dyDescent="0.2">
      <c r="A440" s="117" t="s">
        <v>241</v>
      </c>
      <c r="B440" s="117"/>
      <c r="C440" s="117" t="s">
        <v>2775</v>
      </c>
      <c r="D440" s="304" t="s">
        <v>1318</v>
      </c>
      <c r="E440" s="305"/>
      <c r="F440" s="117" t="s">
        <v>1644</v>
      </c>
      <c r="G440" s="116">
        <v>2</v>
      </c>
      <c r="H440" s="108">
        <v>0</v>
      </c>
    </row>
    <row r="441" spans="1:8" x14ac:dyDescent="0.2">
      <c r="A441" s="117" t="s">
        <v>242</v>
      </c>
      <c r="B441" s="117"/>
      <c r="C441" s="117" t="s">
        <v>2774</v>
      </c>
      <c r="D441" s="304" t="s">
        <v>1319</v>
      </c>
      <c r="E441" s="305"/>
      <c r="F441" s="117" t="s">
        <v>1644</v>
      </c>
      <c r="G441" s="116">
        <v>6</v>
      </c>
      <c r="H441" s="108">
        <v>0</v>
      </c>
    </row>
    <row r="442" spans="1:8" x14ac:dyDescent="0.2">
      <c r="A442" s="117" t="s">
        <v>243</v>
      </c>
      <c r="B442" s="117"/>
      <c r="C442" s="117" t="s">
        <v>2773</v>
      </c>
      <c r="D442" s="304" t="s">
        <v>1320</v>
      </c>
      <c r="E442" s="305"/>
      <c r="F442" s="117" t="s">
        <v>1644</v>
      </c>
      <c r="G442" s="116">
        <v>14</v>
      </c>
      <c r="H442" s="108">
        <v>0</v>
      </c>
    </row>
    <row r="443" spans="1:8" x14ac:dyDescent="0.2">
      <c r="A443" s="117" t="s">
        <v>244</v>
      </c>
      <c r="B443" s="117"/>
      <c r="C443" s="117" t="s">
        <v>2772</v>
      </c>
      <c r="D443" s="304" t="s">
        <v>1321</v>
      </c>
      <c r="E443" s="305"/>
      <c r="F443" s="117" t="s">
        <v>1644</v>
      </c>
      <c r="G443" s="116">
        <v>1</v>
      </c>
      <c r="H443" s="108">
        <v>0</v>
      </c>
    </row>
    <row r="444" spans="1:8" x14ac:dyDescent="0.2">
      <c r="A444" s="117" t="s">
        <v>245</v>
      </c>
      <c r="B444" s="117"/>
      <c r="C444" s="117" t="s">
        <v>2771</v>
      </c>
      <c r="D444" s="304" t="s">
        <v>1322</v>
      </c>
      <c r="E444" s="305"/>
      <c r="F444" s="117" t="s">
        <v>1644</v>
      </c>
      <c r="G444" s="116">
        <v>2</v>
      </c>
      <c r="H444" s="108">
        <v>0</v>
      </c>
    </row>
    <row r="445" spans="1:8" x14ac:dyDescent="0.2">
      <c r="A445" s="117" t="s">
        <v>246</v>
      </c>
      <c r="B445" s="117"/>
      <c r="C445" s="117" t="s">
        <v>2770</v>
      </c>
      <c r="D445" s="304" t="s">
        <v>1323</v>
      </c>
      <c r="E445" s="305"/>
      <c r="F445" s="117" t="s">
        <v>1644</v>
      </c>
      <c r="G445" s="116">
        <v>1</v>
      </c>
      <c r="H445" s="108">
        <v>0</v>
      </c>
    </row>
    <row r="446" spans="1:8" x14ac:dyDescent="0.2">
      <c r="A446" s="117" t="s">
        <v>247</v>
      </c>
      <c r="B446" s="117"/>
      <c r="C446" s="117" t="s">
        <v>2769</v>
      </c>
      <c r="D446" s="304" t="s">
        <v>1324</v>
      </c>
      <c r="E446" s="305"/>
      <c r="F446" s="117" t="s">
        <v>1644</v>
      </c>
      <c r="G446" s="116">
        <v>2</v>
      </c>
      <c r="H446" s="108">
        <v>0</v>
      </c>
    </row>
    <row r="447" spans="1:8" x14ac:dyDescent="0.2">
      <c r="A447" s="117" t="s">
        <v>248</v>
      </c>
      <c r="B447" s="117"/>
      <c r="C447" s="117" t="s">
        <v>2768</v>
      </c>
      <c r="D447" s="304" t="s">
        <v>1325</v>
      </c>
      <c r="E447" s="305"/>
      <c r="F447" s="117" t="s">
        <v>1644</v>
      </c>
      <c r="G447" s="116">
        <v>1</v>
      </c>
      <c r="H447" s="108">
        <v>0</v>
      </c>
    </row>
    <row r="448" spans="1:8" x14ac:dyDescent="0.2">
      <c r="A448" s="117" t="s">
        <v>249</v>
      </c>
      <c r="B448" s="117"/>
      <c r="C448" s="117" t="s">
        <v>2767</v>
      </c>
      <c r="D448" s="304" t="s">
        <v>1297</v>
      </c>
      <c r="E448" s="305"/>
      <c r="F448" s="117" t="s">
        <v>1644</v>
      </c>
      <c r="G448" s="116">
        <v>8</v>
      </c>
      <c r="H448" s="108">
        <v>0</v>
      </c>
    </row>
    <row r="449" spans="1:8" x14ac:dyDescent="0.2">
      <c r="A449" s="117" t="s">
        <v>250</v>
      </c>
      <c r="B449" s="117"/>
      <c r="C449" s="117" t="s">
        <v>2766</v>
      </c>
      <c r="D449" s="304" t="s">
        <v>1326</v>
      </c>
      <c r="E449" s="305"/>
      <c r="F449" s="117" t="s">
        <v>1644</v>
      </c>
      <c r="G449" s="116">
        <v>8</v>
      </c>
      <c r="H449" s="108">
        <v>0</v>
      </c>
    </row>
    <row r="450" spans="1:8" x14ac:dyDescent="0.2">
      <c r="A450" s="117" t="s">
        <v>251</v>
      </c>
      <c r="B450" s="117"/>
      <c r="C450" s="117" t="s">
        <v>2765</v>
      </c>
      <c r="D450" s="304" t="s">
        <v>1327</v>
      </c>
      <c r="E450" s="305"/>
      <c r="F450" s="117" t="s">
        <v>1644</v>
      </c>
      <c r="G450" s="116">
        <v>6</v>
      </c>
      <c r="H450" s="108">
        <v>0</v>
      </c>
    </row>
    <row r="451" spans="1:8" x14ac:dyDescent="0.2">
      <c r="A451" s="117" t="s">
        <v>252</v>
      </c>
      <c r="B451" s="117"/>
      <c r="C451" s="117" t="s">
        <v>2764</v>
      </c>
      <c r="D451" s="304" t="s">
        <v>1294</v>
      </c>
      <c r="E451" s="305"/>
      <c r="F451" s="117" t="s">
        <v>1644</v>
      </c>
      <c r="G451" s="116">
        <v>2</v>
      </c>
      <c r="H451" s="108">
        <v>0</v>
      </c>
    </row>
    <row r="452" spans="1:8" x14ac:dyDescent="0.2">
      <c r="A452" s="117" t="s">
        <v>253</v>
      </c>
      <c r="B452" s="117"/>
      <c r="C452" s="117" t="s">
        <v>2763</v>
      </c>
      <c r="D452" s="304" t="s">
        <v>1295</v>
      </c>
      <c r="E452" s="305"/>
      <c r="F452" s="117" t="s">
        <v>1644</v>
      </c>
      <c r="G452" s="116">
        <v>2</v>
      </c>
      <c r="H452" s="108">
        <v>0</v>
      </c>
    </row>
    <row r="453" spans="1:8" x14ac:dyDescent="0.2">
      <c r="A453" s="117" t="s">
        <v>254</v>
      </c>
      <c r="B453" s="117"/>
      <c r="C453" s="117" t="s">
        <v>2762</v>
      </c>
      <c r="D453" s="304" t="s">
        <v>1328</v>
      </c>
      <c r="E453" s="305"/>
      <c r="F453" s="117" t="s">
        <v>1644</v>
      </c>
      <c r="G453" s="116">
        <v>22</v>
      </c>
      <c r="H453" s="108">
        <v>0</v>
      </c>
    </row>
    <row r="454" spans="1:8" x14ac:dyDescent="0.2">
      <c r="A454" s="117" t="s">
        <v>255</v>
      </c>
      <c r="B454" s="117"/>
      <c r="C454" s="117" t="s">
        <v>2761</v>
      </c>
      <c r="D454" s="304" t="s">
        <v>1329</v>
      </c>
      <c r="E454" s="305"/>
      <c r="F454" s="117" t="s">
        <v>1644</v>
      </c>
      <c r="G454" s="116">
        <v>1</v>
      </c>
      <c r="H454" s="108">
        <v>0</v>
      </c>
    </row>
    <row r="455" spans="1:8" x14ac:dyDescent="0.2">
      <c r="A455" s="117" t="s">
        <v>256</v>
      </c>
      <c r="B455" s="117"/>
      <c r="C455" s="117" t="s">
        <v>2760</v>
      </c>
      <c r="D455" s="304" t="s">
        <v>1330</v>
      </c>
      <c r="E455" s="305"/>
      <c r="F455" s="117" t="s">
        <v>1646</v>
      </c>
      <c r="G455" s="116">
        <v>44</v>
      </c>
      <c r="H455" s="108">
        <v>0</v>
      </c>
    </row>
    <row r="456" spans="1:8" x14ac:dyDescent="0.2">
      <c r="A456" s="117" t="s">
        <v>257</v>
      </c>
      <c r="B456" s="117"/>
      <c r="C456" s="117" t="s">
        <v>2759</v>
      </c>
      <c r="D456" s="304" t="s">
        <v>1331</v>
      </c>
      <c r="E456" s="305"/>
      <c r="F456" s="117" t="s">
        <v>1646</v>
      </c>
      <c r="G456" s="116">
        <v>20</v>
      </c>
      <c r="H456" s="108">
        <v>0</v>
      </c>
    </row>
    <row r="457" spans="1:8" x14ac:dyDescent="0.2">
      <c r="A457" s="117" t="s">
        <v>258</v>
      </c>
      <c r="B457" s="117"/>
      <c r="C457" s="117" t="s">
        <v>2758</v>
      </c>
      <c r="D457" s="304" t="s">
        <v>1332</v>
      </c>
      <c r="E457" s="305"/>
      <c r="F457" s="117" t="s">
        <v>1646</v>
      </c>
      <c r="G457" s="116">
        <v>4</v>
      </c>
      <c r="H457" s="108">
        <v>0</v>
      </c>
    </row>
    <row r="458" spans="1:8" x14ac:dyDescent="0.2">
      <c r="A458" s="117" t="s">
        <v>259</v>
      </c>
      <c r="B458" s="117"/>
      <c r="C458" s="117" t="s">
        <v>2757</v>
      </c>
      <c r="D458" s="304" t="s">
        <v>1333</v>
      </c>
      <c r="E458" s="305"/>
      <c r="F458" s="117" t="s">
        <v>1646</v>
      </c>
      <c r="G458" s="116">
        <v>44</v>
      </c>
      <c r="H458" s="108">
        <v>0</v>
      </c>
    </row>
    <row r="459" spans="1:8" x14ac:dyDescent="0.2">
      <c r="A459" s="117" t="s">
        <v>260</v>
      </c>
      <c r="B459" s="117"/>
      <c r="C459" s="117" t="s">
        <v>2756</v>
      </c>
      <c r="D459" s="304" t="s">
        <v>1334</v>
      </c>
      <c r="E459" s="305"/>
      <c r="F459" s="117" t="s">
        <v>1646</v>
      </c>
      <c r="G459" s="116">
        <v>24</v>
      </c>
      <c r="H459" s="108">
        <v>0</v>
      </c>
    </row>
    <row r="460" spans="1:8" x14ac:dyDescent="0.2">
      <c r="A460" s="117" t="s">
        <v>261</v>
      </c>
      <c r="B460" s="117"/>
      <c r="C460" s="117" t="s">
        <v>2755</v>
      </c>
      <c r="D460" s="304" t="s">
        <v>1335</v>
      </c>
      <c r="E460" s="305"/>
      <c r="F460" s="117" t="s">
        <v>1645</v>
      </c>
      <c r="G460" s="116">
        <v>0.7</v>
      </c>
      <c r="H460" s="108">
        <v>0</v>
      </c>
    </row>
    <row r="461" spans="1:8" x14ac:dyDescent="0.2">
      <c r="A461" s="117" t="s">
        <v>262</v>
      </c>
      <c r="B461" s="117"/>
      <c r="C461" s="117" t="s">
        <v>2754</v>
      </c>
      <c r="D461" s="304" t="s">
        <v>1336</v>
      </c>
      <c r="E461" s="305"/>
      <c r="F461" s="117" t="s">
        <v>1644</v>
      </c>
      <c r="G461" s="116">
        <v>1</v>
      </c>
      <c r="H461" s="108">
        <v>0</v>
      </c>
    </row>
    <row r="462" spans="1:8" x14ac:dyDescent="0.2">
      <c r="A462" s="117" t="s">
        <v>263</v>
      </c>
      <c r="B462" s="117"/>
      <c r="C462" s="117" t="s">
        <v>2753</v>
      </c>
      <c r="D462" s="304" t="s">
        <v>1337</v>
      </c>
      <c r="E462" s="305"/>
      <c r="F462" s="117" t="s">
        <v>1644</v>
      </c>
      <c r="G462" s="116">
        <v>1</v>
      </c>
      <c r="H462" s="108">
        <v>0</v>
      </c>
    </row>
    <row r="463" spans="1:8" x14ac:dyDescent="0.2">
      <c r="A463" s="117" t="s">
        <v>264</v>
      </c>
      <c r="B463" s="117"/>
      <c r="C463" s="117" t="s">
        <v>2752</v>
      </c>
      <c r="D463" s="304" t="s">
        <v>1338</v>
      </c>
      <c r="E463" s="305"/>
      <c r="F463" s="117" t="s">
        <v>1644</v>
      </c>
      <c r="G463" s="116">
        <v>1</v>
      </c>
      <c r="H463" s="108">
        <v>0</v>
      </c>
    </row>
    <row r="464" spans="1:8" x14ac:dyDescent="0.2">
      <c r="A464" s="117" t="s">
        <v>265</v>
      </c>
      <c r="B464" s="117"/>
      <c r="C464" s="117" t="s">
        <v>2751</v>
      </c>
      <c r="D464" s="304" t="s">
        <v>1339</v>
      </c>
      <c r="E464" s="305"/>
      <c r="F464" s="117" t="s">
        <v>1644</v>
      </c>
      <c r="G464" s="116">
        <v>1</v>
      </c>
      <c r="H464" s="108">
        <v>0</v>
      </c>
    </row>
    <row r="465" spans="1:8" x14ac:dyDescent="0.2">
      <c r="A465" s="117" t="s">
        <v>266</v>
      </c>
      <c r="B465" s="117"/>
      <c r="C465" s="117" t="s">
        <v>2750</v>
      </c>
      <c r="D465" s="304" t="s">
        <v>2749</v>
      </c>
      <c r="E465" s="305"/>
      <c r="F465" s="117" t="s">
        <v>1644</v>
      </c>
      <c r="G465" s="116">
        <v>1</v>
      </c>
      <c r="H465" s="108">
        <v>0</v>
      </c>
    </row>
    <row r="466" spans="1:8" x14ac:dyDescent="0.2">
      <c r="A466" s="117" t="s">
        <v>267</v>
      </c>
      <c r="B466" s="117"/>
      <c r="C466" s="117" t="s">
        <v>2748</v>
      </c>
      <c r="D466" s="304" t="s">
        <v>1340</v>
      </c>
      <c r="E466" s="305"/>
      <c r="F466" s="117" t="s">
        <v>1644</v>
      </c>
      <c r="G466" s="116">
        <v>1</v>
      </c>
      <c r="H466" s="108">
        <v>0</v>
      </c>
    </row>
    <row r="467" spans="1:8" x14ac:dyDescent="0.2">
      <c r="A467" s="117" t="s">
        <v>268</v>
      </c>
      <c r="B467" s="117"/>
      <c r="C467" s="117" t="s">
        <v>2747</v>
      </c>
      <c r="D467" s="304" t="s">
        <v>1341</v>
      </c>
      <c r="E467" s="305"/>
      <c r="F467" s="117" t="s">
        <v>1644</v>
      </c>
      <c r="G467" s="116">
        <v>1</v>
      </c>
      <c r="H467" s="108">
        <v>0</v>
      </c>
    </row>
    <row r="468" spans="1:8" x14ac:dyDescent="0.2">
      <c r="A468" s="117" t="s">
        <v>269</v>
      </c>
      <c r="B468" s="117"/>
      <c r="C468" s="117" t="s">
        <v>2746</v>
      </c>
      <c r="D468" s="304" t="s">
        <v>1342</v>
      </c>
      <c r="E468" s="305"/>
      <c r="F468" s="117" t="s">
        <v>1646</v>
      </c>
      <c r="G468" s="116">
        <v>5</v>
      </c>
      <c r="H468" s="108">
        <v>0</v>
      </c>
    </row>
    <row r="469" spans="1:8" x14ac:dyDescent="0.2">
      <c r="A469" s="117" t="s">
        <v>270</v>
      </c>
      <c r="B469" s="117"/>
      <c r="C469" s="117" t="s">
        <v>2745</v>
      </c>
      <c r="D469" s="304" t="s">
        <v>1343</v>
      </c>
      <c r="E469" s="305"/>
      <c r="F469" s="117" t="s">
        <v>1646</v>
      </c>
      <c r="G469" s="116">
        <v>9</v>
      </c>
      <c r="H469" s="108">
        <v>0</v>
      </c>
    </row>
    <row r="470" spans="1:8" x14ac:dyDescent="0.2">
      <c r="A470" s="117" t="s">
        <v>271</v>
      </c>
      <c r="B470" s="117"/>
      <c r="C470" s="117" t="s">
        <v>2744</v>
      </c>
      <c r="D470" s="304" t="s">
        <v>1344</v>
      </c>
      <c r="E470" s="305"/>
      <c r="F470" s="117" t="s">
        <v>1646</v>
      </c>
      <c r="G470" s="116">
        <v>20</v>
      </c>
      <c r="H470" s="108">
        <v>0</v>
      </c>
    </row>
    <row r="471" spans="1:8" x14ac:dyDescent="0.2">
      <c r="A471" s="117" t="s">
        <v>272</v>
      </c>
      <c r="B471" s="117"/>
      <c r="C471" s="117" t="s">
        <v>2743</v>
      </c>
      <c r="D471" s="304" t="s">
        <v>1345</v>
      </c>
      <c r="E471" s="305"/>
      <c r="F471" s="117" t="s">
        <v>1646</v>
      </c>
      <c r="G471" s="116">
        <v>20</v>
      </c>
      <c r="H471" s="108">
        <v>0</v>
      </c>
    </row>
    <row r="472" spans="1:8" x14ac:dyDescent="0.2">
      <c r="A472" s="117" t="s">
        <v>273</v>
      </c>
      <c r="B472" s="117"/>
      <c r="C472" s="117" t="s">
        <v>2742</v>
      </c>
      <c r="D472" s="304" t="s">
        <v>1346</v>
      </c>
      <c r="E472" s="305"/>
      <c r="F472" s="117" t="s">
        <v>1644</v>
      </c>
      <c r="G472" s="116">
        <v>1</v>
      </c>
      <c r="H472" s="108">
        <v>0</v>
      </c>
    </row>
    <row r="473" spans="1:8" x14ac:dyDescent="0.2">
      <c r="A473" s="117" t="s">
        <v>274</v>
      </c>
      <c r="B473" s="117"/>
      <c r="C473" s="117" t="s">
        <v>2741</v>
      </c>
      <c r="D473" s="304" t="s">
        <v>1253</v>
      </c>
      <c r="E473" s="305"/>
      <c r="F473" s="117" t="s">
        <v>1644</v>
      </c>
      <c r="G473" s="116">
        <v>1</v>
      </c>
      <c r="H473" s="108">
        <v>0</v>
      </c>
    </row>
    <row r="474" spans="1:8" x14ac:dyDescent="0.2">
      <c r="A474" s="117" t="s">
        <v>275</v>
      </c>
      <c r="B474" s="117"/>
      <c r="C474" s="117" t="s">
        <v>2740</v>
      </c>
      <c r="D474" s="304" t="s">
        <v>1347</v>
      </c>
      <c r="E474" s="305"/>
      <c r="F474" s="117" t="s">
        <v>1646</v>
      </c>
      <c r="G474" s="116">
        <v>83</v>
      </c>
      <c r="H474" s="108">
        <v>0</v>
      </c>
    </row>
    <row r="475" spans="1:8" x14ac:dyDescent="0.2">
      <c r="A475" s="117" t="s">
        <v>276</v>
      </c>
      <c r="B475" s="117"/>
      <c r="C475" s="117" t="s">
        <v>2739</v>
      </c>
      <c r="D475" s="304" t="s">
        <v>1348</v>
      </c>
      <c r="E475" s="305"/>
      <c r="F475" s="117" t="s">
        <v>1644</v>
      </c>
      <c r="G475" s="116">
        <v>1</v>
      </c>
      <c r="H475" s="108">
        <v>0</v>
      </c>
    </row>
    <row r="476" spans="1:8" x14ac:dyDescent="0.2">
      <c r="A476" s="117" t="s">
        <v>277</v>
      </c>
      <c r="B476" s="117"/>
      <c r="C476" s="117" t="s">
        <v>2738</v>
      </c>
      <c r="D476" s="304" t="s">
        <v>1349</v>
      </c>
      <c r="E476" s="305"/>
      <c r="F476" s="117" t="s">
        <v>1644</v>
      </c>
      <c r="G476" s="116">
        <v>2</v>
      </c>
      <c r="H476" s="108">
        <v>0</v>
      </c>
    </row>
    <row r="477" spans="1:8" x14ac:dyDescent="0.2">
      <c r="A477" s="117" t="s">
        <v>278</v>
      </c>
      <c r="B477" s="117"/>
      <c r="C477" s="117" t="s">
        <v>2737</v>
      </c>
      <c r="D477" s="304" t="s">
        <v>1350</v>
      </c>
      <c r="E477" s="305"/>
      <c r="F477" s="117" t="s">
        <v>1644</v>
      </c>
      <c r="G477" s="116">
        <v>1</v>
      </c>
      <c r="H477" s="108">
        <v>0</v>
      </c>
    </row>
    <row r="478" spans="1:8" x14ac:dyDescent="0.2">
      <c r="A478" s="117" t="s">
        <v>279</v>
      </c>
      <c r="B478" s="117"/>
      <c r="C478" s="117" t="s">
        <v>2736</v>
      </c>
      <c r="D478" s="304" t="s">
        <v>1351</v>
      </c>
      <c r="E478" s="305"/>
      <c r="F478" s="117" t="s">
        <v>1644</v>
      </c>
      <c r="G478" s="116">
        <v>1</v>
      </c>
      <c r="H478" s="108">
        <v>0</v>
      </c>
    </row>
    <row r="479" spans="1:8" x14ac:dyDescent="0.2">
      <c r="A479" s="117" t="s">
        <v>280</v>
      </c>
      <c r="B479" s="117"/>
      <c r="C479" s="117" t="s">
        <v>2735</v>
      </c>
      <c r="D479" s="304" t="s">
        <v>1352</v>
      </c>
      <c r="E479" s="305"/>
      <c r="F479" s="117" t="s">
        <v>1644</v>
      </c>
      <c r="G479" s="116">
        <v>16</v>
      </c>
      <c r="H479" s="108">
        <v>0</v>
      </c>
    </row>
    <row r="480" spans="1:8" x14ac:dyDescent="0.2">
      <c r="A480" s="117" t="s">
        <v>281</v>
      </c>
      <c r="B480" s="117"/>
      <c r="C480" s="117" t="s">
        <v>2734</v>
      </c>
      <c r="D480" s="304" t="s">
        <v>1353</v>
      </c>
      <c r="E480" s="305"/>
      <c r="F480" s="117" t="s">
        <v>1644</v>
      </c>
      <c r="G480" s="116">
        <v>1</v>
      </c>
      <c r="H480" s="108">
        <v>0</v>
      </c>
    </row>
    <row r="481" spans="1:8" x14ac:dyDescent="0.2">
      <c r="A481" s="117" t="s">
        <v>282</v>
      </c>
      <c r="B481" s="117"/>
      <c r="C481" s="117" t="s">
        <v>2733</v>
      </c>
      <c r="D481" s="304" t="s">
        <v>1354</v>
      </c>
      <c r="E481" s="305"/>
      <c r="F481" s="117" t="s">
        <v>1644</v>
      </c>
      <c r="G481" s="116">
        <v>1</v>
      </c>
      <c r="H481" s="108">
        <v>0</v>
      </c>
    </row>
    <row r="482" spans="1:8" x14ac:dyDescent="0.2">
      <c r="A482" s="120"/>
      <c r="B482" s="120"/>
      <c r="C482" s="120" t="s">
        <v>772</v>
      </c>
      <c r="D482" s="306" t="s">
        <v>1355</v>
      </c>
      <c r="E482" s="307"/>
      <c r="F482" s="120"/>
      <c r="G482" s="142"/>
      <c r="H482" s="109"/>
    </row>
    <row r="483" spans="1:8" x14ac:dyDescent="0.2">
      <c r="A483" s="117" t="s">
        <v>283</v>
      </c>
      <c r="B483" s="117"/>
      <c r="C483" s="117" t="s">
        <v>2732</v>
      </c>
      <c r="D483" s="304" t="s">
        <v>1356</v>
      </c>
      <c r="E483" s="305"/>
      <c r="F483" s="117" t="s">
        <v>1644</v>
      </c>
      <c r="G483" s="116">
        <v>1</v>
      </c>
      <c r="H483" s="108">
        <v>0</v>
      </c>
    </row>
    <row r="484" spans="1:8" x14ac:dyDescent="0.2">
      <c r="A484" s="117" t="s">
        <v>284</v>
      </c>
      <c r="B484" s="117"/>
      <c r="C484" s="117" t="s">
        <v>2731</v>
      </c>
      <c r="D484" s="304" t="s">
        <v>1357</v>
      </c>
      <c r="E484" s="305"/>
      <c r="F484" s="117" t="s">
        <v>1644</v>
      </c>
      <c r="G484" s="116">
        <v>1</v>
      </c>
      <c r="H484" s="108">
        <v>0</v>
      </c>
    </row>
    <row r="485" spans="1:8" x14ac:dyDescent="0.2">
      <c r="A485" s="117" t="s">
        <v>285</v>
      </c>
      <c r="B485" s="117"/>
      <c r="C485" s="117" t="s">
        <v>2730</v>
      </c>
      <c r="D485" s="304" t="s">
        <v>1358</v>
      </c>
      <c r="E485" s="305"/>
      <c r="F485" s="117" t="s">
        <v>1644</v>
      </c>
      <c r="G485" s="116">
        <v>1</v>
      </c>
      <c r="H485" s="108">
        <v>0</v>
      </c>
    </row>
    <row r="486" spans="1:8" x14ac:dyDescent="0.2">
      <c r="A486" s="117" t="s">
        <v>286</v>
      </c>
      <c r="B486" s="117"/>
      <c r="C486" s="117" t="s">
        <v>2729</v>
      </c>
      <c r="D486" s="304" t="s">
        <v>1360</v>
      </c>
      <c r="E486" s="305"/>
      <c r="F486" s="117" t="s">
        <v>1644</v>
      </c>
      <c r="G486" s="116">
        <v>1</v>
      </c>
      <c r="H486" s="108">
        <v>0</v>
      </c>
    </row>
    <row r="487" spans="1:8" x14ac:dyDescent="0.2">
      <c r="A487" s="117" t="s">
        <v>287</v>
      </c>
      <c r="B487" s="117"/>
      <c r="C487" s="117" t="s">
        <v>2728</v>
      </c>
      <c r="D487" s="304" t="s">
        <v>1361</v>
      </c>
      <c r="E487" s="305"/>
      <c r="F487" s="117" t="s">
        <v>1644</v>
      </c>
      <c r="G487" s="116">
        <v>1</v>
      </c>
      <c r="H487" s="108">
        <v>0</v>
      </c>
    </row>
    <row r="488" spans="1:8" x14ac:dyDescent="0.2">
      <c r="A488" s="117" t="s">
        <v>288</v>
      </c>
      <c r="B488" s="117"/>
      <c r="C488" s="117" t="s">
        <v>2727</v>
      </c>
      <c r="D488" s="304" t="s">
        <v>1362</v>
      </c>
      <c r="E488" s="305"/>
      <c r="F488" s="117" t="s">
        <v>1644</v>
      </c>
      <c r="G488" s="116">
        <v>1</v>
      </c>
      <c r="H488" s="108">
        <v>0</v>
      </c>
    </row>
    <row r="489" spans="1:8" x14ac:dyDescent="0.2">
      <c r="A489" s="117" t="s">
        <v>289</v>
      </c>
      <c r="B489" s="117"/>
      <c r="C489" s="117" t="s">
        <v>2726</v>
      </c>
      <c r="D489" s="304" t="s">
        <v>1363</v>
      </c>
      <c r="E489" s="305"/>
      <c r="F489" s="117" t="s">
        <v>1644</v>
      </c>
      <c r="G489" s="116">
        <v>1</v>
      </c>
      <c r="H489" s="108">
        <v>0</v>
      </c>
    </row>
    <row r="490" spans="1:8" x14ac:dyDescent="0.2">
      <c r="A490" s="117" t="s">
        <v>290</v>
      </c>
      <c r="B490" s="117"/>
      <c r="C490" s="117" t="s">
        <v>2725</v>
      </c>
      <c r="D490" s="304" t="s">
        <v>1364</v>
      </c>
      <c r="E490" s="305"/>
      <c r="F490" s="117" t="s">
        <v>1644</v>
      </c>
      <c r="G490" s="116">
        <v>2</v>
      </c>
      <c r="H490" s="108">
        <v>0</v>
      </c>
    </row>
    <row r="491" spans="1:8" x14ac:dyDescent="0.2">
      <c r="A491" s="117" t="s">
        <v>291</v>
      </c>
      <c r="B491" s="117"/>
      <c r="C491" s="117" t="s">
        <v>2724</v>
      </c>
      <c r="D491" s="304" t="s">
        <v>1365</v>
      </c>
      <c r="E491" s="305"/>
      <c r="F491" s="117" t="s">
        <v>1644</v>
      </c>
      <c r="G491" s="116">
        <v>1</v>
      </c>
      <c r="H491" s="108">
        <v>0</v>
      </c>
    </row>
    <row r="492" spans="1:8" x14ac:dyDescent="0.2">
      <c r="A492" s="117" t="s">
        <v>292</v>
      </c>
      <c r="B492" s="117"/>
      <c r="C492" s="117" t="s">
        <v>2723</v>
      </c>
      <c r="D492" s="304" t="s">
        <v>1368</v>
      </c>
      <c r="E492" s="305"/>
      <c r="F492" s="117" t="s">
        <v>1644</v>
      </c>
      <c r="G492" s="116">
        <v>5</v>
      </c>
      <c r="H492" s="108">
        <v>0</v>
      </c>
    </row>
    <row r="493" spans="1:8" x14ac:dyDescent="0.2">
      <c r="A493" s="117" t="s">
        <v>293</v>
      </c>
      <c r="B493" s="117"/>
      <c r="C493" s="117" t="s">
        <v>2722</v>
      </c>
      <c r="D493" s="304" t="s">
        <v>1326</v>
      </c>
      <c r="E493" s="305"/>
      <c r="F493" s="117" t="s">
        <v>1644</v>
      </c>
      <c r="G493" s="116">
        <v>1</v>
      </c>
      <c r="H493" s="108">
        <v>0</v>
      </c>
    </row>
    <row r="494" spans="1:8" x14ac:dyDescent="0.2">
      <c r="A494" s="117" t="s">
        <v>294</v>
      </c>
      <c r="B494" s="117"/>
      <c r="C494" s="117" t="s">
        <v>2721</v>
      </c>
      <c r="D494" s="304" t="s">
        <v>1327</v>
      </c>
      <c r="E494" s="305"/>
      <c r="F494" s="117" t="s">
        <v>1644</v>
      </c>
      <c r="G494" s="116">
        <v>1</v>
      </c>
      <c r="H494" s="108">
        <v>0</v>
      </c>
    </row>
    <row r="495" spans="1:8" x14ac:dyDescent="0.2">
      <c r="A495" s="117" t="s">
        <v>295</v>
      </c>
      <c r="B495" s="117"/>
      <c r="C495" s="117" t="s">
        <v>2720</v>
      </c>
      <c r="D495" s="304" t="s">
        <v>1372</v>
      </c>
      <c r="E495" s="305"/>
      <c r="F495" s="117" t="s">
        <v>1646</v>
      </c>
      <c r="G495" s="116">
        <v>10</v>
      </c>
      <c r="H495" s="108">
        <v>0</v>
      </c>
    </row>
    <row r="496" spans="1:8" x14ac:dyDescent="0.2">
      <c r="A496" s="117" t="s">
        <v>296</v>
      </c>
      <c r="B496" s="117"/>
      <c r="C496" s="117" t="s">
        <v>2719</v>
      </c>
      <c r="D496" s="304" t="s">
        <v>1373</v>
      </c>
      <c r="E496" s="305"/>
      <c r="F496" s="117" t="s">
        <v>1646</v>
      </c>
      <c r="G496" s="116">
        <v>6</v>
      </c>
      <c r="H496" s="108">
        <v>0</v>
      </c>
    </row>
    <row r="497" spans="1:8" x14ac:dyDescent="0.2">
      <c r="A497" s="117" t="s">
        <v>297</v>
      </c>
      <c r="B497" s="117"/>
      <c r="C497" s="117" t="s">
        <v>2718</v>
      </c>
      <c r="D497" s="304" t="s">
        <v>1374</v>
      </c>
      <c r="E497" s="305"/>
      <c r="F497" s="117" t="s">
        <v>1646</v>
      </c>
      <c r="G497" s="116">
        <v>4</v>
      </c>
      <c r="H497" s="108">
        <v>0</v>
      </c>
    </row>
    <row r="498" spans="1:8" x14ac:dyDescent="0.2">
      <c r="A498" s="117" t="s">
        <v>298</v>
      </c>
      <c r="B498" s="117"/>
      <c r="C498" s="117" t="s">
        <v>2717</v>
      </c>
      <c r="D498" s="304" t="s">
        <v>1376</v>
      </c>
      <c r="E498" s="305"/>
      <c r="F498" s="117" t="s">
        <v>1646</v>
      </c>
      <c r="G498" s="116">
        <v>8</v>
      </c>
      <c r="H498" s="108">
        <v>0</v>
      </c>
    </row>
    <row r="499" spans="1:8" x14ac:dyDescent="0.2">
      <c r="A499" s="117" t="s">
        <v>299</v>
      </c>
      <c r="B499" s="117"/>
      <c r="C499" s="117" t="s">
        <v>2716</v>
      </c>
      <c r="D499" s="304" t="s">
        <v>1377</v>
      </c>
      <c r="E499" s="305"/>
      <c r="F499" s="117" t="s">
        <v>1646</v>
      </c>
      <c r="G499" s="116">
        <v>14</v>
      </c>
      <c r="H499" s="108">
        <v>0</v>
      </c>
    </row>
    <row r="500" spans="1:8" x14ac:dyDescent="0.2">
      <c r="A500" s="120"/>
      <c r="B500" s="120"/>
      <c r="C500" s="120" t="s">
        <v>798</v>
      </c>
      <c r="D500" s="306" t="s">
        <v>1379</v>
      </c>
      <c r="E500" s="307"/>
      <c r="F500" s="120"/>
      <c r="G500" s="142"/>
      <c r="H500" s="109"/>
    </row>
    <row r="501" spans="1:8" x14ac:dyDescent="0.2">
      <c r="A501" s="117" t="s">
        <v>300</v>
      </c>
      <c r="B501" s="117"/>
      <c r="C501" s="117" t="s">
        <v>2715</v>
      </c>
      <c r="D501" s="304" t="s">
        <v>1380</v>
      </c>
      <c r="E501" s="305"/>
      <c r="F501" s="117" t="s">
        <v>1646</v>
      </c>
      <c r="G501" s="116">
        <v>1.5</v>
      </c>
      <c r="H501" s="108">
        <v>0</v>
      </c>
    </row>
    <row r="502" spans="1:8" x14ac:dyDescent="0.2">
      <c r="A502" s="117" t="s">
        <v>301</v>
      </c>
      <c r="B502" s="117"/>
      <c r="C502" s="117" t="s">
        <v>2714</v>
      </c>
      <c r="D502" s="304" t="s">
        <v>1381</v>
      </c>
      <c r="E502" s="305"/>
      <c r="F502" s="117" t="s">
        <v>1644</v>
      </c>
      <c r="G502" s="116">
        <v>1</v>
      </c>
      <c r="H502" s="108">
        <v>0</v>
      </c>
    </row>
    <row r="503" spans="1:8" x14ac:dyDescent="0.2">
      <c r="A503" s="117" t="s">
        <v>302</v>
      </c>
      <c r="B503" s="117"/>
      <c r="C503" s="117" t="s">
        <v>2713</v>
      </c>
      <c r="D503" s="304" t="s">
        <v>1382</v>
      </c>
      <c r="E503" s="305"/>
      <c r="F503" s="117" t="s">
        <v>1644</v>
      </c>
      <c r="G503" s="116">
        <v>1</v>
      </c>
      <c r="H503" s="108">
        <v>0</v>
      </c>
    </row>
    <row r="504" spans="1:8" x14ac:dyDescent="0.2">
      <c r="A504" s="117" t="s">
        <v>303</v>
      </c>
      <c r="B504" s="117"/>
      <c r="C504" s="117" t="s">
        <v>2712</v>
      </c>
      <c r="D504" s="304" t="s">
        <v>1383</v>
      </c>
      <c r="E504" s="305"/>
      <c r="F504" s="117" t="s">
        <v>1644</v>
      </c>
      <c r="G504" s="116">
        <v>1</v>
      </c>
      <c r="H504" s="108">
        <v>0</v>
      </c>
    </row>
    <row r="505" spans="1:8" x14ac:dyDescent="0.2">
      <c r="A505" s="117" t="s">
        <v>304</v>
      </c>
      <c r="B505" s="117"/>
      <c r="C505" s="117" t="s">
        <v>2711</v>
      </c>
      <c r="D505" s="304" t="s">
        <v>1384</v>
      </c>
      <c r="E505" s="305"/>
      <c r="F505" s="117" t="s">
        <v>1644</v>
      </c>
      <c r="G505" s="116">
        <v>1</v>
      </c>
      <c r="H505" s="108">
        <v>0</v>
      </c>
    </row>
    <row r="506" spans="1:8" x14ac:dyDescent="0.2">
      <c r="A506" s="117" t="s">
        <v>305</v>
      </c>
      <c r="B506" s="117"/>
      <c r="C506" s="117" t="s">
        <v>2710</v>
      </c>
      <c r="D506" s="304" t="s">
        <v>1385</v>
      </c>
      <c r="E506" s="305"/>
      <c r="F506" s="117" t="s">
        <v>1646</v>
      </c>
      <c r="G506" s="116">
        <v>9</v>
      </c>
      <c r="H506" s="108">
        <v>0</v>
      </c>
    </row>
    <row r="507" spans="1:8" x14ac:dyDescent="0.2">
      <c r="A507" s="117" t="s">
        <v>306</v>
      </c>
      <c r="B507" s="117"/>
      <c r="C507" s="117" t="s">
        <v>2709</v>
      </c>
      <c r="D507" s="304" t="s">
        <v>1386</v>
      </c>
      <c r="E507" s="305"/>
      <c r="F507" s="117" t="s">
        <v>1644</v>
      </c>
      <c r="G507" s="116">
        <v>1</v>
      </c>
      <c r="H507" s="108">
        <v>0</v>
      </c>
    </row>
    <row r="508" spans="1:8" x14ac:dyDescent="0.2">
      <c r="A508" s="117" t="s">
        <v>307</v>
      </c>
      <c r="B508" s="117"/>
      <c r="C508" s="117" t="s">
        <v>2708</v>
      </c>
      <c r="D508" s="304" t="s">
        <v>1387</v>
      </c>
      <c r="E508" s="305"/>
      <c r="F508" s="117" t="s">
        <v>1644</v>
      </c>
      <c r="G508" s="116">
        <v>1</v>
      </c>
      <c r="H508" s="108">
        <v>0</v>
      </c>
    </row>
    <row r="509" spans="1:8" x14ac:dyDescent="0.2">
      <c r="A509" s="117" t="s">
        <v>308</v>
      </c>
      <c r="B509" s="117"/>
      <c r="C509" s="117" t="s">
        <v>2707</v>
      </c>
      <c r="D509" s="304" t="s">
        <v>1388</v>
      </c>
      <c r="E509" s="305"/>
      <c r="F509" s="117" t="s">
        <v>1644</v>
      </c>
      <c r="G509" s="116">
        <v>1</v>
      </c>
      <c r="H509" s="108">
        <v>0</v>
      </c>
    </row>
    <row r="510" spans="1:8" x14ac:dyDescent="0.2">
      <c r="A510" s="117" t="s">
        <v>309</v>
      </c>
      <c r="B510" s="117"/>
      <c r="C510" s="117" t="s">
        <v>2706</v>
      </c>
      <c r="D510" s="304" t="s">
        <v>1389</v>
      </c>
      <c r="E510" s="305"/>
      <c r="F510" s="117" t="s">
        <v>1644</v>
      </c>
      <c r="G510" s="116">
        <v>1</v>
      </c>
      <c r="H510" s="108">
        <v>0</v>
      </c>
    </row>
    <row r="511" spans="1:8" x14ac:dyDescent="0.2">
      <c r="A511" s="117" t="s">
        <v>310</v>
      </c>
      <c r="B511" s="117"/>
      <c r="C511" s="117" t="s">
        <v>2705</v>
      </c>
      <c r="D511" s="304" t="s">
        <v>1380</v>
      </c>
      <c r="E511" s="305"/>
      <c r="F511" s="117" t="s">
        <v>1646</v>
      </c>
      <c r="G511" s="116">
        <v>1.5</v>
      </c>
      <c r="H511" s="108">
        <v>0</v>
      </c>
    </row>
    <row r="512" spans="1:8" x14ac:dyDescent="0.2">
      <c r="A512" s="117" t="s">
        <v>311</v>
      </c>
      <c r="B512" s="117"/>
      <c r="C512" s="117" t="s">
        <v>2704</v>
      </c>
      <c r="D512" s="304" t="s">
        <v>1390</v>
      </c>
      <c r="E512" s="305"/>
      <c r="F512" s="117" t="s">
        <v>1644</v>
      </c>
      <c r="G512" s="116">
        <v>1</v>
      </c>
      <c r="H512" s="108">
        <v>0</v>
      </c>
    </row>
    <row r="513" spans="1:8" x14ac:dyDescent="0.2">
      <c r="A513" s="117" t="s">
        <v>312</v>
      </c>
      <c r="B513" s="117"/>
      <c r="C513" s="117" t="s">
        <v>2703</v>
      </c>
      <c r="D513" s="304" t="s">
        <v>1391</v>
      </c>
      <c r="E513" s="305"/>
      <c r="F513" s="117" t="s">
        <v>1644</v>
      </c>
      <c r="G513" s="116">
        <v>3</v>
      </c>
      <c r="H513" s="108">
        <v>0</v>
      </c>
    </row>
    <row r="514" spans="1:8" x14ac:dyDescent="0.2">
      <c r="A514" s="117" t="s">
        <v>313</v>
      </c>
      <c r="B514" s="117"/>
      <c r="C514" s="117" t="s">
        <v>2702</v>
      </c>
      <c r="D514" s="304" t="s">
        <v>1388</v>
      </c>
      <c r="E514" s="305"/>
      <c r="F514" s="117" t="s">
        <v>1644</v>
      </c>
      <c r="G514" s="116">
        <v>1</v>
      </c>
      <c r="H514" s="108">
        <v>0</v>
      </c>
    </row>
    <row r="515" spans="1:8" x14ac:dyDescent="0.2">
      <c r="A515" s="117" t="s">
        <v>314</v>
      </c>
      <c r="B515" s="117"/>
      <c r="C515" s="117" t="s">
        <v>2701</v>
      </c>
      <c r="D515" s="304" t="s">
        <v>1383</v>
      </c>
      <c r="E515" s="305"/>
      <c r="F515" s="117" t="s">
        <v>1644</v>
      </c>
      <c r="G515" s="116">
        <v>1</v>
      </c>
      <c r="H515" s="108">
        <v>0</v>
      </c>
    </row>
    <row r="516" spans="1:8" x14ac:dyDescent="0.2">
      <c r="A516" s="117" t="s">
        <v>315</v>
      </c>
      <c r="B516" s="117"/>
      <c r="C516" s="117" t="s">
        <v>2700</v>
      </c>
      <c r="D516" s="304" t="s">
        <v>1385</v>
      </c>
      <c r="E516" s="305"/>
      <c r="F516" s="117" t="s">
        <v>1646</v>
      </c>
      <c r="G516" s="116">
        <v>9</v>
      </c>
      <c r="H516" s="108">
        <v>0</v>
      </c>
    </row>
    <row r="517" spans="1:8" x14ac:dyDescent="0.2">
      <c r="A517" s="117" t="s">
        <v>316</v>
      </c>
      <c r="B517" s="117"/>
      <c r="C517" s="117" t="s">
        <v>2699</v>
      </c>
      <c r="D517" s="304" t="s">
        <v>1386</v>
      </c>
      <c r="E517" s="305"/>
      <c r="F517" s="117" t="s">
        <v>1644</v>
      </c>
      <c r="G517" s="116">
        <v>1</v>
      </c>
      <c r="H517" s="108">
        <v>0</v>
      </c>
    </row>
    <row r="518" spans="1:8" x14ac:dyDescent="0.2">
      <c r="A518" s="117" t="s">
        <v>317</v>
      </c>
      <c r="B518" s="117"/>
      <c r="C518" s="117" t="s">
        <v>2698</v>
      </c>
      <c r="D518" s="304" t="s">
        <v>1387</v>
      </c>
      <c r="E518" s="305"/>
      <c r="F518" s="117" t="s">
        <v>1644</v>
      </c>
      <c r="G518" s="116">
        <v>1</v>
      </c>
      <c r="H518" s="108">
        <v>0</v>
      </c>
    </row>
    <row r="519" spans="1:8" x14ac:dyDescent="0.2">
      <c r="A519" s="117" t="s">
        <v>318</v>
      </c>
      <c r="B519" s="117"/>
      <c r="C519" s="117" t="s">
        <v>2697</v>
      </c>
      <c r="D519" s="304" t="s">
        <v>1388</v>
      </c>
      <c r="E519" s="305"/>
      <c r="F519" s="117" t="s">
        <v>1644</v>
      </c>
      <c r="G519" s="116">
        <v>1</v>
      </c>
      <c r="H519" s="108">
        <v>0</v>
      </c>
    </row>
    <row r="520" spans="1:8" x14ac:dyDescent="0.2">
      <c r="A520" s="117" t="s">
        <v>319</v>
      </c>
      <c r="B520" s="117"/>
      <c r="C520" s="117" t="s">
        <v>2696</v>
      </c>
      <c r="D520" s="304" t="s">
        <v>1389</v>
      </c>
      <c r="E520" s="305"/>
      <c r="F520" s="117" t="s">
        <v>1644</v>
      </c>
      <c r="G520" s="116">
        <v>1</v>
      </c>
      <c r="H520" s="108">
        <v>0</v>
      </c>
    </row>
    <row r="521" spans="1:8" x14ac:dyDescent="0.2">
      <c r="A521" s="117" t="s">
        <v>320</v>
      </c>
      <c r="B521" s="117"/>
      <c r="C521" s="117" t="s">
        <v>2695</v>
      </c>
      <c r="D521" s="304" t="s">
        <v>1392</v>
      </c>
      <c r="E521" s="305"/>
      <c r="F521" s="117" t="s">
        <v>1644</v>
      </c>
      <c r="G521" s="116">
        <v>2</v>
      </c>
      <c r="H521" s="108">
        <v>0</v>
      </c>
    </row>
    <row r="522" spans="1:8" x14ac:dyDescent="0.2">
      <c r="A522" s="117" t="s">
        <v>321</v>
      </c>
      <c r="B522" s="117"/>
      <c r="C522" s="117" t="s">
        <v>2694</v>
      </c>
      <c r="D522" s="304" t="s">
        <v>1393</v>
      </c>
      <c r="E522" s="305"/>
      <c r="F522" s="117" t="s">
        <v>1644</v>
      </c>
      <c r="G522" s="116">
        <v>1</v>
      </c>
      <c r="H522" s="108">
        <v>0</v>
      </c>
    </row>
    <row r="523" spans="1:8" x14ac:dyDescent="0.2">
      <c r="A523" s="117" t="s">
        <v>322</v>
      </c>
      <c r="B523" s="117"/>
      <c r="C523" s="117" t="s">
        <v>2693</v>
      </c>
      <c r="D523" s="304" t="s">
        <v>1394</v>
      </c>
      <c r="E523" s="305"/>
      <c r="F523" s="117" t="s">
        <v>1644</v>
      </c>
      <c r="G523" s="116">
        <v>1</v>
      </c>
      <c r="H523" s="108">
        <v>0</v>
      </c>
    </row>
    <row r="524" spans="1:8" x14ac:dyDescent="0.2">
      <c r="A524" s="120"/>
      <c r="B524" s="120"/>
      <c r="C524" s="120" t="s">
        <v>822</v>
      </c>
      <c r="D524" s="306" t="s">
        <v>1395</v>
      </c>
      <c r="E524" s="307"/>
      <c r="F524" s="120"/>
      <c r="G524" s="142"/>
      <c r="H524" s="109"/>
    </row>
    <row r="525" spans="1:8" x14ac:dyDescent="0.2">
      <c r="A525" s="117" t="s">
        <v>323</v>
      </c>
      <c r="B525" s="117"/>
      <c r="C525" s="117" t="s">
        <v>117</v>
      </c>
      <c r="D525" s="304" t="s">
        <v>1396</v>
      </c>
      <c r="E525" s="305"/>
      <c r="F525" s="117" t="s">
        <v>1652</v>
      </c>
      <c r="G525" s="116">
        <v>1</v>
      </c>
      <c r="H525" s="108">
        <v>0</v>
      </c>
    </row>
    <row r="526" spans="1:8" x14ac:dyDescent="0.2">
      <c r="A526" s="117" t="s">
        <v>324</v>
      </c>
      <c r="B526" s="117"/>
      <c r="C526" s="117" t="s">
        <v>118</v>
      </c>
      <c r="D526" s="304" t="s">
        <v>1397</v>
      </c>
      <c r="E526" s="305"/>
      <c r="F526" s="117" t="s">
        <v>1652</v>
      </c>
      <c r="G526" s="116">
        <v>1</v>
      </c>
      <c r="H526" s="108">
        <v>0</v>
      </c>
    </row>
    <row r="527" spans="1:8" x14ac:dyDescent="0.2">
      <c r="A527" s="117" t="s">
        <v>325</v>
      </c>
      <c r="B527" s="117"/>
      <c r="C527" s="117" t="s">
        <v>119</v>
      </c>
      <c r="D527" s="304" t="s">
        <v>1398</v>
      </c>
      <c r="E527" s="305"/>
      <c r="F527" s="117" t="s">
        <v>1652</v>
      </c>
      <c r="G527" s="116">
        <v>1</v>
      </c>
      <c r="H527" s="108">
        <v>0</v>
      </c>
    </row>
    <row r="528" spans="1:8" x14ac:dyDescent="0.2">
      <c r="A528" s="117" t="s">
        <v>326</v>
      </c>
      <c r="B528" s="117"/>
      <c r="C528" s="117" t="s">
        <v>120</v>
      </c>
      <c r="D528" s="304" t="s">
        <v>1399</v>
      </c>
      <c r="E528" s="305"/>
      <c r="F528" s="117" t="s">
        <v>1652</v>
      </c>
      <c r="G528" s="116">
        <v>1</v>
      </c>
      <c r="H528" s="108">
        <v>0</v>
      </c>
    </row>
    <row r="529" spans="1:8" x14ac:dyDescent="0.2">
      <c r="A529" s="117" t="s">
        <v>327</v>
      </c>
      <c r="B529" s="117"/>
      <c r="C529" s="117" t="s">
        <v>121</v>
      </c>
      <c r="D529" s="304" t="s">
        <v>1400</v>
      </c>
      <c r="E529" s="305"/>
      <c r="F529" s="117" t="s">
        <v>1652</v>
      </c>
      <c r="G529" s="116">
        <v>1</v>
      </c>
      <c r="H529" s="108">
        <v>0</v>
      </c>
    </row>
    <row r="530" spans="1:8" x14ac:dyDescent="0.2">
      <c r="A530" s="117" t="s">
        <v>328</v>
      </c>
      <c r="B530" s="117"/>
      <c r="C530" s="117" t="s">
        <v>122</v>
      </c>
      <c r="D530" s="304" t="s">
        <v>1401</v>
      </c>
      <c r="E530" s="305"/>
      <c r="F530" s="117" t="s">
        <v>1652</v>
      </c>
      <c r="G530" s="116">
        <v>1</v>
      </c>
      <c r="H530" s="108">
        <v>0</v>
      </c>
    </row>
    <row r="531" spans="1:8" x14ac:dyDescent="0.2">
      <c r="A531" s="117" t="s">
        <v>329</v>
      </c>
      <c r="B531" s="117"/>
      <c r="C531" s="117" t="s">
        <v>123</v>
      </c>
      <c r="D531" s="304" t="s">
        <v>1402</v>
      </c>
      <c r="E531" s="305"/>
      <c r="F531" s="117" t="s">
        <v>1652</v>
      </c>
      <c r="G531" s="116">
        <v>1</v>
      </c>
      <c r="H531" s="108">
        <v>0</v>
      </c>
    </row>
    <row r="532" spans="1:8" x14ac:dyDescent="0.2">
      <c r="A532" s="117" t="s">
        <v>330</v>
      </c>
      <c r="B532" s="117"/>
      <c r="C532" s="117" t="s">
        <v>124</v>
      </c>
      <c r="D532" s="304" t="s">
        <v>1403</v>
      </c>
      <c r="E532" s="305"/>
      <c r="F532" s="117" t="s">
        <v>1652</v>
      </c>
      <c r="G532" s="116">
        <v>1</v>
      </c>
      <c r="H532" s="108">
        <v>0</v>
      </c>
    </row>
    <row r="533" spans="1:8" x14ac:dyDescent="0.2">
      <c r="A533" s="117" t="s">
        <v>331</v>
      </c>
      <c r="B533" s="117"/>
      <c r="C533" s="117" t="s">
        <v>125</v>
      </c>
      <c r="D533" s="304" t="s">
        <v>1404</v>
      </c>
      <c r="E533" s="305"/>
      <c r="F533" s="117" t="s">
        <v>1646</v>
      </c>
      <c r="G533" s="116">
        <v>450</v>
      </c>
      <c r="H533" s="108">
        <v>0</v>
      </c>
    </row>
    <row r="534" spans="1:8" x14ac:dyDescent="0.2">
      <c r="A534" s="117" t="s">
        <v>332</v>
      </c>
      <c r="B534" s="117"/>
      <c r="C534" s="117" t="s">
        <v>823</v>
      </c>
      <c r="D534" s="304" t="s">
        <v>1405</v>
      </c>
      <c r="E534" s="305"/>
      <c r="F534" s="117" t="s">
        <v>1646</v>
      </c>
      <c r="G534" s="116">
        <v>180</v>
      </c>
      <c r="H534" s="108">
        <v>0</v>
      </c>
    </row>
    <row r="535" spans="1:8" x14ac:dyDescent="0.2">
      <c r="A535" s="117" t="s">
        <v>333</v>
      </c>
      <c r="B535" s="117"/>
      <c r="C535" s="117" t="s">
        <v>824</v>
      </c>
      <c r="D535" s="304" t="s">
        <v>1406</v>
      </c>
      <c r="E535" s="305"/>
      <c r="F535" s="117" t="s">
        <v>1652</v>
      </c>
      <c r="G535" s="116">
        <v>3</v>
      </c>
      <c r="H535" s="108">
        <v>0</v>
      </c>
    </row>
    <row r="536" spans="1:8" x14ac:dyDescent="0.2">
      <c r="A536" s="117" t="s">
        <v>334</v>
      </c>
      <c r="B536" s="117"/>
      <c r="C536" s="117" t="s">
        <v>825</v>
      </c>
      <c r="D536" s="304" t="s">
        <v>1407</v>
      </c>
      <c r="E536" s="305"/>
      <c r="F536" s="117" t="s">
        <v>1644</v>
      </c>
      <c r="G536" s="116">
        <v>3</v>
      </c>
      <c r="H536" s="108">
        <v>0</v>
      </c>
    </row>
    <row r="537" spans="1:8" x14ac:dyDescent="0.2">
      <c r="A537" s="117" t="s">
        <v>335</v>
      </c>
      <c r="B537" s="117"/>
      <c r="C537" s="117" t="s">
        <v>826</v>
      </c>
      <c r="D537" s="304" t="s">
        <v>1408</v>
      </c>
      <c r="E537" s="305"/>
      <c r="F537" s="117" t="s">
        <v>1644</v>
      </c>
      <c r="G537" s="116">
        <v>3</v>
      </c>
      <c r="H537" s="108">
        <v>0</v>
      </c>
    </row>
    <row r="538" spans="1:8" x14ac:dyDescent="0.2">
      <c r="A538" s="117" t="s">
        <v>336</v>
      </c>
      <c r="B538" s="117"/>
      <c r="C538" s="117" t="s">
        <v>827</v>
      </c>
      <c r="D538" s="304" t="s">
        <v>1409</v>
      </c>
      <c r="E538" s="305"/>
      <c r="F538" s="117" t="s">
        <v>1644</v>
      </c>
      <c r="G538" s="116">
        <v>3</v>
      </c>
      <c r="H538" s="108">
        <v>0</v>
      </c>
    </row>
    <row r="539" spans="1:8" x14ac:dyDescent="0.2">
      <c r="A539" s="117" t="s">
        <v>337</v>
      </c>
      <c r="B539" s="117"/>
      <c r="C539" s="117" t="s">
        <v>828</v>
      </c>
      <c r="D539" s="304" t="s">
        <v>1410</v>
      </c>
      <c r="E539" s="305"/>
      <c r="F539" s="117" t="s">
        <v>1652</v>
      </c>
      <c r="G539" s="116">
        <v>3</v>
      </c>
      <c r="H539" s="108">
        <v>0</v>
      </c>
    </row>
    <row r="540" spans="1:8" x14ac:dyDescent="0.2">
      <c r="A540" s="117" t="s">
        <v>338</v>
      </c>
      <c r="B540" s="117"/>
      <c r="C540" s="117" t="s">
        <v>829</v>
      </c>
      <c r="D540" s="304" t="s">
        <v>1411</v>
      </c>
      <c r="E540" s="305"/>
      <c r="F540" s="117" t="s">
        <v>1652</v>
      </c>
      <c r="G540" s="116">
        <v>3</v>
      </c>
      <c r="H540" s="108">
        <v>0</v>
      </c>
    </row>
    <row r="541" spans="1:8" x14ac:dyDescent="0.2">
      <c r="A541" s="117" t="s">
        <v>339</v>
      </c>
      <c r="B541" s="117"/>
      <c r="C541" s="117" t="s">
        <v>830</v>
      </c>
      <c r="D541" s="304" t="s">
        <v>1412</v>
      </c>
      <c r="E541" s="305"/>
      <c r="F541" s="117" t="s">
        <v>1647</v>
      </c>
      <c r="G541" s="116">
        <v>7</v>
      </c>
      <c r="H541" s="108">
        <v>0</v>
      </c>
    </row>
    <row r="542" spans="1:8" x14ac:dyDescent="0.2">
      <c r="A542" s="117" t="s">
        <v>340</v>
      </c>
      <c r="B542" s="117"/>
      <c r="C542" s="117" t="s">
        <v>831</v>
      </c>
      <c r="D542" s="304" t="s">
        <v>1413</v>
      </c>
      <c r="E542" s="305"/>
      <c r="F542" s="117" t="s">
        <v>1652</v>
      </c>
      <c r="G542" s="116">
        <v>1</v>
      </c>
      <c r="H542" s="108">
        <v>0</v>
      </c>
    </row>
    <row r="543" spans="1:8" x14ac:dyDescent="0.2">
      <c r="A543" s="117" t="s">
        <v>341</v>
      </c>
      <c r="B543" s="117"/>
      <c r="C543" s="117" t="s">
        <v>832</v>
      </c>
      <c r="D543" s="304" t="s">
        <v>1414</v>
      </c>
      <c r="E543" s="305"/>
      <c r="F543" s="117" t="s">
        <v>1652</v>
      </c>
      <c r="G543" s="116">
        <v>1</v>
      </c>
      <c r="H543" s="108">
        <v>0</v>
      </c>
    </row>
    <row r="544" spans="1:8" x14ac:dyDescent="0.2">
      <c r="A544" s="117" t="s">
        <v>342</v>
      </c>
      <c r="B544" s="117"/>
      <c r="C544" s="117" t="s">
        <v>833</v>
      </c>
      <c r="D544" s="304" t="s">
        <v>1415</v>
      </c>
      <c r="E544" s="305"/>
      <c r="F544" s="117" t="s">
        <v>1652</v>
      </c>
      <c r="G544" s="116">
        <v>1</v>
      </c>
      <c r="H544" s="108">
        <v>0</v>
      </c>
    </row>
    <row r="545" spans="1:8" x14ac:dyDescent="0.2">
      <c r="A545" s="117" t="s">
        <v>343</v>
      </c>
      <c r="B545" s="117"/>
      <c r="C545" s="117" t="s">
        <v>834</v>
      </c>
      <c r="D545" s="304" t="s">
        <v>1416</v>
      </c>
      <c r="E545" s="305"/>
      <c r="F545" s="117" t="s">
        <v>1652</v>
      </c>
      <c r="G545" s="116">
        <v>6</v>
      </c>
      <c r="H545" s="108">
        <v>0</v>
      </c>
    </row>
    <row r="546" spans="1:8" x14ac:dyDescent="0.2">
      <c r="A546" s="117" t="s">
        <v>344</v>
      </c>
      <c r="B546" s="117"/>
      <c r="C546" s="117" t="s">
        <v>835</v>
      </c>
      <c r="D546" s="304" t="s">
        <v>1417</v>
      </c>
      <c r="E546" s="305"/>
      <c r="F546" s="117" t="s">
        <v>1653</v>
      </c>
      <c r="G546" s="116">
        <v>6</v>
      </c>
      <c r="H546" s="108">
        <v>0</v>
      </c>
    </row>
    <row r="547" spans="1:8" x14ac:dyDescent="0.2">
      <c r="A547" s="117" t="s">
        <v>345</v>
      </c>
      <c r="B547" s="117"/>
      <c r="C547" s="117" t="s">
        <v>836</v>
      </c>
      <c r="D547" s="304" t="s">
        <v>1418</v>
      </c>
      <c r="E547" s="305"/>
      <c r="F547" s="117" t="s">
        <v>1652</v>
      </c>
      <c r="G547" s="116">
        <v>1</v>
      </c>
      <c r="H547" s="108">
        <v>0</v>
      </c>
    </row>
    <row r="548" spans="1:8" x14ac:dyDescent="0.2">
      <c r="A548" s="117" t="s">
        <v>346</v>
      </c>
      <c r="B548" s="117"/>
      <c r="C548" s="117" t="s">
        <v>837</v>
      </c>
      <c r="D548" s="304" t="s">
        <v>1419</v>
      </c>
      <c r="E548" s="305"/>
      <c r="F548" s="117" t="s">
        <v>1652</v>
      </c>
      <c r="G548" s="116">
        <v>1</v>
      </c>
      <c r="H548" s="108">
        <v>0</v>
      </c>
    </row>
    <row r="549" spans="1:8" x14ac:dyDescent="0.2">
      <c r="A549" s="117" t="s">
        <v>347</v>
      </c>
      <c r="B549" s="117"/>
      <c r="C549" s="117" t="s">
        <v>838</v>
      </c>
      <c r="D549" s="304" t="s">
        <v>1420</v>
      </c>
      <c r="E549" s="305"/>
      <c r="F549" s="117" t="s">
        <v>1652</v>
      </c>
      <c r="G549" s="116">
        <v>1</v>
      </c>
      <c r="H549" s="108">
        <v>0</v>
      </c>
    </row>
    <row r="550" spans="1:8" x14ac:dyDescent="0.2">
      <c r="A550" s="117" t="s">
        <v>348</v>
      </c>
      <c r="B550" s="117"/>
      <c r="C550" s="117" t="s">
        <v>839</v>
      </c>
      <c r="D550" s="304" t="s">
        <v>1421</v>
      </c>
      <c r="E550" s="305"/>
      <c r="F550" s="117" t="s">
        <v>1652</v>
      </c>
      <c r="G550" s="116">
        <v>1</v>
      </c>
      <c r="H550" s="108">
        <v>0</v>
      </c>
    </row>
    <row r="551" spans="1:8" x14ac:dyDescent="0.2">
      <c r="A551" s="117" t="s">
        <v>349</v>
      </c>
      <c r="B551" s="117"/>
      <c r="C551" s="117" t="s">
        <v>840</v>
      </c>
      <c r="D551" s="304" t="s">
        <v>1422</v>
      </c>
      <c r="E551" s="305"/>
      <c r="F551" s="117" t="s">
        <v>1652</v>
      </c>
      <c r="G551" s="116">
        <v>1</v>
      </c>
      <c r="H551" s="108">
        <v>0</v>
      </c>
    </row>
    <row r="552" spans="1:8" x14ac:dyDescent="0.2">
      <c r="A552" s="117" t="s">
        <v>350</v>
      </c>
      <c r="B552" s="117"/>
      <c r="C552" s="117" t="s">
        <v>841</v>
      </c>
      <c r="D552" s="304" t="s">
        <v>1423</v>
      </c>
      <c r="E552" s="305"/>
      <c r="F552" s="117" t="s">
        <v>1652</v>
      </c>
      <c r="G552" s="116">
        <v>1</v>
      </c>
      <c r="H552" s="108">
        <v>0</v>
      </c>
    </row>
    <row r="553" spans="1:8" x14ac:dyDescent="0.2">
      <c r="A553" s="120"/>
      <c r="B553" s="120"/>
      <c r="C553" s="120" t="s">
        <v>842</v>
      </c>
      <c r="D553" s="306" t="s">
        <v>1424</v>
      </c>
      <c r="E553" s="307"/>
      <c r="F553" s="120"/>
      <c r="G553" s="142"/>
      <c r="H553" s="109"/>
    </row>
    <row r="554" spans="1:8" x14ac:dyDescent="0.2">
      <c r="A554" s="117" t="s">
        <v>351</v>
      </c>
      <c r="B554" s="117"/>
      <c r="C554" s="117" t="s">
        <v>127</v>
      </c>
      <c r="D554" s="304" t="s">
        <v>1425</v>
      </c>
      <c r="E554" s="305"/>
      <c r="F554" s="117" t="s">
        <v>1644</v>
      </c>
      <c r="G554" s="116">
        <v>6</v>
      </c>
      <c r="H554" s="108">
        <v>0</v>
      </c>
    </row>
    <row r="555" spans="1:8" x14ac:dyDescent="0.2">
      <c r="A555" s="117" t="s">
        <v>352</v>
      </c>
      <c r="B555" s="117"/>
      <c r="C555" s="117" t="s">
        <v>128</v>
      </c>
      <c r="D555" s="304" t="s">
        <v>1426</v>
      </c>
      <c r="E555" s="305"/>
      <c r="F555" s="117" t="s">
        <v>1646</v>
      </c>
      <c r="G555" s="116">
        <v>70</v>
      </c>
      <c r="H555" s="108">
        <v>0</v>
      </c>
    </row>
    <row r="556" spans="1:8" x14ac:dyDescent="0.2">
      <c r="A556" s="117" t="s">
        <v>353</v>
      </c>
      <c r="B556" s="117"/>
      <c r="C556" s="117" t="s">
        <v>129</v>
      </c>
      <c r="D556" s="304" t="s">
        <v>1427</v>
      </c>
      <c r="E556" s="305"/>
      <c r="F556" s="117" t="s">
        <v>1644</v>
      </c>
      <c r="G556" s="116">
        <v>6</v>
      </c>
      <c r="H556" s="108">
        <v>0</v>
      </c>
    </row>
    <row r="557" spans="1:8" x14ac:dyDescent="0.2">
      <c r="A557" s="117" t="s">
        <v>354</v>
      </c>
      <c r="B557" s="117"/>
      <c r="C557" s="117" t="s">
        <v>130</v>
      </c>
      <c r="D557" s="304" t="s">
        <v>1430</v>
      </c>
      <c r="E557" s="305"/>
      <c r="F557" s="117" t="s">
        <v>1644</v>
      </c>
      <c r="G557" s="116">
        <v>1</v>
      </c>
      <c r="H557" s="108">
        <v>0</v>
      </c>
    </row>
    <row r="558" spans="1:8" x14ac:dyDescent="0.2">
      <c r="A558" s="117" t="s">
        <v>355</v>
      </c>
      <c r="B558" s="117"/>
      <c r="C558" s="117" t="s">
        <v>131</v>
      </c>
      <c r="D558" s="304" t="s">
        <v>1431</v>
      </c>
      <c r="E558" s="305"/>
      <c r="F558" s="117" t="s">
        <v>1646</v>
      </c>
      <c r="G558" s="116">
        <v>95</v>
      </c>
      <c r="H558" s="108">
        <v>0</v>
      </c>
    </row>
    <row r="559" spans="1:8" x14ac:dyDescent="0.2">
      <c r="A559" s="117" t="s">
        <v>356</v>
      </c>
      <c r="B559" s="117"/>
      <c r="C559" s="117" t="s">
        <v>132</v>
      </c>
      <c r="D559" s="304" t="s">
        <v>1432</v>
      </c>
      <c r="E559" s="305"/>
      <c r="F559" s="117" t="s">
        <v>1644</v>
      </c>
      <c r="G559" s="116">
        <v>4</v>
      </c>
      <c r="H559" s="108">
        <v>0</v>
      </c>
    </row>
    <row r="560" spans="1:8" x14ac:dyDescent="0.2">
      <c r="A560" s="117" t="s">
        <v>357</v>
      </c>
      <c r="B560" s="117"/>
      <c r="C560" s="117" t="s">
        <v>133</v>
      </c>
      <c r="D560" s="304" t="s">
        <v>1996</v>
      </c>
      <c r="E560" s="305"/>
      <c r="F560" s="117" t="s">
        <v>1644</v>
      </c>
      <c r="G560" s="116">
        <v>4</v>
      </c>
      <c r="H560" s="108">
        <v>0</v>
      </c>
    </row>
    <row r="561" spans="1:8" x14ac:dyDescent="0.2">
      <c r="A561" s="117" t="s">
        <v>358</v>
      </c>
      <c r="B561" s="117"/>
      <c r="C561" s="117" t="s">
        <v>134</v>
      </c>
      <c r="D561" s="304" t="s">
        <v>1433</v>
      </c>
      <c r="E561" s="305"/>
      <c r="F561" s="117" t="s">
        <v>1646</v>
      </c>
      <c r="G561" s="116">
        <v>95</v>
      </c>
      <c r="H561" s="108">
        <v>0</v>
      </c>
    </row>
    <row r="562" spans="1:8" x14ac:dyDescent="0.2">
      <c r="A562" s="117" t="s">
        <v>359</v>
      </c>
      <c r="B562" s="117"/>
      <c r="C562" s="117" t="s">
        <v>135</v>
      </c>
      <c r="D562" s="304" t="s">
        <v>1434</v>
      </c>
      <c r="E562" s="305"/>
      <c r="F562" s="117" t="s">
        <v>1646</v>
      </c>
      <c r="G562" s="116">
        <v>95</v>
      </c>
      <c r="H562" s="108">
        <v>0</v>
      </c>
    </row>
    <row r="563" spans="1:8" x14ac:dyDescent="0.2">
      <c r="A563" s="117" t="s">
        <v>360</v>
      </c>
      <c r="B563" s="117"/>
      <c r="C563" s="117" t="s">
        <v>843</v>
      </c>
      <c r="D563" s="304" t="s">
        <v>1435</v>
      </c>
      <c r="E563" s="305"/>
      <c r="F563" s="117" t="s">
        <v>1652</v>
      </c>
      <c r="G563" s="116">
        <v>1</v>
      </c>
      <c r="H563" s="108">
        <v>0</v>
      </c>
    </row>
    <row r="564" spans="1:8" x14ac:dyDescent="0.2">
      <c r="A564" s="117" t="s">
        <v>361</v>
      </c>
      <c r="B564" s="117"/>
      <c r="C564" s="117" t="s">
        <v>844</v>
      </c>
      <c r="D564" s="304" t="s">
        <v>2327</v>
      </c>
      <c r="E564" s="305"/>
      <c r="F564" s="117" t="s">
        <v>1652</v>
      </c>
      <c r="G564" s="116">
        <v>1</v>
      </c>
      <c r="H564" s="108">
        <v>0</v>
      </c>
    </row>
    <row r="565" spans="1:8" x14ac:dyDescent="0.2">
      <c r="A565" s="117" t="s">
        <v>362</v>
      </c>
      <c r="B565" s="117"/>
      <c r="C565" s="117" t="s">
        <v>845</v>
      </c>
      <c r="D565" s="304" t="s">
        <v>1437</v>
      </c>
      <c r="E565" s="305"/>
      <c r="F565" s="117" t="s">
        <v>1654</v>
      </c>
      <c r="G565" s="116">
        <v>390</v>
      </c>
      <c r="H565" s="108">
        <v>0</v>
      </c>
    </row>
    <row r="566" spans="1:8" x14ac:dyDescent="0.2">
      <c r="A566" s="117" t="s">
        <v>363</v>
      </c>
      <c r="B566" s="117"/>
      <c r="C566" s="117" t="s">
        <v>846</v>
      </c>
      <c r="D566" s="304" t="s">
        <v>1438</v>
      </c>
      <c r="E566" s="305"/>
      <c r="F566" s="117" t="s">
        <v>1652</v>
      </c>
      <c r="G566" s="116">
        <v>1</v>
      </c>
      <c r="H566" s="108">
        <v>0</v>
      </c>
    </row>
    <row r="567" spans="1:8" x14ac:dyDescent="0.2">
      <c r="A567" s="117" t="s">
        <v>364</v>
      </c>
      <c r="B567" s="117"/>
      <c r="C567" s="117" t="s">
        <v>847</v>
      </c>
      <c r="D567" s="304" t="s">
        <v>1439</v>
      </c>
      <c r="E567" s="305"/>
      <c r="F567" s="117" t="s">
        <v>1652</v>
      </c>
      <c r="G567" s="116">
        <v>1</v>
      </c>
      <c r="H567" s="108">
        <v>0</v>
      </c>
    </row>
    <row r="568" spans="1:8" x14ac:dyDescent="0.2">
      <c r="A568" s="117" t="s">
        <v>365</v>
      </c>
      <c r="B568" s="117"/>
      <c r="C568" s="117" t="s">
        <v>848</v>
      </c>
      <c r="D568" s="304" t="s">
        <v>1440</v>
      </c>
      <c r="E568" s="305"/>
      <c r="F568" s="117" t="s">
        <v>1652</v>
      </c>
      <c r="G568" s="116">
        <v>1</v>
      </c>
      <c r="H568" s="108">
        <v>0</v>
      </c>
    </row>
    <row r="569" spans="1:8" x14ac:dyDescent="0.2">
      <c r="A569" s="117" t="s">
        <v>366</v>
      </c>
      <c r="B569" s="117"/>
      <c r="C569" s="117" t="s">
        <v>849</v>
      </c>
      <c r="D569" s="304" t="s">
        <v>1441</v>
      </c>
      <c r="E569" s="305"/>
      <c r="F569" s="117" t="s">
        <v>1652</v>
      </c>
      <c r="G569" s="116">
        <v>1</v>
      </c>
      <c r="H569" s="108">
        <v>0</v>
      </c>
    </row>
    <row r="570" spans="1:8" x14ac:dyDescent="0.2">
      <c r="A570" s="117" t="s">
        <v>367</v>
      </c>
      <c r="B570" s="117"/>
      <c r="C570" s="117" t="s">
        <v>850</v>
      </c>
      <c r="D570" s="304" t="s">
        <v>1442</v>
      </c>
      <c r="E570" s="305"/>
      <c r="F570" s="117" t="s">
        <v>1652</v>
      </c>
      <c r="G570" s="116">
        <v>1</v>
      </c>
      <c r="H570" s="108">
        <v>0</v>
      </c>
    </row>
    <row r="571" spans="1:8" x14ac:dyDescent="0.2">
      <c r="A571" s="117" t="s">
        <v>368</v>
      </c>
      <c r="B571" s="117"/>
      <c r="C571" s="117" t="s">
        <v>851</v>
      </c>
      <c r="D571" s="304" t="s">
        <v>1443</v>
      </c>
      <c r="E571" s="305"/>
      <c r="F571" s="117" t="s">
        <v>1645</v>
      </c>
      <c r="G571" s="116">
        <v>20</v>
      </c>
      <c r="H571" s="108">
        <v>0</v>
      </c>
    </row>
    <row r="572" spans="1:8" x14ac:dyDescent="0.2">
      <c r="A572" s="117" t="s">
        <v>369</v>
      </c>
      <c r="B572" s="117"/>
      <c r="C572" s="117" t="s">
        <v>852</v>
      </c>
      <c r="D572" s="304" t="s">
        <v>1444</v>
      </c>
      <c r="E572" s="305"/>
      <c r="F572" s="117" t="s">
        <v>1647</v>
      </c>
      <c r="G572" s="116">
        <v>20</v>
      </c>
      <c r="H572" s="108">
        <v>0</v>
      </c>
    </row>
    <row r="573" spans="1:8" x14ac:dyDescent="0.2">
      <c r="A573" s="117" t="s">
        <v>370</v>
      </c>
      <c r="B573" s="117"/>
      <c r="C573" s="117" t="s">
        <v>853</v>
      </c>
      <c r="D573" s="304" t="s">
        <v>1445</v>
      </c>
      <c r="E573" s="305"/>
      <c r="F573" s="117" t="s">
        <v>1647</v>
      </c>
      <c r="G573" s="116">
        <v>1</v>
      </c>
      <c r="H573" s="108">
        <v>0</v>
      </c>
    </row>
    <row r="574" spans="1:8" x14ac:dyDescent="0.2">
      <c r="A574" s="117" t="s">
        <v>371</v>
      </c>
      <c r="B574" s="117"/>
      <c r="C574" s="117" t="s">
        <v>854</v>
      </c>
      <c r="D574" s="304" t="s">
        <v>1446</v>
      </c>
      <c r="E574" s="305"/>
      <c r="F574" s="117" t="s">
        <v>1647</v>
      </c>
      <c r="G574" s="116">
        <v>21</v>
      </c>
      <c r="H574" s="108">
        <v>0</v>
      </c>
    </row>
    <row r="575" spans="1:8" x14ac:dyDescent="0.2">
      <c r="A575" s="117" t="s">
        <v>372</v>
      </c>
      <c r="B575" s="117"/>
      <c r="C575" s="117" t="s">
        <v>855</v>
      </c>
      <c r="D575" s="304" t="s">
        <v>1447</v>
      </c>
      <c r="E575" s="305"/>
      <c r="F575" s="117" t="s">
        <v>1647</v>
      </c>
      <c r="G575" s="116">
        <v>21</v>
      </c>
      <c r="H575" s="108">
        <v>0</v>
      </c>
    </row>
    <row r="576" spans="1:8" x14ac:dyDescent="0.2">
      <c r="A576" s="117" t="s">
        <v>373</v>
      </c>
      <c r="B576" s="117"/>
      <c r="C576" s="117" t="s">
        <v>856</v>
      </c>
      <c r="D576" s="304" t="s">
        <v>1448</v>
      </c>
      <c r="E576" s="305"/>
      <c r="F576" s="117" t="s">
        <v>1647</v>
      </c>
      <c r="G576" s="116">
        <v>4</v>
      </c>
      <c r="H576" s="108">
        <v>0</v>
      </c>
    </row>
    <row r="577" spans="1:8" x14ac:dyDescent="0.2">
      <c r="A577" s="117" t="s">
        <v>374</v>
      </c>
      <c r="B577" s="117"/>
      <c r="C577" s="117" t="s">
        <v>857</v>
      </c>
      <c r="D577" s="304" t="s">
        <v>1449</v>
      </c>
      <c r="E577" s="305"/>
      <c r="F577" s="117" t="s">
        <v>1647</v>
      </c>
      <c r="G577" s="116">
        <v>8</v>
      </c>
      <c r="H577" s="108">
        <v>0</v>
      </c>
    </row>
    <row r="578" spans="1:8" x14ac:dyDescent="0.2">
      <c r="A578" s="117" t="s">
        <v>375</v>
      </c>
      <c r="B578" s="117"/>
      <c r="C578" s="117" t="s">
        <v>858</v>
      </c>
      <c r="D578" s="304" t="s">
        <v>1450</v>
      </c>
      <c r="E578" s="305"/>
      <c r="F578" s="117" t="s">
        <v>1647</v>
      </c>
      <c r="G578" s="116">
        <v>4</v>
      </c>
      <c r="H578" s="108">
        <v>0</v>
      </c>
    </row>
    <row r="579" spans="1:8" x14ac:dyDescent="0.2">
      <c r="A579" s="117" t="s">
        <v>376</v>
      </c>
      <c r="B579" s="117"/>
      <c r="C579" s="117" t="s">
        <v>859</v>
      </c>
      <c r="D579" s="304" t="s">
        <v>1451</v>
      </c>
      <c r="E579" s="305"/>
      <c r="F579" s="117" t="s">
        <v>1647</v>
      </c>
      <c r="G579" s="116">
        <v>21</v>
      </c>
      <c r="H579" s="108">
        <v>0</v>
      </c>
    </row>
    <row r="580" spans="1:8" x14ac:dyDescent="0.2">
      <c r="A580" s="117" t="s">
        <v>377</v>
      </c>
      <c r="B580" s="117"/>
      <c r="C580" s="117" t="s">
        <v>860</v>
      </c>
      <c r="D580" s="304" t="s">
        <v>1452</v>
      </c>
      <c r="E580" s="305"/>
      <c r="F580" s="117" t="s">
        <v>1644</v>
      </c>
      <c r="G580" s="116">
        <v>1</v>
      </c>
      <c r="H580" s="108">
        <v>0</v>
      </c>
    </row>
    <row r="581" spans="1:8" x14ac:dyDescent="0.2">
      <c r="A581" s="117" t="s">
        <v>378</v>
      </c>
      <c r="B581" s="117"/>
      <c r="C581" s="117" t="s">
        <v>861</v>
      </c>
      <c r="D581" s="304" t="s">
        <v>1453</v>
      </c>
      <c r="E581" s="305"/>
      <c r="F581" s="117" t="s">
        <v>1645</v>
      </c>
      <c r="G581" s="116">
        <v>20</v>
      </c>
      <c r="H581" s="108">
        <v>0</v>
      </c>
    </row>
    <row r="582" spans="1:8" x14ac:dyDescent="0.2">
      <c r="A582" s="117" t="s">
        <v>379</v>
      </c>
      <c r="B582" s="117"/>
      <c r="C582" s="117" t="s">
        <v>862</v>
      </c>
      <c r="D582" s="304" t="s">
        <v>1454</v>
      </c>
      <c r="E582" s="305"/>
      <c r="F582" s="117" t="s">
        <v>1652</v>
      </c>
      <c r="G582" s="116">
        <v>1</v>
      </c>
      <c r="H582" s="108">
        <v>0</v>
      </c>
    </row>
    <row r="583" spans="1:8" x14ac:dyDescent="0.2">
      <c r="A583" s="117" t="s">
        <v>380</v>
      </c>
      <c r="B583" s="117"/>
      <c r="C583" s="117" t="s">
        <v>863</v>
      </c>
      <c r="D583" s="304" t="s">
        <v>1455</v>
      </c>
      <c r="E583" s="305"/>
      <c r="F583" s="117" t="s">
        <v>1652</v>
      </c>
      <c r="G583" s="116">
        <v>1</v>
      </c>
      <c r="H583" s="108">
        <v>0</v>
      </c>
    </row>
    <row r="584" spans="1:8" x14ac:dyDescent="0.2">
      <c r="A584" s="117" t="s">
        <v>381</v>
      </c>
      <c r="B584" s="117"/>
      <c r="C584" s="117" t="s">
        <v>864</v>
      </c>
      <c r="D584" s="304" t="s">
        <v>1456</v>
      </c>
      <c r="E584" s="305"/>
      <c r="F584" s="117" t="s">
        <v>1652</v>
      </c>
      <c r="G584" s="116">
        <v>1</v>
      </c>
      <c r="H584" s="108">
        <v>0</v>
      </c>
    </row>
    <row r="585" spans="1:8" x14ac:dyDescent="0.2">
      <c r="A585" s="117" t="s">
        <v>382</v>
      </c>
      <c r="B585" s="117"/>
      <c r="C585" s="117" t="s">
        <v>865</v>
      </c>
      <c r="D585" s="304" t="s">
        <v>1420</v>
      </c>
      <c r="E585" s="305"/>
      <c r="F585" s="117" t="s">
        <v>1652</v>
      </c>
      <c r="G585" s="116">
        <v>1</v>
      </c>
      <c r="H585" s="108">
        <v>0</v>
      </c>
    </row>
    <row r="586" spans="1:8" x14ac:dyDescent="0.2">
      <c r="A586" s="117" t="s">
        <v>383</v>
      </c>
      <c r="B586" s="117"/>
      <c r="C586" s="117" t="s">
        <v>866</v>
      </c>
      <c r="D586" s="304" t="s">
        <v>1421</v>
      </c>
      <c r="E586" s="305"/>
      <c r="F586" s="117" t="s">
        <v>1652</v>
      </c>
      <c r="G586" s="116">
        <v>1</v>
      </c>
      <c r="H586" s="108">
        <v>0</v>
      </c>
    </row>
    <row r="587" spans="1:8" x14ac:dyDescent="0.2">
      <c r="A587" s="117" t="s">
        <v>384</v>
      </c>
      <c r="B587" s="117"/>
      <c r="C587" s="117" t="s">
        <v>867</v>
      </c>
      <c r="D587" s="304" t="s">
        <v>1457</v>
      </c>
      <c r="E587" s="305"/>
      <c r="F587" s="117" t="s">
        <v>1652</v>
      </c>
      <c r="G587" s="116">
        <v>1</v>
      </c>
      <c r="H587" s="108">
        <v>0</v>
      </c>
    </row>
    <row r="588" spans="1:8" x14ac:dyDescent="0.2">
      <c r="A588" s="120"/>
      <c r="B588" s="120"/>
      <c r="C588" s="120" t="s">
        <v>869</v>
      </c>
      <c r="D588" s="306" t="s">
        <v>1458</v>
      </c>
      <c r="E588" s="307"/>
      <c r="F588" s="120"/>
      <c r="G588" s="142"/>
      <c r="H588" s="109"/>
    </row>
    <row r="589" spans="1:8" x14ac:dyDescent="0.2">
      <c r="A589" s="117" t="s">
        <v>385</v>
      </c>
      <c r="B589" s="117"/>
      <c r="C589" s="117" t="s">
        <v>870</v>
      </c>
      <c r="D589" s="304" t="s">
        <v>1459</v>
      </c>
      <c r="E589" s="305"/>
      <c r="F589" s="117" t="s">
        <v>1644</v>
      </c>
      <c r="G589" s="116">
        <v>3</v>
      </c>
      <c r="H589" s="108">
        <v>0</v>
      </c>
    </row>
    <row r="590" spans="1:8" ht="12.2" customHeight="1" x14ac:dyDescent="0.2">
      <c r="D590" s="334" t="s">
        <v>1797</v>
      </c>
      <c r="E590" s="335"/>
      <c r="F590" s="335"/>
      <c r="G590" s="143">
        <v>3</v>
      </c>
    </row>
    <row r="591" spans="1:8" x14ac:dyDescent="0.2">
      <c r="A591" s="117" t="s">
        <v>386</v>
      </c>
      <c r="B591" s="117"/>
      <c r="C591" s="117" t="s">
        <v>871</v>
      </c>
      <c r="D591" s="304" t="s">
        <v>2692</v>
      </c>
      <c r="E591" s="305"/>
      <c r="F591" s="117" t="s">
        <v>1645</v>
      </c>
      <c r="G591" s="116">
        <v>310.892</v>
      </c>
      <c r="H591" s="108">
        <v>0</v>
      </c>
    </row>
    <row r="592" spans="1:8" ht="12.2" customHeight="1" x14ac:dyDescent="0.2">
      <c r="D592" s="334" t="s">
        <v>2894</v>
      </c>
      <c r="E592" s="335"/>
      <c r="F592" s="335"/>
      <c r="G592" s="143">
        <v>310.892</v>
      </c>
    </row>
    <row r="593" spans="1:8" x14ac:dyDescent="0.2">
      <c r="A593" s="117" t="s">
        <v>387</v>
      </c>
      <c r="B593" s="117"/>
      <c r="C593" s="117" t="s">
        <v>872</v>
      </c>
      <c r="D593" s="304" t="s">
        <v>1461</v>
      </c>
      <c r="E593" s="305"/>
      <c r="F593" s="117" t="s">
        <v>1645</v>
      </c>
      <c r="G593" s="116">
        <v>357.27</v>
      </c>
      <c r="H593" s="108">
        <v>0</v>
      </c>
    </row>
    <row r="594" spans="1:8" ht="12.2" customHeight="1" x14ac:dyDescent="0.2">
      <c r="D594" s="334" t="s">
        <v>2889</v>
      </c>
      <c r="E594" s="335"/>
      <c r="F594" s="335"/>
      <c r="G594" s="143">
        <v>357.27</v>
      </c>
    </row>
    <row r="595" spans="1:8" x14ac:dyDescent="0.2">
      <c r="A595" s="117" t="s">
        <v>388</v>
      </c>
      <c r="B595" s="117"/>
      <c r="C595" s="117" t="s">
        <v>873</v>
      </c>
      <c r="D595" s="304" t="s">
        <v>1462</v>
      </c>
      <c r="E595" s="305"/>
      <c r="F595" s="117" t="s">
        <v>1645</v>
      </c>
      <c r="G595" s="116">
        <v>357.27</v>
      </c>
      <c r="H595" s="108">
        <v>0</v>
      </c>
    </row>
    <row r="596" spans="1:8" ht="12.2" customHeight="1" x14ac:dyDescent="0.2">
      <c r="D596" s="334" t="s">
        <v>2889</v>
      </c>
      <c r="E596" s="335"/>
      <c r="F596" s="335"/>
      <c r="G596" s="143">
        <v>357.27</v>
      </c>
    </row>
    <row r="597" spans="1:8" x14ac:dyDescent="0.2">
      <c r="A597" s="117" t="s">
        <v>389</v>
      </c>
      <c r="B597" s="117"/>
      <c r="C597" s="117" t="s">
        <v>874</v>
      </c>
      <c r="D597" s="304" t="s">
        <v>2691</v>
      </c>
      <c r="E597" s="305"/>
      <c r="F597" s="117" t="s">
        <v>1645</v>
      </c>
      <c r="G597" s="116">
        <v>357.27</v>
      </c>
      <c r="H597" s="108">
        <v>0</v>
      </c>
    </row>
    <row r="598" spans="1:8" ht="12.2" customHeight="1" x14ac:dyDescent="0.2">
      <c r="D598" s="334" t="s">
        <v>2889</v>
      </c>
      <c r="E598" s="335"/>
      <c r="F598" s="335"/>
      <c r="G598" s="143">
        <v>357.27</v>
      </c>
    </row>
    <row r="599" spans="1:8" x14ac:dyDescent="0.2">
      <c r="A599" s="124" t="s">
        <v>390</v>
      </c>
      <c r="B599" s="124"/>
      <c r="C599" s="124" t="s">
        <v>875</v>
      </c>
      <c r="D599" s="311" t="s">
        <v>1464</v>
      </c>
      <c r="E599" s="312"/>
      <c r="F599" s="124" t="s">
        <v>1645</v>
      </c>
      <c r="G599" s="123">
        <v>375.13400000000001</v>
      </c>
      <c r="H599" s="121">
        <v>0</v>
      </c>
    </row>
    <row r="600" spans="1:8" ht="12.2" customHeight="1" x14ac:dyDescent="0.2">
      <c r="D600" s="336" t="s">
        <v>2893</v>
      </c>
      <c r="E600" s="337"/>
      <c r="F600" s="337"/>
      <c r="G600" s="146">
        <v>357.27</v>
      </c>
    </row>
    <row r="601" spans="1:8" ht="12.2" customHeight="1" x14ac:dyDescent="0.2">
      <c r="A601" s="124"/>
      <c r="B601" s="124"/>
      <c r="C601" s="124"/>
      <c r="D601" s="336" t="s">
        <v>2892</v>
      </c>
      <c r="E601" s="337"/>
      <c r="F601" s="336"/>
      <c r="G601" s="145">
        <v>17.864000000000001</v>
      </c>
      <c r="H601" s="122"/>
    </row>
    <row r="602" spans="1:8" x14ac:dyDescent="0.2">
      <c r="A602" s="117" t="s">
        <v>391</v>
      </c>
      <c r="B602" s="117"/>
      <c r="C602" s="117" t="s">
        <v>876</v>
      </c>
      <c r="D602" s="304" t="s">
        <v>1465</v>
      </c>
      <c r="E602" s="305"/>
      <c r="F602" s="117" t="s">
        <v>1645</v>
      </c>
      <c r="G602" s="116">
        <v>357.27</v>
      </c>
      <c r="H602" s="108">
        <v>0</v>
      </c>
    </row>
    <row r="603" spans="1:8" ht="12.2" customHeight="1" x14ac:dyDescent="0.2">
      <c r="D603" s="334" t="s">
        <v>2889</v>
      </c>
      <c r="E603" s="335"/>
      <c r="F603" s="335"/>
      <c r="G603" s="143">
        <v>357.27</v>
      </c>
    </row>
    <row r="604" spans="1:8" x14ac:dyDescent="0.2">
      <c r="A604" s="117" t="s">
        <v>392</v>
      </c>
      <c r="B604" s="117"/>
      <c r="C604" s="117" t="s">
        <v>877</v>
      </c>
      <c r="D604" s="304" t="s">
        <v>1466</v>
      </c>
      <c r="E604" s="305"/>
      <c r="F604" s="117" t="s">
        <v>1647</v>
      </c>
      <c r="G604" s="116">
        <v>7.86</v>
      </c>
      <c r="H604" s="108">
        <v>0</v>
      </c>
    </row>
    <row r="605" spans="1:8" ht="12.2" customHeight="1" x14ac:dyDescent="0.2">
      <c r="D605" s="334" t="s">
        <v>2891</v>
      </c>
      <c r="E605" s="335"/>
      <c r="F605" s="335"/>
      <c r="G605" s="143">
        <v>7.86</v>
      </c>
    </row>
    <row r="606" spans="1:8" x14ac:dyDescent="0.2">
      <c r="A606" s="117" t="s">
        <v>393</v>
      </c>
      <c r="B606" s="117"/>
      <c r="C606" s="117" t="s">
        <v>878</v>
      </c>
      <c r="D606" s="304" t="s">
        <v>1467</v>
      </c>
      <c r="E606" s="305"/>
      <c r="F606" s="117" t="s">
        <v>1645</v>
      </c>
      <c r="G606" s="116">
        <v>54.9</v>
      </c>
      <c r="H606" s="108">
        <v>0</v>
      </c>
    </row>
    <row r="607" spans="1:8" ht="12.2" customHeight="1" x14ac:dyDescent="0.2">
      <c r="D607" s="334" t="s">
        <v>1853</v>
      </c>
      <c r="E607" s="335"/>
      <c r="F607" s="335"/>
      <c r="G607" s="143">
        <v>54.9</v>
      </c>
    </row>
    <row r="608" spans="1:8" x14ac:dyDescent="0.2">
      <c r="A608" s="117" t="s">
        <v>394</v>
      </c>
      <c r="B608" s="117"/>
      <c r="C608" s="117" t="s">
        <v>879</v>
      </c>
      <c r="D608" s="304" t="s">
        <v>1468</v>
      </c>
      <c r="E608" s="305"/>
      <c r="F608" s="117" t="s">
        <v>1645</v>
      </c>
      <c r="G608" s="116">
        <v>54.9</v>
      </c>
      <c r="H608" s="108">
        <v>0</v>
      </c>
    </row>
    <row r="609" spans="1:8" ht="12.2" customHeight="1" x14ac:dyDescent="0.2">
      <c r="D609" s="334" t="s">
        <v>1853</v>
      </c>
      <c r="E609" s="335"/>
      <c r="F609" s="335"/>
      <c r="G609" s="143">
        <v>54.9</v>
      </c>
    </row>
    <row r="610" spans="1:8" x14ac:dyDescent="0.2">
      <c r="A610" s="117" t="s">
        <v>395</v>
      </c>
      <c r="B610" s="117"/>
      <c r="C610" s="117" t="s">
        <v>880</v>
      </c>
      <c r="D610" s="304" t="s">
        <v>1469</v>
      </c>
      <c r="E610" s="305"/>
      <c r="F610" s="117" t="s">
        <v>1647</v>
      </c>
      <c r="G610" s="116">
        <v>1.0429999999999999</v>
      </c>
      <c r="H610" s="108">
        <v>0</v>
      </c>
    </row>
    <row r="611" spans="1:8" ht="12.2" customHeight="1" x14ac:dyDescent="0.2">
      <c r="D611" s="334" t="s">
        <v>1854</v>
      </c>
      <c r="E611" s="335"/>
      <c r="F611" s="335"/>
      <c r="G611" s="143">
        <v>1.0429999999999999</v>
      </c>
    </row>
    <row r="612" spans="1:8" x14ac:dyDescent="0.2">
      <c r="A612" s="117" t="s">
        <v>396</v>
      </c>
      <c r="B612" s="117"/>
      <c r="C612" s="117" t="s">
        <v>881</v>
      </c>
      <c r="D612" s="304" t="s">
        <v>1470</v>
      </c>
      <c r="E612" s="305"/>
      <c r="F612" s="117" t="s">
        <v>1648</v>
      </c>
      <c r="G612" s="116">
        <v>32.53</v>
      </c>
      <c r="H612" s="108">
        <v>0</v>
      </c>
    </row>
    <row r="613" spans="1:8" ht="12.2" customHeight="1" x14ac:dyDescent="0.2">
      <c r="D613" s="334" t="s">
        <v>2890</v>
      </c>
      <c r="E613" s="335"/>
      <c r="F613" s="335"/>
      <c r="G613" s="143">
        <v>32.53</v>
      </c>
    </row>
    <row r="614" spans="1:8" x14ac:dyDescent="0.2">
      <c r="A614" s="120"/>
      <c r="B614" s="120"/>
      <c r="C614" s="120" t="s">
        <v>882</v>
      </c>
      <c r="D614" s="306" t="s">
        <v>1471</v>
      </c>
      <c r="E614" s="307"/>
      <c r="F614" s="120"/>
      <c r="G614" s="142"/>
      <c r="H614" s="109"/>
    </row>
    <row r="615" spans="1:8" x14ac:dyDescent="0.2">
      <c r="A615" s="117" t="s">
        <v>397</v>
      </c>
      <c r="B615" s="117"/>
      <c r="C615" s="117" t="s">
        <v>883</v>
      </c>
      <c r="D615" s="304" t="s">
        <v>1472</v>
      </c>
      <c r="E615" s="305"/>
      <c r="F615" s="117" t="s">
        <v>1645</v>
      </c>
      <c r="G615" s="116">
        <v>357.27</v>
      </c>
      <c r="H615" s="108">
        <v>0</v>
      </c>
    </row>
    <row r="616" spans="1:8" ht="12.2" customHeight="1" x14ac:dyDescent="0.2">
      <c r="D616" s="334" t="s">
        <v>2889</v>
      </c>
      <c r="E616" s="335"/>
      <c r="F616" s="335"/>
      <c r="G616" s="143">
        <v>357.27</v>
      </c>
    </row>
    <row r="617" spans="1:8" x14ac:dyDescent="0.2">
      <c r="A617" s="117" t="s">
        <v>398</v>
      </c>
      <c r="B617" s="117"/>
      <c r="C617" s="117" t="s">
        <v>884</v>
      </c>
      <c r="D617" s="304" t="s">
        <v>1473</v>
      </c>
      <c r="E617" s="305"/>
      <c r="F617" s="117" t="s">
        <v>1646</v>
      </c>
      <c r="G617" s="116">
        <v>106</v>
      </c>
      <c r="H617" s="108">
        <v>0</v>
      </c>
    </row>
    <row r="618" spans="1:8" ht="12.2" customHeight="1" x14ac:dyDescent="0.2">
      <c r="D618" s="334" t="s">
        <v>1856</v>
      </c>
      <c r="E618" s="335"/>
      <c r="F618" s="335"/>
      <c r="G618" s="143">
        <v>106</v>
      </c>
    </row>
    <row r="619" spans="1:8" x14ac:dyDescent="0.2">
      <c r="A619" s="117" t="s">
        <v>399</v>
      </c>
      <c r="B619" s="117"/>
      <c r="C619" s="117" t="s">
        <v>885</v>
      </c>
      <c r="D619" s="304" t="s">
        <v>1474</v>
      </c>
      <c r="E619" s="305"/>
      <c r="F619" s="117" t="s">
        <v>1645</v>
      </c>
      <c r="G619" s="116">
        <v>1.952</v>
      </c>
      <c r="H619" s="108">
        <v>0</v>
      </c>
    </row>
    <row r="620" spans="1:8" ht="12.2" customHeight="1" x14ac:dyDescent="0.2">
      <c r="D620" s="334" t="s">
        <v>1857</v>
      </c>
      <c r="E620" s="335"/>
      <c r="F620" s="335"/>
      <c r="G620" s="143">
        <v>1.952</v>
      </c>
    </row>
    <row r="621" spans="1:8" x14ac:dyDescent="0.2">
      <c r="A621" s="117" t="s">
        <v>400</v>
      </c>
      <c r="B621" s="117"/>
      <c r="C621" s="117" t="s">
        <v>886</v>
      </c>
      <c r="D621" s="304" t="s">
        <v>1475</v>
      </c>
      <c r="E621" s="305"/>
      <c r="F621" s="117" t="s">
        <v>1646</v>
      </c>
      <c r="G621" s="116">
        <v>64.5</v>
      </c>
      <c r="H621" s="108">
        <v>0</v>
      </c>
    </row>
    <row r="622" spans="1:8" ht="12.2" customHeight="1" x14ac:dyDescent="0.2">
      <c r="D622" s="334" t="s">
        <v>2885</v>
      </c>
      <c r="E622" s="335"/>
      <c r="F622" s="335"/>
      <c r="G622" s="143">
        <v>64.5</v>
      </c>
    </row>
    <row r="623" spans="1:8" x14ac:dyDescent="0.2">
      <c r="A623" s="117" t="s">
        <v>401</v>
      </c>
      <c r="B623" s="117"/>
      <c r="C623" s="117" t="s">
        <v>887</v>
      </c>
      <c r="D623" s="304" t="s">
        <v>1476</v>
      </c>
      <c r="E623" s="305"/>
      <c r="F623" s="117" t="s">
        <v>1644</v>
      </c>
      <c r="G623" s="116">
        <v>4</v>
      </c>
      <c r="H623" s="108">
        <v>0</v>
      </c>
    </row>
    <row r="624" spans="1:8" ht="12.2" customHeight="1" x14ac:dyDescent="0.2">
      <c r="D624" s="334" t="s">
        <v>1795</v>
      </c>
      <c r="E624" s="335"/>
      <c r="F624" s="335"/>
      <c r="G624" s="143">
        <v>4</v>
      </c>
    </row>
    <row r="625" spans="1:8" x14ac:dyDescent="0.2">
      <c r="A625" s="117" t="s">
        <v>402</v>
      </c>
      <c r="B625" s="117"/>
      <c r="C625" s="117" t="s">
        <v>888</v>
      </c>
      <c r="D625" s="304" t="s">
        <v>1477</v>
      </c>
      <c r="E625" s="305"/>
      <c r="F625" s="117" t="s">
        <v>1644</v>
      </c>
      <c r="G625" s="116">
        <v>1</v>
      </c>
      <c r="H625" s="108">
        <v>0</v>
      </c>
    </row>
    <row r="626" spans="1:8" ht="12.2" customHeight="1" x14ac:dyDescent="0.2">
      <c r="D626" s="334" t="s">
        <v>1749</v>
      </c>
      <c r="E626" s="335"/>
      <c r="F626" s="335"/>
      <c r="G626" s="143">
        <v>1</v>
      </c>
    </row>
    <row r="627" spans="1:8" x14ac:dyDescent="0.2">
      <c r="A627" s="117" t="s">
        <v>403</v>
      </c>
      <c r="B627" s="117"/>
      <c r="C627" s="117" t="s">
        <v>889</v>
      </c>
      <c r="D627" s="304" t="s">
        <v>1478</v>
      </c>
      <c r="E627" s="305"/>
      <c r="F627" s="117" t="s">
        <v>1646</v>
      </c>
      <c r="G627" s="116">
        <v>37.799999999999997</v>
      </c>
      <c r="H627" s="108">
        <v>0</v>
      </c>
    </row>
    <row r="628" spans="1:8" ht="12.2" customHeight="1" x14ac:dyDescent="0.2">
      <c r="D628" s="334" t="s">
        <v>2888</v>
      </c>
      <c r="E628" s="335"/>
      <c r="F628" s="335"/>
      <c r="G628" s="143">
        <v>37.799999999999997</v>
      </c>
    </row>
    <row r="629" spans="1:8" x14ac:dyDescent="0.2">
      <c r="A629" s="117" t="s">
        <v>404</v>
      </c>
      <c r="B629" s="117"/>
      <c r="C629" s="117" t="s">
        <v>890</v>
      </c>
      <c r="D629" s="304" t="s">
        <v>1479</v>
      </c>
      <c r="E629" s="305"/>
      <c r="F629" s="117" t="s">
        <v>1646</v>
      </c>
      <c r="G629" s="116">
        <v>9.6</v>
      </c>
      <c r="H629" s="108">
        <v>0</v>
      </c>
    </row>
    <row r="630" spans="1:8" ht="12.2" customHeight="1" x14ac:dyDescent="0.2">
      <c r="D630" s="334" t="s">
        <v>2887</v>
      </c>
      <c r="E630" s="335"/>
      <c r="F630" s="335"/>
      <c r="G630" s="143">
        <v>9.6</v>
      </c>
    </row>
    <row r="631" spans="1:8" x14ac:dyDescent="0.2">
      <c r="A631" s="117" t="s">
        <v>405</v>
      </c>
      <c r="B631" s="117"/>
      <c r="C631" s="117" t="s">
        <v>891</v>
      </c>
      <c r="D631" s="304" t="s">
        <v>1480</v>
      </c>
      <c r="E631" s="305"/>
      <c r="F631" s="117" t="s">
        <v>1646</v>
      </c>
      <c r="G631" s="116">
        <v>36</v>
      </c>
      <c r="H631" s="108">
        <v>0</v>
      </c>
    </row>
    <row r="632" spans="1:8" ht="12.2" customHeight="1" x14ac:dyDescent="0.2">
      <c r="D632" s="334" t="s">
        <v>2886</v>
      </c>
      <c r="E632" s="335"/>
      <c r="F632" s="335"/>
      <c r="G632" s="143">
        <v>36</v>
      </c>
    </row>
    <row r="633" spans="1:8" x14ac:dyDescent="0.2">
      <c r="A633" s="117" t="s">
        <v>406</v>
      </c>
      <c r="B633" s="117"/>
      <c r="C633" s="117" t="s">
        <v>892</v>
      </c>
      <c r="D633" s="304" t="s">
        <v>1481</v>
      </c>
      <c r="E633" s="305"/>
      <c r="F633" s="117" t="s">
        <v>1646</v>
      </c>
      <c r="G633" s="116">
        <v>31</v>
      </c>
      <c r="H633" s="108">
        <v>0</v>
      </c>
    </row>
    <row r="634" spans="1:8" ht="12.2" customHeight="1" x14ac:dyDescent="0.2">
      <c r="D634" s="334" t="s">
        <v>1861</v>
      </c>
      <c r="E634" s="335"/>
      <c r="F634" s="335"/>
      <c r="G634" s="143">
        <v>31</v>
      </c>
    </row>
    <row r="635" spans="1:8" x14ac:dyDescent="0.2">
      <c r="A635" s="117" t="s">
        <v>407</v>
      </c>
      <c r="B635" s="117"/>
      <c r="C635" s="117" t="s">
        <v>893</v>
      </c>
      <c r="D635" s="304" t="s">
        <v>1482</v>
      </c>
      <c r="E635" s="305"/>
      <c r="F635" s="117" t="s">
        <v>1646</v>
      </c>
      <c r="G635" s="116">
        <v>64.5</v>
      </c>
      <c r="H635" s="108">
        <v>0</v>
      </c>
    </row>
    <row r="636" spans="1:8" ht="12.2" customHeight="1" x14ac:dyDescent="0.2">
      <c r="D636" s="334" t="s">
        <v>2885</v>
      </c>
      <c r="E636" s="335"/>
      <c r="F636" s="335"/>
      <c r="G636" s="143">
        <v>64.5</v>
      </c>
    </row>
    <row r="637" spans="1:8" x14ac:dyDescent="0.2">
      <c r="A637" s="117" t="s">
        <v>408</v>
      </c>
      <c r="B637" s="117"/>
      <c r="C637" s="117" t="s">
        <v>894</v>
      </c>
      <c r="D637" s="304" t="s">
        <v>1483</v>
      </c>
      <c r="E637" s="305"/>
      <c r="F637" s="117" t="s">
        <v>1644</v>
      </c>
      <c r="G637" s="116">
        <v>4</v>
      </c>
      <c r="H637" s="108">
        <v>0</v>
      </c>
    </row>
    <row r="638" spans="1:8" ht="12.2" customHeight="1" x14ac:dyDescent="0.2">
      <c r="D638" s="334" t="s">
        <v>1795</v>
      </c>
      <c r="E638" s="335"/>
      <c r="F638" s="335"/>
      <c r="G638" s="143">
        <v>4</v>
      </c>
    </row>
    <row r="639" spans="1:8" x14ac:dyDescent="0.2">
      <c r="A639" s="117" t="s">
        <v>409</v>
      </c>
      <c r="B639" s="117"/>
      <c r="C639" s="117" t="s">
        <v>895</v>
      </c>
      <c r="D639" s="304" t="s">
        <v>1484</v>
      </c>
      <c r="E639" s="305"/>
      <c r="F639" s="117" t="s">
        <v>1646</v>
      </c>
      <c r="G639" s="116">
        <v>31</v>
      </c>
      <c r="H639" s="108">
        <v>0</v>
      </c>
    </row>
    <row r="640" spans="1:8" ht="12.2" customHeight="1" x14ac:dyDescent="0.2">
      <c r="D640" s="334" t="s">
        <v>1861</v>
      </c>
      <c r="E640" s="335"/>
      <c r="F640" s="335"/>
      <c r="G640" s="143">
        <v>31</v>
      </c>
    </row>
    <row r="641" spans="1:8" x14ac:dyDescent="0.2">
      <c r="A641" s="117" t="s">
        <v>410</v>
      </c>
      <c r="B641" s="117"/>
      <c r="C641" s="117" t="s">
        <v>896</v>
      </c>
      <c r="D641" s="304" t="s">
        <v>2690</v>
      </c>
      <c r="E641" s="305"/>
      <c r="F641" s="117" t="s">
        <v>1646</v>
      </c>
      <c r="G641" s="116">
        <v>106</v>
      </c>
      <c r="H641" s="108">
        <v>0</v>
      </c>
    </row>
    <row r="642" spans="1:8" ht="12.2" customHeight="1" x14ac:dyDescent="0.2">
      <c r="D642" s="334" t="s">
        <v>1862</v>
      </c>
      <c r="E642" s="335"/>
      <c r="F642" s="335"/>
      <c r="G642" s="143">
        <v>106</v>
      </c>
    </row>
    <row r="643" spans="1:8" x14ac:dyDescent="0.2">
      <c r="A643" s="117" t="s">
        <v>411</v>
      </c>
      <c r="B643" s="117"/>
      <c r="C643" s="117" t="s">
        <v>897</v>
      </c>
      <c r="D643" s="304" t="s">
        <v>1486</v>
      </c>
      <c r="E643" s="305"/>
      <c r="F643" s="117" t="s">
        <v>1646</v>
      </c>
      <c r="G643" s="116">
        <v>6.2</v>
      </c>
      <c r="H643" s="108">
        <v>0</v>
      </c>
    </row>
    <row r="644" spans="1:8" ht="12.2" customHeight="1" x14ac:dyDescent="0.2">
      <c r="D644" s="334" t="s">
        <v>1863</v>
      </c>
      <c r="E644" s="335"/>
      <c r="F644" s="335"/>
      <c r="G644" s="143">
        <v>6.2</v>
      </c>
    </row>
    <row r="645" spans="1:8" x14ac:dyDescent="0.2">
      <c r="A645" s="117" t="s">
        <v>412</v>
      </c>
      <c r="B645" s="117"/>
      <c r="C645" s="117" t="s">
        <v>898</v>
      </c>
      <c r="D645" s="304" t="s">
        <v>1487</v>
      </c>
      <c r="E645" s="305"/>
      <c r="F645" s="117" t="s">
        <v>1646</v>
      </c>
      <c r="G645" s="116">
        <v>3.2</v>
      </c>
      <c r="H645" s="108">
        <v>0</v>
      </c>
    </row>
    <row r="646" spans="1:8" ht="12.2" customHeight="1" x14ac:dyDescent="0.2">
      <c r="D646" s="334" t="s">
        <v>1864</v>
      </c>
      <c r="E646" s="335"/>
      <c r="F646" s="335"/>
      <c r="G646" s="143">
        <v>3.2</v>
      </c>
    </row>
    <row r="647" spans="1:8" x14ac:dyDescent="0.2">
      <c r="A647" s="117" t="s">
        <v>413</v>
      </c>
      <c r="B647" s="117"/>
      <c r="C647" s="117" t="s">
        <v>899</v>
      </c>
      <c r="D647" s="304" t="s">
        <v>1488</v>
      </c>
      <c r="E647" s="305"/>
      <c r="F647" s="117" t="s">
        <v>1646</v>
      </c>
      <c r="G647" s="116">
        <v>31.18</v>
      </c>
      <c r="H647" s="108">
        <v>0</v>
      </c>
    </row>
    <row r="648" spans="1:8" ht="12.2" customHeight="1" x14ac:dyDescent="0.2">
      <c r="D648" s="334" t="s">
        <v>1865</v>
      </c>
      <c r="E648" s="335"/>
      <c r="F648" s="335"/>
      <c r="G648" s="143">
        <v>31.18</v>
      </c>
    </row>
    <row r="649" spans="1:8" x14ac:dyDescent="0.2">
      <c r="A649" s="117" t="s">
        <v>414</v>
      </c>
      <c r="B649" s="117"/>
      <c r="C649" s="117" t="s">
        <v>900</v>
      </c>
      <c r="D649" s="304" t="s">
        <v>1489</v>
      </c>
      <c r="E649" s="305"/>
      <c r="F649" s="117" t="s">
        <v>1646</v>
      </c>
      <c r="G649" s="116">
        <v>31.18</v>
      </c>
      <c r="H649" s="108">
        <v>0</v>
      </c>
    </row>
    <row r="650" spans="1:8" ht="12.2" customHeight="1" x14ac:dyDescent="0.2">
      <c r="D650" s="334" t="s">
        <v>1865</v>
      </c>
      <c r="E650" s="335"/>
      <c r="F650" s="335"/>
      <c r="G650" s="143">
        <v>31.18</v>
      </c>
    </row>
    <row r="651" spans="1:8" x14ac:dyDescent="0.2">
      <c r="A651" s="117" t="s">
        <v>415</v>
      </c>
      <c r="B651" s="117"/>
      <c r="C651" s="117" t="s">
        <v>901</v>
      </c>
      <c r="D651" s="304" t="s">
        <v>1490</v>
      </c>
      <c r="E651" s="305"/>
      <c r="F651" s="117" t="s">
        <v>1646</v>
      </c>
      <c r="G651" s="116">
        <v>64.5</v>
      </c>
      <c r="H651" s="108">
        <v>0</v>
      </c>
    </row>
    <row r="652" spans="1:8" ht="12.2" customHeight="1" x14ac:dyDescent="0.2">
      <c r="D652" s="334" t="s">
        <v>2885</v>
      </c>
      <c r="E652" s="335"/>
      <c r="F652" s="335"/>
      <c r="G652" s="143">
        <v>64.5</v>
      </c>
    </row>
    <row r="653" spans="1:8" x14ac:dyDescent="0.2">
      <c r="A653" s="117" t="s">
        <v>416</v>
      </c>
      <c r="B653" s="117"/>
      <c r="C653" s="117" t="s">
        <v>902</v>
      </c>
      <c r="D653" s="304" t="s">
        <v>1491</v>
      </c>
      <c r="E653" s="305"/>
      <c r="F653" s="117" t="s">
        <v>1648</v>
      </c>
      <c r="G653" s="116">
        <v>4.6790000000000003</v>
      </c>
      <c r="H653" s="108">
        <v>0</v>
      </c>
    </row>
    <row r="654" spans="1:8" ht="12.2" customHeight="1" x14ac:dyDescent="0.2">
      <c r="D654" s="334" t="s">
        <v>2884</v>
      </c>
      <c r="E654" s="335"/>
      <c r="F654" s="335"/>
      <c r="G654" s="143">
        <v>4.6790000000000003</v>
      </c>
    </row>
    <row r="655" spans="1:8" x14ac:dyDescent="0.2">
      <c r="A655" s="120"/>
      <c r="B655" s="120"/>
      <c r="C655" s="120" t="s">
        <v>903</v>
      </c>
      <c r="D655" s="306" t="s">
        <v>1492</v>
      </c>
      <c r="E655" s="307"/>
      <c r="F655" s="120"/>
      <c r="G655" s="142"/>
      <c r="H655" s="109"/>
    </row>
    <row r="656" spans="1:8" x14ac:dyDescent="0.2">
      <c r="A656" s="117" t="s">
        <v>417</v>
      </c>
      <c r="B656" s="117"/>
      <c r="C656" s="117" t="s">
        <v>2689</v>
      </c>
      <c r="D656" s="304" t="s">
        <v>2688</v>
      </c>
      <c r="E656" s="305"/>
      <c r="F656" s="117" t="s">
        <v>1646</v>
      </c>
      <c r="G656" s="116">
        <v>33</v>
      </c>
      <c r="H656" s="108">
        <v>0</v>
      </c>
    </row>
    <row r="657" spans="1:8" ht="12.2" customHeight="1" x14ac:dyDescent="0.2">
      <c r="D657" s="334" t="s">
        <v>2883</v>
      </c>
      <c r="E657" s="335"/>
      <c r="F657" s="335"/>
      <c r="G657" s="143">
        <v>33</v>
      </c>
    </row>
    <row r="658" spans="1:8" x14ac:dyDescent="0.2">
      <c r="A658" s="117" t="s">
        <v>418</v>
      </c>
      <c r="B658" s="117"/>
      <c r="C658" s="117" t="s">
        <v>2687</v>
      </c>
      <c r="D658" s="304" t="s">
        <v>2686</v>
      </c>
      <c r="E658" s="305"/>
      <c r="F658" s="117" t="s">
        <v>1646</v>
      </c>
      <c r="G658" s="116">
        <v>11.4</v>
      </c>
      <c r="H658" s="108">
        <v>0</v>
      </c>
    </row>
    <row r="659" spans="1:8" ht="12.2" customHeight="1" x14ac:dyDescent="0.2">
      <c r="D659" s="334" t="s">
        <v>2882</v>
      </c>
      <c r="E659" s="335"/>
      <c r="F659" s="335"/>
      <c r="G659" s="143">
        <v>11.4</v>
      </c>
    </row>
    <row r="660" spans="1:8" x14ac:dyDescent="0.2">
      <c r="A660" s="117" t="s">
        <v>419</v>
      </c>
      <c r="B660" s="117"/>
      <c r="C660" s="117" t="s">
        <v>904</v>
      </c>
      <c r="D660" s="304" t="s">
        <v>1493</v>
      </c>
      <c r="E660" s="305"/>
      <c r="F660" s="117" t="s">
        <v>1644</v>
      </c>
      <c r="G660" s="116">
        <v>1</v>
      </c>
      <c r="H660" s="108">
        <v>0</v>
      </c>
    </row>
    <row r="661" spans="1:8" ht="12.2" customHeight="1" x14ac:dyDescent="0.2">
      <c r="D661" s="334" t="s">
        <v>1749</v>
      </c>
      <c r="E661" s="335"/>
      <c r="F661" s="335"/>
      <c r="G661" s="143">
        <v>1</v>
      </c>
    </row>
    <row r="662" spans="1:8" x14ac:dyDescent="0.2">
      <c r="A662" s="117" t="s">
        <v>420</v>
      </c>
      <c r="B662" s="117"/>
      <c r="C662" s="117" t="s">
        <v>905</v>
      </c>
      <c r="D662" s="304" t="s">
        <v>1987</v>
      </c>
      <c r="E662" s="305"/>
      <c r="F662" s="117" t="s">
        <v>1644</v>
      </c>
      <c r="G662" s="116">
        <v>1</v>
      </c>
      <c r="H662" s="108">
        <v>0</v>
      </c>
    </row>
    <row r="663" spans="1:8" ht="12.2" customHeight="1" x14ac:dyDescent="0.2">
      <c r="D663" s="334" t="s">
        <v>1749</v>
      </c>
      <c r="E663" s="335"/>
      <c r="F663" s="335"/>
      <c r="G663" s="143">
        <v>1</v>
      </c>
    </row>
    <row r="664" spans="1:8" x14ac:dyDescent="0.2">
      <c r="A664" s="117" t="s">
        <v>421</v>
      </c>
      <c r="B664" s="117"/>
      <c r="C664" s="117" t="s">
        <v>2685</v>
      </c>
      <c r="D664" s="304" t="s">
        <v>2684</v>
      </c>
      <c r="E664" s="305"/>
      <c r="F664" s="117" t="s">
        <v>1644</v>
      </c>
      <c r="G664" s="116">
        <v>8</v>
      </c>
      <c r="H664" s="108">
        <v>0</v>
      </c>
    </row>
    <row r="665" spans="1:8" ht="12.2" customHeight="1" x14ac:dyDescent="0.2">
      <c r="D665" s="334" t="s">
        <v>1796</v>
      </c>
      <c r="E665" s="335"/>
      <c r="F665" s="335"/>
      <c r="G665" s="143">
        <v>8</v>
      </c>
    </row>
    <row r="666" spans="1:8" x14ac:dyDescent="0.2">
      <c r="A666" s="124" t="s">
        <v>422</v>
      </c>
      <c r="B666" s="124"/>
      <c r="C666" s="124" t="s">
        <v>2683</v>
      </c>
      <c r="D666" s="311" t="s">
        <v>2682</v>
      </c>
      <c r="E666" s="312"/>
      <c r="F666" s="124" t="s">
        <v>1644</v>
      </c>
      <c r="G666" s="123">
        <v>8</v>
      </c>
      <c r="H666" s="121">
        <v>0</v>
      </c>
    </row>
    <row r="667" spans="1:8" ht="12.2" customHeight="1" x14ac:dyDescent="0.2">
      <c r="D667" s="336" t="s">
        <v>1796</v>
      </c>
      <c r="E667" s="337"/>
      <c r="F667" s="337"/>
      <c r="G667" s="146">
        <v>8</v>
      </c>
    </row>
    <row r="668" spans="1:8" x14ac:dyDescent="0.2">
      <c r="A668" s="117" t="s">
        <v>423</v>
      </c>
      <c r="B668" s="117"/>
      <c r="C668" s="117" t="s">
        <v>2681</v>
      </c>
      <c r="D668" s="304" t="s">
        <v>2680</v>
      </c>
      <c r="E668" s="305"/>
      <c r="F668" s="117" t="s">
        <v>1644</v>
      </c>
      <c r="G668" s="116">
        <v>2</v>
      </c>
      <c r="H668" s="108">
        <v>0</v>
      </c>
    </row>
    <row r="669" spans="1:8" ht="12.2" customHeight="1" x14ac:dyDescent="0.2">
      <c r="D669" s="334" t="s">
        <v>1849</v>
      </c>
      <c r="E669" s="335"/>
      <c r="F669" s="335"/>
      <c r="G669" s="143">
        <v>2</v>
      </c>
    </row>
    <row r="670" spans="1:8" x14ac:dyDescent="0.2">
      <c r="A670" s="124" t="s">
        <v>424</v>
      </c>
      <c r="B670" s="124"/>
      <c r="C670" s="124" t="s">
        <v>2679</v>
      </c>
      <c r="D670" s="311" t="s">
        <v>2678</v>
      </c>
      <c r="E670" s="312"/>
      <c r="F670" s="124" t="s">
        <v>1644</v>
      </c>
      <c r="G670" s="123">
        <v>2</v>
      </c>
      <c r="H670" s="121">
        <v>0</v>
      </c>
    </row>
    <row r="671" spans="1:8" ht="12.2" customHeight="1" x14ac:dyDescent="0.2">
      <c r="D671" s="336" t="s">
        <v>1849</v>
      </c>
      <c r="E671" s="337"/>
      <c r="F671" s="337"/>
      <c r="G671" s="146">
        <v>2</v>
      </c>
    </row>
    <row r="672" spans="1:8" x14ac:dyDescent="0.2">
      <c r="A672" s="117" t="s">
        <v>425</v>
      </c>
      <c r="B672" s="117"/>
      <c r="C672" s="117" t="s">
        <v>906</v>
      </c>
      <c r="D672" s="304" t="s">
        <v>1495</v>
      </c>
      <c r="E672" s="305"/>
      <c r="F672" s="117" t="s">
        <v>1648</v>
      </c>
      <c r="G672" s="116">
        <v>0.36799999999999999</v>
      </c>
      <c r="H672" s="108">
        <v>0</v>
      </c>
    </row>
    <row r="673" spans="1:8" ht="12.2" customHeight="1" x14ac:dyDescent="0.2">
      <c r="D673" s="334" t="s">
        <v>2881</v>
      </c>
      <c r="E673" s="335"/>
      <c r="F673" s="335"/>
      <c r="G673" s="143">
        <v>0.36799999999999999</v>
      </c>
    </row>
    <row r="674" spans="1:8" x14ac:dyDescent="0.2">
      <c r="A674" s="120"/>
      <c r="B674" s="120"/>
      <c r="C674" s="120" t="s">
        <v>907</v>
      </c>
      <c r="D674" s="306" t="s">
        <v>1496</v>
      </c>
      <c r="E674" s="307"/>
      <c r="F674" s="120"/>
      <c r="G674" s="142"/>
      <c r="H674" s="109"/>
    </row>
    <row r="675" spans="1:8" x14ac:dyDescent="0.2">
      <c r="A675" s="117" t="s">
        <v>426</v>
      </c>
      <c r="B675" s="117"/>
      <c r="C675" s="117" t="s">
        <v>908</v>
      </c>
      <c r="D675" s="304" t="s">
        <v>1497</v>
      </c>
      <c r="E675" s="305"/>
      <c r="F675" s="117" t="s">
        <v>1644</v>
      </c>
      <c r="G675" s="116">
        <v>1</v>
      </c>
      <c r="H675" s="108">
        <v>0</v>
      </c>
    </row>
    <row r="676" spans="1:8" ht="12.2" customHeight="1" x14ac:dyDescent="0.2">
      <c r="D676" s="334" t="s">
        <v>1749</v>
      </c>
      <c r="E676" s="335"/>
      <c r="F676" s="335"/>
      <c r="G676" s="143">
        <v>1</v>
      </c>
    </row>
    <row r="677" spans="1:8" x14ac:dyDescent="0.2">
      <c r="A677" s="117" t="s">
        <v>427</v>
      </c>
      <c r="B677" s="117"/>
      <c r="C677" s="117" t="s">
        <v>909</v>
      </c>
      <c r="D677" s="304" t="s">
        <v>1498</v>
      </c>
      <c r="E677" s="305"/>
      <c r="F677" s="117" t="s">
        <v>1644</v>
      </c>
      <c r="G677" s="116">
        <v>1</v>
      </c>
      <c r="H677" s="108">
        <v>0</v>
      </c>
    </row>
    <row r="678" spans="1:8" ht="12.2" customHeight="1" x14ac:dyDescent="0.2">
      <c r="D678" s="334" t="s">
        <v>1749</v>
      </c>
      <c r="E678" s="335"/>
      <c r="F678" s="335"/>
      <c r="G678" s="143">
        <v>1</v>
      </c>
    </row>
    <row r="679" spans="1:8" x14ac:dyDescent="0.2">
      <c r="A679" s="117" t="s">
        <v>428</v>
      </c>
      <c r="B679" s="117"/>
      <c r="C679" s="117" t="s">
        <v>910</v>
      </c>
      <c r="D679" s="304" t="s">
        <v>1499</v>
      </c>
      <c r="E679" s="305"/>
      <c r="F679" s="117" t="s">
        <v>1644</v>
      </c>
      <c r="G679" s="116">
        <v>1</v>
      </c>
      <c r="H679" s="108">
        <v>0</v>
      </c>
    </row>
    <row r="680" spans="1:8" ht="12.2" customHeight="1" x14ac:dyDescent="0.2">
      <c r="D680" s="334" t="s">
        <v>1749</v>
      </c>
      <c r="E680" s="335"/>
      <c r="F680" s="335"/>
      <c r="G680" s="143">
        <v>1</v>
      </c>
    </row>
    <row r="681" spans="1:8" x14ac:dyDescent="0.2">
      <c r="A681" s="117" t="s">
        <v>429</v>
      </c>
      <c r="B681" s="117"/>
      <c r="C681" s="117" t="s">
        <v>913</v>
      </c>
      <c r="D681" s="304" t="s">
        <v>1502</v>
      </c>
      <c r="E681" s="305"/>
      <c r="F681" s="117" t="s">
        <v>1644</v>
      </c>
      <c r="G681" s="116">
        <v>4</v>
      </c>
      <c r="H681" s="108">
        <v>0</v>
      </c>
    </row>
    <row r="682" spans="1:8" ht="12.2" customHeight="1" x14ac:dyDescent="0.2">
      <c r="D682" s="334" t="s">
        <v>1795</v>
      </c>
      <c r="E682" s="335"/>
      <c r="F682" s="335"/>
      <c r="G682" s="143">
        <v>4</v>
      </c>
    </row>
    <row r="683" spans="1:8" x14ac:dyDescent="0.2">
      <c r="A683" s="117" t="s">
        <v>430</v>
      </c>
      <c r="B683" s="117"/>
      <c r="C683" s="117" t="s">
        <v>914</v>
      </c>
      <c r="D683" s="304" t="s">
        <v>1503</v>
      </c>
      <c r="E683" s="305"/>
      <c r="F683" s="117" t="s">
        <v>1644</v>
      </c>
      <c r="G683" s="116">
        <v>2</v>
      </c>
      <c r="H683" s="108">
        <v>0</v>
      </c>
    </row>
    <row r="684" spans="1:8" ht="12.2" customHeight="1" x14ac:dyDescent="0.2">
      <c r="D684" s="334" t="s">
        <v>1849</v>
      </c>
      <c r="E684" s="335"/>
      <c r="F684" s="335"/>
      <c r="G684" s="143">
        <v>2</v>
      </c>
    </row>
    <row r="685" spans="1:8" x14ac:dyDescent="0.2">
      <c r="A685" s="117" t="s">
        <v>431</v>
      </c>
      <c r="B685" s="117"/>
      <c r="C685" s="117" t="s">
        <v>916</v>
      </c>
      <c r="D685" s="304" t="s">
        <v>1505</v>
      </c>
      <c r="E685" s="305"/>
      <c r="F685" s="117" t="s">
        <v>1644</v>
      </c>
      <c r="G685" s="116">
        <v>1</v>
      </c>
      <c r="H685" s="108">
        <v>0</v>
      </c>
    </row>
    <row r="686" spans="1:8" ht="12.2" customHeight="1" x14ac:dyDescent="0.2">
      <c r="D686" s="334" t="s">
        <v>1749</v>
      </c>
      <c r="E686" s="335"/>
      <c r="F686" s="335"/>
      <c r="G686" s="143">
        <v>1</v>
      </c>
    </row>
    <row r="687" spans="1:8" x14ac:dyDescent="0.2">
      <c r="A687" s="117" t="s">
        <v>432</v>
      </c>
      <c r="B687" s="117"/>
      <c r="C687" s="117" t="s">
        <v>918</v>
      </c>
      <c r="D687" s="304" t="s">
        <v>1507</v>
      </c>
      <c r="E687" s="305"/>
      <c r="F687" s="117" t="s">
        <v>1644</v>
      </c>
      <c r="G687" s="116">
        <v>3</v>
      </c>
      <c r="H687" s="108">
        <v>0</v>
      </c>
    </row>
    <row r="688" spans="1:8" ht="12.2" customHeight="1" x14ac:dyDescent="0.2">
      <c r="D688" s="334" t="s">
        <v>1797</v>
      </c>
      <c r="E688" s="335"/>
      <c r="F688" s="335"/>
      <c r="G688" s="143">
        <v>3</v>
      </c>
    </row>
    <row r="689" spans="1:8" x14ac:dyDescent="0.2">
      <c r="A689" s="117" t="s">
        <v>433</v>
      </c>
      <c r="B689" s="117"/>
      <c r="C689" s="117" t="s">
        <v>919</v>
      </c>
      <c r="D689" s="304" t="s">
        <v>1508</v>
      </c>
      <c r="E689" s="305"/>
      <c r="F689" s="117" t="s">
        <v>1644</v>
      </c>
      <c r="G689" s="116">
        <v>3</v>
      </c>
      <c r="H689" s="108">
        <v>0</v>
      </c>
    </row>
    <row r="690" spans="1:8" ht="12.2" customHeight="1" x14ac:dyDescent="0.2">
      <c r="D690" s="334" t="s">
        <v>1797</v>
      </c>
      <c r="E690" s="335"/>
      <c r="F690" s="335"/>
      <c r="G690" s="143">
        <v>3</v>
      </c>
    </row>
    <row r="691" spans="1:8" x14ac:dyDescent="0.2">
      <c r="A691" s="117" t="s">
        <v>434</v>
      </c>
      <c r="B691" s="117"/>
      <c r="C691" s="117" t="s">
        <v>917</v>
      </c>
      <c r="D691" s="304" t="s">
        <v>1506</v>
      </c>
      <c r="E691" s="305"/>
      <c r="F691" s="117" t="s">
        <v>1644</v>
      </c>
      <c r="G691" s="116">
        <v>1</v>
      </c>
      <c r="H691" s="108">
        <v>0</v>
      </c>
    </row>
    <row r="692" spans="1:8" ht="12.2" customHeight="1" x14ac:dyDescent="0.2">
      <c r="D692" s="334" t="s">
        <v>1749</v>
      </c>
      <c r="E692" s="335"/>
      <c r="F692" s="335"/>
      <c r="G692" s="143">
        <v>1</v>
      </c>
    </row>
    <row r="693" spans="1:8" x14ac:dyDescent="0.2">
      <c r="A693" s="117" t="s">
        <v>435</v>
      </c>
      <c r="B693" s="117"/>
      <c r="C693" s="117" t="s">
        <v>920</v>
      </c>
      <c r="D693" s="304" t="s">
        <v>1509</v>
      </c>
      <c r="E693" s="305"/>
      <c r="F693" s="117" t="s">
        <v>1644</v>
      </c>
      <c r="G693" s="116">
        <v>2</v>
      </c>
      <c r="H693" s="108">
        <v>0</v>
      </c>
    </row>
    <row r="694" spans="1:8" ht="12.2" customHeight="1" x14ac:dyDescent="0.2">
      <c r="D694" s="334" t="s">
        <v>1849</v>
      </c>
      <c r="E694" s="335"/>
      <c r="F694" s="335"/>
      <c r="G694" s="143">
        <v>2</v>
      </c>
    </row>
    <row r="695" spans="1:8" x14ac:dyDescent="0.2">
      <c r="A695" s="117" t="s">
        <v>436</v>
      </c>
      <c r="B695" s="117"/>
      <c r="C695" s="117" t="s">
        <v>2677</v>
      </c>
      <c r="D695" s="304" t="s">
        <v>2676</v>
      </c>
      <c r="E695" s="305"/>
      <c r="F695" s="117" t="s">
        <v>1644</v>
      </c>
      <c r="G695" s="116">
        <v>2</v>
      </c>
      <c r="H695" s="108">
        <v>0</v>
      </c>
    </row>
    <row r="696" spans="1:8" ht="12.2" customHeight="1" x14ac:dyDescent="0.2">
      <c r="D696" s="334" t="s">
        <v>1849</v>
      </c>
      <c r="E696" s="335"/>
      <c r="F696" s="335"/>
      <c r="G696" s="143">
        <v>2</v>
      </c>
    </row>
    <row r="697" spans="1:8" x14ac:dyDescent="0.2">
      <c r="A697" s="117" t="s">
        <v>437</v>
      </c>
      <c r="B697" s="117"/>
      <c r="C697" s="117" t="s">
        <v>2675</v>
      </c>
      <c r="D697" s="304" t="s">
        <v>2674</v>
      </c>
      <c r="E697" s="305"/>
      <c r="F697" s="117" t="s">
        <v>1644</v>
      </c>
      <c r="G697" s="116">
        <v>2</v>
      </c>
      <c r="H697" s="108">
        <v>0</v>
      </c>
    </row>
    <row r="698" spans="1:8" ht="12.2" customHeight="1" x14ac:dyDescent="0.2">
      <c r="D698" s="334" t="s">
        <v>1849</v>
      </c>
      <c r="E698" s="335"/>
      <c r="F698" s="335"/>
      <c r="G698" s="143">
        <v>2</v>
      </c>
    </row>
    <row r="699" spans="1:8" x14ac:dyDescent="0.2">
      <c r="A699" s="117" t="s">
        <v>438</v>
      </c>
      <c r="B699" s="117"/>
      <c r="C699" s="117" t="s">
        <v>921</v>
      </c>
      <c r="D699" s="304" t="s">
        <v>1510</v>
      </c>
      <c r="E699" s="305"/>
      <c r="F699" s="117" t="s">
        <v>1648</v>
      </c>
      <c r="G699" s="116">
        <v>0.754</v>
      </c>
      <c r="H699" s="108">
        <v>0</v>
      </c>
    </row>
    <row r="700" spans="1:8" ht="12.2" customHeight="1" x14ac:dyDescent="0.2">
      <c r="D700" s="334" t="s">
        <v>2880</v>
      </c>
      <c r="E700" s="335"/>
      <c r="F700" s="335"/>
      <c r="G700" s="143">
        <v>0.754</v>
      </c>
    </row>
    <row r="701" spans="1:8" x14ac:dyDescent="0.2">
      <c r="A701" s="120"/>
      <c r="B701" s="120"/>
      <c r="C701" s="120" t="s">
        <v>922</v>
      </c>
      <c r="D701" s="306" t="s">
        <v>1511</v>
      </c>
      <c r="E701" s="307"/>
      <c r="F701" s="120"/>
      <c r="G701" s="142"/>
      <c r="H701" s="109"/>
    </row>
    <row r="702" spans="1:8" x14ac:dyDescent="0.2">
      <c r="A702" s="117" t="s">
        <v>439</v>
      </c>
      <c r="B702" s="117"/>
      <c r="C702" s="117" t="s">
        <v>923</v>
      </c>
      <c r="D702" s="304" t="s">
        <v>1512</v>
      </c>
      <c r="E702" s="305"/>
      <c r="F702" s="117" t="s">
        <v>1645</v>
      </c>
      <c r="G702" s="116">
        <v>15.744999999999999</v>
      </c>
      <c r="H702" s="108">
        <v>0</v>
      </c>
    </row>
    <row r="703" spans="1:8" ht="12.2" customHeight="1" x14ac:dyDescent="0.2">
      <c r="D703" s="334" t="s">
        <v>2879</v>
      </c>
      <c r="E703" s="335"/>
      <c r="F703" s="335"/>
      <c r="G703" s="143">
        <v>15.744999999999999</v>
      </c>
    </row>
    <row r="704" spans="1:8" x14ac:dyDescent="0.2">
      <c r="A704" s="117" t="s">
        <v>440</v>
      </c>
      <c r="B704" s="117"/>
      <c r="C704" s="117" t="s">
        <v>924</v>
      </c>
      <c r="D704" s="304" t="s">
        <v>1513</v>
      </c>
      <c r="E704" s="305"/>
      <c r="F704" s="117" t="s">
        <v>1645</v>
      </c>
      <c r="G704" s="116">
        <v>15.744999999999999</v>
      </c>
      <c r="H704" s="108">
        <v>0</v>
      </c>
    </row>
    <row r="705" spans="1:8" ht="12.2" customHeight="1" x14ac:dyDescent="0.2">
      <c r="D705" s="334" t="s">
        <v>2879</v>
      </c>
      <c r="E705" s="335"/>
      <c r="F705" s="335"/>
      <c r="G705" s="143">
        <v>15.744999999999999</v>
      </c>
    </row>
    <row r="706" spans="1:8" x14ac:dyDescent="0.2">
      <c r="A706" s="117" t="s">
        <v>441</v>
      </c>
      <c r="B706" s="117"/>
      <c r="C706" s="117" t="s">
        <v>925</v>
      </c>
      <c r="D706" s="304" t="s">
        <v>1514</v>
      </c>
      <c r="E706" s="305"/>
      <c r="F706" s="117" t="s">
        <v>1645</v>
      </c>
      <c r="G706" s="116">
        <v>15.744999999999999</v>
      </c>
      <c r="H706" s="108">
        <v>0</v>
      </c>
    </row>
    <row r="707" spans="1:8" ht="12.2" customHeight="1" x14ac:dyDescent="0.2">
      <c r="D707" s="334" t="s">
        <v>2879</v>
      </c>
      <c r="E707" s="335"/>
      <c r="F707" s="335"/>
      <c r="G707" s="143">
        <v>15.744999999999999</v>
      </c>
    </row>
    <row r="708" spans="1:8" x14ac:dyDescent="0.2">
      <c r="A708" s="124" t="s">
        <v>442</v>
      </c>
      <c r="B708" s="124"/>
      <c r="C708" s="124" t="s">
        <v>926</v>
      </c>
      <c r="D708" s="311" t="s">
        <v>1515</v>
      </c>
      <c r="E708" s="312"/>
      <c r="F708" s="124" t="s">
        <v>1645</v>
      </c>
      <c r="G708" s="123">
        <v>16.532</v>
      </c>
      <c r="H708" s="121">
        <v>0</v>
      </c>
    </row>
    <row r="709" spans="1:8" ht="12.2" customHeight="1" x14ac:dyDescent="0.2">
      <c r="D709" s="336" t="s">
        <v>2878</v>
      </c>
      <c r="E709" s="337"/>
      <c r="F709" s="337"/>
      <c r="G709" s="146">
        <v>15.744999999999999</v>
      </c>
    </row>
    <row r="710" spans="1:8" ht="12.2" customHeight="1" x14ac:dyDescent="0.2">
      <c r="A710" s="124"/>
      <c r="B710" s="124"/>
      <c r="C710" s="124"/>
      <c r="D710" s="336" t="s">
        <v>2877</v>
      </c>
      <c r="E710" s="337"/>
      <c r="F710" s="336"/>
      <c r="G710" s="145">
        <v>0.78700000000000003</v>
      </c>
      <c r="H710" s="122"/>
    </row>
    <row r="711" spans="1:8" x14ac:dyDescent="0.2">
      <c r="A711" s="117" t="s">
        <v>443</v>
      </c>
      <c r="B711" s="117"/>
      <c r="C711" s="117" t="s">
        <v>927</v>
      </c>
      <c r="D711" s="304" t="s">
        <v>1516</v>
      </c>
      <c r="E711" s="305"/>
      <c r="F711" s="117" t="s">
        <v>1646</v>
      </c>
      <c r="G711" s="116">
        <v>20.13</v>
      </c>
      <c r="H711" s="108">
        <v>0</v>
      </c>
    </row>
    <row r="712" spans="1:8" ht="12.2" customHeight="1" x14ac:dyDescent="0.2">
      <c r="D712" s="334" t="s">
        <v>2876</v>
      </c>
      <c r="E712" s="335"/>
      <c r="F712" s="335"/>
      <c r="G712" s="143">
        <v>20.13</v>
      </c>
    </row>
    <row r="713" spans="1:8" x14ac:dyDescent="0.2">
      <c r="A713" s="124" t="s">
        <v>444</v>
      </c>
      <c r="B713" s="124"/>
      <c r="C713" s="124" t="s">
        <v>928</v>
      </c>
      <c r="D713" s="311" t="s">
        <v>1517</v>
      </c>
      <c r="E713" s="312"/>
      <c r="F713" s="124" t="s">
        <v>1645</v>
      </c>
      <c r="G713" s="123">
        <v>2.516</v>
      </c>
      <c r="H713" s="121">
        <v>0</v>
      </c>
    </row>
    <row r="714" spans="1:8" ht="12.2" customHeight="1" x14ac:dyDescent="0.2">
      <c r="D714" s="336" t="s">
        <v>2875</v>
      </c>
      <c r="E714" s="337"/>
      <c r="F714" s="337"/>
      <c r="G714" s="146">
        <v>2.0129999999999999</v>
      </c>
    </row>
    <row r="715" spans="1:8" ht="12.2" customHeight="1" x14ac:dyDescent="0.2">
      <c r="A715" s="124"/>
      <c r="B715" s="124"/>
      <c r="C715" s="124"/>
      <c r="D715" s="336" t="s">
        <v>2874</v>
      </c>
      <c r="E715" s="337"/>
      <c r="F715" s="336"/>
      <c r="G715" s="145">
        <v>0.503</v>
      </c>
      <c r="H715" s="122"/>
    </row>
    <row r="716" spans="1:8" x14ac:dyDescent="0.2">
      <c r="A716" s="117" t="s">
        <v>445</v>
      </c>
      <c r="B716" s="117"/>
      <c r="C716" s="117" t="s">
        <v>929</v>
      </c>
      <c r="D716" s="304" t="s">
        <v>1518</v>
      </c>
      <c r="E716" s="305"/>
      <c r="F716" s="117" t="s">
        <v>1648</v>
      </c>
      <c r="G716" s="116">
        <v>0.56799999999999995</v>
      </c>
      <c r="H716" s="108">
        <v>0</v>
      </c>
    </row>
    <row r="717" spans="1:8" ht="12.2" customHeight="1" x14ac:dyDescent="0.2">
      <c r="D717" s="334" t="s">
        <v>2873</v>
      </c>
      <c r="E717" s="335"/>
      <c r="F717" s="335"/>
      <c r="G717" s="143">
        <v>0.45400000000000001</v>
      </c>
    </row>
    <row r="718" spans="1:8" ht="12.2" customHeight="1" x14ac:dyDescent="0.2">
      <c r="A718" s="117"/>
      <c r="B718" s="117"/>
      <c r="C718" s="117"/>
      <c r="D718" s="334" t="s">
        <v>2872</v>
      </c>
      <c r="E718" s="335"/>
      <c r="F718" s="334"/>
      <c r="G718" s="144">
        <v>0.114</v>
      </c>
      <c r="H718" s="111"/>
    </row>
    <row r="719" spans="1:8" x14ac:dyDescent="0.2">
      <c r="A719" s="120"/>
      <c r="B719" s="120"/>
      <c r="C719" s="120" t="s">
        <v>930</v>
      </c>
      <c r="D719" s="306" t="s">
        <v>1519</v>
      </c>
      <c r="E719" s="307"/>
      <c r="F719" s="120"/>
      <c r="G719" s="142"/>
      <c r="H719" s="109"/>
    </row>
    <row r="720" spans="1:8" x14ac:dyDescent="0.2">
      <c r="A720" s="117" t="s">
        <v>446</v>
      </c>
      <c r="B720" s="117"/>
      <c r="C720" s="117" t="s">
        <v>931</v>
      </c>
      <c r="D720" s="304" t="s">
        <v>1520</v>
      </c>
      <c r="E720" s="305"/>
      <c r="F720" s="117" t="s">
        <v>1645</v>
      </c>
      <c r="G720" s="116">
        <v>578.35599999999999</v>
      </c>
      <c r="H720" s="108">
        <v>0</v>
      </c>
    </row>
    <row r="721" spans="1:8" ht="12.2" customHeight="1" x14ac:dyDescent="0.2">
      <c r="D721" s="334" t="s">
        <v>2870</v>
      </c>
      <c r="E721" s="335"/>
      <c r="F721" s="335"/>
      <c r="G721" s="143">
        <v>105.97799999999999</v>
      </c>
    </row>
    <row r="722" spans="1:8" ht="12.2" customHeight="1" x14ac:dyDescent="0.2">
      <c r="A722" s="117"/>
      <c r="B722" s="117"/>
      <c r="C722" s="117"/>
      <c r="D722" s="334" t="s">
        <v>2869</v>
      </c>
      <c r="E722" s="335"/>
      <c r="F722" s="334"/>
      <c r="G722" s="144">
        <v>308.70800000000003</v>
      </c>
      <c r="H722" s="111"/>
    </row>
    <row r="723" spans="1:8" ht="12.2" customHeight="1" x14ac:dyDescent="0.2">
      <c r="A723" s="117"/>
      <c r="B723" s="117"/>
      <c r="C723" s="117"/>
      <c r="D723" s="334" t="s">
        <v>2871</v>
      </c>
      <c r="E723" s="335"/>
      <c r="F723" s="334"/>
      <c r="G723" s="144">
        <v>163.66999999999999</v>
      </c>
      <c r="H723" s="111"/>
    </row>
    <row r="724" spans="1:8" x14ac:dyDescent="0.2">
      <c r="A724" s="117" t="s">
        <v>447</v>
      </c>
      <c r="B724" s="117"/>
      <c r="C724" s="117" t="s">
        <v>932</v>
      </c>
      <c r="D724" s="304" t="s">
        <v>1521</v>
      </c>
      <c r="E724" s="305"/>
      <c r="F724" s="117" t="s">
        <v>1645</v>
      </c>
      <c r="G724" s="116">
        <v>105.97799999999999</v>
      </c>
      <c r="H724" s="108">
        <v>0</v>
      </c>
    </row>
    <row r="725" spans="1:8" ht="12.2" customHeight="1" x14ac:dyDescent="0.2">
      <c r="D725" s="334" t="s">
        <v>2870</v>
      </c>
      <c r="E725" s="335"/>
      <c r="F725" s="335"/>
      <c r="G725" s="143">
        <v>105.97799999999999</v>
      </c>
    </row>
    <row r="726" spans="1:8" x14ac:dyDescent="0.2">
      <c r="A726" s="117" t="s">
        <v>448</v>
      </c>
      <c r="B726" s="117"/>
      <c r="C726" s="117" t="s">
        <v>933</v>
      </c>
      <c r="D726" s="304" t="s">
        <v>1522</v>
      </c>
      <c r="E726" s="305"/>
      <c r="F726" s="117" t="s">
        <v>1645</v>
      </c>
      <c r="G726" s="116">
        <v>578.35599999999999</v>
      </c>
      <c r="H726" s="108">
        <v>0</v>
      </c>
    </row>
    <row r="727" spans="1:8" ht="12.2" customHeight="1" x14ac:dyDescent="0.2">
      <c r="D727" s="334" t="s">
        <v>2870</v>
      </c>
      <c r="E727" s="335"/>
      <c r="F727" s="335"/>
      <c r="G727" s="143">
        <v>105.97799999999999</v>
      </c>
    </row>
    <row r="728" spans="1:8" ht="12.2" customHeight="1" x14ac:dyDescent="0.2">
      <c r="A728" s="117"/>
      <c r="B728" s="117"/>
      <c r="C728" s="117"/>
      <c r="D728" s="334" t="s">
        <v>2869</v>
      </c>
      <c r="E728" s="335"/>
      <c r="F728" s="334"/>
      <c r="G728" s="144">
        <v>308.70800000000003</v>
      </c>
      <c r="H728" s="111"/>
    </row>
    <row r="729" spans="1:8" ht="12.2" customHeight="1" x14ac:dyDescent="0.2">
      <c r="A729" s="117"/>
      <c r="B729" s="117"/>
      <c r="C729" s="117"/>
      <c r="D729" s="334" t="s">
        <v>2871</v>
      </c>
      <c r="E729" s="335"/>
      <c r="F729" s="334"/>
      <c r="G729" s="144">
        <v>163.66999999999999</v>
      </c>
      <c r="H729" s="111"/>
    </row>
    <row r="730" spans="1:8" x14ac:dyDescent="0.2">
      <c r="A730" s="117" t="s">
        <v>449</v>
      </c>
      <c r="B730" s="117"/>
      <c r="C730" s="117" t="s">
        <v>934</v>
      </c>
      <c r="D730" s="304" t="s">
        <v>1523</v>
      </c>
      <c r="E730" s="305"/>
      <c r="F730" s="117" t="s">
        <v>1645</v>
      </c>
      <c r="G730" s="116">
        <v>163.66999999999999</v>
      </c>
      <c r="H730" s="108">
        <v>0</v>
      </c>
    </row>
    <row r="731" spans="1:8" ht="12.2" customHeight="1" x14ac:dyDescent="0.2">
      <c r="D731" s="334" t="s">
        <v>2871</v>
      </c>
      <c r="E731" s="335"/>
      <c r="F731" s="335"/>
      <c r="G731" s="143">
        <v>163.66999999999999</v>
      </c>
    </row>
    <row r="732" spans="1:8" x14ac:dyDescent="0.2">
      <c r="A732" s="117" t="s">
        <v>450</v>
      </c>
      <c r="B732" s="117"/>
      <c r="C732" s="117" t="s">
        <v>935</v>
      </c>
      <c r="D732" s="304" t="s">
        <v>1524</v>
      </c>
      <c r="E732" s="305"/>
      <c r="F732" s="117" t="s">
        <v>1645</v>
      </c>
      <c r="G732" s="116">
        <v>414.68599999999998</v>
      </c>
      <c r="H732" s="108">
        <v>0</v>
      </c>
    </row>
    <row r="733" spans="1:8" ht="12.2" customHeight="1" x14ac:dyDescent="0.2">
      <c r="D733" s="334" t="s">
        <v>2870</v>
      </c>
      <c r="E733" s="335"/>
      <c r="F733" s="335"/>
      <c r="G733" s="143">
        <v>105.97799999999999</v>
      </c>
    </row>
    <row r="734" spans="1:8" ht="12.2" customHeight="1" x14ac:dyDescent="0.2">
      <c r="A734" s="117"/>
      <c r="B734" s="117"/>
      <c r="C734" s="117"/>
      <c r="D734" s="334" t="s">
        <v>2869</v>
      </c>
      <c r="E734" s="335"/>
      <c r="F734" s="334"/>
      <c r="G734" s="144">
        <v>308.70800000000003</v>
      </c>
      <c r="H734" s="111"/>
    </row>
    <row r="735" spans="1:8" x14ac:dyDescent="0.2">
      <c r="A735" s="120"/>
      <c r="B735" s="120"/>
      <c r="C735" s="120" t="s">
        <v>936</v>
      </c>
      <c r="D735" s="306" t="s">
        <v>1525</v>
      </c>
      <c r="E735" s="307"/>
      <c r="F735" s="120"/>
      <c r="G735" s="142"/>
      <c r="H735" s="109"/>
    </row>
    <row r="736" spans="1:8" x14ac:dyDescent="0.2">
      <c r="A736" s="117" t="s">
        <v>451</v>
      </c>
      <c r="B736" s="117"/>
      <c r="C736" s="117" t="s">
        <v>937</v>
      </c>
      <c r="D736" s="304" t="s">
        <v>1526</v>
      </c>
      <c r="E736" s="305"/>
      <c r="F736" s="117" t="s">
        <v>1644</v>
      </c>
      <c r="G736" s="116">
        <v>2</v>
      </c>
      <c r="H736" s="108">
        <v>0</v>
      </c>
    </row>
    <row r="737" spans="1:8" ht="12.2" customHeight="1" x14ac:dyDescent="0.2">
      <c r="D737" s="334" t="s">
        <v>1849</v>
      </c>
      <c r="E737" s="335"/>
      <c r="F737" s="335"/>
      <c r="G737" s="143">
        <v>2</v>
      </c>
    </row>
    <row r="738" spans="1:8" x14ac:dyDescent="0.2">
      <c r="A738" s="117" t="s">
        <v>452</v>
      </c>
      <c r="B738" s="117"/>
      <c r="C738" s="117" t="s">
        <v>939</v>
      </c>
      <c r="D738" s="304" t="s">
        <v>1528</v>
      </c>
      <c r="E738" s="305"/>
      <c r="F738" s="117" t="s">
        <v>1644</v>
      </c>
      <c r="G738" s="116">
        <v>1</v>
      </c>
      <c r="H738" s="108">
        <v>0</v>
      </c>
    </row>
    <row r="739" spans="1:8" ht="12.2" customHeight="1" x14ac:dyDescent="0.2">
      <c r="D739" s="334" t="s">
        <v>1749</v>
      </c>
      <c r="E739" s="335"/>
      <c r="F739" s="335"/>
      <c r="G739" s="143">
        <v>1</v>
      </c>
    </row>
    <row r="740" spans="1:8" x14ac:dyDescent="0.2">
      <c r="A740" s="117" t="s">
        <v>453</v>
      </c>
      <c r="B740" s="117"/>
      <c r="C740" s="117" t="s">
        <v>2673</v>
      </c>
      <c r="D740" s="304" t="s">
        <v>2672</v>
      </c>
      <c r="E740" s="305"/>
      <c r="F740" s="117" t="s">
        <v>1644</v>
      </c>
      <c r="G740" s="116">
        <v>2</v>
      </c>
      <c r="H740" s="108">
        <v>0</v>
      </c>
    </row>
    <row r="741" spans="1:8" ht="12.2" customHeight="1" x14ac:dyDescent="0.2">
      <c r="D741" s="334" t="s">
        <v>1849</v>
      </c>
      <c r="E741" s="335"/>
      <c r="F741" s="335"/>
      <c r="G741" s="143">
        <v>2</v>
      </c>
    </row>
    <row r="742" spans="1:8" x14ac:dyDescent="0.2">
      <c r="A742" s="117" t="s">
        <v>454</v>
      </c>
      <c r="B742" s="117"/>
      <c r="C742" s="117" t="s">
        <v>940</v>
      </c>
      <c r="D742" s="304" t="s">
        <v>1529</v>
      </c>
      <c r="E742" s="305"/>
      <c r="F742" s="117" t="s">
        <v>1644</v>
      </c>
      <c r="G742" s="116">
        <v>1</v>
      </c>
      <c r="H742" s="108">
        <v>0</v>
      </c>
    </row>
    <row r="743" spans="1:8" ht="12.2" customHeight="1" x14ac:dyDescent="0.2">
      <c r="D743" s="334" t="s">
        <v>1749</v>
      </c>
      <c r="E743" s="335"/>
      <c r="F743" s="335"/>
      <c r="G743" s="143">
        <v>1</v>
      </c>
    </row>
    <row r="744" spans="1:8" x14ac:dyDescent="0.2">
      <c r="A744" s="117" t="s">
        <v>455</v>
      </c>
      <c r="B744" s="117"/>
      <c r="C744" s="117" t="s">
        <v>2671</v>
      </c>
      <c r="D744" s="304" t="s">
        <v>1531</v>
      </c>
      <c r="E744" s="305"/>
      <c r="F744" s="117" t="s">
        <v>1644</v>
      </c>
      <c r="G744" s="116">
        <v>1</v>
      </c>
      <c r="H744" s="108">
        <v>0</v>
      </c>
    </row>
    <row r="745" spans="1:8" x14ac:dyDescent="0.2">
      <c r="A745" s="117" t="s">
        <v>456</v>
      </c>
      <c r="B745" s="117"/>
      <c r="C745" s="117" t="s">
        <v>2670</v>
      </c>
      <c r="D745" s="304" t="s">
        <v>1532</v>
      </c>
      <c r="E745" s="305"/>
      <c r="F745" s="117" t="s">
        <v>1646</v>
      </c>
      <c r="G745" s="116">
        <v>40</v>
      </c>
      <c r="H745" s="108">
        <v>0</v>
      </c>
    </row>
    <row r="746" spans="1:8" x14ac:dyDescent="0.2">
      <c r="A746" s="117" t="s">
        <v>457</v>
      </c>
      <c r="B746" s="117"/>
      <c r="C746" s="117" t="s">
        <v>2669</v>
      </c>
      <c r="D746" s="304" t="s">
        <v>1533</v>
      </c>
      <c r="E746" s="305"/>
      <c r="F746" s="117" t="s">
        <v>1646</v>
      </c>
      <c r="G746" s="116">
        <v>20</v>
      </c>
      <c r="H746" s="108">
        <v>0</v>
      </c>
    </row>
    <row r="747" spans="1:8" x14ac:dyDescent="0.2">
      <c r="A747" s="117" t="s">
        <v>458</v>
      </c>
      <c r="B747" s="117"/>
      <c r="C747" s="117" t="s">
        <v>2668</v>
      </c>
      <c r="D747" s="304" t="s">
        <v>1534</v>
      </c>
      <c r="E747" s="305"/>
      <c r="F747" s="117" t="s">
        <v>1644</v>
      </c>
      <c r="G747" s="116">
        <v>5</v>
      </c>
      <c r="H747" s="108">
        <v>0</v>
      </c>
    </row>
    <row r="748" spans="1:8" x14ac:dyDescent="0.2">
      <c r="A748" s="117" t="s">
        <v>459</v>
      </c>
      <c r="B748" s="117"/>
      <c r="C748" s="117" t="s">
        <v>2667</v>
      </c>
      <c r="D748" s="304" t="s">
        <v>1535</v>
      </c>
      <c r="E748" s="305"/>
      <c r="F748" s="117" t="s">
        <v>1644</v>
      </c>
      <c r="G748" s="116">
        <v>3</v>
      </c>
      <c r="H748" s="108">
        <v>0</v>
      </c>
    </row>
    <row r="749" spans="1:8" x14ac:dyDescent="0.2">
      <c r="A749" s="117" t="s">
        <v>460</v>
      </c>
      <c r="B749" s="117"/>
      <c r="C749" s="117" t="s">
        <v>2666</v>
      </c>
      <c r="D749" s="304" t="s">
        <v>1536</v>
      </c>
      <c r="E749" s="305"/>
      <c r="F749" s="117" t="s">
        <v>1644</v>
      </c>
      <c r="G749" s="116">
        <v>24</v>
      </c>
      <c r="H749" s="108">
        <v>0</v>
      </c>
    </row>
    <row r="750" spans="1:8" x14ac:dyDescent="0.2">
      <c r="A750" s="117" t="s">
        <v>461</v>
      </c>
      <c r="B750" s="117"/>
      <c r="C750" s="117" t="s">
        <v>2665</v>
      </c>
      <c r="D750" s="304" t="s">
        <v>1537</v>
      </c>
      <c r="E750" s="305"/>
      <c r="F750" s="117" t="s">
        <v>1644</v>
      </c>
      <c r="G750" s="116">
        <v>1</v>
      </c>
      <c r="H750" s="108">
        <v>0</v>
      </c>
    </row>
    <row r="751" spans="1:8" x14ac:dyDescent="0.2">
      <c r="A751" s="117" t="s">
        <v>462</v>
      </c>
      <c r="B751" s="117"/>
      <c r="C751" s="117" t="s">
        <v>2664</v>
      </c>
      <c r="D751" s="304" t="s">
        <v>1538</v>
      </c>
      <c r="E751" s="305"/>
      <c r="F751" s="117" t="s">
        <v>1646</v>
      </c>
      <c r="G751" s="116">
        <v>10</v>
      </c>
      <c r="H751" s="108">
        <v>0</v>
      </c>
    </row>
    <row r="752" spans="1:8" x14ac:dyDescent="0.2">
      <c r="A752" s="117" t="s">
        <v>463</v>
      </c>
      <c r="B752" s="117"/>
      <c r="C752" s="117" t="s">
        <v>2663</v>
      </c>
      <c r="D752" s="304" t="s">
        <v>1539</v>
      </c>
      <c r="E752" s="305"/>
      <c r="F752" s="117" t="s">
        <v>1646</v>
      </c>
      <c r="G752" s="116">
        <v>20</v>
      </c>
      <c r="H752" s="108">
        <v>0</v>
      </c>
    </row>
    <row r="753" spans="1:8" x14ac:dyDescent="0.2">
      <c r="A753" s="117" t="s">
        <v>464</v>
      </c>
      <c r="B753" s="117"/>
      <c r="C753" s="117" t="s">
        <v>2662</v>
      </c>
      <c r="D753" s="304" t="s">
        <v>1540</v>
      </c>
      <c r="E753" s="305"/>
      <c r="F753" s="117" t="s">
        <v>1646</v>
      </c>
      <c r="G753" s="116">
        <v>30</v>
      </c>
      <c r="H753" s="108">
        <v>0</v>
      </c>
    </row>
    <row r="754" spans="1:8" x14ac:dyDescent="0.2">
      <c r="A754" s="117" t="s">
        <v>465</v>
      </c>
      <c r="B754" s="117"/>
      <c r="C754" s="117" t="s">
        <v>2661</v>
      </c>
      <c r="D754" s="304" t="s">
        <v>1541</v>
      </c>
      <c r="E754" s="305"/>
      <c r="F754" s="117" t="s">
        <v>1646</v>
      </c>
      <c r="G754" s="116">
        <v>30</v>
      </c>
      <c r="H754" s="108">
        <v>0</v>
      </c>
    </row>
    <row r="755" spans="1:8" x14ac:dyDescent="0.2">
      <c r="A755" s="117" t="s">
        <v>466</v>
      </c>
      <c r="B755" s="117"/>
      <c r="C755" s="117" t="s">
        <v>2660</v>
      </c>
      <c r="D755" s="304" t="s">
        <v>1542</v>
      </c>
      <c r="E755" s="305"/>
      <c r="F755" s="117" t="s">
        <v>1646</v>
      </c>
      <c r="G755" s="116">
        <v>20</v>
      </c>
      <c r="H755" s="108">
        <v>0</v>
      </c>
    </row>
    <row r="756" spans="1:8" x14ac:dyDescent="0.2">
      <c r="A756" s="117" t="s">
        <v>467</v>
      </c>
      <c r="B756" s="117"/>
      <c r="C756" s="117" t="s">
        <v>2659</v>
      </c>
      <c r="D756" s="304" t="s">
        <v>1543</v>
      </c>
      <c r="E756" s="305"/>
      <c r="F756" s="117" t="s">
        <v>1644</v>
      </c>
      <c r="G756" s="116">
        <v>1</v>
      </c>
      <c r="H756" s="108">
        <v>0</v>
      </c>
    </row>
    <row r="757" spans="1:8" x14ac:dyDescent="0.2">
      <c r="A757" s="117" t="s">
        <v>468</v>
      </c>
      <c r="B757" s="117"/>
      <c r="C757" s="117" t="s">
        <v>2658</v>
      </c>
      <c r="D757" s="304" t="s">
        <v>1544</v>
      </c>
      <c r="E757" s="305"/>
      <c r="F757" s="117" t="s">
        <v>1644</v>
      </c>
      <c r="G757" s="116">
        <v>4</v>
      </c>
      <c r="H757" s="108">
        <v>0</v>
      </c>
    </row>
    <row r="758" spans="1:8" x14ac:dyDescent="0.2">
      <c r="A758" s="117" t="s">
        <v>469</v>
      </c>
      <c r="B758" s="117"/>
      <c r="C758" s="117" t="s">
        <v>2657</v>
      </c>
      <c r="D758" s="304" t="s">
        <v>1545</v>
      </c>
      <c r="E758" s="305"/>
      <c r="F758" s="117" t="s">
        <v>1646</v>
      </c>
      <c r="G758" s="116">
        <v>120</v>
      </c>
      <c r="H758" s="108">
        <v>0</v>
      </c>
    </row>
    <row r="759" spans="1:8" x14ac:dyDescent="0.2">
      <c r="A759" s="117" t="s">
        <v>470</v>
      </c>
      <c r="B759" s="117"/>
      <c r="C759" s="117" t="s">
        <v>2656</v>
      </c>
      <c r="D759" s="304" t="s">
        <v>1546</v>
      </c>
      <c r="E759" s="305"/>
      <c r="F759" s="117" t="s">
        <v>1646</v>
      </c>
      <c r="G759" s="116">
        <v>30</v>
      </c>
      <c r="H759" s="108">
        <v>0</v>
      </c>
    </row>
    <row r="760" spans="1:8" x14ac:dyDescent="0.2">
      <c r="A760" s="117" t="s">
        <v>471</v>
      </c>
      <c r="B760" s="117"/>
      <c r="C760" s="117" t="s">
        <v>2655</v>
      </c>
      <c r="D760" s="304" t="s">
        <v>1547</v>
      </c>
      <c r="E760" s="305"/>
      <c r="F760" s="117" t="s">
        <v>1646</v>
      </c>
      <c r="G760" s="116">
        <v>100</v>
      </c>
      <c r="H760" s="108">
        <v>0</v>
      </c>
    </row>
    <row r="761" spans="1:8" x14ac:dyDescent="0.2">
      <c r="A761" s="117" t="s">
        <v>472</v>
      </c>
      <c r="B761" s="117"/>
      <c r="C761" s="117" t="s">
        <v>2654</v>
      </c>
      <c r="D761" s="304" t="s">
        <v>1548</v>
      </c>
      <c r="E761" s="305"/>
      <c r="F761" s="117" t="s">
        <v>1644</v>
      </c>
      <c r="G761" s="116">
        <v>4</v>
      </c>
      <c r="H761" s="108">
        <v>0</v>
      </c>
    </row>
    <row r="762" spans="1:8" x14ac:dyDescent="0.2">
      <c r="A762" s="117" t="s">
        <v>473</v>
      </c>
      <c r="B762" s="117"/>
      <c r="C762" s="117" t="s">
        <v>2653</v>
      </c>
      <c r="D762" s="304" t="s">
        <v>1549</v>
      </c>
      <c r="E762" s="305"/>
      <c r="F762" s="117" t="s">
        <v>1644</v>
      </c>
      <c r="G762" s="116">
        <v>5</v>
      </c>
      <c r="H762" s="108">
        <v>0</v>
      </c>
    </row>
    <row r="763" spans="1:8" x14ac:dyDescent="0.2">
      <c r="A763" s="117" t="s">
        <v>474</v>
      </c>
      <c r="B763" s="117"/>
      <c r="C763" s="117" t="s">
        <v>2652</v>
      </c>
      <c r="D763" s="304" t="s">
        <v>1550</v>
      </c>
      <c r="E763" s="305"/>
      <c r="F763" s="117" t="s">
        <v>1646</v>
      </c>
      <c r="G763" s="116">
        <v>80</v>
      </c>
      <c r="H763" s="108">
        <v>0</v>
      </c>
    </row>
    <row r="764" spans="1:8" x14ac:dyDescent="0.2">
      <c r="A764" s="117" t="s">
        <v>475</v>
      </c>
      <c r="B764" s="117"/>
      <c r="C764" s="117" t="s">
        <v>2651</v>
      </c>
      <c r="D764" s="304" t="s">
        <v>1551</v>
      </c>
      <c r="E764" s="305"/>
      <c r="F764" s="117" t="s">
        <v>1644</v>
      </c>
      <c r="G764" s="116">
        <v>1</v>
      </c>
      <c r="H764" s="108">
        <v>0</v>
      </c>
    </row>
    <row r="765" spans="1:8" x14ac:dyDescent="0.2">
      <c r="A765" s="117" t="s">
        <v>476</v>
      </c>
      <c r="B765" s="117"/>
      <c r="C765" s="117" t="s">
        <v>2650</v>
      </c>
      <c r="D765" s="304" t="s">
        <v>1552</v>
      </c>
      <c r="E765" s="305"/>
      <c r="F765" s="117" t="s">
        <v>1644</v>
      </c>
      <c r="G765" s="116">
        <v>1</v>
      </c>
      <c r="H765" s="108">
        <v>0</v>
      </c>
    </row>
    <row r="766" spans="1:8" x14ac:dyDescent="0.2">
      <c r="A766" s="117" t="s">
        <v>477</v>
      </c>
      <c r="B766" s="117"/>
      <c r="C766" s="117" t="s">
        <v>2649</v>
      </c>
      <c r="D766" s="304" t="s">
        <v>1553</v>
      </c>
      <c r="E766" s="305"/>
      <c r="F766" s="117" t="s">
        <v>1644</v>
      </c>
      <c r="G766" s="116">
        <v>1</v>
      </c>
      <c r="H766" s="108">
        <v>0</v>
      </c>
    </row>
    <row r="767" spans="1:8" x14ac:dyDescent="0.2">
      <c r="A767" s="117" t="s">
        <v>478</v>
      </c>
      <c r="B767" s="117"/>
      <c r="C767" s="117" t="s">
        <v>2648</v>
      </c>
      <c r="D767" s="304" t="s">
        <v>1554</v>
      </c>
      <c r="E767" s="305"/>
      <c r="F767" s="117" t="s">
        <v>1644</v>
      </c>
      <c r="G767" s="116">
        <v>1</v>
      </c>
      <c r="H767" s="108">
        <v>0</v>
      </c>
    </row>
    <row r="768" spans="1:8" x14ac:dyDescent="0.2">
      <c r="A768" s="117" t="s">
        <v>479</v>
      </c>
      <c r="B768" s="117"/>
      <c r="C768" s="117" t="s">
        <v>2647</v>
      </c>
      <c r="D768" s="304" t="s">
        <v>1555</v>
      </c>
      <c r="E768" s="305"/>
      <c r="F768" s="117" t="s">
        <v>1644</v>
      </c>
      <c r="G768" s="116">
        <v>1</v>
      </c>
      <c r="H768" s="108">
        <v>0</v>
      </c>
    </row>
    <row r="769" spans="1:8" x14ac:dyDescent="0.2">
      <c r="A769" s="120"/>
      <c r="B769" s="120"/>
      <c r="C769" s="120" t="s">
        <v>2574</v>
      </c>
      <c r="D769" s="306" t="s">
        <v>2573</v>
      </c>
      <c r="E769" s="307"/>
      <c r="F769" s="120"/>
      <c r="G769" s="142"/>
      <c r="H769" s="109"/>
    </row>
    <row r="770" spans="1:8" x14ac:dyDescent="0.2">
      <c r="A770" s="117" t="s">
        <v>480</v>
      </c>
      <c r="B770" s="117"/>
      <c r="C770" s="117" t="s">
        <v>2646</v>
      </c>
      <c r="D770" s="341" t="s">
        <v>4660</v>
      </c>
      <c r="E770" s="305"/>
      <c r="F770" s="172" t="s">
        <v>1655</v>
      </c>
      <c r="G770" s="116">
        <v>1</v>
      </c>
      <c r="H770" s="108">
        <v>0</v>
      </c>
    </row>
    <row r="771" spans="1:8" x14ac:dyDescent="0.2">
      <c r="A771" s="117" t="s">
        <v>481</v>
      </c>
      <c r="B771" s="117"/>
      <c r="C771" s="117" t="s">
        <v>2645</v>
      </c>
      <c r="D771" s="341" t="s">
        <v>4661</v>
      </c>
      <c r="E771" s="305"/>
      <c r="F771" s="172" t="s">
        <v>1655</v>
      </c>
      <c r="G771" s="116">
        <v>1</v>
      </c>
      <c r="H771" s="108">
        <v>0</v>
      </c>
    </row>
    <row r="772" spans="1:8" x14ac:dyDescent="0.2">
      <c r="A772" s="117" t="s">
        <v>482</v>
      </c>
      <c r="B772" s="117"/>
      <c r="C772" s="117" t="s">
        <v>2644</v>
      </c>
      <c r="D772" s="304" t="s">
        <v>2643</v>
      </c>
      <c r="E772" s="305"/>
      <c r="F772" s="117" t="s">
        <v>1644</v>
      </c>
      <c r="G772" s="116">
        <v>1</v>
      </c>
      <c r="H772" s="108">
        <v>0</v>
      </c>
    </row>
    <row r="773" spans="1:8" x14ac:dyDescent="0.2">
      <c r="A773" s="117" t="s">
        <v>483</v>
      </c>
      <c r="B773" s="117"/>
      <c r="C773" s="117" t="s">
        <v>2642</v>
      </c>
      <c r="D773" s="304" t="s">
        <v>2641</v>
      </c>
      <c r="E773" s="305"/>
      <c r="F773" s="117" t="s">
        <v>1646</v>
      </c>
      <c r="G773" s="116">
        <v>230</v>
      </c>
      <c r="H773" s="108">
        <v>0</v>
      </c>
    </row>
    <row r="774" spans="1:8" x14ac:dyDescent="0.2">
      <c r="A774" s="117" t="s">
        <v>484</v>
      </c>
      <c r="B774" s="117"/>
      <c r="C774" s="117" t="s">
        <v>2640</v>
      </c>
      <c r="D774" s="304" t="s">
        <v>1539</v>
      </c>
      <c r="E774" s="305"/>
      <c r="F774" s="117" t="s">
        <v>1646</v>
      </c>
      <c r="G774" s="116">
        <v>10</v>
      </c>
      <c r="H774" s="108">
        <v>0</v>
      </c>
    </row>
    <row r="775" spans="1:8" x14ac:dyDescent="0.2">
      <c r="A775" s="117" t="s">
        <v>485</v>
      </c>
      <c r="B775" s="117"/>
      <c r="C775" s="117" t="s">
        <v>2639</v>
      </c>
      <c r="D775" s="304" t="s">
        <v>2638</v>
      </c>
      <c r="E775" s="305"/>
      <c r="F775" s="117" t="s">
        <v>1646</v>
      </c>
      <c r="G775" s="116">
        <v>50</v>
      </c>
      <c r="H775" s="108">
        <v>0</v>
      </c>
    </row>
    <row r="776" spans="1:8" x14ac:dyDescent="0.2">
      <c r="A776" s="117" t="s">
        <v>486</v>
      </c>
      <c r="B776" s="117"/>
      <c r="C776" s="117" t="s">
        <v>2637</v>
      </c>
      <c r="D776" s="304" t="s">
        <v>2636</v>
      </c>
      <c r="E776" s="305"/>
      <c r="F776" s="117" t="s">
        <v>1646</v>
      </c>
      <c r="G776" s="116">
        <v>230</v>
      </c>
      <c r="H776" s="108">
        <v>0</v>
      </c>
    </row>
    <row r="777" spans="1:8" x14ac:dyDescent="0.2">
      <c r="A777" s="117" t="s">
        <v>487</v>
      </c>
      <c r="B777" s="117"/>
      <c r="C777" s="117" t="s">
        <v>2635</v>
      </c>
      <c r="D777" s="304" t="s">
        <v>2634</v>
      </c>
      <c r="E777" s="305"/>
      <c r="F777" s="117" t="s">
        <v>1644</v>
      </c>
      <c r="G777" s="116">
        <v>8</v>
      </c>
      <c r="H777" s="108">
        <v>0</v>
      </c>
    </row>
    <row r="778" spans="1:8" x14ac:dyDescent="0.2">
      <c r="A778" s="117" t="s">
        <v>488</v>
      </c>
      <c r="B778" s="117"/>
      <c r="C778" s="117" t="s">
        <v>2633</v>
      </c>
      <c r="D778" s="304" t="s">
        <v>1538</v>
      </c>
      <c r="E778" s="305"/>
      <c r="F778" s="117" t="s">
        <v>1646</v>
      </c>
      <c r="G778" s="116">
        <v>50</v>
      </c>
      <c r="H778" s="108">
        <v>0</v>
      </c>
    </row>
    <row r="779" spans="1:8" x14ac:dyDescent="0.2">
      <c r="A779" s="117" t="s">
        <v>489</v>
      </c>
      <c r="B779" s="117"/>
      <c r="C779" s="117" t="s">
        <v>2632</v>
      </c>
      <c r="D779" s="304" t="s">
        <v>2631</v>
      </c>
      <c r="E779" s="305"/>
      <c r="F779" s="117" t="s">
        <v>1644</v>
      </c>
      <c r="G779" s="116">
        <v>1</v>
      </c>
      <c r="H779" s="108">
        <v>0</v>
      </c>
    </row>
    <row r="780" spans="1:8" x14ac:dyDescent="0.2">
      <c r="A780" s="117" t="s">
        <v>490</v>
      </c>
      <c r="B780" s="117"/>
      <c r="C780" s="117" t="s">
        <v>2630</v>
      </c>
      <c r="D780" s="304" t="s">
        <v>2629</v>
      </c>
      <c r="E780" s="305"/>
      <c r="F780" s="117" t="s">
        <v>1646</v>
      </c>
      <c r="G780" s="116">
        <v>15</v>
      </c>
      <c r="H780" s="108">
        <v>0</v>
      </c>
    </row>
    <row r="781" spans="1:8" x14ac:dyDescent="0.2">
      <c r="A781" s="117" t="s">
        <v>491</v>
      </c>
      <c r="B781" s="117"/>
      <c r="C781" s="117" t="s">
        <v>2628</v>
      </c>
      <c r="D781" s="304" t="s">
        <v>1551</v>
      </c>
      <c r="E781" s="305"/>
      <c r="F781" s="117" t="s">
        <v>1644</v>
      </c>
      <c r="G781" s="116">
        <v>1</v>
      </c>
      <c r="H781" s="108">
        <v>0</v>
      </c>
    </row>
    <row r="782" spans="1:8" x14ac:dyDescent="0.2">
      <c r="A782" s="117" t="s">
        <v>492</v>
      </c>
      <c r="B782" s="117"/>
      <c r="C782" s="117" t="s">
        <v>2627</v>
      </c>
      <c r="D782" s="304" t="s">
        <v>1552</v>
      </c>
      <c r="E782" s="305"/>
      <c r="F782" s="117" t="s">
        <v>1644</v>
      </c>
      <c r="G782" s="116">
        <v>1</v>
      </c>
      <c r="H782" s="108">
        <v>0</v>
      </c>
    </row>
    <row r="783" spans="1:8" x14ac:dyDescent="0.2">
      <c r="A783" s="117" t="s">
        <v>493</v>
      </c>
      <c r="B783" s="117"/>
      <c r="C783" s="117" t="s">
        <v>2626</v>
      </c>
      <c r="D783" s="304" t="s">
        <v>1553</v>
      </c>
      <c r="E783" s="305"/>
      <c r="F783" s="117" t="s">
        <v>1644</v>
      </c>
      <c r="G783" s="116">
        <v>1</v>
      </c>
      <c r="H783" s="108">
        <v>0</v>
      </c>
    </row>
    <row r="784" spans="1:8" x14ac:dyDescent="0.2">
      <c r="A784" s="117" t="s">
        <v>494</v>
      </c>
      <c r="B784" s="117"/>
      <c r="C784" s="117" t="s">
        <v>2625</v>
      </c>
      <c r="D784" s="304" t="s">
        <v>1554</v>
      </c>
      <c r="E784" s="305"/>
      <c r="F784" s="117" t="s">
        <v>1644</v>
      </c>
      <c r="G784" s="116">
        <v>1</v>
      </c>
      <c r="H784" s="108">
        <v>0</v>
      </c>
    </row>
    <row r="785" spans="1:8" x14ac:dyDescent="0.2">
      <c r="A785" s="117" t="s">
        <v>495</v>
      </c>
      <c r="B785" s="117"/>
      <c r="C785" s="117" t="s">
        <v>2624</v>
      </c>
      <c r="D785" s="304" t="s">
        <v>1555</v>
      </c>
      <c r="E785" s="305"/>
      <c r="F785" s="117" t="s">
        <v>1644</v>
      </c>
      <c r="G785" s="116">
        <v>1</v>
      </c>
      <c r="H785" s="108">
        <v>0</v>
      </c>
    </row>
    <row r="786" spans="1:8" x14ac:dyDescent="0.2">
      <c r="A786" s="120"/>
      <c r="B786" s="120"/>
      <c r="C786" s="120" t="s">
        <v>967</v>
      </c>
      <c r="D786" s="306" t="s">
        <v>1556</v>
      </c>
      <c r="E786" s="307"/>
      <c r="F786" s="120"/>
      <c r="G786" s="142"/>
      <c r="H786" s="109"/>
    </row>
    <row r="787" spans="1:8" x14ac:dyDescent="0.2">
      <c r="A787" s="117" t="s">
        <v>496</v>
      </c>
      <c r="B787" s="117"/>
      <c r="C787" s="117" t="s">
        <v>968</v>
      </c>
      <c r="D787" s="304" t="s">
        <v>1557</v>
      </c>
      <c r="E787" s="305"/>
      <c r="F787" s="117" t="s">
        <v>1644</v>
      </c>
      <c r="G787" s="116">
        <v>1</v>
      </c>
      <c r="H787" s="108">
        <v>0</v>
      </c>
    </row>
    <row r="788" spans="1:8" ht="12.2" customHeight="1" x14ac:dyDescent="0.2">
      <c r="D788" s="334" t="s">
        <v>1749</v>
      </c>
      <c r="E788" s="335"/>
      <c r="F788" s="335"/>
      <c r="G788" s="143">
        <v>1</v>
      </c>
    </row>
    <row r="789" spans="1:8" x14ac:dyDescent="0.2">
      <c r="A789" s="117" t="s">
        <v>497</v>
      </c>
      <c r="B789" s="117"/>
      <c r="C789" s="117" t="s">
        <v>969</v>
      </c>
      <c r="D789" s="304" t="s">
        <v>1558</v>
      </c>
      <c r="E789" s="305"/>
      <c r="F789" s="117" t="s">
        <v>1644</v>
      </c>
      <c r="G789" s="116">
        <v>1</v>
      </c>
      <c r="H789" s="108">
        <v>0</v>
      </c>
    </row>
    <row r="790" spans="1:8" ht="12.2" customHeight="1" x14ac:dyDescent="0.2">
      <c r="D790" s="334" t="s">
        <v>1749</v>
      </c>
      <c r="E790" s="335"/>
      <c r="F790" s="335"/>
      <c r="G790" s="143">
        <v>1</v>
      </c>
    </row>
    <row r="791" spans="1:8" x14ac:dyDescent="0.2">
      <c r="A791" s="120"/>
      <c r="B791" s="120"/>
      <c r="C791" s="120" t="s">
        <v>970</v>
      </c>
      <c r="D791" s="306" t="s">
        <v>1559</v>
      </c>
      <c r="E791" s="307"/>
      <c r="F791" s="120"/>
      <c r="G791" s="142"/>
      <c r="H791" s="109"/>
    </row>
    <row r="792" spans="1:8" x14ac:dyDescent="0.2">
      <c r="A792" s="117" t="s">
        <v>498</v>
      </c>
      <c r="B792" s="117"/>
      <c r="C792" s="117" t="s">
        <v>2622</v>
      </c>
      <c r="D792" s="304" t="s">
        <v>1560</v>
      </c>
      <c r="E792" s="305"/>
      <c r="F792" s="117" t="s">
        <v>1644</v>
      </c>
      <c r="G792" s="116">
        <v>1</v>
      </c>
      <c r="H792" s="108">
        <v>0</v>
      </c>
    </row>
    <row r="793" spans="1:8" x14ac:dyDescent="0.2">
      <c r="A793" s="117" t="s">
        <v>499</v>
      </c>
      <c r="B793" s="117"/>
      <c r="C793" s="117" t="s">
        <v>2621</v>
      </c>
      <c r="D793" s="304" t="s">
        <v>1561</v>
      </c>
      <c r="E793" s="305"/>
      <c r="F793" s="117" t="s">
        <v>1644</v>
      </c>
      <c r="G793" s="116">
        <v>1</v>
      </c>
      <c r="H793" s="108">
        <v>0</v>
      </c>
    </row>
    <row r="794" spans="1:8" x14ac:dyDescent="0.2">
      <c r="A794" s="117" t="s">
        <v>500</v>
      </c>
      <c r="B794" s="117"/>
      <c r="C794" s="117" t="s">
        <v>973</v>
      </c>
      <c r="D794" s="304" t="s">
        <v>1562</v>
      </c>
      <c r="E794" s="305"/>
      <c r="F794" s="117" t="s">
        <v>1644</v>
      </c>
      <c r="G794" s="116">
        <v>1</v>
      </c>
      <c r="H794" s="108">
        <v>0</v>
      </c>
    </row>
    <row r="795" spans="1:8" x14ac:dyDescent="0.2">
      <c r="A795" s="117" t="s">
        <v>501</v>
      </c>
      <c r="B795" s="117"/>
      <c r="C795" s="117" t="s">
        <v>974</v>
      </c>
      <c r="D795" s="304" t="s">
        <v>1563</v>
      </c>
      <c r="E795" s="305"/>
      <c r="F795" s="117" t="s">
        <v>1644</v>
      </c>
      <c r="G795" s="116">
        <v>1</v>
      </c>
      <c r="H795" s="108">
        <v>0</v>
      </c>
    </row>
    <row r="796" spans="1:8" x14ac:dyDescent="0.2">
      <c r="A796" s="117" t="s">
        <v>502</v>
      </c>
      <c r="B796" s="117"/>
      <c r="C796" s="117" t="s">
        <v>975</v>
      </c>
      <c r="D796" s="304" t="s">
        <v>1564</v>
      </c>
      <c r="E796" s="305"/>
      <c r="F796" s="117" t="s">
        <v>1644</v>
      </c>
      <c r="G796" s="116">
        <v>1</v>
      </c>
      <c r="H796" s="108">
        <v>0</v>
      </c>
    </row>
    <row r="797" spans="1:8" x14ac:dyDescent="0.2">
      <c r="A797" s="117" t="s">
        <v>503</v>
      </c>
      <c r="B797" s="117"/>
      <c r="C797" s="117" t="s">
        <v>976</v>
      </c>
      <c r="D797" s="304" t="s">
        <v>1565</v>
      </c>
      <c r="E797" s="305"/>
      <c r="F797" s="117" t="s">
        <v>1644</v>
      </c>
      <c r="G797" s="116">
        <v>2</v>
      </c>
      <c r="H797" s="108">
        <v>0</v>
      </c>
    </row>
    <row r="798" spans="1:8" x14ac:dyDescent="0.2">
      <c r="A798" s="117" t="s">
        <v>504</v>
      </c>
      <c r="B798" s="117"/>
      <c r="C798" s="117" t="s">
        <v>977</v>
      </c>
      <c r="D798" s="304" t="s">
        <v>1566</v>
      </c>
      <c r="E798" s="305"/>
      <c r="F798" s="117" t="s">
        <v>1644</v>
      </c>
      <c r="G798" s="116">
        <v>1</v>
      </c>
      <c r="H798" s="108">
        <v>0</v>
      </c>
    </row>
    <row r="799" spans="1:8" x14ac:dyDescent="0.2">
      <c r="A799" s="117" t="s">
        <v>505</v>
      </c>
      <c r="B799" s="117"/>
      <c r="C799" s="117" t="s">
        <v>978</v>
      </c>
      <c r="D799" s="304" t="s">
        <v>1567</v>
      </c>
      <c r="E799" s="305"/>
      <c r="F799" s="117" t="s">
        <v>1644</v>
      </c>
      <c r="G799" s="116">
        <v>1</v>
      </c>
      <c r="H799" s="108">
        <v>0</v>
      </c>
    </row>
    <row r="800" spans="1:8" x14ac:dyDescent="0.2">
      <c r="A800" s="117" t="s">
        <v>506</v>
      </c>
      <c r="B800" s="117"/>
      <c r="C800" s="117" t="s">
        <v>979</v>
      </c>
      <c r="D800" s="304" t="s">
        <v>1568</v>
      </c>
      <c r="E800" s="305"/>
      <c r="F800" s="117" t="s">
        <v>1644</v>
      </c>
      <c r="G800" s="116">
        <v>1</v>
      </c>
      <c r="H800" s="108">
        <v>0</v>
      </c>
    </row>
    <row r="801" spans="1:8" x14ac:dyDescent="0.2">
      <c r="A801" s="117" t="s">
        <v>507</v>
      </c>
      <c r="B801" s="117"/>
      <c r="C801" s="117" t="s">
        <v>2620</v>
      </c>
      <c r="D801" s="304" t="s">
        <v>1569</v>
      </c>
      <c r="E801" s="305"/>
      <c r="F801" s="117" t="s">
        <v>1644</v>
      </c>
      <c r="G801" s="116">
        <v>1</v>
      </c>
      <c r="H801" s="108">
        <v>0</v>
      </c>
    </row>
    <row r="802" spans="1:8" x14ac:dyDescent="0.2">
      <c r="A802" s="117" t="s">
        <v>508</v>
      </c>
      <c r="B802" s="117"/>
      <c r="C802" s="117" t="s">
        <v>2619</v>
      </c>
      <c r="D802" s="304" t="s">
        <v>1570</v>
      </c>
      <c r="E802" s="305"/>
      <c r="F802" s="117" t="s">
        <v>1644</v>
      </c>
      <c r="G802" s="116">
        <v>1</v>
      </c>
      <c r="H802" s="108">
        <v>0</v>
      </c>
    </row>
    <row r="803" spans="1:8" x14ac:dyDescent="0.2">
      <c r="A803" s="117" t="s">
        <v>509</v>
      </c>
      <c r="B803" s="117"/>
      <c r="C803" s="117" t="s">
        <v>2618</v>
      </c>
      <c r="D803" s="304" t="s">
        <v>1571</v>
      </c>
      <c r="E803" s="305"/>
      <c r="F803" s="117" t="s">
        <v>1644</v>
      </c>
      <c r="G803" s="116">
        <v>1</v>
      </c>
      <c r="H803" s="108">
        <v>0</v>
      </c>
    </row>
    <row r="804" spans="1:8" x14ac:dyDescent="0.2">
      <c r="A804" s="117" t="s">
        <v>510</v>
      </c>
      <c r="B804" s="117"/>
      <c r="C804" s="117" t="s">
        <v>2617</v>
      </c>
      <c r="D804" s="304" t="s">
        <v>1572</v>
      </c>
      <c r="E804" s="305"/>
      <c r="F804" s="117" t="s">
        <v>1644</v>
      </c>
      <c r="G804" s="116">
        <v>1</v>
      </c>
      <c r="H804" s="108">
        <v>0</v>
      </c>
    </row>
    <row r="805" spans="1:8" x14ac:dyDescent="0.2">
      <c r="A805" s="117" t="s">
        <v>511</v>
      </c>
      <c r="B805" s="117"/>
      <c r="C805" s="117" t="s">
        <v>2616</v>
      </c>
      <c r="D805" s="304" t="s">
        <v>1573</v>
      </c>
      <c r="E805" s="305"/>
      <c r="F805" s="117" t="s">
        <v>1644</v>
      </c>
      <c r="G805" s="116">
        <v>1</v>
      </c>
      <c r="H805" s="108">
        <v>0</v>
      </c>
    </row>
    <row r="806" spans="1:8" x14ac:dyDescent="0.2">
      <c r="A806" s="117" t="s">
        <v>512</v>
      </c>
      <c r="B806" s="117"/>
      <c r="C806" s="117" t="s">
        <v>2615</v>
      </c>
      <c r="D806" s="304" t="s">
        <v>1574</v>
      </c>
      <c r="E806" s="305"/>
      <c r="F806" s="117" t="s">
        <v>1644</v>
      </c>
      <c r="G806" s="116">
        <v>1</v>
      </c>
      <c r="H806" s="108">
        <v>0</v>
      </c>
    </row>
    <row r="807" spans="1:8" x14ac:dyDescent="0.2">
      <c r="A807" s="117" t="s">
        <v>513</v>
      </c>
      <c r="B807" s="117"/>
      <c r="C807" s="117" t="s">
        <v>2614</v>
      </c>
      <c r="D807" s="304" t="s">
        <v>1575</v>
      </c>
      <c r="E807" s="305"/>
      <c r="F807" s="117" t="s">
        <v>1644</v>
      </c>
      <c r="G807" s="116">
        <v>1</v>
      </c>
      <c r="H807" s="108">
        <v>0</v>
      </c>
    </row>
    <row r="808" spans="1:8" x14ac:dyDescent="0.2">
      <c r="A808" s="117" t="s">
        <v>514</v>
      </c>
      <c r="B808" s="117"/>
      <c r="C808" s="117" t="s">
        <v>2613</v>
      </c>
      <c r="D808" s="304" t="s">
        <v>1576</v>
      </c>
      <c r="E808" s="305"/>
      <c r="F808" s="117" t="s">
        <v>1644</v>
      </c>
      <c r="G808" s="116">
        <v>1</v>
      </c>
      <c r="H808" s="108">
        <v>0</v>
      </c>
    </row>
    <row r="809" spans="1:8" x14ac:dyDescent="0.2">
      <c r="A809" s="117" t="s">
        <v>515</v>
      </c>
      <c r="B809" s="117"/>
      <c r="C809" s="117" t="s">
        <v>973</v>
      </c>
      <c r="D809" s="304" t="s">
        <v>1577</v>
      </c>
      <c r="E809" s="305"/>
      <c r="F809" s="117" t="s">
        <v>1644</v>
      </c>
      <c r="G809" s="116">
        <v>1</v>
      </c>
      <c r="H809" s="108">
        <v>0</v>
      </c>
    </row>
    <row r="810" spans="1:8" x14ac:dyDescent="0.2">
      <c r="A810" s="117" t="s">
        <v>516</v>
      </c>
      <c r="B810" s="117"/>
      <c r="C810" s="117" t="s">
        <v>988</v>
      </c>
      <c r="D810" s="304" t="s">
        <v>1578</v>
      </c>
      <c r="E810" s="305"/>
      <c r="F810" s="117" t="s">
        <v>1644</v>
      </c>
      <c r="G810" s="116">
        <v>1</v>
      </c>
      <c r="H810" s="108">
        <v>0</v>
      </c>
    </row>
    <row r="811" spans="1:8" x14ac:dyDescent="0.2">
      <c r="A811" s="117" t="s">
        <v>517</v>
      </c>
      <c r="B811" s="117"/>
      <c r="C811" s="117" t="s">
        <v>989</v>
      </c>
      <c r="D811" s="304" t="s">
        <v>1579</v>
      </c>
      <c r="E811" s="305"/>
      <c r="F811" s="117" t="s">
        <v>1644</v>
      </c>
      <c r="G811" s="116">
        <v>1</v>
      </c>
      <c r="H811" s="108">
        <v>0</v>
      </c>
    </row>
    <row r="812" spans="1:8" x14ac:dyDescent="0.2">
      <c r="A812" s="117" t="s">
        <v>518</v>
      </c>
      <c r="B812" s="117"/>
      <c r="C812" s="117" t="s">
        <v>990</v>
      </c>
      <c r="D812" s="304" t="s">
        <v>1580</v>
      </c>
      <c r="E812" s="305"/>
      <c r="F812" s="117" t="s">
        <v>1644</v>
      </c>
      <c r="G812" s="116">
        <v>1</v>
      </c>
      <c r="H812" s="108">
        <v>0</v>
      </c>
    </row>
    <row r="813" spans="1:8" x14ac:dyDescent="0.2">
      <c r="A813" s="117" t="s">
        <v>519</v>
      </c>
      <c r="B813" s="117"/>
      <c r="C813" s="117" t="s">
        <v>991</v>
      </c>
      <c r="D813" s="304" t="s">
        <v>1581</v>
      </c>
      <c r="E813" s="305"/>
      <c r="F813" s="117" t="s">
        <v>1644</v>
      </c>
      <c r="G813" s="116">
        <v>2</v>
      </c>
      <c r="H813" s="108">
        <v>0</v>
      </c>
    </row>
    <row r="814" spans="1:8" x14ac:dyDescent="0.2">
      <c r="A814" s="117" t="s">
        <v>520</v>
      </c>
      <c r="B814" s="117"/>
      <c r="C814" s="117" t="s">
        <v>992</v>
      </c>
      <c r="D814" s="304" t="s">
        <v>1582</v>
      </c>
      <c r="E814" s="305"/>
      <c r="F814" s="117" t="s">
        <v>1644</v>
      </c>
      <c r="G814" s="116">
        <v>1</v>
      </c>
      <c r="H814" s="108">
        <v>0</v>
      </c>
    </row>
    <row r="815" spans="1:8" x14ac:dyDescent="0.2">
      <c r="A815" s="117" t="s">
        <v>521</v>
      </c>
      <c r="B815" s="117"/>
      <c r="C815" s="117" t="s">
        <v>975</v>
      </c>
      <c r="D815" s="304" t="s">
        <v>1583</v>
      </c>
      <c r="E815" s="305"/>
      <c r="F815" s="117" t="s">
        <v>1644</v>
      </c>
      <c r="G815" s="116">
        <v>1</v>
      </c>
      <c r="H815" s="108">
        <v>0</v>
      </c>
    </row>
    <row r="816" spans="1:8" x14ac:dyDescent="0.2">
      <c r="A816" s="117" t="s">
        <v>522</v>
      </c>
      <c r="B816" s="117"/>
      <c r="C816" s="117" t="s">
        <v>993</v>
      </c>
      <c r="D816" s="304" t="s">
        <v>1581</v>
      </c>
      <c r="E816" s="305"/>
      <c r="F816" s="117" t="s">
        <v>1644</v>
      </c>
      <c r="G816" s="116">
        <v>1</v>
      </c>
      <c r="H816" s="108">
        <v>0</v>
      </c>
    </row>
    <row r="817" spans="1:8" x14ac:dyDescent="0.2">
      <c r="A817" s="117" t="s">
        <v>523</v>
      </c>
      <c r="B817" s="117"/>
      <c r="C817" s="117" t="s">
        <v>994</v>
      </c>
      <c r="D817" s="304" t="s">
        <v>1584</v>
      </c>
      <c r="E817" s="305"/>
      <c r="F817" s="117" t="s">
        <v>1644</v>
      </c>
      <c r="G817" s="116">
        <v>2</v>
      </c>
      <c r="H817" s="108">
        <v>0</v>
      </c>
    </row>
    <row r="818" spans="1:8" x14ac:dyDescent="0.2">
      <c r="A818" s="117" t="s">
        <v>524</v>
      </c>
      <c r="B818" s="117"/>
      <c r="C818" s="117" t="s">
        <v>995</v>
      </c>
      <c r="D818" s="304" t="s">
        <v>1585</v>
      </c>
      <c r="E818" s="305"/>
      <c r="F818" s="117" t="s">
        <v>1644</v>
      </c>
      <c r="G818" s="116">
        <v>1</v>
      </c>
      <c r="H818" s="108">
        <v>0</v>
      </c>
    </row>
    <row r="819" spans="1:8" x14ac:dyDescent="0.2">
      <c r="A819" s="117" t="s">
        <v>525</v>
      </c>
      <c r="B819" s="117"/>
      <c r="C819" s="117" t="s">
        <v>996</v>
      </c>
      <c r="D819" s="304" t="s">
        <v>1586</v>
      </c>
      <c r="E819" s="305"/>
      <c r="F819" s="117" t="s">
        <v>1644</v>
      </c>
      <c r="G819" s="116">
        <v>1</v>
      </c>
      <c r="H819" s="108">
        <v>0</v>
      </c>
    </row>
    <row r="820" spans="1:8" x14ac:dyDescent="0.2">
      <c r="A820" s="117" t="s">
        <v>526</v>
      </c>
      <c r="B820" s="117"/>
      <c r="C820" s="117" t="s">
        <v>996</v>
      </c>
      <c r="D820" s="304" t="s">
        <v>1587</v>
      </c>
      <c r="E820" s="305"/>
      <c r="F820" s="117" t="s">
        <v>1644</v>
      </c>
      <c r="G820" s="116">
        <v>1</v>
      </c>
      <c r="H820" s="108">
        <v>0</v>
      </c>
    </row>
    <row r="821" spans="1:8" x14ac:dyDescent="0.2">
      <c r="A821" s="117" t="s">
        <v>527</v>
      </c>
      <c r="B821" s="117"/>
      <c r="C821" s="117" t="s">
        <v>997</v>
      </c>
      <c r="D821" s="304" t="s">
        <v>1588</v>
      </c>
      <c r="E821" s="305"/>
      <c r="F821" s="117" t="s">
        <v>1644</v>
      </c>
      <c r="G821" s="116">
        <v>1</v>
      </c>
      <c r="H821" s="108">
        <v>0</v>
      </c>
    </row>
    <row r="822" spans="1:8" x14ac:dyDescent="0.2">
      <c r="A822" s="117" t="s">
        <v>528</v>
      </c>
      <c r="B822" s="117"/>
      <c r="C822" s="117" t="s">
        <v>997</v>
      </c>
      <c r="D822" s="304" t="s">
        <v>1589</v>
      </c>
      <c r="E822" s="305"/>
      <c r="F822" s="117" t="s">
        <v>1644</v>
      </c>
      <c r="G822" s="116">
        <v>1</v>
      </c>
      <c r="H822" s="108">
        <v>0</v>
      </c>
    </row>
    <row r="823" spans="1:8" x14ac:dyDescent="0.2">
      <c r="A823" s="117" t="s">
        <v>529</v>
      </c>
      <c r="B823" s="117"/>
      <c r="C823" s="117" t="s">
        <v>977</v>
      </c>
      <c r="D823" s="304" t="s">
        <v>1590</v>
      </c>
      <c r="E823" s="305"/>
      <c r="F823" s="117" t="s">
        <v>1644</v>
      </c>
      <c r="G823" s="116">
        <v>1</v>
      </c>
      <c r="H823" s="108">
        <v>0</v>
      </c>
    </row>
    <row r="824" spans="1:8" x14ac:dyDescent="0.2">
      <c r="A824" s="117" t="s">
        <v>530</v>
      </c>
      <c r="B824" s="117"/>
      <c r="C824" s="117" t="s">
        <v>998</v>
      </c>
      <c r="D824" s="304" t="s">
        <v>1591</v>
      </c>
      <c r="E824" s="305"/>
      <c r="F824" s="117" t="s">
        <v>1644</v>
      </c>
      <c r="G824" s="116">
        <v>1</v>
      </c>
      <c r="H824" s="108">
        <v>0</v>
      </c>
    </row>
    <row r="825" spans="1:8" x14ac:dyDescent="0.2">
      <c r="A825" s="117" t="s">
        <v>531</v>
      </c>
      <c r="B825" s="117"/>
      <c r="C825" s="117" t="s">
        <v>999</v>
      </c>
      <c r="D825" s="304" t="s">
        <v>1586</v>
      </c>
      <c r="E825" s="305"/>
      <c r="F825" s="117" t="s">
        <v>1644</v>
      </c>
      <c r="G825" s="116">
        <v>2</v>
      </c>
      <c r="H825" s="108">
        <v>0</v>
      </c>
    </row>
    <row r="826" spans="1:8" x14ac:dyDescent="0.2">
      <c r="A826" s="117" t="s">
        <v>532</v>
      </c>
      <c r="B826" s="117"/>
      <c r="C826" s="117" t="s">
        <v>999</v>
      </c>
      <c r="D826" s="304" t="s">
        <v>1587</v>
      </c>
      <c r="E826" s="305"/>
      <c r="F826" s="117" t="s">
        <v>1644</v>
      </c>
      <c r="G826" s="116">
        <v>2</v>
      </c>
      <c r="H826" s="108">
        <v>0</v>
      </c>
    </row>
    <row r="827" spans="1:8" x14ac:dyDescent="0.2">
      <c r="A827" s="117" t="s">
        <v>533</v>
      </c>
      <c r="B827" s="117"/>
      <c r="C827" s="117" t="s">
        <v>1000</v>
      </c>
      <c r="D827" s="304" t="s">
        <v>1581</v>
      </c>
      <c r="E827" s="305"/>
      <c r="F827" s="117" t="s">
        <v>1644</v>
      </c>
      <c r="G827" s="116">
        <v>1</v>
      </c>
      <c r="H827" s="108">
        <v>0</v>
      </c>
    </row>
    <row r="828" spans="1:8" x14ac:dyDescent="0.2">
      <c r="A828" s="117" t="s">
        <v>534</v>
      </c>
      <c r="B828" s="117"/>
      <c r="C828" s="117" t="s">
        <v>1001</v>
      </c>
      <c r="D828" s="304" t="s">
        <v>1592</v>
      </c>
      <c r="E828" s="305"/>
      <c r="F828" s="117" t="s">
        <v>1644</v>
      </c>
      <c r="G828" s="116">
        <v>1</v>
      </c>
      <c r="H828" s="108">
        <v>0</v>
      </c>
    </row>
    <row r="829" spans="1:8" x14ac:dyDescent="0.2">
      <c r="A829" s="117" t="s">
        <v>535</v>
      </c>
      <c r="B829" s="117"/>
      <c r="C829" s="117" t="s">
        <v>1002</v>
      </c>
      <c r="D829" s="304" t="s">
        <v>1593</v>
      </c>
      <c r="E829" s="305"/>
      <c r="F829" s="117" t="s">
        <v>1644</v>
      </c>
      <c r="G829" s="116">
        <v>1</v>
      </c>
      <c r="H829" s="108">
        <v>0</v>
      </c>
    </row>
    <row r="830" spans="1:8" x14ac:dyDescent="0.2">
      <c r="A830" s="117" t="s">
        <v>536</v>
      </c>
      <c r="B830" s="117"/>
      <c r="C830" s="117" t="s">
        <v>1003</v>
      </c>
      <c r="D830" s="304" t="s">
        <v>1594</v>
      </c>
      <c r="E830" s="305"/>
      <c r="F830" s="117" t="s">
        <v>1644</v>
      </c>
      <c r="G830" s="116">
        <v>1</v>
      </c>
      <c r="H830" s="108">
        <v>0</v>
      </c>
    </row>
    <row r="831" spans="1:8" x14ac:dyDescent="0.2">
      <c r="A831" s="117" t="s">
        <v>537</v>
      </c>
      <c r="B831" s="117"/>
      <c r="C831" s="117" t="s">
        <v>1003</v>
      </c>
      <c r="D831" s="304" t="s">
        <v>1595</v>
      </c>
      <c r="E831" s="305"/>
      <c r="F831" s="117" t="s">
        <v>1644</v>
      </c>
      <c r="G831" s="116">
        <v>1</v>
      </c>
      <c r="H831" s="108">
        <v>0</v>
      </c>
    </row>
    <row r="832" spans="1:8" x14ac:dyDescent="0.2">
      <c r="A832" s="117" t="s">
        <v>538</v>
      </c>
      <c r="B832" s="117"/>
      <c r="C832" s="117" t="s">
        <v>1004</v>
      </c>
      <c r="D832" s="304" t="s">
        <v>1596</v>
      </c>
      <c r="E832" s="305"/>
      <c r="F832" s="117" t="s">
        <v>1644</v>
      </c>
      <c r="G832" s="116">
        <v>1</v>
      </c>
      <c r="H832" s="108">
        <v>0</v>
      </c>
    </row>
    <row r="833" spans="1:8" x14ac:dyDescent="0.2">
      <c r="A833" s="117" t="s">
        <v>539</v>
      </c>
      <c r="B833" s="117"/>
      <c r="C833" s="117" t="s">
        <v>1005</v>
      </c>
      <c r="D833" s="304" t="s">
        <v>1597</v>
      </c>
      <c r="E833" s="305"/>
      <c r="F833" s="117" t="s">
        <v>1644</v>
      </c>
      <c r="G833" s="116">
        <v>1</v>
      </c>
      <c r="H833" s="108">
        <v>0</v>
      </c>
    </row>
    <row r="834" spans="1:8" x14ac:dyDescent="0.2">
      <c r="A834" s="117" t="s">
        <v>540</v>
      </c>
      <c r="B834" s="117"/>
      <c r="C834" s="117" t="s">
        <v>1006</v>
      </c>
      <c r="D834" s="304" t="s">
        <v>1598</v>
      </c>
      <c r="E834" s="305"/>
      <c r="F834" s="117" t="s">
        <v>1644</v>
      </c>
      <c r="G834" s="116">
        <v>1</v>
      </c>
      <c r="H834" s="108">
        <v>0</v>
      </c>
    </row>
    <row r="835" spans="1:8" x14ac:dyDescent="0.2">
      <c r="A835" s="117" t="s">
        <v>541</v>
      </c>
      <c r="B835" s="117"/>
      <c r="C835" s="117" t="s">
        <v>1007</v>
      </c>
      <c r="D835" s="304" t="s">
        <v>1599</v>
      </c>
      <c r="E835" s="305"/>
      <c r="F835" s="117" t="s">
        <v>1644</v>
      </c>
      <c r="G835" s="116">
        <v>1</v>
      </c>
      <c r="H835" s="108">
        <v>0</v>
      </c>
    </row>
    <row r="836" spans="1:8" x14ac:dyDescent="0.2">
      <c r="A836" s="117" t="s">
        <v>542</v>
      </c>
      <c r="B836" s="117"/>
      <c r="C836" s="117" t="s">
        <v>1008</v>
      </c>
      <c r="D836" s="304" t="s">
        <v>1600</v>
      </c>
      <c r="E836" s="305"/>
      <c r="F836" s="117" t="s">
        <v>1644</v>
      </c>
      <c r="G836" s="116">
        <v>1</v>
      </c>
      <c r="H836" s="108">
        <v>0</v>
      </c>
    </row>
    <row r="837" spans="1:8" x14ac:dyDescent="0.2">
      <c r="A837" s="117" t="s">
        <v>543</v>
      </c>
      <c r="B837" s="117"/>
      <c r="C837" s="117" t="s">
        <v>1009</v>
      </c>
      <c r="D837" s="304" t="s">
        <v>1601</v>
      </c>
      <c r="E837" s="305"/>
      <c r="F837" s="117" t="s">
        <v>1644</v>
      </c>
      <c r="G837" s="116">
        <v>1</v>
      </c>
      <c r="H837" s="108">
        <v>0</v>
      </c>
    </row>
    <row r="838" spans="1:8" x14ac:dyDescent="0.2">
      <c r="A838" s="117" t="s">
        <v>544</v>
      </c>
      <c r="B838" s="117"/>
      <c r="C838" s="117" t="s">
        <v>2612</v>
      </c>
      <c r="D838" s="304" t="s">
        <v>1602</v>
      </c>
      <c r="E838" s="305"/>
      <c r="F838" s="117" t="s">
        <v>1646</v>
      </c>
      <c r="G838" s="116">
        <v>20</v>
      </c>
      <c r="H838" s="108">
        <v>0</v>
      </c>
    </row>
    <row r="839" spans="1:8" x14ac:dyDescent="0.2">
      <c r="A839" s="117" t="s">
        <v>545</v>
      </c>
      <c r="B839" s="117"/>
      <c r="C839" s="117" t="s">
        <v>2611</v>
      </c>
      <c r="D839" s="304" t="s">
        <v>1603</v>
      </c>
      <c r="E839" s="305"/>
      <c r="F839" s="117" t="s">
        <v>1646</v>
      </c>
      <c r="G839" s="116">
        <v>10</v>
      </c>
      <c r="H839" s="108">
        <v>0</v>
      </c>
    </row>
    <row r="840" spans="1:8" x14ac:dyDescent="0.2">
      <c r="A840" s="117" t="s">
        <v>546</v>
      </c>
      <c r="B840" s="117"/>
      <c r="C840" s="117" t="s">
        <v>2610</v>
      </c>
      <c r="D840" s="304" t="s">
        <v>1604</v>
      </c>
      <c r="E840" s="305"/>
      <c r="F840" s="117" t="s">
        <v>1646</v>
      </c>
      <c r="G840" s="116">
        <v>5</v>
      </c>
      <c r="H840" s="108">
        <v>0</v>
      </c>
    </row>
    <row r="841" spans="1:8" x14ac:dyDescent="0.2">
      <c r="A841" s="117" t="s">
        <v>547</v>
      </c>
      <c r="B841" s="117"/>
      <c r="C841" s="117" t="s">
        <v>2609</v>
      </c>
      <c r="D841" s="304" t="s">
        <v>1605</v>
      </c>
      <c r="E841" s="305"/>
      <c r="F841" s="117" t="s">
        <v>1646</v>
      </c>
      <c r="G841" s="116">
        <v>5</v>
      </c>
      <c r="H841" s="108">
        <v>0</v>
      </c>
    </row>
    <row r="842" spans="1:8" x14ac:dyDescent="0.2">
      <c r="A842" s="117" t="s">
        <v>548</v>
      </c>
      <c r="B842" s="117"/>
      <c r="C842" s="117" t="s">
        <v>2608</v>
      </c>
      <c r="D842" s="304" t="s">
        <v>1606</v>
      </c>
      <c r="E842" s="305"/>
      <c r="F842" s="117" t="s">
        <v>1646</v>
      </c>
      <c r="G842" s="116">
        <v>20</v>
      </c>
      <c r="H842" s="108">
        <v>0</v>
      </c>
    </row>
    <row r="843" spans="1:8" x14ac:dyDescent="0.2">
      <c r="A843" s="117" t="s">
        <v>549</v>
      </c>
      <c r="B843" s="117"/>
      <c r="C843" s="117" t="s">
        <v>2607</v>
      </c>
      <c r="D843" s="304" t="s">
        <v>1607</v>
      </c>
      <c r="E843" s="305"/>
      <c r="F843" s="117" t="s">
        <v>1646</v>
      </c>
      <c r="G843" s="116">
        <v>10</v>
      </c>
      <c r="H843" s="108">
        <v>0</v>
      </c>
    </row>
    <row r="844" spans="1:8" x14ac:dyDescent="0.2">
      <c r="A844" s="117" t="s">
        <v>550</v>
      </c>
      <c r="B844" s="117"/>
      <c r="C844" s="117" t="s">
        <v>2606</v>
      </c>
      <c r="D844" s="304" t="s">
        <v>1608</v>
      </c>
      <c r="E844" s="305"/>
      <c r="F844" s="117" t="s">
        <v>1644</v>
      </c>
      <c r="G844" s="116">
        <v>70</v>
      </c>
      <c r="H844" s="108">
        <v>0</v>
      </c>
    </row>
    <row r="845" spans="1:8" x14ac:dyDescent="0.2">
      <c r="A845" s="117" t="s">
        <v>551</v>
      </c>
      <c r="B845" s="117"/>
      <c r="C845" s="117" t="s">
        <v>2605</v>
      </c>
      <c r="D845" s="304" t="s">
        <v>1609</v>
      </c>
      <c r="E845" s="305"/>
      <c r="F845" s="117" t="s">
        <v>1644</v>
      </c>
      <c r="G845" s="116">
        <v>3</v>
      </c>
      <c r="H845" s="108">
        <v>0</v>
      </c>
    </row>
    <row r="846" spans="1:8" x14ac:dyDescent="0.2">
      <c r="A846" s="117" t="s">
        <v>552</v>
      </c>
      <c r="B846" s="117"/>
      <c r="C846" s="117" t="s">
        <v>2604</v>
      </c>
      <c r="D846" s="304" t="s">
        <v>1610</v>
      </c>
      <c r="E846" s="305"/>
      <c r="F846" s="117" t="s">
        <v>1644</v>
      </c>
      <c r="G846" s="116">
        <v>1</v>
      </c>
      <c r="H846" s="108">
        <v>0</v>
      </c>
    </row>
    <row r="847" spans="1:8" x14ac:dyDescent="0.2">
      <c r="A847" s="117" t="s">
        <v>553</v>
      </c>
      <c r="B847" s="117"/>
      <c r="C847" s="117" t="s">
        <v>2603</v>
      </c>
      <c r="D847" s="304" t="s">
        <v>1611</v>
      </c>
      <c r="E847" s="305"/>
      <c r="F847" s="117" t="s">
        <v>1651</v>
      </c>
      <c r="G847" s="116">
        <v>1</v>
      </c>
      <c r="H847" s="108">
        <v>0</v>
      </c>
    </row>
    <row r="848" spans="1:8" x14ac:dyDescent="0.2">
      <c r="A848" s="117" t="s">
        <v>554</v>
      </c>
      <c r="B848" s="117"/>
      <c r="C848" s="117" t="s">
        <v>2602</v>
      </c>
      <c r="D848" s="304" t="s">
        <v>1612</v>
      </c>
      <c r="E848" s="305"/>
      <c r="F848" s="117" t="s">
        <v>1646</v>
      </c>
      <c r="G848" s="116">
        <v>170</v>
      </c>
      <c r="H848" s="108">
        <v>0</v>
      </c>
    </row>
    <row r="849" spans="1:8" x14ac:dyDescent="0.2">
      <c r="A849" s="117" t="s">
        <v>555</v>
      </c>
      <c r="B849" s="117"/>
      <c r="C849" s="117" t="s">
        <v>2601</v>
      </c>
      <c r="D849" s="304" t="s">
        <v>1613</v>
      </c>
      <c r="E849" s="305"/>
      <c r="F849" s="117" t="s">
        <v>1646</v>
      </c>
      <c r="G849" s="116">
        <v>45</v>
      </c>
      <c r="H849" s="108">
        <v>0</v>
      </c>
    </row>
    <row r="850" spans="1:8" x14ac:dyDescent="0.2">
      <c r="A850" s="117" t="s">
        <v>556</v>
      </c>
      <c r="B850" s="117"/>
      <c r="C850" s="117" t="s">
        <v>2600</v>
      </c>
      <c r="D850" s="304" t="s">
        <v>1614</v>
      </c>
      <c r="E850" s="305"/>
      <c r="F850" s="117" t="s">
        <v>1646</v>
      </c>
      <c r="G850" s="116">
        <v>80</v>
      </c>
      <c r="H850" s="108">
        <v>0</v>
      </c>
    </row>
    <row r="851" spans="1:8" x14ac:dyDescent="0.2">
      <c r="A851" s="117" t="s">
        <v>557</v>
      </c>
      <c r="B851" s="117"/>
      <c r="C851" s="117" t="s">
        <v>2599</v>
      </c>
      <c r="D851" s="304" t="s">
        <v>1615</v>
      </c>
      <c r="E851" s="305"/>
      <c r="F851" s="117" t="s">
        <v>1646</v>
      </c>
      <c r="G851" s="116">
        <v>30</v>
      </c>
      <c r="H851" s="108">
        <v>0</v>
      </c>
    </row>
    <row r="852" spans="1:8" x14ac:dyDescent="0.2">
      <c r="A852" s="117" t="s">
        <v>558</v>
      </c>
      <c r="B852" s="117"/>
      <c r="C852" s="117" t="s">
        <v>2598</v>
      </c>
      <c r="D852" s="304" t="s">
        <v>1616</v>
      </c>
      <c r="E852" s="305"/>
      <c r="F852" s="117" t="s">
        <v>1646</v>
      </c>
      <c r="G852" s="116">
        <v>30</v>
      </c>
      <c r="H852" s="108">
        <v>0</v>
      </c>
    </row>
    <row r="853" spans="1:8" x14ac:dyDescent="0.2">
      <c r="A853" s="117" t="s">
        <v>559</v>
      </c>
      <c r="B853" s="117"/>
      <c r="C853" s="117" t="s">
        <v>2597</v>
      </c>
      <c r="D853" s="304" t="s">
        <v>1617</v>
      </c>
      <c r="E853" s="305"/>
      <c r="F853" s="117" t="s">
        <v>1646</v>
      </c>
      <c r="G853" s="116">
        <v>20</v>
      </c>
      <c r="H853" s="108">
        <v>0</v>
      </c>
    </row>
    <row r="854" spans="1:8" x14ac:dyDescent="0.2">
      <c r="A854" s="117" t="s">
        <v>560</v>
      </c>
      <c r="B854" s="117"/>
      <c r="C854" s="117" t="s">
        <v>2596</v>
      </c>
      <c r="D854" s="304" t="s">
        <v>1618</v>
      </c>
      <c r="E854" s="305"/>
      <c r="F854" s="117" t="s">
        <v>1646</v>
      </c>
      <c r="G854" s="116">
        <v>25</v>
      </c>
      <c r="H854" s="108">
        <v>0</v>
      </c>
    </row>
    <row r="855" spans="1:8" x14ac:dyDescent="0.2">
      <c r="A855" s="117" t="s">
        <v>561</v>
      </c>
      <c r="B855" s="117"/>
      <c r="C855" s="117" t="s">
        <v>2595</v>
      </c>
      <c r="D855" s="304" t="s">
        <v>1619</v>
      </c>
      <c r="E855" s="305"/>
      <c r="F855" s="117" t="s">
        <v>1644</v>
      </c>
      <c r="G855" s="116">
        <v>1</v>
      </c>
      <c r="H855" s="108">
        <v>0</v>
      </c>
    </row>
    <row r="856" spans="1:8" x14ac:dyDescent="0.2">
      <c r="A856" s="117" t="s">
        <v>562</v>
      </c>
      <c r="B856" s="117"/>
      <c r="C856" s="117" t="s">
        <v>2594</v>
      </c>
      <c r="D856" s="304" t="s">
        <v>1620</v>
      </c>
      <c r="E856" s="305"/>
      <c r="F856" s="117" t="s">
        <v>1644</v>
      </c>
      <c r="G856" s="116">
        <v>1</v>
      </c>
      <c r="H856" s="108">
        <v>0</v>
      </c>
    </row>
    <row r="857" spans="1:8" x14ac:dyDescent="0.2">
      <c r="A857" s="117" t="s">
        <v>563</v>
      </c>
      <c r="B857" s="117"/>
      <c r="C857" s="117" t="s">
        <v>2593</v>
      </c>
      <c r="D857" s="304" t="s">
        <v>1621</v>
      </c>
      <c r="E857" s="305"/>
      <c r="F857" s="117" t="s">
        <v>1644</v>
      </c>
      <c r="G857" s="116">
        <v>1</v>
      </c>
      <c r="H857" s="108">
        <v>0</v>
      </c>
    </row>
    <row r="858" spans="1:8" x14ac:dyDescent="0.2">
      <c r="A858" s="117" t="s">
        <v>564</v>
      </c>
      <c r="B858" s="117"/>
      <c r="C858" s="117" t="s">
        <v>2592</v>
      </c>
      <c r="D858" s="304" t="s">
        <v>1622</v>
      </c>
      <c r="E858" s="305"/>
      <c r="F858" s="117" t="s">
        <v>1644</v>
      </c>
      <c r="G858" s="116">
        <v>1</v>
      </c>
      <c r="H858" s="108">
        <v>0</v>
      </c>
    </row>
    <row r="859" spans="1:8" x14ac:dyDescent="0.2">
      <c r="A859" s="117" t="s">
        <v>565</v>
      </c>
      <c r="B859" s="117"/>
      <c r="C859" s="117" t="s">
        <v>2591</v>
      </c>
      <c r="D859" s="304" t="s">
        <v>1623</v>
      </c>
      <c r="E859" s="305"/>
      <c r="F859" s="117" t="s">
        <v>1644</v>
      </c>
      <c r="G859" s="116">
        <v>1</v>
      </c>
      <c r="H859" s="108">
        <v>0</v>
      </c>
    </row>
    <row r="860" spans="1:8" x14ac:dyDescent="0.2">
      <c r="A860" s="117" t="s">
        <v>566</v>
      </c>
      <c r="B860" s="117"/>
      <c r="C860" s="117" t="s">
        <v>2590</v>
      </c>
      <c r="D860" s="304" t="s">
        <v>1624</v>
      </c>
      <c r="E860" s="305"/>
      <c r="F860" s="117" t="s">
        <v>1644</v>
      </c>
      <c r="G860" s="116">
        <v>1</v>
      </c>
      <c r="H860" s="108">
        <v>0</v>
      </c>
    </row>
    <row r="861" spans="1:8" x14ac:dyDescent="0.2">
      <c r="A861" s="117" t="s">
        <v>567</v>
      </c>
      <c r="B861" s="117"/>
      <c r="C861" s="117" t="s">
        <v>2589</v>
      </c>
      <c r="D861" s="304" t="s">
        <v>1625</v>
      </c>
      <c r="E861" s="305"/>
      <c r="F861" s="117" t="s">
        <v>1644</v>
      </c>
      <c r="G861" s="116">
        <v>1</v>
      </c>
      <c r="H861" s="108">
        <v>0</v>
      </c>
    </row>
    <row r="862" spans="1:8" x14ac:dyDescent="0.2">
      <c r="A862" s="117" t="s">
        <v>568</v>
      </c>
      <c r="B862" s="117"/>
      <c r="C862" s="117" t="s">
        <v>2588</v>
      </c>
      <c r="D862" s="304" t="s">
        <v>1626</v>
      </c>
      <c r="E862" s="305"/>
      <c r="F862" s="117" t="s">
        <v>1644</v>
      </c>
      <c r="G862" s="116">
        <v>1</v>
      </c>
      <c r="H862" s="108">
        <v>0</v>
      </c>
    </row>
    <row r="863" spans="1:8" x14ac:dyDescent="0.2">
      <c r="A863" s="117" t="s">
        <v>2231</v>
      </c>
      <c r="B863" s="117"/>
      <c r="C863" s="117" t="s">
        <v>2587</v>
      </c>
      <c r="D863" s="304" t="s">
        <v>1627</v>
      </c>
      <c r="E863" s="305"/>
      <c r="F863" s="117" t="s">
        <v>1644</v>
      </c>
      <c r="G863" s="116">
        <v>1</v>
      </c>
      <c r="H863" s="108">
        <v>0</v>
      </c>
    </row>
    <row r="864" spans="1:8" x14ac:dyDescent="0.2">
      <c r="A864" s="117" t="s">
        <v>2228</v>
      </c>
      <c r="B864" s="117"/>
      <c r="C864" s="117" t="s">
        <v>2586</v>
      </c>
      <c r="D864" s="304" t="s">
        <v>1628</v>
      </c>
      <c r="E864" s="305"/>
      <c r="F864" s="117" t="s">
        <v>1644</v>
      </c>
      <c r="G864" s="116">
        <v>1</v>
      </c>
      <c r="H864" s="108">
        <v>0</v>
      </c>
    </row>
    <row r="865" spans="1:8" x14ac:dyDescent="0.2">
      <c r="A865" s="117" t="s">
        <v>2585</v>
      </c>
      <c r="B865" s="117"/>
      <c r="C865" s="117" t="s">
        <v>2584</v>
      </c>
      <c r="D865" s="304" t="s">
        <v>1629</v>
      </c>
      <c r="E865" s="305"/>
      <c r="F865" s="117" t="s">
        <v>1644</v>
      </c>
      <c r="G865" s="116">
        <v>1</v>
      </c>
      <c r="H865" s="108">
        <v>0</v>
      </c>
    </row>
    <row r="866" spans="1:8" x14ac:dyDescent="0.2">
      <c r="A866" s="117" t="s">
        <v>2583</v>
      </c>
      <c r="B866" s="117"/>
      <c r="C866" s="117" t="s">
        <v>2582</v>
      </c>
      <c r="D866" s="304" t="s">
        <v>1630</v>
      </c>
      <c r="E866" s="305"/>
      <c r="F866" s="117" t="s">
        <v>1644</v>
      </c>
      <c r="G866" s="116">
        <v>1</v>
      </c>
      <c r="H866" s="108">
        <v>0</v>
      </c>
    </row>
    <row r="867" spans="1:8" x14ac:dyDescent="0.2">
      <c r="A867" s="120"/>
      <c r="B867" s="120"/>
      <c r="C867" s="120" t="s">
        <v>1039</v>
      </c>
      <c r="D867" s="306" t="s">
        <v>1631</v>
      </c>
      <c r="E867" s="307"/>
      <c r="F867" s="120"/>
      <c r="G867" s="142"/>
      <c r="H867" s="109"/>
    </row>
    <row r="868" spans="1:8" x14ac:dyDescent="0.2">
      <c r="A868" s="117" t="s">
        <v>2581</v>
      </c>
      <c r="B868" s="117"/>
      <c r="C868" s="117" t="s">
        <v>1040</v>
      </c>
      <c r="D868" s="304" t="s">
        <v>1632</v>
      </c>
      <c r="E868" s="305"/>
      <c r="F868" s="117" t="s">
        <v>1644</v>
      </c>
      <c r="G868" s="116">
        <v>1</v>
      </c>
      <c r="H868" s="108">
        <v>0</v>
      </c>
    </row>
    <row r="869" spans="1:8" x14ac:dyDescent="0.2">
      <c r="A869" s="117" t="s">
        <v>2580</v>
      </c>
      <c r="B869" s="117"/>
      <c r="C869" s="117" t="s">
        <v>1041</v>
      </c>
      <c r="D869" s="304" t="s">
        <v>1633</v>
      </c>
      <c r="E869" s="305"/>
      <c r="F869" s="117" t="s">
        <v>1644</v>
      </c>
      <c r="G869" s="116">
        <v>1</v>
      </c>
      <c r="H869" s="108">
        <v>0</v>
      </c>
    </row>
    <row r="870" spans="1:8" x14ac:dyDescent="0.2">
      <c r="A870" s="117" t="s">
        <v>2579</v>
      </c>
      <c r="B870" s="117"/>
      <c r="C870" s="117" t="s">
        <v>1042</v>
      </c>
      <c r="D870" s="304" t="s">
        <v>1634</v>
      </c>
      <c r="E870" s="305"/>
      <c r="F870" s="117" t="s">
        <v>1644</v>
      </c>
      <c r="G870" s="116">
        <v>1</v>
      </c>
      <c r="H870" s="108">
        <v>0</v>
      </c>
    </row>
    <row r="871" spans="1:8" x14ac:dyDescent="0.2">
      <c r="A871" s="117" t="s">
        <v>2578</v>
      </c>
      <c r="B871" s="117"/>
      <c r="C871" s="117" t="s">
        <v>1043</v>
      </c>
      <c r="D871" s="304" t="s">
        <v>1635</v>
      </c>
      <c r="E871" s="305"/>
      <c r="F871" s="117" t="s">
        <v>1644</v>
      </c>
      <c r="G871" s="116">
        <v>1</v>
      </c>
      <c r="H871" s="108">
        <v>0</v>
      </c>
    </row>
    <row r="872" spans="1:8" x14ac:dyDescent="0.2">
      <c r="A872" s="117" t="s">
        <v>2577</v>
      </c>
      <c r="B872" s="117"/>
      <c r="C872" s="117" t="s">
        <v>1044</v>
      </c>
      <c r="D872" s="304" t="s">
        <v>1636</v>
      </c>
      <c r="E872" s="305"/>
      <c r="F872" s="117" t="s">
        <v>1644</v>
      </c>
      <c r="G872" s="116">
        <v>1</v>
      </c>
      <c r="H872" s="108">
        <v>0</v>
      </c>
    </row>
    <row r="873" spans="1:8" x14ac:dyDescent="0.2">
      <c r="A873" s="117" t="s">
        <v>2576</v>
      </c>
      <c r="B873" s="117"/>
      <c r="C873" s="117" t="s">
        <v>1045</v>
      </c>
      <c r="D873" s="304" t="s">
        <v>1637</v>
      </c>
      <c r="E873" s="305"/>
      <c r="F873" s="117" t="s">
        <v>1644</v>
      </c>
      <c r="G873" s="116">
        <v>1</v>
      </c>
      <c r="H873" s="108">
        <v>0</v>
      </c>
    </row>
    <row r="874" spans="1:8" x14ac:dyDescent="0.2">
      <c r="A874" s="117" t="s">
        <v>2572</v>
      </c>
      <c r="B874" s="117"/>
      <c r="C874" s="117" t="s">
        <v>1046</v>
      </c>
      <c r="D874" s="304" t="s">
        <v>1638</v>
      </c>
      <c r="E874" s="305"/>
      <c r="F874" s="117" t="s">
        <v>1644</v>
      </c>
      <c r="G874" s="116">
        <v>1</v>
      </c>
      <c r="H874" s="108">
        <v>0</v>
      </c>
    </row>
    <row r="876" spans="1:8" ht="11.25" customHeight="1" x14ac:dyDescent="0.2">
      <c r="A876" s="106" t="s">
        <v>569</v>
      </c>
    </row>
    <row r="877" spans="1:8" x14ac:dyDescent="0.2">
      <c r="A877" s="255"/>
      <c r="B877" s="256"/>
      <c r="C877" s="256"/>
      <c r="D877" s="256"/>
      <c r="E877" s="256"/>
      <c r="F877" s="256"/>
      <c r="G877" s="256"/>
    </row>
  </sheetData>
  <mergeCells count="883">
    <mergeCell ref="D866:E866"/>
    <mergeCell ref="D867:E867"/>
    <mergeCell ref="D874:E874"/>
    <mergeCell ref="A877:G877"/>
    <mergeCell ref="D868:E868"/>
    <mergeCell ref="D869:E869"/>
    <mergeCell ref="D870:E870"/>
    <mergeCell ref="D871:E871"/>
    <mergeCell ref="D872:E872"/>
    <mergeCell ref="D873:E873"/>
    <mergeCell ref="D854:E854"/>
    <mergeCell ref="D855:E855"/>
    <mergeCell ref="D856:E856"/>
    <mergeCell ref="D857:E857"/>
    <mergeCell ref="D858:E858"/>
    <mergeCell ref="D862:E862"/>
    <mergeCell ref="D863:E863"/>
    <mergeCell ref="D864:E864"/>
    <mergeCell ref="D865:E865"/>
    <mergeCell ref="D830:E830"/>
    <mergeCell ref="D831:E831"/>
    <mergeCell ref="D832:E832"/>
    <mergeCell ref="D833:E833"/>
    <mergeCell ref="D834:E834"/>
    <mergeCell ref="D859:E859"/>
    <mergeCell ref="D860:E860"/>
    <mergeCell ref="D861:E86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06:E806"/>
    <mergeCell ref="D807:E807"/>
    <mergeCell ref="D808:E808"/>
    <mergeCell ref="D809:E809"/>
    <mergeCell ref="D810:E810"/>
    <mergeCell ref="D835:E835"/>
    <mergeCell ref="D836:E836"/>
    <mergeCell ref="D837:E837"/>
    <mergeCell ref="D814:E814"/>
    <mergeCell ref="D815:E815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782:E782"/>
    <mergeCell ref="D783:E783"/>
    <mergeCell ref="D784:E784"/>
    <mergeCell ref="D785:E785"/>
    <mergeCell ref="D786:E786"/>
    <mergeCell ref="D811:E811"/>
    <mergeCell ref="D812:E812"/>
    <mergeCell ref="D813:E813"/>
    <mergeCell ref="D790:F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758:E758"/>
    <mergeCell ref="D759:E759"/>
    <mergeCell ref="D760:E760"/>
    <mergeCell ref="D761:E761"/>
    <mergeCell ref="D762:E762"/>
    <mergeCell ref="D787:E787"/>
    <mergeCell ref="D788:F788"/>
    <mergeCell ref="D789:E789"/>
    <mergeCell ref="D766:E766"/>
    <mergeCell ref="D767:E767"/>
    <mergeCell ref="D768:E768"/>
    <mergeCell ref="D769:E769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34:F734"/>
    <mergeCell ref="D735:E735"/>
    <mergeCell ref="D736:E736"/>
    <mergeCell ref="D737:F737"/>
    <mergeCell ref="D738:E738"/>
    <mergeCell ref="D763:E763"/>
    <mergeCell ref="D764:E764"/>
    <mergeCell ref="D765:E765"/>
    <mergeCell ref="D742:E742"/>
    <mergeCell ref="D743:F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53:E753"/>
    <mergeCell ref="D754:E754"/>
    <mergeCell ref="D755:E755"/>
    <mergeCell ref="D756:E756"/>
    <mergeCell ref="D757:E757"/>
    <mergeCell ref="D710:F710"/>
    <mergeCell ref="D711:E711"/>
    <mergeCell ref="D712:F712"/>
    <mergeCell ref="D713:E713"/>
    <mergeCell ref="D714:F714"/>
    <mergeCell ref="D739:F739"/>
    <mergeCell ref="D740:E740"/>
    <mergeCell ref="D741:F741"/>
    <mergeCell ref="D718:F718"/>
    <mergeCell ref="D719:E719"/>
    <mergeCell ref="D720:E720"/>
    <mergeCell ref="D721:F721"/>
    <mergeCell ref="D722:F722"/>
    <mergeCell ref="D723:F723"/>
    <mergeCell ref="D724:E724"/>
    <mergeCell ref="D725:F725"/>
    <mergeCell ref="D726:E726"/>
    <mergeCell ref="D727:F727"/>
    <mergeCell ref="D728:F728"/>
    <mergeCell ref="D729:F729"/>
    <mergeCell ref="D730:E730"/>
    <mergeCell ref="D731:F731"/>
    <mergeCell ref="D732:E732"/>
    <mergeCell ref="D733:F733"/>
    <mergeCell ref="D686:F686"/>
    <mergeCell ref="D687:E687"/>
    <mergeCell ref="D688:F688"/>
    <mergeCell ref="D689:E689"/>
    <mergeCell ref="D690:F690"/>
    <mergeCell ref="D715:F715"/>
    <mergeCell ref="D716:E716"/>
    <mergeCell ref="D717:F717"/>
    <mergeCell ref="D694:F694"/>
    <mergeCell ref="D695:E695"/>
    <mergeCell ref="D696:F696"/>
    <mergeCell ref="D697:E697"/>
    <mergeCell ref="D698:F698"/>
    <mergeCell ref="D699:E699"/>
    <mergeCell ref="D700:F700"/>
    <mergeCell ref="D701:E701"/>
    <mergeCell ref="D702:E702"/>
    <mergeCell ref="D703:F703"/>
    <mergeCell ref="D704:E704"/>
    <mergeCell ref="D705:F705"/>
    <mergeCell ref="D706:E706"/>
    <mergeCell ref="D707:F707"/>
    <mergeCell ref="D708:E708"/>
    <mergeCell ref="D709:F709"/>
    <mergeCell ref="D662:E662"/>
    <mergeCell ref="D663:F663"/>
    <mergeCell ref="D664:E664"/>
    <mergeCell ref="D665:F665"/>
    <mergeCell ref="D666:E666"/>
    <mergeCell ref="D691:E691"/>
    <mergeCell ref="D692:F692"/>
    <mergeCell ref="D693:E693"/>
    <mergeCell ref="D670:E670"/>
    <mergeCell ref="D671:F671"/>
    <mergeCell ref="D672:E672"/>
    <mergeCell ref="D673:F673"/>
    <mergeCell ref="D674:E674"/>
    <mergeCell ref="D675:E675"/>
    <mergeCell ref="D676:F676"/>
    <mergeCell ref="D677:E677"/>
    <mergeCell ref="D678:F678"/>
    <mergeCell ref="D679:E679"/>
    <mergeCell ref="D680:F680"/>
    <mergeCell ref="D681:E681"/>
    <mergeCell ref="D682:F682"/>
    <mergeCell ref="D683:E683"/>
    <mergeCell ref="D684:F684"/>
    <mergeCell ref="D685:E685"/>
    <mergeCell ref="D638:F638"/>
    <mergeCell ref="D639:E639"/>
    <mergeCell ref="D640:F640"/>
    <mergeCell ref="D641:E641"/>
    <mergeCell ref="D642:F642"/>
    <mergeCell ref="D667:F667"/>
    <mergeCell ref="D668:E668"/>
    <mergeCell ref="D669:F669"/>
    <mergeCell ref="D646:F646"/>
    <mergeCell ref="D647:E647"/>
    <mergeCell ref="D648:F648"/>
    <mergeCell ref="D649:E649"/>
    <mergeCell ref="D650:F650"/>
    <mergeCell ref="D651:E651"/>
    <mergeCell ref="D652:F652"/>
    <mergeCell ref="D653:E653"/>
    <mergeCell ref="D654:F654"/>
    <mergeCell ref="D655:E655"/>
    <mergeCell ref="D656:E656"/>
    <mergeCell ref="D657:F657"/>
    <mergeCell ref="D658:E658"/>
    <mergeCell ref="D659:F659"/>
    <mergeCell ref="D660:E660"/>
    <mergeCell ref="D661:F661"/>
    <mergeCell ref="D614:E614"/>
    <mergeCell ref="D615:E615"/>
    <mergeCell ref="D616:F616"/>
    <mergeCell ref="D617:E617"/>
    <mergeCell ref="D618:F618"/>
    <mergeCell ref="D643:E643"/>
    <mergeCell ref="D644:F644"/>
    <mergeCell ref="D645:E645"/>
    <mergeCell ref="D622:F622"/>
    <mergeCell ref="D623:E623"/>
    <mergeCell ref="D624:F624"/>
    <mergeCell ref="D625:E625"/>
    <mergeCell ref="D626:F626"/>
    <mergeCell ref="D627:E627"/>
    <mergeCell ref="D628:F628"/>
    <mergeCell ref="D629:E629"/>
    <mergeCell ref="D630:F630"/>
    <mergeCell ref="D631:E631"/>
    <mergeCell ref="D632:F632"/>
    <mergeCell ref="D633:E633"/>
    <mergeCell ref="D634:F634"/>
    <mergeCell ref="D635:E635"/>
    <mergeCell ref="D636:F636"/>
    <mergeCell ref="D637:E637"/>
    <mergeCell ref="D590:F590"/>
    <mergeCell ref="D591:E591"/>
    <mergeCell ref="D592:F592"/>
    <mergeCell ref="D593:E593"/>
    <mergeCell ref="D594:F594"/>
    <mergeCell ref="D619:E619"/>
    <mergeCell ref="D620:F620"/>
    <mergeCell ref="D621:E621"/>
    <mergeCell ref="D598:F598"/>
    <mergeCell ref="D599:E599"/>
    <mergeCell ref="D600:F600"/>
    <mergeCell ref="D601:F601"/>
    <mergeCell ref="D602:E602"/>
    <mergeCell ref="D603:F603"/>
    <mergeCell ref="D604:E604"/>
    <mergeCell ref="D605:F605"/>
    <mergeCell ref="D606:E606"/>
    <mergeCell ref="D607:F607"/>
    <mergeCell ref="D608:E608"/>
    <mergeCell ref="D609:F609"/>
    <mergeCell ref="D610:E610"/>
    <mergeCell ref="D611:F611"/>
    <mergeCell ref="D612:E612"/>
    <mergeCell ref="D613:F613"/>
    <mergeCell ref="D566:E566"/>
    <mergeCell ref="D567:E567"/>
    <mergeCell ref="D568:E568"/>
    <mergeCell ref="D569:E569"/>
    <mergeCell ref="D570:E570"/>
    <mergeCell ref="D595:E595"/>
    <mergeCell ref="D596:F596"/>
    <mergeCell ref="D597:E597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42:E542"/>
    <mergeCell ref="D543:E543"/>
    <mergeCell ref="D544:E544"/>
    <mergeCell ref="D545:E545"/>
    <mergeCell ref="D546:E546"/>
    <mergeCell ref="D571:E571"/>
    <mergeCell ref="D572:E572"/>
    <mergeCell ref="D573:E573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18:E518"/>
    <mergeCell ref="D519:E519"/>
    <mergeCell ref="D520:E520"/>
    <mergeCell ref="D521:E521"/>
    <mergeCell ref="D522:E522"/>
    <mergeCell ref="D547:E547"/>
    <mergeCell ref="D548:E548"/>
    <mergeCell ref="D549:E549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494:E494"/>
    <mergeCell ref="D495:E495"/>
    <mergeCell ref="D496:E496"/>
    <mergeCell ref="D497:E497"/>
    <mergeCell ref="D498:E498"/>
    <mergeCell ref="D523:E523"/>
    <mergeCell ref="D524:E524"/>
    <mergeCell ref="D525:E525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470:E470"/>
    <mergeCell ref="D471:E471"/>
    <mergeCell ref="D472:E472"/>
    <mergeCell ref="D473:E473"/>
    <mergeCell ref="D474:E474"/>
    <mergeCell ref="D499:E499"/>
    <mergeCell ref="D500:E500"/>
    <mergeCell ref="D501:E501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46:E446"/>
    <mergeCell ref="D447:E447"/>
    <mergeCell ref="D448:E448"/>
    <mergeCell ref="D449:E449"/>
    <mergeCell ref="D450:E450"/>
    <mergeCell ref="D475:E475"/>
    <mergeCell ref="D476:E476"/>
    <mergeCell ref="D477:E477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22:E422"/>
    <mergeCell ref="D423:E423"/>
    <mergeCell ref="D424:E424"/>
    <mergeCell ref="D425:E425"/>
    <mergeCell ref="D426:E426"/>
    <mergeCell ref="D451:E451"/>
    <mergeCell ref="D452:E452"/>
    <mergeCell ref="D453:E45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398:E398"/>
    <mergeCell ref="D399:E399"/>
    <mergeCell ref="D400:E400"/>
    <mergeCell ref="D401:E401"/>
    <mergeCell ref="D402:E402"/>
    <mergeCell ref="D427:E427"/>
    <mergeCell ref="D428:E428"/>
    <mergeCell ref="D429:E429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374:E374"/>
    <mergeCell ref="D375:E375"/>
    <mergeCell ref="D376:E376"/>
    <mergeCell ref="D377:E377"/>
    <mergeCell ref="D378:E378"/>
    <mergeCell ref="D403:E403"/>
    <mergeCell ref="D404:E404"/>
    <mergeCell ref="D405:E405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50:F350"/>
    <mergeCell ref="D351:F351"/>
    <mergeCell ref="D352:E352"/>
    <mergeCell ref="D353:F353"/>
    <mergeCell ref="D354:E354"/>
    <mergeCell ref="D379:E379"/>
    <mergeCell ref="D380:E380"/>
    <mergeCell ref="D381:E381"/>
    <mergeCell ref="D358:E358"/>
    <mergeCell ref="D359:F359"/>
    <mergeCell ref="D360:E360"/>
    <mergeCell ref="D361:F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26:F326"/>
    <mergeCell ref="D327:E327"/>
    <mergeCell ref="D328:F328"/>
    <mergeCell ref="D329:E329"/>
    <mergeCell ref="D330:F330"/>
    <mergeCell ref="D355:F355"/>
    <mergeCell ref="D356:E356"/>
    <mergeCell ref="D357:F357"/>
    <mergeCell ref="D334:E334"/>
    <mergeCell ref="D335:E335"/>
    <mergeCell ref="D336:F336"/>
    <mergeCell ref="D337:E337"/>
    <mergeCell ref="D338:F338"/>
    <mergeCell ref="D339:E339"/>
    <mergeCell ref="D340:F340"/>
    <mergeCell ref="D341:E341"/>
    <mergeCell ref="D342:F342"/>
    <mergeCell ref="D343:E343"/>
    <mergeCell ref="D344:E344"/>
    <mergeCell ref="D345:F345"/>
    <mergeCell ref="D346:E346"/>
    <mergeCell ref="D347:F347"/>
    <mergeCell ref="D348:F348"/>
    <mergeCell ref="D349:E349"/>
    <mergeCell ref="D302:F302"/>
    <mergeCell ref="D303:E303"/>
    <mergeCell ref="D304:F304"/>
    <mergeCell ref="D305:E305"/>
    <mergeCell ref="D306:F306"/>
    <mergeCell ref="D331:E331"/>
    <mergeCell ref="D332:E332"/>
    <mergeCell ref="D333:F333"/>
    <mergeCell ref="D310:F310"/>
    <mergeCell ref="D311:E311"/>
    <mergeCell ref="D312:F312"/>
    <mergeCell ref="D313:E313"/>
    <mergeCell ref="D314:F314"/>
    <mergeCell ref="D315:E315"/>
    <mergeCell ref="D316:F316"/>
    <mergeCell ref="D317:E317"/>
    <mergeCell ref="D318:F318"/>
    <mergeCell ref="D319:E319"/>
    <mergeCell ref="D320:F320"/>
    <mergeCell ref="D321:E321"/>
    <mergeCell ref="D322:F322"/>
    <mergeCell ref="D323:E323"/>
    <mergeCell ref="D324:F324"/>
    <mergeCell ref="D325:E325"/>
    <mergeCell ref="D278:F278"/>
    <mergeCell ref="D279:E279"/>
    <mergeCell ref="D280:F280"/>
    <mergeCell ref="D281:E281"/>
    <mergeCell ref="D282:F282"/>
    <mergeCell ref="D307:E307"/>
    <mergeCell ref="D308:F308"/>
    <mergeCell ref="D309:E309"/>
    <mergeCell ref="D286:F286"/>
    <mergeCell ref="D287:E287"/>
    <mergeCell ref="D288:F288"/>
    <mergeCell ref="D289:E289"/>
    <mergeCell ref="D290:F290"/>
    <mergeCell ref="D291:F291"/>
    <mergeCell ref="D292:E292"/>
    <mergeCell ref="D293:F293"/>
    <mergeCell ref="D294:E294"/>
    <mergeCell ref="D295:F295"/>
    <mergeCell ref="D296:E296"/>
    <mergeCell ref="D297:F297"/>
    <mergeCell ref="D298:E298"/>
    <mergeCell ref="D299:E299"/>
    <mergeCell ref="D300:F300"/>
    <mergeCell ref="D301:E301"/>
    <mergeCell ref="D254:F254"/>
    <mergeCell ref="D255:E255"/>
    <mergeCell ref="D256:F256"/>
    <mergeCell ref="D257:E257"/>
    <mergeCell ref="D258:F258"/>
    <mergeCell ref="D283:E283"/>
    <mergeCell ref="D284:F284"/>
    <mergeCell ref="D285:E285"/>
    <mergeCell ref="D262:F262"/>
    <mergeCell ref="D263:E263"/>
    <mergeCell ref="D264:F264"/>
    <mergeCell ref="D265:E265"/>
    <mergeCell ref="D266:F266"/>
    <mergeCell ref="D267:E267"/>
    <mergeCell ref="D268:F268"/>
    <mergeCell ref="D269:E269"/>
    <mergeCell ref="D270:F270"/>
    <mergeCell ref="D271:E271"/>
    <mergeCell ref="D272:F272"/>
    <mergeCell ref="D273:E273"/>
    <mergeCell ref="D274:F274"/>
    <mergeCell ref="D275:E275"/>
    <mergeCell ref="D276:F276"/>
    <mergeCell ref="D277:E277"/>
    <mergeCell ref="D230:E230"/>
    <mergeCell ref="D231:F231"/>
    <mergeCell ref="D232:E232"/>
    <mergeCell ref="D233:F233"/>
    <mergeCell ref="D234:E234"/>
    <mergeCell ref="D259:E259"/>
    <mergeCell ref="D260:F260"/>
    <mergeCell ref="D261:E261"/>
    <mergeCell ref="D238:E238"/>
    <mergeCell ref="D239:F239"/>
    <mergeCell ref="D240:E240"/>
    <mergeCell ref="D241:F241"/>
    <mergeCell ref="D242:E242"/>
    <mergeCell ref="D243:F243"/>
    <mergeCell ref="D244:E244"/>
    <mergeCell ref="D245:F245"/>
    <mergeCell ref="D246:E246"/>
    <mergeCell ref="D247:F247"/>
    <mergeCell ref="D248:E248"/>
    <mergeCell ref="D249:F249"/>
    <mergeCell ref="D250:E250"/>
    <mergeCell ref="D251:F251"/>
    <mergeCell ref="D252:E252"/>
    <mergeCell ref="D253:E253"/>
    <mergeCell ref="D206:F206"/>
    <mergeCell ref="D207:E207"/>
    <mergeCell ref="D208:E208"/>
    <mergeCell ref="D209:F209"/>
    <mergeCell ref="D210:E210"/>
    <mergeCell ref="D235:F235"/>
    <mergeCell ref="D236:E236"/>
    <mergeCell ref="D237:F237"/>
    <mergeCell ref="D214:E214"/>
    <mergeCell ref="D215:F215"/>
    <mergeCell ref="D216:E216"/>
    <mergeCell ref="D217:F217"/>
    <mergeCell ref="D218:E218"/>
    <mergeCell ref="D219:F219"/>
    <mergeCell ref="D220:E220"/>
    <mergeCell ref="D221:F221"/>
    <mergeCell ref="D222:E222"/>
    <mergeCell ref="D223:F223"/>
    <mergeCell ref="D224:E224"/>
    <mergeCell ref="D225:F225"/>
    <mergeCell ref="D226:E226"/>
    <mergeCell ref="D227:F227"/>
    <mergeCell ref="D228:E228"/>
    <mergeCell ref="D229:F229"/>
    <mergeCell ref="D182:E182"/>
    <mergeCell ref="D183:F183"/>
    <mergeCell ref="D184:E184"/>
    <mergeCell ref="D185:F185"/>
    <mergeCell ref="D186:E186"/>
    <mergeCell ref="D211:F211"/>
    <mergeCell ref="D212:E212"/>
    <mergeCell ref="D213:F213"/>
    <mergeCell ref="D190:F190"/>
    <mergeCell ref="D191:E191"/>
    <mergeCell ref="D192:F192"/>
    <mergeCell ref="D193:E193"/>
    <mergeCell ref="D194:F194"/>
    <mergeCell ref="D195:E195"/>
    <mergeCell ref="D196:F196"/>
    <mergeCell ref="D197:E197"/>
    <mergeCell ref="D198:F198"/>
    <mergeCell ref="D199:E199"/>
    <mergeCell ref="D200:F200"/>
    <mergeCell ref="D201:E201"/>
    <mergeCell ref="D202:F202"/>
    <mergeCell ref="D203:E203"/>
    <mergeCell ref="D204:F204"/>
    <mergeCell ref="D205:E205"/>
    <mergeCell ref="D158:F158"/>
    <mergeCell ref="D159:E159"/>
    <mergeCell ref="D160:F160"/>
    <mergeCell ref="D161:E161"/>
    <mergeCell ref="D162:E162"/>
    <mergeCell ref="D187:E187"/>
    <mergeCell ref="D188:F188"/>
    <mergeCell ref="D189:E189"/>
    <mergeCell ref="D166:E166"/>
    <mergeCell ref="D167:E167"/>
    <mergeCell ref="D168:F168"/>
    <mergeCell ref="D169:E169"/>
    <mergeCell ref="D170:F170"/>
    <mergeCell ref="D171:E171"/>
    <mergeCell ref="D172:E172"/>
    <mergeCell ref="D173:F173"/>
    <mergeCell ref="D174:E174"/>
    <mergeCell ref="D175:F175"/>
    <mergeCell ref="D176:E176"/>
    <mergeCell ref="D177:F177"/>
    <mergeCell ref="D178:E178"/>
    <mergeCell ref="D179:F179"/>
    <mergeCell ref="D180:E180"/>
    <mergeCell ref="D181:F181"/>
    <mergeCell ref="D134:E134"/>
    <mergeCell ref="D135:F135"/>
    <mergeCell ref="D136:E136"/>
    <mergeCell ref="D137:F137"/>
    <mergeCell ref="D138:E138"/>
    <mergeCell ref="D163:F163"/>
    <mergeCell ref="D164:E164"/>
    <mergeCell ref="D165:F165"/>
    <mergeCell ref="D142:E142"/>
    <mergeCell ref="D143:F143"/>
    <mergeCell ref="D144:E144"/>
    <mergeCell ref="D145:F145"/>
    <mergeCell ref="D146:E146"/>
    <mergeCell ref="D147:F147"/>
    <mergeCell ref="D148:E148"/>
    <mergeCell ref="D149:E149"/>
    <mergeCell ref="D150:F150"/>
    <mergeCell ref="D151:E151"/>
    <mergeCell ref="D152:E152"/>
    <mergeCell ref="D153:F153"/>
    <mergeCell ref="D154:E154"/>
    <mergeCell ref="D155:F155"/>
    <mergeCell ref="D156:E156"/>
    <mergeCell ref="D157:E157"/>
    <mergeCell ref="D110:F110"/>
    <mergeCell ref="D111:F111"/>
    <mergeCell ref="D112:E112"/>
    <mergeCell ref="D113:F113"/>
    <mergeCell ref="D114:E114"/>
    <mergeCell ref="D139:F139"/>
    <mergeCell ref="D140:E140"/>
    <mergeCell ref="D141:F141"/>
    <mergeCell ref="D118:E118"/>
    <mergeCell ref="D119:F119"/>
    <mergeCell ref="D120:E120"/>
    <mergeCell ref="D121:F121"/>
    <mergeCell ref="D122:E122"/>
    <mergeCell ref="D123:F123"/>
    <mergeCell ref="D124:E124"/>
    <mergeCell ref="D125:F125"/>
    <mergeCell ref="D126:E126"/>
    <mergeCell ref="D127:F127"/>
    <mergeCell ref="D128:E128"/>
    <mergeCell ref="D129:F129"/>
    <mergeCell ref="D130:E130"/>
    <mergeCell ref="D131:F131"/>
    <mergeCell ref="D132:E132"/>
    <mergeCell ref="D133:F133"/>
    <mergeCell ref="D86:F86"/>
    <mergeCell ref="D87:E87"/>
    <mergeCell ref="D88:F88"/>
    <mergeCell ref="D89:E89"/>
    <mergeCell ref="D90:E90"/>
    <mergeCell ref="D115:F115"/>
    <mergeCell ref="D116:E116"/>
    <mergeCell ref="D117:F117"/>
    <mergeCell ref="D94:E94"/>
    <mergeCell ref="D95:F95"/>
    <mergeCell ref="D96:E96"/>
    <mergeCell ref="D97:F97"/>
    <mergeCell ref="D98:E98"/>
    <mergeCell ref="D99:F99"/>
    <mergeCell ref="D100:E100"/>
    <mergeCell ref="D101:F101"/>
    <mergeCell ref="D102:E102"/>
    <mergeCell ref="D103:F103"/>
    <mergeCell ref="D104:E104"/>
    <mergeCell ref="D105:E105"/>
    <mergeCell ref="D106:F106"/>
    <mergeCell ref="D107:E107"/>
    <mergeCell ref="D108:F108"/>
    <mergeCell ref="D109:F109"/>
    <mergeCell ref="D62:E62"/>
    <mergeCell ref="D63:F63"/>
    <mergeCell ref="D64:E64"/>
    <mergeCell ref="D65:F65"/>
    <mergeCell ref="D66:E66"/>
    <mergeCell ref="D91:F91"/>
    <mergeCell ref="D92:E92"/>
    <mergeCell ref="D93:F93"/>
    <mergeCell ref="D70:F70"/>
    <mergeCell ref="D71:E71"/>
    <mergeCell ref="D72:F72"/>
    <mergeCell ref="D73:E73"/>
    <mergeCell ref="D74:F74"/>
    <mergeCell ref="D75:E75"/>
    <mergeCell ref="D76:E76"/>
    <mergeCell ref="D77:F77"/>
    <mergeCell ref="D78:E78"/>
    <mergeCell ref="D79:F79"/>
    <mergeCell ref="D80:E80"/>
    <mergeCell ref="D81:F81"/>
    <mergeCell ref="D82:E82"/>
    <mergeCell ref="D83:E83"/>
    <mergeCell ref="D84:F84"/>
    <mergeCell ref="D85:E85"/>
    <mergeCell ref="D38:F38"/>
    <mergeCell ref="D39:E39"/>
    <mergeCell ref="D40:F40"/>
    <mergeCell ref="D41:E41"/>
    <mergeCell ref="D42:F42"/>
    <mergeCell ref="D67:E67"/>
    <mergeCell ref="D68:F68"/>
    <mergeCell ref="D69:E69"/>
    <mergeCell ref="D46:E46"/>
    <mergeCell ref="D47:F47"/>
    <mergeCell ref="D48:E48"/>
    <mergeCell ref="D49:F49"/>
    <mergeCell ref="D50:E50"/>
    <mergeCell ref="D51:F51"/>
    <mergeCell ref="D52:E52"/>
    <mergeCell ref="D53:E53"/>
    <mergeCell ref="D54:F54"/>
    <mergeCell ref="D55:F55"/>
    <mergeCell ref="D56:E56"/>
    <mergeCell ref="D57:E57"/>
    <mergeCell ref="D58:F58"/>
    <mergeCell ref="D59:E59"/>
    <mergeCell ref="D60:F60"/>
    <mergeCell ref="D61:E61"/>
    <mergeCell ref="D14:E14"/>
    <mergeCell ref="D15:F15"/>
    <mergeCell ref="D16:E16"/>
    <mergeCell ref="D17:F17"/>
    <mergeCell ref="D18:E18"/>
    <mergeCell ref="D43:E43"/>
    <mergeCell ref="D44:E44"/>
    <mergeCell ref="D45:F45"/>
    <mergeCell ref="D22:E22"/>
    <mergeCell ref="D23:F23"/>
    <mergeCell ref="D24:E24"/>
    <mergeCell ref="D25:E25"/>
    <mergeCell ref="D26:F26"/>
    <mergeCell ref="D27:E27"/>
    <mergeCell ref="D28:E28"/>
    <mergeCell ref="D29:F29"/>
    <mergeCell ref="D30:E30"/>
    <mergeCell ref="D31:F31"/>
    <mergeCell ref="D32:E32"/>
    <mergeCell ref="D33:F33"/>
    <mergeCell ref="D34:E34"/>
    <mergeCell ref="D35:F35"/>
    <mergeCell ref="D36:E36"/>
    <mergeCell ref="D37:E37"/>
    <mergeCell ref="D19:F19"/>
    <mergeCell ref="D20:E20"/>
    <mergeCell ref="D21:F21"/>
    <mergeCell ref="A1:H1"/>
    <mergeCell ref="A2:B3"/>
    <mergeCell ref="C2:D3"/>
    <mergeCell ref="E2:E3"/>
    <mergeCell ref="F2:H3"/>
    <mergeCell ref="A4:B5"/>
    <mergeCell ref="C4:D5"/>
    <mergeCell ref="E4:E5"/>
    <mergeCell ref="F4:H5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7470E-C121-43F2-AD6E-CE2EB356D396}">
  <sheetPr>
    <pageSetUpPr fitToPage="1"/>
  </sheetPr>
  <dimension ref="A1:J37"/>
  <sheetViews>
    <sheetView topLeftCell="A13"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rozpočet-SO05'!C2</f>
        <v>Snížení energetické.náročnosti objektů Domova Kladno-Švermov</v>
      </c>
      <c r="D2" s="291"/>
      <c r="E2" s="293" t="s">
        <v>1657</v>
      </c>
      <c r="F2" s="293" t="str">
        <f>'Stavební rozpočet-SO05'!I2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rozpočet-SO05'!C4</f>
        <v>SO 05 - OBJEKT 5 - č.p.1442</v>
      </c>
      <c r="D4" s="256"/>
      <c r="E4" s="255" t="s">
        <v>1658</v>
      </c>
      <c r="F4" s="255" t="str">
        <f>'Stavební rozpočet-SO05'!I4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rozpočet-SO05'!C6</f>
        <v xml:space="preserve"> </v>
      </c>
      <c r="D6" s="256"/>
      <c r="E6" s="255" t="s">
        <v>1659</v>
      </c>
      <c r="F6" s="255" t="str">
        <f>'Stavební rozpočet-SO05'!I6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547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rozpočet-SO05'!C8</f>
        <v xml:space="preserve"> </v>
      </c>
      <c r="D10" s="256"/>
      <c r="E10" s="255" t="s">
        <v>1660</v>
      </c>
      <c r="F10" s="255" t="str">
        <f>'Stavební rozpočet-SO05'!I8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rozpočet-SO05'!AB12:AB598)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rozpočet-SO05'!AC12:AC598)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rozpočet-SO05'!AD12:AD598)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rozpočet-SO05'!AE12:AE598)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rozpočet-SO05'!AF12:AF598)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rozpočet-SO05'!AG12:AG598)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rozpočet-SO05'!AH12:AH598)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rozpočet-SO05'!Z12:Z598)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rozpočet-SO05'!AJ12:AJ598)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rozpočet-SO05'!AK12:AK598)+(F22+I22+F23+I23+I24+I25)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rozpočet-SO05'!AL12:AL598)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7+Xi96q869DlsTzgfTlAc18tNXm2RboTLfLXJ6sfPSwVl65ZXNQNQZplVo019l0KL+GD7nCD1Qzj7ch1PFY7tQ==" saltValue="RCbc//TFVJIFKE2QB4N/kg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BDAEA-BCAB-4EE0-8BEB-B691CE12AE5B}">
  <sheetPr>
    <pageSetUpPr fitToPage="1"/>
  </sheetPr>
  <dimension ref="A1:I54"/>
  <sheetViews>
    <sheetView workbookViewId="0">
      <pane ySplit="10" topLeftCell="A32" activePane="bottomLeft" state="frozenSplit"/>
      <selection pane="bottomLeft" activeCell="G22" sqref="G22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rozpočet-SO05'!C2</f>
        <v>Snížení energetické.náročnosti objektů Domova Kladno-Švermov</v>
      </c>
      <c r="C2" s="291"/>
      <c r="D2" s="293" t="s">
        <v>1657</v>
      </c>
      <c r="E2" s="293" t="str">
        <f>'Stavební rozpočet-SO05'!I2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rozpočet-SO05'!C4</f>
        <v>SO 05 - OBJEKT 5 - č.p.1442</v>
      </c>
      <c r="C4" s="256"/>
      <c r="D4" s="255" t="s">
        <v>1658</v>
      </c>
      <c r="E4" s="255" t="str">
        <f>'Stavební rozpočet-SO05'!I4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rozpočet-SO05'!C6</f>
        <v xml:space="preserve"> </v>
      </c>
      <c r="C6" s="256"/>
      <c r="D6" s="255" t="s">
        <v>1659</v>
      </c>
      <c r="E6" s="255" t="str">
        <f>'Stavební rozpočet-SO05'!I6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rozpočet-SO05'!I8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rozpočet-SO05'!I12</f>
        <v>0</v>
      </c>
      <c r="F11" s="101">
        <f>'Stavební rozpočet-SO05'!J12</f>
        <v>0</v>
      </c>
      <c r="G11" s="101">
        <f>'Stavební rozpočet-SO05'!K12</f>
        <v>0</v>
      </c>
      <c r="H11" s="100" t="s">
        <v>1747</v>
      </c>
      <c r="I11" s="100">
        <f t="shared" ref="I11:I52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rozpočet-SO05'!I17</f>
        <v>0</v>
      </c>
      <c r="F12" s="100">
        <f>'Stavební rozpočet-SO05'!J17</f>
        <v>0</v>
      </c>
      <c r="G12" s="100">
        <f>'Stavební rozpočet-SO05'!K17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rozpočet-SO05'!I19</f>
        <v>0</v>
      </c>
      <c r="F13" s="100">
        <f>'Stavební rozpočet-SO05'!J19</f>
        <v>0</v>
      </c>
      <c r="G13" s="100">
        <f>'Stavební rozpočet-SO05'!K19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rozpočet-SO05'!I22</f>
        <v>0</v>
      </c>
      <c r="F14" s="100">
        <f>'Stavební rozpočet-SO05'!J22</f>
        <v>0</v>
      </c>
      <c r="G14" s="100">
        <f>'Stavební rozpočet-SO05'!K22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rozpočet-SO05'!I26</f>
        <v>0</v>
      </c>
      <c r="F15" s="100">
        <f>'Stavební rozpočet-SO05'!J26</f>
        <v>0</v>
      </c>
      <c r="G15" s="100">
        <f>'Stavební rozpočet-SO05'!K26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rozpočet-SO05'!I29</f>
        <v>0</v>
      </c>
      <c r="F16" s="100">
        <f>'Stavební rozpočet-SO05'!J29</f>
        <v>0</v>
      </c>
      <c r="G16" s="100">
        <f>'Stavební rozpočet-SO05'!K29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rozpočet-SO05'!I31</f>
        <v>0</v>
      </c>
      <c r="F17" s="100">
        <f>'Stavební rozpočet-SO05'!J31</f>
        <v>0</v>
      </c>
      <c r="G17" s="100">
        <f>'Stavební rozpočet-SO05'!K31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33</v>
      </c>
      <c r="C18" s="282" t="s">
        <v>1081</v>
      </c>
      <c r="D18" s="256"/>
      <c r="E18" s="100">
        <f>'Stavební rozpočet-SO05'!I34</f>
        <v>0</v>
      </c>
      <c r="F18" s="100">
        <f>'Stavební rozpočet-SO05'!J34</f>
        <v>0</v>
      </c>
      <c r="G18" s="100">
        <f>'Stavební rozpočet-SO05'!K34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37</v>
      </c>
      <c r="C19" s="282" t="s">
        <v>1084</v>
      </c>
      <c r="D19" s="256"/>
      <c r="E19" s="100">
        <f>'Stavební rozpočet-SO05'!I36</f>
        <v>0</v>
      </c>
      <c r="F19" s="100">
        <f>'Stavební rozpočet-SO05'!J36</f>
        <v>0</v>
      </c>
      <c r="G19" s="100">
        <f>'Stavební rozpočet-SO05'!K36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62</v>
      </c>
      <c r="C20" s="282" t="s">
        <v>1090</v>
      </c>
      <c r="D20" s="256"/>
      <c r="E20" s="100">
        <f>'Stavební rozpočet-SO05'!I41</f>
        <v>0</v>
      </c>
      <c r="F20" s="100">
        <f>'Stavební rozpočet-SO05'!J41</f>
        <v>0</v>
      </c>
      <c r="G20" s="100">
        <f>'Stavební rozpočet-SO05'!K41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65</v>
      </c>
      <c r="C21" s="282" t="s">
        <v>1094</v>
      </c>
      <c r="D21" s="256"/>
      <c r="E21" s="100">
        <f>'Stavební rozpočet-SO05'!I45</f>
        <v>0</v>
      </c>
      <c r="F21" s="100">
        <f>'Stavební rozpočet-SO05'!J45</f>
        <v>0</v>
      </c>
      <c r="G21" s="100">
        <f>'Stavební rozpočet-SO05'!K45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67</v>
      </c>
      <c r="C22" s="282" t="s">
        <v>1097</v>
      </c>
      <c r="D22" s="256"/>
      <c r="E22" s="100">
        <f>'Stavební rozpočet-SO05'!I49</f>
        <v>0</v>
      </c>
      <c r="F22" s="100">
        <f>'Stavební rozpočet-SO05'!J49</f>
        <v>0</v>
      </c>
      <c r="G22" s="100">
        <f>'Stavební rozpočet-SO05'!K49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68</v>
      </c>
      <c r="C23" s="282" t="s">
        <v>1104</v>
      </c>
      <c r="D23" s="256"/>
      <c r="E23" s="100">
        <f>'Stavební rozpočet-SO05'!I57</f>
        <v>0</v>
      </c>
      <c r="F23" s="100">
        <f>'Stavební rozpočet-SO05'!J57</f>
        <v>0</v>
      </c>
      <c r="G23" s="100">
        <f>'Stavební rozpočet-SO05'!K57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70</v>
      </c>
      <c r="C24" s="282" t="s">
        <v>2575</v>
      </c>
      <c r="D24" s="256"/>
      <c r="E24" s="100">
        <f>'Stavební rozpočet-SO05'!I82</f>
        <v>0</v>
      </c>
      <c r="F24" s="100">
        <f>'Stavební rozpočet-SO05'!J82</f>
        <v>0</v>
      </c>
      <c r="G24" s="100">
        <f>'Stavební rozpočet-SO05'!K82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89</v>
      </c>
      <c r="C25" s="282" t="s">
        <v>1130</v>
      </c>
      <c r="D25" s="256"/>
      <c r="E25" s="100">
        <f>'Stavební rozpočet-SO05'!I85</f>
        <v>0</v>
      </c>
      <c r="F25" s="100">
        <f>'Stavební rozpočet-SO05'!J85</f>
        <v>0</v>
      </c>
      <c r="G25" s="100">
        <f>'Stavební rozpočet-SO05'!K85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95</v>
      </c>
      <c r="C26" s="282" t="s">
        <v>1133</v>
      </c>
      <c r="D26" s="256"/>
      <c r="E26" s="100">
        <f>'Stavební rozpočet-SO05'!I88</f>
        <v>0</v>
      </c>
      <c r="F26" s="100">
        <f>'Stavební rozpočet-SO05'!J88</f>
        <v>0</v>
      </c>
      <c r="G26" s="100">
        <f>'Stavební rozpočet-SO05'!K88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97</v>
      </c>
      <c r="C27" s="282" t="s">
        <v>1136</v>
      </c>
      <c r="D27" s="256"/>
      <c r="E27" s="100">
        <f>'Stavební rozpočet-SO05'!I91</f>
        <v>0</v>
      </c>
      <c r="F27" s="100">
        <f>'Stavební rozpočet-SO05'!J91</f>
        <v>0</v>
      </c>
      <c r="G27" s="100">
        <f>'Stavební rozpočet-SO05'!K91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100</v>
      </c>
      <c r="C28" s="282" t="s">
        <v>1139</v>
      </c>
      <c r="D28" s="256"/>
      <c r="E28" s="100">
        <f>'Stavební rozpočet-SO05'!I94</f>
        <v>0</v>
      </c>
      <c r="F28" s="100">
        <f>'Stavební rozpočet-SO05'!J94</f>
        <v>0</v>
      </c>
      <c r="G28" s="100">
        <f>'Stavební rozpočet-SO05'!K94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101</v>
      </c>
      <c r="C29" s="282" t="s">
        <v>1147</v>
      </c>
      <c r="D29" s="256"/>
      <c r="E29" s="100">
        <f>'Stavební rozpočet-SO05'!I102</f>
        <v>0</v>
      </c>
      <c r="F29" s="100">
        <f>'Stavební rozpočet-SO05'!J102</f>
        <v>0</v>
      </c>
      <c r="G29" s="100">
        <f>'Stavební rozpočet-SO05'!K102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102</v>
      </c>
      <c r="C30" s="282" t="s">
        <v>1158</v>
      </c>
      <c r="D30" s="256"/>
      <c r="E30" s="100">
        <f>'Stavební rozpočet-SO05'!I114</f>
        <v>0</v>
      </c>
      <c r="F30" s="100">
        <f>'Stavební rozpočet-SO05'!J114</f>
        <v>0</v>
      </c>
      <c r="G30" s="100">
        <f>'Stavební rozpočet-SO05'!K114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103</v>
      </c>
      <c r="C31" s="282" t="s">
        <v>1178</v>
      </c>
      <c r="D31" s="256"/>
      <c r="E31" s="100">
        <f>'Stavební rozpočet-SO05'!I134</f>
        <v>0</v>
      </c>
      <c r="F31" s="100">
        <f>'Stavební rozpočet-SO05'!J134</f>
        <v>0</v>
      </c>
      <c r="G31" s="100">
        <f>'Stavební rozpočet-SO05'!K134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686</v>
      </c>
      <c r="C32" s="282" t="s">
        <v>1198</v>
      </c>
      <c r="D32" s="256"/>
      <c r="E32" s="100">
        <f>'Stavební rozpočet-SO05'!I153</f>
        <v>0</v>
      </c>
      <c r="F32" s="100">
        <f>'Stavební rozpočet-SO05'!J153</f>
        <v>0</v>
      </c>
      <c r="G32" s="100">
        <f>'Stavební rozpočet-SO05'!K153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703</v>
      </c>
      <c r="C33" s="282" t="s">
        <v>1215</v>
      </c>
      <c r="D33" s="256"/>
      <c r="E33" s="100">
        <f>'Stavební rozpočet-SO05'!I170</f>
        <v>0</v>
      </c>
      <c r="F33" s="100">
        <f>'Stavební rozpočet-SO05'!J170</f>
        <v>0</v>
      </c>
      <c r="G33" s="100">
        <f>'Stavební rozpočet-SO05'!K170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705</v>
      </c>
      <c r="C34" s="282" t="s">
        <v>1217</v>
      </c>
      <c r="D34" s="256"/>
      <c r="E34" s="100">
        <f>'Stavební rozpočet-SO05'!I172</f>
        <v>0</v>
      </c>
      <c r="F34" s="100">
        <f>'Stavební rozpočet-SO05'!J172</f>
        <v>0</v>
      </c>
      <c r="G34" s="100">
        <f>'Stavební rozpočet-SO05'!K172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710</v>
      </c>
      <c r="C35" s="282" t="s">
        <v>1222</v>
      </c>
      <c r="D35" s="256"/>
      <c r="E35" s="100">
        <f>'Stavební rozpočet-SO05'!I177</f>
        <v>0</v>
      </c>
      <c r="F35" s="100">
        <f>'Stavební rozpočet-SO05'!J177</f>
        <v>0</v>
      </c>
      <c r="G35" s="100">
        <f>'Stavební rozpočet-SO05'!K177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744</v>
      </c>
      <c r="C36" s="282" t="s">
        <v>1256</v>
      </c>
      <c r="D36" s="256"/>
      <c r="E36" s="100">
        <f>'Stavební rozpočet-SO05'!I186</f>
        <v>0</v>
      </c>
      <c r="F36" s="100">
        <f>'Stavební rozpočet-SO05'!J186</f>
        <v>0</v>
      </c>
      <c r="G36" s="100">
        <f>'Stavební rozpočet-SO05'!K186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771</v>
      </c>
      <c r="C37" s="282" t="s">
        <v>1283</v>
      </c>
      <c r="D37" s="256"/>
      <c r="E37" s="100">
        <f>'Stavební rozpočet-SO05'!I203</f>
        <v>0</v>
      </c>
      <c r="F37" s="100">
        <f>'Stavební rozpočet-SO05'!J203</f>
        <v>0</v>
      </c>
      <c r="G37" s="100">
        <f>'Stavební rozpočet-SO05'!K203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772</v>
      </c>
      <c r="C38" s="282" t="s">
        <v>1355</v>
      </c>
      <c r="D38" s="256"/>
      <c r="E38" s="100">
        <f>'Stavební rozpočet-SO05'!I280</f>
        <v>0</v>
      </c>
      <c r="F38" s="100">
        <f>'Stavební rozpočet-SO05'!J280</f>
        <v>0</v>
      </c>
      <c r="G38" s="100">
        <f>'Stavební rozpočet-SO05'!K280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798</v>
      </c>
      <c r="C39" s="282" t="s">
        <v>1379</v>
      </c>
      <c r="D39" s="256"/>
      <c r="E39" s="100">
        <f>'Stavební rozpočet-SO05'!I304</f>
        <v>0</v>
      </c>
      <c r="F39" s="100">
        <f>'Stavební rozpočet-SO05'!J304</f>
        <v>0</v>
      </c>
      <c r="G39" s="100">
        <f>'Stavební rozpočet-SO05'!K304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822</v>
      </c>
      <c r="C40" s="282" t="s">
        <v>1395</v>
      </c>
      <c r="D40" s="256"/>
      <c r="E40" s="100">
        <f>'Stavební rozpočet-SO05'!I327</f>
        <v>0</v>
      </c>
      <c r="F40" s="100">
        <f>'Stavební rozpočet-SO05'!J327</f>
        <v>0</v>
      </c>
      <c r="G40" s="100">
        <f>'Stavební rozpočet-SO05'!K327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842</v>
      </c>
      <c r="C41" s="282" t="s">
        <v>1424</v>
      </c>
      <c r="D41" s="256"/>
      <c r="E41" s="100">
        <f>'Stavební rozpočet-SO05'!I356</f>
        <v>0</v>
      </c>
      <c r="F41" s="100">
        <f>'Stavební rozpočet-SO05'!J356</f>
        <v>0</v>
      </c>
      <c r="G41" s="100">
        <f>'Stavební rozpočet-SO05'!K356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869</v>
      </c>
      <c r="C42" s="282" t="s">
        <v>1458</v>
      </c>
      <c r="D42" s="256"/>
      <c r="E42" s="100">
        <f>'Stavební rozpočet-SO05'!I391</f>
        <v>0</v>
      </c>
      <c r="F42" s="100">
        <f>'Stavební rozpočet-SO05'!J391</f>
        <v>0</v>
      </c>
      <c r="G42" s="100">
        <f>'Stavební rozpočet-SO05'!K391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882</v>
      </c>
      <c r="C43" s="282" t="s">
        <v>1471</v>
      </c>
      <c r="D43" s="256"/>
      <c r="E43" s="100">
        <f>'Stavební rozpočet-SO05'!I404</f>
        <v>0</v>
      </c>
      <c r="F43" s="100">
        <f>'Stavební rozpočet-SO05'!J404</f>
        <v>0</v>
      </c>
      <c r="G43" s="100">
        <f>'Stavební rozpočet-SO05'!K404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903</v>
      </c>
      <c r="C44" s="282" t="s">
        <v>1492</v>
      </c>
      <c r="D44" s="256"/>
      <c r="E44" s="100">
        <f>'Stavební rozpočet-SO05'!I425</f>
        <v>0</v>
      </c>
      <c r="F44" s="100">
        <f>'Stavební rozpočet-SO05'!J425</f>
        <v>0</v>
      </c>
      <c r="G44" s="100">
        <f>'Stavební rozpočet-SO05'!K425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907</v>
      </c>
      <c r="C45" s="282" t="s">
        <v>1496</v>
      </c>
      <c r="D45" s="256"/>
      <c r="E45" s="100">
        <f>'Stavební rozpočet-SO05'!I435</f>
        <v>0</v>
      </c>
      <c r="F45" s="100">
        <f>'Stavební rozpočet-SO05'!J435</f>
        <v>0</v>
      </c>
      <c r="G45" s="100">
        <f>'Stavební rozpočet-SO05'!K435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922</v>
      </c>
      <c r="C46" s="282" t="s">
        <v>1511</v>
      </c>
      <c r="D46" s="256"/>
      <c r="E46" s="100">
        <f>'Stavební rozpočet-SO05'!I448</f>
        <v>0</v>
      </c>
      <c r="F46" s="100">
        <f>'Stavební rozpočet-SO05'!J448</f>
        <v>0</v>
      </c>
      <c r="G46" s="100">
        <f>'Stavební rozpočet-SO05'!K448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930</v>
      </c>
      <c r="C47" s="282" t="s">
        <v>1519</v>
      </c>
      <c r="D47" s="256"/>
      <c r="E47" s="100">
        <f>'Stavební rozpočet-SO05'!I456</f>
        <v>0</v>
      </c>
      <c r="F47" s="100">
        <f>'Stavební rozpočet-SO05'!J456</f>
        <v>0</v>
      </c>
      <c r="G47" s="100">
        <f>'Stavební rozpočet-SO05'!K456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936</v>
      </c>
      <c r="C48" s="282" t="s">
        <v>1525</v>
      </c>
      <c r="D48" s="256"/>
      <c r="E48" s="100">
        <f>'Stavební rozpočet-SO05'!I462</f>
        <v>0</v>
      </c>
      <c r="F48" s="100">
        <f>'Stavební rozpočet-SO05'!J462</f>
        <v>0</v>
      </c>
      <c r="G48" s="100">
        <f>'Stavební rozpočet-SO05'!K462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2574</v>
      </c>
      <c r="C49" s="282" t="s">
        <v>2573</v>
      </c>
      <c r="D49" s="256"/>
      <c r="E49" s="100">
        <f>'Stavební rozpočet-SO05'!I492</f>
        <v>0</v>
      </c>
      <c r="F49" s="100">
        <f>'Stavební rozpočet-SO05'!J492</f>
        <v>0</v>
      </c>
      <c r="G49" s="100">
        <f>'Stavební rozpočet-SO05'!K492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967</v>
      </c>
      <c r="C50" s="282" t="s">
        <v>1556</v>
      </c>
      <c r="D50" s="256"/>
      <c r="E50" s="100">
        <f>'Stavební rozpočet-SO05'!I512</f>
        <v>0</v>
      </c>
      <c r="F50" s="100">
        <f>'Stavební rozpočet-SO05'!J512</f>
        <v>0</v>
      </c>
      <c r="G50" s="100">
        <f>'Stavební rozpočet-SO05'!K512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970</v>
      </c>
      <c r="C51" s="282" t="s">
        <v>1559</v>
      </c>
      <c r="D51" s="256"/>
      <c r="E51" s="100">
        <f>'Stavební rozpočet-SO05'!I515</f>
        <v>0</v>
      </c>
      <c r="F51" s="100">
        <f>'Stavební rozpočet-SO05'!J515</f>
        <v>0</v>
      </c>
      <c r="G51" s="100">
        <f>'Stavební rozpočet-SO05'!K515</f>
        <v>0</v>
      </c>
      <c r="H51" s="100" t="s">
        <v>1747</v>
      </c>
      <c r="I51" s="100">
        <f t="shared" si="0"/>
        <v>0</v>
      </c>
    </row>
    <row r="52" spans="1:9" x14ac:dyDescent="0.2">
      <c r="A52" s="96"/>
      <c r="B52" s="96" t="s">
        <v>1039</v>
      </c>
      <c r="C52" s="282" t="s">
        <v>1631</v>
      </c>
      <c r="D52" s="256"/>
      <c r="E52" s="100">
        <f>'Stavební rozpočet-SO05'!I591</f>
        <v>0</v>
      </c>
      <c r="F52" s="100">
        <f>'Stavební rozpočet-SO05'!J591</f>
        <v>0</v>
      </c>
      <c r="G52" s="100">
        <f>'Stavební rozpočet-SO05'!K591</f>
        <v>0</v>
      </c>
      <c r="H52" s="100" t="s">
        <v>1747</v>
      </c>
      <c r="I52" s="100">
        <f t="shared" si="0"/>
        <v>0</v>
      </c>
    </row>
    <row r="54" spans="1:9" x14ac:dyDescent="0.2">
      <c r="F54" s="99" t="s">
        <v>1666</v>
      </c>
      <c r="G54" s="98">
        <f>SUM(I11:I52)</f>
        <v>0</v>
      </c>
    </row>
  </sheetData>
  <mergeCells count="60">
    <mergeCell ref="C52:D52"/>
    <mergeCell ref="C46:D46"/>
    <mergeCell ref="C47:D47"/>
    <mergeCell ref="C48:D48"/>
    <mergeCell ref="C49:D49"/>
    <mergeCell ref="C50:D50"/>
    <mergeCell ref="C51:D51"/>
    <mergeCell ref="C45:D45"/>
    <mergeCell ref="C34:D34"/>
    <mergeCell ref="C35:D35"/>
    <mergeCell ref="C36:D36"/>
    <mergeCell ref="C37:D37"/>
    <mergeCell ref="C38:D38"/>
    <mergeCell ref="C44:D44"/>
    <mergeCell ref="C39:D39"/>
    <mergeCell ref="C40:D40"/>
    <mergeCell ref="C41:D41"/>
    <mergeCell ref="C42:D42"/>
    <mergeCell ref="C43:D43"/>
    <mergeCell ref="C19:D19"/>
    <mergeCell ref="C20:D20"/>
    <mergeCell ref="C33:D33"/>
    <mergeCell ref="C22:D22"/>
    <mergeCell ref="C23:D23"/>
    <mergeCell ref="C24:D24"/>
    <mergeCell ref="C25:D25"/>
    <mergeCell ref="C26:D26"/>
    <mergeCell ref="C27:D27"/>
    <mergeCell ref="C28:D28"/>
    <mergeCell ref="C21:D21"/>
    <mergeCell ref="C29:D29"/>
    <mergeCell ref="C30:D30"/>
    <mergeCell ref="C31:D31"/>
    <mergeCell ref="C32:D32"/>
    <mergeCell ref="C15:D15"/>
    <mergeCell ref="C16:D16"/>
    <mergeCell ref="C17:D17"/>
    <mergeCell ref="C18:D18"/>
    <mergeCell ref="A6:A7"/>
    <mergeCell ref="B6:C7"/>
    <mergeCell ref="D6:D7"/>
    <mergeCell ref="C10:D10"/>
    <mergeCell ref="C11:D11"/>
    <mergeCell ref="C12:D12"/>
    <mergeCell ref="C13:D13"/>
    <mergeCell ref="C14:D14"/>
    <mergeCell ref="E6:G7"/>
    <mergeCell ref="A8:A9"/>
    <mergeCell ref="B8:C9"/>
    <mergeCell ref="D8:D9"/>
    <mergeCell ref="E8:G9"/>
    <mergeCell ref="A4:A5"/>
    <mergeCell ref="B4:C5"/>
    <mergeCell ref="D4:D5"/>
    <mergeCell ref="E4:G5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CE7FB-DF07-45FE-BEB9-4C3808B9CED1}">
  <sheetPr>
    <pageSetUpPr fitToPage="1"/>
  </sheetPr>
  <dimension ref="A1:BJ601"/>
  <sheetViews>
    <sheetView workbookViewId="0">
      <pane ySplit="11" topLeftCell="A492" activePane="bottomLeft" state="frozenSplit"/>
      <selection activeCell="A2" sqref="A2:A3"/>
      <selection pane="bottomLeft" activeCell="C498" sqref="C498:E498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8554687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3187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SUM(I13:I16)</f>
        <v>0</v>
      </c>
      <c r="J12" s="127">
        <f>SUM(J13:J16)</f>
        <v>0</v>
      </c>
      <c r="K12" s="127">
        <f>SUM(K13:K16)</f>
        <v>0</v>
      </c>
      <c r="L12" s="126"/>
      <c r="AI12" s="109"/>
      <c r="AS12" s="118">
        <f>SUM(AJ13:AJ16)</f>
        <v>0</v>
      </c>
      <c r="AT12" s="118">
        <f>SUM(AK13:AK16)</f>
        <v>0</v>
      </c>
      <c r="AU12" s="118">
        <f>SUM(AL13:AL16)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>G13*AO13</f>
        <v>0</v>
      </c>
      <c r="J13" s="108">
        <f>G13*AP13</f>
        <v>0</v>
      </c>
      <c r="K13" s="108">
        <f>G13*H13</f>
        <v>0</v>
      </c>
      <c r="L13" s="111" t="s">
        <v>1671</v>
      </c>
      <c r="Z13" s="100">
        <f>IF(AQ13="5",BJ13,0)</f>
        <v>0</v>
      </c>
      <c r="AB13" s="100">
        <f>IF(AQ13="1",BH13,0)</f>
        <v>0</v>
      </c>
      <c r="AC13" s="100">
        <f>IF(AQ13="1",BI13,0)</f>
        <v>0</v>
      </c>
      <c r="AD13" s="100">
        <f>IF(AQ13="7",BH13,0)</f>
        <v>0</v>
      </c>
      <c r="AE13" s="100">
        <f>IF(AQ13="7",BI13,0)</f>
        <v>0</v>
      </c>
      <c r="AF13" s="100">
        <f>IF(AQ13="2",BH13,0)</f>
        <v>0</v>
      </c>
      <c r="AG13" s="100">
        <f>IF(AQ13="2",BI13,0)</f>
        <v>0</v>
      </c>
      <c r="AH13" s="100">
        <f>IF(AQ13="0",BJ13,0)</f>
        <v>0</v>
      </c>
      <c r="AI13" s="109"/>
      <c r="AJ13" s="108">
        <f>IF(AN13=0,K13,0)</f>
        <v>0</v>
      </c>
      <c r="AK13" s="108">
        <f>IF(AN13=15,K13,0)</f>
        <v>0</v>
      </c>
      <c r="AL13" s="108">
        <f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>AW13+AX13</f>
        <v>0</v>
      </c>
      <c r="AW13" s="100">
        <f>G13*AO13</f>
        <v>0</v>
      </c>
      <c r="AX13" s="100">
        <f>G13*AP13</f>
        <v>0</v>
      </c>
      <c r="AY13" s="110" t="s">
        <v>1681</v>
      </c>
      <c r="AZ13" s="110" t="s">
        <v>1724</v>
      </c>
      <c r="BA13" s="109" t="s">
        <v>1737</v>
      </c>
      <c r="BC13" s="100">
        <f>AW13+AX13</f>
        <v>0</v>
      </c>
      <c r="BD13" s="100">
        <f>H13/(100-BE13)*100</f>
        <v>0</v>
      </c>
      <c r="BE13" s="100">
        <v>0</v>
      </c>
      <c r="BF13" s="100">
        <f>13</f>
        <v>13</v>
      </c>
      <c r="BH13" s="108">
        <f>G13*AO13</f>
        <v>0</v>
      </c>
      <c r="BI13" s="108">
        <f>G13*AP13</f>
        <v>0</v>
      </c>
      <c r="BJ13" s="108">
        <f>G13*H13</f>
        <v>0</v>
      </c>
    </row>
    <row r="14" spans="1:62" x14ac:dyDescent="0.2">
      <c r="A14" s="117" t="s">
        <v>8</v>
      </c>
      <c r="B14" s="117" t="s">
        <v>574</v>
      </c>
      <c r="C14" s="304" t="s">
        <v>1056</v>
      </c>
      <c r="D14" s="305"/>
      <c r="E14" s="305"/>
      <c r="F14" s="117" t="s">
        <v>1645</v>
      </c>
      <c r="G14" s="116">
        <v>34.825000000000003</v>
      </c>
      <c r="H14" s="159"/>
      <c r="I14" s="108">
        <f>G14*AO14</f>
        <v>0</v>
      </c>
      <c r="J14" s="108">
        <f>G14*AP14</f>
        <v>0</v>
      </c>
      <c r="K14" s="108">
        <f>G14*H14</f>
        <v>0</v>
      </c>
      <c r="L14" s="111" t="s">
        <v>1671</v>
      </c>
      <c r="Z14" s="100">
        <f>IF(AQ14="5",BJ14,0)</f>
        <v>0</v>
      </c>
      <c r="AB14" s="100">
        <f>IF(AQ14="1",BH14,0)</f>
        <v>0</v>
      </c>
      <c r="AC14" s="100">
        <f>IF(AQ14="1",BI14,0)</f>
        <v>0</v>
      </c>
      <c r="AD14" s="100">
        <f>IF(AQ14="7",BH14,0)</f>
        <v>0</v>
      </c>
      <c r="AE14" s="100">
        <f>IF(AQ14="7",BI14,0)</f>
        <v>0</v>
      </c>
      <c r="AF14" s="100">
        <f>IF(AQ14="2",BH14,0)</f>
        <v>0</v>
      </c>
      <c r="AG14" s="100">
        <f>IF(AQ14="2",BI14,0)</f>
        <v>0</v>
      </c>
      <c r="AH14" s="100">
        <f>IF(AQ14="0",BJ14,0)</f>
        <v>0</v>
      </c>
      <c r="AI14" s="109"/>
      <c r="AJ14" s="108">
        <f>IF(AN14=0,K14,0)</f>
        <v>0</v>
      </c>
      <c r="AK14" s="108">
        <f>IF(AN14=15,K14,0)</f>
        <v>0</v>
      </c>
      <c r="AL14" s="108">
        <f>IF(AN14=21,K14,0)</f>
        <v>0</v>
      </c>
      <c r="AN14" s="100">
        <v>15</v>
      </c>
      <c r="AO14" s="100">
        <f>H14*0</f>
        <v>0</v>
      </c>
      <c r="AP14" s="100">
        <f>H14*(1-0)</f>
        <v>0</v>
      </c>
      <c r="AQ14" s="111" t="s">
        <v>7</v>
      </c>
      <c r="AV14" s="100">
        <f>AW14+AX14</f>
        <v>0</v>
      </c>
      <c r="AW14" s="100">
        <f>G14*AO14</f>
        <v>0</v>
      </c>
      <c r="AX14" s="100">
        <f>G14*AP14</f>
        <v>0</v>
      </c>
      <c r="AY14" s="110" t="s">
        <v>1681</v>
      </c>
      <c r="AZ14" s="110" t="s">
        <v>1724</v>
      </c>
      <c r="BA14" s="109" t="s">
        <v>1737</v>
      </c>
      <c r="BC14" s="100">
        <f>AW14+AX14</f>
        <v>0</v>
      </c>
      <c r="BD14" s="100">
        <f>H14/(100-BE14)*100</f>
        <v>0</v>
      </c>
      <c r="BE14" s="100">
        <v>0</v>
      </c>
      <c r="BF14" s="100">
        <f>14</f>
        <v>14</v>
      </c>
      <c r="BH14" s="108">
        <f>G14*AO14</f>
        <v>0</v>
      </c>
      <c r="BI14" s="108">
        <f>G14*AP14</f>
        <v>0</v>
      </c>
      <c r="BJ14" s="108">
        <f>G14*H14</f>
        <v>0</v>
      </c>
    </row>
    <row r="15" spans="1:62" x14ac:dyDescent="0.2">
      <c r="A15" s="117" t="s">
        <v>9</v>
      </c>
      <c r="B15" s="117" t="s">
        <v>2867</v>
      </c>
      <c r="C15" s="304" t="s">
        <v>3186</v>
      </c>
      <c r="D15" s="305"/>
      <c r="E15" s="305"/>
      <c r="F15" s="117" t="s">
        <v>1645</v>
      </c>
      <c r="G15" s="116">
        <v>27.018000000000001</v>
      </c>
      <c r="H15" s="159"/>
      <c r="I15" s="108">
        <f>G15*AO15</f>
        <v>0</v>
      </c>
      <c r="J15" s="108">
        <f>G15*AP15</f>
        <v>0</v>
      </c>
      <c r="K15" s="108">
        <f>G15*H15</f>
        <v>0</v>
      </c>
      <c r="L15" s="111" t="s">
        <v>1671</v>
      </c>
      <c r="Z15" s="100">
        <f>IF(AQ15="5",BJ15,0)</f>
        <v>0</v>
      </c>
      <c r="AB15" s="100">
        <f>IF(AQ15="1",BH15,0)</f>
        <v>0</v>
      </c>
      <c r="AC15" s="100">
        <f>IF(AQ15="1",BI15,0)</f>
        <v>0</v>
      </c>
      <c r="AD15" s="100">
        <f>IF(AQ15="7",BH15,0)</f>
        <v>0</v>
      </c>
      <c r="AE15" s="100">
        <f>IF(AQ15="7",BI15,0)</f>
        <v>0</v>
      </c>
      <c r="AF15" s="100">
        <f>IF(AQ15="2",BH15,0)</f>
        <v>0</v>
      </c>
      <c r="AG15" s="100">
        <f>IF(AQ15="2",BI15,0)</f>
        <v>0</v>
      </c>
      <c r="AH15" s="100">
        <f>IF(AQ15="0",BJ15,0)</f>
        <v>0</v>
      </c>
      <c r="AI15" s="109"/>
      <c r="AJ15" s="108">
        <f>IF(AN15=0,K15,0)</f>
        <v>0</v>
      </c>
      <c r="AK15" s="108">
        <f>IF(AN15=15,K15,0)</f>
        <v>0</v>
      </c>
      <c r="AL15" s="108">
        <f>IF(AN15=21,K15,0)</f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>AW15+AX15</f>
        <v>0</v>
      </c>
      <c r="AW15" s="100">
        <f>G15*AO15</f>
        <v>0</v>
      </c>
      <c r="AX15" s="100">
        <f>G15*AP15</f>
        <v>0</v>
      </c>
      <c r="AY15" s="110" t="s">
        <v>1681</v>
      </c>
      <c r="AZ15" s="110" t="s">
        <v>1724</v>
      </c>
      <c r="BA15" s="109" t="s">
        <v>1737</v>
      </c>
      <c r="BC15" s="100">
        <f>AW15+AX15</f>
        <v>0</v>
      </c>
      <c r="BD15" s="100">
        <f>H15/(100-BE15)*100</f>
        <v>0</v>
      </c>
      <c r="BE15" s="100">
        <v>0</v>
      </c>
      <c r="BF15" s="100">
        <f>15</f>
        <v>15</v>
      </c>
      <c r="BH15" s="108">
        <f>G15*AO15</f>
        <v>0</v>
      </c>
      <c r="BI15" s="108">
        <f>G15*AP15</f>
        <v>0</v>
      </c>
      <c r="BJ15" s="108">
        <f>G15*H15</f>
        <v>0</v>
      </c>
    </row>
    <row r="16" spans="1:62" x14ac:dyDescent="0.2">
      <c r="A16" s="117" t="s">
        <v>10</v>
      </c>
      <c r="B16" s="117" t="s">
        <v>575</v>
      </c>
      <c r="C16" s="304" t="s">
        <v>1057</v>
      </c>
      <c r="D16" s="305"/>
      <c r="E16" s="305"/>
      <c r="F16" s="117" t="s">
        <v>1646</v>
      </c>
      <c r="G16" s="116">
        <v>52.82</v>
      </c>
      <c r="H16" s="159"/>
      <c r="I16" s="108">
        <f>G16*AO16</f>
        <v>0</v>
      </c>
      <c r="J16" s="108">
        <f>G16*AP16</f>
        <v>0</v>
      </c>
      <c r="K16" s="108">
        <f>G16*H16</f>
        <v>0</v>
      </c>
      <c r="L16" s="111" t="s">
        <v>1671</v>
      </c>
      <c r="Z16" s="100">
        <f>IF(AQ16="5",BJ16,0)</f>
        <v>0</v>
      </c>
      <c r="AB16" s="100">
        <f>IF(AQ16="1",BH16,0)</f>
        <v>0</v>
      </c>
      <c r="AC16" s="100">
        <f>IF(AQ16="1",BI16,0)</f>
        <v>0</v>
      </c>
      <c r="AD16" s="100">
        <f>IF(AQ16="7",BH16,0)</f>
        <v>0</v>
      </c>
      <c r="AE16" s="100">
        <f>IF(AQ16="7",BI16,0)</f>
        <v>0</v>
      </c>
      <c r="AF16" s="100">
        <f>IF(AQ16="2",BH16,0)</f>
        <v>0</v>
      </c>
      <c r="AG16" s="100">
        <f>IF(AQ16="2",BI16,0)</f>
        <v>0</v>
      </c>
      <c r="AH16" s="100">
        <f>IF(AQ16="0",BJ16,0)</f>
        <v>0</v>
      </c>
      <c r="AI16" s="109"/>
      <c r="AJ16" s="108">
        <f>IF(AN16=0,K16,0)</f>
        <v>0</v>
      </c>
      <c r="AK16" s="108">
        <f>IF(AN16=15,K16,0)</f>
        <v>0</v>
      </c>
      <c r="AL16" s="108">
        <f>IF(AN16=21,K16,0)</f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>AW16+AX16</f>
        <v>0</v>
      </c>
      <c r="AW16" s="100">
        <f>G16*AO16</f>
        <v>0</v>
      </c>
      <c r="AX16" s="100">
        <f>G16*AP16</f>
        <v>0</v>
      </c>
      <c r="AY16" s="110" t="s">
        <v>1681</v>
      </c>
      <c r="AZ16" s="110" t="s">
        <v>1724</v>
      </c>
      <c r="BA16" s="109" t="s">
        <v>1737</v>
      </c>
      <c r="BC16" s="100">
        <f>AW16+AX16</f>
        <v>0</v>
      </c>
      <c r="BD16" s="100">
        <f>H16/(100-BE16)*100</f>
        <v>0</v>
      </c>
      <c r="BE16" s="100">
        <v>0</v>
      </c>
      <c r="BF16" s="100">
        <f>16</f>
        <v>16</v>
      </c>
      <c r="BH16" s="108">
        <f>G16*AO16</f>
        <v>0</v>
      </c>
      <c r="BI16" s="108">
        <f>G16*AP16</f>
        <v>0</v>
      </c>
      <c r="BJ16" s="108">
        <f>G16*H16</f>
        <v>0</v>
      </c>
    </row>
    <row r="17" spans="1:62" x14ac:dyDescent="0.2">
      <c r="A17" s="119"/>
      <c r="B17" s="120" t="s">
        <v>18</v>
      </c>
      <c r="C17" s="306" t="s">
        <v>1059</v>
      </c>
      <c r="D17" s="307"/>
      <c r="E17" s="307"/>
      <c r="F17" s="119" t="s">
        <v>6</v>
      </c>
      <c r="G17" s="119" t="s">
        <v>6</v>
      </c>
      <c r="H17" s="119" t="s">
        <v>6</v>
      </c>
      <c r="I17" s="118">
        <f>SUM(I18:I18)</f>
        <v>0</v>
      </c>
      <c r="J17" s="118">
        <f>SUM(J18:J18)</f>
        <v>0</v>
      </c>
      <c r="K17" s="118">
        <f>SUM(K18:K18)</f>
        <v>0</v>
      </c>
      <c r="L17" s="109"/>
      <c r="AI17" s="109"/>
      <c r="AS17" s="118">
        <f>SUM(AJ18:AJ18)</f>
        <v>0</v>
      </c>
      <c r="AT17" s="118">
        <f>SUM(AK18:AK18)</f>
        <v>0</v>
      </c>
      <c r="AU17" s="118">
        <f>SUM(AL18:AL18)</f>
        <v>0</v>
      </c>
    </row>
    <row r="18" spans="1:62" x14ac:dyDescent="0.2">
      <c r="A18" s="117" t="s">
        <v>11</v>
      </c>
      <c r="B18" s="117" t="s">
        <v>577</v>
      </c>
      <c r="C18" s="304" t="s">
        <v>1060</v>
      </c>
      <c r="D18" s="305"/>
      <c r="E18" s="305"/>
      <c r="F18" s="117" t="s">
        <v>1647</v>
      </c>
      <c r="G18" s="116">
        <v>7.8070000000000004</v>
      </c>
      <c r="H18" s="159"/>
      <c r="I18" s="108">
        <f>G18*AO18</f>
        <v>0</v>
      </c>
      <c r="J18" s="108">
        <f>G18*AP18</f>
        <v>0</v>
      </c>
      <c r="K18" s="108">
        <f>G18*H18</f>
        <v>0</v>
      </c>
      <c r="L18" s="111" t="s">
        <v>1671</v>
      </c>
      <c r="Z18" s="100">
        <f>IF(AQ18="5",BJ18,0)</f>
        <v>0</v>
      </c>
      <c r="AB18" s="100">
        <f>IF(AQ18="1",BH18,0)</f>
        <v>0</v>
      </c>
      <c r="AC18" s="100">
        <f>IF(AQ18="1",BI18,0)</f>
        <v>0</v>
      </c>
      <c r="AD18" s="100">
        <f>IF(AQ18="7",BH18,0)</f>
        <v>0</v>
      </c>
      <c r="AE18" s="100">
        <f>IF(AQ18="7",BI18,0)</f>
        <v>0</v>
      </c>
      <c r="AF18" s="100">
        <f>IF(AQ18="2",BH18,0)</f>
        <v>0</v>
      </c>
      <c r="AG18" s="100">
        <f>IF(AQ18="2",BI18,0)</f>
        <v>0</v>
      </c>
      <c r="AH18" s="100">
        <f>IF(AQ18="0",BJ18,0)</f>
        <v>0</v>
      </c>
      <c r="AI18" s="109"/>
      <c r="AJ18" s="108">
        <f>IF(AN18=0,K18,0)</f>
        <v>0</v>
      </c>
      <c r="AK18" s="108">
        <f>IF(AN18=15,K18,0)</f>
        <v>0</v>
      </c>
      <c r="AL18" s="108">
        <f>IF(AN18=21,K18,0)</f>
        <v>0</v>
      </c>
      <c r="AN18" s="100">
        <v>15</v>
      </c>
      <c r="AO18" s="100">
        <f>H18*0</f>
        <v>0</v>
      </c>
      <c r="AP18" s="100">
        <f>H18*(1-0)</f>
        <v>0</v>
      </c>
      <c r="AQ18" s="111" t="s">
        <v>7</v>
      </c>
      <c r="AV18" s="100">
        <f>AW18+AX18</f>
        <v>0</v>
      </c>
      <c r="AW18" s="100">
        <f>G18*AO18</f>
        <v>0</v>
      </c>
      <c r="AX18" s="100">
        <f>G18*AP18</f>
        <v>0</v>
      </c>
      <c r="AY18" s="110" t="s">
        <v>1682</v>
      </c>
      <c r="AZ18" s="110" t="s">
        <v>1724</v>
      </c>
      <c r="BA18" s="109" t="s">
        <v>1737</v>
      </c>
      <c r="BC18" s="100">
        <f>AW18+AX18</f>
        <v>0</v>
      </c>
      <c r="BD18" s="100">
        <f>H18/(100-BE18)*100</f>
        <v>0</v>
      </c>
      <c r="BE18" s="100">
        <v>0</v>
      </c>
      <c r="BF18" s="100">
        <f>18</f>
        <v>18</v>
      </c>
      <c r="BH18" s="108">
        <f>G18*AO18</f>
        <v>0</v>
      </c>
      <c r="BI18" s="108">
        <f>G18*AP18</f>
        <v>0</v>
      </c>
      <c r="BJ18" s="108">
        <f>G18*H18</f>
        <v>0</v>
      </c>
    </row>
    <row r="19" spans="1:62" x14ac:dyDescent="0.2">
      <c r="A19" s="119"/>
      <c r="B19" s="120" t="s">
        <v>19</v>
      </c>
      <c r="C19" s="306" t="s">
        <v>1061</v>
      </c>
      <c r="D19" s="307"/>
      <c r="E19" s="307"/>
      <c r="F19" s="119" t="s">
        <v>6</v>
      </c>
      <c r="G19" s="119" t="s">
        <v>6</v>
      </c>
      <c r="H19" s="119" t="s">
        <v>6</v>
      </c>
      <c r="I19" s="118">
        <f>SUM(I20:I21)</f>
        <v>0</v>
      </c>
      <c r="J19" s="118">
        <f>SUM(J20:J21)</f>
        <v>0</v>
      </c>
      <c r="K19" s="118">
        <f>SUM(K20:K21)</f>
        <v>0</v>
      </c>
      <c r="L19" s="109"/>
      <c r="AI19" s="109"/>
      <c r="AS19" s="118">
        <f>SUM(AJ20:AJ21)</f>
        <v>0</v>
      </c>
      <c r="AT19" s="118">
        <f>SUM(AK20:AK21)</f>
        <v>0</v>
      </c>
      <c r="AU19" s="118">
        <f>SUM(AL20:AL21)</f>
        <v>0</v>
      </c>
    </row>
    <row r="20" spans="1:62" x14ac:dyDescent="0.2">
      <c r="A20" s="117" t="s">
        <v>12</v>
      </c>
      <c r="B20" s="117" t="s">
        <v>578</v>
      </c>
      <c r="C20" s="304" t="s">
        <v>1062</v>
      </c>
      <c r="D20" s="305"/>
      <c r="E20" s="305"/>
      <c r="F20" s="117" t="s">
        <v>1647</v>
      </c>
      <c r="G20" s="116">
        <v>97.855000000000004</v>
      </c>
      <c r="H20" s="162"/>
      <c r="I20" s="108">
        <f>G20*AO20</f>
        <v>0</v>
      </c>
      <c r="J20" s="108">
        <f>G20*AP20</f>
        <v>0</v>
      </c>
      <c r="K20" s="108">
        <f>G20*H20</f>
        <v>0</v>
      </c>
      <c r="L20" s="111" t="s">
        <v>1671</v>
      </c>
      <c r="Z20" s="100">
        <f>IF(AQ20="5",BJ20,0)</f>
        <v>0</v>
      </c>
      <c r="AB20" s="100">
        <f>IF(AQ20="1",BH20,0)</f>
        <v>0</v>
      </c>
      <c r="AC20" s="100">
        <f>IF(AQ20="1",BI20,0)</f>
        <v>0</v>
      </c>
      <c r="AD20" s="100">
        <f>IF(AQ20="7",BH20,0)</f>
        <v>0</v>
      </c>
      <c r="AE20" s="100">
        <f>IF(AQ20="7",BI20,0)</f>
        <v>0</v>
      </c>
      <c r="AF20" s="100">
        <f>IF(AQ20="2",BH20,0)</f>
        <v>0</v>
      </c>
      <c r="AG20" s="100">
        <f>IF(AQ20="2",BI20,0)</f>
        <v>0</v>
      </c>
      <c r="AH20" s="100">
        <f>IF(AQ20="0",BJ20,0)</f>
        <v>0</v>
      </c>
      <c r="AI20" s="109"/>
      <c r="AJ20" s="108">
        <f>IF(AN20=0,K20,0)</f>
        <v>0</v>
      </c>
      <c r="AK20" s="108">
        <f>IF(AN20=15,K20,0)</f>
        <v>0</v>
      </c>
      <c r="AL20" s="108">
        <f>IF(AN20=21,K20,0)</f>
        <v>0</v>
      </c>
      <c r="AN20" s="100">
        <v>15</v>
      </c>
      <c r="AO20" s="100">
        <f>H20*0</f>
        <v>0</v>
      </c>
      <c r="AP20" s="100">
        <f>H20*(1-0)</f>
        <v>0</v>
      </c>
      <c r="AQ20" s="111" t="s">
        <v>7</v>
      </c>
      <c r="AV20" s="100">
        <f>AW20+AX20</f>
        <v>0</v>
      </c>
      <c r="AW20" s="100">
        <f>G20*AO20</f>
        <v>0</v>
      </c>
      <c r="AX20" s="100">
        <f>G20*AP20</f>
        <v>0</v>
      </c>
      <c r="AY20" s="110" t="s">
        <v>1683</v>
      </c>
      <c r="AZ20" s="110" t="s">
        <v>1724</v>
      </c>
      <c r="BA20" s="109" t="s">
        <v>1737</v>
      </c>
      <c r="BC20" s="100">
        <f>AW20+AX20</f>
        <v>0</v>
      </c>
      <c r="BD20" s="100">
        <f>H20/(100-BE20)*100</f>
        <v>0</v>
      </c>
      <c r="BE20" s="100">
        <v>0</v>
      </c>
      <c r="BF20" s="100">
        <f>20</f>
        <v>20</v>
      </c>
      <c r="BH20" s="108">
        <f>G20*AO20</f>
        <v>0</v>
      </c>
      <c r="BI20" s="108">
        <f>G20*AP20</f>
        <v>0</v>
      </c>
      <c r="BJ20" s="108">
        <f>G20*H20</f>
        <v>0</v>
      </c>
    </row>
    <row r="21" spans="1:62" x14ac:dyDescent="0.2">
      <c r="A21" s="117" t="s">
        <v>13</v>
      </c>
      <c r="B21" s="117" t="s">
        <v>579</v>
      </c>
      <c r="C21" s="304" t="s">
        <v>1063</v>
      </c>
      <c r="D21" s="305"/>
      <c r="E21" s="305"/>
      <c r="F21" s="117" t="s">
        <v>1647</v>
      </c>
      <c r="G21" s="116">
        <v>97.885000000000005</v>
      </c>
      <c r="H21" s="159"/>
      <c r="I21" s="108">
        <f>G21*AO21</f>
        <v>0</v>
      </c>
      <c r="J21" s="108">
        <f>G21*AP21</f>
        <v>0</v>
      </c>
      <c r="K21" s="108">
        <f>G21*H21</f>
        <v>0</v>
      </c>
      <c r="L21" s="111" t="s">
        <v>1671</v>
      </c>
      <c r="Z21" s="100">
        <f>IF(AQ21="5",BJ21,0)</f>
        <v>0</v>
      </c>
      <c r="AB21" s="100">
        <f>IF(AQ21="1",BH21,0)</f>
        <v>0</v>
      </c>
      <c r="AC21" s="100">
        <f>IF(AQ21="1",BI21,0)</f>
        <v>0</v>
      </c>
      <c r="AD21" s="100">
        <f>IF(AQ21="7",BH21,0)</f>
        <v>0</v>
      </c>
      <c r="AE21" s="100">
        <f>IF(AQ21="7",BI21,0)</f>
        <v>0</v>
      </c>
      <c r="AF21" s="100">
        <f>IF(AQ21="2",BH21,0)</f>
        <v>0</v>
      </c>
      <c r="AG21" s="100">
        <f>IF(AQ21="2",BI21,0)</f>
        <v>0</v>
      </c>
      <c r="AH21" s="100">
        <f>IF(AQ21="0",BJ21,0)</f>
        <v>0</v>
      </c>
      <c r="AI21" s="109"/>
      <c r="AJ21" s="108">
        <f>IF(AN21=0,K21,0)</f>
        <v>0</v>
      </c>
      <c r="AK21" s="108">
        <f>IF(AN21=15,K21,0)</f>
        <v>0</v>
      </c>
      <c r="AL21" s="108">
        <f>IF(AN21=21,K21,0)</f>
        <v>0</v>
      </c>
      <c r="AN21" s="100">
        <v>15</v>
      </c>
      <c r="AO21" s="100">
        <f>H21*0</f>
        <v>0</v>
      </c>
      <c r="AP21" s="100">
        <f>H21*(1-0)</f>
        <v>0</v>
      </c>
      <c r="AQ21" s="111" t="s">
        <v>7</v>
      </c>
      <c r="AV21" s="100">
        <f>AW21+AX21</f>
        <v>0</v>
      </c>
      <c r="AW21" s="100">
        <f>G21*AO21</f>
        <v>0</v>
      </c>
      <c r="AX21" s="100">
        <f>G21*AP21</f>
        <v>0</v>
      </c>
      <c r="AY21" s="110" t="s">
        <v>1683</v>
      </c>
      <c r="AZ21" s="110" t="s">
        <v>1724</v>
      </c>
      <c r="BA21" s="109" t="s">
        <v>1737</v>
      </c>
      <c r="BC21" s="100">
        <f>AW21+AX21</f>
        <v>0</v>
      </c>
      <c r="BD21" s="100">
        <f>H21/(100-BE21)*100</f>
        <v>0</v>
      </c>
      <c r="BE21" s="100">
        <v>0</v>
      </c>
      <c r="BF21" s="100">
        <f>21</f>
        <v>21</v>
      </c>
      <c r="BH21" s="108">
        <f>G21*AO21</f>
        <v>0</v>
      </c>
      <c r="BI21" s="108">
        <f>G21*AP21</f>
        <v>0</v>
      </c>
      <c r="BJ21" s="108">
        <f>G21*H21</f>
        <v>0</v>
      </c>
    </row>
    <row r="22" spans="1:62" x14ac:dyDescent="0.2">
      <c r="A22" s="119"/>
      <c r="B22" s="120" t="s">
        <v>22</v>
      </c>
      <c r="C22" s="306" t="s">
        <v>1066</v>
      </c>
      <c r="D22" s="307"/>
      <c r="E22" s="307"/>
      <c r="F22" s="119" t="s">
        <v>6</v>
      </c>
      <c r="G22" s="119" t="s">
        <v>6</v>
      </c>
      <c r="H22" s="119" t="s">
        <v>6</v>
      </c>
      <c r="I22" s="118">
        <f>SUM(I23:I25)</f>
        <v>0</v>
      </c>
      <c r="J22" s="118">
        <f>SUM(J23:J25)</f>
        <v>0</v>
      </c>
      <c r="K22" s="118">
        <f>SUM(K23:K25)</f>
        <v>0</v>
      </c>
      <c r="L22" s="109"/>
      <c r="AI22" s="109"/>
      <c r="AS22" s="118">
        <f>SUM(AJ23:AJ25)</f>
        <v>0</v>
      </c>
      <c r="AT22" s="118">
        <f>SUM(AK23:AK25)</f>
        <v>0</v>
      </c>
      <c r="AU22" s="118">
        <f>SUM(AL23:AL25)</f>
        <v>0</v>
      </c>
    </row>
    <row r="23" spans="1:62" x14ac:dyDescent="0.2">
      <c r="A23" s="117" t="s">
        <v>14</v>
      </c>
      <c r="B23" s="117" t="s">
        <v>581</v>
      </c>
      <c r="C23" s="304" t="s">
        <v>1067</v>
      </c>
      <c r="D23" s="305"/>
      <c r="E23" s="305"/>
      <c r="F23" s="117" t="s">
        <v>1647</v>
      </c>
      <c r="G23" s="116">
        <v>44.603999999999999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1684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7" t="s">
        <v>15</v>
      </c>
      <c r="B24" s="117" t="s">
        <v>582</v>
      </c>
      <c r="C24" s="304" t="s">
        <v>1068</v>
      </c>
      <c r="D24" s="305"/>
      <c r="E24" s="305"/>
      <c r="F24" s="117" t="s">
        <v>1648</v>
      </c>
      <c r="G24" s="116">
        <v>78.057000000000002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</f>
        <v>0</v>
      </c>
      <c r="AP24" s="100">
        <f>H24*(1-0)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1684</v>
      </c>
      <c r="AZ24" s="110" t="s">
        <v>1724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16</v>
      </c>
      <c r="B25" s="117" t="s">
        <v>583</v>
      </c>
      <c r="C25" s="304" t="s">
        <v>1069</v>
      </c>
      <c r="D25" s="305"/>
      <c r="E25" s="305"/>
      <c r="F25" s="117" t="s">
        <v>1647</v>
      </c>
      <c r="G25" s="116">
        <v>44.603999999999999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1684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9"/>
      <c r="B26" s="120" t="s">
        <v>23</v>
      </c>
      <c r="C26" s="306" t="s">
        <v>1070</v>
      </c>
      <c r="D26" s="307"/>
      <c r="E26" s="307"/>
      <c r="F26" s="119" t="s">
        <v>6</v>
      </c>
      <c r="G26" s="119" t="s">
        <v>6</v>
      </c>
      <c r="H26" s="119" t="s">
        <v>6</v>
      </c>
      <c r="I26" s="118">
        <f>SUM(I27:I28)</f>
        <v>0</v>
      </c>
      <c r="J26" s="118">
        <f>SUM(J27:J28)</f>
        <v>0</v>
      </c>
      <c r="K26" s="118">
        <f>SUM(K27:K28)</f>
        <v>0</v>
      </c>
      <c r="L26" s="109"/>
      <c r="AI26" s="109"/>
      <c r="AS26" s="118">
        <f>SUM(AJ27:AJ28)</f>
        <v>0</v>
      </c>
      <c r="AT26" s="118">
        <f>SUM(AK27:AK28)</f>
        <v>0</v>
      </c>
      <c r="AU26" s="118">
        <f>SUM(AL27:AL28)</f>
        <v>0</v>
      </c>
    </row>
    <row r="27" spans="1:62" x14ac:dyDescent="0.2">
      <c r="A27" s="117" t="s">
        <v>17</v>
      </c>
      <c r="B27" s="117" t="s">
        <v>584</v>
      </c>
      <c r="C27" s="304" t="s">
        <v>1071</v>
      </c>
      <c r="D27" s="305"/>
      <c r="E27" s="305"/>
      <c r="F27" s="117" t="s">
        <v>1647</v>
      </c>
      <c r="G27" s="116">
        <v>44.603999999999999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</f>
        <v>0</v>
      </c>
      <c r="AP27" s="100">
        <f>H27*(1-0)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1685</v>
      </c>
      <c r="AZ27" s="110" t="s">
        <v>1724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7" t="s">
        <v>18</v>
      </c>
      <c r="B28" s="117" t="s">
        <v>585</v>
      </c>
      <c r="C28" s="304" t="s">
        <v>1072</v>
      </c>
      <c r="D28" s="305"/>
      <c r="E28" s="305"/>
      <c r="F28" s="117" t="s">
        <v>1647</v>
      </c>
      <c r="G28" s="116">
        <v>53.250999999999998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</f>
        <v>0</v>
      </c>
      <c r="AP28" s="100">
        <f>H28*(1-0)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1685</v>
      </c>
      <c r="AZ28" s="110" t="s">
        <v>1724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A29" s="119"/>
      <c r="B29" s="120" t="s">
        <v>24</v>
      </c>
      <c r="C29" s="306" t="s">
        <v>1076</v>
      </c>
      <c r="D29" s="307"/>
      <c r="E29" s="307"/>
      <c r="F29" s="119" t="s">
        <v>6</v>
      </c>
      <c r="G29" s="119" t="s">
        <v>6</v>
      </c>
      <c r="H29" s="119" t="s">
        <v>6</v>
      </c>
      <c r="I29" s="118">
        <f>SUM(I30:I30)</f>
        <v>0</v>
      </c>
      <c r="J29" s="118">
        <f>SUM(J30:J30)</f>
        <v>0</v>
      </c>
      <c r="K29" s="118">
        <f>SUM(K30:K30)</f>
        <v>0</v>
      </c>
      <c r="L29" s="109"/>
      <c r="AI29" s="109"/>
      <c r="AS29" s="118">
        <f>SUM(AJ30:AJ30)</f>
        <v>0</v>
      </c>
      <c r="AT29" s="118">
        <f>SUM(AK30:AK30)</f>
        <v>0</v>
      </c>
      <c r="AU29" s="118">
        <f>SUM(AL30:AL30)</f>
        <v>0</v>
      </c>
    </row>
    <row r="30" spans="1:62" x14ac:dyDescent="0.2">
      <c r="A30" s="117" t="s">
        <v>19</v>
      </c>
      <c r="B30" s="117" t="s">
        <v>587</v>
      </c>
      <c r="C30" s="304" t="s">
        <v>1077</v>
      </c>
      <c r="D30" s="305"/>
      <c r="E30" s="305"/>
      <c r="F30" s="117" t="s">
        <v>1645</v>
      </c>
      <c r="G30" s="116">
        <v>139.03299999999999</v>
      </c>
      <c r="H30" s="159"/>
      <c r="I30" s="108">
        <f>G30*AO30</f>
        <v>0</v>
      </c>
      <c r="J30" s="108">
        <f>G30*AP30</f>
        <v>0</v>
      </c>
      <c r="K30" s="108">
        <f>G30*H30</f>
        <v>0</v>
      </c>
      <c r="L30" s="111" t="s">
        <v>1671</v>
      </c>
      <c r="Z30" s="100">
        <f>IF(AQ30="5",BJ30,0)</f>
        <v>0</v>
      </c>
      <c r="AB30" s="100">
        <f>IF(AQ30="1",BH30,0)</f>
        <v>0</v>
      </c>
      <c r="AC30" s="100">
        <f>IF(AQ30="1",BI30,0)</f>
        <v>0</v>
      </c>
      <c r="AD30" s="100">
        <f>IF(AQ30="7",BH30,0)</f>
        <v>0</v>
      </c>
      <c r="AE30" s="100">
        <f>IF(AQ30="7",BI30,0)</f>
        <v>0</v>
      </c>
      <c r="AF30" s="100">
        <f>IF(AQ30="2",BH30,0)</f>
        <v>0</v>
      </c>
      <c r="AG30" s="100">
        <f>IF(AQ30="2",BI30,0)</f>
        <v>0</v>
      </c>
      <c r="AH30" s="100">
        <f>IF(AQ30="0",BJ30,0)</f>
        <v>0</v>
      </c>
      <c r="AI30" s="109"/>
      <c r="AJ30" s="108">
        <f>IF(AN30=0,K30,0)</f>
        <v>0</v>
      </c>
      <c r="AK30" s="108">
        <f>IF(AN30=15,K30,0)</f>
        <v>0</v>
      </c>
      <c r="AL30" s="108">
        <f>IF(AN30=21,K30,0)</f>
        <v>0</v>
      </c>
      <c r="AN30" s="100">
        <v>15</v>
      </c>
      <c r="AO30" s="100">
        <f>H30*0</f>
        <v>0</v>
      </c>
      <c r="AP30" s="100">
        <f>H30*(1-0)</f>
        <v>0</v>
      </c>
      <c r="AQ30" s="111" t="s">
        <v>7</v>
      </c>
      <c r="AV30" s="100">
        <f>AW30+AX30</f>
        <v>0</v>
      </c>
      <c r="AW30" s="100">
        <f>G30*AO30</f>
        <v>0</v>
      </c>
      <c r="AX30" s="100">
        <f>G30*AP30</f>
        <v>0</v>
      </c>
      <c r="AY30" s="110" t="s">
        <v>1686</v>
      </c>
      <c r="AZ30" s="110" t="s">
        <v>1724</v>
      </c>
      <c r="BA30" s="109" t="s">
        <v>1737</v>
      </c>
      <c r="BC30" s="100">
        <f>AW30+AX30</f>
        <v>0</v>
      </c>
      <c r="BD30" s="100">
        <f>H30/(100-BE30)*100</f>
        <v>0</v>
      </c>
      <c r="BE30" s="100">
        <v>0</v>
      </c>
      <c r="BF30" s="100">
        <f>30</f>
        <v>30</v>
      </c>
      <c r="BH30" s="108">
        <f>G30*AO30</f>
        <v>0</v>
      </c>
      <c r="BI30" s="108">
        <f>G30*AP30</f>
        <v>0</v>
      </c>
      <c r="BJ30" s="108">
        <f>G30*H30</f>
        <v>0</v>
      </c>
    </row>
    <row r="31" spans="1:62" x14ac:dyDescent="0.2">
      <c r="A31" s="119"/>
      <c r="B31" s="120" t="s">
        <v>27</v>
      </c>
      <c r="C31" s="306" t="s">
        <v>1078</v>
      </c>
      <c r="D31" s="307"/>
      <c r="E31" s="307"/>
      <c r="F31" s="119" t="s">
        <v>6</v>
      </c>
      <c r="G31" s="119" t="s">
        <v>6</v>
      </c>
      <c r="H31" s="119" t="s">
        <v>6</v>
      </c>
      <c r="I31" s="118">
        <f>SUM(I32:I33)</f>
        <v>0</v>
      </c>
      <c r="J31" s="118">
        <f>SUM(J32:J33)</f>
        <v>0</v>
      </c>
      <c r="K31" s="118">
        <f>SUM(K32:K33)</f>
        <v>0</v>
      </c>
      <c r="L31" s="109"/>
      <c r="AI31" s="109"/>
      <c r="AS31" s="118">
        <f>SUM(AJ32:AJ33)</f>
        <v>0</v>
      </c>
      <c r="AT31" s="118">
        <f>SUM(AK32:AK33)</f>
        <v>0</v>
      </c>
      <c r="AU31" s="118">
        <f>SUM(AL32:AL33)</f>
        <v>0</v>
      </c>
    </row>
    <row r="32" spans="1:62" x14ac:dyDescent="0.2">
      <c r="A32" s="117" t="s">
        <v>20</v>
      </c>
      <c r="B32" s="117" t="s">
        <v>588</v>
      </c>
      <c r="C32" s="304" t="s">
        <v>1079</v>
      </c>
      <c r="D32" s="305"/>
      <c r="E32" s="305"/>
      <c r="F32" s="117" t="s">
        <v>1646</v>
      </c>
      <c r="G32" s="116">
        <v>87.08</v>
      </c>
      <c r="H32" s="159"/>
      <c r="I32" s="108">
        <f>G32*AO32</f>
        <v>0</v>
      </c>
      <c r="J32" s="108">
        <f>G32*AP32</f>
        <v>0</v>
      </c>
      <c r="K32" s="108">
        <f>G32*H32</f>
        <v>0</v>
      </c>
      <c r="L32" s="111" t="s">
        <v>1671</v>
      </c>
      <c r="Z32" s="100">
        <f>IF(AQ32="5",BJ32,0)</f>
        <v>0</v>
      </c>
      <c r="AB32" s="100">
        <f>IF(AQ32="1",BH32,0)</f>
        <v>0</v>
      </c>
      <c r="AC32" s="100">
        <f>IF(AQ32="1",BI32,0)</f>
        <v>0</v>
      </c>
      <c r="AD32" s="100">
        <f>IF(AQ32="7",BH32,0)</f>
        <v>0</v>
      </c>
      <c r="AE32" s="100">
        <f>IF(AQ32="7",BI32,0)</f>
        <v>0</v>
      </c>
      <c r="AF32" s="100">
        <f>IF(AQ32="2",BH32,0)</f>
        <v>0</v>
      </c>
      <c r="AG32" s="100">
        <f>IF(AQ32="2",BI32,0)</f>
        <v>0</v>
      </c>
      <c r="AH32" s="100">
        <f>IF(AQ32="0",BJ32,0)</f>
        <v>0</v>
      </c>
      <c r="AI32" s="109"/>
      <c r="AJ32" s="108">
        <f>IF(AN32=0,K32,0)</f>
        <v>0</v>
      </c>
      <c r="AK32" s="108">
        <f>IF(AN32=15,K32,0)</f>
        <v>0</v>
      </c>
      <c r="AL32" s="108">
        <f>IF(AN32=21,K32,0)</f>
        <v>0</v>
      </c>
      <c r="AN32" s="100">
        <v>15</v>
      </c>
      <c r="AO32" s="100">
        <f>H32*0.568421052631579</f>
        <v>0</v>
      </c>
      <c r="AP32" s="100">
        <f>H32*(1-0.568421052631579)</f>
        <v>0</v>
      </c>
      <c r="AQ32" s="111" t="s">
        <v>7</v>
      </c>
      <c r="AV32" s="100">
        <f>AW32+AX32</f>
        <v>0</v>
      </c>
      <c r="AW32" s="100">
        <f>G32*AO32</f>
        <v>0</v>
      </c>
      <c r="AX32" s="100">
        <f>G32*AP32</f>
        <v>0</v>
      </c>
      <c r="AY32" s="110" t="s">
        <v>1687</v>
      </c>
      <c r="AZ32" s="110" t="s">
        <v>1725</v>
      </c>
      <c r="BA32" s="109" t="s">
        <v>1737</v>
      </c>
      <c r="BC32" s="100">
        <f>AW32+AX32</f>
        <v>0</v>
      </c>
      <c r="BD32" s="100">
        <f>H32/(100-BE32)*100</f>
        <v>0</v>
      </c>
      <c r="BE32" s="100">
        <v>0</v>
      </c>
      <c r="BF32" s="100">
        <f>32</f>
        <v>32</v>
      </c>
      <c r="BH32" s="108">
        <f>G32*AO32</f>
        <v>0</v>
      </c>
      <c r="BI32" s="108">
        <f>G32*AP32</f>
        <v>0</v>
      </c>
      <c r="BJ32" s="108">
        <f>G32*H32</f>
        <v>0</v>
      </c>
    </row>
    <row r="33" spans="1:62" x14ac:dyDescent="0.2">
      <c r="A33" s="117" t="s">
        <v>21</v>
      </c>
      <c r="B33" s="117" t="s">
        <v>589</v>
      </c>
      <c r="C33" s="304" t="s">
        <v>1080</v>
      </c>
      <c r="D33" s="305"/>
      <c r="E33" s="305"/>
      <c r="F33" s="117" t="s">
        <v>1646</v>
      </c>
      <c r="G33" s="116">
        <v>87.08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H33*0.677510040160643</f>
        <v>0</v>
      </c>
      <c r="AP33" s="100">
        <f>H33*(1-0.677510040160643)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1687</v>
      </c>
      <c r="AZ33" s="110" t="s">
        <v>1725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9"/>
      <c r="B34" s="120" t="s">
        <v>33</v>
      </c>
      <c r="C34" s="306" t="s">
        <v>1081</v>
      </c>
      <c r="D34" s="307"/>
      <c r="E34" s="307"/>
      <c r="F34" s="119" t="s">
        <v>6</v>
      </c>
      <c r="G34" s="119" t="s">
        <v>6</v>
      </c>
      <c r="H34" s="119" t="s">
        <v>6</v>
      </c>
      <c r="I34" s="118">
        <f>SUM(I35:I35)</f>
        <v>0</v>
      </c>
      <c r="J34" s="118">
        <f>SUM(J35:J35)</f>
        <v>0</v>
      </c>
      <c r="K34" s="118">
        <f>SUM(K35:K35)</f>
        <v>0</v>
      </c>
      <c r="L34" s="109"/>
      <c r="AI34" s="109"/>
      <c r="AS34" s="118">
        <f>SUM(AJ35:AJ35)</f>
        <v>0</v>
      </c>
      <c r="AT34" s="118">
        <f>SUM(AK35:AK35)</f>
        <v>0</v>
      </c>
      <c r="AU34" s="118">
        <f>SUM(AL35:AL35)</f>
        <v>0</v>
      </c>
    </row>
    <row r="35" spans="1:62" x14ac:dyDescent="0.2">
      <c r="A35" s="117" t="s">
        <v>22</v>
      </c>
      <c r="B35" s="117" t="s">
        <v>591</v>
      </c>
      <c r="C35" s="304" t="s">
        <v>1083</v>
      </c>
      <c r="D35" s="305"/>
      <c r="E35" s="305"/>
      <c r="F35" s="117" t="s">
        <v>1647</v>
      </c>
      <c r="G35" s="116">
        <v>0.12</v>
      </c>
      <c r="H35" s="159"/>
      <c r="I35" s="108">
        <f>G35*AO35</f>
        <v>0</v>
      </c>
      <c r="J35" s="108">
        <f>G35*AP35</f>
        <v>0</v>
      </c>
      <c r="K35" s="108">
        <f>G35*H35</f>
        <v>0</v>
      </c>
      <c r="L35" s="111" t="s">
        <v>1671</v>
      </c>
      <c r="Z35" s="100">
        <f>IF(AQ35="5",BJ35,0)</f>
        <v>0</v>
      </c>
      <c r="AB35" s="100">
        <f>IF(AQ35="1",BH35,0)</f>
        <v>0</v>
      </c>
      <c r="AC35" s="100">
        <f>IF(AQ35="1",BI35,0)</f>
        <v>0</v>
      </c>
      <c r="AD35" s="100">
        <f>IF(AQ35="7",BH35,0)</f>
        <v>0</v>
      </c>
      <c r="AE35" s="100">
        <f>IF(AQ35="7",BI35,0)</f>
        <v>0</v>
      </c>
      <c r="AF35" s="100">
        <f>IF(AQ35="2",BH35,0)</f>
        <v>0</v>
      </c>
      <c r="AG35" s="100">
        <f>IF(AQ35="2",BI35,0)</f>
        <v>0</v>
      </c>
      <c r="AH35" s="100">
        <f>IF(AQ35="0",BJ35,0)</f>
        <v>0</v>
      </c>
      <c r="AI35" s="109"/>
      <c r="AJ35" s="108">
        <f>IF(AN35=0,K35,0)</f>
        <v>0</v>
      </c>
      <c r="AK35" s="108">
        <f>IF(AN35=15,K35,0)</f>
        <v>0</v>
      </c>
      <c r="AL35" s="108">
        <f>IF(AN35=21,K35,0)</f>
        <v>0</v>
      </c>
      <c r="AN35" s="100">
        <v>15</v>
      </c>
      <c r="AO35" s="100">
        <f>H35*0.658319082377476</f>
        <v>0</v>
      </c>
      <c r="AP35" s="100">
        <f>H35*(1-0.658319082377476)</f>
        <v>0</v>
      </c>
      <c r="AQ35" s="111" t="s">
        <v>7</v>
      </c>
      <c r="AV35" s="100">
        <f>AW35+AX35</f>
        <v>0</v>
      </c>
      <c r="AW35" s="100">
        <f>G35*AO35</f>
        <v>0</v>
      </c>
      <c r="AX35" s="100">
        <f>G35*AP35</f>
        <v>0</v>
      </c>
      <c r="AY35" s="110" t="s">
        <v>1688</v>
      </c>
      <c r="AZ35" s="110" t="s">
        <v>1725</v>
      </c>
      <c r="BA35" s="109" t="s">
        <v>1737</v>
      </c>
      <c r="BC35" s="100">
        <f>AW35+AX35</f>
        <v>0</v>
      </c>
      <c r="BD35" s="100">
        <f>H35/(100-BE35)*100</f>
        <v>0</v>
      </c>
      <c r="BE35" s="100">
        <v>0</v>
      </c>
      <c r="BF35" s="100">
        <f>35</f>
        <v>35</v>
      </c>
      <c r="BH35" s="108">
        <f>G35*AO35</f>
        <v>0</v>
      </c>
      <c r="BI35" s="108">
        <f>G35*AP35</f>
        <v>0</v>
      </c>
      <c r="BJ35" s="108">
        <f>G35*H35</f>
        <v>0</v>
      </c>
    </row>
    <row r="36" spans="1:62" x14ac:dyDescent="0.2">
      <c r="A36" s="119"/>
      <c r="B36" s="120" t="s">
        <v>37</v>
      </c>
      <c r="C36" s="306" t="s">
        <v>1084</v>
      </c>
      <c r="D36" s="307"/>
      <c r="E36" s="307"/>
      <c r="F36" s="119" t="s">
        <v>6</v>
      </c>
      <c r="G36" s="119" t="s">
        <v>6</v>
      </c>
      <c r="H36" s="119" t="s">
        <v>6</v>
      </c>
      <c r="I36" s="118">
        <f>SUM(I37:I40)</f>
        <v>0</v>
      </c>
      <c r="J36" s="118">
        <f>SUM(J37:J40)</f>
        <v>0</v>
      </c>
      <c r="K36" s="118">
        <f>SUM(K37:K40)</f>
        <v>0</v>
      </c>
      <c r="L36" s="109"/>
      <c r="AI36" s="109"/>
      <c r="AS36" s="118">
        <f>SUM(AJ37:AJ40)</f>
        <v>0</v>
      </c>
      <c r="AT36" s="118">
        <f>SUM(AK37:AK40)</f>
        <v>0</v>
      </c>
      <c r="AU36" s="118">
        <f>SUM(AL37:AL40)</f>
        <v>0</v>
      </c>
    </row>
    <row r="37" spans="1:62" x14ac:dyDescent="0.2">
      <c r="A37" s="117" t="s">
        <v>23</v>
      </c>
      <c r="B37" s="117" t="s">
        <v>592</v>
      </c>
      <c r="C37" s="304" t="s">
        <v>3185</v>
      </c>
      <c r="D37" s="305"/>
      <c r="E37" s="305"/>
      <c r="F37" s="117" t="s">
        <v>1644</v>
      </c>
      <c r="G37" s="116">
        <v>2</v>
      </c>
      <c r="H37" s="159"/>
      <c r="I37" s="108">
        <f>G37*AO37</f>
        <v>0</v>
      </c>
      <c r="J37" s="108">
        <f>G37*AP37</f>
        <v>0</v>
      </c>
      <c r="K37" s="108">
        <f>G37*H37</f>
        <v>0</v>
      </c>
      <c r="L37" s="111" t="s">
        <v>1671</v>
      </c>
      <c r="Z37" s="100">
        <f>IF(AQ37="5",BJ37,0)</f>
        <v>0</v>
      </c>
      <c r="AB37" s="100">
        <f>IF(AQ37="1",BH37,0)</f>
        <v>0</v>
      </c>
      <c r="AC37" s="100">
        <f>IF(AQ37="1",BI37,0)</f>
        <v>0</v>
      </c>
      <c r="AD37" s="100">
        <f>IF(AQ37="7",BH37,0)</f>
        <v>0</v>
      </c>
      <c r="AE37" s="100">
        <f>IF(AQ37="7",BI37,0)</f>
        <v>0</v>
      </c>
      <c r="AF37" s="100">
        <f>IF(AQ37="2",BH37,0)</f>
        <v>0</v>
      </c>
      <c r="AG37" s="100">
        <f>IF(AQ37="2",BI37,0)</f>
        <v>0</v>
      </c>
      <c r="AH37" s="100">
        <f>IF(AQ37="0",BJ37,0)</f>
        <v>0</v>
      </c>
      <c r="AI37" s="109"/>
      <c r="AJ37" s="108">
        <f>IF(AN37=0,K37,0)</f>
        <v>0</v>
      </c>
      <c r="AK37" s="108">
        <f>IF(AN37=15,K37,0)</f>
        <v>0</v>
      </c>
      <c r="AL37" s="108">
        <f>IF(AN37=21,K37,0)</f>
        <v>0</v>
      </c>
      <c r="AN37" s="100">
        <v>15</v>
      </c>
      <c r="AO37" s="100">
        <f>H37*0.535388860807912</f>
        <v>0</v>
      </c>
      <c r="AP37" s="100">
        <f>H37*(1-0.535388860807912)</f>
        <v>0</v>
      </c>
      <c r="AQ37" s="111" t="s">
        <v>7</v>
      </c>
      <c r="AV37" s="100">
        <f>AW37+AX37</f>
        <v>0</v>
      </c>
      <c r="AW37" s="100">
        <f>G37*AO37</f>
        <v>0</v>
      </c>
      <c r="AX37" s="100">
        <f>G37*AP37</f>
        <v>0</v>
      </c>
      <c r="AY37" s="110" t="s">
        <v>1689</v>
      </c>
      <c r="AZ37" s="110" t="s">
        <v>1726</v>
      </c>
      <c r="BA37" s="109" t="s">
        <v>1737</v>
      </c>
      <c r="BC37" s="100">
        <f>AW37+AX37</f>
        <v>0</v>
      </c>
      <c r="BD37" s="100">
        <f>H37/(100-BE37)*100</f>
        <v>0</v>
      </c>
      <c r="BE37" s="100">
        <v>0</v>
      </c>
      <c r="BF37" s="100">
        <f>37</f>
        <v>37</v>
      </c>
      <c r="BH37" s="108">
        <f>G37*AO37</f>
        <v>0</v>
      </c>
      <c r="BI37" s="108">
        <f>G37*AP37</f>
        <v>0</v>
      </c>
      <c r="BJ37" s="108">
        <f>G37*H37</f>
        <v>0</v>
      </c>
    </row>
    <row r="38" spans="1:62" x14ac:dyDescent="0.2">
      <c r="A38" s="117" t="s">
        <v>24</v>
      </c>
      <c r="B38" s="117" t="s">
        <v>594</v>
      </c>
      <c r="C38" s="304" t="s">
        <v>2155</v>
      </c>
      <c r="D38" s="305"/>
      <c r="E38" s="305"/>
      <c r="F38" s="117" t="s">
        <v>1648</v>
      </c>
      <c r="G38" s="116">
        <v>3.4000000000000002E-2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H38*0.782234965034965</f>
        <v>0</v>
      </c>
      <c r="AP38" s="100">
        <f>H38*(1-0.782234965034965)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1689</v>
      </c>
      <c r="AZ38" s="110" t="s">
        <v>1726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7" t="s">
        <v>25</v>
      </c>
      <c r="B39" s="117" t="s">
        <v>3184</v>
      </c>
      <c r="C39" s="304" t="s">
        <v>3183</v>
      </c>
      <c r="D39" s="305"/>
      <c r="E39" s="305"/>
      <c r="F39" s="117" t="s">
        <v>1644</v>
      </c>
      <c r="G39" s="116">
        <v>2</v>
      </c>
      <c r="H39" s="159"/>
      <c r="I39" s="108">
        <f>G39*AO39</f>
        <v>0</v>
      </c>
      <c r="J39" s="108">
        <f>G39*AP39</f>
        <v>0</v>
      </c>
      <c r="K39" s="108">
        <f>G39*H39</f>
        <v>0</v>
      </c>
      <c r="L39" s="111" t="s">
        <v>1671</v>
      </c>
      <c r="Z39" s="100">
        <f>IF(AQ39="5",BJ39,0)</f>
        <v>0</v>
      </c>
      <c r="AB39" s="100">
        <f>IF(AQ39="1",BH39,0)</f>
        <v>0</v>
      </c>
      <c r="AC39" s="100">
        <f>IF(AQ39="1",BI39,0)</f>
        <v>0</v>
      </c>
      <c r="AD39" s="100">
        <f>IF(AQ39="7",BH39,0)</f>
        <v>0</v>
      </c>
      <c r="AE39" s="100">
        <f>IF(AQ39="7",BI39,0)</f>
        <v>0</v>
      </c>
      <c r="AF39" s="100">
        <f>IF(AQ39="2",BH39,0)</f>
        <v>0</v>
      </c>
      <c r="AG39" s="100">
        <f>IF(AQ39="2",BI39,0)</f>
        <v>0</v>
      </c>
      <c r="AH39" s="100">
        <f>IF(AQ39="0",BJ39,0)</f>
        <v>0</v>
      </c>
      <c r="AI39" s="109"/>
      <c r="AJ39" s="108">
        <f>IF(AN39=0,K39,0)</f>
        <v>0</v>
      </c>
      <c r="AK39" s="108">
        <f>IF(AN39=15,K39,0)</f>
        <v>0</v>
      </c>
      <c r="AL39" s="108">
        <f>IF(AN39=21,K39,0)</f>
        <v>0</v>
      </c>
      <c r="AN39" s="100">
        <v>15</v>
      </c>
      <c r="AO39" s="100">
        <f>H39*0.7197828125</f>
        <v>0</v>
      </c>
      <c r="AP39" s="100">
        <f>H39*(1-0.7197828125)</f>
        <v>0</v>
      </c>
      <c r="AQ39" s="111" t="s">
        <v>7</v>
      </c>
      <c r="AV39" s="100">
        <f>AW39+AX39</f>
        <v>0</v>
      </c>
      <c r="AW39" s="100">
        <f>G39*AO39</f>
        <v>0</v>
      </c>
      <c r="AX39" s="100">
        <f>G39*AP39</f>
        <v>0</v>
      </c>
      <c r="AY39" s="110" t="s">
        <v>1689</v>
      </c>
      <c r="AZ39" s="110" t="s">
        <v>1726</v>
      </c>
      <c r="BA39" s="109" t="s">
        <v>1737</v>
      </c>
      <c r="BC39" s="100">
        <f>AW39+AX39</f>
        <v>0</v>
      </c>
      <c r="BD39" s="100">
        <f>H39/(100-BE39)*100</f>
        <v>0</v>
      </c>
      <c r="BE39" s="100">
        <v>0</v>
      </c>
      <c r="BF39" s="100">
        <f>39</f>
        <v>39</v>
      </c>
      <c r="BH39" s="108">
        <f>G39*AO39</f>
        <v>0</v>
      </c>
      <c r="BI39" s="108">
        <f>G39*AP39</f>
        <v>0</v>
      </c>
      <c r="BJ39" s="108">
        <f>G39*H39</f>
        <v>0</v>
      </c>
    </row>
    <row r="40" spans="1:62" x14ac:dyDescent="0.2">
      <c r="A40" s="117" t="s">
        <v>26</v>
      </c>
      <c r="B40" s="117" t="s">
        <v>595</v>
      </c>
      <c r="C40" s="304" t="s">
        <v>1089</v>
      </c>
      <c r="D40" s="305"/>
      <c r="E40" s="305"/>
      <c r="F40" s="117" t="s">
        <v>1646</v>
      </c>
      <c r="G40" s="116">
        <v>100</v>
      </c>
      <c r="H40" s="159"/>
      <c r="I40" s="108">
        <f>G40*AO40</f>
        <v>0</v>
      </c>
      <c r="J40" s="108">
        <f>G40*AP40</f>
        <v>0</v>
      </c>
      <c r="K40" s="108">
        <f>G40*H40</f>
        <v>0</v>
      </c>
      <c r="L40" s="111" t="s">
        <v>1671</v>
      </c>
      <c r="Z40" s="100">
        <f>IF(AQ40="5",BJ40,0)</f>
        <v>0</v>
      </c>
      <c r="AB40" s="100">
        <f>IF(AQ40="1",BH40,0)</f>
        <v>0</v>
      </c>
      <c r="AC40" s="100">
        <f>IF(AQ40="1",BI40,0)</f>
        <v>0</v>
      </c>
      <c r="AD40" s="100">
        <f>IF(AQ40="7",BH40,0)</f>
        <v>0</v>
      </c>
      <c r="AE40" s="100">
        <f>IF(AQ40="7",BI40,0)</f>
        <v>0</v>
      </c>
      <c r="AF40" s="100">
        <f>IF(AQ40="2",BH40,0)</f>
        <v>0</v>
      </c>
      <c r="AG40" s="100">
        <f>IF(AQ40="2",BI40,0)</f>
        <v>0</v>
      </c>
      <c r="AH40" s="100">
        <f>IF(AQ40="0",BJ40,0)</f>
        <v>0</v>
      </c>
      <c r="AI40" s="109"/>
      <c r="AJ40" s="108">
        <f>IF(AN40=0,K40,0)</f>
        <v>0</v>
      </c>
      <c r="AK40" s="108">
        <f>IF(AN40=15,K40,0)</f>
        <v>0</v>
      </c>
      <c r="AL40" s="108">
        <f>IF(AN40=21,K40,0)</f>
        <v>0</v>
      </c>
      <c r="AN40" s="100">
        <v>15</v>
      </c>
      <c r="AO40" s="100">
        <f>H40*0.318303571428571</f>
        <v>0</v>
      </c>
      <c r="AP40" s="100">
        <f>H40*(1-0.318303571428571)</f>
        <v>0</v>
      </c>
      <c r="AQ40" s="111" t="s">
        <v>7</v>
      </c>
      <c r="AV40" s="100">
        <f>AW40+AX40</f>
        <v>0</v>
      </c>
      <c r="AW40" s="100">
        <f>G40*AO40</f>
        <v>0</v>
      </c>
      <c r="AX40" s="100">
        <f>G40*AP40</f>
        <v>0</v>
      </c>
      <c r="AY40" s="110" t="s">
        <v>1689</v>
      </c>
      <c r="AZ40" s="110" t="s">
        <v>1726</v>
      </c>
      <c r="BA40" s="109" t="s">
        <v>1737</v>
      </c>
      <c r="BC40" s="100">
        <f>AW40+AX40</f>
        <v>0</v>
      </c>
      <c r="BD40" s="100">
        <f>H40/(100-BE40)*100</f>
        <v>0</v>
      </c>
      <c r="BE40" s="100">
        <v>0</v>
      </c>
      <c r="BF40" s="100">
        <f>40</f>
        <v>40</v>
      </c>
      <c r="BH40" s="108">
        <f>G40*AO40</f>
        <v>0</v>
      </c>
      <c r="BI40" s="108">
        <f>G40*AP40</f>
        <v>0</v>
      </c>
      <c r="BJ40" s="108">
        <f>G40*H40</f>
        <v>0</v>
      </c>
    </row>
    <row r="41" spans="1:62" x14ac:dyDescent="0.2">
      <c r="A41" s="119"/>
      <c r="B41" s="120" t="s">
        <v>62</v>
      </c>
      <c r="C41" s="306" t="s">
        <v>1090</v>
      </c>
      <c r="D41" s="307"/>
      <c r="E41" s="307"/>
      <c r="F41" s="119" t="s">
        <v>6</v>
      </c>
      <c r="G41" s="119" t="s">
        <v>6</v>
      </c>
      <c r="H41" s="119" t="s">
        <v>6</v>
      </c>
      <c r="I41" s="118">
        <f>SUM(I42:I44)</f>
        <v>0</v>
      </c>
      <c r="J41" s="118">
        <f>SUM(J42:J44)</f>
        <v>0</v>
      </c>
      <c r="K41" s="118">
        <f>SUM(K42:K44)</f>
        <v>0</v>
      </c>
      <c r="L41" s="109"/>
      <c r="AI41" s="109"/>
      <c r="AS41" s="118">
        <f>SUM(AJ42:AJ44)</f>
        <v>0</v>
      </c>
      <c r="AT41" s="118">
        <f>SUM(AK42:AK44)</f>
        <v>0</v>
      </c>
      <c r="AU41" s="118">
        <f>SUM(AL42:AL44)</f>
        <v>0</v>
      </c>
    </row>
    <row r="42" spans="1:62" x14ac:dyDescent="0.2">
      <c r="A42" s="117" t="s">
        <v>27</v>
      </c>
      <c r="B42" s="117" t="s">
        <v>596</v>
      </c>
      <c r="C42" s="304" t="s">
        <v>1091</v>
      </c>
      <c r="D42" s="305"/>
      <c r="E42" s="305"/>
      <c r="F42" s="117" t="s">
        <v>1645</v>
      </c>
      <c r="G42" s="116">
        <v>26.86</v>
      </c>
      <c r="H42" s="159"/>
      <c r="I42" s="108">
        <f>G42*AO42</f>
        <v>0</v>
      </c>
      <c r="J42" s="108">
        <f>G42*AP42</f>
        <v>0</v>
      </c>
      <c r="K42" s="108">
        <f>G42*H42</f>
        <v>0</v>
      </c>
      <c r="L42" s="111" t="s">
        <v>1671</v>
      </c>
      <c r="Z42" s="100">
        <f>IF(AQ42="5",BJ42,0)</f>
        <v>0</v>
      </c>
      <c r="AB42" s="100">
        <f>IF(AQ42="1",BH42,0)</f>
        <v>0</v>
      </c>
      <c r="AC42" s="100">
        <f>IF(AQ42="1",BI42,0)</f>
        <v>0</v>
      </c>
      <c r="AD42" s="100">
        <f>IF(AQ42="7",BH42,0)</f>
        <v>0</v>
      </c>
      <c r="AE42" s="100">
        <f>IF(AQ42="7",BI42,0)</f>
        <v>0</v>
      </c>
      <c r="AF42" s="100">
        <f>IF(AQ42="2",BH42,0)</f>
        <v>0</v>
      </c>
      <c r="AG42" s="100">
        <f>IF(AQ42="2",BI42,0)</f>
        <v>0</v>
      </c>
      <c r="AH42" s="100">
        <f>IF(AQ42="0",BJ42,0)</f>
        <v>0</v>
      </c>
      <c r="AI42" s="109"/>
      <c r="AJ42" s="108">
        <f>IF(AN42=0,K42,0)</f>
        <v>0</v>
      </c>
      <c r="AK42" s="108">
        <f>IF(AN42=15,K42,0)</f>
        <v>0</v>
      </c>
      <c r="AL42" s="108">
        <f>IF(AN42=21,K42,0)</f>
        <v>0</v>
      </c>
      <c r="AN42" s="100">
        <v>15</v>
      </c>
      <c r="AO42" s="100">
        <f>H42*0.863567116847577</f>
        <v>0</v>
      </c>
      <c r="AP42" s="100">
        <f>H42*(1-0.863567116847577)</f>
        <v>0</v>
      </c>
      <c r="AQ42" s="111" t="s">
        <v>7</v>
      </c>
      <c r="AV42" s="100">
        <f>AW42+AX42</f>
        <v>0</v>
      </c>
      <c r="AW42" s="100">
        <f>G42*AO42</f>
        <v>0</v>
      </c>
      <c r="AX42" s="100">
        <f>G42*AP42</f>
        <v>0</v>
      </c>
      <c r="AY42" s="110" t="s">
        <v>1690</v>
      </c>
      <c r="AZ42" s="110" t="s">
        <v>1727</v>
      </c>
      <c r="BA42" s="109" t="s">
        <v>1737</v>
      </c>
      <c r="BC42" s="100">
        <f>AW42+AX42</f>
        <v>0</v>
      </c>
      <c r="BD42" s="100">
        <f>H42/(100-BE42)*100</f>
        <v>0</v>
      </c>
      <c r="BE42" s="100">
        <v>0</v>
      </c>
      <c r="BF42" s="100">
        <f>42</f>
        <v>42</v>
      </c>
      <c r="BH42" s="108">
        <f>G42*AO42</f>
        <v>0</v>
      </c>
      <c r="BI42" s="108">
        <f>G42*AP42</f>
        <v>0</v>
      </c>
      <c r="BJ42" s="108">
        <f>G42*H42</f>
        <v>0</v>
      </c>
    </row>
    <row r="43" spans="1:62" x14ac:dyDescent="0.2">
      <c r="A43" s="117" t="s">
        <v>28</v>
      </c>
      <c r="B43" s="117" t="s">
        <v>597</v>
      </c>
      <c r="C43" s="304" t="s">
        <v>1092</v>
      </c>
      <c r="D43" s="305"/>
      <c r="E43" s="305"/>
      <c r="F43" s="117" t="s">
        <v>1645</v>
      </c>
      <c r="G43" s="116">
        <v>26.86</v>
      </c>
      <c r="H43" s="159"/>
      <c r="I43" s="108">
        <f>G43*AO43</f>
        <v>0</v>
      </c>
      <c r="J43" s="108">
        <f>G43*AP43</f>
        <v>0</v>
      </c>
      <c r="K43" s="108">
        <f>G43*H43</f>
        <v>0</v>
      </c>
      <c r="L43" s="111" t="s">
        <v>1671</v>
      </c>
      <c r="Z43" s="100">
        <f>IF(AQ43="5",BJ43,0)</f>
        <v>0</v>
      </c>
      <c r="AB43" s="100">
        <f>IF(AQ43="1",BH43,0)</f>
        <v>0</v>
      </c>
      <c r="AC43" s="100">
        <f>IF(AQ43="1",BI43,0)</f>
        <v>0</v>
      </c>
      <c r="AD43" s="100">
        <f>IF(AQ43="7",BH43,0)</f>
        <v>0</v>
      </c>
      <c r="AE43" s="100">
        <f>IF(AQ43="7",BI43,0)</f>
        <v>0</v>
      </c>
      <c r="AF43" s="100">
        <f>IF(AQ43="2",BH43,0)</f>
        <v>0</v>
      </c>
      <c r="AG43" s="100">
        <f>IF(AQ43="2",BI43,0)</f>
        <v>0</v>
      </c>
      <c r="AH43" s="100">
        <f>IF(AQ43="0",BJ43,0)</f>
        <v>0</v>
      </c>
      <c r="AI43" s="109"/>
      <c r="AJ43" s="108">
        <f>IF(AN43=0,K43,0)</f>
        <v>0</v>
      </c>
      <c r="AK43" s="108">
        <f>IF(AN43=15,K43,0)</f>
        <v>0</v>
      </c>
      <c r="AL43" s="108">
        <f>IF(AN43=21,K43,0)</f>
        <v>0</v>
      </c>
      <c r="AN43" s="100">
        <v>15</v>
      </c>
      <c r="AO43" s="100">
        <f>H43*0.764047440993668</f>
        <v>0</v>
      </c>
      <c r="AP43" s="100">
        <f>H43*(1-0.764047440993668)</f>
        <v>0</v>
      </c>
      <c r="AQ43" s="111" t="s">
        <v>7</v>
      </c>
      <c r="AV43" s="100">
        <f>AW43+AX43</f>
        <v>0</v>
      </c>
      <c r="AW43" s="100">
        <f>G43*AO43</f>
        <v>0</v>
      </c>
      <c r="AX43" s="100">
        <f>G43*AP43</f>
        <v>0</v>
      </c>
      <c r="AY43" s="110" t="s">
        <v>1690</v>
      </c>
      <c r="AZ43" s="110" t="s">
        <v>1727</v>
      </c>
      <c r="BA43" s="109" t="s">
        <v>1737</v>
      </c>
      <c r="BC43" s="100">
        <f>AW43+AX43</f>
        <v>0</v>
      </c>
      <c r="BD43" s="100">
        <f>H43/(100-BE43)*100</f>
        <v>0</v>
      </c>
      <c r="BE43" s="100">
        <v>0</v>
      </c>
      <c r="BF43" s="100">
        <f>43</f>
        <v>43</v>
      </c>
      <c r="BH43" s="108">
        <f>G43*AO43</f>
        <v>0</v>
      </c>
      <c r="BI43" s="108">
        <f>G43*AP43</f>
        <v>0</v>
      </c>
      <c r="BJ43" s="108">
        <f>G43*H43</f>
        <v>0</v>
      </c>
    </row>
    <row r="44" spans="1:62" x14ac:dyDescent="0.2">
      <c r="A44" s="117" t="s">
        <v>29</v>
      </c>
      <c r="B44" s="117" t="s">
        <v>598</v>
      </c>
      <c r="C44" s="304" t="s">
        <v>1093</v>
      </c>
      <c r="D44" s="305"/>
      <c r="E44" s="305"/>
      <c r="F44" s="117" t="s">
        <v>1645</v>
      </c>
      <c r="G44" s="116">
        <v>26.86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</f>
        <v>0</v>
      </c>
      <c r="AP44" s="100">
        <f>H44*(1-0)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1690</v>
      </c>
      <c r="AZ44" s="110" t="s">
        <v>1727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9"/>
      <c r="B45" s="120" t="s">
        <v>65</v>
      </c>
      <c r="C45" s="306" t="s">
        <v>1094</v>
      </c>
      <c r="D45" s="307"/>
      <c r="E45" s="307"/>
      <c r="F45" s="119" t="s">
        <v>6</v>
      </c>
      <c r="G45" s="119" t="s">
        <v>6</v>
      </c>
      <c r="H45" s="119" t="s">
        <v>6</v>
      </c>
      <c r="I45" s="118">
        <f>SUM(I46:I48)</f>
        <v>0</v>
      </c>
      <c r="J45" s="118">
        <f>SUM(J46:J48)</f>
        <v>0</v>
      </c>
      <c r="K45" s="118">
        <f>SUM(K46:K48)</f>
        <v>0</v>
      </c>
      <c r="L45" s="109"/>
      <c r="AI45" s="109"/>
      <c r="AS45" s="118">
        <f>SUM(AJ46:AJ48)</f>
        <v>0</v>
      </c>
      <c r="AT45" s="118">
        <f>SUM(AK46:AK48)</f>
        <v>0</v>
      </c>
      <c r="AU45" s="118">
        <f>SUM(AL46:AL48)</f>
        <v>0</v>
      </c>
    </row>
    <row r="46" spans="1:62" x14ac:dyDescent="0.2">
      <c r="A46" s="117" t="s">
        <v>30</v>
      </c>
      <c r="B46" s="117" t="s">
        <v>599</v>
      </c>
      <c r="C46" s="304" t="s">
        <v>1095</v>
      </c>
      <c r="D46" s="305"/>
      <c r="E46" s="305"/>
      <c r="F46" s="117" t="s">
        <v>1645</v>
      </c>
      <c r="G46" s="116">
        <v>47.707999999999998</v>
      </c>
      <c r="H46" s="159"/>
      <c r="I46" s="108">
        <f>G46*AO46</f>
        <v>0</v>
      </c>
      <c r="J46" s="108">
        <f>G46*AP46</f>
        <v>0</v>
      </c>
      <c r="K46" s="108">
        <f>G46*H46</f>
        <v>0</v>
      </c>
      <c r="L46" s="111" t="s">
        <v>1671</v>
      </c>
      <c r="Z46" s="100">
        <f>IF(AQ46="5",BJ46,0)</f>
        <v>0</v>
      </c>
      <c r="AB46" s="100">
        <f>IF(AQ46="1",BH46,0)</f>
        <v>0</v>
      </c>
      <c r="AC46" s="100">
        <f>IF(AQ46="1",BI46,0)</f>
        <v>0</v>
      </c>
      <c r="AD46" s="100">
        <f>IF(AQ46="7",BH46,0)</f>
        <v>0</v>
      </c>
      <c r="AE46" s="100">
        <f>IF(AQ46="7",BI46,0)</f>
        <v>0</v>
      </c>
      <c r="AF46" s="100">
        <f>IF(AQ46="2",BH46,0)</f>
        <v>0</v>
      </c>
      <c r="AG46" s="100">
        <f>IF(AQ46="2",BI46,0)</f>
        <v>0</v>
      </c>
      <c r="AH46" s="100">
        <f>IF(AQ46="0",BJ46,0)</f>
        <v>0</v>
      </c>
      <c r="AI46" s="109"/>
      <c r="AJ46" s="108">
        <f>IF(AN46=0,K46,0)</f>
        <v>0</v>
      </c>
      <c r="AK46" s="108">
        <f>IF(AN46=15,K46,0)</f>
        <v>0</v>
      </c>
      <c r="AL46" s="108">
        <f>IF(AN46=21,K46,0)</f>
        <v>0</v>
      </c>
      <c r="AN46" s="100">
        <v>15</v>
      </c>
      <c r="AO46" s="100">
        <f>H46*0.50999994600995</f>
        <v>0</v>
      </c>
      <c r="AP46" s="100">
        <f>H46*(1-0.50999994600995)</f>
        <v>0</v>
      </c>
      <c r="AQ46" s="111" t="s">
        <v>7</v>
      </c>
      <c r="AV46" s="100">
        <f>AW46+AX46</f>
        <v>0</v>
      </c>
      <c r="AW46" s="100">
        <f>G46*AO46</f>
        <v>0</v>
      </c>
      <c r="AX46" s="100">
        <f>G46*AP46</f>
        <v>0</v>
      </c>
      <c r="AY46" s="110" t="s">
        <v>1691</v>
      </c>
      <c r="AZ46" s="110" t="s">
        <v>1727</v>
      </c>
      <c r="BA46" s="109" t="s">
        <v>1737</v>
      </c>
      <c r="BC46" s="100">
        <f>AW46+AX46</f>
        <v>0</v>
      </c>
      <c r="BD46" s="100">
        <f>H46/(100-BE46)*100</f>
        <v>0</v>
      </c>
      <c r="BE46" s="100">
        <v>0</v>
      </c>
      <c r="BF46" s="100">
        <f>46</f>
        <v>46</v>
      </c>
      <c r="BH46" s="108">
        <f>G46*AO46</f>
        <v>0</v>
      </c>
      <c r="BI46" s="108">
        <f>G46*AP46</f>
        <v>0</v>
      </c>
      <c r="BJ46" s="108">
        <f>G46*H46</f>
        <v>0</v>
      </c>
    </row>
    <row r="47" spans="1:62" x14ac:dyDescent="0.2">
      <c r="A47" s="117" t="s">
        <v>31</v>
      </c>
      <c r="B47" s="117" t="s">
        <v>2865</v>
      </c>
      <c r="C47" s="304" t="s">
        <v>2864</v>
      </c>
      <c r="D47" s="305"/>
      <c r="E47" s="305"/>
      <c r="F47" s="117" t="s">
        <v>1645</v>
      </c>
      <c r="G47" s="116">
        <v>8.923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H47*0.486837487175344</f>
        <v>0</v>
      </c>
      <c r="AP47" s="100">
        <f>H47*(1-0.486837487175344)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1691</v>
      </c>
      <c r="AZ47" s="110" t="s">
        <v>1727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7" t="s">
        <v>32</v>
      </c>
      <c r="B48" s="117" t="s">
        <v>600</v>
      </c>
      <c r="C48" s="304" t="s">
        <v>1096</v>
      </c>
      <c r="D48" s="305"/>
      <c r="E48" s="305"/>
      <c r="F48" s="117" t="s">
        <v>1645</v>
      </c>
      <c r="G48" s="116">
        <v>21.47</v>
      </c>
      <c r="H48" s="159"/>
      <c r="I48" s="108">
        <f>G48*AO48</f>
        <v>0</v>
      </c>
      <c r="J48" s="108">
        <f>G48*AP48</f>
        <v>0</v>
      </c>
      <c r="K48" s="108">
        <f>G48*H48</f>
        <v>0</v>
      </c>
      <c r="L48" s="111" t="s">
        <v>1671</v>
      </c>
      <c r="Z48" s="100">
        <f>IF(AQ48="5",BJ48,0)</f>
        <v>0</v>
      </c>
      <c r="AB48" s="100">
        <f>IF(AQ48="1",BH48,0)</f>
        <v>0</v>
      </c>
      <c r="AC48" s="100">
        <f>IF(AQ48="1",BI48,0)</f>
        <v>0</v>
      </c>
      <c r="AD48" s="100">
        <f>IF(AQ48="7",BH48,0)</f>
        <v>0</v>
      </c>
      <c r="AE48" s="100">
        <f>IF(AQ48="7",BI48,0)</f>
        <v>0</v>
      </c>
      <c r="AF48" s="100">
        <f>IF(AQ48="2",BH48,0)</f>
        <v>0</v>
      </c>
      <c r="AG48" s="100">
        <f>IF(AQ48="2",BI48,0)</f>
        <v>0</v>
      </c>
      <c r="AH48" s="100">
        <f>IF(AQ48="0",BJ48,0)</f>
        <v>0</v>
      </c>
      <c r="AI48" s="109"/>
      <c r="AJ48" s="108">
        <f>IF(AN48=0,K48,0)</f>
        <v>0</v>
      </c>
      <c r="AK48" s="108">
        <f>IF(AN48=15,K48,0)</f>
        <v>0</v>
      </c>
      <c r="AL48" s="108">
        <f>IF(AN48=21,K48,0)</f>
        <v>0</v>
      </c>
      <c r="AN48" s="100">
        <v>15</v>
      </c>
      <c r="AO48" s="100">
        <f>H48*0.763125889363495</f>
        <v>0</v>
      </c>
      <c r="AP48" s="100">
        <f>H48*(1-0.763125889363495)</f>
        <v>0</v>
      </c>
      <c r="AQ48" s="111" t="s">
        <v>7</v>
      </c>
      <c r="AV48" s="100">
        <f>AW48+AX48</f>
        <v>0</v>
      </c>
      <c r="AW48" s="100">
        <f>G48*AO48</f>
        <v>0</v>
      </c>
      <c r="AX48" s="100">
        <f>G48*AP48</f>
        <v>0</v>
      </c>
      <c r="AY48" s="110" t="s">
        <v>1691</v>
      </c>
      <c r="AZ48" s="110" t="s">
        <v>1727</v>
      </c>
      <c r="BA48" s="109" t="s">
        <v>1737</v>
      </c>
      <c r="BC48" s="100">
        <f>AW48+AX48</f>
        <v>0</v>
      </c>
      <c r="BD48" s="100">
        <f>H48/(100-BE48)*100</f>
        <v>0</v>
      </c>
      <c r="BE48" s="100">
        <v>0</v>
      </c>
      <c r="BF48" s="100">
        <f>48</f>
        <v>48</v>
      </c>
      <c r="BH48" s="108">
        <f>G48*AO48</f>
        <v>0</v>
      </c>
      <c r="BI48" s="108">
        <f>G48*AP48</f>
        <v>0</v>
      </c>
      <c r="BJ48" s="108">
        <f>G48*H48</f>
        <v>0</v>
      </c>
    </row>
    <row r="49" spans="1:62" x14ac:dyDescent="0.2">
      <c r="A49" s="119"/>
      <c r="B49" s="120" t="s">
        <v>67</v>
      </c>
      <c r="C49" s="306" t="s">
        <v>1097</v>
      </c>
      <c r="D49" s="307"/>
      <c r="E49" s="307"/>
      <c r="F49" s="119" t="s">
        <v>6</v>
      </c>
      <c r="G49" s="119" t="s">
        <v>6</v>
      </c>
      <c r="H49" s="119" t="s">
        <v>6</v>
      </c>
      <c r="I49" s="118">
        <f>SUM(I50:I56)</f>
        <v>0</v>
      </c>
      <c r="J49" s="118">
        <f>SUM(J50:J56)</f>
        <v>0</v>
      </c>
      <c r="K49" s="118">
        <f>SUM(K50:K56)</f>
        <v>0</v>
      </c>
      <c r="L49" s="109"/>
      <c r="AI49" s="109"/>
      <c r="AS49" s="118">
        <f>SUM(AJ50:AJ56)</f>
        <v>0</v>
      </c>
      <c r="AT49" s="118">
        <f>SUM(AK50:AK56)</f>
        <v>0</v>
      </c>
      <c r="AU49" s="118">
        <f>SUM(AL50:AL56)</f>
        <v>0</v>
      </c>
    </row>
    <row r="50" spans="1:62" x14ac:dyDescent="0.2">
      <c r="A50" s="117" t="s">
        <v>33</v>
      </c>
      <c r="B50" s="117" t="s">
        <v>601</v>
      </c>
      <c r="C50" s="304" t="s">
        <v>1098</v>
      </c>
      <c r="D50" s="305"/>
      <c r="E50" s="305"/>
      <c r="F50" s="117" t="s">
        <v>1645</v>
      </c>
      <c r="G50" s="116">
        <v>32.003</v>
      </c>
      <c r="H50" s="159"/>
      <c r="I50" s="108">
        <f t="shared" ref="I50:I56" si="0">G50*AO50</f>
        <v>0</v>
      </c>
      <c r="J50" s="108">
        <f t="shared" ref="J50:J56" si="1">G50*AP50</f>
        <v>0</v>
      </c>
      <c r="K50" s="108">
        <f t="shared" ref="K50:K56" si="2">G50*H50</f>
        <v>0</v>
      </c>
      <c r="L50" s="111" t="s">
        <v>1671</v>
      </c>
      <c r="Z50" s="100">
        <f t="shared" ref="Z50:Z56" si="3">IF(AQ50="5",BJ50,0)</f>
        <v>0</v>
      </c>
      <c r="AB50" s="100">
        <f t="shared" ref="AB50:AB56" si="4">IF(AQ50="1",BH50,0)</f>
        <v>0</v>
      </c>
      <c r="AC50" s="100">
        <f t="shared" ref="AC50:AC56" si="5">IF(AQ50="1",BI50,0)</f>
        <v>0</v>
      </c>
      <c r="AD50" s="100">
        <f t="shared" ref="AD50:AD56" si="6">IF(AQ50="7",BH50,0)</f>
        <v>0</v>
      </c>
      <c r="AE50" s="100">
        <f t="shared" ref="AE50:AE56" si="7">IF(AQ50="7",BI50,0)</f>
        <v>0</v>
      </c>
      <c r="AF50" s="100">
        <f t="shared" ref="AF50:AF56" si="8">IF(AQ50="2",BH50,0)</f>
        <v>0</v>
      </c>
      <c r="AG50" s="100">
        <f t="shared" ref="AG50:AG56" si="9">IF(AQ50="2",BI50,0)</f>
        <v>0</v>
      </c>
      <c r="AH50" s="100">
        <f t="shared" ref="AH50:AH56" si="10">IF(AQ50="0",BJ50,0)</f>
        <v>0</v>
      </c>
      <c r="AI50" s="109"/>
      <c r="AJ50" s="108">
        <f t="shared" ref="AJ50:AJ56" si="11">IF(AN50=0,K50,0)</f>
        <v>0</v>
      </c>
      <c r="AK50" s="108">
        <f t="shared" ref="AK50:AK56" si="12">IF(AN50=15,K50,0)</f>
        <v>0</v>
      </c>
      <c r="AL50" s="108">
        <f t="shared" ref="AL50:AL56" si="13">IF(AN50=21,K50,0)</f>
        <v>0</v>
      </c>
      <c r="AN50" s="100">
        <v>15</v>
      </c>
      <c r="AO50" s="100">
        <f>H50*0.137604497764974</f>
        <v>0</v>
      </c>
      <c r="AP50" s="100">
        <f>H50*(1-0.137604497764974)</f>
        <v>0</v>
      </c>
      <c r="AQ50" s="111" t="s">
        <v>7</v>
      </c>
      <c r="AV50" s="100">
        <f t="shared" ref="AV50:AV56" si="14">AW50+AX50</f>
        <v>0</v>
      </c>
      <c r="AW50" s="100">
        <f t="shared" ref="AW50:AW56" si="15">G50*AO50</f>
        <v>0</v>
      </c>
      <c r="AX50" s="100">
        <f t="shared" ref="AX50:AX56" si="16">G50*AP50</f>
        <v>0</v>
      </c>
      <c r="AY50" s="110" t="s">
        <v>1692</v>
      </c>
      <c r="AZ50" s="110" t="s">
        <v>1728</v>
      </c>
      <c r="BA50" s="109" t="s">
        <v>1737</v>
      </c>
      <c r="BC50" s="100">
        <f t="shared" ref="BC50:BC56" si="17">AW50+AX50</f>
        <v>0</v>
      </c>
      <c r="BD50" s="100">
        <f t="shared" ref="BD50:BD56" si="18">H50/(100-BE50)*100</f>
        <v>0</v>
      </c>
      <c r="BE50" s="100">
        <v>0</v>
      </c>
      <c r="BF50" s="100">
        <f>50</f>
        <v>50</v>
      </c>
      <c r="BH50" s="108">
        <f t="shared" ref="BH50:BH56" si="19">G50*AO50</f>
        <v>0</v>
      </c>
      <c r="BI50" s="108">
        <f t="shared" ref="BI50:BI56" si="20">G50*AP50</f>
        <v>0</v>
      </c>
      <c r="BJ50" s="108">
        <f t="shared" ref="BJ50:BJ56" si="21">G50*H50</f>
        <v>0</v>
      </c>
    </row>
    <row r="51" spans="1:62" x14ac:dyDescent="0.2">
      <c r="A51" s="117" t="s">
        <v>34</v>
      </c>
      <c r="B51" s="117" t="s">
        <v>602</v>
      </c>
      <c r="C51" s="304" t="s">
        <v>1099</v>
      </c>
      <c r="D51" s="305"/>
      <c r="E51" s="305"/>
      <c r="F51" s="117" t="s">
        <v>1645</v>
      </c>
      <c r="G51" s="116">
        <v>0.3</v>
      </c>
      <c r="H51" s="159"/>
      <c r="I51" s="108">
        <f t="shared" si="0"/>
        <v>0</v>
      </c>
      <c r="J51" s="108">
        <f t="shared" si="1"/>
        <v>0</v>
      </c>
      <c r="K51" s="108">
        <f t="shared" si="2"/>
        <v>0</v>
      </c>
      <c r="L51" s="111" t="s">
        <v>1671</v>
      </c>
      <c r="Z51" s="100">
        <f t="shared" si="3"/>
        <v>0</v>
      </c>
      <c r="AB51" s="100">
        <f t="shared" si="4"/>
        <v>0</v>
      </c>
      <c r="AC51" s="100">
        <f t="shared" si="5"/>
        <v>0</v>
      </c>
      <c r="AD51" s="100">
        <f t="shared" si="6"/>
        <v>0</v>
      </c>
      <c r="AE51" s="100">
        <f t="shared" si="7"/>
        <v>0</v>
      </c>
      <c r="AF51" s="100">
        <f t="shared" si="8"/>
        <v>0</v>
      </c>
      <c r="AG51" s="100">
        <f t="shared" si="9"/>
        <v>0</v>
      </c>
      <c r="AH51" s="100">
        <f t="shared" si="10"/>
        <v>0</v>
      </c>
      <c r="AI51" s="109"/>
      <c r="AJ51" s="108">
        <f t="shared" si="11"/>
        <v>0</v>
      </c>
      <c r="AK51" s="108">
        <f t="shared" si="12"/>
        <v>0</v>
      </c>
      <c r="AL51" s="108">
        <f t="shared" si="13"/>
        <v>0</v>
      </c>
      <c r="AN51" s="100">
        <v>15</v>
      </c>
      <c r="AO51" s="100">
        <f>H51*0.193992673992674</f>
        <v>0</v>
      </c>
      <c r="AP51" s="100">
        <f>H51*(1-0.193992673992674)</f>
        <v>0</v>
      </c>
      <c r="AQ51" s="111" t="s">
        <v>7</v>
      </c>
      <c r="AV51" s="100">
        <f t="shared" si="14"/>
        <v>0</v>
      </c>
      <c r="AW51" s="100">
        <f t="shared" si="15"/>
        <v>0</v>
      </c>
      <c r="AX51" s="100">
        <f t="shared" si="16"/>
        <v>0</v>
      </c>
      <c r="AY51" s="110" t="s">
        <v>1692</v>
      </c>
      <c r="AZ51" s="110" t="s">
        <v>1728</v>
      </c>
      <c r="BA51" s="109" t="s">
        <v>1737</v>
      </c>
      <c r="BC51" s="100">
        <f t="shared" si="17"/>
        <v>0</v>
      </c>
      <c r="BD51" s="100">
        <f t="shared" si="18"/>
        <v>0</v>
      </c>
      <c r="BE51" s="100">
        <v>0</v>
      </c>
      <c r="BF51" s="100">
        <f>51</f>
        <v>51</v>
      </c>
      <c r="BH51" s="108">
        <f t="shared" si="19"/>
        <v>0</v>
      </c>
      <c r="BI51" s="108">
        <f t="shared" si="20"/>
        <v>0</v>
      </c>
      <c r="BJ51" s="108">
        <f t="shared" si="21"/>
        <v>0</v>
      </c>
    </row>
    <row r="52" spans="1:62" x14ac:dyDescent="0.2">
      <c r="A52" s="117" t="s">
        <v>35</v>
      </c>
      <c r="B52" s="117" t="s">
        <v>603</v>
      </c>
      <c r="C52" s="304" t="s">
        <v>1100</v>
      </c>
      <c r="D52" s="305"/>
      <c r="E52" s="305"/>
      <c r="F52" s="117" t="s">
        <v>1645</v>
      </c>
      <c r="G52" s="116">
        <v>0.3</v>
      </c>
      <c r="H52" s="159"/>
      <c r="I52" s="108">
        <f t="shared" si="0"/>
        <v>0</v>
      </c>
      <c r="J52" s="108">
        <f t="shared" si="1"/>
        <v>0</v>
      </c>
      <c r="K52" s="108">
        <f t="shared" si="2"/>
        <v>0</v>
      </c>
      <c r="L52" s="111" t="s">
        <v>1671</v>
      </c>
      <c r="Z52" s="100">
        <f t="shared" si="3"/>
        <v>0</v>
      </c>
      <c r="AB52" s="100">
        <f t="shared" si="4"/>
        <v>0</v>
      </c>
      <c r="AC52" s="100">
        <f t="shared" si="5"/>
        <v>0</v>
      </c>
      <c r="AD52" s="100">
        <f t="shared" si="6"/>
        <v>0</v>
      </c>
      <c r="AE52" s="100">
        <f t="shared" si="7"/>
        <v>0</v>
      </c>
      <c r="AF52" s="100">
        <f t="shared" si="8"/>
        <v>0</v>
      </c>
      <c r="AG52" s="100">
        <f t="shared" si="9"/>
        <v>0</v>
      </c>
      <c r="AH52" s="100">
        <f t="shared" si="10"/>
        <v>0</v>
      </c>
      <c r="AI52" s="109"/>
      <c r="AJ52" s="108">
        <f t="shared" si="11"/>
        <v>0</v>
      </c>
      <c r="AK52" s="108">
        <f t="shared" si="12"/>
        <v>0</v>
      </c>
      <c r="AL52" s="108">
        <f t="shared" si="13"/>
        <v>0</v>
      </c>
      <c r="AN52" s="100">
        <v>15</v>
      </c>
      <c r="AO52" s="100">
        <f>H52*0.0969477911646586</f>
        <v>0</v>
      </c>
      <c r="AP52" s="100">
        <f>H52*(1-0.0969477911646586)</f>
        <v>0</v>
      </c>
      <c r="AQ52" s="111" t="s">
        <v>7</v>
      </c>
      <c r="AV52" s="100">
        <f t="shared" si="14"/>
        <v>0</v>
      </c>
      <c r="AW52" s="100">
        <f t="shared" si="15"/>
        <v>0</v>
      </c>
      <c r="AX52" s="100">
        <f t="shared" si="16"/>
        <v>0</v>
      </c>
      <c r="AY52" s="110" t="s">
        <v>1692</v>
      </c>
      <c r="AZ52" s="110" t="s">
        <v>1728</v>
      </c>
      <c r="BA52" s="109" t="s">
        <v>1737</v>
      </c>
      <c r="BC52" s="100">
        <f t="shared" si="17"/>
        <v>0</v>
      </c>
      <c r="BD52" s="100">
        <f t="shared" si="18"/>
        <v>0</v>
      </c>
      <c r="BE52" s="100">
        <v>0</v>
      </c>
      <c r="BF52" s="100">
        <f>52</f>
        <v>52</v>
      </c>
      <c r="BH52" s="108">
        <f t="shared" si="19"/>
        <v>0</v>
      </c>
      <c r="BI52" s="108">
        <f t="shared" si="20"/>
        <v>0</v>
      </c>
      <c r="BJ52" s="108">
        <f t="shared" si="21"/>
        <v>0</v>
      </c>
    </row>
    <row r="53" spans="1:62" x14ac:dyDescent="0.2">
      <c r="A53" s="117" t="s">
        <v>36</v>
      </c>
      <c r="B53" s="117" t="s">
        <v>604</v>
      </c>
      <c r="C53" s="304" t="s">
        <v>1101</v>
      </c>
      <c r="D53" s="305"/>
      <c r="E53" s="305"/>
      <c r="F53" s="117" t="s">
        <v>1645</v>
      </c>
      <c r="G53" s="116">
        <v>24.055</v>
      </c>
      <c r="H53" s="159"/>
      <c r="I53" s="108">
        <f t="shared" si="0"/>
        <v>0</v>
      </c>
      <c r="J53" s="108">
        <f t="shared" si="1"/>
        <v>0</v>
      </c>
      <c r="K53" s="108">
        <f t="shared" si="2"/>
        <v>0</v>
      </c>
      <c r="L53" s="111" t="s">
        <v>1671</v>
      </c>
      <c r="Z53" s="100">
        <f t="shared" si="3"/>
        <v>0</v>
      </c>
      <c r="AB53" s="100">
        <f t="shared" si="4"/>
        <v>0</v>
      </c>
      <c r="AC53" s="100">
        <f t="shared" si="5"/>
        <v>0</v>
      </c>
      <c r="AD53" s="100">
        <f t="shared" si="6"/>
        <v>0</v>
      </c>
      <c r="AE53" s="100">
        <f t="shared" si="7"/>
        <v>0</v>
      </c>
      <c r="AF53" s="100">
        <f t="shared" si="8"/>
        <v>0</v>
      </c>
      <c r="AG53" s="100">
        <f t="shared" si="9"/>
        <v>0</v>
      </c>
      <c r="AH53" s="100">
        <f t="shared" si="10"/>
        <v>0</v>
      </c>
      <c r="AI53" s="109"/>
      <c r="AJ53" s="108">
        <f t="shared" si="11"/>
        <v>0</v>
      </c>
      <c r="AK53" s="108">
        <f t="shared" si="12"/>
        <v>0</v>
      </c>
      <c r="AL53" s="108">
        <f t="shared" si="13"/>
        <v>0</v>
      </c>
      <c r="AN53" s="100">
        <v>15</v>
      </c>
      <c r="AO53" s="100">
        <f>H53*0.0969760738536996</f>
        <v>0</v>
      </c>
      <c r="AP53" s="100">
        <f>H53*(1-0.0969760738536996)</f>
        <v>0</v>
      </c>
      <c r="AQ53" s="111" t="s">
        <v>7</v>
      </c>
      <c r="AV53" s="100">
        <f t="shared" si="14"/>
        <v>0</v>
      </c>
      <c r="AW53" s="100">
        <f t="shared" si="15"/>
        <v>0</v>
      </c>
      <c r="AX53" s="100">
        <f t="shared" si="16"/>
        <v>0</v>
      </c>
      <c r="AY53" s="110" t="s">
        <v>1692</v>
      </c>
      <c r="AZ53" s="110" t="s">
        <v>1728</v>
      </c>
      <c r="BA53" s="109" t="s">
        <v>1737</v>
      </c>
      <c r="BC53" s="100">
        <f t="shared" si="17"/>
        <v>0</v>
      </c>
      <c r="BD53" s="100">
        <f t="shared" si="18"/>
        <v>0</v>
      </c>
      <c r="BE53" s="100">
        <v>0</v>
      </c>
      <c r="BF53" s="100">
        <f>53</f>
        <v>53</v>
      </c>
      <c r="BH53" s="108">
        <f t="shared" si="19"/>
        <v>0</v>
      </c>
      <c r="BI53" s="108">
        <f t="shared" si="20"/>
        <v>0</v>
      </c>
      <c r="BJ53" s="108">
        <f t="shared" si="21"/>
        <v>0</v>
      </c>
    </row>
    <row r="54" spans="1:62" x14ac:dyDescent="0.2">
      <c r="A54" s="117" t="s">
        <v>37</v>
      </c>
      <c r="B54" s="117" t="s">
        <v>2862</v>
      </c>
      <c r="C54" s="304" t="s">
        <v>2861</v>
      </c>
      <c r="D54" s="305"/>
      <c r="E54" s="305"/>
      <c r="F54" s="117" t="s">
        <v>1646</v>
      </c>
      <c r="G54" s="116">
        <v>30.6</v>
      </c>
      <c r="H54" s="159"/>
      <c r="I54" s="108">
        <f t="shared" si="0"/>
        <v>0</v>
      </c>
      <c r="J54" s="108">
        <f t="shared" si="1"/>
        <v>0</v>
      </c>
      <c r="K54" s="108">
        <f t="shared" si="2"/>
        <v>0</v>
      </c>
      <c r="L54" s="111" t="s">
        <v>1671</v>
      </c>
      <c r="Z54" s="100">
        <f t="shared" si="3"/>
        <v>0</v>
      </c>
      <c r="AB54" s="100">
        <f t="shared" si="4"/>
        <v>0</v>
      </c>
      <c r="AC54" s="100">
        <f t="shared" si="5"/>
        <v>0</v>
      </c>
      <c r="AD54" s="100">
        <f t="shared" si="6"/>
        <v>0</v>
      </c>
      <c r="AE54" s="100">
        <f t="shared" si="7"/>
        <v>0</v>
      </c>
      <c r="AF54" s="100">
        <f t="shared" si="8"/>
        <v>0</v>
      </c>
      <c r="AG54" s="100">
        <f t="shared" si="9"/>
        <v>0</v>
      </c>
      <c r="AH54" s="100">
        <f t="shared" si="10"/>
        <v>0</v>
      </c>
      <c r="AI54" s="109"/>
      <c r="AJ54" s="108">
        <f t="shared" si="11"/>
        <v>0</v>
      </c>
      <c r="AK54" s="108">
        <f t="shared" si="12"/>
        <v>0</v>
      </c>
      <c r="AL54" s="108">
        <f t="shared" si="13"/>
        <v>0</v>
      </c>
      <c r="AN54" s="100">
        <v>15</v>
      </c>
      <c r="AO54" s="100">
        <f>H54*0.693027027027027</f>
        <v>0</v>
      </c>
      <c r="AP54" s="100">
        <f>H54*(1-0.693027027027027)</f>
        <v>0</v>
      </c>
      <c r="AQ54" s="111" t="s">
        <v>7</v>
      </c>
      <c r="AV54" s="100">
        <f t="shared" si="14"/>
        <v>0</v>
      </c>
      <c r="AW54" s="100">
        <f t="shared" si="15"/>
        <v>0</v>
      </c>
      <c r="AX54" s="100">
        <f t="shared" si="16"/>
        <v>0</v>
      </c>
      <c r="AY54" s="110" t="s">
        <v>1692</v>
      </c>
      <c r="AZ54" s="110" t="s">
        <v>1728</v>
      </c>
      <c r="BA54" s="109" t="s">
        <v>1737</v>
      </c>
      <c r="BC54" s="100">
        <f t="shared" si="17"/>
        <v>0</v>
      </c>
      <c r="BD54" s="100">
        <f t="shared" si="18"/>
        <v>0</v>
      </c>
      <c r="BE54" s="100">
        <v>0</v>
      </c>
      <c r="BF54" s="100">
        <f>54</f>
        <v>54</v>
      </c>
      <c r="BH54" s="108">
        <f t="shared" si="19"/>
        <v>0</v>
      </c>
      <c r="BI54" s="108">
        <f t="shared" si="20"/>
        <v>0</v>
      </c>
      <c r="BJ54" s="108">
        <f t="shared" si="21"/>
        <v>0</v>
      </c>
    </row>
    <row r="55" spans="1:62" x14ac:dyDescent="0.2">
      <c r="A55" s="117" t="s">
        <v>38</v>
      </c>
      <c r="B55" s="117" t="s">
        <v>605</v>
      </c>
      <c r="C55" s="304" t="s">
        <v>1102</v>
      </c>
      <c r="D55" s="305"/>
      <c r="E55" s="305"/>
      <c r="F55" s="117" t="s">
        <v>1645</v>
      </c>
      <c r="G55" s="116">
        <v>265.774</v>
      </c>
      <c r="H55" s="159"/>
      <c r="I55" s="108">
        <f t="shared" si="0"/>
        <v>0</v>
      </c>
      <c r="J55" s="108">
        <f t="shared" si="1"/>
        <v>0</v>
      </c>
      <c r="K55" s="108">
        <f t="shared" si="2"/>
        <v>0</v>
      </c>
      <c r="L55" s="111" t="s">
        <v>1671</v>
      </c>
      <c r="Z55" s="100">
        <f t="shared" si="3"/>
        <v>0</v>
      </c>
      <c r="AB55" s="100">
        <f t="shared" si="4"/>
        <v>0</v>
      </c>
      <c r="AC55" s="100">
        <f t="shared" si="5"/>
        <v>0</v>
      </c>
      <c r="AD55" s="100">
        <f t="shared" si="6"/>
        <v>0</v>
      </c>
      <c r="AE55" s="100">
        <f t="shared" si="7"/>
        <v>0</v>
      </c>
      <c r="AF55" s="100">
        <f t="shared" si="8"/>
        <v>0</v>
      </c>
      <c r="AG55" s="100">
        <f t="shared" si="9"/>
        <v>0</v>
      </c>
      <c r="AH55" s="100">
        <f t="shared" si="10"/>
        <v>0</v>
      </c>
      <c r="AI55" s="109"/>
      <c r="AJ55" s="108">
        <f t="shared" si="11"/>
        <v>0</v>
      </c>
      <c r="AK55" s="108">
        <f t="shared" si="12"/>
        <v>0</v>
      </c>
      <c r="AL55" s="108">
        <f t="shared" si="13"/>
        <v>0</v>
      </c>
      <c r="AN55" s="100">
        <v>15</v>
      </c>
      <c r="AO55" s="100">
        <f>H55*0.091249997648378</f>
        <v>0</v>
      </c>
      <c r="AP55" s="100">
        <f>H55*(1-0.091249997648378)</f>
        <v>0</v>
      </c>
      <c r="AQ55" s="111" t="s">
        <v>7</v>
      </c>
      <c r="AV55" s="100">
        <f t="shared" si="14"/>
        <v>0</v>
      </c>
      <c r="AW55" s="100">
        <f t="shared" si="15"/>
        <v>0</v>
      </c>
      <c r="AX55" s="100">
        <f t="shared" si="16"/>
        <v>0</v>
      </c>
      <c r="AY55" s="110" t="s">
        <v>1692</v>
      </c>
      <c r="AZ55" s="110" t="s">
        <v>1728</v>
      </c>
      <c r="BA55" s="109" t="s">
        <v>1737</v>
      </c>
      <c r="BC55" s="100">
        <f t="shared" si="17"/>
        <v>0</v>
      </c>
      <c r="BD55" s="100">
        <f t="shared" si="18"/>
        <v>0</v>
      </c>
      <c r="BE55" s="100">
        <v>0</v>
      </c>
      <c r="BF55" s="100">
        <f>55</f>
        <v>55</v>
      </c>
      <c r="BH55" s="108">
        <f t="shared" si="19"/>
        <v>0</v>
      </c>
      <c r="BI55" s="108">
        <f t="shared" si="20"/>
        <v>0</v>
      </c>
      <c r="BJ55" s="108">
        <f t="shared" si="21"/>
        <v>0</v>
      </c>
    </row>
    <row r="56" spans="1:62" x14ac:dyDescent="0.2">
      <c r="A56" s="117" t="s">
        <v>39</v>
      </c>
      <c r="B56" s="117" t="s">
        <v>606</v>
      </c>
      <c r="C56" s="304" t="s">
        <v>2860</v>
      </c>
      <c r="D56" s="305"/>
      <c r="E56" s="305"/>
      <c r="F56" s="117" t="s">
        <v>1645</v>
      </c>
      <c r="G56" s="116">
        <v>47.027000000000001</v>
      </c>
      <c r="H56" s="159"/>
      <c r="I56" s="108">
        <f t="shared" si="0"/>
        <v>0</v>
      </c>
      <c r="J56" s="108">
        <f t="shared" si="1"/>
        <v>0</v>
      </c>
      <c r="K56" s="108">
        <f t="shared" si="2"/>
        <v>0</v>
      </c>
      <c r="L56" s="111" t="s">
        <v>1671</v>
      </c>
      <c r="Z56" s="100">
        <f t="shared" si="3"/>
        <v>0</v>
      </c>
      <c r="AB56" s="100">
        <f t="shared" si="4"/>
        <v>0</v>
      </c>
      <c r="AC56" s="100">
        <f t="shared" si="5"/>
        <v>0</v>
      </c>
      <c r="AD56" s="100">
        <f t="shared" si="6"/>
        <v>0</v>
      </c>
      <c r="AE56" s="100">
        <f t="shared" si="7"/>
        <v>0</v>
      </c>
      <c r="AF56" s="100">
        <f t="shared" si="8"/>
        <v>0</v>
      </c>
      <c r="AG56" s="100">
        <f t="shared" si="9"/>
        <v>0</v>
      </c>
      <c r="AH56" s="100">
        <f t="shared" si="10"/>
        <v>0</v>
      </c>
      <c r="AI56" s="109"/>
      <c r="AJ56" s="108">
        <f t="shared" si="11"/>
        <v>0</v>
      </c>
      <c r="AK56" s="108">
        <f t="shared" si="12"/>
        <v>0</v>
      </c>
      <c r="AL56" s="108">
        <f t="shared" si="13"/>
        <v>0</v>
      </c>
      <c r="AN56" s="100">
        <v>15</v>
      </c>
      <c r="AO56" s="100">
        <f>H56*0.523085271317829</f>
        <v>0</v>
      </c>
      <c r="AP56" s="100">
        <f>H56*(1-0.523085271317829)</f>
        <v>0</v>
      </c>
      <c r="AQ56" s="111" t="s">
        <v>7</v>
      </c>
      <c r="AV56" s="100">
        <f t="shared" si="14"/>
        <v>0</v>
      </c>
      <c r="AW56" s="100">
        <f t="shared" si="15"/>
        <v>0</v>
      </c>
      <c r="AX56" s="100">
        <f t="shared" si="16"/>
        <v>0</v>
      </c>
      <c r="AY56" s="110" t="s">
        <v>1692</v>
      </c>
      <c r="AZ56" s="110" t="s">
        <v>1728</v>
      </c>
      <c r="BA56" s="109" t="s">
        <v>1737</v>
      </c>
      <c r="BC56" s="100">
        <f t="shared" si="17"/>
        <v>0</v>
      </c>
      <c r="BD56" s="100">
        <f t="shared" si="18"/>
        <v>0</v>
      </c>
      <c r="BE56" s="100">
        <v>0</v>
      </c>
      <c r="BF56" s="100">
        <f>56</f>
        <v>56</v>
      </c>
      <c r="BH56" s="108">
        <f t="shared" si="19"/>
        <v>0</v>
      </c>
      <c r="BI56" s="108">
        <f t="shared" si="20"/>
        <v>0</v>
      </c>
      <c r="BJ56" s="108">
        <f t="shared" si="21"/>
        <v>0</v>
      </c>
    </row>
    <row r="57" spans="1:62" x14ac:dyDescent="0.2">
      <c r="A57" s="119"/>
      <c r="B57" s="120" t="s">
        <v>68</v>
      </c>
      <c r="C57" s="306" t="s">
        <v>1104</v>
      </c>
      <c r="D57" s="307"/>
      <c r="E57" s="307"/>
      <c r="F57" s="119" t="s">
        <v>6</v>
      </c>
      <c r="G57" s="119" t="s">
        <v>6</v>
      </c>
      <c r="H57" s="119" t="s">
        <v>6</v>
      </c>
      <c r="I57" s="118">
        <f>SUM(I58:I81)</f>
        <v>0</v>
      </c>
      <c r="J57" s="118">
        <f>SUM(J58:J81)</f>
        <v>0</v>
      </c>
      <c r="K57" s="118">
        <f>SUM(K58:K81)</f>
        <v>0</v>
      </c>
      <c r="L57" s="109"/>
      <c r="AI57" s="109"/>
      <c r="AS57" s="118">
        <f>SUM(AJ58:AJ81)</f>
        <v>0</v>
      </c>
      <c r="AT57" s="118">
        <f>SUM(AK58:AK81)</f>
        <v>0</v>
      </c>
      <c r="AU57" s="118">
        <f>SUM(AL58:AL81)</f>
        <v>0</v>
      </c>
    </row>
    <row r="58" spans="1:62" x14ac:dyDescent="0.2">
      <c r="A58" s="117" t="s">
        <v>40</v>
      </c>
      <c r="B58" s="117" t="s">
        <v>607</v>
      </c>
      <c r="C58" s="304" t="s">
        <v>1105</v>
      </c>
      <c r="D58" s="305"/>
      <c r="E58" s="305"/>
      <c r="F58" s="117" t="s">
        <v>1645</v>
      </c>
      <c r="G58" s="116">
        <v>68.34</v>
      </c>
      <c r="H58" s="159"/>
      <c r="I58" s="108">
        <f t="shared" ref="I58:I63" si="22">G58*AO58</f>
        <v>0</v>
      </c>
      <c r="J58" s="108">
        <f t="shared" ref="J58:J63" si="23">G58*AP58</f>
        <v>0</v>
      </c>
      <c r="K58" s="108">
        <f t="shared" ref="K58:K63" si="24">G58*H58</f>
        <v>0</v>
      </c>
      <c r="L58" s="111" t="s">
        <v>1671</v>
      </c>
      <c r="Z58" s="100">
        <f t="shared" ref="Z58:Z63" si="25">IF(AQ58="5",BJ58,0)</f>
        <v>0</v>
      </c>
      <c r="AB58" s="100">
        <f t="shared" ref="AB58:AB63" si="26">IF(AQ58="1",BH58,0)</f>
        <v>0</v>
      </c>
      <c r="AC58" s="100">
        <f t="shared" ref="AC58:AC63" si="27">IF(AQ58="1",BI58,0)</f>
        <v>0</v>
      </c>
      <c r="AD58" s="100">
        <f t="shared" ref="AD58:AD63" si="28">IF(AQ58="7",BH58,0)</f>
        <v>0</v>
      </c>
      <c r="AE58" s="100">
        <f t="shared" ref="AE58:AE63" si="29">IF(AQ58="7",BI58,0)</f>
        <v>0</v>
      </c>
      <c r="AF58" s="100">
        <f t="shared" ref="AF58:AF63" si="30">IF(AQ58="2",BH58,0)</f>
        <v>0</v>
      </c>
      <c r="AG58" s="100">
        <f t="shared" ref="AG58:AG63" si="31">IF(AQ58="2",BI58,0)</f>
        <v>0</v>
      </c>
      <c r="AH58" s="100">
        <f t="shared" ref="AH58:AH63" si="32">IF(AQ58="0",BJ58,0)</f>
        <v>0</v>
      </c>
      <c r="AI58" s="109"/>
      <c r="AJ58" s="108">
        <f t="shared" ref="AJ58:AJ63" si="33">IF(AN58=0,K58,0)</f>
        <v>0</v>
      </c>
      <c r="AK58" s="108">
        <f t="shared" ref="AK58:AK63" si="34">IF(AN58=15,K58,0)</f>
        <v>0</v>
      </c>
      <c r="AL58" s="108">
        <f t="shared" ref="AL58:AL63" si="35">IF(AN58=21,K58,0)</f>
        <v>0</v>
      </c>
      <c r="AN58" s="100">
        <v>15</v>
      </c>
      <c r="AO58" s="100">
        <f>H58*0.285592376919005</f>
        <v>0</v>
      </c>
      <c r="AP58" s="100">
        <f>H58*(1-0.285592376919005)</f>
        <v>0</v>
      </c>
      <c r="AQ58" s="111" t="s">
        <v>7</v>
      </c>
      <c r="AV58" s="100">
        <f t="shared" ref="AV58:AV63" si="36">AW58+AX58</f>
        <v>0</v>
      </c>
      <c r="AW58" s="100">
        <f t="shared" ref="AW58:AW63" si="37">G58*AO58</f>
        <v>0</v>
      </c>
      <c r="AX58" s="100">
        <f t="shared" ref="AX58:AX63" si="38">G58*AP58</f>
        <v>0</v>
      </c>
      <c r="AY58" s="110" t="s">
        <v>1693</v>
      </c>
      <c r="AZ58" s="110" t="s">
        <v>1728</v>
      </c>
      <c r="BA58" s="109" t="s">
        <v>1737</v>
      </c>
      <c r="BC58" s="100">
        <f t="shared" ref="BC58:BC63" si="39">AW58+AX58</f>
        <v>0</v>
      </c>
      <c r="BD58" s="100">
        <f t="shared" ref="BD58:BD63" si="40">H58/(100-BE58)*100</f>
        <v>0</v>
      </c>
      <c r="BE58" s="100">
        <v>0</v>
      </c>
      <c r="BF58" s="100">
        <f>58</f>
        <v>58</v>
      </c>
      <c r="BH58" s="108">
        <f t="shared" ref="BH58:BH63" si="41">G58*AO58</f>
        <v>0</v>
      </c>
      <c r="BI58" s="108">
        <f t="shared" ref="BI58:BI63" si="42">G58*AP58</f>
        <v>0</v>
      </c>
      <c r="BJ58" s="108">
        <f t="shared" ref="BJ58:BJ63" si="43">G58*H58</f>
        <v>0</v>
      </c>
    </row>
    <row r="59" spans="1:62" x14ac:dyDescent="0.2">
      <c r="A59" s="117" t="s">
        <v>41</v>
      </c>
      <c r="B59" s="117" t="s">
        <v>608</v>
      </c>
      <c r="C59" s="304" t="s">
        <v>1106</v>
      </c>
      <c r="D59" s="305"/>
      <c r="E59" s="305"/>
      <c r="F59" s="117" t="s">
        <v>1645</v>
      </c>
      <c r="G59" s="116">
        <v>716.42499999999995</v>
      </c>
      <c r="H59" s="159"/>
      <c r="I59" s="108">
        <f t="shared" si="22"/>
        <v>0</v>
      </c>
      <c r="J59" s="108">
        <f t="shared" si="23"/>
        <v>0</v>
      </c>
      <c r="K59" s="108">
        <f t="shared" si="24"/>
        <v>0</v>
      </c>
      <c r="L59" s="111" t="s">
        <v>1671</v>
      </c>
      <c r="Z59" s="100">
        <f t="shared" si="25"/>
        <v>0</v>
      </c>
      <c r="AB59" s="100">
        <f t="shared" si="26"/>
        <v>0</v>
      </c>
      <c r="AC59" s="100">
        <f t="shared" si="27"/>
        <v>0</v>
      </c>
      <c r="AD59" s="100">
        <f t="shared" si="28"/>
        <v>0</v>
      </c>
      <c r="AE59" s="100">
        <f t="shared" si="29"/>
        <v>0</v>
      </c>
      <c r="AF59" s="100">
        <f t="shared" si="30"/>
        <v>0</v>
      </c>
      <c r="AG59" s="100">
        <f t="shared" si="31"/>
        <v>0</v>
      </c>
      <c r="AH59" s="100">
        <f t="shared" si="32"/>
        <v>0</v>
      </c>
      <c r="AI59" s="109"/>
      <c r="AJ59" s="108">
        <f t="shared" si="33"/>
        <v>0</v>
      </c>
      <c r="AK59" s="108">
        <f t="shared" si="34"/>
        <v>0</v>
      </c>
      <c r="AL59" s="108">
        <f t="shared" si="35"/>
        <v>0</v>
      </c>
      <c r="AN59" s="100">
        <v>15</v>
      </c>
      <c r="AO59" s="100">
        <f>H59*0.578269369016911</f>
        <v>0</v>
      </c>
      <c r="AP59" s="100">
        <f>H59*(1-0.578269369016911)</f>
        <v>0</v>
      </c>
      <c r="AQ59" s="111" t="s">
        <v>7</v>
      </c>
      <c r="AV59" s="100">
        <f t="shared" si="36"/>
        <v>0</v>
      </c>
      <c r="AW59" s="100">
        <f t="shared" si="37"/>
        <v>0</v>
      </c>
      <c r="AX59" s="100">
        <f t="shared" si="38"/>
        <v>0</v>
      </c>
      <c r="AY59" s="110" t="s">
        <v>1693</v>
      </c>
      <c r="AZ59" s="110" t="s">
        <v>1728</v>
      </c>
      <c r="BA59" s="109" t="s">
        <v>1737</v>
      </c>
      <c r="BC59" s="100">
        <f t="shared" si="39"/>
        <v>0</v>
      </c>
      <c r="BD59" s="100">
        <f t="shared" si="40"/>
        <v>0</v>
      </c>
      <c r="BE59" s="100">
        <v>0</v>
      </c>
      <c r="BF59" s="100">
        <f>59</f>
        <v>59</v>
      </c>
      <c r="BH59" s="108">
        <f t="shared" si="41"/>
        <v>0</v>
      </c>
      <c r="BI59" s="108">
        <f t="shared" si="42"/>
        <v>0</v>
      </c>
      <c r="BJ59" s="108">
        <f t="shared" si="43"/>
        <v>0</v>
      </c>
    </row>
    <row r="60" spans="1:62" x14ac:dyDescent="0.2">
      <c r="A60" s="117" t="s">
        <v>42</v>
      </c>
      <c r="B60" s="117" t="s">
        <v>609</v>
      </c>
      <c r="C60" s="304" t="s">
        <v>1107</v>
      </c>
      <c r="D60" s="305"/>
      <c r="E60" s="305"/>
      <c r="F60" s="117" t="s">
        <v>1646</v>
      </c>
      <c r="G60" s="116">
        <v>40</v>
      </c>
      <c r="H60" s="159"/>
      <c r="I60" s="108">
        <f t="shared" si="22"/>
        <v>0</v>
      </c>
      <c r="J60" s="108">
        <f t="shared" si="23"/>
        <v>0</v>
      </c>
      <c r="K60" s="108">
        <f t="shared" si="24"/>
        <v>0</v>
      </c>
      <c r="L60" s="111" t="s">
        <v>1671</v>
      </c>
      <c r="Z60" s="100">
        <f t="shared" si="25"/>
        <v>0</v>
      </c>
      <c r="AB60" s="100">
        <f t="shared" si="26"/>
        <v>0</v>
      </c>
      <c r="AC60" s="100">
        <f t="shared" si="27"/>
        <v>0</v>
      </c>
      <c r="AD60" s="100">
        <f t="shared" si="28"/>
        <v>0</v>
      </c>
      <c r="AE60" s="100">
        <f t="shared" si="29"/>
        <v>0</v>
      </c>
      <c r="AF60" s="100">
        <f t="shared" si="30"/>
        <v>0</v>
      </c>
      <c r="AG60" s="100">
        <f t="shared" si="31"/>
        <v>0</v>
      </c>
      <c r="AH60" s="100">
        <f t="shared" si="32"/>
        <v>0</v>
      </c>
      <c r="AI60" s="109"/>
      <c r="AJ60" s="108">
        <f t="shared" si="33"/>
        <v>0</v>
      </c>
      <c r="AK60" s="108">
        <f t="shared" si="34"/>
        <v>0</v>
      </c>
      <c r="AL60" s="108">
        <f t="shared" si="35"/>
        <v>0</v>
      </c>
      <c r="AN60" s="100">
        <v>15</v>
      </c>
      <c r="AO60" s="100">
        <f>H60*0.215363511659808</f>
        <v>0</v>
      </c>
      <c r="AP60" s="100">
        <f>H60*(1-0.215363511659808)</f>
        <v>0</v>
      </c>
      <c r="AQ60" s="111" t="s">
        <v>7</v>
      </c>
      <c r="AV60" s="100">
        <f t="shared" si="36"/>
        <v>0</v>
      </c>
      <c r="AW60" s="100">
        <f t="shared" si="37"/>
        <v>0</v>
      </c>
      <c r="AX60" s="100">
        <f t="shared" si="38"/>
        <v>0</v>
      </c>
      <c r="AY60" s="110" t="s">
        <v>1693</v>
      </c>
      <c r="AZ60" s="110" t="s">
        <v>1728</v>
      </c>
      <c r="BA60" s="109" t="s">
        <v>1737</v>
      </c>
      <c r="BC60" s="100">
        <f t="shared" si="39"/>
        <v>0</v>
      </c>
      <c r="BD60" s="100">
        <f t="shared" si="40"/>
        <v>0</v>
      </c>
      <c r="BE60" s="100">
        <v>0</v>
      </c>
      <c r="BF60" s="100">
        <f>60</f>
        <v>60</v>
      </c>
      <c r="BH60" s="108">
        <f t="shared" si="41"/>
        <v>0</v>
      </c>
      <c r="BI60" s="108">
        <f t="shared" si="42"/>
        <v>0</v>
      </c>
      <c r="BJ60" s="108">
        <f t="shared" si="43"/>
        <v>0</v>
      </c>
    </row>
    <row r="61" spans="1:62" x14ac:dyDescent="0.2">
      <c r="A61" s="117" t="s">
        <v>43</v>
      </c>
      <c r="B61" s="117" t="s">
        <v>610</v>
      </c>
      <c r="C61" s="304" t="s">
        <v>1108</v>
      </c>
      <c r="D61" s="305"/>
      <c r="E61" s="305"/>
      <c r="F61" s="117" t="s">
        <v>1646</v>
      </c>
      <c r="G61" s="116">
        <v>84.16</v>
      </c>
      <c r="H61" s="159"/>
      <c r="I61" s="108">
        <f t="shared" si="22"/>
        <v>0</v>
      </c>
      <c r="J61" s="108">
        <f t="shared" si="23"/>
        <v>0</v>
      </c>
      <c r="K61" s="108">
        <f t="shared" si="24"/>
        <v>0</v>
      </c>
      <c r="L61" s="111" t="s">
        <v>1671</v>
      </c>
      <c r="Z61" s="100">
        <f t="shared" si="25"/>
        <v>0</v>
      </c>
      <c r="AB61" s="100">
        <f t="shared" si="26"/>
        <v>0</v>
      </c>
      <c r="AC61" s="100">
        <f t="shared" si="27"/>
        <v>0</v>
      </c>
      <c r="AD61" s="100">
        <f t="shared" si="28"/>
        <v>0</v>
      </c>
      <c r="AE61" s="100">
        <f t="shared" si="29"/>
        <v>0</v>
      </c>
      <c r="AF61" s="100">
        <f t="shared" si="30"/>
        <v>0</v>
      </c>
      <c r="AG61" s="100">
        <f t="shared" si="31"/>
        <v>0</v>
      </c>
      <c r="AH61" s="100">
        <f t="shared" si="32"/>
        <v>0</v>
      </c>
      <c r="AI61" s="109"/>
      <c r="AJ61" s="108">
        <f t="shared" si="33"/>
        <v>0</v>
      </c>
      <c r="AK61" s="108">
        <f t="shared" si="34"/>
        <v>0</v>
      </c>
      <c r="AL61" s="108">
        <f t="shared" si="35"/>
        <v>0</v>
      </c>
      <c r="AN61" s="100">
        <v>15</v>
      </c>
      <c r="AO61" s="100">
        <f>H61*0.564852736410252</f>
        <v>0</v>
      </c>
      <c r="AP61" s="100">
        <f>H61*(1-0.564852736410252)</f>
        <v>0</v>
      </c>
      <c r="AQ61" s="111" t="s">
        <v>7</v>
      </c>
      <c r="AV61" s="100">
        <f t="shared" si="36"/>
        <v>0</v>
      </c>
      <c r="AW61" s="100">
        <f t="shared" si="37"/>
        <v>0</v>
      </c>
      <c r="AX61" s="100">
        <f t="shared" si="38"/>
        <v>0</v>
      </c>
      <c r="AY61" s="110" t="s">
        <v>1693</v>
      </c>
      <c r="AZ61" s="110" t="s">
        <v>1728</v>
      </c>
      <c r="BA61" s="109" t="s">
        <v>1737</v>
      </c>
      <c r="BC61" s="100">
        <f t="shared" si="39"/>
        <v>0</v>
      </c>
      <c r="BD61" s="100">
        <f t="shared" si="40"/>
        <v>0</v>
      </c>
      <c r="BE61" s="100">
        <v>0</v>
      </c>
      <c r="BF61" s="100">
        <f>61</f>
        <v>61</v>
      </c>
      <c r="BH61" s="108">
        <f t="shared" si="41"/>
        <v>0</v>
      </c>
      <c r="BI61" s="108">
        <f t="shared" si="42"/>
        <v>0</v>
      </c>
      <c r="BJ61" s="108">
        <f t="shared" si="43"/>
        <v>0</v>
      </c>
    </row>
    <row r="62" spans="1:62" x14ac:dyDescent="0.2">
      <c r="A62" s="117" t="s">
        <v>44</v>
      </c>
      <c r="B62" s="117" t="s">
        <v>611</v>
      </c>
      <c r="C62" s="304" t="s">
        <v>3182</v>
      </c>
      <c r="D62" s="305"/>
      <c r="E62" s="305"/>
      <c r="F62" s="117" t="s">
        <v>1646</v>
      </c>
      <c r="G62" s="116">
        <v>15.7</v>
      </c>
      <c r="H62" s="159"/>
      <c r="I62" s="108">
        <f t="shared" si="22"/>
        <v>0</v>
      </c>
      <c r="J62" s="108">
        <f t="shared" si="23"/>
        <v>0</v>
      </c>
      <c r="K62" s="108">
        <f t="shared" si="24"/>
        <v>0</v>
      </c>
      <c r="L62" s="111" t="s">
        <v>1671</v>
      </c>
      <c r="Z62" s="100">
        <f t="shared" si="25"/>
        <v>0</v>
      </c>
      <c r="AB62" s="100">
        <f t="shared" si="26"/>
        <v>0</v>
      </c>
      <c r="AC62" s="100">
        <f t="shared" si="27"/>
        <v>0</v>
      </c>
      <c r="AD62" s="100">
        <f t="shared" si="28"/>
        <v>0</v>
      </c>
      <c r="AE62" s="100">
        <f t="shared" si="29"/>
        <v>0</v>
      </c>
      <c r="AF62" s="100">
        <f t="shared" si="30"/>
        <v>0</v>
      </c>
      <c r="AG62" s="100">
        <f t="shared" si="31"/>
        <v>0</v>
      </c>
      <c r="AH62" s="100">
        <f t="shared" si="32"/>
        <v>0</v>
      </c>
      <c r="AI62" s="109"/>
      <c r="AJ62" s="108">
        <f t="shared" si="33"/>
        <v>0</v>
      </c>
      <c r="AK62" s="108">
        <f t="shared" si="34"/>
        <v>0</v>
      </c>
      <c r="AL62" s="108">
        <f t="shared" si="35"/>
        <v>0</v>
      </c>
      <c r="AN62" s="100">
        <v>15</v>
      </c>
      <c r="AO62" s="100">
        <f>H62*0.723184646223634</f>
        <v>0</v>
      </c>
      <c r="AP62" s="100">
        <f>H62*(1-0.723184646223634)</f>
        <v>0</v>
      </c>
      <c r="AQ62" s="111" t="s">
        <v>7</v>
      </c>
      <c r="AV62" s="100">
        <f t="shared" si="36"/>
        <v>0</v>
      </c>
      <c r="AW62" s="100">
        <f t="shared" si="37"/>
        <v>0</v>
      </c>
      <c r="AX62" s="100">
        <f t="shared" si="38"/>
        <v>0</v>
      </c>
      <c r="AY62" s="110" t="s">
        <v>1693</v>
      </c>
      <c r="AZ62" s="110" t="s">
        <v>1728</v>
      </c>
      <c r="BA62" s="109" t="s">
        <v>1737</v>
      </c>
      <c r="BC62" s="100">
        <f t="shared" si="39"/>
        <v>0</v>
      </c>
      <c r="BD62" s="100">
        <f t="shared" si="40"/>
        <v>0</v>
      </c>
      <c r="BE62" s="100">
        <v>0</v>
      </c>
      <c r="BF62" s="100">
        <f>62</f>
        <v>62</v>
      </c>
      <c r="BH62" s="108">
        <f t="shared" si="41"/>
        <v>0</v>
      </c>
      <c r="BI62" s="108">
        <f t="shared" si="42"/>
        <v>0</v>
      </c>
      <c r="BJ62" s="108">
        <f t="shared" si="43"/>
        <v>0</v>
      </c>
    </row>
    <row r="63" spans="1:62" x14ac:dyDescent="0.2">
      <c r="A63" s="117" t="s">
        <v>45</v>
      </c>
      <c r="B63" s="117" t="s">
        <v>612</v>
      </c>
      <c r="C63" s="304" t="s">
        <v>1110</v>
      </c>
      <c r="D63" s="305"/>
      <c r="E63" s="305"/>
      <c r="F63" s="117" t="s">
        <v>1645</v>
      </c>
      <c r="G63" s="116">
        <v>98.432000000000002</v>
      </c>
      <c r="H63" s="159"/>
      <c r="I63" s="108">
        <f t="shared" si="22"/>
        <v>0</v>
      </c>
      <c r="J63" s="108">
        <f t="shared" si="23"/>
        <v>0</v>
      </c>
      <c r="K63" s="108">
        <f t="shared" si="24"/>
        <v>0</v>
      </c>
      <c r="L63" s="111" t="s">
        <v>1671</v>
      </c>
      <c r="Z63" s="100">
        <f t="shared" si="25"/>
        <v>0</v>
      </c>
      <c r="AB63" s="100">
        <f t="shared" si="26"/>
        <v>0</v>
      </c>
      <c r="AC63" s="100">
        <f t="shared" si="27"/>
        <v>0</v>
      </c>
      <c r="AD63" s="100">
        <f t="shared" si="28"/>
        <v>0</v>
      </c>
      <c r="AE63" s="100">
        <f t="shared" si="29"/>
        <v>0</v>
      </c>
      <c r="AF63" s="100">
        <f t="shared" si="30"/>
        <v>0</v>
      </c>
      <c r="AG63" s="100">
        <f t="shared" si="31"/>
        <v>0</v>
      </c>
      <c r="AH63" s="100">
        <f t="shared" si="32"/>
        <v>0</v>
      </c>
      <c r="AI63" s="109"/>
      <c r="AJ63" s="108">
        <f t="shared" si="33"/>
        <v>0</v>
      </c>
      <c r="AK63" s="108">
        <f t="shared" si="34"/>
        <v>0</v>
      </c>
      <c r="AL63" s="108">
        <f t="shared" si="35"/>
        <v>0</v>
      </c>
      <c r="AN63" s="100">
        <v>15</v>
      </c>
      <c r="AO63" s="100">
        <f>H63*0.580357809890746</f>
        <v>0</v>
      </c>
      <c r="AP63" s="100">
        <f>H63*(1-0.580357809890746)</f>
        <v>0</v>
      </c>
      <c r="AQ63" s="111" t="s">
        <v>7</v>
      </c>
      <c r="AV63" s="100">
        <f t="shared" si="36"/>
        <v>0</v>
      </c>
      <c r="AW63" s="100">
        <f t="shared" si="37"/>
        <v>0</v>
      </c>
      <c r="AX63" s="100">
        <f t="shared" si="38"/>
        <v>0</v>
      </c>
      <c r="AY63" s="110" t="s">
        <v>1693</v>
      </c>
      <c r="AZ63" s="110" t="s">
        <v>1728</v>
      </c>
      <c r="BA63" s="109" t="s">
        <v>1737</v>
      </c>
      <c r="BC63" s="100">
        <f t="shared" si="39"/>
        <v>0</v>
      </c>
      <c r="BD63" s="100">
        <f t="shared" si="40"/>
        <v>0</v>
      </c>
      <c r="BE63" s="100">
        <v>0</v>
      </c>
      <c r="BF63" s="100">
        <f>63</f>
        <v>63</v>
      </c>
      <c r="BH63" s="108">
        <f t="shared" si="41"/>
        <v>0</v>
      </c>
      <c r="BI63" s="108">
        <f t="shared" si="42"/>
        <v>0</v>
      </c>
      <c r="BJ63" s="108">
        <f t="shared" si="43"/>
        <v>0</v>
      </c>
    </row>
    <row r="64" spans="1:62" ht="12.75" customHeight="1" x14ac:dyDescent="0.2">
      <c r="B64" s="125" t="s">
        <v>613</v>
      </c>
      <c r="C64" s="164" t="s">
        <v>1111</v>
      </c>
      <c r="D64" s="158"/>
      <c r="E64" s="158"/>
      <c r="F64" s="158"/>
      <c r="G64" s="158"/>
      <c r="H64" s="158"/>
      <c r="I64" s="158"/>
      <c r="J64" s="158"/>
      <c r="K64" s="158"/>
      <c r="L64" s="158"/>
    </row>
    <row r="65" spans="1:62" x14ac:dyDescent="0.2">
      <c r="A65" s="117" t="s">
        <v>46</v>
      </c>
      <c r="B65" s="117" t="s">
        <v>614</v>
      </c>
      <c r="C65" s="304" t="s">
        <v>1112</v>
      </c>
      <c r="D65" s="305"/>
      <c r="E65" s="305"/>
      <c r="F65" s="117" t="s">
        <v>1645</v>
      </c>
      <c r="G65" s="116">
        <v>76.400000000000006</v>
      </c>
      <c r="H65" s="159"/>
      <c r="I65" s="108">
        <f>G65*AO65</f>
        <v>0</v>
      </c>
      <c r="J65" s="108">
        <f>G65*AP65</f>
        <v>0</v>
      </c>
      <c r="K65" s="108">
        <f>G65*H65</f>
        <v>0</v>
      </c>
      <c r="L65" s="111" t="s">
        <v>1671</v>
      </c>
      <c r="Z65" s="100">
        <f>IF(AQ65="5",BJ65,0)</f>
        <v>0</v>
      </c>
      <c r="AB65" s="100">
        <f>IF(AQ65="1",BH65,0)</f>
        <v>0</v>
      </c>
      <c r="AC65" s="100">
        <f>IF(AQ65="1",BI65,0)</f>
        <v>0</v>
      </c>
      <c r="AD65" s="100">
        <f>IF(AQ65="7",BH65,0)</f>
        <v>0</v>
      </c>
      <c r="AE65" s="100">
        <f>IF(AQ65="7",BI65,0)</f>
        <v>0</v>
      </c>
      <c r="AF65" s="100">
        <f>IF(AQ65="2",BH65,0)</f>
        <v>0</v>
      </c>
      <c r="AG65" s="100">
        <f>IF(AQ65="2",BI65,0)</f>
        <v>0</v>
      </c>
      <c r="AH65" s="100">
        <f>IF(AQ65="0",BJ65,0)</f>
        <v>0</v>
      </c>
      <c r="AI65" s="109"/>
      <c r="AJ65" s="108">
        <f>IF(AN65=0,K65,0)</f>
        <v>0</v>
      </c>
      <c r="AK65" s="108">
        <f>IF(AN65=15,K65,0)</f>
        <v>0</v>
      </c>
      <c r="AL65" s="108">
        <f>IF(AN65=21,K65,0)</f>
        <v>0</v>
      </c>
      <c r="AN65" s="100">
        <v>15</v>
      </c>
      <c r="AO65" s="100">
        <f>H65*0.659033041788144</f>
        <v>0</v>
      </c>
      <c r="AP65" s="100">
        <f>H65*(1-0.659033041788144)</f>
        <v>0</v>
      </c>
      <c r="AQ65" s="111" t="s">
        <v>7</v>
      </c>
      <c r="AV65" s="100">
        <f>AW65+AX65</f>
        <v>0</v>
      </c>
      <c r="AW65" s="100">
        <f>G65*AO65</f>
        <v>0</v>
      </c>
      <c r="AX65" s="100">
        <f>G65*AP65</f>
        <v>0</v>
      </c>
      <c r="AY65" s="110" t="s">
        <v>1693</v>
      </c>
      <c r="AZ65" s="110" t="s">
        <v>1728</v>
      </c>
      <c r="BA65" s="109" t="s">
        <v>1737</v>
      </c>
      <c r="BC65" s="100">
        <f>AW65+AX65</f>
        <v>0</v>
      </c>
      <c r="BD65" s="100">
        <f>H65/(100-BE65)*100</f>
        <v>0</v>
      </c>
      <c r="BE65" s="100">
        <v>0</v>
      </c>
      <c r="BF65" s="100">
        <f>65</f>
        <v>65</v>
      </c>
      <c r="BH65" s="108">
        <f>G65*AO65</f>
        <v>0</v>
      </c>
      <c r="BI65" s="108">
        <f>G65*AP65</f>
        <v>0</v>
      </c>
      <c r="BJ65" s="108">
        <f>G65*H65</f>
        <v>0</v>
      </c>
    </row>
    <row r="66" spans="1:62" ht="12.75" customHeight="1" x14ac:dyDescent="0.2">
      <c r="B66" s="125" t="s">
        <v>613</v>
      </c>
      <c r="C66" s="164" t="s">
        <v>1113</v>
      </c>
      <c r="D66" s="158"/>
      <c r="E66" s="158"/>
      <c r="F66" s="158"/>
      <c r="G66" s="158"/>
      <c r="H66" s="158"/>
      <c r="I66" s="158"/>
      <c r="J66" s="158"/>
      <c r="K66" s="158"/>
      <c r="L66" s="158"/>
    </row>
    <row r="67" spans="1:62" x14ac:dyDescent="0.2">
      <c r="A67" s="117" t="s">
        <v>47</v>
      </c>
      <c r="B67" s="117" t="s">
        <v>615</v>
      </c>
      <c r="C67" s="304" t="s">
        <v>1114</v>
      </c>
      <c r="D67" s="305"/>
      <c r="E67" s="305"/>
      <c r="F67" s="117" t="s">
        <v>1645</v>
      </c>
      <c r="G67" s="116">
        <v>497.28899999999999</v>
      </c>
      <c r="H67" s="159"/>
      <c r="I67" s="108">
        <f>G67*AO67</f>
        <v>0</v>
      </c>
      <c r="J67" s="108">
        <f>G67*AP67</f>
        <v>0</v>
      </c>
      <c r="K67" s="108">
        <f>G67*H67</f>
        <v>0</v>
      </c>
      <c r="L67" s="111" t="s">
        <v>1671</v>
      </c>
      <c r="Z67" s="100">
        <f>IF(AQ67="5",BJ67,0)</f>
        <v>0</v>
      </c>
      <c r="AB67" s="100">
        <f>IF(AQ67="1",BH67,0)</f>
        <v>0</v>
      </c>
      <c r="AC67" s="100">
        <f>IF(AQ67="1",BI67,0)</f>
        <v>0</v>
      </c>
      <c r="AD67" s="100">
        <f>IF(AQ67="7",BH67,0)</f>
        <v>0</v>
      </c>
      <c r="AE67" s="100">
        <f>IF(AQ67="7",BI67,0)</f>
        <v>0</v>
      </c>
      <c r="AF67" s="100">
        <f>IF(AQ67="2",BH67,0)</f>
        <v>0</v>
      </c>
      <c r="AG67" s="100">
        <f>IF(AQ67="2",BI67,0)</f>
        <v>0</v>
      </c>
      <c r="AH67" s="100">
        <f>IF(AQ67="0",BJ67,0)</f>
        <v>0</v>
      </c>
      <c r="AI67" s="109"/>
      <c r="AJ67" s="108">
        <f>IF(AN67=0,K67,0)</f>
        <v>0</v>
      </c>
      <c r="AK67" s="108">
        <f>IF(AN67=15,K67,0)</f>
        <v>0</v>
      </c>
      <c r="AL67" s="108">
        <f>IF(AN67=21,K67,0)</f>
        <v>0</v>
      </c>
      <c r="AN67" s="100">
        <v>15</v>
      </c>
      <c r="AO67" s="100">
        <f>H67*0.695718875502008</f>
        <v>0</v>
      </c>
      <c r="AP67" s="100">
        <f>H67*(1-0.695718875502008)</f>
        <v>0</v>
      </c>
      <c r="AQ67" s="111" t="s">
        <v>7</v>
      </c>
      <c r="AV67" s="100">
        <f>AW67+AX67</f>
        <v>0</v>
      </c>
      <c r="AW67" s="100">
        <f>G67*AO67</f>
        <v>0</v>
      </c>
      <c r="AX67" s="100">
        <f>G67*AP67</f>
        <v>0</v>
      </c>
      <c r="AY67" s="110" t="s">
        <v>1693</v>
      </c>
      <c r="AZ67" s="110" t="s">
        <v>1728</v>
      </c>
      <c r="BA67" s="109" t="s">
        <v>1737</v>
      </c>
      <c r="BC67" s="100">
        <f>AW67+AX67</f>
        <v>0</v>
      </c>
      <c r="BD67" s="100">
        <f>H67/(100-BE67)*100</f>
        <v>0</v>
      </c>
      <c r="BE67" s="100">
        <v>0</v>
      </c>
      <c r="BF67" s="100">
        <f>67</f>
        <v>67</v>
      </c>
      <c r="BH67" s="108">
        <f>G67*AO67</f>
        <v>0</v>
      </c>
      <c r="BI67" s="108">
        <f>G67*AP67</f>
        <v>0</v>
      </c>
      <c r="BJ67" s="108">
        <f>G67*H67</f>
        <v>0</v>
      </c>
    </row>
    <row r="68" spans="1:62" x14ac:dyDescent="0.2">
      <c r="B68" s="125" t="s">
        <v>613</v>
      </c>
      <c r="C68" s="164" t="s">
        <v>1115</v>
      </c>
      <c r="D68" s="158"/>
      <c r="E68" s="158"/>
      <c r="F68" s="158"/>
      <c r="G68" s="158"/>
      <c r="H68" s="158"/>
      <c r="I68" s="158"/>
      <c r="J68" s="158"/>
      <c r="K68" s="158"/>
      <c r="L68" s="158"/>
    </row>
    <row r="69" spans="1:62" x14ac:dyDescent="0.2">
      <c r="A69" s="117" t="s">
        <v>48</v>
      </c>
      <c r="B69" s="117" t="s">
        <v>616</v>
      </c>
      <c r="C69" s="304" t="s">
        <v>1116</v>
      </c>
      <c r="D69" s="305"/>
      <c r="E69" s="305"/>
      <c r="F69" s="117" t="s">
        <v>1645</v>
      </c>
      <c r="G69" s="116">
        <v>44.304000000000002</v>
      </c>
      <c r="H69" s="159"/>
      <c r="I69" s="108">
        <f>G69*AO69</f>
        <v>0</v>
      </c>
      <c r="J69" s="108">
        <f>G69*AP69</f>
        <v>0</v>
      </c>
      <c r="K69" s="108">
        <f>G69*H69</f>
        <v>0</v>
      </c>
      <c r="L69" s="111" t="s">
        <v>1671</v>
      </c>
      <c r="Z69" s="100">
        <f>IF(AQ69="5",BJ69,0)</f>
        <v>0</v>
      </c>
      <c r="AB69" s="100">
        <f>IF(AQ69="1",BH69,0)</f>
        <v>0</v>
      </c>
      <c r="AC69" s="100">
        <f>IF(AQ69="1",BI69,0)</f>
        <v>0</v>
      </c>
      <c r="AD69" s="100">
        <f>IF(AQ69="7",BH69,0)</f>
        <v>0</v>
      </c>
      <c r="AE69" s="100">
        <f>IF(AQ69="7",BI69,0)</f>
        <v>0</v>
      </c>
      <c r="AF69" s="100">
        <f>IF(AQ69="2",BH69,0)</f>
        <v>0</v>
      </c>
      <c r="AG69" s="100">
        <f>IF(AQ69="2",BI69,0)</f>
        <v>0</v>
      </c>
      <c r="AH69" s="100">
        <f>IF(AQ69="0",BJ69,0)</f>
        <v>0</v>
      </c>
      <c r="AI69" s="109"/>
      <c r="AJ69" s="108">
        <f>IF(AN69=0,K69,0)</f>
        <v>0</v>
      </c>
      <c r="AK69" s="108">
        <f>IF(AN69=15,K69,0)</f>
        <v>0</v>
      </c>
      <c r="AL69" s="108">
        <f>IF(AN69=21,K69,0)</f>
        <v>0</v>
      </c>
      <c r="AN69" s="100">
        <v>15</v>
      </c>
      <c r="AO69" s="100">
        <f>H69*0.355093410627489</f>
        <v>0</v>
      </c>
      <c r="AP69" s="100">
        <f>H69*(1-0.355093410627489)</f>
        <v>0</v>
      </c>
      <c r="AQ69" s="111" t="s">
        <v>7</v>
      </c>
      <c r="AV69" s="100">
        <f>AW69+AX69</f>
        <v>0</v>
      </c>
      <c r="AW69" s="100">
        <f>G69*AO69</f>
        <v>0</v>
      </c>
      <c r="AX69" s="100">
        <f>G69*AP69</f>
        <v>0</v>
      </c>
      <c r="AY69" s="110" t="s">
        <v>1693</v>
      </c>
      <c r="AZ69" s="110" t="s">
        <v>1728</v>
      </c>
      <c r="BA69" s="109" t="s">
        <v>1737</v>
      </c>
      <c r="BC69" s="100">
        <f>AW69+AX69</f>
        <v>0</v>
      </c>
      <c r="BD69" s="100">
        <f>H69/(100-BE69)*100</f>
        <v>0</v>
      </c>
      <c r="BE69" s="100">
        <v>0</v>
      </c>
      <c r="BF69" s="100">
        <f>69</f>
        <v>69</v>
      </c>
      <c r="BH69" s="108">
        <f>G69*AO69</f>
        <v>0</v>
      </c>
      <c r="BI69" s="108">
        <f>G69*AP69</f>
        <v>0</v>
      </c>
      <c r="BJ69" s="108">
        <f>G69*H69</f>
        <v>0</v>
      </c>
    </row>
    <row r="70" spans="1:62" x14ac:dyDescent="0.2">
      <c r="B70" s="125" t="s">
        <v>613</v>
      </c>
      <c r="C70" s="164" t="s">
        <v>1117</v>
      </c>
      <c r="D70" s="158"/>
      <c r="E70" s="158"/>
      <c r="F70" s="158"/>
      <c r="G70" s="158"/>
      <c r="H70" s="158"/>
      <c r="I70" s="158"/>
      <c r="J70" s="158"/>
      <c r="K70" s="158"/>
      <c r="L70" s="158"/>
    </row>
    <row r="71" spans="1:62" x14ac:dyDescent="0.2">
      <c r="A71" s="117" t="s">
        <v>49</v>
      </c>
      <c r="B71" s="117" t="s">
        <v>617</v>
      </c>
      <c r="C71" s="304" t="s">
        <v>1118</v>
      </c>
      <c r="D71" s="305"/>
      <c r="E71" s="305"/>
      <c r="F71" s="117" t="s">
        <v>1646</v>
      </c>
      <c r="G71" s="116">
        <v>37.200000000000003</v>
      </c>
      <c r="H71" s="159"/>
      <c r="I71" s="108">
        <f t="shared" ref="I71:I81" si="44">G71*AO71</f>
        <v>0</v>
      </c>
      <c r="J71" s="108">
        <f t="shared" ref="J71:J81" si="45">G71*AP71</f>
        <v>0</v>
      </c>
      <c r="K71" s="108">
        <f t="shared" ref="K71:K81" si="46">G71*H71</f>
        <v>0</v>
      </c>
      <c r="L71" s="111" t="s">
        <v>1671</v>
      </c>
      <c r="Z71" s="100">
        <f t="shared" ref="Z71:Z81" si="47">IF(AQ71="5",BJ71,0)</f>
        <v>0</v>
      </c>
      <c r="AB71" s="100">
        <f t="shared" ref="AB71:AB81" si="48">IF(AQ71="1",BH71,0)</f>
        <v>0</v>
      </c>
      <c r="AC71" s="100">
        <f t="shared" ref="AC71:AC81" si="49">IF(AQ71="1",BI71,0)</f>
        <v>0</v>
      </c>
      <c r="AD71" s="100">
        <f t="shared" ref="AD71:AD81" si="50">IF(AQ71="7",BH71,0)</f>
        <v>0</v>
      </c>
      <c r="AE71" s="100">
        <f t="shared" ref="AE71:AE81" si="51">IF(AQ71="7",BI71,0)</f>
        <v>0</v>
      </c>
      <c r="AF71" s="100">
        <f t="shared" ref="AF71:AF81" si="52">IF(AQ71="2",BH71,0)</f>
        <v>0</v>
      </c>
      <c r="AG71" s="100">
        <f t="shared" ref="AG71:AG81" si="53">IF(AQ71="2",BI71,0)</f>
        <v>0</v>
      </c>
      <c r="AH71" s="100">
        <f t="shared" ref="AH71:AH81" si="54">IF(AQ71="0",BJ71,0)</f>
        <v>0</v>
      </c>
      <c r="AI71" s="109"/>
      <c r="AJ71" s="108">
        <f t="shared" ref="AJ71:AJ81" si="55">IF(AN71=0,K71,0)</f>
        <v>0</v>
      </c>
      <c r="AK71" s="108">
        <f t="shared" ref="AK71:AK81" si="56">IF(AN71=15,K71,0)</f>
        <v>0</v>
      </c>
      <c r="AL71" s="108">
        <f t="shared" ref="AL71:AL81" si="57">IF(AN71=21,K71,0)</f>
        <v>0</v>
      </c>
      <c r="AN71" s="100">
        <v>15</v>
      </c>
      <c r="AO71" s="100">
        <f>H71*0.314</f>
        <v>0</v>
      </c>
      <c r="AP71" s="100">
        <f>H71*(1-0.314)</f>
        <v>0</v>
      </c>
      <c r="AQ71" s="111" t="s">
        <v>7</v>
      </c>
      <c r="AV71" s="100">
        <f t="shared" ref="AV71:AV81" si="58">AW71+AX71</f>
        <v>0</v>
      </c>
      <c r="AW71" s="100">
        <f t="shared" ref="AW71:AW81" si="59">G71*AO71</f>
        <v>0</v>
      </c>
      <c r="AX71" s="100">
        <f t="shared" ref="AX71:AX81" si="60">G71*AP71</f>
        <v>0</v>
      </c>
      <c r="AY71" s="110" t="s">
        <v>1693</v>
      </c>
      <c r="AZ71" s="110" t="s">
        <v>1728</v>
      </c>
      <c r="BA71" s="109" t="s">
        <v>1737</v>
      </c>
      <c r="BC71" s="100">
        <f t="shared" ref="BC71:BC81" si="61">AW71+AX71</f>
        <v>0</v>
      </c>
      <c r="BD71" s="100">
        <f t="shared" ref="BD71:BD81" si="62">H71/(100-BE71)*100</f>
        <v>0</v>
      </c>
      <c r="BE71" s="100">
        <v>0</v>
      </c>
      <c r="BF71" s="100">
        <f>71</f>
        <v>71</v>
      </c>
      <c r="BH71" s="108">
        <f t="shared" ref="BH71:BH81" si="63">G71*AO71</f>
        <v>0</v>
      </c>
      <c r="BI71" s="108">
        <f t="shared" ref="BI71:BI81" si="64">G71*AP71</f>
        <v>0</v>
      </c>
      <c r="BJ71" s="108">
        <f t="shared" ref="BJ71:BJ81" si="65">G71*H71</f>
        <v>0</v>
      </c>
    </row>
    <row r="72" spans="1:62" x14ac:dyDescent="0.2">
      <c r="A72" s="117" t="s">
        <v>50</v>
      </c>
      <c r="B72" s="117" t="s">
        <v>2859</v>
      </c>
      <c r="C72" s="304" t="s">
        <v>2858</v>
      </c>
      <c r="D72" s="305"/>
      <c r="E72" s="305"/>
      <c r="F72" s="117" t="s">
        <v>1646</v>
      </c>
      <c r="G72" s="116">
        <v>10.199999999999999</v>
      </c>
      <c r="H72" s="159"/>
      <c r="I72" s="108">
        <f t="shared" si="44"/>
        <v>0</v>
      </c>
      <c r="J72" s="108">
        <f t="shared" si="45"/>
        <v>0</v>
      </c>
      <c r="K72" s="108">
        <f t="shared" si="46"/>
        <v>0</v>
      </c>
      <c r="L72" s="111" t="s">
        <v>1671</v>
      </c>
      <c r="Z72" s="100">
        <f t="shared" si="47"/>
        <v>0</v>
      </c>
      <c r="AB72" s="100">
        <f t="shared" si="48"/>
        <v>0</v>
      </c>
      <c r="AC72" s="100">
        <f t="shared" si="49"/>
        <v>0</v>
      </c>
      <c r="AD72" s="100">
        <f t="shared" si="50"/>
        <v>0</v>
      </c>
      <c r="AE72" s="100">
        <f t="shared" si="51"/>
        <v>0</v>
      </c>
      <c r="AF72" s="100">
        <f t="shared" si="52"/>
        <v>0</v>
      </c>
      <c r="AG72" s="100">
        <f t="shared" si="53"/>
        <v>0</v>
      </c>
      <c r="AH72" s="100">
        <f t="shared" si="54"/>
        <v>0</v>
      </c>
      <c r="AI72" s="109"/>
      <c r="AJ72" s="108">
        <f t="shared" si="55"/>
        <v>0</v>
      </c>
      <c r="AK72" s="108">
        <f t="shared" si="56"/>
        <v>0</v>
      </c>
      <c r="AL72" s="108">
        <f t="shared" si="57"/>
        <v>0</v>
      </c>
      <c r="AN72" s="100">
        <v>15</v>
      </c>
      <c r="AO72" s="100">
        <f>H72*0.313882352941176</f>
        <v>0</v>
      </c>
      <c r="AP72" s="100">
        <f>H72*(1-0.313882352941176)</f>
        <v>0</v>
      </c>
      <c r="AQ72" s="111" t="s">
        <v>7</v>
      </c>
      <c r="AV72" s="100">
        <f t="shared" si="58"/>
        <v>0</v>
      </c>
      <c r="AW72" s="100">
        <f t="shared" si="59"/>
        <v>0</v>
      </c>
      <c r="AX72" s="100">
        <f t="shared" si="60"/>
        <v>0</v>
      </c>
      <c r="AY72" s="110" t="s">
        <v>1693</v>
      </c>
      <c r="AZ72" s="110" t="s">
        <v>1728</v>
      </c>
      <c r="BA72" s="109" t="s">
        <v>1737</v>
      </c>
      <c r="BC72" s="100">
        <f t="shared" si="61"/>
        <v>0</v>
      </c>
      <c r="BD72" s="100">
        <f t="shared" si="62"/>
        <v>0</v>
      </c>
      <c r="BE72" s="100">
        <v>0</v>
      </c>
      <c r="BF72" s="100">
        <f>72</f>
        <v>72</v>
      </c>
      <c r="BH72" s="108">
        <f t="shared" si="63"/>
        <v>0</v>
      </c>
      <c r="BI72" s="108">
        <f t="shared" si="64"/>
        <v>0</v>
      </c>
      <c r="BJ72" s="108">
        <f t="shared" si="65"/>
        <v>0</v>
      </c>
    </row>
    <row r="73" spans="1:62" x14ac:dyDescent="0.2">
      <c r="A73" s="117" t="s">
        <v>51</v>
      </c>
      <c r="B73" s="117" t="s">
        <v>618</v>
      </c>
      <c r="C73" s="304" t="s">
        <v>1119</v>
      </c>
      <c r="D73" s="305"/>
      <c r="E73" s="305"/>
      <c r="F73" s="117" t="s">
        <v>1645</v>
      </c>
      <c r="G73" s="116">
        <v>716.42499999999995</v>
      </c>
      <c r="H73" s="159"/>
      <c r="I73" s="108">
        <f t="shared" si="44"/>
        <v>0</v>
      </c>
      <c r="J73" s="108">
        <f t="shared" si="45"/>
        <v>0</v>
      </c>
      <c r="K73" s="108">
        <f t="shared" si="46"/>
        <v>0</v>
      </c>
      <c r="L73" s="111" t="s">
        <v>1671</v>
      </c>
      <c r="Z73" s="100">
        <f t="shared" si="47"/>
        <v>0</v>
      </c>
      <c r="AB73" s="100">
        <f t="shared" si="48"/>
        <v>0</v>
      </c>
      <c r="AC73" s="100">
        <f t="shared" si="49"/>
        <v>0</v>
      </c>
      <c r="AD73" s="100">
        <f t="shared" si="50"/>
        <v>0</v>
      </c>
      <c r="AE73" s="100">
        <f t="shared" si="51"/>
        <v>0</v>
      </c>
      <c r="AF73" s="100">
        <f t="shared" si="52"/>
        <v>0</v>
      </c>
      <c r="AG73" s="100">
        <f t="shared" si="53"/>
        <v>0</v>
      </c>
      <c r="AH73" s="100">
        <f t="shared" si="54"/>
        <v>0</v>
      </c>
      <c r="AI73" s="109"/>
      <c r="AJ73" s="108">
        <f t="shared" si="55"/>
        <v>0</v>
      </c>
      <c r="AK73" s="108">
        <f t="shared" si="56"/>
        <v>0</v>
      </c>
      <c r="AL73" s="108">
        <f t="shared" si="57"/>
        <v>0</v>
      </c>
      <c r="AN73" s="100">
        <v>15</v>
      </c>
      <c r="AO73" s="100">
        <f>H73*0.321454504664321</f>
        <v>0</v>
      </c>
      <c r="AP73" s="100">
        <f>H73*(1-0.321454504664321)</f>
        <v>0</v>
      </c>
      <c r="AQ73" s="111" t="s">
        <v>7</v>
      </c>
      <c r="AV73" s="100">
        <f t="shared" si="58"/>
        <v>0</v>
      </c>
      <c r="AW73" s="100">
        <f t="shared" si="59"/>
        <v>0</v>
      </c>
      <c r="AX73" s="100">
        <f t="shared" si="60"/>
        <v>0</v>
      </c>
      <c r="AY73" s="110" t="s">
        <v>1693</v>
      </c>
      <c r="AZ73" s="110" t="s">
        <v>1728</v>
      </c>
      <c r="BA73" s="109" t="s">
        <v>1737</v>
      </c>
      <c r="BC73" s="100">
        <f t="shared" si="61"/>
        <v>0</v>
      </c>
      <c r="BD73" s="100">
        <f t="shared" si="62"/>
        <v>0</v>
      </c>
      <c r="BE73" s="100">
        <v>0</v>
      </c>
      <c r="BF73" s="100">
        <f>73</f>
        <v>73</v>
      </c>
      <c r="BH73" s="108">
        <f t="shared" si="63"/>
        <v>0</v>
      </c>
      <c r="BI73" s="108">
        <f t="shared" si="64"/>
        <v>0</v>
      </c>
      <c r="BJ73" s="108">
        <f t="shared" si="65"/>
        <v>0</v>
      </c>
    </row>
    <row r="74" spans="1:62" x14ac:dyDescent="0.2">
      <c r="A74" s="117" t="s">
        <v>52</v>
      </c>
      <c r="B74" s="117" t="s">
        <v>619</v>
      </c>
      <c r="C74" s="304" t="s">
        <v>1120</v>
      </c>
      <c r="D74" s="305"/>
      <c r="E74" s="305"/>
      <c r="F74" s="117" t="s">
        <v>1646</v>
      </c>
      <c r="G74" s="116">
        <v>170.4</v>
      </c>
      <c r="H74" s="159"/>
      <c r="I74" s="108">
        <f t="shared" si="44"/>
        <v>0</v>
      </c>
      <c r="J74" s="108">
        <f t="shared" si="45"/>
        <v>0</v>
      </c>
      <c r="K74" s="108">
        <f t="shared" si="46"/>
        <v>0</v>
      </c>
      <c r="L74" s="111" t="s">
        <v>1671</v>
      </c>
      <c r="Z74" s="100">
        <f t="shared" si="47"/>
        <v>0</v>
      </c>
      <c r="AB74" s="100">
        <f t="shared" si="48"/>
        <v>0</v>
      </c>
      <c r="AC74" s="100">
        <f t="shared" si="49"/>
        <v>0</v>
      </c>
      <c r="AD74" s="100">
        <f t="shared" si="50"/>
        <v>0</v>
      </c>
      <c r="AE74" s="100">
        <f t="shared" si="51"/>
        <v>0</v>
      </c>
      <c r="AF74" s="100">
        <f t="shared" si="52"/>
        <v>0</v>
      </c>
      <c r="AG74" s="100">
        <f t="shared" si="53"/>
        <v>0</v>
      </c>
      <c r="AH74" s="100">
        <f t="shared" si="54"/>
        <v>0</v>
      </c>
      <c r="AI74" s="109"/>
      <c r="AJ74" s="108">
        <f t="shared" si="55"/>
        <v>0</v>
      </c>
      <c r="AK74" s="108">
        <f t="shared" si="56"/>
        <v>0</v>
      </c>
      <c r="AL74" s="108">
        <f t="shared" si="57"/>
        <v>0</v>
      </c>
      <c r="AN74" s="100">
        <v>15</v>
      </c>
      <c r="AO74" s="100">
        <f>H74*0.24088002996037</f>
        <v>0</v>
      </c>
      <c r="AP74" s="100">
        <f>H74*(1-0.24088002996037)</f>
        <v>0</v>
      </c>
      <c r="AQ74" s="111" t="s">
        <v>7</v>
      </c>
      <c r="AV74" s="100">
        <f t="shared" si="58"/>
        <v>0</v>
      </c>
      <c r="AW74" s="100">
        <f t="shared" si="59"/>
        <v>0</v>
      </c>
      <c r="AX74" s="100">
        <f t="shared" si="60"/>
        <v>0</v>
      </c>
      <c r="AY74" s="110" t="s">
        <v>1693</v>
      </c>
      <c r="AZ74" s="110" t="s">
        <v>1728</v>
      </c>
      <c r="BA74" s="109" t="s">
        <v>1737</v>
      </c>
      <c r="BC74" s="100">
        <f t="shared" si="61"/>
        <v>0</v>
      </c>
      <c r="BD74" s="100">
        <f t="shared" si="62"/>
        <v>0</v>
      </c>
      <c r="BE74" s="100">
        <v>0</v>
      </c>
      <c r="BF74" s="100">
        <f>74</f>
        <v>74</v>
      </c>
      <c r="BH74" s="108">
        <f t="shared" si="63"/>
        <v>0</v>
      </c>
      <c r="BI74" s="108">
        <f t="shared" si="64"/>
        <v>0</v>
      </c>
      <c r="BJ74" s="108">
        <f t="shared" si="65"/>
        <v>0</v>
      </c>
    </row>
    <row r="75" spans="1:62" x14ac:dyDescent="0.2">
      <c r="A75" s="117" t="s">
        <v>53</v>
      </c>
      <c r="B75" s="117" t="s">
        <v>620</v>
      </c>
      <c r="C75" s="304" t="s">
        <v>1121</v>
      </c>
      <c r="D75" s="305"/>
      <c r="E75" s="305"/>
      <c r="F75" s="117" t="s">
        <v>1646</v>
      </c>
      <c r="G75" s="116">
        <v>47.4</v>
      </c>
      <c r="H75" s="159"/>
      <c r="I75" s="108">
        <f t="shared" si="44"/>
        <v>0</v>
      </c>
      <c r="J75" s="108">
        <f t="shared" si="45"/>
        <v>0</v>
      </c>
      <c r="K75" s="108">
        <f t="shared" si="46"/>
        <v>0</v>
      </c>
      <c r="L75" s="111" t="s">
        <v>1671</v>
      </c>
      <c r="Z75" s="100">
        <f t="shared" si="47"/>
        <v>0</v>
      </c>
      <c r="AB75" s="100">
        <f t="shared" si="48"/>
        <v>0</v>
      </c>
      <c r="AC75" s="100">
        <f t="shared" si="49"/>
        <v>0</v>
      </c>
      <c r="AD75" s="100">
        <f t="shared" si="50"/>
        <v>0</v>
      </c>
      <c r="AE75" s="100">
        <f t="shared" si="51"/>
        <v>0</v>
      </c>
      <c r="AF75" s="100">
        <f t="shared" si="52"/>
        <v>0</v>
      </c>
      <c r="AG75" s="100">
        <f t="shared" si="53"/>
        <v>0</v>
      </c>
      <c r="AH75" s="100">
        <f t="shared" si="54"/>
        <v>0</v>
      </c>
      <c r="AI75" s="109"/>
      <c r="AJ75" s="108">
        <f t="shared" si="55"/>
        <v>0</v>
      </c>
      <c r="AK75" s="108">
        <f t="shared" si="56"/>
        <v>0</v>
      </c>
      <c r="AL75" s="108">
        <f t="shared" si="57"/>
        <v>0</v>
      </c>
      <c r="AN75" s="100">
        <v>15</v>
      </c>
      <c r="AO75" s="100">
        <f>H75*0.259558824972571</f>
        <v>0</v>
      </c>
      <c r="AP75" s="100">
        <f>H75*(1-0.259558824972571)</f>
        <v>0</v>
      </c>
      <c r="AQ75" s="111" t="s">
        <v>7</v>
      </c>
      <c r="AV75" s="100">
        <f t="shared" si="58"/>
        <v>0</v>
      </c>
      <c r="AW75" s="100">
        <f t="shared" si="59"/>
        <v>0</v>
      </c>
      <c r="AX75" s="100">
        <f t="shared" si="60"/>
        <v>0</v>
      </c>
      <c r="AY75" s="110" t="s">
        <v>1693</v>
      </c>
      <c r="AZ75" s="110" t="s">
        <v>1728</v>
      </c>
      <c r="BA75" s="109" t="s">
        <v>1737</v>
      </c>
      <c r="BC75" s="100">
        <f t="shared" si="61"/>
        <v>0</v>
      </c>
      <c r="BD75" s="100">
        <f t="shared" si="62"/>
        <v>0</v>
      </c>
      <c r="BE75" s="100">
        <v>0</v>
      </c>
      <c r="BF75" s="100">
        <f>75</f>
        <v>75</v>
      </c>
      <c r="BH75" s="108">
        <f t="shared" si="63"/>
        <v>0</v>
      </c>
      <c r="BI75" s="108">
        <f t="shared" si="64"/>
        <v>0</v>
      </c>
      <c r="BJ75" s="108">
        <f t="shared" si="65"/>
        <v>0</v>
      </c>
    </row>
    <row r="76" spans="1:62" x14ac:dyDescent="0.2">
      <c r="A76" s="117" t="s">
        <v>54</v>
      </c>
      <c r="B76" s="117" t="s">
        <v>621</v>
      </c>
      <c r="C76" s="304" t="s">
        <v>1122</v>
      </c>
      <c r="D76" s="305"/>
      <c r="E76" s="305"/>
      <c r="F76" s="117" t="s">
        <v>1645</v>
      </c>
      <c r="G76" s="116">
        <v>98.432000000000002</v>
      </c>
      <c r="H76" s="159"/>
      <c r="I76" s="108">
        <f t="shared" si="44"/>
        <v>0</v>
      </c>
      <c r="J76" s="108">
        <f t="shared" si="45"/>
        <v>0</v>
      </c>
      <c r="K76" s="108">
        <f t="shared" si="46"/>
        <v>0</v>
      </c>
      <c r="L76" s="111" t="s">
        <v>1671</v>
      </c>
      <c r="Z76" s="100">
        <f t="shared" si="47"/>
        <v>0</v>
      </c>
      <c r="AB76" s="100">
        <f t="shared" si="48"/>
        <v>0</v>
      </c>
      <c r="AC76" s="100">
        <f t="shared" si="49"/>
        <v>0</v>
      </c>
      <c r="AD76" s="100">
        <f t="shared" si="50"/>
        <v>0</v>
      </c>
      <c r="AE76" s="100">
        <f t="shared" si="51"/>
        <v>0</v>
      </c>
      <c r="AF76" s="100">
        <f t="shared" si="52"/>
        <v>0</v>
      </c>
      <c r="AG76" s="100">
        <f t="shared" si="53"/>
        <v>0</v>
      </c>
      <c r="AH76" s="100">
        <f t="shared" si="54"/>
        <v>0</v>
      </c>
      <c r="AI76" s="109"/>
      <c r="AJ76" s="108">
        <f t="shared" si="55"/>
        <v>0</v>
      </c>
      <c r="AK76" s="108">
        <f t="shared" si="56"/>
        <v>0</v>
      </c>
      <c r="AL76" s="108">
        <f t="shared" si="57"/>
        <v>0</v>
      </c>
      <c r="AN76" s="100">
        <v>15</v>
      </c>
      <c r="AO76" s="100">
        <f>H76*0.476853749735543</f>
        <v>0</v>
      </c>
      <c r="AP76" s="100">
        <f>H76*(1-0.476853749735543)</f>
        <v>0</v>
      </c>
      <c r="AQ76" s="111" t="s">
        <v>7</v>
      </c>
      <c r="AV76" s="100">
        <f t="shared" si="58"/>
        <v>0</v>
      </c>
      <c r="AW76" s="100">
        <f t="shared" si="59"/>
        <v>0</v>
      </c>
      <c r="AX76" s="100">
        <f t="shared" si="60"/>
        <v>0</v>
      </c>
      <c r="AY76" s="110" t="s">
        <v>1693</v>
      </c>
      <c r="AZ76" s="110" t="s">
        <v>1728</v>
      </c>
      <c r="BA76" s="109" t="s">
        <v>1737</v>
      </c>
      <c r="BC76" s="100">
        <f t="shared" si="61"/>
        <v>0</v>
      </c>
      <c r="BD76" s="100">
        <f t="shared" si="62"/>
        <v>0</v>
      </c>
      <c r="BE76" s="100">
        <v>0</v>
      </c>
      <c r="BF76" s="100">
        <f>76</f>
        <v>76</v>
      </c>
      <c r="BH76" s="108">
        <f t="shared" si="63"/>
        <v>0</v>
      </c>
      <c r="BI76" s="108">
        <f t="shared" si="64"/>
        <v>0</v>
      </c>
      <c r="BJ76" s="108">
        <f t="shared" si="65"/>
        <v>0</v>
      </c>
    </row>
    <row r="77" spans="1:62" x14ac:dyDescent="0.2">
      <c r="A77" s="117" t="s">
        <v>55</v>
      </c>
      <c r="B77" s="117" t="s">
        <v>622</v>
      </c>
      <c r="C77" s="304" t="s">
        <v>1123</v>
      </c>
      <c r="D77" s="305"/>
      <c r="E77" s="305"/>
      <c r="F77" s="117" t="s">
        <v>1646</v>
      </c>
      <c r="G77" s="116">
        <v>170.4</v>
      </c>
      <c r="H77" s="159"/>
      <c r="I77" s="108">
        <f t="shared" si="44"/>
        <v>0</v>
      </c>
      <c r="J77" s="108">
        <f t="shared" si="45"/>
        <v>0</v>
      </c>
      <c r="K77" s="108">
        <f t="shared" si="46"/>
        <v>0</v>
      </c>
      <c r="L77" s="111" t="s">
        <v>1671</v>
      </c>
      <c r="Z77" s="100">
        <f t="shared" si="47"/>
        <v>0</v>
      </c>
      <c r="AB77" s="100">
        <f t="shared" si="48"/>
        <v>0</v>
      </c>
      <c r="AC77" s="100">
        <f t="shared" si="49"/>
        <v>0</v>
      </c>
      <c r="AD77" s="100">
        <f t="shared" si="50"/>
        <v>0</v>
      </c>
      <c r="AE77" s="100">
        <f t="shared" si="51"/>
        <v>0</v>
      </c>
      <c r="AF77" s="100">
        <f t="shared" si="52"/>
        <v>0</v>
      </c>
      <c r="AG77" s="100">
        <f t="shared" si="53"/>
        <v>0</v>
      </c>
      <c r="AH77" s="100">
        <f t="shared" si="54"/>
        <v>0</v>
      </c>
      <c r="AI77" s="109"/>
      <c r="AJ77" s="108">
        <f t="shared" si="55"/>
        <v>0</v>
      </c>
      <c r="AK77" s="108">
        <f t="shared" si="56"/>
        <v>0</v>
      </c>
      <c r="AL77" s="108">
        <f t="shared" si="57"/>
        <v>0</v>
      </c>
      <c r="AN77" s="100">
        <v>15</v>
      </c>
      <c r="AO77" s="100">
        <f>H77*0.413696060037523</f>
        <v>0</v>
      </c>
      <c r="AP77" s="100">
        <f>H77*(1-0.413696060037523)</f>
        <v>0</v>
      </c>
      <c r="AQ77" s="111" t="s">
        <v>7</v>
      </c>
      <c r="AV77" s="100">
        <f t="shared" si="58"/>
        <v>0</v>
      </c>
      <c r="AW77" s="100">
        <f t="shared" si="59"/>
        <v>0</v>
      </c>
      <c r="AX77" s="100">
        <f t="shared" si="60"/>
        <v>0</v>
      </c>
      <c r="AY77" s="110" t="s">
        <v>1693</v>
      </c>
      <c r="AZ77" s="110" t="s">
        <v>1728</v>
      </c>
      <c r="BA77" s="109" t="s">
        <v>1737</v>
      </c>
      <c r="BC77" s="100">
        <f t="shared" si="61"/>
        <v>0</v>
      </c>
      <c r="BD77" s="100">
        <f t="shared" si="62"/>
        <v>0</v>
      </c>
      <c r="BE77" s="100">
        <v>0</v>
      </c>
      <c r="BF77" s="100">
        <f>77</f>
        <v>77</v>
      </c>
      <c r="BH77" s="108">
        <f t="shared" si="63"/>
        <v>0</v>
      </c>
      <c r="BI77" s="108">
        <f t="shared" si="64"/>
        <v>0</v>
      </c>
      <c r="BJ77" s="108">
        <f t="shared" si="65"/>
        <v>0</v>
      </c>
    </row>
    <row r="78" spans="1:62" x14ac:dyDescent="0.2">
      <c r="A78" s="117" t="s">
        <v>56</v>
      </c>
      <c r="B78" s="117" t="s">
        <v>623</v>
      </c>
      <c r="C78" s="304" t="s">
        <v>1124</v>
      </c>
      <c r="D78" s="305"/>
      <c r="E78" s="305"/>
      <c r="F78" s="117" t="s">
        <v>1645</v>
      </c>
      <c r="G78" s="116">
        <v>716.42499999999995</v>
      </c>
      <c r="H78" s="159"/>
      <c r="I78" s="108">
        <f t="shared" si="44"/>
        <v>0</v>
      </c>
      <c r="J78" s="108">
        <f t="shared" si="45"/>
        <v>0</v>
      </c>
      <c r="K78" s="108">
        <f t="shared" si="46"/>
        <v>0</v>
      </c>
      <c r="L78" s="111" t="s">
        <v>1671</v>
      </c>
      <c r="Z78" s="100">
        <f t="shared" si="47"/>
        <v>0</v>
      </c>
      <c r="AB78" s="100">
        <f t="shared" si="48"/>
        <v>0</v>
      </c>
      <c r="AC78" s="100">
        <f t="shared" si="49"/>
        <v>0</v>
      </c>
      <c r="AD78" s="100">
        <f t="shared" si="50"/>
        <v>0</v>
      </c>
      <c r="AE78" s="100">
        <f t="shared" si="51"/>
        <v>0</v>
      </c>
      <c r="AF78" s="100">
        <f t="shared" si="52"/>
        <v>0</v>
      </c>
      <c r="AG78" s="100">
        <f t="shared" si="53"/>
        <v>0</v>
      </c>
      <c r="AH78" s="100">
        <f t="shared" si="54"/>
        <v>0</v>
      </c>
      <c r="AI78" s="109"/>
      <c r="AJ78" s="108">
        <f t="shared" si="55"/>
        <v>0</v>
      </c>
      <c r="AK78" s="108">
        <f t="shared" si="56"/>
        <v>0</v>
      </c>
      <c r="AL78" s="108">
        <f t="shared" si="57"/>
        <v>0</v>
      </c>
      <c r="AN78" s="100">
        <v>15</v>
      </c>
      <c r="AO78" s="100">
        <f>H78*0</f>
        <v>0</v>
      </c>
      <c r="AP78" s="100">
        <f>H78*(1-0)</f>
        <v>0</v>
      </c>
      <c r="AQ78" s="111" t="s">
        <v>7</v>
      </c>
      <c r="AV78" s="100">
        <f t="shared" si="58"/>
        <v>0</v>
      </c>
      <c r="AW78" s="100">
        <f t="shared" si="59"/>
        <v>0</v>
      </c>
      <c r="AX78" s="100">
        <f t="shared" si="60"/>
        <v>0</v>
      </c>
      <c r="AY78" s="110" t="s">
        <v>1693</v>
      </c>
      <c r="AZ78" s="110" t="s">
        <v>1728</v>
      </c>
      <c r="BA78" s="109" t="s">
        <v>1737</v>
      </c>
      <c r="BC78" s="100">
        <f t="shared" si="61"/>
        <v>0</v>
      </c>
      <c r="BD78" s="100">
        <f t="shared" si="62"/>
        <v>0</v>
      </c>
      <c r="BE78" s="100">
        <v>0</v>
      </c>
      <c r="BF78" s="100">
        <f>78</f>
        <v>78</v>
      </c>
      <c r="BH78" s="108">
        <f t="shared" si="63"/>
        <v>0</v>
      </c>
      <c r="BI78" s="108">
        <f t="shared" si="64"/>
        <v>0</v>
      </c>
      <c r="BJ78" s="108">
        <f t="shared" si="65"/>
        <v>0</v>
      </c>
    </row>
    <row r="79" spans="1:62" x14ac:dyDescent="0.2">
      <c r="A79" s="117" t="s">
        <v>57</v>
      </c>
      <c r="B79" s="117" t="s">
        <v>624</v>
      </c>
      <c r="C79" s="304" t="s">
        <v>3181</v>
      </c>
      <c r="D79" s="305"/>
      <c r="E79" s="305"/>
      <c r="F79" s="117" t="s">
        <v>1645</v>
      </c>
      <c r="G79" s="116">
        <v>716.42499999999995</v>
      </c>
      <c r="H79" s="159"/>
      <c r="I79" s="108">
        <f t="shared" si="44"/>
        <v>0</v>
      </c>
      <c r="J79" s="108">
        <f t="shared" si="45"/>
        <v>0</v>
      </c>
      <c r="K79" s="108">
        <f t="shared" si="46"/>
        <v>0</v>
      </c>
      <c r="L79" s="111" t="s">
        <v>1671</v>
      </c>
      <c r="Z79" s="100">
        <f t="shared" si="47"/>
        <v>0</v>
      </c>
      <c r="AB79" s="100">
        <f t="shared" si="48"/>
        <v>0</v>
      </c>
      <c r="AC79" s="100">
        <f t="shared" si="49"/>
        <v>0</v>
      </c>
      <c r="AD79" s="100">
        <f t="shared" si="50"/>
        <v>0</v>
      </c>
      <c r="AE79" s="100">
        <f t="shared" si="51"/>
        <v>0</v>
      </c>
      <c r="AF79" s="100">
        <f t="shared" si="52"/>
        <v>0</v>
      </c>
      <c r="AG79" s="100">
        <f t="shared" si="53"/>
        <v>0</v>
      </c>
      <c r="AH79" s="100">
        <f t="shared" si="54"/>
        <v>0</v>
      </c>
      <c r="AI79" s="109"/>
      <c r="AJ79" s="108">
        <f t="shared" si="55"/>
        <v>0</v>
      </c>
      <c r="AK79" s="108">
        <f t="shared" si="56"/>
        <v>0</v>
      </c>
      <c r="AL79" s="108">
        <f t="shared" si="57"/>
        <v>0</v>
      </c>
      <c r="AN79" s="100">
        <v>15</v>
      </c>
      <c r="AO79" s="100">
        <f>H79*0.0655405405405405</f>
        <v>0</v>
      </c>
      <c r="AP79" s="100">
        <f>H79*(1-0.0655405405405405)</f>
        <v>0</v>
      </c>
      <c r="AQ79" s="111" t="s">
        <v>7</v>
      </c>
      <c r="AV79" s="100">
        <f t="shared" si="58"/>
        <v>0</v>
      </c>
      <c r="AW79" s="100">
        <f t="shared" si="59"/>
        <v>0</v>
      </c>
      <c r="AX79" s="100">
        <f t="shared" si="60"/>
        <v>0</v>
      </c>
      <c r="AY79" s="110" t="s">
        <v>1693</v>
      </c>
      <c r="AZ79" s="110" t="s">
        <v>1728</v>
      </c>
      <c r="BA79" s="109" t="s">
        <v>1737</v>
      </c>
      <c r="BC79" s="100">
        <f t="shared" si="61"/>
        <v>0</v>
      </c>
      <c r="BD79" s="100">
        <f t="shared" si="62"/>
        <v>0</v>
      </c>
      <c r="BE79" s="100">
        <v>0</v>
      </c>
      <c r="BF79" s="100">
        <f>79</f>
        <v>79</v>
      </c>
      <c r="BH79" s="108">
        <f t="shared" si="63"/>
        <v>0</v>
      </c>
      <c r="BI79" s="108">
        <f t="shared" si="64"/>
        <v>0</v>
      </c>
      <c r="BJ79" s="108">
        <f t="shared" si="65"/>
        <v>0</v>
      </c>
    </row>
    <row r="80" spans="1:62" x14ac:dyDescent="0.2">
      <c r="A80" s="117" t="s">
        <v>58</v>
      </c>
      <c r="B80" s="117" t="s">
        <v>625</v>
      </c>
      <c r="C80" s="304" t="s">
        <v>1126</v>
      </c>
      <c r="D80" s="305"/>
      <c r="E80" s="305"/>
      <c r="F80" s="117" t="s">
        <v>1645</v>
      </c>
      <c r="G80" s="116">
        <v>358.21300000000002</v>
      </c>
      <c r="H80" s="159"/>
      <c r="I80" s="108">
        <f t="shared" si="44"/>
        <v>0</v>
      </c>
      <c r="J80" s="108">
        <f t="shared" si="45"/>
        <v>0</v>
      </c>
      <c r="K80" s="108">
        <f t="shared" si="46"/>
        <v>0</v>
      </c>
      <c r="L80" s="111" t="s">
        <v>1671</v>
      </c>
      <c r="Z80" s="100">
        <f t="shared" si="47"/>
        <v>0</v>
      </c>
      <c r="AB80" s="100">
        <f t="shared" si="48"/>
        <v>0</v>
      </c>
      <c r="AC80" s="100">
        <f t="shared" si="49"/>
        <v>0</v>
      </c>
      <c r="AD80" s="100">
        <f t="shared" si="50"/>
        <v>0</v>
      </c>
      <c r="AE80" s="100">
        <f t="shared" si="51"/>
        <v>0</v>
      </c>
      <c r="AF80" s="100">
        <f t="shared" si="52"/>
        <v>0</v>
      </c>
      <c r="AG80" s="100">
        <f t="shared" si="53"/>
        <v>0</v>
      </c>
      <c r="AH80" s="100">
        <f t="shared" si="54"/>
        <v>0</v>
      </c>
      <c r="AI80" s="109"/>
      <c r="AJ80" s="108">
        <f t="shared" si="55"/>
        <v>0</v>
      </c>
      <c r="AK80" s="108">
        <f t="shared" si="56"/>
        <v>0</v>
      </c>
      <c r="AL80" s="108">
        <f t="shared" si="57"/>
        <v>0</v>
      </c>
      <c r="AN80" s="100">
        <v>15</v>
      </c>
      <c r="AO80" s="100">
        <f>H80*0</f>
        <v>0</v>
      </c>
      <c r="AP80" s="100">
        <f>H80*(1-0)</f>
        <v>0</v>
      </c>
      <c r="AQ80" s="111" t="s">
        <v>7</v>
      </c>
      <c r="AV80" s="100">
        <f t="shared" si="58"/>
        <v>0</v>
      </c>
      <c r="AW80" s="100">
        <f t="shared" si="59"/>
        <v>0</v>
      </c>
      <c r="AX80" s="100">
        <f t="shared" si="60"/>
        <v>0</v>
      </c>
      <c r="AY80" s="110" t="s">
        <v>1693</v>
      </c>
      <c r="AZ80" s="110" t="s">
        <v>1728</v>
      </c>
      <c r="BA80" s="109" t="s">
        <v>1737</v>
      </c>
      <c r="BC80" s="100">
        <f t="shared" si="61"/>
        <v>0</v>
      </c>
      <c r="BD80" s="100">
        <f t="shared" si="62"/>
        <v>0</v>
      </c>
      <c r="BE80" s="100">
        <v>0</v>
      </c>
      <c r="BF80" s="100">
        <f>80</f>
        <v>80</v>
      </c>
      <c r="BH80" s="108">
        <f t="shared" si="63"/>
        <v>0</v>
      </c>
      <c r="BI80" s="108">
        <f t="shared" si="64"/>
        <v>0</v>
      </c>
      <c r="BJ80" s="108">
        <f t="shared" si="65"/>
        <v>0</v>
      </c>
    </row>
    <row r="81" spans="1:62" x14ac:dyDescent="0.2">
      <c r="A81" s="117" t="s">
        <v>59</v>
      </c>
      <c r="B81" s="117" t="s">
        <v>626</v>
      </c>
      <c r="C81" s="304" t="s">
        <v>1127</v>
      </c>
      <c r="D81" s="305"/>
      <c r="E81" s="305"/>
      <c r="F81" s="117" t="s">
        <v>1645</v>
      </c>
      <c r="G81" s="116">
        <v>358.21300000000002</v>
      </c>
      <c r="H81" s="159"/>
      <c r="I81" s="108">
        <f t="shared" si="44"/>
        <v>0</v>
      </c>
      <c r="J81" s="108">
        <f t="shared" si="45"/>
        <v>0</v>
      </c>
      <c r="K81" s="108">
        <f t="shared" si="46"/>
        <v>0</v>
      </c>
      <c r="L81" s="111" t="s">
        <v>1671</v>
      </c>
      <c r="Z81" s="100">
        <f t="shared" si="47"/>
        <v>0</v>
      </c>
      <c r="AB81" s="100">
        <f t="shared" si="48"/>
        <v>0</v>
      </c>
      <c r="AC81" s="100">
        <f t="shared" si="49"/>
        <v>0</v>
      </c>
      <c r="AD81" s="100">
        <f t="shared" si="50"/>
        <v>0</v>
      </c>
      <c r="AE81" s="100">
        <f t="shared" si="51"/>
        <v>0</v>
      </c>
      <c r="AF81" s="100">
        <f t="shared" si="52"/>
        <v>0</v>
      </c>
      <c r="AG81" s="100">
        <f t="shared" si="53"/>
        <v>0</v>
      </c>
      <c r="AH81" s="100">
        <f t="shared" si="54"/>
        <v>0</v>
      </c>
      <c r="AI81" s="109"/>
      <c r="AJ81" s="108">
        <f t="shared" si="55"/>
        <v>0</v>
      </c>
      <c r="AK81" s="108">
        <f t="shared" si="56"/>
        <v>0</v>
      </c>
      <c r="AL81" s="108">
        <f t="shared" si="57"/>
        <v>0</v>
      </c>
      <c r="AN81" s="100">
        <v>15</v>
      </c>
      <c r="AO81" s="100">
        <f>H81*0.313660683013351</f>
        <v>0</v>
      </c>
      <c r="AP81" s="100">
        <f>H81*(1-0.313660683013351)</f>
        <v>0</v>
      </c>
      <c r="AQ81" s="111" t="s">
        <v>7</v>
      </c>
      <c r="AV81" s="100">
        <f t="shared" si="58"/>
        <v>0</v>
      </c>
      <c r="AW81" s="100">
        <f t="shared" si="59"/>
        <v>0</v>
      </c>
      <c r="AX81" s="100">
        <f t="shared" si="60"/>
        <v>0</v>
      </c>
      <c r="AY81" s="110" t="s">
        <v>1693</v>
      </c>
      <c r="AZ81" s="110" t="s">
        <v>1728</v>
      </c>
      <c r="BA81" s="109" t="s">
        <v>1737</v>
      </c>
      <c r="BC81" s="100">
        <f t="shared" si="61"/>
        <v>0</v>
      </c>
      <c r="BD81" s="100">
        <f t="shared" si="62"/>
        <v>0</v>
      </c>
      <c r="BE81" s="100">
        <v>0</v>
      </c>
      <c r="BF81" s="100">
        <f>81</f>
        <v>81</v>
      </c>
      <c r="BH81" s="108">
        <f t="shared" si="63"/>
        <v>0</v>
      </c>
      <c r="BI81" s="108">
        <f t="shared" si="64"/>
        <v>0</v>
      </c>
      <c r="BJ81" s="108">
        <f t="shared" si="65"/>
        <v>0</v>
      </c>
    </row>
    <row r="82" spans="1:62" x14ac:dyDescent="0.2">
      <c r="A82" s="119"/>
      <c r="B82" s="120" t="s">
        <v>70</v>
      </c>
      <c r="C82" s="306" t="s">
        <v>2575</v>
      </c>
      <c r="D82" s="307"/>
      <c r="E82" s="307"/>
      <c r="F82" s="119" t="s">
        <v>6</v>
      </c>
      <c r="G82" s="119" t="s">
        <v>6</v>
      </c>
      <c r="H82" s="119" t="s">
        <v>6</v>
      </c>
      <c r="I82" s="118">
        <f>SUM(I83:I84)</f>
        <v>0</v>
      </c>
      <c r="J82" s="118">
        <f>SUM(J83:J84)</f>
        <v>0</v>
      </c>
      <c r="K82" s="118">
        <f>SUM(K83:K84)</f>
        <v>0</v>
      </c>
      <c r="L82" s="109"/>
      <c r="AI82" s="109"/>
      <c r="AS82" s="118">
        <f>SUM(AJ83:AJ84)</f>
        <v>0</v>
      </c>
      <c r="AT82" s="118">
        <f>SUM(AK83:AK84)</f>
        <v>0</v>
      </c>
      <c r="AU82" s="118">
        <f>SUM(AL83:AL84)</f>
        <v>0</v>
      </c>
    </row>
    <row r="83" spans="1:62" x14ac:dyDescent="0.2">
      <c r="A83" s="117" t="s">
        <v>60</v>
      </c>
      <c r="B83" s="117" t="s">
        <v>2856</v>
      </c>
      <c r="C83" s="304" t="s">
        <v>2855</v>
      </c>
      <c r="D83" s="305"/>
      <c r="E83" s="305"/>
      <c r="F83" s="117" t="s">
        <v>1646</v>
      </c>
      <c r="G83" s="116">
        <v>1.8</v>
      </c>
      <c r="H83" s="159"/>
      <c r="I83" s="108">
        <f>G83*AO83</f>
        <v>0</v>
      </c>
      <c r="J83" s="108">
        <f>G83*AP83</f>
        <v>0</v>
      </c>
      <c r="K83" s="108">
        <f>G83*H83</f>
        <v>0</v>
      </c>
      <c r="L83" s="111" t="s">
        <v>1671</v>
      </c>
      <c r="Z83" s="100">
        <f>IF(AQ83="5",BJ83,0)</f>
        <v>0</v>
      </c>
      <c r="AB83" s="100">
        <f>IF(AQ83="1",BH83,0)</f>
        <v>0</v>
      </c>
      <c r="AC83" s="100">
        <f>IF(AQ83="1",BI83,0)</f>
        <v>0</v>
      </c>
      <c r="AD83" s="100">
        <f>IF(AQ83="7",BH83,0)</f>
        <v>0</v>
      </c>
      <c r="AE83" s="100">
        <f>IF(AQ83="7",BI83,0)</f>
        <v>0</v>
      </c>
      <c r="AF83" s="100">
        <f>IF(AQ83="2",BH83,0)</f>
        <v>0</v>
      </c>
      <c r="AG83" s="100">
        <f>IF(AQ83="2",BI83,0)</f>
        <v>0</v>
      </c>
      <c r="AH83" s="100">
        <f>IF(AQ83="0",BJ83,0)</f>
        <v>0</v>
      </c>
      <c r="AI83" s="109"/>
      <c r="AJ83" s="108">
        <f>IF(AN83=0,K83,0)</f>
        <v>0</v>
      </c>
      <c r="AK83" s="108">
        <f>IF(AN83=15,K83,0)</f>
        <v>0</v>
      </c>
      <c r="AL83" s="108">
        <f>IF(AN83=21,K83,0)</f>
        <v>0</v>
      </c>
      <c r="AN83" s="100">
        <v>15</v>
      </c>
      <c r="AO83" s="100">
        <f>H83*0.689779116465863</f>
        <v>0</v>
      </c>
      <c r="AP83" s="100">
        <f>H83*(1-0.689779116465863)</f>
        <v>0</v>
      </c>
      <c r="AQ83" s="111" t="s">
        <v>7</v>
      </c>
      <c r="AV83" s="100">
        <f>AW83+AX83</f>
        <v>0</v>
      </c>
      <c r="AW83" s="100">
        <f>G83*AO83</f>
        <v>0</v>
      </c>
      <c r="AX83" s="100">
        <f>G83*AP83</f>
        <v>0</v>
      </c>
      <c r="AY83" s="110" t="s">
        <v>2852</v>
      </c>
      <c r="AZ83" s="110" t="s">
        <v>1728</v>
      </c>
      <c r="BA83" s="109" t="s">
        <v>1737</v>
      </c>
      <c r="BC83" s="100">
        <f>AW83+AX83</f>
        <v>0</v>
      </c>
      <c r="BD83" s="100">
        <f>H83/(100-BE83)*100</f>
        <v>0</v>
      </c>
      <c r="BE83" s="100">
        <v>0</v>
      </c>
      <c r="BF83" s="100">
        <f>83</f>
        <v>83</v>
      </c>
      <c r="BH83" s="108">
        <f>G83*AO83</f>
        <v>0</v>
      </c>
      <c r="BI83" s="108">
        <f>G83*AP83</f>
        <v>0</v>
      </c>
      <c r="BJ83" s="108">
        <f>G83*H83</f>
        <v>0</v>
      </c>
    </row>
    <row r="84" spans="1:62" x14ac:dyDescent="0.2">
      <c r="A84" s="117" t="s">
        <v>61</v>
      </c>
      <c r="B84" s="117" t="s">
        <v>2854</v>
      </c>
      <c r="C84" s="304" t="s">
        <v>2853</v>
      </c>
      <c r="D84" s="305"/>
      <c r="E84" s="305"/>
      <c r="F84" s="117" t="s">
        <v>1646</v>
      </c>
      <c r="G84" s="116">
        <v>8.4</v>
      </c>
      <c r="H84" s="159"/>
      <c r="I84" s="108">
        <f>G84*AO84</f>
        <v>0</v>
      </c>
      <c r="J84" s="108">
        <f>G84*AP84</f>
        <v>0</v>
      </c>
      <c r="K84" s="108">
        <f>G84*H84</f>
        <v>0</v>
      </c>
      <c r="L84" s="111" t="s">
        <v>1671</v>
      </c>
      <c r="Z84" s="100">
        <f>IF(AQ84="5",BJ84,0)</f>
        <v>0</v>
      </c>
      <c r="AB84" s="100">
        <f>IF(AQ84="1",BH84,0)</f>
        <v>0</v>
      </c>
      <c r="AC84" s="100">
        <f>IF(AQ84="1",BI84,0)</f>
        <v>0</v>
      </c>
      <c r="AD84" s="100">
        <f>IF(AQ84="7",BH84,0)</f>
        <v>0</v>
      </c>
      <c r="AE84" s="100">
        <f>IF(AQ84="7",BI84,0)</f>
        <v>0</v>
      </c>
      <c r="AF84" s="100">
        <f>IF(AQ84="2",BH84,0)</f>
        <v>0</v>
      </c>
      <c r="AG84" s="100">
        <f>IF(AQ84="2",BI84,0)</f>
        <v>0</v>
      </c>
      <c r="AH84" s="100">
        <f>IF(AQ84="0",BJ84,0)</f>
        <v>0</v>
      </c>
      <c r="AI84" s="109"/>
      <c r="AJ84" s="108">
        <f>IF(AN84=0,K84,0)</f>
        <v>0</v>
      </c>
      <c r="AK84" s="108">
        <f>IF(AN84=15,K84,0)</f>
        <v>0</v>
      </c>
      <c r="AL84" s="108">
        <f>IF(AN84=21,K84,0)</f>
        <v>0</v>
      </c>
      <c r="AN84" s="100">
        <v>15</v>
      </c>
      <c r="AO84" s="100">
        <f>H84*0.707705779334501</f>
        <v>0</v>
      </c>
      <c r="AP84" s="100">
        <f>H84*(1-0.707705779334501)</f>
        <v>0</v>
      </c>
      <c r="AQ84" s="111" t="s">
        <v>7</v>
      </c>
      <c r="AV84" s="100">
        <f>AW84+AX84</f>
        <v>0</v>
      </c>
      <c r="AW84" s="100">
        <f>G84*AO84</f>
        <v>0</v>
      </c>
      <c r="AX84" s="100">
        <f>G84*AP84</f>
        <v>0</v>
      </c>
      <c r="AY84" s="110" t="s">
        <v>2852</v>
      </c>
      <c r="AZ84" s="110" t="s">
        <v>1728</v>
      </c>
      <c r="BA84" s="109" t="s">
        <v>1737</v>
      </c>
      <c r="BC84" s="100">
        <f>AW84+AX84</f>
        <v>0</v>
      </c>
      <c r="BD84" s="100">
        <f>H84/(100-BE84)*100</f>
        <v>0</v>
      </c>
      <c r="BE84" s="100">
        <v>0</v>
      </c>
      <c r="BF84" s="100">
        <f>84</f>
        <v>84</v>
      </c>
      <c r="BH84" s="108">
        <f>G84*AO84</f>
        <v>0</v>
      </c>
      <c r="BI84" s="108">
        <f>G84*AP84</f>
        <v>0</v>
      </c>
      <c r="BJ84" s="108">
        <f>G84*H84</f>
        <v>0</v>
      </c>
    </row>
    <row r="85" spans="1:62" x14ac:dyDescent="0.2">
      <c r="A85" s="119"/>
      <c r="B85" s="120" t="s">
        <v>89</v>
      </c>
      <c r="C85" s="306" t="s">
        <v>1130</v>
      </c>
      <c r="D85" s="307"/>
      <c r="E85" s="307"/>
      <c r="F85" s="119" t="s">
        <v>6</v>
      </c>
      <c r="G85" s="119" t="s">
        <v>6</v>
      </c>
      <c r="H85" s="119" t="s">
        <v>6</v>
      </c>
      <c r="I85" s="118">
        <f>SUM(I86:I87)</f>
        <v>0</v>
      </c>
      <c r="J85" s="118">
        <f>SUM(J86:J87)</f>
        <v>0</v>
      </c>
      <c r="K85" s="118">
        <f>SUM(K86:K87)</f>
        <v>0</v>
      </c>
      <c r="L85" s="109"/>
      <c r="AI85" s="109"/>
      <c r="AS85" s="118">
        <f>SUM(AJ86:AJ87)</f>
        <v>0</v>
      </c>
      <c r="AT85" s="118">
        <f>SUM(AK86:AK87)</f>
        <v>0</v>
      </c>
      <c r="AU85" s="118">
        <f>SUM(AL86:AL87)</f>
        <v>0</v>
      </c>
    </row>
    <row r="86" spans="1:62" x14ac:dyDescent="0.2">
      <c r="A86" s="117" t="s">
        <v>62</v>
      </c>
      <c r="B86" s="117" t="s">
        <v>628</v>
      </c>
      <c r="C86" s="304" t="s">
        <v>2489</v>
      </c>
      <c r="D86" s="305"/>
      <c r="E86" s="305"/>
      <c r="F86" s="117" t="s">
        <v>1644</v>
      </c>
      <c r="G86" s="116">
        <v>4</v>
      </c>
      <c r="H86" s="159"/>
      <c r="I86" s="108">
        <f>G86*AO86</f>
        <v>0</v>
      </c>
      <c r="J86" s="108">
        <f>G86*AP86</f>
        <v>0</v>
      </c>
      <c r="K86" s="108">
        <f>G86*H86</f>
        <v>0</v>
      </c>
      <c r="L86" s="111" t="s">
        <v>1671</v>
      </c>
      <c r="Z86" s="100">
        <f>IF(AQ86="5",BJ86,0)</f>
        <v>0</v>
      </c>
      <c r="AB86" s="100">
        <f>IF(AQ86="1",BH86,0)</f>
        <v>0</v>
      </c>
      <c r="AC86" s="100">
        <f>IF(AQ86="1",BI86,0)</f>
        <v>0</v>
      </c>
      <c r="AD86" s="100">
        <f>IF(AQ86="7",BH86,0)</f>
        <v>0</v>
      </c>
      <c r="AE86" s="100">
        <f>IF(AQ86="7",BI86,0)</f>
        <v>0</v>
      </c>
      <c r="AF86" s="100">
        <f>IF(AQ86="2",BH86,0)</f>
        <v>0</v>
      </c>
      <c r="AG86" s="100">
        <f>IF(AQ86="2",BI86,0)</f>
        <v>0</v>
      </c>
      <c r="AH86" s="100">
        <f>IF(AQ86="0",BJ86,0)</f>
        <v>0</v>
      </c>
      <c r="AI86" s="109"/>
      <c r="AJ86" s="108">
        <f>IF(AN86=0,K86,0)</f>
        <v>0</v>
      </c>
      <c r="AK86" s="108">
        <f>IF(AN86=15,K86,0)</f>
        <v>0</v>
      </c>
      <c r="AL86" s="108">
        <f>IF(AN86=21,K86,0)</f>
        <v>0</v>
      </c>
      <c r="AN86" s="100">
        <v>15</v>
      </c>
      <c r="AO86" s="100">
        <f>H86*0.915172602097089</f>
        <v>0</v>
      </c>
      <c r="AP86" s="100">
        <f>H86*(1-0.915172602097089)</f>
        <v>0</v>
      </c>
      <c r="AQ86" s="111" t="s">
        <v>7</v>
      </c>
      <c r="AV86" s="100">
        <f>AW86+AX86</f>
        <v>0</v>
      </c>
      <c r="AW86" s="100">
        <f>G86*AO86</f>
        <v>0</v>
      </c>
      <c r="AX86" s="100">
        <f>G86*AP86</f>
        <v>0</v>
      </c>
      <c r="AY86" s="110" t="s">
        <v>1695</v>
      </c>
      <c r="AZ86" s="110" t="s">
        <v>1729</v>
      </c>
      <c r="BA86" s="109" t="s">
        <v>1737</v>
      </c>
      <c r="BC86" s="100">
        <f>AW86+AX86</f>
        <v>0</v>
      </c>
      <c r="BD86" s="100">
        <f>H86/(100-BE86)*100</f>
        <v>0</v>
      </c>
      <c r="BE86" s="100">
        <v>0</v>
      </c>
      <c r="BF86" s="100">
        <f>86</f>
        <v>86</v>
      </c>
      <c r="BH86" s="108">
        <f>G86*AO86</f>
        <v>0</v>
      </c>
      <c r="BI86" s="108">
        <f>G86*AP86</f>
        <v>0</v>
      </c>
      <c r="BJ86" s="108">
        <f>G86*H86</f>
        <v>0</v>
      </c>
    </row>
    <row r="87" spans="1:62" x14ac:dyDescent="0.2">
      <c r="A87" s="117" t="s">
        <v>63</v>
      </c>
      <c r="B87" s="117" t="s">
        <v>629</v>
      </c>
      <c r="C87" s="304" t="s">
        <v>1132</v>
      </c>
      <c r="D87" s="305"/>
      <c r="E87" s="305"/>
      <c r="F87" s="117" t="s">
        <v>1646</v>
      </c>
      <c r="G87" s="116">
        <v>30</v>
      </c>
      <c r="H87" s="159"/>
      <c r="I87" s="108">
        <f>G87*AO87</f>
        <v>0</v>
      </c>
      <c r="J87" s="108">
        <f>G87*AP87</f>
        <v>0</v>
      </c>
      <c r="K87" s="108">
        <f>G87*H87</f>
        <v>0</v>
      </c>
      <c r="L87" s="111" t="s">
        <v>1671</v>
      </c>
      <c r="Z87" s="100">
        <f>IF(AQ87="5",BJ87,0)</f>
        <v>0</v>
      </c>
      <c r="AB87" s="100">
        <f>IF(AQ87="1",BH87,0)</f>
        <v>0</v>
      </c>
      <c r="AC87" s="100">
        <f>IF(AQ87="1",BI87,0)</f>
        <v>0</v>
      </c>
      <c r="AD87" s="100">
        <f>IF(AQ87="7",BH87,0)</f>
        <v>0</v>
      </c>
      <c r="AE87" s="100">
        <f>IF(AQ87="7",BI87,0)</f>
        <v>0</v>
      </c>
      <c r="AF87" s="100">
        <f>IF(AQ87="2",BH87,0)</f>
        <v>0</v>
      </c>
      <c r="AG87" s="100">
        <f>IF(AQ87="2",BI87,0)</f>
        <v>0</v>
      </c>
      <c r="AH87" s="100">
        <f>IF(AQ87="0",BJ87,0)</f>
        <v>0</v>
      </c>
      <c r="AI87" s="109"/>
      <c r="AJ87" s="108">
        <f>IF(AN87=0,K87,0)</f>
        <v>0</v>
      </c>
      <c r="AK87" s="108">
        <f>IF(AN87=15,K87,0)</f>
        <v>0</v>
      </c>
      <c r="AL87" s="108">
        <f>IF(AN87=21,K87,0)</f>
        <v>0</v>
      </c>
      <c r="AN87" s="100">
        <v>15</v>
      </c>
      <c r="AO87" s="100">
        <f>H87*0.343381518923828</f>
        <v>0</v>
      </c>
      <c r="AP87" s="100">
        <f>H87*(1-0.343381518923828)</f>
        <v>0</v>
      </c>
      <c r="AQ87" s="111" t="s">
        <v>7</v>
      </c>
      <c r="AV87" s="100">
        <f>AW87+AX87</f>
        <v>0</v>
      </c>
      <c r="AW87" s="100">
        <f>G87*AO87</f>
        <v>0</v>
      </c>
      <c r="AX87" s="100">
        <f>G87*AP87</f>
        <v>0</v>
      </c>
      <c r="AY87" s="110" t="s">
        <v>1695</v>
      </c>
      <c r="AZ87" s="110" t="s">
        <v>1729</v>
      </c>
      <c r="BA87" s="109" t="s">
        <v>1737</v>
      </c>
      <c r="BC87" s="100">
        <f>AW87+AX87</f>
        <v>0</v>
      </c>
      <c r="BD87" s="100">
        <f>H87/(100-BE87)*100</f>
        <v>0</v>
      </c>
      <c r="BE87" s="100">
        <v>0</v>
      </c>
      <c r="BF87" s="100">
        <f>87</f>
        <v>87</v>
      </c>
      <c r="BH87" s="108">
        <f>G87*AO87</f>
        <v>0</v>
      </c>
      <c r="BI87" s="108">
        <f>G87*AP87</f>
        <v>0</v>
      </c>
      <c r="BJ87" s="108">
        <f>G87*H87</f>
        <v>0</v>
      </c>
    </row>
    <row r="88" spans="1:62" x14ac:dyDescent="0.2">
      <c r="A88" s="119"/>
      <c r="B88" s="120" t="s">
        <v>95</v>
      </c>
      <c r="C88" s="306" t="s">
        <v>1133</v>
      </c>
      <c r="D88" s="307"/>
      <c r="E88" s="307"/>
      <c r="F88" s="119" t="s">
        <v>6</v>
      </c>
      <c r="G88" s="119" t="s">
        <v>6</v>
      </c>
      <c r="H88" s="119" t="s">
        <v>6</v>
      </c>
      <c r="I88" s="118">
        <f>SUM(I89:I90)</f>
        <v>0</v>
      </c>
      <c r="J88" s="118">
        <f>SUM(J89:J90)</f>
        <v>0</v>
      </c>
      <c r="K88" s="118">
        <f>SUM(K89:K90)</f>
        <v>0</v>
      </c>
      <c r="L88" s="109"/>
      <c r="AI88" s="109"/>
      <c r="AS88" s="118">
        <f>SUM(AJ89:AJ90)</f>
        <v>0</v>
      </c>
      <c r="AT88" s="118">
        <f>SUM(AK89:AK90)</f>
        <v>0</v>
      </c>
      <c r="AU88" s="118">
        <f>SUM(AL89:AL90)</f>
        <v>0</v>
      </c>
    </row>
    <row r="89" spans="1:62" x14ac:dyDescent="0.2">
      <c r="A89" s="117" t="s">
        <v>64</v>
      </c>
      <c r="B89" s="117" t="s">
        <v>630</v>
      </c>
      <c r="C89" s="304" t="s">
        <v>2851</v>
      </c>
      <c r="D89" s="305"/>
      <c r="E89" s="305"/>
      <c r="F89" s="117" t="s">
        <v>1644</v>
      </c>
      <c r="G89" s="116">
        <v>6</v>
      </c>
      <c r="H89" s="159"/>
      <c r="I89" s="108">
        <f>G89*AO89</f>
        <v>0</v>
      </c>
      <c r="J89" s="108">
        <f>G89*AP89</f>
        <v>0</v>
      </c>
      <c r="K89" s="108">
        <f>G89*H89</f>
        <v>0</v>
      </c>
      <c r="L89" s="111" t="s">
        <v>1671</v>
      </c>
      <c r="Z89" s="100">
        <f>IF(AQ89="5",BJ89,0)</f>
        <v>0</v>
      </c>
      <c r="AB89" s="100">
        <f>IF(AQ89="1",BH89,0)</f>
        <v>0</v>
      </c>
      <c r="AC89" s="100">
        <f>IF(AQ89="1",BI89,0)</f>
        <v>0</v>
      </c>
      <c r="AD89" s="100">
        <f>IF(AQ89="7",BH89,0)</f>
        <v>0</v>
      </c>
      <c r="AE89" s="100">
        <f>IF(AQ89="7",BI89,0)</f>
        <v>0</v>
      </c>
      <c r="AF89" s="100">
        <f>IF(AQ89="2",BH89,0)</f>
        <v>0</v>
      </c>
      <c r="AG89" s="100">
        <f>IF(AQ89="2",BI89,0)</f>
        <v>0</v>
      </c>
      <c r="AH89" s="100">
        <f>IF(AQ89="0",BJ89,0)</f>
        <v>0</v>
      </c>
      <c r="AI89" s="109"/>
      <c r="AJ89" s="108">
        <f>IF(AN89=0,K89,0)</f>
        <v>0</v>
      </c>
      <c r="AK89" s="108">
        <f>IF(AN89=15,K89,0)</f>
        <v>0</v>
      </c>
      <c r="AL89" s="108">
        <f>IF(AN89=21,K89,0)</f>
        <v>0</v>
      </c>
      <c r="AN89" s="100">
        <v>15</v>
      </c>
      <c r="AO89" s="100">
        <f>H89*0.904839835449796</f>
        <v>0</v>
      </c>
      <c r="AP89" s="100">
        <f>H89*(1-0.904839835449796)</f>
        <v>0</v>
      </c>
      <c r="AQ89" s="111" t="s">
        <v>7</v>
      </c>
      <c r="AV89" s="100">
        <f>AW89+AX89</f>
        <v>0</v>
      </c>
      <c r="AW89" s="100">
        <f>G89*AO89</f>
        <v>0</v>
      </c>
      <c r="AX89" s="100">
        <f>G89*AP89</f>
        <v>0</v>
      </c>
      <c r="AY89" s="110" t="s">
        <v>1696</v>
      </c>
      <c r="AZ89" s="110" t="s">
        <v>1729</v>
      </c>
      <c r="BA89" s="109" t="s">
        <v>1737</v>
      </c>
      <c r="BC89" s="100">
        <f>AW89+AX89</f>
        <v>0</v>
      </c>
      <c r="BD89" s="100">
        <f>H89/(100-BE89)*100</f>
        <v>0</v>
      </c>
      <c r="BE89" s="100">
        <v>0</v>
      </c>
      <c r="BF89" s="100">
        <f>89</f>
        <v>89</v>
      </c>
      <c r="BH89" s="108">
        <f>G89*AO89</f>
        <v>0</v>
      </c>
      <c r="BI89" s="108">
        <f>G89*AP89</f>
        <v>0</v>
      </c>
      <c r="BJ89" s="108">
        <f>G89*H89</f>
        <v>0</v>
      </c>
    </row>
    <row r="90" spans="1:62" x14ac:dyDescent="0.2">
      <c r="A90" s="117" t="s">
        <v>65</v>
      </c>
      <c r="B90" s="117" t="s">
        <v>631</v>
      </c>
      <c r="C90" s="304" t="s">
        <v>1135</v>
      </c>
      <c r="D90" s="305"/>
      <c r="E90" s="305"/>
      <c r="F90" s="117" t="s">
        <v>1644</v>
      </c>
      <c r="G90" s="116">
        <v>2</v>
      </c>
      <c r="H90" s="159"/>
      <c r="I90" s="108">
        <f>G90*AO90</f>
        <v>0</v>
      </c>
      <c r="J90" s="108">
        <f>G90*AP90</f>
        <v>0</v>
      </c>
      <c r="K90" s="108">
        <f>G90*H90</f>
        <v>0</v>
      </c>
      <c r="L90" s="111" t="s">
        <v>1671</v>
      </c>
      <c r="Z90" s="100">
        <f>IF(AQ90="5",BJ90,0)</f>
        <v>0</v>
      </c>
      <c r="AB90" s="100">
        <f>IF(AQ90="1",BH90,0)</f>
        <v>0</v>
      </c>
      <c r="AC90" s="100">
        <f>IF(AQ90="1",BI90,0)</f>
        <v>0</v>
      </c>
      <c r="AD90" s="100">
        <f>IF(AQ90="7",BH90,0)</f>
        <v>0</v>
      </c>
      <c r="AE90" s="100">
        <f>IF(AQ90="7",BI90,0)</f>
        <v>0</v>
      </c>
      <c r="AF90" s="100">
        <f>IF(AQ90="2",BH90,0)</f>
        <v>0</v>
      </c>
      <c r="AG90" s="100">
        <f>IF(AQ90="2",BI90,0)</f>
        <v>0</v>
      </c>
      <c r="AH90" s="100">
        <f>IF(AQ90="0",BJ90,0)</f>
        <v>0</v>
      </c>
      <c r="AI90" s="109"/>
      <c r="AJ90" s="108">
        <f>IF(AN90=0,K90,0)</f>
        <v>0</v>
      </c>
      <c r="AK90" s="108">
        <f>IF(AN90=15,K90,0)</f>
        <v>0</v>
      </c>
      <c r="AL90" s="108">
        <f>IF(AN90=21,K90,0)</f>
        <v>0</v>
      </c>
      <c r="AN90" s="100">
        <v>15</v>
      </c>
      <c r="AO90" s="100">
        <f>H90*0.964949325254751</f>
        <v>0</v>
      </c>
      <c r="AP90" s="100">
        <f>H90*(1-0.964949325254751)</f>
        <v>0</v>
      </c>
      <c r="AQ90" s="111" t="s">
        <v>7</v>
      </c>
      <c r="AV90" s="100">
        <f>AW90+AX90</f>
        <v>0</v>
      </c>
      <c r="AW90" s="100">
        <f>G90*AO90</f>
        <v>0</v>
      </c>
      <c r="AX90" s="100">
        <f>G90*AP90</f>
        <v>0</v>
      </c>
      <c r="AY90" s="110" t="s">
        <v>1696</v>
      </c>
      <c r="AZ90" s="110" t="s">
        <v>1729</v>
      </c>
      <c r="BA90" s="109" t="s">
        <v>1737</v>
      </c>
      <c r="BC90" s="100">
        <f>AW90+AX90</f>
        <v>0</v>
      </c>
      <c r="BD90" s="100">
        <f>H90/(100-BE90)*100</f>
        <v>0</v>
      </c>
      <c r="BE90" s="100">
        <v>0</v>
      </c>
      <c r="BF90" s="100">
        <f>90</f>
        <v>90</v>
      </c>
      <c r="BH90" s="108">
        <f>G90*AO90</f>
        <v>0</v>
      </c>
      <c r="BI90" s="108">
        <f>G90*AP90</f>
        <v>0</v>
      </c>
      <c r="BJ90" s="108">
        <f>G90*H90</f>
        <v>0</v>
      </c>
    </row>
    <row r="91" spans="1:62" x14ac:dyDescent="0.2">
      <c r="A91" s="119"/>
      <c r="B91" s="120" t="s">
        <v>97</v>
      </c>
      <c r="C91" s="306" t="s">
        <v>1136</v>
      </c>
      <c r="D91" s="307"/>
      <c r="E91" s="307"/>
      <c r="F91" s="119" t="s">
        <v>6</v>
      </c>
      <c r="G91" s="119" t="s">
        <v>6</v>
      </c>
      <c r="H91" s="119" t="s">
        <v>6</v>
      </c>
      <c r="I91" s="118">
        <f>SUM(I92:I93)</f>
        <v>0</v>
      </c>
      <c r="J91" s="118">
        <f>SUM(J92:J93)</f>
        <v>0</v>
      </c>
      <c r="K91" s="118">
        <f>SUM(K92:K93)</f>
        <v>0</v>
      </c>
      <c r="L91" s="109"/>
      <c r="AI91" s="109"/>
      <c r="AS91" s="118">
        <f>SUM(AJ92:AJ93)</f>
        <v>0</v>
      </c>
      <c r="AT91" s="118">
        <f>SUM(AK92:AK93)</f>
        <v>0</v>
      </c>
      <c r="AU91" s="118">
        <f>SUM(AL92:AL93)</f>
        <v>0</v>
      </c>
    </row>
    <row r="92" spans="1:62" x14ac:dyDescent="0.2">
      <c r="A92" s="117" t="s">
        <v>66</v>
      </c>
      <c r="B92" s="117" t="s">
        <v>632</v>
      </c>
      <c r="C92" s="304" t="s">
        <v>1137</v>
      </c>
      <c r="D92" s="305"/>
      <c r="E92" s="305"/>
      <c r="F92" s="117" t="s">
        <v>1646</v>
      </c>
      <c r="G92" s="116">
        <v>52.82</v>
      </c>
      <c r="H92" s="159"/>
      <c r="I92" s="108">
        <f>G92*AO92</f>
        <v>0</v>
      </c>
      <c r="J92" s="108">
        <f>G92*AP92</f>
        <v>0</v>
      </c>
      <c r="K92" s="108">
        <f>G92*H92</f>
        <v>0</v>
      </c>
      <c r="L92" s="111" t="s">
        <v>1671</v>
      </c>
      <c r="Z92" s="100">
        <f>IF(AQ92="5",BJ92,0)</f>
        <v>0</v>
      </c>
      <c r="AB92" s="100">
        <f>IF(AQ92="1",BH92,0)</f>
        <v>0</v>
      </c>
      <c r="AC92" s="100">
        <f>IF(AQ92="1",BI92,0)</f>
        <v>0</v>
      </c>
      <c r="AD92" s="100">
        <f>IF(AQ92="7",BH92,0)</f>
        <v>0</v>
      </c>
      <c r="AE92" s="100">
        <f>IF(AQ92="7",BI92,0)</f>
        <v>0</v>
      </c>
      <c r="AF92" s="100">
        <f>IF(AQ92="2",BH92,0)</f>
        <v>0</v>
      </c>
      <c r="AG92" s="100">
        <f>IF(AQ92="2",BI92,0)</f>
        <v>0</v>
      </c>
      <c r="AH92" s="100">
        <f>IF(AQ92="0",BJ92,0)</f>
        <v>0</v>
      </c>
      <c r="AI92" s="109"/>
      <c r="AJ92" s="108">
        <f>IF(AN92=0,K92,0)</f>
        <v>0</v>
      </c>
      <c r="AK92" s="108">
        <f>IF(AN92=15,K92,0)</f>
        <v>0</v>
      </c>
      <c r="AL92" s="108">
        <f>IF(AN92=21,K92,0)</f>
        <v>0</v>
      </c>
      <c r="AN92" s="100">
        <v>15</v>
      </c>
      <c r="AO92" s="100">
        <f>H92*0.72</f>
        <v>0</v>
      </c>
      <c r="AP92" s="100">
        <f>H92*(1-0.72)</f>
        <v>0</v>
      </c>
      <c r="AQ92" s="111" t="s">
        <v>7</v>
      </c>
      <c r="AV92" s="100">
        <f>AW92+AX92</f>
        <v>0</v>
      </c>
      <c r="AW92" s="100">
        <f>G92*AO92</f>
        <v>0</v>
      </c>
      <c r="AX92" s="100">
        <f>G92*AP92</f>
        <v>0</v>
      </c>
      <c r="AY92" s="110" t="s">
        <v>1697</v>
      </c>
      <c r="AZ92" s="110" t="s">
        <v>1730</v>
      </c>
      <c r="BA92" s="109" t="s">
        <v>1737</v>
      </c>
      <c r="BC92" s="100">
        <f>AW92+AX92</f>
        <v>0</v>
      </c>
      <c r="BD92" s="100">
        <f>H92/(100-BE92)*100</f>
        <v>0</v>
      </c>
      <c r="BE92" s="100">
        <v>0</v>
      </c>
      <c r="BF92" s="100">
        <f>92</f>
        <v>92</v>
      </c>
      <c r="BH92" s="108">
        <f>G92*AO92</f>
        <v>0</v>
      </c>
      <c r="BI92" s="108">
        <f>G92*AP92</f>
        <v>0</v>
      </c>
      <c r="BJ92" s="108">
        <f>G92*H92</f>
        <v>0</v>
      </c>
    </row>
    <row r="93" spans="1:62" x14ac:dyDescent="0.2">
      <c r="A93" s="117" t="s">
        <v>67</v>
      </c>
      <c r="B93" s="117" t="s">
        <v>633</v>
      </c>
      <c r="C93" s="304" t="s">
        <v>1138</v>
      </c>
      <c r="D93" s="305"/>
      <c r="E93" s="305"/>
      <c r="F93" s="117" t="s">
        <v>1647</v>
      </c>
      <c r="G93" s="116">
        <v>2.3769999999999998</v>
      </c>
      <c r="H93" s="159"/>
      <c r="I93" s="108">
        <f>G93*AO93</f>
        <v>0</v>
      </c>
      <c r="J93" s="108">
        <f>G93*AP93</f>
        <v>0</v>
      </c>
      <c r="K93" s="108">
        <f>G93*H93</f>
        <v>0</v>
      </c>
      <c r="L93" s="111" t="s">
        <v>1671</v>
      </c>
      <c r="Z93" s="100">
        <f>IF(AQ93="5",BJ93,0)</f>
        <v>0</v>
      </c>
      <c r="AB93" s="100">
        <f>IF(AQ93="1",BH93,0)</f>
        <v>0</v>
      </c>
      <c r="AC93" s="100">
        <f>IF(AQ93="1",BI93,0)</f>
        <v>0</v>
      </c>
      <c r="AD93" s="100">
        <f>IF(AQ93="7",BH93,0)</f>
        <v>0</v>
      </c>
      <c r="AE93" s="100">
        <f>IF(AQ93="7",BI93,0)</f>
        <v>0</v>
      </c>
      <c r="AF93" s="100">
        <f>IF(AQ93="2",BH93,0)</f>
        <v>0</v>
      </c>
      <c r="AG93" s="100">
        <f>IF(AQ93="2",BI93,0)</f>
        <v>0</v>
      </c>
      <c r="AH93" s="100">
        <f>IF(AQ93="0",BJ93,0)</f>
        <v>0</v>
      </c>
      <c r="AI93" s="109"/>
      <c r="AJ93" s="108">
        <f>IF(AN93=0,K93,0)</f>
        <v>0</v>
      </c>
      <c r="AK93" s="108">
        <f>IF(AN93=15,K93,0)</f>
        <v>0</v>
      </c>
      <c r="AL93" s="108">
        <f>IF(AN93=21,K93,0)</f>
        <v>0</v>
      </c>
      <c r="AN93" s="100">
        <v>15</v>
      </c>
      <c r="AO93" s="100">
        <f>H93*0.780342781789508</f>
        <v>0</v>
      </c>
      <c r="AP93" s="100">
        <f>H93*(1-0.780342781789508)</f>
        <v>0</v>
      </c>
      <c r="AQ93" s="111" t="s">
        <v>7</v>
      </c>
      <c r="AV93" s="100">
        <f>AW93+AX93</f>
        <v>0</v>
      </c>
      <c r="AW93" s="100">
        <f>G93*AO93</f>
        <v>0</v>
      </c>
      <c r="AX93" s="100">
        <f>G93*AP93</f>
        <v>0</v>
      </c>
      <c r="AY93" s="110" t="s">
        <v>1697</v>
      </c>
      <c r="AZ93" s="110" t="s">
        <v>1730</v>
      </c>
      <c r="BA93" s="109" t="s">
        <v>1737</v>
      </c>
      <c r="BC93" s="100">
        <f>AW93+AX93</f>
        <v>0</v>
      </c>
      <c r="BD93" s="100">
        <f>H93/(100-BE93)*100</f>
        <v>0</v>
      </c>
      <c r="BE93" s="100">
        <v>0</v>
      </c>
      <c r="BF93" s="100">
        <f>93</f>
        <v>93</v>
      </c>
      <c r="BH93" s="108">
        <f>G93*AO93</f>
        <v>0</v>
      </c>
      <c r="BI93" s="108">
        <f>G93*AP93</f>
        <v>0</v>
      </c>
      <c r="BJ93" s="108">
        <f>G93*H93</f>
        <v>0</v>
      </c>
    </row>
    <row r="94" spans="1:62" x14ac:dyDescent="0.2">
      <c r="A94" s="119"/>
      <c r="B94" s="120" t="s">
        <v>100</v>
      </c>
      <c r="C94" s="306" t="s">
        <v>1139</v>
      </c>
      <c r="D94" s="307"/>
      <c r="E94" s="307"/>
      <c r="F94" s="119" t="s">
        <v>6</v>
      </c>
      <c r="G94" s="119" t="s">
        <v>6</v>
      </c>
      <c r="H94" s="119" t="s">
        <v>6</v>
      </c>
      <c r="I94" s="118">
        <f>SUM(I95:I101)</f>
        <v>0</v>
      </c>
      <c r="J94" s="118">
        <f>SUM(J95:J101)</f>
        <v>0</v>
      </c>
      <c r="K94" s="118">
        <f>SUM(K95:K101)</f>
        <v>0</v>
      </c>
      <c r="L94" s="109"/>
      <c r="AI94" s="109"/>
      <c r="AS94" s="118">
        <f>SUM(AJ95:AJ101)</f>
        <v>0</v>
      </c>
      <c r="AT94" s="118">
        <f>SUM(AK95:AK101)</f>
        <v>0</v>
      </c>
      <c r="AU94" s="118">
        <f>SUM(AL95:AL101)</f>
        <v>0</v>
      </c>
    </row>
    <row r="95" spans="1:62" x14ac:dyDescent="0.2">
      <c r="A95" s="117" t="s">
        <v>68</v>
      </c>
      <c r="B95" s="117" t="s">
        <v>634</v>
      </c>
      <c r="C95" s="304" t="s">
        <v>1140</v>
      </c>
      <c r="D95" s="305"/>
      <c r="E95" s="305"/>
      <c r="F95" s="117" t="s">
        <v>1645</v>
      </c>
      <c r="G95" s="116">
        <v>765.49599999999998</v>
      </c>
      <c r="H95" s="159"/>
      <c r="I95" s="108">
        <f t="shared" ref="I95:I101" si="66">G95*AO95</f>
        <v>0</v>
      </c>
      <c r="J95" s="108">
        <f t="shared" ref="J95:J101" si="67">G95*AP95</f>
        <v>0</v>
      </c>
      <c r="K95" s="108">
        <f t="shared" ref="K95:K101" si="68">G95*H95</f>
        <v>0</v>
      </c>
      <c r="L95" s="111" t="s">
        <v>1671</v>
      </c>
      <c r="Z95" s="100">
        <f t="shared" ref="Z95:Z101" si="69">IF(AQ95="5",BJ95,0)</f>
        <v>0</v>
      </c>
      <c r="AB95" s="100">
        <f t="shared" ref="AB95:AB101" si="70">IF(AQ95="1",BH95,0)</f>
        <v>0</v>
      </c>
      <c r="AC95" s="100">
        <f t="shared" ref="AC95:AC101" si="71">IF(AQ95="1",BI95,0)</f>
        <v>0</v>
      </c>
      <c r="AD95" s="100">
        <f t="shared" ref="AD95:AD101" si="72">IF(AQ95="7",BH95,0)</f>
        <v>0</v>
      </c>
      <c r="AE95" s="100">
        <f t="shared" ref="AE95:AE101" si="73">IF(AQ95="7",BI95,0)</f>
        <v>0</v>
      </c>
      <c r="AF95" s="100">
        <f t="shared" ref="AF95:AF101" si="74">IF(AQ95="2",BH95,0)</f>
        <v>0</v>
      </c>
      <c r="AG95" s="100">
        <f t="shared" ref="AG95:AG101" si="75">IF(AQ95="2",BI95,0)</f>
        <v>0</v>
      </c>
      <c r="AH95" s="100">
        <f t="shared" ref="AH95:AH101" si="76">IF(AQ95="0",BJ95,0)</f>
        <v>0</v>
      </c>
      <c r="AI95" s="109"/>
      <c r="AJ95" s="108">
        <f t="shared" ref="AJ95:AJ101" si="77">IF(AN95=0,K95,0)</f>
        <v>0</v>
      </c>
      <c r="AK95" s="108">
        <f t="shared" ref="AK95:AK101" si="78">IF(AN95=15,K95,0)</f>
        <v>0</v>
      </c>
      <c r="AL95" s="108">
        <f t="shared" ref="AL95:AL101" si="79">IF(AN95=21,K95,0)</f>
        <v>0</v>
      </c>
      <c r="AN95" s="100">
        <v>15</v>
      </c>
      <c r="AO95" s="100">
        <f>H95*0.000315955745327194</f>
        <v>0</v>
      </c>
      <c r="AP95" s="100">
        <f>H95*(1-0.000315955745327194)</f>
        <v>0</v>
      </c>
      <c r="AQ95" s="111" t="s">
        <v>7</v>
      </c>
      <c r="AV95" s="100">
        <f t="shared" ref="AV95:AV101" si="80">AW95+AX95</f>
        <v>0</v>
      </c>
      <c r="AW95" s="100">
        <f t="shared" ref="AW95:AW101" si="81">G95*AO95</f>
        <v>0</v>
      </c>
      <c r="AX95" s="100">
        <f t="shared" ref="AX95:AX101" si="82">G95*AP95</f>
        <v>0</v>
      </c>
      <c r="AY95" s="110" t="s">
        <v>1698</v>
      </c>
      <c r="AZ95" s="110" t="s">
        <v>1730</v>
      </c>
      <c r="BA95" s="109" t="s">
        <v>1737</v>
      </c>
      <c r="BC95" s="100">
        <f t="shared" ref="BC95:BC101" si="83">AW95+AX95</f>
        <v>0</v>
      </c>
      <c r="BD95" s="100">
        <f t="shared" ref="BD95:BD101" si="84">H95/(100-BE95)*100</f>
        <v>0</v>
      </c>
      <c r="BE95" s="100">
        <v>0</v>
      </c>
      <c r="BF95" s="100">
        <f>95</f>
        <v>95</v>
      </c>
      <c r="BH95" s="108">
        <f t="shared" ref="BH95:BH101" si="85">G95*AO95</f>
        <v>0</v>
      </c>
      <c r="BI95" s="108">
        <f t="shared" ref="BI95:BI101" si="86">G95*AP95</f>
        <v>0</v>
      </c>
      <c r="BJ95" s="108">
        <f t="shared" ref="BJ95:BJ101" si="87">G95*H95</f>
        <v>0</v>
      </c>
    </row>
    <row r="96" spans="1:62" x14ac:dyDescent="0.2">
      <c r="A96" s="117" t="s">
        <v>69</v>
      </c>
      <c r="B96" s="117" t="s">
        <v>635</v>
      </c>
      <c r="C96" s="304" t="s">
        <v>1141</v>
      </c>
      <c r="D96" s="305"/>
      <c r="E96" s="305"/>
      <c r="F96" s="117" t="s">
        <v>1645</v>
      </c>
      <c r="G96" s="116">
        <v>1530.992</v>
      </c>
      <c r="H96" s="159"/>
      <c r="I96" s="108">
        <f t="shared" si="66"/>
        <v>0</v>
      </c>
      <c r="J96" s="108">
        <f t="shared" si="67"/>
        <v>0</v>
      </c>
      <c r="K96" s="108">
        <f t="shared" si="68"/>
        <v>0</v>
      </c>
      <c r="L96" s="111" t="s">
        <v>1671</v>
      </c>
      <c r="Z96" s="100">
        <f t="shared" si="69"/>
        <v>0</v>
      </c>
      <c r="AB96" s="100">
        <f t="shared" si="70"/>
        <v>0</v>
      </c>
      <c r="AC96" s="100">
        <f t="shared" si="71"/>
        <v>0</v>
      </c>
      <c r="AD96" s="100">
        <f t="shared" si="72"/>
        <v>0</v>
      </c>
      <c r="AE96" s="100">
        <f t="shared" si="73"/>
        <v>0</v>
      </c>
      <c r="AF96" s="100">
        <f t="shared" si="74"/>
        <v>0</v>
      </c>
      <c r="AG96" s="100">
        <f t="shared" si="75"/>
        <v>0</v>
      </c>
      <c r="AH96" s="100">
        <f t="shared" si="76"/>
        <v>0</v>
      </c>
      <c r="AI96" s="109"/>
      <c r="AJ96" s="108">
        <f t="shared" si="77"/>
        <v>0</v>
      </c>
      <c r="AK96" s="108">
        <f t="shared" si="78"/>
        <v>0</v>
      </c>
      <c r="AL96" s="108">
        <f t="shared" si="79"/>
        <v>0</v>
      </c>
      <c r="AN96" s="100">
        <v>15</v>
      </c>
      <c r="AO96" s="100">
        <f>H96*0.909487457378259</f>
        <v>0</v>
      </c>
      <c r="AP96" s="100">
        <f>H96*(1-0.909487457378259)</f>
        <v>0</v>
      </c>
      <c r="AQ96" s="111" t="s">
        <v>7</v>
      </c>
      <c r="AV96" s="100">
        <f t="shared" si="80"/>
        <v>0</v>
      </c>
      <c r="AW96" s="100">
        <f t="shared" si="81"/>
        <v>0</v>
      </c>
      <c r="AX96" s="100">
        <f t="shared" si="82"/>
        <v>0</v>
      </c>
      <c r="AY96" s="110" t="s">
        <v>1698</v>
      </c>
      <c r="AZ96" s="110" t="s">
        <v>1730</v>
      </c>
      <c r="BA96" s="109" t="s">
        <v>1737</v>
      </c>
      <c r="BC96" s="100">
        <f t="shared" si="83"/>
        <v>0</v>
      </c>
      <c r="BD96" s="100">
        <f t="shared" si="84"/>
        <v>0</v>
      </c>
      <c r="BE96" s="100">
        <v>0</v>
      </c>
      <c r="BF96" s="100">
        <f>96</f>
        <v>96</v>
      </c>
      <c r="BH96" s="108">
        <f t="shared" si="85"/>
        <v>0</v>
      </c>
      <c r="BI96" s="108">
        <f t="shared" si="86"/>
        <v>0</v>
      </c>
      <c r="BJ96" s="108">
        <f t="shared" si="87"/>
        <v>0</v>
      </c>
    </row>
    <row r="97" spans="1:62" x14ac:dyDescent="0.2">
      <c r="A97" s="117" t="s">
        <v>70</v>
      </c>
      <c r="B97" s="117" t="s">
        <v>636</v>
      </c>
      <c r="C97" s="304" t="s">
        <v>1142</v>
      </c>
      <c r="D97" s="305"/>
      <c r="E97" s="305"/>
      <c r="F97" s="117" t="s">
        <v>1645</v>
      </c>
      <c r="G97" s="116">
        <v>765.49599999999998</v>
      </c>
      <c r="H97" s="159"/>
      <c r="I97" s="108">
        <f t="shared" si="66"/>
        <v>0</v>
      </c>
      <c r="J97" s="108">
        <f t="shared" si="67"/>
        <v>0</v>
      </c>
      <c r="K97" s="108">
        <f t="shared" si="68"/>
        <v>0</v>
      </c>
      <c r="L97" s="111" t="s">
        <v>1671</v>
      </c>
      <c r="Z97" s="100">
        <f t="shared" si="69"/>
        <v>0</v>
      </c>
      <c r="AB97" s="100">
        <f t="shared" si="70"/>
        <v>0</v>
      </c>
      <c r="AC97" s="100">
        <f t="shared" si="71"/>
        <v>0</v>
      </c>
      <c r="AD97" s="100">
        <f t="shared" si="72"/>
        <v>0</v>
      </c>
      <c r="AE97" s="100">
        <f t="shared" si="73"/>
        <v>0</v>
      </c>
      <c r="AF97" s="100">
        <f t="shared" si="74"/>
        <v>0</v>
      </c>
      <c r="AG97" s="100">
        <f t="shared" si="75"/>
        <v>0</v>
      </c>
      <c r="AH97" s="100">
        <f t="shared" si="76"/>
        <v>0</v>
      </c>
      <c r="AI97" s="109"/>
      <c r="AJ97" s="108">
        <f t="shared" si="77"/>
        <v>0</v>
      </c>
      <c r="AK97" s="108">
        <f t="shared" si="78"/>
        <v>0</v>
      </c>
      <c r="AL97" s="108">
        <f t="shared" si="79"/>
        <v>0</v>
      </c>
      <c r="AN97" s="100">
        <v>15</v>
      </c>
      <c r="AO97" s="100">
        <f>H97*0</f>
        <v>0</v>
      </c>
      <c r="AP97" s="100">
        <f>H97*(1-0)</f>
        <v>0</v>
      </c>
      <c r="AQ97" s="111" t="s">
        <v>7</v>
      </c>
      <c r="AV97" s="100">
        <f t="shared" si="80"/>
        <v>0</v>
      </c>
      <c r="AW97" s="100">
        <f t="shared" si="81"/>
        <v>0</v>
      </c>
      <c r="AX97" s="100">
        <f t="shared" si="82"/>
        <v>0</v>
      </c>
      <c r="AY97" s="110" t="s">
        <v>1698</v>
      </c>
      <c r="AZ97" s="110" t="s">
        <v>1730</v>
      </c>
      <c r="BA97" s="109" t="s">
        <v>1737</v>
      </c>
      <c r="BC97" s="100">
        <f t="shared" si="83"/>
        <v>0</v>
      </c>
      <c r="BD97" s="100">
        <f t="shared" si="84"/>
        <v>0</v>
      </c>
      <c r="BE97" s="100">
        <v>0</v>
      </c>
      <c r="BF97" s="100">
        <f>97</f>
        <v>97</v>
      </c>
      <c r="BH97" s="108">
        <f t="shared" si="85"/>
        <v>0</v>
      </c>
      <c r="BI97" s="108">
        <f t="shared" si="86"/>
        <v>0</v>
      </c>
      <c r="BJ97" s="108">
        <f t="shared" si="87"/>
        <v>0</v>
      </c>
    </row>
    <row r="98" spans="1:62" x14ac:dyDescent="0.2">
      <c r="A98" s="117" t="s">
        <v>71</v>
      </c>
      <c r="B98" s="117" t="s">
        <v>637</v>
      </c>
      <c r="C98" s="304" t="s">
        <v>1143</v>
      </c>
      <c r="D98" s="305"/>
      <c r="E98" s="305"/>
      <c r="F98" s="117" t="s">
        <v>1645</v>
      </c>
      <c r="G98" s="116">
        <v>765.49599999999998</v>
      </c>
      <c r="H98" s="159"/>
      <c r="I98" s="108">
        <f t="shared" si="66"/>
        <v>0</v>
      </c>
      <c r="J98" s="108">
        <f t="shared" si="67"/>
        <v>0</v>
      </c>
      <c r="K98" s="108">
        <f t="shared" si="68"/>
        <v>0</v>
      </c>
      <c r="L98" s="111" t="s">
        <v>1671</v>
      </c>
      <c r="Z98" s="100">
        <f t="shared" si="69"/>
        <v>0</v>
      </c>
      <c r="AB98" s="100">
        <f t="shared" si="70"/>
        <v>0</v>
      </c>
      <c r="AC98" s="100">
        <f t="shared" si="71"/>
        <v>0</v>
      </c>
      <c r="AD98" s="100">
        <f t="shared" si="72"/>
        <v>0</v>
      </c>
      <c r="AE98" s="100">
        <f t="shared" si="73"/>
        <v>0</v>
      </c>
      <c r="AF98" s="100">
        <f t="shared" si="74"/>
        <v>0</v>
      </c>
      <c r="AG98" s="100">
        <f t="shared" si="75"/>
        <v>0</v>
      </c>
      <c r="AH98" s="100">
        <f t="shared" si="76"/>
        <v>0</v>
      </c>
      <c r="AI98" s="109"/>
      <c r="AJ98" s="108">
        <f t="shared" si="77"/>
        <v>0</v>
      </c>
      <c r="AK98" s="108">
        <f t="shared" si="78"/>
        <v>0</v>
      </c>
      <c r="AL98" s="108">
        <f t="shared" si="79"/>
        <v>0</v>
      </c>
      <c r="AN98" s="100">
        <v>15</v>
      </c>
      <c r="AO98" s="100">
        <f>H98*0</f>
        <v>0</v>
      </c>
      <c r="AP98" s="100">
        <f>H98*(1-0)</f>
        <v>0</v>
      </c>
      <c r="AQ98" s="111" t="s">
        <v>7</v>
      </c>
      <c r="AV98" s="100">
        <f t="shared" si="80"/>
        <v>0</v>
      </c>
      <c r="AW98" s="100">
        <f t="shared" si="81"/>
        <v>0</v>
      </c>
      <c r="AX98" s="100">
        <f t="shared" si="82"/>
        <v>0</v>
      </c>
      <c r="AY98" s="110" t="s">
        <v>1698</v>
      </c>
      <c r="AZ98" s="110" t="s">
        <v>1730</v>
      </c>
      <c r="BA98" s="109" t="s">
        <v>1737</v>
      </c>
      <c r="BC98" s="100">
        <f t="shared" si="83"/>
        <v>0</v>
      </c>
      <c r="BD98" s="100">
        <f t="shared" si="84"/>
        <v>0</v>
      </c>
      <c r="BE98" s="100">
        <v>0</v>
      </c>
      <c r="BF98" s="100">
        <f>98</f>
        <v>98</v>
      </c>
      <c r="BH98" s="108">
        <f t="shared" si="85"/>
        <v>0</v>
      </c>
      <c r="BI98" s="108">
        <f t="shared" si="86"/>
        <v>0</v>
      </c>
      <c r="BJ98" s="108">
        <f t="shared" si="87"/>
        <v>0</v>
      </c>
    </row>
    <row r="99" spans="1:62" x14ac:dyDescent="0.2">
      <c r="A99" s="117" t="s">
        <v>72</v>
      </c>
      <c r="B99" s="117" t="s">
        <v>638</v>
      </c>
      <c r="C99" s="304" t="s">
        <v>1144</v>
      </c>
      <c r="D99" s="305"/>
      <c r="E99" s="305"/>
      <c r="F99" s="117" t="s">
        <v>1645</v>
      </c>
      <c r="G99" s="116">
        <v>1530.992</v>
      </c>
      <c r="H99" s="159"/>
      <c r="I99" s="108">
        <f t="shared" si="66"/>
        <v>0</v>
      </c>
      <c r="J99" s="108">
        <f t="shared" si="67"/>
        <v>0</v>
      </c>
      <c r="K99" s="108">
        <f t="shared" si="68"/>
        <v>0</v>
      </c>
      <c r="L99" s="111" t="s">
        <v>1671</v>
      </c>
      <c r="Z99" s="100">
        <f t="shared" si="69"/>
        <v>0</v>
      </c>
      <c r="AB99" s="100">
        <f t="shared" si="70"/>
        <v>0</v>
      </c>
      <c r="AC99" s="100">
        <f t="shared" si="71"/>
        <v>0</v>
      </c>
      <c r="AD99" s="100">
        <f t="shared" si="72"/>
        <v>0</v>
      </c>
      <c r="AE99" s="100">
        <f t="shared" si="73"/>
        <v>0</v>
      </c>
      <c r="AF99" s="100">
        <f t="shared" si="74"/>
        <v>0</v>
      </c>
      <c r="AG99" s="100">
        <f t="shared" si="75"/>
        <v>0</v>
      </c>
      <c r="AH99" s="100">
        <f t="shared" si="76"/>
        <v>0</v>
      </c>
      <c r="AI99" s="109"/>
      <c r="AJ99" s="108">
        <f t="shared" si="77"/>
        <v>0</v>
      </c>
      <c r="AK99" s="108">
        <f t="shared" si="78"/>
        <v>0</v>
      </c>
      <c r="AL99" s="108">
        <f t="shared" si="79"/>
        <v>0</v>
      </c>
      <c r="AN99" s="100">
        <v>15</v>
      </c>
      <c r="AO99" s="100">
        <f>H99*0.999999864276117</f>
        <v>0</v>
      </c>
      <c r="AP99" s="100">
        <f>H99*(1-0.999999864276117)</f>
        <v>0</v>
      </c>
      <c r="AQ99" s="111" t="s">
        <v>7</v>
      </c>
      <c r="AV99" s="100">
        <f t="shared" si="80"/>
        <v>0</v>
      </c>
      <c r="AW99" s="100">
        <f t="shared" si="81"/>
        <v>0</v>
      </c>
      <c r="AX99" s="100">
        <f t="shared" si="82"/>
        <v>0</v>
      </c>
      <c r="AY99" s="110" t="s">
        <v>1698</v>
      </c>
      <c r="AZ99" s="110" t="s">
        <v>1730</v>
      </c>
      <c r="BA99" s="109" t="s">
        <v>1737</v>
      </c>
      <c r="BC99" s="100">
        <f t="shared" si="83"/>
        <v>0</v>
      </c>
      <c r="BD99" s="100">
        <f t="shared" si="84"/>
        <v>0</v>
      </c>
      <c r="BE99" s="100">
        <v>0</v>
      </c>
      <c r="BF99" s="100">
        <f>99</f>
        <v>99</v>
      </c>
      <c r="BH99" s="108">
        <f t="shared" si="85"/>
        <v>0</v>
      </c>
      <c r="BI99" s="108">
        <f t="shared" si="86"/>
        <v>0</v>
      </c>
      <c r="BJ99" s="108">
        <f t="shared" si="87"/>
        <v>0</v>
      </c>
    </row>
    <row r="100" spans="1:62" x14ac:dyDescent="0.2">
      <c r="A100" s="117" t="s">
        <v>73</v>
      </c>
      <c r="B100" s="117" t="s">
        <v>639</v>
      </c>
      <c r="C100" s="304" t="s">
        <v>1145</v>
      </c>
      <c r="D100" s="305"/>
      <c r="E100" s="305"/>
      <c r="F100" s="117" t="s">
        <v>1645</v>
      </c>
      <c r="G100" s="116">
        <v>765.49599999999998</v>
      </c>
      <c r="H100" s="159"/>
      <c r="I100" s="108">
        <f t="shared" si="66"/>
        <v>0</v>
      </c>
      <c r="J100" s="108">
        <f t="shared" si="67"/>
        <v>0</v>
      </c>
      <c r="K100" s="108">
        <f t="shared" si="68"/>
        <v>0</v>
      </c>
      <c r="L100" s="111" t="s">
        <v>1671</v>
      </c>
      <c r="Z100" s="100">
        <f t="shared" si="69"/>
        <v>0</v>
      </c>
      <c r="AB100" s="100">
        <f t="shared" si="70"/>
        <v>0</v>
      </c>
      <c r="AC100" s="100">
        <f t="shared" si="71"/>
        <v>0</v>
      </c>
      <c r="AD100" s="100">
        <f t="shared" si="72"/>
        <v>0</v>
      </c>
      <c r="AE100" s="100">
        <f t="shared" si="73"/>
        <v>0</v>
      </c>
      <c r="AF100" s="100">
        <f t="shared" si="74"/>
        <v>0</v>
      </c>
      <c r="AG100" s="100">
        <f t="shared" si="75"/>
        <v>0</v>
      </c>
      <c r="AH100" s="100">
        <f t="shared" si="76"/>
        <v>0</v>
      </c>
      <c r="AI100" s="109"/>
      <c r="AJ100" s="108">
        <f t="shared" si="77"/>
        <v>0</v>
      </c>
      <c r="AK100" s="108">
        <f t="shared" si="78"/>
        <v>0</v>
      </c>
      <c r="AL100" s="108">
        <f t="shared" si="79"/>
        <v>0</v>
      </c>
      <c r="AN100" s="100">
        <v>15</v>
      </c>
      <c r="AO100" s="100">
        <f>H100*0</f>
        <v>0</v>
      </c>
      <c r="AP100" s="100">
        <f>H100*(1-0)</f>
        <v>0</v>
      </c>
      <c r="AQ100" s="111" t="s">
        <v>7</v>
      </c>
      <c r="AV100" s="100">
        <f t="shared" si="80"/>
        <v>0</v>
      </c>
      <c r="AW100" s="100">
        <f t="shared" si="81"/>
        <v>0</v>
      </c>
      <c r="AX100" s="100">
        <f t="shared" si="82"/>
        <v>0</v>
      </c>
      <c r="AY100" s="110" t="s">
        <v>1698</v>
      </c>
      <c r="AZ100" s="110" t="s">
        <v>1730</v>
      </c>
      <c r="BA100" s="109" t="s">
        <v>1737</v>
      </c>
      <c r="BC100" s="100">
        <f t="shared" si="83"/>
        <v>0</v>
      </c>
      <c r="BD100" s="100">
        <f t="shared" si="84"/>
        <v>0</v>
      </c>
      <c r="BE100" s="100">
        <v>0</v>
      </c>
      <c r="BF100" s="100">
        <f>100</f>
        <v>100</v>
      </c>
      <c r="BH100" s="108">
        <f t="shared" si="85"/>
        <v>0</v>
      </c>
      <c r="BI100" s="108">
        <f t="shared" si="86"/>
        <v>0</v>
      </c>
      <c r="BJ100" s="108">
        <f t="shared" si="87"/>
        <v>0</v>
      </c>
    </row>
    <row r="101" spans="1:62" x14ac:dyDescent="0.2">
      <c r="A101" s="117" t="s">
        <v>74</v>
      </c>
      <c r="B101" s="117" t="s">
        <v>640</v>
      </c>
      <c r="C101" s="304" t="s">
        <v>1146</v>
      </c>
      <c r="D101" s="305"/>
      <c r="E101" s="305"/>
      <c r="F101" s="117" t="s">
        <v>1649</v>
      </c>
      <c r="G101" s="116">
        <v>20</v>
      </c>
      <c r="H101" s="159"/>
      <c r="I101" s="108">
        <f t="shared" si="66"/>
        <v>0</v>
      </c>
      <c r="J101" s="108">
        <f t="shared" si="67"/>
        <v>0</v>
      </c>
      <c r="K101" s="108">
        <f t="shared" si="68"/>
        <v>0</v>
      </c>
      <c r="L101" s="111" t="s">
        <v>1671</v>
      </c>
      <c r="Z101" s="100">
        <f t="shared" si="69"/>
        <v>0</v>
      </c>
      <c r="AB101" s="100">
        <f t="shared" si="70"/>
        <v>0</v>
      </c>
      <c r="AC101" s="100">
        <f t="shared" si="71"/>
        <v>0</v>
      </c>
      <c r="AD101" s="100">
        <f t="shared" si="72"/>
        <v>0</v>
      </c>
      <c r="AE101" s="100">
        <f t="shared" si="73"/>
        <v>0</v>
      </c>
      <c r="AF101" s="100">
        <f t="shared" si="74"/>
        <v>0</v>
      </c>
      <c r="AG101" s="100">
        <f t="shared" si="75"/>
        <v>0</v>
      </c>
      <c r="AH101" s="100">
        <f t="shared" si="76"/>
        <v>0</v>
      </c>
      <c r="AI101" s="109"/>
      <c r="AJ101" s="108">
        <f t="shared" si="77"/>
        <v>0</v>
      </c>
      <c r="AK101" s="108">
        <f t="shared" si="78"/>
        <v>0</v>
      </c>
      <c r="AL101" s="108">
        <f t="shared" si="79"/>
        <v>0</v>
      </c>
      <c r="AN101" s="100">
        <v>15</v>
      </c>
      <c r="AO101" s="100">
        <f>H101*0</f>
        <v>0</v>
      </c>
      <c r="AP101" s="100">
        <f>H101*(1-0)</f>
        <v>0</v>
      </c>
      <c r="AQ101" s="111" t="s">
        <v>7</v>
      </c>
      <c r="AV101" s="100">
        <f t="shared" si="80"/>
        <v>0</v>
      </c>
      <c r="AW101" s="100">
        <f t="shared" si="81"/>
        <v>0</v>
      </c>
      <c r="AX101" s="100">
        <f t="shared" si="82"/>
        <v>0</v>
      </c>
      <c r="AY101" s="110" t="s">
        <v>1698</v>
      </c>
      <c r="AZ101" s="110" t="s">
        <v>1730</v>
      </c>
      <c r="BA101" s="109" t="s">
        <v>1737</v>
      </c>
      <c r="BC101" s="100">
        <f t="shared" si="83"/>
        <v>0</v>
      </c>
      <c r="BD101" s="100">
        <f t="shared" si="84"/>
        <v>0</v>
      </c>
      <c r="BE101" s="100">
        <v>0</v>
      </c>
      <c r="BF101" s="100">
        <f>101</f>
        <v>101</v>
      </c>
      <c r="BH101" s="108">
        <f t="shared" si="85"/>
        <v>0</v>
      </c>
      <c r="BI101" s="108">
        <f t="shared" si="86"/>
        <v>0</v>
      </c>
      <c r="BJ101" s="108">
        <f t="shared" si="87"/>
        <v>0</v>
      </c>
    </row>
    <row r="102" spans="1:62" x14ac:dyDescent="0.2">
      <c r="A102" s="119"/>
      <c r="B102" s="120" t="s">
        <v>101</v>
      </c>
      <c r="C102" s="306" t="s">
        <v>1147</v>
      </c>
      <c r="D102" s="307"/>
      <c r="E102" s="307"/>
      <c r="F102" s="119" t="s">
        <v>6</v>
      </c>
      <c r="G102" s="119" t="s">
        <v>6</v>
      </c>
      <c r="H102" s="119" t="s">
        <v>6</v>
      </c>
      <c r="I102" s="118">
        <f>SUM(I103:I113)</f>
        <v>0</v>
      </c>
      <c r="J102" s="118">
        <f>SUM(J103:J113)</f>
        <v>0</v>
      </c>
      <c r="K102" s="118">
        <f>SUM(K103:K113)</f>
        <v>0</v>
      </c>
      <c r="L102" s="109"/>
      <c r="AI102" s="109"/>
      <c r="AS102" s="118">
        <f>SUM(AJ103:AJ113)</f>
        <v>0</v>
      </c>
      <c r="AT102" s="118">
        <f>SUM(AK103:AK113)</f>
        <v>0</v>
      </c>
      <c r="AU102" s="118">
        <f>SUM(AL103:AL113)</f>
        <v>0</v>
      </c>
    </row>
    <row r="103" spans="1:62" x14ac:dyDescent="0.2">
      <c r="A103" s="117" t="s">
        <v>75</v>
      </c>
      <c r="B103" s="117" t="s">
        <v>641</v>
      </c>
      <c r="C103" s="304" t="s">
        <v>1148</v>
      </c>
      <c r="D103" s="305"/>
      <c r="E103" s="305"/>
      <c r="F103" s="117" t="s">
        <v>1645</v>
      </c>
      <c r="G103" s="116">
        <v>68.34</v>
      </c>
      <c r="H103" s="159"/>
      <c r="I103" s="108">
        <f t="shared" ref="I103:I113" si="88">G103*AO103</f>
        <v>0</v>
      </c>
      <c r="J103" s="108">
        <f t="shared" ref="J103:J113" si="89">G103*AP103</f>
        <v>0</v>
      </c>
      <c r="K103" s="108">
        <f t="shared" ref="K103:K113" si="90">G103*H103</f>
        <v>0</v>
      </c>
      <c r="L103" s="111" t="s">
        <v>1671</v>
      </c>
      <c r="Z103" s="100">
        <f t="shared" ref="Z103:Z113" si="91">IF(AQ103="5",BJ103,0)</f>
        <v>0</v>
      </c>
      <c r="AB103" s="100">
        <f t="shared" ref="AB103:AB113" si="92">IF(AQ103="1",BH103,0)</f>
        <v>0</v>
      </c>
      <c r="AC103" s="100">
        <f t="shared" ref="AC103:AC113" si="93">IF(AQ103="1",BI103,0)</f>
        <v>0</v>
      </c>
      <c r="AD103" s="100">
        <f t="shared" ref="AD103:AD113" si="94">IF(AQ103="7",BH103,0)</f>
        <v>0</v>
      </c>
      <c r="AE103" s="100">
        <f t="shared" ref="AE103:AE113" si="95">IF(AQ103="7",BI103,0)</f>
        <v>0</v>
      </c>
      <c r="AF103" s="100">
        <f t="shared" ref="AF103:AF113" si="96">IF(AQ103="2",BH103,0)</f>
        <v>0</v>
      </c>
      <c r="AG103" s="100">
        <f t="shared" ref="AG103:AG113" si="97">IF(AQ103="2",BI103,0)</f>
        <v>0</v>
      </c>
      <c r="AH103" s="100">
        <f t="shared" ref="AH103:AH113" si="98">IF(AQ103="0",BJ103,0)</f>
        <v>0</v>
      </c>
      <c r="AI103" s="109"/>
      <c r="AJ103" s="108">
        <f t="shared" ref="AJ103:AJ113" si="99">IF(AN103=0,K103,0)</f>
        <v>0</v>
      </c>
      <c r="AK103" s="108">
        <f t="shared" ref="AK103:AK113" si="100">IF(AN103=15,K103,0)</f>
        <v>0</v>
      </c>
      <c r="AL103" s="108">
        <f t="shared" ref="AL103:AL113" si="101">IF(AN103=21,K103,0)</f>
        <v>0</v>
      </c>
      <c r="AN103" s="100">
        <v>15</v>
      </c>
      <c r="AO103" s="100">
        <f>H103*0.0189490383955727</f>
        <v>0</v>
      </c>
      <c r="AP103" s="100">
        <f>H103*(1-0.0189490383955727)</f>
        <v>0</v>
      </c>
      <c r="AQ103" s="111" t="s">
        <v>7</v>
      </c>
      <c r="AV103" s="100">
        <f t="shared" ref="AV103:AV113" si="102">AW103+AX103</f>
        <v>0</v>
      </c>
      <c r="AW103" s="100">
        <f t="shared" ref="AW103:AW113" si="103">G103*AO103</f>
        <v>0</v>
      </c>
      <c r="AX103" s="100">
        <f t="shared" ref="AX103:AX113" si="104">G103*AP103</f>
        <v>0</v>
      </c>
      <c r="AY103" s="110" t="s">
        <v>1699</v>
      </c>
      <c r="AZ103" s="110" t="s">
        <v>1730</v>
      </c>
      <c r="BA103" s="109" t="s">
        <v>1737</v>
      </c>
      <c r="BC103" s="100">
        <f t="shared" ref="BC103:BC113" si="105">AW103+AX103</f>
        <v>0</v>
      </c>
      <c r="BD103" s="100">
        <f t="shared" ref="BD103:BD113" si="106">H103/(100-BE103)*100</f>
        <v>0</v>
      </c>
      <c r="BE103" s="100">
        <v>0</v>
      </c>
      <c r="BF103" s="100">
        <f>103</f>
        <v>103</v>
      </c>
      <c r="BH103" s="108">
        <f t="shared" ref="BH103:BH113" si="107">G103*AO103</f>
        <v>0</v>
      </c>
      <c r="BI103" s="108">
        <f t="shared" ref="BI103:BI113" si="108">G103*AP103</f>
        <v>0</v>
      </c>
      <c r="BJ103" s="108">
        <f t="shared" ref="BJ103:BJ113" si="109">G103*H103</f>
        <v>0</v>
      </c>
    </row>
    <row r="104" spans="1:62" x14ac:dyDescent="0.2">
      <c r="A104" s="117" t="s">
        <v>76</v>
      </c>
      <c r="B104" s="117" t="s">
        <v>642</v>
      </c>
      <c r="C104" s="304" t="s">
        <v>1149</v>
      </c>
      <c r="D104" s="305"/>
      <c r="E104" s="305"/>
      <c r="F104" s="117" t="s">
        <v>1645</v>
      </c>
      <c r="G104" s="116">
        <v>18.702999999999999</v>
      </c>
      <c r="H104" s="159"/>
      <c r="I104" s="108">
        <f t="shared" si="88"/>
        <v>0</v>
      </c>
      <c r="J104" s="108">
        <f t="shared" si="89"/>
        <v>0</v>
      </c>
      <c r="K104" s="108">
        <f t="shared" si="90"/>
        <v>0</v>
      </c>
      <c r="L104" s="111" t="s">
        <v>1671</v>
      </c>
      <c r="Z104" s="100">
        <f t="shared" si="91"/>
        <v>0</v>
      </c>
      <c r="AB104" s="100">
        <f t="shared" si="92"/>
        <v>0</v>
      </c>
      <c r="AC104" s="100">
        <f t="shared" si="93"/>
        <v>0</v>
      </c>
      <c r="AD104" s="100">
        <f t="shared" si="94"/>
        <v>0</v>
      </c>
      <c r="AE104" s="100">
        <f t="shared" si="95"/>
        <v>0</v>
      </c>
      <c r="AF104" s="100">
        <f t="shared" si="96"/>
        <v>0</v>
      </c>
      <c r="AG104" s="100">
        <f t="shared" si="97"/>
        <v>0</v>
      </c>
      <c r="AH104" s="100">
        <f t="shared" si="98"/>
        <v>0</v>
      </c>
      <c r="AI104" s="109"/>
      <c r="AJ104" s="108">
        <f t="shared" si="99"/>
        <v>0</v>
      </c>
      <c r="AK104" s="108">
        <f t="shared" si="100"/>
        <v>0</v>
      </c>
      <c r="AL104" s="108">
        <f t="shared" si="101"/>
        <v>0</v>
      </c>
      <c r="AN104" s="100">
        <v>15</v>
      </c>
      <c r="AO104" s="100">
        <f>H104*0.0118672278154687</f>
        <v>0</v>
      </c>
      <c r="AP104" s="100">
        <f>H104*(1-0.0118672278154687)</f>
        <v>0</v>
      </c>
      <c r="AQ104" s="111" t="s">
        <v>7</v>
      </c>
      <c r="AV104" s="100">
        <f t="shared" si="102"/>
        <v>0</v>
      </c>
      <c r="AW104" s="100">
        <f t="shared" si="103"/>
        <v>0</v>
      </c>
      <c r="AX104" s="100">
        <f t="shared" si="104"/>
        <v>0</v>
      </c>
      <c r="AY104" s="110" t="s">
        <v>1699</v>
      </c>
      <c r="AZ104" s="110" t="s">
        <v>1730</v>
      </c>
      <c r="BA104" s="109" t="s">
        <v>1737</v>
      </c>
      <c r="BC104" s="100">
        <f t="shared" si="105"/>
        <v>0</v>
      </c>
      <c r="BD104" s="100">
        <f t="shared" si="106"/>
        <v>0</v>
      </c>
      <c r="BE104" s="100">
        <v>0</v>
      </c>
      <c r="BF104" s="100">
        <f>104</f>
        <v>104</v>
      </c>
      <c r="BH104" s="108">
        <f t="shared" si="107"/>
        <v>0</v>
      </c>
      <c r="BI104" s="108">
        <f t="shared" si="108"/>
        <v>0</v>
      </c>
      <c r="BJ104" s="108">
        <f t="shared" si="109"/>
        <v>0</v>
      </c>
    </row>
    <row r="105" spans="1:62" x14ac:dyDescent="0.2">
      <c r="A105" s="117" t="s">
        <v>77</v>
      </c>
      <c r="B105" s="117" t="s">
        <v>643</v>
      </c>
      <c r="C105" s="304" t="s">
        <v>1150</v>
      </c>
      <c r="D105" s="305"/>
      <c r="E105" s="305"/>
      <c r="F105" s="117" t="s">
        <v>1645</v>
      </c>
      <c r="G105" s="116">
        <v>357.27</v>
      </c>
      <c r="H105" s="159"/>
      <c r="I105" s="108">
        <f t="shared" si="88"/>
        <v>0</v>
      </c>
      <c r="J105" s="108">
        <f t="shared" si="89"/>
        <v>0</v>
      </c>
      <c r="K105" s="108">
        <f t="shared" si="90"/>
        <v>0</v>
      </c>
      <c r="L105" s="111" t="s">
        <v>1671</v>
      </c>
      <c r="Z105" s="100">
        <f t="shared" si="91"/>
        <v>0</v>
      </c>
      <c r="AB105" s="100">
        <f t="shared" si="92"/>
        <v>0</v>
      </c>
      <c r="AC105" s="100">
        <f t="shared" si="93"/>
        <v>0</v>
      </c>
      <c r="AD105" s="100">
        <f t="shared" si="94"/>
        <v>0</v>
      </c>
      <c r="AE105" s="100">
        <f t="shared" si="95"/>
        <v>0</v>
      </c>
      <c r="AF105" s="100">
        <f t="shared" si="96"/>
        <v>0</v>
      </c>
      <c r="AG105" s="100">
        <f t="shared" si="97"/>
        <v>0</v>
      </c>
      <c r="AH105" s="100">
        <f t="shared" si="98"/>
        <v>0</v>
      </c>
      <c r="AI105" s="109"/>
      <c r="AJ105" s="108">
        <f t="shared" si="99"/>
        <v>0</v>
      </c>
      <c r="AK105" s="108">
        <f t="shared" si="100"/>
        <v>0</v>
      </c>
      <c r="AL105" s="108">
        <f t="shared" si="101"/>
        <v>0</v>
      </c>
      <c r="AN105" s="100">
        <v>15</v>
      </c>
      <c r="AO105" s="100">
        <f>H105*0</f>
        <v>0</v>
      </c>
      <c r="AP105" s="100">
        <f>H105*(1-0)</f>
        <v>0</v>
      </c>
      <c r="AQ105" s="111" t="s">
        <v>7</v>
      </c>
      <c r="AV105" s="100">
        <f t="shared" si="102"/>
        <v>0</v>
      </c>
      <c r="AW105" s="100">
        <f t="shared" si="103"/>
        <v>0</v>
      </c>
      <c r="AX105" s="100">
        <f t="shared" si="104"/>
        <v>0</v>
      </c>
      <c r="AY105" s="110" t="s">
        <v>1699</v>
      </c>
      <c r="AZ105" s="110" t="s">
        <v>1730</v>
      </c>
      <c r="BA105" s="109" t="s">
        <v>1737</v>
      </c>
      <c r="BC105" s="100">
        <f t="shared" si="105"/>
        <v>0</v>
      </c>
      <c r="BD105" s="100">
        <f t="shared" si="106"/>
        <v>0</v>
      </c>
      <c r="BE105" s="100">
        <v>0</v>
      </c>
      <c r="BF105" s="100">
        <f>105</f>
        <v>105</v>
      </c>
      <c r="BH105" s="108">
        <f t="shared" si="107"/>
        <v>0</v>
      </c>
      <c r="BI105" s="108">
        <f t="shared" si="108"/>
        <v>0</v>
      </c>
      <c r="BJ105" s="108">
        <f t="shared" si="109"/>
        <v>0</v>
      </c>
    </row>
    <row r="106" spans="1:62" x14ac:dyDescent="0.2">
      <c r="A106" s="117" t="s">
        <v>78</v>
      </c>
      <c r="B106" s="117" t="s">
        <v>3180</v>
      </c>
      <c r="C106" s="304" t="s">
        <v>3179</v>
      </c>
      <c r="D106" s="305"/>
      <c r="E106" s="305"/>
      <c r="F106" s="117" t="s">
        <v>1644</v>
      </c>
      <c r="G106" s="116">
        <v>1</v>
      </c>
      <c r="H106" s="159"/>
      <c r="I106" s="108">
        <f t="shared" si="88"/>
        <v>0</v>
      </c>
      <c r="J106" s="108">
        <f t="shared" si="89"/>
        <v>0</v>
      </c>
      <c r="K106" s="108">
        <f t="shared" si="90"/>
        <v>0</v>
      </c>
      <c r="L106" s="111" t="s">
        <v>1671</v>
      </c>
      <c r="Z106" s="100">
        <f t="shared" si="91"/>
        <v>0</v>
      </c>
      <c r="AB106" s="100">
        <f t="shared" si="92"/>
        <v>0</v>
      </c>
      <c r="AC106" s="100">
        <f t="shared" si="93"/>
        <v>0</v>
      </c>
      <c r="AD106" s="100">
        <f t="shared" si="94"/>
        <v>0</v>
      </c>
      <c r="AE106" s="100">
        <f t="shared" si="95"/>
        <v>0</v>
      </c>
      <c r="AF106" s="100">
        <f t="shared" si="96"/>
        <v>0</v>
      </c>
      <c r="AG106" s="100">
        <f t="shared" si="97"/>
        <v>0</v>
      </c>
      <c r="AH106" s="100">
        <f t="shared" si="98"/>
        <v>0</v>
      </c>
      <c r="AI106" s="109"/>
      <c r="AJ106" s="108">
        <f t="shared" si="99"/>
        <v>0</v>
      </c>
      <c r="AK106" s="108">
        <f t="shared" si="100"/>
        <v>0</v>
      </c>
      <c r="AL106" s="108">
        <f t="shared" si="101"/>
        <v>0</v>
      </c>
      <c r="AN106" s="100">
        <v>15</v>
      </c>
      <c r="AO106" s="100">
        <f>H106*0.0119666666666667</f>
        <v>0</v>
      </c>
      <c r="AP106" s="100">
        <f>H106*(1-0.0119666666666667)</f>
        <v>0</v>
      </c>
      <c r="AQ106" s="111" t="s">
        <v>7</v>
      </c>
      <c r="AV106" s="100">
        <f t="shared" si="102"/>
        <v>0</v>
      </c>
      <c r="AW106" s="100">
        <f t="shared" si="103"/>
        <v>0</v>
      </c>
      <c r="AX106" s="100">
        <f t="shared" si="104"/>
        <v>0</v>
      </c>
      <c r="AY106" s="110" t="s">
        <v>1699</v>
      </c>
      <c r="AZ106" s="110" t="s">
        <v>1730</v>
      </c>
      <c r="BA106" s="109" t="s">
        <v>1737</v>
      </c>
      <c r="BC106" s="100">
        <f t="shared" si="105"/>
        <v>0</v>
      </c>
      <c r="BD106" s="100">
        <f t="shared" si="106"/>
        <v>0</v>
      </c>
      <c r="BE106" s="100">
        <v>0</v>
      </c>
      <c r="BF106" s="100">
        <f>106</f>
        <v>106</v>
      </c>
      <c r="BH106" s="108">
        <f t="shared" si="107"/>
        <v>0</v>
      </c>
      <c r="BI106" s="108">
        <f t="shared" si="108"/>
        <v>0</v>
      </c>
      <c r="BJ106" s="108">
        <f t="shared" si="109"/>
        <v>0</v>
      </c>
    </row>
    <row r="107" spans="1:62" x14ac:dyDescent="0.2">
      <c r="A107" s="117" t="s">
        <v>79</v>
      </c>
      <c r="B107" s="117" t="s">
        <v>644</v>
      </c>
      <c r="C107" s="304" t="s">
        <v>1151</v>
      </c>
      <c r="D107" s="305"/>
      <c r="E107" s="305"/>
      <c r="F107" s="117" t="s">
        <v>1644</v>
      </c>
      <c r="G107" s="116">
        <v>1</v>
      </c>
      <c r="H107" s="159"/>
      <c r="I107" s="108">
        <f t="shared" si="88"/>
        <v>0</v>
      </c>
      <c r="J107" s="108">
        <f t="shared" si="89"/>
        <v>0</v>
      </c>
      <c r="K107" s="108">
        <f t="shared" si="90"/>
        <v>0</v>
      </c>
      <c r="L107" s="111" t="s">
        <v>1671</v>
      </c>
      <c r="Z107" s="100">
        <f t="shared" si="91"/>
        <v>0</v>
      </c>
      <c r="AB107" s="100">
        <f t="shared" si="92"/>
        <v>0</v>
      </c>
      <c r="AC107" s="100">
        <f t="shared" si="93"/>
        <v>0</v>
      </c>
      <c r="AD107" s="100">
        <f t="shared" si="94"/>
        <v>0</v>
      </c>
      <c r="AE107" s="100">
        <f t="shared" si="95"/>
        <v>0</v>
      </c>
      <c r="AF107" s="100">
        <f t="shared" si="96"/>
        <v>0</v>
      </c>
      <c r="AG107" s="100">
        <f t="shared" si="97"/>
        <v>0</v>
      </c>
      <c r="AH107" s="100">
        <f t="shared" si="98"/>
        <v>0</v>
      </c>
      <c r="AI107" s="109"/>
      <c r="AJ107" s="108">
        <f t="shared" si="99"/>
        <v>0</v>
      </c>
      <c r="AK107" s="108">
        <f t="shared" si="100"/>
        <v>0</v>
      </c>
      <c r="AL107" s="108">
        <f t="shared" si="101"/>
        <v>0</v>
      </c>
      <c r="AN107" s="100">
        <v>15</v>
      </c>
      <c r="AO107" s="100">
        <f>H107*0</f>
        <v>0</v>
      </c>
      <c r="AP107" s="100">
        <f>H107*(1-0)</f>
        <v>0</v>
      </c>
      <c r="AQ107" s="111" t="s">
        <v>7</v>
      </c>
      <c r="AV107" s="100">
        <f t="shared" si="102"/>
        <v>0</v>
      </c>
      <c r="AW107" s="100">
        <f t="shared" si="103"/>
        <v>0</v>
      </c>
      <c r="AX107" s="100">
        <f t="shared" si="104"/>
        <v>0</v>
      </c>
      <c r="AY107" s="110" t="s">
        <v>1699</v>
      </c>
      <c r="AZ107" s="110" t="s">
        <v>1730</v>
      </c>
      <c r="BA107" s="109" t="s">
        <v>1737</v>
      </c>
      <c r="BC107" s="100">
        <f t="shared" si="105"/>
        <v>0</v>
      </c>
      <c r="BD107" s="100">
        <f t="shared" si="106"/>
        <v>0</v>
      </c>
      <c r="BE107" s="100">
        <v>0</v>
      </c>
      <c r="BF107" s="100">
        <f>107</f>
        <v>107</v>
      </c>
      <c r="BH107" s="108">
        <f t="shared" si="107"/>
        <v>0</v>
      </c>
      <c r="BI107" s="108">
        <f t="shared" si="108"/>
        <v>0</v>
      </c>
      <c r="BJ107" s="108">
        <f t="shared" si="109"/>
        <v>0</v>
      </c>
    </row>
    <row r="108" spans="1:62" x14ac:dyDescent="0.2">
      <c r="A108" s="117" t="s">
        <v>80</v>
      </c>
      <c r="B108" s="117" t="s">
        <v>645</v>
      </c>
      <c r="C108" s="304" t="s">
        <v>1152</v>
      </c>
      <c r="D108" s="305"/>
      <c r="E108" s="305"/>
      <c r="F108" s="117" t="s">
        <v>1645</v>
      </c>
      <c r="G108" s="116">
        <v>12</v>
      </c>
      <c r="H108" s="159"/>
      <c r="I108" s="108">
        <f t="shared" si="88"/>
        <v>0</v>
      </c>
      <c r="J108" s="108">
        <f t="shared" si="89"/>
        <v>0</v>
      </c>
      <c r="K108" s="108">
        <f t="shared" si="90"/>
        <v>0</v>
      </c>
      <c r="L108" s="111" t="s">
        <v>1671</v>
      </c>
      <c r="Z108" s="100">
        <f t="shared" si="91"/>
        <v>0</v>
      </c>
      <c r="AB108" s="100">
        <f t="shared" si="92"/>
        <v>0</v>
      </c>
      <c r="AC108" s="100">
        <f t="shared" si="93"/>
        <v>0</v>
      </c>
      <c r="AD108" s="100">
        <f t="shared" si="94"/>
        <v>0</v>
      </c>
      <c r="AE108" s="100">
        <f t="shared" si="95"/>
        <v>0</v>
      </c>
      <c r="AF108" s="100">
        <f t="shared" si="96"/>
        <v>0</v>
      </c>
      <c r="AG108" s="100">
        <f t="shared" si="97"/>
        <v>0</v>
      </c>
      <c r="AH108" s="100">
        <f t="shared" si="98"/>
        <v>0</v>
      </c>
      <c r="AI108" s="109"/>
      <c r="AJ108" s="108">
        <f t="shared" si="99"/>
        <v>0</v>
      </c>
      <c r="AK108" s="108">
        <f t="shared" si="100"/>
        <v>0</v>
      </c>
      <c r="AL108" s="108">
        <f t="shared" si="101"/>
        <v>0</v>
      </c>
      <c r="AN108" s="100">
        <v>15</v>
      </c>
      <c r="AO108" s="100">
        <f>H108*0.325368700265252</f>
        <v>0</v>
      </c>
      <c r="AP108" s="100">
        <f>H108*(1-0.325368700265252)</f>
        <v>0</v>
      </c>
      <c r="AQ108" s="111" t="s">
        <v>7</v>
      </c>
      <c r="AV108" s="100">
        <f t="shared" si="102"/>
        <v>0</v>
      </c>
      <c r="AW108" s="100">
        <f t="shared" si="103"/>
        <v>0</v>
      </c>
      <c r="AX108" s="100">
        <f t="shared" si="104"/>
        <v>0</v>
      </c>
      <c r="AY108" s="110" t="s">
        <v>1699</v>
      </c>
      <c r="AZ108" s="110" t="s">
        <v>1730</v>
      </c>
      <c r="BA108" s="109" t="s">
        <v>1737</v>
      </c>
      <c r="BC108" s="100">
        <f t="shared" si="105"/>
        <v>0</v>
      </c>
      <c r="BD108" s="100">
        <f t="shared" si="106"/>
        <v>0</v>
      </c>
      <c r="BE108" s="100">
        <v>0</v>
      </c>
      <c r="BF108" s="100">
        <f>108</f>
        <v>108</v>
      </c>
      <c r="BH108" s="108">
        <f t="shared" si="107"/>
        <v>0</v>
      </c>
      <c r="BI108" s="108">
        <f t="shared" si="108"/>
        <v>0</v>
      </c>
      <c r="BJ108" s="108">
        <f t="shared" si="109"/>
        <v>0</v>
      </c>
    </row>
    <row r="109" spans="1:62" x14ac:dyDescent="0.2">
      <c r="A109" s="117" t="s">
        <v>81</v>
      </c>
      <c r="B109" s="117" t="s">
        <v>646</v>
      </c>
      <c r="C109" s="304" t="s">
        <v>1153</v>
      </c>
      <c r="D109" s="305"/>
      <c r="E109" s="305"/>
      <c r="F109" s="117" t="s">
        <v>1650</v>
      </c>
      <c r="G109" s="116">
        <v>150</v>
      </c>
      <c r="H109" s="159"/>
      <c r="I109" s="108">
        <f t="shared" si="88"/>
        <v>0</v>
      </c>
      <c r="J109" s="108">
        <f t="shared" si="89"/>
        <v>0</v>
      </c>
      <c r="K109" s="108">
        <f t="shared" si="90"/>
        <v>0</v>
      </c>
      <c r="L109" s="111" t="s">
        <v>1671</v>
      </c>
      <c r="Z109" s="100">
        <f t="shared" si="91"/>
        <v>0</v>
      </c>
      <c r="AB109" s="100">
        <f t="shared" si="92"/>
        <v>0</v>
      </c>
      <c r="AC109" s="100">
        <f t="shared" si="93"/>
        <v>0</v>
      </c>
      <c r="AD109" s="100">
        <f t="shared" si="94"/>
        <v>0</v>
      </c>
      <c r="AE109" s="100">
        <f t="shared" si="95"/>
        <v>0</v>
      </c>
      <c r="AF109" s="100">
        <f t="shared" si="96"/>
        <v>0</v>
      </c>
      <c r="AG109" s="100">
        <f t="shared" si="97"/>
        <v>0</v>
      </c>
      <c r="AH109" s="100">
        <f t="shared" si="98"/>
        <v>0</v>
      </c>
      <c r="AI109" s="109"/>
      <c r="AJ109" s="108">
        <f t="shared" si="99"/>
        <v>0</v>
      </c>
      <c r="AK109" s="108">
        <f t="shared" si="100"/>
        <v>0</v>
      </c>
      <c r="AL109" s="108">
        <f t="shared" si="101"/>
        <v>0</v>
      </c>
      <c r="AN109" s="100">
        <v>15</v>
      </c>
      <c r="AO109" s="100">
        <f>H109*0.412803738317757</f>
        <v>0</v>
      </c>
      <c r="AP109" s="100">
        <f>H109*(1-0.412803738317757)</f>
        <v>0</v>
      </c>
      <c r="AQ109" s="111" t="s">
        <v>7</v>
      </c>
      <c r="AV109" s="100">
        <f t="shared" si="102"/>
        <v>0</v>
      </c>
      <c r="AW109" s="100">
        <f t="shared" si="103"/>
        <v>0</v>
      </c>
      <c r="AX109" s="100">
        <f t="shared" si="104"/>
        <v>0</v>
      </c>
      <c r="AY109" s="110" t="s">
        <v>1699</v>
      </c>
      <c r="AZ109" s="110" t="s">
        <v>1730</v>
      </c>
      <c r="BA109" s="109" t="s">
        <v>1737</v>
      </c>
      <c r="BC109" s="100">
        <f t="shared" si="105"/>
        <v>0</v>
      </c>
      <c r="BD109" s="100">
        <f t="shared" si="106"/>
        <v>0</v>
      </c>
      <c r="BE109" s="100">
        <v>0</v>
      </c>
      <c r="BF109" s="100">
        <f>109</f>
        <v>109</v>
      </c>
      <c r="BH109" s="108">
        <f t="shared" si="107"/>
        <v>0</v>
      </c>
      <c r="BI109" s="108">
        <f t="shared" si="108"/>
        <v>0</v>
      </c>
      <c r="BJ109" s="108">
        <f t="shared" si="109"/>
        <v>0</v>
      </c>
    </row>
    <row r="110" spans="1:62" x14ac:dyDescent="0.2">
      <c r="A110" s="117" t="s">
        <v>82</v>
      </c>
      <c r="B110" s="117" t="s">
        <v>647</v>
      </c>
      <c r="C110" s="304" t="s">
        <v>1154</v>
      </c>
      <c r="D110" s="305"/>
      <c r="E110" s="305"/>
      <c r="F110" s="117" t="s">
        <v>1644</v>
      </c>
      <c r="G110" s="116">
        <v>6</v>
      </c>
      <c r="H110" s="159"/>
      <c r="I110" s="108">
        <f t="shared" si="88"/>
        <v>0</v>
      </c>
      <c r="J110" s="108">
        <f t="shared" si="89"/>
        <v>0</v>
      </c>
      <c r="K110" s="108">
        <f t="shared" si="90"/>
        <v>0</v>
      </c>
      <c r="L110" s="111" t="s">
        <v>1671</v>
      </c>
      <c r="Z110" s="100">
        <f t="shared" si="91"/>
        <v>0</v>
      </c>
      <c r="AB110" s="100">
        <f t="shared" si="92"/>
        <v>0</v>
      </c>
      <c r="AC110" s="100">
        <f t="shared" si="93"/>
        <v>0</v>
      </c>
      <c r="AD110" s="100">
        <f t="shared" si="94"/>
        <v>0</v>
      </c>
      <c r="AE110" s="100">
        <f t="shared" si="95"/>
        <v>0</v>
      </c>
      <c r="AF110" s="100">
        <f t="shared" si="96"/>
        <v>0</v>
      </c>
      <c r="AG110" s="100">
        <f t="shared" si="97"/>
        <v>0</v>
      </c>
      <c r="AH110" s="100">
        <f t="shared" si="98"/>
        <v>0</v>
      </c>
      <c r="AI110" s="109"/>
      <c r="AJ110" s="108">
        <f t="shared" si="99"/>
        <v>0</v>
      </c>
      <c r="AK110" s="108">
        <f t="shared" si="100"/>
        <v>0</v>
      </c>
      <c r="AL110" s="108">
        <f t="shared" si="101"/>
        <v>0</v>
      </c>
      <c r="AN110" s="100">
        <v>15</v>
      </c>
      <c r="AO110" s="100">
        <f>H110*0.35032967032967</f>
        <v>0</v>
      </c>
      <c r="AP110" s="100">
        <f>H110*(1-0.35032967032967)</f>
        <v>0</v>
      </c>
      <c r="AQ110" s="111" t="s">
        <v>7</v>
      </c>
      <c r="AV110" s="100">
        <f t="shared" si="102"/>
        <v>0</v>
      </c>
      <c r="AW110" s="100">
        <f t="shared" si="103"/>
        <v>0</v>
      </c>
      <c r="AX110" s="100">
        <f t="shared" si="104"/>
        <v>0</v>
      </c>
      <c r="AY110" s="110" t="s">
        <v>1699</v>
      </c>
      <c r="AZ110" s="110" t="s">
        <v>1730</v>
      </c>
      <c r="BA110" s="109" t="s">
        <v>1737</v>
      </c>
      <c r="BC110" s="100">
        <f t="shared" si="105"/>
        <v>0</v>
      </c>
      <c r="BD110" s="100">
        <f t="shared" si="106"/>
        <v>0</v>
      </c>
      <c r="BE110" s="100">
        <v>0</v>
      </c>
      <c r="BF110" s="100">
        <f>110</f>
        <v>110</v>
      </c>
      <c r="BH110" s="108">
        <f t="shared" si="107"/>
        <v>0</v>
      </c>
      <c r="BI110" s="108">
        <f t="shared" si="108"/>
        <v>0</v>
      </c>
      <c r="BJ110" s="108">
        <f t="shared" si="109"/>
        <v>0</v>
      </c>
    </row>
    <row r="111" spans="1:62" x14ac:dyDescent="0.2">
      <c r="A111" s="117" t="s">
        <v>83</v>
      </c>
      <c r="B111" s="117" t="s">
        <v>648</v>
      </c>
      <c r="C111" s="304" t="s">
        <v>1155</v>
      </c>
      <c r="D111" s="305"/>
      <c r="E111" s="305"/>
      <c r="F111" s="117" t="s">
        <v>1644</v>
      </c>
      <c r="G111" s="116">
        <v>1</v>
      </c>
      <c r="H111" s="159"/>
      <c r="I111" s="108">
        <f t="shared" si="88"/>
        <v>0</v>
      </c>
      <c r="J111" s="108">
        <f t="shared" si="89"/>
        <v>0</v>
      </c>
      <c r="K111" s="108">
        <f t="shared" si="90"/>
        <v>0</v>
      </c>
      <c r="L111" s="111" t="s">
        <v>1671</v>
      </c>
      <c r="Z111" s="100">
        <f t="shared" si="91"/>
        <v>0</v>
      </c>
      <c r="AB111" s="100">
        <f t="shared" si="92"/>
        <v>0</v>
      </c>
      <c r="AC111" s="100">
        <f t="shared" si="93"/>
        <v>0</v>
      </c>
      <c r="AD111" s="100">
        <f t="shared" si="94"/>
        <v>0</v>
      </c>
      <c r="AE111" s="100">
        <f t="shared" si="95"/>
        <v>0</v>
      </c>
      <c r="AF111" s="100">
        <f t="shared" si="96"/>
        <v>0</v>
      </c>
      <c r="AG111" s="100">
        <f t="shared" si="97"/>
        <v>0</v>
      </c>
      <c r="AH111" s="100">
        <f t="shared" si="98"/>
        <v>0</v>
      </c>
      <c r="AI111" s="109"/>
      <c r="AJ111" s="108">
        <f t="shared" si="99"/>
        <v>0</v>
      </c>
      <c r="AK111" s="108">
        <f t="shared" si="100"/>
        <v>0</v>
      </c>
      <c r="AL111" s="108">
        <f t="shared" si="101"/>
        <v>0</v>
      </c>
      <c r="AN111" s="100">
        <v>15</v>
      </c>
      <c r="AO111" s="100">
        <f>H111*0.90816</f>
        <v>0</v>
      </c>
      <c r="AP111" s="100">
        <f>H111*(1-0.90816)</f>
        <v>0</v>
      </c>
      <c r="AQ111" s="111" t="s">
        <v>7</v>
      </c>
      <c r="AV111" s="100">
        <f t="shared" si="102"/>
        <v>0</v>
      </c>
      <c r="AW111" s="100">
        <f t="shared" si="103"/>
        <v>0</v>
      </c>
      <c r="AX111" s="100">
        <f t="shared" si="104"/>
        <v>0</v>
      </c>
      <c r="AY111" s="110" t="s">
        <v>1699</v>
      </c>
      <c r="AZ111" s="110" t="s">
        <v>1730</v>
      </c>
      <c r="BA111" s="109" t="s">
        <v>1737</v>
      </c>
      <c r="BC111" s="100">
        <f t="shared" si="105"/>
        <v>0</v>
      </c>
      <c r="BD111" s="100">
        <f t="shared" si="106"/>
        <v>0</v>
      </c>
      <c r="BE111" s="100">
        <v>0</v>
      </c>
      <c r="BF111" s="100">
        <f>111</f>
        <v>111</v>
      </c>
      <c r="BH111" s="108">
        <f t="shared" si="107"/>
        <v>0</v>
      </c>
      <c r="BI111" s="108">
        <f t="shared" si="108"/>
        <v>0</v>
      </c>
      <c r="BJ111" s="108">
        <f t="shared" si="109"/>
        <v>0</v>
      </c>
    </row>
    <row r="112" spans="1:62" x14ac:dyDescent="0.2">
      <c r="A112" s="117" t="s">
        <v>84</v>
      </c>
      <c r="B112" s="117" t="s">
        <v>649</v>
      </c>
      <c r="C112" s="304" t="s">
        <v>1156</v>
      </c>
      <c r="D112" s="305"/>
      <c r="E112" s="305"/>
      <c r="F112" s="117" t="s">
        <v>1644</v>
      </c>
      <c r="G112" s="116">
        <v>1</v>
      </c>
      <c r="H112" s="159"/>
      <c r="I112" s="108">
        <f t="shared" si="88"/>
        <v>0</v>
      </c>
      <c r="J112" s="108">
        <f t="shared" si="89"/>
        <v>0</v>
      </c>
      <c r="K112" s="108">
        <f t="shared" si="90"/>
        <v>0</v>
      </c>
      <c r="L112" s="111" t="s">
        <v>1671</v>
      </c>
      <c r="Z112" s="100">
        <f t="shared" si="91"/>
        <v>0</v>
      </c>
      <c r="AB112" s="100">
        <f t="shared" si="92"/>
        <v>0</v>
      </c>
      <c r="AC112" s="100">
        <f t="shared" si="93"/>
        <v>0</v>
      </c>
      <c r="AD112" s="100">
        <f t="shared" si="94"/>
        <v>0</v>
      </c>
      <c r="AE112" s="100">
        <f t="shared" si="95"/>
        <v>0</v>
      </c>
      <c r="AF112" s="100">
        <f t="shared" si="96"/>
        <v>0</v>
      </c>
      <c r="AG112" s="100">
        <f t="shared" si="97"/>
        <v>0</v>
      </c>
      <c r="AH112" s="100">
        <f t="shared" si="98"/>
        <v>0</v>
      </c>
      <c r="AI112" s="109"/>
      <c r="AJ112" s="108">
        <f t="shared" si="99"/>
        <v>0</v>
      </c>
      <c r="AK112" s="108">
        <f t="shared" si="100"/>
        <v>0</v>
      </c>
      <c r="AL112" s="108">
        <f t="shared" si="101"/>
        <v>0</v>
      </c>
      <c r="AN112" s="100">
        <v>15</v>
      </c>
      <c r="AO112" s="100">
        <f>H112*0.908156</f>
        <v>0</v>
      </c>
      <c r="AP112" s="100">
        <f>H112*(1-0.908156)</f>
        <v>0</v>
      </c>
      <c r="AQ112" s="111" t="s">
        <v>7</v>
      </c>
      <c r="AV112" s="100">
        <f t="shared" si="102"/>
        <v>0</v>
      </c>
      <c r="AW112" s="100">
        <f t="shared" si="103"/>
        <v>0</v>
      </c>
      <c r="AX112" s="100">
        <f t="shared" si="104"/>
        <v>0</v>
      </c>
      <c r="AY112" s="110" t="s">
        <v>1699</v>
      </c>
      <c r="AZ112" s="110" t="s">
        <v>1730</v>
      </c>
      <c r="BA112" s="109" t="s">
        <v>1737</v>
      </c>
      <c r="BC112" s="100">
        <f t="shared" si="105"/>
        <v>0</v>
      </c>
      <c r="BD112" s="100">
        <f t="shared" si="106"/>
        <v>0</v>
      </c>
      <c r="BE112" s="100">
        <v>0</v>
      </c>
      <c r="BF112" s="100">
        <f>112</f>
        <v>112</v>
      </c>
      <c r="BH112" s="108">
        <f t="shared" si="107"/>
        <v>0</v>
      </c>
      <c r="BI112" s="108">
        <f t="shared" si="108"/>
        <v>0</v>
      </c>
      <c r="BJ112" s="108">
        <f t="shared" si="109"/>
        <v>0</v>
      </c>
    </row>
    <row r="113" spans="1:62" x14ac:dyDescent="0.2">
      <c r="A113" s="117" t="s">
        <v>85</v>
      </c>
      <c r="B113" s="117" t="s">
        <v>650</v>
      </c>
      <c r="C113" s="304" t="s">
        <v>1157</v>
      </c>
      <c r="D113" s="305"/>
      <c r="E113" s="305"/>
      <c r="F113" s="117" t="s">
        <v>1644</v>
      </c>
      <c r="G113" s="116">
        <v>1</v>
      </c>
      <c r="H113" s="159"/>
      <c r="I113" s="108">
        <f t="shared" si="88"/>
        <v>0</v>
      </c>
      <c r="J113" s="108">
        <f t="shared" si="89"/>
        <v>0</v>
      </c>
      <c r="K113" s="108">
        <f t="shared" si="90"/>
        <v>0</v>
      </c>
      <c r="L113" s="111" t="s">
        <v>1671</v>
      </c>
      <c r="Z113" s="100">
        <f t="shared" si="91"/>
        <v>0</v>
      </c>
      <c r="AB113" s="100">
        <f t="shared" si="92"/>
        <v>0</v>
      </c>
      <c r="AC113" s="100">
        <f t="shared" si="93"/>
        <v>0</v>
      </c>
      <c r="AD113" s="100">
        <f t="shared" si="94"/>
        <v>0</v>
      </c>
      <c r="AE113" s="100">
        <f t="shared" si="95"/>
        <v>0</v>
      </c>
      <c r="AF113" s="100">
        <f t="shared" si="96"/>
        <v>0</v>
      </c>
      <c r="AG113" s="100">
        <f t="shared" si="97"/>
        <v>0</v>
      </c>
      <c r="AH113" s="100">
        <f t="shared" si="98"/>
        <v>0</v>
      </c>
      <c r="AI113" s="109"/>
      <c r="AJ113" s="108">
        <f t="shared" si="99"/>
        <v>0</v>
      </c>
      <c r="AK113" s="108">
        <f t="shared" si="100"/>
        <v>0</v>
      </c>
      <c r="AL113" s="108">
        <f t="shared" si="101"/>
        <v>0</v>
      </c>
      <c r="AN113" s="100">
        <v>15</v>
      </c>
      <c r="AO113" s="100">
        <f>H113*0.90816</f>
        <v>0</v>
      </c>
      <c r="AP113" s="100">
        <f>H113*(1-0.90816)</f>
        <v>0</v>
      </c>
      <c r="AQ113" s="111" t="s">
        <v>7</v>
      </c>
      <c r="AV113" s="100">
        <f t="shared" si="102"/>
        <v>0</v>
      </c>
      <c r="AW113" s="100">
        <f t="shared" si="103"/>
        <v>0</v>
      </c>
      <c r="AX113" s="100">
        <f t="shared" si="104"/>
        <v>0</v>
      </c>
      <c r="AY113" s="110" t="s">
        <v>1699</v>
      </c>
      <c r="AZ113" s="110" t="s">
        <v>1730</v>
      </c>
      <c r="BA113" s="109" t="s">
        <v>1737</v>
      </c>
      <c r="BC113" s="100">
        <f t="shared" si="105"/>
        <v>0</v>
      </c>
      <c r="BD113" s="100">
        <f t="shared" si="106"/>
        <v>0</v>
      </c>
      <c r="BE113" s="100">
        <v>0</v>
      </c>
      <c r="BF113" s="100">
        <f>113</f>
        <v>113</v>
      </c>
      <c r="BH113" s="108">
        <f t="shared" si="107"/>
        <v>0</v>
      </c>
      <c r="BI113" s="108">
        <f t="shared" si="108"/>
        <v>0</v>
      </c>
      <c r="BJ113" s="108">
        <f t="shared" si="109"/>
        <v>0</v>
      </c>
    </row>
    <row r="114" spans="1:62" x14ac:dyDescent="0.2">
      <c r="A114" s="119"/>
      <c r="B114" s="120" t="s">
        <v>102</v>
      </c>
      <c r="C114" s="306" t="s">
        <v>1158</v>
      </c>
      <c r="D114" s="307"/>
      <c r="E114" s="307"/>
      <c r="F114" s="119" t="s">
        <v>6</v>
      </c>
      <c r="G114" s="119" t="s">
        <v>6</v>
      </c>
      <c r="H114" s="119" t="s">
        <v>6</v>
      </c>
      <c r="I114" s="118">
        <f>SUM(I115:I133)</f>
        <v>0</v>
      </c>
      <c r="J114" s="118">
        <f>SUM(J115:J133)</f>
        <v>0</v>
      </c>
      <c r="K114" s="118">
        <f>SUM(K115:K133)</f>
        <v>0</v>
      </c>
      <c r="L114" s="109"/>
      <c r="AI114" s="109"/>
      <c r="AS114" s="118">
        <f>SUM(AJ115:AJ133)</f>
        <v>0</v>
      </c>
      <c r="AT114" s="118">
        <f>SUM(AK115:AK133)</f>
        <v>0</v>
      </c>
      <c r="AU114" s="118">
        <f>SUM(AL115:AL133)</f>
        <v>0</v>
      </c>
    </row>
    <row r="115" spans="1:62" x14ac:dyDescent="0.2">
      <c r="A115" s="117" t="s">
        <v>86</v>
      </c>
      <c r="B115" s="117" t="s">
        <v>651</v>
      </c>
      <c r="C115" s="304" t="s">
        <v>1159</v>
      </c>
      <c r="D115" s="305"/>
      <c r="E115" s="305"/>
      <c r="F115" s="117" t="s">
        <v>1645</v>
      </c>
      <c r="G115" s="116">
        <v>83.04</v>
      </c>
      <c r="H115" s="159"/>
      <c r="I115" s="108">
        <f t="shared" ref="I115:I133" si="110">G115*AO115</f>
        <v>0</v>
      </c>
      <c r="J115" s="108">
        <f t="shared" ref="J115:J133" si="111">G115*AP115</f>
        <v>0</v>
      </c>
      <c r="K115" s="108">
        <f t="shared" ref="K115:K133" si="112">G115*H115</f>
        <v>0</v>
      </c>
      <c r="L115" s="111" t="s">
        <v>1671</v>
      </c>
      <c r="Z115" s="100">
        <f t="shared" ref="Z115:Z133" si="113">IF(AQ115="5",BJ115,0)</f>
        <v>0</v>
      </c>
      <c r="AB115" s="100">
        <f t="shared" ref="AB115:AB133" si="114">IF(AQ115="1",BH115,0)</f>
        <v>0</v>
      </c>
      <c r="AC115" s="100">
        <f t="shared" ref="AC115:AC133" si="115">IF(AQ115="1",BI115,0)</f>
        <v>0</v>
      </c>
      <c r="AD115" s="100">
        <f t="shared" ref="AD115:AD133" si="116">IF(AQ115="7",BH115,0)</f>
        <v>0</v>
      </c>
      <c r="AE115" s="100">
        <f t="shared" ref="AE115:AE133" si="117">IF(AQ115="7",BI115,0)</f>
        <v>0</v>
      </c>
      <c r="AF115" s="100">
        <f t="shared" ref="AF115:AF133" si="118">IF(AQ115="2",BH115,0)</f>
        <v>0</v>
      </c>
      <c r="AG115" s="100">
        <f t="shared" ref="AG115:AG133" si="119">IF(AQ115="2",BI115,0)</f>
        <v>0</v>
      </c>
      <c r="AH115" s="100">
        <f t="shared" ref="AH115:AH133" si="120">IF(AQ115="0",BJ115,0)</f>
        <v>0</v>
      </c>
      <c r="AI115" s="109"/>
      <c r="AJ115" s="108">
        <f t="shared" ref="AJ115:AJ133" si="121">IF(AN115=0,K115,0)</f>
        <v>0</v>
      </c>
      <c r="AK115" s="108">
        <f t="shared" ref="AK115:AK133" si="122">IF(AN115=15,K115,0)</f>
        <v>0</v>
      </c>
      <c r="AL115" s="108">
        <f t="shared" ref="AL115:AL133" si="123">IF(AN115=21,K115,0)</f>
        <v>0</v>
      </c>
      <c r="AN115" s="100">
        <v>15</v>
      </c>
      <c r="AO115" s="100">
        <f>H115*0</f>
        <v>0</v>
      </c>
      <c r="AP115" s="100">
        <f>H115*(1-0)</f>
        <v>0</v>
      </c>
      <c r="AQ115" s="111" t="s">
        <v>7</v>
      </c>
      <c r="AV115" s="100">
        <f t="shared" ref="AV115:AV133" si="124">AW115+AX115</f>
        <v>0</v>
      </c>
      <c r="AW115" s="100">
        <f t="shared" ref="AW115:AW133" si="125">G115*AO115</f>
        <v>0</v>
      </c>
      <c r="AX115" s="100">
        <f t="shared" ref="AX115:AX133" si="126">G115*AP115</f>
        <v>0</v>
      </c>
      <c r="AY115" s="110" t="s">
        <v>1700</v>
      </c>
      <c r="AZ115" s="110" t="s">
        <v>1730</v>
      </c>
      <c r="BA115" s="109" t="s">
        <v>1737</v>
      </c>
      <c r="BC115" s="100">
        <f t="shared" ref="BC115:BC133" si="127">AW115+AX115</f>
        <v>0</v>
      </c>
      <c r="BD115" s="100">
        <f t="shared" ref="BD115:BD133" si="128">H115/(100-BE115)*100</f>
        <v>0</v>
      </c>
      <c r="BE115" s="100">
        <v>0</v>
      </c>
      <c r="BF115" s="100">
        <f>115</f>
        <v>115</v>
      </c>
      <c r="BH115" s="108">
        <f t="shared" ref="BH115:BH133" si="129">G115*AO115</f>
        <v>0</v>
      </c>
      <c r="BI115" s="108">
        <f t="shared" ref="BI115:BI133" si="130">G115*AP115</f>
        <v>0</v>
      </c>
      <c r="BJ115" s="108">
        <f t="shared" ref="BJ115:BJ133" si="131">G115*H115</f>
        <v>0</v>
      </c>
    </row>
    <row r="116" spans="1:62" x14ac:dyDescent="0.2">
      <c r="A116" s="117" t="s">
        <v>87</v>
      </c>
      <c r="B116" s="117" t="s">
        <v>652</v>
      </c>
      <c r="C116" s="304" t="s">
        <v>1160</v>
      </c>
      <c r="D116" s="305"/>
      <c r="E116" s="305"/>
      <c r="F116" s="117" t="s">
        <v>1644</v>
      </c>
      <c r="G116" s="116">
        <v>4</v>
      </c>
      <c r="H116" s="159"/>
      <c r="I116" s="108">
        <f t="shared" si="110"/>
        <v>0</v>
      </c>
      <c r="J116" s="108">
        <f t="shared" si="111"/>
        <v>0</v>
      </c>
      <c r="K116" s="108">
        <f t="shared" si="112"/>
        <v>0</v>
      </c>
      <c r="L116" s="111" t="s">
        <v>1671</v>
      </c>
      <c r="Z116" s="100">
        <f t="shared" si="113"/>
        <v>0</v>
      </c>
      <c r="AB116" s="100">
        <f t="shared" si="114"/>
        <v>0</v>
      </c>
      <c r="AC116" s="100">
        <f t="shared" si="115"/>
        <v>0</v>
      </c>
      <c r="AD116" s="100">
        <f t="shared" si="116"/>
        <v>0</v>
      </c>
      <c r="AE116" s="100">
        <f t="shared" si="117"/>
        <v>0</v>
      </c>
      <c r="AF116" s="100">
        <f t="shared" si="118"/>
        <v>0</v>
      </c>
      <c r="AG116" s="100">
        <f t="shared" si="119"/>
        <v>0</v>
      </c>
      <c r="AH116" s="100">
        <f t="shared" si="120"/>
        <v>0</v>
      </c>
      <c r="AI116" s="109"/>
      <c r="AJ116" s="108">
        <f t="shared" si="121"/>
        <v>0</v>
      </c>
      <c r="AK116" s="108">
        <f t="shared" si="122"/>
        <v>0</v>
      </c>
      <c r="AL116" s="108">
        <f t="shared" si="123"/>
        <v>0</v>
      </c>
      <c r="AN116" s="100">
        <v>15</v>
      </c>
      <c r="AO116" s="100">
        <f>H116*0</f>
        <v>0</v>
      </c>
      <c r="AP116" s="100">
        <f>H116*(1-0)</f>
        <v>0</v>
      </c>
      <c r="AQ116" s="111" t="s">
        <v>7</v>
      </c>
      <c r="AV116" s="100">
        <f t="shared" si="124"/>
        <v>0</v>
      </c>
      <c r="AW116" s="100">
        <f t="shared" si="125"/>
        <v>0</v>
      </c>
      <c r="AX116" s="100">
        <f t="shared" si="126"/>
        <v>0</v>
      </c>
      <c r="AY116" s="110" t="s">
        <v>1700</v>
      </c>
      <c r="AZ116" s="110" t="s">
        <v>1730</v>
      </c>
      <c r="BA116" s="109" t="s">
        <v>1737</v>
      </c>
      <c r="BC116" s="100">
        <f t="shared" si="127"/>
        <v>0</v>
      </c>
      <c r="BD116" s="100">
        <f t="shared" si="128"/>
        <v>0</v>
      </c>
      <c r="BE116" s="100">
        <v>0</v>
      </c>
      <c r="BF116" s="100">
        <f>116</f>
        <v>116</v>
      </c>
      <c r="BH116" s="108">
        <f t="shared" si="129"/>
        <v>0</v>
      </c>
      <c r="BI116" s="108">
        <f t="shared" si="130"/>
        <v>0</v>
      </c>
      <c r="BJ116" s="108">
        <f t="shared" si="131"/>
        <v>0</v>
      </c>
    </row>
    <row r="117" spans="1:62" x14ac:dyDescent="0.2">
      <c r="A117" s="117" t="s">
        <v>88</v>
      </c>
      <c r="B117" s="117" t="s">
        <v>653</v>
      </c>
      <c r="C117" s="304" t="s">
        <v>1161</v>
      </c>
      <c r="D117" s="305"/>
      <c r="E117" s="305"/>
      <c r="F117" s="117" t="s">
        <v>1647</v>
      </c>
      <c r="G117" s="116">
        <v>0.12</v>
      </c>
      <c r="H117" s="159"/>
      <c r="I117" s="108">
        <f t="shared" si="110"/>
        <v>0</v>
      </c>
      <c r="J117" s="108">
        <f t="shared" si="111"/>
        <v>0</v>
      </c>
      <c r="K117" s="108">
        <f t="shared" si="112"/>
        <v>0</v>
      </c>
      <c r="L117" s="111" t="s">
        <v>1671</v>
      </c>
      <c r="Z117" s="100">
        <f t="shared" si="113"/>
        <v>0</v>
      </c>
      <c r="AB117" s="100">
        <f t="shared" si="114"/>
        <v>0</v>
      </c>
      <c r="AC117" s="100">
        <f t="shared" si="115"/>
        <v>0</v>
      </c>
      <c r="AD117" s="100">
        <f t="shared" si="116"/>
        <v>0</v>
      </c>
      <c r="AE117" s="100">
        <f t="shared" si="117"/>
        <v>0</v>
      </c>
      <c r="AF117" s="100">
        <f t="shared" si="118"/>
        <v>0</v>
      </c>
      <c r="AG117" s="100">
        <f t="shared" si="119"/>
        <v>0</v>
      </c>
      <c r="AH117" s="100">
        <f t="shared" si="120"/>
        <v>0</v>
      </c>
      <c r="AI117" s="109"/>
      <c r="AJ117" s="108">
        <f t="shared" si="121"/>
        <v>0</v>
      </c>
      <c r="AK117" s="108">
        <f t="shared" si="122"/>
        <v>0</v>
      </c>
      <c r="AL117" s="108">
        <f t="shared" si="123"/>
        <v>0</v>
      </c>
      <c r="AN117" s="100">
        <v>15</v>
      </c>
      <c r="AO117" s="100">
        <f>H117*0</f>
        <v>0</v>
      </c>
      <c r="AP117" s="100">
        <f>H117*(1-0)</f>
        <v>0</v>
      </c>
      <c r="AQ117" s="111" t="s">
        <v>7</v>
      </c>
      <c r="AV117" s="100">
        <f t="shared" si="124"/>
        <v>0</v>
      </c>
      <c r="AW117" s="100">
        <f t="shared" si="125"/>
        <v>0</v>
      </c>
      <c r="AX117" s="100">
        <f t="shared" si="126"/>
        <v>0</v>
      </c>
      <c r="AY117" s="110" t="s">
        <v>1700</v>
      </c>
      <c r="AZ117" s="110" t="s">
        <v>1730</v>
      </c>
      <c r="BA117" s="109" t="s">
        <v>1737</v>
      </c>
      <c r="BC117" s="100">
        <f t="shared" si="127"/>
        <v>0</v>
      </c>
      <c r="BD117" s="100">
        <f t="shared" si="128"/>
        <v>0</v>
      </c>
      <c r="BE117" s="100">
        <v>0</v>
      </c>
      <c r="BF117" s="100">
        <f>117</f>
        <v>117</v>
      </c>
      <c r="BH117" s="108">
        <f t="shared" si="129"/>
        <v>0</v>
      </c>
      <c r="BI117" s="108">
        <f t="shared" si="130"/>
        <v>0</v>
      </c>
      <c r="BJ117" s="108">
        <f t="shared" si="131"/>
        <v>0</v>
      </c>
    </row>
    <row r="118" spans="1:62" x14ac:dyDescent="0.2">
      <c r="A118" s="117" t="s">
        <v>89</v>
      </c>
      <c r="B118" s="117" t="s">
        <v>654</v>
      </c>
      <c r="C118" s="304" t="s">
        <v>1162</v>
      </c>
      <c r="D118" s="305"/>
      <c r="E118" s="305"/>
      <c r="F118" s="117" t="s">
        <v>1645</v>
      </c>
      <c r="G118" s="116">
        <v>83.04</v>
      </c>
      <c r="H118" s="159"/>
      <c r="I118" s="108">
        <f t="shared" si="110"/>
        <v>0</v>
      </c>
      <c r="J118" s="108">
        <f t="shared" si="111"/>
        <v>0</v>
      </c>
      <c r="K118" s="108">
        <f t="shared" si="112"/>
        <v>0</v>
      </c>
      <c r="L118" s="111" t="s">
        <v>1671</v>
      </c>
      <c r="Z118" s="100">
        <f t="shared" si="113"/>
        <v>0</v>
      </c>
      <c r="AB118" s="100">
        <f t="shared" si="114"/>
        <v>0</v>
      </c>
      <c r="AC118" s="100">
        <f t="shared" si="115"/>
        <v>0</v>
      </c>
      <c r="AD118" s="100">
        <f t="shared" si="116"/>
        <v>0</v>
      </c>
      <c r="AE118" s="100">
        <f t="shared" si="117"/>
        <v>0</v>
      </c>
      <c r="AF118" s="100">
        <f t="shared" si="118"/>
        <v>0</v>
      </c>
      <c r="AG118" s="100">
        <f t="shared" si="119"/>
        <v>0</v>
      </c>
      <c r="AH118" s="100">
        <f t="shared" si="120"/>
        <v>0</v>
      </c>
      <c r="AI118" s="109"/>
      <c r="AJ118" s="108">
        <f t="shared" si="121"/>
        <v>0</v>
      </c>
      <c r="AK118" s="108">
        <f t="shared" si="122"/>
        <v>0</v>
      </c>
      <c r="AL118" s="108">
        <f t="shared" si="123"/>
        <v>0</v>
      </c>
      <c r="AN118" s="100">
        <v>15</v>
      </c>
      <c r="AO118" s="100">
        <f>H118*0.0999480933719373</f>
        <v>0</v>
      </c>
      <c r="AP118" s="100">
        <f>H118*(1-0.0999480933719373)</f>
        <v>0</v>
      </c>
      <c r="AQ118" s="111" t="s">
        <v>7</v>
      </c>
      <c r="AV118" s="100">
        <f t="shared" si="124"/>
        <v>0</v>
      </c>
      <c r="AW118" s="100">
        <f t="shared" si="125"/>
        <v>0</v>
      </c>
      <c r="AX118" s="100">
        <f t="shared" si="126"/>
        <v>0</v>
      </c>
      <c r="AY118" s="110" t="s">
        <v>1700</v>
      </c>
      <c r="AZ118" s="110" t="s">
        <v>1730</v>
      </c>
      <c r="BA118" s="109" t="s">
        <v>1737</v>
      </c>
      <c r="BC118" s="100">
        <f t="shared" si="127"/>
        <v>0</v>
      </c>
      <c r="BD118" s="100">
        <f t="shared" si="128"/>
        <v>0</v>
      </c>
      <c r="BE118" s="100">
        <v>0</v>
      </c>
      <c r="BF118" s="100">
        <f>118</f>
        <v>118</v>
      </c>
      <c r="BH118" s="108">
        <f t="shared" si="129"/>
        <v>0</v>
      </c>
      <c r="BI118" s="108">
        <f t="shared" si="130"/>
        <v>0</v>
      </c>
      <c r="BJ118" s="108">
        <f t="shared" si="131"/>
        <v>0</v>
      </c>
    </row>
    <row r="119" spans="1:62" x14ac:dyDescent="0.2">
      <c r="A119" s="117" t="s">
        <v>90</v>
      </c>
      <c r="B119" s="117" t="s">
        <v>655</v>
      </c>
      <c r="C119" s="304" t="s">
        <v>1163</v>
      </c>
      <c r="D119" s="305"/>
      <c r="E119" s="305"/>
      <c r="F119" s="117" t="s">
        <v>1647</v>
      </c>
      <c r="G119" s="116">
        <v>1.1000000000000001</v>
      </c>
      <c r="H119" s="159"/>
      <c r="I119" s="108">
        <f t="shared" si="110"/>
        <v>0</v>
      </c>
      <c r="J119" s="108">
        <f t="shared" si="111"/>
        <v>0</v>
      </c>
      <c r="K119" s="108">
        <f t="shared" si="112"/>
        <v>0</v>
      </c>
      <c r="L119" s="111" t="s">
        <v>1671</v>
      </c>
      <c r="Z119" s="100">
        <f t="shared" si="113"/>
        <v>0</v>
      </c>
      <c r="AB119" s="100">
        <f t="shared" si="114"/>
        <v>0</v>
      </c>
      <c r="AC119" s="100">
        <f t="shared" si="115"/>
        <v>0</v>
      </c>
      <c r="AD119" s="100">
        <f t="shared" si="116"/>
        <v>0</v>
      </c>
      <c r="AE119" s="100">
        <f t="shared" si="117"/>
        <v>0</v>
      </c>
      <c r="AF119" s="100">
        <f t="shared" si="118"/>
        <v>0</v>
      </c>
      <c r="AG119" s="100">
        <f t="shared" si="119"/>
        <v>0</v>
      </c>
      <c r="AH119" s="100">
        <f t="shared" si="120"/>
        <v>0</v>
      </c>
      <c r="AI119" s="109"/>
      <c r="AJ119" s="108">
        <f t="shared" si="121"/>
        <v>0</v>
      </c>
      <c r="AK119" s="108">
        <f t="shared" si="122"/>
        <v>0</v>
      </c>
      <c r="AL119" s="108">
        <f t="shared" si="123"/>
        <v>0</v>
      </c>
      <c r="AN119" s="100">
        <v>15</v>
      </c>
      <c r="AO119" s="100">
        <f>H119*0.0363940520446097</f>
        <v>0</v>
      </c>
      <c r="AP119" s="100">
        <f>H119*(1-0.0363940520446097)</f>
        <v>0</v>
      </c>
      <c r="AQ119" s="111" t="s">
        <v>7</v>
      </c>
      <c r="AV119" s="100">
        <f t="shared" si="124"/>
        <v>0</v>
      </c>
      <c r="AW119" s="100">
        <f t="shared" si="125"/>
        <v>0</v>
      </c>
      <c r="AX119" s="100">
        <f t="shared" si="126"/>
        <v>0</v>
      </c>
      <c r="AY119" s="110" t="s">
        <v>1700</v>
      </c>
      <c r="AZ119" s="110" t="s">
        <v>1730</v>
      </c>
      <c r="BA119" s="109" t="s">
        <v>1737</v>
      </c>
      <c r="BC119" s="100">
        <f t="shared" si="127"/>
        <v>0</v>
      </c>
      <c r="BD119" s="100">
        <f t="shared" si="128"/>
        <v>0</v>
      </c>
      <c r="BE119" s="100">
        <v>0</v>
      </c>
      <c r="BF119" s="100">
        <f>119</f>
        <v>119</v>
      </c>
      <c r="BH119" s="108">
        <f t="shared" si="129"/>
        <v>0</v>
      </c>
      <c r="BI119" s="108">
        <f t="shared" si="130"/>
        <v>0</v>
      </c>
      <c r="BJ119" s="108">
        <f t="shared" si="131"/>
        <v>0</v>
      </c>
    </row>
    <row r="120" spans="1:62" x14ac:dyDescent="0.2">
      <c r="A120" s="117" t="s">
        <v>91</v>
      </c>
      <c r="B120" s="117" t="s">
        <v>2847</v>
      </c>
      <c r="C120" s="304" t="s">
        <v>2846</v>
      </c>
      <c r="D120" s="305"/>
      <c r="E120" s="305"/>
      <c r="F120" s="117" t="s">
        <v>1645</v>
      </c>
      <c r="G120" s="116">
        <v>6.84</v>
      </c>
      <c r="H120" s="159"/>
      <c r="I120" s="108">
        <f t="shared" si="110"/>
        <v>0</v>
      </c>
      <c r="J120" s="108">
        <f t="shared" si="111"/>
        <v>0</v>
      </c>
      <c r="K120" s="108">
        <f t="shared" si="112"/>
        <v>0</v>
      </c>
      <c r="L120" s="111" t="s">
        <v>1671</v>
      </c>
      <c r="Z120" s="100">
        <f t="shared" si="113"/>
        <v>0</v>
      </c>
      <c r="AB120" s="100">
        <f t="shared" si="114"/>
        <v>0</v>
      </c>
      <c r="AC120" s="100">
        <f t="shared" si="115"/>
        <v>0</v>
      </c>
      <c r="AD120" s="100">
        <f t="shared" si="116"/>
        <v>0</v>
      </c>
      <c r="AE120" s="100">
        <f t="shared" si="117"/>
        <v>0</v>
      </c>
      <c r="AF120" s="100">
        <f t="shared" si="118"/>
        <v>0</v>
      </c>
      <c r="AG120" s="100">
        <f t="shared" si="119"/>
        <v>0</v>
      </c>
      <c r="AH120" s="100">
        <f t="shared" si="120"/>
        <v>0</v>
      </c>
      <c r="AI120" s="109"/>
      <c r="AJ120" s="108">
        <f t="shared" si="121"/>
        <v>0</v>
      </c>
      <c r="AK120" s="108">
        <f t="shared" si="122"/>
        <v>0</v>
      </c>
      <c r="AL120" s="108">
        <f t="shared" si="123"/>
        <v>0</v>
      </c>
      <c r="AN120" s="100">
        <v>15</v>
      </c>
      <c r="AO120" s="100">
        <f>H120*0.0962264150943396</f>
        <v>0</v>
      </c>
      <c r="AP120" s="100">
        <f>H120*(1-0.0962264150943396)</f>
        <v>0</v>
      </c>
      <c r="AQ120" s="111" t="s">
        <v>7</v>
      </c>
      <c r="AV120" s="100">
        <f t="shared" si="124"/>
        <v>0</v>
      </c>
      <c r="AW120" s="100">
        <f t="shared" si="125"/>
        <v>0</v>
      </c>
      <c r="AX120" s="100">
        <f t="shared" si="126"/>
        <v>0</v>
      </c>
      <c r="AY120" s="110" t="s">
        <v>1700</v>
      </c>
      <c r="AZ120" s="110" t="s">
        <v>1730</v>
      </c>
      <c r="BA120" s="109" t="s">
        <v>1737</v>
      </c>
      <c r="BC120" s="100">
        <f t="shared" si="127"/>
        <v>0</v>
      </c>
      <c r="BD120" s="100">
        <f t="shared" si="128"/>
        <v>0</v>
      </c>
      <c r="BE120" s="100">
        <v>0</v>
      </c>
      <c r="BF120" s="100">
        <f>120</f>
        <v>120</v>
      </c>
      <c r="BH120" s="108">
        <f t="shared" si="129"/>
        <v>0</v>
      </c>
      <c r="BI120" s="108">
        <f t="shared" si="130"/>
        <v>0</v>
      </c>
      <c r="BJ120" s="108">
        <f t="shared" si="131"/>
        <v>0</v>
      </c>
    </row>
    <row r="121" spans="1:62" x14ac:dyDescent="0.2">
      <c r="A121" s="117" t="s">
        <v>92</v>
      </c>
      <c r="B121" s="117" t="s">
        <v>658</v>
      </c>
      <c r="C121" s="304" t="s">
        <v>3178</v>
      </c>
      <c r="D121" s="305"/>
      <c r="E121" s="305"/>
      <c r="F121" s="117" t="s">
        <v>1645</v>
      </c>
      <c r="G121" s="116">
        <v>32.003</v>
      </c>
      <c r="H121" s="159"/>
      <c r="I121" s="108">
        <f t="shared" si="110"/>
        <v>0</v>
      </c>
      <c r="J121" s="108">
        <f t="shared" si="111"/>
        <v>0</v>
      </c>
      <c r="K121" s="108">
        <f t="shared" si="112"/>
        <v>0</v>
      </c>
      <c r="L121" s="111" t="s">
        <v>1671</v>
      </c>
      <c r="Z121" s="100">
        <f t="shared" si="113"/>
        <v>0</v>
      </c>
      <c r="AB121" s="100">
        <f t="shared" si="114"/>
        <v>0</v>
      </c>
      <c r="AC121" s="100">
        <f t="shared" si="115"/>
        <v>0</v>
      </c>
      <c r="AD121" s="100">
        <f t="shared" si="116"/>
        <v>0</v>
      </c>
      <c r="AE121" s="100">
        <f t="shared" si="117"/>
        <v>0</v>
      </c>
      <c r="AF121" s="100">
        <f t="shared" si="118"/>
        <v>0</v>
      </c>
      <c r="AG121" s="100">
        <f t="shared" si="119"/>
        <v>0</v>
      </c>
      <c r="AH121" s="100">
        <f t="shared" si="120"/>
        <v>0</v>
      </c>
      <c r="AI121" s="109"/>
      <c r="AJ121" s="108">
        <f t="shared" si="121"/>
        <v>0</v>
      </c>
      <c r="AK121" s="108">
        <f t="shared" si="122"/>
        <v>0</v>
      </c>
      <c r="AL121" s="108">
        <f t="shared" si="123"/>
        <v>0</v>
      </c>
      <c r="AN121" s="100">
        <v>15</v>
      </c>
      <c r="AO121" s="100">
        <f>H121*0</f>
        <v>0</v>
      </c>
      <c r="AP121" s="100">
        <f>H121*(1-0)</f>
        <v>0</v>
      </c>
      <c r="AQ121" s="111" t="s">
        <v>7</v>
      </c>
      <c r="AV121" s="100">
        <f t="shared" si="124"/>
        <v>0</v>
      </c>
      <c r="AW121" s="100">
        <f t="shared" si="125"/>
        <v>0</v>
      </c>
      <c r="AX121" s="100">
        <f t="shared" si="126"/>
        <v>0</v>
      </c>
      <c r="AY121" s="110" t="s">
        <v>1700</v>
      </c>
      <c r="AZ121" s="110" t="s">
        <v>1730</v>
      </c>
      <c r="BA121" s="109" t="s">
        <v>1737</v>
      </c>
      <c r="BC121" s="100">
        <f t="shared" si="127"/>
        <v>0</v>
      </c>
      <c r="BD121" s="100">
        <f t="shared" si="128"/>
        <v>0</v>
      </c>
      <c r="BE121" s="100">
        <v>0</v>
      </c>
      <c r="BF121" s="100">
        <f>121</f>
        <v>121</v>
      </c>
      <c r="BH121" s="108">
        <f t="shared" si="129"/>
        <v>0</v>
      </c>
      <c r="BI121" s="108">
        <f t="shared" si="130"/>
        <v>0</v>
      </c>
      <c r="BJ121" s="108">
        <f t="shared" si="131"/>
        <v>0</v>
      </c>
    </row>
    <row r="122" spans="1:62" x14ac:dyDescent="0.2">
      <c r="A122" s="117" t="s">
        <v>93</v>
      </c>
      <c r="B122" s="117" t="s">
        <v>659</v>
      </c>
      <c r="C122" s="304" t="s">
        <v>3177</v>
      </c>
      <c r="D122" s="305"/>
      <c r="E122" s="305"/>
      <c r="F122" s="117" t="s">
        <v>1646</v>
      </c>
      <c r="G122" s="116">
        <v>35.15</v>
      </c>
      <c r="H122" s="159"/>
      <c r="I122" s="108">
        <f t="shared" si="110"/>
        <v>0</v>
      </c>
      <c r="J122" s="108">
        <f t="shared" si="111"/>
        <v>0</v>
      </c>
      <c r="K122" s="108">
        <f t="shared" si="112"/>
        <v>0</v>
      </c>
      <c r="L122" s="111" t="s">
        <v>1671</v>
      </c>
      <c r="Z122" s="100">
        <f t="shared" si="113"/>
        <v>0</v>
      </c>
      <c r="AB122" s="100">
        <f t="shared" si="114"/>
        <v>0</v>
      </c>
      <c r="AC122" s="100">
        <f t="shared" si="115"/>
        <v>0</v>
      </c>
      <c r="AD122" s="100">
        <f t="shared" si="116"/>
        <v>0</v>
      </c>
      <c r="AE122" s="100">
        <f t="shared" si="117"/>
        <v>0</v>
      </c>
      <c r="AF122" s="100">
        <f t="shared" si="118"/>
        <v>0</v>
      </c>
      <c r="AG122" s="100">
        <f t="shared" si="119"/>
        <v>0</v>
      </c>
      <c r="AH122" s="100">
        <f t="shared" si="120"/>
        <v>0</v>
      </c>
      <c r="AI122" s="109"/>
      <c r="AJ122" s="108">
        <f t="shared" si="121"/>
        <v>0</v>
      </c>
      <c r="AK122" s="108">
        <f t="shared" si="122"/>
        <v>0</v>
      </c>
      <c r="AL122" s="108">
        <f t="shared" si="123"/>
        <v>0</v>
      </c>
      <c r="AN122" s="100">
        <v>15</v>
      </c>
      <c r="AO122" s="100">
        <f>H122*0</f>
        <v>0</v>
      </c>
      <c r="AP122" s="100">
        <f>H122*(1-0)</f>
        <v>0</v>
      </c>
      <c r="AQ122" s="111" t="s">
        <v>7</v>
      </c>
      <c r="AV122" s="100">
        <f t="shared" si="124"/>
        <v>0</v>
      </c>
      <c r="AW122" s="100">
        <f t="shared" si="125"/>
        <v>0</v>
      </c>
      <c r="AX122" s="100">
        <f t="shared" si="126"/>
        <v>0</v>
      </c>
      <c r="AY122" s="110" t="s">
        <v>1700</v>
      </c>
      <c r="AZ122" s="110" t="s">
        <v>1730</v>
      </c>
      <c r="BA122" s="109" t="s">
        <v>1737</v>
      </c>
      <c r="BC122" s="100">
        <f t="shared" si="127"/>
        <v>0</v>
      </c>
      <c r="BD122" s="100">
        <f t="shared" si="128"/>
        <v>0</v>
      </c>
      <c r="BE122" s="100">
        <v>0</v>
      </c>
      <c r="BF122" s="100">
        <f>122</f>
        <v>122</v>
      </c>
      <c r="BH122" s="108">
        <f t="shared" si="129"/>
        <v>0</v>
      </c>
      <c r="BI122" s="108">
        <f t="shared" si="130"/>
        <v>0</v>
      </c>
      <c r="BJ122" s="108">
        <f t="shared" si="131"/>
        <v>0</v>
      </c>
    </row>
    <row r="123" spans="1:62" x14ac:dyDescent="0.2">
      <c r="A123" s="117" t="s">
        <v>94</v>
      </c>
      <c r="B123" s="117" t="s">
        <v>660</v>
      </c>
      <c r="C123" s="304" t="s">
        <v>3176</v>
      </c>
      <c r="D123" s="305"/>
      <c r="E123" s="305"/>
      <c r="F123" s="117" t="s">
        <v>1645</v>
      </c>
      <c r="G123" s="116">
        <v>32.003</v>
      </c>
      <c r="H123" s="159"/>
      <c r="I123" s="108">
        <f t="shared" si="110"/>
        <v>0</v>
      </c>
      <c r="J123" s="108">
        <f t="shared" si="111"/>
        <v>0</v>
      </c>
      <c r="K123" s="108">
        <f t="shared" si="112"/>
        <v>0</v>
      </c>
      <c r="L123" s="111" t="s">
        <v>1671</v>
      </c>
      <c r="Z123" s="100">
        <f t="shared" si="113"/>
        <v>0</v>
      </c>
      <c r="AB123" s="100">
        <f t="shared" si="114"/>
        <v>0</v>
      </c>
      <c r="AC123" s="100">
        <f t="shared" si="115"/>
        <v>0</v>
      </c>
      <c r="AD123" s="100">
        <f t="shared" si="116"/>
        <v>0</v>
      </c>
      <c r="AE123" s="100">
        <f t="shared" si="117"/>
        <v>0</v>
      </c>
      <c r="AF123" s="100">
        <f t="shared" si="118"/>
        <v>0</v>
      </c>
      <c r="AG123" s="100">
        <f t="shared" si="119"/>
        <v>0</v>
      </c>
      <c r="AH123" s="100">
        <f t="shared" si="120"/>
        <v>0</v>
      </c>
      <c r="AI123" s="109"/>
      <c r="AJ123" s="108">
        <f t="shared" si="121"/>
        <v>0</v>
      </c>
      <c r="AK123" s="108">
        <f t="shared" si="122"/>
        <v>0</v>
      </c>
      <c r="AL123" s="108">
        <f t="shared" si="123"/>
        <v>0</v>
      </c>
      <c r="AN123" s="100">
        <v>15</v>
      </c>
      <c r="AO123" s="100">
        <f>H123*0</f>
        <v>0</v>
      </c>
      <c r="AP123" s="100">
        <f>H123*(1-0)</f>
        <v>0</v>
      </c>
      <c r="AQ123" s="111" t="s">
        <v>7</v>
      </c>
      <c r="AV123" s="100">
        <f t="shared" si="124"/>
        <v>0</v>
      </c>
      <c r="AW123" s="100">
        <f t="shared" si="125"/>
        <v>0</v>
      </c>
      <c r="AX123" s="100">
        <f t="shared" si="126"/>
        <v>0</v>
      </c>
      <c r="AY123" s="110" t="s">
        <v>1700</v>
      </c>
      <c r="AZ123" s="110" t="s">
        <v>1730</v>
      </c>
      <c r="BA123" s="109" t="s">
        <v>1737</v>
      </c>
      <c r="BC123" s="100">
        <f t="shared" si="127"/>
        <v>0</v>
      </c>
      <c r="BD123" s="100">
        <f t="shared" si="128"/>
        <v>0</v>
      </c>
      <c r="BE123" s="100">
        <v>0</v>
      </c>
      <c r="BF123" s="100">
        <f>123</f>
        <v>123</v>
      </c>
      <c r="BH123" s="108">
        <f t="shared" si="129"/>
        <v>0</v>
      </c>
      <c r="BI123" s="108">
        <f t="shared" si="130"/>
        <v>0</v>
      </c>
      <c r="BJ123" s="108">
        <f t="shared" si="131"/>
        <v>0</v>
      </c>
    </row>
    <row r="124" spans="1:62" x14ac:dyDescent="0.2">
      <c r="A124" s="117" t="s">
        <v>95</v>
      </c>
      <c r="B124" s="117" t="s">
        <v>662</v>
      </c>
      <c r="C124" s="304" t="s">
        <v>1170</v>
      </c>
      <c r="D124" s="305"/>
      <c r="E124" s="305"/>
      <c r="F124" s="117" t="s">
        <v>1644</v>
      </c>
      <c r="G124" s="116">
        <v>1</v>
      </c>
      <c r="H124" s="159"/>
      <c r="I124" s="108">
        <f t="shared" si="110"/>
        <v>0</v>
      </c>
      <c r="J124" s="108">
        <f t="shared" si="111"/>
        <v>0</v>
      </c>
      <c r="K124" s="108">
        <f t="shared" si="112"/>
        <v>0</v>
      </c>
      <c r="L124" s="111" t="s">
        <v>1671</v>
      </c>
      <c r="Z124" s="100">
        <f t="shared" si="113"/>
        <v>0</v>
      </c>
      <c r="AB124" s="100">
        <f t="shared" si="114"/>
        <v>0</v>
      </c>
      <c r="AC124" s="100">
        <f t="shared" si="115"/>
        <v>0</v>
      </c>
      <c r="AD124" s="100">
        <f t="shared" si="116"/>
        <v>0</v>
      </c>
      <c r="AE124" s="100">
        <f t="shared" si="117"/>
        <v>0</v>
      </c>
      <c r="AF124" s="100">
        <f t="shared" si="118"/>
        <v>0</v>
      </c>
      <c r="AG124" s="100">
        <f t="shared" si="119"/>
        <v>0</v>
      </c>
      <c r="AH124" s="100">
        <f t="shared" si="120"/>
        <v>0</v>
      </c>
      <c r="AI124" s="109"/>
      <c r="AJ124" s="108">
        <f t="shared" si="121"/>
        <v>0</v>
      </c>
      <c r="AK124" s="108">
        <f t="shared" si="122"/>
        <v>0</v>
      </c>
      <c r="AL124" s="108">
        <f t="shared" si="123"/>
        <v>0</v>
      </c>
      <c r="AN124" s="100">
        <v>15</v>
      </c>
      <c r="AO124" s="100">
        <f>H124*0.14559068800201</f>
        <v>0</v>
      </c>
      <c r="AP124" s="100">
        <f>H124*(1-0.14559068800201)</f>
        <v>0</v>
      </c>
      <c r="AQ124" s="111" t="s">
        <v>7</v>
      </c>
      <c r="AV124" s="100">
        <f t="shared" si="124"/>
        <v>0</v>
      </c>
      <c r="AW124" s="100">
        <f t="shared" si="125"/>
        <v>0</v>
      </c>
      <c r="AX124" s="100">
        <f t="shared" si="126"/>
        <v>0</v>
      </c>
      <c r="AY124" s="110" t="s">
        <v>1700</v>
      </c>
      <c r="AZ124" s="110" t="s">
        <v>1730</v>
      </c>
      <c r="BA124" s="109" t="s">
        <v>1737</v>
      </c>
      <c r="BC124" s="100">
        <f t="shared" si="127"/>
        <v>0</v>
      </c>
      <c r="BD124" s="100">
        <f t="shared" si="128"/>
        <v>0</v>
      </c>
      <c r="BE124" s="100">
        <v>0</v>
      </c>
      <c r="BF124" s="100">
        <f>124</f>
        <v>124</v>
      </c>
      <c r="BH124" s="108">
        <f t="shared" si="129"/>
        <v>0</v>
      </c>
      <c r="BI124" s="108">
        <f t="shared" si="130"/>
        <v>0</v>
      </c>
      <c r="BJ124" s="108">
        <f t="shared" si="131"/>
        <v>0</v>
      </c>
    </row>
    <row r="125" spans="1:62" x14ac:dyDescent="0.2">
      <c r="A125" s="117" t="s">
        <v>96</v>
      </c>
      <c r="B125" s="117" t="s">
        <v>2145</v>
      </c>
      <c r="C125" s="304" t="s">
        <v>2144</v>
      </c>
      <c r="D125" s="305"/>
      <c r="E125" s="305"/>
      <c r="F125" s="117" t="s">
        <v>1644</v>
      </c>
      <c r="G125" s="116">
        <v>1</v>
      </c>
      <c r="H125" s="159"/>
      <c r="I125" s="108">
        <f t="shared" si="110"/>
        <v>0</v>
      </c>
      <c r="J125" s="108">
        <f t="shared" si="111"/>
        <v>0</v>
      </c>
      <c r="K125" s="108">
        <f t="shared" si="112"/>
        <v>0</v>
      </c>
      <c r="L125" s="111" t="s">
        <v>1671</v>
      </c>
      <c r="Z125" s="100">
        <f t="shared" si="113"/>
        <v>0</v>
      </c>
      <c r="AB125" s="100">
        <f t="shared" si="114"/>
        <v>0</v>
      </c>
      <c r="AC125" s="100">
        <f t="shared" si="115"/>
        <v>0</v>
      </c>
      <c r="AD125" s="100">
        <f t="shared" si="116"/>
        <v>0</v>
      </c>
      <c r="AE125" s="100">
        <f t="shared" si="117"/>
        <v>0</v>
      </c>
      <c r="AF125" s="100">
        <f t="shared" si="118"/>
        <v>0</v>
      </c>
      <c r="AG125" s="100">
        <f t="shared" si="119"/>
        <v>0</v>
      </c>
      <c r="AH125" s="100">
        <f t="shared" si="120"/>
        <v>0</v>
      </c>
      <c r="AI125" s="109"/>
      <c r="AJ125" s="108">
        <f t="shared" si="121"/>
        <v>0</v>
      </c>
      <c r="AK125" s="108">
        <f t="shared" si="122"/>
        <v>0</v>
      </c>
      <c r="AL125" s="108">
        <f t="shared" si="123"/>
        <v>0</v>
      </c>
      <c r="AN125" s="100">
        <v>15</v>
      </c>
      <c r="AO125" s="100">
        <f>H125*0.14559</f>
        <v>0</v>
      </c>
      <c r="AP125" s="100">
        <f>H125*(1-0.14559)</f>
        <v>0</v>
      </c>
      <c r="AQ125" s="111" t="s">
        <v>7</v>
      </c>
      <c r="AV125" s="100">
        <f t="shared" si="124"/>
        <v>0</v>
      </c>
      <c r="AW125" s="100">
        <f t="shared" si="125"/>
        <v>0</v>
      </c>
      <c r="AX125" s="100">
        <f t="shared" si="126"/>
        <v>0</v>
      </c>
      <c r="AY125" s="110" t="s">
        <v>1700</v>
      </c>
      <c r="AZ125" s="110" t="s">
        <v>1730</v>
      </c>
      <c r="BA125" s="109" t="s">
        <v>1737</v>
      </c>
      <c r="BC125" s="100">
        <f t="shared" si="127"/>
        <v>0</v>
      </c>
      <c r="BD125" s="100">
        <f t="shared" si="128"/>
        <v>0</v>
      </c>
      <c r="BE125" s="100">
        <v>0</v>
      </c>
      <c r="BF125" s="100">
        <f>125</f>
        <v>125</v>
      </c>
      <c r="BH125" s="108">
        <f t="shared" si="129"/>
        <v>0</v>
      </c>
      <c r="BI125" s="108">
        <f t="shared" si="130"/>
        <v>0</v>
      </c>
      <c r="BJ125" s="108">
        <f t="shared" si="131"/>
        <v>0</v>
      </c>
    </row>
    <row r="126" spans="1:62" x14ac:dyDescent="0.2">
      <c r="A126" s="117" t="s">
        <v>97</v>
      </c>
      <c r="B126" s="117" t="s">
        <v>663</v>
      </c>
      <c r="C126" s="304" t="s">
        <v>1171</v>
      </c>
      <c r="D126" s="305"/>
      <c r="E126" s="305"/>
      <c r="F126" s="117" t="s">
        <v>1644</v>
      </c>
      <c r="G126" s="116">
        <v>12</v>
      </c>
      <c r="H126" s="159"/>
      <c r="I126" s="108">
        <f t="shared" si="110"/>
        <v>0</v>
      </c>
      <c r="J126" s="108">
        <f t="shared" si="111"/>
        <v>0</v>
      </c>
      <c r="K126" s="108">
        <f t="shared" si="112"/>
        <v>0</v>
      </c>
      <c r="L126" s="111" t="s">
        <v>1671</v>
      </c>
      <c r="Z126" s="100">
        <f t="shared" si="113"/>
        <v>0</v>
      </c>
      <c r="AB126" s="100">
        <f t="shared" si="114"/>
        <v>0</v>
      </c>
      <c r="AC126" s="100">
        <f t="shared" si="115"/>
        <v>0</v>
      </c>
      <c r="AD126" s="100">
        <f t="shared" si="116"/>
        <v>0</v>
      </c>
      <c r="AE126" s="100">
        <f t="shared" si="117"/>
        <v>0</v>
      </c>
      <c r="AF126" s="100">
        <f t="shared" si="118"/>
        <v>0</v>
      </c>
      <c r="AG126" s="100">
        <f t="shared" si="119"/>
        <v>0</v>
      </c>
      <c r="AH126" s="100">
        <f t="shared" si="120"/>
        <v>0</v>
      </c>
      <c r="AI126" s="109"/>
      <c r="AJ126" s="108">
        <f t="shared" si="121"/>
        <v>0</v>
      </c>
      <c r="AK126" s="108">
        <f t="shared" si="122"/>
        <v>0</v>
      </c>
      <c r="AL126" s="108">
        <f t="shared" si="123"/>
        <v>0</v>
      </c>
      <c r="AN126" s="100">
        <v>15</v>
      </c>
      <c r="AO126" s="100">
        <f>H126*0.000181818181818182</f>
        <v>0</v>
      </c>
      <c r="AP126" s="100">
        <f>H126*(1-0.000181818181818182)</f>
        <v>0</v>
      </c>
      <c r="AQ126" s="111" t="s">
        <v>7</v>
      </c>
      <c r="AV126" s="100">
        <f t="shared" si="124"/>
        <v>0</v>
      </c>
      <c r="AW126" s="100">
        <f t="shared" si="125"/>
        <v>0</v>
      </c>
      <c r="AX126" s="100">
        <f t="shared" si="126"/>
        <v>0</v>
      </c>
      <c r="AY126" s="110" t="s">
        <v>1700</v>
      </c>
      <c r="AZ126" s="110" t="s">
        <v>1730</v>
      </c>
      <c r="BA126" s="109" t="s">
        <v>1737</v>
      </c>
      <c r="BC126" s="100">
        <f t="shared" si="127"/>
        <v>0</v>
      </c>
      <c r="BD126" s="100">
        <f t="shared" si="128"/>
        <v>0</v>
      </c>
      <c r="BE126" s="100">
        <v>0</v>
      </c>
      <c r="BF126" s="100">
        <f>126</f>
        <v>126</v>
      </c>
      <c r="BH126" s="108">
        <f t="shared" si="129"/>
        <v>0</v>
      </c>
      <c r="BI126" s="108">
        <f t="shared" si="130"/>
        <v>0</v>
      </c>
      <c r="BJ126" s="108">
        <f t="shared" si="131"/>
        <v>0</v>
      </c>
    </row>
    <row r="127" spans="1:62" x14ac:dyDescent="0.2">
      <c r="A127" s="117" t="s">
        <v>98</v>
      </c>
      <c r="B127" s="117" t="s">
        <v>664</v>
      </c>
      <c r="C127" s="304" t="s">
        <v>2845</v>
      </c>
      <c r="D127" s="305"/>
      <c r="E127" s="305"/>
      <c r="F127" s="117" t="s">
        <v>1645</v>
      </c>
      <c r="G127" s="116">
        <v>0.85</v>
      </c>
      <c r="H127" s="159"/>
      <c r="I127" s="108">
        <f t="shared" si="110"/>
        <v>0</v>
      </c>
      <c r="J127" s="108">
        <f t="shared" si="111"/>
        <v>0</v>
      </c>
      <c r="K127" s="108">
        <f t="shared" si="112"/>
        <v>0</v>
      </c>
      <c r="L127" s="111" t="s">
        <v>1671</v>
      </c>
      <c r="Z127" s="100">
        <f t="shared" si="113"/>
        <v>0</v>
      </c>
      <c r="AB127" s="100">
        <f t="shared" si="114"/>
        <v>0</v>
      </c>
      <c r="AC127" s="100">
        <f t="shared" si="115"/>
        <v>0</v>
      </c>
      <c r="AD127" s="100">
        <f t="shared" si="116"/>
        <v>0</v>
      </c>
      <c r="AE127" s="100">
        <f t="shared" si="117"/>
        <v>0</v>
      </c>
      <c r="AF127" s="100">
        <f t="shared" si="118"/>
        <v>0</v>
      </c>
      <c r="AG127" s="100">
        <f t="shared" si="119"/>
        <v>0</v>
      </c>
      <c r="AH127" s="100">
        <f t="shared" si="120"/>
        <v>0</v>
      </c>
      <c r="AI127" s="109"/>
      <c r="AJ127" s="108">
        <f t="shared" si="121"/>
        <v>0</v>
      </c>
      <c r="AK127" s="108">
        <f t="shared" si="122"/>
        <v>0</v>
      </c>
      <c r="AL127" s="108">
        <f t="shared" si="123"/>
        <v>0</v>
      </c>
      <c r="AN127" s="100">
        <v>15</v>
      </c>
      <c r="AO127" s="100">
        <f>H127*0.0431358333882555</f>
        <v>0</v>
      </c>
      <c r="AP127" s="100">
        <f>H127*(1-0.0431358333882555)</f>
        <v>0</v>
      </c>
      <c r="AQ127" s="111" t="s">
        <v>7</v>
      </c>
      <c r="AV127" s="100">
        <f t="shared" si="124"/>
        <v>0</v>
      </c>
      <c r="AW127" s="100">
        <f t="shared" si="125"/>
        <v>0</v>
      </c>
      <c r="AX127" s="100">
        <f t="shared" si="126"/>
        <v>0</v>
      </c>
      <c r="AY127" s="110" t="s">
        <v>1700</v>
      </c>
      <c r="AZ127" s="110" t="s">
        <v>1730</v>
      </c>
      <c r="BA127" s="109" t="s">
        <v>1737</v>
      </c>
      <c r="BC127" s="100">
        <f t="shared" si="127"/>
        <v>0</v>
      </c>
      <c r="BD127" s="100">
        <f t="shared" si="128"/>
        <v>0</v>
      </c>
      <c r="BE127" s="100">
        <v>0</v>
      </c>
      <c r="BF127" s="100">
        <f>127</f>
        <v>127</v>
      </c>
      <c r="BH127" s="108">
        <f t="shared" si="129"/>
        <v>0</v>
      </c>
      <c r="BI127" s="108">
        <f t="shared" si="130"/>
        <v>0</v>
      </c>
      <c r="BJ127" s="108">
        <f t="shared" si="131"/>
        <v>0</v>
      </c>
    </row>
    <row r="128" spans="1:62" x14ac:dyDescent="0.2">
      <c r="A128" s="117" t="s">
        <v>99</v>
      </c>
      <c r="B128" s="117" t="s">
        <v>665</v>
      </c>
      <c r="C128" s="304" t="s">
        <v>1173</v>
      </c>
      <c r="D128" s="305"/>
      <c r="E128" s="305"/>
      <c r="F128" s="117" t="s">
        <v>1645</v>
      </c>
      <c r="G128" s="116">
        <v>58.128</v>
      </c>
      <c r="H128" s="159"/>
      <c r="I128" s="108">
        <f t="shared" si="110"/>
        <v>0</v>
      </c>
      <c r="J128" s="108">
        <f t="shared" si="111"/>
        <v>0</v>
      </c>
      <c r="K128" s="108">
        <f t="shared" si="112"/>
        <v>0</v>
      </c>
      <c r="L128" s="111" t="s">
        <v>1671</v>
      </c>
      <c r="Z128" s="100">
        <f t="shared" si="113"/>
        <v>0</v>
      </c>
      <c r="AB128" s="100">
        <f t="shared" si="114"/>
        <v>0</v>
      </c>
      <c r="AC128" s="100">
        <f t="shared" si="115"/>
        <v>0</v>
      </c>
      <c r="AD128" s="100">
        <f t="shared" si="116"/>
        <v>0</v>
      </c>
      <c r="AE128" s="100">
        <f t="shared" si="117"/>
        <v>0</v>
      </c>
      <c r="AF128" s="100">
        <f t="shared" si="118"/>
        <v>0</v>
      </c>
      <c r="AG128" s="100">
        <f t="shared" si="119"/>
        <v>0</v>
      </c>
      <c r="AH128" s="100">
        <f t="shared" si="120"/>
        <v>0</v>
      </c>
      <c r="AI128" s="109"/>
      <c r="AJ128" s="108">
        <f t="shared" si="121"/>
        <v>0</v>
      </c>
      <c r="AK128" s="108">
        <f t="shared" si="122"/>
        <v>0</v>
      </c>
      <c r="AL128" s="108">
        <f t="shared" si="123"/>
        <v>0</v>
      </c>
      <c r="AN128" s="100">
        <v>15</v>
      </c>
      <c r="AO128" s="100">
        <f>H128*0.014750955909833</f>
        <v>0</v>
      </c>
      <c r="AP128" s="100">
        <f>H128*(1-0.014750955909833)</f>
        <v>0</v>
      </c>
      <c r="AQ128" s="111" t="s">
        <v>7</v>
      </c>
      <c r="AV128" s="100">
        <f t="shared" si="124"/>
        <v>0</v>
      </c>
      <c r="AW128" s="100">
        <f t="shared" si="125"/>
        <v>0</v>
      </c>
      <c r="AX128" s="100">
        <f t="shared" si="126"/>
        <v>0</v>
      </c>
      <c r="AY128" s="110" t="s">
        <v>1700</v>
      </c>
      <c r="AZ128" s="110" t="s">
        <v>1730</v>
      </c>
      <c r="BA128" s="109" t="s">
        <v>1737</v>
      </c>
      <c r="BC128" s="100">
        <f t="shared" si="127"/>
        <v>0</v>
      </c>
      <c r="BD128" s="100">
        <f t="shared" si="128"/>
        <v>0</v>
      </c>
      <c r="BE128" s="100">
        <v>0</v>
      </c>
      <c r="BF128" s="100">
        <f>128</f>
        <v>128</v>
      </c>
      <c r="BH128" s="108">
        <f t="shared" si="129"/>
        <v>0</v>
      </c>
      <c r="BI128" s="108">
        <f t="shared" si="130"/>
        <v>0</v>
      </c>
      <c r="BJ128" s="108">
        <f t="shared" si="131"/>
        <v>0</v>
      </c>
    </row>
    <row r="129" spans="1:62" x14ac:dyDescent="0.2">
      <c r="A129" s="117" t="s">
        <v>100</v>
      </c>
      <c r="B129" s="117" t="s">
        <v>666</v>
      </c>
      <c r="C129" s="304" t="s">
        <v>1174</v>
      </c>
      <c r="D129" s="305"/>
      <c r="E129" s="305"/>
      <c r="F129" s="117" t="s">
        <v>1645</v>
      </c>
      <c r="G129" s="116">
        <v>24.911999999999999</v>
      </c>
      <c r="H129" s="159"/>
      <c r="I129" s="108">
        <f t="shared" si="110"/>
        <v>0</v>
      </c>
      <c r="J129" s="108">
        <f t="shared" si="111"/>
        <v>0</v>
      </c>
      <c r="K129" s="108">
        <f t="shared" si="112"/>
        <v>0</v>
      </c>
      <c r="L129" s="111" t="s">
        <v>1671</v>
      </c>
      <c r="Z129" s="100">
        <f t="shared" si="113"/>
        <v>0</v>
      </c>
      <c r="AB129" s="100">
        <f t="shared" si="114"/>
        <v>0</v>
      </c>
      <c r="AC129" s="100">
        <f t="shared" si="115"/>
        <v>0</v>
      </c>
      <c r="AD129" s="100">
        <f t="shared" si="116"/>
        <v>0</v>
      </c>
      <c r="AE129" s="100">
        <f t="shared" si="117"/>
        <v>0</v>
      </c>
      <c r="AF129" s="100">
        <f t="shared" si="118"/>
        <v>0</v>
      </c>
      <c r="AG129" s="100">
        <f t="shared" si="119"/>
        <v>0</v>
      </c>
      <c r="AH129" s="100">
        <f t="shared" si="120"/>
        <v>0</v>
      </c>
      <c r="AI129" s="109"/>
      <c r="AJ129" s="108">
        <f t="shared" si="121"/>
        <v>0</v>
      </c>
      <c r="AK129" s="108">
        <f t="shared" si="122"/>
        <v>0</v>
      </c>
      <c r="AL129" s="108">
        <f t="shared" si="123"/>
        <v>0</v>
      </c>
      <c r="AN129" s="100">
        <v>15</v>
      </c>
      <c r="AO129" s="100">
        <f>H129*0.0103628865979381</f>
        <v>0</v>
      </c>
      <c r="AP129" s="100">
        <f>H129*(1-0.0103628865979381)</f>
        <v>0</v>
      </c>
      <c r="AQ129" s="111" t="s">
        <v>7</v>
      </c>
      <c r="AV129" s="100">
        <f t="shared" si="124"/>
        <v>0</v>
      </c>
      <c r="AW129" s="100">
        <f t="shared" si="125"/>
        <v>0</v>
      </c>
      <c r="AX129" s="100">
        <f t="shared" si="126"/>
        <v>0</v>
      </c>
      <c r="AY129" s="110" t="s">
        <v>1700</v>
      </c>
      <c r="AZ129" s="110" t="s">
        <v>1730</v>
      </c>
      <c r="BA129" s="109" t="s">
        <v>1737</v>
      </c>
      <c r="BC129" s="100">
        <f t="shared" si="127"/>
        <v>0</v>
      </c>
      <c r="BD129" s="100">
        <f t="shared" si="128"/>
        <v>0</v>
      </c>
      <c r="BE129" s="100">
        <v>0</v>
      </c>
      <c r="BF129" s="100">
        <f>129</f>
        <v>129</v>
      </c>
      <c r="BH129" s="108">
        <f t="shared" si="129"/>
        <v>0</v>
      </c>
      <c r="BI129" s="108">
        <f t="shared" si="130"/>
        <v>0</v>
      </c>
      <c r="BJ129" s="108">
        <f t="shared" si="131"/>
        <v>0</v>
      </c>
    </row>
    <row r="130" spans="1:62" x14ac:dyDescent="0.2">
      <c r="A130" s="117" t="s">
        <v>101</v>
      </c>
      <c r="B130" s="117" t="s">
        <v>2844</v>
      </c>
      <c r="C130" s="304" t="s">
        <v>2843</v>
      </c>
      <c r="D130" s="305"/>
      <c r="E130" s="305"/>
      <c r="F130" s="117" t="s">
        <v>1644</v>
      </c>
      <c r="G130" s="116">
        <v>7</v>
      </c>
      <c r="H130" s="159"/>
      <c r="I130" s="108">
        <f t="shared" si="110"/>
        <v>0</v>
      </c>
      <c r="J130" s="108">
        <f t="shared" si="111"/>
        <v>0</v>
      </c>
      <c r="K130" s="108">
        <f t="shared" si="112"/>
        <v>0</v>
      </c>
      <c r="L130" s="111" t="s">
        <v>1671</v>
      </c>
      <c r="Z130" s="100">
        <f t="shared" si="113"/>
        <v>0</v>
      </c>
      <c r="AB130" s="100">
        <f t="shared" si="114"/>
        <v>0</v>
      </c>
      <c r="AC130" s="100">
        <f t="shared" si="115"/>
        <v>0</v>
      </c>
      <c r="AD130" s="100">
        <f t="shared" si="116"/>
        <v>0</v>
      </c>
      <c r="AE130" s="100">
        <f t="shared" si="117"/>
        <v>0</v>
      </c>
      <c r="AF130" s="100">
        <f t="shared" si="118"/>
        <v>0</v>
      </c>
      <c r="AG130" s="100">
        <f t="shared" si="119"/>
        <v>0</v>
      </c>
      <c r="AH130" s="100">
        <f t="shared" si="120"/>
        <v>0</v>
      </c>
      <c r="AI130" s="109"/>
      <c r="AJ130" s="108">
        <f t="shared" si="121"/>
        <v>0</v>
      </c>
      <c r="AK130" s="108">
        <f t="shared" si="122"/>
        <v>0</v>
      </c>
      <c r="AL130" s="108">
        <f t="shared" si="123"/>
        <v>0</v>
      </c>
      <c r="AN130" s="100">
        <v>15</v>
      </c>
      <c r="AO130" s="100">
        <f>H130*0</f>
        <v>0</v>
      </c>
      <c r="AP130" s="100">
        <f>H130*(1-0)</f>
        <v>0</v>
      </c>
      <c r="AQ130" s="111" t="s">
        <v>7</v>
      </c>
      <c r="AV130" s="100">
        <f t="shared" si="124"/>
        <v>0</v>
      </c>
      <c r="AW130" s="100">
        <f t="shared" si="125"/>
        <v>0</v>
      </c>
      <c r="AX130" s="100">
        <f t="shared" si="126"/>
        <v>0</v>
      </c>
      <c r="AY130" s="110" t="s">
        <v>1700</v>
      </c>
      <c r="AZ130" s="110" t="s">
        <v>1730</v>
      </c>
      <c r="BA130" s="109" t="s">
        <v>1737</v>
      </c>
      <c r="BC130" s="100">
        <f t="shared" si="127"/>
        <v>0</v>
      </c>
      <c r="BD130" s="100">
        <f t="shared" si="128"/>
        <v>0</v>
      </c>
      <c r="BE130" s="100">
        <v>0</v>
      </c>
      <c r="BF130" s="100">
        <f>130</f>
        <v>130</v>
      </c>
      <c r="BH130" s="108">
        <f t="shared" si="129"/>
        <v>0</v>
      </c>
      <c r="BI130" s="108">
        <f t="shared" si="130"/>
        <v>0</v>
      </c>
      <c r="BJ130" s="108">
        <f t="shared" si="131"/>
        <v>0</v>
      </c>
    </row>
    <row r="131" spans="1:62" x14ac:dyDescent="0.2">
      <c r="A131" s="117" t="s">
        <v>102</v>
      </c>
      <c r="B131" s="117" t="s">
        <v>2842</v>
      </c>
      <c r="C131" s="304" t="s">
        <v>2841</v>
      </c>
      <c r="D131" s="305"/>
      <c r="E131" s="305"/>
      <c r="F131" s="117" t="s">
        <v>1645</v>
      </c>
      <c r="G131" s="116">
        <v>5.04</v>
      </c>
      <c r="H131" s="159"/>
      <c r="I131" s="108">
        <f t="shared" si="110"/>
        <v>0</v>
      </c>
      <c r="J131" s="108">
        <f t="shared" si="111"/>
        <v>0</v>
      </c>
      <c r="K131" s="108">
        <f t="shared" si="112"/>
        <v>0</v>
      </c>
      <c r="L131" s="111" t="s">
        <v>1671</v>
      </c>
      <c r="Z131" s="100">
        <f t="shared" si="113"/>
        <v>0</v>
      </c>
      <c r="AB131" s="100">
        <f t="shared" si="114"/>
        <v>0</v>
      </c>
      <c r="AC131" s="100">
        <f t="shared" si="115"/>
        <v>0</v>
      </c>
      <c r="AD131" s="100">
        <f t="shared" si="116"/>
        <v>0</v>
      </c>
      <c r="AE131" s="100">
        <f t="shared" si="117"/>
        <v>0</v>
      </c>
      <c r="AF131" s="100">
        <f t="shared" si="118"/>
        <v>0</v>
      </c>
      <c r="AG131" s="100">
        <f t="shared" si="119"/>
        <v>0</v>
      </c>
      <c r="AH131" s="100">
        <f t="shared" si="120"/>
        <v>0</v>
      </c>
      <c r="AI131" s="109"/>
      <c r="AJ131" s="108">
        <f t="shared" si="121"/>
        <v>0</v>
      </c>
      <c r="AK131" s="108">
        <f t="shared" si="122"/>
        <v>0</v>
      </c>
      <c r="AL131" s="108">
        <f t="shared" si="123"/>
        <v>0</v>
      </c>
      <c r="AN131" s="100">
        <v>15</v>
      </c>
      <c r="AO131" s="100">
        <f>H131*0.122082324455206</f>
        <v>0</v>
      </c>
      <c r="AP131" s="100">
        <f>H131*(1-0.122082324455206)</f>
        <v>0</v>
      </c>
      <c r="AQ131" s="111" t="s">
        <v>7</v>
      </c>
      <c r="AV131" s="100">
        <f t="shared" si="124"/>
        <v>0</v>
      </c>
      <c r="AW131" s="100">
        <f t="shared" si="125"/>
        <v>0</v>
      </c>
      <c r="AX131" s="100">
        <f t="shared" si="126"/>
        <v>0</v>
      </c>
      <c r="AY131" s="110" t="s">
        <v>1700</v>
      </c>
      <c r="AZ131" s="110" t="s">
        <v>1730</v>
      </c>
      <c r="BA131" s="109" t="s">
        <v>1737</v>
      </c>
      <c r="BC131" s="100">
        <f t="shared" si="127"/>
        <v>0</v>
      </c>
      <c r="BD131" s="100">
        <f t="shared" si="128"/>
        <v>0</v>
      </c>
      <c r="BE131" s="100">
        <v>0</v>
      </c>
      <c r="BF131" s="100">
        <f>131</f>
        <v>131</v>
      </c>
      <c r="BH131" s="108">
        <f t="shared" si="129"/>
        <v>0</v>
      </c>
      <c r="BI131" s="108">
        <f t="shared" si="130"/>
        <v>0</v>
      </c>
      <c r="BJ131" s="108">
        <f t="shared" si="131"/>
        <v>0</v>
      </c>
    </row>
    <row r="132" spans="1:62" x14ac:dyDescent="0.2">
      <c r="A132" s="117" t="s">
        <v>103</v>
      </c>
      <c r="B132" s="117" t="s">
        <v>667</v>
      </c>
      <c r="C132" s="304" t="s">
        <v>2143</v>
      </c>
      <c r="D132" s="305"/>
      <c r="E132" s="305"/>
      <c r="F132" s="117" t="s">
        <v>1644</v>
      </c>
      <c r="G132" s="116">
        <v>2</v>
      </c>
      <c r="H132" s="159"/>
      <c r="I132" s="108">
        <f t="shared" si="110"/>
        <v>0</v>
      </c>
      <c r="J132" s="108">
        <f t="shared" si="111"/>
        <v>0</v>
      </c>
      <c r="K132" s="108">
        <f t="shared" si="112"/>
        <v>0</v>
      </c>
      <c r="L132" s="111" t="s">
        <v>1671</v>
      </c>
      <c r="Z132" s="100">
        <f t="shared" si="113"/>
        <v>0</v>
      </c>
      <c r="AB132" s="100">
        <f t="shared" si="114"/>
        <v>0</v>
      </c>
      <c r="AC132" s="100">
        <f t="shared" si="115"/>
        <v>0</v>
      </c>
      <c r="AD132" s="100">
        <f t="shared" si="116"/>
        <v>0</v>
      </c>
      <c r="AE132" s="100">
        <f t="shared" si="117"/>
        <v>0</v>
      </c>
      <c r="AF132" s="100">
        <f t="shared" si="118"/>
        <v>0</v>
      </c>
      <c r="AG132" s="100">
        <f t="shared" si="119"/>
        <v>0</v>
      </c>
      <c r="AH132" s="100">
        <f t="shared" si="120"/>
        <v>0</v>
      </c>
      <c r="AI132" s="109"/>
      <c r="AJ132" s="108">
        <f t="shared" si="121"/>
        <v>0</v>
      </c>
      <c r="AK132" s="108">
        <f t="shared" si="122"/>
        <v>0</v>
      </c>
      <c r="AL132" s="108">
        <f t="shared" si="123"/>
        <v>0</v>
      </c>
      <c r="AN132" s="100">
        <v>15</v>
      </c>
      <c r="AO132" s="100">
        <f>H132*0</f>
        <v>0</v>
      </c>
      <c r="AP132" s="100">
        <f>H132*(1-0)</f>
        <v>0</v>
      </c>
      <c r="AQ132" s="111" t="s">
        <v>7</v>
      </c>
      <c r="AV132" s="100">
        <f t="shared" si="124"/>
        <v>0</v>
      </c>
      <c r="AW132" s="100">
        <f t="shared" si="125"/>
        <v>0</v>
      </c>
      <c r="AX132" s="100">
        <f t="shared" si="126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27"/>
        <v>0</v>
      </c>
      <c r="BD132" s="100">
        <f t="shared" si="128"/>
        <v>0</v>
      </c>
      <c r="BE132" s="100">
        <v>0</v>
      </c>
      <c r="BF132" s="100">
        <f>132</f>
        <v>132</v>
      </c>
      <c r="BH132" s="108">
        <f t="shared" si="129"/>
        <v>0</v>
      </c>
      <c r="BI132" s="108">
        <f t="shared" si="130"/>
        <v>0</v>
      </c>
      <c r="BJ132" s="108">
        <f t="shared" si="131"/>
        <v>0</v>
      </c>
    </row>
    <row r="133" spans="1:62" x14ac:dyDescent="0.2">
      <c r="A133" s="117" t="s">
        <v>104</v>
      </c>
      <c r="B133" s="117" t="s">
        <v>668</v>
      </c>
      <c r="C133" s="304" t="s">
        <v>1176</v>
      </c>
      <c r="D133" s="305"/>
      <c r="E133" s="305"/>
      <c r="F133" s="117" t="s">
        <v>1645</v>
      </c>
      <c r="G133" s="116">
        <v>1.56</v>
      </c>
      <c r="H133" s="159"/>
      <c r="I133" s="108">
        <f t="shared" si="110"/>
        <v>0</v>
      </c>
      <c r="J133" s="108">
        <f t="shared" si="111"/>
        <v>0</v>
      </c>
      <c r="K133" s="108">
        <f t="shared" si="112"/>
        <v>0</v>
      </c>
      <c r="L133" s="111" t="s">
        <v>1671</v>
      </c>
      <c r="Z133" s="100">
        <f t="shared" si="113"/>
        <v>0</v>
      </c>
      <c r="AB133" s="100">
        <f t="shared" si="114"/>
        <v>0</v>
      </c>
      <c r="AC133" s="100">
        <f t="shared" si="115"/>
        <v>0</v>
      </c>
      <c r="AD133" s="100">
        <f t="shared" si="116"/>
        <v>0</v>
      </c>
      <c r="AE133" s="100">
        <f t="shared" si="117"/>
        <v>0</v>
      </c>
      <c r="AF133" s="100">
        <f t="shared" si="118"/>
        <v>0</v>
      </c>
      <c r="AG133" s="100">
        <f t="shared" si="119"/>
        <v>0</v>
      </c>
      <c r="AH133" s="100">
        <f t="shared" si="120"/>
        <v>0</v>
      </c>
      <c r="AI133" s="109"/>
      <c r="AJ133" s="108">
        <f t="shared" si="121"/>
        <v>0</v>
      </c>
      <c r="AK133" s="108">
        <f t="shared" si="122"/>
        <v>0</v>
      </c>
      <c r="AL133" s="108">
        <f t="shared" si="123"/>
        <v>0</v>
      </c>
      <c r="AN133" s="100">
        <v>15</v>
      </c>
      <c r="AO133" s="100">
        <f>H133*0</f>
        <v>0</v>
      </c>
      <c r="AP133" s="100">
        <f>H133*(1-0)</f>
        <v>0</v>
      </c>
      <c r="AQ133" s="111" t="s">
        <v>7</v>
      </c>
      <c r="AV133" s="100">
        <f t="shared" si="124"/>
        <v>0</v>
      </c>
      <c r="AW133" s="100">
        <f t="shared" si="125"/>
        <v>0</v>
      </c>
      <c r="AX133" s="100">
        <f t="shared" si="126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27"/>
        <v>0</v>
      </c>
      <c r="BD133" s="100">
        <f t="shared" si="128"/>
        <v>0</v>
      </c>
      <c r="BE133" s="100">
        <v>0</v>
      </c>
      <c r="BF133" s="100">
        <f>133</f>
        <v>133</v>
      </c>
      <c r="BH133" s="108">
        <f t="shared" si="129"/>
        <v>0</v>
      </c>
      <c r="BI133" s="108">
        <f t="shared" si="130"/>
        <v>0</v>
      </c>
      <c r="BJ133" s="108">
        <f t="shared" si="131"/>
        <v>0</v>
      </c>
    </row>
    <row r="134" spans="1:62" x14ac:dyDescent="0.2">
      <c r="A134" s="119"/>
      <c r="B134" s="120" t="s">
        <v>103</v>
      </c>
      <c r="C134" s="306" t="s">
        <v>1178</v>
      </c>
      <c r="D134" s="307"/>
      <c r="E134" s="307"/>
      <c r="F134" s="119" t="s">
        <v>6</v>
      </c>
      <c r="G134" s="119" t="s">
        <v>6</v>
      </c>
      <c r="H134" s="119" t="s">
        <v>6</v>
      </c>
      <c r="I134" s="118">
        <f>SUM(I135:I152)</f>
        <v>0</v>
      </c>
      <c r="J134" s="118">
        <f>SUM(J135:J152)</f>
        <v>0</v>
      </c>
      <c r="K134" s="118">
        <f>SUM(K135:K152)</f>
        <v>0</v>
      </c>
      <c r="L134" s="109"/>
      <c r="AI134" s="109"/>
      <c r="AS134" s="118">
        <f>SUM(AJ135:AJ152)</f>
        <v>0</v>
      </c>
      <c r="AT134" s="118">
        <f>SUM(AK135:AK152)</f>
        <v>0</v>
      </c>
      <c r="AU134" s="118">
        <f>SUM(AL135:AL152)</f>
        <v>0</v>
      </c>
    </row>
    <row r="135" spans="1:62" x14ac:dyDescent="0.2">
      <c r="A135" s="117" t="s">
        <v>105</v>
      </c>
      <c r="B135" s="117" t="s">
        <v>2485</v>
      </c>
      <c r="C135" s="304" t="s">
        <v>2484</v>
      </c>
      <c r="D135" s="305"/>
      <c r="E135" s="305"/>
      <c r="F135" s="117" t="s">
        <v>1646</v>
      </c>
      <c r="G135" s="116">
        <v>0.45</v>
      </c>
      <c r="H135" s="159"/>
      <c r="I135" s="108">
        <f t="shared" ref="I135:I152" si="132">G135*AO135</f>
        <v>0</v>
      </c>
      <c r="J135" s="108">
        <f t="shared" ref="J135:J152" si="133">G135*AP135</f>
        <v>0</v>
      </c>
      <c r="K135" s="108">
        <f t="shared" ref="K135:K152" si="134">G135*H135</f>
        <v>0</v>
      </c>
      <c r="L135" s="111" t="s">
        <v>1671</v>
      </c>
      <c r="Z135" s="100">
        <f t="shared" ref="Z135:Z152" si="135">IF(AQ135="5",BJ135,0)</f>
        <v>0</v>
      </c>
      <c r="AB135" s="100">
        <f t="shared" ref="AB135:AB152" si="136">IF(AQ135="1",BH135,0)</f>
        <v>0</v>
      </c>
      <c r="AC135" s="100">
        <f t="shared" ref="AC135:AC152" si="137">IF(AQ135="1",BI135,0)</f>
        <v>0</v>
      </c>
      <c r="AD135" s="100">
        <f t="shared" ref="AD135:AD152" si="138">IF(AQ135="7",BH135,0)</f>
        <v>0</v>
      </c>
      <c r="AE135" s="100">
        <f t="shared" ref="AE135:AE152" si="139">IF(AQ135="7",BI135,0)</f>
        <v>0</v>
      </c>
      <c r="AF135" s="100">
        <f t="shared" ref="AF135:AF152" si="140">IF(AQ135="2",BH135,0)</f>
        <v>0</v>
      </c>
      <c r="AG135" s="100">
        <f t="shared" ref="AG135:AG152" si="141">IF(AQ135="2",BI135,0)</f>
        <v>0</v>
      </c>
      <c r="AH135" s="100">
        <f t="shared" ref="AH135:AH152" si="142">IF(AQ135="0",BJ135,0)</f>
        <v>0</v>
      </c>
      <c r="AI135" s="109"/>
      <c r="AJ135" s="108">
        <f t="shared" ref="AJ135:AJ152" si="143">IF(AN135=0,K135,0)</f>
        <v>0</v>
      </c>
      <c r="AK135" s="108">
        <f t="shared" ref="AK135:AK152" si="144">IF(AN135=15,K135,0)</f>
        <v>0</v>
      </c>
      <c r="AL135" s="108">
        <f t="shared" ref="AL135:AL152" si="145">IF(AN135=21,K135,0)</f>
        <v>0</v>
      </c>
      <c r="AN135" s="100">
        <v>15</v>
      </c>
      <c r="AO135" s="100">
        <f>H135*0.353294871794872</f>
        <v>0</v>
      </c>
      <c r="AP135" s="100">
        <f>H135*(1-0.353294871794872)</f>
        <v>0</v>
      </c>
      <c r="AQ135" s="111" t="s">
        <v>7</v>
      </c>
      <c r="AV135" s="100">
        <f t="shared" ref="AV135:AV152" si="146">AW135+AX135</f>
        <v>0</v>
      </c>
      <c r="AW135" s="100">
        <f t="shared" ref="AW135:AW152" si="147">G135*AO135</f>
        <v>0</v>
      </c>
      <c r="AX135" s="100">
        <f t="shared" ref="AX135:AX152" si="148">G135*AP135</f>
        <v>0</v>
      </c>
      <c r="AY135" s="110" t="s">
        <v>1701</v>
      </c>
      <c r="AZ135" s="110" t="s">
        <v>1730</v>
      </c>
      <c r="BA135" s="109" t="s">
        <v>1737</v>
      </c>
      <c r="BC135" s="100">
        <f t="shared" ref="BC135:BC152" si="149">AW135+AX135</f>
        <v>0</v>
      </c>
      <c r="BD135" s="100">
        <f t="shared" ref="BD135:BD152" si="150">H135/(100-BE135)*100</f>
        <v>0</v>
      </c>
      <c r="BE135" s="100">
        <v>0</v>
      </c>
      <c r="BF135" s="100">
        <f>135</f>
        <v>135</v>
      </c>
      <c r="BH135" s="108">
        <f t="shared" ref="BH135:BH152" si="151">G135*AO135</f>
        <v>0</v>
      </c>
      <c r="BI135" s="108">
        <f t="shared" ref="BI135:BI152" si="152">G135*AP135</f>
        <v>0</v>
      </c>
      <c r="BJ135" s="108">
        <f t="shared" ref="BJ135:BJ152" si="153">G135*H135</f>
        <v>0</v>
      </c>
    </row>
    <row r="136" spans="1:62" x14ac:dyDescent="0.2">
      <c r="A136" s="117" t="s">
        <v>106</v>
      </c>
      <c r="B136" s="117" t="s">
        <v>2483</v>
      </c>
      <c r="C136" s="304" t="s">
        <v>2482</v>
      </c>
      <c r="D136" s="305"/>
      <c r="E136" s="305"/>
      <c r="F136" s="117" t="s">
        <v>1646</v>
      </c>
      <c r="G136" s="116">
        <v>0.45</v>
      </c>
      <c r="H136" s="159"/>
      <c r="I136" s="108">
        <f t="shared" si="132"/>
        <v>0</v>
      </c>
      <c r="J136" s="108">
        <f t="shared" si="133"/>
        <v>0</v>
      </c>
      <c r="K136" s="108">
        <f t="shared" si="134"/>
        <v>0</v>
      </c>
      <c r="L136" s="111" t="s">
        <v>1671</v>
      </c>
      <c r="Z136" s="100">
        <f t="shared" si="135"/>
        <v>0</v>
      </c>
      <c r="AB136" s="100">
        <f t="shared" si="136"/>
        <v>0</v>
      </c>
      <c r="AC136" s="100">
        <f t="shared" si="137"/>
        <v>0</v>
      </c>
      <c r="AD136" s="100">
        <f t="shared" si="138"/>
        <v>0</v>
      </c>
      <c r="AE136" s="100">
        <f t="shared" si="139"/>
        <v>0</v>
      </c>
      <c r="AF136" s="100">
        <f t="shared" si="140"/>
        <v>0</v>
      </c>
      <c r="AG136" s="100">
        <f t="shared" si="141"/>
        <v>0</v>
      </c>
      <c r="AH136" s="100">
        <f t="shared" si="142"/>
        <v>0</v>
      </c>
      <c r="AI136" s="109"/>
      <c r="AJ136" s="108">
        <f t="shared" si="143"/>
        <v>0</v>
      </c>
      <c r="AK136" s="108">
        <f t="shared" si="144"/>
        <v>0</v>
      </c>
      <c r="AL136" s="108">
        <f t="shared" si="145"/>
        <v>0</v>
      </c>
      <c r="AN136" s="100">
        <v>15</v>
      </c>
      <c r="AO136" s="100">
        <f>H136*0.102532909332939</f>
        <v>0</v>
      </c>
      <c r="AP136" s="100">
        <f>H136*(1-0.102532909332939)</f>
        <v>0</v>
      </c>
      <c r="AQ136" s="111" t="s">
        <v>7</v>
      </c>
      <c r="AV136" s="100">
        <f t="shared" si="146"/>
        <v>0</v>
      </c>
      <c r="AW136" s="100">
        <f t="shared" si="147"/>
        <v>0</v>
      </c>
      <c r="AX136" s="100">
        <f t="shared" si="148"/>
        <v>0</v>
      </c>
      <c r="AY136" s="110" t="s">
        <v>1701</v>
      </c>
      <c r="AZ136" s="110" t="s">
        <v>1730</v>
      </c>
      <c r="BA136" s="109" t="s">
        <v>1737</v>
      </c>
      <c r="BC136" s="100">
        <f t="shared" si="149"/>
        <v>0</v>
      </c>
      <c r="BD136" s="100">
        <f t="shared" si="150"/>
        <v>0</v>
      </c>
      <c r="BE136" s="100">
        <v>0</v>
      </c>
      <c r="BF136" s="100">
        <f>136</f>
        <v>136</v>
      </c>
      <c r="BH136" s="108">
        <f t="shared" si="151"/>
        <v>0</v>
      </c>
      <c r="BI136" s="108">
        <f t="shared" si="152"/>
        <v>0</v>
      </c>
      <c r="BJ136" s="108">
        <f t="shared" si="153"/>
        <v>0</v>
      </c>
    </row>
    <row r="137" spans="1:62" x14ac:dyDescent="0.2">
      <c r="A137" s="117" t="s">
        <v>107</v>
      </c>
      <c r="B137" s="117" t="s">
        <v>2481</v>
      </c>
      <c r="C137" s="304" t="s">
        <v>2480</v>
      </c>
      <c r="D137" s="305"/>
      <c r="E137" s="305"/>
      <c r="F137" s="117" t="s">
        <v>1646</v>
      </c>
      <c r="G137" s="116">
        <v>0.45</v>
      </c>
      <c r="H137" s="159"/>
      <c r="I137" s="108">
        <f t="shared" si="132"/>
        <v>0</v>
      </c>
      <c r="J137" s="108">
        <f t="shared" si="133"/>
        <v>0</v>
      </c>
      <c r="K137" s="108">
        <f t="shared" si="134"/>
        <v>0</v>
      </c>
      <c r="L137" s="111" t="s">
        <v>1671</v>
      </c>
      <c r="Z137" s="100">
        <f t="shared" si="135"/>
        <v>0</v>
      </c>
      <c r="AB137" s="100">
        <f t="shared" si="136"/>
        <v>0</v>
      </c>
      <c r="AC137" s="100">
        <f t="shared" si="137"/>
        <v>0</v>
      </c>
      <c r="AD137" s="100">
        <f t="shared" si="138"/>
        <v>0</v>
      </c>
      <c r="AE137" s="100">
        <f t="shared" si="139"/>
        <v>0</v>
      </c>
      <c r="AF137" s="100">
        <f t="shared" si="140"/>
        <v>0</v>
      </c>
      <c r="AG137" s="100">
        <f t="shared" si="141"/>
        <v>0</v>
      </c>
      <c r="AH137" s="100">
        <f t="shared" si="142"/>
        <v>0</v>
      </c>
      <c r="AI137" s="109"/>
      <c r="AJ137" s="108">
        <f t="shared" si="143"/>
        <v>0</v>
      </c>
      <c r="AK137" s="108">
        <f t="shared" si="144"/>
        <v>0</v>
      </c>
      <c r="AL137" s="108">
        <f t="shared" si="145"/>
        <v>0</v>
      </c>
      <c r="AN137" s="100">
        <v>15</v>
      </c>
      <c r="AO137" s="100">
        <f>H137*0.269681908548708</f>
        <v>0</v>
      </c>
      <c r="AP137" s="100">
        <f>H137*(1-0.269681908548708)</f>
        <v>0</v>
      </c>
      <c r="AQ137" s="111" t="s">
        <v>7</v>
      </c>
      <c r="AV137" s="100">
        <f t="shared" si="146"/>
        <v>0</v>
      </c>
      <c r="AW137" s="100">
        <f t="shared" si="147"/>
        <v>0</v>
      </c>
      <c r="AX137" s="100">
        <f t="shared" si="148"/>
        <v>0</v>
      </c>
      <c r="AY137" s="110" t="s">
        <v>1701</v>
      </c>
      <c r="AZ137" s="110" t="s">
        <v>1730</v>
      </c>
      <c r="BA137" s="109" t="s">
        <v>1737</v>
      </c>
      <c r="BC137" s="100">
        <f t="shared" si="149"/>
        <v>0</v>
      </c>
      <c r="BD137" s="100">
        <f t="shared" si="150"/>
        <v>0</v>
      </c>
      <c r="BE137" s="100">
        <v>0</v>
      </c>
      <c r="BF137" s="100">
        <f>137</f>
        <v>137</v>
      </c>
      <c r="BH137" s="108">
        <f t="shared" si="151"/>
        <v>0</v>
      </c>
      <c r="BI137" s="108">
        <f t="shared" si="152"/>
        <v>0</v>
      </c>
      <c r="BJ137" s="108">
        <f t="shared" si="153"/>
        <v>0</v>
      </c>
    </row>
    <row r="138" spans="1:62" x14ac:dyDescent="0.2">
      <c r="A138" s="117" t="s">
        <v>108</v>
      </c>
      <c r="B138" s="117" t="s">
        <v>670</v>
      </c>
      <c r="C138" s="304" t="s">
        <v>1179</v>
      </c>
      <c r="D138" s="305"/>
      <c r="E138" s="305"/>
      <c r="F138" s="117" t="s">
        <v>1646</v>
      </c>
      <c r="G138" s="116">
        <v>0.9</v>
      </c>
      <c r="H138" s="159"/>
      <c r="I138" s="108">
        <f t="shared" si="132"/>
        <v>0</v>
      </c>
      <c r="J138" s="108">
        <f t="shared" si="133"/>
        <v>0</v>
      </c>
      <c r="K138" s="108">
        <f t="shared" si="134"/>
        <v>0</v>
      </c>
      <c r="L138" s="111" t="s">
        <v>1671</v>
      </c>
      <c r="Z138" s="100">
        <f t="shared" si="135"/>
        <v>0</v>
      </c>
      <c r="AB138" s="100">
        <f t="shared" si="136"/>
        <v>0</v>
      </c>
      <c r="AC138" s="100">
        <f t="shared" si="137"/>
        <v>0</v>
      </c>
      <c r="AD138" s="100">
        <f t="shared" si="138"/>
        <v>0</v>
      </c>
      <c r="AE138" s="100">
        <f t="shared" si="139"/>
        <v>0</v>
      </c>
      <c r="AF138" s="100">
        <f t="shared" si="140"/>
        <v>0</v>
      </c>
      <c r="AG138" s="100">
        <f t="shared" si="141"/>
        <v>0</v>
      </c>
      <c r="AH138" s="100">
        <f t="shared" si="142"/>
        <v>0</v>
      </c>
      <c r="AI138" s="109"/>
      <c r="AJ138" s="108">
        <f t="shared" si="143"/>
        <v>0</v>
      </c>
      <c r="AK138" s="108">
        <f t="shared" si="144"/>
        <v>0</v>
      </c>
      <c r="AL138" s="108">
        <f t="shared" si="145"/>
        <v>0</v>
      </c>
      <c r="AN138" s="100">
        <v>15</v>
      </c>
      <c r="AO138" s="100">
        <f>H138*0.317346200241255</f>
        <v>0</v>
      </c>
      <c r="AP138" s="100">
        <f>H138*(1-0.317346200241255)</f>
        <v>0</v>
      </c>
      <c r="AQ138" s="111" t="s">
        <v>7</v>
      </c>
      <c r="AV138" s="100">
        <f t="shared" si="146"/>
        <v>0</v>
      </c>
      <c r="AW138" s="100">
        <f t="shared" si="147"/>
        <v>0</v>
      </c>
      <c r="AX138" s="100">
        <f t="shared" si="148"/>
        <v>0</v>
      </c>
      <c r="AY138" s="110" t="s">
        <v>1701</v>
      </c>
      <c r="AZ138" s="110" t="s">
        <v>1730</v>
      </c>
      <c r="BA138" s="109" t="s">
        <v>1737</v>
      </c>
      <c r="BC138" s="100">
        <f t="shared" si="149"/>
        <v>0</v>
      </c>
      <c r="BD138" s="100">
        <f t="shared" si="150"/>
        <v>0</v>
      </c>
      <c r="BE138" s="100">
        <v>0</v>
      </c>
      <c r="BF138" s="100">
        <f>138</f>
        <v>138</v>
      </c>
      <c r="BH138" s="108">
        <f t="shared" si="151"/>
        <v>0</v>
      </c>
      <c r="BI138" s="108">
        <f t="shared" si="152"/>
        <v>0</v>
      </c>
      <c r="BJ138" s="108">
        <f t="shared" si="153"/>
        <v>0</v>
      </c>
    </row>
    <row r="139" spans="1:62" x14ac:dyDescent="0.2">
      <c r="A139" s="117" t="s">
        <v>109</v>
      </c>
      <c r="B139" s="117" t="s">
        <v>671</v>
      </c>
      <c r="C139" s="304" t="s">
        <v>1180</v>
      </c>
      <c r="D139" s="305"/>
      <c r="E139" s="305"/>
      <c r="F139" s="117" t="s">
        <v>1646</v>
      </c>
      <c r="G139" s="116">
        <v>0.9</v>
      </c>
      <c r="H139" s="159"/>
      <c r="I139" s="108">
        <f t="shared" si="132"/>
        <v>0</v>
      </c>
      <c r="J139" s="108">
        <f t="shared" si="133"/>
        <v>0</v>
      </c>
      <c r="K139" s="108">
        <f t="shared" si="134"/>
        <v>0</v>
      </c>
      <c r="L139" s="111" t="s">
        <v>1671</v>
      </c>
      <c r="Z139" s="100">
        <f t="shared" si="135"/>
        <v>0</v>
      </c>
      <c r="AB139" s="100">
        <f t="shared" si="136"/>
        <v>0</v>
      </c>
      <c r="AC139" s="100">
        <f t="shared" si="137"/>
        <v>0</v>
      </c>
      <c r="AD139" s="100">
        <f t="shared" si="138"/>
        <v>0</v>
      </c>
      <c r="AE139" s="100">
        <f t="shared" si="139"/>
        <v>0</v>
      </c>
      <c r="AF139" s="100">
        <f t="shared" si="140"/>
        <v>0</v>
      </c>
      <c r="AG139" s="100">
        <f t="shared" si="141"/>
        <v>0</v>
      </c>
      <c r="AH139" s="100">
        <f t="shared" si="142"/>
        <v>0</v>
      </c>
      <c r="AI139" s="109"/>
      <c r="AJ139" s="108">
        <f t="shared" si="143"/>
        <v>0</v>
      </c>
      <c r="AK139" s="108">
        <f t="shared" si="144"/>
        <v>0</v>
      </c>
      <c r="AL139" s="108">
        <f t="shared" si="145"/>
        <v>0</v>
      </c>
      <c r="AN139" s="100">
        <v>15</v>
      </c>
      <c r="AO139" s="100">
        <f>H139*0.0581320754716981</f>
        <v>0</v>
      </c>
      <c r="AP139" s="100">
        <f>H139*(1-0.0581320754716981)</f>
        <v>0</v>
      </c>
      <c r="AQ139" s="111" t="s">
        <v>7</v>
      </c>
      <c r="AV139" s="100">
        <f t="shared" si="146"/>
        <v>0</v>
      </c>
      <c r="AW139" s="100">
        <f t="shared" si="147"/>
        <v>0</v>
      </c>
      <c r="AX139" s="100">
        <f t="shared" si="148"/>
        <v>0</v>
      </c>
      <c r="AY139" s="110" t="s">
        <v>1701</v>
      </c>
      <c r="AZ139" s="110" t="s">
        <v>1730</v>
      </c>
      <c r="BA139" s="109" t="s">
        <v>1737</v>
      </c>
      <c r="BC139" s="100">
        <f t="shared" si="149"/>
        <v>0</v>
      </c>
      <c r="BD139" s="100">
        <f t="shared" si="150"/>
        <v>0</v>
      </c>
      <c r="BE139" s="100">
        <v>0</v>
      </c>
      <c r="BF139" s="100">
        <f>139</f>
        <v>139</v>
      </c>
      <c r="BH139" s="108">
        <f t="shared" si="151"/>
        <v>0</v>
      </c>
      <c r="BI139" s="108">
        <f t="shared" si="152"/>
        <v>0</v>
      </c>
      <c r="BJ139" s="108">
        <f t="shared" si="153"/>
        <v>0</v>
      </c>
    </row>
    <row r="140" spans="1:62" x14ac:dyDescent="0.2">
      <c r="A140" s="117" t="s">
        <v>110</v>
      </c>
      <c r="B140" s="117" t="s">
        <v>672</v>
      </c>
      <c r="C140" s="304" t="s">
        <v>1181</v>
      </c>
      <c r="D140" s="305"/>
      <c r="E140" s="305"/>
      <c r="F140" s="117" t="s">
        <v>1646</v>
      </c>
      <c r="G140" s="116">
        <v>0.9</v>
      </c>
      <c r="H140" s="159"/>
      <c r="I140" s="108">
        <f t="shared" si="132"/>
        <v>0</v>
      </c>
      <c r="J140" s="108">
        <f t="shared" si="133"/>
        <v>0</v>
      </c>
      <c r="K140" s="108">
        <f t="shared" si="134"/>
        <v>0</v>
      </c>
      <c r="L140" s="111" t="s">
        <v>1671</v>
      </c>
      <c r="Z140" s="100">
        <f t="shared" si="135"/>
        <v>0</v>
      </c>
      <c r="AB140" s="100">
        <f t="shared" si="136"/>
        <v>0</v>
      </c>
      <c r="AC140" s="100">
        <f t="shared" si="137"/>
        <v>0</v>
      </c>
      <c r="AD140" s="100">
        <f t="shared" si="138"/>
        <v>0</v>
      </c>
      <c r="AE140" s="100">
        <f t="shared" si="139"/>
        <v>0</v>
      </c>
      <c r="AF140" s="100">
        <f t="shared" si="140"/>
        <v>0</v>
      </c>
      <c r="AG140" s="100">
        <f t="shared" si="141"/>
        <v>0</v>
      </c>
      <c r="AH140" s="100">
        <f t="shared" si="142"/>
        <v>0</v>
      </c>
      <c r="AI140" s="109"/>
      <c r="AJ140" s="108">
        <f t="shared" si="143"/>
        <v>0</v>
      </c>
      <c r="AK140" s="108">
        <f t="shared" si="144"/>
        <v>0</v>
      </c>
      <c r="AL140" s="108">
        <f t="shared" si="145"/>
        <v>0</v>
      </c>
      <c r="AN140" s="100">
        <v>15</v>
      </c>
      <c r="AO140" s="100">
        <f>H140*0.26691503456599</f>
        <v>0</v>
      </c>
      <c r="AP140" s="100">
        <f>H140*(1-0.26691503456599)</f>
        <v>0</v>
      </c>
      <c r="AQ140" s="111" t="s">
        <v>7</v>
      </c>
      <c r="AV140" s="100">
        <f t="shared" si="146"/>
        <v>0</v>
      </c>
      <c r="AW140" s="100">
        <f t="shared" si="147"/>
        <v>0</v>
      </c>
      <c r="AX140" s="100">
        <f t="shared" si="148"/>
        <v>0</v>
      </c>
      <c r="AY140" s="110" t="s">
        <v>1701</v>
      </c>
      <c r="AZ140" s="110" t="s">
        <v>1730</v>
      </c>
      <c r="BA140" s="109" t="s">
        <v>1737</v>
      </c>
      <c r="BC140" s="100">
        <f t="shared" si="149"/>
        <v>0</v>
      </c>
      <c r="BD140" s="100">
        <f t="shared" si="150"/>
        <v>0</v>
      </c>
      <c r="BE140" s="100">
        <v>0</v>
      </c>
      <c r="BF140" s="100">
        <f>140</f>
        <v>140</v>
      </c>
      <c r="BH140" s="108">
        <f t="shared" si="151"/>
        <v>0</v>
      </c>
      <c r="BI140" s="108">
        <f t="shared" si="152"/>
        <v>0</v>
      </c>
      <c r="BJ140" s="108">
        <f t="shared" si="153"/>
        <v>0</v>
      </c>
    </row>
    <row r="141" spans="1:62" x14ac:dyDescent="0.2">
      <c r="A141" s="117" t="s">
        <v>111</v>
      </c>
      <c r="B141" s="117" t="s">
        <v>2479</v>
      </c>
      <c r="C141" s="304" t="s">
        <v>2478</v>
      </c>
      <c r="D141" s="305"/>
      <c r="E141" s="305"/>
      <c r="F141" s="117" t="s">
        <v>1646</v>
      </c>
      <c r="G141" s="116">
        <v>0.45</v>
      </c>
      <c r="H141" s="159"/>
      <c r="I141" s="108">
        <f t="shared" si="132"/>
        <v>0</v>
      </c>
      <c r="J141" s="108">
        <f t="shared" si="133"/>
        <v>0</v>
      </c>
      <c r="K141" s="108">
        <f t="shared" si="134"/>
        <v>0</v>
      </c>
      <c r="L141" s="111" t="s">
        <v>1671</v>
      </c>
      <c r="Z141" s="100">
        <f t="shared" si="135"/>
        <v>0</v>
      </c>
      <c r="AB141" s="100">
        <f t="shared" si="136"/>
        <v>0</v>
      </c>
      <c r="AC141" s="100">
        <f t="shared" si="137"/>
        <v>0</v>
      </c>
      <c r="AD141" s="100">
        <f t="shared" si="138"/>
        <v>0</v>
      </c>
      <c r="AE141" s="100">
        <f t="shared" si="139"/>
        <v>0</v>
      </c>
      <c r="AF141" s="100">
        <f t="shared" si="140"/>
        <v>0</v>
      </c>
      <c r="AG141" s="100">
        <f t="shared" si="141"/>
        <v>0</v>
      </c>
      <c r="AH141" s="100">
        <f t="shared" si="142"/>
        <v>0</v>
      </c>
      <c r="AI141" s="109"/>
      <c r="AJ141" s="108">
        <f t="shared" si="143"/>
        <v>0</v>
      </c>
      <c r="AK141" s="108">
        <f t="shared" si="144"/>
        <v>0</v>
      </c>
      <c r="AL141" s="108">
        <f t="shared" si="145"/>
        <v>0</v>
      </c>
      <c r="AN141" s="100">
        <v>15</v>
      </c>
      <c r="AO141" s="100">
        <f>H141*0.328942398489141</f>
        <v>0</v>
      </c>
      <c r="AP141" s="100">
        <f>H141*(1-0.328942398489141)</f>
        <v>0</v>
      </c>
      <c r="AQ141" s="111" t="s">
        <v>7</v>
      </c>
      <c r="AV141" s="100">
        <f t="shared" si="146"/>
        <v>0</v>
      </c>
      <c r="AW141" s="100">
        <f t="shared" si="147"/>
        <v>0</v>
      </c>
      <c r="AX141" s="100">
        <f t="shared" si="148"/>
        <v>0</v>
      </c>
      <c r="AY141" s="110" t="s">
        <v>1701</v>
      </c>
      <c r="AZ141" s="110" t="s">
        <v>1730</v>
      </c>
      <c r="BA141" s="109" t="s">
        <v>1737</v>
      </c>
      <c r="BC141" s="100">
        <f t="shared" si="149"/>
        <v>0</v>
      </c>
      <c r="BD141" s="100">
        <f t="shared" si="150"/>
        <v>0</v>
      </c>
      <c r="BE141" s="100">
        <v>0</v>
      </c>
      <c r="BF141" s="100">
        <f>141</f>
        <v>141</v>
      </c>
      <c r="BH141" s="108">
        <f t="shared" si="151"/>
        <v>0</v>
      </c>
      <c r="BI141" s="108">
        <f t="shared" si="152"/>
        <v>0</v>
      </c>
      <c r="BJ141" s="108">
        <f t="shared" si="153"/>
        <v>0</v>
      </c>
    </row>
    <row r="142" spans="1:62" x14ac:dyDescent="0.2">
      <c r="A142" s="117" t="s">
        <v>112</v>
      </c>
      <c r="B142" s="117" t="s">
        <v>2477</v>
      </c>
      <c r="C142" s="304" t="s">
        <v>2476</v>
      </c>
      <c r="D142" s="305"/>
      <c r="E142" s="305"/>
      <c r="F142" s="117" t="s">
        <v>1646</v>
      </c>
      <c r="G142" s="116">
        <v>0.45</v>
      </c>
      <c r="H142" s="159"/>
      <c r="I142" s="108">
        <f t="shared" si="132"/>
        <v>0</v>
      </c>
      <c r="J142" s="108">
        <f t="shared" si="133"/>
        <v>0</v>
      </c>
      <c r="K142" s="108">
        <f t="shared" si="134"/>
        <v>0</v>
      </c>
      <c r="L142" s="111" t="s">
        <v>1671</v>
      </c>
      <c r="Z142" s="100">
        <f t="shared" si="135"/>
        <v>0</v>
      </c>
      <c r="AB142" s="100">
        <f t="shared" si="136"/>
        <v>0</v>
      </c>
      <c r="AC142" s="100">
        <f t="shared" si="137"/>
        <v>0</v>
      </c>
      <c r="AD142" s="100">
        <f t="shared" si="138"/>
        <v>0</v>
      </c>
      <c r="AE142" s="100">
        <f t="shared" si="139"/>
        <v>0</v>
      </c>
      <c r="AF142" s="100">
        <f t="shared" si="140"/>
        <v>0</v>
      </c>
      <c r="AG142" s="100">
        <f t="shared" si="141"/>
        <v>0</v>
      </c>
      <c r="AH142" s="100">
        <f t="shared" si="142"/>
        <v>0</v>
      </c>
      <c r="AI142" s="109"/>
      <c r="AJ142" s="108">
        <f t="shared" si="143"/>
        <v>0</v>
      </c>
      <c r="AK142" s="108">
        <f t="shared" si="144"/>
        <v>0</v>
      </c>
      <c r="AL142" s="108">
        <f t="shared" si="145"/>
        <v>0</v>
      </c>
      <c r="AN142" s="100">
        <v>15</v>
      </c>
      <c r="AO142" s="100">
        <f>H142*0.207794117647059</f>
        <v>0</v>
      </c>
      <c r="AP142" s="100">
        <f>H142*(1-0.207794117647059)</f>
        <v>0</v>
      </c>
      <c r="AQ142" s="111" t="s">
        <v>7</v>
      </c>
      <c r="AV142" s="100">
        <f t="shared" si="146"/>
        <v>0</v>
      </c>
      <c r="AW142" s="100">
        <f t="shared" si="147"/>
        <v>0</v>
      </c>
      <c r="AX142" s="100">
        <f t="shared" si="148"/>
        <v>0</v>
      </c>
      <c r="AY142" s="110" t="s">
        <v>1701</v>
      </c>
      <c r="AZ142" s="110" t="s">
        <v>1730</v>
      </c>
      <c r="BA142" s="109" t="s">
        <v>1737</v>
      </c>
      <c r="BC142" s="100">
        <f t="shared" si="149"/>
        <v>0</v>
      </c>
      <c r="BD142" s="100">
        <f t="shared" si="150"/>
        <v>0</v>
      </c>
      <c r="BE142" s="100">
        <v>0</v>
      </c>
      <c r="BF142" s="100">
        <f>142</f>
        <v>142</v>
      </c>
      <c r="BH142" s="108">
        <f t="shared" si="151"/>
        <v>0</v>
      </c>
      <c r="BI142" s="108">
        <f t="shared" si="152"/>
        <v>0</v>
      </c>
      <c r="BJ142" s="108">
        <f t="shared" si="153"/>
        <v>0</v>
      </c>
    </row>
    <row r="143" spans="1:62" x14ac:dyDescent="0.2">
      <c r="A143" s="117" t="s">
        <v>113</v>
      </c>
      <c r="B143" s="117" t="s">
        <v>673</v>
      </c>
      <c r="C143" s="304" t="s">
        <v>1182</v>
      </c>
      <c r="D143" s="305"/>
      <c r="E143" s="305"/>
      <c r="F143" s="117" t="s">
        <v>1644</v>
      </c>
      <c r="G143" s="116">
        <v>8</v>
      </c>
      <c r="H143" s="159"/>
      <c r="I143" s="108">
        <f t="shared" si="132"/>
        <v>0</v>
      </c>
      <c r="J143" s="108">
        <f t="shared" si="133"/>
        <v>0</v>
      </c>
      <c r="K143" s="108">
        <f t="shared" si="134"/>
        <v>0</v>
      </c>
      <c r="L143" s="111" t="s">
        <v>1671</v>
      </c>
      <c r="Z143" s="100">
        <f t="shared" si="135"/>
        <v>0</v>
      </c>
      <c r="AB143" s="100">
        <f t="shared" si="136"/>
        <v>0</v>
      </c>
      <c r="AC143" s="100">
        <f t="shared" si="137"/>
        <v>0</v>
      </c>
      <c r="AD143" s="100">
        <f t="shared" si="138"/>
        <v>0</v>
      </c>
      <c r="AE143" s="100">
        <f t="shared" si="139"/>
        <v>0</v>
      </c>
      <c r="AF143" s="100">
        <f t="shared" si="140"/>
        <v>0</v>
      </c>
      <c r="AG143" s="100">
        <f t="shared" si="141"/>
        <v>0</v>
      </c>
      <c r="AH143" s="100">
        <f t="shared" si="142"/>
        <v>0</v>
      </c>
      <c r="AI143" s="109"/>
      <c r="AJ143" s="108">
        <f t="shared" si="143"/>
        <v>0</v>
      </c>
      <c r="AK143" s="108">
        <f t="shared" si="144"/>
        <v>0</v>
      </c>
      <c r="AL143" s="108">
        <f t="shared" si="145"/>
        <v>0</v>
      </c>
      <c r="AN143" s="100">
        <v>15</v>
      </c>
      <c r="AO143" s="100">
        <f>H143*0.0466942148760331</f>
        <v>0</v>
      </c>
      <c r="AP143" s="100">
        <f>H143*(1-0.0466942148760331)</f>
        <v>0</v>
      </c>
      <c r="AQ143" s="111" t="s">
        <v>7</v>
      </c>
      <c r="AV143" s="100">
        <f t="shared" si="146"/>
        <v>0</v>
      </c>
      <c r="AW143" s="100">
        <f t="shared" si="147"/>
        <v>0</v>
      </c>
      <c r="AX143" s="100">
        <f t="shared" si="148"/>
        <v>0</v>
      </c>
      <c r="AY143" s="110" t="s">
        <v>1701</v>
      </c>
      <c r="AZ143" s="110" t="s">
        <v>1730</v>
      </c>
      <c r="BA143" s="109" t="s">
        <v>1737</v>
      </c>
      <c r="BC143" s="100">
        <f t="shared" si="149"/>
        <v>0</v>
      </c>
      <c r="BD143" s="100">
        <f t="shared" si="150"/>
        <v>0</v>
      </c>
      <c r="BE143" s="100">
        <v>0</v>
      </c>
      <c r="BF143" s="100">
        <f>143</f>
        <v>143</v>
      </c>
      <c r="BH143" s="108">
        <f t="shared" si="151"/>
        <v>0</v>
      </c>
      <c r="BI143" s="108">
        <f t="shared" si="152"/>
        <v>0</v>
      </c>
      <c r="BJ143" s="108">
        <f t="shared" si="153"/>
        <v>0</v>
      </c>
    </row>
    <row r="144" spans="1:62" x14ac:dyDescent="0.2">
      <c r="A144" s="117" t="s">
        <v>114</v>
      </c>
      <c r="B144" s="117" t="s">
        <v>676</v>
      </c>
      <c r="C144" s="304" t="s">
        <v>1185</v>
      </c>
      <c r="D144" s="305"/>
      <c r="E144" s="305"/>
      <c r="F144" s="117" t="s">
        <v>1645</v>
      </c>
      <c r="G144" s="116">
        <v>265.774</v>
      </c>
      <c r="H144" s="159"/>
      <c r="I144" s="108">
        <f t="shared" si="132"/>
        <v>0</v>
      </c>
      <c r="J144" s="108">
        <f t="shared" si="133"/>
        <v>0</v>
      </c>
      <c r="K144" s="108">
        <f t="shared" si="134"/>
        <v>0</v>
      </c>
      <c r="L144" s="111" t="s">
        <v>1671</v>
      </c>
      <c r="Z144" s="100">
        <f t="shared" si="135"/>
        <v>0</v>
      </c>
      <c r="AB144" s="100">
        <f t="shared" si="136"/>
        <v>0</v>
      </c>
      <c r="AC144" s="100">
        <f t="shared" si="137"/>
        <v>0</v>
      </c>
      <c r="AD144" s="100">
        <f t="shared" si="138"/>
        <v>0</v>
      </c>
      <c r="AE144" s="100">
        <f t="shared" si="139"/>
        <v>0</v>
      </c>
      <c r="AF144" s="100">
        <f t="shared" si="140"/>
        <v>0</v>
      </c>
      <c r="AG144" s="100">
        <f t="shared" si="141"/>
        <v>0</v>
      </c>
      <c r="AH144" s="100">
        <f t="shared" si="142"/>
        <v>0</v>
      </c>
      <c r="AI144" s="109"/>
      <c r="AJ144" s="108">
        <f t="shared" si="143"/>
        <v>0</v>
      </c>
      <c r="AK144" s="108">
        <f t="shared" si="144"/>
        <v>0</v>
      </c>
      <c r="AL144" s="108">
        <f t="shared" si="145"/>
        <v>0</v>
      </c>
      <c r="AN144" s="100">
        <v>15</v>
      </c>
      <c r="AO144" s="100">
        <f t="shared" ref="AO144:AO152" si="154">H144*0</f>
        <v>0</v>
      </c>
      <c r="AP144" s="100">
        <f t="shared" ref="AP144:AP152" si="155">H144*(1-0)</f>
        <v>0</v>
      </c>
      <c r="AQ144" s="111" t="s">
        <v>7</v>
      </c>
      <c r="AV144" s="100">
        <f t="shared" si="146"/>
        <v>0</v>
      </c>
      <c r="AW144" s="100">
        <f t="shared" si="147"/>
        <v>0</v>
      </c>
      <c r="AX144" s="100">
        <f t="shared" si="148"/>
        <v>0</v>
      </c>
      <c r="AY144" s="110" t="s">
        <v>1701</v>
      </c>
      <c r="AZ144" s="110" t="s">
        <v>1730</v>
      </c>
      <c r="BA144" s="109" t="s">
        <v>1737</v>
      </c>
      <c r="BC144" s="100">
        <f t="shared" si="149"/>
        <v>0</v>
      </c>
      <c r="BD144" s="100">
        <f t="shared" si="150"/>
        <v>0</v>
      </c>
      <c r="BE144" s="100">
        <v>0</v>
      </c>
      <c r="BF144" s="100">
        <f>144</f>
        <v>144</v>
      </c>
      <c r="BH144" s="108">
        <f t="shared" si="151"/>
        <v>0</v>
      </c>
      <c r="BI144" s="108">
        <f t="shared" si="152"/>
        <v>0</v>
      </c>
      <c r="BJ144" s="108">
        <f t="shared" si="153"/>
        <v>0</v>
      </c>
    </row>
    <row r="145" spans="1:62" x14ac:dyDescent="0.2">
      <c r="A145" s="117" t="s">
        <v>115</v>
      </c>
      <c r="B145" s="117" t="s">
        <v>677</v>
      </c>
      <c r="C145" s="304" t="s">
        <v>3175</v>
      </c>
      <c r="D145" s="305"/>
      <c r="E145" s="305"/>
      <c r="F145" s="117" t="s">
        <v>1645</v>
      </c>
      <c r="G145" s="116">
        <v>32.003</v>
      </c>
      <c r="H145" s="159"/>
      <c r="I145" s="108">
        <f t="shared" si="132"/>
        <v>0</v>
      </c>
      <c r="J145" s="108">
        <f t="shared" si="133"/>
        <v>0</v>
      </c>
      <c r="K145" s="108">
        <f t="shared" si="134"/>
        <v>0</v>
      </c>
      <c r="L145" s="111" t="s">
        <v>1671</v>
      </c>
      <c r="Z145" s="100">
        <f t="shared" si="135"/>
        <v>0</v>
      </c>
      <c r="AB145" s="100">
        <f t="shared" si="136"/>
        <v>0</v>
      </c>
      <c r="AC145" s="100">
        <f t="shared" si="137"/>
        <v>0</v>
      </c>
      <c r="AD145" s="100">
        <f t="shared" si="138"/>
        <v>0</v>
      </c>
      <c r="AE145" s="100">
        <f t="shared" si="139"/>
        <v>0</v>
      </c>
      <c r="AF145" s="100">
        <f t="shared" si="140"/>
        <v>0</v>
      </c>
      <c r="AG145" s="100">
        <f t="shared" si="141"/>
        <v>0</v>
      </c>
      <c r="AH145" s="100">
        <f t="shared" si="142"/>
        <v>0</v>
      </c>
      <c r="AI145" s="109"/>
      <c r="AJ145" s="108">
        <f t="shared" si="143"/>
        <v>0</v>
      </c>
      <c r="AK145" s="108">
        <f t="shared" si="144"/>
        <v>0</v>
      </c>
      <c r="AL145" s="108">
        <f t="shared" si="145"/>
        <v>0</v>
      </c>
      <c r="AN145" s="100">
        <v>15</v>
      </c>
      <c r="AO145" s="100">
        <f t="shared" si="154"/>
        <v>0</v>
      </c>
      <c r="AP145" s="100">
        <f t="shared" si="155"/>
        <v>0</v>
      </c>
      <c r="AQ145" s="111" t="s">
        <v>7</v>
      </c>
      <c r="AV145" s="100">
        <f t="shared" si="146"/>
        <v>0</v>
      </c>
      <c r="AW145" s="100">
        <f t="shared" si="147"/>
        <v>0</v>
      </c>
      <c r="AX145" s="100">
        <f t="shared" si="148"/>
        <v>0</v>
      </c>
      <c r="AY145" s="110" t="s">
        <v>1701</v>
      </c>
      <c r="AZ145" s="110" t="s">
        <v>1730</v>
      </c>
      <c r="BA145" s="109" t="s">
        <v>1737</v>
      </c>
      <c r="BC145" s="100">
        <f t="shared" si="149"/>
        <v>0</v>
      </c>
      <c r="BD145" s="100">
        <f t="shared" si="150"/>
        <v>0</v>
      </c>
      <c r="BE145" s="100">
        <v>0</v>
      </c>
      <c r="BF145" s="100">
        <f>145</f>
        <v>145</v>
      </c>
      <c r="BH145" s="108">
        <f t="shared" si="151"/>
        <v>0</v>
      </c>
      <c r="BI145" s="108">
        <f t="shared" si="152"/>
        <v>0</v>
      </c>
      <c r="BJ145" s="108">
        <f t="shared" si="153"/>
        <v>0</v>
      </c>
    </row>
    <row r="146" spans="1:62" x14ac:dyDescent="0.2">
      <c r="A146" s="117" t="s">
        <v>116</v>
      </c>
      <c r="B146" s="117" t="s">
        <v>678</v>
      </c>
      <c r="C146" s="304" t="s">
        <v>3174</v>
      </c>
      <c r="D146" s="305"/>
      <c r="E146" s="305"/>
      <c r="F146" s="117" t="s">
        <v>1645</v>
      </c>
      <c r="G146" s="116">
        <v>47.027000000000001</v>
      </c>
      <c r="H146" s="159"/>
      <c r="I146" s="108">
        <f t="shared" si="132"/>
        <v>0</v>
      </c>
      <c r="J146" s="108">
        <f t="shared" si="133"/>
        <v>0</v>
      </c>
      <c r="K146" s="108">
        <f t="shared" si="134"/>
        <v>0</v>
      </c>
      <c r="L146" s="111" t="s">
        <v>1671</v>
      </c>
      <c r="Z146" s="100">
        <f t="shared" si="135"/>
        <v>0</v>
      </c>
      <c r="AB146" s="100">
        <f t="shared" si="136"/>
        <v>0</v>
      </c>
      <c r="AC146" s="100">
        <f t="shared" si="137"/>
        <v>0</v>
      </c>
      <c r="AD146" s="100">
        <f t="shared" si="138"/>
        <v>0</v>
      </c>
      <c r="AE146" s="100">
        <f t="shared" si="139"/>
        <v>0</v>
      </c>
      <c r="AF146" s="100">
        <f t="shared" si="140"/>
        <v>0</v>
      </c>
      <c r="AG146" s="100">
        <f t="shared" si="141"/>
        <v>0</v>
      </c>
      <c r="AH146" s="100">
        <f t="shared" si="142"/>
        <v>0</v>
      </c>
      <c r="AI146" s="109"/>
      <c r="AJ146" s="108">
        <f t="shared" si="143"/>
        <v>0</v>
      </c>
      <c r="AK146" s="108">
        <f t="shared" si="144"/>
        <v>0</v>
      </c>
      <c r="AL146" s="108">
        <f t="shared" si="145"/>
        <v>0</v>
      </c>
      <c r="AN146" s="100">
        <v>15</v>
      </c>
      <c r="AO146" s="100">
        <f t="shared" si="154"/>
        <v>0</v>
      </c>
      <c r="AP146" s="100">
        <f t="shared" si="155"/>
        <v>0</v>
      </c>
      <c r="AQ146" s="111" t="s">
        <v>7</v>
      </c>
      <c r="AV146" s="100">
        <f t="shared" si="146"/>
        <v>0</v>
      </c>
      <c r="AW146" s="100">
        <f t="shared" si="147"/>
        <v>0</v>
      </c>
      <c r="AX146" s="100">
        <f t="shared" si="148"/>
        <v>0</v>
      </c>
      <c r="AY146" s="110" t="s">
        <v>1701</v>
      </c>
      <c r="AZ146" s="110" t="s">
        <v>1730</v>
      </c>
      <c r="BA146" s="109" t="s">
        <v>1737</v>
      </c>
      <c r="BC146" s="100">
        <f t="shared" si="149"/>
        <v>0</v>
      </c>
      <c r="BD146" s="100">
        <f t="shared" si="150"/>
        <v>0</v>
      </c>
      <c r="BE146" s="100">
        <v>0</v>
      </c>
      <c r="BF146" s="100">
        <f>146</f>
        <v>146</v>
      </c>
      <c r="BH146" s="108">
        <f t="shared" si="151"/>
        <v>0</v>
      </c>
      <c r="BI146" s="108">
        <f t="shared" si="152"/>
        <v>0</v>
      </c>
      <c r="BJ146" s="108">
        <f t="shared" si="153"/>
        <v>0</v>
      </c>
    </row>
    <row r="147" spans="1:62" x14ac:dyDescent="0.2">
      <c r="A147" s="117" t="s">
        <v>117</v>
      </c>
      <c r="B147" s="117" t="s">
        <v>679</v>
      </c>
      <c r="C147" s="304" t="s">
        <v>3173</v>
      </c>
      <c r="D147" s="305"/>
      <c r="E147" s="305"/>
      <c r="F147" s="117" t="s">
        <v>1645</v>
      </c>
      <c r="G147" s="116">
        <v>24.055</v>
      </c>
      <c r="H147" s="159"/>
      <c r="I147" s="108">
        <f t="shared" si="132"/>
        <v>0</v>
      </c>
      <c r="J147" s="108">
        <f t="shared" si="133"/>
        <v>0</v>
      </c>
      <c r="K147" s="108">
        <f t="shared" si="134"/>
        <v>0</v>
      </c>
      <c r="L147" s="111" t="s">
        <v>1671</v>
      </c>
      <c r="Z147" s="100">
        <f t="shared" si="135"/>
        <v>0</v>
      </c>
      <c r="AB147" s="100">
        <f t="shared" si="136"/>
        <v>0</v>
      </c>
      <c r="AC147" s="100">
        <f t="shared" si="137"/>
        <v>0</v>
      </c>
      <c r="AD147" s="100">
        <f t="shared" si="138"/>
        <v>0</v>
      </c>
      <c r="AE147" s="100">
        <f t="shared" si="139"/>
        <v>0</v>
      </c>
      <c r="AF147" s="100">
        <f t="shared" si="140"/>
        <v>0</v>
      </c>
      <c r="AG147" s="100">
        <f t="shared" si="141"/>
        <v>0</v>
      </c>
      <c r="AH147" s="100">
        <f t="shared" si="142"/>
        <v>0</v>
      </c>
      <c r="AI147" s="109"/>
      <c r="AJ147" s="108">
        <f t="shared" si="143"/>
        <v>0</v>
      </c>
      <c r="AK147" s="108">
        <f t="shared" si="144"/>
        <v>0</v>
      </c>
      <c r="AL147" s="108">
        <f t="shared" si="145"/>
        <v>0</v>
      </c>
      <c r="AN147" s="100">
        <v>15</v>
      </c>
      <c r="AO147" s="100">
        <f t="shared" si="154"/>
        <v>0</v>
      </c>
      <c r="AP147" s="100">
        <f t="shared" si="155"/>
        <v>0</v>
      </c>
      <c r="AQ147" s="111" t="s">
        <v>7</v>
      </c>
      <c r="AV147" s="100">
        <f t="shared" si="146"/>
        <v>0</v>
      </c>
      <c r="AW147" s="100">
        <f t="shared" si="147"/>
        <v>0</v>
      </c>
      <c r="AX147" s="100">
        <f t="shared" si="148"/>
        <v>0</v>
      </c>
      <c r="AY147" s="110" t="s">
        <v>1701</v>
      </c>
      <c r="AZ147" s="110" t="s">
        <v>1730</v>
      </c>
      <c r="BA147" s="109" t="s">
        <v>1737</v>
      </c>
      <c r="BC147" s="100">
        <f t="shared" si="149"/>
        <v>0</v>
      </c>
      <c r="BD147" s="100">
        <f t="shared" si="150"/>
        <v>0</v>
      </c>
      <c r="BE147" s="100">
        <v>0</v>
      </c>
      <c r="BF147" s="100">
        <f>147</f>
        <v>147</v>
      </c>
      <c r="BH147" s="108">
        <f t="shared" si="151"/>
        <v>0</v>
      </c>
      <c r="BI147" s="108">
        <f t="shared" si="152"/>
        <v>0</v>
      </c>
      <c r="BJ147" s="108">
        <f t="shared" si="153"/>
        <v>0</v>
      </c>
    </row>
    <row r="148" spans="1:62" x14ac:dyDescent="0.2">
      <c r="A148" s="117" t="s">
        <v>118</v>
      </c>
      <c r="B148" s="117" t="s">
        <v>680</v>
      </c>
      <c r="C148" s="304" t="s">
        <v>1189</v>
      </c>
      <c r="D148" s="305"/>
      <c r="E148" s="305"/>
      <c r="F148" s="117" t="s">
        <v>1645</v>
      </c>
      <c r="G148" s="116">
        <v>497.28899999999999</v>
      </c>
      <c r="H148" s="159"/>
      <c r="I148" s="108">
        <f t="shared" si="132"/>
        <v>0</v>
      </c>
      <c r="J148" s="108">
        <f t="shared" si="133"/>
        <v>0</v>
      </c>
      <c r="K148" s="108">
        <f t="shared" si="134"/>
        <v>0</v>
      </c>
      <c r="L148" s="111" t="s">
        <v>1671</v>
      </c>
      <c r="Z148" s="100">
        <f t="shared" si="135"/>
        <v>0</v>
      </c>
      <c r="AB148" s="100">
        <f t="shared" si="136"/>
        <v>0</v>
      </c>
      <c r="AC148" s="100">
        <f t="shared" si="137"/>
        <v>0</v>
      </c>
      <c r="AD148" s="100">
        <f t="shared" si="138"/>
        <v>0</v>
      </c>
      <c r="AE148" s="100">
        <f t="shared" si="139"/>
        <v>0</v>
      </c>
      <c r="AF148" s="100">
        <f t="shared" si="140"/>
        <v>0</v>
      </c>
      <c r="AG148" s="100">
        <f t="shared" si="141"/>
        <v>0</v>
      </c>
      <c r="AH148" s="100">
        <f t="shared" si="142"/>
        <v>0</v>
      </c>
      <c r="AI148" s="109"/>
      <c r="AJ148" s="108">
        <f t="shared" si="143"/>
        <v>0</v>
      </c>
      <c r="AK148" s="108">
        <f t="shared" si="144"/>
        <v>0</v>
      </c>
      <c r="AL148" s="108">
        <f t="shared" si="145"/>
        <v>0</v>
      </c>
      <c r="AN148" s="100">
        <v>15</v>
      </c>
      <c r="AO148" s="100">
        <f t="shared" si="154"/>
        <v>0</v>
      </c>
      <c r="AP148" s="100">
        <f t="shared" si="155"/>
        <v>0</v>
      </c>
      <c r="AQ148" s="111" t="s">
        <v>7</v>
      </c>
      <c r="AV148" s="100">
        <f t="shared" si="146"/>
        <v>0</v>
      </c>
      <c r="AW148" s="100">
        <f t="shared" si="147"/>
        <v>0</v>
      </c>
      <c r="AX148" s="100">
        <f t="shared" si="148"/>
        <v>0</v>
      </c>
      <c r="AY148" s="110" t="s">
        <v>1701</v>
      </c>
      <c r="AZ148" s="110" t="s">
        <v>1730</v>
      </c>
      <c r="BA148" s="109" t="s">
        <v>1737</v>
      </c>
      <c r="BC148" s="100">
        <f t="shared" si="149"/>
        <v>0</v>
      </c>
      <c r="BD148" s="100">
        <f t="shared" si="150"/>
        <v>0</v>
      </c>
      <c r="BE148" s="100">
        <v>0</v>
      </c>
      <c r="BF148" s="100">
        <f>148</f>
        <v>148</v>
      </c>
      <c r="BH148" s="108">
        <f t="shared" si="151"/>
        <v>0</v>
      </c>
      <c r="BI148" s="108">
        <f t="shared" si="152"/>
        <v>0</v>
      </c>
      <c r="BJ148" s="108">
        <f t="shared" si="153"/>
        <v>0</v>
      </c>
    </row>
    <row r="149" spans="1:62" x14ac:dyDescent="0.2">
      <c r="A149" s="117" t="s">
        <v>119</v>
      </c>
      <c r="B149" s="117" t="s">
        <v>681</v>
      </c>
      <c r="C149" s="304" t="s">
        <v>1190</v>
      </c>
      <c r="D149" s="305"/>
      <c r="E149" s="305"/>
      <c r="F149" s="117" t="s">
        <v>1645</v>
      </c>
      <c r="G149" s="116">
        <v>497.28899999999999</v>
      </c>
      <c r="H149" s="159"/>
      <c r="I149" s="108">
        <f t="shared" si="132"/>
        <v>0</v>
      </c>
      <c r="J149" s="108">
        <f t="shared" si="133"/>
        <v>0</v>
      </c>
      <c r="K149" s="108">
        <f t="shared" si="134"/>
        <v>0</v>
      </c>
      <c r="L149" s="111" t="s">
        <v>1671</v>
      </c>
      <c r="Z149" s="100">
        <f t="shared" si="135"/>
        <v>0</v>
      </c>
      <c r="AB149" s="100">
        <f t="shared" si="136"/>
        <v>0</v>
      </c>
      <c r="AC149" s="100">
        <f t="shared" si="137"/>
        <v>0</v>
      </c>
      <c r="AD149" s="100">
        <f t="shared" si="138"/>
        <v>0</v>
      </c>
      <c r="AE149" s="100">
        <f t="shared" si="139"/>
        <v>0</v>
      </c>
      <c r="AF149" s="100">
        <f t="shared" si="140"/>
        <v>0</v>
      </c>
      <c r="AG149" s="100">
        <f t="shared" si="141"/>
        <v>0</v>
      </c>
      <c r="AH149" s="100">
        <f t="shared" si="142"/>
        <v>0</v>
      </c>
      <c r="AI149" s="109"/>
      <c r="AJ149" s="108">
        <f t="shared" si="143"/>
        <v>0</v>
      </c>
      <c r="AK149" s="108">
        <f t="shared" si="144"/>
        <v>0</v>
      </c>
      <c r="AL149" s="108">
        <f t="shared" si="145"/>
        <v>0</v>
      </c>
      <c r="AN149" s="100">
        <v>15</v>
      </c>
      <c r="AO149" s="100">
        <f t="shared" si="154"/>
        <v>0</v>
      </c>
      <c r="AP149" s="100">
        <f t="shared" si="155"/>
        <v>0</v>
      </c>
      <c r="AQ149" s="111" t="s">
        <v>7</v>
      </c>
      <c r="AV149" s="100">
        <f t="shared" si="146"/>
        <v>0</v>
      </c>
      <c r="AW149" s="100">
        <f t="shared" si="147"/>
        <v>0</v>
      </c>
      <c r="AX149" s="100">
        <f t="shared" si="148"/>
        <v>0</v>
      </c>
      <c r="AY149" s="110" t="s">
        <v>1701</v>
      </c>
      <c r="AZ149" s="110" t="s">
        <v>1730</v>
      </c>
      <c r="BA149" s="109" t="s">
        <v>1737</v>
      </c>
      <c r="BC149" s="100">
        <f t="shared" si="149"/>
        <v>0</v>
      </c>
      <c r="BD149" s="100">
        <f t="shared" si="150"/>
        <v>0</v>
      </c>
      <c r="BE149" s="100">
        <v>0</v>
      </c>
      <c r="BF149" s="100">
        <f>149</f>
        <v>149</v>
      </c>
      <c r="BH149" s="108">
        <f t="shared" si="151"/>
        <v>0</v>
      </c>
      <c r="BI149" s="108">
        <f t="shared" si="152"/>
        <v>0</v>
      </c>
      <c r="BJ149" s="108">
        <f t="shared" si="153"/>
        <v>0</v>
      </c>
    </row>
    <row r="150" spans="1:62" x14ac:dyDescent="0.2">
      <c r="A150" s="117" t="s">
        <v>120</v>
      </c>
      <c r="B150" s="117" t="s">
        <v>682</v>
      </c>
      <c r="C150" s="304" t="s">
        <v>1191</v>
      </c>
      <c r="D150" s="305"/>
      <c r="E150" s="305"/>
      <c r="F150" s="117" t="s">
        <v>1645</v>
      </c>
      <c r="G150" s="116">
        <v>98.432000000000002</v>
      </c>
      <c r="H150" s="159"/>
      <c r="I150" s="108">
        <f t="shared" si="132"/>
        <v>0</v>
      </c>
      <c r="J150" s="108">
        <f t="shared" si="133"/>
        <v>0</v>
      </c>
      <c r="K150" s="108">
        <f t="shared" si="134"/>
        <v>0</v>
      </c>
      <c r="L150" s="111" t="s">
        <v>1671</v>
      </c>
      <c r="Z150" s="100">
        <f t="shared" si="135"/>
        <v>0</v>
      </c>
      <c r="AB150" s="100">
        <f t="shared" si="136"/>
        <v>0</v>
      </c>
      <c r="AC150" s="100">
        <f t="shared" si="137"/>
        <v>0</v>
      </c>
      <c r="AD150" s="100">
        <f t="shared" si="138"/>
        <v>0</v>
      </c>
      <c r="AE150" s="100">
        <f t="shared" si="139"/>
        <v>0</v>
      </c>
      <c r="AF150" s="100">
        <f t="shared" si="140"/>
        <v>0</v>
      </c>
      <c r="AG150" s="100">
        <f t="shared" si="141"/>
        <v>0</v>
      </c>
      <c r="AH150" s="100">
        <f t="shared" si="142"/>
        <v>0</v>
      </c>
      <c r="AI150" s="109"/>
      <c r="AJ150" s="108">
        <f t="shared" si="143"/>
        <v>0</v>
      </c>
      <c r="AK150" s="108">
        <f t="shared" si="144"/>
        <v>0</v>
      </c>
      <c r="AL150" s="108">
        <f t="shared" si="145"/>
        <v>0</v>
      </c>
      <c r="AN150" s="100">
        <v>15</v>
      </c>
      <c r="AO150" s="100">
        <f t="shared" si="154"/>
        <v>0</v>
      </c>
      <c r="AP150" s="100">
        <f t="shared" si="155"/>
        <v>0</v>
      </c>
      <c r="AQ150" s="111" t="s">
        <v>7</v>
      </c>
      <c r="AV150" s="100">
        <f t="shared" si="146"/>
        <v>0</v>
      </c>
      <c r="AW150" s="100">
        <f t="shared" si="147"/>
        <v>0</v>
      </c>
      <c r="AX150" s="100">
        <f t="shared" si="148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49"/>
        <v>0</v>
      </c>
      <c r="BD150" s="100">
        <f t="shared" si="150"/>
        <v>0</v>
      </c>
      <c r="BE150" s="100">
        <v>0</v>
      </c>
      <c r="BF150" s="100">
        <f>150</f>
        <v>150</v>
      </c>
      <c r="BH150" s="108">
        <f t="shared" si="151"/>
        <v>0</v>
      </c>
      <c r="BI150" s="108">
        <f t="shared" si="152"/>
        <v>0</v>
      </c>
      <c r="BJ150" s="108">
        <f t="shared" si="153"/>
        <v>0</v>
      </c>
    </row>
    <row r="151" spans="1:62" x14ac:dyDescent="0.2">
      <c r="A151" s="117" t="s">
        <v>121</v>
      </c>
      <c r="B151" s="117" t="s">
        <v>682</v>
      </c>
      <c r="C151" s="304" t="s">
        <v>1192</v>
      </c>
      <c r="D151" s="305"/>
      <c r="E151" s="305"/>
      <c r="F151" s="117" t="s">
        <v>1645</v>
      </c>
      <c r="G151" s="116">
        <v>80.08</v>
      </c>
      <c r="H151" s="159"/>
      <c r="I151" s="108">
        <f t="shared" si="132"/>
        <v>0</v>
      </c>
      <c r="J151" s="108">
        <f t="shared" si="133"/>
        <v>0</v>
      </c>
      <c r="K151" s="108">
        <f t="shared" si="134"/>
        <v>0</v>
      </c>
      <c r="L151" s="111" t="s">
        <v>1671</v>
      </c>
      <c r="Z151" s="100">
        <f t="shared" si="135"/>
        <v>0</v>
      </c>
      <c r="AB151" s="100">
        <f t="shared" si="136"/>
        <v>0</v>
      </c>
      <c r="AC151" s="100">
        <f t="shared" si="137"/>
        <v>0</v>
      </c>
      <c r="AD151" s="100">
        <f t="shared" si="138"/>
        <v>0</v>
      </c>
      <c r="AE151" s="100">
        <f t="shared" si="139"/>
        <v>0</v>
      </c>
      <c r="AF151" s="100">
        <f t="shared" si="140"/>
        <v>0</v>
      </c>
      <c r="AG151" s="100">
        <f t="shared" si="141"/>
        <v>0</v>
      </c>
      <c r="AH151" s="100">
        <f t="shared" si="142"/>
        <v>0</v>
      </c>
      <c r="AI151" s="109"/>
      <c r="AJ151" s="108">
        <f t="shared" si="143"/>
        <v>0</v>
      </c>
      <c r="AK151" s="108">
        <f t="shared" si="144"/>
        <v>0</v>
      </c>
      <c r="AL151" s="108">
        <f t="shared" si="145"/>
        <v>0</v>
      </c>
      <c r="AN151" s="100">
        <v>15</v>
      </c>
      <c r="AO151" s="100">
        <f t="shared" si="154"/>
        <v>0</v>
      </c>
      <c r="AP151" s="100">
        <f t="shared" si="155"/>
        <v>0</v>
      </c>
      <c r="AQ151" s="111" t="s">
        <v>7</v>
      </c>
      <c r="AV151" s="100">
        <f t="shared" si="146"/>
        <v>0</v>
      </c>
      <c r="AW151" s="100">
        <f t="shared" si="147"/>
        <v>0</v>
      </c>
      <c r="AX151" s="100">
        <f t="shared" si="148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49"/>
        <v>0</v>
      </c>
      <c r="BD151" s="100">
        <f t="shared" si="150"/>
        <v>0</v>
      </c>
      <c r="BE151" s="100">
        <v>0</v>
      </c>
      <c r="BF151" s="100">
        <f>151</f>
        <v>151</v>
      </c>
      <c r="BH151" s="108">
        <f t="shared" si="151"/>
        <v>0</v>
      </c>
      <c r="BI151" s="108">
        <f t="shared" si="152"/>
        <v>0</v>
      </c>
      <c r="BJ151" s="108">
        <f t="shared" si="153"/>
        <v>0</v>
      </c>
    </row>
    <row r="152" spans="1:62" x14ac:dyDescent="0.2">
      <c r="A152" s="117" t="s">
        <v>122</v>
      </c>
      <c r="B152" s="117" t="s">
        <v>683</v>
      </c>
      <c r="C152" s="304" t="s">
        <v>1194</v>
      </c>
      <c r="D152" s="305"/>
      <c r="E152" s="305"/>
      <c r="F152" s="117" t="s">
        <v>1645</v>
      </c>
      <c r="G152" s="116">
        <v>47.027000000000001</v>
      </c>
      <c r="H152" s="159"/>
      <c r="I152" s="108">
        <f t="shared" si="132"/>
        <v>0</v>
      </c>
      <c r="J152" s="108">
        <f t="shared" si="133"/>
        <v>0</v>
      </c>
      <c r="K152" s="108">
        <f t="shared" si="134"/>
        <v>0</v>
      </c>
      <c r="L152" s="111" t="s">
        <v>1671</v>
      </c>
      <c r="Z152" s="100">
        <f t="shared" si="135"/>
        <v>0</v>
      </c>
      <c r="AB152" s="100">
        <f t="shared" si="136"/>
        <v>0</v>
      </c>
      <c r="AC152" s="100">
        <f t="shared" si="137"/>
        <v>0</v>
      </c>
      <c r="AD152" s="100">
        <f t="shared" si="138"/>
        <v>0</v>
      </c>
      <c r="AE152" s="100">
        <f t="shared" si="139"/>
        <v>0</v>
      </c>
      <c r="AF152" s="100">
        <f t="shared" si="140"/>
        <v>0</v>
      </c>
      <c r="AG152" s="100">
        <f t="shared" si="141"/>
        <v>0</v>
      </c>
      <c r="AH152" s="100">
        <f t="shared" si="142"/>
        <v>0</v>
      </c>
      <c r="AI152" s="109"/>
      <c r="AJ152" s="108">
        <f t="shared" si="143"/>
        <v>0</v>
      </c>
      <c r="AK152" s="108">
        <f t="shared" si="144"/>
        <v>0</v>
      </c>
      <c r="AL152" s="108">
        <f t="shared" si="145"/>
        <v>0</v>
      </c>
      <c r="AN152" s="100">
        <v>15</v>
      </c>
      <c r="AO152" s="100">
        <f t="shared" si="154"/>
        <v>0</v>
      </c>
      <c r="AP152" s="100">
        <f t="shared" si="155"/>
        <v>0</v>
      </c>
      <c r="AQ152" s="111" t="s">
        <v>7</v>
      </c>
      <c r="AV152" s="100">
        <f t="shared" si="146"/>
        <v>0</v>
      </c>
      <c r="AW152" s="100">
        <f t="shared" si="147"/>
        <v>0</v>
      </c>
      <c r="AX152" s="100">
        <f t="shared" si="148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49"/>
        <v>0</v>
      </c>
      <c r="BD152" s="100">
        <f t="shared" si="150"/>
        <v>0</v>
      </c>
      <c r="BE152" s="100">
        <v>0</v>
      </c>
      <c r="BF152" s="100">
        <f>152</f>
        <v>152</v>
      </c>
      <c r="BH152" s="108">
        <f t="shared" si="151"/>
        <v>0</v>
      </c>
      <c r="BI152" s="108">
        <f t="shared" si="152"/>
        <v>0</v>
      </c>
      <c r="BJ152" s="108">
        <f t="shared" si="153"/>
        <v>0</v>
      </c>
    </row>
    <row r="153" spans="1:62" x14ac:dyDescent="0.2">
      <c r="A153" s="119"/>
      <c r="B153" s="120" t="s">
        <v>686</v>
      </c>
      <c r="C153" s="306" t="s">
        <v>1198</v>
      </c>
      <c r="D153" s="307"/>
      <c r="E153" s="307"/>
      <c r="F153" s="119" t="s">
        <v>6</v>
      </c>
      <c r="G153" s="119" t="s">
        <v>6</v>
      </c>
      <c r="H153" s="119" t="s">
        <v>6</v>
      </c>
      <c r="I153" s="118">
        <f>SUM(I154:I169)</f>
        <v>0</v>
      </c>
      <c r="J153" s="118">
        <f>SUM(J154:J169)</f>
        <v>0</v>
      </c>
      <c r="K153" s="118">
        <f>SUM(K154:K169)</f>
        <v>0</v>
      </c>
      <c r="L153" s="109"/>
      <c r="AI153" s="109"/>
      <c r="AS153" s="118">
        <f>SUM(AJ154:AJ169)</f>
        <v>0</v>
      </c>
      <c r="AT153" s="118">
        <f>SUM(AK154:AK169)</f>
        <v>0</v>
      </c>
      <c r="AU153" s="118">
        <f>SUM(AL154:AL169)</f>
        <v>0</v>
      </c>
    </row>
    <row r="154" spans="1:62" x14ac:dyDescent="0.2">
      <c r="A154" s="117" t="s">
        <v>123</v>
      </c>
      <c r="B154" s="117" t="s">
        <v>687</v>
      </c>
      <c r="C154" s="304" t="s">
        <v>1199</v>
      </c>
      <c r="D154" s="305"/>
      <c r="E154" s="305"/>
      <c r="F154" s="117" t="s">
        <v>1648</v>
      </c>
      <c r="G154" s="116">
        <v>29.844000000000001</v>
      </c>
      <c r="H154" s="159"/>
      <c r="I154" s="108">
        <f t="shared" ref="I154:I169" si="156">G154*AO154</f>
        <v>0</v>
      </c>
      <c r="J154" s="108">
        <f t="shared" ref="J154:J169" si="157">G154*AP154</f>
        <v>0</v>
      </c>
      <c r="K154" s="108">
        <f t="shared" ref="K154:K169" si="158">G154*H154</f>
        <v>0</v>
      </c>
      <c r="L154" s="111" t="s">
        <v>1671</v>
      </c>
      <c r="Z154" s="100">
        <f t="shared" ref="Z154:Z169" si="159">IF(AQ154="5",BJ154,0)</f>
        <v>0</v>
      </c>
      <c r="AB154" s="100">
        <f t="shared" ref="AB154:AB169" si="160">IF(AQ154="1",BH154,0)</f>
        <v>0</v>
      </c>
      <c r="AC154" s="100">
        <f t="shared" ref="AC154:AC169" si="161">IF(AQ154="1",BI154,0)</f>
        <v>0</v>
      </c>
      <c r="AD154" s="100">
        <f t="shared" ref="AD154:AD169" si="162">IF(AQ154="7",BH154,0)</f>
        <v>0</v>
      </c>
      <c r="AE154" s="100">
        <f t="shared" ref="AE154:AE169" si="163">IF(AQ154="7",BI154,0)</f>
        <v>0</v>
      </c>
      <c r="AF154" s="100">
        <f t="shared" ref="AF154:AF169" si="164">IF(AQ154="2",BH154,0)</f>
        <v>0</v>
      </c>
      <c r="AG154" s="100">
        <f t="shared" ref="AG154:AG169" si="165">IF(AQ154="2",BI154,0)</f>
        <v>0</v>
      </c>
      <c r="AH154" s="100">
        <f t="shared" ref="AH154:AH169" si="166">IF(AQ154="0",BJ154,0)</f>
        <v>0</v>
      </c>
      <c r="AI154" s="109"/>
      <c r="AJ154" s="108">
        <f t="shared" ref="AJ154:AJ169" si="167">IF(AN154=0,K154,0)</f>
        <v>0</v>
      </c>
      <c r="AK154" s="108">
        <f t="shared" ref="AK154:AK169" si="168">IF(AN154=15,K154,0)</f>
        <v>0</v>
      </c>
      <c r="AL154" s="108">
        <f t="shared" ref="AL154:AL169" si="169">IF(AN154=21,K154,0)</f>
        <v>0</v>
      </c>
      <c r="AN154" s="100">
        <v>15</v>
      </c>
      <c r="AO154" s="100">
        <f t="shared" ref="AO154:AO169" si="170">H154*0</f>
        <v>0</v>
      </c>
      <c r="AP154" s="100">
        <f t="shared" ref="AP154:AP169" si="171">H154*(1-0)</f>
        <v>0</v>
      </c>
      <c r="AQ154" s="111" t="s">
        <v>11</v>
      </c>
      <c r="AV154" s="100">
        <f t="shared" ref="AV154:AV169" si="172">AW154+AX154</f>
        <v>0</v>
      </c>
      <c r="AW154" s="100">
        <f t="shared" ref="AW154:AW169" si="173">G154*AO154</f>
        <v>0</v>
      </c>
      <c r="AX154" s="100">
        <f t="shared" ref="AX154:AX169" si="174">G154*AP154</f>
        <v>0</v>
      </c>
      <c r="AY154" s="110" t="s">
        <v>1703</v>
      </c>
      <c r="AZ154" s="110" t="s">
        <v>1730</v>
      </c>
      <c r="BA154" s="109" t="s">
        <v>1737</v>
      </c>
      <c r="BC154" s="100">
        <f t="shared" ref="BC154:BC169" si="175">AW154+AX154</f>
        <v>0</v>
      </c>
      <c r="BD154" s="100">
        <f t="shared" ref="BD154:BD169" si="176">H154/(100-BE154)*100</f>
        <v>0</v>
      </c>
      <c r="BE154" s="100">
        <v>0</v>
      </c>
      <c r="BF154" s="100">
        <f>154</f>
        <v>154</v>
      </c>
      <c r="BH154" s="108">
        <f t="shared" ref="BH154:BH169" si="177">G154*AO154</f>
        <v>0</v>
      </c>
      <c r="BI154" s="108">
        <f t="shared" ref="BI154:BI169" si="178">G154*AP154</f>
        <v>0</v>
      </c>
      <c r="BJ154" s="108">
        <f t="shared" ref="BJ154:BJ169" si="179">G154*H154</f>
        <v>0</v>
      </c>
    </row>
    <row r="155" spans="1:62" x14ac:dyDescent="0.2">
      <c r="A155" s="117" t="s">
        <v>124</v>
      </c>
      <c r="B155" s="117" t="s">
        <v>688</v>
      </c>
      <c r="C155" s="304" t="s">
        <v>1200</v>
      </c>
      <c r="D155" s="305"/>
      <c r="E155" s="305"/>
      <c r="F155" s="117" t="s">
        <v>1648</v>
      </c>
      <c r="G155" s="116">
        <v>17.905999999999999</v>
      </c>
      <c r="H155" s="159"/>
      <c r="I155" s="108">
        <f t="shared" si="156"/>
        <v>0</v>
      </c>
      <c r="J155" s="108">
        <f t="shared" si="157"/>
        <v>0</v>
      </c>
      <c r="K155" s="108">
        <f t="shared" si="158"/>
        <v>0</v>
      </c>
      <c r="L155" s="111" t="s">
        <v>1671</v>
      </c>
      <c r="Z155" s="100">
        <f t="shared" si="159"/>
        <v>0</v>
      </c>
      <c r="AB155" s="100">
        <f t="shared" si="160"/>
        <v>0</v>
      </c>
      <c r="AC155" s="100">
        <f t="shared" si="161"/>
        <v>0</v>
      </c>
      <c r="AD155" s="100">
        <f t="shared" si="162"/>
        <v>0</v>
      </c>
      <c r="AE155" s="100">
        <f t="shared" si="163"/>
        <v>0</v>
      </c>
      <c r="AF155" s="100">
        <f t="shared" si="164"/>
        <v>0</v>
      </c>
      <c r="AG155" s="100">
        <f t="shared" si="165"/>
        <v>0</v>
      </c>
      <c r="AH155" s="100">
        <f t="shared" si="166"/>
        <v>0</v>
      </c>
      <c r="AI155" s="109"/>
      <c r="AJ155" s="108">
        <f t="shared" si="167"/>
        <v>0</v>
      </c>
      <c r="AK155" s="108">
        <f t="shared" si="168"/>
        <v>0</v>
      </c>
      <c r="AL155" s="108">
        <f t="shared" si="169"/>
        <v>0</v>
      </c>
      <c r="AN155" s="100">
        <v>15</v>
      </c>
      <c r="AO155" s="100">
        <f t="shared" si="170"/>
        <v>0</v>
      </c>
      <c r="AP155" s="100">
        <f t="shared" si="171"/>
        <v>0</v>
      </c>
      <c r="AQ155" s="111" t="s">
        <v>11</v>
      </c>
      <c r="AV155" s="100">
        <f t="shared" si="172"/>
        <v>0</v>
      </c>
      <c r="AW155" s="100">
        <f t="shared" si="173"/>
        <v>0</v>
      </c>
      <c r="AX155" s="100">
        <f t="shared" si="174"/>
        <v>0</v>
      </c>
      <c r="AY155" s="110" t="s">
        <v>1703</v>
      </c>
      <c r="AZ155" s="110" t="s">
        <v>1730</v>
      </c>
      <c r="BA155" s="109" t="s">
        <v>1737</v>
      </c>
      <c r="BC155" s="100">
        <f t="shared" si="175"/>
        <v>0</v>
      </c>
      <c r="BD155" s="100">
        <f t="shared" si="176"/>
        <v>0</v>
      </c>
      <c r="BE155" s="100">
        <v>0</v>
      </c>
      <c r="BF155" s="100">
        <f>155</f>
        <v>155</v>
      </c>
      <c r="BH155" s="108">
        <f t="shared" si="177"/>
        <v>0</v>
      </c>
      <c r="BI155" s="108">
        <f t="shared" si="178"/>
        <v>0</v>
      </c>
      <c r="BJ155" s="108">
        <f t="shared" si="179"/>
        <v>0</v>
      </c>
    </row>
    <row r="156" spans="1:62" x14ac:dyDescent="0.2">
      <c r="A156" s="117" t="s">
        <v>125</v>
      </c>
      <c r="B156" s="117" t="s">
        <v>689</v>
      </c>
      <c r="C156" s="304" t="s">
        <v>1201</v>
      </c>
      <c r="D156" s="305"/>
      <c r="E156" s="305"/>
      <c r="F156" s="117" t="s">
        <v>1648</v>
      </c>
      <c r="G156" s="116">
        <v>89.531999999999996</v>
      </c>
      <c r="H156" s="159"/>
      <c r="I156" s="108">
        <f t="shared" si="156"/>
        <v>0</v>
      </c>
      <c r="J156" s="108">
        <f t="shared" si="157"/>
        <v>0</v>
      </c>
      <c r="K156" s="108">
        <f t="shared" si="158"/>
        <v>0</v>
      </c>
      <c r="L156" s="111" t="s">
        <v>1671</v>
      </c>
      <c r="Z156" s="100">
        <f t="shared" si="159"/>
        <v>0</v>
      </c>
      <c r="AB156" s="100">
        <f t="shared" si="160"/>
        <v>0</v>
      </c>
      <c r="AC156" s="100">
        <f t="shared" si="161"/>
        <v>0</v>
      </c>
      <c r="AD156" s="100">
        <f t="shared" si="162"/>
        <v>0</v>
      </c>
      <c r="AE156" s="100">
        <f t="shared" si="163"/>
        <v>0</v>
      </c>
      <c r="AF156" s="100">
        <f t="shared" si="164"/>
        <v>0</v>
      </c>
      <c r="AG156" s="100">
        <f t="shared" si="165"/>
        <v>0</v>
      </c>
      <c r="AH156" s="100">
        <f t="shared" si="166"/>
        <v>0</v>
      </c>
      <c r="AI156" s="109"/>
      <c r="AJ156" s="108">
        <f t="shared" si="167"/>
        <v>0</v>
      </c>
      <c r="AK156" s="108">
        <f t="shared" si="168"/>
        <v>0</v>
      </c>
      <c r="AL156" s="108">
        <f t="shared" si="169"/>
        <v>0</v>
      </c>
      <c r="AN156" s="100">
        <v>15</v>
      </c>
      <c r="AO156" s="100">
        <f t="shared" si="170"/>
        <v>0</v>
      </c>
      <c r="AP156" s="100">
        <f t="shared" si="171"/>
        <v>0</v>
      </c>
      <c r="AQ156" s="111" t="s">
        <v>11</v>
      </c>
      <c r="AV156" s="100">
        <f t="shared" si="172"/>
        <v>0</v>
      </c>
      <c r="AW156" s="100">
        <f t="shared" si="173"/>
        <v>0</v>
      </c>
      <c r="AX156" s="100">
        <f t="shared" si="174"/>
        <v>0</v>
      </c>
      <c r="AY156" s="110" t="s">
        <v>1703</v>
      </c>
      <c r="AZ156" s="110" t="s">
        <v>1730</v>
      </c>
      <c r="BA156" s="109" t="s">
        <v>1737</v>
      </c>
      <c r="BC156" s="100">
        <f t="shared" si="175"/>
        <v>0</v>
      </c>
      <c r="BD156" s="100">
        <f t="shared" si="176"/>
        <v>0</v>
      </c>
      <c r="BE156" s="100">
        <v>0</v>
      </c>
      <c r="BF156" s="100">
        <f>156</f>
        <v>156</v>
      </c>
      <c r="BH156" s="108">
        <f t="shared" si="177"/>
        <v>0</v>
      </c>
      <c r="BI156" s="108">
        <f t="shared" si="178"/>
        <v>0</v>
      </c>
      <c r="BJ156" s="108">
        <f t="shared" si="179"/>
        <v>0</v>
      </c>
    </row>
    <row r="157" spans="1:62" x14ac:dyDescent="0.2">
      <c r="A157" s="117" t="s">
        <v>126</v>
      </c>
      <c r="B157" s="117" t="s">
        <v>690</v>
      </c>
      <c r="C157" s="304" t="s">
        <v>1202</v>
      </c>
      <c r="D157" s="305"/>
      <c r="E157" s="305"/>
      <c r="F157" s="117" t="s">
        <v>1648</v>
      </c>
      <c r="G157" s="116">
        <v>805.78800000000001</v>
      </c>
      <c r="H157" s="159"/>
      <c r="I157" s="108">
        <f t="shared" si="156"/>
        <v>0</v>
      </c>
      <c r="J157" s="108">
        <f t="shared" si="157"/>
        <v>0</v>
      </c>
      <c r="K157" s="108">
        <f t="shared" si="158"/>
        <v>0</v>
      </c>
      <c r="L157" s="111" t="s">
        <v>1671</v>
      </c>
      <c r="Z157" s="100">
        <f t="shared" si="159"/>
        <v>0</v>
      </c>
      <c r="AB157" s="100">
        <f t="shared" si="160"/>
        <v>0</v>
      </c>
      <c r="AC157" s="100">
        <f t="shared" si="161"/>
        <v>0</v>
      </c>
      <c r="AD157" s="100">
        <f t="shared" si="162"/>
        <v>0</v>
      </c>
      <c r="AE157" s="100">
        <f t="shared" si="163"/>
        <v>0</v>
      </c>
      <c r="AF157" s="100">
        <f t="shared" si="164"/>
        <v>0</v>
      </c>
      <c r="AG157" s="100">
        <f t="shared" si="165"/>
        <v>0</v>
      </c>
      <c r="AH157" s="100">
        <f t="shared" si="166"/>
        <v>0</v>
      </c>
      <c r="AI157" s="109"/>
      <c r="AJ157" s="108">
        <f t="shared" si="167"/>
        <v>0</v>
      </c>
      <c r="AK157" s="108">
        <f t="shared" si="168"/>
        <v>0</v>
      </c>
      <c r="AL157" s="108">
        <f t="shared" si="169"/>
        <v>0</v>
      </c>
      <c r="AN157" s="100">
        <v>15</v>
      </c>
      <c r="AO157" s="100">
        <f t="shared" si="170"/>
        <v>0</v>
      </c>
      <c r="AP157" s="100">
        <f t="shared" si="171"/>
        <v>0</v>
      </c>
      <c r="AQ157" s="111" t="s">
        <v>11</v>
      </c>
      <c r="AV157" s="100">
        <f t="shared" si="172"/>
        <v>0</v>
      </c>
      <c r="AW157" s="100">
        <f t="shared" si="173"/>
        <v>0</v>
      </c>
      <c r="AX157" s="100">
        <f t="shared" si="174"/>
        <v>0</v>
      </c>
      <c r="AY157" s="110" t="s">
        <v>1703</v>
      </c>
      <c r="AZ157" s="110" t="s">
        <v>1730</v>
      </c>
      <c r="BA157" s="109" t="s">
        <v>1737</v>
      </c>
      <c r="BC157" s="100">
        <f t="shared" si="175"/>
        <v>0</v>
      </c>
      <c r="BD157" s="100">
        <f t="shared" si="176"/>
        <v>0</v>
      </c>
      <c r="BE157" s="100">
        <v>0</v>
      </c>
      <c r="BF157" s="100">
        <f>157</f>
        <v>157</v>
      </c>
      <c r="BH157" s="108">
        <f t="shared" si="177"/>
        <v>0</v>
      </c>
      <c r="BI157" s="108">
        <f t="shared" si="178"/>
        <v>0</v>
      </c>
      <c r="BJ157" s="108">
        <f t="shared" si="179"/>
        <v>0</v>
      </c>
    </row>
    <row r="158" spans="1:62" x14ac:dyDescent="0.2">
      <c r="A158" s="117" t="s">
        <v>127</v>
      </c>
      <c r="B158" s="117" t="s">
        <v>691</v>
      </c>
      <c r="C158" s="304" t="s">
        <v>1203</v>
      </c>
      <c r="D158" s="305"/>
      <c r="E158" s="305"/>
      <c r="F158" s="117" t="s">
        <v>1648</v>
      </c>
      <c r="G158" s="116">
        <v>89.531999999999996</v>
      </c>
      <c r="H158" s="159"/>
      <c r="I158" s="108">
        <f t="shared" si="156"/>
        <v>0</v>
      </c>
      <c r="J158" s="108">
        <f t="shared" si="157"/>
        <v>0</v>
      </c>
      <c r="K158" s="108">
        <f t="shared" si="158"/>
        <v>0</v>
      </c>
      <c r="L158" s="111" t="s">
        <v>1671</v>
      </c>
      <c r="Z158" s="100">
        <f t="shared" si="159"/>
        <v>0</v>
      </c>
      <c r="AB158" s="100">
        <f t="shared" si="160"/>
        <v>0</v>
      </c>
      <c r="AC158" s="100">
        <f t="shared" si="161"/>
        <v>0</v>
      </c>
      <c r="AD158" s="100">
        <f t="shared" si="162"/>
        <v>0</v>
      </c>
      <c r="AE158" s="100">
        <f t="shared" si="163"/>
        <v>0</v>
      </c>
      <c r="AF158" s="100">
        <f t="shared" si="164"/>
        <v>0</v>
      </c>
      <c r="AG158" s="100">
        <f t="shared" si="165"/>
        <v>0</v>
      </c>
      <c r="AH158" s="100">
        <f t="shared" si="166"/>
        <v>0</v>
      </c>
      <c r="AI158" s="109"/>
      <c r="AJ158" s="108">
        <f t="shared" si="167"/>
        <v>0</v>
      </c>
      <c r="AK158" s="108">
        <f t="shared" si="168"/>
        <v>0</v>
      </c>
      <c r="AL158" s="108">
        <f t="shared" si="169"/>
        <v>0</v>
      </c>
      <c r="AN158" s="100">
        <v>15</v>
      </c>
      <c r="AO158" s="100">
        <f t="shared" si="170"/>
        <v>0</v>
      </c>
      <c r="AP158" s="100">
        <f t="shared" si="171"/>
        <v>0</v>
      </c>
      <c r="AQ158" s="111" t="s">
        <v>11</v>
      </c>
      <c r="AV158" s="100">
        <f t="shared" si="172"/>
        <v>0</v>
      </c>
      <c r="AW158" s="100">
        <f t="shared" si="173"/>
        <v>0</v>
      </c>
      <c r="AX158" s="100">
        <f t="shared" si="174"/>
        <v>0</v>
      </c>
      <c r="AY158" s="110" t="s">
        <v>1703</v>
      </c>
      <c r="AZ158" s="110" t="s">
        <v>1730</v>
      </c>
      <c r="BA158" s="109" t="s">
        <v>1737</v>
      </c>
      <c r="BC158" s="100">
        <f t="shared" si="175"/>
        <v>0</v>
      </c>
      <c r="BD158" s="100">
        <f t="shared" si="176"/>
        <v>0</v>
      </c>
      <c r="BE158" s="100">
        <v>0</v>
      </c>
      <c r="BF158" s="100">
        <f>158</f>
        <v>158</v>
      </c>
      <c r="BH158" s="108">
        <f t="shared" si="177"/>
        <v>0</v>
      </c>
      <c r="BI158" s="108">
        <f t="shared" si="178"/>
        <v>0</v>
      </c>
      <c r="BJ158" s="108">
        <f t="shared" si="179"/>
        <v>0</v>
      </c>
    </row>
    <row r="159" spans="1:62" x14ac:dyDescent="0.2">
      <c r="A159" s="117" t="s">
        <v>128</v>
      </c>
      <c r="B159" s="117" t="s">
        <v>692</v>
      </c>
      <c r="C159" s="304" t="s">
        <v>1204</v>
      </c>
      <c r="D159" s="305"/>
      <c r="E159" s="305"/>
      <c r="F159" s="117" t="s">
        <v>1648</v>
      </c>
      <c r="G159" s="116">
        <v>358.12799999999999</v>
      </c>
      <c r="H159" s="159"/>
      <c r="I159" s="108">
        <f t="shared" si="156"/>
        <v>0</v>
      </c>
      <c r="J159" s="108">
        <f t="shared" si="157"/>
        <v>0</v>
      </c>
      <c r="K159" s="108">
        <f t="shared" si="158"/>
        <v>0</v>
      </c>
      <c r="L159" s="111" t="s">
        <v>1671</v>
      </c>
      <c r="Z159" s="100">
        <f t="shared" si="159"/>
        <v>0</v>
      </c>
      <c r="AB159" s="100">
        <f t="shared" si="160"/>
        <v>0</v>
      </c>
      <c r="AC159" s="100">
        <f t="shared" si="161"/>
        <v>0</v>
      </c>
      <c r="AD159" s="100">
        <f t="shared" si="162"/>
        <v>0</v>
      </c>
      <c r="AE159" s="100">
        <f t="shared" si="163"/>
        <v>0</v>
      </c>
      <c r="AF159" s="100">
        <f t="shared" si="164"/>
        <v>0</v>
      </c>
      <c r="AG159" s="100">
        <f t="shared" si="165"/>
        <v>0</v>
      </c>
      <c r="AH159" s="100">
        <f t="shared" si="166"/>
        <v>0</v>
      </c>
      <c r="AI159" s="109"/>
      <c r="AJ159" s="108">
        <f t="shared" si="167"/>
        <v>0</v>
      </c>
      <c r="AK159" s="108">
        <f t="shared" si="168"/>
        <v>0</v>
      </c>
      <c r="AL159" s="108">
        <f t="shared" si="169"/>
        <v>0</v>
      </c>
      <c r="AN159" s="100">
        <v>15</v>
      </c>
      <c r="AO159" s="100">
        <f t="shared" si="170"/>
        <v>0</v>
      </c>
      <c r="AP159" s="100">
        <f t="shared" si="171"/>
        <v>0</v>
      </c>
      <c r="AQ159" s="111" t="s">
        <v>11</v>
      </c>
      <c r="AV159" s="100">
        <f t="shared" si="172"/>
        <v>0</v>
      </c>
      <c r="AW159" s="100">
        <f t="shared" si="173"/>
        <v>0</v>
      </c>
      <c r="AX159" s="100">
        <f t="shared" si="174"/>
        <v>0</v>
      </c>
      <c r="AY159" s="110" t="s">
        <v>1703</v>
      </c>
      <c r="AZ159" s="110" t="s">
        <v>1730</v>
      </c>
      <c r="BA159" s="109" t="s">
        <v>1737</v>
      </c>
      <c r="BC159" s="100">
        <f t="shared" si="175"/>
        <v>0</v>
      </c>
      <c r="BD159" s="100">
        <f t="shared" si="176"/>
        <v>0</v>
      </c>
      <c r="BE159" s="100">
        <v>0</v>
      </c>
      <c r="BF159" s="100">
        <f>159</f>
        <v>159</v>
      </c>
      <c r="BH159" s="108">
        <f t="shared" si="177"/>
        <v>0</v>
      </c>
      <c r="BI159" s="108">
        <f t="shared" si="178"/>
        <v>0</v>
      </c>
      <c r="BJ159" s="108">
        <f t="shared" si="179"/>
        <v>0</v>
      </c>
    </row>
    <row r="160" spans="1:62" x14ac:dyDescent="0.2">
      <c r="A160" s="117" t="s">
        <v>129</v>
      </c>
      <c r="B160" s="117" t="s">
        <v>693</v>
      </c>
      <c r="C160" s="304" t="s">
        <v>1205</v>
      </c>
      <c r="D160" s="305"/>
      <c r="E160" s="305"/>
      <c r="F160" s="117" t="s">
        <v>1648</v>
      </c>
      <c r="G160" s="116">
        <v>89.531999999999996</v>
      </c>
      <c r="H160" s="159"/>
      <c r="I160" s="108">
        <f t="shared" si="156"/>
        <v>0</v>
      </c>
      <c r="J160" s="108">
        <f t="shared" si="157"/>
        <v>0</v>
      </c>
      <c r="K160" s="108">
        <f t="shared" si="158"/>
        <v>0</v>
      </c>
      <c r="L160" s="111" t="s">
        <v>1671</v>
      </c>
      <c r="Z160" s="100">
        <f t="shared" si="159"/>
        <v>0</v>
      </c>
      <c r="AB160" s="100">
        <f t="shared" si="160"/>
        <v>0</v>
      </c>
      <c r="AC160" s="100">
        <f t="shared" si="161"/>
        <v>0</v>
      </c>
      <c r="AD160" s="100">
        <f t="shared" si="162"/>
        <v>0</v>
      </c>
      <c r="AE160" s="100">
        <f t="shared" si="163"/>
        <v>0</v>
      </c>
      <c r="AF160" s="100">
        <f t="shared" si="164"/>
        <v>0</v>
      </c>
      <c r="AG160" s="100">
        <f t="shared" si="165"/>
        <v>0</v>
      </c>
      <c r="AH160" s="100">
        <f t="shared" si="166"/>
        <v>0</v>
      </c>
      <c r="AI160" s="109"/>
      <c r="AJ160" s="108">
        <f t="shared" si="167"/>
        <v>0</v>
      </c>
      <c r="AK160" s="108">
        <f t="shared" si="168"/>
        <v>0</v>
      </c>
      <c r="AL160" s="108">
        <f t="shared" si="169"/>
        <v>0</v>
      </c>
      <c r="AN160" s="100">
        <v>15</v>
      </c>
      <c r="AO160" s="100">
        <f t="shared" si="170"/>
        <v>0</v>
      </c>
      <c r="AP160" s="100">
        <f t="shared" si="171"/>
        <v>0</v>
      </c>
      <c r="AQ160" s="111" t="s">
        <v>11</v>
      </c>
      <c r="AV160" s="100">
        <f t="shared" si="172"/>
        <v>0</v>
      </c>
      <c r="AW160" s="100">
        <f t="shared" si="173"/>
        <v>0</v>
      </c>
      <c r="AX160" s="100">
        <f t="shared" si="174"/>
        <v>0</v>
      </c>
      <c r="AY160" s="110" t="s">
        <v>1703</v>
      </c>
      <c r="AZ160" s="110" t="s">
        <v>1730</v>
      </c>
      <c r="BA160" s="109" t="s">
        <v>1737</v>
      </c>
      <c r="BC160" s="100">
        <f t="shared" si="175"/>
        <v>0</v>
      </c>
      <c r="BD160" s="100">
        <f t="shared" si="176"/>
        <v>0</v>
      </c>
      <c r="BE160" s="100">
        <v>0</v>
      </c>
      <c r="BF160" s="100">
        <f>160</f>
        <v>160</v>
      </c>
      <c r="BH160" s="108">
        <f t="shared" si="177"/>
        <v>0</v>
      </c>
      <c r="BI160" s="108">
        <f t="shared" si="178"/>
        <v>0</v>
      </c>
      <c r="BJ160" s="108">
        <f t="shared" si="179"/>
        <v>0</v>
      </c>
    </row>
    <row r="161" spans="1:62" x14ac:dyDescent="0.2">
      <c r="A161" s="117" t="s">
        <v>130</v>
      </c>
      <c r="B161" s="117" t="s">
        <v>694</v>
      </c>
      <c r="C161" s="304" t="s">
        <v>1206</v>
      </c>
      <c r="D161" s="305"/>
      <c r="E161" s="305"/>
      <c r="F161" s="117" t="s">
        <v>1648</v>
      </c>
      <c r="G161" s="116">
        <v>89.531999999999996</v>
      </c>
      <c r="H161" s="159"/>
      <c r="I161" s="108">
        <f t="shared" si="156"/>
        <v>0</v>
      </c>
      <c r="J161" s="108">
        <f t="shared" si="157"/>
        <v>0</v>
      </c>
      <c r="K161" s="108">
        <f t="shared" si="158"/>
        <v>0</v>
      </c>
      <c r="L161" s="111" t="s">
        <v>1671</v>
      </c>
      <c r="Z161" s="100">
        <f t="shared" si="159"/>
        <v>0</v>
      </c>
      <c r="AB161" s="100">
        <f t="shared" si="160"/>
        <v>0</v>
      </c>
      <c r="AC161" s="100">
        <f t="shared" si="161"/>
        <v>0</v>
      </c>
      <c r="AD161" s="100">
        <f t="shared" si="162"/>
        <v>0</v>
      </c>
      <c r="AE161" s="100">
        <f t="shared" si="163"/>
        <v>0</v>
      </c>
      <c r="AF161" s="100">
        <f t="shared" si="164"/>
        <v>0</v>
      </c>
      <c r="AG161" s="100">
        <f t="shared" si="165"/>
        <v>0</v>
      </c>
      <c r="AH161" s="100">
        <f t="shared" si="166"/>
        <v>0</v>
      </c>
      <c r="AI161" s="109"/>
      <c r="AJ161" s="108">
        <f t="shared" si="167"/>
        <v>0</v>
      </c>
      <c r="AK161" s="108">
        <f t="shared" si="168"/>
        <v>0</v>
      </c>
      <c r="AL161" s="108">
        <f t="shared" si="169"/>
        <v>0</v>
      </c>
      <c r="AN161" s="100">
        <v>15</v>
      </c>
      <c r="AO161" s="100">
        <f t="shared" si="170"/>
        <v>0</v>
      </c>
      <c r="AP161" s="100">
        <f t="shared" si="171"/>
        <v>0</v>
      </c>
      <c r="AQ161" s="111" t="s">
        <v>11</v>
      </c>
      <c r="AV161" s="100">
        <f t="shared" si="172"/>
        <v>0</v>
      </c>
      <c r="AW161" s="100">
        <f t="shared" si="173"/>
        <v>0</v>
      </c>
      <c r="AX161" s="100">
        <f t="shared" si="174"/>
        <v>0</v>
      </c>
      <c r="AY161" s="110" t="s">
        <v>1703</v>
      </c>
      <c r="AZ161" s="110" t="s">
        <v>1730</v>
      </c>
      <c r="BA161" s="109" t="s">
        <v>1737</v>
      </c>
      <c r="BC161" s="100">
        <f t="shared" si="175"/>
        <v>0</v>
      </c>
      <c r="BD161" s="100">
        <f t="shared" si="176"/>
        <v>0</v>
      </c>
      <c r="BE161" s="100">
        <v>0</v>
      </c>
      <c r="BF161" s="100">
        <f>161</f>
        <v>161</v>
      </c>
      <c r="BH161" s="108">
        <f t="shared" si="177"/>
        <v>0</v>
      </c>
      <c r="BI161" s="108">
        <f t="shared" si="178"/>
        <v>0</v>
      </c>
      <c r="BJ161" s="108">
        <f t="shared" si="179"/>
        <v>0</v>
      </c>
    </row>
    <row r="162" spans="1:62" x14ac:dyDescent="0.2">
      <c r="A162" s="117" t="s">
        <v>131</v>
      </c>
      <c r="B162" s="117" t="s">
        <v>695</v>
      </c>
      <c r="C162" s="304" t="s">
        <v>1207</v>
      </c>
      <c r="D162" s="305"/>
      <c r="E162" s="305"/>
      <c r="F162" s="117" t="s">
        <v>1648</v>
      </c>
      <c r="G162" s="116">
        <v>3.43</v>
      </c>
      <c r="H162" s="159"/>
      <c r="I162" s="108">
        <f t="shared" si="156"/>
        <v>0</v>
      </c>
      <c r="J162" s="108">
        <f t="shared" si="157"/>
        <v>0</v>
      </c>
      <c r="K162" s="108">
        <f t="shared" si="158"/>
        <v>0</v>
      </c>
      <c r="L162" s="111" t="s">
        <v>1671</v>
      </c>
      <c r="Z162" s="100">
        <f t="shared" si="159"/>
        <v>0</v>
      </c>
      <c r="AB162" s="100">
        <f t="shared" si="160"/>
        <v>0</v>
      </c>
      <c r="AC162" s="100">
        <f t="shared" si="161"/>
        <v>0</v>
      </c>
      <c r="AD162" s="100">
        <f t="shared" si="162"/>
        <v>0</v>
      </c>
      <c r="AE162" s="100">
        <f t="shared" si="163"/>
        <v>0</v>
      </c>
      <c r="AF162" s="100">
        <f t="shared" si="164"/>
        <v>0</v>
      </c>
      <c r="AG162" s="100">
        <f t="shared" si="165"/>
        <v>0</v>
      </c>
      <c r="AH162" s="100">
        <f t="shared" si="166"/>
        <v>0</v>
      </c>
      <c r="AI162" s="109"/>
      <c r="AJ162" s="108">
        <f t="shared" si="167"/>
        <v>0</v>
      </c>
      <c r="AK162" s="108">
        <f t="shared" si="168"/>
        <v>0</v>
      </c>
      <c r="AL162" s="108">
        <f t="shared" si="169"/>
        <v>0</v>
      </c>
      <c r="AN162" s="100">
        <v>15</v>
      </c>
      <c r="AO162" s="100">
        <f t="shared" si="170"/>
        <v>0</v>
      </c>
      <c r="AP162" s="100">
        <f t="shared" si="171"/>
        <v>0</v>
      </c>
      <c r="AQ162" s="111" t="s">
        <v>11</v>
      </c>
      <c r="AV162" s="100">
        <f t="shared" si="172"/>
        <v>0</v>
      </c>
      <c r="AW162" s="100">
        <f t="shared" si="173"/>
        <v>0</v>
      </c>
      <c r="AX162" s="100">
        <f t="shared" si="174"/>
        <v>0</v>
      </c>
      <c r="AY162" s="110" t="s">
        <v>1703</v>
      </c>
      <c r="AZ162" s="110" t="s">
        <v>1730</v>
      </c>
      <c r="BA162" s="109" t="s">
        <v>1737</v>
      </c>
      <c r="BC162" s="100">
        <f t="shared" si="175"/>
        <v>0</v>
      </c>
      <c r="BD162" s="100">
        <f t="shared" si="176"/>
        <v>0</v>
      </c>
      <c r="BE162" s="100">
        <v>0</v>
      </c>
      <c r="BF162" s="100">
        <f>162</f>
        <v>162</v>
      </c>
      <c r="BH162" s="108">
        <f t="shared" si="177"/>
        <v>0</v>
      </c>
      <c r="BI162" s="108">
        <f t="shared" si="178"/>
        <v>0</v>
      </c>
      <c r="BJ162" s="108">
        <f t="shared" si="179"/>
        <v>0</v>
      </c>
    </row>
    <row r="163" spans="1:62" x14ac:dyDescent="0.2">
      <c r="A163" s="117" t="s">
        <v>132</v>
      </c>
      <c r="B163" s="117" t="s">
        <v>696</v>
      </c>
      <c r="C163" s="304" t="s">
        <v>1208</v>
      </c>
      <c r="D163" s="305"/>
      <c r="E163" s="305"/>
      <c r="F163" s="117" t="s">
        <v>1648</v>
      </c>
      <c r="G163" s="116">
        <v>14.727</v>
      </c>
      <c r="H163" s="159"/>
      <c r="I163" s="108">
        <f t="shared" si="156"/>
        <v>0</v>
      </c>
      <c r="J163" s="108">
        <f t="shared" si="157"/>
        <v>0</v>
      </c>
      <c r="K163" s="108">
        <f t="shared" si="158"/>
        <v>0</v>
      </c>
      <c r="L163" s="111" t="s">
        <v>1671</v>
      </c>
      <c r="Z163" s="100">
        <f t="shared" si="159"/>
        <v>0</v>
      </c>
      <c r="AB163" s="100">
        <f t="shared" si="160"/>
        <v>0</v>
      </c>
      <c r="AC163" s="100">
        <f t="shared" si="161"/>
        <v>0</v>
      </c>
      <c r="AD163" s="100">
        <f t="shared" si="162"/>
        <v>0</v>
      </c>
      <c r="AE163" s="100">
        <f t="shared" si="163"/>
        <v>0</v>
      </c>
      <c r="AF163" s="100">
        <f t="shared" si="164"/>
        <v>0</v>
      </c>
      <c r="AG163" s="100">
        <f t="shared" si="165"/>
        <v>0</v>
      </c>
      <c r="AH163" s="100">
        <f t="shared" si="166"/>
        <v>0</v>
      </c>
      <c r="AI163" s="109"/>
      <c r="AJ163" s="108">
        <f t="shared" si="167"/>
        <v>0</v>
      </c>
      <c r="AK163" s="108">
        <f t="shared" si="168"/>
        <v>0</v>
      </c>
      <c r="AL163" s="108">
        <f t="shared" si="169"/>
        <v>0</v>
      </c>
      <c r="AN163" s="100">
        <v>15</v>
      </c>
      <c r="AO163" s="100">
        <f t="shared" si="170"/>
        <v>0</v>
      </c>
      <c r="AP163" s="100">
        <f t="shared" si="171"/>
        <v>0</v>
      </c>
      <c r="AQ163" s="111" t="s">
        <v>11</v>
      </c>
      <c r="AV163" s="100">
        <f t="shared" si="172"/>
        <v>0</v>
      </c>
      <c r="AW163" s="100">
        <f t="shared" si="173"/>
        <v>0</v>
      </c>
      <c r="AX163" s="100">
        <f t="shared" si="174"/>
        <v>0</v>
      </c>
      <c r="AY163" s="110" t="s">
        <v>1703</v>
      </c>
      <c r="AZ163" s="110" t="s">
        <v>1730</v>
      </c>
      <c r="BA163" s="109" t="s">
        <v>1737</v>
      </c>
      <c r="BC163" s="100">
        <f t="shared" si="175"/>
        <v>0</v>
      </c>
      <c r="BD163" s="100">
        <f t="shared" si="176"/>
        <v>0</v>
      </c>
      <c r="BE163" s="100">
        <v>0</v>
      </c>
      <c r="BF163" s="100">
        <f>163</f>
        <v>163</v>
      </c>
      <c r="BH163" s="108">
        <f t="shared" si="177"/>
        <v>0</v>
      </c>
      <c r="BI163" s="108">
        <f t="shared" si="178"/>
        <v>0</v>
      </c>
      <c r="BJ163" s="108">
        <f t="shared" si="179"/>
        <v>0</v>
      </c>
    </row>
    <row r="164" spans="1:62" x14ac:dyDescent="0.2">
      <c r="A164" s="117" t="s">
        <v>133</v>
      </c>
      <c r="B164" s="117" t="s">
        <v>697</v>
      </c>
      <c r="C164" s="304" t="s">
        <v>1209</v>
      </c>
      <c r="D164" s="305"/>
      <c r="E164" s="305"/>
      <c r="F164" s="117" t="s">
        <v>1648</v>
      </c>
      <c r="G164" s="116">
        <v>24.201000000000001</v>
      </c>
      <c r="H164" s="159"/>
      <c r="I164" s="108">
        <f t="shared" si="156"/>
        <v>0</v>
      </c>
      <c r="J164" s="108">
        <f t="shared" si="157"/>
        <v>0</v>
      </c>
      <c r="K164" s="108">
        <f t="shared" si="158"/>
        <v>0</v>
      </c>
      <c r="L164" s="111" t="s">
        <v>1671</v>
      </c>
      <c r="Z164" s="100">
        <f t="shared" si="159"/>
        <v>0</v>
      </c>
      <c r="AB164" s="100">
        <f t="shared" si="160"/>
        <v>0</v>
      </c>
      <c r="AC164" s="100">
        <f t="shared" si="161"/>
        <v>0</v>
      </c>
      <c r="AD164" s="100">
        <f t="shared" si="162"/>
        <v>0</v>
      </c>
      <c r="AE164" s="100">
        <f t="shared" si="163"/>
        <v>0</v>
      </c>
      <c r="AF164" s="100">
        <f t="shared" si="164"/>
        <v>0</v>
      </c>
      <c r="AG164" s="100">
        <f t="shared" si="165"/>
        <v>0</v>
      </c>
      <c r="AH164" s="100">
        <f t="shared" si="166"/>
        <v>0</v>
      </c>
      <c r="AI164" s="109"/>
      <c r="AJ164" s="108">
        <f t="shared" si="167"/>
        <v>0</v>
      </c>
      <c r="AK164" s="108">
        <f t="shared" si="168"/>
        <v>0</v>
      </c>
      <c r="AL164" s="108">
        <f t="shared" si="169"/>
        <v>0</v>
      </c>
      <c r="AN164" s="100">
        <v>15</v>
      </c>
      <c r="AO164" s="100">
        <f t="shared" si="170"/>
        <v>0</v>
      </c>
      <c r="AP164" s="100">
        <f t="shared" si="171"/>
        <v>0</v>
      </c>
      <c r="AQ164" s="111" t="s">
        <v>11</v>
      </c>
      <c r="AV164" s="100">
        <f t="shared" si="172"/>
        <v>0</v>
      </c>
      <c r="AW164" s="100">
        <f t="shared" si="173"/>
        <v>0</v>
      </c>
      <c r="AX164" s="100">
        <f t="shared" si="174"/>
        <v>0</v>
      </c>
      <c r="AY164" s="110" t="s">
        <v>1703</v>
      </c>
      <c r="AZ164" s="110" t="s">
        <v>1730</v>
      </c>
      <c r="BA164" s="109" t="s">
        <v>1737</v>
      </c>
      <c r="BC164" s="100">
        <f t="shared" si="175"/>
        <v>0</v>
      </c>
      <c r="BD164" s="100">
        <f t="shared" si="176"/>
        <v>0</v>
      </c>
      <c r="BE164" s="100">
        <v>0</v>
      </c>
      <c r="BF164" s="100">
        <f>164</f>
        <v>164</v>
      </c>
      <c r="BH164" s="108">
        <f t="shared" si="177"/>
        <v>0</v>
      </c>
      <c r="BI164" s="108">
        <f t="shared" si="178"/>
        <v>0</v>
      </c>
      <c r="BJ164" s="108">
        <f t="shared" si="179"/>
        <v>0</v>
      </c>
    </row>
    <row r="165" spans="1:62" x14ac:dyDescent="0.2">
      <c r="A165" s="117" t="s">
        <v>134</v>
      </c>
      <c r="B165" s="117" t="s">
        <v>698</v>
      </c>
      <c r="C165" s="304" t="s">
        <v>2832</v>
      </c>
      <c r="D165" s="305"/>
      <c r="E165" s="305"/>
      <c r="F165" s="117" t="s">
        <v>1648</v>
      </c>
      <c r="G165" s="116">
        <v>33.484000000000002</v>
      </c>
      <c r="H165" s="159"/>
      <c r="I165" s="108">
        <f t="shared" si="156"/>
        <v>0</v>
      </c>
      <c r="J165" s="108">
        <f t="shared" si="157"/>
        <v>0</v>
      </c>
      <c r="K165" s="108">
        <f t="shared" si="158"/>
        <v>0</v>
      </c>
      <c r="L165" s="111" t="s">
        <v>1671</v>
      </c>
      <c r="Z165" s="100">
        <f t="shared" si="159"/>
        <v>0</v>
      </c>
      <c r="AB165" s="100">
        <f t="shared" si="160"/>
        <v>0</v>
      </c>
      <c r="AC165" s="100">
        <f t="shared" si="161"/>
        <v>0</v>
      </c>
      <c r="AD165" s="100">
        <f t="shared" si="162"/>
        <v>0</v>
      </c>
      <c r="AE165" s="100">
        <f t="shared" si="163"/>
        <v>0</v>
      </c>
      <c r="AF165" s="100">
        <f t="shared" si="164"/>
        <v>0</v>
      </c>
      <c r="AG165" s="100">
        <f t="shared" si="165"/>
        <v>0</v>
      </c>
      <c r="AH165" s="100">
        <f t="shared" si="166"/>
        <v>0</v>
      </c>
      <c r="AI165" s="109"/>
      <c r="AJ165" s="108">
        <f t="shared" si="167"/>
        <v>0</v>
      </c>
      <c r="AK165" s="108">
        <f t="shared" si="168"/>
        <v>0</v>
      </c>
      <c r="AL165" s="108">
        <f t="shared" si="169"/>
        <v>0</v>
      </c>
      <c r="AN165" s="100">
        <v>15</v>
      </c>
      <c r="AO165" s="100">
        <f t="shared" si="170"/>
        <v>0</v>
      </c>
      <c r="AP165" s="100">
        <f t="shared" si="171"/>
        <v>0</v>
      </c>
      <c r="AQ165" s="111" t="s">
        <v>11</v>
      </c>
      <c r="AV165" s="100">
        <f t="shared" si="172"/>
        <v>0</v>
      </c>
      <c r="AW165" s="100">
        <f t="shared" si="173"/>
        <v>0</v>
      </c>
      <c r="AX165" s="100">
        <f t="shared" si="174"/>
        <v>0</v>
      </c>
      <c r="AY165" s="110" t="s">
        <v>1703</v>
      </c>
      <c r="AZ165" s="110" t="s">
        <v>1730</v>
      </c>
      <c r="BA165" s="109" t="s">
        <v>1737</v>
      </c>
      <c r="BC165" s="100">
        <f t="shared" si="175"/>
        <v>0</v>
      </c>
      <c r="BD165" s="100">
        <f t="shared" si="176"/>
        <v>0</v>
      </c>
      <c r="BE165" s="100">
        <v>0</v>
      </c>
      <c r="BF165" s="100">
        <f>165</f>
        <v>165</v>
      </c>
      <c r="BH165" s="108">
        <f t="shared" si="177"/>
        <v>0</v>
      </c>
      <c r="BI165" s="108">
        <f t="shared" si="178"/>
        <v>0</v>
      </c>
      <c r="BJ165" s="108">
        <f t="shared" si="179"/>
        <v>0</v>
      </c>
    </row>
    <row r="166" spans="1:62" x14ac:dyDescent="0.2">
      <c r="A166" s="117" t="s">
        <v>135</v>
      </c>
      <c r="B166" s="117" t="s">
        <v>699</v>
      </c>
      <c r="C166" s="304" t="s">
        <v>1211</v>
      </c>
      <c r="D166" s="305"/>
      <c r="E166" s="305"/>
      <c r="F166" s="117" t="s">
        <v>1648</v>
      </c>
      <c r="G166" s="116">
        <v>0.38100000000000001</v>
      </c>
      <c r="H166" s="159"/>
      <c r="I166" s="108">
        <f t="shared" si="156"/>
        <v>0</v>
      </c>
      <c r="J166" s="108">
        <f t="shared" si="157"/>
        <v>0</v>
      </c>
      <c r="K166" s="108">
        <f t="shared" si="158"/>
        <v>0</v>
      </c>
      <c r="L166" s="111" t="s">
        <v>1671</v>
      </c>
      <c r="Z166" s="100">
        <f t="shared" si="159"/>
        <v>0</v>
      </c>
      <c r="AB166" s="100">
        <f t="shared" si="160"/>
        <v>0</v>
      </c>
      <c r="AC166" s="100">
        <f t="shared" si="161"/>
        <v>0</v>
      </c>
      <c r="AD166" s="100">
        <f t="shared" si="162"/>
        <v>0</v>
      </c>
      <c r="AE166" s="100">
        <f t="shared" si="163"/>
        <v>0</v>
      </c>
      <c r="AF166" s="100">
        <f t="shared" si="164"/>
        <v>0</v>
      </c>
      <c r="AG166" s="100">
        <f t="shared" si="165"/>
        <v>0</v>
      </c>
      <c r="AH166" s="100">
        <f t="shared" si="166"/>
        <v>0</v>
      </c>
      <c r="AI166" s="109"/>
      <c r="AJ166" s="108">
        <f t="shared" si="167"/>
        <v>0</v>
      </c>
      <c r="AK166" s="108">
        <f t="shared" si="168"/>
        <v>0</v>
      </c>
      <c r="AL166" s="108">
        <f t="shared" si="169"/>
        <v>0</v>
      </c>
      <c r="AN166" s="100">
        <v>15</v>
      </c>
      <c r="AO166" s="100">
        <f t="shared" si="170"/>
        <v>0</v>
      </c>
      <c r="AP166" s="100">
        <f t="shared" si="171"/>
        <v>0</v>
      </c>
      <c r="AQ166" s="111" t="s">
        <v>11</v>
      </c>
      <c r="AV166" s="100">
        <f t="shared" si="172"/>
        <v>0</v>
      </c>
      <c r="AW166" s="100">
        <f t="shared" si="173"/>
        <v>0</v>
      </c>
      <c r="AX166" s="100">
        <f t="shared" si="174"/>
        <v>0</v>
      </c>
      <c r="AY166" s="110" t="s">
        <v>1703</v>
      </c>
      <c r="AZ166" s="110" t="s">
        <v>1730</v>
      </c>
      <c r="BA166" s="109" t="s">
        <v>1737</v>
      </c>
      <c r="BC166" s="100">
        <f t="shared" si="175"/>
        <v>0</v>
      </c>
      <c r="BD166" s="100">
        <f t="shared" si="176"/>
        <v>0</v>
      </c>
      <c r="BE166" s="100">
        <v>0</v>
      </c>
      <c r="BF166" s="100">
        <f>166</f>
        <v>166</v>
      </c>
      <c r="BH166" s="108">
        <f t="shared" si="177"/>
        <v>0</v>
      </c>
      <c r="BI166" s="108">
        <f t="shared" si="178"/>
        <v>0</v>
      </c>
      <c r="BJ166" s="108">
        <f t="shared" si="179"/>
        <v>0</v>
      </c>
    </row>
    <row r="167" spans="1:62" x14ac:dyDescent="0.2">
      <c r="A167" s="117" t="s">
        <v>136</v>
      </c>
      <c r="B167" s="117" t="s">
        <v>700</v>
      </c>
      <c r="C167" s="304" t="s">
        <v>1212</v>
      </c>
      <c r="D167" s="305"/>
      <c r="E167" s="305"/>
      <c r="F167" s="117" t="s">
        <v>1648</v>
      </c>
      <c r="G167" s="116">
        <v>0.65400000000000003</v>
      </c>
      <c r="H167" s="159"/>
      <c r="I167" s="108">
        <f t="shared" si="156"/>
        <v>0</v>
      </c>
      <c r="J167" s="108">
        <f t="shared" si="157"/>
        <v>0</v>
      </c>
      <c r="K167" s="108">
        <f t="shared" si="158"/>
        <v>0</v>
      </c>
      <c r="L167" s="111" t="s">
        <v>1671</v>
      </c>
      <c r="Z167" s="100">
        <f t="shared" si="159"/>
        <v>0</v>
      </c>
      <c r="AB167" s="100">
        <f t="shared" si="160"/>
        <v>0</v>
      </c>
      <c r="AC167" s="100">
        <f t="shared" si="161"/>
        <v>0</v>
      </c>
      <c r="AD167" s="100">
        <f t="shared" si="162"/>
        <v>0</v>
      </c>
      <c r="AE167" s="100">
        <f t="shared" si="163"/>
        <v>0</v>
      </c>
      <c r="AF167" s="100">
        <f t="shared" si="164"/>
        <v>0</v>
      </c>
      <c r="AG167" s="100">
        <f t="shared" si="165"/>
        <v>0</v>
      </c>
      <c r="AH167" s="100">
        <f t="shared" si="166"/>
        <v>0</v>
      </c>
      <c r="AI167" s="109"/>
      <c r="AJ167" s="108">
        <f t="shared" si="167"/>
        <v>0</v>
      </c>
      <c r="AK167" s="108">
        <f t="shared" si="168"/>
        <v>0</v>
      </c>
      <c r="AL167" s="108">
        <f t="shared" si="169"/>
        <v>0</v>
      </c>
      <c r="AN167" s="100">
        <v>15</v>
      </c>
      <c r="AO167" s="100">
        <f t="shared" si="170"/>
        <v>0</v>
      </c>
      <c r="AP167" s="100">
        <f t="shared" si="171"/>
        <v>0</v>
      </c>
      <c r="AQ167" s="111" t="s">
        <v>11</v>
      </c>
      <c r="AV167" s="100">
        <f t="shared" si="172"/>
        <v>0</v>
      </c>
      <c r="AW167" s="100">
        <f t="shared" si="173"/>
        <v>0</v>
      </c>
      <c r="AX167" s="100">
        <f t="shared" si="174"/>
        <v>0</v>
      </c>
      <c r="AY167" s="110" t="s">
        <v>1703</v>
      </c>
      <c r="AZ167" s="110" t="s">
        <v>1730</v>
      </c>
      <c r="BA167" s="109" t="s">
        <v>1737</v>
      </c>
      <c r="BC167" s="100">
        <f t="shared" si="175"/>
        <v>0</v>
      </c>
      <c r="BD167" s="100">
        <f t="shared" si="176"/>
        <v>0</v>
      </c>
      <c r="BE167" s="100">
        <v>0</v>
      </c>
      <c r="BF167" s="100">
        <f>167</f>
        <v>167</v>
      </c>
      <c r="BH167" s="108">
        <f t="shared" si="177"/>
        <v>0</v>
      </c>
      <c r="BI167" s="108">
        <f t="shared" si="178"/>
        <v>0</v>
      </c>
      <c r="BJ167" s="108">
        <f t="shared" si="179"/>
        <v>0</v>
      </c>
    </row>
    <row r="168" spans="1:62" x14ac:dyDescent="0.2">
      <c r="A168" s="117" t="s">
        <v>137</v>
      </c>
      <c r="B168" s="117" t="s">
        <v>701</v>
      </c>
      <c r="C168" s="304" t="s">
        <v>1213</v>
      </c>
      <c r="D168" s="305"/>
      <c r="E168" s="305"/>
      <c r="F168" s="117" t="s">
        <v>1648</v>
      </c>
      <c r="G168" s="116">
        <v>4.4279999999999999</v>
      </c>
      <c r="H168" s="159"/>
      <c r="I168" s="108">
        <f t="shared" si="156"/>
        <v>0</v>
      </c>
      <c r="J168" s="108">
        <f t="shared" si="157"/>
        <v>0</v>
      </c>
      <c r="K168" s="108">
        <f t="shared" si="158"/>
        <v>0</v>
      </c>
      <c r="L168" s="111" t="s">
        <v>1671</v>
      </c>
      <c r="Z168" s="100">
        <f t="shared" si="159"/>
        <v>0</v>
      </c>
      <c r="AB168" s="100">
        <f t="shared" si="160"/>
        <v>0</v>
      </c>
      <c r="AC168" s="100">
        <f t="shared" si="161"/>
        <v>0</v>
      </c>
      <c r="AD168" s="100">
        <f t="shared" si="162"/>
        <v>0</v>
      </c>
      <c r="AE168" s="100">
        <f t="shared" si="163"/>
        <v>0</v>
      </c>
      <c r="AF168" s="100">
        <f t="shared" si="164"/>
        <v>0</v>
      </c>
      <c r="AG168" s="100">
        <f t="shared" si="165"/>
        <v>0</v>
      </c>
      <c r="AH168" s="100">
        <f t="shared" si="166"/>
        <v>0</v>
      </c>
      <c r="AI168" s="109"/>
      <c r="AJ168" s="108">
        <f t="shared" si="167"/>
        <v>0</v>
      </c>
      <c r="AK168" s="108">
        <f t="shared" si="168"/>
        <v>0</v>
      </c>
      <c r="AL168" s="108">
        <f t="shared" si="169"/>
        <v>0</v>
      </c>
      <c r="AN168" s="100">
        <v>15</v>
      </c>
      <c r="AO168" s="100">
        <f t="shared" si="170"/>
        <v>0</v>
      </c>
      <c r="AP168" s="100">
        <f t="shared" si="171"/>
        <v>0</v>
      </c>
      <c r="AQ168" s="111" t="s">
        <v>11</v>
      </c>
      <c r="AV168" s="100">
        <f t="shared" si="172"/>
        <v>0</v>
      </c>
      <c r="AW168" s="100">
        <f t="shared" si="173"/>
        <v>0</v>
      </c>
      <c r="AX168" s="100">
        <f t="shared" si="174"/>
        <v>0</v>
      </c>
      <c r="AY168" s="110" t="s">
        <v>1703</v>
      </c>
      <c r="AZ168" s="110" t="s">
        <v>1730</v>
      </c>
      <c r="BA168" s="109" t="s">
        <v>1737</v>
      </c>
      <c r="BC168" s="100">
        <f t="shared" si="175"/>
        <v>0</v>
      </c>
      <c r="BD168" s="100">
        <f t="shared" si="176"/>
        <v>0</v>
      </c>
      <c r="BE168" s="100">
        <v>0</v>
      </c>
      <c r="BF168" s="100">
        <f>168</f>
        <v>168</v>
      </c>
      <c r="BH168" s="108">
        <f t="shared" si="177"/>
        <v>0</v>
      </c>
      <c r="BI168" s="108">
        <f t="shared" si="178"/>
        <v>0</v>
      </c>
      <c r="BJ168" s="108">
        <f t="shared" si="179"/>
        <v>0</v>
      </c>
    </row>
    <row r="169" spans="1:62" x14ac:dyDescent="0.2">
      <c r="A169" s="117" t="s">
        <v>138</v>
      </c>
      <c r="B169" s="117" t="s">
        <v>702</v>
      </c>
      <c r="C169" s="304" t="s">
        <v>1214</v>
      </c>
      <c r="D169" s="305"/>
      <c r="E169" s="305"/>
      <c r="F169" s="117" t="s">
        <v>1648</v>
      </c>
      <c r="G169" s="116">
        <v>8.2270000000000003</v>
      </c>
      <c r="H169" s="159"/>
      <c r="I169" s="108">
        <f t="shared" si="156"/>
        <v>0</v>
      </c>
      <c r="J169" s="108">
        <f t="shared" si="157"/>
        <v>0</v>
      </c>
      <c r="K169" s="108">
        <f t="shared" si="158"/>
        <v>0</v>
      </c>
      <c r="L169" s="111" t="s">
        <v>1671</v>
      </c>
      <c r="Z169" s="100">
        <f t="shared" si="159"/>
        <v>0</v>
      </c>
      <c r="AB169" s="100">
        <f t="shared" si="160"/>
        <v>0</v>
      </c>
      <c r="AC169" s="100">
        <f t="shared" si="161"/>
        <v>0</v>
      </c>
      <c r="AD169" s="100">
        <f t="shared" si="162"/>
        <v>0</v>
      </c>
      <c r="AE169" s="100">
        <f t="shared" si="163"/>
        <v>0</v>
      </c>
      <c r="AF169" s="100">
        <f t="shared" si="164"/>
        <v>0</v>
      </c>
      <c r="AG169" s="100">
        <f t="shared" si="165"/>
        <v>0</v>
      </c>
      <c r="AH169" s="100">
        <f t="shared" si="166"/>
        <v>0</v>
      </c>
      <c r="AI169" s="109"/>
      <c r="AJ169" s="108">
        <f t="shared" si="167"/>
        <v>0</v>
      </c>
      <c r="AK169" s="108">
        <f t="shared" si="168"/>
        <v>0</v>
      </c>
      <c r="AL169" s="108">
        <f t="shared" si="169"/>
        <v>0</v>
      </c>
      <c r="AN169" s="100">
        <v>15</v>
      </c>
      <c r="AO169" s="100">
        <f t="shared" si="170"/>
        <v>0</v>
      </c>
      <c r="AP169" s="100">
        <f t="shared" si="171"/>
        <v>0</v>
      </c>
      <c r="AQ169" s="111" t="s">
        <v>11</v>
      </c>
      <c r="AV169" s="100">
        <f t="shared" si="172"/>
        <v>0</v>
      </c>
      <c r="AW169" s="100">
        <f t="shared" si="173"/>
        <v>0</v>
      </c>
      <c r="AX169" s="100">
        <f t="shared" si="174"/>
        <v>0</v>
      </c>
      <c r="AY169" s="110" t="s">
        <v>1703</v>
      </c>
      <c r="AZ169" s="110" t="s">
        <v>1730</v>
      </c>
      <c r="BA169" s="109" t="s">
        <v>1737</v>
      </c>
      <c r="BC169" s="100">
        <f t="shared" si="175"/>
        <v>0</v>
      </c>
      <c r="BD169" s="100">
        <f t="shared" si="176"/>
        <v>0</v>
      </c>
      <c r="BE169" s="100">
        <v>0</v>
      </c>
      <c r="BF169" s="100">
        <f>169</f>
        <v>169</v>
      </c>
      <c r="BH169" s="108">
        <f t="shared" si="177"/>
        <v>0</v>
      </c>
      <c r="BI169" s="108">
        <f t="shared" si="178"/>
        <v>0</v>
      </c>
      <c r="BJ169" s="108">
        <f t="shared" si="179"/>
        <v>0</v>
      </c>
    </row>
    <row r="170" spans="1:62" x14ac:dyDescent="0.2">
      <c r="A170" s="119"/>
      <c r="B170" s="120" t="s">
        <v>703</v>
      </c>
      <c r="C170" s="306" t="s">
        <v>1215</v>
      </c>
      <c r="D170" s="307"/>
      <c r="E170" s="307"/>
      <c r="F170" s="119" t="s">
        <v>6</v>
      </c>
      <c r="G170" s="119" t="s">
        <v>6</v>
      </c>
      <c r="H170" s="119" t="s">
        <v>6</v>
      </c>
      <c r="I170" s="118">
        <f>SUM(I171:I171)</f>
        <v>0</v>
      </c>
      <c r="J170" s="118">
        <f>SUM(J171:J171)</f>
        <v>0</v>
      </c>
      <c r="K170" s="118">
        <f>SUM(K171:K171)</f>
        <v>0</v>
      </c>
      <c r="L170" s="109"/>
      <c r="AI170" s="109"/>
      <c r="AS170" s="118">
        <f>SUM(AJ171:AJ171)</f>
        <v>0</v>
      </c>
      <c r="AT170" s="118">
        <f>SUM(AK171:AK171)</f>
        <v>0</v>
      </c>
      <c r="AU170" s="118">
        <f>SUM(AL171:AL171)</f>
        <v>0</v>
      </c>
    </row>
    <row r="171" spans="1:62" x14ac:dyDescent="0.2">
      <c r="A171" s="117" t="s">
        <v>139</v>
      </c>
      <c r="B171" s="117" t="s">
        <v>704</v>
      </c>
      <c r="C171" s="304" t="s">
        <v>1216</v>
      </c>
      <c r="D171" s="305"/>
      <c r="E171" s="305"/>
      <c r="F171" s="117" t="s">
        <v>1648</v>
      </c>
      <c r="G171" s="116">
        <v>182.935</v>
      </c>
      <c r="H171" s="159"/>
      <c r="I171" s="108">
        <f>G171*AO171</f>
        <v>0</v>
      </c>
      <c r="J171" s="108">
        <f>G171*AP171</f>
        <v>0</v>
      </c>
      <c r="K171" s="108">
        <f>G171*H171</f>
        <v>0</v>
      </c>
      <c r="L171" s="111" t="s">
        <v>1671</v>
      </c>
      <c r="Z171" s="100">
        <f>IF(AQ171="5",BJ171,0)</f>
        <v>0</v>
      </c>
      <c r="AB171" s="100">
        <f>IF(AQ171="1",BH171,0)</f>
        <v>0</v>
      </c>
      <c r="AC171" s="100">
        <f>IF(AQ171="1",BI171,0)</f>
        <v>0</v>
      </c>
      <c r="AD171" s="100">
        <f>IF(AQ171="7",BH171,0)</f>
        <v>0</v>
      </c>
      <c r="AE171" s="100">
        <f>IF(AQ171="7",BI171,0)</f>
        <v>0</v>
      </c>
      <c r="AF171" s="100">
        <f>IF(AQ171="2",BH171,0)</f>
        <v>0</v>
      </c>
      <c r="AG171" s="100">
        <f>IF(AQ171="2",BI171,0)</f>
        <v>0</v>
      </c>
      <c r="AH171" s="100">
        <f>IF(AQ171="0",BJ171,0)</f>
        <v>0</v>
      </c>
      <c r="AI171" s="109"/>
      <c r="AJ171" s="108">
        <f>IF(AN171=0,K171,0)</f>
        <v>0</v>
      </c>
      <c r="AK171" s="108">
        <f>IF(AN171=15,K171,0)</f>
        <v>0</v>
      </c>
      <c r="AL171" s="108">
        <f>IF(AN171=21,K171,0)</f>
        <v>0</v>
      </c>
      <c r="AN171" s="100">
        <v>15</v>
      </c>
      <c r="AO171" s="100">
        <f>H171*0</f>
        <v>0</v>
      </c>
      <c r="AP171" s="100">
        <f>H171*(1-0)</f>
        <v>0</v>
      </c>
      <c r="AQ171" s="111" t="s">
        <v>11</v>
      </c>
      <c r="AV171" s="100">
        <f>AW171+AX171</f>
        <v>0</v>
      </c>
      <c r="AW171" s="100">
        <f>G171*AO171</f>
        <v>0</v>
      </c>
      <c r="AX171" s="100">
        <f>G171*AP171</f>
        <v>0</v>
      </c>
      <c r="AY171" s="110" t="s">
        <v>1704</v>
      </c>
      <c r="AZ171" s="110" t="s">
        <v>1730</v>
      </c>
      <c r="BA171" s="109" t="s">
        <v>1737</v>
      </c>
      <c r="BC171" s="100">
        <f>AW171+AX171</f>
        <v>0</v>
      </c>
      <c r="BD171" s="100">
        <f>H171/(100-BE171)*100</f>
        <v>0</v>
      </c>
      <c r="BE171" s="100">
        <v>0</v>
      </c>
      <c r="BF171" s="100">
        <f>171</f>
        <v>171</v>
      </c>
      <c r="BH171" s="108">
        <f>G171*AO171</f>
        <v>0</v>
      </c>
      <c r="BI171" s="108">
        <f>G171*AP171</f>
        <v>0</v>
      </c>
      <c r="BJ171" s="108">
        <f>G171*H171</f>
        <v>0</v>
      </c>
    </row>
    <row r="172" spans="1:62" x14ac:dyDescent="0.2">
      <c r="A172" s="119"/>
      <c r="B172" s="120" t="s">
        <v>705</v>
      </c>
      <c r="C172" s="306" t="s">
        <v>1217</v>
      </c>
      <c r="D172" s="307"/>
      <c r="E172" s="307"/>
      <c r="F172" s="119" t="s">
        <v>6</v>
      </c>
      <c r="G172" s="119" t="s">
        <v>6</v>
      </c>
      <c r="H172" s="119" t="s">
        <v>6</v>
      </c>
      <c r="I172" s="118">
        <f>SUM(I173:I176)</f>
        <v>0</v>
      </c>
      <c r="J172" s="118">
        <f>SUM(J173:J176)</f>
        <v>0</v>
      </c>
      <c r="K172" s="118">
        <f>SUM(K173:K176)</f>
        <v>0</v>
      </c>
      <c r="L172" s="109"/>
      <c r="AI172" s="109"/>
      <c r="AS172" s="118">
        <f>SUM(AJ173:AJ176)</f>
        <v>0</v>
      </c>
      <c r="AT172" s="118">
        <f>SUM(AK173:AK176)</f>
        <v>0</v>
      </c>
      <c r="AU172" s="118">
        <f>SUM(AL173:AL176)</f>
        <v>0</v>
      </c>
    </row>
    <row r="173" spans="1:62" x14ac:dyDescent="0.2">
      <c r="A173" s="117" t="s">
        <v>140</v>
      </c>
      <c r="B173" s="117" t="s">
        <v>706</v>
      </c>
      <c r="C173" s="304" t="s">
        <v>1218</v>
      </c>
      <c r="D173" s="305"/>
      <c r="E173" s="305"/>
      <c r="F173" s="117" t="s">
        <v>1645</v>
      </c>
      <c r="G173" s="116">
        <v>357.27</v>
      </c>
      <c r="H173" s="159"/>
      <c r="I173" s="108">
        <f>G173*AO173</f>
        <v>0</v>
      </c>
      <c r="J173" s="108">
        <f>G173*AP173</f>
        <v>0</v>
      </c>
      <c r="K173" s="108">
        <f>G173*H173</f>
        <v>0</v>
      </c>
      <c r="L173" s="111" t="s">
        <v>1671</v>
      </c>
      <c r="Z173" s="100">
        <f>IF(AQ173="5",BJ173,0)</f>
        <v>0</v>
      </c>
      <c r="AB173" s="100">
        <f>IF(AQ173="1",BH173,0)</f>
        <v>0</v>
      </c>
      <c r="AC173" s="100">
        <f>IF(AQ173="1",BI173,0)</f>
        <v>0</v>
      </c>
      <c r="AD173" s="100">
        <f>IF(AQ173="7",BH173,0)</f>
        <v>0</v>
      </c>
      <c r="AE173" s="100">
        <f>IF(AQ173="7",BI173,0)</f>
        <v>0</v>
      </c>
      <c r="AF173" s="100">
        <f>IF(AQ173="2",BH173,0)</f>
        <v>0</v>
      </c>
      <c r="AG173" s="100">
        <f>IF(AQ173="2",BI173,0)</f>
        <v>0</v>
      </c>
      <c r="AH173" s="100">
        <f>IF(AQ173="0",BJ173,0)</f>
        <v>0</v>
      </c>
      <c r="AI173" s="109"/>
      <c r="AJ173" s="108">
        <f>IF(AN173=0,K173,0)</f>
        <v>0</v>
      </c>
      <c r="AK173" s="108">
        <f>IF(AN173=15,K173,0)</f>
        <v>0</v>
      </c>
      <c r="AL173" s="108">
        <f>IF(AN173=21,K173,0)</f>
        <v>0</v>
      </c>
      <c r="AN173" s="100">
        <v>15</v>
      </c>
      <c r="AO173" s="100">
        <f>H173*0</f>
        <v>0</v>
      </c>
      <c r="AP173" s="100">
        <f>H173*(1-0)</f>
        <v>0</v>
      </c>
      <c r="AQ173" s="111" t="s">
        <v>13</v>
      </c>
      <c r="AV173" s="100">
        <f>AW173+AX173</f>
        <v>0</v>
      </c>
      <c r="AW173" s="100">
        <f>G173*AO173</f>
        <v>0</v>
      </c>
      <c r="AX173" s="100">
        <f>G173*AP173</f>
        <v>0</v>
      </c>
      <c r="AY173" s="110" t="s">
        <v>1705</v>
      </c>
      <c r="AZ173" s="110" t="s">
        <v>1731</v>
      </c>
      <c r="BA173" s="109" t="s">
        <v>1737</v>
      </c>
      <c r="BC173" s="100">
        <f>AW173+AX173</f>
        <v>0</v>
      </c>
      <c r="BD173" s="100">
        <f>H173/(100-BE173)*100</f>
        <v>0</v>
      </c>
      <c r="BE173" s="100">
        <v>0</v>
      </c>
      <c r="BF173" s="100">
        <f>173</f>
        <v>173</v>
      </c>
      <c r="BH173" s="108">
        <f>G173*AO173</f>
        <v>0</v>
      </c>
      <c r="BI173" s="108">
        <f>G173*AP173</f>
        <v>0</v>
      </c>
      <c r="BJ173" s="108">
        <f>G173*H173</f>
        <v>0</v>
      </c>
    </row>
    <row r="174" spans="1:62" x14ac:dyDescent="0.2">
      <c r="A174" s="117" t="s">
        <v>141</v>
      </c>
      <c r="B174" s="117" t="s">
        <v>707</v>
      </c>
      <c r="C174" s="304" t="s">
        <v>1219</v>
      </c>
      <c r="D174" s="305"/>
      <c r="E174" s="305"/>
      <c r="F174" s="117" t="s">
        <v>1644</v>
      </c>
      <c r="G174" s="116">
        <v>20</v>
      </c>
      <c r="H174" s="159"/>
      <c r="I174" s="108">
        <f>G174*AO174</f>
        <v>0</v>
      </c>
      <c r="J174" s="108">
        <f>G174*AP174</f>
        <v>0</v>
      </c>
      <c r="K174" s="108">
        <f>G174*H174</f>
        <v>0</v>
      </c>
      <c r="L174" s="111" t="s">
        <v>1671</v>
      </c>
      <c r="Z174" s="100">
        <f>IF(AQ174="5",BJ174,0)</f>
        <v>0</v>
      </c>
      <c r="AB174" s="100">
        <f>IF(AQ174="1",BH174,0)</f>
        <v>0</v>
      </c>
      <c r="AC174" s="100">
        <f>IF(AQ174="1",BI174,0)</f>
        <v>0</v>
      </c>
      <c r="AD174" s="100">
        <f>IF(AQ174="7",BH174,0)</f>
        <v>0</v>
      </c>
      <c r="AE174" s="100">
        <f>IF(AQ174="7",BI174,0)</f>
        <v>0</v>
      </c>
      <c r="AF174" s="100">
        <f>IF(AQ174="2",BH174,0)</f>
        <v>0</v>
      </c>
      <c r="AG174" s="100">
        <f>IF(AQ174="2",BI174,0)</f>
        <v>0</v>
      </c>
      <c r="AH174" s="100">
        <f>IF(AQ174="0",BJ174,0)</f>
        <v>0</v>
      </c>
      <c r="AI174" s="109"/>
      <c r="AJ174" s="108">
        <f>IF(AN174=0,K174,0)</f>
        <v>0</v>
      </c>
      <c r="AK174" s="108">
        <f>IF(AN174=15,K174,0)</f>
        <v>0</v>
      </c>
      <c r="AL174" s="108">
        <f>IF(AN174=21,K174,0)</f>
        <v>0</v>
      </c>
      <c r="AN174" s="100">
        <v>15</v>
      </c>
      <c r="AO174" s="100">
        <f>H174*0.846349462365591</f>
        <v>0</v>
      </c>
      <c r="AP174" s="100">
        <f>H174*(1-0.846349462365591)</f>
        <v>0</v>
      </c>
      <c r="AQ174" s="111" t="s">
        <v>13</v>
      </c>
      <c r="AV174" s="100">
        <f>AW174+AX174</f>
        <v>0</v>
      </c>
      <c r="AW174" s="100">
        <f>G174*AO174</f>
        <v>0</v>
      </c>
      <c r="AX174" s="100">
        <f>G174*AP174</f>
        <v>0</v>
      </c>
      <c r="AY174" s="110" t="s">
        <v>1705</v>
      </c>
      <c r="AZ174" s="110" t="s">
        <v>1731</v>
      </c>
      <c r="BA174" s="109" t="s">
        <v>1737</v>
      </c>
      <c r="BC174" s="100">
        <f>AW174+AX174</f>
        <v>0</v>
      </c>
      <c r="BD174" s="100">
        <f>H174/(100-BE174)*100</f>
        <v>0</v>
      </c>
      <c r="BE174" s="100">
        <v>0</v>
      </c>
      <c r="BF174" s="100">
        <f>174</f>
        <v>174</v>
      </c>
      <c r="BH174" s="108">
        <f>G174*AO174</f>
        <v>0</v>
      </c>
      <c r="BI174" s="108">
        <f>G174*AP174</f>
        <v>0</v>
      </c>
      <c r="BJ174" s="108">
        <f>G174*H174</f>
        <v>0</v>
      </c>
    </row>
    <row r="175" spans="1:62" x14ac:dyDescent="0.2">
      <c r="A175" s="117" t="s">
        <v>142</v>
      </c>
      <c r="B175" s="117" t="s">
        <v>708</v>
      </c>
      <c r="C175" s="304" t="s">
        <v>2831</v>
      </c>
      <c r="D175" s="305"/>
      <c r="E175" s="305"/>
      <c r="F175" s="117" t="s">
        <v>1645</v>
      </c>
      <c r="G175" s="116">
        <v>357.27</v>
      </c>
      <c r="H175" s="159"/>
      <c r="I175" s="108">
        <f>G175*AO175</f>
        <v>0</v>
      </c>
      <c r="J175" s="108">
        <f>G175*AP175</f>
        <v>0</v>
      </c>
      <c r="K175" s="108">
        <f>G175*H175</f>
        <v>0</v>
      </c>
      <c r="L175" s="111" t="s">
        <v>1671</v>
      </c>
      <c r="Z175" s="100">
        <f>IF(AQ175="5",BJ175,0)</f>
        <v>0</v>
      </c>
      <c r="AB175" s="100">
        <f>IF(AQ175="1",BH175,0)</f>
        <v>0</v>
      </c>
      <c r="AC175" s="100">
        <f>IF(AQ175="1",BI175,0)</f>
        <v>0</v>
      </c>
      <c r="AD175" s="100">
        <f>IF(AQ175="7",BH175,0)</f>
        <v>0</v>
      </c>
      <c r="AE175" s="100">
        <f>IF(AQ175="7",BI175,0)</f>
        <v>0</v>
      </c>
      <c r="AF175" s="100">
        <f>IF(AQ175="2",BH175,0)</f>
        <v>0</v>
      </c>
      <c r="AG175" s="100">
        <f>IF(AQ175="2",BI175,0)</f>
        <v>0</v>
      </c>
      <c r="AH175" s="100">
        <f>IF(AQ175="0",BJ175,0)</f>
        <v>0</v>
      </c>
      <c r="AI175" s="109"/>
      <c r="AJ175" s="108">
        <f>IF(AN175=0,K175,0)</f>
        <v>0</v>
      </c>
      <c r="AK175" s="108">
        <f>IF(AN175=15,K175,0)</f>
        <v>0</v>
      </c>
      <c r="AL175" s="108">
        <f>IF(AN175=21,K175,0)</f>
        <v>0</v>
      </c>
      <c r="AN175" s="100">
        <v>15</v>
      </c>
      <c r="AO175" s="100">
        <f>H175*0.427372177362561</f>
        <v>0</v>
      </c>
      <c r="AP175" s="100">
        <f>H175*(1-0.427372177362561)</f>
        <v>0</v>
      </c>
      <c r="AQ175" s="111" t="s">
        <v>13</v>
      </c>
      <c r="AV175" s="100">
        <f>AW175+AX175</f>
        <v>0</v>
      </c>
      <c r="AW175" s="100">
        <f>G175*AO175</f>
        <v>0</v>
      </c>
      <c r="AX175" s="100">
        <f>G175*AP175</f>
        <v>0</v>
      </c>
      <c r="AY175" s="110" t="s">
        <v>1705</v>
      </c>
      <c r="AZ175" s="110" t="s">
        <v>1731</v>
      </c>
      <c r="BA175" s="109" t="s">
        <v>1737</v>
      </c>
      <c r="BC175" s="100">
        <f>AW175+AX175</f>
        <v>0</v>
      </c>
      <c r="BD175" s="100">
        <f>H175/(100-BE175)*100</f>
        <v>0</v>
      </c>
      <c r="BE175" s="100">
        <v>0</v>
      </c>
      <c r="BF175" s="100">
        <f>175</f>
        <v>175</v>
      </c>
      <c r="BH175" s="108">
        <f>G175*AO175</f>
        <v>0</v>
      </c>
      <c r="BI175" s="108">
        <f>G175*AP175</f>
        <v>0</v>
      </c>
      <c r="BJ175" s="108">
        <f>G175*H175</f>
        <v>0</v>
      </c>
    </row>
    <row r="176" spans="1:62" x14ac:dyDescent="0.2">
      <c r="A176" s="117" t="s">
        <v>143</v>
      </c>
      <c r="B176" s="117" t="s">
        <v>709</v>
      </c>
      <c r="C176" s="304" t="s">
        <v>1221</v>
      </c>
      <c r="D176" s="305"/>
      <c r="E176" s="305"/>
      <c r="F176" s="117" t="s">
        <v>1648</v>
      </c>
      <c r="G176" s="116">
        <v>4.4589999999999996</v>
      </c>
      <c r="H176" s="159"/>
      <c r="I176" s="108">
        <f>G176*AO176</f>
        <v>0</v>
      </c>
      <c r="J176" s="108">
        <f>G176*AP176</f>
        <v>0</v>
      </c>
      <c r="K176" s="108">
        <f>G176*H176</f>
        <v>0</v>
      </c>
      <c r="L176" s="111" t="s">
        <v>1671</v>
      </c>
      <c r="Z176" s="100">
        <f>IF(AQ176="5",BJ176,0)</f>
        <v>0</v>
      </c>
      <c r="AB176" s="100">
        <f>IF(AQ176="1",BH176,0)</f>
        <v>0</v>
      </c>
      <c r="AC176" s="100">
        <f>IF(AQ176="1",BI176,0)</f>
        <v>0</v>
      </c>
      <c r="AD176" s="100">
        <f>IF(AQ176="7",BH176,0)</f>
        <v>0</v>
      </c>
      <c r="AE176" s="100">
        <f>IF(AQ176="7",BI176,0)</f>
        <v>0</v>
      </c>
      <c r="AF176" s="100">
        <f>IF(AQ176="2",BH176,0)</f>
        <v>0</v>
      </c>
      <c r="AG176" s="100">
        <f>IF(AQ176="2",BI176,0)</f>
        <v>0</v>
      </c>
      <c r="AH176" s="100">
        <f>IF(AQ176="0",BJ176,0)</f>
        <v>0</v>
      </c>
      <c r="AI176" s="109"/>
      <c r="AJ176" s="108">
        <f>IF(AN176=0,K176,0)</f>
        <v>0</v>
      </c>
      <c r="AK176" s="108">
        <f>IF(AN176=15,K176,0)</f>
        <v>0</v>
      </c>
      <c r="AL176" s="108">
        <f>IF(AN176=21,K176,0)</f>
        <v>0</v>
      </c>
      <c r="AN176" s="100">
        <v>15</v>
      </c>
      <c r="AO176" s="100">
        <f>H176*0</f>
        <v>0</v>
      </c>
      <c r="AP176" s="100">
        <f>H176*(1-0)</f>
        <v>0</v>
      </c>
      <c r="AQ176" s="111" t="s">
        <v>11</v>
      </c>
      <c r="AV176" s="100">
        <f>AW176+AX176</f>
        <v>0</v>
      </c>
      <c r="AW176" s="100">
        <f>G176*AO176</f>
        <v>0</v>
      </c>
      <c r="AX176" s="100">
        <f>G176*AP176</f>
        <v>0</v>
      </c>
      <c r="AY176" s="110" t="s">
        <v>1705</v>
      </c>
      <c r="AZ176" s="110" t="s">
        <v>1731</v>
      </c>
      <c r="BA176" s="109" t="s">
        <v>1737</v>
      </c>
      <c r="BC176" s="100">
        <f>AW176+AX176</f>
        <v>0</v>
      </c>
      <c r="BD176" s="100">
        <f>H176/(100-BE176)*100</f>
        <v>0</v>
      </c>
      <c r="BE176" s="100">
        <v>0</v>
      </c>
      <c r="BF176" s="100">
        <f>176</f>
        <v>176</v>
      </c>
      <c r="BH176" s="108">
        <f>G176*AO176</f>
        <v>0</v>
      </c>
      <c r="BI176" s="108">
        <f>G176*AP176</f>
        <v>0</v>
      </c>
      <c r="BJ176" s="108">
        <f>G176*H176</f>
        <v>0</v>
      </c>
    </row>
    <row r="177" spans="1:62" x14ac:dyDescent="0.2">
      <c r="A177" s="119"/>
      <c r="B177" s="120" t="s">
        <v>710</v>
      </c>
      <c r="C177" s="306" t="s">
        <v>1222</v>
      </c>
      <c r="D177" s="307"/>
      <c r="E177" s="307"/>
      <c r="F177" s="119" t="s">
        <v>6</v>
      </c>
      <c r="G177" s="119" t="s">
        <v>6</v>
      </c>
      <c r="H177" s="119" t="s">
        <v>6</v>
      </c>
      <c r="I177" s="118">
        <f>SUM(I178:I185)</f>
        <v>0</v>
      </c>
      <c r="J177" s="118">
        <f>SUM(J178:J185)</f>
        <v>0</v>
      </c>
      <c r="K177" s="118">
        <f>SUM(K178:K185)</f>
        <v>0</v>
      </c>
      <c r="L177" s="109"/>
      <c r="AI177" s="109"/>
      <c r="AS177" s="118">
        <f>SUM(AJ178:AJ185)</f>
        <v>0</v>
      </c>
      <c r="AT177" s="118">
        <f>SUM(AK178:AK185)</f>
        <v>0</v>
      </c>
      <c r="AU177" s="118">
        <f>SUM(AL178:AL185)</f>
        <v>0</v>
      </c>
    </row>
    <row r="178" spans="1:62" x14ac:dyDescent="0.2">
      <c r="A178" s="117" t="s">
        <v>144</v>
      </c>
      <c r="B178" s="117" t="s">
        <v>711</v>
      </c>
      <c r="C178" s="304" t="s">
        <v>2830</v>
      </c>
      <c r="D178" s="305"/>
      <c r="E178" s="305"/>
      <c r="F178" s="117" t="s">
        <v>1645</v>
      </c>
      <c r="G178" s="116">
        <v>310.892</v>
      </c>
      <c r="H178" s="159"/>
      <c r="I178" s="108">
        <f t="shared" ref="I178:I185" si="180">G178*AO178</f>
        <v>0</v>
      </c>
      <c r="J178" s="108">
        <f t="shared" ref="J178:J185" si="181">G178*AP178</f>
        <v>0</v>
      </c>
      <c r="K178" s="108">
        <f t="shared" ref="K178:K185" si="182">G178*H178</f>
        <v>0</v>
      </c>
      <c r="L178" s="111" t="s">
        <v>1671</v>
      </c>
      <c r="Z178" s="100">
        <f t="shared" ref="Z178:Z185" si="183">IF(AQ178="5",BJ178,0)</f>
        <v>0</v>
      </c>
      <c r="AB178" s="100">
        <f t="shared" ref="AB178:AB185" si="184">IF(AQ178="1",BH178,0)</f>
        <v>0</v>
      </c>
      <c r="AC178" s="100">
        <f t="shared" ref="AC178:AC185" si="185">IF(AQ178="1",BI178,0)</f>
        <v>0</v>
      </c>
      <c r="AD178" s="100">
        <f t="shared" ref="AD178:AD185" si="186">IF(AQ178="7",BH178,0)</f>
        <v>0</v>
      </c>
      <c r="AE178" s="100">
        <f t="shared" ref="AE178:AE185" si="187">IF(AQ178="7",BI178,0)</f>
        <v>0</v>
      </c>
      <c r="AF178" s="100">
        <f t="shared" ref="AF178:AF185" si="188">IF(AQ178="2",BH178,0)</f>
        <v>0</v>
      </c>
      <c r="AG178" s="100">
        <f t="shared" ref="AG178:AG185" si="189">IF(AQ178="2",BI178,0)</f>
        <v>0</v>
      </c>
      <c r="AH178" s="100">
        <f t="shared" ref="AH178:AH185" si="190">IF(AQ178="0",BJ178,0)</f>
        <v>0</v>
      </c>
      <c r="AI178" s="109"/>
      <c r="AJ178" s="108">
        <f t="shared" ref="AJ178:AJ185" si="191">IF(AN178=0,K178,0)</f>
        <v>0</v>
      </c>
      <c r="AK178" s="108">
        <f t="shared" ref="AK178:AK185" si="192">IF(AN178=15,K178,0)</f>
        <v>0</v>
      </c>
      <c r="AL178" s="108">
        <f t="shared" ref="AL178:AL185" si="193">IF(AN178=21,K178,0)</f>
        <v>0</v>
      </c>
      <c r="AN178" s="100">
        <v>15</v>
      </c>
      <c r="AO178" s="100">
        <f>H178*0</f>
        <v>0</v>
      </c>
      <c r="AP178" s="100">
        <f>H178*(1-0)</f>
        <v>0</v>
      </c>
      <c r="AQ178" s="111" t="s">
        <v>13</v>
      </c>
      <c r="AV178" s="100">
        <f t="shared" ref="AV178:AV185" si="194">AW178+AX178</f>
        <v>0</v>
      </c>
      <c r="AW178" s="100">
        <f t="shared" ref="AW178:AW185" si="195">G178*AO178</f>
        <v>0</v>
      </c>
      <c r="AX178" s="100">
        <f t="shared" ref="AX178:AX185" si="196">G178*AP178</f>
        <v>0</v>
      </c>
      <c r="AY178" s="110" t="s">
        <v>1706</v>
      </c>
      <c r="AZ178" s="110" t="s">
        <v>1731</v>
      </c>
      <c r="BA178" s="109" t="s">
        <v>1737</v>
      </c>
      <c r="BC178" s="100">
        <f t="shared" ref="BC178:BC185" si="197">AW178+AX178</f>
        <v>0</v>
      </c>
      <c r="BD178" s="100">
        <f t="shared" ref="BD178:BD185" si="198">H178/(100-BE178)*100</f>
        <v>0</v>
      </c>
      <c r="BE178" s="100">
        <v>0</v>
      </c>
      <c r="BF178" s="100">
        <f>178</f>
        <v>178</v>
      </c>
      <c r="BH178" s="108">
        <f t="shared" ref="BH178:BH185" si="199">G178*AO178</f>
        <v>0</v>
      </c>
      <c r="BI178" s="108">
        <f t="shared" ref="BI178:BI185" si="200">G178*AP178</f>
        <v>0</v>
      </c>
      <c r="BJ178" s="108">
        <f t="shared" ref="BJ178:BJ185" si="201">G178*H178</f>
        <v>0</v>
      </c>
    </row>
    <row r="179" spans="1:62" x14ac:dyDescent="0.2">
      <c r="A179" s="124" t="s">
        <v>145</v>
      </c>
      <c r="B179" s="124" t="s">
        <v>712</v>
      </c>
      <c r="C179" s="311" t="s">
        <v>1224</v>
      </c>
      <c r="D179" s="312"/>
      <c r="E179" s="312"/>
      <c r="F179" s="124" t="s">
        <v>1645</v>
      </c>
      <c r="G179" s="123">
        <v>341.98099999999999</v>
      </c>
      <c r="H179" s="160"/>
      <c r="I179" s="121">
        <f t="shared" si="180"/>
        <v>0</v>
      </c>
      <c r="J179" s="121">
        <f t="shared" si="181"/>
        <v>0</v>
      </c>
      <c r="K179" s="121">
        <f t="shared" si="182"/>
        <v>0</v>
      </c>
      <c r="L179" s="122" t="s">
        <v>1671</v>
      </c>
      <c r="Z179" s="100">
        <f t="shared" si="183"/>
        <v>0</v>
      </c>
      <c r="AB179" s="100">
        <f t="shared" si="184"/>
        <v>0</v>
      </c>
      <c r="AC179" s="100">
        <f t="shared" si="185"/>
        <v>0</v>
      </c>
      <c r="AD179" s="100">
        <f t="shared" si="186"/>
        <v>0</v>
      </c>
      <c r="AE179" s="100">
        <f t="shared" si="187"/>
        <v>0</v>
      </c>
      <c r="AF179" s="100">
        <f t="shared" si="188"/>
        <v>0</v>
      </c>
      <c r="AG179" s="100">
        <f t="shared" si="189"/>
        <v>0</v>
      </c>
      <c r="AH179" s="100">
        <f t="shared" si="190"/>
        <v>0</v>
      </c>
      <c r="AI179" s="109"/>
      <c r="AJ179" s="121">
        <f t="shared" si="191"/>
        <v>0</v>
      </c>
      <c r="AK179" s="121">
        <f t="shared" si="192"/>
        <v>0</v>
      </c>
      <c r="AL179" s="121">
        <f t="shared" si="193"/>
        <v>0</v>
      </c>
      <c r="AN179" s="100">
        <v>15</v>
      </c>
      <c r="AO179" s="100">
        <f>H179*1</f>
        <v>0</v>
      </c>
      <c r="AP179" s="100">
        <f>H179*(1-1)</f>
        <v>0</v>
      </c>
      <c r="AQ179" s="122" t="s">
        <v>13</v>
      </c>
      <c r="AV179" s="100">
        <f t="shared" si="194"/>
        <v>0</v>
      </c>
      <c r="AW179" s="100">
        <f t="shared" si="195"/>
        <v>0</v>
      </c>
      <c r="AX179" s="100">
        <f t="shared" si="196"/>
        <v>0</v>
      </c>
      <c r="AY179" s="110" t="s">
        <v>1706</v>
      </c>
      <c r="AZ179" s="110" t="s">
        <v>1731</v>
      </c>
      <c r="BA179" s="109" t="s">
        <v>1737</v>
      </c>
      <c r="BC179" s="100">
        <f t="shared" si="197"/>
        <v>0</v>
      </c>
      <c r="BD179" s="100">
        <f t="shared" si="198"/>
        <v>0</v>
      </c>
      <c r="BE179" s="100">
        <v>0</v>
      </c>
      <c r="BF179" s="100">
        <f>179</f>
        <v>179</v>
      </c>
      <c r="BH179" s="121">
        <f t="shared" si="199"/>
        <v>0</v>
      </c>
      <c r="BI179" s="121">
        <f t="shared" si="200"/>
        <v>0</v>
      </c>
      <c r="BJ179" s="121">
        <f t="shared" si="201"/>
        <v>0</v>
      </c>
    </row>
    <row r="180" spans="1:62" x14ac:dyDescent="0.2">
      <c r="A180" s="124" t="s">
        <v>146</v>
      </c>
      <c r="B180" s="124" t="s">
        <v>713</v>
      </c>
      <c r="C180" s="311" t="s">
        <v>1225</v>
      </c>
      <c r="D180" s="312"/>
      <c r="E180" s="312"/>
      <c r="F180" s="124" t="s">
        <v>1645</v>
      </c>
      <c r="G180" s="123">
        <v>341.98099999999999</v>
      </c>
      <c r="H180" s="160"/>
      <c r="I180" s="121">
        <f t="shared" si="180"/>
        <v>0</v>
      </c>
      <c r="J180" s="121">
        <f t="shared" si="181"/>
        <v>0</v>
      </c>
      <c r="K180" s="121">
        <f t="shared" si="182"/>
        <v>0</v>
      </c>
      <c r="L180" s="122" t="s">
        <v>1671</v>
      </c>
      <c r="Z180" s="100">
        <f t="shared" si="183"/>
        <v>0</v>
      </c>
      <c r="AB180" s="100">
        <f t="shared" si="184"/>
        <v>0</v>
      </c>
      <c r="AC180" s="100">
        <f t="shared" si="185"/>
        <v>0</v>
      </c>
      <c r="AD180" s="100">
        <f t="shared" si="186"/>
        <v>0</v>
      </c>
      <c r="AE180" s="100">
        <f t="shared" si="187"/>
        <v>0</v>
      </c>
      <c r="AF180" s="100">
        <f t="shared" si="188"/>
        <v>0</v>
      </c>
      <c r="AG180" s="100">
        <f t="shared" si="189"/>
        <v>0</v>
      </c>
      <c r="AH180" s="100">
        <f t="shared" si="190"/>
        <v>0</v>
      </c>
      <c r="AI180" s="109"/>
      <c r="AJ180" s="121">
        <f t="shared" si="191"/>
        <v>0</v>
      </c>
      <c r="AK180" s="121">
        <f t="shared" si="192"/>
        <v>0</v>
      </c>
      <c r="AL180" s="121">
        <f t="shared" si="193"/>
        <v>0</v>
      </c>
      <c r="AN180" s="100">
        <v>15</v>
      </c>
      <c r="AO180" s="100">
        <f>H180*1</f>
        <v>0</v>
      </c>
      <c r="AP180" s="100">
        <f>H180*(1-1)</f>
        <v>0</v>
      </c>
      <c r="AQ180" s="122" t="s">
        <v>13</v>
      </c>
      <c r="AV180" s="100">
        <f t="shared" si="194"/>
        <v>0</v>
      </c>
      <c r="AW180" s="100">
        <f t="shared" si="195"/>
        <v>0</v>
      </c>
      <c r="AX180" s="100">
        <f t="shared" si="196"/>
        <v>0</v>
      </c>
      <c r="AY180" s="110" t="s">
        <v>1706</v>
      </c>
      <c r="AZ180" s="110" t="s">
        <v>1731</v>
      </c>
      <c r="BA180" s="109" t="s">
        <v>1737</v>
      </c>
      <c r="BC180" s="100">
        <f t="shared" si="197"/>
        <v>0</v>
      </c>
      <c r="BD180" s="100">
        <f t="shared" si="198"/>
        <v>0</v>
      </c>
      <c r="BE180" s="100">
        <v>0</v>
      </c>
      <c r="BF180" s="100">
        <f>180</f>
        <v>180</v>
      </c>
      <c r="BH180" s="121">
        <f t="shared" si="199"/>
        <v>0</v>
      </c>
      <c r="BI180" s="121">
        <f t="shared" si="200"/>
        <v>0</v>
      </c>
      <c r="BJ180" s="121">
        <f t="shared" si="201"/>
        <v>0</v>
      </c>
    </row>
    <row r="181" spans="1:62" x14ac:dyDescent="0.2">
      <c r="A181" s="117" t="s">
        <v>147</v>
      </c>
      <c r="B181" s="117" t="s">
        <v>714</v>
      </c>
      <c r="C181" s="304" t="s">
        <v>1226</v>
      </c>
      <c r="D181" s="305"/>
      <c r="E181" s="305"/>
      <c r="F181" s="117" t="s">
        <v>1646</v>
      </c>
      <c r="G181" s="116">
        <v>64.5</v>
      </c>
      <c r="H181" s="159"/>
      <c r="I181" s="108">
        <f t="shared" si="180"/>
        <v>0</v>
      </c>
      <c r="J181" s="108">
        <f t="shared" si="181"/>
        <v>0</v>
      </c>
      <c r="K181" s="108">
        <f t="shared" si="182"/>
        <v>0</v>
      </c>
      <c r="L181" s="111" t="s">
        <v>1671</v>
      </c>
      <c r="Z181" s="100">
        <f t="shared" si="183"/>
        <v>0</v>
      </c>
      <c r="AB181" s="100">
        <f t="shared" si="184"/>
        <v>0</v>
      </c>
      <c r="AC181" s="100">
        <f t="shared" si="185"/>
        <v>0</v>
      </c>
      <c r="AD181" s="100">
        <f t="shared" si="186"/>
        <v>0</v>
      </c>
      <c r="AE181" s="100">
        <f t="shared" si="187"/>
        <v>0</v>
      </c>
      <c r="AF181" s="100">
        <f t="shared" si="188"/>
        <v>0</v>
      </c>
      <c r="AG181" s="100">
        <f t="shared" si="189"/>
        <v>0</v>
      </c>
      <c r="AH181" s="100">
        <f t="shared" si="190"/>
        <v>0</v>
      </c>
      <c r="AI181" s="109"/>
      <c r="AJ181" s="108">
        <f t="shared" si="191"/>
        <v>0</v>
      </c>
      <c r="AK181" s="108">
        <f t="shared" si="192"/>
        <v>0</v>
      </c>
      <c r="AL181" s="108">
        <f t="shared" si="193"/>
        <v>0</v>
      </c>
      <c r="AN181" s="100">
        <v>15</v>
      </c>
      <c r="AO181" s="100">
        <f>H181*0</f>
        <v>0</v>
      </c>
      <c r="AP181" s="100">
        <f>H181*(1-0)</f>
        <v>0</v>
      </c>
      <c r="AQ181" s="111" t="s">
        <v>13</v>
      </c>
      <c r="AV181" s="100">
        <f t="shared" si="194"/>
        <v>0</v>
      </c>
      <c r="AW181" s="100">
        <f t="shared" si="195"/>
        <v>0</v>
      </c>
      <c r="AX181" s="100">
        <f t="shared" si="196"/>
        <v>0</v>
      </c>
      <c r="AY181" s="110" t="s">
        <v>1706</v>
      </c>
      <c r="AZ181" s="110" t="s">
        <v>1731</v>
      </c>
      <c r="BA181" s="109" t="s">
        <v>1737</v>
      </c>
      <c r="BC181" s="100">
        <f t="shared" si="197"/>
        <v>0</v>
      </c>
      <c r="BD181" s="100">
        <f t="shared" si="198"/>
        <v>0</v>
      </c>
      <c r="BE181" s="100">
        <v>0</v>
      </c>
      <c r="BF181" s="100">
        <f>181</f>
        <v>181</v>
      </c>
      <c r="BH181" s="108">
        <f t="shared" si="199"/>
        <v>0</v>
      </c>
      <c r="BI181" s="108">
        <f t="shared" si="200"/>
        <v>0</v>
      </c>
      <c r="BJ181" s="108">
        <f t="shared" si="201"/>
        <v>0</v>
      </c>
    </row>
    <row r="182" spans="1:62" x14ac:dyDescent="0.2">
      <c r="A182" s="117" t="s">
        <v>148</v>
      </c>
      <c r="B182" s="117" t="s">
        <v>715</v>
      </c>
      <c r="C182" s="304" t="s">
        <v>2829</v>
      </c>
      <c r="D182" s="305"/>
      <c r="E182" s="305"/>
      <c r="F182" s="117" t="s">
        <v>1645</v>
      </c>
      <c r="G182" s="116">
        <v>310.892</v>
      </c>
      <c r="H182" s="159"/>
      <c r="I182" s="108">
        <f t="shared" si="180"/>
        <v>0</v>
      </c>
      <c r="J182" s="108">
        <f t="shared" si="181"/>
        <v>0</v>
      </c>
      <c r="K182" s="108">
        <f t="shared" si="182"/>
        <v>0</v>
      </c>
      <c r="L182" s="111" t="s">
        <v>1671</v>
      </c>
      <c r="Z182" s="100">
        <f t="shared" si="183"/>
        <v>0</v>
      </c>
      <c r="AB182" s="100">
        <f t="shared" si="184"/>
        <v>0</v>
      </c>
      <c r="AC182" s="100">
        <f t="shared" si="185"/>
        <v>0</v>
      </c>
      <c r="AD182" s="100">
        <f t="shared" si="186"/>
        <v>0</v>
      </c>
      <c r="AE182" s="100">
        <f t="shared" si="187"/>
        <v>0</v>
      </c>
      <c r="AF182" s="100">
        <f t="shared" si="188"/>
        <v>0</v>
      </c>
      <c r="AG182" s="100">
        <f t="shared" si="189"/>
        <v>0</v>
      </c>
      <c r="AH182" s="100">
        <f t="shared" si="190"/>
        <v>0</v>
      </c>
      <c r="AI182" s="109"/>
      <c r="AJ182" s="108">
        <f t="shared" si="191"/>
        <v>0</v>
      </c>
      <c r="AK182" s="108">
        <f t="shared" si="192"/>
        <v>0</v>
      </c>
      <c r="AL182" s="108">
        <f t="shared" si="193"/>
        <v>0</v>
      </c>
      <c r="AN182" s="100">
        <v>15</v>
      </c>
      <c r="AO182" s="100">
        <f>H182*0.155846496602364</f>
        <v>0</v>
      </c>
      <c r="AP182" s="100">
        <f>H182*(1-0.155846496602364)</f>
        <v>0</v>
      </c>
      <c r="AQ182" s="111" t="s">
        <v>13</v>
      </c>
      <c r="AV182" s="100">
        <f t="shared" si="194"/>
        <v>0</v>
      </c>
      <c r="AW182" s="100">
        <f t="shared" si="195"/>
        <v>0</v>
      </c>
      <c r="AX182" s="100">
        <f t="shared" si="196"/>
        <v>0</v>
      </c>
      <c r="AY182" s="110" t="s">
        <v>1706</v>
      </c>
      <c r="AZ182" s="110" t="s">
        <v>1731</v>
      </c>
      <c r="BA182" s="109" t="s">
        <v>1737</v>
      </c>
      <c r="BC182" s="100">
        <f t="shared" si="197"/>
        <v>0</v>
      </c>
      <c r="BD182" s="100">
        <f t="shared" si="198"/>
        <v>0</v>
      </c>
      <c r="BE182" s="100">
        <v>0</v>
      </c>
      <c r="BF182" s="100">
        <f>182</f>
        <v>182</v>
      </c>
      <c r="BH182" s="108">
        <f t="shared" si="199"/>
        <v>0</v>
      </c>
      <c r="BI182" s="108">
        <f t="shared" si="200"/>
        <v>0</v>
      </c>
      <c r="BJ182" s="108">
        <f t="shared" si="201"/>
        <v>0</v>
      </c>
    </row>
    <row r="183" spans="1:62" x14ac:dyDescent="0.2">
      <c r="A183" s="117" t="s">
        <v>149</v>
      </c>
      <c r="B183" s="117" t="s">
        <v>716</v>
      </c>
      <c r="C183" s="304" t="s">
        <v>2828</v>
      </c>
      <c r="D183" s="305"/>
      <c r="E183" s="305"/>
      <c r="F183" s="117" t="s">
        <v>1645</v>
      </c>
      <c r="G183" s="116">
        <v>310.892</v>
      </c>
      <c r="H183" s="159"/>
      <c r="I183" s="108">
        <f t="shared" si="180"/>
        <v>0</v>
      </c>
      <c r="J183" s="108">
        <f t="shared" si="181"/>
        <v>0</v>
      </c>
      <c r="K183" s="108">
        <f t="shared" si="182"/>
        <v>0</v>
      </c>
      <c r="L183" s="111" t="s">
        <v>1671</v>
      </c>
      <c r="Z183" s="100">
        <f t="shared" si="183"/>
        <v>0</v>
      </c>
      <c r="AB183" s="100">
        <f t="shared" si="184"/>
        <v>0</v>
      </c>
      <c r="AC183" s="100">
        <f t="shared" si="185"/>
        <v>0</v>
      </c>
      <c r="AD183" s="100">
        <f t="shared" si="186"/>
        <v>0</v>
      </c>
      <c r="AE183" s="100">
        <f t="shared" si="187"/>
        <v>0</v>
      </c>
      <c r="AF183" s="100">
        <f t="shared" si="188"/>
        <v>0</v>
      </c>
      <c r="AG183" s="100">
        <f t="shared" si="189"/>
        <v>0</v>
      </c>
      <c r="AH183" s="100">
        <f t="shared" si="190"/>
        <v>0</v>
      </c>
      <c r="AI183" s="109"/>
      <c r="AJ183" s="108">
        <f t="shared" si="191"/>
        <v>0</v>
      </c>
      <c r="AK183" s="108">
        <f t="shared" si="192"/>
        <v>0</v>
      </c>
      <c r="AL183" s="108">
        <f t="shared" si="193"/>
        <v>0</v>
      </c>
      <c r="AN183" s="100">
        <v>15</v>
      </c>
      <c r="AO183" s="100">
        <f>H183*0.160103114019787</f>
        <v>0</v>
      </c>
      <c r="AP183" s="100">
        <f>H183*(1-0.160103114019787)</f>
        <v>0</v>
      </c>
      <c r="AQ183" s="111" t="s">
        <v>13</v>
      </c>
      <c r="AV183" s="100">
        <f t="shared" si="194"/>
        <v>0</v>
      </c>
      <c r="AW183" s="100">
        <f t="shared" si="195"/>
        <v>0</v>
      </c>
      <c r="AX183" s="100">
        <f t="shared" si="196"/>
        <v>0</v>
      </c>
      <c r="AY183" s="110" t="s">
        <v>1706</v>
      </c>
      <c r="AZ183" s="110" t="s">
        <v>1731</v>
      </c>
      <c r="BA183" s="109" t="s">
        <v>1737</v>
      </c>
      <c r="BC183" s="100">
        <f t="shared" si="197"/>
        <v>0</v>
      </c>
      <c r="BD183" s="100">
        <f t="shared" si="198"/>
        <v>0</v>
      </c>
      <c r="BE183" s="100">
        <v>0</v>
      </c>
      <c r="BF183" s="100">
        <f>183</f>
        <v>183</v>
      </c>
      <c r="BH183" s="108">
        <f t="shared" si="199"/>
        <v>0</v>
      </c>
      <c r="BI183" s="108">
        <f t="shared" si="200"/>
        <v>0</v>
      </c>
      <c r="BJ183" s="108">
        <f t="shared" si="201"/>
        <v>0</v>
      </c>
    </row>
    <row r="184" spans="1:62" x14ac:dyDescent="0.2">
      <c r="A184" s="117" t="s">
        <v>150</v>
      </c>
      <c r="B184" s="117" t="s">
        <v>717</v>
      </c>
      <c r="C184" s="304" t="s">
        <v>2827</v>
      </c>
      <c r="D184" s="305"/>
      <c r="E184" s="305"/>
      <c r="F184" s="117" t="s">
        <v>1645</v>
      </c>
      <c r="G184" s="116">
        <v>357.27</v>
      </c>
      <c r="H184" s="159"/>
      <c r="I184" s="108">
        <f t="shared" si="180"/>
        <v>0</v>
      </c>
      <c r="J184" s="108">
        <f t="shared" si="181"/>
        <v>0</v>
      </c>
      <c r="K184" s="108">
        <f t="shared" si="182"/>
        <v>0</v>
      </c>
      <c r="L184" s="111" t="s">
        <v>1671</v>
      </c>
      <c r="Z184" s="100">
        <f t="shared" si="183"/>
        <v>0</v>
      </c>
      <c r="AB184" s="100">
        <f t="shared" si="184"/>
        <v>0</v>
      </c>
      <c r="AC184" s="100">
        <f t="shared" si="185"/>
        <v>0</v>
      </c>
      <c r="AD184" s="100">
        <f t="shared" si="186"/>
        <v>0</v>
      </c>
      <c r="AE184" s="100">
        <f t="shared" si="187"/>
        <v>0</v>
      </c>
      <c r="AF184" s="100">
        <f t="shared" si="188"/>
        <v>0</v>
      </c>
      <c r="AG184" s="100">
        <f t="shared" si="189"/>
        <v>0</v>
      </c>
      <c r="AH184" s="100">
        <f t="shared" si="190"/>
        <v>0</v>
      </c>
      <c r="AI184" s="109"/>
      <c r="AJ184" s="108">
        <f t="shared" si="191"/>
        <v>0</v>
      </c>
      <c r="AK184" s="108">
        <f t="shared" si="192"/>
        <v>0</v>
      </c>
      <c r="AL184" s="108">
        <f t="shared" si="193"/>
        <v>0</v>
      </c>
      <c r="AN184" s="100">
        <v>15</v>
      </c>
      <c r="AO184" s="100">
        <f>H184*0.421191974906104</f>
        <v>0</v>
      </c>
      <c r="AP184" s="100">
        <f>H184*(1-0.421191974906104)</f>
        <v>0</v>
      </c>
      <c r="AQ184" s="111" t="s">
        <v>13</v>
      </c>
      <c r="AV184" s="100">
        <f t="shared" si="194"/>
        <v>0</v>
      </c>
      <c r="AW184" s="100">
        <f t="shared" si="195"/>
        <v>0</v>
      </c>
      <c r="AX184" s="100">
        <f t="shared" si="196"/>
        <v>0</v>
      </c>
      <c r="AY184" s="110" t="s">
        <v>1706</v>
      </c>
      <c r="AZ184" s="110" t="s">
        <v>1731</v>
      </c>
      <c r="BA184" s="109" t="s">
        <v>1737</v>
      </c>
      <c r="BC184" s="100">
        <f t="shared" si="197"/>
        <v>0</v>
      </c>
      <c r="BD184" s="100">
        <f t="shared" si="198"/>
        <v>0</v>
      </c>
      <c r="BE184" s="100">
        <v>0</v>
      </c>
      <c r="BF184" s="100">
        <f>184</f>
        <v>184</v>
      </c>
      <c r="BH184" s="108">
        <f t="shared" si="199"/>
        <v>0</v>
      </c>
      <c r="BI184" s="108">
        <f t="shared" si="200"/>
        <v>0</v>
      </c>
      <c r="BJ184" s="108">
        <f t="shared" si="201"/>
        <v>0</v>
      </c>
    </row>
    <row r="185" spans="1:62" x14ac:dyDescent="0.2">
      <c r="A185" s="117" t="s">
        <v>151</v>
      </c>
      <c r="B185" s="117" t="s">
        <v>718</v>
      </c>
      <c r="C185" s="304" t="s">
        <v>1230</v>
      </c>
      <c r="D185" s="305"/>
      <c r="E185" s="305"/>
      <c r="F185" s="117" t="s">
        <v>1648</v>
      </c>
      <c r="G185" s="116">
        <v>1.482</v>
      </c>
      <c r="H185" s="159"/>
      <c r="I185" s="108">
        <f t="shared" si="180"/>
        <v>0</v>
      </c>
      <c r="J185" s="108">
        <f t="shared" si="181"/>
        <v>0</v>
      </c>
      <c r="K185" s="108">
        <f t="shared" si="182"/>
        <v>0</v>
      </c>
      <c r="L185" s="111" t="s">
        <v>1671</v>
      </c>
      <c r="Z185" s="100">
        <f t="shared" si="183"/>
        <v>0</v>
      </c>
      <c r="AB185" s="100">
        <f t="shared" si="184"/>
        <v>0</v>
      </c>
      <c r="AC185" s="100">
        <f t="shared" si="185"/>
        <v>0</v>
      </c>
      <c r="AD185" s="100">
        <f t="shared" si="186"/>
        <v>0</v>
      </c>
      <c r="AE185" s="100">
        <f t="shared" si="187"/>
        <v>0</v>
      </c>
      <c r="AF185" s="100">
        <f t="shared" si="188"/>
        <v>0</v>
      </c>
      <c r="AG185" s="100">
        <f t="shared" si="189"/>
        <v>0</v>
      </c>
      <c r="AH185" s="100">
        <f t="shared" si="190"/>
        <v>0</v>
      </c>
      <c r="AI185" s="109"/>
      <c r="AJ185" s="108">
        <f t="shared" si="191"/>
        <v>0</v>
      </c>
      <c r="AK185" s="108">
        <f t="shared" si="192"/>
        <v>0</v>
      </c>
      <c r="AL185" s="108">
        <f t="shared" si="193"/>
        <v>0</v>
      </c>
      <c r="AN185" s="100">
        <v>15</v>
      </c>
      <c r="AO185" s="100">
        <f>H185*0</f>
        <v>0</v>
      </c>
      <c r="AP185" s="100">
        <f>H185*(1-0)</f>
        <v>0</v>
      </c>
      <c r="AQ185" s="111" t="s">
        <v>11</v>
      </c>
      <c r="AV185" s="100">
        <f t="shared" si="194"/>
        <v>0</v>
      </c>
      <c r="AW185" s="100">
        <f t="shared" si="195"/>
        <v>0</v>
      </c>
      <c r="AX185" s="100">
        <f t="shared" si="196"/>
        <v>0</v>
      </c>
      <c r="AY185" s="110" t="s">
        <v>1706</v>
      </c>
      <c r="AZ185" s="110" t="s">
        <v>1731</v>
      </c>
      <c r="BA185" s="109" t="s">
        <v>1737</v>
      </c>
      <c r="BC185" s="100">
        <f t="shared" si="197"/>
        <v>0</v>
      </c>
      <c r="BD185" s="100">
        <f t="shared" si="198"/>
        <v>0</v>
      </c>
      <c r="BE185" s="100">
        <v>0</v>
      </c>
      <c r="BF185" s="100">
        <f>185</f>
        <v>185</v>
      </c>
      <c r="BH185" s="108">
        <f t="shared" si="199"/>
        <v>0</v>
      </c>
      <c r="BI185" s="108">
        <f t="shared" si="200"/>
        <v>0</v>
      </c>
      <c r="BJ185" s="108">
        <f t="shared" si="201"/>
        <v>0</v>
      </c>
    </row>
    <row r="186" spans="1:62" x14ac:dyDescent="0.2">
      <c r="A186" s="119"/>
      <c r="B186" s="120" t="s">
        <v>744</v>
      </c>
      <c r="C186" s="306" t="s">
        <v>1256</v>
      </c>
      <c r="D186" s="307"/>
      <c r="E186" s="307"/>
      <c r="F186" s="119" t="s">
        <v>6</v>
      </c>
      <c r="G186" s="119" t="s">
        <v>6</v>
      </c>
      <c r="H186" s="119" t="s">
        <v>6</v>
      </c>
      <c r="I186" s="118">
        <f>SUM(I187:I202)</f>
        <v>0</v>
      </c>
      <c r="J186" s="118">
        <f>SUM(J187:J202)</f>
        <v>0</v>
      </c>
      <c r="K186" s="118">
        <f>SUM(K187:K202)</f>
        <v>0</v>
      </c>
      <c r="L186" s="109"/>
      <c r="AI186" s="109"/>
      <c r="AS186" s="118">
        <f>SUM(AJ187:AJ202)</f>
        <v>0</v>
      </c>
      <c r="AT186" s="118">
        <f>SUM(AK187:AK202)</f>
        <v>0</v>
      </c>
      <c r="AU186" s="118">
        <f>SUM(AL187:AL202)</f>
        <v>0</v>
      </c>
    </row>
    <row r="187" spans="1:62" x14ac:dyDescent="0.2">
      <c r="A187" s="117" t="s">
        <v>152</v>
      </c>
      <c r="B187" s="117" t="s">
        <v>3172</v>
      </c>
      <c r="C187" s="304" t="s">
        <v>1257</v>
      </c>
      <c r="D187" s="305"/>
      <c r="E187" s="305"/>
      <c r="F187" s="117" t="s">
        <v>1646</v>
      </c>
      <c r="G187" s="116">
        <v>1</v>
      </c>
      <c r="H187" s="159"/>
      <c r="I187" s="108">
        <f t="shared" ref="I187:I202" si="202">G187*AO187</f>
        <v>0</v>
      </c>
      <c r="J187" s="108">
        <f t="shared" ref="J187:J202" si="203">G187*AP187</f>
        <v>0</v>
      </c>
      <c r="K187" s="108">
        <f t="shared" ref="K187:K202" si="204">G187*H187</f>
        <v>0</v>
      </c>
      <c r="L187" s="111"/>
      <c r="Z187" s="100">
        <f t="shared" ref="Z187:Z202" si="205">IF(AQ187="5",BJ187,0)</f>
        <v>0</v>
      </c>
      <c r="AB187" s="100">
        <f t="shared" ref="AB187:AB202" si="206">IF(AQ187="1",BH187,0)</f>
        <v>0</v>
      </c>
      <c r="AC187" s="100">
        <f t="shared" ref="AC187:AC202" si="207">IF(AQ187="1",BI187,0)</f>
        <v>0</v>
      </c>
      <c r="AD187" s="100">
        <f t="shared" ref="AD187:AD202" si="208">IF(AQ187="7",BH187,0)</f>
        <v>0</v>
      </c>
      <c r="AE187" s="100">
        <f t="shared" ref="AE187:AE202" si="209">IF(AQ187="7",BI187,0)</f>
        <v>0</v>
      </c>
      <c r="AF187" s="100">
        <f t="shared" ref="AF187:AF202" si="210">IF(AQ187="2",BH187,0)</f>
        <v>0</v>
      </c>
      <c r="AG187" s="100">
        <f t="shared" ref="AG187:AG202" si="211">IF(AQ187="2",BI187,0)</f>
        <v>0</v>
      </c>
      <c r="AH187" s="100">
        <f t="shared" ref="AH187:AH202" si="212">IF(AQ187="0",BJ187,0)</f>
        <v>0</v>
      </c>
      <c r="AI187" s="109"/>
      <c r="AJ187" s="108">
        <f t="shared" ref="AJ187:AJ202" si="213">IF(AN187=0,K187,0)</f>
        <v>0</v>
      </c>
      <c r="AK187" s="108">
        <f t="shared" ref="AK187:AK202" si="214">IF(AN187=15,K187,0)</f>
        <v>0</v>
      </c>
      <c r="AL187" s="108">
        <f t="shared" ref="AL187:AL202" si="215">IF(AN187=21,K187,0)</f>
        <v>0</v>
      </c>
      <c r="AN187" s="100">
        <v>15</v>
      </c>
      <c r="AO187" s="100">
        <f t="shared" ref="AO187:AO202" si="216">H187*0</f>
        <v>0</v>
      </c>
      <c r="AP187" s="100">
        <f t="shared" ref="AP187:AP202" si="217">H187*(1-0)</f>
        <v>0</v>
      </c>
      <c r="AQ187" s="111" t="s">
        <v>13</v>
      </c>
      <c r="AV187" s="100">
        <f t="shared" ref="AV187:AV202" si="218">AW187+AX187</f>
        <v>0</v>
      </c>
      <c r="AW187" s="100">
        <f t="shared" ref="AW187:AW202" si="219">G187*AO187</f>
        <v>0</v>
      </c>
      <c r="AX187" s="100">
        <f t="shared" ref="AX187:AX202" si="220">G187*AP187</f>
        <v>0</v>
      </c>
      <c r="AY187" s="110" t="s">
        <v>1708</v>
      </c>
      <c r="AZ187" s="110" t="s">
        <v>1732</v>
      </c>
      <c r="BA187" s="109" t="s">
        <v>1737</v>
      </c>
      <c r="BC187" s="100">
        <f t="shared" ref="BC187:BC202" si="221">AW187+AX187</f>
        <v>0</v>
      </c>
      <c r="BD187" s="100">
        <f t="shared" ref="BD187:BD202" si="222">H187/(100-BE187)*100</f>
        <v>0</v>
      </c>
      <c r="BE187" s="100">
        <v>0</v>
      </c>
      <c r="BF187" s="100">
        <f>187</f>
        <v>187</v>
      </c>
      <c r="BH187" s="108">
        <f t="shared" ref="BH187:BH202" si="223">G187*AO187</f>
        <v>0</v>
      </c>
      <c r="BI187" s="108">
        <f t="shared" ref="BI187:BI202" si="224">G187*AP187</f>
        <v>0</v>
      </c>
      <c r="BJ187" s="108">
        <f t="shared" ref="BJ187:BJ202" si="225">G187*H187</f>
        <v>0</v>
      </c>
    </row>
    <row r="188" spans="1:62" x14ac:dyDescent="0.2">
      <c r="A188" s="117" t="s">
        <v>153</v>
      </c>
      <c r="B188" s="117" t="s">
        <v>3171</v>
      </c>
      <c r="C188" s="304" t="s">
        <v>1258</v>
      </c>
      <c r="D188" s="305"/>
      <c r="E188" s="305"/>
      <c r="F188" s="117" t="s">
        <v>1646</v>
      </c>
      <c r="G188" s="116">
        <v>2</v>
      </c>
      <c r="H188" s="159"/>
      <c r="I188" s="108">
        <f t="shared" si="202"/>
        <v>0</v>
      </c>
      <c r="J188" s="108">
        <f t="shared" si="203"/>
        <v>0</v>
      </c>
      <c r="K188" s="108">
        <f t="shared" si="204"/>
        <v>0</v>
      </c>
      <c r="L188" s="111"/>
      <c r="Z188" s="100">
        <f t="shared" si="205"/>
        <v>0</v>
      </c>
      <c r="AB188" s="100">
        <f t="shared" si="206"/>
        <v>0</v>
      </c>
      <c r="AC188" s="100">
        <f t="shared" si="207"/>
        <v>0</v>
      </c>
      <c r="AD188" s="100">
        <f t="shared" si="208"/>
        <v>0</v>
      </c>
      <c r="AE188" s="100">
        <f t="shared" si="209"/>
        <v>0</v>
      </c>
      <c r="AF188" s="100">
        <f t="shared" si="210"/>
        <v>0</v>
      </c>
      <c r="AG188" s="100">
        <f t="shared" si="211"/>
        <v>0</v>
      </c>
      <c r="AH188" s="100">
        <f t="shared" si="212"/>
        <v>0</v>
      </c>
      <c r="AI188" s="109"/>
      <c r="AJ188" s="108">
        <f t="shared" si="213"/>
        <v>0</v>
      </c>
      <c r="AK188" s="108">
        <f t="shared" si="214"/>
        <v>0</v>
      </c>
      <c r="AL188" s="108">
        <f t="shared" si="215"/>
        <v>0</v>
      </c>
      <c r="AN188" s="100">
        <v>15</v>
      </c>
      <c r="AO188" s="100">
        <f t="shared" si="216"/>
        <v>0</v>
      </c>
      <c r="AP188" s="100">
        <f t="shared" si="217"/>
        <v>0</v>
      </c>
      <c r="AQ188" s="111" t="s">
        <v>13</v>
      </c>
      <c r="AV188" s="100">
        <f t="shared" si="218"/>
        <v>0</v>
      </c>
      <c r="AW188" s="100">
        <f t="shared" si="219"/>
        <v>0</v>
      </c>
      <c r="AX188" s="100">
        <f t="shared" si="220"/>
        <v>0</v>
      </c>
      <c r="AY188" s="110" t="s">
        <v>1708</v>
      </c>
      <c r="AZ188" s="110" t="s">
        <v>1732</v>
      </c>
      <c r="BA188" s="109" t="s">
        <v>1737</v>
      </c>
      <c r="BC188" s="100">
        <f t="shared" si="221"/>
        <v>0</v>
      </c>
      <c r="BD188" s="100">
        <f t="shared" si="222"/>
        <v>0</v>
      </c>
      <c r="BE188" s="100">
        <v>0</v>
      </c>
      <c r="BF188" s="100">
        <f>188</f>
        <v>188</v>
      </c>
      <c r="BH188" s="108">
        <f t="shared" si="223"/>
        <v>0</v>
      </c>
      <c r="BI188" s="108">
        <f t="shared" si="224"/>
        <v>0</v>
      </c>
      <c r="BJ188" s="108">
        <f t="shared" si="225"/>
        <v>0</v>
      </c>
    </row>
    <row r="189" spans="1:62" x14ac:dyDescent="0.2">
      <c r="A189" s="117" t="s">
        <v>154</v>
      </c>
      <c r="B189" s="117" t="s">
        <v>3170</v>
      </c>
      <c r="C189" s="304" t="s">
        <v>2133</v>
      </c>
      <c r="D189" s="305"/>
      <c r="E189" s="305"/>
      <c r="F189" s="117" t="s">
        <v>1646</v>
      </c>
      <c r="G189" s="116">
        <v>1</v>
      </c>
      <c r="H189" s="159"/>
      <c r="I189" s="108">
        <f t="shared" si="202"/>
        <v>0</v>
      </c>
      <c r="J189" s="108">
        <f t="shared" si="203"/>
        <v>0</v>
      </c>
      <c r="K189" s="108">
        <f t="shared" si="204"/>
        <v>0</v>
      </c>
      <c r="L189" s="111"/>
      <c r="Z189" s="100">
        <f t="shared" si="205"/>
        <v>0</v>
      </c>
      <c r="AB189" s="100">
        <f t="shared" si="206"/>
        <v>0</v>
      </c>
      <c r="AC189" s="100">
        <f t="shared" si="207"/>
        <v>0</v>
      </c>
      <c r="AD189" s="100">
        <f t="shared" si="208"/>
        <v>0</v>
      </c>
      <c r="AE189" s="100">
        <f t="shared" si="209"/>
        <v>0</v>
      </c>
      <c r="AF189" s="100">
        <f t="shared" si="210"/>
        <v>0</v>
      </c>
      <c r="AG189" s="100">
        <f t="shared" si="211"/>
        <v>0</v>
      </c>
      <c r="AH189" s="100">
        <f t="shared" si="212"/>
        <v>0</v>
      </c>
      <c r="AI189" s="109"/>
      <c r="AJ189" s="108">
        <f t="shared" si="213"/>
        <v>0</v>
      </c>
      <c r="AK189" s="108">
        <f t="shared" si="214"/>
        <v>0</v>
      </c>
      <c r="AL189" s="108">
        <f t="shared" si="215"/>
        <v>0</v>
      </c>
      <c r="AN189" s="100">
        <v>15</v>
      </c>
      <c r="AO189" s="100">
        <f t="shared" si="216"/>
        <v>0</v>
      </c>
      <c r="AP189" s="100">
        <f t="shared" si="217"/>
        <v>0</v>
      </c>
      <c r="AQ189" s="111" t="s">
        <v>13</v>
      </c>
      <c r="AV189" s="100">
        <f t="shared" si="218"/>
        <v>0</v>
      </c>
      <c r="AW189" s="100">
        <f t="shared" si="219"/>
        <v>0</v>
      </c>
      <c r="AX189" s="100">
        <f t="shared" si="220"/>
        <v>0</v>
      </c>
      <c r="AY189" s="110" t="s">
        <v>1708</v>
      </c>
      <c r="AZ189" s="110" t="s">
        <v>1732</v>
      </c>
      <c r="BA189" s="109" t="s">
        <v>1737</v>
      </c>
      <c r="BC189" s="100">
        <f t="shared" si="221"/>
        <v>0</v>
      </c>
      <c r="BD189" s="100">
        <f t="shared" si="222"/>
        <v>0</v>
      </c>
      <c r="BE189" s="100">
        <v>0</v>
      </c>
      <c r="BF189" s="100">
        <f>189</f>
        <v>189</v>
      </c>
      <c r="BH189" s="108">
        <f t="shared" si="223"/>
        <v>0</v>
      </c>
      <c r="BI189" s="108">
        <f t="shared" si="224"/>
        <v>0</v>
      </c>
      <c r="BJ189" s="108">
        <f t="shared" si="225"/>
        <v>0</v>
      </c>
    </row>
    <row r="190" spans="1:62" x14ac:dyDescent="0.2">
      <c r="A190" s="117" t="s">
        <v>155</v>
      </c>
      <c r="B190" s="117" t="s">
        <v>3169</v>
      </c>
      <c r="C190" s="304" t="s">
        <v>1262</v>
      </c>
      <c r="D190" s="305"/>
      <c r="E190" s="305"/>
      <c r="F190" s="117" t="s">
        <v>1644</v>
      </c>
      <c r="G190" s="116">
        <v>1</v>
      </c>
      <c r="H190" s="159"/>
      <c r="I190" s="108">
        <f t="shared" si="202"/>
        <v>0</v>
      </c>
      <c r="J190" s="108">
        <f t="shared" si="203"/>
        <v>0</v>
      </c>
      <c r="K190" s="108">
        <f t="shared" si="204"/>
        <v>0</v>
      </c>
      <c r="L190" s="111"/>
      <c r="Z190" s="100">
        <f t="shared" si="205"/>
        <v>0</v>
      </c>
      <c r="AB190" s="100">
        <f t="shared" si="206"/>
        <v>0</v>
      </c>
      <c r="AC190" s="100">
        <f t="shared" si="207"/>
        <v>0</v>
      </c>
      <c r="AD190" s="100">
        <f t="shared" si="208"/>
        <v>0</v>
      </c>
      <c r="AE190" s="100">
        <f t="shared" si="209"/>
        <v>0</v>
      </c>
      <c r="AF190" s="100">
        <f t="shared" si="210"/>
        <v>0</v>
      </c>
      <c r="AG190" s="100">
        <f t="shared" si="211"/>
        <v>0</v>
      </c>
      <c r="AH190" s="100">
        <f t="shared" si="212"/>
        <v>0</v>
      </c>
      <c r="AI190" s="109"/>
      <c r="AJ190" s="108">
        <f t="shared" si="213"/>
        <v>0</v>
      </c>
      <c r="AK190" s="108">
        <f t="shared" si="214"/>
        <v>0</v>
      </c>
      <c r="AL190" s="108">
        <f t="shared" si="215"/>
        <v>0</v>
      </c>
      <c r="AN190" s="100">
        <v>15</v>
      </c>
      <c r="AO190" s="100">
        <f t="shared" si="216"/>
        <v>0</v>
      </c>
      <c r="AP190" s="100">
        <f t="shared" si="217"/>
        <v>0</v>
      </c>
      <c r="AQ190" s="111" t="s">
        <v>13</v>
      </c>
      <c r="AV190" s="100">
        <f t="shared" si="218"/>
        <v>0</v>
      </c>
      <c r="AW190" s="100">
        <f t="shared" si="219"/>
        <v>0</v>
      </c>
      <c r="AX190" s="100">
        <f t="shared" si="220"/>
        <v>0</v>
      </c>
      <c r="AY190" s="110" t="s">
        <v>1708</v>
      </c>
      <c r="AZ190" s="110" t="s">
        <v>1732</v>
      </c>
      <c r="BA190" s="109" t="s">
        <v>1737</v>
      </c>
      <c r="BC190" s="100">
        <f t="shared" si="221"/>
        <v>0</v>
      </c>
      <c r="BD190" s="100">
        <f t="shared" si="222"/>
        <v>0</v>
      </c>
      <c r="BE190" s="100">
        <v>0</v>
      </c>
      <c r="BF190" s="100">
        <f>190</f>
        <v>190</v>
      </c>
      <c r="BH190" s="108">
        <f t="shared" si="223"/>
        <v>0</v>
      </c>
      <c r="BI190" s="108">
        <f t="shared" si="224"/>
        <v>0</v>
      </c>
      <c r="BJ190" s="108">
        <f t="shared" si="225"/>
        <v>0</v>
      </c>
    </row>
    <row r="191" spans="1:62" x14ac:dyDescent="0.2">
      <c r="A191" s="117" t="s">
        <v>156</v>
      </c>
      <c r="B191" s="117" t="s">
        <v>3168</v>
      </c>
      <c r="C191" s="304" t="s">
        <v>1263</v>
      </c>
      <c r="D191" s="305"/>
      <c r="E191" s="305"/>
      <c r="F191" s="117" t="s">
        <v>1644</v>
      </c>
      <c r="G191" s="116">
        <v>2</v>
      </c>
      <c r="H191" s="159"/>
      <c r="I191" s="108">
        <f t="shared" si="202"/>
        <v>0</v>
      </c>
      <c r="J191" s="108">
        <f t="shared" si="203"/>
        <v>0</v>
      </c>
      <c r="K191" s="108">
        <f t="shared" si="204"/>
        <v>0</v>
      </c>
      <c r="L191" s="111"/>
      <c r="Z191" s="100">
        <f t="shared" si="205"/>
        <v>0</v>
      </c>
      <c r="AB191" s="100">
        <f t="shared" si="206"/>
        <v>0</v>
      </c>
      <c r="AC191" s="100">
        <f t="shared" si="207"/>
        <v>0</v>
      </c>
      <c r="AD191" s="100">
        <f t="shared" si="208"/>
        <v>0</v>
      </c>
      <c r="AE191" s="100">
        <f t="shared" si="209"/>
        <v>0</v>
      </c>
      <c r="AF191" s="100">
        <f t="shared" si="210"/>
        <v>0</v>
      </c>
      <c r="AG191" s="100">
        <f t="shared" si="211"/>
        <v>0</v>
      </c>
      <c r="AH191" s="100">
        <f t="shared" si="212"/>
        <v>0</v>
      </c>
      <c r="AI191" s="109"/>
      <c r="AJ191" s="108">
        <f t="shared" si="213"/>
        <v>0</v>
      </c>
      <c r="AK191" s="108">
        <f t="shared" si="214"/>
        <v>0</v>
      </c>
      <c r="AL191" s="108">
        <f t="shared" si="215"/>
        <v>0</v>
      </c>
      <c r="AN191" s="100">
        <v>15</v>
      </c>
      <c r="AO191" s="100">
        <f t="shared" si="216"/>
        <v>0</v>
      </c>
      <c r="AP191" s="100">
        <f t="shared" si="217"/>
        <v>0</v>
      </c>
      <c r="AQ191" s="111" t="s">
        <v>13</v>
      </c>
      <c r="AV191" s="100">
        <f t="shared" si="218"/>
        <v>0</v>
      </c>
      <c r="AW191" s="100">
        <f t="shared" si="219"/>
        <v>0</v>
      </c>
      <c r="AX191" s="100">
        <f t="shared" si="220"/>
        <v>0</v>
      </c>
      <c r="AY191" s="110" t="s">
        <v>1708</v>
      </c>
      <c r="AZ191" s="110" t="s">
        <v>1732</v>
      </c>
      <c r="BA191" s="109" t="s">
        <v>1737</v>
      </c>
      <c r="BC191" s="100">
        <f t="shared" si="221"/>
        <v>0</v>
      </c>
      <c r="BD191" s="100">
        <f t="shared" si="222"/>
        <v>0</v>
      </c>
      <c r="BE191" s="100">
        <v>0</v>
      </c>
      <c r="BF191" s="100">
        <f>191</f>
        <v>191</v>
      </c>
      <c r="BH191" s="108">
        <f t="shared" si="223"/>
        <v>0</v>
      </c>
      <c r="BI191" s="108">
        <f t="shared" si="224"/>
        <v>0</v>
      </c>
      <c r="BJ191" s="108">
        <f t="shared" si="225"/>
        <v>0</v>
      </c>
    </row>
    <row r="192" spans="1:62" x14ac:dyDescent="0.2">
      <c r="A192" s="117" t="s">
        <v>157</v>
      </c>
      <c r="B192" s="117" t="s">
        <v>3167</v>
      </c>
      <c r="C192" s="304" t="s">
        <v>1264</v>
      </c>
      <c r="D192" s="305"/>
      <c r="E192" s="305"/>
      <c r="F192" s="117" t="s">
        <v>1644</v>
      </c>
      <c r="G192" s="116">
        <v>1</v>
      </c>
      <c r="H192" s="159"/>
      <c r="I192" s="108">
        <f t="shared" si="202"/>
        <v>0</v>
      </c>
      <c r="J192" s="108">
        <f t="shared" si="203"/>
        <v>0</v>
      </c>
      <c r="K192" s="108">
        <f t="shared" si="204"/>
        <v>0</v>
      </c>
      <c r="L192" s="111"/>
      <c r="Z192" s="100">
        <f t="shared" si="205"/>
        <v>0</v>
      </c>
      <c r="AB192" s="100">
        <f t="shared" si="206"/>
        <v>0</v>
      </c>
      <c r="AC192" s="100">
        <f t="shared" si="207"/>
        <v>0</v>
      </c>
      <c r="AD192" s="100">
        <f t="shared" si="208"/>
        <v>0</v>
      </c>
      <c r="AE192" s="100">
        <f t="shared" si="209"/>
        <v>0</v>
      </c>
      <c r="AF192" s="100">
        <f t="shared" si="210"/>
        <v>0</v>
      </c>
      <c r="AG192" s="100">
        <f t="shared" si="211"/>
        <v>0</v>
      </c>
      <c r="AH192" s="100">
        <f t="shared" si="212"/>
        <v>0</v>
      </c>
      <c r="AI192" s="109"/>
      <c r="AJ192" s="108">
        <f t="shared" si="213"/>
        <v>0</v>
      </c>
      <c r="AK192" s="108">
        <f t="shared" si="214"/>
        <v>0</v>
      </c>
      <c r="AL192" s="108">
        <f t="shared" si="215"/>
        <v>0</v>
      </c>
      <c r="AN192" s="100">
        <v>15</v>
      </c>
      <c r="AO192" s="100">
        <f t="shared" si="216"/>
        <v>0</v>
      </c>
      <c r="AP192" s="100">
        <f t="shared" si="217"/>
        <v>0</v>
      </c>
      <c r="AQ192" s="111" t="s">
        <v>13</v>
      </c>
      <c r="AV192" s="100">
        <f t="shared" si="218"/>
        <v>0</v>
      </c>
      <c r="AW192" s="100">
        <f t="shared" si="219"/>
        <v>0</v>
      </c>
      <c r="AX192" s="100">
        <f t="shared" si="220"/>
        <v>0</v>
      </c>
      <c r="AY192" s="110" t="s">
        <v>1708</v>
      </c>
      <c r="AZ192" s="110" t="s">
        <v>1732</v>
      </c>
      <c r="BA192" s="109" t="s">
        <v>1737</v>
      </c>
      <c r="BC192" s="100">
        <f t="shared" si="221"/>
        <v>0</v>
      </c>
      <c r="BD192" s="100">
        <f t="shared" si="222"/>
        <v>0</v>
      </c>
      <c r="BE192" s="100">
        <v>0</v>
      </c>
      <c r="BF192" s="100">
        <f>192</f>
        <v>192</v>
      </c>
      <c r="BH192" s="108">
        <f t="shared" si="223"/>
        <v>0</v>
      </c>
      <c r="BI192" s="108">
        <f t="shared" si="224"/>
        <v>0</v>
      </c>
      <c r="BJ192" s="108">
        <f t="shared" si="225"/>
        <v>0</v>
      </c>
    </row>
    <row r="193" spans="1:62" x14ac:dyDescent="0.2">
      <c r="A193" s="117" t="s">
        <v>158</v>
      </c>
      <c r="B193" s="117" t="s">
        <v>3166</v>
      </c>
      <c r="C193" s="304" t="s">
        <v>1269</v>
      </c>
      <c r="D193" s="305"/>
      <c r="E193" s="305"/>
      <c r="F193" s="117" t="s">
        <v>1644</v>
      </c>
      <c r="G193" s="116">
        <v>1</v>
      </c>
      <c r="H193" s="159"/>
      <c r="I193" s="108">
        <f t="shared" si="202"/>
        <v>0</v>
      </c>
      <c r="J193" s="108">
        <f t="shared" si="203"/>
        <v>0</v>
      </c>
      <c r="K193" s="108">
        <f t="shared" si="204"/>
        <v>0</v>
      </c>
      <c r="L193" s="111"/>
      <c r="Z193" s="100">
        <f t="shared" si="205"/>
        <v>0</v>
      </c>
      <c r="AB193" s="100">
        <f t="shared" si="206"/>
        <v>0</v>
      </c>
      <c r="AC193" s="100">
        <f t="shared" si="207"/>
        <v>0</v>
      </c>
      <c r="AD193" s="100">
        <f t="shared" si="208"/>
        <v>0</v>
      </c>
      <c r="AE193" s="100">
        <f t="shared" si="209"/>
        <v>0</v>
      </c>
      <c r="AF193" s="100">
        <f t="shared" si="210"/>
        <v>0</v>
      </c>
      <c r="AG193" s="100">
        <f t="shared" si="211"/>
        <v>0</v>
      </c>
      <c r="AH193" s="100">
        <f t="shared" si="212"/>
        <v>0</v>
      </c>
      <c r="AI193" s="109"/>
      <c r="AJ193" s="108">
        <f t="shared" si="213"/>
        <v>0</v>
      </c>
      <c r="AK193" s="108">
        <f t="shared" si="214"/>
        <v>0</v>
      </c>
      <c r="AL193" s="108">
        <f t="shared" si="215"/>
        <v>0</v>
      </c>
      <c r="AN193" s="100">
        <v>15</v>
      </c>
      <c r="AO193" s="100">
        <f t="shared" si="216"/>
        <v>0</v>
      </c>
      <c r="AP193" s="100">
        <f t="shared" si="217"/>
        <v>0</v>
      </c>
      <c r="AQ193" s="111" t="s">
        <v>13</v>
      </c>
      <c r="AV193" s="100">
        <f t="shared" si="218"/>
        <v>0</v>
      </c>
      <c r="AW193" s="100">
        <f t="shared" si="219"/>
        <v>0</v>
      </c>
      <c r="AX193" s="100">
        <f t="shared" si="220"/>
        <v>0</v>
      </c>
      <c r="AY193" s="110" t="s">
        <v>1708</v>
      </c>
      <c r="AZ193" s="110" t="s">
        <v>1732</v>
      </c>
      <c r="BA193" s="109" t="s">
        <v>1737</v>
      </c>
      <c r="BC193" s="100">
        <f t="shared" si="221"/>
        <v>0</v>
      </c>
      <c r="BD193" s="100">
        <f t="shared" si="222"/>
        <v>0</v>
      </c>
      <c r="BE193" s="100">
        <v>0</v>
      </c>
      <c r="BF193" s="100">
        <f>193</f>
        <v>193</v>
      </c>
      <c r="BH193" s="108">
        <f t="shared" si="223"/>
        <v>0</v>
      </c>
      <c r="BI193" s="108">
        <f t="shared" si="224"/>
        <v>0</v>
      </c>
      <c r="BJ193" s="108">
        <f t="shared" si="225"/>
        <v>0</v>
      </c>
    </row>
    <row r="194" spans="1:62" x14ac:dyDescent="0.2">
      <c r="A194" s="117" t="s">
        <v>159</v>
      </c>
      <c r="B194" s="117" t="s">
        <v>3165</v>
      </c>
      <c r="C194" s="304" t="s">
        <v>1270</v>
      </c>
      <c r="D194" s="305"/>
      <c r="E194" s="305"/>
      <c r="F194" s="117" t="s">
        <v>1644</v>
      </c>
      <c r="G194" s="116">
        <v>1</v>
      </c>
      <c r="H194" s="159"/>
      <c r="I194" s="108">
        <f t="shared" si="202"/>
        <v>0</v>
      </c>
      <c r="J194" s="108">
        <f t="shared" si="203"/>
        <v>0</v>
      </c>
      <c r="K194" s="108">
        <f t="shared" si="204"/>
        <v>0</v>
      </c>
      <c r="L194" s="111"/>
      <c r="Z194" s="100">
        <f t="shared" si="205"/>
        <v>0</v>
      </c>
      <c r="AB194" s="100">
        <f t="shared" si="206"/>
        <v>0</v>
      </c>
      <c r="AC194" s="100">
        <f t="shared" si="207"/>
        <v>0</v>
      </c>
      <c r="AD194" s="100">
        <f t="shared" si="208"/>
        <v>0</v>
      </c>
      <c r="AE194" s="100">
        <f t="shared" si="209"/>
        <v>0</v>
      </c>
      <c r="AF194" s="100">
        <f t="shared" si="210"/>
        <v>0</v>
      </c>
      <c r="AG194" s="100">
        <f t="shared" si="211"/>
        <v>0</v>
      </c>
      <c r="AH194" s="100">
        <f t="shared" si="212"/>
        <v>0</v>
      </c>
      <c r="AI194" s="109"/>
      <c r="AJ194" s="108">
        <f t="shared" si="213"/>
        <v>0</v>
      </c>
      <c r="AK194" s="108">
        <f t="shared" si="214"/>
        <v>0</v>
      </c>
      <c r="AL194" s="108">
        <f t="shared" si="215"/>
        <v>0</v>
      </c>
      <c r="AN194" s="100">
        <v>15</v>
      </c>
      <c r="AO194" s="100">
        <f t="shared" si="216"/>
        <v>0</v>
      </c>
      <c r="AP194" s="100">
        <f t="shared" si="217"/>
        <v>0</v>
      </c>
      <c r="AQ194" s="111" t="s">
        <v>13</v>
      </c>
      <c r="AV194" s="100">
        <f t="shared" si="218"/>
        <v>0</v>
      </c>
      <c r="AW194" s="100">
        <f t="shared" si="219"/>
        <v>0</v>
      </c>
      <c r="AX194" s="100">
        <f t="shared" si="220"/>
        <v>0</v>
      </c>
      <c r="AY194" s="110" t="s">
        <v>1708</v>
      </c>
      <c r="AZ194" s="110" t="s">
        <v>1732</v>
      </c>
      <c r="BA194" s="109" t="s">
        <v>1737</v>
      </c>
      <c r="BC194" s="100">
        <f t="shared" si="221"/>
        <v>0</v>
      </c>
      <c r="BD194" s="100">
        <f t="shared" si="222"/>
        <v>0</v>
      </c>
      <c r="BE194" s="100">
        <v>0</v>
      </c>
      <c r="BF194" s="100">
        <f>194</f>
        <v>194</v>
      </c>
      <c r="BH194" s="108">
        <f t="shared" si="223"/>
        <v>0</v>
      </c>
      <c r="BI194" s="108">
        <f t="shared" si="224"/>
        <v>0</v>
      </c>
      <c r="BJ194" s="108">
        <f t="shared" si="225"/>
        <v>0</v>
      </c>
    </row>
    <row r="195" spans="1:62" x14ac:dyDescent="0.2">
      <c r="A195" s="117" t="s">
        <v>160</v>
      </c>
      <c r="B195" s="117" t="s">
        <v>3164</v>
      </c>
      <c r="C195" s="304" t="s">
        <v>1271</v>
      </c>
      <c r="D195" s="305"/>
      <c r="E195" s="305"/>
      <c r="F195" s="117" t="s">
        <v>1644</v>
      </c>
      <c r="G195" s="116">
        <v>1</v>
      </c>
      <c r="H195" s="159"/>
      <c r="I195" s="108">
        <f t="shared" si="202"/>
        <v>0</v>
      </c>
      <c r="J195" s="108">
        <f t="shared" si="203"/>
        <v>0</v>
      </c>
      <c r="K195" s="108">
        <f t="shared" si="204"/>
        <v>0</v>
      </c>
      <c r="L195" s="111"/>
      <c r="Z195" s="100">
        <f t="shared" si="205"/>
        <v>0</v>
      </c>
      <c r="AB195" s="100">
        <f t="shared" si="206"/>
        <v>0</v>
      </c>
      <c r="AC195" s="100">
        <f t="shared" si="207"/>
        <v>0</v>
      </c>
      <c r="AD195" s="100">
        <f t="shared" si="208"/>
        <v>0</v>
      </c>
      <c r="AE195" s="100">
        <f t="shared" si="209"/>
        <v>0</v>
      </c>
      <c r="AF195" s="100">
        <f t="shared" si="210"/>
        <v>0</v>
      </c>
      <c r="AG195" s="100">
        <f t="shared" si="211"/>
        <v>0</v>
      </c>
      <c r="AH195" s="100">
        <f t="shared" si="212"/>
        <v>0</v>
      </c>
      <c r="AI195" s="109"/>
      <c r="AJ195" s="108">
        <f t="shared" si="213"/>
        <v>0</v>
      </c>
      <c r="AK195" s="108">
        <f t="shared" si="214"/>
        <v>0</v>
      </c>
      <c r="AL195" s="108">
        <f t="shared" si="215"/>
        <v>0</v>
      </c>
      <c r="AN195" s="100">
        <v>15</v>
      </c>
      <c r="AO195" s="100">
        <f t="shared" si="216"/>
        <v>0</v>
      </c>
      <c r="AP195" s="100">
        <f t="shared" si="217"/>
        <v>0</v>
      </c>
      <c r="AQ195" s="111" t="s">
        <v>13</v>
      </c>
      <c r="AV195" s="100">
        <f t="shared" si="218"/>
        <v>0</v>
      </c>
      <c r="AW195" s="100">
        <f t="shared" si="219"/>
        <v>0</v>
      </c>
      <c r="AX195" s="100">
        <f t="shared" si="220"/>
        <v>0</v>
      </c>
      <c r="AY195" s="110" t="s">
        <v>1708</v>
      </c>
      <c r="AZ195" s="110" t="s">
        <v>1732</v>
      </c>
      <c r="BA195" s="109" t="s">
        <v>1737</v>
      </c>
      <c r="BC195" s="100">
        <f t="shared" si="221"/>
        <v>0</v>
      </c>
      <c r="BD195" s="100">
        <f t="shared" si="222"/>
        <v>0</v>
      </c>
      <c r="BE195" s="100">
        <v>0</v>
      </c>
      <c r="BF195" s="100">
        <f>195</f>
        <v>195</v>
      </c>
      <c r="BH195" s="108">
        <f t="shared" si="223"/>
        <v>0</v>
      </c>
      <c r="BI195" s="108">
        <f t="shared" si="224"/>
        <v>0</v>
      </c>
      <c r="BJ195" s="108">
        <f t="shared" si="225"/>
        <v>0</v>
      </c>
    </row>
    <row r="196" spans="1:62" x14ac:dyDescent="0.2">
      <c r="A196" s="117" t="s">
        <v>161</v>
      </c>
      <c r="B196" s="117" t="s">
        <v>3163</v>
      </c>
      <c r="C196" s="304" t="s">
        <v>1272</v>
      </c>
      <c r="D196" s="305"/>
      <c r="E196" s="305"/>
      <c r="F196" s="117" t="s">
        <v>1644</v>
      </c>
      <c r="G196" s="116">
        <v>1</v>
      </c>
      <c r="H196" s="159"/>
      <c r="I196" s="108">
        <f t="shared" si="202"/>
        <v>0</v>
      </c>
      <c r="J196" s="108">
        <f t="shared" si="203"/>
        <v>0</v>
      </c>
      <c r="K196" s="108">
        <f t="shared" si="204"/>
        <v>0</v>
      </c>
      <c r="L196" s="111"/>
      <c r="Z196" s="100">
        <f t="shared" si="205"/>
        <v>0</v>
      </c>
      <c r="AB196" s="100">
        <f t="shared" si="206"/>
        <v>0</v>
      </c>
      <c r="AC196" s="100">
        <f t="shared" si="207"/>
        <v>0</v>
      </c>
      <c r="AD196" s="100">
        <f t="shared" si="208"/>
        <v>0</v>
      </c>
      <c r="AE196" s="100">
        <f t="shared" si="209"/>
        <v>0</v>
      </c>
      <c r="AF196" s="100">
        <f t="shared" si="210"/>
        <v>0</v>
      </c>
      <c r="AG196" s="100">
        <f t="shared" si="211"/>
        <v>0</v>
      </c>
      <c r="AH196" s="100">
        <f t="shared" si="212"/>
        <v>0</v>
      </c>
      <c r="AI196" s="109"/>
      <c r="AJ196" s="108">
        <f t="shared" si="213"/>
        <v>0</v>
      </c>
      <c r="AK196" s="108">
        <f t="shared" si="214"/>
        <v>0</v>
      </c>
      <c r="AL196" s="108">
        <f t="shared" si="215"/>
        <v>0</v>
      </c>
      <c r="AN196" s="100">
        <v>15</v>
      </c>
      <c r="AO196" s="100">
        <f t="shared" si="216"/>
        <v>0</v>
      </c>
      <c r="AP196" s="100">
        <f t="shared" si="217"/>
        <v>0</v>
      </c>
      <c r="AQ196" s="111" t="s">
        <v>13</v>
      </c>
      <c r="AV196" s="100">
        <f t="shared" si="218"/>
        <v>0</v>
      </c>
      <c r="AW196" s="100">
        <f t="shared" si="219"/>
        <v>0</v>
      </c>
      <c r="AX196" s="100">
        <f t="shared" si="220"/>
        <v>0</v>
      </c>
      <c r="AY196" s="110" t="s">
        <v>1708</v>
      </c>
      <c r="AZ196" s="110" t="s">
        <v>1732</v>
      </c>
      <c r="BA196" s="109" t="s">
        <v>1737</v>
      </c>
      <c r="BC196" s="100">
        <f t="shared" si="221"/>
        <v>0</v>
      </c>
      <c r="BD196" s="100">
        <f t="shared" si="222"/>
        <v>0</v>
      </c>
      <c r="BE196" s="100">
        <v>0</v>
      </c>
      <c r="BF196" s="100">
        <f>196</f>
        <v>196</v>
      </c>
      <c r="BH196" s="108">
        <f t="shared" si="223"/>
        <v>0</v>
      </c>
      <c r="BI196" s="108">
        <f t="shared" si="224"/>
        <v>0</v>
      </c>
      <c r="BJ196" s="108">
        <f t="shared" si="225"/>
        <v>0</v>
      </c>
    </row>
    <row r="197" spans="1:62" x14ac:dyDescent="0.2">
      <c r="A197" s="117" t="s">
        <v>162</v>
      </c>
      <c r="B197" s="117" t="s">
        <v>3162</v>
      </c>
      <c r="C197" s="304" t="s">
        <v>1276</v>
      </c>
      <c r="D197" s="305"/>
      <c r="E197" s="305"/>
      <c r="F197" s="117" t="s">
        <v>1644</v>
      </c>
      <c r="G197" s="116">
        <v>1</v>
      </c>
      <c r="H197" s="159"/>
      <c r="I197" s="108">
        <f t="shared" si="202"/>
        <v>0</v>
      </c>
      <c r="J197" s="108">
        <f t="shared" si="203"/>
        <v>0</v>
      </c>
      <c r="K197" s="108">
        <f t="shared" si="204"/>
        <v>0</v>
      </c>
      <c r="L197" s="111"/>
      <c r="Z197" s="100">
        <f t="shared" si="205"/>
        <v>0</v>
      </c>
      <c r="AB197" s="100">
        <f t="shared" si="206"/>
        <v>0</v>
      </c>
      <c r="AC197" s="100">
        <f t="shared" si="207"/>
        <v>0</v>
      </c>
      <c r="AD197" s="100">
        <f t="shared" si="208"/>
        <v>0</v>
      </c>
      <c r="AE197" s="100">
        <f t="shared" si="209"/>
        <v>0</v>
      </c>
      <c r="AF197" s="100">
        <f t="shared" si="210"/>
        <v>0</v>
      </c>
      <c r="AG197" s="100">
        <f t="shared" si="211"/>
        <v>0</v>
      </c>
      <c r="AH197" s="100">
        <f t="shared" si="212"/>
        <v>0</v>
      </c>
      <c r="AI197" s="109"/>
      <c r="AJ197" s="108">
        <f t="shared" si="213"/>
        <v>0</v>
      </c>
      <c r="AK197" s="108">
        <f t="shared" si="214"/>
        <v>0</v>
      </c>
      <c r="AL197" s="108">
        <f t="shared" si="215"/>
        <v>0</v>
      </c>
      <c r="AN197" s="100">
        <v>15</v>
      </c>
      <c r="AO197" s="100">
        <f t="shared" si="216"/>
        <v>0</v>
      </c>
      <c r="AP197" s="100">
        <f t="shared" si="217"/>
        <v>0</v>
      </c>
      <c r="AQ197" s="111" t="s">
        <v>13</v>
      </c>
      <c r="AV197" s="100">
        <f t="shared" si="218"/>
        <v>0</v>
      </c>
      <c r="AW197" s="100">
        <f t="shared" si="219"/>
        <v>0</v>
      </c>
      <c r="AX197" s="100">
        <f t="shared" si="220"/>
        <v>0</v>
      </c>
      <c r="AY197" s="110" t="s">
        <v>1708</v>
      </c>
      <c r="AZ197" s="110" t="s">
        <v>1732</v>
      </c>
      <c r="BA197" s="109" t="s">
        <v>1737</v>
      </c>
      <c r="BC197" s="100">
        <f t="shared" si="221"/>
        <v>0</v>
      </c>
      <c r="BD197" s="100">
        <f t="shared" si="222"/>
        <v>0</v>
      </c>
      <c r="BE197" s="100">
        <v>0</v>
      </c>
      <c r="BF197" s="100">
        <f>197</f>
        <v>197</v>
      </c>
      <c r="BH197" s="108">
        <f t="shared" si="223"/>
        <v>0</v>
      </c>
      <c r="BI197" s="108">
        <f t="shared" si="224"/>
        <v>0</v>
      </c>
      <c r="BJ197" s="108">
        <f t="shared" si="225"/>
        <v>0</v>
      </c>
    </row>
    <row r="198" spans="1:62" x14ac:dyDescent="0.2">
      <c r="A198" s="117" t="s">
        <v>163</v>
      </c>
      <c r="B198" s="117" t="s">
        <v>3161</v>
      </c>
      <c r="C198" s="304" t="s">
        <v>1278</v>
      </c>
      <c r="D198" s="305"/>
      <c r="E198" s="305"/>
      <c r="F198" s="117" t="s">
        <v>1644</v>
      </c>
      <c r="G198" s="116">
        <v>2</v>
      </c>
      <c r="H198" s="159"/>
      <c r="I198" s="108">
        <f t="shared" si="202"/>
        <v>0</v>
      </c>
      <c r="J198" s="108">
        <f t="shared" si="203"/>
        <v>0</v>
      </c>
      <c r="K198" s="108">
        <f t="shared" si="204"/>
        <v>0</v>
      </c>
      <c r="L198" s="111"/>
      <c r="Z198" s="100">
        <f t="shared" si="205"/>
        <v>0</v>
      </c>
      <c r="AB198" s="100">
        <f t="shared" si="206"/>
        <v>0</v>
      </c>
      <c r="AC198" s="100">
        <f t="shared" si="207"/>
        <v>0</v>
      </c>
      <c r="AD198" s="100">
        <f t="shared" si="208"/>
        <v>0</v>
      </c>
      <c r="AE198" s="100">
        <f t="shared" si="209"/>
        <v>0</v>
      </c>
      <c r="AF198" s="100">
        <f t="shared" si="210"/>
        <v>0</v>
      </c>
      <c r="AG198" s="100">
        <f t="shared" si="211"/>
        <v>0</v>
      </c>
      <c r="AH198" s="100">
        <f t="shared" si="212"/>
        <v>0</v>
      </c>
      <c r="AI198" s="109"/>
      <c r="AJ198" s="108">
        <f t="shared" si="213"/>
        <v>0</v>
      </c>
      <c r="AK198" s="108">
        <f t="shared" si="214"/>
        <v>0</v>
      </c>
      <c r="AL198" s="108">
        <f t="shared" si="215"/>
        <v>0</v>
      </c>
      <c r="AN198" s="100">
        <v>15</v>
      </c>
      <c r="AO198" s="100">
        <f t="shared" si="216"/>
        <v>0</v>
      </c>
      <c r="AP198" s="100">
        <f t="shared" si="217"/>
        <v>0</v>
      </c>
      <c r="AQ198" s="111" t="s">
        <v>13</v>
      </c>
      <c r="AV198" s="100">
        <f t="shared" si="218"/>
        <v>0</v>
      </c>
      <c r="AW198" s="100">
        <f t="shared" si="219"/>
        <v>0</v>
      </c>
      <c r="AX198" s="100">
        <f t="shared" si="220"/>
        <v>0</v>
      </c>
      <c r="AY198" s="110" t="s">
        <v>1708</v>
      </c>
      <c r="AZ198" s="110" t="s">
        <v>1732</v>
      </c>
      <c r="BA198" s="109" t="s">
        <v>1737</v>
      </c>
      <c r="BC198" s="100">
        <f t="shared" si="221"/>
        <v>0</v>
      </c>
      <c r="BD198" s="100">
        <f t="shared" si="222"/>
        <v>0</v>
      </c>
      <c r="BE198" s="100">
        <v>0</v>
      </c>
      <c r="BF198" s="100">
        <f>198</f>
        <v>198</v>
      </c>
      <c r="BH198" s="108">
        <f t="shared" si="223"/>
        <v>0</v>
      </c>
      <c r="BI198" s="108">
        <f t="shared" si="224"/>
        <v>0</v>
      </c>
      <c r="BJ198" s="108">
        <f t="shared" si="225"/>
        <v>0</v>
      </c>
    </row>
    <row r="199" spans="1:62" x14ac:dyDescent="0.2">
      <c r="A199" s="117" t="s">
        <v>164</v>
      </c>
      <c r="B199" s="117" t="s">
        <v>3160</v>
      </c>
      <c r="C199" s="304" t="s">
        <v>2123</v>
      </c>
      <c r="D199" s="305"/>
      <c r="E199" s="305"/>
      <c r="F199" s="117" t="s">
        <v>1644</v>
      </c>
      <c r="G199" s="116">
        <v>1</v>
      </c>
      <c r="H199" s="159"/>
      <c r="I199" s="108">
        <f t="shared" si="202"/>
        <v>0</v>
      </c>
      <c r="J199" s="108">
        <f t="shared" si="203"/>
        <v>0</v>
      </c>
      <c r="K199" s="108">
        <f t="shared" si="204"/>
        <v>0</v>
      </c>
      <c r="L199" s="111"/>
      <c r="Z199" s="100">
        <f t="shared" si="205"/>
        <v>0</v>
      </c>
      <c r="AB199" s="100">
        <f t="shared" si="206"/>
        <v>0</v>
      </c>
      <c r="AC199" s="100">
        <f t="shared" si="207"/>
        <v>0</v>
      </c>
      <c r="AD199" s="100">
        <f t="shared" si="208"/>
        <v>0</v>
      </c>
      <c r="AE199" s="100">
        <f t="shared" si="209"/>
        <v>0</v>
      </c>
      <c r="AF199" s="100">
        <f t="shared" si="210"/>
        <v>0</v>
      </c>
      <c r="AG199" s="100">
        <f t="shared" si="211"/>
        <v>0</v>
      </c>
      <c r="AH199" s="100">
        <f t="shared" si="212"/>
        <v>0</v>
      </c>
      <c r="AI199" s="109"/>
      <c r="AJ199" s="108">
        <f t="shared" si="213"/>
        <v>0</v>
      </c>
      <c r="AK199" s="108">
        <f t="shared" si="214"/>
        <v>0</v>
      </c>
      <c r="AL199" s="108">
        <f t="shared" si="215"/>
        <v>0</v>
      </c>
      <c r="AN199" s="100">
        <v>15</v>
      </c>
      <c r="AO199" s="100">
        <f t="shared" si="216"/>
        <v>0</v>
      </c>
      <c r="AP199" s="100">
        <f t="shared" si="217"/>
        <v>0</v>
      </c>
      <c r="AQ199" s="111" t="s">
        <v>13</v>
      </c>
      <c r="AV199" s="100">
        <f t="shared" si="218"/>
        <v>0</v>
      </c>
      <c r="AW199" s="100">
        <f t="shared" si="219"/>
        <v>0</v>
      </c>
      <c r="AX199" s="100">
        <f t="shared" si="220"/>
        <v>0</v>
      </c>
      <c r="AY199" s="110" t="s">
        <v>1708</v>
      </c>
      <c r="AZ199" s="110" t="s">
        <v>1732</v>
      </c>
      <c r="BA199" s="109" t="s">
        <v>1737</v>
      </c>
      <c r="BC199" s="100">
        <f t="shared" si="221"/>
        <v>0</v>
      </c>
      <c r="BD199" s="100">
        <f t="shared" si="222"/>
        <v>0</v>
      </c>
      <c r="BE199" s="100">
        <v>0</v>
      </c>
      <c r="BF199" s="100">
        <f>199</f>
        <v>199</v>
      </c>
      <c r="BH199" s="108">
        <f t="shared" si="223"/>
        <v>0</v>
      </c>
      <c r="BI199" s="108">
        <f t="shared" si="224"/>
        <v>0</v>
      </c>
      <c r="BJ199" s="108">
        <f t="shared" si="225"/>
        <v>0</v>
      </c>
    </row>
    <row r="200" spans="1:62" x14ac:dyDescent="0.2">
      <c r="A200" s="117" t="s">
        <v>165</v>
      </c>
      <c r="B200" s="117" t="s">
        <v>3159</v>
      </c>
      <c r="C200" s="304" t="s">
        <v>1280</v>
      </c>
      <c r="D200" s="305"/>
      <c r="E200" s="305"/>
      <c r="F200" s="117" t="s">
        <v>1646</v>
      </c>
      <c r="G200" s="116">
        <v>10</v>
      </c>
      <c r="H200" s="159"/>
      <c r="I200" s="108">
        <f t="shared" si="202"/>
        <v>0</v>
      </c>
      <c r="J200" s="108">
        <f t="shared" si="203"/>
        <v>0</v>
      </c>
      <c r="K200" s="108">
        <f t="shared" si="204"/>
        <v>0</v>
      </c>
      <c r="L200" s="111"/>
      <c r="Z200" s="100">
        <f t="shared" si="205"/>
        <v>0</v>
      </c>
      <c r="AB200" s="100">
        <f t="shared" si="206"/>
        <v>0</v>
      </c>
      <c r="AC200" s="100">
        <f t="shared" si="207"/>
        <v>0</v>
      </c>
      <c r="AD200" s="100">
        <f t="shared" si="208"/>
        <v>0</v>
      </c>
      <c r="AE200" s="100">
        <f t="shared" si="209"/>
        <v>0</v>
      </c>
      <c r="AF200" s="100">
        <f t="shared" si="210"/>
        <v>0</v>
      </c>
      <c r="AG200" s="100">
        <f t="shared" si="211"/>
        <v>0</v>
      </c>
      <c r="AH200" s="100">
        <f t="shared" si="212"/>
        <v>0</v>
      </c>
      <c r="AI200" s="109"/>
      <c r="AJ200" s="108">
        <f t="shared" si="213"/>
        <v>0</v>
      </c>
      <c r="AK200" s="108">
        <f t="shared" si="214"/>
        <v>0</v>
      </c>
      <c r="AL200" s="108">
        <f t="shared" si="215"/>
        <v>0</v>
      </c>
      <c r="AN200" s="100">
        <v>15</v>
      </c>
      <c r="AO200" s="100">
        <f t="shared" si="216"/>
        <v>0</v>
      </c>
      <c r="AP200" s="100">
        <f t="shared" si="217"/>
        <v>0</v>
      </c>
      <c r="AQ200" s="111" t="s">
        <v>13</v>
      </c>
      <c r="AV200" s="100">
        <f t="shared" si="218"/>
        <v>0</v>
      </c>
      <c r="AW200" s="100">
        <f t="shared" si="219"/>
        <v>0</v>
      </c>
      <c r="AX200" s="100">
        <f t="shared" si="220"/>
        <v>0</v>
      </c>
      <c r="AY200" s="110" t="s">
        <v>1708</v>
      </c>
      <c r="AZ200" s="110" t="s">
        <v>1732</v>
      </c>
      <c r="BA200" s="109" t="s">
        <v>1737</v>
      </c>
      <c r="BC200" s="100">
        <f t="shared" si="221"/>
        <v>0</v>
      </c>
      <c r="BD200" s="100">
        <f t="shared" si="222"/>
        <v>0</v>
      </c>
      <c r="BE200" s="100">
        <v>0</v>
      </c>
      <c r="BF200" s="100">
        <f>200</f>
        <v>200</v>
      </c>
      <c r="BH200" s="108">
        <f t="shared" si="223"/>
        <v>0</v>
      </c>
      <c r="BI200" s="108">
        <f t="shared" si="224"/>
        <v>0</v>
      </c>
      <c r="BJ200" s="108">
        <f t="shared" si="225"/>
        <v>0</v>
      </c>
    </row>
    <row r="201" spans="1:62" x14ac:dyDescent="0.2">
      <c r="A201" s="117" t="s">
        <v>166</v>
      </c>
      <c r="B201" s="117" t="s">
        <v>3158</v>
      </c>
      <c r="C201" s="304" t="s">
        <v>1281</v>
      </c>
      <c r="D201" s="305"/>
      <c r="E201" s="305"/>
      <c r="F201" s="117" t="s">
        <v>1646</v>
      </c>
      <c r="G201" s="116">
        <v>4</v>
      </c>
      <c r="H201" s="159"/>
      <c r="I201" s="108">
        <f t="shared" si="202"/>
        <v>0</v>
      </c>
      <c r="J201" s="108">
        <f t="shared" si="203"/>
        <v>0</v>
      </c>
      <c r="K201" s="108">
        <f t="shared" si="204"/>
        <v>0</v>
      </c>
      <c r="L201" s="111"/>
      <c r="Z201" s="100">
        <f t="shared" si="205"/>
        <v>0</v>
      </c>
      <c r="AB201" s="100">
        <f t="shared" si="206"/>
        <v>0</v>
      </c>
      <c r="AC201" s="100">
        <f t="shared" si="207"/>
        <v>0</v>
      </c>
      <c r="AD201" s="100">
        <f t="shared" si="208"/>
        <v>0</v>
      </c>
      <c r="AE201" s="100">
        <f t="shared" si="209"/>
        <v>0</v>
      </c>
      <c r="AF201" s="100">
        <f t="shared" si="210"/>
        <v>0</v>
      </c>
      <c r="AG201" s="100">
        <f t="shared" si="211"/>
        <v>0</v>
      </c>
      <c r="AH201" s="100">
        <f t="shared" si="212"/>
        <v>0</v>
      </c>
      <c r="AI201" s="109"/>
      <c r="AJ201" s="108">
        <f t="shared" si="213"/>
        <v>0</v>
      </c>
      <c r="AK201" s="108">
        <f t="shared" si="214"/>
        <v>0</v>
      </c>
      <c r="AL201" s="108">
        <f t="shared" si="215"/>
        <v>0</v>
      </c>
      <c r="AN201" s="100">
        <v>15</v>
      </c>
      <c r="AO201" s="100">
        <f t="shared" si="216"/>
        <v>0</v>
      </c>
      <c r="AP201" s="100">
        <f t="shared" si="217"/>
        <v>0</v>
      </c>
      <c r="AQ201" s="111" t="s">
        <v>13</v>
      </c>
      <c r="AV201" s="100">
        <f t="shared" si="218"/>
        <v>0</v>
      </c>
      <c r="AW201" s="100">
        <f t="shared" si="219"/>
        <v>0</v>
      </c>
      <c r="AX201" s="100">
        <f t="shared" si="220"/>
        <v>0</v>
      </c>
      <c r="AY201" s="110" t="s">
        <v>1708</v>
      </c>
      <c r="AZ201" s="110" t="s">
        <v>1732</v>
      </c>
      <c r="BA201" s="109" t="s">
        <v>1737</v>
      </c>
      <c r="BC201" s="100">
        <f t="shared" si="221"/>
        <v>0</v>
      </c>
      <c r="BD201" s="100">
        <f t="shared" si="222"/>
        <v>0</v>
      </c>
      <c r="BE201" s="100">
        <v>0</v>
      </c>
      <c r="BF201" s="100">
        <f>201</f>
        <v>201</v>
      </c>
      <c r="BH201" s="108">
        <f t="shared" si="223"/>
        <v>0</v>
      </c>
      <c r="BI201" s="108">
        <f t="shared" si="224"/>
        <v>0</v>
      </c>
      <c r="BJ201" s="108">
        <f t="shared" si="225"/>
        <v>0</v>
      </c>
    </row>
    <row r="202" spans="1:62" x14ac:dyDescent="0.2">
      <c r="A202" s="117" t="s">
        <v>167</v>
      </c>
      <c r="B202" s="117" t="s">
        <v>3157</v>
      </c>
      <c r="C202" s="304" t="s">
        <v>1282</v>
      </c>
      <c r="D202" s="305"/>
      <c r="E202" s="305"/>
      <c r="F202" s="117" t="s">
        <v>1644</v>
      </c>
      <c r="G202" s="116">
        <v>1</v>
      </c>
      <c r="H202" s="159"/>
      <c r="I202" s="108">
        <f t="shared" si="202"/>
        <v>0</v>
      </c>
      <c r="J202" s="108">
        <f t="shared" si="203"/>
        <v>0</v>
      </c>
      <c r="K202" s="108">
        <f t="shared" si="204"/>
        <v>0</v>
      </c>
      <c r="L202" s="111"/>
      <c r="Z202" s="100">
        <f t="shared" si="205"/>
        <v>0</v>
      </c>
      <c r="AB202" s="100">
        <f t="shared" si="206"/>
        <v>0</v>
      </c>
      <c r="AC202" s="100">
        <f t="shared" si="207"/>
        <v>0</v>
      </c>
      <c r="AD202" s="100">
        <f t="shared" si="208"/>
        <v>0</v>
      </c>
      <c r="AE202" s="100">
        <f t="shared" si="209"/>
        <v>0</v>
      </c>
      <c r="AF202" s="100">
        <f t="shared" si="210"/>
        <v>0</v>
      </c>
      <c r="AG202" s="100">
        <f t="shared" si="211"/>
        <v>0</v>
      </c>
      <c r="AH202" s="100">
        <f t="shared" si="212"/>
        <v>0</v>
      </c>
      <c r="AI202" s="109"/>
      <c r="AJ202" s="108">
        <f t="shared" si="213"/>
        <v>0</v>
      </c>
      <c r="AK202" s="108">
        <f t="shared" si="214"/>
        <v>0</v>
      </c>
      <c r="AL202" s="108">
        <f t="shared" si="215"/>
        <v>0</v>
      </c>
      <c r="AN202" s="100">
        <v>15</v>
      </c>
      <c r="AO202" s="100">
        <f t="shared" si="216"/>
        <v>0</v>
      </c>
      <c r="AP202" s="100">
        <f t="shared" si="217"/>
        <v>0</v>
      </c>
      <c r="AQ202" s="111" t="s">
        <v>13</v>
      </c>
      <c r="AV202" s="100">
        <f t="shared" si="218"/>
        <v>0</v>
      </c>
      <c r="AW202" s="100">
        <f t="shared" si="219"/>
        <v>0</v>
      </c>
      <c r="AX202" s="100">
        <f t="shared" si="220"/>
        <v>0</v>
      </c>
      <c r="AY202" s="110" t="s">
        <v>1708</v>
      </c>
      <c r="AZ202" s="110" t="s">
        <v>1732</v>
      </c>
      <c r="BA202" s="109" t="s">
        <v>1737</v>
      </c>
      <c r="BC202" s="100">
        <f t="shared" si="221"/>
        <v>0</v>
      </c>
      <c r="BD202" s="100">
        <f t="shared" si="222"/>
        <v>0</v>
      </c>
      <c r="BE202" s="100">
        <v>0</v>
      </c>
      <c r="BF202" s="100">
        <f>202</f>
        <v>202</v>
      </c>
      <c r="BH202" s="108">
        <f t="shared" si="223"/>
        <v>0</v>
      </c>
      <c r="BI202" s="108">
        <f t="shared" si="224"/>
        <v>0</v>
      </c>
      <c r="BJ202" s="108">
        <f t="shared" si="225"/>
        <v>0</v>
      </c>
    </row>
    <row r="203" spans="1:62" x14ac:dyDescent="0.2">
      <c r="A203" s="119"/>
      <c r="B203" s="120" t="s">
        <v>771</v>
      </c>
      <c r="C203" s="306" t="s">
        <v>1283</v>
      </c>
      <c r="D203" s="307"/>
      <c r="E203" s="307"/>
      <c r="F203" s="119" t="s">
        <v>6</v>
      </c>
      <c r="G203" s="119" t="s">
        <v>6</v>
      </c>
      <c r="H203" s="119" t="s">
        <v>6</v>
      </c>
      <c r="I203" s="118">
        <f>SUM(I204:I279)</f>
        <v>0</v>
      </c>
      <c r="J203" s="118">
        <f>SUM(J204:J279)</f>
        <v>0</v>
      </c>
      <c r="K203" s="118">
        <f>SUM(K204:K279)</f>
        <v>0</v>
      </c>
      <c r="L203" s="109"/>
      <c r="AI203" s="109"/>
      <c r="AS203" s="118">
        <f>SUM(AJ204:AJ279)</f>
        <v>0</v>
      </c>
      <c r="AT203" s="118">
        <f>SUM(AK204:AK279)</f>
        <v>0</v>
      </c>
      <c r="AU203" s="118">
        <f>SUM(AL204:AL279)</f>
        <v>0</v>
      </c>
    </row>
    <row r="204" spans="1:62" x14ac:dyDescent="0.2">
      <c r="A204" s="117" t="s">
        <v>168</v>
      </c>
      <c r="B204" s="117" t="s">
        <v>3156</v>
      </c>
      <c r="C204" s="304" t="s">
        <v>1284</v>
      </c>
      <c r="D204" s="305"/>
      <c r="E204" s="305"/>
      <c r="F204" s="117" t="s">
        <v>1644</v>
      </c>
      <c r="G204" s="116">
        <v>1</v>
      </c>
      <c r="H204" s="159"/>
      <c r="I204" s="108">
        <f t="shared" ref="I204:I235" si="226">G204*AO204</f>
        <v>0</v>
      </c>
      <c r="J204" s="108">
        <f t="shared" ref="J204:J235" si="227">G204*AP204</f>
        <v>0</v>
      </c>
      <c r="K204" s="108">
        <f t="shared" ref="K204:K235" si="228">G204*H204</f>
        <v>0</v>
      </c>
      <c r="L204" s="111"/>
      <c r="Z204" s="100">
        <f t="shared" ref="Z204:Z235" si="229">IF(AQ204="5",BJ204,0)</f>
        <v>0</v>
      </c>
      <c r="AB204" s="100">
        <f t="shared" ref="AB204:AB235" si="230">IF(AQ204="1",BH204,0)</f>
        <v>0</v>
      </c>
      <c r="AC204" s="100">
        <f t="shared" ref="AC204:AC235" si="231">IF(AQ204="1",BI204,0)</f>
        <v>0</v>
      </c>
      <c r="AD204" s="100">
        <f t="shared" ref="AD204:AD235" si="232">IF(AQ204="7",BH204,0)</f>
        <v>0</v>
      </c>
      <c r="AE204" s="100">
        <f t="shared" ref="AE204:AE235" si="233">IF(AQ204="7",BI204,0)</f>
        <v>0</v>
      </c>
      <c r="AF204" s="100">
        <f t="shared" ref="AF204:AF235" si="234">IF(AQ204="2",BH204,0)</f>
        <v>0</v>
      </c>
      <c r="AG204" s="100">
        <f t="shared" ref="AG204:AG235" si="235">IF(AQ204="2",BI204,0)</f>
        <v>0</v>
      </c>
      <c r="AH204" s="100">
        <f t="shared" ref="AH204:AH235" si="236">IF(AQ204="0",BJ204,0)</f>
        <v>0</v>
      </c>
      <c r="AI204" s="109"/>
      <c r="AJ204" s="108">
        <f t="shared" ref="AJ204:AJ235" si="237">IF(AN204=0,K204,0)</f>
        <v>0</v>
      </c>
      <c r="AK204" s="108">
        <f t="shared" ref="AK204:AK235" si="238">IF(AN204=15,K204,0)</f>
        <v>0</v>
      </c>
      <c r="AL204" s="108">
        <f t="shared" ref="AL204:AL235" si="239">IF(AN204=21,K204,0)</f>
        <v>0</v>
      </c>
      <c r="AN204" s="100">
        <v>15</v>
      </c>
      <c r="AO204" s="100">
        <f t="shared" ref="AO204:AO235" si="240">H204*0</f>
        <v>0</v>
      </c>
      <c r="AP204" s="100">
        <f t="shared" ref="AP204:AP235" si="241">H204*(1-0)</f>
        <v>0</v>
      </c>
      <c r="AQ204" s="111" t="s">
        <v>13</v>
      </c>
      <c r="AV204" s="100">
        <f t="shared" ref="AV204:AV235" si="242">AW204+AX204</f>
        <v>0</v>
      </c>
      <c r="AW204" s="100">
        <f t="shared" ref="AW204:AW235" si="243">G204*AO204</f>
        <v>0</v>
      </c>
      <c r="AX204" s="100">
        <f t="shared" ref="AX204:AX235" si="244">G204*AP204</f>
        <v>0</v>
      </c>
      <c r="AY204" s="110" t="s">
        <v>1709</v>
      </c>
      <c r="AZ204" s="110" t="s">
        <v>1733</v>
      </c>
      <c r="BA204" s="109" t="s">
        <v>1737</v>
      </c>
      <c r="BC204" s="100">
        <f t="shared" ref="BC204:BC235" si="245">AW204+AX204</f>
        <v>0</v>
      </c>
      <c r="BD204" s="100">
        <f t="shared" ref="BD204:BD235" si="246">H204/(100-BE204)*100</f>
        <v>0</v>
      </c>
      <c r="BE204" s="100">
        <v>0</v>
      </c>
      <c r="BF204" s="100">
        <f>204</f>
        <v>204</v>
      </c>
      <c r="BH204" s="108">
        <f t="shared" ref="BH204:BH235" si="247">G204*AO204</f>
        <v>0</v>
      </c>
      <c r="BI204" s="108">
        <f t="shared" ref="BI204:BI235" si="248">G204*AP204</f>
        <v>0</v>
      </c>
      <c r="BJ204" s="108">
        <f t="shared" ref="BJ204:BJ235" si="249">G204*H204</f>
        <v>0</v>
      </c>
    </row>
    <row r="205" spans="1:62" x14ac:dyDescent="0.2">
      <c r="A205" s="117" t="s">
        <v>169</v>
      </c>
      <c r="B205" s="117" t="s">
        <v>3155</v>
      </c>
      <c r="C205" s="304" t="s">
        <v>1285</v>
      </c>
      <c r="D205" s="305"/>
      <c r="E205" s="305"/>
      <c r="F205" s="117" t="s">
        <v>1644</v>
      </c>
      <c r="G205" s="116">
        <v>1</v>
      </c>
      <c r="H205" s="159"/>
      <c r="I205" s="108">
        <f t="shared" si="226"/>
        <v>0</v>
      </c>
      <c r="J205" s="108">
        <f t="shared" si="227"/>
        <v>0</v>
      </c>
      <c r="K205" s="108">
        <f t="shared" si="228"/>
        <v>0</v>
      </c>
      <c r="L205" s="111"/>
      <c r="Z205" s="100">
        <f t="shared" si="229"/>
        <v>0</v>
      </c>
      <c r="AB205" s="100">
        <f t="shared" si="230"/>
        <v>0</v>
      </c>
      <c r="AC205" s="100">
        <f t="shared" si="231"/>
        <v>0</v>
      </c>
      <c r="AD205" s="100">
        <f t="shared" si="232"/>
        <v>0</v>
      </c>
      <c r="AE205" s="100">
        <f t="shared" si="233"/>
        <v>0</v>
      </c>
      <c r="AF205" s="100">
        <f t="shared" si="234"/>
        <v>0</v>
      </c>
      <c r="AG205" s="100">
        <f t="shared" si="235"/>
        <v>0</v>
      </c>
      <c r="AH205" s="100">
        <f t="shared" si="236"/>
        <v>0</v>
      </c>
      <c r="AI205" s="109"/>
      <c r="AJ205" s="108">
        <f t="shared" si="237"/>
        <v>0</v>
      </c>
      <c r="AK205" s="108">
        <f t="shared" si="238"/>
        <v>0</v>
      </c>
      <c r="AL205" s="108">
        <f t="shared" si="239"/>
        <v>0</v>
      </c>
      <c r="AN205" s="100">
        <v>15</v>
      </c>
      <c r="AO205" s="100">
        <f t="shared" si="240"/>
        <v>0</v>
      </c>
      <c r="AP205" s="100">
        <f t="shared" si="241"/>
        <v>0</v>
      </c>
      <c r="AQ205" s="111" t="s">
        <v>13</v>
      </c>
      <c r="AV205" s="100">
        <f t="shared" si="242"/>
        <v>0</v>
      </c>
      <c r="AW205" s="100">
        <f t="shared" si="243"/>
        <v>0</v>
      </c>
      <c r="AX205" s="100">
        <f t="shared" si="244"/>
        <v>0</v>
      </c>
      <c r="AY205" s="110" t="s">
        <v>1709</v>
      </c>
      <c r="AZ205" s="110" t="s">
        <v>1733</v>
      </c>
      <c r="BA205" s="109" t="s">
        <v>1737</v>
      </c>
      <c r="BC205" s="100">
        <f t="shared" si="245"/>
        <v>0</v>
      </c>
      <c r="BD205" s="100">
        <f t="shared" si="246"/>
        <v>0</v>
      </c>
      <c r="BE205" s="100">
        <v>0</v>
      </c>
      <c r="BF205" s="100">
        <f>205</f>
        <v>205</v>
      </c>
      <c r="BH205" s="108">
        <f t="shared" si="247"/>
        <v>0</v>
      </c>
      <c r="BI205" s="108">
        <f t="shared" si="248"/>
        <v>0</v>
      </c>
      <c r="BJ205" s="108">
        <f t="shared" si="249"/>
        <v>0</v>
      </c>
    </row>
    <row r="206" spans="1:62" x14ac:dyDescent="0.2">
      <c r="A206" s="117" t="s">
        <v>170</v>
      </c>
      <c r="B206" s="117" t="s">
        <v>3154</v>
      </c>
      <c r="C206" s="304" t="s">
        <v>1286</v>
      </c>
      <c r="D206" s="305"/>
      <c r="E206" s="305"/>
      <c r="F206" s="117" t="s">
        <v>1644</v>
      </c>
      <c r="G206" s="116">
        <v>2</v>
      </c>
      <c r="H206" s="159"/>
      <c r="I206" s="108">
        <f t="shared" si="226"/>
        <v>0</v>
      </c>
      <c r="J206" s="108">
        <f t="shared" si="227"/>
        <v>0</v>
      </c>
      <c r="K206" s="108">
        <f t="shared" si="228"/>
        <v>0</v>
      </c>
      <c r="L206" s="111"/>
      <c r="Z206" s="100">
        <f t="shared" si="229"/>
        <v>0</v>
      </c>
      <c r="AB206" s="100">
        <f t="shared" si="230"/>
        <v>0</v>
      </c>
      <c r="AC206" s="100">
        <f t="shared" si="231"/>
        <v>0</v>
      </c>
      <c r="AD206" s="100">
        <f t="shared" si="232"/>
        <v>0</v>
      </c>
      <c r="AE206" s="100">
        <f t="shared" si="233"/>
        <v>0</v>
      </c>
      <c r="AF206" s="100">
        <f t="shared" si="234"/>
        <v>0</v>
      </c>
      <c r="AG206" s="100">
        <f t="shared" si="235"/>
        <v>0</v>
      </c>
      <c r="AH206" s="100">
        <f t="shared" si="236"/>
        <v>0</v>
      </c>
      <c r="AI206" s="109"/>
      <c r="AJ206" s="108">
        <f t="shared" si="237"/>
        <v>0</v>
      </c>
      <c r="AK206" s="108">
        <f t="shared" si="238"/>
        <v>0</v>
      </c>
      <c r="AL206" s="108">
        <f t="shared" si="239"/>
        <v>0</v>
      </c>
      <c r="AN206" s="100">
        <v>15</v>
      </c>
      <c r="AO206" s="100">
        <f t="shared" si="240"/>
        <v>0</v>
      </c>
      <c r="AP206" s="100">
        <f t="shared" si="241"/>
        <v>0</v>
      </c>
      <c r="AQ206" s="111" t="s">
        <v>13</v>
      </c>
      <c r="AV206" s="100">
        <f t="shared" si="242"/>
        <v>0</v>
      </c>
      <c r="AW206" s="100">
        <f t="shared" si="243"/>
        <v>0</v>
      </c>
      <c r="AX206" s="100">
        <f t="shared" si="244"/>
        <v>0</v>
      </c>
      <c r="AY206" s="110" t="s">
        <v>1709</v>
      </c>
      <c r="AZ206" s="110" t="s">
        <v>1733</v>
      </c>
      <c r="BA206" s="109" t="s">
        <v>1737</v>
      </c>
      <c r="BC206" s="100">
        <f t="shared" si="245"/>
        <v>0</v>
      </c>
      <c r="BD206" s="100">
        <f t="shared" si="246"/>
        <v>0</v>
      </c>
      <c r="BE206" s="100">
        <v>0</v>
      </c>
      <c r="BF206" s="100">
        <f>206</f>
        <v>206</v>
      </c>
      <c r="BH206" s="108">
        <f t="shared" si="247"/>
        <v>0</v>
      </c>
      <c r="BI206" s="108">
        <f t="shared" si="248"/>
        <v>0</v>
      </c>
      <c r="BJ206" s="108">
        <f t="shared" si="249"/>
        <v>0</v>
      </c>
    </row>
    <row r="207" spans="1:62" x14ac:dyDescent="0.2">
      <c r="A207" s="117" t="s">
        <v>171</v>
      </c>
      <c r="B207" s="117" t="s">
        <v>3153</v>
      </c>
      <c r="C207" s="304" t="s">
        <v>1287</v>
      </c>
      <c r="D207" s="305"/>
      <c r="E207" s="305"/>
      <c r="F207" s="117" t="s">
        <v>1644</v>
      </c>
      <c r="G207" s="116">
        <v>1</v>
      </c>
      <c r="H207" s="159"/>
      <c r="I207" s="108">
        <f t="shared" si="226"/>
        <v>0</v>
      </c>
      <c r="J207" s="108">
        <f t="shared" si="227"/>
        <v>0</v>
      </c>
      <c r="K207" s="108">
        <f t="shared" si="228"/>
        <v>0</v>
      </c>
      <c r="L207" s="111"/>
      <c r="Z207" s="100">
        <f t="shared" si="229"/>
        <v>0</v>
      </c>
      <c r="AB207" s="100">
        <f t="shared" si="230"/>
        <v>0</v>
      </c>
      <c r="AC207" s="100">
        <f t="shared" si="231"/>
        <v>0</v>
      </c>
      <c r="AD207" s="100">
        <f t="shared" si="232"/>
        <v>0</v>
      </c>
      <c r="AE207" s="100">
        <f t="shared" si="233"/>
        <v>0</v>
      </c>
      <c r="AF207" s="100">
        <f t="shared" si="234"/>
        <v>0</v>
      </c>
      <c r="AG207" s="100">
        <f t="shared" si="235"/>
        <v>0</v>
      </c>
      <c r="AH207" s="100">
        <f t="shared" si="236"/>
        <v>0</v>
      </c>
      <c r="AI207" s="109"/>
      <c r="AJ207" s="108">
        <f t="shared" si="237"/>
        <v>0</v>
      </c>
      <c r="AK207" s="108">
        <f t="shared" si="238"/>
        <v>0</v>
      </c>
      <c r="AL207" s="108">
        <f t="shared" si="239"/>
        <v>0</v>
      </c>
      <c r="AN207" s="100">
        <v>15</v>
      </c>
      <c r="AO207" s="100">
        <f t="shared" si="240"/>
        <v>0</v>
      </c>
      <c r="AP207" s="100">
        <f t="shared" si="241"/>
        <v>0</v>
      </c>
      <c r="AQ207" s="111" t="s">
        <v>13</v>
      </c>
      <c r="AV207" s="100">
        <f t="shared" si="242"/>
        <v>0</v>
      </c>
      <c r="AW207" s="100">
        <f t="shared" si="243"/>
        <v>0</v>
      </c>
      <c r="AX207" s="100">
        <f t="shared" si="244"/>
        <v>0</v>
      </c>
      <c r="AY207" s="110" t="s">
        <v>1709</v>
      </c>
      <c r="AZ207" s="110" t="s">
        <v>1733</v>
      </c>
      <c r="BA207" s="109" t="s">
        <v>1737</v>
      </c>
      <c r="BC207" s="100">
        <f t="shared" si="245"/>
        <v>0</v>
      </c>
      <c r="BD207" s="100">
        <f t="shared" si="246"/>
        <v>0</v>
      </c>
      <c r="BE207" s="100">
        <v>0</v>
      </c>
      <c r="BF207" s="100">
        <f>207</f>
        <v>207</v>
      </c>
      <c r="BH207" s="108">
        <f t="shared" si="247"/>
        <v>0</v>
      </c>
      <c r="BI207" s="108">
        <f t="shared" si="248"/>
        <v>0</v>
      </c>
      <c r="BJ207" s="108">
        <f t="shared" si="249"/>
        <v>0</v>
      </c>
    </row>
    <row r="208" spans="1:62" x14ac:dyDescent="0.2">
      <c r="A208" s="117" t="s">
        <v>172</v>
      </c>
      <c r="B208" s="117" t="s">
        <v>3152</v>
      </c>
      <c r="C208" s="304" t="s">
        <v>1288</v>
      </c>
      <c r="D208" s="305"/>
      <c r="E208" s="305"/>
      <c r="F208" s="117" t="s">
        <v>1644</v>
      </c>
      <c r="G208" s="116">
        <v>1</v>
      </c>
      <c r="H208" s="159"/>
      <c r="I208" s="108">
        <f t="shared" si="226"/>
        <v>0</v>
      </c>
      <c r="J208" s="108">
        <f t="shared" si="227"/>
        <v>0</v>
      </c>
      <c r="K208" s="108">
        <f t="shared" si="228"/>
        <v>0</v>
      </c>
      <c r="L208" s="111"/>
      <c r="Z208" s="100">
        <f t="shared" si="229"/>
        <v>0</v>
      </c>
      <c r="AB208" s="100">
        <f t="shared" si="230"/>
        <v>0</v>
      </c>
      <c r="AC208" s="100">
        <f t="shared" si="231"/>
        <v>0</v>
      </c>
      <c r="AD208" s="100">
        <f t="shared" si="232"/>
        <v>0</v>
      </c>
      <c r="AE208" s="100">
        <f t="shared" si="233"/>
        <v>0</v>
      </c>
      <c r="AF208" s="100">
        <f t="shared" si="234"/>
        <v>0</v>
      </c>
      <c r="AG208" s="100">
        <f t="shared" si="235"/>
        <v>0</v>
      </c>
      <c r="AH208" s="100">
        <f t="shared" si="236"/>
        <v>0</v>
      </c>
      <c r="AI208" s="109"/>
      <c r="AJ208" s="108">
        <f t="shared" si="237"/>
        <v>0</v>
      </c>
      <c r="AK208" s="108">
        <f t="shared" si="238"/>
        <v>0</v>
      </c>
      <c r="AL208" s="108">
        <f t="shared" si="239"/>
        <v>0</v>
      </c>
      <c r="AN208" s="100">
        <v>15</v>
      </c>
      <c r="AO208" s="100">
        <f t="shared" si="240"/>
        <v>0</v>
      </c>
      <c r="AP208" s="100">
        <f t="shared" si="241"/>
        <v>0</v>
      </c>
      <c r="AQ208" s="111" t="s">
        <v>13</v>
      </c>
      <c r="AV208" s="100">
        <f t="shared" si="242"/>
        <v>0</v>
      </c>
      <c r="AW208" s="100">
        <f t="shared" si="243"/>
        <v>0</v>
      </c>
      <c r="AX208" s="100">
        <f t="shared" si="244"/>
        <v>0</v>
      </c>
      <c r="AY208" s="110" t="s">
        <v>1709</v>
      </c>
      <c r="AZ208" s="110" t="s">
        <v>1733</v>
      </c>
      <c r="BA208" s="109" t="s">
        <v>1737</v>
      </c>
      <c r="BC208" s="100">
        <f t="shared" si="245"/>
        <v>0</v>
      </c>
      <c r="BD208" s="100">
        <f t="shared" si="246"/>
        <v>0</v>
      </c>
      <c r="BE208" s="100">
        <v>0</v>
      </c>
      <c r="BF208" s="100">
        <f>208</f>
        <v>208</v>
      </c>
      <c r="BH208" s="108">
        <f t="shared" si="247"/>
        <v>0</v>
      </c>
      <c r="BI208" s="108">
        <f t="shared" si="248"/>
        <v>0</v>
      </c>
      <c r="BJ208" s="108">
        <f t="shared" si="249"/>
        <v>0</v>
      </c>
    </row>
    <row r="209" spans="1:62" x14ac:dyDescent="0.2">
      <c r="A209" s="117" t="s">
        <v>173</v>
      </c>
      <c r="B209" s="117" t="s">
        <v>3151</v>
      </c>
      <c r="C209" s="304" t="s">
        <v>1289</v>
      </c>
      <c r="D209" s="305"/>
      <c r="E209" s="305"/>
      <c r="F209" s="117" t="s">
        <v>1644</v>
      </c>
      <c r="G209" s="116">
        <v>3</v>
      </c>
      <c r="H209" s="159"/>
      <c r="I209" s="108">
        <f t="shared" si="226"/>
        <v>0</v>
      </c>
      <c r="J209" s="108">
        <f t="shared" si="227"/>
        <v>0</v>
      </c>
      <c r="K209" s="108">
        <f t="shared" si="228"/>
        <v>0</v>
      </c>
      <c r="L209" s="111"/>
      <c r="Z209" s="100">
        <f t="shared" si="229"/>
        <v>0</v>
      </c>
      <c r="AB209" s="100">
        <f t="shared" si="230"/>
        <v>0</v>
      </c>
      <c r="AC209" s="100">
        <f t="shared" si="231"/>
        <v>0</v>
      </c>
      <c r="AD209" s="100">
        <f t="shared" si="232"/>
        <v>0</v>
      </c>
      <c r="AE209" s="100">
        <f t="shared" si="233"/>
        <v>0</v>
      </c>
      <c r="AF209" s="100">
        <f t="shared" si="234"/>
        <v>0</v>
      </c>
      <c r="AG209" s="100">
        <f t="shared" si="235"/>
        <v>0</v>
      </c>
      <c r="AH209" s="100">
        <f t="shared" si="236"/>
        <v>0</v>
      </c>
      <c r="AI209" s="109"/>
      <c r="AJ209" s="108">
        <f t="shared" si="237"/>
        <v>0</v>
      </c>
      <c r="AK209" s="108">
        <f t="shared" si="238"/>
        <v>0</v>
      </c>
      <c r="AL209" s="108">
        <f t="shared" si="239"/>
        <v>0</v>
      </c>
      <c r="AN209" s="100">
        <v>15</v>
      </c>
      <c r="AO209" s="100">
        <f t="shared" si="240"/>
        <v>0</v>
      </c>
      <c r="AP209" s="100">
        <f t="shared" si="241"/>
        <v>0</v>
      </c>
      <c r="AQ209" s="111" t="s">
        <v>13</v>
      </c>
      <c r="AV209" s="100">
        <f t="shared" si="242"/>
        <v>0</v>
      </c>
      <c r="AW209" s="100">
        <f t="shared" si="243"/>
        <v>0</v>
      </c>
      <c r="AX209" s="100">
        <f t="shared" si="244"/>
        <v>0</v>
      </c>
      <c r="AY209" s="110" t="s">
        <v>1709</v>
      </c>
      <c r="AZ209" s="110" t="s">
        <v>1733</v>
      </c>
      <c r="BA209" s="109" t="s">
        <v>1737</v>
      </c>
      <c r="BC209" s="100">
        <f t="shared" si="245"/>
        <v>0</v>
      </c>
      <c r="BD209" s="100">
        <f t="shared" si="246"/>
        <v>0</v>
      </c>
      <c r="BE209" s="100">
        <v>0</v>
      </c>
      <c r="BF209" s="100">
        <f>209</f>
        <v>209</v>
      </c>
      <c r="BH209" s="108">
        <f t="shared" si="247"/>
        <v>0</v>
      </c>
      <c r="BI209" s="108">
        <f t="shared" si="248"/>
        <v>0</v>
      </c>
      <c r="BJ209" s="108">
        <f t="shared" si="249"/>
        <v>0</v>
      </c>
    </row>
    <row r="210" spans="1:62" x14ac:dyDescent="0.2">
      <c r="A210" s="117" t="s">
        <v>174</v>
      </c>
      <c r="B210" s="117" t="s">
        <v>3150</v>
      </c>
      <c r="C210" s="304" t="s">
        <v>1290</v>
      </c>
      <c r="D210" s="305"/>
      <c r="E210" s="305"/>
      <c r="F210" s="117" t="s">
        <v>1644</v>
      </c>
      <c r="G210" s="116">
        <v>2</v>
      </c>
      <c r="H210" s="159"/>
      <c r="I210" s="108">
        <f t="shared" si="226"/>
        <v>0</v>
      </c>
      <c r="J210" s="108">
        <f t="shared" si="227"/>
        <v>0</v>
      </c>
      <c r="K210" s="108">
        <f t="shared" si="228"/>
        <v>0</v>
      </c>
      <c r="L210" s="111"/>
      <c r="Z210" s="100">
        <f t="shared" si="229"/>
        <v>0</v>
      </c>
      <c r="AB210" s="100">
        <f t="shared" si="230"/>
        <v>0</v>
      </c>
      <c r="AC210" s="100">
        <f t="shared" si="231"/>
        <v>0</v>
      </c>
      <c r="AD210" s="100">
        <f t="shared" si="232"/>
        <v>0</v>
      </c>
      <c r="AE210" s="100">
        <f t="shared" si="233"/>
        <v>0</v>
      </c>
      <c r="AF210" s="100">
        <f t="shared" si="234"/>
        <v>0</v>
      </c>
      <c r="AG210" s="100">
        <f t="shared" si="235"/>
        <v>0</v>
      </c>
      <c r="AH210" s="100">
        <f t="shared" si="236"/>
        <v>0</v>
      </c>
      <c r="AI210" s="109"/>
      <c r="AJ210" s="108">
        <f t="shared" si="237"/>
        <v>0</v>
      </c>
      <c r="AK210" s="108">
        <f t="shared" si="238"/>
        <v>0</v>
      </c>
      <c r="AL210" s="108">
        <f t="shared" si="239"/>
        <v>0</v>
      </c>
      <c r="AN210" s="100">
        <v>15</v>
      </c>
      <c r="AO210" s="100">
        <f t="shared" si="240"/>
        <v>0</v>
      </c>
      <c r="AP210" s="100">
        <f t="shared" si="241"/>
        <v>0</v>
      </c>
      <c r="AQ210" s="111" t="s">
        <v>13</v>
      </c>
      <c r="AV210" s="100">
        <f t="shared" si="242"/>
        <v>0</v>
      </c>
      <c r="AW210" s="100">
        <f t="shared" si="243"/>
        <v>0</v>
      </c>
      <c r="AX210" s="100">
        <f t="shared" si="244"/>
        <v>0</v>
      </c>
      <c r="AY210" s="110" t="s">
        <v>1709</v>
      </c>
      <c r="AZ210" s="110" t="s">
        <v>1733</v>
      </c>
      <c r="BA210" s="109" t="s">
        <v>1737</v>
      </c>
      <c r="BC210" s="100">
        <f t="shared" si="245"/>
        <v>0</v>
      </c>
      <c r="BD210" s="100">
        <f t="shared" si="246"/>
        <v>0</v>
      </c>
      <c r="BE210" s="100">
        <v>0</v>
      </c>
      <c r="BF210" s="100">
        <f>210</f>
        <v>210</v>
      </c>
      <c r="BH210" s="108">
        <f t="shared" si="247"/>
        <v>0</v>
      </c>
      <c r="BI210" s="108">
        <f t="shared" si="248"/>
        <v>0</v>
      </c>
      <c r="BJ210" s="108">
        <f t="shared" si="249"/>
        <v>0</v>
      </c>
    </row>
    <row r="211" spans="1:62" x14ac:dyDescent="0.2">
      <c r="A211" s="117" t="s">
        <v>175</v>
      </c>
      <c r="B211" s="117" t="s">
        <v>3149</v>
      </c>
      <c r="C211" s="304" t="s">
        <v>1291</v>
      </c>
      <c r="D211" s="305"/>
      <c r="E211" s="305"/>
      <c r="F211" s="117" t="s">
        <v>1644</v>
      </c>
      <c r="G211" s="116">
        <v>2</v>
      </c>
      <c r="H211" s="159"/>
      <c r="I211" s="108">
        <f t="shared" si="226"/>
        <v>0</v>
      </c>
      <c r="J211" s="108">
        <f t="shared" si="227"/>
        <v>0</v>
      </c>
      <c r="K211" s="108">
        <f t="shared" si="228"/>
        <v>0</v>
      </c>
      <c r="L211" s="111"/>
      <c r="Z211" s="100">
        <f t="shared" si="229"/>
        <v>0</v>
      </c>
      <c r="AB211" s="100">
        <f t="shared" si="230"/>
        <v>0</v>
      </c>
      <c r="AC211" s="100">
        <f t="shared" si="231"/>
        <v>0</v>
      </c>
      <c r="AD211" s="100">
        <f t="shared" si="232"/>
        <v>0</v>
      </c>
      <c r="AE211" s="100">
        <f t="shared" si="233"/>
        <v>0</v>
      </c>
      <c r="AF211" s="100">
        <f t="shared" si="234"/>
        <v>0</v>
      </c>
      <c r="AG211" s="100">
        <f t="shared" si="235"/>
        <v>0</v>
      </c>
      <c r="AH211" s="100">
        <f t="shared" si="236"/>
        <v>0</v>
      </c>
      <c r="AI211" s="109"/>
      <c r="AJ211" s="108">
        <f t="shared" si="237"/>
        <v>0</v>
      </c>
      <c r="AK211" s="108">
        <f t="shared" si="238"/>
        <v>0</v>
      </c>
      <c r="AL211" s="108">
        <f t="shared" si="239"/>
        <v>0</v>
      </c>
      <c r="AN211" s="100">
        <v>15</v>
      </c>
      <c r="AO211" s="100">
        <f t="shared" si="240"/>
        <v>0</v>
      </c>
      <c r="AP211" s="100">
        <f t="shared" si="241"/>
        <v>0</v>
      </c>
      <c r="AQ211" s="111" t="s">
        <v>13</v>
      </c>
      <c r="AV211" s="100">
        <f t="shared" si="242"/>
        <v>0</v>
      </c>
      <c r="AW211" s="100">
        <f t="shared" si="243"/>
        <v>0</v>
      </c>
      <c r="AX211" s="100">
        <f t="shared" si="244"/>
        <v>0</v>
      </c>
      <c r="AY211" s="110" t="s">
        <v>1709</v>
      </c>
      <c r="AZ211" s="110" t="s">
        <v>1733</v>
      </c>
      <c r="BA211" s="109" t="s">
        <v>1737</v>
      </c>
      <c r="BC211" s="100">
        <f t="shared" si="245"/>
        <v>0</v>
      </c>
      <c r="BD211" s="100">
        <f t="shared" si="246"/>
        <v>0</v>
      </c>
      <c r="BE211" s="100">
        <v>0</v>
      </c>
      <c r="BF211" s="100">
        <f>211</f>
        <v>211</v>
      </c>
      <c r="BH211" s="108">
        <f t="shared" si="247"/>
        <v>0</v>
      </c>
      <c r="BI211" s="108">
        <f t="shared" si="248"/>
        <v>0</v>
      </c>
      <c r="BJ211" s="108">
        <f t="shared" si="249"/>
        <v>0</v>
      </c>
    </row>
    <row r="212" spans="1:62" x14ac:dyDescent="0.2">
      <c r="A212" s="117" t="s">
        <v>176</v>
      </c>
      <c r="B212" s="117" t="s">
        <v>3148</v>
      </c>
      <c r="C212" s="304" t="s">
        <v>1292</v>
      </c>
      <c r="D212" s="305"/>
      <c r="E212" s="305"/>
      <c r="F212" s="117" t="s">
        <v>1644</v>
      </c>
      <c r="G212" s="116">
        <v>1</v>
      </c>
      <c r="H212" s="159"/>
      <c r="I212" s="108">
        <f t="shared" si="226"/>
        <v>0</v>
      </c>
      <c r="J212" s="108">
        <f t="shared" si="227"/>
        <v>0</v>
      </c>
      <c r="K212" s="108">
        <f t="shared" si="228"/>
        <v>0</v>
      </c>
      <c r="L212" s="111"/>
      <c r="Z212" s="100">
        <f t="shared" si="229"/>
        <v>0</v>
      </c>
      <c r="AB212" s="100">
        <f t="shared" si="230"/>
        <v>0</v>
      </c>
      <c r="AC212" s="100">
        <f t="shared" si="231"/>
        <v>0</v>
      </c>
      <c r="AD212" s="100">
        <f t="shared" si="232"/>
        <v>0</v>
      </c>
      <c r="AE212" s="100">
        <f t="shared" si="233"/>
        <v>0</v>
      </c>
      <c r="AF212" s="100">
        <f t="shared" si="234"/>
        <v>0</v>
      </c>
      <c r="AG212" s="100">
        <f t="shared" si="235"/>
        <v>0</v>
      </c>
      <c r="AH212" s="100">
        <f t="shared" si="236"/>
        <v>0</v>
      </c>
      <c r="AI212" s="109"/>
      <c r="AJ212" s="108">
        <f t="shared" si="237"/>
        <v>0</v>
      </c>
      <c r="AK212" s="108">
        <f t="shared" si="238"/>
        <v>0</v>
      </c>
      <c r="AL212" s="108">
        <f t="shared" si="239"/>
        <v>0</v>
      </c>
      <c r="AN212" s="100">
        <v>15</v>
      </c>
      <c r="AO212" s="100">
        <f t="shared" si="240"/>
        <v>0</v>
      </c>
      <c r="AP212" s="100">
        <f t="shared" si="241"/>
        <v>0</v>
      </c>
      <c r="AQ212" s="111" t="s">
        <v>13</v>
      </c>
      <c r="AV212" s="100">
        <f t="shared" si="242"/>
        <v>0</v>
      </c>
      <c r="AW212" s="100">
        <f t="shared" si="243"/>
        <v>0</v>
      </c>
      <c r="AX212" s="100">
        <f t="shared" si="244"/>
        <v>0</v>
      </c>
      <c r="AY212" s="110" t="s">
        <v>1709</v>
      </c>
      <c r="AZ212" s="110" t="s">
        <v>1733</v>
      </c>
      <c r="BA212" s="109" t="s">
        <v>1737</v>
      </c>
      <c r="BC212" s="100">
        <f t="shared" si="245"/>
        <v>0</v>
      </c>
      <c r="BD212" s="100">
        <f t="shared" si="246"/>
        <v>0</v>
      </c>
      <c r="BE212" s="100">
        <v>0</v>
      </c>
      <c r="BF212" s="100">
        <f>212</f>
        <v>212</v>
      </c>
      <c r="BH212" s="108">
        <f t="shared" si="247"/>
        <v>0</v>
      </c>
      <c r="BI212" s="108">
        <f t="shared" si="248"/>
        <v>0</v>
      </c>
      <c r="BJ212" s="108">
        <f t="shared" si="249"/>
        <v>0</v>
      </c>
    </row>
    <row r="213" spans="1:62" x14ac:dyDescent="0.2">
      <c r="A213" s="117" t="s">
        <v>177</v>
      </c>
      <c r="B213" s="117" t="s">
        <v>3147</v>
      </c>
      <c r="C213" s="304" t="s">
        <v>1293</v>
      </c>
      <c r="D213" s="305"/>
      <c r="E213" s="305"/>
      <c r="F213" s="117" t="s">
        <v>1644</v>
      </c>
      <c r="G213" s="116">
        <v>1</v>
      </c>
      <c r="H213" s="159"/>
      <c r="I213" s="108">
        <f t="shared" si="226"/>
        <v>0</v>
      </c>
      <c r="J213" s="108">
        <f t="shared" si="227"/>
        <v>0</v>
      </c>
      <c r="K213" s="108">
        <f t="shared" si="228"/>
        <v>0</v>
      </c>
      <c r="L213" s="111"/>
      <c r="Z213" s="100">
        <f t="shared" si="229"/>
        <v>0</v>
      </c>
      <c r="AB213" s="100">
        <f t="shared" si="230"/>
        <v>0</v>
      </c>
      <c r="AC213" s="100">
        <f t="shared" si="231"/>
        <v>0</v>
      </c>
      <c r="AD213" s="100">
        <f t="shared" si="232"/>
        <v>0</v>
      </c>
      <c r="AE213" s="100">
        <f t="shared" si="233"/>
        <v>0</v>
      </c>
      <c r="AF213" s="100">
        <f t="shared" si="234"/>
        <v>0</v>
      </c>
      <c r="AG213" s="100">
        <f t="shared" si="235"/>
        <v>0</v>
      </c>
      <c r="AH213" s="100">
        <f t="shared" si="236"/>
        <v>0</v>
      </c>
      <c r="AI213" s="109"/>
      <c r="AJ213" s="108">
        <f t="shared" si="237"/>
        <v>0</v>
      </c>
      <c r="AK213" s="108">
        <f t="shared" si="238"/>
        <v>0</v>
      </c>
      <c r="AL213" s="108">
        <f t="shared" si="239"/>
        <v>0</v>
      </c>
      <c r="AN213" s="100">
        <v>15</v>
      </c>
      <c r="AO213" s="100">
        <f t="shared" si="240"/>
        <v>0</v>
      </c>
      <c r="AP213" s="100">
        <f t="shared" si="241"/>
        <v>0</v>
      </c>
      <c r="AQ213" s="111" t="s">
        <v>13</v>
      </c>
      <c r="AV213" s="100">
        <f t="shared" si="242"/>
        <v>0</v>
      </c>
      <c r="AW213" s="100">
        <f t="shared" si="243"/>
        <v>0</v>
      </c>
      <c r="AX213" s="100">
        <f t="shared" si="244"/>
        <v>0</v>
      </c>
      <c r="AY213" s="110" t="s">
        <v>1709</v>
      </c>
      <c r="AZ213" s="110" t="s">
        <v>1733</v>
      </c>
      <c r="BA213" s="109" t="s">
        <v>1737</v>
      </c>
      <c r="BC213" s="100">
        <f t="shared" si="245"/>
        <v>0</v>
      </c>
      <c r="BD213" s="100">
        <f t="shared" si="246"/>
        <v>0</v>
      </c>
      <c r="BE213" s="100">
        <v>0</v>
      </c>
      <c r="BF213" s="100">
        <f>213</f>
        <v>213</v>
      </c>
      <c r="BH213" s="108">
        <f t="shared" si="247"/>
        <v>0</v>
      </c>
      <c r="BI213" s="108">
        <f t="shared" si="248"/>
        <v>0</v>
      </c>
      <c r="BJ213" s="108">
        <f t="shared" si="249"/>
        <v>0</v>
      </c>
    </row>
    <row r="214" spans="1:62" x14ac:dyDescent="0.2">
      <c r="A214" s="117" t="s">
        <v>178</v>
      </c>
      <c r="B214" s="117" t="s">
        <v>3146</v>
      </c>
      <c r="C214" s="304" t="s">
        <v>1294</v>
      </c>
      <c r="D214" s="305"/>
      <c r="E214" s="305"/>
      <c r="F214" s="117" t="s">
        <v>1644</v>
      </c>
      <c r="G214" s="116">
        <v>1</v>
      </c>
      <c r="H214" s="159"/>
      <c r="I214" s="108">
        <f t="shared" si="226"/>
        <v>0</v>
      </c>
      <c r="J214" s="108">
        <f t="shared" si="227"/>
        <v>0</v>
      </c>
      <c r="K214" s="108">
        <f t="shared" si="228"/>
        <v>0</v>
      </c>
      <c r="L214" s="111"/>
      <c r="Z214" s="100">
        <f t="shared" si="229"/>
        <v>0</v>
      </c>
      <c r="AB214" s="100">
        <f t="shared" si="230"/>
        <v>0</v>
      </c>
      <c r="AC214" s="100">
        <f t="shared" si="231"/>
        <v>0</v>
      </c>
      <c r="AD214" s="100">
        <f t="shared" si="232"/>
        <v>0</v>
      </c>
      <c r="AE214" s="100">
        <f t="shared" si="233"/>
        <v>0</v>
      </c>
      <c r="AF214" s="100">
        <f t="shared" si="234"/>
        <v>0</v>
      </c>
      <c r="AG214" s="100">
        <f t="shared" si="235"/>
        <v>0</v>
      </c>
      <c r="AH214" s="100">
        <f t="shared" si="236"/>
        <v>0</v>
      </c>
      <c r="AI214" s="109"/>
      <c r="AJ214" s="108">
        <f t="shared" si="237"/>
        <v>0</v>
      </c>
      <c r="AK214" s="108">
        <f t="shared" si="238"/>
        <v>0</v>
      </c>
      <c r="AL214" s="108">
        <f t="shared" si="239"/>
        <v>0</v>
      </c>
      <c r="AN214" s="100">
        <v>15</v>
      </c>
      <c r="AO214" s="100">
        <f t="shared" si="240"/>
        <v>0</v>
      </c>
      <c r="AP214" s="100">
        <f t="shared" si="241"/>
        <v>0</v>
      </c>
      <c r="AQ214" s="111" t="s">
        <v>13</v>
      </c>
      <c r="AV214" s="100">
        <f t="shared" si="242"/>
        <v>0</v>
      </c>
      <c r="AW214" s="100">
        <f t="shared" si="243"/>
        <v>0</v>
      </c>
      <c r="AX214" s="100">
        <f t="shared" si="244"/>
        <v>0</v>
      </c>
      <c r="AY214" s="110" t="s">
        <v>1709</v>
      </c>
      <c r="AZ214" s="110" t="s">
        <v>1733</v>
      </c>
      <c r="BA214" s="109" t="s">
        <v>1737</v>
      </c>
      <c r="BC214" s="100">
        <f t="shared" si="245"/>
        <v>0</v>
      </c>
      <c r="BD214" s="100">
        <f t="shared" si="246"/>
        <v>0</v>
      </c>
      <c r="BE214" s="100">
        <v>0</v>
      </c>
      <c r="BF214" s="100">
        <f>214</f>
        <v>214</v>
      </c>
      <c r="BH214" s="108">
        <f t="shared" si="247"/>
        <v>0</v>
      </c>
      <c r="BI214" s="108">
        <f t="shared" si="248"/>
        <v>0</v>
      </c>
      <c r="BJ214" s="108">
        <f t="shared" si="249"/>
        <v>0</v>
      </c>
    </row>
    <row r="215" spans="1:62" x14ac:dyDescent="0.2">
      <c r="A215" s="117" t="s">
        <v>179</v>
      </c>
      <c r="B215" s="117" t="s">
        <v>3145</v>
      </c>
      <c r="C215" s="304" t="s">
        <v>1295</v>
      </c>
      <c r="D215" s="305"/>
      <c r="E215" s="305"/>
      <c r="F215" s="117" t="s">
        <v>1644</v>
      </c>
      <c r="G215" s="116">
        <v>1</v>
      </c>
      <c r="H215" s="159"/>
      <c r="I215" s="108">
        <f t="shared" si="226"/>
        <v>0</v>
      </c>
      <c r="J215" s="108">
        <f t="shared" si="227"/>
        <v>0</v>
      </c>
      <c r="K215" s="108">
        <f t="shared" si="228"/>
        <v>0</v>
      </c>
      <c r="L215" s="111"/>
      <c r="Z215" s="100">
        <f t="shared" si="229"/>
        <v>0</v>
      </c>
      <c r="AB215" s="100">
        <f t="shared" si="230"/>
        <v>0</v>
      </c>
      <c r="AC215" s="100">
        <f t="shared" si="231"/>
        <v>0</v>
      </c>
      <c r="AD215" s="100">
        <f t="shared" si="232"/>
        <v>0</v>
      </c>
      <c r="AE215" s="100">
        <f t="shared" si="233"/>
        <v>0</v>
      </c>
      <c r="AF215" s="100">
        <f t="shared" si="234"/>
        <v>0</v>
      </c>
      <c r="AG215" s="100">
        <f t="shared" si="235"/>
        <v>0</v>
      </c>
      <c r="AH215" s="100">
        <f t="shared" si="236"/>
        <v>0</v>
      </c>
      <c r="AI215" s="109"/>
      <c r="AJ215" s="108">
        <f t="shared" si="237"/>
        <v>0</v>
      </c>
      <c r="AK215" s="108">
        <f t="shared" si="238"/>
        <v>0</v>
      </c>
      <c r="AL215" s="108">
        <f t="shared" si="239"/>
        <v>0</v>
      </c>
      <c r="AN215" s="100">
        <v>15</v>
      </c>
      <c r="AO215" s="100">
        <f t="shared" si="240"/>
        <v>0</v>
      </c>
      <c r="AP215" s="100">
        <f t="shared" si="241"/>
        <v>0</v>
      </c>
      <c r="AQ215" s="111" t="s">
        <v>13</v>
      </c>
      <c r="AV215" s="100">
        <f t="shared" si="242"/>
        <v>0</v>
      </c>
      <c r="AW215" s="100">
        <f t="shared" si="243"/>
        <v>0</v>
      </c>
      <c r="AX215" s="100">
        <f t="shared" si="244"/>
        <v>0</v>
      </c>
      <c r="AY215" s="110" t="s">
        <v>1709</v>
      </c>
      <c r="AZ215" s="110" t="s">
        <v>1733</v>
      </c>
      <c r="BA215" s="109" t="s">
        <v>1737</v>
      </c>
      <c r="BC215" s="100">
        <f t="shared" si="245"/>
        <v>0</v>
      </c>
      <c r="BD215" s="100">
        <f t="shared" si="246"/>
        <v>0</v>
      </c>
      <c r="BE215" s="100">
        <v>0</v>
      </c>
      <c r="BF215" s="100">
        <f>215</f>
        <v>215</v>
      </c>
      <c r="BH215" s="108">
        <f t="shared" si="247"/>
        <v>0</v>
      </c>
      <c r="BI215" s="108">
        <f t="shared" si="248"/>
        <v>0</v>
      </c>
      <c r="BJ215" s="108">
        <f t="shared" si="249"/>
        <v>0</v>
      </c>
    </row>
    <row r="216" spans="1:62" x14ac:dyDescent="0.2">
      <c r="A216" s="117" t="s">
        <v>180</v>
      </c>
      <c r="B216" s="117" t="s">
        <v>3144</v>
      </c>
      <c r="C216" s="304" t="s">
        <v>1296</v>
      </c>
      <c r="D216" s="305"/>
      <c r="E216" s="305"/>
      <c r="F216" s="117" t="s">
        <v>1644</v>
      </c>
      <c r="G216" s="116">
        <v>2</v>
      </c>
      <c r="H216" s="159"/>
      <c r="I216" s="108">
        <f t="shared" si="226"/>
        <v>0</v>
      </c>
      <c r="J216" s="108">
        <f t="shared" si="227"/>
        <v>0</v>
      </c>
      <c r="K216" s="108">
        <f t="shared" si="228"/>
        <v>0</v>
      </c>
      <c r="L216" s="111"/>
      <c r="Z216" s="100">
        <f t="shared" si="229"/>
        <v>0</v>
      </c>
      <c r="AB216" s="100">
        <f t="shared" si="230"/>
        <v>0</v>
      </c>
      <c r="AC216" s="100">
        <f t="shared" si="231"/>
        <v>0</v>
      </c>
      <c r="AD216" s="100">
        <f t="shared" si="232"/>
        <v>0</v>
      </c>
      <c r="AE216" s="100">
        <f t="shared" si="233"/>
        <v>0</v>
      </c>
      <c r="AF216" s="100">
        <f t="shared" si="234"/>
        <v>0</v>
      </c>
      <c r="AG216" s="100">
        <f t="shared" si="235"/>
        <v>0</v>
      </c>
      <c r="AH216" s="100">
        <f t="shared" si="236"/>
        <v>0</v>
      </c>
      <c r="AI216" s="109"/>
      <c r="AJ216" s="108">
        <f t="shared" si="237"/>
        <v>0</v>
      </c>
      <c r="AK216" s="108">
        <f t="shared" si="238"/>
        <v>0</v>
      </c>
      <c r="AL216" s="108">
        <f t="shared" si="239"/>
        <v>0</v>
      </c>
      <c r="AN216" s="100">
        <v>15</v>
      </c>
      <c r="AO216" s="100">
        <f t="shared" si="240"/>
        <v>0</v>
      </c>
      <c r="AP216" s="100">
        <f t="shared" si="241"/>
        <v>0</v>
      </c>
      <c r="AQ216" s="111" t="s">
        <v>13</v>
      </c>
      <c r="AV216" s="100">
        <f t="shared" si="242"/>
        <v>0</v>
      </c>
      <c r="AW216" s="100">
        <f t="shared" si="243"/>
        <v>0</v>
      </c>
      <c r="AX216" s="100">
        <f t="shared" si="244"/>
        <v>0</v>
      </c>
      <c r="AY216" s="110" t="s">
        <v>1709</v>
      </c>
      <c r="AZ216" s="110" t="s">
        <v>1733</v>
      </c>
      <c r="BA216" s="109" t="s">
        <v>1737</v>
      </c>
      <c r="BC216" s="100">
        <f t="shared" si="245"/>
        <v>0</v>
      </c>
      <c r="BD216" s="100">
        <f t="shared" si="246"/>
        <v>0</v>
      </c>
      <c r="BE216" s="100">
        <v>0</v>
      </c>
      <c r="BF216" s="100">
        <f>216</f>
        <v>216</v>
      </c>
      <c r="BH216" s="108">
        <f t="shared" si="247"/>
        <v>0</v>
      </c>
      <c r="BI216" s="108">
        <f t="shared" si="248"/>
        <v>0</v>
      </c>
      <c r="BJ216" s="108">
        <f t="shared" si="249"/>
        <v>0</v>
      </c>
    </row>
    <row r="217" spans="1:62" x14ac:dyDescent="0.2">
      <c r="A217" s="117" t="s">
        <v>181</v>
      </c>
      <c r="B217" s="117" t="s">
        <v>3143</v>
      </c>
      <c r="C217" s="304" t="s">
        <v>1297</v>
      </c>
      <c r="D217" s="305"/>
      <c r="E217" s="305"/>
      <c r="F217" s="117" t="s">
        <v>1644</v>
      </c>
      <c r="G217" s="116">
        <v>2</v>
      </c>
      <c r="H217" s="159"/>
      <c r="I217" s="108">
        <f t="shared" si="226"/>
        <v>0</v>
      </c>
      <c r="J217" s="108">
        <f t="shared" si="227"/>
        <v>0</v>
      </c>
      <c r="K217" s="108">
        <f t="shared" si="228"/>
        <v>0</v>
      </c>
      <c r="L217" s="111"/>
      <c r="Z217" s="100">
        <f t="shared" si="229"/>
        <v>0</v>
      </c>
      <c r="AB217" s="100">
        <f t="shared" si="230"/>
        <v>0</v>
      </c>
      <c r="AC217" s="100">
        <f t="shared" si="231"/>
        <v>0</v>
      </c>
      <c r="AD217" s="100">
        <f t="shared" si="232"/>
        <v>0</v>
      </c>
      <c r="AE217" s="100">
        <f t="shared" si="233"/>
        <v>0</v>
      </c>
      <c r="AF217" s="100">
        <f t="shared" si="234"/>
        <v>0</v>
      </c>
      <c r="AG217" s="100">
        <f t="shared" si="235"/>
        <v>0</v>
      </c>
      <c r="AH217" s="100">
        <f t="shared" si="236"/>
        <v>0</v>
      </c>
      <c r="AI217" s="109"/>
      <c r="AJ217" s="108">
        <f t="shared" si="237"/>
        <v>0</v>
      </c>
      <c r="AK217" s="108">
        <f t="shared" si="238"/>
        <v>0</v>
      </c>
      <c r="AL217" s="108">
        <f t="shared" si="239"/>
        <v>0</v>
      </c>
      <c r="AN217" s="100">
        <v>15</v>
      </c>
      <c r="AO217" s="100">
        <f t="shared" si="240"/>
        <v>0</v>
      </c>
      <c r="AP217" s="100">
        <f t="shared" si="241"/>
        <v>0</v>
      </c>
      <c r="AQ217" s="111" t="s">
        <v>13</v>
      </c>
      <c r="AV217" s="100">
        <f t="shared" si="242"/>
        <v>0</v>
      </c>
      <c r="AW217" s="100">
        <f t="shared" si="243"/>
        <v>0</v>
      </c>
      <c r="AX217" s="100">
        <f t="shared" si="244"/>
        <v>0</v>
      </c>
      <c r="AY217" s="110" t="s">
        <v>1709</v>
      </c>
      <c r="AZ217" s="110" t="s">
        <v>1733</v>
      </c>
      <c r="BA217" s="109" t="s">
        <v>1737</v>
      </c>
      <c r="BC217" s="100">
        <f t="shared" si="245"/>
        <v>0</v>
      </c>
      <c r="BD217" s="100">
        <f t="shared" si="246"/>
        <v>0</v>
      </c>
      <c r="BE217" s="100">
        <v>0</v>
      </c>
      <c r="BF217" s="100">
        <f>217</f>
        <v>217</v>
      </c>
      <c r="BH217" s="108">
        <f t="shared" si="247"/>
        <v>0</v>
      </c>
      <c r="BI217" s="108">
        <f t="shared" si="248"/>
        <v>0</v>
      </c>
      <c r="BJ217" s="108">
        <f t="shared" si="249"/>
        <v>0</v>
      </c>
    </row>
    <row r="218" spans="1:62" x14ac:dyDescent="0.2">
      <c r="A218" s="117" t="s">
        <v>182</v>
      </c>
      <c r="B218" s="117" t="s">
        <v>3142</v>
      </c>
      <c r="C218" s="304" t="s">
        <v>1298</v>
      </c>
      <c r="D218" s="305"/>
      <c r="E218" s="305"/>
      <c r="F218" s="117" t="s">
        <v>1644</v>
      </c>
      <c r="G218" s="116">
        <v>1</v>
      </c>
      <c r="H218" s="159"/>
      <c r="I218" s="108">
        <f t="shared" si="226"/>
        <v>0</v>
      </c>
      <c r="J218" s="108">
        <f t="shared" si="227"/>
        <v>0</v>
      </c>
      <c r="K218" s="108">
        <f t="shared" si="228"/>
        <v>0</v>
      </c>
      <c r="L218" s="111"/>
      <c r="Z218" s="100">
        <f t="shared" si="229"/>
        <v>0</v>
      </c>
      <c r="AB218" s="100">
        <f t="shared" si="230"/>
        <v>0</v>
      </c>
      <c r="AC218" s="100">
        <f t="shared" si="231"/>
        <v>0</v>
      </c>
      <c r="AD218" s="100">
        <f t="shared" si="232"/>
        <v>0</v>
      </c>
      <c r="AE218" s="100">
        <f t="shared" si="233"/>
        <v>0</v>
      </c>
      <c r="AF218" s="100">
        <f t="shared" si="234"/>
        <v>0</v>
      </c>
      <c r="AG218" s="100">
        <f t="shared" si="235"/>
        <v>0</v>
      </c>
      <c r="AH218" s="100">
        <f t="shared" si="236"/>
        <v>0</v>
      </c>
      <c r="AI218" s="109"/>
      <c r="AJ218" s="108">
        <f t="shared" si="237"/>
        <v>0</v>
      </c>
      <c r="AK218" s="108">
        <f t="shared" si="238"/>
        <v>0</v>
      </c>
      <c r="AL218" s="108">
        <f t="shared" si="239"/>
        <v>0</v>
      </c>
      <c r="AN218" s="100">
        <v>15</v>
      </c>
      <c r="AO218" s="100">
        <f t="shared" si="240"/>
        <v>0</v>
      </c>
      <c r="AP218" s="100">
        <f t="shared" si="241"/>
        <v>0</v>
      </c>
      <c r="AQ218" s="111" t="s">
        <v>13</v>
      </c>
      <c r="AV218" s="100">
        <f t="shared" si="242"/>
        <v>0</v>
      </c>
      <c r="AW218" s="100">
        <f t="shared" si="243"/>
        <v>0</v>
      </c>
      <c r="AX218" s="100">
        <f t="shared" si="244"/>
        <v>0</v>
      </c>
      <c r="AY218" s="110" t="s">
        <v>1709</v>
      </c>
      <c r="AZ218" s="110" t="s">
        <v>1733</v>
      </c>
      <c r="BA218" s="109" t="s">
        <v>1737</v>
      </c>
      <c r="BC218" s="100">
        <f t="shared" si="245"/>
        <v>0</v>
      </c>
      <c r="BD218" s="100">
        <f t="shared" si="246"/>
        <v>0</v>
      </c>
      <c r="BE218" s="100">
        <v>0</v>
      </c>
      <c r="BF218" s="100">
        <f>218</f>
        <v>218</v>
      </c>
      <c r="BH218" s="108">
        <f t="shared" si="247"/>
        <v>0</v>
      </c>
      <c r="BI218" s="108">
        <f t="shared" si="248"/>
        <v>0</v>
      </c>
      <c r="BJ218" s="108">
        <f t="shared" si="249"/>
        <v>0</v>
      </c>
    </row>
    <row r="219" spans="1:62" x14ac:dyDescent="0.2">
      <c r="A219" s="117" t="s">
        <v>183</v>
      </c>
      <c r="B219" s="117" t="s">
        <v>3141</v>
      </c>
      <c r="C219" s="304" t="s">
        <v>1299</v>
      </c>
      <c r="D219" s="305"/>
      <c r="E219" s="305"/>
      <c r="F219" s="117" t="s">
        <v>1646</v>
      </c>
      <c r="G219" s="116">
        <v>8</v>
      </c>
      <c r="H219" s="159"/>
      <c r="I219" s="108">
        <f t="shared" si="226"/>
        <v>0</v>
      </c>
      <c r="J219" s="108">
        <f t="shared" si="227"/>
        <v>0</v>
      </c>
      <c r="K219" s="108">
        <f t="shared" si="228"/>
        <v>0</v>
      </c>
      <c r="L219" s="111"/>
      <c r="Z219" s="100">
        <f t="shared" si="229"/>
        <v>0</v>
      </c>
      <c r="AB219" s="100">
        <f t="shared" si="230"/>
        <v>0</v>
      </c>
      <c r="AC219" s="100">
        <f t="shared" si="231"/>
        <v>0</v>
      </c>
      <c r="AD219" s="100">
        <f t="shared" si="232"/>
        <v>0</v>
      </c>
      <c r="AE219" s="100">
        <f t="shared" si="233"/>
        <v>0</v>
      </c>
      <c r="AF219" s="100">
        <f t="shared" si="234"/>
        <v>0</v>
      </c>
      <c r="AG219" s="100">
        <f t="shared" si="235"/>
        <v>0</v>
      </c>
      <c r="AH219" s="100">
        <f t="shared" si="236"/>
        <v>0</v>
      </c>
      <c r="AI219" s="109"/>
      <c r="AJ219" s="108">
        <f t="shared" si="237"/>
        <v>0</v>
      </c>
      <c r="AK219" s="108">
        <f t="shared" si="238"/>
        <v>0</v>
      </c>
      <c r="AL219" s="108">
        <f t="shared" si="239"/>
        <v>0</v>
      </c>
      <c r="AN219" s="100">
        <v>15</v>
      </c>
      <c r="AO219" s="100">
        <f t="shared" si="240"/>
        <v>0</v>
      </c>
      <c r="AP219" s="100">
        <f t="shared" si="241"/>
        <v>0</v>
      </c>
      <c r="AQ219" s="111" t="s">
        <v>13</v>
      </c>
      <c r="AV219" s="100">
        <f t="shared" si="242"/>
        <v>0</v>
      </c>
      <c r="AW219" s="100">
        <f t="shared" si="243"/>
        <v>0</v>
      </c>
      <c r="AX219" s="100">
        <f t="shared" si="244"/>
        <v>0</v>
      </c>
      <c r="AY219" s="110" t="s">
        <v>1709</v>
      </c>
      <c r="AZ219" s="110" t="s">
        <v>1733</v>
      </c>
      <c r="BA219" s="109" t="s">
        <v>1737</v>
      </c>
      <c r="BC219" s="100">
        <f t="shared" si="245"/>
        <v>0</v>
      </c>
      <c r="BD219" s="100">
        <f t="shared" si="246"/>
        <v>0</v>
      </c>
      <c r="BE219" s="100">
        <v>0</v>
      </c>
      <c r="BF219" s="100">
        <f>219</f>
        <v>219</v>
      </c>
      <c r="BH219" s="108">
        <f t="shared" si="247"/>
        <v>0</v>
      </c>
      <c r="BI219" s="108">
        <f t="shared" si="248"/>
        <v>0</v>
      </c>
      <c r="BJ219" s="108">
        <f t="shared" si="249"/>
        <v>0</v>
      </c>
    </row>
    <row r="220" spans="1:62" x14ac:dyDescent="0.2">
      <c r="A220" s="117" t="s">
        <v>184</v>
      </c>
      <c r="B220" s="117" t="s">
        <v>3140</v>
      </c>
      <c r="C220" s="304" t="s">
        <v>1300</v>
      </c>
      <c r="D220" s="305"/>
      <c r="E220" s="305"/>
      <c r="F220" s="117" t="s">
        <v>1646</v>
      </c>
      <c r="G220" s="116">
        <v>18</v>
      </c>
      <c r="H220" s="159"/>
      <c r="I220" s="108">
        <f t="shared" si="226"/>
        <v>0</v>
      </c>
      <c r="J220" s="108">
        <f t="shared" si="227"/>
        <v>0</v>
      </c>
      <c r="K220" s="108">
        <f t="shared" si="228"/>
        <v>0</v>
      </c>
      <c r="L220" s="111"/>
      <c r="Z220" s="100">
        <f t="shared" si="229"/>
        <v>0</v>
      </c>
      <c r="AB220" s="100">
        <f t="shared" si="230"/>
        <v>0</v>
      </c>
      <c r="AC220" s="100">
        <f t="shared" si="231"/>
        <v>0</v>
      </c>
      <c r="AD220" s="100">
        <f t="shared" si="232"/>
        <v>0</v>
      </c>
      <c r="AE220" s="100">
        <f t="shared" si="233"/>
        <v>0</v>
      </c>
      <c r="AF220" s="100">
        <f t="shared" si="234"/>
        <v>0</v>
      </c>
      <c r="AG220" s="100">
        <f t="shared" si="235"/>
        <v>0</v>
      </c>
      <c r="AH220" s="100">
        <f t="shared" si="236"/>
        <v>0</v>
      </c>
      <c r="AI220" s="109"/>
      <c r="AJ220" s="108">
        <f t="shared" si="237"/>
        <v>0</v>
      </c>
      <c r="AK220" s="108">
        <f t="shared" si="238"/>
        <v>0</v>
      </c>
      <c r="AL220" s="108">
        <f t="shared" si="239"/>
        <v>0</v>
      </c>
      <c r="AN220" s="100">
        <v>15</v>
      </c>
      <c r="AO220" s="100">
        <f t="shared" si="240"/>
        <v>0</v>
      </c>
      <c r="AP220" s="100">
        <f t="shared" si="241"/>
        <v>0</v>
      </c>
      <c r="AQ220" s="111" t="s">
        <v>13</v>
      </c>
      <c r="AV220" s="100">
        <f t="shared" si="242"/>
        <v>0</v>
      </c>
      <c r="AW220" s="100">
        <f t="shared" si="243"/>
        <v>0</v>
      </c>
      <c r="AX220" s="100">
        <f t="shared" si="244"/>
        <v>0</v>
      </c>
      <c r="AY220" s="110" t="s">
        <v>1709</v>
      </c>
      <c r="AZ220" s="110" t="s">
        <v>1733</v>
      </c>
      <c r="BA220" s="109" t="s">
        <v>1737</v>
      </c>
      <c r="BC220" s="100">
        <f t="shared" si="245"/>
        <v>0</v>
      </c>
      <c r="BD220" s="100">
        <f t="shared" si="246"/>
        <v>0</v>
      </c>
      <c r="BE220" s="100">
        <v>0</v>
      </c>
      <c r="BF220" s="100">
        <f>220</f>
        <v>220</v>
      </c>
      <c r="BH220" s="108">
        <f t="shared" si="247"/>
        <v>0</v>
      </c>
      <c r="BI220" s="108">
        <f t="shared" si="248"/>
        <v>0</v>
      </c>
      <c r="BJ220" s="108">
        <f t="shared" si="249"/>
        <v>0</v>
      </c>
    </row>
    <row r="221" spans="1:62" x14ac:dyDescent="0.2">
      <c r="A221" s="117" t="s">
        <v>185</v>
      </c>
      <c r="B221" s="117" t="s">
        <v>3139</v>
      </c>
      <c r="C221" s="304" t="s">
        <v>1301</v>
      </c>
      <c r="D221" s="305"/>
      <c r="E221" s="305"/>
      <c r="F221" s="117" t="s">
        <v>1646</v>
      </c>
      <c r="G221" s="116">
        <v>8</v>
      </c>
      <c r="H221" s="159"/>
      <c r="I221" s="108">
        <f t="shared" si="226"/>
        <v>0</v>
      </c>
      <c r="J221" s="108">
        <f t="shared" si="227"/>
        <v>0</v>
      </c>
      <c r="K221" s="108">
        <f t="shared" si="228"/>
        <v>0</v>
      </c>
      <c r="L221" s="111"/>
      <c r="Z221" s="100">
        <f t="shared" si="229"/>
        <v>0</v>
      </c>
      <c r="AB221" s="100">
        <f t="shared" si="230"/>
        <v>0</v>
      </c>
      <c r="AC221" s="100">
        <f t="shared" si="231"/>
        <v>0</v>
      </c>
      <c r="AD221" s="100">
        <f t="shared" si="232"/>
        <v>0</v>
      </c>
      <c r="AE221" s="100">
        <f t="shared" si="233"/>
        <v>0</v>
      </c>
      <c r="AF221" s="100">
        <f t="shared" si="234"/>
        <v>0</v>
      </c>
      <c r="AG221" s="100">
        <f t="shared" si="235"/>
        <v>0</v>
      </c>
      <c r="AH221" s="100">
        <f t="shared" si="236"/>
        <v>0</v>
      </c>
      <c r="AI221" s="109"/>
      <c r="AJ221" s="108">
        <f t="shared" si="237"/>
        <v>0</v>
      </c>
      <c r="AK221" s="108">
        <f t="shared" si="238"/>
        <v>0</v>
      </c>
      <c r="AL221" s="108">
        <f t="shared" si="239"/>
        <v>0</v>
      </c>
      <c r="AN221" s="100">
        <v>15</v>
      </c>
      <c r="AO221" s="100">
        <f t="shared" si="240"/>
        <v>0</v>
      </c>
      <c r="AP221" s="100">
        <f t="shared" si="241"/>
        <v>0</v>
      </c>
      <c r="AQ221" s="111" t="s">
        <v>13</v>
      </c>
      <c r="AV221" s="100">
        <f t="shared" si="242"/>
        <v>0</v>
      </c>
      <c r="AW221" s="100">
        <f t="shared" si="243"/>
        <v>0</v>
      </c>
      <c r="AX221" s="100">
        <f t="shared" si="244"/>
        <v>0</v>
      </c>
      <c r="AY221" s="110" t="s">
        <v>1709</v>
      </c>
      <c r="AZ221" s="110" t="s">
        <v>1733</v>
      </c>
      <c r="BA221" s="109" t="s">
        <v>1737</v>
      </c>
      <c r="BC221" s="100">
        <f t="shared" si="245"/>
        <v>0</v>
      </c>
      <c r="BD221" s="100">
        <f t="shared" si="246"/>
        <v>0</v>
      </c>
      <c r="BE221" s="100">
        <v>0</v>
      </c>
      <c r="BF221" s="100">
        <f>221</f>
        <v>221</v>
      </c>
      <c r="BH221" s="108">
        <f t="shared" si="247"/>
        <v>0</v>
      </c>
      <c r="BI221" s="108">
        <f t="shared" si="248"/>
        <v>0</v>
      </c>
      <c r="BJ221" s="108">
        <f t="shared" si="249"/>
        <v>0</v>
      </c>
    </row>
    <row r="222" spans="1:62" x14ac:dyDescent="0.2">
      <c r="A222" s="117" t="s">
        <v>186</v>
      </c>
      <c r="B222" s="117" t="s">
        <v>3138</v>
      </c>
      <c r="C222" s="304" t="s">
        <v>1302</v>
      </c>
      <c r="D222" s="305"/>
      <c r="E222" s="305"/>
      <c r="F222" s="117" t="s">
        <v>1644</v>
      </c>
      <c r="G222" s="116">
        <v>1</v>
      </c>
      <c r="H222" s="159"/>
      <c r="I222" s="108">
        <f t="shared" si="226"/>
        <v>0</v>
      </c>
      <c r="J222" s="108">
        <f t="shared" si="227"/>
        <v>0</v>
      </c>
      <c r="K222" s="108">
        <f t="shared" si="228"/>
        <v>0</v>
      </c>
      <c r="L222" s="111"/>
      <c r="Z222" s="100">
        <f t="shared" si="229"/>
        <v>0</v>
      </c>
      <c r="AB222" s="100">
        <f t="shared" si="230"/>
        <v>0</v>
      </c>
      <c r="AC222" s="100">
        <f t="shared" si="231"/>
        <v>0</v>
      </c>
      <c r="AD222" s="100">
        <f t="shared" si="232"/>
        <v>0</v>
      </c>
      <c r="AE222" s="100">
        <f t="shared" si="233"/>
        <v>0</v>
      </c>
      <c r="AF222" s="100">
        <f t="shared" si="234"/>
        <v>0</v>
      </c>
      <c r="AG222" s="100">
        <f t="shared" si="235"/>
        <v>0</v>
      </c>
      <c r="AH222" s="100">
        <f t="shared" si="236"/>
        <v>0</v>
      </c>
      <c r="AI222" s="109"/>
      <c r="AJ222" s="108">
        <f t="shared" si="237"/>
        <v>0</v>
      </c>
      <c r="AK222" s="108">
        <f t="shared" si="238"/>
        <v>0</v>
      </c>
      <c r="AL222" s="108">
        <f t="shared" si="239"/>
        <v>0</v>
      </c>
      <c r="AN222" s="100">
        <v>15</v>
      </c>
      <c r="AO222" s="100">
        <f t="shared" si="240"/>
        <v>0</v>
      </c>
      <c r="AP222" s="100">
        <f t="shared" si="241"/>
        <v>0</v>
      </c>
      <c r="AQ222" s="111" t="s">
        <v>13</v>
      </c>
      <c r="AV222" s="100">
        <f t="shared" si="242"/>
        <v>0</v>
      </c>
      <c r="AW222" s="100">
        <f t="shared" si="243"/>
        <v>0</v>
      </c>
      <c r="AX222" s="100">
        <f t="shared" si="244"/>
        <v>0</v>
      </c>
      <c r="AY222" s="110" t="s">
        <v>1709</v>
      </c>
      <c r="AZ222" s="110" t="s">
        <v>1733</v>
      </c>
      <c r="BA222" s="109" t="s">
        <v>1737</v>
      </c>
      <c r="BC222" s="100">
        <f t="shared" si="245"/>
        <v>0</v>
      </c>
      <c r="BD222" s="100">
        <f t="shared" si="246"/>
        <v>0</v>
      </c>
      <c r="BE222" s="100">
        <v>0</v>
      </c>
      <c r="BF222" s="100">
        <f>222</f>
        <v>222</v>
      </c>
      <c r="BH222" s="108">
        <f t="shared" si="247"/>
        <v>0</v>
      </c>
      <c r="BI222" s="108">
        <f t="shared" si="248"/>
        <v>0</v>
      </c>
      <c r="BJ222" s="108">
        <f t="shared" si="249"/>
        <v>0</v>
      </c>
    </row>
    <row r="223" spans="1:62" x14ac:dyDescent="0.2">
      <c r="A223" s="117" t="s">
        <v>187</v>
      </c>
      <c r="B223" s="117" t="s">
        <v>3137</v>
      </c>
      <c r="C223" s="304" t="s">
        <v>1303</v>
      </c>
      <c r="D223" s="305"/>
      <c r="E223" s="305"/>
      <c r="F223" s="117" t="s">
        <v>1644</v>
      </c>
      <c r="G223" s="116">
        <v>1</v>
      </c>
      <c r="H223" s="159"/>
      <c r="I223" s="108">
        <f t="shared" si="226"/>
        <v>0</v>
      </c>
      <c r="J223" s="108">
        <f t="shared" si="227"/>
        <v>0</v>
      </c>
      <c r="K223" s="108">
        <f t="shared" si="228"/>
        <v>0</v>
      </c>
      <c r="L223" s="111"/>
      <c r="Z223" s="100">
        <f t="shared" si="229"/>
        <v>0</v>
      </c>
      <c r="AB223" s="100">
        <f t="shared" si="230"/>
        <v>0</v>
      </c>
      <c r="AC223" s="100">
        <f t="shared" si="231"/>
        <v>0</v>
      </c>
      <c r="AD223" s="100">
        <f t="shared" si="232"/>
        <v>0</v>
      </c>
      <c r="AE223" s="100">
        <f t="shared" si="233"/>
        <v>0</v>
      </c>
      <c r="AF223" s="100">
        <f t="shared" si="234"/>
        <v>0</v>
      </c>
      <c r="AG223" s="100">
        <f t="shared" si="235"/>
        <v>0</v>
      </c>
      <c r="AH223" s="100">
        <f t="shared" si="236"/>
        <v>0</v>
      </c>
      <c r="AI223" s="109"/>
      <c r="AJ223" s="108">
        <f t="shared" si="237"/>
        <v>0</v>
      </c>
      <c r="AK223" s="108">
        <f t="shared" si="238"/>
        <v>0</v>
      </c>
      <c r="AL223" s="108">
        <f t="shared" si="239"/>
        <v>0</v>
      </c>
      <c r="AN223" s="100">
        <v>15</v>
      </c>
      <c r="AO223" s="100">
        <f t="shared" si="240"/>
        <v>0</v>
      </c>
      <c r="AP223" s="100">
        <f t="shared" si="241"/>
        <v>0</v>
      </c>
      <c r="AQ223" s="111" t="s">
        <v>13</v>
      </c>
      <c r="AV223" s="100">
        <f t="shared" si="242"/>
        <v>0</v>
      </c>
      <c r="AW223" s="100">
        <f t="shared" si="243"/>
        <v>0</v>
      </c>
      <c r="AX223" s="100">
        <f t="shared" si="244"/>
        <v>0</v>
      </c>
      <c r="AY223" s="110" t="s">
        <v>1709</v>
      </c>
      <c r="AZ223" s="110" t="s">
        <v>1733</v>
      </c>
      <c r="BA223" s="109" t="s">
        <v>1737</v>
      </c>
      <c r="BC223" s="100">
        <f t="shared" si="245"/>
        <v>0</v>
      </c>
      <c r="BD223" s="100">
        <f t="shared" si="246"/>
        <v>0</v>
      </c>
      <c r="BE223" s="100">
        <v>0</v>
      </c>
      <c r="BF223" s="100">
        <f>223</f>
        <v>223</v>
      </c>
      <c r="BH223" s="108">
        <f t="shared" si="247"/>
        <v>0</v>
      </c>
      <c r="BI223" s="108">
        <f t="shared" si="248"/>
        <v>0</v>
      </c>
      <c r="BJ223" s="108">
        <f t="shared" si="249"/>
        <v>0</v>
      </c>
    </row>
    <row r="224" spans="1:62" x14ac:dyDescent="0.2">
      <c r="A224" s="117" t="s">
        <v>188</v>
      </c>
      <c r="B224" s="117" t="s">
        <v>3136</v>
      </c>
      <c r="C224" s="304" t="s">
        <v>1304</v>
      </c>
      <c r="D224" s="305"/>
      <c r="E224" s="305"/>
      <c r="F224" s="117" t="s">
        <v>1644</v>
      </c>
      <c r="G224" s="116">
        <v>1</v>
      </c>
      <c r="H224" s="159"/>
      <c r="I224" s="108">
        <f t="shared" si="226"/>
        <v>0</v>
      </c>
      <c r="J224" s="108">
        <f t="shared" si="227"/>
        <v>0</v>
      </c>
      <c r="K224" s="108">
        <f t="shared" si="228"/>
        <v>0</v>
      </c>
      <c r="L224" s="111"/>
      <c r="Z224" s="100">
        <f t="shared" si="229"/>
        <v>0</v>
      </c>
      <c r="AB224" s="100">
        <f t="shared" si="230"/>
        <v>0</v>
      </c>
      <c r="AC224" s="100">
        <f t="shared" si="231"/>
        <v>0</v>
      </c>
      <c r="AD224" s="100">
        <f t="shared" si="232"/>
        <v>0</v>
      </c>
      <c r="AE224" s="100">
        <f t="shared" si="233"/>
        <v>0</v>
      </c>
      <c r="AF224" s="100">
        <f t="shared" si="234"/>
        <v>0</v>
      </c>
      <c r="AG224" s="100">
        <f t="shared" si="235"/>
        <v>0</v>
      </c>
      <c r="AH224" s="100">
        <f t="shared" si="236"/>
        <v>0</v>
      </c>
      <c r="AI224" s="109"/>
      <c r="AJ224" s="108">
        <f t="shared" si="237"/>
        <v>0</v>
      </c>
      <c r="AK224" s="108">
        <f t="shared" si="238"/>
        <v>0</v>
      </c>
      <c r="AL224" s="108">
        <f t="shared" si="239"/>
        <v>0</v>
      </c>
      <c r="AN224" s="100">
        <v>15</v>
      </c>
      <c r="AO224" s="100">
        <f t="shared" si="240"/>
        <v>0</v>
      </c>
      <c r="AP224" s="100">
        <f t="shared" si="241"/>
        <v>0</v>
      </c>
      <c r="AQ224" s="111" t="s">
        <v>13</v>
      </c>
      <c r="AV224" s="100">
        <f t="shared" si="242"/>
        <v>0</v>
      </c>
      <c r="AW224" s="100">
        <f t="shared" si="243"/>
        <v>0</v>
      </c>
      <c r="AX224" s="100">
        <f t="shared" si="244"/>
        <v>0</v>
      </c>
      <c r="AY224" s="110" t="s">
        <v>1709</v>
      </c>
      <c r="AZ224" s="110" t="s">
        <v>1733</v>
      </c>
      <c r="BA224" s="109" t="s">
        <v>1737</v>
      </c>
      <c r="BC224" s="100">
        <f t="shared" si="245"/>
        <v>0</v>
      </c>
      <c r="BD224" s="100">
        <f t="shared" si="246"/>
        <v>0</v>
      </c>
      <c r="BE224" s="100">
        <v>0</v>
      </c>
      <c r="BF224" s="100">
        <f>224</f>
        <v>224</v>
      </c>
      <c r="BH224" s="108">
        <f t="shared" si="247"/>
        <v>0</v>
      </c>
      <c r="BI224" s="108">
        <f t="shared" si="248"/>
        <v>0</v>
      </c>
      <c r="BJ224" s="108">
        <f t="shared" si="249"/>
        <v>0</v>
      </c>
    </row>
    <row r="225" spans="1:62" x14ac:dyDescent="0.2">
      <c r="A225" s="117" t="s">
        <v>189</v>
      </c>
      <c r="B225" s="117" t="s">
        <v>3135</v>
      </c>
      <c r="C225" s="304" t="s">
        <v>1305</v>
      </c>
      <c r="D225" s="305"/>
      <c r="E225" s="305"/>
      <c r="F225" s="117" t="s">
        <v>1644</v>
      </c>
      <c r="G225" s="116">
        <v>1</v>
      </c>
      <c r="H225" s="159"/>
      <c r="I225" s="108">
        <f t="shared" si="226"/>
        <v>0</v>
      </c>
      <c r="J225" s="108">
        <f t="shared" si="227"/>
        <v>0</v>
      </c>
      <c r="K225" s="108">
        <f t="shared" si="228"/>
        <v>0</v>
      </c>
      <c r="L225" s="111"/>
      <c r="Z225" s="100">
        <f t="shared" si="229"/>
        <v>0</v>
      </c>
      <c r="AB225" s="100">
        <f t="shared" si="230"/>
        <v>0</v>
      </c>
      <c r="AC225" s="100">
        <f t="shared" si="231"/>
        <v>0</v>
      </c>
      <c r="AD225" s="100">
        <f t="shared" si="232"/>
        <v>0</v>
      </c>
      <c r="AE225" s="100">
        <f t="shared" si="233"/>
        <v>0</v>
      </c>
      <c r="AF225" s="100">
        <f t="shared" si="234"/>
        <v>0</v>
      </c>
      <c r="AG225" s="100">
        <f t="shared" si="235"/>
        <v>0</v>
      </c>
      <c r="AH225" s="100">
        <f t="shared" si="236"/>
        <v>0</v>
      </c>
      <c r="AI225" s="109"/>
      <c r="AJ225" s="108">
        <f t="shared" si="237"/>
        <v>0</v>
      </c>
      <c r="AK225" s="108">
        <f t="shared" si="238"/>
        <v>0</v>
      </c>
      <c r="AL225" s="108">
        <f t="shared" si="239"/>
        <v>0</v>
      </c>
      <c r="AN225" s="100">
        <v>15</v>
      </c>
      <c r="AO225" s="100">
        <f t="shared" si="240"/>
        <v>0</v>
      </c>
      <c r="AP225" s="100">
        <f t="shared" si="241"/>
        <v>0</v>
      </c>
      <c r="AQ225" s="111" t="s">
        <v>13</v>
      </c>
      <c r="AV225" s="100">
        <f t="shared" si="242"/>
        <v>0</v>
      </c>
      <c r="AW225" s="100">
        <f t="shared" si="243"/>
        <v>0</v>
      </c>
      <c r="AX225" s="100">
        <f t="shared" si="244"/>
        <v>0</v>
      </c>
      <c r="AY225" s="110" t="s">
        <v>1709</v>
      </c>
      <c r="AZ225" s="110" t="s">
        <v>1733</v>
      </c>
      <c r="BA225" s="109" t="s">
        <v>1737</v>
      </c>
      <c r="BC225" s="100">
        <f t="shared" si="245"/>
        <v>0</v>
      </c>
      <c r="BD225" s="100">
        <f t="shared" si="246"/>
        <v>0</v>
      </c>
      <c r="BE225" s="100">
        <v>0</v>
      </c>
      <c r="BF225" s="100">
        <f>225</f>
        <v>225</v>
      </c>
      <c r="BH225" s="108">
        <f t="shared" si="247"/>
        <v>0</v>
      </c>
      <c r="BI225" s="108">
        <f t="shared" si="248"/>
        <v>0</v>
      </c>
      <c r="BJ225" s="108">
        <f t="shared" si="249"/>
        <v>0</v>
      </c>
    </row>
    <row r="226" spans="1:62" x14ac:dyDescent="0.2">
      <c r="A226" s="117" t="s">
        <v>190</v>
      </c>
      <c r="B226" s="117" t="s">
        <v>3134</v>
      </c>
      <c r="C226" s="304" t="s">
        <v>1306</v>
      </c>
      <c r="D226" s="305"/>
      <c r="E226" s="305"/>
      <c r="F226" s="117" t="s">
        <v>1646</v>
      </c>
      <c r="G226" s="116">
        <v>15</v>
      </c>
      <c r="H226" s="159"/>
      <c r="I226" s="108">
        <f t="shared" si="226"/>
        <v>0</v>
      </c>
      <c r="J226" s="108">
        <f t="shared" si="227"/>
        <v>0</v>
      </c>
      <c r="K226" s="108">
        <f t="shared" si="228"/>
        <v>0</v>
      </c>
      <c r="L226" s="111"/>
      <c r="Z226" s="100">
        <f t="shared" si="229"/>
        <v>0</v>
      </c>
      <c r="AB226" s="100">
        <f t="shared" si="230"/>
        <v>0</v>
      </c>
      <c r="AC226" s="100">
        <f t="shared" si="231"/>
        <v>0</v>
      </c>
      <c r="AD226" s="100">
        <f t="shared" si="232"/>
        <v>0</v>
      </c>
      <c r="AE226" s="100">
        <f t="shared" si="233"/>
        <v>0</v>
      </c>
      <c r="AF226" s="100">
        <f t="shared" si="234"/>
        <v>0</v>
      </c>
      <c r="AG226" s="100">
        <f t="shared" si="235"/>
        <v>0</v>
      </c>
      <c r="AH226" s="100">
        <f t="shared" si="236"/>
        <v>0</v>
      </c>
      <c r="AI226" s="109"/>
      <c r="AJ226" s="108">
        <f t="shared" si="237"/>
        <v>0</v>
      </c>
      <c r="AK226" s="108">
        <f t="shared" si="238"/>
        <v>0</v>
      </c>
      <c r="AL226" s="108">
        <f t="shared" si="239"/>
        <v>0</v>
      </c>
      <c r="AN226" s="100">
        <v>15</v>
      </c>
      <c r="AO226" s="100">
        <f t="shared" si="240"/>
        <v>0</v>
      </c>
      <c r="AP226" s="100">
        <f t="shared" si="241"/>
        <v>0</v>
      </c>
      <c r="AQ226" s="111" t="s">
        <v>13</v>
      </c>
      <c r="AV226" s="100">
        <f t="shared" si="242"/>
        <v>0</v>
      </c>
      <c r="AW226" s="100">
        <f t="shared" si="243"/>
        <v>0</v>
      </c>
      <c r="AX226" s="100">
        <f t="shared" si="244"/>
        <v>0</v>
      </c>
      <c r="AY226" s="110" t="s">
        <v>1709</v>
      </c>
      <c r="AZ226" s="110" t="s">
        <v>1733</v>
      </c>
      <c r="BA226" s="109" t="s">
        <v>1737</v>
      </c>
      <c r="BC226" s="100">
        <f t="shared" si="245"/>
        <v>0</v>
      </c>
      <c r="BD226" s="100">
        <f t="shared" si="246"/>
        <v>0</v>
      </c>
      <c r="BE226" s="100">
        <v>0</v>
      </c>
      <c r="BF226" s="100">
        <f>226</f>
        <v>226</v>
      </c>
      <c r="BH226" s="108">
        <f t="shared" si="247"/>
        <v>0</v>
      </c>
      <c r="BI226" s="108">
        <f t="shared" si="248"/>
        <v>0</v>
      </c>
      <c r="BJ226" s="108">
        <f t="shared" si="249"/>
        <v>0</v>
      </c>
    </row>
    <row r="227" spans="1:62" x14ac:dyDescent="0.2">
      <c r="A227" s="117" t="s">
        <v>191</v>
      </c>
      <c r="B227" s="117" t="s">
        <v>3133</v>
      </c>
      <c r="C227" s="304" t="s">
        <v>1286</v>
      </c>
      <c r="D227" s="305"/>
      <c r="E227" s="305"/>
      <c r="F227" s="117" t="s">
        <v>1644</v>
      </c>
      <c r="G227" s="116">
        <v>2</v>
      </c>
      <c r="H227" s="159"/>
      <c r="I227" s="108">
        <f t="shared" si="226"/>
        <v>0</v>
      </c>
      <c r="J227" s="108">
        <f t="shared" si="227"/>
        <v>0</v>
      </c>
      <c r="K227" s="108">
        <f t="shared" si="228"/>
        <v>0</v>
      </c>
      <c r="L227" s="111"/>
      <c r="Z227" s="100">
        <f t="shared" si="229"/>
        <v>0</v>
      </c>
      <c r="AB227" s="100">
        <f t="shared" si="230"/>
        <v>0</v>
      </c>
      <c r="AC227" s="100">
        <f t="shared" si="231"/>
        <v>0</v>
      </c>
      <c r="AD227" s="100">
        <f t="shared" si="232"/>
        <v>0</v>
      </c>
      <c r="AE227" s="100">
        <f t="shared" si="233"/>
        <v>0</v>
      </c>
      <c r="AF227" s="100">
        <f t="shared" si="234"/>
        <v>0</v>
      </c>
      <c r="AG227" s="100">
        <f t="shared" si="235"/>
        <v>0</v>
      </c>
      <c r="AH227" s="100">
        <f t="shared" si="236"/>
        <v>0</v>
      </c>
      <c r="AI227" s="109"/>
      <c r="AJ227" s="108">
        <f t="shared" si="237"/>
        <v>0</v>
      </c>
      <c r="AK227" s="108">
        <f t="shared" si="238"/>
        <v>0</v>
      </c>
      <c r="AL227" s="108">
        <f t="shared" si="239"/>
        <v>0</v>
      </c>
      <c r="AN227" s="100">
        <v>15</v>
      </c>
      <c r="AO227" s="100">
        <f t="shared" si="240"/>
        <v>0</v>
      </c>
      <c r="AP227" s="100">
        <f t="shared" si="241"/>
        <v>0</v>
      </c>
      <c r="AQ227" s="111" t="s">
        <v>13</v>
      </c>
      <c r="AV227" s="100">
        <f t="shared" si="242"/>
        <v>0</v>
      </c>
      <c r="AW227" s="100">
        <f t="shared" si="243"/>
        <v>0</v>
      </c>
      <c r="AX227" s="100">
        <f t="shared" si="244"/>
        <v>0</v>
      </c>
      <c r="AY227" s="110" t="s">
        <v>1709</v>
      </c>
      <c r="AZ227" s="110" t="s">
        <v>1733</v>
      </c>
      <c r="BA227" s="109" t="s">
        <v>1737</v>
      </c>
      <c r="BC227" s="100">
        <f t="shared" si="245"/>
        <v>0</v>
      </c>
      <c r="BD227" s="100">
        <f t="shared" si="246"/>
        <v>0</v>
      </c>
      <c r="BE227" s="100">
        <v>0</v>
      </c>
      <c r="BF227" s="100">
        <f>227</f>
        <v>227</v>
      </c>
      <c r="BH227" s="108">
        <f t="shared" si="247"/>
        <v>0</v>
      </c>
      <c r="BI227" s="108">
        <f t="shared" si="248"/>
        <v>0</v>
      </c>
      <c r="BJ227" s="108">
        <f t="shared" si="249"/>
        <v>0</v>
      </c>
    </row>
    <row r="228" spans="1:62" x14ac:dyDescent="0.2">
      <c r="A228" s="117" t="s">
        <v>192</v>
      </c>
      <c r="B228" s="117" t="s">
        <v>3132</v>
      </c>
      <c r="C228" s="304" t="s">
        <v>1307</v>
      </c>
      <c r="D228" s="305"/>
      <c r="E228" s="305"/>
      <c r="F228" s="117" t="s">
        <v>1644</v>
      </c>
      <c r="G228" s="116">
        <v>1</v>
      </c>
      <c r="H228" s="159"/>
      <c r="I228" s="108">
        <f t="shared" si="226"/>
        <v>0</v>
      </c>
      <c r="J228" s="108">
        <f t="shared" si="227"/>
        <v>0</v>
      </c>
      <c r="K228" s="108">
        <f t="shared" si="228"/>
        <v>0</v>
      </c>
      <c r="L228" s="111"/>
      <c r="Z228" s="100">
        <f t="shared" si="229"/>
        <v>0</v>
      </c>
      <c r="AB228" s="100">
        <f t="shared" si="230"/>
        <v>0</v>
      </c>
      <c r="AC228" s="100">
        <f t="shared" si="231"/>
        <v>0</v>
      </c>
      <c r="AD228" s="100">
        <f t="shared" si="232"/>
        <v>0</v>
      </c>
      <c r="AE228" s="100">
        <f t="shared" si="233"/>
        <v>0</v>
      </c>
      <c r="AF228" s="100">
        <f t="shared" si="234"/>
        <v>0</v>
      </c>
      <c r="AG228" s="100">
        <f t="shared" si="235"/>
        <v>0</v>
      </c>
      <c r="AH228" s="100">
        <f t="shared" si="236"/>
        <v>0</v>
      </c>
      <c r="AI228" s="109"/>
      <c r="AJ228" s="108">
        <f t="shared" si="237"/>
        <v>0</v>
      </c>
      <c r="AK228" s="108">
        <f t="shared" si="238"/>
        <v>0</v>
      </c>
      <c r="AL228" s="108">
        <f t="shared" si="239"/>
        <v>0</v>
      </c>
      <c r="AN228" s="100">
        <v>15</v>
      </c>
      <c r="AO228" s="100">
        <f t="shared" si="240"/>
        <v>0</v>
      </c>
      <c r="AP228" s="100">
        <f t="shared" si="241"/>
        <v>0</v>
      </c>
      <c r="AQ228" s="111" t="s">
        <v>13</v>
      </c>
      <c r="AV228" s="100">
        <f t="shared" si="242"/>
        <v>0</v>
      </c>
      <c r="AW228" s="100">
        <f t="shared" si="243"/>
        <v>0</v>
      </c>
      <c r="AX228" s="100">
        <f t="shared" si="244"/>
        <v>0</v>
      </c>
      <c r="AY228" s="110" t="s">
        <v>1709</v>
      </c>
      <c r="AZ228" s="110" t="s">
        <v>1733</v>
      </c>
      <c r="BA228" s="109" t="s">
        <v>1737</v>
      </c>
      <c r="BC228" s="100">
        <f t="shared" si="245"/>
        <v>0</v>
      </c>
      <c r="BD228" s="100">
        <f t="shared" si="246"/>
        <v>0</v>
      </c>
      <c r="BE228" s="100">
        <v>0</v>
      </c>
      <c r="BF228" s="100">
        <f>228</f>
        <v>228</v>
      </c>
      <c r="BH228" s="108">
        <f t="shared" si="247"/>
        <v>0</v>
      </c>
      <c r="BI228" s="108">
        <f t="shared" si="248"/>
        <v>0</v>
      </c>
      <c r="BJ228" s="108">
        <f t="shared" si="249"/>
        <v>0</v>
      </c>
    </row>
    <row r="229" spans="1:62" x14ac:dyDescent="0.2">
      <c r="A229" s="117" t="s">
        <v>193</v>
      </c>
      <c r="B229" s="117" t="s">
        <v>3131</v>
      </c>
      <c r="C229" s="304" t="s">
        <v>1308</v>
      </c>
      <c r="D229" s="305"/>
      <c r="E229" s="305"/>
      <c r="F229" s="117" t="s">
        <v>1644</v>
      </c>
      <c r="G229" s="116">
        <v>1</v>
      </c>
      <c r="H229" s="159"/>
      <c r="I229" s="108">
        <f t="shared" si="226"/>
        <v>0</v>
      </c>
      <c r="J229" s="108">
        <f t="shared" si="227"/>
        <v>0</v>
      </c>
      <c r="K229" s="108">
        <f t="shared" si="228"/>
        <v>0</v>
      </c>
      <c r="L229" s="111"/>
      <c r="Z229" s="100">
        <f t="shared" si="229"/>
        <v>0</v>
      </c>
      <c r="AB229" s="100">
        <f t="shared" si="230"/>
        <v>0</v>
      </c>
      <c r="AC229" s="100">
        <f t="shared" si="231"/>
        <v>0</v>
      </c>
      <c r="AD229" s="100">
        <f t="shared" si="232"/>
        <v>0</v>
      </c>
      <c r="AE229" s="100">
        <f t="shared" si="233"/>
        <v>0</v>
      </c>
      <c r="AF229" s="100">
        <f t="shared" si="234"/>
        <v>0</v>
      </c>
      <c r="AG229" s="100">
        <f t="shared" si="235"/>
        <v>0</v>
      </c>
      <c r="AH229" s="100">
        <f t="shared" si="236"/>
        <v>0</v>
      </c>
      <c r="AI229" s="109"/>
      <c r="AJ229" s="108">
        <f t="shared" si="237"/>
        <v>0</v>
      </c>
      <c r="AK229" s="108">
        <f t="shared" si="238"/>
        <v>0</v>
      </c>
      <c r="AL229" s="108">
        <f t="shared" si="239"/>
        <v>0</v>
      </c>
      <c r="AN229" s="100">
        <v>15</v>
      </c>
      <c r="AO229" s="100">
        <f t="shared" si="240"/>
        <v>0</v>
      </c>
      <c r="AP229" s="100">
        <f t="shared" si="241"/>
        <v>0</v>
      </c>
      <c r="AQ229" s="111" t="s">
        <v>13</v>
      </c>
      <c r="AV229" s="100">
        <f t="shared" si="242"/>
        <v>0</v>
      </c>
      <c r="AW229" s="100">
        <f t="shared" si="243"/>
        <v>0</v>
      </c>
      <c r="AX229" s="100">
        <f t="shared" si="244"/>
        <v>0</v>
      </c>
      <c r="AY229" s="110" t="s">
        <v>1709</v>
      </c>
      <c r="AZ229" s="110" t="s">
        <v>1733</v>
      </c>
      <c r="BA229" s="109" t="s">
        <v>1737</v>
      </c>
      <c r="BC229" s="100">
        <f t="shared" si="245"/>
        <v>0</v>
      </c>
      <c r="BD229" s="100">
        <f t="shared" si="246"/>
        <v>0</v>
      </c>
      <c r="BE229" s="100">
        <v>0</v>
      </c>
      <c r="BF229" s="100">
        <f>229</f>
        <v>229</v>
      </c>
      <c r="BH229" s="108">
        <f t="shared" si="247"/>
        <v>0</v>
      </c>
      <c r="BI229" s="108">
        <f t="shared" si="248"/>
        <v>0</v>
      </c>
      <c r="BJ229" s="108">
        <f t="shared" si="249"/>
        <v>0</v>
      </c>
    </row>
    <row r="230" spans="1:62" x14ac:dyDescent="0.2">
      <c r="A230" s="117" t="s">
        <v>194</v>
      </c>
      <c r="B230" s="117" t="s">
        <v>3130</v>
      </c>
      <c r="C230" s="304" t="s">
        <v>1309</v>
      </c>
      <c r="D230" s="305"/>
      <c r="E230" s="305"/>
      <c r="F230" s="117" t="s">
        <v>1644</v>
      </c>
      <c r="G230" s="116">
        <v>1</v>
      </c>
      <c r="H230" s="159"/>
      <c r="I230" s="108">
        <f t="shared" si="226"/>
        <v>0</v>
      </c>
      <c r="J230" s="108">
        <f t="shared" si="227"/>
        <v>0</v>
      </c>
      <c r="K230" s="108">
        <f t="shared" si="228"/>
        <v>0</v>
      </c>
      <c r="L230" s="111"/>
      <c r="Z230" s="100">
        <f t="shared" si="229"/>
        <v>0</v>
      </c>
      <c r="AB230" s="100">
        <f t="shared" si="230"/>
        <v>0</v>
      </c>
      <c r="AC230" s="100">
        <f t="shared" si="231"/>
        <v>0</v>
      </c>
      <c r="AD230" s="100">
        <f t="shared" si="232"/>
        <v>0</v>
      </c>
      <c r="AE230" s="100">
        <f t="shared" si="233"/>
        <v>0</v>
      </c>
      <c r="AF230" s="100">
        <f t="shared" si="234"/>
        <v>0</v>
      </c>
      <c r="AG230" s="100">
        <f t="shared" si="235"/>
        <v>0</v>
      </c>
      <c r="AH230" s="100">
        <f t="shared" si="236"/>
        <v>0</v>
      </c>
      <c r="AI230" s="109"/>
      <c r="AJ230" s="108">
        <f t="shared" si="237"/>
        <v>0</v>
      </c>
      <c r="AK230" s="108">
        <f t="shared" si="238"/>
        <v>0</v>
      </c>
      <c r="AL230" s="108">
        <f t="shared" si="239"/>
        <v>0</v>
      </c>
      <c r="AN230" s="100">
        <v>15</v>
      </c>
      <c r="AO230" s="100">
        <f t="shared" si="240"/>
        <v>0</v>
      </c>
      <c r="AP230" s="100">
        <f t="shared" si="241"/>
        <v>0</v>
      </c>
      <c r="AQ230" s="111" t="s">
        <v>13</v>
      </c>
      <c r="AV230" s="100">
        <f t="shared" si="242"/>
        <v>0</v>
      </c>
      <c r="AW230" s="100">
        <f t="shared" si="243"/>
        <v>0</v>
      </c>
      <c r="AX230" s="100">
        <f t="shared" si="244"/>
        <v>0</v>
      </c>
      <c r="AY230" s="110" t="s">
        <v>1709</v>
      </c>
      <c r="AZ230" s="110" t="s">
        <v>1733</v>
      </c>
      <c r="BA230" s="109" t="s">
        <v>1737</v>
      </c>
      <c r="BC230" s="100">
        <f t="shared" si="245"/>
        <v>0</v>
      </c>
      <c r="BD230" s="100">
        <f t="shared" si="246"/>
        <v>0</v>
      </c>
      <c r="BE230" s="100">
        <v>0</v>
      </c>
      <c r="BF230" s="100">
        <f>230</f>
        <v>230</v>
      </c>
      <c r="BH230" s="108">
        <f t="shared" si="247"/>
        <v>0</v>
      </c>
      <c r="BI230" s="108">
        <f t="shared" si="248"/>
        <v>0</v>
      </c>
      <c r="BJ230" s="108">
        <f t="shared" si="249"/>
        <v>0</v>
      </c>
    </row>
    <row r="231" spans="1:62" x14ac:dyDescent="0.2">
      <c r="A231" s="117" t="s">
        <v>195</v>
      </c>
      <c r="B231" s="117" t="s">
        <v>3129</v>
      </c>
      <c r="C231" s="304" t="s">
        <v>1310</v>
      </c>
      <c r="D231" s="305"/>
      <c r="E231" s="305"/>
      <c r="F231" s="117" t="s">
        <v>1644</v>
      </c>
      <c r="G231" s="116">
        <v>1</v>
      </c>
      <c r="H231" s="159"/>
      <c r="I231" s="108">
        <f t="shared" si="226"/>
        <v>0</v>
      </c>
      <c r="J231" s="108">
        <f t="shared" si="227"/>
        <v>0</v>
      </c>
      <c r="K231" s="108">
        <f t="shared" si="228"/>
        <v>0</v>
      </c>
      <c r="L231" s="111"/>
      <c r="Z231" s="100">
        <f t="shared" si="229"/>
        <v>0</v>
      </c>
      <c r="AB231" s="100">
        <f t="shared" si="230"/>
        <v>0</v>
      </c>
      <c r="AC231" s="100">
        <f t="shared" si="231"/>
        <v>0</v>
      </c>
      <c r="AD231" s="100">
        <f t="shared" si="232"/>
        <v>0</v>
      </c>
      <c r="AE231" s="100">
        <f t="shared" si="233"/>
        <v>0</v>
      </c>
      <c r="AF231" s="100">
        <f t="shared" si="234"/>
        <v>0</v>
      </c>
      <c r="AG231" s="100">
        <f t="shared" si="235"/>
        <v>0</v>
      </c>
      <c r="AH231" s="100">
        <f t="shared" si="236"/>
        <v>0</v>
      </c>
      <c r="AI231" s="109"/>
      <c r="AJ231" s="108">
        <f t="shared" si="237"/>
        <v>0</v>
      </c>
      <c r="AK231" s="108">
        <f t="shared" si="238"/>
        <v>0</v>
      </c>
      <c r="AL231" s="108">
        <f t="shared" si="239"/>
        <v>0</v>
      </c>
      <c r="AN231" s="100">
        <v>15</v>
      </c>
      <c r="AO231" s="100">
        <f t="shared" si="240"/>
        <v>0</v>
      </c>
      <c r="AP231" s="100">
        <f t="shared" si="241"/>
        <v>0</v>
      </c>
      <c r="AQ231" s="111" t="s">
        <v>13</v>
      </c>
      <c r="AV231" s="100">
        <f t="shared" si="242"/>
        <v>0</v>
      </c>
      <c r="AW231" s="100">
        <f t="shared" si="243"/>
        <v>0</v>
      </c>
      <c r="AX231" s="100">
        <f t="shared" si="244"/>
        <v>0</v>
      </c>
      <c r="AY231" s="110" t="s">
        <v>1709</v>
      </c>
      <c r="AZ231" s="110" t="s">
        <v>1733</v>
      </c>
      <c r="BA231" s="109" t="s">
        <v>1737</v>
      </c>
      <c r="BC231" s="100">
        <f t="shared" si="245"/>
        <v>0</v>
      </c>
      <c r="BD231" s="100">
        <f t="shared" si="246"/>
        <v>0</v>
      </c>
      <c r="BE231" s="100">
        <v>0</v>
      </c>
      <c r="BF231" s="100">
        <f>231</f>
        <v>231</v>
      </c>
      <c r="BH231" s="108">
        <f t="shared" si="247"/>
        <v>0</v>
      </c>
      <c r="BI231" s="108">
        <f t="shared" si="248"/>
        <v>0</v>
      </c>
      <c r="BJ231" s="108">
        <f t="shared" si="249"/>
        <v>0</v>
      </c>
    </row>
    <row r="232" spans="1:62" x14ac:dyDescent="0.2">
      <c r="A232" s="117" t="s">
        <v>196</v>
      </c>
      <c r="B232" s="117" t="s">
        <v>3128</v>
      </c>
      <c r="C232" s="304" t="s">
        <v>1311</v>
      </c>
      <c r="D232" s="305"/>
      <c r="E232" s="305"/>
      <c r="F232" s="117" t="s">
        <v>1644</v>
      </c>
      <c r="G232" s="116">
        <v>1</v>
      </c>
      <c r="H232" s="159"/>
      <c r="I232" s="108">
        <f t="shared" si="226"/>
        <v>0</v>
      </c>
      <c r="J232" s="108">
        <f t="shared" si="227"/>
        <v>0</v>
      </c>
      <c r="K232" s="108">
        <f t="shared" si="228"/>
        <v>0</v>
      </c>
      <c r="L232" s="111"/>
      <c r="Z232" s="100">
        <f t="shared" si="229"/>
        <v>0</v>
      </c>
      <c r="AB232" s="100">
        <f t="shared" si="230"/>
        <v>0</v>
      </c>
      <c r="AC232" s="100">
        <f t="shared" si="231"/>
        <v>0</v>
      </c>
      <c r="AD232" s="100">
        <f t="shared" si="232"/>
        <v>0</v>
      </c>
      <c r="AE232" s="100">
        <f t="shared" si="233"/>
        <v>0</v>
      </c>
      <c r="AF232" s="100">
        <f t="shared" si="234"/>
        <v>0</v>
      </c>
      <c r="AG232" s="100">
        <f t="shared" si="235"/>
        <v>0</v>
      </c>
      <c r="AH232" s="100">
        <f t="shared" si="236"/>
        <v>0</v>
      </c>
      <c r="AI232" s="109"/>
      <c r="AJ232" s="108">
        <f t="shared" si="237"/>
        <v>0</v>
      </c>
      <c r="AK232" s="108">
        <f t="shared" si="238"/>
        <v>0</v>
      </c>
      <c r="AL232" s="108">
        <f t="shared" si="239"/>
        <v>0</v>
      </c>
      <c r="AN232" s="100">
        <v>15</v>
      </c>
      <c r="AO232" s="100">
        <f t="shared" si="240"/>
        <v>0</v>
      </c>
      <c r="AP232" s="100">
        <f t="shared" si="241"/>
        <v>0</v>
      </c>
      <c r="AQ232" s="111" t="s">
        <v>13</v>
      </c>
      <c r="AV232" s="100">
        <f t="shared" si="242"/>
        <v>0</v>
      </c>
      <c r="AW232" s="100">
        <f t="shared" si="243"/>
        <v>0</v>
      </c>
      <c r="AX232" s="100">
        <f t="shared" si="244"/>
        <v>0</v>
      </c>
      <c r="AY232" s="110" t="s">
        <v>1709</v>
      </c>
      <c r="AZ232" s="110" t="s">
        <v>1733</v>
      </c>
      <c r="BA232" s="109" t="s">
        <v>1737</v>
      </c>
      <c r="BC232" s="100">
        <f t="shared" si="245"/>
        <v>0</v>
      </c>
      <c r="BD232" s="100">
        <f t="shared" si="246"/>
        <v>0</v>
      </c>
      <c r="BE232" s="100">
        <v>0</v>
      </c>
      <c r="BF232" s="100">
        <f>232</f>
        <v>232</v>
      </c>
      <c r="BH232" s="108">
        <f t="shared" si="247"/>
        <v>0</v>
      </c>
      <c r="BI232" s="108">
        <f t="shared" si="248"/>
        <v>0</v>
      </c>
      <c r="BJ232" s="108">
        <f t="shared" si="249"/>
        <v>0</v>
      </c>
    </row>
    <row r="233" spans="1:62" x14ac:dyDescent="0.2">
      <c r="A233" s="117" t="s">
        <v>197</v>
      </c>
      <c r="B233" s="117" t="s">
        <v>3127</v>
      </c>
      <c r="C233" s="304" t="s">
        <v>1312</v>
      </c>
      <c r="D233" s="305"/>
      <c r="E233" s="305"/>
      <c r="F233" s="117" t="s">
        <v>1644</v>
      </c>
      <c r="G233" s="116">
        <v>2</v>
      </c>
      <c r="H233" s="159"/>
      <c r="I233" s="108">
        <f t="shared" si="226"/>
        <v>0</v>
      </c>
      <c r="J233" s="108">
        <f t="shared" si="227"/>
        <v>0</v>
      </c>
      <c r="K233" s="108">
        <f t="shared" si="228"/>
        <v>0</v>
      </c>
      <c r="L233" s="111"/>
      <c r="Z233" s="100">
        <f t="shared" si="229"/>
        <v>0</v>
      </c>
      <c r="AB233" s="100">
        <f t="shared" si="230"/>
        <v>0</v>
      </c>
      <c r="AC233" s="100">
        <f t="shared" si="231"/>
        <v>0</v>
      </c>
      <c r="AD233" s="100">
        <f t="shared" si="232"/>
        <v>0</v>
      </c>
      <c r="AE233" s="100">
        <f t="shared" si="233"/>
        <v>0</v>
      </c>
      <c r="AF233" s="100">
        <f t="shared" si="234"/>
        <v>0</v>
      </c>
      <c r="AG233" s="100">
        <f t="shared" si="235"/>
        <v>0</v>
      </c>
      <c r="AH233" s="100">
        <f t="shared" si="236"/>
        <v>0</v>
      </c>
      <c r="AI233" s="109"/>
      <c r="AJ233" s="108">
        <f t="shared" si="237"/>
        <v>0</v>
      </c>
      <c r="AK233" s="108">
        <f t="shared" si="238"/>
        <v>0</v>
      </c>
      <c r="AL233" s="108">
        <f t="shared" si="239"/>
        <v>0</v>
      </c>
      <c r="AN233" s="100">
        <v>15</v>
      </c>
      <c r="AO233" s="100">
        <f t="shared" si="240"/>
        <v>0</v>
      </c>
      <c r="AP233" s="100">
        <f t="shared" si="241"/>
        <v>0</v>
      </c>
      <c r="AQ233" s="111" t="s">
        <v>13</v>
      </c>
      <c r="AV233" s="100">
        <f t="shared" si="242"/>
        <v>0</v>
      </c>
      <c r="AW233" s="100">
        <f t="shared" si="243"/>
        <v>0</v>
      </c>
      <c r="AX233" s="100">
        <f t="shared" si="244"/>
        <v>0</v>
      </c>
      <c r="AY233" s="110" t="s">
        <v>1709</v>
      </c>
      <c r="AZ233" s="110" t="s">
        <v>1733</v>
      </c>
      <c r="BA233" s="109" t="s">
        <v>1737</v>
      </c>
      <c r="BC233" s="100">
        <f t="shared" si="245"/>
        <v>0</v>
      </c>
      <c r="BD233" s="100">
        <f t="shared" si="246"/>
        <v>0</v>
      </c>
      <c r="BE233" s="100">
        <v>0</v>
      </c>
      <c r="BF233" s="100">
        <f>233</f>
        <v>233</v>
      </c>
      <c r="BH233" s="108">
        <f t="shared" si="247"/>
        <v>0</v>
      </c>
      <c r="BI233" s="108">
        <f t="shared" si="248"/>
        <v>0</v>
      </c>
      <c r="BJ233" s="108">
        <f t="shared" si="249"/>
        <v>0</v>
      </c>
    </row>
    <row r="234" spans="1:62" x14ac:dyDescent="0.2">
      <c r="A234" s="117" t="s">
        <v>198</v>
      </c>
      <c r="B234" s="117" t="s">
        <v>3126</v>
      </c>
      <c r="C234" s="304" t="s">
        <v>1313</v>
      </c>
      <c r="D234" s="305"/>
      <c r="E234" s="305"/>
      <c r="F234" s="117" t="s">
        <v>1644</v>
      </c>
      <c r="G234" s="116">
        <v>2</v>
      </c>
      <c r="H234" s="159"/>
      <c r="I234" s="108">
        <f t="shared" si="226"/>
        <v>0</v>
      </c>
      <c r="J234" s="108">
        <f t="shared" si="227"/>
        <v>0</v>
      </c>
      <c r="K234" s="108">
        <f t="shared" si="228"/>
        <v>0</v>
      </c>
      <c r="L234" s="111"/>
      <c r="Z234" s="100">
        <f t="shared" si="229"/>
        <v>0</v>
      </c>
      <c r="AB234" s="100">
        <f t="shared" si="230"/>
        <v>0</v>
      </c>
      <c r="AC234" s="100">
        <f t="shared" si="231"/>
        <v>0</v>
      </c>
      <c r="AD234" s="100">
        <f t="shared" si="232"/>
        <v>0</v>
      </c>
      <c r="AE234" s="100">
        <f t="shared" si="233"/>
        <v>0</v>
      </c>
      <c r="AF234" s="100">
        <f t="shared" si="234"/>
        <v>0</v>
      </c>
      <c r="AG234" s="100">
        <f t="shared" si="235"/>
        <v>0</v>
      </c>
      <c r="AH234" s="100">
        <f t="shared" si="236"/>
        <v>0</v>
      </c>
      <c r="AI234" s="109"/>
      <c r="AJ234" s="108">
        <f t="shared" si="237"/>
        <v>0</v>
      </c>
      <c r="AK234" s="108">
        <f t="shared" si="238"/>
        <v>0</v>
      </c>
      <c r="AL234" s="108">
        <f t="shared" si="239"/>
        <v>0</v>
      </c>
      <c r="AN234" s="100">
        <v>15</v>
      </c>
      <c r="AO234" s="100">
        <f t="shared" si="240"/>
        <v>0</v>
      </c>
      <c r="AP234" s="100">
        <f t="shared" si="241"/>
        <v>0</v>
      </c>
      <c r="AQ234" s="111" t="s">
        <v>13</v>
      </c>
      <c r="AV234" s="100">
        <f t="shared" si="242"/>
        <v>0</v>
      </c>
      <c r="AW234" s="100">
        <f t="shared" si="243"/>
        <v>0</v>
      </c>
      <c r="AX234" s="100">
        <f t="shared" si="244"/>
        <v>0</v>
      </c>
      <c r="AY234" s="110" t="s">
        <v>1709</v>
      </c>
      <c r="AZ234" s="110" t="s">
        <v>1733</v>
      </c>
      <c r="BA234" s="109" t="s">
        <v>1737</v>
      </c>
      <c r="BC234" s="100">
        <f t="shared" si="245"/>
        <v>0</v>
      </c>
      <c r="BD234" s="100">
        <f t="shared" si="246"/>
        <v>0</v>
      </c>
      <c r="BE234" s="100">
        <v>0</v>
      </c>
      <c r="BF234" s="100">
        <f>234</f>
        <v>234</v>
      </c>
      <c r="BH234" s="108">
        <f t="shared" si="247"/>
        <v>0</v>
      </c>
      <c r="BI234" s="108">
        <f t="shared" si="248"/>
        <v>0</v>
      </c>
      <c r="BJ234" s="108">
        <f t="shared" si="249"/>
        <v>0</v>
      </c>
    </row>
    <row r="235" spans="1:62" x14ac:dyDescent="0.2">
      <c r="A235" s="117" t="s">
        <v>199</v>
      </c>
      <c r="B235" s="117" t="s">
        <v>3125</v>
      </c>
      <c r="C235" s="304" t="s">
        <v>1314</v>
      </c>
      <c r="D235" s="305"/>
      <c r="E235" s="305"/>
      <c r="F235" s="117" t="s">
        <v>1644</v>
      </c>
      <c r="G235" s="116">
        <v>1</v>
      </c>
      <c r="H235" s="159"/>
      <c r="I235" s="108">
        <f t="shared" si="226"/>
        <v>0</v>
      </c>
      <c r="J235" s="108">
        <f t="shared" si="227"/>
        <v>0</v>
      </c>
      <c r="K235" s="108">
        <f t="shared" si="228"/>
        <v>0</v>
      </c>
      <c r="L235" s="111"/>
      <c r="Z235" s="100">
        <f t="shared" si="229"/>
        <v>0</v>
      </c>
      <c r="AB235" s="100">
        <f t="shared" si="230"/>
        <v>0</v>
      </c>
      <c r="AC235" s="100">
        <f t="shared" si="231"/>
        <v>0</v>
      </c>
      <c r="AD235" s="100">
        <f t="shared" si="232"/>
        <v>0</v>
      </c>
      <c r="AE235" s="100">
        <f t="shared" si="233"/>
        <v>0</v>
      </c>
      <c r="AF235" s="100">
        <f t="shared" si="234"/>
        <v>0</v>
      </c>
      <c r="AG235" s="100">
        <f t="shared" si="235"/>
        <v>0</v>
      </c>
      <c r="AH235" s="100">
        <f t="shared" si="236"/>
        <v>0</v>
      </c>
      <c r="AI235" s="109"/>
      <c r="AJ235" s="108">
        <f t="shared" si="237"/>
        <v>0</v>
      </c>
      <c r="AK235" s="108">
        <f t="shared" si="238"/>
        <v>0</v>
      </c>
      <c r="AL235" s="108">
        <f t="shared" si="239"/>
        <v>0</v>
      </c>
      <c r="AN235" s="100">
        <v>15</v>
      </c>
      <c r="AO235" s="100">
        <f t="shared" si="240"/>
        <v>0</v>
      </c>
      <c r="AP235" s="100">
        <f t="shared" si="241"/>
        <v>0</v>
      </c>
      <c r="AQ235" s="111" t="s">
        <v>13</v>
      </c>
      <c r="AV235" s="100">
        <f t="shared" si="242"/>
        <v>0</v>
      </c>
      <c r="AW235" s="100">
        <f t="shared" si="243"/>
        <v>0</v>
      </c>
      <c r="AX235" s="100">
        <f t="shared" si="244"/>
        <v>0</v>
      </c>
      <c r="AY235" s="110" t="s">
        <v>1709</v>
      </c>
      <c r="AZ235" s="110" t="s">
        <v>1733</v>
      </c>
      <c r="BA235" s="109" t="s">
        <v>1737</v>
      </c>
      <c r="BC235" s="100">
        <f t="shared" si="245"/>
        <v>0</v>
      </c>
      <c r="BD235" s="100">
        <f t="shared" si="246"/>
        <v>0</v>
      </c>
      <c r="BE235" s="100">
        <v>0</v>
      </c>
      <c r="BF235" s="100">
        <f>235</f>
        <v>235</v>
      </c>
      <c r="BH235" s="108">
        <f t="shared" si="247"/>
        <v>0</v>
      </c>
      <c r="BI235" s="108">
        <f t="shared" si="248"/>
        <v>0</v>
      </c>
      <c r="BJ235" s="108">
        <f t="shared" si="249"/>
        <v>0</v>
      </c>
    </row>
    <row r="236" spans="1:62" x14ac:dyDescent="0.2">
      <c r="A236" s="117" t="s">
        <v>200</v>
      </c>
      <c r="B236" s="117" t="s">
        <v>3124</v>
      </c>
      <c r="C236" s="304" t="s">
        <v>1315</v>
      </c>
      <c r="D236" s="305"/>
      <c r="E236" s="305"/>
      <c r="F236" s="117" t="s">
        <v>1644</v>
      </c>
      <c r="G236" s="116">
        <v>1</v>
      </c>
      <c r="H236" s="159"/>
      <c r="I236" s="108">
        <f t="shared" ref="I236:I267" si="250">G236*AO236</f>
        <v>0</v>
      </c>
      <c r="J236" s="108">
        <f t="shared" ref="J236:J267" si="251">G236*AP236</f>
        <v>0</v>
      </c>
      <c r="K236" s="108">
        <f t="shared" ref="K236:K267" si="252">G236*H236</f>
        <v>0</v>
      </c>
      <c r="L236" s="111"/>
      <c r="Z236" s="100">
        <f t="shared" ref="Z236:Z267" si="253">IF(AQ236="5",BJ236,0)</f>
        <v>0</v>
      </c>
      <c r="AB236" s="100">
        <f t="shared" ref="AB236:AB267" si="254">IF(AQ236="1",BH236,0)</f>
        <v>0</v>
      </c>
      <c r="AC236" s="100">
        <f t="shared" ref="AC236:AC267" si="255">IF(AQ236="1",BI236,0)</f>
        <v>0</v>
      </c>
      <c r="AD236" s="100">
        <f t="shared" ref="AD236:AD267" si="256">IF(AQ236="7",BH236,0)</f>
        <v>0</v>
      </c>
      <c r="AE236" s="100">
        <f t="shared" ref="AE236:AE267" si="257">IF(AQ236="7",BI236,0)</f>
        <v>0</v>
      </c>
      <c r="AF236" s="100">
        <f t="shared" ref="AF236:AF267" si="258">IF(AQ236="2",BH236,0)</f>
        <v>0</v>
      </c>
      <c r="AG236" s="100">
        <f t="shared" ref="AG236:AG267" si="259">IF(AQ236="2",BI236,0)</f>
        <v>0</v>
      </c>
      <c r="AH236" s="100">
        <f t="shared" ref="AH236:AH267" si="260">IF(AQ236="0",BJ236,0)</f>
        <v>0</v>
      </c>
      <c r="AI236" s="109"/>
      <c r="AJ236" s="108">
        <f t="shared" ref="AJ236:AJ267" si="261">IF(AN236=0,K236,0)</f>
        <v>0</v>
      </c>
      <c r="AK236" s="108">
        <f t="shared" ref="AK236:AK267" si="262">IF(AN236=15,K236,0)</f>
        <v>0</v>
      </c>
      <c r="AL236" s="108">
        <f t="shared" ref="AL236:AL267" si="263">IF(AN236=21,K236,0)</f>
        <v>0</v>
      </c>
      <c r="AN236" s="100">
        <v>15</v>
      </c>
      <c r="AO236" s="100">
        <f t="shared" ref="AO236:AO267" si="264">H236*0</f>
        <v>0</v>
      </c>
      <c r="AP236" s="100">
        <f t="shared" ref="AP236:AP267" si="265">H236*(1-0)</f>
        <v>0</v>
      </c>
      <c r="AQ236" s="111" t="s">
        <v>13</v>
      </c>
      <c r="AV236" s="100">
        <f t="shared" ref="AV236:AV267" si="266">AW236+AX236</f>
        <v>0</v>
      </c>
      <c r="AW236" s="100">
        <f t="shared" ref="AW236:AW267" si="267">G236*AO236</f>
        <v>0</v>
      </c>
      <c r="AX236" s="100">
        <f t="shared" ref="AX236:AX267" si="268">G236*AP236</f>
        <v>0</v>
      </c>
      <c r="AY236" s="110" t="s">
        <v>1709</v>
      </c>
      <c r="AZ236" s="110" t="s">
        <v>1733</v>
      </c>
      <c r="BA236" s="109" t="s">
        <v>1737</v>
      </c>
      <c r="BC236" s="100">
        <f t="shared" ref="BC236:BC267" si="269">AW236+AX236</f>
        <v>0</v>
      </c>
      <c r="BD236" s="100">
        <f t="shared" ref="BD236:BD267" si="270">H236/(100-BE236)*100</f>
        <v>0</v>
      </c>
      <c r="BE236" s="100">
        <v>0</v>
      </c>
      <c r="BF236" s="100">
        <f>236</f>
        <v>236</v>
      </c>
      <c r="BH236" s="108">
        <f t="shared" ref="BH236:BH267" si="271">G236*AO236</f>
        <v>0</v>
      </c>
      <c r="BI236" s="108">
        <f t="shared" ref="BI236:BI267" si="272">G236*AP236</f>
        <v>0</v>
      </c>
      <c r="BJ236" s="108">
        <f t="shared" ref="BJ236:BJ267" si="273">G236*H236</f>
        <v>0</v>
      </c>
    </row>
    <row r="237" spans="1:62" x14ac:dyDescent="0.2">
      <c r="A237" s="117" t="s">
        <v>201</v>
      </c>
      <c r="B237" s="117" t="s">
        <v>3123</v>
      </c>
      <c r="C237" s="304" t="s">
        <v>1316</v>
      </c>
      <c r="D237" s="305"/>
      <c r="E237" s="305"/>
      <c r="F237" s="117" t="s">
        <v>1644</v>
      </c>
      <c r="G237" s="116">
        <v>2</v>
      </c>
      <c r="H237" s="159"/>
      <c r="I237" s="108">
        <f t="shared" si="250"/>
        <v>0</v>
      </c>
      <c r="J237" s="108">
        <f t="shared" si="251"/>
        <v>0</v>
      </c>
      <c r="K237" s="108">
        <f t="shared" si="252"/>
        <v>0</v>
      </c>
      <c r="L237" s="111"/>
      <c r="Z237" s="100">
        <f t="shared" si="253"/>
        <v>0</v>
      </c>
      <c r="AB237" s="100">
        <f t="shared" si="254"/>
        <v>0</v>
      </c>
      <c r="AC237" s="100">
        <f t="shared" si="255"/>
        <v>0</v>
      </c>
      <c r="AD237" s="100">
        <f t="shared" si="256"/>
        <v>0</v>
      </c>
      <c r="AE237" s="100">
        <f t="shared" si="257"/>
        <v>0</v>
      </c>
      <c r="AF237" s="100">
        <f t="shared" si="258"/>
        <v>0</v>
      </c>
      <c r="AG237" s="100">
        <f t="shared" si="259"/>
        <v>0</v>
      </c>
      <c r="AH237" s="100">
        <f t="shared" si="260"/>
        <v>0</v>
      </c>
      <c r="AI237" s="109"/>
      <c r="AJ237" s="108">
        <f t="shared" si="261"/>
        <v>0</v>
      </c>
      <c r="AK237" s="108">
        <f t="shared" si="262"/>
        <v>0</v>
      </c>
      <c r="AL237" s="108">
        <f t="shared" si="263"/>
        <v>0</v>
      </c>
      <c r="AN237" s="100">
        <v>15</v>
      </c>
      <c r="AO237" s="100">
        <f t="shared" si="264"/>
        <v>0</v>
      </c>
      <c r="AP237" s="100">
        <f t="shared" si="265"/>
        <v>0</v>
      </c>
      <c r="AQ237" s="111" t="s">
        <v>13</v>
      </c>
      <c r="AV237" s="100">
        <f t="shared" si="266"/>
        <v>0</v>
      </c>
      <c r="AW237" s="100">
        <f t="shared" si="267"/>
        <v>0</v>
      </c>
      <c r="AX237" s="100">
        <f t="shared" si="268"/>
        <v>0</v>
      </c>
      <c r="AY237" s="110" t="s">
        <v>1709</v>
      </c>
      <c r="AZ237" s="110" t="s">
        <v>1733</v>
      </c>
      <c r="BA237" s="109" t="s">
        <v>1737</v>
      </c>
      <c r="BC237" s="100">
        <f t="shared" si="269"/>
        <v>0</v>
      </c>
      <c r="BD237" s="100">
        <f t="shared" si="270"/>
        <v>0</v>
      </c>
      <c r="BE237" s="100">
        <v>0</v>
      </c>
      <c r="BF237" s="100">
        <f>237</f>
        <v>237</v>
      </c>
      <c r="BH237" s="108">
        <f t="shared" si="271"/>
        <v>0</v>
      </c>
      <c r="BI237" s="108">
        <f t="shared" si="272"/>
        <v>0</v>
      </c>
      <c r="BJ237" s="108">
        <f t="shared" si="273"/>
        <v>0</v>
      </c>
    </row>
    <row r="238" spans="1:62" x14ac:dyDescent="0.2">
      <c r="A238" s="117" t="s">
        <v>202</v>
      </c>
      <c r="B238" s="117" t="s">
        <v>3122</v>
      </c>
      <c r="C238" s="304" t="s">
        <v>1317</v>
      </c>
      <c r="D238" s="305"/>
      <c r="E238" s="305"/>
      <c r="F238" s="117" t="s">
        <v>1644</v>
      </c>
      <c r="G238" s="116">
        <v>1</v>
      </c>
      <c r="H238" s="159"/>
      <c r="I238" s="108">
        <f t="shared" si="250"/>
        <v>0</v>
      </c>
      <c r="J238" s="108">
        <f t="shared" si="251"/>
        <v>0</v>
      </c>
      <c r="K238" s="108">
        <f t="shared" si="252"/>
        <v>0</v>
      </c>
      <c r="L238" s="111"/>
      <c r="Z238" s="100">
        <f t="shared" si="253"/>
        <v>0</v>
      </c>
      <c r="AB238" s="100">
        <f t="shared" si="254"/>
        <v>0</v>
      </c>
      <c r="AC238" s="100">
        <f t="shared" si="255"/>
        <v>0</v>
      </c>
      <c r="AD238" s="100">
        <f t="shared" si="256"/>
        <v>0</v>
      </c>
      <c r="AE238" s="100">
        <f t="shared" si="257"/>
        <v>0</v>
      </c>
      <c r="AF238" s="100">
        <f t="shared" si="258"/>
        <v>0</v>
      </c>
      <c r="AG238" s="100">
        <f t="shared" si="259"/>
        <v>0</v>
      </c>
      <c r="AH238" s="100">
        <f t="shared" si="260"/>
        <v>0</v>
      </c>
      <c r="AI238" s="109"/>
      <c r="AJ238" s="108">
        <f t="shared" si="261"/>
        <v>0</v>
      </c>
      <c r="AK238" s="108">
        <f t="shared" si="262"/>
        <v>0</v>
      </c>
      <c r="AL238" s="108">
        <f t="shared" si="263"/>
        <v>0</v>
      </c>
      <c r="AN238" s="100">
        <v>15</v>
      </c>
      <c r="AO238" s="100">
        <f t="shared" si="264"/>
        <v>0</v>
      </c>
      <c r="AP238" s="100">
        <f t="shared" si="265"/>
        <v>0</v>
      </c>
      <c r="AQ238" s="111" t="s">
        <v>13</v>
      </c>
      <c r="AV238" s="100">
        <f t="shared" si="266"/>
        <v>0</v>
      </c>
      <c r="AW238" s="100">
        <f t="shared" si="267"/>
        <v>0</v>
      </c>
      <c r="AX238" s="100">
        <f t="shared" si="268"/>
        <v>0</v>
      </c>
      <c r="AY238" s="110" t="s">
        <v>1709</v>
      </c>
      <c r="AZ238" s="110" t="s">
        <v>1733</v>
      </c>
      <c r="BA238" s="109" t="s">
        <v>1737</v>
      </c>
      <c r="BC238" s="100">
        <f t="shared" si="269"/>
        <v>0</v>
      </c>
      <c r="BD238" s="100">
        <f t="shared" si="270"/>
        <v>0</v>
      </c>
      <c r="BE238" s="100">
        <v>0</v>
      </c>
      <c r="BF238" s="100">
        <f>238</f>
        <v>238</v>
      </c>
      <c r="BH238" s="108">
        <f t="shared" si="271"/>
        <v>0</v>
      </c>
      <c r="BI238" s="108">
        <f t="shared" si="272"/>
        <v>0</v>
      </c>
      <c r="BJ238" s="108">
        <f t="shared" si="273"/>
        <v>0</v>
      </c>
    </row>
    <row r="239" spans="1:62" x14ac:dyDescent="0.2">
      <c r="A239" s="117" t="s">
        <v>203</v>
      </c>
      <c r="B239" s="117" t="s">
        <v>3121</v>
      </c>
      <c r="C239" s="304" t="s">
        <v>1318</v>
      </c>
      <c r="D239" s="305"/>
      <c r="E239" s="305"/>
      <c r="F239" s="117" t="s">
        <v>1644</v>
      </c>
      <c r="G239" s="116">
        <v>2</v>
      </c>
      <c r="H239" s="159"/>
      <c r="I239" s="108">
        <f t="shared" si="250"/>
        <v>0</v>
      </c>
      <c r="J239" s="108">
        <f t="shared" si="251"/>
        <v>0</v>
      </c>
      <c r="K239" s="108">
        <f t="shared" si="252"/>
        <v>0</v>
      </c>
      <c r="L239" s="111"/>
      <c r="Z239" s="100">
        <f t="shared" si="253"/>
        <v>0</v>
      </c>
      <c r="AB239" s="100">
        <f t="shared" si="254"/>
        <v>0</v>
      </c>
      <c r="AC239" s="100">
        <f t="shared" si="255"/>
        <v>0</v>
      </c>
      <c r="AD239" s="100">
        <f t="shared" si="256"/>
        <v>0</v>
      </c>
      <c r="AE239" s="100">
        <f t="shared" si="257"/>
        <v>0</v>
      </c>
      <c r="AF239" s="100">
        <f t="shared" si="258"/>
        <v>0</v>
      </c>
      <c r="AG239" s="100">
        <f t="shared" si="259"/>
        <v>0</v>
      </c>
      <c r="AH239" s="100">
        <f t="shared" si="260"/>
        <v>0</v>
      </c>
      <c r="AI239" s="109"/>
      <c r="AJ239" s="108">
        <f t="shared" si="261"/>
        <v>0</v>
      </c>
      <c r="AK239" s="108">
        <f t="shared" si="262"/>
        <v>0</v>
      </c>
      <c r="AL239" s="108">
        <f t="shared" si="263"/>
        <v>0</v>
      </c>
      <c r="AN239" s="100">
        <v>15</v>
      </c>
      <c r="AO239" s="100">
        <f t="shared" si="264"/>
        <v>0</v>
      </c>
      <c r="AP239" s="100">
        <f t="shared" si="265"/>
        <v>0</v>
      </c>
      <c r="AQ239" s="111" t="s">
        <v>13</v>
      </c>
      <c r="AV239" s="100">
        <f t="shared" si="266"/>
        <v>0</v>
      </c>
      <c r="AW239" s="100">
        <f t="shared" si="267"/>
        <v>0</v>
      </c>
      <c r="AX239" s="100">
        <f t="shared" si="268"/>
        <v>0</v>
      </c>
      <c r="AY239" s="110" t="s">
        <v>1709</v>
      </c>
      <c r="AZ239" s="110" t="s">
        <v>1733</v>
      </c>
      <c r="BA239" s="109" t="s">
        <v>1737</v>
      </c>
      <c r="BC239" s="100">
        <f t="shared" si="269"/>
        <v>0</v>
      </c>
      <c r="BD239" s="100">
        <f t="shared" si="270"/>
        <v>0</v>
      </c>
      <c r="BE239" s="100">
        <v>0</v>
      </c>
      <c r="BF239" s="100">
        <f>239</f>
        <v>239</v>
      </c>
      <c r="BH239" s="108">
        <f t="shared" si="271"/>
        <v>0</v>
      </c>
      <c r="BI239" s="108">
        <f t="shared" si="272"/>
        <v>0</v>
      </c>
      <c r="BJ239" s="108">
        <f t="shared" si="273"/>
        <v>0</v>
      </c>
    </row>
    <row r="240" spans="1:62" x14ac:dyDescent="0.2">
      <c r="A240" s="117" t="s">
        <v>204</v>
      </c>
      <c r="B240" s="117" t="s">
        <v>3120</v>
      </c>
      <c r="C240" s="304" t="s">
        <v>1319</v>
      </c>
      <c r="D240" s="305"/>
      <c r="E240" s="305"/>
      <c r="F240" s="117" t="s">
        <v>1644</v>
      </c>
      <c r="G240" s="116">
        <v>6</v>
      </c>
      <c r="H240" s="159"/>
      <c r="I240" s="108">
        <f t="shared" si="250"/>
        <v>0</v>
      </c>
      <c r="J240" s="108">
        <f t="shared" si="251"/>
        <v>0</v>
      </c>
      <c r="K240" s="108">
        <f t="shared" si="252"/>
        <v>0</v>
      </c>
      <c r="L240" s="111"/>
      <c r="Z240" s="100">
        <f t="shared" si="253"/>
        <v>0</v>
      </c>
      <c r="AB240" s="100">
        <f t="shared" si="254"/>
        <v>0</v>
      </c>
      <c r="AC240" s="100">
        <f t="shared" si="255"/>
        <v>0</v>
      </c>
      <c r="AD240" s="100">
        <f t="shared" si="256"/>
        <v>0</v>
      </c>
      <c r="AE240" s="100">
        <f t="shared" si="257"/>
        <v>0</v>
      </c>
      <c r="AF240" s="100">
        <f t="shared" si="258"/>
        <v>0</v>
      </c>
      <c r="AG240" s="100">
        <f t="shared" si="259"/>
        <v>0</v>
      </c>
      <c r="AH240" s="100">
        <f t="shared" si="260"/>
        <v>0</v>
      </c>
      <c r="AI240" s="109"/>
      <c r="AJ240" s="108">
        <f t="shared" si="261"/>
        <v>0</v>
      </c>
      <c r="AK240" s="108">
        <f t="shared" si="262"/>
        <v>0</v>
      </c>
      <c r="AL240" s="108">
        <f t="shared" si="263"/>
        <v>0</v>
      </c>
      <c r="AN240" s="100">
        <v>15</v>
      </c>
      <c r="AO240" s="100">
        <f t="shared" si="264"/>
        <v>0</v>
      </c>
      <c r="AP240" s="100">
        <f t="shared" si="265"/>
        <v>0</v>
      </c>
      <c r="AQ240" s="111" t="s">
        <v>13</v>
      </c>
      <c r="AV240" s="100">
        <f t="shared" si="266"/>
        <v>0</v>
      </c>
      <c r="AW240" s="100">
        <f t="shared" si="267"/>
        <v>0</v>
      </c>
      <c r="AX240" s="100">
        <f t="shared" si="268"/>
        <v>0</v>
      </c>
      <c r="AY240" s="110" t="s">
        <v>1709</v>
      </c>
      <c r="AZ240" s="110" t="s">
        <v>1733</v>
      </c>
      <c r="BA240" s="109" t="s">
        <v>1737</v>
      </c>
      <c r="BC240" s="100">
        <f t="shared" si="269"/>
        <v>0</v>
      </c>
      <c r="BD240" s="100">
        <f t="shared" si="270"/>
        <v>0</v>
      </c>
      <c r="BE240" s="100">
        <v>0</v>
      </c>
      <c r="BF240" s="100">
        <f>240</f>
        <v>240</v>
      </c>
      <c r="BH240" s="108">
        <f t="shared" si="271"/>
        <v>0</v>
      </c>
      <c r="BI240" s="108">
        <f t="shared" si="272"/>
        <v>0</v>
      </c>
      <c r="BJ240" s="108">
        <f t="shared" si="273"/>
        <v>0</v>
      </c>
    </row>
    <row r="241" spans="1:62" x14ac:dyDescent="0.2">
      <c r="A241" s="117" t="s">
        <v>205</v>
      </c>
      <c r="B241" s="117" t="s">
        <v>3119</v>
      </c>
      <c r="C241" s="304" t="s">
        <v>1320</v>
      </c>
      <c r="D241" s="305"/>
      <c r="E241" s="305"/>
      <c r="F241" s="117" t="s">
        <v>1644</v>
      </c>
      <c r="G241" s="116">
        <v>14</v>
      </c>
      <c r="H241" s="159"/>
      <c r="I241" s="108">
        <f t="shared" si="250"/>
        <v>0</v>
      </c>
      <c r="J241" s="108">
        <f t="shared" si="251"/>
        <v>0</v>
      </c>
      <c r="K241" s="108">
        <f t="shared" si="252"/>
        <v>0</v>
      </c>
      <c r="L241" s="111"/>
      <c r="Z241" s="100">
        <f t="shared" si="253"/>
        <v>0</v>
      </c>
      <c r="AB241" s="100">
        <f t="shared" si="254"/>
        <v>0</v>
      </c>
      <c r="AC241" s="100">
        <f t="shared" si="255"/>
        <v>0</v>
      </c>
      <c r="AD241" s="100">
        <f t="shared" si="256"/>
        <v>0</v>
      </c>
      <c r="AE241" s="100">
        <f t="shared" si="257"/>
        <v>0</v>
      </c>
      <c r="AF241" s="100">
        <f t="shared" si="258"/>
        <v>0</v>
      </c>
      <c r="AG241" s="100">
        <f t="shared" si="259"/>
        <v>0</v>
      </c>
      <c r="AH241" s="100">
        <f t="shared" si="260"/>
        <v>0</v>
      </c>
      <c r="AI241" s="109"/>
      <c r="AJ241" s="108">
        <f t="shared" si="261"/>
        <v>0</v>
      </c>
      <c r="AK241" s="108">
        <f t="shared" si="262"/>
        <v>0</v>
      </c>
      <c r="AL241" s="108">
        <f t="shared" si="263"/>
        <v>0</v>
      </c>
      <c r="AN241" s="100">
        <v>15</v>
      </c>
      <c r="AO241" s="100">
        <f t="shared" si="264"/>
        <v>0</v>
      </c>
      <c r="AP241" s="100">
        <f t="shared" si="265"/>
        <v>0</v>
      </c>
      <c r="AQ241" s="111" t="s">
        <v>13</v>
      </c>
      <c r="AV241" s="100">
        <f t="shared" si="266"/>
        <v>0</v>
      </c>
      <c r="AW241" s="100">
        <f t="shared" si="267"/>
        <v>0</v>
      </c>
      <c r="AX241" s="100">
        <f t="shared" si="268"/>
        <v>0</v>
      </c>
      <c r="AY241" s="110" t="s">
        <v>1709</v>
      </c>
      <c r="AZ241" s="110" t="s">
        <v>1733</v>
      </c>
      <c r="BA241" s="109" t="s">
        <v>1737</v>
      </c>
      <c r="BC241" s="100">
        <f t="shared" si="269"/>
        <v>0</v>
      </c>
      <c r="BD241" s="100">
        <f t="shared" si="270"/>
        <v>0</v>
      </c>
      <c r="BE241" s="100">
        <v>0</v>
      </c>
      <c r="BF241" s="100">
        <f>241</f>
        <v>241</v>
      </c>
      <c r="BH241" s="108">
        <f t="shared" si="271"/>
        <v>0</v>
      </c>
      <c r="BI241" s="108">
        <f t="shared" si="272"/>
        <v>0</v>
      </c>
      <c r="BJ241" s="108">
        <f t="shared" si="273"/>
        <v>0</v>
      </c>
    </row>
    <row r="242" spans="1:62" x14ac:dyDescent="0.2">
      <c r="A242" s="117" t="s">
        <v>206</v>
      </c>
      <c r="B242" s="117" t="s">
        <v>3118</v>
      </c>
      <c r="C242" s="304" t="s">
        <v>1321</v>
      </c>
      <c r="D242" s="305"/>
      <c r="E242" s="305"/>
      <c r="F242" s="117" t="s">
        <v>1644</v>
      </c>
      <c r="G242" s="116">
        <v>1</v>
      </c>
      <c r="H242" s="159"/>
      <c r="I242" s="108">
        <f t="shared" si="250"/>
        <v>0</v>
      </c>
      <c r="J242" s="108">
        <f t="shared" si="251"/>
        <v>0</v>
      </c>
      <c r="K242" s="108">
        <f t="shared" si="252"/>
        <v>0</v>
      </c>
      <c r="L242" s="111"/>
      <c r="Z242" s="100">
        <f t="shared" si="253"/>
        <v>0</v>
      </c>
      <c r="AB242" s="100">
        <f t="shared" si="254"/>
        <v>0</v>
      </c>
      <c r="AC242" s="100">
        <f t="shared" si="255"/>
        <v>0</v>
      </c>
      <c r="AD242" s="100">
        <f t="shared" si="256"/>
        <v>0</v>
      </c>
      <c r="AE242" s="100">
        <f t="shared" si="257"/>
        <v>0</v>
      </c>
      <c r="AF242" s="100">
        <f t="shared" si="258"/>
        <v>0</v>
      </c>
      <c r="AG242" s="100">
        <f t="shared" si="259"/>
        <v>0</v>
      </c>
      <c r="AH242" s="100">
        <f t="shared" si="260"/>
        <v>0</v>
      </c>
      <c r="AI242" s="109"/>
      <c r="AJ242" s="108">
        <f t="shared" si="261"/>
        <v>0</v>
      </c>
      <c r="AK242" s="108">
        <f t="shared" si="262"/>
        <v>0</v>
      </c>
      <c r="AL242" s="108">
        <f t="shared" si="263"/>
        <v>0</v>
      </c>
      <c r="AN242" s="100">
        <v>15</v>
      </c>
      <c r="AO242" s="100">
        <f t="shared" si="264"/>
        <v>0</v>
      </c>
      <c r="AP242" s="100">
        <f t="shared" si="265"/>
        <v>0</v>
      </c>
      <c r="AQ242" s="111" t="s">
        <v>13</v>
      </c>
      <c r="AV242" s="100">
        <f t="shared" si="266"/>
        <v>0</v>
      </c>
      <c r="AW242" s="100">
        <f t="shared" si="267"/>
        <v>0</v>
      </c>
      <c r="AX242" s="100">
        <f t="shared" si="268"/>
        <v>0</v>
      </c>
      <c r="AY242" s="110" t="s">
        <v>1709</v>
      </c>
      <c r="AZ242" s="110" t="s">
        <v>1733</v>
      </c>
      <c r="BA242" s="109" t="s">
        <v>1737</v>
      </c>
      <c r="BC242" s="100">
        <f t="shared" si="269"/>
        <v>0</v>
      </c>
      <c r="BD242" s="100">
        <f t="shared" si="270"/>
        <v>0</v>
      </c>
      <c r="BE242" s="100">
        <v>0</v>
      </c>
      <c r="BF242" s="100">
        <f>242</f>
        <v>242</v>
      </c>
      <c r="BH242" s="108">
        <f t="shared" si="271"/>
        <v>0</v>
      </c>
      <c r="BI242" s="108">
        <f t="shared" si="272"/>
        <v>0</v>
      </c>
      <c r="BJ242" s="108">
        <f t="shared" si="273"/>
        <v>0</v>
      </c>
    </row>
    <row r="243" spans="1:62" x14ac:dyDescent="0.2">
      <c r="A243" s="117" t="s">
        <v>207</v>
      </c>
      <c r="B243" s="117" t="s">
        <v>3117</v>
      </c>
      <c r="C243" s="304" t="s">
        <v>1322</v>
      </c>
      <c r="D243" s="305"/>
      <c r="E243" s="305"/>
      <c r="F243" s="117" t="s">
        <v>1644</v>
      </c>
      <c r="G243" s="116">
        <v>2</v>
      </c>
      <c r="H243" s="159"/>
      <c r="I243" s="108">
        <f t="shared" si="250"/>
        <v>0</v>
      </c>
      <c r="J243" s="108">
        <f t="shared" si="251"/>
        <v>0</v>
      </c>
      <c r="K243" s="108">
        <f t="shared" si="252"/>
        <v>0</v>
      </c>
      <c r="L243" s="111"/>
      <c r="Z243" s="100">
        <f t="shared" si="253"/>
        <v>0</v>
      </c>
      <c r="AB243" s="100">
        <f t="shared" si="254"/>
        <v>0</v>
      </c>
      <c r="AC243" s="100">
        <f t="shared" si="255"/>
        <v>0</v>
      </c>
      <c r="AD243" s="100">
        <f t="shared" si="256"/>
        <v>0</v>
      </c>
      <c r="AE243" s="100">
        <f t="shared" si="257"/>
        <v>0</v>
      </c>
      <c r="AF243" s="100">
        <f t="shared" si="258"/>
        <v>0</v>
      </c>
      <c r="AG243" s="100">
        <f t="shared" si="259"/>
        <v>0</v>
      </c>
      <c r="AH243" s="100">
        <f t="shared" si="260"/>
        <v>0</v>
      </c>
      <c r="AI243" s="109"/>
      <c r="AJ243" s="108">
        <f t="shared" si="261"/>
        <v>0</v>
      </c>
      <c r="AK243" s="108">
        <f t="shared" si="262"/>
        <v>0</v>
      </c>
      <c r="AL243" s="108">
        <f t="shared" si="263"/>
        <v>0</v>
      </c>
      <c r="AN243" s="100">
        <v>15</v>
      </c>
      <c r="AO243" s="100">
        <f t="shared" si="264"/>
        <v>0</v>
      </c>
      <c r="AP243" s="100">
        <f t="shared" si="265"/>
        <v>0</v>
      </c>
      <c r="AQ243" s="111" t="s">
        <v>13</v>
      </c>
      <c r="AV243" s="100">
        <f t="shared" si="266"/>
        <v>0</v>
      </c>
      <c r="AW243" s="100">
        <f t="shared" si="267"/>
        <v>0</v>
      </c>
      <c r="AX243" s="100">
        <f t="shared" si="268"/>
        <v>0</v>
      </c>
      <c r="AY243" s="110" t="s">
        <v>1709</v>
      </c>
      <c r="AZ243" s="110" t="s">
        <v>1733</v>
      </c>
      <c r="BA243" s="109" t="s">
        <v>1737</v>
      </c>
      <c r="BC243" s="100">
        <f t="shared" si="269"/>
        <v>0</v>
      </c>
      <c r="BD243" s="100">
        <f t="shared" si="270"/>
        <v>0</v>
      </c>
      <c r="BE243" s="100">
        <v>0</v>
      </c>
      <c r="BF243" s="100">
        <f>243</f>
        <v>243</v>
      </c>
      <c r="BH243" s="108">
        <f t="shared" si="271"/>
        <v>0</v>
      </c>
      <c r="BI243" s="108">
        <f t="shared" si="272"/>
        <v>0</v>
      </c>
      <c r="BJ243" s="108">
        <f t="shared" si="273"/>
        <v>0</v>
      </c>
    </row>
    <row r="244" spans="1:62" x14ac:dyDescent="0.2">
      <c r="A244" s="117" t="s">
        <v>208</v>
      </c>
      <c r="B244" s="117" t="s">
        <v>3116</v>
      </c>
      <c r="C244" s="304" t="s">
        <v>1323</v>
      </c>
      <c r="D244" s="305"/>
      <c r="E244" s="305"/>
      <c r="F244" s="117" t="s">
        <v>1644</v>
      </c>
      <c r="G244" s="116">
        <v>1</v>
      </c>
      <c r="H244" s="159"/>
      <c r="I244" s="108">
        <f t="shared" si="250"/>
        <v>0</v>
      </c>
      <c r="J244" s="108">
        <f t="shared" si="251"/>
        <v>0</v>
      </c>
      <c r="K244" s="108">
        <f t="shared" si="252"/>
        <v>0</v>
      </c>
      <c r="L244" s="111"/>
      <c r="Z244" s="100">
        <f t="shared" si="253"/>
        <v>0</v>
      </c>
      <c r="AB244" s="100">
        <f t="shared" si="254"/>
        <v>0</v>
      </c>
      <c r="AC244" s="100">
        <f t="shared" si="255"/>
        <v>0</v>
      </c>
      <c r="AD244" s="100">
        <f t="shared" si="256"/>
        <v>0</v>
      </c>
      <c r="AE244" s="100">
        <f t="shared" si="257"/>
        <v>0</v>
      </c>
      <c r="AF244" s="100">
        <f t="shared" si="258"/>
        <v>0</v>
      </c>
      <c r="AG244" s="100">
        <f t="shared" si="259"/>
        <v>0</v>
      </c>
      <c r="AH244" s="100">
        <f t="shared" si="260"/>
        <v>0</v>
      </c>
      <c r="AI244" s="109"/>
      <c r="AJ244" s="108">
        <f t="shared" si="261"/>
        <v>0</v>
      </c>
      <c r="AK244" s="108">
        <f t="shared" si="262"/>
        <v>0</v>
      </c>
      <c r="AL244" s="108">
        <f t="shared" si="263"/>
        <v>0</v>
      </c>
      <c r="AN244" s="100">
        <v>15</v>
      </c>
      <c r="AO244" s="100">
        <f t="shared" si="264"/>
        <v>0</v>
      </c>
      <c r="AP244" s="100">
        <f t="shared" si="265"/>
        <v>0</v>
      </c>
      <c r="AQ244" s="111" t="s">
        <v>13</v>
      </c>
      <c r="AV244" s="100">
        <f t="shared" si="266"/>
        <v>0</v>
      </c>
      <c r="AW244" s="100">
        <f t="shared" si="267"/>
        <v>0</v>
      </c>
      <c r="AX244" s="100">
        <f t="shared" si="268"/>
        <v>0</v>
      </c>
      <c r="AY244" s="110" t="s">
        <v>1709</v>
      </c>
      <c r="AZ244" s="110" t="s">
        <v>1733</v>
      </c>
      <c r="BA244" s="109" t="s">
        <v>1737</v>
      </c>
      <c r="BC244" s="100">
        <f t="shared" si="269"/>
        <v>0</v>
      </c>
      <c r="BD244" s="100">
        <f t="shared" si="270"/>
        <v>0</v>
      </c>
      <c r="BE244" s="100">
        <v>0</v>
      </c>
      <c r="BF244" s="100">
        <f>244</f>
        <v>244</v>
      </c>
      <c r="BH244" s="108">
        <f t="shared" si="271"/>
        <v>0</v>
      </c>
      <c r="BI244" s="108">
        <f t="shared" si="272"/>
        <v>0</v>
      </c>
      <c r="BJ244" s="108">
        <f t="shared" si="273"/>
        <v>0</v>
      </c>
    </row>
    <row r="245" spans="1:62" x14ac:dyDescent="0.2">
      <c r="A245" s="117" t="s">
        <v>209</v>
      </c>
      <c r="B245" s="117" t="s">
        <v>3115</v>
      </c>
      <c r="C245" s="304" t="s">
        <v>1324</v>
      </c>
      <c r="D245" s="305"/>
      <c r="E245" s="305"/>
      <c r="F245" s="117" t="s">
        <v>1644</v>
      </c>
      <c r="G245" s="116">
        <v>2</v>
      </c>
      <c r="H245" s="159"/>
      <c r="I245" s="108">
        <f t="shared" si="250"/>
        <v>0</v>
      </c>
      <c r="J245" s="108">
        <f t="shared" si="251"/>
        <v>0</v>
      </c>
      <c r="K245" s="108">
        <f t="shared" si="252"/>
        <v>0</v>
      </c>
      <c r="L245" s="111"/>
      <c r="Z245" s="100">
        <f t="shared" si="253"/>
        <v>0</v>
      </c>
      <c r="AB245" s="100">
        <f t="shared" si="254"/>
        <v>0</v>
      </c>
      <c r="AC245" s="100">
        <f t="shared" si="255"/>
        <v>0</v>
      </c>
      <c r="AD245" s="100">
        <f t="shared" si="256"/>
        <v>0</v>
      </c>
      <c r="AE245" s="100">
        <f t="shared" si="257"/>
        <v>0</v>
      </c>
      <c r="AF245" s="100">
        <f t="shared" si="258"/>
        <v>0</v>
      </c>
      <c r="AG245" s="100">
        <f t="shared" si="259"/>
        <v>0</v>
      </c>
      <c r="AH245" s="100">
        <f t="shared" si="260"/>
        <v>0</v>
      </c>
      <c r="AI245" s="109"/>
      <c r="AJ245" s="108">
        <f t="shared" si="261"/>
        <v>0</v>
      </c>
      <c r="AK245" s="108">
        <f t="shared" si="262"/>
        <v>0</v>
      </c>
      <c r="AL245" s="108">
        <f t="shared" si="263"/>
        <v>0</v>
      </c>
      <c r="AN245" s="100">
        <v>15</v>
      </c>
      <c r="AO245" s="100">
        <f t="shared" si="264"/>
        <v>0</v>
      </c>
      <c r="AP245" s="100">
        <f t="shared" si="265"/>
        <v>0</v>
      </c>
      <c r="AQ245" s="111" t="s">
        <v>13</v>
      </c>
      <c r="AV245" s="100">
        <f t="shared" si="266"/>
        <v>0</v>
      </c>
      <c r="AW245" s="100">
        <f t="shared" si="267"/>
        <v>0</v>
      </c>
      <c r="AX245" s="100">
        <f t="shared" si="268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269"/>
        <v>0</v>
      </c>
      <c r="BD245" s="100">
        <f t="shared" si="270"/>
        <v>0</v>
      </c>
      <c r="BE245" s="100">
        <v>0</v>
      </c>
      <c r="BF245" s="100">
        <f>245</f>
        <v>245</v>
      </c>
      <c r="BH245" s="108">
        <f t="shared" si="271"/>
        <v>0</v>
      </c>
      <c r="BI245" s="108">
        <f t="shared" si="272"/>
        <v>0</v>
      </c>
      <c r="BJ245" s="108">
        <f t="shared" si="273"/>
        <v>0</v>
      </c>
    </row>
    <row r="246" spans="1:62" x14ac:dyDescent="0.2">
      <c r="A246" s="117" t="s">
        <v>210</v>
      </c>
      <c r="B246" s="117" t="s">
        <v>3114</v>
      </c>
      <c r="C246" s="304" t="s">
        <v>1325</v>
      </c>
      <c r="D246" s="305"/>
      <c r="E246" s="305"/>
      <c r="F246" s="117" t="s">
        <v>1644</v>
      </c>
      <c r="G246" s="116">
        <v>1</v>
      </c>
      <c r="H246" s="159"/>
      <c r="I246" s="108">
        <f t="shared" si="250"/>
        <v>0</v>
      </c>
      <c r="J246" s="108">
        <f t="shared" si="251"/>
        <v>0</v>
      </c>
      <c r="K246" s="108">
        <f t="shared" si="252"/>
        <v>0</v>
      </c>
      <c r="L246" s="111"/>
      <c r="Z246" s="100">
        <f t="shared" si="253"/>
        <v>0</v>
      </c>
      <c r="AB246" s="100">
        <f t="shared" si="254"/>
        <v>0</v>
      </c>
      <c r="AC246" s="100">
        <f t="shared" si="255"/>
        <v>0</v>
      </c>
      <c r="AD246" s="100">
        <f t="shared" si="256"/>
        <v>0</v>
      </c>
      <c r="AE246" s="100">
        <f t="shared" si="257"/>
        <v>0</v>
      </c>
      <c r="AF246" s="100">
        <f t="shared" si="258"/>
        <v>0</v>
      </c>
      <c r="AG246" s="100">
        <f t="shared" si="259"/>
        <v>0</v>
      </c>
      <c r="AH246" s="100">
        <f t="shared" si="260"/>
        <v>0</v>
      </c>
      <c r="AI246" s="109"/>
      <c r="AJ246" s="108">
        <f t="shared" si="261"/>
        <v>0</v>
      </c>
      <c r="AK246" s="108">
        <f t="shared" si="262"/>
        <v>0</v>
      </c>
      <c r="AL246" s="108">
        <f t="shared" si="263"/>
        <v>0</v>
      </c>
      <c r="AN246" s="100">
        <v>15</v>
      </c>
      <c r="AO246" s="100">
        <f t="shared" si="264"/>
        <v>0</v>
      </c>
      <c r="AP246" s="100">
        <f t="shared" si="265"/>
        <v>0</v>
      </c>
      <c r="AQ246" s="111" t="s">
        <v>13</v>
      </c>
      <c r="AV246" s="100">
        <f t="shared" si="266"/>
        <v>0</v>
      </c>
      <c r="AW246" s="100">
        <f t="shared" si="267"/>
        <v>0</v>
      </c>
      <c r="AX246" s="100">
        <f t="shared" si="268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269"/>
        <v>0</v>
      </c>
      <c r="BD246" s="100">
        <f t="shared" si="270"/>
        <v>0</v>
      </c>
      <c r="BE246" s="100">
        <v>0</v>
      </c>
      <c r="BF246" s="100">
        <f>246</f>
        <v>246</v>
      </c>
      <c r="BH246" s="108">
        <f t="shared" si="271"/>
        <v>0</v>
      </c>
      <c r="BI246" s="108">
        <f t="shared" si="272"/>
        <v>0</v>
      </c>
      <c r="BJ246" s="108">
        <f t="shared" si="273"/>
        <v>0</v>
      </c>
    </row>
    <row r="247" spans="1:62" x14ac:dyDescent="0.2">
      <c r="A247" s="117" t="s">
        <v>211</v>
      </c>
      <c r="B247" s="117" t="s">
        <v>3113</v>
      </c>
      <c r="C247" s="304" t="s">
        <v>1297</v>
      </c>
      <c r="D247" s="305"/>
      <c r="E247" s="305"/>
      <c r="F247" s="117" t="s">
        <v>1644</v>
      </c>
      <c r="G247" s="116">
        <v>8</v>
      </c>
      <c r="H247" s="159"/>
      <c r="I247" s="108">
        <f t="shared" si="250"/>
        <v>0</v>
      </c>
      <c r="J247" s="108">
        <f t="shared" si="251"/>
        <v>0</v>
      </c>
      <c r="K247" s="108">
        <f t="shared" si="252"/>
        <v>0</v>
      </c>
      <c r="L247" s="111"/>
      <c r="Z247" s="100">
        <f t="shared" si="253"/>
        <v>0</v>
      </c>
      <c r="AB247" s="100">
        <f t="shared" si="254"/>
        <v>0</v>
      </c>
      <c r="AC247" s="100">
        <f t="shared" si="255"/>
        <v>0</v>
      </c>
      <c r="AD247" s="100">
        <f t="shared" si="256"/>
        <v>0</v>
      </c>
      <c r="AE247" s="100">
        <f t="shared" si="257"/>
        <v>0</v>
      </c>
      <c r="AF247" s="100">
        <f t="shared" si="258"/>
        <v>0</v>
      </c>
      <c r="AG247" s="100">
        <f t="shared" si="259"/>
        <v>0</v>
      </c>
      <c r="AH247" s="100">
        <f t="shared" si="260"/>
        <v>0</v>
      </c>
      <c r="AI247" s="109"/>
      <c r="AJ247" s="108">
        <f t="shared" si="261"/>
        <v>0</v>
      </c>
      <c r="AK247" s="108">
        <f t="shared" si="262"/>
        <v>0</v>
      </c>
      <c r="AL247" s="108">
        <f t="shared" si="263"/>
        <v>0</v>
      </c>
      <c r="AN247" s="100">
        <v>15</v>
      </c>
      <c r="AO247" s="100">
        <f t="shared" si="264"/>
        <v>0</v>
      </c>
      <c r="AP247" s="100">
        <f t="shared" si="265"/>
        <v>0</v>
      </c>
      <c r="AQ247" s="111" t="s">
        <v>13</v>
      </c>
      <c r="AV247" s="100">
        <f t="shared" si="266"/>
        <v>0</v>
      </c>
      <c r="AW247" s="100">
        <f t="shared" si="267"/>
        <v>0</v>
      </c>
      <c r="AX247" s="100">
        <f t="shared" si="268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269"/>
        <v>0</v>
      </c>
      <c r="BD247" s="100">
        <f t="shared" si="270"/>
        <v>0</v>
      </c>
      <c r="BE247" s="100">
        <v>0</v>
      </c>
      <c r="BF247" s="100">
        <f>247</f>
        <v>247</v>
      </c>
      <c r="BH247" s="108">
        <f t="shared" si="271"/>
        <v>0</v>
      </c>
      <c r="BI247" s="108">
        <f t="shared" si="272"/>
        <v>0</v>
      </c>
      <c r="BJ247" s="108">
        <f t="shared" si="273"/>
        <v>0</v>
      </c>
    </row>
    <row r="248" spans="1:62" x14ac:dyDescent="0.2">
      <c r="A248" s="117" t="s">
        <v>212</v>
      </c>
      <c r="B248" s="117" t="s">
        <v>3112</v>
      </c>
      <c r="C248" s="304" t="s">
        <v>1326</v>
      </c>
      <c r="D248" s="305"/>
      <c r="E248" s="305"/>
      <c r="F248" s="117" t="s">
        <v>1644</v>
      </c>
      <c r="G248" s="116">
        <v>8</v>
      </c>
      <c r="H248" s="159"/>
      <c r="I248" s="108">
        <f t="shared" si="250"/>
        <v>0</v>
      </c>
      <c r="J248" s="108">
        <f t="shared" si="251"/>
        <v>0</v>
      </c>
      <c r="K248" s="108">
        <f t="shared" si="252"/>
        <v>0</v>
      </c>
      <c r="L248" s="111"/>
      <c r="Z248" s="100">
        <f t="shared" si="253"/>
        <v>0</v>
      </c>
      <c r="AB248" s="100">
        <f t="shared" si="254"/>
        <v>0</v>
      </c>
      <c r="AC248" s="100">
        <f t="shared" si="255"/>
        <v>0</v>
      </c>
      <c r="AD248" s="100">
        <f t="shared" si="256"/>
        <v>0</v>
      </c>
      <c r="AE248" s="100">
        <f t="shared" si="257"/>
        <v>0</v>
      </c>
      <c r="AF248" s="100">
        <f t="shared" si="258"/>
        <v>0</v>
      </c>
      <c r="AG248" s="100">
        <f t="shared" si="259"/>
        <v>0</v>
      </c>
      <c r="AH248" s="100">
        <f t="shared" si="260"/>
        <v>0</v>
      </c>
      <c r="AI248" s="109"/>
      <c r="AJ248" s="108">
        <f t="shared" si="261"/>
        <v>0</v>
      </c>
      <c r="AK248" s="108">
        <f t="shared" si="262"/>
        <v>0</v>
      </c>
      <c r="AL248" s="108">
        <f t="shared" si="263"/>
        <v>0</v>
      </c>
      <c r="AN248" s="100">
        <v>15</v>
      </c>
      <c r="AO248" s="100">
        <f t="shared" si="264"/>
        <v>0</v>
      </c>
      <c r="AP248" s="100">
        <f t="shared" si="265"/>
        <v>0</v>
      </c>
      <c r="AQ248" s="111" t="s">
        <v>13</v>
      </c>
      <c r="AV248" s="100">
        <f t="shared" si="266"/>
        <v>0</v>
      </c>
      <c r="AW248" s="100">
        <f t="shared" si="267"/>
        <v>0</v>
      </c>
      <c r="AX248" s="100">
        <f t="shared" si="268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269"/>
        <v>0</v>
      </c>
      <c r="BD248" s="100">
        <f t="shared" si="270"/>
        <v>0</v>
      </c>
      <c r="BE248" s="100">
        <v>0</v>
      </c>
      <c r="BF248" s="100">
        <f>248</f>
        <v>248</v>
      </c>
      <c r="BH248" s="108">
        <f t="shared" si="271"/>
        <v>0</v>
      </c>
      <c r="BI248" s="108">
        <f t="shared" si="272"/>
        <v>0</v>
      </c>
      <c r="BJ248" s="108">
        <f t="shared" si="273"/>
        <v>0</v>
      </c>
    </row>
    <row r="249" spans="1:62" x14ac:dyDescent="0.2">
      <c r="A249" s="117" t="s">
        <v>213</v>
      </c>
      <c r="B249" s="117" t="s">
        <v>3111</v>
      </c>
      <c r="C249" s="304" t="s">
        <v>1327</v>
      </c>
      <c r="D249" s="305"/>
      <c r="E249" s="305"/>
      <c r="F249" s="117" t="s">
        <v>1644</v>
      </c>
      <c r="G249" s="116">
        <v>6</v>
      </c>
      <c r="H249" s="159"/>
      <c r="I249" s="108">
        <f t="shared" si="250"/>
        <v>0</v>
      </c>
      <c r="J249" s="108">
        <f t="shared" si="251"/>
        <v>0</v>
      </c>
      <c r="K249" s="108">
        <f t="shared" si="252"/>
        <v>0</v>
      </c>
      <c r="L249" s="111"/>
      <c r="Z249" s="100">
        <f t="shared" si="253"/>
        <v>0</v>
      </c>
      <c r="AB249" s="100">
        <f t="shared" si="254"/>
        <v>0</v>
      </c>
      <c r="AC249" s="100">
        <f t="shared" si="255"/>
        <v>0</v>
      </c>
      <c r="AD249" s="100">
        <f t="shared" si="256"/>
        <v>0</v>
      </c>
      <c r="AE249" s="100">
        <f t="shared" si="257"/>
        <v>0</v>
      </c>
      <c r="AF249" s="100">
        <f t="shared" si="258"/>
        <v>0</v>
      </c>
      <c r="AG249" s="100">
        <f t="shared" si="259"/>
        <v>0</v>
      </c>
      <c r="AH249" s="100">
        <f t="shared" si="260"/>
        <v>0</v>
      </c>
      <c r="AI249" s="109"/>
      <c r="AJ249" s="108">
        <f t="shared" si="261"/>
        <v>0</v>
      </c>
      <c r="AK249" s="108">
        <f t="shared" si="262"/>
        <v>0</v>
      </c>
      <c r="AL249" s="108">
        <f t="shared" si="263"/>
        <v>0</v>
      </c>
      <c r="AN249" s="100">
        <v>15</v>
      </c>
      <c r="AO249" s="100">
        <f t="shared" si="264"/>
        <v>0</v>
      </c>
      <c r="AP249" s="100">
        <f t="shared" si="265"/>
        <v>0</v>
      </c>
      <c r="AQ249" s="111" t="s">
        <v>13</v>
      </c>
      <c r="AV249" s="100">
        <f t="shared" si="266"/>
        <v>0</v>
      </c>
      <c r="AW249" s="100">
        <f t="shared" si="267"/>
        <v>0</v>
      </c>
      <c r="AX249" s="100">
        <f t="shared" si="268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269"/>
        <v>0</v>
      </c>
      <c r="BD249" s="100">
        <f t="shared" si="270"/>
        <v>0</v>
      </c>
      <c r="BE249" s="100">
        <v>0</v>
      </c>
      <c r="BF249" s="100">
        <f>249</f>
        <v>249</v>
      </c>
      <c r="BH249" s="108">
        <f t="shared" si="271"/>
        <v>0</v>
      </c>
      <c r="BI249" s="108">
        <f t="shared" si="272"/>
        <v>0</v>
      </c>
      <c r="BJ249" s="108">
        <f t="shared" si="273"/>
        <v>0</v>
      </c>
    </row>
    <row r="250" spans="1:62" x14ac:dyDescent="0.2">
      <c r="A250" s="117" t="s">
        <v>214</v>
      </c>
      <c r="B250" s="117" t="s">
        <v>3110</v>
      </c>
      <c r="C250" s="304" t="s">
        <v>1294</v>
      </c>
      <c r="D250" s="305"/>
      <c r="E250" s="305"/>
      <c r="F250" s="117" t="s">
        <v>1644</v>
      </c>
      <c r="G250" s="116">
        <v>2</v>
      </c>
      <c r="H250" s="159"/>
      <c r="I250" s="108">
        <f t="shared" si="250"/>
        <v>0</v>
      </c>
      <c r="J250" s="108">
        <f t="shared" si="251"/>
        <v>0</v>
      </c>
      <c r="K250" s="108">
        <f t="shared" si="252"/>
        <v>0</v>
      </c>
      <c r="L250" s="111"/>
      <c r="Z250" s="100">
        <f t="shared" si="253"/>
        <v>0</v>
      </c>
      <c r="AB250" s="100">
        <f t="shared" si="254"/>
        <v>0</v>
      </c>
      <c r="AC250" s="100">
        <f t="shared" si="255"/>
        <v>0</v>
      </c>
      <c r="AD250" s="100">
        <f t="shared" si="256"/>
        <v>0</v>
      </c>
      <c r="AE250" s="100">
        <f t="shared" si="257"/>
        <v>0</v>
      </c>
      <c r="AF250" s="100">
        <f t="shared" si="258"/>
        <v>0</v>
      </c>
      <c r="AG250" s="100">
        <f t="shared" si="259"/>
        <v>0</v>
      </c>
      <c r="AH250" s="100">
        <f t="shared" si="260"/>
        <v>0</v>
      </c>
      <c r="AI250" s="109"/>
      <c r="AJ250" s="108">
        <f t="shared" si="261"/>
        <v>0</v>
      </c>
      <c r="AK250" s="108">
        <f t="shared" si="262"/>
        <v>0</v>
      </c>
      <c r="AL250" s="108">
        <f t="shared" si="263"/>
        <v>0</v>
      </c>
      <c r="AN250" s="100">
        <v>15</v>
      </c>
      <c r="AO250" s="100">
        <f t="shared" si="264"/>
        <v>0</v>
      </c>
      <c r="AP250" s="100">
        <f t="shared" si="265"/>
        <v>0</v>
      </c>
      <c r="AQ250" s="111" t="s">
        <v>13</v>
      </c>
      <c r="AV250" s="100">
        <f t="shared" si="266"/>
        <v>0</v>
      </c>
      <c r="AW250" s="100">
        <f t="shared" si="267"/>
        <v>0</v>
      </c>
      <c r="AX250" s="100">
        <f t="shared" si="268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269"/>
        <v>0</v>
      </c>
      <c r="BD250" s="100">
        <f t="shared" si="270"/>
        <v>0</v>
      </c>
      <c r="BE250" s="100">
        <v>0</v>
      </c>
      <c r="BF250" s="100">
        <f>250</f>
        <v>250</v>
      </c>
      <c r="BH250" s="108">
        <f t="shared" si="271"/>
        <v>0</v>
      </c>
      <c r="BI250" s="108">
        <f t="shared" si="272"/>
        <v>0</v>
      </c>
      <c r="BJ250" s="108">
        <f t="shared" si="273"/>
        <v>0</v>
      </c>
    </row>
    <row r="251" spans="1:62" x14ac:dyDescent="0.2">
      <c r="A251" s="117" t="s">
        <v>215</v>
      </c>
      <c r="B251" s="117" t="s">
        <v>3109</v>
      </c>
      <c r="C251" s="304" t="s">
        <v>1295</v>
      </c>
      <c r="D251" s="305"/>
      <c r="E251" s="305"/>
      <c r="F251" s="117" t="s">
        <v>1644</v>
      </c>
      <c r="G251" s="116">
        <v>2</v>
      </c>
      <c r="H251" s="159"/>
      <c r="I251" s="108">
        <f t="shared" si="250"/>
        <v>0</v>
      </c>
      <c r="J251" s="108">
        <f t="shared" si="251"/>
        <v>0</v>
      </c>
      <c r="K251" s="108">
        <f t="shared" si="252"/>
        <v>0</v>
      </c>
      <c r="L251" s="111"/>
      <c r="Z251" s="100">
        <f t="shared" si="253"/>
        <v>0</v>
      </c>
      <c r="AB251" s="100">
        <f t="shared" si="254"/>
        <v>0</v>
      </c>
      <c r="AC251" s="100">
        <f t="shared" si="255"/>
        <v>0</v>
      </c>
      <c r="AD251" s="100">
        <f t="shared" si="256"/>
        <v>0</v>
      </c>
      <c r="AE251" s="100">
        <f t="shared" si="257"/>
        <v>0</v>
      </c>
      <c r="AF251" s="100">
        <f t="shared" si="258"/>
        <v>0</v>
      </c>
      <c r="AG251" s="100">
        <f t="shared" si="259"/>
        <v>0</v>
      </c>
      <c r="AH251" s="100">
        <f t="shared" si="260"/>
        <v>0</v>
      </c>
      <c r="AI251" s="109"/>
      <c r="AJ251" s="108">
        <f t="shared" si="261"/>
        <v>0</v>
      </c>
      <c r="AK251" s="108">
        <f t="shared" si="262"/>
        <v>0</v>
      </c>
      <c r="AL251" s="108">
        <f t="shared" si="263"/>
        <v>0</v>
      </c>
      <c r="AN251" s="100">
        <v>15</v>
      </c>
      <c r="AO251" s="100">
        <f t="shared" si="264"/>
        <v>0</v>
      </c>
      <c r="AP251" s="100">
        <f t="shared" si="265"/>
        <v>0</v>
      </c>
      <c r="AQ251" s="111" t="s">
        <v>13</v>
      </c>
      <c r="AV251" s="100">
        <f t="shared" si="266"/>
        <v>0</v>
      </c>
      <c r="AW251" s="100">
        <f t="shared" si="267"/>
        <v>0</v>
      </c>
      <c r="AX251" s="100">
        <f t="shared" si="268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269"/>
        <v>0</v>
      </c>
      <c r="BD251" s="100">
        <f t="shared" si="270"/>
        <v>0</v>
      </c>
      <c r="BE251" s="100">
        <v>0</v>
      </c>
      <c r="BF251" s="100">
        <f>251</f>
        <v>251</v>
      </c>
      <c r="BH251" s="108">
        <f t="shared" si="271"/>
        <v>0</v>
      </c>
      <c r="BI251" s="108">
        <f t="shared" si="272"/>
        <v>0</v>
      </c>
      <c r="BJ251" s="108">
        <f t="shared" si="273"/>
        <v>0</v>
      </c>
    </row>
    <row r="252" spans="1:62" x14ac:dyDescent="0.2">
      <c r="A252" s="117" t="s">
        <v>216</v>
      </c>
      <c r="B252" s="117" t="s">
        <v>3108</v>
      </c>
      <c r="C252" s="304" t="s">
        <v>1328</v>
      </c>
      <c r="D252" s="305"/>
      <c r="E252" s="305"/>
      <c r="F252" s="117" t="s">
        <v>1644</v>
      </c>
      <c r="G252" s="116">
        <v>22</v>
      </c>
      <c r="H252" s="159"/>
      <c r="I252" s="108">
        <f t="shared" si="250"/>
        <v>0</v>
      </c>
      <c r="J252" s="108">
        <f t="shared" si="251"/>
        <v>0</v>
      </c>
      <c r="K252" s="108">
        <f t="shared" si="252"/>
        <v>0</v>
      </c>
      <c r="L252" s="111"/>
      <c r="Z252" s="100">
        <f t="shared" si="253"/>
        <v>0</v>
      </c>
      <c r="AB252" s="100">
        <f t="shared" si="254"/>
        <v>0</v>
      </c>
      <c r="AC252" s="100">
        <f t="shared" si="255"/>
        <v>0</v>
      </c>
      <c r="AD252" s="100">
        <f t="shared" si="256"/>
        <v>0</v>
      </c>
      <c r="AE252" s="100">
        <f t="shared" si="257"/>
        <v>0</v>
      </c>
      <c r="AF252" s="100">
        <f t="shared" si="258"/>
        <v>0</v>
      </c>
      <c r="AG252" s="100">
        <f t="shared" si="259"/>
        <v>0</v>
      </c>
      <c r="AH252" s="100">
        <f t="shared" si="260"/>
        <v>0</v>
      </c>
      <c r="AI252" s="109"/>
      <c r="AJ252" s="108">
        <f t="shared" si="261"/>
        <v>0</v>
      </c>
      <c r="AK252" s="108">
        <f t="shared" si="262"/>
        <v>0</v>
      </c>
      <c r="AL252" s="108">
        <f t="shared" si="263"/>
        <v>0</v>
      </c>
      <c r="AN252" s="100">
        <v>15</v>
      </c>
      <c r="AO252" s="100">
        <f t="shared" si="264"/>
        <v>0</v>
      </c>
      <c r="AP252" s="100">
        <f t="shared" si="265"/>
        <v>0</v>
      </c>
      <c r="AQ252" s="111" t="s">
        <v>13</v>
      </c>
      <c r="AV252" s="100">
        <f t="shared" si="266"/>
        <v>0</v>
      </c>
      <c r="AW252" s="100">
        <f t="shared" si="267"/>
        <v>0</v>
      </c>
      <c r="AX252" s="100">
        <f t="shared" si="268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269"/>
        <v>0</v>
      </c>
      <c r="BD252" s="100">
        <f t="shared" si="270"/>
        <v>0</v>
      </c>
      <c r="BE252" s="100">
        <v>0</v>
      </c>
      <c r="BF252" s="100">
        <f>252</f>
        <v>252</v>
      </c>
      <c r="BH252" s="108">
        <f t="shared" si="271"/>
        <v>0</v>
      </c>
      <c r="BI252" s="108">
        <f t="shared" si="272"/>
        <v>0</v>
      </c>
      <c r="BJ252" s="108">
        <f t="shared" si="273"/>
        <v>0</v>
      </c>
    </row>
    <row r="253" spans="1:62" x14ac:dyDescent="0.2">
      <c r="A253" s="117" t="s">
        <v>217</v>
      </c>
      <c r="B253" s="117" t="s">
        <v>3107</v>
      </c>
      <c r="C253" s="304" t="s">
        <v>1329</v>
      </c>
      <c r="D253" s="305"/>
      <c r="E253" s="305"/>
      <c r="F253" s="117" t="s">
        <v>1644</v>
      </c>
      <c r="G253" s="116">
        <v>1</v>
      </c>
      <c r="H253" s="159"/>
      <c r="I253" s="108">
        <f t="shared" si="250"/>
        <v>0</v>
      </c>
      <c r="J253" s="108">
        <f t="shared" si="251"/>
        <v>0</v>
      </c>
      <c r="K253" s="108">
        <f t="shared" si="252"/>
        <v>0</v>
      </c>
      <c r="L253" s="111"/>
      <c r="Z253" s="100">
        <f t="shared" si="253"/>
        <v>0</v>
      </c>
      <c r="AB253" s="100">
        <f t="shared" si="254"/>
        <v>0</v>
      </c>
      <c r="AC253" s="100">
        <f t="shared" si="255"/>
        <v>0</v>
      </c>
      <c r="AD253" s="100">
        <f t="shared" si="256"/>
        <v>0</v>
      </c>
      <c r="AE253" s="100">
        <f t="shared" si="257"/>
        <v>0</v>
      </c>
      <c r="AF253" s="100">
        <f t="shared" si="258"/>
        <v>0</v>
      </c>
      <c r="AG253" s="100">
        <f t="shared" si="259"/>
        <v>0</v>
      </c>
      <c r="AH253" s="100">
        <f t="shared" si="260"/>
        <v>0</v>
      </c>
      <c r="AI253" s="109"/>
      <c r="AJ253" s="108">
        <f t="shared" si="261"/>
        <v>0</v>
      </c>
      <c r="AK253" s="108">
        <f t="shared" si="262"/>
        <v>0</v>
      </c>
      <c r="AL253" s="108">
        <f t="shared" si="263"/>
        <v>0</v>
      </c>
      <c r="AN253" s="100">
        <v>15</v>
      </c>
      <c r="AO253" s="100">
        <f t="shared" si="264"/>
        <v>0</v>
      </c>
      <c r="AP253" s="100">
        <f t="shared" si="265"/>
        <v>0</v>
      </c>
      <c r="AQ253" s="111" t="s">
        <v>13</v>
      </c>
      <c r="AV253" s="100">
        <f t="shared" si="266"/>
        <v>0</v>
      </c>
      <c r="AW253" s="100">
        <f t="shared" si="267"/>
        <v>0</v>
      </c>
      <c r="AX253" s="100">
        <f t="shared" si="268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269"/>
        <v>0</v>
      </c>
      <c r="BD253" s="100">
        <f t="shared" si="270"/>
        <v>0</v>
      </c>
      <c r="BE253" s="100">
        <v>0</v>
      </c>
      <c r="BF253" s="100">
        <f>253</f>
        <v>253</v>
      </c>
      <c r="BH253" s="108">
        <f t="shared" si="271"/>
        <v>0</v>
      </c>
      <c r="BI253" s="108">
        <f t="shared" si="272"/>
        <v>0</v>
      </c>
      <c r="BJ253" s="108">
        <f t="shared" si="273"/>
        <v>0</v>
      </c>
    </row>
    <row r="254" spans="1:62" x14ac:dyDescent="0.2">
      <c r="A254" s="117" t="s">
        <v>218</v>
      </c>
      <c r="B254" s="117" t="s">
        <v>3106</v>
      </c>
      <c r="C254" s="304" t="s">
        <v>1330</v>
      </c>
      <c r="D254" s="305"/>
      <c r="E254" s="305"/>
      <c r="F254" s="117" t="s">
        <v>1646</v>
      </c>
      <c r="G254" s="116">
        <v>44</v>
      </c>
      <c r="H254" s="159"/>
      <c r="I254" s="108">
        <f t="shared" si="250"/>
        <v>0</v>
      </c>
      <c r="J254" s="108">
        <f t="shared" si="251"/>
        <v>0</v>
      </c>
      <c r="K254" s="108">
        <f t="shared" si="252"/>
        <v>0</v>
      </c>
      <c r="L254" s="111"/>
      <c r="Z254" s="100">
        <f t="shared" si="253"/>
        <v>0</v>
      </c>
      <c r="AB254" s="100">
        <f t="shared" si="254"/>
        <v>0</v>
      </c>
      <c r="AC254" s="100">
        <f t="shared" si="255"/>
        <v>0</v>
      </c>
      <c r="AD254" s="100">
        <f t="shared" si="256"/>
        <v>0</v>
      </c>
      <c r="AE254" s="100">
        <f t="shared" si="257"/>
        <v>0</v>
      </c>
      <c r="AF254" s="100">
        <f t="shared" si="258"/>
        <v>0</v>
      </c>
      <c r="AG254" s="100">
        <f t="shared" si="259"/>
        <v>0</v>
      </c>
      <c r="AH254" s="100">
        <f t="shared" si="260"/>
        <v>0</v>
      </c>
      <c r="AI254" s="109"/>
      <c r="AJ254" s="108">
        <f t="shared" si="261"/>
        <v>0</v>
      </c>
      <c r="AK254" s="108">
        <f t="shared" si="262"/>
        <v>0</v>
      </c>
      <c r="AL254" s="108">
        <f t="shared" si="263"/>
        <v>0</v>
      </c>
      <c r="AN254" s="100">
        <v>15</v>
      </c>
      <c r="AO254" s="100">
        <f t="shared" si="264"/>
        <v>0</v>
      </c>
      <c r="AP254" s="100">
        <f t="shared" si="265"/>
        <v>0</v>
      </c>
      <c r="AQ254" s="111" t="s">
        <v>13</v>
      </c>
      <c r="AV254" s="100">
        <f t="shared" si="266"/>
        <v>0</v>
      </c>
      <c r="AW254" s="100">
        <f t="shared" si="267"/>
        <v>0</v>
      </c>
      <c r="AX254" s="100">
        <f t="shared" si="268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269"/>
        <v>0</v>
      </c>
      <c r="BD254" s="100">
        <f t="shared" si="270"/>
        <v>0</v>
      </c>
      <c r="BE254" s="100">
        <v>0</v>
      </c>
      <c r="BF254" s="100">
        <f>254</f>
        <v>254</v>
      </c>
      <c r="BH254" s="108">
        <f t="shared" si="271"/>
        <v>0</v>
      </c>
      <c r="BI254" s="108">
        <f t="shared" si="272"/>
        <v>0</v>
      </c>
      <c r="BJ254" s="108">
        <f t="shared" si="273"/>
        <v>0</v>
      </c>
    </row>
    <row r="255" spans="1:62" x14ac:dyDescent="0.2">
      <c r="A255" s="117" t="s">
        <v>219</v>
      </c>
      <c r="B255" s="117" t="s">
        <v>3105</v>
      </c>
      <c r="C255" s="304" t="s">
        <v>1331</v>
      </c>
      <c r="D255" s="305"/>
      <c r="E255" s="305"/>
      <c r="F255" s="117" t="s">
        <v>1646</v>
      </c>
      <c r="G255" s="116">
        <v>16</v>
      </c>
      <c r="H255" s="159"/>
      <c r="I255" s="108">
        <f t="shared" si="250"/>
        <v>0</v>
      </c>
      <c r="J255" s="108">
        <f t="shared" si="251"/>
        <v>0</v>
      </c>
      <c r="K255" s="108">
        <f t="shared" si="252"/>
        <v>0</v>
      </c>
      <c r="L255" s="111"/>
      <c r="Z255" s="100">
        <f t="shared" si="253"/>
        <v>0</v>
      </c>
      <c r="AB255" s="100">
        <f t="shared" si="254"/>
        <v>0</v>
      </c>
      <c r="AC255" s="100">
        <f t="shared" si="255"/>
        <v>0</v>
      </c>
      <c r="AD255" s="100">
        <f t="shared" si="256"/>
        <v>0</v>
      </c>
      <c r="AE255" s="100">
        <f t="shared" si="257"/>
        <v>0</v>
      </c>
      <c r="AF255" s="100">
        <f t="shared" si="258"/>
        <v>0</v>
      </c>
      <c r="AG255" s="100">
        <f t="shared" si="259"/>
        <v>0</v>
      </c>
      <c r="AH255" s="100">
        <f t="shared" si="260"/>
        <v>0</v>
      </c>
      <c r="AI255" s="109"/>
      <c r="AJ255" s="108">
        <f t="shared" si="261"/>
        <v>0</v>
      </c>
      <c r="AK255" s="108">
        <f t="shared" si="262"/>
        <v>0</v>
      </c>
      <c r="AL255" s="108">
        <f t="shared" si="263"/>
        <v>0</v>
      </c>
      <c r="AN255" s="100">
        <v>15</v>
      </c>
      <c r="AO255" s="100">
        <f t="shared" si="264"/>
        <v>0</v>
      </c>
      <c r="AP255" s="100">
        <f t="shared" si="265"/>
        <v>0</v>
      </c>
      <c r="AQ255" s="111" t="s">
        <v>13</v>
      </c>
      <c r="AV255" s="100">
        <f t="shared" si="266"/>
        <v>0</v>
      </c>
      <c r="AW255" s="100">
        <f t="shared" si="267"/>
        <v>0</v>
      </c>
      <c r="AX255" s="100">
        <f t="shared" si="268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269"/>
        <v>0</v>
      </c>
      <c r="BD255" s="100">
        <f t="shared" si="270"/>
        <v>0</v>
      </c>
      <c r="BE255" s="100">
        <v>0</v>
      </c>
      <c r="BF255" s="100">
        <f>255</f>
        <v>255</v>
      </c>
      <c r="BH255" s="108">
        <f t="shared" si="271"/>
        <v>0</v>
      </c>
      <c r="BI255" s="108">
        <f t="shared" si="272"/>
        <v>0</v>
      </c>
      <c r="BJ255" s="108">
        <f t="shared" si="273"/>
        <v>0</v>
      </c>
    </row>
    <row r="256" spans="1:62" x14ac:dyDescent="0.2">
      <c r="A256" s="117" t="s">
        <v>220</v>
      </c>
      <c r="B256" s="117" t="s">
        <v>3104</v>
      </c>
      <c r="C256" s="304" t="s">
        <v>1332</v>
      </c>
      <c r="D256" s="305"/>
      <c r="E256" s="305"/>
      <c r="F256" s="117" t="s">
        <v>1646</v>
      </c>
      <c r="G256" s="116">
        <v>4</v>
      </c>
      <c r="H256" s="159"/>
      <c r="I256" s="108">
        <f t="shared" si="250"/>
        <v>0</v>
      </c>
      <c r="J256" s="108">
        <f t="shared" si="251"/>
        <v>0</v>
      </c>
      <c r="K256" s="108">
        <f t="shared" si="252"/>
        <v>0</v>
      </c>
      <c r="L256" s="111"/>
      <c r="Z256" s="100">
        <f t="shared" si="253"/>
        <v>0</v>
      </c>
      <c r="AB256" s="100">
        <f t="shared" si="254"/>
        <v>0</v>
      </c>
      <c r="AC256" s="100">
        <f t="shared" si="255"/>
        <v>0</v>
      </c>
      <c r="AD256" s="100">
        <f t="shared" si="256"/>
        <v>0</v>
      </c>
      <c r="AE256" s="100">
        <f t="shared" si="257"/>
        <v>0</v>
      </c>
      <c r="AF256" s="100">
        <f t="shared" si="258"/>
        <v>0</v>
      </c>
      <c r="AG256" s="100">
        <f t="shared" si="259"/>
        <v>0</v>
      </c>
      <c r="AH256" s="100">
        <f t="shared" si="260"/>
        <v>0</v>
      </c>
      <c r="AI256" s="109"/>
      <c r="AJ256" s="108">
        <f t="shared" si="261"/>
        <v>0</v>
      </c>
      <c r="AK256" s="108">
        <f t="shared" si="262"/>
        <v>0</v>
      </c>
      <c r="AL256" s="108">
        <f t="shared" si="263"/>
        <v>0</v>
      </c>
      <c r="AN256" s="100">
        <v>15</v>
      </c>
      <c r="AO256" s="100">
        <f t="shared" si="264"/>
        <v>0</v>
      </c>
      <c r="AP256" s="100">
        <f t="shared" si="265"/>
        <v>0</v>
      </c>
      <c r="AQ256" s="111" t="s">
        <v>13</v>
      </c>
      <c r="AV256" s="100">
        <f t="shared" si="266"/>
        <v>0</v>
      </c>
      <c r="AW256" s="100">
        <f t="shared" si="267"/>
        <v>0</v>
      </c>
      <c r="AX256" s="100">
        <f t="shared" si="268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269"/>
        <v>0</v>
      </c>
      <c r="BD256" s="100">
        <f t="shared" si="270"/>
        <v>0</v>
      </c>
      <c r="BE256" s="100">
        <v>0</v>
      </c>
      <c r="BF256" s="100">
        <f>256</f>
        <v>256</v>
      </c>
      <c r="BH256" s="108">
        <f t="shared" si="271"/>
        <v>0</v>
      </c>
      <c r="BI256" s="108">
        <f t="shared" si="272"/>
        <v>0</v>
      </c>
      <c r="BJ256" s="108">
        <f t="shared" si="273"/>
        <v>0</v>
      </c>
    </row>
    <row r="257" spans="1:62" x14ac:dyDescent="0.2">
      <c r="A257" s="117" t="s">
        <v>221</v>
      </c>
      <c r="B257" s="117" t="s">
        <v>3103</v>
      </c>
      <c r="C257" s="304" t="s">
        <v>1333</v>
      </c>
      <c r="D257" s="305"/>
      <c r="E257" s="305"/>
      <c r="F257" s="117" t="s">
        <v>1646</v>
      </c>
      <c r="G257" s="116">
        <v>44</v>
      </c>
      <c r="H257" s="159"/>
      <c r="I257" s="108">
        <f t="shared" si="250"/>
        <v>0</v>
      </c>
      <c r="J257" s="108">
        <f t="shared" si="251"/>
        <v>0</v>
      </c>
      <c r="K257" s="108">
        <f t="shared" si="252"/>
        <v>0</v>
      </c>
      <c r="L257" s="111"/>
      <c r="Z257" s="100">
        <f t="shared" si="253"/>
        <v>0</v>
      </c>
      <c r="AB257" s="100">
        <f t="shared" si="254"/>
        <v>0</v>
      </c>
      <c r="AC257" s="100">
        <f t="shared" si="255"/>
        <v>0</v>
      </c>
      <c r="AD257" s="100">
        <f t="shared" si="256"/>
        <v>0</v>
      </c>
      <c r="AE257" s="100">
        <f t="shared" si="257"/>
        <v>0</v>
      </c>
      <c r="AF257" s="100">
        <f t="shared" si="258"/>
        <v>0</v>
      </c>
      <c r="AG257" s="100">
        <f t="shared" si="259"/>
        <v>0</v>
      </c>
      <c r="AH257" s="100">
        <f t="shared" si="260"/>
        <v>0</v>
      </c>
      <c r="AI257" s="109"/>
      <c r="AJ257" s="108">
        <f t="shared" si="261"/>
        <v>0</v>
      </c>
      <c r="AK257" s="108">
        <f t="shared" si="262"/>
        <v>0</v>
      </c>
      <c r="AL257" s="108">
        <f t="shared" si="263"/>
        <v>0</v>
      </c>
      <c r="AN257" s="100">
        <v>15</v>
      </c>
      <c r="AO257" s="100">
        <f t="shared" si="264"/>
        <v>0</v>
      </c>
      <c r="AP257" s="100">
        <f t="shared" si="265"/>
        <v>0</v>
      </c>
      <c r="AQ257" s="111" t="s">
        <v>13</v>
      </c>
      <c r="AV257" s="100">
        <f t="shared" si="266"/>
        <v>0</v>
      </c>
      <c r="AW257" s="100">
        <f t="shared" si="267"/>
        <v>0</v>
      </c>
      <c r="AX257" s="100">
        <f t="shared" si="268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269"/>
        <v>0</v>
      </c>
      <c r="BD257" s="100">
        <f t="shared" si="270"/>
        <v>0</v>
      </c>
      <c r="BE257" s="100">
        <v>0</v>
      </c>
      <c r="BF257" s="100">
        <f>257</f>
        <v>257</v>
      </c>
      <c r="BH257" s="108">
        <f t="shared" si="271"/>
        <v>0</v>
      </c>
      <c r="BI257" s="108">
        <f t="shared" si="272"/>
        <v>0</v>
      </c>
      <c r="BJ257" s="108">
        <f t="shared" si="273"/>
        <v>0</v>
      </c>
    </row>
    <row r="258" spans="1:62" x14ac:dyDescent="0.2">
      <c r="A258" s="117" t="s">
        <v>222</v>
      </c>
      <c r="B258" s="117" t="s">
        <v>3102</v>
      </c>
      <c r="C258" s="304" t="s">
        <v>1334</v>
      </c>
      <c r="D258" s="305"/>
      <c r="E258" s="305"/>
      <c r="F258" s="117" t="s">
        <v>1646</v>
      </c>
      <c r="G258" s="116">
        <v>16</v>
      </c>
      <c r="H258" s="159"/>
      <c r="I258" s="108">
        <f t="shared" si="250"/>
        <v>0</v>
      </c>
      <c r="J258" s="108">
        <f t="shared" si="251"/>
        <v>0</v>
      </c>
      <c r="K258" s="108">
        <f t="shared" si="252"/>
        <v>0</v>
      </c>
      <c r="L258" s="111"/>
      <c r="Z258" s="100">
        <f t="shared" si="253"/>
        <v>0</v>
      </c>
      <c r="AB258" s="100">
        <f t="shared" si="254"/>
        <v>0</v>
      </c>
      <c r="AC258" s="100">
        <f t="shared" si="255"/>
        <v>0</v>
      </c>
      <c r="AD258" s="100">
        <f t="shared" si="256"/>
        <v>0</v>
      </c>
      <c r="AE258" s="100">
        <f t="shared" si="257"/>
        <v>0</v>
      </c>
      <c r="AF258" s="100">
        <f t="shared" si="258"/>
        <v>0</v>
      </c>
      <c r="AG258" s="100">
        <f t="shared" si="259"/>
        <v>0</v>
      </c>
      <c r="AH258" s="100">
        <f t="shared" si="260"/>
        <v>0</v>
      </c>
      <c r="AI258" s="109"/>
      <c r="AJ258" s="108">
        <f t="shared" si="261"/>
        <v>0</v>
      </c>
      <c r="AK258" s="108">
        <f t="shared" si="262"/>
        <v>0</v>
      </c>
      <c r="AL258" s="108">
        <f t="shared" si="263"/>
        <v>0</v>
      </c>
      <c r="AN258" s="100">
        <v>15</v>
      </c>
      <c r="AO258" s="100">
        <f t="shared" si="264"/>
        <v>0</v>
      </c>
      <c r="AP258" s="100">
        <f t="shared" si="265"/>
        <v>0</v>
      </c>
      <c r="AQ258" s="111" t="s">
        <v>13</v>
      </c>
      <c r="AV258" s="100">
        <f t="shared" si="266"/>
        <v>0</v>
      </c>
      <c r="AW258" s="100">
        <f t="shared" si="267"/>
        <v>0</v>
      </c>
      <c r="AX258" s="100">
        <f t="shared" si="268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269"/>
        <v>0</v>
      </c>
      <c r="BD258" s="100">
        <f t="shared" si="270"/>
        <v>0</v>
      </c>
      <c r="BE258" s="100">
        <v>0</v>
      </c>
      <c r="BF258" s="100">
        <f>258</f>
        <v>258</v>
      </c>
      <c r="BH258" s="108">
        <f t="shared" si="271"/>
        <v>0</v>
      </c>
      <c r="BI258" s="108">
        <f t="shared" si="272"/>
        <v>0</v>
      </c>
      <c r="BJ258" s="108">
        <f t="shared" si="273"/>
        <v>0</v>
      </c>
    </row>
    <row r="259" spans="1:62" x14ac:dyDescent="0.2">
      <c r="A259" s="117" t="s">
        <v>223</v>
      </c>
      <c r="B259" s="117" t="s">
        <v>3101</v>
      </c>
      <c r="C259" s="304" t="s">
        <v>1335</v>
      </c>
      <c r="D259" s="305"/>
      <c r="E259" s="305"/>
      <c r="F259" s="117" t="s">
        <v>1645</v>
      </c>
      <c r="G259" s="116">
        <v>3.5</v>
      </c>
      <c r="H259" s="159"/>
      <c r="I259" s="108">
        <f t="shared" si="250"/>
        <v>0</v>
      </c>
      <c r="J259" s="108">
        <f t="shared" si="251"/>
        <v>0</v>
      </c>
      <c r="K259" s="108">
        <f t="shared" si="252"/>
        <v>0</v>
      </c>
      <c r="L259" s="111"/>
      <c r="Z259" s="100">
        <f t="shared" si="253"/>
        <v>0</v>
      </c>
      <c r="AB259" s="100">
        <f t="shared" si="254"/>
        <v>0</v>
      </c>
      <c r="AC259" s="100">
        <f t="shared" si="255"/>
        <v>0</v>
      </c>
      <c r="AD259" s="100">
        <f t="shared" si="256"/>
        <v>0</v>
      </c>
      <c r="AE259" s="100">
        <f t="shared" si="257"/>
        <v>0</v>
      </c>
      <c r="AF259" s="100">
        <f t="shared" si="258"/>
        <v>0</v>
      </c>
      <c r="AG259" s="100">
        <f t="shared" si="259"/>
        <v>0</v>
      </c>
      <c r="AH259" s="100">
        <f t="shared" si="260"/>
        <v>0</v>
      </c>
      <c r="AI259" s="109"/>
      <c r="AJ259" s="108">
        <f t="shared" si="261"/>
        <v>0</v>
      </c>
      <c r="AK259" s="108">
        <f t="shared" si="262"/>
        <v>0</v>
      </c>
      <c r="AL259" s="108">
        <f t="shared" si="263"/>
        <v>0</v>
      </c>
      <c r="AN259" s="100">
        <v>15</v>
      </c>
      <c r="AO259" s="100">
        <f t="shared" si="264"/>
        <v>0</v>
      </c>
      <c r="AP259" s="100">
        <f t="shared" si="265"/>
        <v>0</v>
      </c>
      <c r="AQ259" s="111" t="s">
        <v>13</v>
      </c>
      <c r="AV259" s="100">
        <f t="shared" si="266"/>
        <v>0</v>
      </c>
      <c r="AW259" s="100">
        <f t="shared" si="267"/>
        <v>0</v>
      </c>
      <c r="AX259" s="100">
        <f t="shared" si="268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269"/>
        <v>0</v>
      </c>
      <c r="BD259" s="100">
        <f t="shared" si="270"/>
        <v>0</v>
      </c>
      <c r="BE259" s="100">
        <v>0</v>
      </c>
      <c r="BF259" s="100">
        <f>259</f>
        <v>259</v>
      </c>
      <c r="BH259" s="108">
        <f t="shared" si="271"/>
        <v>0</v>
      </c>
      <c r="BI259" s="108">
        <f t="shared" si="272"/>
        <v>0</v>
      </c>
      <c r="BJ259" s="108">
        <f t="shared" si="273"/>
        <v>0</v>
      </c>
    </row>
    <row r="260" spans="1:62" x14ac:dyDescent="0.2">
      <c r="A260" s="117" t="s">
        <v>224</v>
      </c>
      <c r="B260" s="117" t="s">
        <v>3100</v>
      </c>
      <c r="C260" s="304" t="s">
        <v>3099</v>
      </c>
      <c r="D260" s="305"/>
      <c r="E260" s="305"/>
      <c r="F260" s="117" t="s">
        <v>1644</v>
      </c>
      <c r="G260" s="116">
        <v>1</v>
      </c>
      <c r="H260" s="159"/>
      <c r="I260" s="108">
        <f t="shared" si="250"/>
        <v>0</v>
      </c>
      <c r="J260" s="108">
        <f t="shared" si="251"/>
        <v>0</v>
      </c>
      <c r="K260" s="108">
        <f t="shared" si="252"/>
        <v>0</v>
      </c>
      <c r="L260" s="111"/>
      <c r="Z260" s="100">
        <f t="shared" si="253"/>
        <v>0</v>
      </c>
      <c r="AB260" s="100">
        <f t="shared" si="254"/>
        <v>0</v>
      </c>
      <c r="AC260" s="100">
        <f t="shared" si="255"/>
        <v>0</v>
      </c>
      <c r="AD260" s="100">
        <f t="shared" si="256"/>
        <v>0</v>
      </c>
      <c r="AE260" s="100">
        <f t="shared" si="257"/>
        <v>0</v>
      </c>
      <c r="AF260" s="100">
        <f t="shared" si="258"/>
        <v>0</v>
      </c>
      <c r="AG260" s="100">
        <f t="shared" si="259"/>
        <v>0</v>
      </c>
      <c r="AH260" s="100">
        <f t="shared" si="260"/>
        <v>0</v>
      </c>
      <c r="AI260" s="109"/>
      <c r="AJ260" s="108">
        <f t="shared" si="261"/>
        <v>0</v>
      </c>
      <c r="AK260" s="108">
        <f t="shared" si="262"/>
        <v>0</v>
      </c>
      <c r="AL260" s="108">
        <f t="shared" si="263"/>
        <v>0</v>
      </c>
      <c r="AN260" s="100">
        <v>15</v>
      </c>
      <c r="AO260" s="100">
        <f t="shared" si="264"/>
        <v>0</v>
      </c>
      <c r="AP260" s="100">
        <f t="shared" si="265"/>
        <v>0</v>
      </c>
      <c r="AQ260" s="111" t="s">
        <v>13</v>
      </c>
      <c r="AV260" s="100">
        <f t="shared" si="266"/>
        <v>0</v>
      </c>
      <c r="AW260" s="100">
        <f t="shared" si="267"/>
        <v>0</v>
      </c>
      <c r="AX260" s="100">
        <f t="shared" si="268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269"/>
        <v>0</v>
      </c>
      <c r="BD260" s="100">
        <f t="shared" si="270"/>
        <v>0</v>
      </c>
      <c r="BE260" s="100">
        <v>0</v>
      </c>
      <c r="BF260" s="100">
        <f>260</f>
        <v>260</v>
      </c>
      <c r="BH260" s="108">
        <f t="shared" si="271"/>
        <v>0</v>
      </c>
      <c r="BI260" s="108">
        <f t="shared" si="272"/>
        <v>0</v>
      </c>
      <c r="BJ260" s="108">
        <f t="shared" si="273"/>
        <v>0</v>
      </c>
    </row>
    <row r="261" spans="1:62" x14ac:dyDescent="0.2">
      <c r="A261" s="117" t="s">
        <v>225</v>
      </c>
      <c r="B261" s="117" t="s">
        <v>3098</v>
      </c>
      <c r="C261" s="304" t="s">
        <v>1336</v>
      </c>
      <c r="D261" s="305"/>
      <c r="E261" s="305"/>
      <c r="F261" s="117" t="s">
        <v>1644</v>
      </c>
      <c r="G261" s="116">
        <v>2</v>
      </c>
      <c r="H261" s="159"/>
      <c r="I261" s="108">
        <f t="shared" si="250"/>
        <v>0</v>
      </c>
      <c r="J261" s="108">
        <f t="shared" si="251"/>
        <v>0</v>
      </c>
      <c r="K261" s="108">
        <f t="shared" si="252"/>
        <v>0</v>
      </c>
      <c r="L261" s="111"/>
      <c r="Z261" s="100">
        <f t="shared" si="253"/>
        <v>0</v>
      </c>
      <c r="AB261" s="100">
        <f t="shared" si="254"/>
        <v>0</v>
      </c>
      <c r="AC261" s="100">
        <f t="shared" si="255"/>
        <v>0</v>
      </c>
      <c r="AD261" s="100">
        <f t="shared" si="256"/>
        <v>0</v>
      </c>
      <c r="AE261" s="100">
        <f t="shared" si="257"/>
        <v>0</v>
      </c>
      <c r="AF261" s="100">
        <f t="shared" si="258"/>
        <v>0</v>
      </c>
      <c r="AG261" s="100">
        <f t="shared" si="259"/>
        <v>0</v>
      </c>
      <c r="AH261" s="100">
        <f t="shared" si="260"/>
        <v>0</v>
      </c>
      <c r="AI261" s="109"/>
      <c r="AJ261" s="108">
        <f t="shared" si="261"/>
        <v>0</v>
      </c>
      <c r="AK261" s="108">
        <f t="shared" si="262"/>
        <v>0</v>
      </c>
      <c r="AL261" s="108">
        <f t="shared" si="263"/>
        <v>0</v>
      </c>
      <c r="AN261" s="100">
        <v>15</v>
      </c>
      <c r="AO261" s="100">
        <f t="shared" si="264"/>
        <v>0</v>
      </c>
      <c r="AP261" s="100">
        <f t="shared" si="265"/>
        <v>0</v>
      </c>
      <c r="AQ261" s="111" t="s">
        <v>13</v>
      </c>
      <c r="AV261" s="100">
        <f t="shared" si="266"/>
        <v>0</v>
      </c>
      <c r="AW261" s="100">
        <f t="shared" si="267"/>
        <v>0</v>
      </c>
      <c r="AX261" s="100">
        <f t="shared" si="268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269"/>
        <v>0</v>
      </c>
      <c r="BD261" s="100">
        <f t="shared" si="270"/>
        <v>0</v>
      </c>
      <c r="BE261" s="100">
        <v>0</v>
      </c>
      <c r="BF261" s="100">
        <f>261</f>
        <v>261</v>
      </c>
      <c r="BH261" s="108">
        <f t="shared" si="271"/>
        <v>0</v>
      </c>
      <c r="BI261" s="108">
        <f t="shared" si="272"/>
        <v>0</v>
      </c>
      <c r="BJ261" s="108">
        <f t="shared" si="273"/>
        <v>0</v>
      </c>
    </row>
    <row r="262" spans="1:62" x14ac:dyDescent="0.2">
      <c r="A262" s="117" t="s">
        <v>226</v>
      </c>
      <c r="B262" s="117" t="s">
        <v>3097</v>
      </c>
      <c r="C262" s="304" t="s">
        <v>1337</v>
      </c>
      <c r="D262" s="305"/>
      <c r="E262" s="305"/>
      <c r="F262" s="117" t="s">
        <v>1644</v>
      </c>
      <c r="G262" s="116">
        <v>1</v>
      </c>
      <c r="H262" s="159"/>
      <c r="I262" s="108">
        <f t="shared" si="250"/>
        <v>0</v>
      </c>
      <c r="J262" s="108">
        <f t="shared" si="251"/>
        <v>0</v>
      </c>
      <c r="K262" s="108">
        <f t="shared" si="252"/>
        <v>0</v>
      </c>
      <c r="L262" s="111"/>
      <c r="Z262" s="100">
        <f t="shared" si="253"/>
        <v>0</v>
      </c>
      <c r="AB262" s="100">
        <f t="shared" si="254"/>
        <v>0</v>
      </c>
      <c r="AC262" s="100">
        <f t="shared" si="255"/>
        <v>0</v>
      </c>
      <c r="AD262" s="100">
        <f t="shared" si="256"/>
        <v>0</v>
      </c>
      <c r="AE262" s="100">
        <f t="shared" si="257"/>
        <v>0</v>
      </c>
      <c r="AF262" s="100">
        <f t="shared" si="258"/>
        <v>0</v>
      </c>
      <c r="AG262" s="100">
        <f t="shared" si="259"/>
        <v>0</v>
      </c>
      <c r="AH262" s="100">
        <f t="shared" si="260"/>
        <v>0</v>
      </c>
      <c r="AI262" s="109"/>
      <c r="AJ262" s="108">
        <f t="shared" si="261"/>
        <v>0</v>
      </c>
      <c r="AK262" s="108">
        <f t="shared" si="262"/>
        <v>0</v>
      </c>
      <c r="AL262" s="108">
        <f t="shared" si="263"/>
        <v>0</v>
      </c>
      <c r="AN262" s="100">
        <v>15</v>
      </c>
      <c r="AO262" s="100">
        <f t="shared" si="264"/>
        <v>0</v>
      </c>
      <c r="AP262" s="100">
        <f t="shared" si="265"/>
        <v>0</v>
      </c>
      <c r="AQ262" s="111" t="s">
        <v>13</v>
      </c>
      <c r="AV262" s="100">
        <f t="shared" si="266"/>
        <v>0</v>
      </c>
      <c r="AW262" s="100">
        <f t="shared" si="267"/>
        <v>0</v>
      </c>
      <c r="AX262" s="100">
        <f t="shared" si="268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269"/>
        <v>0</v>
      </c>
      <c r="BD262" s="100">
        <f t="shared" si="270"/>
        <v>0</v>
      </c>
      <c r="BE262" s="100">
        <v>0</v>
      </c>
      <c r="BF262" s="100">
        <f>262</f>
        <v>262</v>
      </c>
      <c r="BH262" s="108">
        <f t="shared" si="271"/>
        <v>0</v>
      </c>
      <c r="BI262" s="108">
        <f t="shared" si="272"/>
        <v>0</v>
      </c>
      <c r="BJ262" s="108">
        <f t="shared" si="273"/>
        <v>0</v>
      </c>
    </row>
    <row r="263" spans="1:62" x14ac:dyDescent="0.2">
      <c r="A263" s="117" t="s">
        <v>227</v>
      </c>
      <c r="B263" s="117" t="s">
        <v>3096</v>
      </c>
      <c r="C263" s="304" t="s">
        <v>1338</v>
      </c>
      <c r="D263" s="305"/>
      <c r="E263" s="305"/>
      <c r="F263" s="117" t="s">
        <v>1644</v>
      </c>
      <c r="G263" s="116">
        <v>1</v>
      </c>
      <c r="H263" s="159"/>
      <c r="I263" s="108">
        <f t="shared" si="250"/>
        <v>0</v>
      </c>
      <c r="J263" s="108">
        <f t="shared" si="251"/>
        <v>0</v>
      </c>
      <c r="K263" s="108">
        <f t="shared" si="252"/>
        <v>0</v>
      </c>
      <c r="L263" s="111"/>
      <c r="Z263" s="100">
        <f t="shared" si="253"/>
        <v>0</v>
      </c>
      <c r="AB263" s="100">
        <f t="shared" si="254"/>
        <v>0</v>
      </c>
      <c r="AC263" s="100">
        <f t="shared" si="255"/>
        <v>0</v>
      </c>
      <c r="AD263" s="100">
        <f t="shared" si="256"/>
        <v>0</v>
      </c>
      <c r="AE263" s="100">
        <f t="shared" si="257"/>
        <v>0</v>
      </c>
      <c r="AF263" s="100">
        <f t="shared" si="258"/>
        <v>0</v>
      </c>
      <c r="AG263" s="100">
        <f t="shared" si="259"/>
        <v>0</v>
      </c>
      <c r="AH263" s="100">
        <f t="shared" si="260"/>
        <v>0</v>
      </c>
      <c r="AI263" s="109"/>
      <c r="AJ263" s="108">
        <f t="shared" si="261"/>
        <v>0</v>
      </c>
      <c r="AK263" s="108">
        <f t="shared" si="262"/>
        <v>0</v>
      </c>
      <c r="AL263" s="108">
        <f t="shared" si="263"/>
        <v>0</v>
      </c>
      <c r="AN263" s="100">
        <v>15</v>
      </c>
      <c r="AO263" s="100">
        <f t="shared" si="264"/>
        <v>0</v>
      </c>
      <c r="AP263" s="100">
        <f t="shared" si="265"/>
        <v>0</v>
      </c>
      <c r="AQ263" s="111" t="s">
        <v>13</v>
      </c>
      <c r="AV263" s="100">
        <f t="shared" si="266"/>
        <v>0</v>
      </c>
      <c r="AW263" s="100">
        <f t="shared" si="267"/>
        <v>0</v>
      </c>
      <c r="AX263" s="100">
        <f t="shared" si="268"/>
        <v>0</v>
      </c>
      <c r="AY263" s="110" t="s">
        <v>1709</v>
      </c>
      <c r="AZ263" s="110" t="s">
        <v>1733</v>
      </c>
      <c r="BA263" s="109" t="s">
        <v>1737</v>
      </c>
      <c r="BC263" s="100">
        <f t="shared" si="269"/>
        <v>0</v>
      </c>
      <c r="BD263" s="100">
        <f t="shared" si="270"/>
        <v>0</v>
      </c>
      <c r="BE263" s="100">
        <v>0</v>
      </c>
      <c r="BF263" s="100">
        <f>263</f>
        <v>263</v>
      </c>
      <c r="BH263" s="108">
        <f t="shared" si="271"/>
        <v>0</v>
      </c>
      <c r="BI263" s="108">
        <f t="shared" si="272"/>
        <v>0</v>
      </c>
      <c r="BJ263" s="108">
        <f t="shared" si="273"/>
        <v>0</v>
      </c>
    </row>
    <row r="264" spans="1:62" x14ac:dyDescent="0.2">
      <c r="A264" s="117" t="s">
        <v>228</v>
      </c>
      <c r="B264" s="117" t="s">
        <v>3095</v>
      </c>
      <c r="C264" s="304" t="s">
        <v>1339</v>
      </c>
      <c r="D264" s="305"/>
      <c r="E264" s="305"/>
      <c r="F264" s="117" t="s">
        <v>1644</v>
      </c>
      <c r="G264" s="116">
        <v>1</v>
      </c>
      <c r="H264" s="159"/>
      <c r="I264" s="108">
        <f t="shared" si="250"/>
        <v>0</v>
      </c>
      <c r="J264" s="108">
        <f t="shared" si="251"/>
        <v>0</v>
      </c>
      <c r="K264" s="108">
        <f t="shared" si="252"/>
        <v>0</v>
      </c>
      <c r="L264" s="111"/>
      <c r="Z264" s="100">
        <f t="shared" si="253"/>
        <v>0</v>
      </c>
      <c r="AB264" s="100">
        <f t="shared" si="254"/>
        <v>0</v>
      </c>
      <c r="AC264" s="100">
        <f t="shared" si="255"/>
        <v>0</v>
      </c>
      <c r="AD264" s="100">
        <f t="shared" si="256"/>
        <v>0</v>
      </c>
      <c r="AE264" s="100">
        <f t="shared" si="257"/>
        <v>0</v>
      </c>
      <c r="AF264" s="100">
        <f t="shared" si="258"/>
        <v>0</v>
      </c>
      <c r="AG264" s="100">
        <f t="shared" si="259"/>
        <v>0</v>
      </c>
      <c r="AH264" s="100">
        <f t="shared" si="260"/>
        <v>0</v>
      </c>
      <c r="AI264" s="109"/>
      <c r="AJ264" s="108">
        <f t="shared" si="261"/>
        <v>0</v>
      </c>
      <c r="AK264" s="108">
        <f t="shared" si="262"/>
        <v>0</v>
      </c>
      <c r="AL264" s="108">
        <f t="shared" si="263"/>
        <v>0</v>
      </c>
      <c r="AN264" s="100">
        <v>15</v>
      </c>
      <c r="AO264" s="100">
        <f t="shared" si="264"/>
        <v>0</v>
      </c>
      <c r="AP264" s="100">
        <f t="shared" si="265"/>
        <v>0</v>
      </c>
      <c r="AQ264" s="111" t="s">
        <v>13</v>
      </c>
      <c r="AV264" s="100">
        <f t="shared" si="266"/>
        <v>0</v>
      </c>
      <c r="AW264" s="100">
        <f t="shared" si="267"/>
        <v>0</v>
      </c>
      <c r="AX264" s="100">
        <f t="shared" si="268"/>
        <v>0</v>
      </c>
      <c r="AY264" s="110" t="s">
        <v>1709</v>
      </c>
      <c r="AZ264" s="110" t="s">
        <v>1733</v>
      </c>
      <c r="BA264" s="109" t="s">
        <v>1737</v>
      </c>
      <c r="BC264" s="100">
        <f t="shared" si="269"/>
        <v>0</v>
      </c>
      <c r="BD264" s="100">
        <f t="shared" si="270"/>
        <v>0</v>
      </c>
      <c r="BE264" s="100">
        <v>0</v>
      </c>
      <c r="BF264" s="100">
        <f>264</f>
        <v>264</v>
      </c>
      <c r="BH264" s="108">
        <f t="shared" si="271"/>
        <v>0</v>
      </c>
      <c r="BI264" s="108">
        <f t="shared" si="272"/>
        <v>0</v>
      </c>
      <c r="BJ264" s="108">
        <f t="shared" si="273"/>
        <v>0</v>
      </c>
    </row>
    <row r="265" spans="1:62" x14ac:dyDescent="0.2">
      <c r="A265" s="117" t="s">
        <v>229</v>
      </c>
      <c r="B265" s="117" t="s">
        <v>3094</v>
      </c>
      <c r="C265" s="304" t="s">
        <v>1341</v>
      </c>
      <c r="D265" s="305"/>
      <c r="E265" s="305"/>
      <c r="F265" s="117" t="s">
        <v>1644</v>
      </c>
      <c r="G265" s="116">
        <v>1</v>
      </c>
      <c r="H265" s="159"/>
      <c r="I265" s="108">
        <f t="shared" si="250"/>
        <v>0</v>
      </c>
      <c r="J265" s="108">
        <f t="shared" si="251"/>
        <v>0</v>
      </c>
      <c r="K265" s="108">
        <f t="shared" si="252"/>
        <v>0</v>
      </c>
      <c r="L265" s="111"/>
      <c r="Z265" s="100">
        <f t="shared" si="253"/>
        <v>0</v>
      </c>
      <c r="AB265" s="100">
        <f t="shared" si="254"/>
        <v>0</v>
      </c>
      <c r="AC265" s="100">
        <f t="shared" si="255"/>
        <v>0</v>
      </c>
      <c r="AD265" s="100">
        <f t="shared" si="256"/>
        <v>0</v>
      </c>
      <c r="AE265" s="100">
        <f t="shared" si="257"/>
        <v>0</v>
      </c>
      <c r="AF265" s="100">
        <f t="shared" si="258"/>
        <v>0</v>
      </c>
      <c r="AG265" s="100">
        <f t="shared" si="259"/>
        <v>0</v>
      </c>
      <c r="AH265" s="100">
        <f t="shared" si="260"/>
        <v>0</v>
      </c>
      <c r="AI265" s="109"/>
      <c r="AJ265" s="108">
        <f t="shared" si="261"/>
        <v>0</v>
      </c>
      <c r="AK265" s="108">
        <f t="shared" si="262"/>
        <v>0</v>
      </c>
      <c r="AL265" s="108">
        <f t="shared" si="263"/>
        <v>0</v>
      </c>
      <c r="AN265" s="100">
        <v>15</v>
      </c>
      <c r="AO265" s="100">
        <f t="shared" si="264"/>
        <v>0</v>
      </c>
      <c r="AP265" s="100">
        <f t="shared" si="265"/>
        <v>0</v>
      </c>
      <c r="AQ265" s="111" t="s">
        <v>13</v>
      </c>
      <c r="AV265" s="100">
        <f t="shared" si="266"/>
        <v>0</v>
      </c>
      <c r="AW265" s="100">
        <f t="shared" si="267"/>
        <v>0</v>
      </c>
      <c r="AX265" s="100">
        <f t="shared" si="268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269"/>
        <v>0</v>
      </c>
      <c r="BD265" s="100">
        <f t="shared" si="270"/>
        <v>0</v>
      </c>
      <c r="BE265" s="100">
        <v>0</v>
      </c>
      <c r="BF265" s="100">
        <f>265</f>
        <v>265</v>
      </c>
      <c r="BH265" s="108">
        <f t="shared" si="271"/>
        <v>0</v>
      </c>
      <c r="BI265" s="108">
        <f t="shared" si="272"/>
        <v>0</v>
      </c>
      <c r="BJ265" s="108">
        <f t="shared" si="273"/>
        <v>0</v>
      </c>
    </row>
    <row r="266" spans="1:62" x14ac:dyDescent="0.2">
      <c r="A266" s="117" t="s">
        <v>230</v>
      </c>
      <c r="B266" s="117" t="s">
        <v>3093</v>
      </c>
      <c r="C266" s="304" t="s">
        <v>1342</v>
      </c>
      <c r="D266" s="305"/>
      <c r="E266" s="305"/>
      <c r="F266" s="117" t="s">
        <v>1646</v>
      </c>
      <c r="G266" s="116">
        <v>5</v>
      </c>
      <c r="H266" s="159"/>
      <c r="I266" s="108">
        <f t="shared" si="250"/>
        <v>0</v>
      </c>
      <c r="J266" s="108">
        <f t="shared" si="251"/>
        <v>0</v>
      </c>
      <c r="K266" s="108">
        <f t="shared" si="252"/>
        <v>0</v>
      </c>
      <c r="L266" s="111"/>
      <c r="Z266" s="100">
        <f t="shared" si="253"/>
        <v>0</v>
      </c>
      <c r="AB266" s="100">
        <f t="shared" si="254"/>
        <v>0</v>
      </c>
      <c r="AC266" s="100">
        <f t="shared" si="255"/>
        <v>0</v>
      </c>
      <c r="AD266" s="100">
        <f t="shared" si="256"/>
        <v>0</v>
      </c>
      <c r="AE266" s="100">
        <f t="shared" si="257"/>
        <v>0</v>
      </c>
      <c r="AF266" s="100">
        <f t="shared" si="258"/>
        <v>0</v>
      </c>
      <c r="AG266" s="100">
        <f t="shared" si="259"/>
        <v>0</v>
      </c>
      <c r="AH266" s="100">
        <f t="shared" si="260"/>
        <v>0</v>
      </c>
      <c r="AI266" s="109"/>
      <c r="AJ266" s="108">
        <f t="shared" si="261"/>
        <v>0</v>
      </c>
      <c r="AK266" s="108">
        <f t="shared" si="262"/>
        <v>0</v>
      </c>
      <c r="AL266" s="108">
        <f t="shared" si="263"/>
        <v>0</v>
      </c>
      <c r="AN266" s="100">
        <v>15</v>
      </c>
      <c r="AO266" s="100">
        <f t="shared" si="264"/>
        <v>0</v>
      </c>
      <c r="AP266" s="100">
        <f t="shared" si="265"/>
        <v>0</v>
      </c>
      <c r="AQ266" s="111" t="s">
        <v>13</v>
      </c>
      <c r="AV266" s="100">
        <f t="shared" si="266"/>
        <v>0</v>
      </c>
      <c r="AW266" s="100">
        <f t="shared" si="267"/>
        <v>0</v>
      </c>
      <c r="AX266" s="100">
        <f t="shared" si="268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269"/>
        <v>0</v>
      </c>
      <c r="BD266" s="100">
        <f t="shared" si="270"/>
        <v>0</v>
      </c>
      <c r="BE266" s="100">
        <v>0</v>
      </c>
      <c r="BF266" s="100">
        <f>266</f>
        <v>266</v>
      </c>
      <c r="BH266" s="108">
        <f t="shared" si="271"/>
        <v>0</v>
      </c>
      <c r="BI266" s="108">
        <f t="shared" si="272"/>
        <v>0</v>
      </c>
      <c r="BJ266" s="108">
        <f t="shared" si="273"/>
        <v>0</v>
      </c>
    </row>
    <row r="267" spans="1:62" x14ac:dyDescent="0.2">
      <c r="A267" s="117" t="s">
        <v>231</v>
      </c>
      <c r="B267" s="117" t="s">
        <v>3092</v>
      </c>
      <c r="C267" s="304" t="s">
        <v>1343</v>
      </c>
      <c r="D267" s="305"/>
      <c r="E267" s="305"/>
      <c r="F267" s="117" t="s">
        <v>1646</v>
      </c>
      <c r="G267" s="116">
        <v>9</v>
      </c>
      <c r="H267" s="159"/>
      <c r="I267" s="108">
        <f t="shared" si="250"/>
        <v>0</v>
      </c>
      <c r="J267" s="108">
        <f t="shared" si="251"/>
        <v>0</v>
      </c>
      <c r="K267" s="108">
        <f t="shared" si="252"/>
        <v>0</v>
      </c>
      <c r="L267" s="111"/>
      <c r="Z267" s="100">
        <f t="shared" si="253"/>
        <v>0</v>
      </c>
      <c r="AB267" s="100">
        <f t="shared" si="254"/>
        <v>0</v>
      </c>
      <c r="AC267" s="100">
        <f t="shared" si="255"/>
        <v>0</v>
      </c>
      <c r="AD267" s="100">
        <f t="shared" si="256"/>
        <v>0</v>
      </c>
      <c r="AE267" s="100">
        <f t="shared" si="257"/>
        <v>0</v>
      </c>
      <c r="AF267" s="100">
        <f t="shared" si="258"/>
        <v>0</v>
      </c>
      <c r="AG267" s="100">
        <f t="shared" si="259"/>
        <v>0</v>
      </c>
      <c r="AH267" s="100">
        <f t="shared" si="260"/>
        <v>0</v>
      </c>
      <c r="AI267" s="109"/>
      <c r="AJ267" s="108">
        <f t="shared" si="261"/>
        <v>0</v>
      </c>
      <c r="AK267" s="108">
        <f t="shared" si="262"/>
        <v>0</v>
      </c>
      <c r="AL267" s="108">
        <f t="shared" si="263"/>
        <v>0</v>
      </c>
      <c r="AN267" s="100">
        <v>15</v>
      </c>
      <c r="AO267" s="100">
        <f t="shared" si="264"/>
        <v>0</v>
      </c>
      <c r="AP267" s="100">
        <f t="shared" si="265"/>
        <v>0</v>
      </c>
      <c r="AQ267" s="111" t="s">
        <v>13</v>
      </c>
      <c r="AV267" s="100">
        <f t="shared" si="266"/>
        <v>0</v>
      </c>
      <c r="AW267" s="100">
        <f t="shared" si="267"/>
        <v>0</v>
      </c>
      <c r="AX267" s="100">
        <f t="shared" si="268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269"/>
        <v>0</v>
      </c>
      <c r="BD267" s="100">
        <f t="shared" si="270"/>
        <v>0</v>
      </c>
      <c r="BE267" s="100">
        <v>0</v>
      </c>
      <c r="BF267" s="100">
        <f>267</f>
        <v>267</v>
      </c>
      <c r="BH267" s="108">
        <f t="shared" si="271"/>
        <v>0</v>
      </c>
      <c r="BI267" s="108">
        <f t="shared" si="272"/>
        <v>0</v>
      </c>
      <c r="BJ267" s="108">
        <f t="shared" si="273"/>
        <v>0</v>
      </c>
    </row>
    <row r="268" spans="1:62" x14ac:dyDescent="0.2">
      <c r="A268" s="117" t="s">
        <v>232</v>
      </c>
      <c r="B268" s="117" t="s">
        <v>3091</v>
      </c>
      <c r="C268" s="304" t="s">
        <v>1344</v>
      </c>
      <c r="D268" s="305"/>
      <c r="E268" s="305"/>
      <c r="F268" s="117" t="s">
        <v>1646</v>
      </c>
      <c r="G268" s="116">
        <v>20</v>
      </c>
      <c r="H268" s="159"/>
      <c r="I268" s="108">
        <f t="shared" ref="I268:I279" si="274">G268*AO268</f>
        <v>0</v>
      </c>
      <c r="J268" s="108">
        <f t="shared" ref="J268:J279" si="275">G268*AP268</f>
        <v>0</v>
      </c>
      <c r="K268" s="108">
        <f t="shared" ref="K268:K279" si="276">G268*H268</f>
        <v>0</v>
      </c>
      <c r="L268" s="111"/>
      <c r="Z268" s="100">
        <f t="shared" ref="Z268:Z279" si="277">IF(AQ268="5",BJ268,0)</f>
        <v>0</v>
      </c>
      <c r="AB268" s="100">
        <f t="shared" ref="AB268:AB279" si="278">IF(AQ268="1",BH268,0)</f>
        <v>0</v>
      </c>
      <c r="AC268" s="100">
        <f t="shared" ref="AC268:AC279" si="279">IF(AQ268="1",BI268,0)</f>
        <v>0</v>
      </c>
      <c r="AD268" s="100">
        <f t="shared" ref="AD268:AD279" si="280">IF(AQ268="7",BH268,0)</f>
        <v>0</v>
      </c>
      <c r="AE268" s="100">
        <f t="shared" ref="AE268:AE279" si="281">IF(AQ268="7",BI268,0)</f>
        <v>0</v>
      </c>
      <c r="AF268" s="100">
        <f t="shared" ref="AF268:AF279" si="282">IF(AQ268="2",BH268,0)</f>
        <v>0</v>
      </c>
      <c r="AG268" s="100">
        <f t="shared" ref="AG268:AG279" si="283">IF(AQ268="2",BI268,0)</f>
        <v>0</v>
      </c>
      <c r="AH268" s="100">
        <f t="shared" ref="AH268:AH279" si="284">IF(AQ268="0",BJ268,0)</f>
        <v>0</v>
      </c>
      <c r="AI268" s="109"/>
      <c r="AJ268" s="108">
        <f t="shared" ref="AJ268:AJ279" si="285">IF(AN268=0,K268,0)</f>
        <v>0</v>
      </c>
      <c r="AK268" s="108">
        <f t="shared" ref="AK268:AK279" si="286">IF(AN268=15,K268,0)</f>
        <v>0</v>
      </c>
      <c r="AL268" s="108">
        <f t="shared" ref="AL268:AL279" si="287">IF(AN268=21,K268,0)</f>
        <v>0</v>
      </c>
      <c r="AN268" s="100">
        <v>15</v>
      </c>
      <c r="AO268" s="100">
        <f t="shared" ref="AO268:AO279" si="288">H268*0</f>
        <v>0</v>
      </c>
      <c r="AP268" s="100">
        <f t="shared" ref="AP268:AP279" si="289">H268*(1-0)</f>
        <v>0</v>
      </c>
      <c r="AQ268" s="111" t="s">
        <v>13</v>
      </c>
      <c r="AV268" s="100">
        <f t="shared" ref="AV268:AV279" si="290">AW268+AX268</f>
        <v>0</v>
      </c>
      <c r="AW268" s="100">
        <f t="shared" ref="AW268:AW279" si="291">G268*AO268</f>
        <v>0</v>
      </c>
      <c r="AX268" s="100">
        <f t="shared" ref="AX268:AX279" si="292">G268*AP268</f>
        <v>0</v>
      </c>
      <c r="AY268" s="110" t="s">
        <v>1709</v>
      </c>
      <c r="AZ268" s="110" t="s">
        <v>1733</v>
      </c>
      <c r="BA268" s="109" t="s">
        <v>1737</v>
      </c>
      <c r="BC268" s="100">
        <f t="shared" ref="BC268:BC279" si="293">AW268+AX268</f>
        <v>0</v>
      </c>
      <c r="BD268" s="100">
        <f t="shared" ref="BD268:BD279" si="294">H268/(100-BE268)*100</f>
        <v>0</v>
      </c>
      <c r="BE268" s="100">
        <v>0</v>
      </c>
      <c r="BF268" s="100">
        <f>268</f>
        <v>268</v>
      </c>
      <c r="BH268" s="108">
        <f t="shared" ref="BH268:BH279" si="295">G268*AO268</f>
        <v>0</v>
      </c>
      <c r="BI268" s="108">
        <f t="shared" ref="BI268:BI279" si="296">G268*AP268</f>
        <v>0</v>
      </c>
      <c r="BJ268" s="108">
        <f t="shared" ref="BJ268:BJ279" si="297">G268*H268</f>
        <v>0</v>
      </c>
    </row>
    <row r="269" spans="1:62" x14ac:dyDescent="0.2">
      <c r="A269" s="117" t="s">
        <v>233</v>
      </c>
      <c r="B269" s="117" t="s">
        <v>3090</v>
      </c>
      <c r="C269" s="304" t="s">
        <v>1345</v>
      </c>
      <c r="D269" s="305"/>
      <c r="E269" s="305"/>
      <c r="F269" s="117" t="s">
        <v>1646</v>
      </c>
      <c r="G269" s="116">
        <v>20</v>
      </c>
      <c r="H269" s="159"/>
      <c r="I269" s="108">
        <f t="shared" si="274"/>
        <v>0</v>
      </c>
      <c r="J269" s="108">
        <f t="shared" si="275"/>
        <v>0</v>
      </c>
      <c r="K269" s="108">
        <f t="shared" si="276"/>
        <v>0</v>
      </c>
      <c r="L269" s="111"/>
      <c r="Z269" s="100">
        <f t="shared" si="277"/>
        <v>0</v>
      </c>
      <c r="AB269" s="100">
        <f t="shared" si="278"/>
        <v>0</v>
      </c>
      <c r="AC269" s="100">
        <f t="shared" si="279"/>
        <v>0</v>
      </c>
      <c r="AD269" s="100">
        <f t="shared" si="280"/>
        <v>0</v>
      </c>
      <c r="AE269" s="100">
        <f t="shared" si="281"/>
        <v>0</v>
      </c>
      <c r="AF269" s="100">
        <f t="shared" si="282"/>
        <v>0</v>
      </c>
      <c r="AG269" s="100">
        <f t="shared" si="283"/>
        <v>0</v>
      </c>
      <c r="AH269" s="100">
        <f t="shared" si="284"/>
        <v>0</v>
      </c>
      <c r="AI269" s="109"/>
      <c r="AJ269" s="108">
        <f t="shared" si="285"/>
        <v>0</v>
      </c>
      <c r="AK269" s="108">
        <f t="shared" si="286"/>
        <v>0</v>
      </c>
      <c r="AL269" s="108">
        <f t="shared" si="287"/>
        <v>0</v>
      </c>
      <c r="AN269" s="100">
        <v>15</v>
      </c>
      <c r="AO269" s="100">
        <f t="shared" si="288"/>
        <v>0</v>
      </c>
      <c r="AP269" s="100">
        <f t="shared" si="289"/>
        <v>0</v>
      </c>
      <c r="AQ269" s="111" t="s">
        <v>13</v>
      </c>
      <c r="AV269" s="100">
        <f t="shared" si="290"/>
        <v>0</v>
      </c>
      <c r="AW269" s="100">
        <f t="shared" si="291"/>
        <v>0</v>
      </c>
      <c r="AX269" s="100">
        <f t="shared" si="292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293"/>
        <v>0</v>
      </c>
      <c r="BD269" s="100">
        <f t="shared" si="294"/>
        <v>0</v>
      </c>
      <c r="BE269" s="100">
        <v>0</v>
      </c>
      <c r="BF269" s="100">
        <f>269</f>
        <v>269</v>
      </c>
      <c r="BH269" s="108">
        <f t="shared" si="295"/>
        <v>0</v>
      </c>
      <c r="BI269" s="108">
        <f t="shared" si="296"/>
        <v>0</v>
      </c>
      <c r="BJ269" s="108">
        <f t="shared" si="297"/>
        <v>0</v>
      </c>
    </row>
    <row r="270" spans="1:62" x14ac:dyDescent="0.2">
      <c r="A270" s="117" t="s">
        <v>234</v>
      </c>
      <c r="B270" s="117" t="s">
        <v>3089</v>
      </c>
      <c r="C270" s="304" t="s">
        <v>1346</v>
      </c>
      <c r="D270" s="305"/>
      <c r="E270" s="305"/>
      <c r="F270" s="117" t="s">
        <v>1644</v>
      </c>
      <c r="G270" s="116">
        <v>1</v>
      </c>
      <c r="H270" s="159"/>
      <c r="I270" s="108">
        <f t="shared" si="274"/>
        <v>0</v>
      </c>
      <c r="J270" s="108">
        <f t="shared" si="275"/>
        <v>0</v>
      </c>
      <c r="K270" s="108">
        <f t="shared" si="276"/>
        <v>0</v>
      </c>
      <c r="L270" s="111"/>
      <c r="Z270" s="100">
        <f t="shared" si="277"/>
        <v>0</v>
      </c>
      <c r="AB270" s="100">
        <f t="shared" si="278"/>
        <v>0</v>
      </c>
      <c r="AC270" s="100">
        <f t="shared" si="279"/>
        <v>0</v>
      </c>
      <c r="AD270" s="100">
        <f t="shared" si="280"/>
        <v>0</v>
      </c>
      <c r="AE270" s="100">
        <f t="shared" si="281"/>
        <v>0</v>
      </c>
      <c r="AF270" s="100">
        <f t="shared" si="282"/>
        <v>0</v>
      </c>
      <c r="AG270" s="100">
        <f t="shared" si="283"/>
        <v>0</v>
      </c>
      <c r="AH270" s="100">
        <f t="shared" si="284"/>
        <v>0</v>
      </c>
      <c r="AI270" s="109"/>
      <c r="AJ270" s="108">
        <f t="shared" si="285"/>
        <v>0</v>
      </c>
      <c r="AK270" s="108">
        <f t="shared" si="286"/>
        <v>0</v>
      </c>
      <c r="AL270" s="108">
        <f t="shared" si="287"/>
        <v>0</v>
      </c>
      <c r="AN270" s="100">
        <v>15</v>
      </c>
      <c r="AO270" s="100">
        <f t="shared" si="288"/>
        <v>0</v>
      </c>
      <c r="AP270" s="100">
        <f t="shared" si="289"/>
        <v>0</v>
      </c>
      <c r="AQ270" s="111" t="s">
        <v>13</v>
      </c>
      <c r="AV270" s="100">
        <f t="shared" si="290"/>
        <v>0</v>
      </c>
      <c r="AW270" s="100">
        <f t="shared" si="291"/>
        <v>0</v>
      </c>
      <c r="AX270" s="100">
        <f t="shared" si="292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293"/>
        <v>0</v>
      </c>
      <c r="BD270" s="100">
        <f t="shared" si="294"/>
        <v>0</v>
      </c>
      <c r="BE270" s="100">
        <v>0</v>
      </c>
      <c r="BF270" s="100">
        <f>270</f>
        <v>270</v>
      </c>
      <c r="BH270" s="108">
        <f t="shared" si="295"/>
        <v>0</v>
      </c>
      <c r="BI270" s="108">
        <f t="shared" si="296"/>
        <v>0</v>
      </c>
      <c r="BJ270" s="108">
        <f t="shared" si="297"/>
        <v>0</v>
      </c>
    </row>
    <row r="271" spans="1:62" x14ac:dyDescent="0.2">
      <c r="A271" s="117" t="s">
        <v>235</v>
      </c>
      <c r="B271" s="117" t="s">
        <v>3088</v>
      </c>
      <c r="C271" s="304" t="s">
        <v>1253</v>
      </c>
      <c r="D271" s="305"/>
      <c r="E271" s="305"/>
      <c r="F271" s="117" t="s">
        <v>1644</v>
      </c>
      <c r="G271" s="116">
        <v>1</v>
      </c>
      <c r="H271" s="159"/>
      <c r="I271" s="108">
        <f t="shared" si="274"/>
        <v>0</v>
      </c>
      <c r="J271" s="108">
        <f t="shared" si="275"/>
        <v>0</v>
      </c>
      <c r="K271" s="108">
        <f t="shared" si="276"/>
        <v>0</v>
      </c>
      <c r="L271" s="111"/>
      <c r="Z271" s="100">
        <f t="shared" si="277"/>
        <v>0</v>
      </c>
      <c r="AB271" s="100">
        <f t="shared" si="278"/>
        <v>0</v>
      </c>
      <c r="AC271" s="100">
        <f t="shared" si="279"/>
        <v>0</v>
      </c>
      <c r="AD271" s="100">
        <f t="shared" si="280"/>
        <v>0</v>
      </c>
      <c r="AE271" s="100">
        <f t="shared" si="281"/>
        <v>0</v>
      </c>
      <c r="AF271" s="100">
        <f t="shared" si="282"/>
        <v>0</v>
      </c>
      <c r="AG271" s="100">
        <f t="shared" si="283"/>
        <v>0</v>
      </c>
      <c r="AH271" s="100">
        <f t="shared" si="284"/>
        <v>0</v>
      </c>
      <c r="AI271" s="109"/>
      <c r="AJ271" s="108">
        <f t="shared" si="285"/>
        <v>0</v>
      </c>
      <c r="AK271" s="108">
        <f t="shared" si="286"/>
        <v>0</v>
      </c>
      <c r="AL271" s="108">
        <f t="shared" si="287"/>
        <v>0</v>
      </c>
      <c r="AN271" s="100">
        <v>15</v>
      </c>
      <c r="AO271" s="100">
        <f t="shared" si="288"/>
        <v>0</v>
      </c>
      <c r="AP271" s="100">
        <f t="shared" si="289"/>
        <v>0</v>
      </c>
      <c r="AQ271" s="111" t="s">
        <v>13</v>
      </c>
      <c r="AV271" s="100">
        <f t="shared" si="290"/>
        <v>0</v>
      </c>
      <c r="AW271" s="100">
        <f t="shared" si="291"/>
        <v>0</v>
      </c>
      <c r="AX271" s="100">
        <f t="shared" si="292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293"/>
        <v>0</v>
      </c>
      <c r="BD271" s="100">
        <f t="shared" si="294"/>
        <v>0</v>
      </c>
      <c r="BE271" s="100">
        <v>0</v>
      </c>
      <c r="BF271" s="100">
        <f>271</f>
        <v>271</v>
      </c>
      <c r="BH271" s="108">
        <f t="shared" si="295"/>
        <v>0</v>
      </c>
      <c r="BI271" s="108">
        <f t="shared" si="296"/>
        <v>0</v>
      </c>
      <c r="BJ271" s="108">
        <f t="shared" si="297"/>
        <v>0</v>
      </c>
    </row>
    <row r="272" spans="1:62" x14ac:dyDescent="0.2">
      <c r="A272" s="117" t="s">
        <v>236</v>
      </c>
      <c r="B272" s="117" t="s">
        <v>3087</v>
      </c>
      <c r="C272" s="304" t="s">
        <v>1347</v>
      </c>
      <c r="D272" s="305"/>
      <c r="E272" s="305"/>
      <c r="F272" s="117" t="s">
        <v>1646</v>
      </c>
      <c r="G272" s="116">
        <v>82</v>
      </c>
      <c r="H272" s="159"/>
      <c r="I272" s="108">
        <f t="shared" si="274"/>
        <v>0</v>
      </c>
      <c r="J272" s="108">
        <f t="shared" si="275"/>
        <v>0</v>
      </c>
      <c r="K272" s="108">
        <f t="shared" si="276"/>
        <v>0</v>
      </c>
      <c r="L272" s="111"/>
      <c r="Z272" s="100">
        <f t="shared" si="277"/>
        <v>0</v>
      </c>
      <c r="AB272" s="100">
        <f t="shared" si="278"/>
        <v>0</v>
      </c>
      <c r="AC272" s="100">
        <f t="shared" si="279"/>
        <v>0</v>
      </c>
      <c r="AD272" s="100">
        <f t="shared" si="280"/>
        <v>0</v>
      </c>
      <c r="AE272" s="100">
        <f t="shared" si="281"/>
        <v>0</v>
      </c>
      <c r="AF272" s="100">
        <f t="shared" si="282"/>
        <v>0</v>
      </c>
      <c r="AG272" s="100">
        <f t="shared" si="283"/>
        <v>0</v>
      </c>
      <c r="AH272" s="100">
        <f t="shared" si="284"/>
        <v>0</v>
      </c>
      <c r="AI272" s="109"/>
      <c r="AJ272" s="108">
        <f t="shared" si="285"/>
        <v>0</v>
      </c>
      <c r="AK272" s="108">
        <f t="shared" si="286"/>
        <v>0</v>
      </c>
      <c r="AL272" s="108">
        <f t="shared" si="287"/>
        <v>0</v>
      </c>
      <c r="AN272" s="100">
        <v>15</v>
      </c>
      <c r="AO272" s="100">
        <f t="shared" si="288"/>
        <v>0</v>
      </c>
      <c r="AP272" s="100">
        <f t="shared" si="289"/>
        <v>0</v>
      </c>
      <c r="AQ272" s="111" t="s">
        <v>13</v>
      </c>
      <c r="AV272" s="100">
        <f t="shared" si="290"/>
        <v>0</v>
      </c>
      <c r="AW272" s="100">
        <f t="shared" si="291"/>
        <v>0</v>
      </c>
      <c r="AX272" s="100">
        <f t="shared" si="292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293"/>
        <v>0</v>
      </c>
      <c r="BD272" s="100">
        <f t="shared" si="294"/>
        <v>0</v>
      </c>
      <c r="BE272" s="100">
        <v>0</v>
      </c>
      <c r="BF272" s="100">
        <f>272</f>
        <v>272</v>
      </c>
      <c r="BH272" s="108">
        <f t="shared" si="295"/>
        <v>0</v>
      </c>
      <c r="BI272" s="108">
        <f t="shared" si="296"/>
        <v>0</v>
      </c>
      <c r="BJ272" s="108">
        <f t="shared" si="297"/>
        <v>0</v>
      </c>
    </row>
    <row r="273" spans="1:62" x14ac:dyDescent="0.2">
      <c r="A273" s="117" t="s">
        <v>237</v>
      </c>
      <c r="B273" s="117" t="s">
        <v>3086</v>
      </c>
      <c r="C273" s="304" t="s">
        <v>1348</v>
      </c>
      <c r="D273" s="305"/>
      <c r="E273" s="305"/>
      <c r="F273" s="117" t="s">
        <v>1644</v>
      </c>
      <c r="G273" s="116">
        <v>1</v>
      </c>
      <c r="H273" s="159"/>
      <c r="I273" s="108">
        <f t="shared" si="274"/>
        <v>0</v>
      </c>
      <c r="J273" s="108">
        <f t="shared" si="275"/>
        <v>0</v>
      </c>
      <c r="K273" s="108">
        <f t="shared" si="276"/>
        <v>0</v>
      </c>
      <c r="L273" s="111"/>
      <c r="Z273" s="100">
        <f t="shared" si="277"/>
        <v>0</v>
      </c>
      <c r="AB273" s="100">
        <f t="shared" si="278"/>
        <v>0</v>
      </c>
      <c r="AC273" s="100">
        <f t="shared" si="279"/>
        <v>0</v>
      </c>
      <c r="AD273" s="100">
        <f t="shared" si="280"/>
        <v>0</v>
      </c>
      <c r="AE273" s="100">
        <f t="shared" si="281"/>
        <v>0</v>
      </c>
      <c r="AF273" s="100">
        <f t="shared" si="282"/>
        <v>0</v>
      </c>
      <c r="AG273" s="100">
        <f t="shared" si="283"/>
        <v>0</v>
      </c>
      <c r="AH273" s="100">
        <f t="shared" si="284"/>
        <v>0</v>
      </c>
      <c r="AI273" s="109"/>
      <c r="AJ273" s="108">
        <f t="shared" si="285"/>
        <v>0</v>
      </c>
      <c r="AK273" s="108">
        <f t="shared" si="286"/>
        <v>0</v>
      </c>
      <c r="AL273" s="108">
        <f t="shared" si="287"/>
        <v>0</v>
      </c>
      <c r="AN273" s="100">
        <v>15</v>
      </c>
      <c r="AO273" s="100">
        <f t="shared" si="288"/>
        <v>0</v>
      </c>
      <c r="AP273" s="100">
        <f t="shared" si="289"/>
        <v>0</v>
      </c>
      <c r="AQ273" s="111" t="s">
        <v>13</v>
      </c>
      <c r="AV273" s="100">
        <f t="shared" si="290"/>
        <v>0</v>
      </c>
      <c r="AW273" s="100">
        <f t="shared" si="291"/>
        <v>0</v>
      </c>
      <c r="AX273" s="100">
        <f t="shared" si="292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293"/>
        <v>0</v>
      </c>
      <c r="BD273" s="100">
        <f t="shared" si="294"/>
        <v>0</v>
      </c>
      <c r="BE273" s="100">
        <v>0</v>
      </c>
      <c r="BF273" s="100">
        <f>273</f>
        <v>273</v>
      </c>
      <c r="BH273" s="108">
        <f t="shared" si="295"/>
        <v>0</v>
      </c>
      <c r="BI273" s="108">
        <f t="shared" si="296"/>
        <v>0</v>
      </c>
      <c r="BJ273" s="108">
        <f t="shared" si="297"/>
        <v>0</v>
      </c>
    </row>
    <row r="274" spans="1:62" x14ac:dyDescent="0.2">
      <c r="A274" s="117" t="s">
        <v>238</v>
      </c>
      <c r="B274" s="117" t="s">
        <v>3085</v>
      </c>
      <c r="C274" s="304" t="s">
        <v>1349</v>
      </c>
      <c r="D274" s="305"/>
      <c r="E274" s="305"/>
      <c r="F274" s="117" t="s">
        <v>1644</v>
      </c>
      <c r="G274" s="116">
        <v>2</v>
      </c>
      <c r="H274" s="159"/>
      <c r="I274" s="108">
        <f t="shared" si="274"/>
        <v>0</v>
      </c>
      <c r="J274" s="108">
        <f t="shared" si="275"/>
        <v>0</v>
      </c>
      <c r="K274" s="108">
        <f t="shared" si="276"/>
        <v>0</v>
      </c>
      <c r="L274" s="111"/>
      <c r="Z274" s="100">
        <f t="shared" si="277"/>
        <v>0</v>
      </c>
      <c r="AB274" s="100">
        <f t="shared" si="278"/>
        <v>0</v>
      </c>
      <c r="AC274" s="100">
        <f t="shared" si="279"/>
        <v>0</v>
      </c>
      <c r="AD274" s="100">
        <f t="shared" si="280"/>
        <v>0</v>
      </c>
      <c r="AE274" s="100">
        <f t="shared" si="281"/>
        <v>0</v>
      </c>
      <c r="AF274" s="100">
        <f t="shared" si="282"/>
        <v>0</v>
      </c>
      <c r="AG274" s="100">
        <f t="shared" si="283"/>
        <v>0</v>
      </c>
      <c r="AH274" s="100">
        <f t="shared" si="284"/>
        <v>0</v>
      </c>
      <c r="AI274" s="109"/>
      <c r="AJ274" s="108">
        <f t="shared" si="285"/>
        <v>0</v>
      </c>
      <c r="AK274" s="108">
        <f t="shared" si="286"/>
        <v>0</v>
      </c>
      <c r="AL274" s="108">
        <f t="shared" si="287"/>
        <v>0</v>
      </c>
      <c r="AN274" s="100">
        <v>15</v>
      </c>
      <c r="AO274" s="100">
        <f t="shared" si="288"/>
        <v>0</v>
      </c>
      <c r="AP274" s="100">
        <f t="shared" si="289"/>
        <v>0</v>
      </c>
      <c r="AQ274" s="111" t="s">
        <v>13</v>
      </c>
      <c r="AV274" s="100">
        <f t="shared" si="290"/>
        <v>0</v>
      </c>
      <c r="AW274" s="100">
        <f t="shared" si="291"/>
        <v>0</v>
      </c>
      <c r="AX274" s="100">
        <f t="shared" si="292"/>
        <v>0</v>
      </c>
      <c r="AY274" s="110" t="s">
        <v>1709</v>
      </c>
      <c r="AZ274" s="110" t="s">
        <v>1733</v>
      </c>
      <c r="BA274" s="109" t="s">
        <v>1737</v>
      </c>
      <c r="BC274" s="100">
        <f t="shared" si="293"/>
        <v>0</v>
      </c>
      <c r="BD274" s="100">
        <f t="shared" si="294"/>
        <v>0</v>
      </c>
      <c r="BE274" s="100">
        <v>0</v>
      </c>
      <c r="BF274" s="100">
        <f>274</f>
        <v>274</v>
      </c>
      <c r="BH274" s="108">
        <f t="shared" si="295"/>
        <v>0</v>
      </c>
      <c r="BI274" s="108">
        <f t="shared" si="296"/>
        <v>0</v>
      </c>
      <c r="BJ274" s="108">
        <f t="shared" si="297"/>
        <v>0</v>
      </c>
    </row>
    <row r="275" spans="1:62" x14ac:dyDescent="0.2">
      <c r="A275" s="117" t="s">
        <v>239</v>
      </c>
      <c r="B275" s="117" t="s">
        <v>3084</v>
      </c>
      <c r="C275" s="304" t="s">
        <v>1350</v>
      </c>
      <c r="D275" s="305"/>
      <c r="E275" s="305"/>
      <c r="F275" s="117" t="s">
        <v>1644</v>
      </c>
      <c r="G275" s="116">
        <v>1</v>
      </c>
      <c r="H275" s="159"/>
      <c r="I275" s="108">
        <f t="shared" si="274"/>
        <v>0</v>
      </c>
      <c r="J275" s="108">
        <f t="shared" si="275"/>
        <v>0</v>
      </c>
      <c r="K275" s="108">
        <f t="shared" si="276"/>
        <v>0</v>
      </c>
      <c r="L275" s="111"/>
      <c r="Z275" s="100">
        <f t="shared" si="277"/>
        <v>0</v>
      </c>
      <c r="AB275" s="100">
        <f t="shared" si="278"/>
        <v>0</v>
      </c>
      <c r="AC275" s="100">
        <f t="shared" si="279"/>
        <v>0</v>
      </c>
      <c r="AD275" s="100">
        <f t="shared" si="280"/>
        <v>0</v>
      </c>
      <c r="AE275" s="100">
        <f t="shared" si="281"/>
        <v>0</v>
      </c>
      <c r="AF275" s="100">
        <f t="shared" si="282"/>
        <v>0</v>
      </c>
      <c r="AG275" s="100">
        <f t="shared" si="283"/>
        <v>0</v>
      </c>
      <c r="AH275" s="100">
        <f t="shared" si="284"/>
        <v>0</v>
      </c>
      <c r="AI275" s="109"/>
      <c r="AJ275" s="108">
        <f t="shared" si="285"/>
        <v>0</v>
      </c>
      <c r="AK275" s="108">
        <f t="shared" si="286"/>
        <v>0</v>
      </c>
      <c r="AL275" s="108">
        <f t="shared" si="287"/>
        <v>0</v>
      </c>
      <c r="AN275" s="100">
        <v>15</v>
      </c>
      <c r="AO275" s="100">
        <f t="shared" si="288"/>
        <v>0</v>
      </c>
      <c r="AP275" s="100">
        <f t="shared" si="289"/>
        <v>0</v>
      </c>
      <c r="AQ275" s="111" t="s">
        <v>13</v>
      </c>
      <c r="AV275" s="100">
        <f t="shared" si="290"/>
        <v>0</v>
      </c>
      <c r="AW275" s="100">
        <f t="shared" si="291"/>
        <v>0</v>
      </c>
      <c r="AX275" s="100">
        <f t="shared" si="292"/>
        <v>0</v>
      </c>
      <c r="AY275" s="110" t="s">
        <v>1709</v>
      </c>
      <c r="AZ275" s="110" t="s">
        <v>1733</v>
      </c>
      <c r="BA275" s="109" t="s">
        <v>1737</v>
      </c>
      <c r="BC275" s="100">
        <f t="shared" si="293"/>
        <v>0</v>
      </c>
      <c r="BD275" s="100">
        <f t="shared" si="294"/>
        <v>0</v>
      </c>
      <c r="BE275" s="100">
        <v>0</v>
      </c>
      <c r="BF275" s="100">
        <f>275</f>
        <v>275</v>
      </c>
      <c r="BH275" s="108">
        <f t="shared" si="295"/>
        <v>0</v>
      </c>
      <c r="BI275" s="108">
        <f t="shared" si="296"/>
        <v>0</v>
      </c>
      <c r="BJ275" s="108">
        <f t="shared" si="297"/>
        <v>0</v>
      </c>
    </row>
    <row r="276" spans="1:62" x14ac:dyDescent="0.2">
      <c r="A276" s="117" t="s">
        <v>240</v>
      </c>
      <c r="B276" s="117" t="s">
        <v>3083</v>
      </c>
      <c r="C276" s="304" t="s">
        <v>1351</v>
      </c>
      <c r="D276" s="305"/>
      <c r="E276" s="305"/>
      <c r="F276" s="117" t="s">
        <v>1644</v>
      </c>
      <c r="G276" s="116">
        <v>1</v>
      </c>
      <c r="H276" s="159"/>
      <c r="I276" s="108">
        <f t="shared" si="274"/>
        <v>0</v>
      </c>
      <c r="J276" s="108">
        <f t="shared" si="275"/>
        <v>0</v>
      </c>
      <c r="K276" s="108">
        <f t="shared" si="276"/>
        <v>0</v>
      </c>
      <c r="L276" s="111"/>
      <c r="Z276" s="100">
        <f t="shared" si="277"/>
        <v>0</v>
      </c>
      <c r="AB276" s="100">
        <f t="shared" si="278"/>
        <v>0</v>
      </c>
      <c r="AC276" s="100">
        <f t="shared" si="279"/>
        <v>0</v>
      </c>
      <c r="AD276" s="100">
        <f t="shared" si="280"/>
        <v>0</v>
      </c>
      <c r="AE276" s="100">
        <f t="shared" si="281"/>
        <v>0</v>
      </c>
      <c r="AF276" s="100">
        <f t="shared" si="282"/>
        <v>0</v>
      </c>
      <c r="AG276" s="100">
        <f t="shared" si="283"/>
        <v>0</v>
      </c>
      <c r="AH276" s="100">
        <f t="shared" si="284"/>
        <v>0</v>
      </c>
      <c r="AI276" s="109"/>
      <c r="AJ276" s="108">
        <f t="shared" si="285"/>
        <v>0</v>
      </c>
      <c r="AK276" s="108">
        <f t="shared" si="286"/>
        <v>0</v>
      </c>
      <c r="AL276" s="108">
        <f t="shared" si="287"/>
        <v>0</v>
      </c>
      <c r="AN276" s="100">
        <v>15</v>
      </c>
      <c r="AO276" s="100">
        <f t="shared" si="288"/>
        <v>0</v>
      </c>
      <c r="AP276" s="100">
        <f t="shared" si="289"/>
        <v>0</v>
      </c>
      <c r="AQ276" s="111" t="s">
        <v>13</v>
      </c>
      <c r="AV276" s="100">
        <f t="shared" si="290"/>
        <v>0</v>
      </c>
      <c r="AW276" s="100">
        <f t="shared" si="291"/>
        <v>0</v>
      </c>
      <c r="AX276" s="100">
        <f t="shared" si="292"/>
        <v>0</v>
      </c>
      <c r="AY276" s="110" t="s">
        <v>1709</v>
      </c>
      <c r="AZ276" s="110" t="s">
        <v>1733</v>
      </c>
      <c r="BA276" s="109" t="s">
        <v>1737</v>
      </c>
      <c r="BC276" s="100">
        <f t="shared" si="293"/>
        <v>0</v>
      </c>
      <c r="BD276" s="100">
        <f t="shared" si="294"/>
        <v>0</v>
      </c>
      <c r="BE276" s="100">
        <v>0</v>
      </c>
      <c r="BF276" s="100">
        <f>276</f>
        <v>276</v>
      </c>
      <c r="BH276" s="108">
        <f t="shared" si="295"/>
        <v>0</v>
      </c>
      <c r="BI276" s="108">
        <f t="shared" si="296"/>
        <v>0</v>
      </c>
      <c r="BJ276" s="108">
        <f t="shared" si="297"/>
        <v>0</v>
      </c>
    </row>
    <row r="277" spans="1:62" x14ac:dyDescent="0.2">
      <c r="A277" s="117" t="s">
        <v>241</v>
      </c>
      <c r="B277" s="117" t="s">
        <v>3082</v>
      </c>
      <c r="C277" s="304" t="s">
        <v>1352</v>
      </c>
      <c r="D277" s="305"/>
      <c r="E277" s="305"/>
      <c r="F277" s="117" t="s">
        <v>1644</v>
      </c>
      <c r="G277" s="116">
        <v>16</v>
      </c>
      <c r="H277" s="159"/>
      <c r="I277" s="108">
        <f t="shared" si="274"/>
        <v>0</v>
      </c>
      <c r="J277" s="108">
        <f t="shared" si="275"/>
        <v>0</v>
      </c>
      <c r="K277" s="108">
        <f t="shared" si="276"/>
        <v>0</v>
      </c>
      <c r="L277" s="111"/>
      <c r="Z277" s="100">
        <f t="shared" si="277"/>
        <v>0</v>
      </c>
      <c r="AB277" s="100">
        <f t="shared" si="278"/>
        <v>0</v>
      </c>
      <c r="AC277" s="100">
        <f t="shared" si="279"/>
        <v>0</v>
      </c>
      <c r="AD277" s="100">
        <f t="shared" si="280"/>
        <v>0</v>
      </c>
      <c r="AE277" s="100">
        <f t="shared" si="281"/>
        <v>0</v>
      </c>
      <c r="AF277" s="100">
        <f t="shared" si="282"/>
        <v>0</v>
      </c>
      <c r="AG277" s="100">
        <f t="shared" si="283"/>
        <v>0</v>
      </c>
      <c r="AH277" s="100">
        <f t="shared" si="284"/>
        <v>0</v>
      </c>
      <c r="AI277" s="109"/>
      <c r="AJ277" s="108">
        <f t="shared" si="285"/>
        <v>0</v>
      </c>
      <c r="AK277" s="108">
        <f t="shared" si="286"/>
        <v>0</v>
      </c>
      <c r="AL277" s="108">
        <f t="shared" si="287"/>
        <v>0</v>
      </c>
      <c r="AN277" s="100">
        <v>15</v>
      </c>
      <c r="AO277" s="100">
        <f t="shared" si="288"/>
        <v>0</v>
      </c>
      <c r="AP277" s="100">
        <f t="shared" si="289"/>
        <v>0</v>
      </c>
      <c r="AQ277" s="111" t="s">
        <v>13</v>
      </c>
      <c r="AV277" s="100">
        <f t="shared" si="290"/>
        <v>0</v>
      </c>
      <c r="AW277" s="100">
        <f t="shared" si="291"/>
        <v>0</v>
      </c>
      <c r="AX277" s="100">
        <f t="shared" si="292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293"/>
        <v>0</v>
      </c>
      <c r="BD277" s="100">
        <f t="shared" si="294"/>
        <v>0</v>
      </c>
      <c r="BE277" s="100">
        <v>0</v>
      </c>
      <c r="BF277" s="100">
        <f>277</f>
        <v>277</v>
      </c>
      <c r="BH277" s="108">
        <f t="shared" si="295"/>
        <v>0</v>
      </c>
      <c r="BI277" s="108">
        <f t="shared" si="296"/>
        <v>0</v>
      </c>
      <c r="BJ277" s="108">
        <f t="shared" si="297"/>
        <v>0</v>
      </c>
    </row>
    <row r="278" spans="1:62" x14ac:dyDescent="0.2">
      <c r="A278" s="117" t="s">
        <v>242</v>
      </c>
      <c r="B278" s="117" t="s">
        <v>3081</v>
      </c>
      <c r="C278" s="304" t="s">
        <v>1353</v>
      </c>
      <c r="D278" s="305"/>
      <c r="E278" s="305"/>
      <c r="F278" s="117" t="s">
        <v>1644</v>
      </c>
      <c r="G278" s="116">
        <v>1</v>
      </c>
      <c r="H278" s="159"/>
      <c r="I278" s="108">
        <f t="shared" si="274"/>
        <v>0</v>
      </c>
      <c r="J278" s="108">
        <f t="shared" si="275"/>
        <v>0</v>
      </c>
      <c r="K278" s="108">
        <f t="shared" si="276"/>
        <v>0</v>
      </c>
      <c r="L278" s="111"/>
      <c r="Z278" s="100">
        <f t="shared" si="277"/>
        <v>0</v>
      </c>
      <c r="AB278" s="100">
        <f t="shared" si="278"/>
        <v>0</v>
      </c>
      <c r="AC278" s="100">
        <f t="shared" si="279"/>
        <v>0</v>
      </c>
      <c r="AD278" s="100">
        <f t="shared" si="280"/>
        <v>0</v>
      </c>
      <c r="AE278" s="100">
        <f t="shared" si="281"/>
        <v>0</v>
      </c>
      <c r="AF278" s="100">
        <f t="shared" si="282"/>
        <v>0</v>
      </c>
      <c r="AG278" s="100">
        <f t="shared" si="283"/>
        <v>0</v>
      </c>
      <c r="AH278" s="100">
        <f t="shared" si="284"/>
        <v>0</v>
      </c>
      <c r="AI278" s="109"/>
      <c r="AJ278" s="108">
        <f t="shared" si="285"/>
        <v>0</v>
      </c>
      <c r="AK278" s="108">
        <f t="shared" si="286"/>
        <v>0</v>
      </c>
      <c r="AL278" s="108">
        <f t="shared" si="287"/>
        <v>0</v>
      </c>
      <c r="AN278" s="100">
        <v>15</v>
      </c>
      <c r="AO278" s="100">
        <f t="shared" si="288"/>
        <v>0</v>
      </c>
      <c r="AP278" s="100">
        <f t="shared" si="289"/>
        <v>0</v>
      </c>
      <c r="AQ278" s="111" t="s">
        <v>13</v>
      </c>
      <c r="AV278" s="100">
        <f t="shared" si="290"/>
        <v>0</v>
      </c>
      <c r="AW278" s="100">
        <f t="shared" si="291"/>
        <v>0</v>
      </c>
      <c r="AX278" s="100">
        <f t="shared" si="292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293"/>
        <v>0</v>
      </c>
      <c r="BD278" s="100">
        <f t="shared" si="294"/>
        <v>0</v>
      </c>
      <c r="BE278" s="100">
        <v>0</v>
      </c>
      <c r="BF278" s="100">
        <f>278</f>
        <v>278</v>
      </c>
      <c r="BH278" s="108">
        <f t="shared" si="295"/>
        <v>0</v>
      </c>
      <c r="BI278" s="108">
        <f t="shared" si="296"/>
        <v>0</v>
      </c>
      <c r="BJ278" s="108">
        <f t="shared" si="297"/>
        <v>0</v>
      </c>
    </row>
    <row r="279" spans="1:62" x14ac:dyDescent="0.2">
      <c r="A279" s="117" t="s">
        <v>243</v>
      </c>
      <c r="B279" s="117" t="s">
        <v>3080</v>
      </c>
      <c r="C279" s="304" t="s">
        <v>1354</v>
      </c>
      <c r="D279" s="305"/>
      <c r="E279" s="305"/>
      <c r="F279" s="117" t="s">
        <v>1644</v>
      </c>
      <c r="G279" s="116">
        <v>1</v>
      </c>
      <c r="H279" s="159"/>
      <c r="I279" s="108">
        <f t="shared" si="274"/>
        <v>0</v>
      </c>
      <c r="J279" s="108">
        <f t="shared" si="275"/>
        <v>0</v>
      </c>
      <c r="K279" s="108">
        <f t="shared" si="276"/>
        <v>0</v>
      </c>
      <c r="L279" s="111"/>
      <c r="Z279" s="100">
        <f t="shared" si="277"/>
        <v>0</v>
      </c>
      <c r="AB279" s="100">
        <f t="shared" si="278"/>
        <v>0</v>
      </c>
      <c r="AC279" s="100">
        <f t="shared" si="279"/>
        <v>0</v>
      </c>
      <c r="AD279" s="100">
        <f t="shared" si="280"/>
        <v>0</v>
      </c>
      <c r="AE279" s="100">
        <f t="shared" si="281"/>
        <v>0</v>
      </c>
      <c r="AF279" s="100">
        <f t="shared" si="282"/>
        <v>0</v>
      </c>
      <c r="AG279" s="100">
        <f t="shared" si="283"/>
        <v>0</v>
      </c>
      <c r="AH279" s="100">
        <f t="shared" si="284"/>
        <v>0</v>
      </c>
      <c r="AI279" s="109"/>
      <c r="AJ279" s="108">
        <f t="shared" si="285"/>
        <v>0</v>
      </c>
      <c r="AK279" s="108">
        <f t="shared" si="286"/>
        <v>0</v>
      </c>
      <c r="AL279" s="108">
        <f t="shared" si="287"/>
        <v>0</v>
      </c>
      <c r="AN279" s="100">
        <v>15</v>
      </c>
      <c r="AO279" s="100">
        <f t="shared" si="288"/>
        <v>0</v>
      </c>
      <c r="AP279" s="100">
        <f t="shared" si="289"/>
        <v>0</v>
      </c>
      <c r="AQ279" s="111" t="s">
        <v>13</v>
      </c>
      <c r="AV279" s="100">
        <f t="shared" si="290"/>
        <v>0</v>
      </c>
      <c r="AW279" s="100">
        <f t="shared" si="291"/>
        <v>0</v>
      </c>
      <c r="AX279" s="100">
        <f t="shared" si="292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293"/>
        <v>0</v>
      </c>
      <c r="BD279" s="100">
        <f t="shared" si="294"/>
        <v>0</v>
      </c>
      <c r="BE279" s="100">
        <v>0</v>
      </c>
      <c r="BF279" s="100">
        <f>279</f>
        <v>279</v>
      </c>
      <c r="BH279" s="108">
        <f t="shared" si="295"/>
        <v>0</v>
      </c>
      <c r="BI279" s="108">
        <f t="shared" si="296"/>
        <v>0</v>
      </c>
      <c r="BJ279" s="108">
        <f t="shared" si="297"/>
        <v>0</v>
      </c>
    </row>
    <row r="280" spans="1:62" x14ac:dyDescent="0.2">
      <c r="A280" s="119"/>
      <c r="B280" s="120" t="s">
        <v>772</v>
      </c>
      <c r="C280" s="306" t="s">
        <v>1355</v>
      </c>
      <c r="D280" s="307"/>
      <c r="E280" s="307"/>
      <c r="F280" s="119" t="s">
        <v>6</v>
      </c>
      <c r="G280" s="119" t="s">
        <v>6</v>
      </c>
      <c r="H280" s="119" t="s">
        <v>6</v>
      </c>
      <c r="I280" s="118">
        <f>SUM(I281:I303)</f>
        <v>0</v>
      </c>
      <c r="J280" s="118">
        <f>SUM(J281:J303)</f>
        <v>0</v>
      </c>
      <c r="K280" s="118">
        <f>SUM(K281:K303)</f>
        <v>0</v>
      </c>
      <c r="L280" s="109"/>
      <c r="AI280" s="109"/>
      <c r="AS280" s="118">
        <f>SUM(AJ281:AJ303)</f>
        <v>0</v>
      </c>
      <c r="AT280" s="118">
        <f>SUM(AK281:AK303)</f>
        <v>0</v>
      </c>
      <c r="AU280" s="118">
        <f>SUM(AL281:AL303)</f>
        <v>0</v>
      </c>
    </row>
    <row r="281" spans="1:62" x14ac:dyDescent="0.2">
      <c r="A281" s="117" t="s">
        <v>244</v>
      </c>
      <c r="B281" s="117" t="s">
        <v>3079</v>
      </c>
      <c r="C281" s="304" t="s">
        <v>1356</v>
      </c>
      <c r="D281" s="305"/>
      <c r="E281" s="305"/>
      <c r="F281" s="117" t="s">
        <v>1644</v>
      </c>
      <c r="G281" s="116">
        <v>1</v>
      </c>
      <c r="H281" s="159"/>
      <c r="I281" s="108">
        <f t="shared" ref="I281:I303" si="298">G281*AO281</f>
        <v>0</v>
      </c>
      <c r="J281" s="108">
        <f t="shared" ref="J281:J303" si="299">G281*AP281</f>
        <v>0</v>
      </c>
      <c r="K281" s="108">
        <f t="shared" ref="K281:K303" si="300">G281*H281</f>
        <v>0</v>
      </c>
      <c r="L281" s="111"/>
      <c r="Z281" s="100">
        <f t="shared" ref="Z281:Z303" si="301">IF(AQ281="5",BJ281,0)</f>
        <v>0</v>
      </c>
      <c r="AB281" s="100">
        <f t="shared" ref="AB281:AB303" si="302">IF(AQ281="1",BH281,0)</f>
        <v>0</v>
      </c>
      <c r="AC281" s="100">
        <f t="shared" ref="AC281:AC303" si="303">IF(AQ281="1",BI281,0)</f>
        <v>0</v>
      </c>
      <c r="AD281" s="100">
        <f t="shared" ref="AD281:AD303" si="304">IF(AQ281="7",BH281,0)</f>
        <v>0</v>
      </c>
      <c r="AE281" s="100">
        <f t="shared" ref="AE281:AE303" si="305">IF(AQ281="7",BI281,0)</f>
        <v>0</v>
      </c>
      <c r="AF281" s="100">
        <f t="shared" ref="AF281:AF303" si="306">IF(AQ281="2",BH281,0)</f>
        <v>0</v>
      </c>
      <c r="AG281" s="100">
        <f t="shared" ref="AG281:AG303" si="307">IF(AQ281="2",BI281,0)</f>
        <v>0</v>
      </c>
      <c r="AH281" s="100">
        <f t="shared" ref="AH281:AH303" si="308">IF(AQ281="0",BJ281,0)</f>
        <v>0</v>
      </c>
      <c r="AI281" s="109"/>
      <c r="AJ281" s="108">
        <f t="shared" ref="AJ281:AJ303" si="309">IF(AN281=0,K281,0)</f>
        <v>0</v>
      </c>
      <c r="AK281" s="108">
        <f t="shared" ref="AK281:AK303" si="310">IF(AN281=15,K281,0)</f>
        <v>0</v>
      </c>
      <c r="AL281" s="108">
        <f t="shared" ref="AL281:AL303" si="311">IF(AN281=21,K281,0)</f>
        <v>0</v>
      </c>
      <c r="AN281" s="100">
        <v>15</v>
      </c>
      <c r="AO281" s="100">
        <f t="shared" ref="AO281:AO303" si="312">H281*0</f>
        <v>0</v>
      </c>
      <c r="AP281" s="100">
        <f t="shared" ref="AP281:AP303" si="313">H281*(1-0)</f>
        <v>0</v>
      </c>
      <c r="AQ281" s="111" t="s">
        <v>13</v>
      </c>
      <c r="AV281" s="100">
        <f t="shared" ref="AV281:AV303" si="314">AW281+AX281</f>
        <v>0</v>
      </c>
      <c r="AW281" s="100">
        <f t="shared" ref="AW281:AW303" si="315">G281*AO281</f>
        <v>0</v>
      </c>
      <c r="AX281" s="100">
        <f t="shared" ref="AX281:AX303" si="316">G281*AP281</f>
        <v>0</v>
      </c>
      <c r="AY281" s="110" t="s">
        <v>1710</v>
      </c>
      <c r="AZ281" s="110" t="s">
        <v>1733</v>
      </c>
      <c r="BA281" s="109" t="s">
        <v>1737</v>
      </c>
      <c r="BC281" s="100">
        <f t="shared" ref="BC281:BC303" si="317">AW281+AX281</f>
        <v>0</v>
      </c>
      <c r="BD281" s="100">
        <f t="shared" ref="BD281:BD303" si="318">H281/(100-BE281)*100</f>
        <v>0</v>
      </c>
      <c r="BE281" s="100">
        <v>0</v>
      </c>
      <c r="BF281" s="100">
        <f>281</f>
        <v>281</v>
      </c>
      <c r="BH281" s="108">
        <f t="shared" ref="BH281:BH303" si="319">G281*AO281</f>
        <v>0</v>
      </c>
      <c r="BI281" s="108">
        <f t="shared" ref="BI281:BI303" si="320">G281*AP281</f>
        <v>0</v>
      </c>
      <c r="BJ281" s="108">
        <f t="shared" ref="BJ281:BJ303" si="321">G281*H281</f>
        <v>0</v>
      </c>
    </row>
    <row r="282" spans="1:62" x14ac:dyDescent="0.2">
      <c r="A282" s="117" t="s">
        <v>245</v>
      </c>
      <c r="B282" s="117" t="s">
        <v>3078</v>
      </c>
      <c r="C282" s="304" t="s">
        <v>1357</v>
      </c>
      <c r="D282" s="305"/>
      <c r="E282" s="305"/>
      <c r="F282" s="117" t="s">
        <v>1644</v>
      </c>
      <c r="G282" s="116">
        <v>1</v>
      </c>
      <c r="H282" s="159"/>
      <c r="I282" s="108">
        <f t="shared" si="298"/>
        <v>0</v>
      </c>
      <c r="J282" s="108">
        <f t="shared" si="299"/>
        <v>0</v>
      </c>
      <c r="K282" s="108">
        <f t="shared" si="300"/>
        <v>0</v>
      </c>
      <c r="L282" s="111"/>
      <c r="Z282" s="100">
        <f t="shared" si="301"/>
        <v>0</v>
      </c>
      <c r="AB282" s="100">
        <f t="shared" si="302"/>
        <v>0</v>
      </c>
      <c r="AC282" s="100">
        <f t="shared" si="303"/>
        <v>0</v>
      </c>
      <c r="AD282" s="100">
        <f t="shared" si="304"/>
        <v>0</v>
      </c>
      <c r="AE282" s="100">
        <f t="shared" si="305"/>
        <v>0</v>
      </c>
      <c r="AF282" s="100">
        <f t="shared" si="306"/>
        <v>0</v>
      </c>
      <c r="AG282" s="100">
        <f t="shared" si="307"/>
        <v>0</v>
      </c>
      <c r="AH282" s="100">
        <f t="shared" si="308"/>
        <v>0</v>
      </c>
      <c r="AI282" s="109"/>
      <c r="AJ282" s="108">
        <f t="shared" si="309"/>
        <v>0</v>
      </c>
      <c r="AK282" s="108">
        <f t="shared" si="310"/>
        <v>0</v>
      </c>
      <c r="AL282" s="108">
        <f t="shared" si="311"/>
        <v>0</v>
      </c>
      <c r="AN282" s="100">
        <v>15</v>
      </c>
      <c r="AO282" s="100">
        <f t="shared" si="312"/>
        <v>0</v>
      </c>
      <c r="AP282" s="100">
        <f t="shared" si="313"/>
        <v>0</v>
      </c>
      <c r="AQ282" s="111" t="s">
        <v>13</v>
      </c>
      <c r="AV282" s="100">
        <f t="shared" si="314"/>
        <v>0</v>
      </c>
      <c r="AW282" s="100">
        <f t="shared" si="315"/>
        <v>0</v>
      </c>
      <c r="AX282" s="100">
        <f t="shared" si="316"/>
        <v>0</v>
      </c>
      <c r="AY282" s="110" t="s">
        <v>1710</v>
      </c>
      <c r="AZ282" s="110" t="s">
        <v>1733</v>
      </c>
      <c r="BA282" s="109" t="s">
        <v>1737</v>
      </c>
      <c r="BC282" s="100">
        <f t="shared" si="317"/>
        <v>0</v>
      </c>
      <c r="BD282" s="100">
        <f t="shared" si="318"/>
        <v>0</v>
      </c>
      <c r="BE282" s="100">
        <v>0</v>
      </c>
      <c r="BF282" s="100">
        <f>282</f>
        <v>282</v>
      </c>
      <c r="BH282" s="108">
        <f t="shared" si="319"/>
        <v>0</v>
      </c>
      <c r="BI282" s="108">
        <f t="shared" si="320"/>
        <v>0</v>
      </c>
      <c r="BJ282" s="108">
        <f t="shared" si="321"/>
        <v>0</v>
      </c>
    </row>
    <row r="283" spans="1:62" x14ac:dyDescent="0.2">
      <c r="A283" s="117" t="s">
        <v>246</v>
      </c>
      <c r="B283" s="117" t="s">
        <v>3077</v>
      </c>
      <c r="C283" s="304" t="s">
        <v>1358</v>
      </c>
      <c r="D283" s="305"/>
      <c r="E283" s="305"/>
      <c r="F283" s="117" t="s">
        <v>1644</v>
      </c>
      <c r="G283" s="116">
        <v>1</v>
      </c>
      <c r="H283" s="159"/>
      <c r="I283" s="108">
        <f t="shared" si="298"/>
        <v>0</v>
      </c>
      <c r="J283" s="108">
        <f t="shared" si="299"/>
        <v>0</v>
      </c>
      <c r="K283" s="108">
        <f t="shared" si="300"/>
        <v>0</v>
      </c>
      <c r="L283" s="111"/>
      <c r="Z283" s="100">
        <f t="shared" si="301"/>
        <v>0</v>
      </c>
      <c r="AB283" s="100">
        <f t="shared" si="302"/>
        <v>0</v>
      </c>
      <c r="AC283" s="100">
        <f t="shared" si="303"/>
        <v>0</v>
      </c>
      <c r="AD283" s="100">
        <f t="shared" si="304"/>
        <v>0</v>
      </c>
      <c r="AE283" s="100">
        <f t="shared" si="305"/>
        <v>0</v>
      </c>
      <c r="AF283" s="100">
        <f t="shared" si="306"/>
        <v>0</v>
      </c>
      <c r="AG283" s="100">
        <f t="shared" si="307"/>
        <v>0</v>
      </c>
      <c r="AH283" s="100">
        <f t="shared" si="308"/>
        <v>0</v>
      </c>
      <c r="AI283" s="109"/>
      <c r="AJ283" s="108">
        <f t="shared" si="309"/>
        <v>0</v>
      </c>
      <c r="AK283" s="108">
        <f t="shared" si="310"/>
        <v>0</v>
      </c>
      <c r="AL283" s="108">
        <f t="shared" si="311"/>
        <v>0</v>
      </c>
      <c r="AN283" s="100">
        <v>15</v>
      </c>
      <c r="AO283" s="100">
        <f t="shared" si="312"/>
        <v>0</v>
      </c>
      <c r="AP283" s="100">
        <f t="shared" si="313"/>
        <v>0</v>
      </c>
      <c r="AQ283" s="111" t="s">
        <v>13</v>
      </c>
      <c r="AV283" s="100">
        <f t="shared" si="314"/>
        <v>0</v>
      </c>
      <c r="AW283" s="100">
        <f t="shared" si="315"/>
        <v>0</v>
      </c>
      <c r="AX283" s="100">
        <f t="shared" si="316"/>
        <v>0</v>
      </c>
      <c r="AY283" s="110" t="s">
        <v>1710</v>
      </c>
      <c r="AZ283" s="110" t="s">
        <v>1733</v>
      </c>
      <c r="BA283" s="109" t="s">
        <v>1737</v>
      </c>
      <c r="BC283" s="100">
        <f t="shared" si="317"/>
        <v>0</v>
      </c>
      <c r="BD283" s="100">
        <f t="shared" si="318"/>
        <v>0</v>
      </c>
      <c r="BE283" s="100">
        <v>0</v>
      </c>
      <c r="BF283" s="100">
        <f>283</f>
        <v>283</v>
      </c>
      <c r="BH283" s="108">
        <f t="shared" si="319"/>
        <v>0</v>
      </c>
      <c r="BI283" s="108">
        <f t="shared" si="320"/>
        <v>0</v>
      </c>
      <c r="BJ283" s="108">
        <f t="shared" si="321"/>
        <v>0</v>
      </c>
    </row>
    <row r="284" spans="1:62" x14ac:dyDescent="0.2">
      <c r="A284" s="117" t="s">
        <v>247</v>
      </c>
      <c r="B284" s="117" t="s">
        <v>3076</v>
      </c>
      <c r="C284" s="304" t="s">
        <v>1359</v>
      </c>
      <c r="D284" s="305"/>
      <c r="E284" s="305"/>
      <c r="F284" s="117" t="s">
        <v>1644</v>
      </c>
      <c r="G284" s="116">
        <v>1</v>
      </c>
      <c r="H284" s="159"/>
      <c r="I284" s="108">
        <f t="shared" si="298"/>
        <v>0</v>
      </c>
      <c r="J284" s="108">
        <f t="shared" si="299"/>
        <v>0</v>
      </c>
      <c r="K284" s="108">
        <f t="shared" si="300"/>
        <v>0</v>
      </c>
      <c r="L284" s="111"/>
      <c r="Z284" s="100">
        <f t="shared" si="301"/>
        <v>0</v>
      </c>
      <c r="AB284" s="100">
        <f t="shared" si="302"/>
        <v>0</v>
      </c>
      <c r="AC284" s="100">
        <f t="shared" si="303"/>
        <v>0</v>
      </c>
      <c r="AD284" s="100">
        <f t="shared" si="304"/>
        <v>0</v>
      </c>
      <c r="AE284" s="100">
        <f t="shared" si="305"/>
        <v>0</v>
      </c>
      <c r="AF284" s="100">
        <f t="shared" si="306"/>
        <v>0</v>
      </c>
      <c r="AG284" s="100">
        <f t="shared" si="307"/>
        <v>0</v>
      </c>
      <c r="AH284" s="100">
        <f t="shared" si="308"/>
        <v>0</v>
      </c>
      <c r="AI284" s="109"/>
      <c r="AJ284" s="108">
        <f t="shared" si="309"/>
        <v>0</v>
      </c>
      <c r="AK284" s="108">
        <f t="shared" si="310"/>
        <v>0</v>
      </c>
      <c r="AL284" s="108">
        <f t="shared" si="311"/>
        <v>0</v>
      </c>
      <c r="AN284" s="100">
        <v>15</v>
      </c>
      <c r="AO284" s="100">
        <f t="shared" si="312"/>
        <v>0</v>
      </c>
      <c r="AP284" s="100">
        <f t="shared" si="313"/>
        <v>0</v>
      </c>
      <c r="AQ284" s="111" t="s">
        <v>13</v>
      </c>
      <c r="AV284" s="100">
        <f t="shared" si="314"/>
        <v>0</v>
      </c>
      <c r="AW284" s="100">
        <f t="shared" si="315"/>
        <v>0</v>
      </c>
      <c r="AX284" s="100">
        <f t="shared" si="316"/>
        <v>0</v>
      </c>
      <c r="AY284" s="110" t="s">
        <v>1710</v>
      </c>
      <c r="AZ284" s="110" t="s">
        <v>1733</v>
      </c>
      <c r="BA284" s="109" t="s">
        <v>1737</v>
      </c>
      <c r="BC284" s="100">
        <f t="shared" si="317"/>
        <v>0</v>
      </c>
      <c r="BD284" s="100">
        <f t="shared" si="318"/>
        <v>0</v>
      </c>
      <c r="BE284" s="100">
        <v>0</v>
      </c>
      <c r="BF284" s="100">
        <f>284</f>
        <v>284</v>
      </c>
      <c r="BH284" s="108">
        <f t="shared" si="319"/>
        <v>0</v>
      </c>
      <c r="BI284" s="108">
        <f t="shared" si="320"/>
        <v>0</v>
      </c>
      <c r="BJ284" s="108">
        <f t="shared" si="321"/>
        <v>0</v>
      </c>
    </row>
    <row r="285" spans="1:62" x14ac:dyDescent="0.2">
      <c r="A285" s="117" t="s">
        <v>248</v>
      </c>
      <c r="B285" s="117" t="s">
        <v>3075</v>
      </c>
      <c r="C285" s="304" t="s">
        <v>1360</v>
      </c>
      <c r="D285" s="305"/>
      <c r="E285" s="305"/>
      <c r="F285" s="117" t="s">
        <v>1644</v>
      </c>
      <c r="G285" s="116">
        <v>1</v>
      </c>
      <c r="H285" s="159"/>
      <c r="I285" s="108">
        <f t="shared" si="298"/>
        <v>0</v>
      </c>
      <c r="J285" s="108">
        <f t="shared" si="299"/>
        <v>0</v>
      </c>
      <c r="K285" s="108">
        <f t="shared" si="300"/>
        <v>0</v>
      </c>
      <c r="L285" s="111"/>
      <c r="Z285" s="100">
        <f t="shared" si="301"/>
        <v>0</v>
      </c>
      <c r="AB285" s="100">
        <f t="shared" si="302"/>
        <v>0</v>
      </c>
      <c r="AC285" s="100">
        <f t="shared" si="303"/>
        <v>0</v>
      </c>
      <c r="AD285" s="100">
        <f t="shared" si="304"/>
        <v>0</v>
      </c>
      <c r="AE285" s="100">
        <f t="shared" si="305"/>
        <v>0</v>
      </c>
      <c r="AF285" s="100">
        <f t="shared" si="306"/>
        <v>0</v>
      </c>
      <c r="AG285" s="100">
        <f t="shared" si="307"/>
        <v>0</v>
      </c>
      <c r="AH285" s="100">
        <f t="shared" si="308"/>
        <v>0</v>
      </c>
      <c r="AI285" s="109"/>
      <c r="AJ285" s="108">
        <f t="shared" si="309"/>
        <v>0</v>
      </c>
      <c r="AK285" s="108">
        <f t="shared" si="310"/>
        <v>0</v>
      </c>
      <c r="AL285" s="108">
        <f t="shared" si="311"/>
        <v>0</v>
      </c>
      <c r="AN285" s="100">
        <v>15</v>
      </c>
      <c r="AO285" s="100">
        <f t="shared" si="312"/>
        <v>0</v>
      </c>
      <c r="AP285" s="100">
        <f t="shared" si="313"/>
        <v>0</v>
      </c>
      <c r="AQ285" s="111" t="s">
        <v>13</v>
      </c>
      <c r="AV285" s="100">
        <f t="shared" si="314"/>
        <v>0</v>
      </c>
      <c r="AW285" s="100">
        <f t="shared" si="315"/>
        <v>0</v>
      </c>
      <c r="AX285" s="100">
        <f t="shared" si="316"/>
        <v>0</v>
      </c>
      <c r="AY285" s="110" t="s">
        <v>1710</v>
      </c>
      <c r="AZ285" s="110" t="s">
        <v>1733</v>
      </c>
      <c r="BA285" s="109" t="s">
        <v>1737</v>
      </c>
      <c r="BC285" s="100">
        <f t="shared" si="317"/>
        <v>0</v>
      </c>
      <c r="BD285" s="100">
        <f t="shared" si="318"/>
        <v>0</v>
      </c>
      <c r="BE285" s="100">
        <v>0</v>
      </c>
      <c r="BF285" s="100">
        <f>285</f>
        <v>285</v>
      </c>
      <c r="BH285" s="108">
        <f t="shared" si="319"/>
        <v>0</v>
      </c>
      <c r="BI285" s="108">
        <f t="shared" si="320"/>
        <v>0</v>
      </c>
      <c r="BJ285" s="108">
        <f t="shared" si="321"/>
        <v>0</v>
      </c>
    </row>
    <row r="286" spans="1:62" x14ac:dyDescent="0.2">
      <c r="A286" s="117" t="s">
        <v>249</v>
      </c>
      <c r="B286" s="117" t="s">
        <v>3074</v>
      </c>
      <c r="C286" s="304" t="s">
        <v>1361</v>
      </c>
      <c r="D286" s="305"/>
      <c r="E286" s="305"/>
      <c r="F286" s="117" t="s">
        <v>1644</v>
      </c>
      <c r="G286" s="116">
        <v>1</v>
      </c>
      <c r="H286" s="159"/>
      <c r="I286" s="108">
        <f t="shared" si="298"/>
        <v>0</v>
      </c>
      <c r="J286" s="108">
        <f t="shared" si="299"/>
        <v>0</v>
      </c>
      <c r="K286" s="108">
        <f t="shared" si="300"/>
        <v>0</v>
      </c>
      <c r="L286" s="111"/>
      <c r="Z286" s="100">
        <f t="shared" si="301"/>
        <v>0</v>
      </c>
      <c r="AB286" s="100">
        <f t="shared" si="302"/>
        <v>0</v>
      </c>
      <c r="AC286" s="100">
        <f t="shared" si="303"/>
        <v>0</v>
      </c>
      <c r="AD286" s="100">
        <f t="shared" si="304"/>
        <v>0</v>
      </c>
      <c r="AE286" s="100">
        <f t="shared" si="305"/>
        <v>0</v>
      </c>
      <c r="AF286" s="100">
        <f t="shared" si="306"/>
        <v>0</v>
      </c>
      <c r="AG286" s="100">
        <f t="shared" si="307"/>
        <v>0</v>
      </c>
      <c r="AH286" s="100">
        <f t="shared" si="308"/>
        <v>0</v>
      </c>
      <c r="AI286" s="109"/>
      <c r="AJ286" s="108">
        <f t="shared" si="309"/>
        <v>0</v>
      </c>
      <c r="AK286" s="108">
        <f t="shared" si="310"/>
        <v>0</v>
      </c>
      <c r="AL286" s="108">
        <f t="shared" si="311"/>
        <v>0</v>
      </c>
      <c r="AN286" s="100">
        <v>15</v>
      </c>
      <c r="AO286" s="100">
        <f t="shared" si="312"/>
        <v>0</v>
      </c>
      <c r="AP286" s="100">
        <f t="shared" si="313"/>
        <v>0</v>
      </c>
      <c r="AQ286" s="111" t="s">
        <v>13</v>
      </c>
      <c r="AV286" s="100">
        <f t="shared" si="314"/>
        <v>0</v>
      </c>
      <c r="AW286" s="100">
        <f t="shared" si="315"/>
        <v>0</v>
      </c>
      <c r="AX286" s="100">
        <f t="shared" si="316"/>
        <v>0</v>
      </c>
      <c r="AY286" s="110" t="s">
        <v>1710</v>
      </c>
      <c r="AZ286" s="110" t="s">
        <v>1733</v>
      </c>
      <c r="BA286" s="109" t="s">
        <v>1737</v>
      </c>
      <c r="BC286" s="100">
        <f t="shared" si="317"/>
        <v>0</v>
      </c>
      <c r="BD286" s="100">
        <f t="shared" si="318"/>
        <v>0</v>
      </c>
      <c r="BE286" s="100">
        <v>0</v>
      </c>
      <c r="BF286" s="100">
        <f>286</f>
        <v>286</v>
      </c>
      <c r="BH286" s="108">
        <f t="shared" si="319"/>
        <v>0</v>
      </c>
      <c r="BI286" s="108">
        <f t="shared" si="320"/>
        <v>0</v>
      </c>
      <c r="BJ286" s="108">
        <f t="shared" si="321"/>
        <v>0</v>
      </c>
    </row>
    <row r="287" spans="1:62" x14ac:dyDescent="0.2">
      <c r="A287" s="117" t="s">
        <v>250</v>
      </c>
      <c r="B287" s="117" t="s">
        <v>3073</v>
      </c>
      <c r="C287" s="304" t="s">
        <v>1362</v>
      </c>
      <c r="D287" s="305"/>
      <c r="E287" s="305"/>
      <c r="F287" s="117" t="s">
        <v>1644</v>
      </c>
      <c r="G287" s="116">
        <v>1</v>
      </c>
      <c r="H287" s="159"/>
      <c r="I287" s="108">
        <f t="shared" si="298"/>
        <v>0</v>
      </c>
      <c r="J287" s="108">
        <f t="shared" si="299"/>
        <v>0</v>
      </c>
      <c r="K287" s="108">
        <f t="shared" si="300"/>
        <v>0</v>
      </c>
      <c r="L287" s="111"/>
      <c r="Z287" s="100">
        <f t="shared" si="301"/>
        <v>0</v>
      </c>
      <c r="AB287" s="100">
        <f t="shared" si="302"/>
        <v>0</v>
      </c>
      <c r="AC287" s="100">
        <f t="shared" si="303"/>
        <v>0</v>
      </c>
      <c r="AD287" s="100">
        <f t="shared" si="304"/>
        <v>0</v>
      </c>
      <c r="AE287" s="100">
        <f t="shared" si="305"/>
        <v>0</v>
      </c>
      <c r="AF287" s="100">
        <f t="shared" si="306"/>
        <v>0</v>
      </c>
      <c r="AG287" s="100">
        <f t="shared" si="307"/>
        <v>0</v>
      </c>
      <c r="AH287" s="100">
        <f t="shared" si="308"/>
        <v>0</v>
      </c>
      <c r="AI287" s="109"/>
      <c r="AJ287" s="108">
        <f t="shared" si="309"/>
        <v>0</v>
      </c>
      <c r="AK287" s="108">
        <f t="shared" si="310"/>
        <v>0</v>
      </c>
      <c r="AL287" s="108">
        <f t="shared" si="311"/>
        <v>0</v>
      </c>
      <c r="AN287" s="100">
        <v>15</v>
      </c>
      <c r="AO287" s="100">
        <f t="shared" si="312"/>
        <v>0</v>
      </c>
      <c r="AP287" s="100">
        <f t="shared" si="313"/>
        <v>0</v>
      </c>
      <c r="AQ287" s="111" t="s">
        <v>13</v>
      </c>
      <c r="AV287" s="100">
        <f t="shared" si="314"/>
        <v>0</v>
      </c>
      <c r="AW287" s="100">
        <f t="shared" si="315"/>
        <v>0</v>
      </c>
      <c r="AX287" s="100">
        <f t="shared" si="316"/>
        <v>0</v>
      </c>
      <c r="AY287" s="110" t="s">
        <v>1710</v>
      </c>
      <c r="AZ287" s="110" t="s">
        <v>1733</v>
      </c>
      <c r="BA287" s="109" t="s">
        <v>1737</v>
      </c>
      <c r="BC287" s="100">
        <f t="shared" si="317"/>
        <v>0</v>
      </c>
      <c r="BD287" s="100">
        <f t="shared" si="318"/>
        <v>0</v>
      </c>
      <c r="BE287" s="100">
        <v>0</v>
      </c>
      <c r="BF287" s="100">
        <f>287</f>
        <v>287</v>
      </c>
      <c r="BH287" s="108">
        <f t="shared" si="319"/>
        <v>0</v>
      </c>
      <c r="BI287" s="108">
        <f t="shared" si="320"/>
        <v>0</v>
      </c>
      <c r="BJ287" s="108">
        <f t="shared" si="321"/>
        <v>0</v>
      </c>
    </row>
    <row r="288" spans="1:62" x14ac:dyDescent="0.2">
      <c r="A288" s="117" t="s">
        <v>251</v>
      </c>
      <c r="B288" s="117" t="s">
        <v>3072</v>
      </c>
      <c r="C288" s="304" t="s">
        <v>1363</v>
      </c>
      <c r="D288" s="305"/>
      <c r="E288" s="305"/>
      <c r="F288" s="117" t="s">
        <v>1644</v>
      </c>
      <c r="G288" s="116">
        <v>1</v>
      </c>
      <c r="H288" s="159"/>
      <c r="I288" s="108">
        <f t="shared" si="298"/>
        <v>0</v>
      </c>
      <c r="J288" s="108">
        <f t="shared" si="299"/>
        <v>0</v>
      </c>
      <c r="K288" s="108">
        <f t="shared" si="300"/>
        <v>0</v>
      </c>
      <c r="L288" s="111"/>
      <c r="Z288" s="100">
        <f t="shared" si="301"/>
        <v>0</v>
      </c>
      <c r="AB288" s="100">
        <f t="shared" si="302"/>
        <v>0</v>
      </c>
      <c r="AC288" s="100">
        <f t="shared" si="303"/>
        <v>0</v>
      </c>
      <c r="AD288" s="100">
        <f t="shared" si="304"/>
        <v>0</v>
      </c>
      <c r="AE288" s="100">
        <f t="shared" si="305"/>
        <v>0</v>
      </c>
      <c r="AF288" s="100">
        <f t="shared" si="306"/>
        <v>0</v>
      </c>
      <c r="AG288" s="100">
        <f t="shared" si="307"/>
        <v>0</v>
      </c>
      <c r="AH288" s="100">
        <f t="shared" si="308"/>
        <v>0</v>
      </c>
      <c r="AI288" s="109"/>
      <c r="AJ288" s="108">
        <f t="shared" si="309"/>
        <v>0</v>
      </c>
      <c r="AK288" s="108">
        <f t="shared" si="310"/>
        <v>0</v>
      </c>
      <c r="AL288" s="108">
        <f t="shared" si="311"/>
        <v>0</v>
      </c>
      <c r="AN288" s="100">
        <v>15</v>
      </c>
      <c r="AO288" s="100">
        <f t="shared" si="312"/>
        <v>0</v>
      </c>
      <c r="AP288" s="100">
        <f t="shared" si="313"/>
        <v>0</v>
      </c>
      <c r="AQ288" s="111" t="s">
        <v>13</v>
      </c>
      <c r="AV288" s="100">
        <f t="shared" si="314"/>
        <v>0</v>
      </c>
      <c r="AW288" s="100">
        <f t="shared" si="315"/>
        <v>0</v>
      </c>
      <c r="AX288" s="100">
        <f t="shared" si="316"/>
        <v>0</v>
      </c>
      <c r="AY288" s="110" t="s">
        <v>1710</v>
      </c>
      <c r="AZ288" s="110" t="s">
        <v>1733</v>
      </c>
      <c r="BA288" s="109" t="s">
        <v>1737</v>
      </c>
      <c r="BC288" s="100">
        <f t="shared" si="317"/>
        <v>0</v>
      </c>
      <c r="BD288" s="100">
        <f t="shared" si="318"/>
        <v>0</v>
      </c>
      <c r="BE288" s="100">
        <v>0</v>
      </c>
      <c r="BF288" s="100">
        <f>288</f>
        <v>288</v>
      </c>
      <c r="BH288" s="108">
        <f t="shared" si="319"/>
        <v>0</v>
      </c>
      <c r="BI288" s="108">
        <f t="shared" si="320"/>
        <v>0</v>
      </c>
      <c r="BJ288" s="108">
        <f t="shared" si="321"/>
        <v>0</v>
      </c>
    </row>
    <row r="289" spans="1:62" x14ac:dyDescent="0.2">
      <c r="A289" s="117" t="s">
        <v>252</v>
      </c>
      <c r="B289" s="117" t="s">
        <v>3071</v>
      </c>
      <c r="C289" s="304" t="s">
        <v>1364</v>
      </c>
      <c r="D289" s="305"/>
      <c r="E289" s="305"/>
      <c r="F289" s="117" t="s">
        <v>1644</v>
      </c>
      <c r="G289" s="116">
        <v>2</v>
      </c>
      <c r="H289" s="159"/>
      <c r="I289" s="108">
        <f t="shared" si="298"/>
        <v>0</v>
      </c>
      <c r="J289" s="108">
        <f t="shared" si="299"/>
        <v>0</v>
      </c>
      <c r="K289" s="108">
        <f t="shared" si="300"/>
        <v>0</v>
      </c>
      <c r="L289" s="111"/>
      <c r="Z289" s="100">
        <f t="shared" si="301"/>
        <v>0</v>
      </c>
      <c r="AB289" s="100">
        <f t="shared" si="302"/>
        <v>0</v>
      </c>
      <c r="AC289" s="100">
        <f t="shared" si="303"/>
        <v>0</v>
      </c>
      <c r="AD289" s="100">
        <f t="shared" si="304"/>
        <v>0</v>
      </c>
      <c r="AE289" s="100">
        <f t="shared" si="305"/>
        <v>0</v>
      </c>
      <c r="AF289" s="100">
        <f t="shared" si="306"/>
        <v>0</v>
      </c>
      <c r="AG289" s="100">
        <f t="shared" si="307"/>
        <v>0</v>
      </c>
      <c r="AH289" s="100">
        <f t="shared" si="308"/>
        <v>0</v>
      </c>
      <c r="AI289" s="109"/>
      <c r="AJ289" s="108">
        <f t="shared" si="309"/>
        <v>0</v>
      </c>
      <c r="AK289" s="108">
        <f t="shared" si="310"/>
        <v>0</v>
      </c>
      <c r="AL289" s="108">
        <f t="shared" si="311"/>
        <v>0</v>
      </c>
      <c r="AN289" s="100">
        <v>15</v>
      </c>
      <c r="AO289" s="100">
        <f t="shared" si="312"/>
        <v>0</v>
      </c>
      <c r="AP289" s="100">
        <f t="shared" si="313"/>
        <v>0</v>
      </c>
      <c r="AQ289" s="111" t="s">
        <v>13</v>
      </c>
      <c r="AV289" s="100">
        <f t="shared" si="314"/>
        <v>0</v>
      </c>
      <c r="AW289" s="100">
        <f t="shared" si="315"/>
        <v>0</v>
      </c>
      <c r="AX289" s="100">
        <f t="shared" si="316"/>
        <v>0</v>
      </c>
      <c r="AY289" s="110" t="s">
        <v>1710</v>
      </c>
      <c r="AZ289" s="110" t="s">
        <v>1733</v>
      </c>
      <c r="BA289" s="109" t="s">
        <v>1737</v>
      </c>
      <c r="BC289" s="100">
        <f t="shared" si="317"/>
        <v>0</v>
      </c>
      <c r="BD289" s="100">
        <f t="shared" si="318"/>
        <v>0</v>
      </c>
      <c r="BE289" s="100">
        <v>0</v>
      </c>
      <c r="BF289" s="100">
        <f>289</f>
        <v>289</v>
      </c>
      <c r="BH289" s="108">
        <f t="shared" si="319"/>
        <v>0</v>
      </c>
      <c r="BI289" s="108">
        <f t="shared" si="320"/>
        <v>0</v>
      </c>
      <c r="BJ289" s="108">
        <f t="shared" si="321"/>
        <v>0</v>
      </c>
    </row>
    <row r="290" spans="1:62" x14ac:dyDescent="0.2">
      <c r="A290" s="117" t="s">
        <v>253</v>
      </c>
      <c r="B290" s="117" t="s">
        <v>3070</v>
      </c>
      <c r="C290" s="304" t="s">
        <v>1365</v>
      </c>
      <c r="D290" s="305"/>
      <c r="E290" s="305"/>
      <c r="F290" s="117" t="s">
        <v>1644</v>
      </c>
      <c r="G290" s="116">
        <v>1</v>
      </c>
      <c r="H290" s="159"/>
      <c r="I290" s="108">
        <f t="shared" si="298"/>
        <v>0</v>
      </c>
      <c r="J290" s="108">
        <f t="shared" si="299"/>
        <v>0</v>
      </c>
      <c r="K290" s="108">
        <f t="shared" si="300"/>
        <v>0</v>
      </c>
      <c r="L290" s="111"/>
      <c r="Z290" s="100">
        <f t="shared" si="301"/>
        <v>0</v>
      </c>
      <c r="AB290" s="100">
        <f t="shared" si="302"/>
        <v>0</v>
      </c>
      <c r="AC290" s="100">
        <f t="shared" si="303"/>
        <v>0</v>
      </c>
      <c r="AD290" s="100">
        <f t="shared" si="304"/>
        <v>0</v>
      </c>
      <c r="AE290" s="100">
        <f t="shared" si="305"/>
        <v>0</v>
      </c>
      <c r="AF290" s="100">
        <f t="shared" si="306"/>
        <v>0</v>
      </c>
      <c r="AG290" s="100">
        <f t="shared" si="307"/>
        <v>0</v>
      </c>
      <c r="AH290" s="100">
        <f t="shared" si="308"/>
        <v>0</v>
      </c>
      <c r="AI290" s="109"/>
      <c r="AJ290" s="108">
        <f t="shared" si="309"/>
        <v>0</v>
      </c>
      <c r="AK290" s="108">
        <f t="shared" si="310"/>
        <v>0</v>
      </c>
      <c r="AL290" s="108">
        <f t="shared" si="311"/>
        <v>0</v>
      </c>
      <c r="AN290" s="100">
        <v>15</v>
      </c>
      <c r="AO290" s="100">
        <f t="shared" si="312"/>
        <v>0</v>
      </c>
      <c r="AP290" s="100">
        <f t="shared" si="313"/>
        <v>0</v>
      </c>
      <c r="AQ290" s="111" t="s">
        <v>13</v>
      </c>
      <c r="AV290" s="100">
        <f t="shared" si="314"/>
        <v>0</v>
      </c>
      <c r="AW290" s="100">
        <f t="shared" si="315"/>
        <v>0</v>
      </c>
      <c r="AX290" s="100">
        <f t="shared" si="316"/>
        <v>0</v>
      </c>
      <c r="AY290" s="110" t="s">
        <v>1710</v>
      </c>
      <c r="AZ290" s="110" t="s">
        <v>1733</v>
      </c>
      <c r="BA290" s="109" t="s">
        <v>1737</v>
      </c>
      <c r="BC290" s="100">
        <f t="shared" si="317"/>
        <v>0</v>
      </c>
      <c r="BD290" s="100">
        <f t="shared" si="318"/>
        <v>0</v>
      </c>
      <c r="BE290" s="100">
        <v>0</v>
      </c>
      <c r="BF290" s="100">
        <f>290</f>
        <v>290</v>
      </c>
      <c r="BH290" s="108">
        <f t="shared" si="319"/>
        <v>0</v>
      </c>
      <c r="BI290" s="108">
        <f t="shared" si="320"/>
        <v>0</v>
      </c>
      <c r="BJ290" s="108">
        <f t="shared" si="321"/>
        <v>0</v>
      </c>
    </row>
    <row r="291" spans="1:62" x14ac:dyDescent="0.2">
      <c r="A291" s="117" t="s">
        <v>254</v>
      </c>
      <c r="B291" s="117" t="s">
        <v>3069</v>
      </c>
      <c r="C291" s="304" t="s">
        <v>1366</v>
      </c>
      <c r="D291" s="305"/>
      <c r="E291" s="305"/>
      <c r="F291" s="117" t="s">
        <v>1644</v>
      </c>
      <c r="G291" s="116">
        <v>1</v>
      </c>
      <c r="H291" s="159"/>
      <c r="I291" s="108">
        <f t="shared" si="298"/>
        <v>0</v>
      </c>
      <c r="J291" s="108">
        <f t="shared" si="299"/>
        <v>0</v>
      </c>
      <c r="K291" s="108">
        <f t="shared" si="300"/>
        <v>0</v>
      </c>
      <c r="L291" s="111"/>
      <c r="Z291" s="100">
        <f t="shared" si="301"/>
        <v>0</v>
      </c>
      <c r="AB291" s="100">
        <f t="shared" si="302"/>
        <v>0</v>
      </c>
      <c r="AC291" s="100">
        <f t="shared" si="303"/>
        <v>0</v>
      </c>
      <c r="AD291" s="100">
        <f t="shared" si="304"/>
        <v>0</v>
      </c>
      <c r="AE291" s="100">
        <f t="shared" si="305"/>
        <v>0</v>
      </c>
      <c r="AF291" s="100">
        <f t="shared" si="306"/>
        <v>0</v>
      </c>
      <c r="AG291" s="100">
        <f t="shared" si="307"/>
        <v>0</v>
      </c>
      <c r="AH291" s="100">
        <f t="shared" si="308"/>
        <v>0</v>
      </c>
      <c r="AI291" s="109"/>
      <c r="AJ291" s="108">
        <f t="shared" si="309"/>
        <v>0</v>
      </c>
      <c r="AK291" s="108">
        <f t="shared" si="310"/>
        <v>0</v>
      </c>
      <c r="AL291" s="108">
        <f t="shared" si="311"/>
        <v>0</v>
      </c>
      <c r="AN291" s="100">
        <v>15</v>
      </c>
      <c r="AO291" s="100">
        <f t="shared" si="312"/>
        <v>0</v>
      </c>
      <c r="AP291" s="100">
        <f t="shared" si="313"/>
        <v>0</v>
      </c>
      <c r="AQ291" s="111" t="s">
        <v>13</v>
      </c>
      <c r="AV291" s="100">
        <f t="shared" si="314"/>
        <v>0</v>
      </c>
      <c r="AW291" s="100">
        <f t="shared" si="315"/>
        <v>0</v>
      </c>
      <c r="AX291" s="100">
        <f t="shared" si="316"/>
        <v>0</v>
      </c>
      <c r="AY291" s="110" t="s">
        <v>1710</v>
      </c>
      <c r="AZ291" s="110" t="s">
        <v>1733</v>
      </c>
      <c r="BA291" s="109" t="s">
        <v>1737</v>
      </c>
      <c r="BC291" s="100">
        <f t="shared" si="317"/>
        <v>0</v>
      </c>
      <c r="BD291" s="100">
        <f t="shared" si="318"/>
        <v>0</v>
      </c>
      <c r="BE291" s="100">
        <v>0</v>
      </c>
      <c r="BF291" s="100">
        <f>291</f>
        <v>291</v>
      </c>
      <c r="BH291" s="108">
        <f t="shared" si="319"/>
        <v>0</v>
      </c>
      <c r="BI291" s="108">
        <f t="shared" si="320"/>
        <v>0</v>
      </c>
      <c r="BJ291" s="108">
        <f t="shared" si="321"/>
        <v>0</v>
      </c>
    </row>
    <row r="292" spans="1:62" x14ac:dyDescent="0.2">
      <c r="A292" s="117" t="s">
        <v>255</v>
      </c>
      <c r="B292" s="117" t="s">
        <v>3068</v>
      </c>
      <c r="C292" s="304" t="s">
        <v>1367</v>
      </c>
      <c r="D292" s="305"/>
      <c r="E292" s="305"/>
      <c r="F292" s="117" t="s">
        <v>1644</v>
      </c>
      <c r="G292" s="116">
        <v>1</v>
      </c>
      <c r="H292" s="159"/>
      <c r="I292" s="108">
        <f t="shared" si="298"/>
        <v>0</v>
      </c>
      <c r="J292" s="108">
        <f t="shared" si="299"/>
        <v>0</v>
      </c>
      <c r="K292" s="108">
        <f t="shared" si="300"/>
        <v>0</v>
      </c>
      <c r="L292" s="111"/>
      <c r="Z292" s="100">
        <f t="shared" si="301"/>
        <v>0</v>
      </c>
      <c r="AB292" s="100">
        <f t="shared" si="302"/>
        <v>0</v>
      </c>
      <c r="AC292" s="100">
        <f t="shared" si="303"/>
        <v>0</v>
      </c>
      <c r="AD292" s="100">
        <f t="shared" si="304"/>
        <v>0</v>
      </c>
      <c r="AE292" s="100">
        <f t="shared" si="305"/>
        <v>0</v>
      </c>
      <c r="AF292" s="100">
        <f t="shared" si="306"/>
        <v>0</v>
      </c>
      <c r="AG292" s="100">
        <f t="shared" si="307"/>
        <v>0</v>
      </c>
      <c r="AH292" s="100">
        <f t="shared" si="308"/>
        <v>0</v>
      </c>
      <c r="AI292" s="109"/>
      <c r="AJ292" s="108">
        <f t="shared" si="309"/>
        <v>0</v>
      </c>
      <c r="AK292" s="108">
        <f t="shared" si="310"/>
        <v>0</v>
      </c>
      <c r="AL292" s="108">
        <f t="shared" si="311"/>
        <v>0</v>
      </c>
      <c r="AN292" s="100">
        <v>15</v>
      </c>
      <c r="AO292" s="100">
        <f t="shared" si="312"/>
        <v>0</v>
      </c>
      <c r="AP292" s="100">
        <f t="shared" si="313"/>
        <v>0</v>
      </c>
      <c r="AQ292" s="111" t="s">
        <v>13</v>
      </c>
      <c r="AV292" s="100">
        <f t="shared" si="314"/>
        <v>0</v>
      </c>
      <c r="AW292" s="100">
        <f t="shared" si="315"/>
        <v>0</v>
      </c>
      <c r="AX292" s="100">
        <f t="shared" si="316"/>
        <v>0</v>
      </c>
      <c r="AY292" s="110" t="s">
        <v>1710</v>
      </c>
      <c r="AZ292" s="110" t="s">
        <v>1733</v>
      </c>
      <c r="BA292" s="109" t="s">
        <v>1737</v>
      </c>
      <c r="BC292" s="100">
        <f t="shared" si="317"/>
        <v>0</v>
      </c>
      <c r="BD292" s="100">
        <f t="shared" si="318"/>
        <v>0</v>
      </c>
      <c r="BE292" s="100">
        <v>0</v>
      </c>
      <c r="BF292" s="100">
        <f>292</f>
        <v>292</v>
      </c>
      <c r="BH292" s="108">
        <f t="shared" si="319"/>
        <v>0</v>
      </c>
      <c r="BI292" s="108">
        <f t="shared" si="320"/>
        <v>0</v>
      </c>
      <c r="BJ292" s="108">
        <f t="shared" si="321"/>
        <v>0</v>
      </c>
    </row>
    <row r="293" spans="1:62" x14ac:dyDescent="0.2">
      <c r="A293" s="117" t="s">
        <v>256</v>
      </c>
      <c r="B293" s="117" t="s">
        <v>3067</v>
      </c>
      <c r="C293" s="304" t="s">
        <v>1368</v>
      </c>
      <c r="D293" s="305"/>
      <c r="E293" s="305"/>
      <c r="F293" s="117" t="s">
        <v>1644</v>
      </c>
      <c r="G293" s="116">
        <v>5</v>
      </c>
      <c r="H293" s="159"/>
      <c r="I293" s="108">
        <f t="shared" si="298"/>
        <v>0</v>
      </c>
      <c r="J293" s="108">
        <f t="shared" si="299"/>
        <v>0</v>
      </c>
      <c r="K293" s="108">
        <f t="shared" si="300"/>
        <v>0</v>
      </c>
      <c r="L293" s="111"/>
      <c r="Z293" s="100">
        <f t="shared" si="301"/>
        <v>0</v>
      </c>
      <c r="AB293" s="100">
        <f t="shared" si="302"/>
        <v>0</v>
      </c>
      <c r="AC293" s="100">
        <f t="shared" si="303"/>
        <v>0</v>
      </c>
      <c r="AD293" s="100">
        <f t="shared" si="304"/>
        <v>0</v>
      </c>
      <c r="AE293" s="100">
        <f t="shared" si="305"/>
        <v>0</v>
      </c>
      <c r="AF293" s="100">
        <f t="shared" si="306"/>
        <v>0</v>
      </c>
      <c r="AG293" s="100">
        <f t="shared" si="307"/>
        <v>0</v>
      </c>
      <c r="AH293" s="100">
        <f t="shared" si="308"/>
        <v>0</v>
      </c>
      <c r="AI293" s="109"/>
      <c r="AJ293" s="108">
        <f t="shared" si="309"/>
        <v>0</v>
      </c>
      <c r="AK293" s="108">
        <f t="shared" si="310"/>
        <v>0</v>
      </c>
      <c r="AL293" s="108">
        <f t="shared" si="311"/>
        <v>0</v>
      </c>
      <c r="AN293" s="100">
        <v>15</v>
      </c>
      <c r="AO293" s="100">
        <f t="shared" si="312"/>
        <v>0</v>
      </c>
      <c r="AP293" s="100">
        <f t="shared" si="313"/>
        <v>0</v>
      </c>
      <c r="AQ293" s="111" t="s">
        <v>13</v>
      </c>
      <c r="AV293" s="100">
        <f t="shared" si="314"/>
        <v>0</v>
      </c>
      <c r="AW293" s="100">
        <f t="shared" si="315"/>
        <v>0</v>
      </c>
      <c r="AX293" s="100">
        <f t="shared" si="316"/>
        <v>0</v>
      </c>
      <c r="AY293" s="110" t="s">
        <v>1710</v>
      </c>
      <c r="AZ293" s="110" t="s">
        <v>1733</v>
      </c>
      <c r="BA293" s="109" t="s">
        <v>1737</v>
      </c>
      <c r="BC293" s="100">
        <f t="shared" si="317"/>
        <v>0</v>
      </c>
      <c r="BD293" s="100">
        <f t="shared" si="318"/>
        <v>0</v>
      </c>
      <c r="BE293" s="100">
        <v>0</v>
      </c>
      <c r="BF293" s="100">
        <f>293</f>
        <v>293</v>
      </c>
      <c r="BH293" s="108">
        <f t="shared" si="319"/>
        <v>0</v>
      </c>
      <c r="BI293" s="108">
        <f t="shared" si="320"/>
        <v>0</v>
      </c>
      <c r="BJ293" s="108">
        <f t="shared" si="321"/>
        <v>0</v>
      </c>
    </row>
    <row r="294" spans="1:62" x14ac:dyDescent="0.2">
      <c r="A294" s="117" t="s">
        <v>257</v>
      </c>
      <c r="B294" s="117" t="s">
        <v>3066</v>
      </c>
      <c r="C294" s="304" t="s">
        <v>1369</v>
      </c>
      <c r="D294" s="305"/>
      <c r="E294" s="305"/>
      <c r="F294" s="117" t="s">
        <v>1644</v>
      </c>
      <c r="G294" s="116">
        <v>2</v>
      </c>
      <c r="H294" s="159"/>
      <c r="I294" s="108">
        <f t="shared" si="298"/>
        <v>0</v>
      </c>
      <c r="J294" s="108">
        <f t="shared" si="299"/>
        <v>0</v>
      </c>
      <c r="K294" s="108">
        <f t="shared" si="300"/>
        <v>0</v>
      </c>
      <c r="L294" s="111"/>
      <c r="Z294" s="100">
        <f t="shared" si="301"/>
        <v>0</v>
      </c>
      <c r="AB294" s="100">
        <f t="shared" si="302"/>
        <v>0</v>
      </c>
      <c r="AC294" s="100">
        <f t="shared" si="303"/>
        <v>0</v>
      </c>
      <c r="AD294" s="100">
        <f t="shared" si="304"/>
        <v>0</v>
      </c>
      <c r="AE294" s="100">
        <f t="shared" si="305"/>
        <v>0</v>
      </c>
      <c r="AF294" s="100">
        <f t="shared" si="306"/>
        <v>0</v>
      </c>
      <c r="AG294" s="100">
        <f t="shared" si="307"/>
        <v>0</v>
      </c>
      <c r="AH294" s="100">
        <f t="shared" si="308"/>
        <v>0</v>
      </c>
      <c r="AI294" s="109"/>
      <c r="AJ294" s="108">
        <f t="shared" si="309"/>
        <v>0</v>
      </c>
      <c r="AK294" s="108">
        <f t="shared" si="310"/>
        <v>0</v>
      </c>
      <c r="AL294" s="108">
        <f t="shared" si="311"/>
        <v>0</v>
      </c>
      <c r="AN294" s="100">
        <v>15</v>
      </c>
      <c r="AO294" s="100">
        <f t="shared" si="312"/>
        <v>0</v>
      </c>
      <c r="AP294" s="100">
        <f t="shared" si="313"/>
        <v>0</v>
      </c>
      <c r="AQ294" s="111" t="s">
        <v>13</v>
      </c>
      <c r="AV294" s="100">
        <f t="shared" si="314"/>
        <v>0</v>
      </c>
      <c r="AW294" s="100">
        <f t="shared" si="315"/>
        <v>0</v>
      </c>
      <c r="AX294" s="100">
        <f t="shared" si="316"/>
        <v>0</v>
      </c>
      <c r="AY294" s="110" t="s">
        <v>1710</v>
      </c>
      <c r="AZ294" s="110" t="s">
        <v>1733</v>
      </c>
      <c r="BA294" s="109" t="s">
        <v>1737</v>
      </c>
      <c r="BC294" s="100">
        <f t="shared" si="317"/>
        <v>0</v>
      </c>
      <c r="BD294" s="100">
        <f t="shared" si="318"/>
        <v>0</v>
      </c>
      <c r="BE294" s="100">
        <v>0</v>
      </c>
      <c r="BF294" s="100">
        <f>294</f>
        <v>294</v>
      </c>
      <c r="BH294" s="108">
        <f t="shared" si="319"/>
        <v>0</v>
      </c>
      <c r="BI294" s="108">
        <f t="shared" si="320"/>
        <v>0</v>
      </c>
      <c r="BJ294" s="108">
        <f t="shared" si="321"/>
        <v>0</v>
      </c>
    </row>
    <row r="295" spans="1:62" x14ac:dyDescent="0.2">
      <c r="A295" s="117" t="s">
        <v>258</v>
      </c>
      <c r="B295" s="117" t="s">
        <v>3065</v>
      </c>
      <c r="C295" s="304" t="s">
        <v>1326</v>
      </c>
      <c r="D295" s="305"/>
      <c r="E295" s="305"/>
      <c r="F295" s="117" t="s">
        <v>1644</v>
      </c>
      <c r="G295" s="116">
        <v>1</v>
      </c>
      <c r="H295" s="159"/>
      <c r="I295" s="108">
        <f t="shared" si="298"/>
        <v>0</v>
      </c>
      <c r="J295" s="108">
        <f t="shared" si="299"/>
        <v>0</v>
      </c>
      <c r="K295" s="108">
        <f t="shared" si="300"/>
        <v>0</v>
      </c>
      <c r="L295" s="111"/>
      <c r="Z295" s="100">
        <f t="shared" si="301"/>
        <v>0</v>
      </c>
      <c r="AB295" s="100">
        <f t="shared" si="302"/>
        <v>0</v>
      </c>
      <c r="AC295" s="100">
        <f t="shared" si="303"/>
        <v>0</v>
      </c>
      <c r="AD295" s="100">
        <f t="shared" si="304"/>
        <v>0</v>
      </c>
      <c r="AE295" s="100">
        <f t="shared" si="305"/>
        <v>0</v>
      </c>
      <c r="AF295" s="100">
        <f t="shared" si="306"/>
        <v>0</v>
      </c>
      <c r="AG295" s="100">
        <f t="shared" si="307"/>
        <v>0</v>
      </c>
      <c r="AH295" s="100">
        <f t="shared" si="308"/>
        <v>0</v>
      </c>
      <c r="AI295" s="109"/>
      <c r="AJ295" s="108">
        <f t="shared" si="309"/>
        <v>0</v>
      </c>
      <c r="AK295" s="108">
        <f t="shared" si="310"/>
        <v>0</v>
      </c>
      <c r="AL295" s="108">
        <f t="shared" si="311"/>
        <v>0</v>
      </c>
      <c r="AN295" s="100">
        <v>15</v>
      </c>
      <c r="AO295" s="100">
        <f t="shared" si="312"/>
        <v>0</v>
      </c>
      <c r="AP295" s="100">
        <f t="shared" si="313"/>
        <v>0</v>
      </c>
      <c r="AQ295" s="111" t="s">
        <v>13</v>
      </c>
      <c r="AV295" s="100">
        <f t="shared" si="314"/>
        <v>0</v>
      </c>
      <c r="AW295" s="100">
        <f t="shared" si="315"/>
        <v>0</v>
      </c>
      <c r="AX295" s="100">
        <f t="shared" si="316"/>
        <v>0</v>
      </c>
      <c r="AY295" s="110" t="s">
        <v>1710</v>
      </c>
      <c r="AZ295" s="110" t="s">
        <v>1733</v>
      </c>
      <c r="BA295" s="109" t="s">
        <v>1737</v>
      </c>
      <c r="BC295" s="100">
        <f t="shared" si="317"/>
        <v>0</v>
      </c>
      <c r="BD295" s="100">
        <f t="shared" si="318"/>
        <v>0</v>
      </c>
      <c r="BE295" s="100">
        <v>0</v>
      </c>
      <c r="BF295" s="100">
        <f>295</f>
        <v>295</v>
      </c>
      <c r="BH295" s="108">
        <f t="shared" si="319"/>
        <v>0</v>
      </c>
      <c r="BI295" s="108">
        <f t="shared" si="320"/>
        <v>0</v>
      </c>
      <c r="BJ295" s="108">
        <f t="shared" si="321"/>
        <v>0</v>
      </c>
    </row>
    <row r="296" spans="1:62" x14ac:dyDescent="0.2">
      <c r="A296" s="117" t="s">
        <v>259</v>
      </c>
      <c r="B296" s="117" t="s">
        <v>3064</v>
      </c>
      <c r="C296" s="304" t="s">
        <v>1327</v>
      </c>
      <c r="D296" s="305"/>
      <c r="E296" s="305"/>
      <c r="F296" s="117" t="s">
        <v>1644</v>
      </c>
      <c r="G296" s="116">
        <v>1</v>
      </c>
      <c r="H296" s="159"/>
      <c r="I296" s="108">
        <f t="shared" si="298"/>
        <v>0</v>
      </c>
      <c r="J296" s="108">
        <f t="shared" si="299"/>
        <v>0</v>
      </c>
      <c r="K296" s="108">
        <f t="shared" si="300"/>
        <v>0</v>
      </c>
      <c r="L296" s="111"/>
      <c r="Z296" s="100">
        <f t="shared" si="301"/>
        <v>0</v>
      </c>
      <c r="AB296" s="100">
        <f t="shared" si="302"/>
        <v>0</v>
      </c>
      <c r="AC296" s="100">
        <f t="shared" si="303"/>
        <v>0</v>
      </c>
      <c r="AD296" s="100">
        <f t="shared" si="304"/>
        <v>0</v>
      </c>
      <c r="AE296" s="100">
        <f t="shared" si="305"/>
        <v>0</v>
      </c>
      <c r="AF296" s="100">
        <f t="shared" si="306"/>
        <v>0</v>
      </c>
      <c r="AG296" s="100">
        <f t="shared" si="307"/>
        <v>0</v>
      </c>
      <c r="AH296" s="100">
        <f t="shared" si="308"/>
        <v>0</v>
      </c>
      <c r="AI296" s="109"/>
      <c r="AJ296" s="108">
        <f t="shared" si="309"/>
        <v>0</v>
      </c>
      <c r="AK296" s="108">
        <f t="shared" si="310"/>
        <v>0</v>
      </c>
      <c r="AL296" s="108">
        <f t="shared" si="311"/>
        <v>0</v>
      </c>
      <c r="AN296" s="100">
        <v>15</v>
      </c>
      <c r="AO296" s="100">
        <f t="shared" si="312"/>
        <v>0</v>
      </c>
      <c r="AP296" s="100">
        <f t="shared" si="313"/>
        <v>0</v>
      </c>
      <c r="AQ296" s="111" t="s">
        <v>13</v>
      </c>
      <c r="AV296" s="100">
        <f t="shared" si="314"/>
        <v>0</v>
      </c>
      <c r="AW296" s="100">
        <f t="shared" si="315"/>
        <v>0</v>
      </c>
      <c r="AX296" s="100">
        <f t="shared" si="316"/>
        <v>0</v>
      </c>
      <c r="AY296" s="110" t="s">
        <v>1710</v>
      </c>
      <c r="AZ296" s="110" t="s">
        <v>1733</v>
      </c>
      <c r="BA296" s="109" t="s">
        <v>1737</v>
      </c>
      <c r="BC296" s="100">
        <f t="shared" si="317"/>
        <v>0</v>
      </c>
      <c r="BD296" s="100">
        <f t="shared" si="318"/>
        <v>0</v>
      </c>
      <c r="BE296" s="100">
        <v>0</v>
      </c>
      <c r="BF296" s="100">
        <f>296</f>
        <v>296</v>
      </c>
      <c r="BH296" s="108">
        <f t="shared" si="319"/>
        <v>0</v>
      </c>
      <c r="BI296" s="108">
        <f t="shared" si="320"/>
        <v>0</v>
      </c>
      <c r="BJ296" s="108">
        <f t="shared" si="321"/>
        <v>0</v>
      </c>
    </row>
    <row r="297" spans="1:62" x14ac:dyDescent="0.2">
      <c r="A297" s="117" t="s">
        <v>260</v>
      </c>
      <c r="B297" s="117" t="s">
        <v>3063</v>
      </c>
      <c r="C297" s="304" t="s">
        <v>1372</v>
      </c>
      <c r="D297" s="305"/>
      <c r="E297" s="305"/>
      <c r="F297" s="117" t="s">
        <v>1646</v>
      </c>
      <c r="G297" s="116">
        <v>12</v>
      </c>
      <c r="H297" s="159"/>
      <c r="I297" s="108">
        <f t="shared" si="298"/>
        <v>0</v>
      </c>
      <c r="J297" s="108">
        <f t="shared" si="299"/>
        <v>0</v>
      </c>
      <c r="K297" s="108">
        <f t="shared" si="300"/>
        <v>0</v>
      </c>
      <c r="L297" s="111"/>
      <c r="Z297" s="100">
        <f t="shared" si="301"/>
        <v>0</v>
      </c>
      <c r="AB297" s="100">
        <f t="shared" si="302"/>
        <v>0</v>
      </c>
      <c r="AC297" s="100">
        <f t="shared" si="303"/>
        <v>0</v>
      </c>
      <c r="AD297" s="100">
        <f t="shared" si="304"/>
        <v>0</v>
      </c>
      <c r="AE297" s="100">
        <f t="shared" si="305"/>
        <v>0</v>
      </c>
      <c r="AF297" s="100">
        <f t="shared" si="306"/>
        <v>0</v>
      </c>
      <c r="AG297" s="100">
        <f t="shared" si="307"/>
        <v>0</v>
      </c>
      <c r="AH297" s="100">
        <f t="shared" si="308"/>
        <v>0</v>
      </c>
      <c r="AI297" s="109"/>
      <c r="AJ297" s="108">
        <f t="shared" si="309"/>
        <v>0</v>
      </c>
      <c r="AK297" s="108">
        <f t="shared" si="310"/>
        <v>0</v>
      </c>
      <c r="AL297" s="108">
        <f t="shared" si="311"/>
        <v>0</v>
      </c>
      <c r="AN297" s="100">
        <v>15</v>
      </c>
      <c r="AO297" s="100">
        <f t="shared" si="312"/>
        <v>0</v>
      </c>
      <c r="AP297" s="100">
        <f t="shared" si="313"/>
        <v>0</v>
      </c>
      <c r="AQ297" s="111" t="s">
        <v>13</v>
      </c>
      <c r="AV297" s="100">
        <f t="shared" si="314"/>
        <v>0</v>
      </c>
      <c r="AW297" s="100">
        <f t="shared" si="315"/>
        <v>0</v>
      </c>
      <c r="AX297" s="100">
        <f t="shared" si="316"/>
        <v>0</v>
      </c>
      <c r="AY297" s="110" t="s">
        <v>1710</v>
      </c>
      <c r="AZ297" s="110" t="s">
        <v>1733</v>
      </c>
      <c r="BA297" s="109" t="s">
        <v>1737</v>
      </c>
      <c r="BC297" s="100">
        <f t="shared" si="317"/>
        <v>0</v>
      </c>
      <c r="BD297" s="100">
        <f t="shared" si="318"/>
        <v>0</v>
      </c>
      <c r="BE297" s="100">
        <v>0</v>
      </c>
      <c r="BF297" s="100">
        <f>297</f>
        <v>297</v>
      </c>
      <c r="BH297" s="108">
        <f t="shared" si="319"/>
        <v>0</v>
      </c>
      <c r="BI297" s="108">
        <f t="shared" si="320"/>
        <v>0</v>
      </c>
      <c r="BJ297" s="108">
        <f t="shared" si="321"/>
        <v>0</v>
      </c>
    </row>
    <row r="298" spans="1:62" x14ac:dyDescent="0.2">
      <c r="A298" s="117" t="s">
        <v>261</v>
      </c>
      <c r="B298" s="117" t="s">
        <v>3062</v>
      </c>
      <c r="C298" s="304" t="s">
        <v>1373</v>
      </c>
      <c r="D298" s="305"/>
      <c r="E298" s="305"/>
      <c r="F298" s="117" t="s">
        <v>1646</v>
      </c>
      <c r="G298" s="116">
        <v>4</v>
      </c>
      <c r="H298" s="159"/>
      <c r="I298" s="108">
        <f t="shared" si="298"/>
        <v>0</v>
      </c>
      <c r="J298" s="108">
        <f t="shared" si="299"/>
        <v>0</v>
      </c>
      <c r="K298" s="108">
        <f t="shared" si="300"/>
        <v>0</v>
      </c>
      <c r="L298" s="111"/>
      <c r="Z298" s="100">
        <f t="shared" si="301"/>
        <v>0</v>
      </c>
      <c r="AB298" s="100">
        <f t="shared" si="302"/>
        <v>0</v>
      </c>
      <c r="AC298" s="100">
        <f t="shared" si="303"/>
        <v>0</v>
      </c>
      <c r="AD298" s="100">
        <f t="shared" si="304"/>
        <v>0</v>
      </c>
      <c r="AE298" s="100">
        <f t="shared" si="305"/>
        <v>0</v>
      </c>
      <c r="AF298" s="100">
        <f t="shared" si="306"/>
        <v>0</v>
      </c>
      <c r="AG298" s="100">
        <f t="shared" si="307"/>
        <v>0</v>
      </c>
      <c r="AH298" s="100">
        <f t="shared" si="308"/>
        <v>0</v>
      </c>
      <c r="AI298" s="109"/>
      <c r="AJ298" s="108">
        <f t="shared" si="309"/>
        <v>0</v>
      </c>
      <c r="AK298" s="108">
        <f t="shared" si="310"/>
        <v>0</v>
      </c>
      <c r="AL298" s="108">
        <f t="shared" si="311"/>
        <v>0</v>
      </c>
      <c r="AN298" s="100">
        <v>15</v>
      </c>
      <c r="AO298" s="100">
        <f t="shared" si="312"/>
        <v>0</v>
      </c>
      <c r="AP298" s="100">
        <f t="shared" si="313"/>
        <v>0</v>
      </c>
      <c r="AQ298" s="111" t="s">
        <v>13</v>
      </c>
      <c r="AV298" s="100">
        <f t="shared" si="314"/>
        <v>0</v>
      </c>
      <c r="AW298" s="100">
        <f t="shared" si="315"/>
        <v>0</v>
      </c>
      <c r="AX298" s="100">
        <f t="shared" si="316"/>
        <v>0</v>
      </c>
      <c r="AY298" s="110" t="s">
        <v>1710</v>
      </c>
      <c r="AZ298" s="110" t="s">
        <v>1733</v>
      </c>
      <c r="BA298" s="109" t="s">
        <v>1737</v>
      </c>
      <c r="BC298" s="100">
        <f t="shared" si="317"/>
        <v>0</v>
      </c>
      <c r="BD298" s="100">
        <f t="shared" si="318"/>
        <v>0</v>
      </c>
      <c r="BE298" s="100">
        <v>0</v>
      </c>
      <c r="BF298" s="100">
        <f>298</f>
        <v>298</v>
      </c>
      <c r="BH298" s="108">
        <f t="shared" si="319"/>
        <v>0</v>
      </c>
      <c r="BI298" s="108">
        <f t="shared" si="320"/>
        <v>0</v>
      </c>
      <c r="BJ298" s="108">
        <f t="shared" si="321"/>
        <v>0</v>
      </c>
    </row>
    <row r="299" spans="1:62" x14ac:dyDescent="0.2">
      <c r="A299" s="117" t="s">
        <v>262</v>
      </c>
      <c r="B299" s="117" t="s">
        <v>3061</v>
      </c>
      <c r="C299" s="304" t="s">
        <v>1374</v>
      </c>
      <c r="D299" s="305"/>
      <c r="E299" s="305"/>
      <c r="F299" s="117" t="s">
        <v>1646</v>
      </c>
      <c r="G299" s="116">
        <v>4</v>
      </c>
      <c r="H299" s="159"/>
      <c r="I299" s="108">
        <f t="shared" si="298"/>
        <v>0</v>
      </c>
      <c r="J299" s="108">
        <f t="shared" si="299"/>
        <v>0</v>
      </c>
      <c r="K299" s="108">
        <f t="shared" si="300"/>
        <v>0</v>
      </c>
      <c r="L299" s="111"/>
      <c r="Z299" s="100">
        <f t="shared" si="301"/>
        <v>0</v>
      </c>
      <c r="AB299" s="100">
        <f t="shared" si="302"/>
        <v>0</v>
      </c>
      <c r="AC299" s="100">
        <f t="shared" si="303"/>
        <v>0</v>
      </c>
      <c r="AD299" s="100">
        <f t="shared" si="304"/>
        <v>0</v>
      </c>
      <c r="AE299" s="100">
        <f t="shared" si="305"/>
        <v>0</v>
      </c>
      <c r="AF299" s="100">
        <f t="shared" si="306"/>
        <v>0</v>
      </c>
      <c r="AG299" s="100">
        <f t="shared" si="307"/>
        <v>0</v>
      </c>
      <c r="AH299" s="100">
        <f t="shared" si="308"/>
        <v>0</v>
      </c>
      <c r="AI299" s="109"/>
      <c r="AJ299" s="108">
        <f t="shared" si="309"/>
        <v>0</v>
      </c>
      <c r="AK299" s="108">
        <f t="shared" si="310"/>
        <v>0</v>
      </c>
      <c r="AL299" s="108">
        <f t="shared" si="311"/>
        <v>0</v>
      </c>
      <c r="AN299" s="100">
        <v>15</v>
      </c>
      <c r="AO299" s="100">
        <f t="shared" si="312"/>
        <v>0</v>
      </c>
      <c r="AP299" s="100">
        <f t="shared" si="313"/>
        <v>0</v>
      </c>
      <c r="AQ299" s="111" t="s">
        <v>13</v>
      </c>
      <c r="AV299" s="100">
        <f t="shared" si="314"/>
        <v>0</v>
      </c>
      <c r="AW299" s="100">
        <f t="shared" si="315"/>
        <v>0</v>
      </c>
      <c r="AX299" s="100">
        <f t="shared" si="316"/>
        <v>0</v>
      </c>
      <c r="AY299" s="110" t="s">
        <v>1710</v>
      </c>
      <c r="AZ299" s="110" t="s">
        <v>1733</v>
      </c>
      <c r="BA299" s="109" t="s">
        <v>1737</v>
      </c>
      <c r="BC299" s="100">
        <f t="shared" si="317"/>
        <v>0</v>
      </c>
      <c r="BD299" s="100">
        <f t="shared" si="318"/>
        <v>0</v>
      </c>
      <c r="BE299" s="100">
        <v>0</v>
      </c>
      <c r="BF299" s="100">
        <f>299</f>
        <v>299</v>
      </c>
      <c r="BH299" s="108">
        <f t="shared" si="319"/>
        <v>0</v>
      </c>
      <c r="BI299" s="108">
        <f t="shared" si="320"/>
        <v>0</v>
      </c>
      <c r="BJ299" s="108">
        <f t="shared" si="321"/>
        <v>0</v>
      </c>
    </row>
    <row r="300" spans="1:62" x14ac:dyDescent="0.2">
      <c r="A300" s="117" t="s">
        <v>263</v>
      </c>
      <c r="B300" s="117" t="s">
        <v>3060</v>
      </c>
      <c r="C300" s="304" t="s">
        <v>1375</v>
      </c>
      <c r="D300" s="305"/>
      <c r="E300" s="305"/>
      <c r="F300" s="117" t="s">
        <v>1646</v>
      </c>
      <c r="G300" s="116">
        <v>4</v>
      </c>
      <c r="H300" s="159"/>
      <c r="I300" s="108">
        <f t="shared" si="298"/>
        <v>0</v>
      </c>
      <c r="J300" s="108">
        <f t="shared" si="299"/>
        <v>0</v>
      </c>
      <c r="K300" s="108">
        <f t="shared" si="300"/>
        <v>0</v>
      </c>
      <c r="L300" s="111"/>
      <c r="Z300" s="100">
        <f t="shared" si="301"/>
        <v>0</v>
      </c>
      <c r="AB300" s="100">
        <f t="shared" si="302"/>
        <v>0</v>
      </c>
      <c r="AC300" s="100">
        <f t="shared" si="303"/>
        <v>0</v>
      </c>
      <c r="AD300" s="100">
        <f t="shared" si="304"/>
        <v>0</v>
      </c>
      <c r="AE300" s="100">
        <f t="shared" si="305"/>
        <v>0</v>
      </c>
      <c r="AF300" s="100">
        <f t="shared" si="306"/>
        <v>0</v>
      </c>
      <c r="AG300" s="100">
        <f t="shared" si="307"/>
        <v>0</v>
      </c>
      <c r="AH300" s="100">
        <f t="shared" si="308"/>
        <v>0</v>
      </c>
      <c r="AI300" s="109"/>
      <c r="AJ300" s="108">
        <f t="shared" si="309"/>
        <v>0</v>
      </c>
      <c r="AK300" s="108">
        <f t="shared" si="310"/>
        <v>0</v>
      </c>
      <c r="AL300" s="108">
        <f t="shared" si="311"/>
        <v>0</v>
      </c>
      <c r="AN300" s="100">
        <v>15</v>
      </c>
      <c r="AO300" s="100">
        <f t="shared" si="312"/>
        <v>0</v>
      </c>
      <c r="AP300" s="100">
        <f t="shared" si="313"/>
        <v>0</v>
      </c>
      <c r="AQ300" s="111" t="s">
        <v>13</v>
      </c>
      <c r="AV300" s="100">
        <f t="shared" si="314"/>
        <v>0</v>
      </c>
      <c r="AW300" s="100">
        <f t="shared" si="315"/>
        <v>0</v>
      </c>
      <c r="AX300" s="100">
        <f t="shared" si="316"/>
        <v>0</v>
      </c>
      <c r="AY300" s="110" t="s">
        <v>1710</v>
      </c>
      <c r="AZ300" s="110" t="s">
        <v>1733</v>
      </c>
      <c r="BA300" s="109" t="s">
        <v>1737</v>
      </c>
      <c r="BC300" s="100">
        <f t="shared" si="317"/>
        <v>0</v>
      </c>
      <c r="BD300" s="100">
        <f t="shared" si="318"/>
        <v>0</v>
      </c>
      <c r="BE300" s="100">
        <v>0</v>
      </c>
      <c r="BF300" s="100">
        <f>300</f>
        <v>300</v>
      </c>
      <c r="BH300" s="108">
        <f t="shared" si="319"/>
        <v>0</v>
      </c>
      <c r="BI300" s="108">
        <f t="shared" si="320"/>
        <v>0</v>
      </c>
      <c r="BJ300" s="108">
        <f t="shared" si="321"/>
        <v>0</v>
      </c>
    </row>
    <row r="301" spans="1:62" x14ac:dyDescent="0.2">
      <c r="A301" s="117" t="s">
        <v>264</v>
      </c>
      <c r="B301" s="117" t="s">
        <v>3059</v>
      </c>
      <c r="C301" s="304" t="s">
        <v>1376</v>
      </c>
      <c r="D301" s="305"/>
      <c r="E301" s="305"/>
      <c r="F301" s="117" t="s">
        <v>1646</v>
      </c>
      <c r="G301" s="116">
        <v>8</v>
      </c>
      <c r="H301" s="159"/>
      <c r="I301" s="108">
        <f t="shared" si="298"/>
        <v>0</v>
      </c>
      <c r="J301" s="108">
        <f t="shared" si="299"/>
        <v>0</v>
      </c>
      <c r="K301" s="108">
        <f t="shared" si="300"/>
        <v>0</v>
      </c>
      <c r="L301" s="111"/>
      <c r="Z301" s="100">
        <f t="shared" si="301"/>
        <v>0</v>
      </c>
      <c r="AB301" s="100">
        <f t="shared" si="302"/>
        <v>0</v>
      </c>
      <c r="AC301" s="100">
        <f t="shared" si="303"/>
        <v>0</v>
      </c>
      <c r="AD301" s="100">
        <f t="shared" si="304"/>
        <v>0</v>
      </c>
      <c r="AE301" s="100">
        <f t="shared" si="305"/>
        <v>0</v>
      </c>
      <c r="AF301" s="100">
        <f t="shared" si="306"/>
        <v>0</v>
      </c>
      <c r="AG301" s="100">
        <f t="shared" si="307"/>
        <v>0</v>
      </c>
      <c r="AH301" s="100">
        <f t="shared" si="308"/>
        <v>0</v>
      </c>
      <c r="AI301" s="109"/>
      <c r="AJ301" s="108">
        <f t="shared" si="309"/>
        <v>0</v>
      </c>
      <c r="AK301" s="108">
        <f t="shared" si="310"/>
        <v>0</v>
      </c>
      <c r="AL301" s="108">
        <f t="shared" si="311"/>
        <v>0</v>
      </c>
      <c r="AN301" s="100">
        <v>15</v>
      </c>
      <c r="AO301" s="100">
        <f t="shared" si="312"/>
        <v>0</v>
      </c>
      <c r="AP301" s="100">
        <f t="shared" si="313"/>
        <v>0</v>
      </c>
      <c r="AQ301" s="111" t="s">
        <v>13</v>
      </c>
      <c r="AV301" s="100">
        <f t="shared" si="314"/>
        <v>0</v>
      </c>
      <c r="AW301" s="100">
        <f t="shared" si="315"/>
        <v>0</v>
      </c>
      <c r="AX301" s="100">
        <f t="shared" si="316"/>
        <v>0</v>
      </c>
      <c r="AY301" s="110" t="s">
        <v>1710</v>
      </c>
      <c r="AZ301" s="110" t="s">
        <v>1733</v>
      </c>
      <c r="BA301" s="109" t="s">
        <v>1737</v>
      </c>
      <c r="BC301" s="100">
        <f t="shared" si="317"/>
        <v>0</v>
      </c>
      <c r="BD301" s="100">
        <f t="shared" si="318"/>
        <v>0</v>
      </c>
      <c r="BE301" s="100">
        <v>0</v>
      </c>
      <c r="BF301" s="100">
        <f>301</f>
        <v>301</v>
      </c>
      <c r="BH301" s="108">
        <f t="shared" si="319"/>
        <v>0</v>
      </c>
      <c r="BI301" s="108">
        <f t="shared" si="320"/>
        <v>0</v>
      </c>
      <c r="BJ301" s="108">
        <f t="shared" si="321"/>
        <v>0</v>
      </c>
    </row>
    <row r="302" spans="1:62" x14ac:dyDescent="0.2">
      <c r="A302" s="117" t="s">
        <v>265</v>
      </c>
      <c r="B302" s="117" t="s">
        <v>3058</v>
      </c>
      <c r="C302" s="304" t="s">
        <v>1377</v>
      </c>
      <c r="D302" s="305"/>
      <c r="E302" s="305"/>
      <c r="F302" s="117" t="s">
        <v>1646</v>
      </c>
      <c r="G302" s="116">
        <v>16</v>
      </c>
      <c r="H302" s="159"/>
      <c r="I302" s="108">
        <f t="shared" si="298"/>
        <v>0</v>
      </c>
      <c r="J302" s="108">
        <f t="shared" si="299"/>
        <v>0</v>
      </c>
      <c r="K302" s="108">
        <f t="shared" si="300"/>
        <v>0</v>
      </c>
      <c r="L302" s="111"/>
      <c r="Z302" s="100">
        <f t="shared" si="301"/>
        <v>0</v>
      </c>
      <c r="AB302" s="100">
        <f t="shared" si="302"/>
        <v>0</v>
      </c>
      <c r="AC302" s="100">
        <f t="shared" si="303"/>
        <v>0</v>
      </c>
      <c r="AD302" s="100">
        <f t="shared" si="304"/>
        <v>0</v>
      </c>
      <c r="AE302" s="100">
        <f t="shared" si="305"/>
        <v>0</v>
      </c>
      <c r="AF302" s="100">
        <f t="shared" si="306"/>
        <v>0</v>
      </c>
      <c r="AG302" s="100">
        <f t="shared" si="307"/>
        <v>0</v>
      </c>
      <c r="AH302" s="100">
        <f t="shared" si="308"/>
        <v>0</v>
      </c>
      <c r="AI302" s="109"/>
      <c r="AJ302" s="108">
        <f t="shared" si="309"/>
        <v>0</v>
      </c>
      <c r="AK302" s="108">
        <f t="shared" si="310"/>
        <v>0</v>
      </c>
      <c r="AL302" s="108">
        <f t="shared" si="311"/>
        <v>0</v>
      </c>
      <c r="AN302" s="100">
        <v>15</v>
      </c>
      <c r="AO302" s="100">
        <f t="shared" si="312"/>
        <v>0</v>
      </c>
      <c r="AP302" s="100">
        <f t="shared" si="313"/>
        <v>0</v>
      </c>
      <c r="AQ302" s="111" t="s">
        <v>13</v>
      </c>
      <c r="AV302" s="100">
        <f t="shared" si="314"/>
        <v>0</v>
      </c>
      <c r="AW302" s="100">
        <f t="shared" si="315"/>
        <v>0</v>
      </c>
      <c r="AX302" s="100">
        <f t="shared" si="316"/>
        <v>0</v>
      </c>
      <c r="AY302" s="110" t="s">
        <v>1710</v>
      </c>
      <c r="AZ302" s="110" t="s">
        <v>1733</v>
      </c>
      <c r="BA302" s="109" t="s">
        <v>1737</v>
      </c>
      <c r="BC302" s="100">
        <f t="shared" si="317"/>
        <v>0</v>
      </c>
      <c r="BD302" s="100">
        <f t="shared" si="318"/>
        <v>0</v>
      </c>
      <c r="BE302" s="100">
        <v>0</v>
      </c>
      <c r="BF302" s="100">
        <f>302</f>
        <v>302</v>
      </c>
      <c r="BH302" s="108">
        <f t="shared" si="319"/>
        <v>0</v>
      </c>
      <c r="BI302" s="108">
        <f t="shared" si="320"/>
        <v>0</v>
      </c>
      <c r="BJ302" s="108">
        <f t="shared" si="321"/>
        <v>0</v>
      </c>
    </row>
    <row r="303" spans="1:62" x14ac:dyDescent="0.2">
      <c r="A303" s="117" t="s">
        <v>266</v>
      </c>
      <c r="B303" s="117" t="s">
        <v>3057</v>
      </c>
      <c r="C303" s="304" t="s">
        <v>1378</v>
      </c>
      <c r="D303" s="305"/>
      <c r="E303" s="305"/>
      <c r="F303" s="117" t="s">
        <v>1646</v>
      </c>
      <c r="G303" s="116">
        <v>4</v>
      </c>
      <c r="H303" s="159"/>
      <c r="I303" s="108">
        <f t="shared" si="298"/>
        <v>0</v>
      </c>
      <c r="J303" s="108">
        <f t="shared" si="299"/>
        <v>0</v>
      </c>
      <c r="K303" s="108">
        <f t="shared" si="300"/>
        <v>0</v>
      </c>
      <c r="L303" s="111"/>
      <c r="Z303" s="100">
        <f t="shared" si="301"/>
        <v>0</v>
      </c>
      <c r="AB303" s="100">
        <f t="shared" si="302"/>
        <v>0</v>
      </c>
      <c r="AC303" s="100">
        <f t="shared" si="303"/>
        <v>0</v>
      </c>
      <c r="AD303" s="100">
        <f t="shared" si="304"/>
        <v>0</v>
      </c>
      <c r="AE303" s="100">
        <f t="shared" si="305"/>
        <v>0</v>
      </c>
      <c r="AF303" s="100">
        <f t="shared" si="306"/>
        <v>0</v>
      </c>
      <c r="AG303" s="100">
        <f t="shared" si="307"/>
        <v>0</v>
      </c>
      <c r="AH303" s="100">
        <f t="shared" si="308"/>
        <v>0</v>
      </c>
      <c r="AI303" s="109"/>
      <c r="AJ303" s="108">
        <f t="shared" si="309"/>
        <v>0</v>
      </c>
      <c r="AK303" s="108">
        <f t="shared" si="310"/>
        <v>0</v>
      </c>
      <c r="AL303" s="108">
        <f t="shared" si="311"/>
        <v>0</v>
      </c>
      <c r="AN303" s="100">
        <v>15</v>
      </c>
      <c r="AO303" s="100">
        <f t="shared" si="312"/>
        <v>0</v>
      </c>
      <c r="AP303" s="100">
        <f t="shared" si="313"/>
        <v>0</v>
      </c>
      <c r="AQ303" s="111" t="s">
        <v>13</v>
      </c>
      <c r="AV303" s="100">
        <f t="shared" si="314"/>
        <v>0</v>
      </c>
      <c r="AW303" s="100">
        <f t="shared" si="315"/>
        <v>0</v>
      </c>
      <c r="AX303" s="100">
        <f t="shared" si="316"/>
        <v>0</v>
      </c>
      <c r="AY303" s="110" t="s">
        <v>1710</v>
      </c>
      <c r="AZ303" s="110" t="s">
        <v>1733</v>
      </c>
      <c r="BA303" s="109" t="s">
        <v>1737</v>
      </c>
      <c r="BC303" s="100">
        <f t="shared" si="317"/>
        <v>0</v>
      </c>
      <c r="BD303" s="100">
        <f t="shared" si="318"/>
        <v>0</v>
      </c>
      <c r="BE303" s="100">
        <v>0</v>
      </c>
      <c r="BF303" s="100">
        <f>303</f>
        <v>303</v>
      </c>
      <c r="BH303" s="108">
        <f t="shared" si="319"/>
        <v>0</v>
      </c>
      <c r="BI303" s="108">
        <f t="shared" si="320"/>
        <v>0</v>
      </c>
      <c r="BJ303" s="108">
        <f t="shared" si="321"/>
        <v>0</v>
      </c>
    </row>
    <row r="304" spans="1:62" x14ac:dyDescent="0.2">
      <c r="A304" s="119"/>
      <c r="B304" s="120" t="s">
        <v>798</v>
      </c>
      <c r="C304" s="306" t="s">
        <v>1379</v>
      </c>
      <c r="D304" s="307"/>
      <c r="E304" s="307"/>
      <c r="F304" s="119" t="s">
        <v>6</v>
      </c>
      <c r="G304" s="119" t="s">
        <v>6</v>
      </c>
      <c r="H304" s="119" t="s">
        <v>6</v>
      </c>
      <c r="I304" s="118">
        <f>SUM(I305:I326)</f>
        <v>0</v>
      </c>
      <c r="J304" s="118">
        <f>SUM(J305:J326)</f>
        <v>0</v>
      </c>
      <c r="K304" s="118">
        <f>SUM(K305:K326)</f>
        <v>0</v>
      </c>
      <c r="L304" s="109"/>
      <c r="AI304" s="109"/>
      <c r="AS304" s="118">
        <f>SUM(AJ305:AJ326)</f>
        <v>0</v>
      </c>
      <c r="AT304" s="118">
        <f>SUM(AK305:AK326)</f>
        <v>0</v>
      </c>
      <c r="AU304" s="118">
        <f>SUM(AL305:AL326)</f>
        <v>0</v>
      </c>
    </row>
    <row r="305" spans="1:62" x14ac:dyDescent="0.2">
      <c r="A305" s="117" t="s">
        <v>267</v>
      </c>
      <c r="B305" s="117" t="s">
        <v>3056</v>
      </c>
      <c r="C305" s="304" t="s">
        <v>1380</v>
      </c>
      <c r="D305" s="305"/>
      <c r="E305" s="305"/>
      <c r="F305" s="117" t="s">
        <v>1646</v>
      </c>
      <c r="G305" s="116">
        <v>2</v>
      </c>
      <c r="H305" s="159"/>
      <c r="I305" s="108">
        <f t="shared" ref="I305:I326" si="322">G305*AO305</f>
        <v>0</v>
      </c>
      <c r="J305" s="108">
        <f t="shared" ref="J305:J326" si="323">G305*AP305</f>
        <v>0</v>
      </c>
      <c r="K305" s="108">
        <f t="shared" ref="K305:K326" si="324">G305*H305</f>
        <v>0</v>
      </c>
      <c r="L305" s="111"/>
      <c r="Z305" s="100">
        <f t="shared" ref="Z305:Z326" si="325">IF(AQ305="5",BJ305,0)</f>
        <v>0</v>
      </c>
      <c r="AB305" s="100">
        <f t="shared" ref="AB305:AB326" si="326">IF(AQ305="1",BH305,0)</f>
        <v>0</v>
      </c>
      <c r="AC305" s="100">
        <f t="shared" ref="AC305:AC326" si="327">IF(AQ305="1",BI305,0)</f>
        <v>0</v>
      </c>
      <c r="AD305" s="100">
        <f t="shared" ref="AD305:AD326" si="328">IF(AQ305="7",BH305,0)</f>
        <v>0</v>
      </c>
      <c r="AE305" s="100">
        <f t="shared" ref="AE305:AE326" si="329">IF(AQ305="7",BI305,0)</f>
        <v>0</v>
      </c>
      <c r="AF305" s="100">
        <f t="shared" ref="AF305:AF326" si="330">IF(AQ305="2",BH305,0)</f>
        <v>0</v>
      </c>
      <c r="AG305" s="100">
        <f t="shared" ref="AG305:AG326" si="331">IF(AQ305="2",BI305,0)</f>
        <v>0</v>
      </c>
      <c r="AH305" s="100">
        <f t="shared" ref="AH305:AH326" si="332">IF(AQ305="0",BJ305,0)</f>
        <v>0</v>
      </c>
      <c r="AI305" s="109"/>
      <c r="AJ305" s="108">
        <f t="shared" ref="AJ305:AJ326" si="333">IF(AN305=0,K305,0)</f>
        <v>0</v>
      </c>
      <c r="AK305" s="108">
        <f t="shared" ref="AK305:AK326" si="334">IF(AN305=15,K305,0)</f>
        <v>0</v>
      </c>
      <c r="AL305" s="108">
        <f t="shared" ref="AL305:AL326" si="335">IF(AN305=21,K305,0)</f>
        <v>0</v>
      </c>
      <c r="AN305" s="100">
        <v>15</v>
      </c>
      <c r="AO305" s="100">
        <f t="shared" ref="AO305:AO326" si="336">H305*0</f>
        <v>0</v>
      </c>
      <c r="AP305" s="100">
        <f t="shared" ref="AP305:AP326" si="337">H305*(1-0)</f>
        <v>0</v>
      </c>
      <c r="AQ305" s="111" t="s">
        <v>13</v>
      </c>
      <c r="AV305" s="100">
        <f t="shared" ref="AV305:AV326" si="338">AW305+AX305</f>
        <v>0</v>
      </c>
      <c r="AW305" s="100">
        <f t="shared" ref="AW305:AW326" si="339">G305*AO305</f>
        <v>0</v>
      </c>
      <c r="AX305" s="100">
        <f t="shared" ref="AX305:AX326" si="340">G305*AP305</f>
        <v>0</v>
      </c>
      <c r="AY305" s="110" t="s">
        <v>1711</v>
      </c>
      <c r="AZ305" s="110" t="s">
        <v>1733</v>
      </c>
      <c r="BA305" s="109" t="s">
        <v>1737</v>
      </c>
      <c r="BC305" s="100">
        <f t="shared" ref="BC305:BC326" si="341">AW305+AX305</f>
        <v>0</v>
      </c>
      <c r="BD305" s="100">
        <f t="shared" ref="BD305:BD326" si="342">H305/(100-BE305)*100</f>
        <v>0</v>
      </c>
      <c r="BE305" s="100">
        <v>0</v>
      </c>
      <c r="BF305" s="100">
        <f>305</f>
        <v>305</v>
      </c>
      <c r="BH305" s="108">
        <f t="shared" ref="BH305:BH326" si="343">G305*AO305</f>
        <v>0</v>
      </c>
      <c r="BI305" s="108">
        <f t="shared" ref="BI305:BI326" si="344">G305*AP305</f>
        <v>0</v>
      </c>
      <c r="BJ305" s="108">
        <f t="shared" ref="BJ305:BJ326" si="345">G305*H305</f>
        <v>0</v>
      </c>
    </row>
    <row r="306" spans="1:62" x14ac:dyDescent="0.2">
      <c r="A306" s="117" t="s">
        <v>268</v>
      </c>
      <c r="B306" s="117" t="s">
        <v>3055</v>
      </c>
      <c r="C306" s="304" t="s">
        <v>1381</v>
      </c>
      <c r="D306" s="305"/>
      <c r="E306" s="305"/>
      <c r="F306" s="117" t="s">
        <v>1644</v>
      </c>
      <c r="G306" s="116">
        <v>1</v>
      </c>
      <c r="H306" s="159"/>
      <c r="I306" s="108">
        <f t="shared" si="322"/>
        <v>0</v>
      </c>
      <c r="J306" s="108">
        <f t="shared" si="323"/>
        <v>0</v>
      </c>
      <c r="K306" s="108">
        <f t="shared" si="324"/>
        <v>0</v>
      </c>
      <c r="L306" s="111"/>
      <c r="Z306" s="100">
        <f t="shared" si="325"/>
        <v>0</v>
      </c>
      <c r="AB306" s="100">
        <f t="shared" si="326"/>
        <v>0</v>
      </c>
      <c r="AC306" s="100">
        <f t="shared" si="327"/>
        <v>0</v>
      </c>
      <c r="AD306" s="100">
        <f t="shared" si="328"/>
        <v>0</v>
      </c>
      <c r="AE306" s="100">
        <f t="shared" si="329"/>
        <v>0</v>
      </c>
      <c r="AF306" s="100">
        <f t="shared" si="330"/>
        <v>0</v>
      </c>
      <c r="AG306" s="100">
        <f t="shared" si="331"/>
        <v>0</v>
      </c>
      <c r="AH306" s="100">
        <f t="shared" si="332"/>
        <v>0</v>
      </c>
      <c r="AI306" s="109"/>
      <c r="AJ306" s="108">
        <f t="shared" si="333"/>
        <v>0</v>
      </c>
      <c r="AK306" s="108">
        <f t="shared" si="334"/>
        <v>0</v>
      </c>
      <c r="AL306" s="108">
        <f t="shared" si="335"/>
        <v>0</v>
      </c>
      <c r="AN306" s="100">
        <v>15</v>
      </c>
      <c r="AO306" s="100">
        <f t="shared" si="336"/>
        <v>0</v>
      </c>
      <c r="AP306" s="100">
        <f t="shared" si="337"/>
        <v>0</v>
      </c>
      <c r="AQ306" s="111" t="s">
        <v>13</v>
      </c>
      <c r="AV306" s="100">
        <f t="shared" si="338"/>
        <v>0</v>
      </c>
      <c r="AW306" s="100">
        <f t="shared" si="339"/>
        <v>0</v>
      </c>
      <c r="AX306" s="100">
        <f t="shared" si="340"/>
        <v>0</v>
      </c>
      <c r="AY306" s="110" t="s">
        <v>1711</v>
      </c>
      <c r="AZ306" s="110" t="s">
        <v>1733</v>
      </c>
      <c r="BA306" s="109" t="s">
        <v>1737</v>
      </c>
      <c r="BC306" s="100">
        <f t="shared" si="341"/>
        <v>0</v>
      </c>
      <c r="BD306" s="100">
        <f t="shared" si="342"/>
        <v>0</v>
      </c>
      <c r="BE306" s="100">
        <v>0</v>
      </c>
      <c r="BF306" s="100">
        <f>306</f>
        <v>306</v>
      </c>
      <c r="BH306" s="108">
        <f t="shared" si="343"/>
        <v>0</v>
      </c>
      <c r="BI306" s="108">
        <f t="shared" si="344"/>
        <v>0</v>
      </c>
      <c r="BJ306" s="108">
        <f t="shared" si="345"/>
        <v>0</v>
      </c>
    </row>
    <row r="307" spans="1:62" x14ac:dyDescent="0.2">
      <c r="A307" s="117" t="s">
        <v>269</v>
      </c>
      <c r="B307" s="117" t="s">
        <v>3054</v>
      </c>
      <c r="C307" s="304" t="s">
        <v>1382</v>
      </c>
      <c r="D307" s="305"/>
      <c r="E307" s="305"/>
      <c r="F307" s="117" t="s">
        <v>1644</v>
      </c>
      <c r="G307" s="116">
        <v>1</v>
      </c>
      <c r="H307" s="159"/>
      <c r="I307" s="108">
        <f t="shared" si="322"/>
        <v>0</v>
      </c>
      <c r="J307" s="108">
        <f t="shared" si="323"/>
        <v>0</v>
      </c>
      <c r="K307" s="108">
        <f t="shared" si="324"/>
        <v>0</v>
      </c>
      <c r="L307" s="111"/>
      <c r="Z307" s="100">
        <f t="shared" si="325"/>
        <v>0</v>
      </c>
      <c r="AB307" s="100">
        <f t="shared" si="326"/>
        <v>0</v>
      </c>
      <c r="AC307" s="100">
        <f t="shared" si="327"/>
        <v>0</v>
      </c>
      <c r="AD307" s="100">
        <f t="shared" si="328"/>
        <v>0</v>
      </c>
      <c r="AE307" s="100">
        <f t="shared" si="329"/>
        <v>0</v>
      </c>
      <c r="AF307" s="100">
        <f t="shared" si="330"/>
        <v>0</v>
      </c>
      <c r="AG307" s="100">
        <f t="shared" si="331"/>
        <v>0</v>
      </c>
      <c r="AH307" s="100">
        <f t="shared" si="332"/>
        <v>0</v>
      </c>
      <c r="AI307" s="109"/>
      <c r="AJ307" s="108">
        <f t="shared" si="333"/>
        <v>0</v>
      </c>
      <c r="AK307" s="108">
        <f t="shared" si="334"/>
        <v>0</v>
      </c>
      <c r="AL307" s="108">
        <f t="shared" si="335"/>
        <v>0</v>
      </c>
      <c r="AN307" s="100">
        <v>15</v>
      </c>
      <c r="AO307" s="100">
        <f t="shared" si="336"/>
        <v>0</v>
      </c>
      <c r="AP307" s="100">
        <f t="shared" si="337"/>
        <v>0</v>
      </c>
      <c r="AQ307" s="111" t="s">
        <v>13</v>
      </c>
      <c r="AV307" s="100">
        <f t="shared" si="338"/>
        <v>0</v>
      </c>
      <c r="AW307" s="100">
        <f t="shared" si="339"/>
        <v>0</v>
      </c>
      <c r="AX307" s="100">
        <f t="shared" si="340"/>
        <v>0</v>
      </c>
      <c r="AY307" s="110" t="s">
        <v>1711</v>
      </c>
      <c r="AZ307" s="110" t="s">
        <v>1733</v>
      </c>
      <c r="BA307" s="109" t="s">
        <v>1737</v>
      </c>
      <c r="BC307" s="100">
        <f t="shared" si="341"/>
        <v>0</v>
      </c>
      <c r="BD307" s="100">
        <f t="shared" si="342"/>
        <v>0</v>
      </c>
      <c r="BE307" s="100">
        <v>0</v>
      </c>
      <c r="BF307" s="100">
        <f>307</f>
        <v>307</v>
      </c>
      <c r="BH307" s="108">
        <f t="shared" si="343"/>
        <v>0</v>
      </c>
      <c r="BI307" s="108">
        <f t="shared" si="344"/>
        <v>0</v>
      </c>
      <c r="BJ307" s="108">
        <f t="shared" si="345"/>
        <v>0</v>
      </c>
    </row>
    <row r="308" spans="1:62" x14ac:dyDescent="0.2">
      <c r="A308" s="117" t="s">
        <v>270</v>
      </c>
      <c r="B308" s="117" t="s">
        <v>3053</v>
      </c>
      <c r="C308" s="304" t="s">
        <v>1383</v>
      </c>
      <c r="D308" s="305"/>
      <c r="E308" s="305"/>
      <c r="F308" s="117" t="s">
        <v>1644</v>
      </c>
      <c r="G308" s="116">
        <v>1</v>
      </c>
      <c r="H308" s="159"/>
      <c r="I308" s="108">
        <f t="shared" si="322"/>
        <v>0</v>
      </c>
      <c r="J308" s="108">
        <f t="shared" si="323"/>
        <v>0</v>
      </c>
      <c r="K308" s="108">
        <f t="shared" si="324"/>
        <v>0</v>
      </c>
      <c r="L308" s="111"/>
      <c r="Z308" s="100">
        <f t="shared" si="325"/>
        <v>0</v>
      </c>
      <c r="AB308" s="100">
        <f t="shared" si="326"/>
        <v>0</v>
      </c>
      <c r="AC308" s="100">
        <f t="shared" si="327"/>
        <v>0</v>
      </c>
      <c r="AD308" s="100">
        <f t="shared" si="328"/>
        <v>0</v>
      </c>
      <c r="AE308" s="100">
        <f t="shared" si="329"/>
        <v>0</v>
      </c>
      <c r="AF308" s="100">
        <f t="shared" si="330"/>
        <v>0</v>
      </c>
      <c r="AG308" s="100">
        <f t="shared" si="331"/>
        <v>0</v>
      </c>
      <c r="AH308" s="100">
        <f t="shared" si="332"/>
        <v>0</v>
      </c>
      <c r="AI308" s="109"/>
      <c r="AJ308" s="108">
        <f t="shared" si="333"/>
        <v>0</v>
      </c>
      <c r="AK308" s="108">
        <f t="shared" si="334"/>
        <v>0</v>
      </c>
      <c r="AL308" s="108">
        <f t="shared" si="335"/>
        <v>0</v>
      </c>
      <c r="AN308" s="100">
        <v>15</v>
      </c>
      <c r="AO308" s="100">
        <f t="shared" si="336"/>
        <v>0</v>
      </c>
      <c r="AP308" s="100">
        <f t="shared" si="337"/>
        <v>0</v>
      </c>
      <c r="AQ308" s="111" t="s">
        <v>13</v>
      </c>
      <c r="AV308" s="100">
        <f t="shared" si="338"/>
        <v>0</v>
      </c>
      <c r="AW308" s="100">
        <f t="shared" si="339"/>
        <v>0</v>
      </c>
      <c r="AX308" s="100">
        <f t="shared" si="340"/>
        <v>0</v>
      </c>
      <c r="AY308" s="110" t="s">
        <v>1711</v>
      </c>
      <c r="AZ308" s="110" t="s">
        <v>1733</v>
      </c>
      <c r="BA308" s="109" t="s">
        <v>1737</v>
      </c>
      <c r="BC308" s="100">
        <f t="shared" si="341"/>
        <v>0</v>
      </c>
      <c r="BD308" s="100">
        <f t="shared" si="342"/>
        <v>0</v>
      </c>
      <c r="BE308" s="100">
        <v>0</v>
      </c>
      <c r="BF308" s="100">
        <f>308</f>
        <v>308</v>
      </c>
      <c r="BH308" s="108">
        <f t="shared" si="343"/>
        <v>0</v>
      </c>
      <c r="BI308" s="108">
        <f t="shared" si="344"/>
        <v>0</v>
      </c>
      <c r="BJ308" s="108">
        <f t="shared" si="345"/>
        <v>0</v>
      </c>
    </row>
    <row r="309" spans="1:62" x14ac:dyDescent="0.2">
      <c r="A309" s="117" t="s">
        <v>271</v>
      </c>
      <c r="B309" s="117" t="s">
        <v>3052</v>
      </c>
      <c r="C309" s="304" t="s">
        <v>1385</v>
      </c>
      <c r="D309" s="305"/>
      <c r="E309" s="305"/>
      <c r="F309" s="117" t="s">
        <v>1646</v>
      </c>
      <c r="G309" s="116">
        <v>9</v>
      </c>
      <c r="H309" s="159"/>
      <c r="I309" s="108">
        <f t="shared" si="322"/>
        <v>0</v>
      </c>
      <c r="J309" s="108">
        <f t="shared" si="323"/>
        <v>0</v>
      </c>
      <c r="K309" s="108">
        <f t="shared" si="324"/>
        <v>0</v>
      </c>
      <c r="L309" s="111"/>
      <c r="Z309" s="100">
        <f t="shared" si="325"/>
        <v>0</v>
      </c>
      <c r="AB309" s="100">
        <f t="shared" si="326"/>
        <v>0</v>
      </c>
      <c r="AC309" s="100">
        <f t="shared" si="327"/>
        <v>0</v>
      </c>
      <c r="AD309" s="100">
        <f t="shared" si="328"/>
        <v>0</v>
      </c>
      <c r="AE309" s="100">
        <f t="shared" si="329"/>
        <v>0</v>
      </c>
      <c r="AF309" s="100">
        <f t="shared" si="330"/>
        <v>0</v>
      </c>
      <c r="AG309" s="100">
        <f t="shared" si="331"/>
        <v>0</v>
      </c>
      <c r="AH309" s="100">
        <f t="shared" si="332"/>
        <v>0</v>
      </c>
      <c r="AI309" s="109"/>
      <c r="AJ309" s="108">
        <f t="shared" si="333"/>
        <v>0</v>
      </c>
      <c r="AK309" s="108">
        <f t="shared" si="334"/>
        <v>0</v>
      </c>
      <c r="AL309" s="108">
        <f t="shared" si="335"/>
        <v>0</v>
      </c>
      <c r="AN309" s="100">
        <v>15</v>
      </c>
      <c r="AO309" s="100">
        <f t="shared" si="336"/>
        <v>0</v>
      </c>
      <c r="AP309" s="100">
        <f t="shared" si="337"/>
        <v>0</v>
      </c>
      <c r="AQ309" s="111" t="s">
        <v>13</v>
      </c>
      <c r="AV309" s="100">
        <f t="shared" si="338"/>
        <v>0</v>
      </c>
      <c r="AW309" s="100">
        <f t="shared" si="339"/>
        <v>0</v>
      </c>
      <c r="AX309" s="100">
        <f t="shared" si="340"/>
        <v>0</v>
      </c>
      <c r="AY309" s="110" t="s">
        <v>1711</v>
      </c>
      <c r="AZ309" s="110" t="s">
        <v>1733</v>
      </c>
      <c r="BA309" s="109" t="s">
        <v>1737</v>
      </c>
      <c r="BC309" s="100">
        <f t="shared" si="341"/>
        <v>0</v>
      </c>
      <c r="BD309" s="100">
        <f t="shared" si="342"/>
        <v>0</v>
      </c>
      <c r="BE309" s="100">
        <v>0</v>
      </c>
      <c r="BF309" s="100">
        <f>309</f>
        <v>309</v>
      </c>
      <c r="BH309" s="108">
        <f t="shared" si="343"/>
        <v>0</v>
      </c>
      <c r="BI309" s="108">
        <f t="shared" si="344"/>
        <v>0</v>
      </c>
      <c r="BJ309" s="108">
        <f t="shared" si="345"/>
        <v>0</v>
      </c>
    </row>
    <row r="310" spans="1:62" x14ac:dyDescent="0.2">
      <c r="A310" s="117" t="s">
        <v>272</v>
      </c>
      <c r="B310" s="117" t="s">
        <v>3051</v>
      </c>
      <c r="C310" s="304" t="s">
        <v>1386</v>
      </c>
      <c r="D310" s="305"/>
      <c r="E310" s="305"/>
      <c r="F310" s="117" t="s">
        <v>1644</v>
      </c>
      <c r="G310" s="116">
        <v>1</v>
      </c>
      <c r="H310" s="159"/>
      <c r="I310" s="108">
        <f t="shared" si="322"/>
        <v>0</v>
      </c>
      <c r="J310" s="108">
        <f t="shared" si="323"/>
        <v>0</v>
      </c>
      <c r="K310" s="108">
        <f t="shared" si="324"/>
        <v>0</v>
      </c>
      <c r="L310" s="111"/>
      <c r="Z310" s="100">
        <f t="shared" si="325"/>
        <v>0</v>
      </c>
      <c r="AB310" s="100">
        <f t="shared" si="326"/>
        <v>0</v>
      </c>
      <c r="AC310" s="100">
        <f t="shared" si="327"/>
        <v>0</v>
      </c>
      <c r="AD310" s="100">
        <f t="shared" si="328"/>
        <v>0</v>
      </c>
      <c r="AE310" s="100">
        <f t="shared" si="329"/>
        <v>0</v>
      </c>
      <c r="AF310" s="100">
        <f t="shared" si="330"/>
        <v>0</v>
      </c>
      <c r="AG310" s="100">
        <f t="shared" si="331"/>
        <v>0</v>
      </c>
      <c r="AH310" s="100">
        <f t="shared" si="332"/>
        <v>0</v>
      </c>
      <c r="AI310" s="109"/>
      <c r="AJ310" s="108">
        <f t="shared" si="333"/>
        <v>0</v>
      </c>
      <c r="AK310" s="108">
        <f t="shared" si="334"/>
        <v>0</v>
      </c>
      <c r="AL310" s="108">
        <f t="shared" si="335"/>
        <v>0</v>
      </c>
      <c r="AN310" s="100">
        <v>15</v>
      </c>
      <c r="AO310" s="100">
        <f t="shared" si="336"/>
        <v>0</v>
      </c>
      <c r="AP310" s="100">
        <f t="shared" si="337"/>
        <v>0</v>
      </c>
      <c r="AQ310" s="111" t="s">
        <v>13</v>
      </c>
      <c r="AV310" s="100">
        <f t="shared" si="338"/>
        <v>0</v>
      </c>
      <c r="AW310" s="100">
        <f t="shared" si="339"/>
        <v>0</v>
      </c>
      <c r="AX310" s="100">
        <f t="shared" si="340"/>
        <v>0</v>
      </c>
      <c r="AY310" s="110" t="s">
        <v>1711</v>
      </c>
      <c r="AZ310" s="110" t="s">
        <v>1733</v>
      </c>
      <c r="BA310" s="109" t="s">
        <v>1737</v>
      </c>
      <c r="BC310" s="100">
        <f t="shared" si="341"/>
        <v>0</v>
      </c>
      <c r="BD310" s="100">
        <f t="shared" si="342"/>
        <v>0</v>
      </c>
      <c r="BE310" s="100">
        <v>0</v>
      </c>
      <c r="BF310" s="100">
        <f>310</f>
        <v>310</v>
      </c>
      <c r="BH310" s="108">
        <f t="shared" si="343"/>
        <v>0</v>
      </c>
      <c r="BI310" s="108">
        <f t="shared" si="344"/>
        <v>0</v>
      </c>
      <c r="BJ310" s="108">
        <f t="shared" si="345"/>
        <v>0</v>
      </c>
    </row>
    <row r="311" spans="1:62" x14ac:dyDescent="0.2">
      <c r="A311" s="117" t="s">
        <v>273</v>
      </c>
      <c r="B311" s="117" t="s">
        <v>3050</v>
      </c>
      <c r="C311" s="304" t="s">
        <v>1387</v>
      </c>
      <c r="D311" s="305"/>
      <c r="E311" s="305"/>
      <c r="F311" s="117" t="s">
        <v>1644</v>
      </c>
      <c r="G311" s="116">
        <v>1</v>
      </c>
      <c r="H311" s="159"/>
      <c r="I311" s="108">
        <f t="shared" si="322"/>
        <v>0</v>
      </c>
      <c r="J311" s="108">
        <f t="shared" si="323"/>
        <v>0</v>
      </c>
      <c r="K311" s="108">
        <f t="shared" si="324"/>
        <v>0</v>
      </c>
      <c r="L311" s="111"/>
      <c r="Z311" s="100">
        <f t="shared" si="325"/>
        <v>0</v>
      </c>
      <c r="AB311" s="100">
        <f t="shared" si="326"/>
        <v>0</v>
      </c>
      <c r="AC311" s="100">
        <f t="shared" si="327"/>
        <v>0</v>
      </c>
      <c r="AD311" s="100">
        <f t="shared" si="328"/>
        <v>0</v>
      </c>
      <c r="AE311" s="100">
        <f t="shared" si="329"/>
        <v>0</v>
      </c>
      <c r="AF311" s="100">
        <f t="shared" si="330"/>
        <v>0</v>
      </c>
      <c r="AG311" s="100">
        <f t="shared" si="331"/>
        <v>0</v>
      </c>
      <c r="AH311" s="100">
        <f t="shared" si="332"/>
        <v>0</v>
      </c>
      <c r="AI311" s="109"/>
      <c r="AJ311" s="108">
        <f t="shared" si="333"/>
        <v>0</v>
      </c>
      <c r="AK311" s="108">
        <f t="shared" si="334"/>
        <v>0</v>
      </c>
      <c r="AL311" s="108">
        <f t="shared" si="335"/>
        <v>0</v>
      </c>
      <c r="AN311" s="100">
        <v>15</v>
      </c>
      <c r="AO311" s="100">
        <f t="shared" si="336"/>
        <v>0</v>
      </c>
      <c r="AP311" s="100">
        <f t="shared" si="337"/>
        <v>0</v>
      </c>
      <c r="AQ311" s="111" t="s">
        <v>13</v>
      </c>
      <c r="AV311" s="100">
        <f t="shared" si="338"/>
        <v>0</v>
      </c>
      <c r="AW311" s="100">
        <f t="shared" si="339"/>
        <v>0</v>
      </c>
      <c r="AX311" s="100">
        <f t="shared" si="340"/>
        <v>0</v>
      </c>
      <c r="AY311" s="110" t="s">
        <v>1711</v>
      </c>
      <c r="AZ311" s="110" t="s">
        <v>1733</v>
      </c>
      <c r="BA311" s="109" t="s">
        <v>1737</v>
      </c>
      <c r="BC311" s="100">
        <f t="shared" si="341"/>
        <v>0</v>
      </c>
      <c r="BD311" s="100">
        <f t="shared" si="342"/>
        <v>0</v>
      </c>
      <c r="BE311" s="100">
        <v>0</v>
      </c>
      <c r="BF311" s="100">
        <f>311</f>
        <v>311</v>
      </c>
      <c r="BH311" s="108">
        <f t="shared" si="343"/>
        <v>0</v>
      </c>
      <c r="BI311" s="108">
        <f t="shared" si="344"/>
        <v>0</v>
      </c>
      <c r="BJ311" s="108">
        <f t="shared" si="345"/>
        <v>0</v>
      </c>
    </row>
    <row r="312" spans="1:62" x14ac:dyDescent="0.2">
      <c r="A312" s="117" t="s">
        <v>274</v>
      </c>
      <c r="B312" s="117" t="s">
        <v>3049</v>
      </c>
      <c r="C312" s="304" t="s">
        <v>1388</v>
      </c>
      <c r="D312" s="305"/>
      <c r="E312" s="305"/>
      <c r="F312" s="117" t="s">
        <v>1644</v>
      </c>
      <c r="G312" s="116">
        <v>1</v>
      </c>
      <c r="H312" s="159"/>
      <c r="I312" s="108">
        <f t="shared" si="322"/>
        <v>0</v>
      </c>
      <c r="J312" s="108">
        <f t="shared" si="323"/>
        <v>0</v>
      </c>
      <c r="K312" s="108">
        <f t="shared" si="324"/>
        <v>0</v>
      </c>
      <c r="L312" s="111"/>
      <c r="Z312" s="100">
        <f t="shared" si="325"/>
        <v>0</v>
      </c>
      <c r="AB312" s="100">
        <f t="shared" si="326"/>
        <v>0</v>
      </c>
      <c r="AC312" s="100">
        <f t="shared" si="327"/>
        <v>0</v>
      </c>
      <c r="AD312" s="100">
        <f t="shared" si="328"/>
        <v>0</v>
      </c>
      <c r="AE312" s="100">
        <f t="shared" si="329"/>
        <v>0</v>
      </c>
      <c r="AF312" s="100">
        <f t="shared" si="330"/>
        <v>0</v>
      </c>
      <c r="AG312" s="100">
        <f t="shared" si="331"/>
        <v>0</v>
      </c>
      <c r="AH312" s="100">
        <f t="shared" si="332"/>
        <v>0</v>
      </c>
      <c r="AI312" s="109"/>
      <c r="AJ312" s="108">
        <f t="shared" si="333"/>
        <v>0</v>
      </c>
      <c r="AK312" s="108">
        <f t="shared" si="334"/>
        <v>0</v>
      </c>
      <c r="AL312" s="108">
        <f t="shared" si="335"/>
        <v>0</v>
      </c>
      <c r="AN312" s="100">
        <v>15</v>
      </c>
      <c r="AO312" s="100">
        <f t="shared" si="336"/>
        <v>0</v>
      </c>
      <c r="AP312" s="100">
        <f t="shared" si="337"/>
        <v>0</v>
      </c>
      <c r="AQ312" s="111" t="s">
        <v>13</v>
      </c>
      <c r="AV312" s="100">
        <f t="shared" si="338"/>
        <v>0</v>
      </c>
      <c r="AW312" s="100">
        <f t="shared" si="339"/>
        <v>0</v>
      </c>
      <c r="AX312" s="100">
        <f t="shared" si="340"/>
        <v>0</v>
      </c>
      <c r="AY312" s="110" t="s">
        <v>1711</v>
      </c>
      <c r="AZ312" s="110" t="s">
        <v>1733</v>
      </c>
      <c r="BA312" s="109" t="s">
        <v>1737</v>
      </c>
      <c r="BC312" s="100">
        <f t="shared" si="341"/>
        <v>0</v>
      </c>
      <c r="BD312" s="100">
        <f t="shared" si="342"/>
        <v>0</v>
      </c>
      <c r="BE312" s="100">
        <v>0</v>
      </c>
      <c r="BF312" s="100">
        <f>312</f>
        <v>312</v>
      </c>
      <c r="BH312" s="108">
        <f t="shared" si="343"/>
        <v>0</v>
      </c>
      <c r="BI312" s="108">
        <f t="shared" si="344"/>
        <v>0</v>
      </c>
      <c r="BJ312" s="108">
        <f t="shared" si="345"/>
        <v>0</v>
      </c>
    </row>
    <row r="313" spans="1:62" x14ac:dyDescent="0.2">
      <c r="A313" s="117" t="s">
        <v>275</v>
      </c>
      <c r="B313" s="117" t="s">
        <v>3048</v>
      </c>
      <c r="C313" s="304" t="s">
        <v>1389</v>
      </c>
      <c r="D313" s="305"/>
      <c r="E313" s="305"/>
      <c r="F313" s="117" t="s">
        <v>1644</v>
      </c>
      <c r="G313" s="116">
        <v>1</v>
      </c>
      <c r="H313" s="159"/>
      <c r="I313" s="108">
        <f t="shared" si="322"/>
        <v>0</v>
      </c>
      <c r="J313" s="108">
        <f t="shared" si="323"/>
        <v>0</v>
      </c>
      <c r="K313" s="108">
        <f t="shared" si="324"/>
        <v>0</v>
      </c>
      <c r="L313" s="111"/>
      <c r="Z313" s="100">
        <f t="shared" si="325"/>
        <v>0</v>
      </c>
      <c r="AB313" s="100">
        <f t="shared" si="326"/>
        <v>0</v>
      </c>
      <c r="AC313" s="100">
        <f t="shared" si="327"/>
        <v>0</v>
      </c>
      <c r="AD313" s="100">
        <f t="shared" si="328"/>
        <v>0</v>
      </c>
      <c r="AE313" s="100">
        <f t="shared" si="329"/>
        <v>0</v>
      </c>
      <c r="AF313" s="100">
        <f t="shared" si="330"/>
        <v>0</v>
      </c>
      <c r="AG313" s="100">
        <f t="shared" si="331"/>
        <v>0</v>
      </c>
      <c r="AH313" s="100">
        <f t="shared" si="332"/>
        <v>0</v>
      </c>
      <c r="AI313" s="109"/>
      <c r="AJ313" s="108">
        <f t="shared" si="333"/>
        <v>0</v>
      </c>
      <c r="AK313" s="108">
        <f t="shared" si="334"/>
        <v>0</v>
      </c>
      <c r="AL313" s="108">
        <f t="shared" si="335"/>
        <v>0</v>
      </c>
      <c r="AN313" s="100">
        <v>15</v>
      </c>
      <c r="AO313" s="100">
        <f t="shared" si="336"/>
        <v>0</v>
      </c>
      <c r="AP313" s="100">
        <f t="shared" si="337"/>
        <v>0</v>
      </c>
      <c r="AQ313" s="111" t="s">
        <v>13</v>
      </c>
      <c r="AV313" s="100">
        <f t="shared" si="338"/>
        <v>0</v>
      </c>
      <c r="AW313" s="100">
        <f t="shared" si="339"/>
        <v>0</v>
      </c>
      <c r="AX313" s="100">
        <f t="shared" si="340"/>
        <v>0</v>
      </c>
      <c r="AY313" s="110" t="s">
        <v>1711</v>
      </c>
      <c r="AZ313" s="110" t="s">
        <v>1733</v>
      </c>
      <c r="BA313" s="109" t="s">
        <v>1737</v>
      </c>
      <c r="BC313" s="100">
        <f t="shared" si="341"/>
        <v>0</v>
      </c>
      <c r="BD313" s="100">
        <f t="shared" si="342"/>
        <v>0</v>
      </c>
      <c r="BE313" s="100">
        <v>0</v>
      </c>
      <c r="BF313" s="100">
        <f>313</f>
        <v>313</v>
      </c>
      <c r="BH313" s="108">
        <f t="shared" si="343"/>
        <v>0</v>
      </c>
      <c r="BI313" s="108">
        <f t="shared" si="344"/>
        <v>0</v>
      </c>
      <c r="BJ313" s="108">
        <f t="shared" si="345"/>
        <v>0</v>
      </c>
    </row>
    <row r="314" spans="1:62" x14ac:dyDescent="0.2">
      <c r="A314" s="117" t="s">
        <v>276</v>
      </c>
      <c r="B314" s="117" t="s">
        <v>3047</v>
      </c>
      <c r="C314" s="304" t="s">
        <v>1380</v>
      </c>
      <c r="D314" s="305"/>
      <c r="E314" s="305"/>
      <c r="F314" s="117" t="s">
        <v>1646</v>
      </c>
      <c r="G314" s="116">
        <v>1.5</v>
      </c>
      <c r="H314" s="159"/>
      <c r="I314" s="108">
        <f t="shared" si="322"/>
        <v>0</v>
      </c>
      <c r="J314" s="108">
        <f t="shared" si="323"/>
        <v>0</v>
      </c>
      <c r="K314" s="108">
        <f t="shared" si="324"/>
        <v>0</v>
      </c>
      <c r="L314" s="111"/>
      <c r="Z314" s="100">
        <f t="shared" si="325"/>
        <v>0</v>
      </c>
      <c r="AB314" s="100">
        <f t="shared" si="326"/>
        <v>0</v>
      </c>
      <c r="AC314" s="100">
        <f t="shared" si="327"/>
        <v>0</v>
      </c>
      <c r="AD314" s="100">
        <f t="shared" si="328"/>
        <v>0</v>
      </c>
      <c r="AE314" s="100">
        <f t="shared" si="329"/>
        <v>0</v>
      </c>
      <c r="AF314" s="100">
        <f t="shared" si="330"/>
        <v>0</v>
      </c>
      <c r="AG314" s="100">
        <f t="shared" si="331"/>
        <v>0</v>
      </c>
      <c r="AH314" s="100">
        <f t="shared" si="332"/>
        <v>0</v>
      </c>
      <c r="AI314" s="109"/>
      <c r="AJ314" s="108">
        <f t="shared" si="333"/>
        <v>0</v>
      </c>
      <c r="AK314" s="108">
        <f t="shared" si="334"/>
        <v>0</v>
      </c>
      <c r="AL314" s="108">
        <f t="shared" si="335"/>
        <v>0</v>
      </c>
      <c r="AN314" s="100">
        <v>15</v>
      </c>
      <c r="AO314" s="100">
        <f t="shared" si="336"/>
        <v>0</v>
      </c>
      <c r="AP314" s="100">
        <f t="shared" si="337"/>
        <v>0</v>
      </c>
      <c r="AQ314" s="111" t="s">
        <v>13</v>
      </c>
      <c r="AV314" s="100">
        <f t="shared" si="338"/>
        <v>0</v>
      </c>
      <c r="AW314" s="100">
        <f t="shared" si="339"/>
        <v>0</v>
      </c>
      <c r="AX314" s="100">
        <f t="shared" si="340"/>
        <v>0</v>
      </c>
      <c r="AY314" s="110" t="s">
        <v>1711</v>
      </c>
      <c r="AZ314" s="110" t="s">
        <v>1733</v>
      </c>
      <c r="BA314" s="109" t="s">
        <v>1737</v>
      </c>
      <c r="BC314" s="100">
        <f t="shared" si="341"/>
        <v>0</v>
      </c>
      <c r="BD314" s="100">
        <f t="shared" si="342"/>
        <v>0</v>
      </c>
      <c r="BE314" s="100">
        <v>0</v>
      </c>
      <c r="BF314" s="100">
        <f>314</f>
        <v>314</v>
      </c>
      <c r="BH314" s="108">
        <f t="shared" si="343"/>
        <v>0</v>
      </c>
      <c r="BI314" s="108">
        <f t="shared" si="344"/>
        <v>0</v>
      </c>
      <c r="BJ314" s="108">
        <f t="shared" si="345"/>
        <v>0</v>
      </c>
    </row>
    <row r="315" spans="1:62" x14ac:dyDescent="0.2">
      <c r="A315" s="117" t="s">
        <v>277</v>
      </c>
      <c r="B315" s="117" t="s">
        <v>3046</v>
      </c>
      <c r="C315" s="304" t="s">
        <v>1390</v>
      </c>
      <c r="D315" s="305"/>
      <c r="E315" s="305"/>
      <c r="F315" s="117" t="s">
        <v>1644</v>
      </c>
      <c r="G315" s="116">
        <v>1</v>
      </c>
      <c r="H315" s="159"/>
      <c r="I315" s="108">
        <f t="shared" si="322"/>
        <v>0</v>
      </c>
      <c r="J315" s="108">
        <f t="shared" si="323"/>
        <v>0</v>
      </c>
      <c r="K315" s="108">
        <f t="shared" si="324"/>
        <v>0</v>
      </c>
      <c r="L315" s="111"/>
      <c r="Z315" s="100">
        <f t="shared" si="325"/>
        <v>0</v>
      </c>
      <c r="AB315" s="100">
        <f t="shared" si="326"/>
        <v>0</v>
      </c>
      <c r="AC315" s="100">
        <f t="shared" si="327"/>
        <v>0</v>
      </c>
      <c r="AD315" s="100">
        <f t="shared" si="328"/>
        <v>0</v>
      </c>
      <c r="AE315" s="100">
        <f t="shared" si="329"/>
        <v>0</v>
      </c>
      <c r="AF315" s="100">
        <f t="shared" si="330"/>
        <v>0</v>
      </c>
      <c r="AG315" s="100">
        <f t="shared" si="331"/>
        <v>0</v>
      </c>
      <c r="AH315" s="100">
        <f t="shared" si="332"/>
        <v>0</v>
      </c>
      <c r="AI315" s="109"/>
      <c r="AJ315" s="108">
        <f t="shared" si="333"/>
        <v>0</v>
      </c>
      <c r="AK315" s="108">
        <f t="shared" si="334"/>
        <v>0</v>
      </c>
      <c r="AL315" s="108">
        <f t="shared" si="335"/>
        <v>0</v>
      </c>
      <c r="AN315" s="100">
        <v>15</v>
      </c>
      <c r="AO315" s="100">
        <f t="shared" si="336"/>
        <v>0</v>
      </c>
      <c r="AP315" s="100">
        <f t="shared" si="337"/>
        <v>0</v>
      </c>
      <c r="AQ315" s="111" t="s">
        <v>13</v>
      </c>
      <c r="AV315" s="100">
        <f t="shared" si="338"/>
        <v>0</v>
      </c>
      <c r="AW315" s="100">
        <f t="shared" si="339"/>
        <v>0</v>
      </c>
      <c r="AX315" s="100">
        <f t="shared" si="340"/>
        <v>0</v>
      </c>
      <c r="AY315" s="110" t="s">
        <v>1711</v>
      </c>
      <c r="AZ315" s="110" t="s">
        <v>1733</v>
      </c>
      <c r="BA315" s="109" t="s">
        <v>1737</v>
      </c>
      <c r="BC315" s="100">
        <f t="shared" si="341"/>
        <v>0</v>
      </c>
      <c r="BD315" s="100">
        <f t="shared" si="342"/>
        <v>0</v>
      </c>
      <c r="BE315" s="100">
        <v>0</v>
      </c>
      <c r="BF315" s="100">
        <f>315</f>
        <v>315</v>
      </c>
      <c r="BH315" s="108">
        <f t="shared" si="343"/>
        <v>0</v>
      </c>
      <c r="BI315" s="108">
        <f t="shared" si="344"/>
        <v>0</v>
      </c>
      <c r="BJ315" s="108">
        <f t="shared" si="345"/>
        <v>0</v>
      </c>
    </row>
    <row r="316" spans="1:62" x14ac:dyDescent="0.2">
      <c r="A316" s="117" t="s">
        <v>278</v>
      </c>
      <c r="B316" s="117" t="s">
        <v>3045</v>
      </c>
      <c r="C316" s="304" t="s">
        <v>1391</v>
      </c>
      <c r="D316" s="305"/>
      <c r="E316" s="305"/>
      <c r="F316" s="117" t="s">
        <v>1644</v>
      </c>
      <c r="G316" s="116">
        <v>3</v>
      </c>
      <c r="H316" s="159"/>
      <c r="I316" s="108">
        <f t="shared" si="322"/>
        <v>0</v>
      </c>
      <c r="J316" s="108">
        <f t="shared" si="323"/>
        <v>0</v>
      </c>
      <c r="K316" s="108">
        <f t="shared" si="324"/>
        <v>0</v>
      </c>
      <c r="L316" s="111"/>
      <c r="Z316" s="100">
        <f t="shared" si="325"/>
        <v>0</v>
      </c>
      <c r="AB316" s="100">
        <f t="shared" si="326"/>
        <v>0</v>
      </c>
      <c r="AC316" s="100">
        <f t="shared" si="327"/>
        <v>0</v>
      </c>
      <c r="AD316" s="100">
        <f t="shared" si="328"/>
        <v>0</v>
      </c>
      <c r="AE316" s="100">
        <f t="shared" si="329"/>
        <v>0</v>
      </c>
      <c r="AF316" s="100">
        <f t="shared" si="330"/>
        <v>0</v>
      </c>
      <c r="AG316" s="100">
        <f t="shared" si="331"/>
        <v>0</v>
      </c>
      <c r="AH316" s="100">
        <f t="shared" si="332"/>
        <v>0</v>
      </c>
      <c r="AI316" s="109"/>
      <c r="AJ316" s="108">
        <f t="shared" si="333"/>
        <v>0</v>
      </c>
      <c r="AK316" s="108">
        <f t="shared" si="334"/>
        <v>0</v>
      </c>
      <c r="AL316" s="108">
        <f t="shared" si="335"/>
        <v>0</v>
      </c>
      <c r="AN316" s="100">
        <v>15</v>
      </c>
      <c r="AO316" s="100">
        <f t="shared" si="336"/>
        <v>0</v>
      </c>
      <c r="AP316" s="100">
        <f t="shared" si="337"/>
        <v>0</v>
      </c>
      <c r="AQ316" s="111" t="s">
        <v>13</v>
      </c>
      <c r="AV316" s="100">
        <f t="shared" si="338"/>
        <v>0</v>
      </c>
      <c r="AW316" s="100">
        <f t="shared" si="339"/>
        <v>0</v>
      </c>
      <c r="AX316" s="100">
        <f t="shared" si="340"/>
        <v>0</v>
      </c>
      <c r="AY316" s="110" t="s">
        <v>1711</v>
      </c>
      <c r="AZ316" s="110" t="s">
        <v>1733</v>
      </c>
      <c r="BA316" s="109" t="s">
        <v>1737</v>
      </c>
      <c r="BC316" s="100">
        <f t="shared" si="341"/>
        <v>0</v>
      </c>
      <c r="BD316" s="100">
        <f t="shared" si="342"/>
        <v>0</v>
      </c>
      <c r="BE316" s="100">
        <v>0</v>
      </c>
      <c r="BF316" s="100">
        <f>316</f>
        <v>316</v>
      </c>
      <c r="BH316" s="108">
        <f t="shared" si="343"/>
        <v>0</v>
      </c>
      <c r="BI316" s="108">
        <f t="shared" si="344"/>
        <v>0</v>
      </c>
      <c r="BJ316" s="108">
        <f t="shared" si="345"/>
        <v>0</v>
      </c>
    </row>
    <row r="317" spans="1:62" x14ac:dyDescent="0.2">
      <c r="A317" s="117" t="s">
        <v>279</v>
      </c>
      <c r="B317" s="117" t="s">
        <v>3044</v>
      </c>
      <c r="C317" s="304" t="s">
        <v>1388</v>
      </c>
      <c r="D317" s="305"/>
      <c r="E317" s="305"/>
      <c r="F317" s="117" t="s">
        <v>1644</v>
      </c>
      <c r="G317" s="116">
        <v>1</v>
      </c>
      <c r="H317" s="159"/>
      <c r="I317" s="108">
        <f t="shared" si="322"/>
        <v>0</v>
      </c>
      <c r="J317" s="108">
        <f t="shared" si="323"/>
        <v>0</v>
      </c>
      <c r="K317" s="108">
        <f t="shared" si="324"/>
        <v>0</v>
      </c>
      <c r="L317" s="111"/>
      <c r="Z317" s="100">
        <f t="shared" si="325"/>
        <v>0</v>
      </c>
      <c r="AB317" s="100">
        <f t="shared" si="326"/>
        <v>0</v>
      </c>
      <c r="AC317" s="100">
        <f t="shared" si="327"/>
        <v>0</v>
      </c>
      <c r="AD317" s="100">
        <f t="shared" si="328"/>
        <v>0</v>
      </c>
      <c r="AE317" s="100">
        <f t="shared" si="329"/>
        <v>0</v>
      </c>
      <c r="AF317" s="100">
        <f t="shared" si="330"/>
        <v>0</v>
      </c>
      <c r="AG317" s="100">
        <f t="shared" si="331"/>
        <v>0</v>
      </c>
      <c r="AH317" s="100">
        <f t="shared" si="332"/>
        <v>0</v>
      </c>
      <c r="AI317" s="109"/>
      <c r="AJ317" s="108">
        <f t="shared" si="333"/>
        <v>0</v>
      </c>
      <c r="AK317" s="108">
        <f t="shared" si="334"/>
        <v>0</v>
      </c>
      <c r="AL317" s="108">
        <f t="shared" si="335"/>
        <v>0</v>
      </c>
      <c r="AN317" s="100">
        <v>15</v>
      </c>
      <c r="AO317" s="100">
        <f t="shared" si="336"/>
        <v>0</v>
      </c>
      <c r="AP317" s="100">
        <f t="shared" si="337"/>
        <v>0</v>
      </c>
      <c r="AQ317" s="111" t="s">
        <v>13</v>
      </c>
      <c r="AV317" s="100">
        <f t="shared" si="338"/>
        <v>0</v>
      </c>
      <c r="AW317" s="100">
        <f t="shared" si="339"/>
        <v>0</v>
      </c>
      <c r="AX317" s="100">
        <f t="shared" si="340"/>
        <v>0</v>
      </c>
      <c r="AY317" s="110" t="s">
        <v>1711</v>
      </c>
      <c r="AZ317" s="110" t="s">
        <v>1733</v>
      </c>
      <c r="BA317" s="109" t="s">
        <v>1737</v>
      </c>
      <c r="BC317" s="100">
        <f t="shared" si="341"/>
        <v>0</v>
      </c>
      <c r="BD317" s="100">
        <f t="shared" si="342"/>
        <v>0</v>
      </c>
      <c r="BE317" s="100">
        <v>0</v>
      </c>
      <c r="BF317" s="100">
        <f>317</f>
        <v>317</v>
      </c>
      <c r="BH317" s="108">
        <f t="shared" si="343"/>
        <v>0</v>
      </c>
      <c r="BI317" s="108">
        <f t="shared" si="344"/>
        <v>0</v>
      </c>
      <c r="BJ317" s="108">
        <f t="shared" si="345"/>
        <v>0</v>
      </c>
    </row>
    <row r="318" spans="1:62" x14ac:dyDescent="0.2">
      <c r="A318" s="117" t="s">
        <v>280</v>
      </c>
      <c r="B318" s="117" t="s">
        <v>3043</v>
      </c>
      <c r="C318" s="304" t="s">
        <v>1383</v>
      </c>
      <c r="D318" s="305"/>
      <c r="E318" s="305"/>
      <c r="F318" s="117" t="s">
        <v>1644</v>
      </c>
      <c r="G318" s="116">
        <v>1</v>
      </c>
      <c r="H318" s="159"/>
      <c r="I318" s="108">
        <f t="shared" si="322"/>
        <v>0</v>
      </c>
      <c r="J318" s="108">
        <f t="shared" si="323"/>
        <v>0</v>
      </c>
      <c r="K318" s="108">
        <f t="shared" si="324"/>
        <v>0</v>
      </c>
      <c r="L318" s="111"/>
      <c r="Z318" s="100">
        <f t="shared" si="325"/>
        <v>0</v>
      </c>
      <c r="AB318" s="100">
        <f t="shared" si="326"/>
        <v>0</v>
      </c>
      <c r="AC318" s="100">
        <f t="shared" si="327"/>
        <v>0</v>
      </c>
      <c r="AD318" s="100">
        <f t="shared" si="328"/>
        <v>0</v>
      </c>
      <c r="AE318" s="100">
        <f t="shared" si="329"/>
        <v>0</v>
      </c>
      <c r="AF318" s="100">
        <f t="shared" si="330"/>
        <v>0</v>
      </c>
      <c r="AG318" s="100">
        <f t="shared" si="331"/>
        <v>0</v>
      </c>
      <c r="AH318" s="100">
        <f t="shared" si="332"/>
        <v>0</v>
      </c>
      <c r="AI318" s="109"/>
      <c r="AJ318" s="108">
        <f t="shared" si="333"/>
        <v>0</v>
      </c>
      <c r="AK318" s="108">
        <f t="shared" si="334"/>
        <v>0</v>
      </c>
      <c r="AL318" s="108">
        <f t="shared" si="335"/>
        <v>0</v>
      </c>
      <c r="AN318" s="100">
        <v>15</v>
      </c>
      <c r="AO318" s="100">
        <f t="shared" si="336"/>
        <v>0</v>
      </c>
      <c r="AP318" s="100">
        <f t="shared" si="337"/>
        <v>0</v>
      </c>
      <c r="AQ318" s="111" t="s">
        <v>13</v>
      </c>
      <c r="AV318" s="100">
        <f t="shared" si="338"/>
        <v>0</v>
      </c>
      <c r="AW318" s="100">
        <f t="shared" si="339"/>
        <v>0</v>
      </c>
      <c r="AX318" s="100">
        <f t="shared" si="340"/>
        <v>0</v>
      </c>
      <c r="AY318" s="110" t="s">
        <v>1711</v>
      </c>
      <c r="AZ318" s="110" t="s">
        <v>1733</v>
      </c>
      <c r="BA318" s="109" t="s">
        <v>1737</v>
      </c>
      <c r="BC318" s="100">
        <f t="shared" si="341"/>
        <v>0</v>
      </c>
      <c r="BD318" s="100">
        <f t="shared" si="342"/>
        <v>0</v>
      </c>
      <c r="BE318" s="100">
        <v>0</v>
      </c>
      <c r="BF318" s="100">
        <f>318</f>
        <v>318</v>
      </c>
      <c r="BH318" s="108">
        <f t="shared" si="343"/>
        <v>0</v>
      </c>
      <c r="BI318" s="108">
        <f t="shared" si="344"/>
        <v>0</v>
      </c>
      <c r="BJ318" s="108">
        <f t="shared" si="345"/>
        <v>0</v>
      </c>
    </row>
    <row r="319" spans="1:62" x14ac:dyDescent="0.2">
      <c r="A319" s="117" t="s">
        <v>281</v>
      </c>
      <c r="B319" s="117" t="s">
        <v>3042</v>
      </c>
      <c r="C319" s="304" t="s">
        <v>1385</v>
      </c>
      <c r="D319" s="305"/>
      <c r="E319" s="305"/>
      <c r="F319" s="117" t="s">
        <v>1646</v>
      </c>
      <c r="G319" s="116">
        <v>9</v>
      </c>
      <c r="H319" s="159"/>
      <c r="I319" s="108">
        <f t="shared" si="322"/>
        <v>0</v>
      </c>
      <c r="J319" s="108">
        <f t="shared" si="323"/>
        <v>0</v>
      </c>
      <c r="K319" s="108">
        <f t="shared" si="324"/>
        <v>0</v>
      </c>
      <c r="L319" s="111"/>
      <c r="Z319" s="100">
        <f t="shared" si="325"/>
        <v>0</v>
      </c>
      <c r="AB319" s="100">
        <f t="shared" si="326"/>
        <v>0</v>
      </c>
      <c r="AC319" s="100">
        <f t="shared" si="327"/>
        <v>0</v>
      </c>
      <c r="AD319" s="100">
        <f t="shared" si="328"/>
        <v>0</v>
      </c>
      <c r="AE319" s="100">
        <f t="shared" si="329"/>
        <v>0</v>
      </c>
      <c r="AF319" s="100">
        <f t="shared" si="330"/>
        <v>0</v>
      </c>
      <c r="AG319" s="100">
        <f t="shared" si="331"/>
        <v>0</v>
      </c>
      <c r="AH319" s="100">
        <f t="shared" si="332"/>
        <v>0</v>
      </c>
      <c r="AI319" s="109"/>
      <c r="AJ319" s="108">
        <f t="shared" si="333"/>
        <v>0</v>
      </c>
      <c r="AK319" s="108">
        <f t="shared" si="334"/>
        <v>0</v>
      </c>
      <c r="AL319" s="108">
        <f t="shared" si="335"/>
        <v>0</v>
      </c>
      <c r="AN319" s="100">
        <v>15</v>
      </c>
      <c r="AO319" s="100">
        <f t="shared" si="336"/>
        <v>0</v>
      </c>
      <c r="AP319" s="100">
        <f t="shared" si="337"/>
        <v>0</v>
      </c>
      <c r="AQ319" s="111" t="s">
        <v>13</v>
      </c>
      <c r="AV319" s="100">
        <f t="shared" si="338"/>
        <v>0</v>
      </c>
      <c r="AW319" s="100">
        <f t="shared" si="339"/>
        <v>0</v>
      </c>
      <c r="AX319" s="100">
        <f t="shared" si="340"/>
        <v>0</v>
      </c>
      <c r="AY319" s="110" t="s">
        <v>1711</v>
      </c>
      <c r="AZ319" s="110" t="s">
        <v>1733</v>
      </c>
      <c r="BA319" s="109" t="s">
        <v>1737</v>
      </c>
      <c r="BC319" s="100">
        <f t="shared" si="341"/>
        <v>0</v>
      </c>
      <c r="BD319" s="100">
        <f t="shared" si="342"/>
        <v>0</v>
      </c>
      <c r="BE319" s="100">
        <v>0</v>
      </c>
      <c r="BF319" s="100">
        <f>319</f>
        <v>319</v>
      </c>
      <c r="BH319" s="108">
        <f t="shared" si="343"/>
        <v>0</v>
      </c>
      <c r="BI319" s="108">
        <f t="shared" si="344"/>
        <v>0</v>
      </c>
      <c r="BJ319" s="108">
        <f t="shared" si="345"/>
        <v>0</v>
      </c>
    </row>
    <row r="320" spans="1:62" x14ac:dyDescent="0.2">
      <c r="A320" s="117" t="s">
        <v>282</v>
      </c>
      <c r="B320" s="117" t="s">
        <v>3041</v>
      </c>
      <c r="C320" s="304" t="s">
        <v>1386</v>
      </c>
      <c r="D320" s="305"/>
      <c r="E320" s="305"/>
      <c r="F320" s="117" t="s">
        <v>1644</v>
      </c>
      <c r="G320" s="116">
        <v>1</v>
      </c>
      <c r="H320" s="159"/>
      <c r="I320" s="108">
        <f t="shared" si="322"/>
        <v>0</v>
      </c>
      <c r="J320" s="108">
        <f t="shared" si="323"/>
        <v>0</v>
      </c>
      <c r="K320" s="108">
        <f t="shared" si="324"/>
        <v>0</v>
      </c>
      <c r="L320" s="111"/>
      <c r="Z320" s="100">
        <f t="shared" si="325"/>
        <v>0</v>
      </c>
      <c r="AB320" s="100">
        <f t="shared" si="326"/>
        <v>0</v>
      </c>
      <c r="AC320" s="100">
        <f t="shared" si="327"/>
        <v>0</v>
      </c>
      <c r="AD320" s="100">
        <f t="shared" si="328"/>
        <v>0</v>
      </c>
      <c r="AE320" s="100">
        <f t="shared" si="329"/>
        <v>0</v>
      </c>
      <c r="AF320" s="100">
        <f t="shared" si="330"/>
        <v>0</v>
      </c>
      <c r="AG320" s="100">
        <f t="shared" si="331"/>
        <v>0</v>
      </c>
      <c r="AH320" s="100">
        <f t="shared" si="332"/>
        <v>0</v>
      </c>
      <c r="AI320" s="109"/>
      <c r="AJ320" s="108">
        <f t="shared" si="333"/>
        <v>0</v>
      </c>
      <c r="AK320" s="108">
        <f t="shared" si="334"/>
        <v>0</v>
      </c>
      <c r="AL320" s="108">
        <f t="shared" si="335"/>
        <v>0</v>
      </c>
      <c r="AN320" s="100">
        <v>15</v>
      </c>
      <c r="AO320" s="100">
        <f t="shared" si="336"/>
        <v>0</v>
      </c>
      <c r="AP320" s="100">
        <f t="shared" si="337"/>
        <v>0</v>
      </c>
      <c r="AQ320" s="111" t="s">
        <v>13</v>
      </c>
      <c r="AV320" s="100">
        <f t="shared" si="338"/>
        <v>0</v>
      </c>
      <c r="AW320" s="100">
        <f t="shared" si="339"/>
        <v>0</v>
      </c>
      <c r="AX320" s="100">
        <f t="shared" si="340"/>
        <v>0</v>
      </c>
      <c r="AY320" s="110" t="s">
        <v>1711</v>
      </c>
      <c r="AZ320" s="110" t="s">
        <v>1733</v>
      </c>
      <c r="BA320" s="109" t="s">
        <v>1737</v>
      </c>
      <c r="BC320" s="100">
        <f t="shared" si="341"/>
        <v>0</v>
      </c>
      <c r="BD320" s="100">
        <f t="shared" si="342"/>
        <v>0</v>
      </c>
      <c r="BE320" s="100">
        <v>0</v>
      </c>
      <c r="BF320" s="100">
        <f>320</f>
        <v>320</v>
      </c>
      <c r="BH320" s="108">
        <f t="shared" si="343"/>
        <v>0</v>
      </c>
      <c r="BI320" s="108">
        <f t="shared" si="344"/>
        <v>0</v>
      </c>
      <c r="BJ320" s="108">
        <f t="shared" si="345"/>
        <v>0</v>
      </c>
    </row>
    <row r="321" spans="1:62" x14ac:dyDescent="0.2">
      <c r="A321" s="117" t="s">
        <v>283</v>
      </c>
      <c r="B321" s="117" t="s">
        <v>3040</v>
      </c>
      <c r="C321" s="304" t="s">
        <v>1387</v>
      </c>
      <c r="D321" s="305"/>
      <c r="E321" s="305"/>
      <c r="F321" s="117" t="s">
        <v>1644</v>
      </c>
      <c r="G321" s="116">
        <v>1</v>
      </c>
      <c r="H321" s="159"/>
      <c r="I321" s="108">
        <f t="shared" si="322"/>
        <v>0</v>
      </c>
      <c r="J321" s="108">
        <f t="shared" si="323"/>
        <v>0</v>
      </c>
      <c r="K321" s="108">
        <f t="shared" si="324"/>
        <v>0</v>
      </c>
      <c r="L321" s="111"/>
      <c r="Z321" s="100">
        <f t="shared" si="325"/>
        <v>0</v>
      </c>
      <c r="AB321" s="100">
        <f t="shared" si="326"/>
        <v>0</v>
      </c>
      <c r="AC321" s="100">
        <f t="shared" si="327"/>
        <v>0</v>
      </c>
      <c r="AD321" s="100">
        <f t="shared" si="328"/>
        <v>0</v>
      </c>
      <c r="AE321" s="100">
        <f t="shared" si="329"/>
        <v>0</v>
      </c>
      <c r="AF321" s="100">
        <f t="shared" si="330"/>
        <v>0</v>
      </c>
      <c r="AG321" s="100">
        <f t="shared" si="331"/>
        <v>0</v>
      </c>
      <c r="AH321" s="100">
        <f t="shared" si="332"/>
        <v>0</v>
      </c>
      <c r="AI321" s="109"/>
      <c r="AJ321" s="108">
        <f t="shared" si="333"/>
        <v>0</v>
      </c>
      <c r="AK321" s="108">
        <f t="shared" si="334"/>
        <v>0</v>
      </c>
      <c r="AL321" s="108">
        <f t="shared" si="335"/>
        <v>0</v>
      </c>
      <c r="AN321" s="100">
        <v>15</v>
      </c>
      <c r="AO321" s="100">
        <f t="shared" si="336"/>
        <v>0</v>
      </c>
      <c r="AP321" s="100">
        <f t="shared" si="337"/>
        <v>0</v>
      </c>
      <c r="AQ321" s="111" t="s">
        <v>13</v>
      </c>
      <c r="AV321" s="100">
        <f t="shared" si="338"/>
        <v>0</v>
      </c>
      <c r="AW321" s="100">
        <f t="shared" si="339"/>
        <v>0</v>
      </c>
      <c r="AX321" s="100">
        <f t="shared" si="340"/>
        <v>0</v>
      </c>
      <c r="AY321" s="110" t="s">
        <v>1711</v>
      </c>
      <c r="AZ321" s="110" t="s">
        <v>1733</v>
      </c>
      <c r="BA321" s="109" t="s">
        <v>1737</v>
      </c>
      <c r="BC321" s="100">
        <f t="shared" si="341"/>
        <v>0</v>
      </c>
      <c r="BD321" s="100">
        <f t="shared" si="342"/>
        <v>0</v>
      </c>
      <c r="BE321" s="100">
        <v>0</v>
      </c>
      <c r="BF321" s="100">
        <f>321</f>
        <v>321</v>
      </c>
      <c r="BH321" s="108">
        <f t="shared" si="343"/>
        <v>0</v>
      </c>
      <c r="BI321" s="108">
        <f t="shared" si="344"/>
        <v>0</v>
      </c>
      <c r="BJ321" s="108">
        <f t="shared" si="345"/>
        <v>0</v>
      </c>
    </row>
    <row r="322" spans="1:62" x14ac:dyDescent="0.2">
      <c r="A322" s="117" t="s">
        <v>284</v>
      </c>
      <c r="B322" s="117" t="s">
        <v>3039</v>
      </c>
      <c r="C322" s="304" t="s">
        <v>1388</v>
      </c>
      <c r="D322" s="305"/>
      <c r="E322" s="305"/>
      <c r="F322" s="117" t="s">
        <v>1644</v>
      </c>
      <c r="G322" s="116">
        <v>1</v>
      </c>
      <c r="H322" s="159"/>
      <c r="I322" s="108">
        <f t="shared" si="322"/>
        <v>0</v>
      </c>
      <c r="J322" s="108">
        <f t="shared" si="323"/>
        <v>0</v>
      </c>
      <c r="K322" s="108">
        <f t="shared" si="324"/>
        <v>0</v>
      </c>
      <c r="L322" s="111"/>
      <c r="Z322" s="100">
        <f t="shared" si="325"/>
        <v>0</v>
      </c>
      <c r="AB322" s="100">
        <f t="shared" si="326"/>
        <v>0</v>
      </c>
      <c r="AC322" s="100">
        <f t="shared" si="327"/>
        <v>0</v>
      </c>
      <c r="AD322" s="100">
        <f t="shared" si="328"/>
        <v>0</v>
      </c>
      <c r="AE322" s="100">
        <f t="shared" si="329"/>
        <v>0</v>
      </c>
      <c r="AF322" s="100">
        <f t="shared" si="330"/>
        <v>0</v>
      </c>
      <c r="AG322" s="100">
        <f t="shared" si="331"/>
        <v>0</v>
      </c>
      <c r="AH322" s="100">
        <f t="shared" si="332"/>
        <v>0</v>
      </c>
      <c r="AI322" s="109"/>
      <c r="AJ322" s="108">
        <f t="shared" si="333"/>
        <v>0</v>
      </c>
      <c r="AK322" s="108">
        <f t="shared" si="334"/>
        <v>0</v>
      </c>
      <c r="AL322" s="108">
        <f t="shared" si="335"/>
        <v>0</v>
      </c>
      <c r="AN322" s="100">
        <v>15</v>
      </c>
      <c r="AO322" s="100">
        <f t="shared" si="336"/>
        <v>0</v>
      </c>
      <c r="AP322" s="100">
        <f t="shared" si="337"/>
        <v>0</v>
      </c>
      <c r="AQ322" s="111" t="s">
        <v>13</v>
      </c>
      <c r="AV322" s="100">
        <f t="shared" si="338"/>
        <v>0</v>
      </c>
      <c r="AW322" s="100">
        <f t="shared" si="339"/>
        <v>0</v>
      </c>
      <c r="AX322" s="100">
        <f t="shared" si="340"/>
        <v>0</v>
      </c>
      <c r="AY322" s="110" t="s">
        <v>1711</v>
      </c>
      <c r="AZ322" s="110" t="s">
        <v>1733</v>
      </c>
      <c r="BA322" s="109" t="s">
        <v>1737</v>
      </c>
      <c r="BC322" s="100">
        <f t="shared" si="341"/>
        <v>0</v>
      </c>
      <c r="BD322" s="100">
        <f t="shared" si="342"/>
        <v>0</v>
      </c>
      <c r="BE322" s="100">
        <v>0</v>
      </c>
      <c r="BF322" s="100">
        <f>322</f>
        <v>322</v>
      </c>
      <c r="BH322" s="108">
        <f t="shared" si="343"/>
        <v>0</v>
      </c>
      <c r="BI322" s="108">
        <f t="shared" si="344"/>
        <v>0</v>
      </c>
      <c r="BJ322" s="108">
        <f t="shared" si="345"/>
        <v>0</v>
      </c>
    </row>
    <row r="323" spans="1:62" x14ac:dyDescent="0.2">
      <c r="A323" s="117" t="s">
        <v>285</v>
      </c>
      <c r="B323" s="117" t="s">
        <v>3038</v>
      </c>
      <c r="C323" s="304" t="s">
        <v>1389</v>
      </c>
      <c r="D323" s="305"/>
      <c r="E323" s="305"/>
      <c r="F323" s="117" t="s">
        <v>1644</v>
      </c>
      <c r="G323" s="116">
        <v>1</v>
      </c>
      <c r="H323" s="159"/>
      <c r="I323" s="108">
        <f t="shared" si="322"/>
        <v>0</v>
      </c>
      <c r="J323" s="108">
        <f t="shared" si="323"/>
        <v>0</v>
      </c>
      <c r="K323" s="108">
        <f t="shared" si="324"/>
        <v>0</v>
      </c>
      <c r="L323" s="111"/>
      <c r="Z323" s="100">
        <f t="shared" si="325"/>
        <v>0</v>
      </c>
      <c r="AB323" s="100">
        <f t="shared" si="326"/>
        <v>0</v>
      </c>
      <c r="AC323" s="100">
        <f t="shared" si="327"/>
        <v>0</v>
      </c>
      <c r="AD323" s="100">
        <f t="shared" si="328"/>
        <v>0</v>
      </c>
      <c r="AE323" s="100">
        <f t="shared" si="329"/>
        <v>0</v>
      </c>
      <c r="AF323" s="100">
        <f t="shared" si="330"/>
        <v>0</v>
      </c>
      <c r="AG323" s="100">
        <f t="shared" si="331"/>
        <v>0</v>
      </c>
      <c r="AH323" s="100">
        <f t="shared" si="332"/>
        <v>0</v>
      </c>
      <c r="AI323" s="109"/>
      <c r="AJ323" s="108">
        <f t="shared" si="333"/>
        <v>0</v>
      </c>
      <c r="AK323" s="108">
        <f t="shared" si="334"/>
        <v>0</v>
      </c>
      <c r="AL323" s="108">
        <f t="shared" si="335"/>
        <v>0</v>
      </c>
      <c r="AN323" s="100">
        <v>15</v>
      </c>
      <c r="AO323" s="100">
        <f t="shared" si="336"/>
        <v>0</v>
      </c>
      <c r="AP323" s="100">
        <f t="shared" si="337"/>
        <v>0</v>
      </c>
      <c r="AQ323" s="111" t="s">
        <v>13</v>
      </c>
      <c r="AV323" s="100">
        <f t="shared" si="338"/>
        <v>0</v>
      </c>
      <c r="AW323" s="100">
        <f t="shared" si="339"/>
        <v>0</v>
      </c>
      <c r="AX323" s="100">
        <f t="shared" si="340"/>
        <v>0</v>
      </c>
      <c r="AY323" s="110" t="s">
        <v>1711</v>
      </c>
      <c r="AZ323" s="110" t="s">
        <v>1733</v>
      </c>
      <c r="BA323" s="109" t="s">
        <v>1737</v>
      </c>
      <c r="BC323" s="100">
        <f t="shared" si="341"/>
        <v>0</v>
      </c>
      <c r="BD323" s="100">
        <f t="shared" si="342"/>
        <v>0</v>
      </c>
      <c r="BE323" s="100">
        <v>0</v>
      </c>
      <c r="BF323" s="100">
        <f>323</f>
        <v>323</v>
      </c>
      <c r="BH323" s="108">
        <f t="shared" si="343"/>
        <v>0</v>
      </c>
      <c r="BI323" s="108">
        <f t="shared" si="344"/>
        <v>0</v>
      </c>
      <c r="BJ323" s="108">
        <f t="shared" si="345"/>
        <v>0</v>
      </c>
    </row>
    <row r="324" spans="1:62" x14ac:dyDescent="0.2">
      <c r="A324" s="117" t="s">
        <v>286</v>
      </c>
      <c r="B324" s="117" t="s">
        <v>3037</v>
      </c>
      <c r="C324" s="304" t="s">
        <v>1392</v>
      </c>
      <c r="D324" s="305"/>
      <c r="E324" s="305"/>
      <c r="F324" s="117" t="s">
        <v>1644</v>
      </c>
      <c r="G324" s="116">
        <v>2</v>
      </c>
      <c r="H324" s="159"/>
      <c r="I324" s="108">
        <f t="shared" si="322"/>
        <v>0</v>
      </c>
      <c r="J324" s="108">
        <f t="shared" si="323"/>
        <v>0</v>
      </c>
      <c r="K324" s="108">
        <f t="shared" si="324"/>
        <v>0</v>
      </c>
      <c r="L324" s="111"/>
      <c r="Z324" s="100">
        <f t="shared" si="325"/>
        <v>0</v>
      </c>
      <c r="AB324" s="100">
        <f t="shared" si="326"/>
        <v>0</v>
      </c>
      <c r="AC324" s="100">
        <f t="shared" si="327"/>
        <v>0</v>
      </c>
      <c r="AD324" s="100">
        <f t="shared" si="328"/>
        <v>0</v>
      </c>
      <c r="AE324" s="100">
        <f t="shared" si="329"/>
        <v>0</v>
      </c>
      <c r="AF324" s="100">
        <f t="shared" si="330"/>
        <v>0</v>
      </c>
      <c r="AG324" s="100">
        <f t="shared" si="331"/>
        <v>0</v>
      </c>
      <c r="AH324" s="100">
        <f t="shared" si="332"/>
        <v>0</v>
      </c>
      <c r="AI324" s="109"/>
      <c r="AJ324" s="108">
        <f t="shared" si="333"/>
        <v>0</v>
      </c>
      <c r="AK324" s="108">
        <f t="shared" si="334"/>
        <v>0</v>
      </c>
      <c r="AL324" s="108">
        <f t="shared" si="335"/>
        <v>0</v>
      </c>
      <c r="AN324" s="100">
        <v>15</v>
      </c>
      <c r="AO324" s="100">
        <f t="shared" si="336"/>
        <v>0</v>
      </c>
      <c r="AP324" s="100">
        <f t="shared" si="337"/>
        <v>0</v>
      </c>
      <c r="AQ324" s="111" t="s">
        <v>13</v>
      </c>
      <c r="AV324" s="100">
        <f t="shared" si="338"/>
        <v>0</v>
      </c>
      <c r="AW324" s="100">
        <f t="shared" si="339"/>
        <v>0</v>
      </c>
      <c r="AX324" s="100">
        <f t="shared" si="340"/>
        <v>0</v>
      </c>
      <c r="AY324" s="110" t="s">
        <v>1711</v>
      </c>
      <c r="AZ324" s="110" t="s">
        <v>1733</v>
      </c>
      <c r="BA324" s="109" t="s">
        <v>1737</v>
      </c>
      <c r="BC324" s="100">
        <f t="shared" si="341"/>
        <v>0</v>
      </c>
      <c r="BD324" s="100">
        <f t="shared" si="342"/>
        <v>0</v>
      </c>
      <c r="BE324" s="100">
        <v>0</v>
      </c>
      <c r="BF324" s="100">
        <f>324</f>
        <v>324</v>
      </c>
      <c r="BH324" s="108">
        <f t="shared" si="343"/>
        <v>0</v>
      </c>
      <c r="BI324" s="108">
        <f t="shared" si="344"/>
        <v>0</v>
      </c>
      <c r="BJ324" s="108">
        <f t="shared" si="345"/>
        <v>0</v>
      </c>
    </row>
    <row r="325" spans="1:62" x14ac:dyDescent="0.2">
      <c r="A325" s="117" t="s">
        <v>287</v>
      </c>
      <c r="B325" s="117" t="s">
        <v>3036</v>
      </c>
      <c r="C325" s="304" t="s">
        <v>1393</v>
      </c>
      <c r="D325" s="305"/>
      <c r="E325" s="305"/>
      <c r="F325" s="117" t="s">
        <v>1644</v>
      </c>
      <c r="G325" s="116">
        <v>1</v>
      </c>
      <c r="H325" s="159"/>
      <c r="I325" s="108">
        <f t="shared" si="322"/>
        <v>0</v>
      </c>
      <c r="J325" s="108">
        <f t="shared" si="323"/>
        <v>0</v>
      </c>
      <c r="K325" s="108">
        <f t="shared" si="324"/>
        <v>0</v>
      </c>
      <c r="L325" s="111"/>
      <c r="Z325" s="100">
        <f t="shared" si="325"/>
        <v>0</v>
      </c>
      <c r="AB325" s="100">
        <f t="shared" si="326"/>
        <v>0</v>
      </c>
      <c r="AC325" s="100">
        <f t="shared" si="327"/>
        <v>0</v>
      </c>
      <c r="AD325" s="100">
        <f t="shared" si="328"/>
        <v>0</v>
      </c>
      <c r="AE325" s="100">
        <f t="shared" si="329"/>
        <v>0</v>
      </c>
      <c r="AF325" s="100">
        <f t="shared" si="330"/>
        <v>0</v>
      </c>
      <c r="AG325" s="100">
        <f t="shared" si="331"/>
        <v>0</v>
      </c>
      <c r="AH325" s="100">
        <f t="shared" si="332"/>
        <v>0</v>
      </c>
      <c r="AI325" s="109"/>
      <c r="AJ325" s="108">
        <f t="shared" si="333"/>
        <v>0</v>
      </c>
      <c r="AK325" s="108">
        <f t="shared" si="334"/>
        <v>0</v>
      </c>
      <c r="AL325" s="108">
        <f t="shared" si="335"/>
        <v>0</v>
      </c>
      <c r="AN325" s="100">
        <v>15</v>
      </c>
      <c r="AO325" s="100">
        <f t="shared" si="336"/>
        <v>0</v>
      </c>
      <c r="AP325" s="100">
        <f t="shared" si="337"/>
        <v>0</v>
      </c>
      <c r="AQ325" s="111" t="s">
        <v>13</v>
      </c>
      <c r="AV325" s="100">
        <f t="shared" si="338"/>
        <v>0</v>
      </c>
      <c r="AW325" s="100">
        <f t="shared" si="339"/>
        <v>0</v>
      </c>
      <c r="AX325" s="100">
        <f t="shared" si="340"/>
        <v>0</v>
      </c>
      <c r="AY325" s="110" t="s">
        <v>1711</v>
      </c>
      <c r="AZ325" s="110" t="s">
        <v>1733</v>
      </c>
      <c r="BA325" s="109" t="s">
        <v>1737</v>
      </c>
      <c r="BC325" s="100">
        <f t="shared" si="341"/>
        <v>0</v>
      </c>
      <c r="BD325" s="100">
        <f t="shared" si="342"/>
        <v>0</v>
      </c>
      <c r="BE325" s="100">
        <v>0</v>
      </c>
      <c r="BF325" s="100">
        <f>325</f>
        <v>325</v>
      </c>
      <c r="BH325" s="108">
        <f t="shared" si="343"/>
        <v>0</v>
      </c>
      <c r="BI325" s="108">
        <f t="shared" si="344"/>
        <v>0</v>
      </c>
      <c r="BJ325" s="108">
        <f t="shared" si="345"/>
        <v>0</v>
      </c>
    </row>
    <row r="326" spans="1:62" x14ac:dyDescent="0.2">
      <c r="A326" s="117" t="s">
        <v>288</v>
      </c>
      <c r="B326" s="117" t="s">
        <v>3035</v>
      </c>
      <c r="C326" s="304" t="s">
        <v>1394</v>
      </c>
      <c r="D326" s="305"/>
      <c r="E326" s="305"/>
      <c r="F326" s="117" t="s">
        <v>1644</v>
      </c>
      <c r="G326" s="116">
        <v>1</v>
      </c>
      <c r="H326" s="159"/>
      <c r="I326" s="108">
        <f t="shared" si="322"/>
        <v>0</v>
      </c>
      <c r="J326" s="108">
        <f t="shared" si="323"/>
        <v>0</v>
      </c>
      <c r="K326" s="108">
        <f t="shared" si="324"/>
        <v>0</v>
      </c>
      <c r="L326" s="111"/>
      <c r="Z326" s="100">
        <f t="shared" si="325"/>
        <v>0</v>
      </c>
      <c r="AB326" s="100">
        <f t="shared" si="326"/>
        <v>0</v>
      </c>
      <c r="AC326" s="100">
        <f t="shared" si="327"/>
        <v>0</v>
      </c>
      <c r="AD326" s="100">
        <f t="shared" si="328"/>
        <v>0</v>
      </c>
      <c r="AE326" s="100">
        <f t="shared" si="329"/>
        <v>0</v>
      </c>
      <c r="AF326" s="100">
        <f t="shared" si="330"/>
        <v>0</v>
      </c>
      <c r="AG326" s="100">
        <f t="shared" si="331"/>
        <v>0</v>
      </c>
      <c r="AH326" s="100">
        <f t="shared" si="332"/>
        <v>0</v>
      </c>
      <c r="AI326" s="109"/>
      <c r="AJ326" s="108">
        <f t="shared" si="333"/>
        <v>0</v>
      </c>
      <c r="AK326" s="108">
        <f t="shared" si="334"/>
        <v>0</v>
      </c>
      <c r="AL326" s="108">
        <f t="shared" si="335"/>
        <v>0</v>
      </c>
      <c r="AN326" s="100">
        <v>15</v>
      </c>
      <c r="AO326" s="100">
        <f t="shared" si="336"/>
        <v>0</v>
      </c>
      <c r="AP326" s="100">
        <f t="shared" si="337"/>
        <v>0</v>
      </c>
      <c r="AQ326" s="111" t="s">
        <v>13</v>
      </c>
      <c r="AV326" s="100">
        <f t="shared" si="338"/>
        <v>0</v>
      </c>
      <c r="AW326" s="100">
        <f t="shared" si="339"/>
        <v>0</v>
      </c>
      <c r="AX326" s="100">
        <f t="shared" si="340"/>
        <v>0</v>
      </c>
      <c r="AY326" s="110" t="s">
        <v>1711</v>
      </c>
      <c r="AZ326" s="110" t="s">
        <v>1733</v>
      </c>
      <c r="BA326" s="109" t="s">
        <v>1737</v>
      </c>
      <c r="BC326" s="100">
        <f t="shared" si="341"/>
        <v>0</v>
      </c>
      <c r="BD326" s="100">
        <f t="shared" si="342"/>
        <v>0</v>
      </c>
      <c r="BE326" s="100">
        <v>0</v>
      </c>
      <c r="BF326" s="100">
        <f>326</f>
        <v>326</v>
      </c>
      <c r="BH326" s="108">
        <f t="shared" si="343"/>
        <v>0</v>
      </c>
      <c r="BI326" s="108">
        <f t="shared" si="344"/>
        <v>0</v>
      </c>
      <c r="BJ326" s="108">
        <f t="shared" si="345"/>
        <v>0</v>
      </c>
    </row>
    <row r="327" spans="1:62" x14ac:dyDescent="0.2">
      <c r="A327" s="119"/>
      <c r="B327" s="120" t="s">
        <v>822</v>
      </c>
      <c r="C327" s="306" t="s">
        <v>1395</v>
      </c>
      <c r="D327" s="307"/>
      <c r="E327" s="307"/>
      <c r="F327" s="119" t="s">
        <v>6</v>
      </c>
      <c r="G327" s="119" t="s">
        <v>6</v>
      </c>
      <c r="H327" s="119" t="s">
        <v>6</v>
      </c>
      <c r="I327" s="118">
        <f>SUM(I328:I355)</f>
        <v>0</v>
      </c>
      <c r="J327" s="118">
        <f>SUM(J328:J355)</f>
        <v>0</v>
      </c>
      <c r="K327" s="118">
        <f>SUM(K328:K355)</f>
        <v>0</v>
      </c>
      <c r="L327" s="109"/>
      <c r="AI327" s="109"/>
      <c r="AS327" s="118">
        <f>SUM(AJ328:AJ355)</f>
        <v>0</v>
      </c>
      <c r="AT327" s="118">
        <f>SUM(AK328:AK355)</f>
        <v>0</v>
      </c>
      <c r="AU327" s="118">
        <f>SUM(AL328:AL355)</f>
        <v>0</v>
      </c>
    </row>
    <row r="328" spans="1:62" x14ac:dyDescent="0.2">
      <c r="A328" s="117" t="s">
        <v>289</v>
      </c>
      <c r="B328" s="117" t="s">
        <v>117</v>
      </c>
      <c r="C328" s="304" t="s">
        <v>1396</v>
      </c>
      <c r="D328" s="305"/>
      <c r="E328" s="305"/>
      <c r="F328" s="117" t="s">
        <v>1652</v>
      </c>
      <c r="G328" s="116">
        <v>1</v>
      </c>
      <c r="H328" s="159"/>
      <c r="I328" s="108">
        <f t="shared" ref="I328:I355" si="346">G328*AO328</f>
        <v>0</v>
      </c>
      <c r="J328" s="108">
        <f t="shared" ref="J328:J355" si="347">G328*AP328</f>
        <v>0</v>
      </c>
      <c r="K328" s="108">
        <f t="shared" ref="K328:K355" si="348">G328*H328</f>
        <v>0</v>
      </c>
      <c r="L328" s="111"/>
      <c r="Z328" s="100">
        <f t="shared" ref="Z328:Z355" si="349">IF(AQ328="5",BJ328,0)</f>
        <v>0</v>
      </c>
      <c r="AB328" s="100">
        <f t="shared" ref="AB328:AB355" si="350">IF(AQ328="1",BH328,0)</f>
        <v>0</v>
      </c>
      <c r="AC328" s="100">
        <f t="shared" ref="AC328:AC355" si="351">IF(AQ328="1",BI328,0)</f>
        <v>0</v>
      </c>
      <c r="AD328" s="100">
        <f t="shared" ref="AD328:AD355" si="352">IF(AQ328="7",BH328,0)</f>
        <v>0</v>
      </c>
      <c r="AE328" s="100">
        <f t="shared" ref="AE328:AE355" si="353">IF(AQ328="7",BI328,0)</f>
        <v>0</v>
      </c>
      <c r="AF328" s="100">
        <f t="shared" ref="AF328:AF355" si="354">IF(AQ328="2",BH328,0)</f>
        <v>0</v>
      </c>
      <c r="AG328" s="100">
        <f t="shared" ref="AG328:AG355" si="355">IF(AQ328="2",BI328,0)</f>
        <v>0</v>
      </c>
      <c r="AH328" s="100">
        <f t="shared" ref="AH328:AH355" si="356">IF(AQ328="0",BJ328,0)</f>
        <v>0</v>
      </c>
      <c r="AI328" s="109"/>
      <c r="AJ328" s="108">
        <f t="shared" ref="AJ328:AJ355" si="357">IF(AN328=0,K328,0)</f>
        <v>0</v>
      </c>
      <c r="AK328" s="108">
        <f t="shared" ref="AK328:AK355" si="358">IF(AN328=15,K328,0)</f>
        <v>0</v>
      </c>
      <c r="AL328" s="108">
        <f t="shared" ref="AL328:AL355" si="359">IF(AN328=21,K328,0)</f>
        <v>0</v>
      </c>
      <c r="AN328" s="100">
        <v>15</v>
      </c>
      <c r="AO328" s="100">
        <f t="shared" ref="AO328:AO355" si="360">H328*0</f>
        <v>0</v>
      </c>
      <c r="AP328" s="100">
        <f t="shared" ref="AP328:AP355" si="361">H328*(1-0)</f>
        <v>0</v>
      </c>
      <c r="AQ328" s="111" t="s">
        <v>13</v>
      </c>
      <c r="AV328" s="100">
        <f t="shared" ref="AV328:AV355" si="362">AW328+AX328</f>
        <v>0</v>
      </c>
      <c r="AW328" s="100">
        <f t="shared" ref="AW328:AW355" si="363">G328*AO328</f>
        <v>0</v>
      </c>
      <c r="AX328" s="100">
        <f t="shared" ref="AX328:AX355" si="364">G328*AP328</f>
        <v>0</v>
      </c>
      <c r="AY328" s="110" t="s">
        <v>1712</v>
      </c>
      <c r="AZ328" s="110" t="s">
        <v>1733</v>
      </c>
      <c r="BA328" s="109" t="s">
        <v>1737</v>
      </c>
      <c r="BC328" s="100">
        <f t="shared" ref="BC328:BC355" si="365">AW328+AX328</f>
        <v>0</v>
      </c>
      <c r="BD328" s="100">
        <f t="shared" ref="BD328:BD355" si="366">H328/(100-BE328)*100</f>
        <v>0</v>
      </c>
      <c r="BE328" s="100">
        <v>0</v>
      </c>
      <c r="BF328" s="100">
        <f>328</f>
        <v>328</v>
      </c>
      <c r="BH328" s="108">
        <f t="shared" ref="BH328:BH355" si="367">G328*AO328</f>
        <v>0</v>
      </c>
      <c r="BI328" s="108">
        <f t="shared" ref="BI328:BI355" si="368">G328*AP328</f>
        <v>0</v>
      </c>
      <c r="BJ328" s="108">
        <f t="shared" ref="BJ328:BJ355" si="369">G328*H328</f>
        <v>0</v>
      </c>
    </row>
    <row r="329" spans="1:62" x14ac:dyDescent="0.2">
      <c r="A329" s="117" t="s">
        <v>290</v>
      </c>
      <c r="B329" s="117" t="s">
        <v>118</v>
      </c>
      <c r="C329" s="304" t="s">
        <v>1397</v>
      </c>
      <c r="D329" s="305"/>
      <c r="E329" s="305"/>
      <c r="F329" s="117" t="s">
        <v>1652</v>
      </c>
      <c r="G329" s="116">
        <v>1</v>
      </c>
      <c r="H329" s="159"/>
      <c r="I329" s="108">
        <f t="shared" si="346"/>
        <v>0</v>
      </c>
      <c r="J329" s="108">
        <f t="shared" si="347"/>
        <v>0</v>
      </c>
      <c r="K329" s="108">
        <f t="shared" si="348"/>
        <v>0</v>
      </c>
      <c r="L329" s="111"/>
      <c r="Z329" s="100">
        <f t="shared" si="349"/>
        <v>0</v>
      </c>
      <c r="AB329" s="100">
        <f t="shared" si="350"/>
        <v>0</v>
      </c>
      <c r="AC329" s="100">
        <f t="shared" si="351"/>
        <v>0</v>
      </c>
      <c r="AD329" s="100">
        <f t="shared" si="352"/>
        <v>0</v>
      </c>
      <c r="AE329" s="100">
        <f t="shared" si="353"/>
        <v>0</v>
      </c>
      <c r="AF329" s="100">
        <f t="shared" si="354"/>
        <v>0</v>
      </c>
      <c r="AG329" s="100">
        <f t="shared" si="355"/>
        <v>0</v>
      </c>
      <c r="AH329" s="100">
        <f t="shared" si="356"/>
        <v>0</v>
      </c>
      <c r="AI329" s="109"/>
      <c r="AJ329" s="108">
        <f t="shared" si="357"/>
        <v>0</v>
      </c>
      <c r="AK329" s="108">
        <f t="shared" si="358"/>
        <v>0</v>
      </c>
      <c r="AL329" s="108">
        <f t="shared" si="359"/>
        <v>0</v>
      </c>
      <c r="AN329" s="100">
        <v>15</v>
      </c>
      <c r="AO329" s="100">
        <f t="shared" si="360"/>
        <v>0</v>
      </c>
      <c r="AP329" s="100">
        <f t="shared" si="361"/>
        <v>0</v>
      </c>
      <c r="AQ329" s="111" t="s">
        <v>13</v>
      </c>
      <c r="AV329" s="100">
        <f t="shared" si="362"/>
        <v>0</v>
      </c>
      <c r="AW329" s="100">
        <f t="shared" si="363"/>
        <v>0</v>
      </c>
      <c r="AX329" s="100">
        <f t="shared" si="364"/>
        <v>0</v>
      </c>
      <c r="AY329" s="110" t="s">
        <v>1712</v>
      </c>
      <c r="AZ329" s="110" t="s">
        <v>1733</v>
      </c>
      <c r="BA329" s="109" t="s">
        <v>1737</v>
      </c>
      <c r="BC329" s="100">
        <f t="shared" si="365"/>
        <v>0</v>
      </c>
      <c r="BD329" s="100">
        <f t="shared" si="366"/>
        <v>0</v>
      </c>
      <c r="BE329" s="100">
        <v>0</v>
      </c>
      <c r="BF329" s="100">
        <f>329</f>
        <v>329</v>
      </c>
      <c r="BH329" s="108">
        <f t="shared" si="367"/>
        <v>0</v>
      </c>
      <c r="BI329" s="108">
        <f t="shared" si="368"/>
        <v>0</v>
      </c>
      <c r="BJ329" s="108">
        <f t="shared" si="369"/>
        <v>0</v>
      </c>
    </row>
    <row r="330" spans="1:62" x14ac:dyDescent="0.2">
      <c r="A330" s="117" t="s">
        <v>291</v>
      </c>
      <c r="B330" s="117" t="s">
        <v>119</v>
      </c>
      <c r="C330" s="304" t="s">
        <v>1398</v>
      </c>
      <c r="D330" s="305"/>
      <c r="E330" s="305"/>
      <c r="F330" s="117" t="s">
        <v>1652</v>
      </c>
      <c r="G330" s="116">
        <v>1</v>
      </c>
      <c r="H330" s="159"/>
      <c r="I330" s="108">
        <f t="shared" si="346"/>
        <v>0</v>
      </c>
      <c r="J330" s="108">
        <f t="shared" si="347"/>
        <v>0</v>
      </c>
      <c r="K330" s="108">
        <f t="shared" si="348"/>
        <v>0</v>
      </c>
      <c r="L330" s="111"/>
      <c r="Z330" s="100">
        <f t="shared" si="349"/>
        <v>0</v>
      </c>
      <c r="AB330" s="100">
        <f t="shared" si="350"/>
        <v>0</v>
      </c>
      <c r="AC330" s="100">
        <f t="shared" si="351"/>
        <v>0</v>
      </c>
      <c r="AD330" s="100">
        <f t="shared" si="352"/>
        <v>0</v>
      </c>
      <c r="AE330" s="100">
        <f t="shared" si="353"/>
        <v>0</v>
      </c>
      <c r="AF330" s="100">
        <f t="shared" si="354"/>
        <v>0</v>
      </c>
      <c r="AG330" s="100">
        <f t="shared" si="355"/>
        <v>0</v>
      </c>
      <c r="AH330" s="100">
        <f t="shared" si="356"/>
        <v>0</v>
      </c>
      <c r="AI330" s="109"/>
      <c r="AJ330" s="108">
        <f t="shared" si="357"/>
        <v>0</v>
      </c>
      <c r="AK330" s="108">
        <f t="shared" si="358"/>
        <v>0</v>
      </c>
      <c r="AL330" s="108">
        <f t="shared" si="359"/>
        <v>0</v>
      </c>
      <c r="AN330" s="100">
        <v>15</v>
      </c>
      <c r="AO330" s="100">
        <f t="shared" si="360"/>
        <v>0</v>
      </c>
      <c r="AP330" s="100">
        <f t="shared" si="361"/>
        <v>0</v>
      </c>
      <c r="AQ330" s="111" t="s">
        <v>13</v>
      </c>
      <c r="AV330" s="100">
        <f t="shared" si="362"/>
        <v>0</v>
      </c>
      <c r="AW330" s="100">
        <f t="shared" si="363"/>
        <v>0</v>
      </c>
      <c r="AX330" s="100">
        <f t="shared" si="364"/>
        <v>0</v>
      </c>
      <c r="AY330" s="110" t="s">
        <v>1712</v>
      </c>
      <c r="AZ330" s="110" t="s">
        <v>1733</v>
      </c>
      <c r="BA330" s="109" t="s">
        <v>1737</v>
      </c>
      <c r="BC330" s="100">
        <f t="shared" si="365"/>
        <v>0</v>
      </c>
      <c r="BD330" s="100">
        <f t="shared" si="366"/>
        <v>0</v>
      </c>
      <c r="BE330" s="100">
        <v>0</v>
      </c>
      <c r="BF330" s="100">
        <f>330</f>
        <v>330</v>
      </c>
      <c r="BH330" s="108">
        <f t="shared" si="367"/>
        <v>0</v>
      </c>
      <c r="BI330" s="108">
        <f t="shared" si="368"/>
        <v>0</v>
      </c>
      <c r="BJ330" s="108">
        <f t="shared" si="369"/>
        <v>0</v>
      </c>
    </row>
    <row r="331" spans="1:62" x14ac:dyDescent="0.2">
      <c r="A331" s="117" t="s">
        <v>292</v>
      </c>
      <c r="B331" s="117" t="s">
        <v>120</v>
      </c>
      <c r="C331" s="304" t="s">
        <v>1399</v>
      </c>
      <c r="D331" s="305"/>
      <c r="E331" s="305"/>
      <c r="F331" s="117" t="s">
        <v>1652</v>
      </c>
      <c r="G331" s="116">
        <v>1</v>
      </c>
      <c r="H331" s="159"/>
      <c r="I331" s="108">
        <f t="shared" si="346"/>
        <v>0</v>
      </c>
      <c r="J331" s="108">
        <f t="shared" si="347"/>
        <v>0</v>
      </c>
      <c r="K331" s="108">
        <f t="shared" si="348"/>
        <v>0</v>
      </c>
      <c r="L331" s="111"/>
      <c r="Z331" s="100">
        <f t="shared" si="349"/>
        <v>0</v>
      </c>
      <c r="AB331" s="100">
        <f t="shared" si="350"/>
        <v>0</v>
      </c>
      <c r="AC331" s="100">
        <f t="shared" si="351"/>
        <v>0</v>
      </c>
      <c r="AD331" s="100">
        <f t="shared" si="352"/>
        <v>0</v>
      </c>
      <c r="AE331" s="100">
        <f t="shared" si="353"/>
        <v>0</v>
      </c>
      <c r="AF331" s="100">
        <f t="shared" si="354"/>
        <v>0</v>
      </c>
      <c r="AG331" s="100">
        <f t="shared" si="355"/>
        <v>0</v>
      </c>
      <c r="AH331" s="100">
        <f t="shared" si="356"/>
        <v>0</v>
      </c>
      <c r="AI331" s="109"/>
      <c r="AJ331" s="108">
        <f t="shared" si="357"/>
        <v>0</v>
      </c>
      <c r="AK331" s="108">
        <f t="shared" si="358"/>
        <v>0</v>
      </c>
      <c r="AL331" s="108">
        <f t="shared" si="359"/>
        <v>0</v>
      </c>
      <c r="AN331" s="100">
        <v>15</v>
      </c>
      <c r="AO331" s="100">
        <f t="shared" si="360"/>
        <v>0</v>
      </c>
      <c r="AP331" s="100">
        <f t="shared" si="361"/>
        <v>0</v>
      </c>
      <c r="AQ331" s="111" t="s">
        <v>13</v>
      </c>
      <c r="AV331" s="100">
        <f t="shared" si="362"/>
        <v>0</v>
      </c>
      <c r="AW331" s="100">
        <f t="shared" si="363"/>
        <v>0</v>
      </c>
      <c r="AX331" s="100">
        <f t="shared" si="364"/>
        <v>0</v>
      </c>
      <c r="AY331" s="110" t="s">
        <v>1712</v>
      </c>
      <c r="AZ331" s="110" t="s">
        <v>1733</v>
      </c>
      <c r="BA331" s="109" t="s">
        <v>1737</v>
      </c>
      <c r="BC331" s="100">
        <f t="shared" si="365"/>
        <v>0</v>
      </c>
      <c r="BD331" s="100">
        <f t="shared" si="366"/>
        <v>0</v>
      </c>
      <c r="BE331" s="100">
        <v>0</v>
      </c>
      <c r="BF331" s="100">
        <f>331</f>
        <v>331</v>
      </c>
      <c r="BH331" s="108">
        <f t="shared" si="367"/>
        <v>0</v>
      </c>
      <c r="BI331" s="108">
        <f t="shared" si="368"/>
        <v>0</v>
      </c>
      <c r="BJ331" s="108">
        <f t="shared" si="369"/>
        <v>0</v>
      </c>
    </row>
    <row r="332" spans="1:62" x14ac:dyDescent="0.2">
      <c r="A332" s="117" t="s">
        <v>293</v>
      </c>
      <c r="B332" s="117" t="s">
        <v>121</v>
      </c>
      <c r="C332" s="304" t="s">
        <v>1400</v>
      </c>
      <c r="D332" s="305"/>
      <c r="E332" s="305"/>
      <c r="F332" s="117" t="s">
        <v>1652</v>
      </c>
      <c r="G332" s="116">
        <v>1</v>
      </c>
      <c r="H332" s="159"/>
      <c r="I332" s="108">
        <f t="shared" si="346"/>
        <v>0</v>
      </c>
      <c r="J332" s="108">
        <f t="shared" si="347"/>
        <v>0</v>
      </c>
      <c r="K332" s="108">
        <f t="shared" si="348"/>
        <v>0</v>
      </c>
      <c r="L332" s="111"/>
      <c r="Z332" s="100">
        <f t="shared" si="349"/>
        <v>0</v>
      </c>
      <c r="AB332" s="100">
        <f t="shared" si="350"/>
        <v>0</v>
      </c>
      <c r="AC332" s="100">
        <f t="shared" si="351"/>
        <v>0</v>
      </c>
      <c r="AD332" s="100">
        <f t="shared" si="352"/>
        <v>0</v>
      </c>
      <c r="AE332" s="100">
        <f t="shared" si="353"/>
        <v>0</v>
      </c>
      <c r="AF332" s="100">
        <f t="shared" si="354"/>
        <v>0</v>
      </c>
      <c r="AG332" s="100">
        <f t="shared" si="355"/>
        <v>0</v>
      </c>
      <c r="AH332" s="100">
        <f t="shared" si="356"/>
        <v>0</v>
      </c>
      <c r="AI332" s="109"/>
      <c r="AJ332" s="108">
        <f t="shared" si="357"/>
        <v>0</v>
      </c>
      <c r="AK332" s="108">
        <f t="shared" si="358"/>
        <v>0</v>
      </c>
      <c r="AL332" s="108">
        <f t="shared" si="359"/>
        <v>0</v>
      </c>
      <c r="AN332" s="100">
        <v>15</v>
      </c>
      <c r="AO332" s="100">
        <f t="shared" si="360"/>
        <v>0</v>
      </c>
      <c r="AP332" s="100">
        <f t="shared" si="361"/>
        <v>0</v>
      </c>
      <c r="AQ332" s="111" t="s">
        <v>13</v>
      </c>
      <c r="AV332" s="100">
        <f t="shared" si="362"/>
        <v>0</v>
      </c>
      <c r="AW332" s="100">
        <f t="shared" si="363"/>
        <v>0</v>
      </c>
      <c r="AX332" s="100">
        <f t="shared" si="364"/>
        <v>0</v>
      </c>
      <c r="AY332" s="110" t="s">
        <v>1712</v>
      </c>
      <c r="AZ332" s="110" t="s">
        <v>1733</v>
      </c>
      <c r="BA332" s="109" t="s">
        <v>1737</v>
      </c>
      <c r="BC332" s="100">
        <f t="shared" si="365"/>
        <v>0</v>
      </c>
      <c r="BD332" s="100">
        <f t="shared" si="366"/>
        <v>0</v>
      </c>
      <c r="BE332" s="100">
        <v>0</v>
      </c>
      <c r="BF332" s="100">
        <f>332</f>
        <v>332</v>
      </c>
      <c r="BH332" s="108">
        <f t="shared" si="367"/>
        <v>0</v>
      </c>
      <c r="BI332" s="108">
        <f t="shared" si="368"/>
        <v>0</v>
      </c>
      <c r="BJ332" s="108">
        <f t="shared" si="369"/>
        <v>0</v>
      </c>
    </row>
    <row r="333" spans="1:62" x14ac:dyDescent="0.2">
      <c r="A333" s="117" t="s">
        <v>294</v>
      </c>
      <c r="B333" s="117" t="s">
        <v>122</v>
      </c>
      <c r="C333" s="304" t="s">
        <v>1401</v>
      </c>
      <c r="D333" s="305"/>
      <c r="E333" s="305"/>
      <c r="F333" s="117" t="s">
        <v>1652</v>
      </c>
      <c r="G333" s="116">
        <v>1</v>
      </c>
      <c r="H333" s="159"/>
      <c r="I333" s="108">
        <f t="shared" si="346"/>
        <v>0</v>
      </c>
      <c r="J333" s="108">
        <f t="shared" si="347"/>
        <v>0</v>
      </c>
      <c r="K333" s="108">
        <f t="shared" si="348"/>
        <v>0</v>
      </c>
      <c r="L333" s="111"/>
      <c r="Z333" s="100">
        <f t="shared" si="349"/>
        <v>0</v>
      </c>
      <c r="AB333" s="100">
        <f t="shared" si="350"/>
        <v>0</v>
      </c>
      <c r="AC333" s="100">
        <f t="shared" si="351"/>
        <v>0</v>
      </c>
      <c r="AD333" s="100">
        <f t="shared" si="352"/>
        <v>0</v>
      </c>
      <c r="AE333" s="100">
        <f t="shared" si="353"/>
        <v>0</v>
      </c>
      <c r="AF333" s="100">
        <f t="shared" si="354"/>
        <v>0</v>
      </c>
      <c r="AG333" s="100">
        <f t="shared" si="355"/>
        <v>0</v>
      </c>
      <c r="AH333" s="100">
        <f t="shared" si="356"/>
        <v>0</v>
      </c>
      <c r="AI333" s="109"/>
      <c r="AJ333" s="108">
        <f t="shared" si="357"/>
        <v>0</v>
      </c>
      <c r="AK333" s="108">
        <f t="shared" si="358"/>
        <v>0</v>
      </c>
      <c r="AL333" s="108">
        <f t="shared" si="359"/>
        <v>0</v>
      </c>
      <c r="AN333" s="100">
        <v>15</v>
      </c>
      <c r="AO333" s="100">
        <f t="shared" si="360"/>
        <v>0</v>
      </c>
      <c r="AP333" s="100">
        <f t="shared" si="361"/>
        <v>0</v>
      </c>
      <c r="AQ333" s="111" t="s">
        <v>13</v>
      </c>
      <c r="AV333" s="100">
        <f t="shared" si="362"/>
        <v>0</v>
      </c>
      <c r="AW333" s="100">
        <f t="shared" si="363"/>
        <v>0</v>
      </c>
      <c r="AX333" s="100">
        <f t="shared" si="364"/>
        <v>0</v>
      </c>
      <c r="AY333" s="110" t="s">
        <v>1712</v>
      </c>
      <c r="AZ333" s="110" t="s">
        <v>1733</v>
      </c>
      <c r="BA333" s="109" t="s">
        <v>1737</v>
      </c>
      <c r="BC333" s="100">
        <f t="shared" si="365"/>
        <v>0</v>
      </c>
      <c r="BD333" s="100">
        <f t="shared" si="366"/>
        <v>0</v>
      </c>
      <c r="BE333" s="100">
        <v>0</v>
      </c>
      <c r="BF333" s="100">
        <f>333</f>
        <v>333</v>
      </c>
      <c r="BH333" s="108">
        <f t="shared" si="367"/>
        <v>0</v>
      </c>
      <c r="BI333" s="108">
        <f t="shared" si="368"/>
        <v>0</v>
      </c>
      <c r="BJ333" s="108">
        <f t="shared" si="369"/>
        <v>0</v>
      </c>
    </row>
    <row r="334" spans="1:62" x14ac:dyDescent="0.2">
      <c r="A334" s="117" t="s">
        <v>295</v>
      </c>
      <c r="B334" s="117" t="s">
        <v>123</v>
      </c>
      <c r="C334" s="304" t="s">
        <v>1402</v>
      </c>
      <c r="D334" s="305"/>
      <c r="E334" s="305"/>
      <c r="F334" s="117" t="s">
        <v>1652</v>
      </c>
      <c r="G334" s="116">
        <v>1</v>
      </c>
      <c r="H334" s="159"/>
      <c r="I334" s="108">
        <f t="shared" si="346"/>
        <v>0</v>
      </c>
      <c r="J334" s="108">
        <f t="shared" si="347"/>
        <v>0</v>
      </c>
      <c r="K334" s="108">
        <f t="shared" si="348"/>
        <v>0</v>
      </c>
      <c r="L334" s="111"/>
      <c r="Z334" s="100">
        <f t="shared" si="349"/>
        <v>0</v>
      </c>
      <c r="AB334" s="100">
        <f t="shared" si="350"/>
        <v>0</v>
      </c>
      <c r="AC334" s="100">
        <f t="shared" si="351"/>
        <v>0</v>
      </c>
      <c r="AD334" s="100">
        <f t="shared" si="352"/>
        <v>0</v>
      </c>
      <c r="AE334" s="100">
        <f t="shared" si="353"/>
        <v>0</v>
      </c>
      <c r="AF334" s="100">
        <f t="shared" si="354"/>
        <v>0</v>
      </c>
      <c r="AG334" s="100">
        <f t="shared" si="355"/>
        <v>0</v>
      </c>
      <c r="AH334" s="100">
        <f t="shared" si="356"/>
        <v>0</v>
      </c>
      <c r="AI334" s="109"/>
      <c r="AJ334" s="108">
        <f t="shared" si="357"/>
        <v>0</v>
      </c>
      <c r="AK334" s="108">
        <f t="shared" si="358"/>
        <v>0</v>
      </c>
      <c r="AL334" s="108">
        <f t="shared" si="359"/>
        <v>0</v>
      </c>
      <c r="AN334" s="100">
        <v>15</v>
      </c>
      <c r="AO334" s="100">
        <f t="shared" si="360"/>
        <v>0</v>
      </c>
      <c r="AP334" s="100">
        <f t="shared" si="361"/>
        <v>0</v>
      </c>
      <c r="AQ334" s="111" t="s">
        <v>13</v>
      </c>
      <c r="AV334" s="100">
        <f t="shared" si="362"/>
        <v>0</v>
      </c>
      <c r="AW334" s="100">
        <f t="shared" si="363"/>
        <v>0</v>
      </c>
      <c r="AX334" s="100">
        <f t="shared" si="364"/>
        <v>0</v>
      </c>
      <c r="AY334" s="110" t="s">
        <v>1712</v>
      </c>
      <c r="AZ334" s="110" t="s">
        <v>1733</v>
      </c>
      <c r="BA334" s="109" t="s">
        <v>1737</v>
      </c>
      <c r="BC334" s="100">
        <f t="shared" si="365"/>
        <v>0</v>
      </c>
      <c r="BD334" s="100">
        <f t="shared" si="366"/>
        <v>0</v>
      </c>
      <c r="BE334" s="100">
        <v>0</v>
      </c>
      <c r="BF334" s="100">
        <f>334</f>
        <v>334</v>
      </c>
      <c r="BH334" s="108">
        <f t="shared" si="367"/>
        <v>0</v>
      </c>
      <c r="BI334" s="108">
        <f t="shared" si="368"/>
        <v>0</v>
      </c>
      <c r="BJ334" s="108">
        <f t="shared" si="369"/>
        <v>0</v>
      </c>
    </row>
    <row r="335" spans="1:62" x14ac:dyDescent="0.2">
      <c r="A335" s="117" t="s">
        <v>296</v>
      </c>
      <c r="B335" s="117" t="s">
        <v>124</v>
      </c>
      <c r="C335" s="304" t="s">
        <v>1403</v>
      </c>
      <c r="D335" s="305"/>
      <c r="E335" s="305"/>
      <c r="F335" s="117" t="s">
        <v>1652</v>
      </c>
      <c r="G335" s="116">
        <v>1</v>
      </c>
      <c r="H335" s="159"/>
      <c r="I335" s="108">
        <f t="shared" si="346"/>
        <v>0</v>
      </c>
      <c r="J335" s="108">
        <f t="shared" si="347"/>
        <v>0</v>
      </c>
      <c r="K335" s="108">
        <f t="shared" si="348"/>
        <v>0</v>
      </c>
      <c r="L335" s="111"/>
      <c r="Z335" s="100">
        <f t="shared" si="349"/>
        <v>0</v>
      </c>
      <c r="AB335" s="100">
        <f t="shared" si="350"/>
        <v>0</v>
      </c>
      <c r="AC335" s="100">
        <f t="shared" si="351"/>
        <v>0</v>
      </c>
      <c r="AD335" s="100">
        <f t="shared" si="352"/>
        <v>0</v>
      </c>
      <c r="AE335" s="100">
        <f t="shared" si="353"/>
        <v>0</v>
      </c>
      <c r="AF335" s="100">
        <f t="shared" si="354"/>
        <v>0</v>
      </c>
      <c r="AG335" s="100">
        <f t="shared" si="355"/>
        <v>0</v>
      </c>
      <c r="AH335" s="100">
        <f t="shared" si="356"/>
        <v>0</v>
      </c>
      <c r="AI335" s="109"/>
      <c r="AJ335" s="108">
        <f t="shared" si="357"/>
        <v>0</v>
      </c>
      <c r="AK335" s="108">
        <f t="shared" si="358"/>
        <v>0</v>
      </c>
      <c r="AL335" s="108">
        <f t="shared" si="359"/>
        <v>0</v>
      </c>
      <c r="AN335" s="100">
        <v>15</v>
      </c>
      <c r="AO335" s="100">
        <f t="shared" si="360"/>
        <v>0</v>
      </c>
      <c r="AP335" s="100">
        <f t="shared" si="361"/>
        <v>0</v>
      </c>
      <c r="AQ335" s="111" t="s">
        <v>13</v>
      </c>
      <c r="AV335" s="100">
        <f t="shared" si="362"/>
        <v>0</v>
      </c>
      <c r="AW335" s="100">
        <f t="shared" si="363"/>
        <v>0</v>
      </c>
      <c r="AX335" s="100">
        <f t="shared" si="364"/>
        <v>0</v>
      </c>
      <c r="AY335" s="110" t="s">
        <v>1712</v>
      </c>
      <c r="AZ335" s="110" t="s">
        <v>1733</v>
      </c>
      <c r="BA335" s="109" t="s">
        <v>1737</v>
      </c>
      <c r="BC335" s="100">
        <f t="shared" si="365"/>
        <v>0</v>
      </c>
      <c r="BD335" s="100">
        <f t="shared" si="366"/>
        <v>0</v>
      </c>
      <c r="BE335" s="100">
        <v>0</v>
      </c>
      <c r="BF335" s="100">
        <f>335</f>
        <v>335</v>
      </c>
      <c r="BH335" s="108">
        <f t="shared" si="367"/>
        <v>0</v>
      </c>
      <c r="BI335" s="108">
        <f t="shared" si="368"/>
        <v>0</v>
      </c>
      <c r="BJ335" s="108">
        <f t="shared" si="369"/>
        <v>0</v>
      </c>
    </row>
    <row r="336" spans="1:62" x14ac:dyDescent="0.2">
      <c r="A336" s="117" t="s">
        <v>297</v>
      </c>
      <c r="B336" s="117" t="s">
        <v>125</v>
      </c>
      <c r="C336" s="304" t="s">
        <v>1404</v>
      </c>
      <c r="D336" s="305"/>
      <c r="E336" s="305"/>
      <c r="F336" s="117" t="s">
        <v>1646</v>
      </c>
      <c r="G336" s="116">
        <v>450</v>
      </c>
      <c r="H336" s="159"/>
      <c r="I336" s="108">
        <f t="shared" si="346"/>
        <v>0</v>
      </c>
      <c r="J336" s="108">
        <f t="shared" si="347"/>
        <v>0</v>
      </c>
      <c r="K336" s="108">
        <f t="shared" si="348"/>
        <v>0</v>
      </c>
      <c r="L336" s="111"/>
      <c r="Z336" s="100">
        <f t="shared" si="349"/>
        <v>0</v>
      </c>
      <c r="AB336" s="100">
        <f t="shared" si="350"/>
        <v>0</v>
      </c>
      <c r="AC336" s="100">
        <f t="shared" si="351"/>
        <v>0</v>
      </c>
      <c r="AD336" s="100">
        <f t="shared" si="352"/>
        <v>0</v>
      </c>
      <c r="AE336" s="100">
        <f t="shared" si="353"/>
        <v>0</v>
      </c>
      <c r="AF336" s="100">
        <f t="shared" si="354"/>
        <v>0</v>
      </c>
      <c r="AG336" s="100">
        <f t="shared" si="355"/>
        <v>0</v>
      </c>
      <c r="AH336" s="100">
        <f t="shared" si="356"/>
        <v>0</v>
      </c>
      <c r="AI336" s="109"/>
      <c r="AJ336" s="108">
        <f t="shared" si="357"/>
        <v>0</v>
      </c>
      <c r="AK336" s="108">
        <f t="shared" si="358"/>
        <v>0</v>
      </c>
      <c r="AL336" s="108">
        <f t="shared" si="359"/>
        <v>0</v>
      </c>
      <c r="AN336" s="100">
        <v>15</v>
      </c>
      <c r="AO336" s="100">
        <f t="shared" si="360"/>
        <v>0</v>
      </c>
      <c r="AP336" s="100">
        <f t="shared" si="361"/>
        <v>0</v>
      </c>
      <c r="AQ336" s="111" t="s">
        <v>13</v>
      </c>
      <c r="AV336" s="100">
        <f t="shared" si="362"/>
        <v>0</v>
      </c>
      <c r="AW336" s="100">
        <f t="shared" si="363"/>
        <v>0</v>
      </c>
      <c r="AX336" s="100">
        <f t="shared" si="364"/>
        <v>0</v>
      </c>
      <c r="AY336" s="110" t="s">
        <v>1712</v>
      </c>
      <c r="AZ336" s="110" t="s">
        <v>1733</v>
      </c>
      <c r="BA336" s="109" t="s">
        <v>1737</v>
      </c>
      <c r="BC336" s="100">
        <f t="shared" si="365"/>
        <v>0</v>
      </c>
      <c r="BD336" s="100">
        <f t="shared" si="366"/>
        <v>0</v>
      </c>
      <c r="BE336" s="100">
        <v>0</v>
      </c>
      <c r="BF336" s="100">
        <f>336</f>
        <v>336</v>
      </c>
      <c r="BH336" s="108">
        <f t="shared" si="367"/>
        <v>0</v>
      </c>
      <c r="BI336" s="108">
        <f t="shared" si="368"/>
        <v>0</v>
      </c>
      <c r="BJ336" s="108">
        <f t="shared" si="369"/>
        <v>0</v>
      </c>
    </row>
    <row r="337" spans="1:62" x14ac:dyDescent="0.2">
      <c r="A337" s="117" t="s">
        <v>298</v>
      </c>
      <c r="B337" s="117" t="s">
        <v>823</v>
      </c>
      <c r="C337" s="304" t="s">
        <v>1405</v>
      </c>
      <c r="D337" s="305"/>
      <c r="E337" s="305"/>
      <c r="F337" s="117" t="s">
        <v>1646</v>
      </c>
      <c r="G337" s="116">
        <v>180</v>
      </c>
      <c r="H337" s="159"/>
      <c r="I337" s="108">
        <f t="shared" si="346"/>
        <v>0</v>
      </c>
      <c r="J337" s="108">
        <f t="shared" si="347"/>
        <v>0</v>
      </c>
      <c r="K337" s="108">
        <f t="shared" si="348"/>
        <v>0</v>
      </c>
      <c r="L337" s="111"/>
      <c r="Z337" s="100">
        <f t="shared" si="349"/>
        <v>0</v>
      </c>
      <c r="AB337" s="100">
        <f t="shared" si="350"/>
        <v>0</v>
      </c>
      <c r="AC337" s="100">
        <f t="shared" si="351"/>
        <v>0</v>
      </c>
      <c r="AD337" s="100">
        <f t="shared" si="352"/>
        <v>0</v>
      </c>
      <c r="AE337" s="100">
        <f t="shared" si="353"/>
        <v>0</v>
      </c>
      <c r="AF337" s="100">
        <f t="shared" si="354"/>
        <v>0</v>
      </c>
      <c r="AG337" s="100">
        <f t="shared" si="355"/>
        <v>0</v>
      </c>
      <c r="AH337" s="100">
        <f t="shared" si="356"/>
        <v>0</v>
      </c>
      <c r="AI337" s="109"/>
      <c r="AJ337" s="108">
        <f t="shared" si="357"/>
        <v>0</v>
      </c>
      <c r="AK337" s="108">
        <f t="shared" si="358"/>
        <v>0</v>
      </c>
      <c r="AL337" s="108">
        <f t="shared" si="359"/>
        <v>0</v>
      </c>
      <c r="AN337" s="100">
        <v>15</v>
      </c>
      <c r="AO337" s="100">
        <f t="shared" si="360"/>
        <v>0</v>
      </c>
      <c r="AP337" s="100">
        <f t="shared" si="361"/>
        <v>0</v>
      </c>
      <c r="AQ337" s="111" t="s">
        <v>13</v>
      </c>
      <c r="AV337" s="100">
        <f t="shared" si="362"/>
        <v>0</v>
      </c>
      <c r="AW337" s="100">
        <f t="shared" si="363"/>
        <v>0</v>
      </c>
      <c r="AX337" s="100">
        <f t="shared" si="364"/>
        <v>0</v>
      </c>
      <c r="AY337" s="110" t="s">
        <v>1712</v>
      </c>
      <c r="AZ337" s="110" t="s">
        <v>1733</v>
      </c>
      <c r="BA337" s="109" t="s">
        <v>1737</v>
      </c>
      <c r="BC337" s="100">
        <f t="shared" si="365"/>
        <v>0</v>
      </c>
      <c r="BD337" s="100">
        <f t="shared" si="366"/>
        <v>0</v>
      </c>
      <c r="BE337" s="100">
        <v>0</v>
      </c>
      <c r="BF337" s="100">
        <f>337</f>
        <v>337</v>
      </c>
      <c r="BH337" s="108">
        <f t="shared" si="367"/>
        <v>0</v>
      </c>
      <c r="BI337" s="108">
        <f t="shared" si="368"/>
        <v>0</v>
      </c>
      <c r="BJ337" s="108">
        <f t="shared" si="369"/>
        <v>0</v>
      </c>
    </row>
    <row r="338" spans="1:62" x14ac:dyDescent="0.2">
      <c r="A338" s="117" t="s">
        <v>299</v>
      </c>
      <c r="B338" s="117" t="s">
        <v>824</v>
      </c>
      <c r="C338" s="304" t="s">
        <v>1406</v>
      </c>
      <c r="D338" s="305"/>
      <c r="E338" s="305"/>
      <c r="F338" s="117" t="s">
        <v>1652</v>
      </c>
      <c r="G338" s="116">
        <v>3</v>
      </c>
      <c r="H338" s="159"/>
      <c r="I338" s="108">
        <f t="shared" si="346"/>
        <v>0</v>
      </c>
      <c r="J338" s="108">
        <f t="shared" si="347"/>
        <v>0</v>
      </c>
      <c r="K338" s="108">
        <f t="shared" si="348"/>
        <v>0</v>
      </c>
      <c r="L338" s="111"/>
      <c r="Z338" s="100">
        <f t="shared" si="349"/>
        <v>0</v>
      </c>
      <c r="AB338" s="100">
        <f t="shared" si="350"/>
        <v>0</v>
      </c>
      <c r="AC338" s="100">
        <f t="shared" si="351"/>
        <v>0</v>
      </c>
      <c r="AD338" s="100">
        <f t="shared" si="352"/>
        <v>0</v>
      </c>
      <c r="AE338" s="100">
        <f t="shared" si="353"/>
        <v>0</v>
      </c>
      <c r="AF338" s="100">
        <f t="shared" si="354"/>
        <v>0</v>
      </c>
      <c r="AG338" s="100">
        <f t="shared" si="355"/>
        <v>0</v>
      </c>
      <c r="AH338" s="100">
        <f t="shared" si="356"/>
        <v>0</v>
      </c>
      <c r="AI338" s="109"/>
      <c r="AJ338" s="108">
        <f t="shared" si="357"/>
        <v>0</v>
      </c>
      <c r="AK338" s="108">
        <f t="shared" si="358"/>
        <v>0</v>
      </c>
      <c r="AL338" s="108">
        <f t="shared" si="359"/>
        <v>0</v>
      </c>
      <c r="AN338" s="100">
        <v>15</v>
      </c>
      <c r="AO338" s="100">
        <f t="shared" si="360"/>
        <v>0</v>
      </c>
      <c r="AP338" s="100">
        <f t="shared" si="361"/>
        <v>0</v>
      </c>
      <c r="AQ338" s="111" t="s">
        <v>13</v>
      </c>
      <c r="AV338" s="100">
        <f t="shared" si="362"/>
        <v>0</v>
      </c>
      <c r="AW338" s="100">
        <f t="shared" si="363"/>
        <v>0</v>
      </c>
      <c r="AX338" s="100">
        <f t="shared" si="364"/>
        <v>0</v>
      </c>
      <c r="AY338" s="110" t="s">
        <v>1712</v>
      </c>
      <c r="AZ338" s="110" t="s">
        <v>1733</v>
      </c>
      <c r="BA338" s="109" t="s">
        <v>1737</v>
      </c>
      <c r="BC338" s="100">
        <f t="shared" si="365"/>
        <v>0</v>
      </c>
      <c r="BD338" s="100">
        <f t="shared" si="366"/>
        <v>0</v>
      </c>
      <c r="BE338" s="100">
        <v>0</v>
      </c>
      <c r="BF338" s="100">
        <f>338</f>
        <v>338</v>
      </c>
      <c r="BH338" s="108">
        <f t="shared" si="367"/>
        <v>0</v>
      </c>
      <c r="BI338" s="108">
        <f t="shared" si="368"/>
        <v>0</v>
      </c>
      <c r="BJ338" s="108">
        <f t="shared" si="369"/>
        <v>0</v>
      </c>
    </row>
    <row r="339" spans="1:62" x14ac:dyDescent="0.2">
      <c r="A339" s="117" t="s">
        <v>300</v>
      </c>
      <c r="B339" s="117" t="s">
        <v>825</v>
      </c>
      <c r="C339" s="304" t="s">
        <v>1407</v>
      </c>
      <c r="D339" s="305"/>
      <c r="E339" s="305"/>
      <c r="F339" s="117" t="s">
        <v>1644</v>
      </c>
      <c r="G339" s="116">
        <v>3</v>
      </c>
      <c r="H339" s="159"/>
      <c r="I339" s="108">
        <f t="shared" si="346"/>
        <v>0</v>
      </c>
      <c r="J339" s="108">
        <f t="shared" si="347"/>
        <v>0</v>
      </c>
      <c r="K339" s="108">
        <f t="shared" si="348"/>
        <v>0</v>
      </c>
      <c r="L339" s="111"/>
      <c r="Z339" s="100">
        <f t="shared" si="349"/>
        <v>0</v>
      </c>
      <c r="AB339" s="100">
        <f t="shared" si="350"/>
        <v>0</v>
      </c>
      <c r="AC339" s="100">
        <f t="shared" si="351"/>
        <v>0</v>
      </c>
      <c r="AD339" s="100">
        <f t="shared" si="352"/>
        <v>0</v>
      </c>
      <c r="AE339" s="100">
        <f t="shared" si="353"/>
        <v>0</v>
      </c>
      <c r="AF339" s="100">
        <f t="shared" si="354"/>
        <v>0</v>
      </c>
      <c r="AG339" s="100">
        <f t="shared" si="355"/>
        <v>0</v>
      </c>
      <c r="AH339" s="100">
        <f t="shared" si="356"/>
        <v>0</v>
      </c>
      <c r="AI339" s="109"/>
      <c r="AJ339" s="108">
        <f t="shared" si="357"/>
        <v>0</v>
      </c>
      <c r="AK339" s="108">
        <f t="shared" si="358"/>
        <v>0</v>
      </c>
      <c r="AL339" s="108">
        <f t="shared" si="359"/>
        <v>0</v>
      </c>
      <c r="AN339" s="100">
        <v>15</v>
      </c>
      <c r="AO339" s="100">
        <f t="shared" si="360"/>
        <v>0</v>
      </c>
      <c r="AP339" s="100">
        <f t="shared" si="361"/>
        <v>0</v>
      </c>
      <c r="AQ339" s="111" t="s">
        <v>13</v>
      </c>
      <c r="AV339" s="100">
        <f t="shared" si="362"/>
        <v>0</v>
      </c>
      <c r="AW339" s="100">
        <f t="shared" si="363"/>
        <v>0</v>
      </c>
      <c r="AX339" s="100">
        <f t="shared" si="364"/>
        <v>0</v>
      </c>
      <c r="AY339" s="110" t="s">
        <v>1712</v>
      </c>
      <c r="AZ339" s="110" t="s">
        <v>1733</v>
      </c>
      <c r="BA339" s="109" t="s">
        <v>1737</v>
      </c>
      <c r="BC339" s="100">
        <f t="shared" si="365"/>
        <v>0</v>
      </c>
      <c r="BD339" s="100">
        <f t="shared" si="366"/>
        <v>0</v>
      </c>
      <c r="BE339" s="100">
        <v>0</v>
      </c>
      <c r="BF339" s="100">
        <f>339</f>
        <v>339</v>
      </c>
      <c r="BH339" s="108">
        <f t="shared" si="367"/>
        <v>0</v>
      </c>
      <c r="BI339" s="108">
        <f t="shared" si="368"/>
        <v>0</v>
      </c>
      <c r="BJ339" s="108">
        <f t="shared" si="369"/>
        <v>0</v>
      </c>
    </row>
    <row r="340" spans="1:62" x14ac:dyDescent="0.2">
      <c r="A340" s="117" t="s">
        <v>301</v>
      </c>
      <c r="B340" s="117" t="s">
        <v>826</v>
      </c>
      <c r="C340" s="304" t="s">
        <v>1408</v>
      </c>
      <c r="D340" s="305"/>
      <c r="E340" s="305"/>
      <c r="F340" s="117" t="s">
        <v>1644</v>
      </c>
      <c r="G340" s="116">
        <v>3</v>
      </c>
      <c r="H340" s="159"/>
      <c r="I340" s="108">
        <f t="shared" si="346"/>
        <v>0</v>
      </c>
      <c r="J340" s="108">
        <f t="shared" si="347"/>
        <v>0</v>
      </c>
      <c r="K340" s="108">
        <f t="shared" si="348"/>
        <v>0</v>
      </c>
      <c r="L340" s="111"/>
      <c r="Z340" s="100">
        <f t="shared" si="349"/>
        <v>0</v>
      </c>
      <c r="AB340" s="100">
        <f t="shared" si="350"/>
        <v>0</v>
      </c>
      <c r="AC340" s="100">
        <f t="shared" si="351"/>
        <v>0</v>
      </c>
      <c r="AD340" s="100">
        <f t="shared" si="352"/>
        <v>0</v>
      </c>
      <c r="AE340" s="100">
        <f t="shared" si="353"/>
        <v>0</v>
      </c>
      <c r="AF340" s="100">
        <f t="shared" si="354"/>
        <v>0</v>
      </c>
      <c r="AG340" s="100">
        <f t="shared" si="355"/>
        <v>0</v>
      </c>
      <c r="AH340" s="100">
        <f t="shared" si="356"/>
        <v>0</v>
      </c>
      <c r="AI340" s="109"/>
      <c r="AJ340" s="108">
        <f t="shared" si="357"/>
        <v>0</v>
      </c>
      <c r="AK340" s="108">
        <f t="shared" si="358"/>
        <v>0</v>
      </c>
      <c r="AL340" s="108">
        <f t="shared" si="359"/>
        <v>0</v>
      </c>
      <c r="AN340" s="100">
        <v>15</v>
      </c>
      <c r="AO340" s="100">
        <f t="shared" si="360"/>
        <v>0</v>
      </c>
      <c r="AP340" s="100">
        <f t="shared" si="361"/>
        <v>0</v>
      </c>
      <c r="AQ340" s="111" t="s">
        <v>13</v>
      </c>
      <c r="AV340" s="100">
        <f t="shared" si="362"/>
        <v>0</v>
      </c>
      <c r="AW340" s="100">
        <f t="shared" si="363"/>
        <v>0</v>
      </c>
      <c r="AX340" s="100">
        <f t="shared" si="364"/>
        <v>0</v>
      </c>
      <c r="AY340" s="110" t="s">
        <v>1712</v>
      </c>
      <c r="AZ340" s="110" t="s">
        <v>1733</v>
      </c>
      <c r="BA340" s="109" t="s">
        <v>1737</v>
      </c>
      <c r="BC340" s="100">
        <f t="shared" si="365"/>
        <v>0</v>
      </c>
      <c r="BD340" s="100">
        <f t="shared" si="366"/>
        <v>0</v>
      </c>
      <c r="BE340" s="100">
        <v>0</v>
      </c>
      <c r="BF340" s="100">
        <f>340</f>
        <v>340</v>
      </c>
      <c r="BH340" s="108">
        <f t="shared" si="367"/>
        <v>0</v>
      </c>
      <c r="BI340" s="108">
        <f t="shared" si="368"/>
        <v>0</v>
      </c>
      <c r="BJ340" s="108">
        <f t="shared" si="369"/>
        <v>0</v>
      </c>
    </row>
    <row r="341" spans="1:62" x14ac:dyDescent="0.2">
      <c r="A341" s="117" t="s">
        <v>302</v>
      </c>
      <c r="B341" s="117" t="s">
        <v>827</v>
      </c>
      <c r="C341" s="304" t="s">
        <v>1409</v>
      </c>
      <c r="D341" s="305"/>
      <c r="E341" s="305"/>
      <c r="F341" s="117" t="s">
        <v>1644</v>
      </c>
      <c r="G341" s="116">
        <v>3</v>
      </c>
      <c r="H341" s="159"/>
      <c r="I341" s="108">
        <f t="shared" si="346"/>
        <v>0</v>
      </c>
      <c r="J341" s="108">
        <f t="shared" si="347"/>
        <v>0</v>
      </c>
      <c r="K341" s="108">
        <f t="shared" si="348"/>
        <v>0</v>
      </c>
      <c r="L341" s="111"/>
      <c r="Z341" s="100">
        <f t="shared" si="349"/>
        <v>0</v>
      </c>
      <c r="AB341" s="100">
        <f t="shared" si="350"/>
        <v>0</v>
      </c>
      <c r="AC341" s="100">
        <f t="shared" si="351"/>
        <v>0</v>
      </c>
      <c r="AD341" s="100">
        <f t="shared" si="352"/>
        <v>0</v>
      </c>
      <c r="AE341" s="100">
        <f t="shared" si="353"/>
        <v>0</v>
      </c>
      <c r="AF341" s="100">
        <f t="shared" si="354"/>
        <v>0</v>
      </c>
      <c r="AG341" s="100">
        <f t="shared" si="355"/>
        <v>0</v>
      </c>
      <c r="AH341" s="100">
        <f t="shared" si="356"/>
        <v>0</v>
      </c>
      <c r="AI341" s="109"/>
      <c r="AJ341" s="108">
        <f t="shared" si="357"/>
        <v>0</v>
      </c>
      <c r="AK341" s="108">
        <f t="shared" si="358"/>
        <v>0</v>
      </c>
      <c r="AL341" s="108">
        <f t="shared" si="359"/>
        <v>0</v>
      </c>
      <c r="AN341" s="100">
        <v>15</v>
      </c>
      <c r="AO341" s="100">
        <f t="shared" si="360"/>
        <v>0</v>
      </c>
      <c r="AP341" s="100">
        <f t="shared" si="361"/>
        <v>0</v>
      </c>
      <c r="AQ341" s="111" t="s">
        <v>13</v>
      </c>
      <c r="AV341" s="100">
        <f t="shared" si="362"/>
        <v>0</v>
      </c>
      <c r="AW341" s="100">
        <f t="shared" si="363"/>
        <v>0</v>
      </c>
      <c r="AX341" s="100">
        <f t="shared" si="364"/>
        <v>0</v>
      </c>
      <c r="AY341" s="110" t="s">
        <v>1712</v>
      </c>
      <c r="AZ341" s="110" t="s">
        <v>1733</v>
      </c>
      <c r="BA341" s="109" t="s">
        <v>1737</v>
      </c>
      <c r="BC341" s="100">
        <f t="shared" si="365"/>
        <v>0</v>
      </c>
      <c r="BD341" s="100">
        <f t="shared" si="366"/>
        <v>0</v>
      </c>
      <c r="BE341" s="100">
        <v>0</v>
      </c>
      <c r="BF341" s="100">
        <f>341</f>
        <v>341</v>
      </c>
      <c r="BH341" s="108">
        <f t="shared" si="367"/>
        <v>0</v>
      </c>
      <c r="BI341" s="108">
        <f t="shared" si="368"/>
        <v>0</v>
      </c>
      <c r="BJ341" s="108">
        <f t="shared" si="369"/>
        <v>0</v>
      </c>
    </row>
    <row r="342" spans="1:62" x14ac:dyDescent="0.2">
      <c r="A342" s="117" t="s">
        <v>303</v>
      </c>
      <c r="B342" s="117" t="s">
        <v>828</v>
      </c>
      <c r="C342" s="304" t="s">
        <v>1410</v>
      </c>
      <c r="D342" s="305"/>
      <c r="E342" s="305"/>
      <c r="F342" s="117" t="s">
        <v>1652</v>
      </c>
      <c r="G342" s="116">
        <v>3</v>
      </c>
      <c r="H342" s="159"/>
      <c r="I342" s="108">
        <f t="shared" si="346"/>
        <v>0</v>
      </c>
      <c r="J342" s="108">
        <f t="shared" si="347"/>
        <v>0</v>
      </c>
      <c r="K342" s="108">
        <f t="shared" si="348"/>
        <v>0</v>
      </c>
      <c r="L342" s="111"/>
      <c r="Z342" s="100">
        <f t="shared" si="349"/>
        <v>0</v>
      </c>
      <c r="AB342" s="100">
        <f t="shared" si="350"/>
        <v>0</v>
      </c>
      <c r="AC342" s="100">
        <f t="shared" si="351"/>
        <v>0</v>
      </c>
      <c r="AD342" s="100">
        <f t="shared" si="352"/>
        <v>0</v>
      </c>
      <c r="AE342" s="100">
        <f t="shared" si="353"/>
        <v>0</v>
      </c>
      <c r="AF342" s="100">
        <f t="shared" si="354"/>
        <v>0</v>
      </c>
      <c r="AG342" s="100">
        <f t="shared" si="355"/>
        <v>0</v>
      </c>
      <c r="AH342" s="100">
        <f t="shared" si="356"/>
        <v>0</v>
      </c>
      <c r="AI342" s="109"/>
      <c r="AJ342" s="108">
        <f t="shared" si="357"/>
        <v>0</v>
      </c>
      <c r="AK342" s="108">
        <f t="shared" si="358"/>
        <v>0</v>
      </c>
      <c r="AL342" s="108">
        <f t="shared" si="359"/>
        <v>0</v>
      </c>
      <c r="AN342" s="100">
        <v>15</v>
      </c>
      <c r="AO342" s="100">
        <f t="shared" si="360"/>
        <v>0</v>
      </c>
      <c r="AP342" s="100">
        <f t="shared" si="361"/>
        <v>0</v>
      </c>
      <c r="AQ342" s="111" t="s">
        <v>13</v>
      </c>
      <c r="AV342" s="100">
        <f t="shared" si="362"/>
        <v>0</v>
      </c>
      <c r="AW342" s="100">
        <f t="shared" si="363"/>
        <v>0</v>
      </c>
      <c r="AX342" s="100">
        <f t="shared" si="364"/>
        <v>0</v>
      </c>
      <c r="AY342" s="110" t="s">
        <v>1712</v>
      </c>
      <c r="AZ342" s="110" t="s">
        <v>1733</v>
      </c>
      <c r="BA342" s="109" t="s">
        <v>1737</v>
      </c>
      <c r="BC342" s="100">
        <f t="shared" si="365"/>
        <v>0</v>
      </c>
      <c r="BD342" s="100">
        <f t="shared" si="366"/>
        <v>0</v>
      </c>
      <c r="BE342" s="100">
        <v>0</v>
      </c>
      <c r="BF342" s="100">
        <f>342</f>
        <v>342</v>
      </c>
      <c r="BH342" s="108">
        <f t="shared" si="367"/>
        <v>0</v>
      </c>
      <c r="BI342" s="108">
        <f t="shared" si="368"/>
        <v>0</v>
      </c>
      <c r="BJ342" s="108">
        <f t="shared" si="369"/>
        <v>0</v>
      </c>
    </row>
    <row r="343" spans="1:62" x14ac:dyDescent="0.2">
      <c r="A343" s="117" t="s">
        <v>304</v>
      </c>
      <c r="B343" s="117" t="s">
        <v>829</v>
      </c>
      <c r="C343" s="304" t="s">
        <v>1411</v>
      </c>
      <c r="D343" s="305"/>
      <c r="E343" s="305"/>
      <c r="F343" s="117" t="s">
        <v>1652</v>
      </c>
      <c r="G343" s="116">
        <v>3</v>
      </c>
      <c r="H343" s="159"/>
      <c r="I343" s="108">
        <f t="shared" si="346"/>
        <v>0</v>
      </c>
      <c r="J343" s="108">
        <f t="shared" si="347"/>
        <v>0</v>
      </c>
      <c r="K343" s="108">
        <f t="shared" si="348"/>
        <v>0</v>
      </c>
      <c r="L343" s="111"/>
      <c r="Z343" s="100">
        <f t="shared" si="349"/>
        <v>0</v>
      </c>
      <c r="AB343" s="100">
        <f t="shared" si="350"/>
        <v>0</v>
      </c>
      <c r="AC343" s="100">
        <f t="shared" si="351"/>
        <v>0</v>
      </c>
      <c r="AD343" s="100">
        <f t="shared" si="352"/>
        <v>0</v>
      </c>
      <c r="AE343" s="100">
        <f t="shared" si="353"/>
        <v>0</v>
      </c>
      <c r="AF343" s="100">
        <f t="shared" si="354"/>
        <v>0</v>
      </c>
      <c r="AG343" s="100">
        <f t="shared" si="355"/>
        <v>0</v>
      </c>
      <c r="AH343" s="100">
        <f t="shared" si="356"/>
        <v>0</v>
      </c>
      <c r="AI343" s="109"/>
      <c r="AJ343" s="108">
        <f t="shared" si="357"/>
        <v>0</v>
      </c>
      <c r="AK343" s="108">
        <f t="shared" si="358"/>
        <v>0</v>
      </c>
      <c r="AL343" s="108">
        <f t="shared" si="359"/>
        <v>0</v>
      </c>
      <c r="AN343" s="100">
        <v>15</v>
      </c>
      <c r="AO343" s="100">
        <f t="shared" si="360"/>
        <v>0</v>
      </c>
      <c r="AP343" s="100">
        <f t="shared" si="361"/>
        <v>0</v>
      </c>
      <c r="AQ343" s="111" t="s">
        <v>13</v>
      </c>
      <c r="AV343" s="100">
        <f t="shared" si="362"/>
        <v>0</v>
      </c>
      <c r="AW343" s="100">
        <f t="shared" si="363"/>
        <v>0</v>
      </c>
      <c r="AX343" s="100">
        <f t="shared" si="364"/>
        <v>0</v>
      </c>
      <c r="AY343" s="110" t="s">
        <v>1712</v>
      </c>
      <c r="AZ343" s="110" t="s">
        <v>1733</v>
      </c>
      <c r="BA343" s="109" t="s">
        <v>1737</v>
      </c>
      <c r="BC343" s="100">
        <f t="shared" si="365"/>
        <v>0</v>
      </c>
      <c r="BD343" s="100">
        <f t="shared" si="366"/>
        <v>0</v>
      </c>
      <c r="BE343" s="100">
        <v>0</v>
      </c>
      <c r="BF343" s="100">
        <f>343</f>
        <v>343</v>
      </c>
      <c r="BH343" s="108">
        <f t="shared" si="367"/>
        <v>0</v>
      </c>
      <c r="BI343" s="108">
        <f t="shared" si="368"/>
        <v>0</v>
      </c>
      <c r="BJ343" s="108">
        <f t="shared" si="369"/>
        <v>0</v>
      </c>
    </row>
    <row r="344" spans="1:62" x14ac:dyDescent="0.2">
      <c r="A344" s="117" t="s">
        <v>305</v>
      </c>
      <c r="B344" s="117" t="s">
        <v>830</v>
      </c>
      <c r="C344" s="304" t="s">
        <v>1412</v>
      </c>
      <c r="D344" s="305"/>
      <c r="E344" s="305"/>
      <c r="F344" s="117" t="s">
        <v>1647</v>
      </c>
      <c r="G344" s="116">
        <v>7</v>
      </c>
      <c r="H344" s="159"/>
      <c r="I344" s="108">
        <f t="shared" si="346"/>
        <v>0</v>
      </c>
      <c r="J344" s="108">
        <f t="shared" si="347"/>
        <v>0</v>
      </c>
      <c r="K344" s="108">
        <f t="shared" si="348"/>
        <v>0</v>
      </c>
      <c r="L344" s="111"/>
      <c r="Z344" s="100">
        <f t="shared" si="349"/>
        <v>0</v>
      </c>
      <c r="AB344" s="100">
        <f t="shared" si="350"/>
        <v>0</v>
      </c>
      <c r="AC344" s="100">
        <f t="shared" si="351"/>
        <v>0</v>
      </c>
      <c r="AD344" s="100">
        <f t="shared" si="352"/>
        <v>0</v>
      </c>
      <c r="AE344" s="100">
        <f t="shared" si="353"/>
        <v>0</v>
      </c>
      <c r="AF344" s="100">
        <f t="shared" si="354"/>
        <v>0</v>
      </c>
      <c r="AG344" s="100">
        <f t="shared" si="355"/>
        <v>0</v>
      </c>
      <c r="AH344" s="100">
        <f t="shared" si="356"/>
        <v>0</v>
      </c>
      <c r="AI344" s="109"/>
      <c r="AJ344" s="108">
        <f t="shared" si="357"/>
        <v>0</v>
      </c>
      <c r="AK344" s="108">
        <f t="shared" si="358"/>
        <v>0</v>
      </c>
      <c r="AL344" s="108">
        <f t="shared" si="359"/>
        <v>0</v>
      </c>
      <c r="AN344" s="100">
        <v>15</v>
      </c>
      <c r="AO344" s="100">
        <f t="shared" si="360"/>
        <v>0</v>
      </c>
      <c r="AP344" s="100">
        <f t="shared" si="361"/>
        <v>0</v>
      </c>
      <c r="AQ344" s="111" t="s">
        <v>13</v>
      </c>
      <c r="AV344" s="100">
        <f t="shared" si="362"/>
        <v>0</v>
      </c>
      <c r="AW344" s="100">
        <f t="shared" si="363"/>
        <v>0</v>
      </c>
      <c r="AX344" s="100">
        <f t="shared" si="364"/>
        <v>0</v>
      </c>
      <c r="AY344" s="110" t="s">
        <v>1712</v>
      </c>
      <c r="AZ344" s="110" t="s">
        <v>1733</v>
      </c>
      <c r="BA344" s="109" t="s">
        <v>1737</v>
      </c>
      <c r="BC344" s="100">
        <f t="shared" si="365"/>
        <v>0</v>
      </c>
      <c r="BD344" s="100">
        <f t="shared" si="366"/>
        <v>0</v>
      </c>
      <c r="BE344" s="100">
        <v>0</v>
      </c>
      <c r="BF344" s="100">
        <f>344</f>
        <v>344</v>
      </c>
      <c r="BH344" s="108">
        <f t="shared" si="367"/>
        <v>0</v>
      </c>
      <c r="BI344" s="108">
        <f t="shared" si="368"/>
        <v>0</v>
      </c>
      <c r="BJ344" s="108">
        <f t="shared" si="369"/>
        <v>0</v>
      </c>
    </row>
    <row r="345" spans="1:62" x14ac:dyDescent="0.2">
      <c r="A345" s="117" t="s">
        <v>306</v>
      </c>
      <c r="B345" s="117" t="s">
        <v>831</v>
      </c>
      <c r="C345" s="304" t="s">
        <v>1413</v>
      </c>
      <c r="D345" s="305"/>
      <c r="E345" s="305"/>
      <c r="F345" s="117" t="s">
        <v>1652</v>
      </c>
      <c r="G345" s="116">
        <v>1</v>
      </c>
      <c r="H345" s="159"/>
      <c r="I345" s="108">
        <f t="shared" si="346"/>
        <v>0</v>
      </c>
      <c r="J345" s="108">
        <f t="shared" si="347"/>
        <v>0</v>
      </c>
      <c r="K345" s="108">
        <f t="shared" si="348"/>
        <v>0</v>
      </c>
      <c r="L345" s="111"/>
      <c r="Z345" s="100">
        <f t="shared" si="349"/>
        <v>0</v>
      </c>
      <c r="AB345" s="100">
        <f t="shared" si="350"/>
        <v>0</v>
      </c>
      <c r="AC345" s="100">
        <f t="shared" si="351"/>
        <v>0</v>
      </c>
      <c r="AD345" s="100">
        <f t="shared" si="352"/>
        <v>0</v>
      </c>
      <c r="AE345" s="100">
        <f t="shared" si="353"/>
        <v>0</v>
      </c>
      <c r="AF345" s="100">
        <f t="shared" si="354"/>
        <v>0</v>
      </c>
      <c r="AG345" s="100">
        <f t="shared" si="355"/>
        <v>0</v>
      </c>
      <c r="AH345" s="100">
        <f t="shared" si="356"/>
        <v>0</v>
      </c>
      <c r="AI345" s="109"/>
      <c r="AJ345" s="108">
        <f t="shared" si="357"/>
        <v>0</v>
      </c>
      <c r="AK345" s="108">
        <f t="shared" si="358"/>
        <v>0</v>
      </c>
      <c r="AL345" s="108">
        <f t="shared" si="359"/>
        <v>0</v>
      </c>
      <c r="AN345" s="100">
        <v>15</v>
      </c>
      <c r="AO345" s="100">
        <f t="shared" si="360"/>
        <v>0</v>
      </c>
      <c r="AP345" s="100">
        <f t="shared" si="361"/>
        <v>0</v>
      </c>
      <c r="AQ345" s="111" t="s">
        <v>13</v>
      </c>
      <c r="AV345" s="100">
        <f t="shared" si="362"/>
        <v>0</v>
      </c>
      <c r="AW345" s="100">
        <f t="shared" si="363"/>
        <v>0</v>
      </c>
      <c r="AX345" s="100">
        <f t="shared" si="364"/>
        <v>0</v>
      </c>
      <c r="AY345" s="110" t="s">
        <v>1712</v>
      </c>
      <c r="AZ345" s="110" t="s">
        <v>1733</v>
      </c>
      <c r="BA345" s="109" t="s">
        <v>1737</v>
      </c>
      <c r="BC345" s="100">
        <f t="shared" si="365"/>
        <v>0</v>
      </c>
      <c r="BD345" s="100">
        <f t="shared" si="366"/>
        <v>0</v>
      </c>
      <c r="BE345" s="100">
        <v>0</v>
      </c>
      <c r="BF345" s="100">
        <f>345</f>
        <v>345</v>
      </c>
      <c r="BH345" s="108">
        <f t="shared" si="367"/>
        <v>0</v>
      </c>
      <c r="BI345" s="108">
        <f t="shared" si="368"/>
        <v>0</v>
      </c>
      <c r="BJ345" s="108">
        <f t="shared" si="369"/>
        <v>0</v>
      </c>
    </row>
    <row r="346" spans="1:62" x14ac:dyDescent="0.2">
      <c r="A346" s="117" t="s">
        <v>307</v>
      </c>
      <c r="B346" s="117" t="s">
        <v>832</v>
      </c>
      <c r="C346" s="304" t="s">
        <v>1414</v>
      </c>
      <c r="D346" s="305"/>
      <c r="E346" s="305"/>
      <c r="F346" s="117" t="s">
        <v>1652</v>
      </c>
      <c r="G346" s="116">
        <v>1</v>
      </c>
      <c r="H346" s="159"/>
      <c r="I346" s="108">
        <f t="shared" si="346"/>
        <v>0</v>
      </c>
      <c r="J346" s="108">
        <f t="shared" si="347"/>
        <v>0</v>
      </c>
      <c r="K346" s="108">
        <f t="shared" si="348"/>
        <v>0</v>
      </c>
      <c r="L346" s="111"/>
      <c r="Z346" s="100">
        <f t="shared" si="349"/>
        <v>0</v>
      </c>
      <c r="AB346" s="100">
        <f t="shared" si="350"/>
        <v>0</v>
      </c>
      <c r="AC346" s="100">
        <f t="shared" si="351"/>
        <v>0</v>
      </c>
      <c r="AD346" s="100">
        <f t="shared" si="352"/>
        <v>0</v>
      </c>
      <c r="AE346" s="100">
        <f t="shared" si="353"/>
        <v>0</v>
      </c>
      <c r="AF346" s="100">
        <f t="shared" si="354"/>
        <v>0</v>
      </c>
      <c r="AG346" s="100">
        <f t="shared" si="355"/>
        <v>0</v>
      </c>
      <c r="AH346" s="100">
        <f t="shared" si="356"/>
        <v>0</v>
      </c>
      <c r="AI346" s="109"/>
      <c r="AJ346" s="108">
        <f t="shared" si="357"/>
        <v>0</v>
      </c>
      <c r="AK346" s="108">
        <f t="shared" si="358"/>
        <v>0</v>
      </c>
      <c r="AL346" s="108">
        <f t="shared" si="359"/>
        <v>0</v>
      </c>
      <c r="AN346" s="100">
        <v>15</v>
      </c>
      <c r="AO346" s="100">
        <f t="shared" si="360"/>
        <v>0</v>
      </c>
      <c r="AP346" s="100">
        <f t="shared" si="361"/>
        <v>0</v>
      </c>
      <c r="AQ346" s="111" t="s">
        <v>13</v>
      </c>
      <c r="AV346" s="100">
        <f t="shared" si="362"/>
        <v>0</v>
      </c>
      <c r="AW346" s="100">
        <f t="shared" si="363"/>
        <v>0</v>
      </c>
      <c r="AX346" s="100">
        <f t="shared" si="364"/>
        <v>0</v>
      </c>
      <c r="AY346" s="110" t="s">
        <v>1712</v>
      </c>
      <c r="AZ346" s="110" t="s">
        <v>1733</v>
      </c>
      <c r="BA346" s="109" t="s">
        <v>1737</v>
      </c>
      <c r="BC346" s="100">
        <f t="shared" si="365"/>
        <v>0</v>
      </c>
      <c r="BD346" s="100">
        <f t="shared" si="366"/>
        <v>0</v>
      </c>
      <c r="BE346" s="100">
        <v>0</v>
      </c>
      <c r="BF346" s="100">
        <f>346</f>
        <v>346</v>
      </c>
      <c r="BH346" s="108">
        <f t="shared" si="367"/>
        <v>0</v>
      </c>
      <c r="BI346" s="108">
        <f t="shared" si="368"/>
        <v>0</v>
      </c>
      <c r="BJ346" s="108">
        <f t="shared" si="369"/>
        <v>0</v>
      </c>
    </row>
    <row r="347" spans="1:62" x14ac:dyDescent="0.2">
      <c r="A347" s="117" t="s">
        <v>308</v>
      </c>
      <c r="B347" s="117" t="s">
        <v>833</v>
      </c>
      <c r="C347" s="304" t="s">
        <v>1415</v>
      </c>
      <c r="D347" s="305"/>
      <c r="E347" s="305"/>
      <c r="F347" s="117" t="s">
        <v>1652</v>
      </c>
      <c r="G347" s="116">
        <v>1</v>
      </c>
      <c r="H347" s="159"/>
      <c r="I347" s="108">
        <f t="shared" si="346"/>
        <v>0</v>
      </c>
      <c r="J347" s="108">
        <f t="shared" si="347"/>
        <v>0</v>
      </c>
      <c r="K347" s="108">
        <f t="shared" si="348"/>
        <v>0</v>
      </c>
      <c r="L347" s="111"/>
      <c r="Z347" s="100">
        <f t="shared" si="349"/>
        <v>0</v>
      </c>
      <c r="AB347" s="100">
        <f t="shared" si="350"/>
        <v>0</v>
      </c>
      <c r="AC347" s="100">
        <f t="shared" si="351"/>
        <v>0</v>
      </c>
      <c r="AD347" s="100">
        <f t="shared" si="352"/>
        <v>0</v>
      </c>
      <c r="AE347" s="100">
        <f t="shared" si="353"/>
        <v>0</v>
      </c>
      <c r="AF347" s="100">
        <f t="shared" si="354"/>
        <v>0</v>
      </c>
      <c r="AG347" s="100">
        <f t="shared" si="355"/>
        <v>0</v>
      </c>
      <c r="AH347" s="100">
        <f t="shared" si="356"/>
        <v>0</v>
      </c>
      <c r="AI347" s="109"/>
      <c r="AJ347" s="108">
        <f t="shared" si="357"/>
        <v>0</v>
      </c>
      <c r="AK347" s="108">
        <f t="shared" si="358"/>
        <v>0</v>
      </c>
      <c r="AL347" s="108">
        <f t="shared" si="359"/>
        <v>0</v>
      </c>
      <c r="AN347" s="100">
        <v>15</v>
      </c>
      <c r="AO347" s="100">
        <f t="shared" si="360"/>
        <v>0</v>
      </c>
      <c r="AP347" s="100">
        <f t="shared" si="361"/>
        <v>0</v>
      </c>
      <c r="AQ347" s="111" t="s">
        <v>13</v>
      </c>
      <c r="AV347" s="100">
        <f t="shared" si="362"/>
        <v>0</v>
      </c>
      <c r="AW347" s="100">
        <f t="shared" si="363"/>
        <v>0</v>
      </c>
      <c r="AX347" s="100">
        <f t="shared" si="364"/>
        <v>0</v>
      </c>
      <c r="AY347" s="110" t="s">
        <v>1712</v>
      </c>
      <c r="AZ347" s="110" t="s">
        <v>1733</v>
      </c>
      <c r="BA347" s="109" t="s">
        <v>1737</v>
      </c>
      <c r="BC347" s="100">
        <f t="shared" si="365"/>
        <v>0</v>
      </c>
      <c r="BD347" s="100">
        <f t="shared" si="366"/>
        <v>0</v>
      </c>
      <c r="BE347" s="100">
        <v>0</v>
      </c>
      <c r="BF347" s="100">
        <f>347</f>
        <v>347</v>
      </c>
      <c r="BH347" s="108">
        <f t="shared" si="367"/>
        <v>0</v>
      </c>
      <c r="BI347" s="108">
        <f t="shared" si="368"/>
        <v>0</v>
      </c>
      <c r="BJ347" s="108">
        <f t="shared" si="369"/>
        <v>0</v>
      </c>
    </row>
    <row r="348" spans="1:62" x14ac:dyDescent="0.2">
      <c r="A348" s="117" t="s">
        <v>309</v>
      </c>
      <c r="B348" s="117" t="s">
        <v>834</v>
      </c>
      <c r="C348" s="304" t="s">
        <v>1416</v>
      </c>
      <c r="D348" s="305"/>
      <c r="E348" s="305"/>
      <c r="F348" s="117" t="s">
        <v>1652</v>
      </c>
      <c r="G348" s="116">
        <v>6</v>
      </c>
      <c r="H348" s="159"/>
      <c r="I348" s="108">
        <f t="shared" si="346"/>
        <v>0</v>
      </c>
      <c r="J348" s="108">
        <f t="shared" si="347"/>
        <v>0</v>
      </c>
      <c r="K348" s="108">
        <f t="shared" si="348"/>
        <v>0</v>
      </c>
      <c r="L348" s="111"/>
      <c r="Z348" s="100">
        <f t="shared" si="349"/>
        <v>0</v>
      </c>
      <c r="AB348" s="100">
        <f t="shared" si="350"/>
        <v>0</v>
      </c>
      <c r="AC348" s="100">
        <f t="shared" si="351"/>
        <v>0</v>
      </c>
      <c r="AD348" s="100">
        <f t="shared" si="352"/>
        <v>0</v>
      </c>
      <c r="AE348" s="100">
        <f t="shared" si="353"/>
        <v>0</v>
      </c>
      <c r="AF348" s="100">
        <f t="shared" si="354"/>
        <v>0</v>
      </c>
      <c r="AG348" s="100">
        <f t="shared" si="355"/>
        <v>0</v>
      </c>
      <c r="AH348" s="100">
        <f t="shared" si="356"/>
        <v>0</v>
      </c>
      <c r="AI348" s="109"/>
      <c r="AJ348" s="108">
        <f t="shared" si="357"/>
        <v>0</v>
      </c>
      <c r="AK348" s="108">
        <f t="shared" si="358"/>
        <v>0</v>
      </c>
      <c r="AL348" s="108">
        <f t="shared" si="359"/>
        <v>0</v>
      </c>
      <c r="AN348" s="100">
        <v>15</v>
      </c>
      <c r="AO348" s="100">
        <f t="shared" si="360"/>
        <v>0</v>
      </c>
      <c r="AP348" s="100">
        <f t="shared" si="361"/>
        <v>0</v>
      </c>
      <c r="AQ348" s="111" t="s">
        <v>13</v>
      </c>
      <c r="AV348" s="100">
        <f t="shared" si="362"/>
        <v>0</v>
      </c>
      <c r="AW348" s="100">
        <f t="shared" si="363"/>
        <v>0</v>
      </c>
      <c r="AX348" s="100">
        <f t="shared" si="364"/>
        <v>0</v>
      </c>
      <c r="AY348" s="110" t="s">
        <v>1712</v>
      </c>
      <c r="AZ348" s="110" t="s">
        <v>1733</v>
      </c>
      <c r="BA348" s="109" t="s">
        <v>1737</v>
      </c>
      <c r="BC348" s="100">
        <f t="shared" si="365"/>
        <v>0</v>
      </c>
      <c r="BD348" s="100">
        <f t="shared" si="366"/>
        <v>0</v>
      </c>
      <c r="BE348" s="100">
        <v>0</v>
      </c>
      <c r="BF348" s="100">
        <f>348</f>
        <v>348</v>
      </c>
      <c r="BH348" s="108">
        <f t="shared" si="367"/>
        <v>0</v>
      </c>
      <c r="BI348" s="108">
        <f t="shared" si="368"/>
        <v>0</v>
      </c>
      <c r="BJ348" s="108">
        <f t="shared" si="369"/>
        <v>0</v>
      </c>
    </row>
    <row r="349" spans="1:62" x14ac:dyDescent="0.2">
      <c r="A349" s="117" t="s">
        <v>310</v>
      </c>
      <c r="B349" s="117" t="s">
        <v>835</v>
      </c>
      <c r="C349" s="304" t="s">
        <v>1417</v>
      </c>
      <c r="D349" s="305"/>
      <c r="E349" s="305"/>
      <c r="F349" s="117" t="s">
        <v>1653</v>
      </c>
      <c r="G349" s="116">
        <v>6</v>
      </c>
      <c r="H349" s="159"/>
      <c r="I349" s="108">
        <f t="shared" si="346"/>
        <v>0</v>
      </c>
      <c r="J349" s="108">
        <f t="shared" si="347"/>
        <v>0</v>
      </c>
      <c r="K349" s="108">
        <f t="shared" si="348"/>
        <v>0</v>
      </c>
      <c r="L349" s="111"/>
      <c r="Z349" s="100">
        <f t="shared" si="349"/>
        <v>0</v>
      </c>
      <c r="AB349" s="100">
        <f t="shared" si="350"/>
        <v>0</v>
      </c>
      <c r="AC349" s="100">
        <f t="shared" si="351"/>
        <v>0</v>
      </c>
      <c r="AD349" s="100">
        <f t="shared" si="352"/>
        <v>0</v>
      </c>
      <c r="AE349" s="100">
        <f t="shared" si="353"/>
        <v>0</v>
      </c>
      <c r="AF349" s="100">
        <f t="shared" si="354"/>
        <v>0</v>
      </c>
      <c r="AG349" s="100">
        <f t="shared" si="355"/>
        <v>0</v>
      </c>
      <c r="AH349" s="100">
        <f t="shared" si="356"/>
        <v>0</v>
      </c>
      <c r="AI349" s="109"/>
      <c r="AJ349" s="108">
        <f t="shared" si="357"/>
        <v>0</v>
      </c>
      <c r="AK349" s="108">
        <f t="shared" si="358"/>
        <v>0</v>
      </c>
      <c r="AL349" s="108">
        <f t="shared" si="359"/>
        <v>0</v>
      </c>
      <c r="AN349" s="100">
        <v>15</v>
      </c>
      <c r="AO349" s="100">
        <f t="shared" si="360"/>
        <v>0</v>
      </c>
      <c r="AP349" s="100">
        <f t="shared" si="361"/>
        <v>0</v>
      </c>
      <c r="AQ349" s="111" t="s">
        <v>13</v>
      </c>
      <c r="AV349" s="100">
        <f t="shared" si="362"/>
        <v>0</v>
      </c>
      <c r="AW349" s="100">
        <f t="shared" si="363"/>
        <v>0</v>
      </c>
      <c r="AX349" s="100">
        <f t="shared" si="364"/>
        <v>0</v>
      </c>
      <c r="AY349" s="110" t="s">
        <v>1712</v>
      </c>
      <c r="AZ349" s="110" t="s">
        <v>1733</v>
      </c>
      <c r="BA349" s="109" t="s">
        <v>1737</v>
      </c>
      <c r="BC349" s="100">
        <f t="shared" si="365"/>
        <v>0</v>
      </c>
      <c r="BD349" s="100">
        <f t="shared" si="366"/>
        <v>0</v>
      </c>
      <c r="BE349" s="100">
        <v>0</v>
      </c>
      <c r="BF349" s="100">
        <f>349</f>
        <v>349</v>
      </c>
      <c r="BH349" s="108">
        <f t="shared" si="367"/>
        <v>0</v>
      </c>
      <c r="BI349" s="108">
        <f t="shared" si="368"/>
        <v>0</v>
      </c>
      <c r="BJ349" s="108">
        <f t="shared" si="369"/>
        <v>0</v>
      </c>
    </row>
    <row r="350" spans="1:62" x14ac:dyDescent="0.2">
      <c r="A350" s="117" t="s">
        <v>311</v>
      </c>
      <c r="B350" s="117" t="s">
        <v>836</v>
      </c>
      <c r="C350" s="304" t="s">
        <v>1418</v>
      </c>
      <c r="D350" s="305"/>
      <c r="E350" s="305"/>
      <c r="F350" s="117" t="s">
        <v>1652</v>
      </c>
      <c r="G350" s="116">
        <v>1</v>
      </c>
      <c r="H350" s="159"/>
      <c r="I350" s="108">
        <f t="shared" si="346"/>
        <v>0</v>
      </c>
      <c r="J350" s="108">
        <f t="shared" si="347"/>
        <v>0</v>
      </c>
      <c r="K350" s="108">
        <f t="shared" si="348"/>
        <v>0</v>
      </c>
      <c r="L350" s="111"/>
      <c r="Z350" s="100">
        <f t="shared" si="349"/>
        <v>0</v>
      </c>
      <c r="AB350" s="100">
        <f t="shared" si="350"/>
        <v>0</v>
      </c>
      <c r="AC350" s="100">
        <f t="shared" si="351"/>
        <v>0</v>
      </c>
      <c r="AD350" s="100">
        <f t="shared" si="352"/>
        <v>0</v>
      </c>
      <c r="AE350" s="100">
        <f t="shared" si="353"/>
        <v>0</v>
      </c>
      <c r="AF350" s="100">
        <f t="shared" si="354"/>
        <v>0</v>
      </c>
      <c r="AG350" s="100">
        <f t="shared" si="355"/>
        <v>0</v>
      </c>
      <c r="AH350" s="100">
        <f t="shared" si="356"/>
        <v>0</v>
      </c>
      <c r="AI350" s="109"/>
      <c r="AJ350" s="108">
        <f t="shared" si="357"/>
        <v>0</v>
      </c>
      <c r="AK350" s="108">
        <f t="shared" si="358"/>
        <v>0</v>
      </c>
      <c r="AL350" s="108">
        <f t="shared" si="359"/>
        <v>0</v>
      </c>
      <c r="AN350" s="100">
        <v>15</v>
      </c>
      <c r="AO350" s="100">
        <f t="shared" si="360"/>
        <v>0</v>
      </c>
      <c r="AP350" s="100">
        <f t="shared" si="361"/>
        <v>0</v>
      </c>
      <c r="AQ350" s="111" t="s">
        <v>13</v>
      </c>
      <c r="AV350" s="100">
        <f t="shared" si="362"/>
        <v>0</v>
      </c>
      <c r="AW350" s="100">
        <f t="shared" si="363"/>
        <v>0</v>
      </c>
      <c r="AX350" s="100">
        <f t="shared" si="364"/>
        <v>0</v>
      </c>
      <c r="AY350" s="110" t="s">
        <v>1712</v>
      </c>
      <c r="AZ350" s="110" t="s">
        <v>1733</v>
      </c>
      <c r="BA350" s="109" t="s">
        <v>1737</v>
      </c>
      <c r="BC350" s="100">
        <f t="shared" si="365"/>
        <v>0</v>
      </c>
      <c r="BD350" s="100">
        <f t="shared" si="366"/>
        <v>0</v>
      </c>
      <c r="BE350" s="100">
        <v>0</v>
      </c>
      <c r="BF350" s="100">
        <f>350</f>
        <v>350</v>
      </c>
      <c r="BH350" s="108">
        <f t="shared" si="367"/>
        <v>0</v>
      </c>
      <c r="BI350" s="108">
        <f t="shared" si="368"/>
        <v>0</v>
      </c>
      <c r="BJ350" s="108">
        <f t="shared" si="369"/>
        <v>0</v>
      </c>
    </row>
    <row r="351" spans="1:62" x14ac:dyDescent="0.2">
      <c r="A351" s="117" t="s">
        <v>312</v>
      </c>
      <c r="B351" s="117" t="s">
        <v>837</v>
      </c>
      <c r="C351" s="304" t="s">
        <v>1419</v>
      </c>
      <c r="D351" s="305"/>
      <c r="E351" s="305"/>
      <c r="F351" s="117" t="s">
        <v>1652</v>
      </c>
      <c r="G351" s="116">
        <v>1</v>
      </c>
      <c r="H351" s="159"/>
      <c r="I351" s="108">
        <f t="shared" si="346"/>
        <v>0</v>
      </c>
      <c r="J351" s="108">
        <f t="shared" si="347"/>
        <v>0</v>
      </c>
      <c r="K351" s="108">
        <f t="shared" si="348"/>
        <v>0</v>
      </c>
      <c r="L351" s="111"/>
      <c r="Z351" s="100">
        <f t="shared" si="349"/>
        <v>0</v>
      </c>
      <c r="AB351" s="100">
        <f t="shared" si="350"/>
        <v>0</v>
      </c>
      <c r="AC351" s="100">
        <f t="shared" si="351"/>
        <v>0</v>
      </c>
      <c r="AD351" s="100">
        <f t="shared" si="352"/>
        <v>0</v>
      </c>
      <c r="AE351" s="100">
        <f t="shared" si="353"/>
        <v>0</v>
      </c>
      <c r="AF351" s="100">
        <f t="shared" si="354"/>
        <v>0</v>
      </c>
      <c r="AG351" s="100">
        <f t="shared" si="355"/>
        <v>0</v>
      </c>
      <c r="AH351" s="100">
        <f t="shared" si="356"/>
        <v>0</v>
      </c>
      <c r="AI351" s="109"/>
      <c r="AJ351" s="108">
        <f t="shared" si="357"/>
        <v>0</v>
      </c>
      <c r="AK351" s="108">
        <f t="shared" si="358"/>
        <v>0</v>
      </c>
      <c r="AL351" s="108">
        <f t="shared" si="359"/>
        <v>0</v>
      </c>
      <c r="AN351" s="100">
        <v>15</v>
      </c>
      <c r="AO351" s="100">
        <f t="shared" si="360"/>
        <v>0</v>
      </c>
      <c r="AP351" s="100">
        <f t="shared" si="361"/>
        <v>0</v>
      </c>
      <c r="AQ351" s="111" t="s">
        <v>13</v>
      </c>
      <c r="AV351" s="100">
        <f t="shared" si="362"/>
        <v>0</v>
      </c>
      <c r="AW351" s="100">
        <f t="shared" si="363"/>
        <v>0</v>
      </c>
      <c r="AX351" s="100">
        <f t="shared" si="364"/>
        <v>0</v>
      </c>
      <c r="AY351" s="110" t="s">
        <v>1712</v>
      </c>
      <c r="AZ351" s="110" t="s">
        <v>1733</v>
      </c>
      <c r="BA351" s="109" t="s">
        <v>1737</v>
      </c>
      <c r="BC351" s="100">
        <f t="shared" si="365"/>
        <v>0</v>
      </c>
      <c r="BD351" s="100">
        <f t="shared" si="366"/>
        <v>0</v>
      </c>
      <c r="BE351" s="100">
        <v>0</v>
      </c>
      <c r="BF351" s="100">
        <f>351</f>
        <v>351</v>
      </c>
      <c r="BH351" s="108">
        <f t="shared" si="367"/>
        <v>0</v>
      </c>
      <c r="BI351" s="108">
        <f t="shared" si="368"/>
        <v>0</v>
      </c>
      <c r="BJ351" s="108">
        <f t="shared" si="369"/>
        <v>0</v>
      </c>
    </row>
    <row r="352" spans="1:62" x14ac:dyDescent="0.2">
      <c r="A352" s="117" t="s">
        <v>313</v>
      </c>
      <c r="B352" s="117" t="s">
        <v>838</v>
      </c>
      <c r="C352" s="304" t="s">
        <v>1420</v>
      </c>
      <c r="D352" s="305"/>
      <c r="E352" s="305"/>
      <c r="F352" s="117" t="s">
        <v>1652</v>
      </c>
      <c r="G352" s="116">
        <v>1</v>
      </c>
      <c r="H352" s="159"/>
      <c r="I352" s="108">
        <f t="shared" si="346"/>
        <v>0</v>
      </c>
      <c r="J352" s="108">
        <f t="shared" si="347"/>
        <v>0</v>
      </c>
      <c r="K352" s="108">
        <f t="shared" si="348"/>
        <v>0</v>
      </c>
      <c r="L352" s="111"/>
      <c r="Z352" s="100">
        <f t="shared" si="349"/>
        <v>0</v>
      </c>
      <c r="AB352" s="100">
        <f t="shared" si="350"/>
        <v>0</v>
      </c>
      <c r="AC352" s="100">
        <f t="shared" si="351"/>
        <v>0</v>
      </c>
      <c r="AD352" s="100">
        <f t="shared" si="352"/>
        <v>0</v>
      </c>
      <c r="AE352" s="100">
        <f t="shared" si="353"/>
        <v>0</v>
      </c>
      <c r="AF352" s="100">
        <f t="shared" si="354"/>
        <v>0</v>
      </c>
      <c r="AG352" s="100">
        <f t="shared" si="355"/>
        <v>0</v>
      </c>
      <c r="AH352" s="100">
        <f t="shared" si="356"/>
        <v>0</v>
      </c>
      <c r="AI352" s="109"/>
      <c r="AJ352" s="108">
        <f t="shared" si="357"/>
        <v>0</v>
      </c>
      <c r="AK352" s="108">
        <f t="shared" si="358"/>
        <v>0</v>
      </c>
      <c r="AL352" s="108">
        <f t="shared" si="359"/>
        <v>0</v>
      </c>
      <c r="AN352" s="100">
        <v>15</v>
      </c>
      <c r="AO352" s="100">
        <f t="shared" si="360"/>
        <v>0</v>
      </c>
      <c r="AP352" s="100">
        <f t="shared" si="361"/>
        <v>0</v>
      </c>
      <c r="AQ352" s="111" t="s">
        <v>13</v>
      </c>
      <c r="AV352" s="100">
        <f t="shared" si="362"/>
        <v>0</v>
      </c>
      <c r="AW352" s="100">
        <f t="shared" si="363"/>
        <v>0</v>
      </c>
      <c r="AX352" s="100">
        <f t="shared" si="364"/>
        <v>0</v>
      </c>
      <c r="AY352" s="110" t="s">
        <v>1712</v>
      </c>
      <c r="AZ352" s="110" t="s">
        <v>1733</v>
      </c>
      <c r="BA352" s="109" t="s">
        <v>1737</v>
      </c>
      <c r="BC352" s="100">
        <f t="shared" si="365"/>
        <v>0</v>
      </c>
      <c r="BD352" s="100">
        <f t="shared" si="366"/>
        <v>0</v>
      </c>
      <c r="BE352" s="100">
        <v>0</v>
      </c>
      <c r="BF352" s="100">
        <f>352</f>
        <v>352</v>
      </c>
      <c r="BH352" s="108">
        <f t="shared" si="367"/>
        <v>0</v>
      </c>
      <c r="BI352" s="108">
        <f t="shared" si="368"/>
        <v>0</v>
      </c>
      <c r="BJ352" s="108">
        <f t="shared" si="369"/>
        <v>0</v>
      </c>
    </row>
    <row r="353" spans="1:62" x14ac:dyDescent="0.2">
      <c r="A353" s="117" t="s">
        <v>314</v>
      </c>
      <c r="B353" s="117" t="s">
        <v>839</v>
      </c>
      <c r="C353" s="304" t="s">
        <v>1421</v>
      </c>
      <c r="D353" s="305"/>
      <c r="E353" s="305"/>
      <c r="F353" s="117" t="s">
        <v>1652</v>
      </c>
      <c r="G353" s="116">
        <v>1</v>
      </c>
      <c r="H353" s="159"/>
      <c r="I353" s="108">
        <f t="shared" si="346"/>
        <v>0</v>
      </c>
      <c r="J353" s="108">
        <f t="shared" si="347"/>
        <v>0</v>
      </c>
      <c r="K353" s="108">
        <f t="shared" si="348"/>
        <v>0</v>
      </c>
      <c r="L353" s="111"/>
      <c r="Z353" s="100">
        <f t="shared" si="349"/>
        <v>0</v>
      </c>
      <c r="AB353" s="100">
        <f t="shared" si="350"/>
        <v>0</v>
      </c>
      <c r="AC353" s="100">
        <f t="shared" si="351"/>
        <v>0</v>
      </c>
      <c r="AD353" s="100">
        <f t="shared" si="352"/>
        <v>0</v>
      </c>
      <c r="AE353" s="100">
        <f t="shared" si="353"/>
        <v>0</v>
      </c>
      <c r="AF353" s="100">
        <f t="shared" si="354"/>
        <v>0</v>
      </c>
      <c r="AG353" s="100">
        <f t="shared" si="355"/>
        <v>0</v>
      </c>
      <c r="AH353" s="100">
        <f t="shared" si="356"/>
        <v>0</v>
      </c>
      <c r="AI353" s="109"/>
      <c r="AJ353" s="108">
        <f t="shared" si="357"/>
        <v>0</v>
      </c>
      <c r="AK353" s="108">
        <f t="shared" si="358"/>
        <v>0</v>
      </c>
      <c r="AL353" s="108">
        <f t="shared" si="359"/>
        <v>0</v>
      </c>
      <c r="AN353" s="100">
        <v>15</v>
      </c>
      <c r="AO353" s="100">
        <f t="shared" si="360"/>
        <v>0</v>
      </c>
      <c r="AP353" s="100">
        <f t="shared" si="361"/>
        <v>0</v>
      </c>
      <c r="AQ353" s="111" t="s">
        <v>13</v>
      </c>
      <c r="AV353" s="100">
        <f t="shared" si="362"/>
        <v>0</v>
      </c>
      <c r="AW353" s="100">
        <f t="shared" si="363"/>
        <v>0</v>
      </c>
      <c r="AX353" s="100">
        <f t="shared" si="364"/>
        <v>0</v>
      </c>
      <c r="AY353" s="110" t="s">
        <v>1712</v>
      </c>
      <c r="AZ353" s="110" t="s">
        <v>1733</v>
      </c>
      <c r="BA353" s="109" t="s">
        <v>1737</v>
      </c>
      <c r="BC353" s="100">
        <f t="shared" si="365"/>
        <v>0</v>
      </c>
      <c r="BD353" s="100">
        <f t="shared" si="366"/>
        <v>0</v>
      </c>
      <c r="BE353" s="100">
        <v>0</v>
      </c>
      <c r="BF353" s="100">
        <f>353</f>
        <v>353</v>
      </c>
      <c r="BH353" s="108">
        <f t="shared" si="367"/>
        <v>0</v>
      </c>
      <c r="BI353" s="108">
        <f t="shared" si="368"/>
        <v>0</v>
      </c>
      <c r="BJ353" s="108">
        <f t="shared" si="369"/>
        <v>0</v>
      </c>
    </row>
    <row r="354" spans="1:62" x14ac:dyDescent="0.2">
      <c r="A354" s="117" t="s">
        <v>315</v>
      </c>
      <c r="B354" s="117" t="s">
        <v>840</v>
      </c>
      <c r="C354" s="304" t="s">
        <v>1422</v>
      </c>
      <c r="D354" s="305"/>
      <c r="E354" s="305"/>
      <c r="F354" s="117" t="s">
        <v>1652</v>
      </c>
      <c r="G354" s="116">
        <v>1</v>
      </c>
      <c r="H354" s="159"/>
      <c r="I354" s="108">
        <f t="shared" si="346"/>
        <v>0</v>
      </c>
      <c r="J354" s="108">
        <f t="shared" si="347"/>
        <v>0</v>
      </c>
      <c r="K354" s="108">
        <f t="shared" si="348"/>
        <v>0</v>
      </c>
      <c r="L354" s="111"/>
      <c r="Z354" s="100">
        <f t="shared" si="349"/>
        <v>0</v>
      </c>
      <c r="AB354" s="100">
        <f t="shared" si="350"/>
        <v>0</v>
      </c>
      <c r="AC354" s="100">
        <f t="shared" si="351"/>
        <v>0</v>
      </c>
      <c r="AD354" s="100">
        <f t="shared" si="352"/>
        <v>0</v>
      </c>
      <c r="AE354" s="100">
        <f t="shared" si="353"/>
        <v>0</v>
      </c>
      <c r="AF354" s="100">
        <f t="shared" si="354"/>
        <v>0</v>
      </c>
      <c r="AG354" s="100">
        <f t="shared" si="355"/>
        <v>0</v>
      </c>
      <c r="AH354" s="100">
        <f t="shared" si="356"/>
        <v>0</v>
      </c>
      <c r="AI354" s="109"/>
      <c r="AJ354" s="108">
        <f t="shared" si="357"/>
        <v>0</v>
      </c>
      <c r="AK354" s="108">
        <f t="shared" si="358"/>
        <v>0</v>
      </c>
      <c r="AL354" s="108">
        <f t="shared" si="359"/>
        <v>0</v>
      </c>
      <c r="AN354" s="100">
        <v>15</v>
      </c>
      <c r="AO354" s="100">
        <f t="shared" si="360"/>
        <v>0</v>
      </c>
      <c r="AP354" s="100">
        <f t="shared" si="361"/>
        <v>0</v>
      </c>
      <c r="AQ354" s="111" t="s">
        <v>13</v>
      </c>
      <c r="AV354" s="100">
        <f t="shared" si="362"/>
        <v>0</v>
      </c>
      <c r="AW354" s="100">
        <f t="shared" si="363"/>
        <v>0</v>
      </c>
      <c r="AX354" s="100">
        <f t="shared" si="364"/>
        <v>0</v>
      </c>
      <c r="AY354" s="110" t="s">
        <v>1712</v>
      </c>
      <c r="AZ354" s="110" t="s">
        <v>1733</v>
      </c>
      <c r="BA354" s="109" t="s">
        <v>1737</v>
      </c>
      <c r="BC354" s="100">
        <f t="shared" si="365"/>
        <v>0</v>
      </c>
      <c r="BD354" s="100">
        <f t="shared" si="366"/>
        <v>0</v>
      </c>
      <c r="BE354" s="100">
        <v>0</v>
      </c>
      <c r="BF354" s="100">
        <f>354</f>
        <v>354</v>
      </c>
      <c r="BH354" s="108">
        <f t="shared" si="367"/>
        <v>0</v>
      </c>
      <c r="BI354" s="108">
        <f t="shared" si="368"/>
        <v>0</v>
      </c>
      <c r="BJ354" s="108">
        <f t="shared" si="369"/>
        <v>0</v>
      </c>
    </row>
    <row r="355" spans="1:62" x14ac:dyDescent="0.2">
      <c r="A355" s="117" t="s">
        <v>316</v>
      </c>
      <c r="B355" s="117" t="s">
        <v>841</v>
      </c>
      <c r="C355" s="304" t="s">
        <v>1423</v>
      </c>
      <c r="D355" s="305"/>
      <c r="E355" s="305"/>
      <c r="F355" s="117" t="s">
        <v>1652</v>
      </c>
      <c r="G355" s="116">
        <v>1</v>
      </c>
      <c r="H355" s="159"/>
      <c r="I355" s="108">
        <f t="shared" si="346"/>
        <v>0</v>
      </c>
      <c r="J355" s="108">
        <f t="shared" si="347"/>
        <v>0</v>
      </c>
      <c r="K355" s="108">
        <f t="shared" si="348"/>
        <v>0</v>
      </c>
      <c r="L355" s="111"/>
      <c r="Z355" s="100">
        <f t="shared" si="349"/>
        <v>0</v>
      </c>
      <c r="AB355" s="100">
        <f t="shared" si="350"/>
        <v>0</v>
      </c>
      <c r="AC355" s="100">
        <f t="shared" si="351"/>
        <v>0</v>
      </c>
      <c r="AD355" s="100">
        <f t="shared" si="352"/>
        <v>0</v>
      </c>
      <c r="AE355" s="100">
        <f t="shared" si="353"/>
        <v>0</v>
      </c>
      <c r="AF355" s="100">
        <f t="shared" si="354"/>
        <v>0</v>
      </c>
      <c r="AG355" s="100">
        <f t="shared" si="355"/>
        <v>0</v>
      </c>
      <c r="AH355" s="100">
        <f t="shared" si="356"/>
        <v>0</v>
      </c>
      <c r="AI355" s="109"/>
      <c r="AJ355" s="108">
        <f t="shared" si="357"/>
        <v>0</v>
      </c>
      <c r="AK355" s="108">
        <f t="shared" si="358"/>
        <v>0</v>
      </c>
      <c r="AL355" s="108">
        <f t="shared" si="359"/>
        <v>0</v>
      </c>
      <c r="AN355" s="100">
        <v>15</v>
      </c>
      <c r="AO355" s="100">
        <f t="shared" si="360"/>
        <v>0</v>
      </c>
      <c r="AP355" s="100">
        <f t="shared" si="361"/>
        <v>0</v>
      </c>
      <c r="AQ355" s="111" t="s">
        <v>13</v>
      </c>
      <c r="AV355" s="100">
        <f t="shared" si="362"/>
        <v>0</v>
      </c>
      <c r="AW355" s="100">
        <f t="shared" si="363"/>
        <v>0</v>
      </c>
      <c r="AX355" s="100">
        <f t="shared" si="364"/>
        <v>0</v>
      </c>
      <c r="AY355" s="110" t="s">
        <v>1712</v>
      </c>
      <c r="AZ355" s="110" t="s">
        <v>1733</v>
      </c>
      <c r="BA355" s="109" t="s">
        <v>1737</v>
      </c>
      <c r="BC355" s="100">
        <f t="shared" si="365"/>
        <v>0</v>
      </c>
      <c r="BD355" s="100">
        <f t="shared" si="366"/>
        <v>0</v>
      </c>
      <c r="BE355" s="100">
        <v>0</v>
      </c>
      <c r="BF355" s="100">
        <f>355</f>
        <v>355</v>
      </c>
      <c r="BH355" s="108">
        <f t="shared" si="367"/>
        <v>0</v>
      </c>
      <c r="BI355" s="108">
        <f t="shared" si="368"/>
        <v>0</v>
      </c>
      <c r="BJ355" s="108">
        <f t="shared" si="369"/>
        <v>0</v>
      </c>
    </row>
    <row r="356" spans="1:62" x14ac:dyDescent="0.2">
      <c r="A356" s="119"/>
      <c r="B356" s="120" t="s">
        <v>842</v>
      </c>
      <c r="C356" s="306" t="s">
        <v>1424</v>
      </c>
      <c r="D356" s="307"/>
      <c r="E356" s="307"/>
      <c r="F356" s="119" t="s">
        <v>6</v>
      </c>
      <c r="G356" s="119" t="s">
        <v>6</v>
      </c>
      <c r="H356" s="119" t="s">
        <v>6</v>
      </c>
      <c r="I356" s="118">
        <f>SUM(I357:I390)</f>
        <v>0</v>
      </c>
      <c r="J356" s="118">
        <f>SUM(J357:J390)</f>
        <v>0</v>
      </c>
      <c r="K356" s="118">
        <f>SUM(K357:K390)</f>
        <v>0</v>
      </c>
      <c r="L356" s="109"/>
      <c r="AI356" s="109"/>
      <c r="AS356" s="118">
        <f>SUM(AJ357:AJ390)</f>
        <v>0</v>
      </c>
      <c r="AT356" s="118">
        <f>SUM(AK357:AK390)</f>
        <v>0</v>
      </c>
      <c r="AU356" s="118">
        <f>SUM(AL357:AL390)</f>
        <v>0</v>
      </c>
    </row>
    <row r="357" spans="1:62" x14ac:dyDescent="0.2">
      <c r="A357" s="117" t="s">
        <v>317</v>
      </c>
      <c r="B357" s="117" t="s">
        <v>127</v>
      </c>
      <c r="C357" s="304" t="s">
        <v>1425</v>
      </c>
      <c r="D357" s="305"/>
      <c r="E357" s="305"/>
      <c r="F357" s="117" t="s">
        <v>1644</v>
      </c>
      <c r="G357" s="116">
        <v>6</v>
      </c>
      <c r="H357" s="159"/>
      <c r="I357" s="108">
        <f t="shared" ref="I357:I390" si="370">G357*AO357</f>
        <v>0</v>
      </c>
      <c r="J357" s="108">
        <f t="shared" ref="J357:J390" si="371">G357*AP357</f>
        <v>0</v>
      </c>
      <c r="K357" s="108">
        <f t="shared" ref="K357:K390" si="372">G357*H357</f>
        <v>0</v>
      </c>
      <c r="L357" s="111"/>
      <c r="Z357" s="100">
        <f t="shared" ref="Z357:Z390" si="373">IF(AQ357="5",BJ357,0)</f>
        <v>0</v>
      </c>
      <c r="AB357" s="100">
        <f t="shared" ref="AB357:AB390" si="374">IF(AQ357="1",BH357,0)</f>
        <v>0</v>
      </c>
      <c r="AC357" s="100">
        <f t="shared" ref="AC357:AC390" si="375">IF(AQ357="1",BI357,0)</f>
        <v>0</v>
      </c>
      <c r="AD357" s="100">
        <f t="shared" ref="AD357:AD390" si="376">IF(AQ357="7",BH357,0)</f>
        <v>0</v>
      </c>
      <c r="AE357" s="100">
        <f t="shared" ref="AE357:AE390" si="377">IF(AQ357="7",BI357,0)</f>
        <v>0</v>
      </c>
      <c r="AF357" s="100">
        <f t="shared" ref="AF357:AF390" si="378">IF(AQ357="2",BH357,0)</f>
        <v>0</v>
      </c>
      <c r="AG357" s="100">
        <f t="shared" ref="AG357:AG390" si="379">IF(AQ357="2",BI357,0)</f>
        <v>0</v>
      </c>
      <c r="AH357" s="100">
        <f t="shared" ref="AH357:AH390" si="380">IF(AQ357="0",BJ357,0)</f>
        <v>0</v>
      </c>
      <c r="AI357" s="109"/>
      <c r="AJ357" s="108">
        <f t="shared" ref="AJ357:AJ390" si="381">IF(AN357=0,K357,0)</f>
        <v>0</v>
      </c>
      <c r="AK357" s="108">
        <f t="shared" ref="AK357:AK390" si="382">IF(AN357=15,K357,0)</f>
        <v>0</v>
      </c>
      <c r="AL357" s="108">
        <f t="shared" ref="AL357:AL390" si="383">IF(AN357=21,K357,0)</f>
        <v>0</v>
      </c>
      <c r="AN357" s="100">
        <v>15</v>
      </c>
      <c r="AO357" s="100">
        <f t="shared" ref="AO357:AO390" si="384">H357*0</f>
        <v>0</v>
      </c>
      <c r="AP357" s="100">
        <f t="shared" ref="AP357:AP390" si="385">H357*(1-0)</f>
        <v>0</v>
      </c>
      <c r="AQ357" s="111" t="s">
        <v>13</v>
      </c>
      <c r="AV357" s="100">
        <f t="shared" ref="AV357:AV390" si="386">AW357+AX357</f>
        <v>0</v>
      </c>
      <c r="AW357" s="100">
        <f t="shared" ref="AW357:AW390" si="387">G357*AO357</f>
        <v>0</v>
      </c>
      <c r="AX357" s="100">
        <f t="shared" ref="AX357:AX390" si="388">G357*AP357</f>
        <v>0</v>
      </c>
      <c r="AY357" s="110" t="s">
        <v>1713</v>
      </c>
      <c r="AZ357" s="110" t="s">
        <v>1733</v>
      </c>
      <c r="BA357" s="109" t="s">
        <v>1737</v>
      </c>
      <c r="BC357" s="100">
        <f t="shared" ref="BC357:BC390" si="389">AW357+AX357</f>
        <v>0</v>
      </c>
      <c r="BD357" s="100">
        <f t="shared" ref="BD357:BD390" si="390">H357/(100-BE357)*100</f>
        <v>0</v>
      </c>
      <c r="BE357" s="100">
        <v>0</v>
      </c>
      <c r="BF357" s="100">
        <f>357</f>
        <v>357</v>
      </c>
      <c r="BH357" s="108">
        <f t="shared" ref="BH357:BH390" si="391">G357*AO357</f>
        <v>0</v>
      </c>
      <c r="BI357" s="108">
        <f t="shared" ref="BI357:BI390" si="392">G357*AP357</f>
        <v>0</v>
      </c>
      <c r="BJ357" s="108">
        <f t="shared" ref="BJ357:BJ390" si="393">G357*H357</f>
        <v>0</v>
      </c>
    </row>
    <row r="358" spans="1:62" x14ac:dyDescent="0.2">
      <c r="A358" s="117" t="s">
        <v>318</v>
      </c>
      <c r="B358" s="117" t="s">
        <v>128</v>
      </c>
      <c r="C358" s="304" t="s">
        <v>1426</v>
      </c>
      <c r="D358" s="305"/>
      <c r="E358" s="305"/>
      <c r="F358" s="117" t="s">
        <v>1646</v>
      </c>
      <c r="G358" s="116">
        <v>90</v>
      </c>
      <c r="H358" s="159"/>
      <c r="I358" s="108">
        <f t="shared" si="370"/>
        <v>0</v>
      </c>
      <c r="J358" s="108">
        <f t="shared" si="371"/>
        <v>0</v>
      </c>
      <c r="K358" s="108">
        <f t="shared" si="372"/>
        <v>0</v>
      </c>
      <c r="L358" s="111"/>
      <c r="Z358" s="100">
        <f t="shared" si="373"/>
        <v>0</v>
      </c>
      <c r="AB358" s="100">
        <f t="shared" si="374"/>
        <v>0</v>
      </c>
      <c r="AC358" s="100">
        <f t="shared" si="375"/>
        <v>0</v>
      </c>
      <c r="AD358" s="100">
        <f t="shared" si="376"/>
        <v>0</v>
      </c>
      <c r="AE358" s="100">
        <f t="shared" si="377"/>
        <v>0</v>
      </c>
      <c r="AF358" s="100">
        <f t="shared" si="378"/>
        <v>0</v>
      </c>
      <c r="AG358" s="100">
        <f t="shared" si="379"/>
        <v>0</v>
      </c>
      <c r="AH358" s="100">
        <f t="shared" si="380"/>
        <v>0</v>
      </c>
      <c r="AI358" s="109"/>
      <c r="AJ358" s="108">
        <f t="shared" si="381"/>
        <v>0</v>
      </c>
      <c r="AK358" s="108">
        <f t="shared" si="382"/>
        <v>0</v>
      </c>
      <c r="AL358" s="108">
        <f t="shared" si="383"/>
        <v>0</v>
      </c>
      <c r="AN358" s="100">
        <v>15</v>
      </c>
      <c r="AO358" s="100">
        <f t="shared" si="384"/>
        <v>0</v>
      </c>
      <c r="AP358" s="100">
        <f t="shared" si="385"/>
        <v>0</v>
      </c>
      <c r="AQ358" s="111" t="s">
        <v>13</v>
      </c>
      <c r="AV358" s="100">
        <f t="shared" si="386"/>
        <v>0</v>
      </c>
      <c r="AW358" s="100">
        <f t="shared" si="387"/>
        <v>0</v>
      </c>
      <c r="AX358" s="100">
        <f t="shared" si="388"/>
        <v>0</v>
      </c>
      <c r="AY358" s="110" t="s">
        <v>1713</v>
      </c>
      <c r="AZ358" s="110" t="s">
        <v>1733</v>
      </c>
      <c r="BA358" s="109" t="s">
        <v>1737</v>
      </c>
      <c r="BC358" s="100">
        <f t="shared" si="389"/>
        <v>0</v>
      </c>
      <c r="BD358" s="100">
        <f t="shared" si="390"/>
        <v>0</v>
      </c>
      <c r="BE358" s="100">
        <v>0</v>
      </c>
      <c r="BF358" s="100">
        <f>358</f>
        <v>358</v>
      </c>
      <c r="BH358" s="108">
        <f t="shared" si="391"/>
        <v>0</v>
      </c>
      <c r="BI358" s="108">
        <f t="shared" si="392"/>
        <v>0</v>
      </c>
      <c r="BJ358" s="108">
        <f t="shared" si="393"/>
        <v>0</v>
      </c>
    </row>
    <row r="359" spans="1:62" x14ac:dyDescent="0.2">
      <c r="A359" s="117" t="s">
        <v>319</v>
      </c>
      <c r="B359" s="117" t="s">
        <v>129</v>
      </c>
      <c r="C359" s="304" t="s">
        <v>1427</v>
      </c>
      <c r="D359" s="305"/>
      <c r="E359" s="305"/>
      <c r="F359" s="117" t="s">
        <v>1644</v>
      </c>
      <c r="G359" s="116">
        <v>6</v>
      </c>
      <c r="H359" s="159"/>
      <c r="I359" s="108">
        <f t="shared" si="370"/>
        <v>0</v>
      </c>
      <c r="J359" s="108">
        <f t="shared" si="371"/>
        <v>0</v>
      </c>
      <c r="K359" s="108">
        <f t="shared" si="372"/>
        <v>0</v>
      </c>
      <c r="L359" s="111"/>
      <c r="Z359" s="100">
        <f t="shared" si="373"/>
        <v>0</v>
      </c>
      <c r="AB359" s="100">
        <f t="shared" si="374"/>
        <v>0</v>
      </c>
      <c r="AC359" s="100">
        <f t="shared" si="375"/>
        <v>0</v>
      </c>
      <c r="AD359" s="100">
        <f t="shared" si="376"/>
        <v>0</v>
      </c>
      <c r="AE359" s="100">
        <f t="shared" si="377"/>
        <v>0</v>
      </c>
      <c r="AF359" s="100">
        <f t="shared" si="378"/>
        <v>0</v>
      </c>
      <c r="AG359" s="100">
        <f t="shared" si="379"/>
        <v>0</v>
      </c>
      <c r="AH359" s="100">
        <f t="shared" si="380"/>
        <v>0</v>
      </c>
      <c r="AI359" s="109"/>
      <c r="AJ359" s="108">
        <f t="shared" si="381"/>
        <v>0</v>
      </c>
      <c r="AK359" s="108">
        <f t="shared" si="382"/>
        <v>0</v>
      </c>
      <c r="AL359" s="108">
        <f t="shared" si="383"/>
        <v>0</v>
      </c>
      <c r="AN359" s="100">
        <v>15</v>
      </c>
      <c r="AO359" s="100">
        <f t="shared" si="384"/>
        <v>0</v>
      </c>
      <c r="AP359" s="100">
        <f t="shared" si="385"/>
        <v>0</v>
      </c>
      <c r="AQ359" s="111" t="s">
        <v>13</v>
      </c>
      <c r="AV359" s="100">
        <f t="shared" si="386"/>
        <v>0</v>
      </c>
      <c r="AW359" s="100">
        <f t="shared" si="387"/>
        <v>0</v>
      </c>
      <c r="AX359" s="100">
        <f t="shared" si="388"/>
        <v>0</v>
      </c>
      <c r="AY359" s="110" t="s">
        <v>1713</v>
      </c>
      <c r="AZ359" s="110" t="s">
        <v>1733</v>
      </c>
      <c r="BA359" s="109" t="s">
        <v>1737</v>
      </c>
      <c r="BC359" s="100">
        <f t="shared" si="389"/>
        <v>0</v>
      </c>
      <c r="BD359" s="100">
        <f t="shared" si="390"/>
        <v>0</v>
      </c>
      <c r="BE359" s="100">
        <v>0</v>
      </c>
      <c r="BF359" s="100">
        <f>359</f>
        <v>359</v>
      </c>
      <c r="BH359" s="108">
        <f t="shared" si="391"/>
        <v>0</v>
      </c>
      <c r="BI359" s="108">
        <f t="shared" si="392"/>
        <v>0</v>
      </c>
      <c r="BJ359" s="108">
        <f t="shared" si="393"/>
        <v>0</v>
      </c>
    </row>
    <row r="360" spans="1:62" x14ac:dyDescent="0.2">
      <c r="A360" s="117" t="s">
        <v>320</v>
      </c>
      <c r="B360" s="117" t="s">
        <v>130</v>
      </c>
      <c r="C360" s="304" t="s">
        <v>1430</v>
      </c>
      <c r="D360" s="305"/>
      <c r="E360" s="305"/>
      <c r="F360" s="117" t="s">
        <v>1644</v>
      </c>
      <c r="G360" s="116">
        <v>1</v>
      </c>
      <c r="H360" s="159"/>
      <c r="I360" s="108">
        <f t="shared" si="370"/>
        <v>0</v>
      </c>
      <c r="J360" s="108">
        <f t="shared" si="371"/>
        <v>0</v>
      </c>
      <c r="K360" s="108">
        <f t="shared" si="372"/>
        <v>0</v>
      </c>
      <c r="L360" s="111"/>
      <c r="Z360" s="100">
        <f t="shared" si="373"/>
        <v>0</v>
      </c>
      <c r="AB360" s="100">
        <f t="shared" si="374"/>
        <v>0</v>
      </c>
      <c r="AC360" s="100">
        <f t="shared" si="375"/>
        <v>0</v>
      </c>
      <c r="AD360" s="100">
        <f t="shared" si="376"/>
        <v>0</v>
      </c>
      <c r="AE360" s="100">
        <f t="shared" si="377"/>
        <v>0</v>
      </c>
      <c r="AF360" s="100">
        <f t="shared" si="378"/>
        <v>0</v>
      </c>
      <c r="AG360" s="100">
        <f t="shared" si="379"/>
        <v>0</v>
      </c>
      <c r="AH360" s="100">
        <f t="shared" si="380"/>
        <v>0</v>
      </c>
      <c r="AI360" s="109"/>
      <c r="AJ360" s="108">
        <f t="shared" si="381"/>
        <v>0</v>
      </c>
      <c r="AK360" s="108">
        <f t="shared" si="382"/>
        <v>0</v>
      </c>
      <c r="AL360" s="108">
        <f t="shared" si="383"/>
        <v>0</v>
      </c>
      <c r="AN360" s="100">
        <v>15</v>
      </c>
      <c r="AO360" s="100">
        <f t="shared" si="384"/>
        <v>0</v>
      </c>
      <c r="AP360" s="100">
        <f t="shared" si="385"/>
        <v>0</v>
      </c>
      <c r="AQ360" s="111" t="s">
        <v>13</v>
      </c>
      <c r="AV360" s="100">
        <f t="shared" si="386"/>
        <v>0</v>
      </c>
      <c r="AW360" s="100">
        <f t="shared" si="387"/>
        <v>0</v>
      </c>
      <c r="AX360" s="100">
        <f t="shared" si="388"/>
        <v>0</v>
      </c>
      <c r="AY360" s="110" t="s">
        <v>1713</v>
      </c>
      <c r="AZ360" s="110" t="s">
        <v>1733</v>
      </c>
      <c r="BA360" s="109" t="s">
        <v>1737</v>
      </c>
      <c r="BC360" s="100">
        <f t="shared" si="389"/>
        <v>0</v>
      </c>
      <c r="BD360" s="100">
        <f t="shared" si="390"/>
        <v>0</v>
      </c>
      <c r="BE360" s="100">
        <v>0</v>
      </c>
      <c r="BF360" s="100">
        <f>360</f>
        <v>360</v>
      </c>
      <c r="BH360" s="108">
        <f t="shared" si="391"/>
        <v>0</v>
      </c>
      <c r="BI360" s="108">
        <f t="shared" si="392"/>
        <v>0</v>
      </c>
      <c r="BJ360" s="108">
        <f t="shared" si="393"/>
        <v>0</v>
      </c>
    </row>
    <row r="361" spans="1:62" x14ac:dyDescent="0.2">
      <c r="A361" s="117" t="s">
        <v>321</v>
      </c>
      <c r="B361" s="117" t="s">
        <v>131</v>
      </c>
      <c r="C361" s="304" t="s">
        <v>1431</v>
      </c>
      <c r="D361" s="305"/>
      <c r="E361" s="305"/>
      <c r="F361" s="117" t="s">
        <v>1646</v>
      </c>
      <c r="G361" s="116">
        <v>55</v>
      </c>
      <c r="H361" s="159"/>
      <c r="I361" s="108">
        <f t="shared" si="370"/>
        <v>0</v>
      </c>
      <c r="J361" s="108">
        <f t="shared" si="371"/>
        <v>0</v>
      </c>
      <c r="K361" s="108">
        <f t="shared" si="372"/>
        <v>0</v>
      </c>
      <c r="L361" s="111"/>
      <c r="Z361" s="100">
        <f t="shared" si="373"/>
        <v>0</v>
      </c>
      <c r="AB361" s="100">
        <f t="shared" si="374"/>
        <v>0</v>
      </c>
      <c r="AC361" s="100">
        <f t="shared" si="375"/>
        <v>0</v>
      </c>
      <c r="AD361" s="100">
        <f t="shared" si="376"/>
        <v>0</v>
      </c>
      <c r="AE361" s="100">
        <f t="shared" si="377"/>
        <v>0</v>
      </c>
      <c r="AF361" s="100">
        <f t="shared" si="378"/>
        <v>0</v>
      </c>
      <c r="AG361" s="100">
        <f t="shared" si="379"/>
        <v>0</v>
      </c>
      <c r="AH361" s="100">
        <f t="shared" si="380"/>
        <v>0</v>
      </c>
      <c r="AI361" s="109"/>
      <c r="AJ361" s="108">
        <f t="shared" si="381"/>
        <v>0</v>
      </c>
      <c r="AK361" s="108">
        <f t="shared" si="382"/>
        <v>0</v>
      </c>
      <c r="AL361" s="108">
        <f t="shared" si="383"/>
        <v>0</v>
      </c>
      <c r="AN361" s="100">
        <v>15</v>
      </c>
      <c r="AO361" s="100">
        <f t="shared" si="384"/>
        <v>0</v>
      </c>
      <c r="AP361" s="100">
        <f t="shared" si="385"/>
        <v>0</v>
      </c>
      <c r="AQ361" s="111" t="s">
        <v>13</v>
      </c>
      <c r="AV361" s="100">
        <f t="shared" si="386"/>
        <v>0</v>
      </c>
      <c r="AW361" s="100">
        <f t="shared" si="387"/>
        <v>0</v>
      </c>
      <c r="AX361" s="100">
        <f t="shared" si="388"/>
        <v>0</v>
      </c>
      <c r="AY361" s="110" t="s">
        <v>1713</v>
      </c>
      <c r="AZ361" s="110" t="s">
        <v>1733</v>
      </c>
      <c r="BA361" s="109" t="s">
        <v>1737</v>
      </c>
      <c r="BC361" s="100">
        <f t="shared" si="389"/>
        <v>0</v>
      </c>
      <c r="BD361" s="100">
        <f t="shared" si="390"/>
        <v>0</v>
      </c>
      <c r="BE361" s="100">
        <v>0</v>
      </c>
      <c r="BF361" s="100">
        <f>361</f>
        <v>361</v>
      </c>
      <c r="BH361" s="108">
        <f t="shared" si="391"/>
        <v>0</v>
      </c>
      <c r="BI361" s="108">
        <f t="shared" si="392"/>
        <v>0</v>
      </c>
      <c r="BJ361" s="108">
        <f t="shared" si="393"/>
        <v>0</v>
      </c>
    </row>
    <row r="362" spans="1:62" x14ac:dyDescent="0.2">
      <c r="A362" s="117" t="s">
        <v>322</v>
      </c>
      <c r="B362" s="117" t="s">
        <v>132</v>
      </c>
      <c r="C362" s="304" t="s">
        <v>1432</v>
      </c>
      <c r="D362" s="305"/>
      <c r="E362" s="305"/>
      <c r="F362" s="117" t="s">
        <v>1644</v>
      </c>
      <c r="G362" s="116">
        <v>4</v>
      </c>
      <c r="H362" s="159"/>
      <c r="I362" s="108">
        <f t="shared" si="370"/>
        <v>0</v>
      </c>
      <c r="J362" s="108">
        <f t="shared" si="371"/>
        <v>0</v>
      </c>
      <c r="K362" s="108">
        <f t="shared" si="372"/>
        <v>0</v>
      </c>
      <c r="L362" s="111"/>
      <c r="Z362" s="100">
        <f t="shared" si="373"/>
        <v>0</v>
      </c>
      <c r="AB362" s="100">
        <f t="shared" si="374"/>
        <v>0</v>
      </c>
      <c r="AC362" s="100">
        <f t="shared" si="375"/>
        <v>0</v>
      </c>
      <c r="AD362" s="100">
        <f t="shared" si="376"/>
        <v>0</v>
      </c>
      <c r="AE362" s="100">
        <f t="shared" si="377"/>
        <v>0</v>
      </c>
      <c r="AF362" s="100">
        <f t="shared" si="378"/>
        <v>0</v>
      </c>
      <c r="AG362" s="100">
        <f t="shared" si="379"/>
        <v>0</v>
      </c>
      <c r="AH362" s="100">
        <f t="shared" si="380"/>
        <v>0</v>
      </c>
      <c r="AI362" s="109"/>
      <c r="AJ362" s="108">
        <f t="shared" si="381"/>
        <v>0</v>
      </c>
      <c r="AK362" s="108">
        <f t="shared" si="382"/>
        <v>0</v>
      </c>
      <c r="AL362" s="108">
        <f t="shared" si="383"/>
        <v>0</v>
      </c>
      <c r="AN362" s="100">
        <v>15</v>
      </c>
      <c r="AO362" s="100">
        <f t="shared" si="384"/>
        <v>0</v>
      </c>
      <c r="AP362" s="100">
        <f t="shared" si="385"/>
        <v>0</v>
      </c>
      <c r="AQ362" s="111" t="s">
        <v>13</v>
      </c>
      <c r="AV362" s="100">
        <f t="shared" si="386"/>
        <v>0</v>
      </c>
      <c r="AW362" s="100">
        <f t="shared" si="387"/>
        <v>0</v>
      </c>
      <c r="AX362" s="100">
        <f t="shared" si="388"/>
        <v>0</v>
      </c>
      <c r="AY362" s="110" t="s">
        <v>1713</v>
      </c>
      <c r="AZ362" s="110" t="s">
        <v>1733</v>
      </c>
      <c r="BA362" s="109" t="s">
        <v>1737</v>
      </c>
      <c r="BC362" s="100">
        <f t="shared" si="389"/>
        <v>0</v>
      </c>
      <c r="BD362" s="100">
        <f t="shared" si="390"/>
        <v>0</v>
      </c>
      <c r="BE362" s="100">
        <v>0</v>
      </c>
      <c r="BF362" s="100">
        <f>362</f>
        <v>362</v>
      </c>
      <c r="BH362" s="108">
        <f t="shared" si="391"/>
        <v>0</v>
      </c>
      <c r="BI362" s="108">
        <f t="shared" si="392"/>
        <v>0</v>
      </c>
      <c r="BJ362" s="108">
        <f t="shared" si="393"/>
        <v>0</v>
      </c>
    </row>
    <row r="363" spans="1:62" x14ac:dyDescent="0.2">
      <c r="A363" s="117" t="s">
        <v>323</v>
      </c>
      <c r="B363" s="117" t="s">
        <v>133</v>
      </c>
      <c r="C363" s="304" t="s">
        <v>1995</v>
      </c>
      <c r="D363" s="305"/>
      <c r="E363" s="305"/>
      <c r="F363" s="117" t="s">
        <v>1644</v>
      </c>
      <c r="G363" s="116">
        <v>4</v>
      </c>
      <c r="H363" s="159"/>
      <c r="I363" s="108">
        <f t="shared" si="370"/>
        <v>0</v>
      </c>
      <c r="J363" s="108">
        <f t="shared" si="371"/>
        <v>0</v>
      </c>
      <c r="K363" s="108">
        <f t="shared" si="372"/>
        <v>0</v>
      </c>
      <c r="L363" s="111"/>
      <c r="Z363" s="100">
        <f t="shared" si="373"/>
        <v>0</v>
      </c>
      <c r="AB363" s="100">
        <f t="shared" si="374"/>
        <v>0</v>
      </c>
      <c r="AC363" s="100">
        <f t="shared" si="375"/>
        <v>0</v>
      </c>
      <c r="AD363" s="100">
        <f t="shared" si="376"/>
        <v>0</v>
      </c>
      <c r="AE363" s="100">
        <f t="shared" si="377"/>
        <v>0</v>
      </c>
      <c r="AF363" s="100">
        <f t="shared" si="378"/>
        <v>0</v>
      </c>
      <c r="AG363" s="100">
        <f t="shared" si="379"/>
        <v>0</v>
      </c>
      <c r="AH363" s="100">
        <f t="shared" si="380"/>
        <v>0</v>
      </c>
      <c r="AI363" s="109"/>
      <c r="AJ363" s="108">
        <f t="shared" si="381"/>
        <v>0</v>
      </c>
      <c r="AK363" s="108">
        <f t="shared" si="382"/>
        <v>0</v>
      </c>
      <c r="AL363" s="108">
        <f t="shared" si="383"/>
        <v>0</v>
      </c>
      <c r="AN363" s="100">
        <v>15</v>
      </c>
      <c r="AO363" s="100">
        <f t="shared" si="384"/>
        <v>0</v>
      </c>
      <c r="AP363" s="100">
        <f t="shared" si="385"/>
        <v>0</v>
      </c>
      <c r="AQ363" s="111" t="s">
        <v>13</v>
      </c>
      <c r="AV363" s="100">
        <f t="shared" si="386"/>
        <v>0</v>
      </c>
      <c r="AW363" s="100">
        <f t="shared" si="387"/>
        <v>0</v>
      </c>
      <c r="AX363" s="100">
        <f t="shared" si="388"/>
        <v>0</v>
      </c>
      <c r="AY363" s="110" t="s">
        <v>1713</v>
      </c>
      <c r="AZ363" s="110" t="s">
        <v>1733</v>
      </c>
      <c r="BA363" s="109" t="s">
        <v>1737</v>
      </c>
      <c r="BC363" s="100">
        <f t="shared" si="389"/>
        <v>0</v>
      </c>
      <c r="BD363" s="100">
        <f t="shared" si="390"/>
        <v>0</v>
      </c>
      <c r="BE363" s="100">
        <v>0</v>
      </c>
      <c r="BF363" s="100">
        <f>363</f>
        <v>363</v>
      </c>
      <c r="BH363" s="108">
        <f t="shared" si="391"/>
        <v>0</v>
      </c>
      <c r="BI363" s="108">
        <f t="shared" si="392"/>
        <v>0</v>
      </c>
      <c r="BJ363" s="108">
        <f t="shared" si="393"/>
        <v>0</v>
      </c>
    </row>
    <row r="364" spans="1:62" x14ac:dyDescent="0.2">
      <c r="A364" s="117" t="s">
        <v>324</v>
      </c>
      <c r="B364" s="117" t="s">
        <v>134</v>
      </c>
      <c r="C364" s="304" t="s">
        <v>1433</v>
      </c>
      <c r="D364" s="305"/>
      <c r="E364" s="305"/>
      <c r="F364" s="117" t="s">
        <v>1646</v>
      </c>
      <c r="G364" s="116">
        <v>55</v>
      </c>
      <c r="H364" s="159"/>
      <c r="I364" s="108">
        <f t="shared" si="370"/>
        <v>0</v>
      </c>
      <c r="J364" s="108">
        <f t="shared" si="371"/>
        <v>0</v>
      </c>
      <c r="K364" s="108">
        <f t="shared" si="372"/>
        <v>0</v>
      </c>
      <c r="L364" s="111"/>
      <c r="Z364" s="100">
        <f t="shared" si="373"/>
        <v>0</v>
      </c>
      <c r="AB364" s="100">
        <f t="shared" si="374"/>
        <v>0</v>
      </c>
      <c r="AC364" s="100">
        <f t="shared" si="375"/>
        <v>0</v>
      </c>
      <c r="AD364" s="100">
        <f t="shared" si="376"/>
        <v>0</v>
      </c>
      <c r="AE364" s="100">
        <f t="shared" si="377"/>
        <v>0</v>
      </c>
      <c r="AF364" s="100">
        <f t="shared" si="378"/>
        <v>0</v>
      </c>
      <c r="AG364" s="100">
        <f t="shared" si="379"/>
        <v>0</v>
      </c>
      <c r="AH364" s="100">
        <f t="shared" si="380"/>
        <v>0</v>
      </c>
      <c r="AI364" s="109"/>
      <c r="AJ364" s="108">
        <f t="shared" si="381"/>
        <v>0</v>
      </c>
      <c r="AK364" s="108">
        <f t="shared" si="382"/>
        <v>0</v>
      </c>
      <c r="AL364" s="108">
        <f t="shared" si="383"/>
        <v>0</v>
      </c>
      <c r="AN364" s="100">
        <v>15</v>
      </c>
      <c r="AO364" s="100">
        <f t="shared" si="384"/>
        <v>0</v>
      </c>
      <c r="AP364" s="100">
        <f t="shared" si="385"/>
        <v>0</v>
      </c>
      <c r="AQ364" s="111" t="s">
        <v>13</v>
      </c>
      <c r="AV364" s="100">
        <f t="shared" si="386"/>
        <v>0</v>
      </c>
      <c r="AW364" s="100">
        <f t="shared" si="387"/>
        <v>0</v>
      </c>
      <c r="AX364" s="100">
        <f t="shared" si="388"/>
        <v>0</v>
      </c>
      <c r="AY364" s="110" t="s">
        <v>1713</v>
      </c>
      <c r="AZ364" s="110" t="s">
        <v>1733</v>
      </c>
      <c r="BA364" s="109" t="s">
        <v>1737</v>
      </c>
      <c r="BC364" s="100">
        <f t="shared" si="389"/>
        <v>0</v>
      </c>
      <c r="BD364" s="100">
        <f t="shared" si="390"/>
        <v>0</v>
      </c>
      <c r="BE364" s="100">
        <v>0</v>
      </c>
      <c r="BF364" s="100">
        <f>364</f>
        <v>364</v>
      </c>
      <c r="BH364" s="108">
        <f t="shared" si="391"/>
        <v>0</v>
      </c>
      <c r="BI364" s="108">
        <f t="shared" si="392"/>
        <v>0</v>
      </c>
      <c r="BJ364" s="108">
        <f t="shared" si="393"/>
        <v>0</v>
      </c>
    </row>
    <row r="365" spans="1:62" x14ac:dyDescent="0.2">
      <c r="A365" s="117" t="s">
        <v>325</v>
      </c>
      <c r="B365" s="117" t="s">
        <v>135</v>
      </c>
      <c r="C365" s="304" t="s">
        <v>1434</v>
      </c>
      <c r="D365" s="305"/>
      <c r="E365" s="305"/>
      <c r="F365" s="117" t="s">
        <v>1646</v>
      </c>
      <c r="G365" s="116">
        <v>55</v>
      </c>
      <c r="H365" s="159"/>
      <c r="I365" s="108">
        <f t="shared" si="370"/>
        <v>0</v>
      </c>
      <c r="J365" s="108">
        <f t="shared" si="371"/>
        <v>0</v>
      </c>
      <c r="K365" s="108">
        <f t="shared" si="372"/>
        <v>0</v>
      </c>
      <c r="L365" s="111"/>
      <c r="Z365" s="100">
        <f t="shared" si="373"/>
        <v>0</v>
      </c>
      <c r="AB365" s="100">
        <f t="shared" si="374"/>
        <v>0</v>
      </c>
      <c r="AC365" s="100">
        <f t="shared" si="375"/>
        <v>0</v>
      </c>
      <c r="AD365" s="100">
        <f t="shared" si="376"/>
        <v>0</v>
      </c>
      <c r="AE365" s="100">
        <f t="shared" si="377"/>
        <v>0</v>
      </c>
      <c r="AF365" s="100">
        <f t="shared" si="378"/>
        <v>0</v>
      </c>
      <c r="AG365" s="100">
        <f t="shared" si="379"/>
        <v>0</v>
      </c>
      <c r="AH365" s="100">
        <f t="shared" si="380"/>
        <v>0</v>
      </c>
      <c r="AI365" s="109"/>
      <c r="AJ365" s="108">
        <f t="shared" si="381"/>
        <v>0</v>
      </c>
      <c r="AK365" s="108">
        <f t="shared" si="382"/>
        <v>0</v>
      </c>
      <c r="AL365" s="108">
        <f t="shared" si="383"/>
        <v>0</v>
      </c>
      <c r="AN365" s="100">
        <v>15</v>
      </c>
      <c r="AO365" s="100">
        <f t="shared" si="384"/>
        <v>0</v>
      </c>
      <c r="AP365" s="100">
        <f t="shared" si="385"/>
        <v>0</v>
      </c>
      <c r="AQ365" s="111" t="s">
        <v>13</v>
      </c>
      <c r="AV365" s="100">
        <f t="shared" si="386"/>
        <v>0</v>
      </c>
      <c r="AW365" s="100">
        <f t="shared" si="387"/>
        <v>0</v>
      </c>
      <c r="AX365" s="100">
        <f t="shared" si="388"/>
        <v>0</v>
      </c>
      <c r="AY365" s="110" t="s">
        <v>1713</v>
      </c>
      <c r="AZ365" s="110" t="s">
        <v>1733</v>
      </c>
      <c r="BA365" s="109" t="s">
        <v>1737</v>
      </c>
      <c r="BC365" s="100">
        <f t="shared" si="389"/>
        <v>0</v>
      </c>
      <c r="BD365" s="100">
        <f t="shared" si="390"/>
        <v>0</v>
      </c>
      <c r="BE365" s="100">
        <v>0</v>
      </c>
      <c r="BF365" s="100">
        <f>365</f>
        <v>365</v>
      </c>
      <c r="BH365" s="108">
        <f t="shared" si="391"/>
        <v>0</v>
      </c>
      <c r="BI365" s="108">
        <f t="shared" si="392"/>
        <v>0</v>
      </c>
      <c r="BJ365" s="108">
        <f t="shared" si="393"/>
        <v>0</v>
      </c>
    </row>
    <row r="366" spans="1:62" x14ac:dyDescent="0.2">
      <c r="A366" s="117" t="s">
        <v>326</v>
      </c>
      <c r="B366" s="117" t="s">
        <v>843</v>
      </c>
      <c r="C366" s="304" t="s">
        <v>1435</v>
      </c>
      <c r="D366" s="305"/>
      <c r="E366" s="305"/>
      <c r="F366" s="117" t="s">
        <v>1652</v>
      </c>
      <c r="G366" s="116">
        <v>1</v>
      </c>
      <c r="H366" s="159"/>
      <c r="I366" s="108">
        <f t="shared" si="370"/>
        <v>0</v>
      </c>
      <c r="J366" s="108">
        <f t="shared" si="371"/>
        <v>0</v>
      </c>
      <c r="K366" s="108">
        <f t="shared" si="372"/>
        <v>0</v>
      </c>
      <c r="L366" s="111"/>
      <c r="Z366" s="100">
        <f t="shared" si="373"/>
        <v>0</v>
      </c>
      <c r="AB366" s="100">
        <f t="shared" si="374"/>
        <v>0</v>
      </c>
      <c r="AC366" s="100">
        <f t="shared" si="375"/>
        <v>0</v>
      </c>
      <c r="AD366" s="100">
        <f t="shared" si="376"/>
        <v>0</v>
      </c>
      <c r="AE366" s="100">
        <f t="shared" si="377"/>
        <v>0</v>
      </c>
      <c r="AF366" s="100">
        <f t="shared" si="378"/>
        <v>0</v>
      </c>
      <c r="AG366" s="100">
        <f t="shared" si="379"/>
        <v>0</v>
      </c>
      <c r="AH366" s="100">
        <f t="shared" si="380"/>
        <v>0</v>
      </c>
      <c r="AI366" s="109"/>
      <c r="AJ366" s="108">
        <f t="shared" si="381"/>
        <v>0</v>
      </c>
      <c r="AK366" s="108">
        <f t="shared" si="382"/>
        <v>0</v>
      </c>
      <c r="AL366" s="108">
        <f t="shared" si="383"/>
        <v>0</v>
      </c>
      <c r="AN366" s="100">
        <v>15</v>
      </c>
      <c r="AO366" s="100">
        <f t="shared" si="384"/>
        <v>0</v>
      </c>
      <c r="AP366" s="100">
        <f t="shared" si="385"/>
        <v>0</v>
      </c>
      <c r="AQ366" s="111" t="s">
        <v>13</v>
      </c>
      <c r="AV366" s="100">
        <f t="shared" si="386"/>
        <v>0</v>
      </c>
      <c r="AW366" s="100">
        <f t="shared" si="387"/>
        <v>0</v>
      </c>
      <c r="AX366" s="100">
        <f t="shared" si="388"/>
        <v>0</v>
      </c>
      <c r="AY366" s="110" t="s">
        <v>1713</v>
      </c>
      <c r="AZ366" s="110" t="s">
        <v>1733</v>
      </c>
      <c r="BA366" s="109" t="s">
        <v>1737</v>
      </c>
      <c r="BC366" s="100">
        <f t="shared" si="389"/>
        <v>0</v>
      </c>
      <c r="BD366" s="100">
        <f t="shared" si="390"/>
        <v>0</v>
      </c>
      <c r="BE366" s="100">
        <v>0</v>
      </c>
      <c r="BF366" s="100">
        <f>366</f>
        <v>366</v>
      </c>
      <c r="BH366" s="108">
        <f t="shared" si="391"/>
        <v>0</v>
      </c>
      <c r="BI366" s="108">
        <f t="shared" si="392"/>
        <v>0</v>
      </c>
      <c r="BJ366" s="108">
        <f t="shared" si="393"/>
        <v>0</v>
      </c>
    </row>
    <row r="367" spans="1:62" x14ac:dyDescent="0.2">
      <c r="A367" s="117" t="s">
        <v>327</v>
      </c>
      <c r="B367" s="117" t="s">
        <v>844</v>
      </c>
      <c r="C367" s="304" t="s">
        <v>2327</v>
      </c>
      <c r="D367" s="305"/>
      <c r="E367" s="305"/>
      <c r="F367" s="117" t="s">
        <v>1652</v>
      </c>
      <c r="G367" s="116">
        <v>1</v>
      </c>
      <c r="H367" s="159"/>
      <c r="I367" s="108">
        <f t="shared" si="370"/>
        <v>0</v>
      </c>
      <c r="J367" s="108">
        <f t="shared" si="371"/>
        <v>0</v>
      </c>
      <c r="K367" s="108">
        <f t="shared" si="372"/>
        <v>0</v>
      </c>
      <c r="L367" s="111"/>
      <c r="Z367" s="100">
        <f t="shared" si="373"/>
        <v>0</v>
      </c>
      <c r="AB367" s="100">
        <f t="shared" si="374"/>
        <v>0</v>
      </c>
      <c r="AC367" s="100">
        <f t="shared" si="375"/>
        <v>0</v>
      </c>
      <c r="AD367" s="100">
        <f t="shared" si="376"/>
        <v>0</v>
      </c>
      <c r="AE367" s="100">
        <f t="shared" si="377"/>
        <v>0</v>
      </c>
      <c r="AF367" s="100">
        <f t="shared" si="378"/>
        <v>0</v>
      </c>
      <c r="AG367" s="100">
        <f t="shared" si="379"/>
        <v>0</v>
      </c>
      <c r="AH367" s="100">
        <f t="shared" si="380"/>
        <v>0</v>
      </c>
      <c r="AI367" s="109"/>
      <c r="AJ367" s="108">
        <f t="shared" si="381"/>
        <v>0</v>
      </c>
      <c r="AK367" s="108">
        <f t="shared" si="382"/>
        <v>0</v>
      </c>
      <c r="AL367" s="108">
        <f t="shared" si="383"/>
        <v>0</v>
      </c>
      <c r="AN367" s="100">
        <v>15</v>
      </c>
      <c r="AO367" s="100">
        <f t="shared" si="384"/>
        <v>0</v>
      </c>
      <c r="AP367" s="100">
        <f t="shared" si="385"/>
        <v>0</v>
      </c>
      <c r="AQ367" s="111" t="s">
        <v>13</v>
      </c>
      <c r="AV367" s="100">
        <f t="shared" si="386"/>
        <v>0</v>
      </c>
      <c r="AW367" s="100">
        <f t="shared" si="387"/>
        <v>0</v>
      </c>
      <c r="AX367" s="100">
        <f t="shared" si="388"/>
        <v>0</v>
      </c>
      <c r="AY367" s="110" t="s">
        <v>1713</v>
      </c>
      <c r="AZ367" s="110" t="s">
        <v>1733</v>
      </c>
      <c r="BA367" s="109" t="s">
        <v>1737</v>
      </c>
      <c r="BC367" s="100">
        <f t="shared" si="389"/>
        <v>0</v>
      </c>
      <c r="BD367" s="100">
        <f t="shared" si="390"/>
        <v>0</v>
      </c>
      <c r="BE367" s="100">
        <v>0</v>
      </c>
      <c r="BF367" s="100">
        <f>367</f>
        <v>367</v>
      </c>
      <c r="BH367" s="108">
        <f t="shared" si="391"/>
        <v>0</v>
      </c>
      <c r="BI367" s="108">
        <f t="shared" si="392"/>
        <v>0</v>
      </c>
      <c r="BJ367" s="108">
        <f t="shared" si="393"/>
        <v>0</v>
      </c>
    </row>
    <row r="368" spans="1:62" x14ac:dyDescent="0.2">
      <c r="A368" s="117" t="s">
        <v>328</v>
      </c>
      <c r="B368" s="117" t="s">
        <v>845</v>
      </c>
      <c r="C368" s="304" t="s">
        <v>1437</v>
      </c>
      <c r="D368" s="305"/>
      <c r="E368" s="305"/>
      <c r="F368" s="117" t="s">
        <v>1654</v>
      </c>
      <c r="G368" s="116">
        <v>360</v>
      </c>
      <c r="H368" s="159"/>
      <c r="I368" s="108">
        <f t="shared" si="370"/>
        <v>0</v>
      </c>
      <c r="J368" s="108">
        <f t="shared" si="371"/>
        <v>0</v>
      </c>
      <c r="K368" s="108">
        <f t="shared" si="372"/>
        <v>0</v>
      </c>
      <c r="L368" s="111"/>
      <c r="Z368" s="100">
        <f t="shared" si="373"/>
        <v>0</v>
      </c>
      <c r="AB368" s="100">
        <f t="shared" si="374"/>
        <v>0</v>
      </c>
      <c r="AC368" s="100">
        <f t="shared" si="375"/>
        <v>0</v>
      </c>
      <c r="AD368" s="100">
        <f t="shared" si="376"/>
        <v>0</v>
      </c>
      <c r="AE368" s="100">
        <f t="shared" si="377"/>
        <v>0</v>
      </c>
      <c r="AF368" s="100">
        <f t="shared" si="378"/>
        <v>0</v>
      </c>
      <c r="AG368" s="100">
        <f t="shared" si="379"/>
        <v>0</v>
      </c>
      <c r="AH368" s="100">
        <f t="shared" si="380"/>
        <v>0</v>
      </c>
      <c r="AI368" s="109"/>
      <c r="AJ368" s="108">
        <f t="shared" si="381"/>
        <v>0</v>
      </c>
      <c r="AK368" s="108">
        <f t="shared" si="382"/>
        <v>0</v>
      </c>
      <c r="AL368" s="108">
        <f t="shared" si="383"/>
        <v>0</v>
      </c>
      <c r="AN368" s="100">
        <v>15</v>
      </c>
      <c r="AO368" s="100">
        <f t="shared" si="384"/>
        <v>0</v>
      </c>
      <c r="AP368" s="100">
        <f t="shared" si="385"/>
        <v>0</v>
      </c>
      <c r="AQ368" s="111" t="s">
        <v>13</v>
      </c>
      <c r="AV368" s="100">
        <f t="shared" si="386"/>
        <v>0</v>
      </c>
      <c r="AW368" s="100">
        <f t="shared" si="387"/>
        <v>0</v>
      </c>
      <c r="AX368" s="100">
        <f t="shared" si="388"/>
        <v>0</v>
      </c>
      <c r="AY368" s="110" t="s">
        <v>1713</v>
      </c>
      <c r="AZ368" s="110" t="s">
        <v>1733</v>
      </c>
      <c r="BA368" s="109" t="s">
        <v>1737</v>
      </c>
      <c r="BC368" s="100">
        <f t="shared" si="389"/>
        <v>0</v>
      </c>
      <c r="BD368" s="100">
        <f t="shared" si="390"/>
        <v>0</v>
      </c>
      <c r="BE368" s="100">
        <v>0</v>
      </c>
      <c r="BF368" s="100">
        <f>368</f>
        <v>368</v>
      </c>
      <c r="BH368" s="108">
        <f t="shared" si="391"/>
        <v>0</v>
      </c>
      <c r="BI368" s="108">
        <f t="shared" si="392"/>
        <v>0</v>
      </c>
      <c r="BJ368" s="108">
        <f t="shared" si="393"/>
        <v>0</v>
      </c>
    </row>
    <row r="369" spans="1:62" x14ac:dyDescent="0.2">
      <c r="A369" s="117" t="s">
        <v>329</v>
      </c>
      <c r="B369" s="117" t="s">
        <v>846</v>
      </c>
      <c r="C369" s="304" t="s">
        <v>1438</v>
      </c>
      <c r="D369" s="305"/>
      <c r="E369" s="305"/>
      <c r="F369" s="117" t="s">
        <v>1652</v>
      </c>
      <c r="G369" s="116">
        <v>1</v>
      </c>
      <c r="H369" s="159"/>
      <c r="I369" s="108">
        <f t="shared" si="370"/>
        <v>0</v>
      </c>
      <c r="J369" s="108">
        <f t="shared" si="371"/>
        <v>0</v>
      </c>
      <c r="K369" s="108">
        <f t="shared" si="372"/>
        <v>0</v>
      </c>
      <c r="L369" s="111"/>
      <c r="Z369" s="100">
        <f t="shared" si="373"/>
        <v>0</v>
      </c>
      <c r="AB369" s="100">
        <f t="shared" si="374"/>
        <v>0</v>
      </c>
      <c r="AC369" s="100">
        <f t="shared" si="375"/>
        <v>0</v>
      </c>
      <c r="AD369" s="100">
        <f t="shared" si="376"/>
        <v>0</v>
      </c>
      <c r="AE369" s="100">
        <f t="shared" si="377"/>
        <v>0</v>
      </c>
      <c r="AF369" s="100">
        <f t="shared" si="378"/>
        <v>0</v>
      </c>
      <c r="AG369" s="100">
        <f t="shared" si="379"/>
        <v>0</v>
      </c>
      <c r="AH369" s="100">
        <f t="shared" si="380"/>
        <v>0</v>
      </c>
      <c r="AI369" s="109"/>
      <c r="AJ369" s="108">
        <f t="shared" si="381"/>
        <v>0</v>
      </c>
      <c r="AK369" s="108">
        <f t="shared" si="382"/>
        <v>0</v>
      </c>
      <c r="AL369" s="108">
        <f t="shared" si="383"/>
        <v>0</v>
      </c>
      <c r="AN369" s="100">
        <v>15</v>
      </c>
      <c r="AO369" s="100">
        <f t="shared" si="384"/>
        <v>0</v>
      </c>
      <c r="AP369" s="100">
        <f t="shared" si="385"/>
        <v>0</v>
      </c>
      <c r="AQ369" s="111" t="s">
        <v>13</v>
      </c>
      <c r="AV369" s="100">
        <f t="shared" si="386"/>
        <v>0</v>
      </c>
      <c r="AW369" s="100">
        <f t="shared" si="387"/>
        <v>0</v>
      </c>
      <c r="AX369" s="100">
        <f t="shared" si="388"/>
        <v>0</v>
      </c>
      <c r="AY369" s="110" t="s">
        <v>1713</v>
      </c>
      <c r="AZ369" s="110" t="s">
        <v>1733</v>
      </c>
      <c r="BA369" s="109" t="s">
        <v>1737</v>
      </c>
      <c r="BC369" s="100">
        <f t="shared" si="389"/>
        <v>0</v>
      </c>
      <c r="BD369" s="100">
        <f t="shared" si="390"/>
        <v>0</v>
      </c>
      <c r="BE369" s="100">
        <v>0</v>
      </c>
      <c r="BF369" s="100">
        <f>369</f>
        <v>369</v>
      </c>
      <c r="BH369" s="108">
        <f t="shared" si="391"/>
        <v>0</v>
      </c>
      <c r="BI369" s="108">
        <f t="shared" si="392"/>
        <v>0</v>
      </c>
      <c r="BJ369" s="108">
        <f t="shared" si="393"/>
        <v>0</v>
      </c>
    </row>
    <row r="370" spans="1:62" x14ac:dyDescent="0.2">
      <c r="A370" s="117" t="s">
        <v>330</v>
      </c>
      <c r="B370" s="117" t="s">
        <v>847</v>
      </c>
      <c r="C370" s="304" t="s">
        <v>1439</v>
      </c>
      <c r="D370" s="305"/>
      <c r="E370" s="305"/>
      <c r="F370" s="117" t="s">
        <v>1652</v>
      </c>
      <c r="G370" s="116">
        <v>1</v>
      </c>
      <c r="H370" s="159"/>
      <c r="I370" s="108">
        <f t="shared" si="370"/>
        <v>0</v>
      </c>
      <c r="J370" s="108">
        <f t="shared" si="371"/>
        <v>0</v>
      </c>
      <c r="K370" s="108">
        <f t="shared" si="372"/>
        <v>0</v>
      </c>
      <c r="L370" s="111"/>
      <c r="Z370" s="100">
        <f t="shared" si="373"/>
        <v>0</v>
      </c>
      <c r="AB370" s="100">
        <f t="shared" si="374"/>
        <v>0</v>
      </c>
      <c r="AC370" s="100">
        <f t="shared" si="375"/>
        <v>0</v>
      </c>
      <c r="AD370" s="100">
        <f t="shared" si="376"/>
        <v>0</v>
      </c>
      <c r="AE370" s="100">
        <f t="shared" si="377"/>
        <v>0</v>
      </c>
      <c r="AF370" s="100">
        <f t="shared" si="378"/>
        <v>0</v>
      </c>
      <c r="AG370" s="100">
        <f t="shared" si="379"/>
        <v>0</v>
      </c>
      <c r="AH370" s="100">
        <f t="shared" si="380"/>
        <v>0</v>
      </c>
      <c r="AI370" s="109"/>
      <c r="AJ370" s="108">
        <f t="shared" si="381"/>
        <v>0</v>
      </c>
      <c r="AK370" s="108">
        <f t="shared" si="382"/>
        <v>0</v>
      </c>
      <c r="AL370" s="108">
        <f t="shared" si="383"/>
        <v>0</v>
      </c>
      <c r="AN370" s="100">
        <v>15</v>
      </c>
      <c r="AO370" s="100">
        <f t="shared" si="384"/>
        <v>0</v>
      </c>
      <c r="AP370" s="100">
        <f t="shared" si="385"/>
        <v>0</v>
      </c>
      <c r="AQ370" s="111" t="s">
        <v>13</v>
      </c>
      <c r="AV370" s="100">
        <f t="shared" si="386"/>
        <v>0</v>
      </c>
      <c r="AW370" s="100">
        <f t="shared" si="387"/>
        <v>0</v>
      </c>
      <c r="AX370" s="100">
        <f t="shared" si="388"/>
        <v>0</v>
      </c>
      <c r="AY370" s="110" t="s">
        <v>1713</v>
      </c>
      <c r="AZ370" s="110" t="s">
        <v>1733</v>
      </c>
      <c r="BA370" s="109" t="s">
        <v>1737</v>
      </c>
      <c r="BC370" s="100">
        <f t="shared" si="389"/>
        <v>0</v>
      </c>
      <c r="BD370" s="100">
        <f t="shared" si="390"/>
        <v>0</v>
      </c>
      <c r="BE370" s="100">
        <v>0</v>
      </c>
      <c r="BF370" s="100">
        <f>370</f>
        <v>370</v>
      </c>
      <c r="BH370" s="108">
        <f t="shared" si="391"/>
        <v>0</v>
      </c>
      <c r="BI370" s="108">
        <f t="shared" si="392"/>
        <v>0</v>
      </c>
      <c r="BJ370" s="108">
        <f t="shared" si="393"/>
        <v>0</v>
      </c>
    </row>
    <row r="371" spans="1:62" x14ac:dyDescent="0.2">
      <c r="A371" s="117" t="s">
        <v>331</v>
      </c>
      <c r="B371" s="117" t="s">
        <v>848</v>
      </c>
      <c r="C371" s="304" t="s">
        <v>1440</v>
      </c>
      <c r="D371" s="305"/>
      <c r="E371" s="305"/>
      <c r="F371" s="117" t="s">
        <v>1652</v>
      </c>
      <c r="G371" s="116">
        <v>1</v>
      </c>
      <c r="H371" s="159"/>
      <c r="I371" s="108">
        <f t="shared" si="370"/>
        <v>0</v>
      </c>
      <c r="J371" s="108">
        <f t="shared" si="371"/>
        <v>0</v>
      </c>
      <c r="K371" s="108">
        <f t="shared" si="372"/>
        <v>0</v>
      </c>
      <c r="L371" s="111"/>
      <c r="Z371" s="100">
        <f t="shared" si="373"/>
        <v>0</v>
      </c>
      <c r="AB371" s="100">
        <f t="shared" si="374"/>
        <v>0</v>
      </c>
      <c r="AC371" s="100">
        <f t="shared" si="375"/>
        <v>0</v>
      </c>
      <c r="AD371" s="100">
        <f t="shared" si="376"/>
        <v>0</v>
      </c>
      <c r="AE371" s="100">
        <f t="shared" si="377"/>
        <v>0</v>
      </c>
      <c r="AF371" s="100">
        <f t="shared" si="378"/>
        <v>0</v>
      </c>
      <c r="AG371" s="100">
        <f t="shared" si="379"/>
        <v>0</v>
      </c>
      <c r="AH371" s="100">
        <f t="shared" si="380"/>
        <v>0</v>
      </c>
      <c r="AI371" s="109"/>
      <c r="AJ371" s="108">
        <f t="shared" si="381"/>
        <v>0</v>
      </c>
      <c r="AK371" s="108">
        <f t="shared" si="382"/>
        <v>0</v>
      </c>
      <c r="AL371" s="108">
        <f t="shared" si="383"/>
        <v>0</v>
      </c>
      <c r="AN371" s="100">
        <v>15</v>
      </c>
      <c r="AO371" s="100">
        <f t="shared" si="384"/>
        <v>0</v>
      </c>
      <c r="AP371" s="100">
        <f t="shared" si="385"/>
        <v>0</v>
      </c>
      <c r="AQ371" s="111" t="s">
        <v>13</v>
      </c>
      <c r="AV371" s="100">
        <f t="shared" si="386"/>
        <v>0</v>
      </c>
      <c r="AW371" s="100">
        <f t="shared" si="387"/>
        <v>0</v>
      </c>
      <c r="AX371" s="100">
        <f t="shared" si="388"/>
        <v>0</v>
      </c>
      <c r="AY371" s="110" t="s">
        <v>1713</v>
      </c>
      <c r="AZ371" s="110" t="s">
        <v>1733</v>
      </c>
      <c r="BA371" s="109" t="s">
        <v>1737</v>
      </c>
      <c r="BC371" s="100">
        <f t="shared" si="389"/>
        <v>0</v>
      </c>
      <c r="BD371" s="100">
        <f t="shared" si="390"/>
        <v>0</v>
      </c>
      <c r="BE371" s="100">
        <v>0</v>
      </c>
      <c r="BF371" s="100">
        <f>371</f>
        <v>371</v>
      </c>
      <c r="BH371" s="108">
        <f t="shared" si="391"/>
        <v>0</v>
      </c>
      <c r="BI371" s="108">
        <f t="shared" si="392"/>
        <v>0</v>
      </c>
      <c r="BJ371" s="108">
        <f t="shared" si="393"/>
        <v>0</v>
      </c>
    </row>
    <row r="372" spans="1:62" x14ac:dyDescent="0.2">
      <c r="A372" s="117" t="s">
        <v>332</v>
      </c>
      <c r="B372" s="117" t="s">
        <v>849</v>
      </c>
      <c r="C372" s="304" t="s">
        <v>1441</v>
      </c>
      <c r="D372" s="305"/>
      <c r="E372" s="305"/>
      <c r="F372" s="117" t="s">
        <v>1652</v>
      </c>
      <c r="G372" s="116">
        <v>1</v>
      </c>
      <c r="H372" s="159"/>
      <c r="I372" s="108">
        <f t="shared" si="370"/>
        <v>0</v>
      </c>
      <c r="J372" s="108">
        <f t="shared" si="371"/>
        <v>0</v>
      </c>
      <c r="K372" s="108">
        <f t="shared" si="372"/>
        <v>0</v>
      </c>
      <c r="L372" s="111"/>
      <c r="Z372" s="100">
        <f t="shared" si="373"/>
        <v>0</v>
      </c>
      <c r="AB372" s="100">
        <f t="shared" si="374"/>
        <v>0</v>
      </c>
      <c r="AC372" s="100">
        <f t="shared" si="375"/>
        <v>0</v>
      </c>
      <c r="AD372" s="100">
        <f t="shared" si="376"/>
        <v>0</v>
      </c>
      <c r="AE372" s="100">
        <f t="shared" si="377"/>
        <v>0</v>
      </c>
      <c r="AF372" s="100">
        <f t="shared" si="378"/>
        <v>0</v>
      </c>
      <c r="AG372" s="100">
        <f t="shared" si="379"/>
        <v>0</v>
      </c>
      <c r="AH372" s="100">
        <f t="shared" si="380"/>
        <v>0</v>
      </c>
      <c r="AI372" s="109"/>
      <c r="AJ372" s="108">
        <f t="shared" si="381"/>
        <v>0</v>
      </c>
      <c r="AK372" s="108">
        <f t="shared" si="382"/>
        <v>0</v>
      </c>
      <c r="AL372" s="108">
        <f t="shared" si="383"/>
        <v>0</v>
      </c>
      <c r="AN372" s="100">
        <v>15</v>
      </c>
      <c r="AO372" s="100">
        <f t="shared" si="384"/>
        <v>0</v>
      </c>
      <c r="AP372" s="100">
        <f t="shared" si="385"/>
        <v>0</v>
      </c>
      <c r="AQ372" s="111" t="s">
        <v>13</v>
      </c>
      <c r="AV372" s="100">
        <f t="shared" si="386"/>
        <v>0</v>
      </c>
      <c r="AW372" s="100">
        <f t="shared" si="387"/>
        <v>0</v>
      </c>
      <c r="AX372" s="100">
        <f t="shared" si="388"/>
        <v>0</v>
      </c>
      <c r="AY372" s="110" t="s">
        <v>1713</v>
      </c>
      <c r="AZ372" s="110" t="s">
        <v>1733</v>
      </c>
      <c r="BA372" s="109" t="s">
        <v>1737</v>
      </c>
      <c r="BC372" s="100">
        <f t="shared" si="389"/>
        <v>0</v>
      </c>
      <c r="BD372" s="100">
        <f t="shared" si="390"/>
        <v>0</v>
      </c>
      <c r="BE372" s="100">
        <v>0</v>
      </c>
      <c r="BF372" s="100">
        <f>372</f>
        <v>372</v>
      </c>
      <c r="BH372" s="108">
        <f t="shared" si="391"/>
        <v>0</v>
      </c>
      <c r="BI372" s="108">
        <f t="shared" si="392"/>
        <v>0</v>
      </c>
      <c r="BJ372" s="108">
        <f t="shared" si="393"/>
        <v>0</v>
      </c>
    </row>
    <row r="373" spans="1:62" x14ac:dyDescent="0.2">
      <c r="A373" s="117" t="s">
        <v>333</v>
      </c>
      <c r="B373" s="117" t="s">
        <v>850</v>
      </c>
      <c r="C373" s="304" t="s">
        <v>1442</v>
      </c>
      <c r="D373" s="305"/>
      <c r="E373" s="305"/>
      <c r="F373" s="117" t="s">
        <v>1652</v>
      </c>
      <c r="G373" s="116">
        <v>1</v>
      </c>
      <c r="H373" s="159"/>
      <c r="I373" s="108">
        <f t="shared" si="370"/>
        <v>0</v>
      </c>
      <c r="J373" s="108">
        <f t="shared" si="371"/>
        <v>0</v>
      </c>
      <c r="K373" s="108">
        <f t="shared" si="372"/>
        <v>0</v>
      </c>
      <c r="L373" s="111"/>
      <c r="Z373" s="100">
        <f t="shared" si="373"/>
        <v>0</v>
      </c>
      <c r="AB373" s="100">
        <f t="shared" si="374"/>
        <v>0</v>
      </c>
      <c r="AC373" s="100">
        <f t="shared" si="375"/>
        <v>0</v>
      </c>
      <c r="AD373" s="100">
        <f t="shared" si="376"/>
        <v>0</v>
      </c>
      <c r="AE373" s="100">
        <f t="shared" si="377"/>
        <v>0</v>
      </c>
      <c r="AF373" s="100">
        <f t="shared" si="378"/>
        <v>0</v>
      </c>
      <c r="AG373" s="100">
        <f t="shared" si="379"/>
        <v>0</v>
      </c>
      <c r="AH373" s="100">
        <f t="shared" si="380"/>
        <v>0</v>
      </c>
      <c r="AI373" s="109"/>
      <c r="AJ373" s="108">
        <f t="shared" si="381"/>
        <v>0</v>
      </c>
      <c r="AK373" s="108">
        <f t="shared" si="382"/>
        <v>0</v>
      </c>
      <c r="AL373" s="108">
        <f t="shared" si="383"/>
        <v>0</v>
      </c>
      <c r="AN373" s="100">
        <v>15</v>
      </c>
      <c r="AO373" s="100">
        <f t="shared" si="384"/>
        <v>0</v>
      </c>
      <c r="AP373" s="100">
        <f t="shared" si="385"/>
        <v>0</v>
      </c>
      <c r="AQ373" s="111" t="s">
        <v>13</v>
      </c>
      <c r="AV373" s="100">
        <f t="shared" si="386"/>
        <v>0</v>
      </c>
      <c r="AW373" s="100">
        <f t="shared" si="387"/>
        <v>0</v>
      </c>
      <c r="AX373" s="100">
        <f t="shared" si="388"/>
        <v>0</v>
      </c>
      <c r="AY373" s="110" t="s">
        <v>1713</v>
      </c>
      <c r="AZ373" s="110" t="s">
        <v>1733</v>
      </c>
      <c r="BA373" s="109" t="s">
        <v>1737</v>
      </c>
      <c r="BC373" s="100">
        <f t="shared" si="389"/>
        <v>0</v>
      </c>
      <c r="BD373" s="100">
        <f t="shared" si="390"/>
        <v>0</v>
      </c>
      <c r="BE373" s="100">
        <v>0</v>
      </c>
      <c r="BF373" s="100">
        <f>373</f>
        <v>373</v>
      </c>
      <c r="BH373" s="108">
        <f t="shared" si="391"/>
        <v>0</v>
      </c>
      <c r="BI373" s="108">
        <f t="shared" si="392"/>
        <v>0</v>
      </c>
      <c r="BJ373" s="108">
        <f t="shared" si="393"/>
        <v>0</v>
      </c>
    </row>
    <row r="374" spans="1:62" x14ac:dyDescent="0.2">
      <c r="A374" s="117" t="s">
        <v>334</v>
      </c>
      <c r="B374" s="117" t="s">
        <v>851</v>
      </c>
      <c r="C374" s="304" t="s">
        <v>1443</v>
      </c>
      <c r="D374" s="305"/>
      <c r="E374" s="305"/>
      <c r="F374" s="117" t="s">
        <v>1645</v>
      </c>
      <c r="G374" s="116">
        <v>17</v>
      </c>
      <c r="H374" s="159"/>
      <c r="I374" s="108">
        <f t="shared" si="370"/>
        <v>0</v>
      </c>
      <c r="J374" s="108">
        <f t="shared" si="371"/>
        <v>0</v>
      </c>
      <c r="K374" s="108">
        <f t="shared" si="372"/>
        <v>0</v>
      </c>
      <c r="L374" s="111"/>
      <c r="Z374" s="100">
        <f t="shared" si="373"/>
        <v>0</v>
      </c>
      <c r="AB374" s="100">
        <f t="shared" si="374"/>
        <v>0</v>
      </c>
      <c r="AC374" s="100">
        <f t="shared" si="375"/>
        <v>0</v>
      </c>
      <c r="AD374" s="100">
        <f t="shared" si="376"/>
        <v>0</v>
      </c>
      <c r="AE374" s="100">
        <f t="shared" si="377"/>
        <v>0</v>
      </c>
      <c r="AF374" s="100">
        <f t="shared" si="378"/>
        <v>0</v>
      </c>
      <c r="AG374" s="100">
        <f t="shared" si="379"/>
        <v>0</v>
      </c>
      <c r="AH374" s="100">
        <f t="shared" si="380"/>
        <v>0</v>
      </c>
      <c r="AI374" s="109"/>
      <c r="AJ374" s="108">
        <f t="shared" si="381"/>
        <v>0</v>
      </c>
      <c r="AK374" s="108">
        <f t="shared" si="382"/>
        <v>0</v>
      </c>
      <c r="AL374" s="108">
        <f t="shared" si="383"/>
        <v>0</v>
      </c>
      <c r="AN374" s="100">
        <v>15</v>
      </c>
      <c r="AO374" s="100">
        <f t="shared" si="384"/>
        <v>0</v>
      </c>
      <c r="AP374" s="100">
        <f t="shared" si="385"/>
        <v>0</v>
      </c>
      <c r="AQ374" s="111" t="s">
        <v>13</v>
      </c>
      <c r="AV374" s="100">
        <f t="shared" si="386"/>
        <v>0</v>
      </c>
      <c r="AW374" s="100">
        <f t="shared" si="387"/>
        <v>0</v>
      </c>
      <c r="AX374" s="100">
        <f t="shared" si="388"/>
        <v>0</v>
      </c>
      <c r="AY374" s="110" t="s">
        <v>1713</v>
      </c>
      <c r="AZ374" s="110" t="s">
        <v>1733</v>
      </c>
      <c r="BA374" s="109" t="s">
        <v>1737</v>
      </c>
      <c r="BC374" s="100">
        <f t="shared" si="389"/>
        <v>0</v>
      </c>
      <c r="BD374" s="100">
        <f t="shared" si="390"/>
        <v>0</v>
      </c>
      <c r="BE374" s="100">
        <v>0</v>
      </c>
      <c r="BF374" s="100">
        <f>374</f>
        <v>374</v>
      </c>
      <c r="BH374" s="108">
        <f t="shared" si="391"/>
        <v>0</v>
      </c>
      <c r="BI374" s="108">
        <f t="shared" si="392"/>
        <v>0</v>
      </c>
      <c r="BJ374" s="108">
        <f t="shared" si="393"/>
        <v>0</v>
      </c>
    </row>
    <row r="375" spans="1:62" x14ac:dyDescent="0.2">
      <c r="A375" s="117" t="s">
        <v>335</v>
      </c>
      <c r="B375" s="117" t="s">
        <v>852</v>
      </c>
      <c r="C375" s="304" t="s">
        <v>1444</v>
      </c>
      <c r="D375" s="305"/>
      <c r="E375" s="305"/>
      <c r="F375" s="117" t="s">
        <v>1647</v>
      </c>
      <c r="G375" s="116">
        <v>17</v>
      </c>
      <c r="H375" s="159"/>
      <c r="I375" s="108">
        <f t="shared" si="370"/>
        <v>0</v>
      </c>
      <c r="J375" s="108">
        <f t="shared" si="371"/>
        <v>0</v>
      </c>
      <c r="K375" s="108">
        <f t="shared" si="372"/>
        <v>0</v>
      </c>
      <c r="L375" s="111"/>
      <c r="Z375" s="100">
        <f t="shared" si="373"/>
        <v>0</v>
      </c>
      <c r="AB375" s="100">
        <f t="shared" si="374"/>
        <v>0</v>
      </c>
      <c r="AC375" s="100">
        <f t="shared" si="375"/>
        <v>0</v>
      </c>
      <c r="AD375" s="100">
        <f t="shared" si="376"/>
        <v>0</v>
      </c>
      <c r="AE375" s="100">
        <f t="shared" si="377"/>
        <v>0</v>
      </c>
      <c r="AF375" s="100">
        <f t="shared" si="378"/>
        <v>0</v>
      </c>
      <c r="AG375" s="100">
        <f t="shared" si="379"/>
        <v>0</v>
      </c>
      <c r="AH375" s="100">
        <f t="shared" si="380"/>
        <v>0</v>
      </c>
      <c r="AI375" s="109"/>
      <c r="AJ375" s="108">
        <f t="shared" si="381"/>
        <v>0</v>
      </c>
      <c r="AK375" s="108">
        <f t="shared" si="382"/>
        <v>0</v>
      </c>
      <c r="AL375" s="108">
        <f t="shared" si="383"/>
        <v>0</v>
      </c>
      <c r="AN375" s="100">
        <v>15</v>
      </c>
      <c r="AO375" s="100">
        <f t="shared" si="384"/>
        <v>0</v>
      </c>
      <c r="AP375" s="100">
        <f t="shared" si="385"/>
        <v>0</v>
      </c>
      <c r="AQ375" s="111" t="s">
        <v>13</v>
      </c>
      <c r="AV375" s="100">
        <f t="shared" si="386"/>
        <v>0</v>
      </c>
      <c r="AW375" s="100">
        <f t="shared" si="387"/>
        <v>0</v>
      </c>
      <c r="AX375" s="100">
        <f t="shared" si="388"/>
        <v>0</v>
      </c>
      <c r="AY375" s="110" t="s">
        <v>1713</v>
      </c>
      <c r="AZ375" s="110" t="s">
        <v>1733</v>
      </c>
      <c r="BA375" s="109" t="s">
        <v>1737</v>
      </c>
      <c r="BC375" s="100">
        <f t="shared" si="389"/>
        <v>0</v>
      </c>
      <c r="BD375" s="100">
        <f t="shared" si="390"/>
        <v>0</v>
      </c>
      <c r="BE375" s="100">
        <v>0</v>
      </c>
      <c r="BF375" s="100">
        <f>375</f>
        <v>375</v>
      </c>
      <c r="BH375" s="108">
        <f t="shared" si="391"/>
        <v>0</v>
      </c>
      <c r="BI375" s="108">
        <f t="shared" si="392"/>
        <v>0</v>
      </c>
      <c r="BJ375" s="108">
        <f t="shared" si="393"/>
        <v>0</v>
      </c>
    </row>
    <row r="376" spans="1:62" x14ac:dyDescent="0.2">
      <c r="A376" s="117" t="s">
        <v>336</v>
      </c>
      <c r="B376" s="117" t="s">
        <v>853</v>
      </c>
      <c r="C376" s="304" t="s">
        <v>1445</v>
      </c>
      <c r="D376" s="305"/>
      <c r="E376" s="305"/>
      <c r="F376" s="117" t="s">
        <v>1647</v>
      </c>
      <c r="G376" s="116">
        <v>1</v>
      </c>
      <c r="H376" s="159"/>
      <c r="I376" s="108">
        <f t="shared" si="370"/>
        <v>0</v>
      </c>
      <c r="J376" s="108">
        <f t="shared" si="371"/>
        <v>0</v>
      </c>
      <c r="K376" s="108">
        <f t="shared" si="372"/>
        <v>0</v>
      </c>
      <c r="L376" s="111"/>
      <c r="Z376" s="100">
        <f t="shared" si="373"/>
        <v>0</v>
      </c>
      <c r="AB376" s="100">
        <f t="shared" si="374"/>
        <v>0</v>
      </c>
      <c r="AC376" s="100">
        <f t="shared" si="375"/>
        <v>0</v>
      </c>
      <c r="AD376" s="100">
        <f t="shared" si="376"/>
        <v>0</v>
      </c>
      <c r="AE376" s="100">
        <f t="shared" si="377"/>
        <v>0</v>
      </c>
      <c r="AF376" s="100">
        <f t="shared" si="378"/>
        <v>0</v>
      </c>
      <c r="AG376" s="100">
        <f t="shared" si="379"/>
        <v>0</v>
      </c>
      <c r="AH376" s="100">
        <f t="shared" si="380"/>
        <v>0</v>
      </c>
      <c r="AI376" s="109"/>
      <c r="AJ376" s="108">
        <f t="shared" si="381"/>
        <v>0</v>
      </c>
      <c r="AK376" s="108">
        <f t="shared" si="382"/>
        <v>0</v>
      </c>
      <c r="AL376" s="108">
        <f t="shared" si="383"/>
        <v>0</v>
      </c>
      <c r="AN376" s="100">
        <v>15</v>
      </c>
      <c r="AO376" s="100">
        <f t="shared" si="384"/>
        <v>0</v>
      </c>
      <c r="AP376" s="100">
        <f t="shared" si="385"/>
        <v>0</v>
      </c>
      <c r="AQ376" s="111" t="s">
        <v>13</v>
      </c>
      <c r="AV376" s="100">
        <f t="shared" si="386"/>
        <v>0</v>
      </c>
      <c r="AW376" s="100">
        <f t="shared" si="387"/>
        <v>0</v>
      </c>
      <c r="AX376" s="100">
        <f t="shared" si="388"/>
        <v>0</v>
      </c>
      <c r="AY376" s="110" t="s">
        <v>1713</v>
      </c>
      <c r="AZ376" s="110" t="s">
        <v>1733</v>
      </c>
      <c r="BA376" s="109" t="s">
        <v>1737</v>
      </c>
      <c r="BC376" s="100">
        <f t="shared" si="389"/>
        <v>0</v>
      </c>
      <c r="BD376" s="100">
        <f t="shared" si="390"/>
        <v>0</v>
      </c>
      <c r="BE376" s="100">
        <v>0</v>
      </c>
      <c r="BF376" s="100">
        <f>376</f>
        <v>376</v>
      </c>
      <c r="BH376" s="108">
        <f t="shared" si="391"/>
        <v>0</v>
      </c>
      <c r="BI376" s="108">
        <f t="shared" si="392"/>
        <v>0</v>
      </c>
      <c r="BJ376" s="108">
        <f t="shared" si="393"/>
        <v>0</v>
      </c>
    </row>
    <row r="377" spans="1:62" x14ac:dyDescent="0.2">
      <c r="A377" s="117" t="s">
        <v>337</v>
      </c>
      <c r="B377" s="117" t="s">
        <v>854</v>
      </c>
      <c r="C377" s="304" t="s">
        <v>1446</v>
      </c>
      <c r="D377" s="305"/>
      <c r="E377" s="305"/>
      <c r="F377" s="117" t="s">
        <v>1647</v>
      </c>
      <c r="G377" s="116">
        <v>18</v>
      </c>
      <c r="H377" s="159"/>
      <c r="I377" s="108">
        <f t="shared" si="370"/>
        <v>0</v>
      </c>
      <c r="J377" s="108">
        <f t="shared" si="371"/>
        <v>0</v>
      </c>
      <c r="K377" s="108">
        <f t="shared" si="372"/>
        <v>0</v>
      </c>
      <c r="L377" s="111"/>
      <c r="Z377" s="100">
        <f t="shared" si="373"/>
        <v>0</v>
      </c>
      <c r="AB377" s="100">
        <f t="shared" si="374"/>
        <v>0</v>
      </c>
      <c r="AC377" s="100">
        <f t="shared" si="375"/>
        <v>0</v>
      </c>
      <c r="AD377" s="100">
        <f t="shared" si="376"/>
        <v>0</v>
      </c>
      <c r="AE377" s="100">
        <f t="shared" si="377"/>
        <v>0</v>
      </c>
      <c r="AF377" s="100">
        <f t="shared" si="378"/>
        <v>0</v>
      </c>
      <c r="AG377" s="100">
        <f t="shared" si="379"/>
        <v>0</v>
      </c>
      <c r="AH377" s="100">
        <f t="shared" si="380"/>
        <v>0</v>
      </c>
      <c r="AI377" s="109"/>
      <c r="AJ377" s="108">
        <f t="shared" si="381"/>
        <v>0</v>
      </c>
      <c r="AK377" s="108">
        <f t="shared" si="382"/>
        <v>0</v>
      </c>
      <c r="AL377" s="108">
        <f t="shared" si="383"/>
        <v>0</v>
      </c>
      <c r="AN377" s="100">
        <v>15</v>
      </c>
      <c r="AO377" s="100">
        <f t="shared" si="384"/>
        <v>0</v>
      </c>
      <c r="AP377" s="100">
        <f t="shared" si="385"/>
        <v>0</v>
      </c>
      <c r="AQ377" s="111" t="s">
        <v>13</v>
      </c>
      <c r="AV377" s="100">
        <f t="shared" si="386"/>
        <v>0</v>
      </c>
      <c r="AW377" s="100">
        <f t="shared" si="387"/>
        <v>0</v>
      </c>
      <c r="AX377" s="100">
        <f t="shared" si="388"/>
        <v>0</v>
      </c>
      <c r="AY377" s="110" t="s">
        <v>1713</v>
      </c>
      <c r="AZ377" s="110" t="s">
        <v>1733</v>
      </c>
      <c r="BA377" s="109" t="s">
        <v>1737</v>
      </c>
      <c r="BC377" s="100">
        <f t="shared" si="389"/>
        <v>0</v>
      </c>
      <c r="BD377" s="100">
        <f t="shared" si="390"/>
        <v>0</v>
      </c>
      <c r="BE377" s="100">
        <v>0</v>
      </c>
      <c r="BF377" s="100">
        <f>377</f>
        <v>377</v>
      </c>
      <c r="BH377" s="108">
        <f t="shared" si="391"/>
        <v>0</v>
      </c>
      <c r="BI377" s="108">
        <f t="shared" si="392"/>
        <v>0</v>
      </c>
      <c r="BJ377" s="108">
        <f t="shared" si="393"/>
        <v>0</v>
      </c>
    </row>
    <row r="378" spans="1:62" x14ac:dyDescent="0.2">
      <c r="A378" s="117" t="s">
        <v>338</v>
      </c>
      <c r="B378" s="117" t="s">
        <v>855</v>
      </c>
      <c r="C378" s="304" t="s">
        <v>1447</v>
      </c>
      <c r="D378" s="305"/>
      <c r="E378" s="305"/>
      <c r="F378" s="117" t="s">
        <v>1647</v>
      </c>
      <c r="G378" s="116">
        <v>18</v>
      </c>
      <c r="H378" s="159"/>
      <c r="I378" s="108">
        <f t="shared" si="370"/>
        <v>0</v>
      </c>
      <c r="J378" s="108">
        <f t="shared" si="371"/>
        <v>0</v>
      </c>
      <c r="K378" s="108">
        <f t="shared" si="372"/>
        <v>0</v>
      </c>
      <c r="L378" s="111"/>
      <c r="Z378" s="100">
        <f t="shared" si="373"/>
        <v>0</v>
      </c>
      <c r="AB378" s="100">
        <f t="shared" si="374"/>
        <v>0</v>
      </c>
      <c r="AC378" s="100">
        <f t="shared" si="375"/>
        <v>0</v>
      </c>
      <c r="AD378" s="100">
        <f t="shared" si="376"/>
        <v>0</v>
      </c>
      <c r="AE378" s="100">
        <f t="shared" si="377"/>
        <v>0</v>
      </c>
      <c r="AF378" s="100">
        <f t="shared" si="378"/>
        <v>0</v>
      </c>
      <c r="AG378" s="100">
        <f t="shared" si="379"/>
        <v>0</v>
      </c>
      <c r="AH378" s="100">
        <f t="shared" si="380"/>
        <v>0</v>
      </c>
      <c r="AI378" s="109"/>
      <c r="AJ378" s="108">
        <f t="shared" si="381"/>
        <v>0</v>
      </c>
      <c r="AK378" s="108">
        <f t="shared" si="382"/>
        <v>0</v>
      </c>
      <c r="AL378" s="108">
        <f t="shared" si="383"/>
        <v>0</v>
      </c>
      <c r="AN378" s="100">
        <v>15</v>
      </c>
      <c r="AO378" s="100">
        <f t="shared" si="384"/>
        <v>0</v>
      </c>
      <c r="AP378" s="100">
        <f t="shared" si="385"/>
        <v>0</v>
      </c>
      <c r="AQ378" s="111" t="s">
        <v>13</v>
      </c>
      <c r="AV378" s="100">
        <f t="shared" si="386"/>
        <v>0</v>
      </c>
      <c r="AW378" s="100">
        <f t="shared" si="387"/>
        <v>0</v>
      </c>
      <c r="AX378" s="100">
        <f t="shared" si="388"/>
        <v>0</v>
      </c>
      <c r="AY378" s="110" t="s">
        <v>1713</v>
      </c>
      <c r="AZ378" s="110" t="s">
        <v>1733</v>
      </c>
      <c r="BA378" s="109" t="s">
        <v>1737</v>
      </c>
      <c r="BC378" s="100">
        <f t="shared" si="389"/>
        <v>0</v>
      </c>
      <c r="BD378" s="100">
        <f t="shared" si="390"/>
        <v>0</v>
      </c>
      <c r="BE378" s="100">
        <v>0</v>
      </c>
      <c r="BF378" s="100">
        <f>378</f>
        <v>378</v>
      </c>
      <c r="BH378" s="108">
        <f t="shared" si="391"/>
        <v>0</v>
      </c>
      <c r="BI378" s="108">
        <f t="shared" si="392"/>
        <v>0</v>
      </c>
      <c r="BJ378" s="108">
        <f t="shared" si="393"/>
        <v>0</v>
      </c>
    </row>
    <row r="379" spans="1:62" x14ac:dyDescent="0.2">
      <c r="A379" s="117" t="s">
        <v>339</v>
      </c>
      <c r="B379" s="117" t="s">
        <v>856</v>
      </c>
      <c r="C379" s="304" t="s">
        <v>1448</v>
      </c>
      <c r="D379" s="305"/>
      <c r="E379" s="305"/>
      <c r="F379" s="117" t="s">
        <v>1647</v>
      </c>
      <c r="G379" s="116">
        <v>4</v>
      </c>
      <c r="H379" s="159"/>
      <c r="I379" s="108">
        <f t="shared" si="370"/>
        <v>0</v>
      </c>
      <c r="J379" s="108">
        <f t="shared" si="371"/>
        <v>0</v>
      </c>
      <c r="K379" s="108">
        <f t="shared" si="372"/>
        <v>0</v>
      </c>
      <c r="L379" s="111"/>
      <c r="Z379" s="100">
        <f t="shared" si="373"/>
        <v>0</v>
      </c>
      <c r="AB379" s="100">
        <f t="shared" si="374"/>
        <v>0</v>
      </c>
      <c r="AC379" s="100">
        <f t="shared" si="375"/>
        <v>0</v>
      </c>
      <c r="AD379" s="100">
        <f t="shared" si="376"/>
        <v>0</v>
      </c>
      <c r="AE379" s="100">
        <f t="shared" si="377"/>
        <v>0</v>
      </c>
      <c r="AF379" s="100">
        <f t="shared" si="378"/>
        <v>0</v>
      </c>
      <c r="AG379" s="100">
        <f t="shared" si="379"/>
        <v>0</v>
      </c>
      <c r="AH379" s="100">
        <f t="shared" si="380"/>
        <v>0</v>
      </c>
      <c r="AI379" s="109"/>
      <c r="AJ379" s="108">
        <f t="shared" si="381"/>
        <v>0</v>
      </c>
      <c r="AK379" s="108">
        <f t="shared" si="382"/>
        <v>0</v>
      </c>
      <c r="AL379" s="108">
        <f t="shared" si="383"/>
        <v>0</v>
      </c>
      <c r="AN379" s="100">
        <v>15</v>
      </c>
      <c r="AO379" s="100">
        <f t="shared" si="384"/>
        <v>0</v>
      </c>
      <c r="AP379" s="100">
        <f t="shared" si="385"/>
        <v>0</v>
      </c>
      <c r="AQ379" s="111" t="s">
        <v>13</v>
      </c>
      <c r="AV379" s="100">
        <f t="shared" si="386"/>
        <v>0</v>
      </c>
      <c r="AW379" s="100">
        <f t="shared" si="387"/>
        <v>0</v>
      </c>
      <c r="AX379" s="100">
        <f t="shared" si="388"/>
        <v>0</v>
      </c>
      <c r="AY379" s="110" t="s">
        <v>1713</v>
      </c>
      <c r="AZ379" s="110" t="s">
        <v>1733</v>
      </c>
      <c r="BA379" s="109" t="s">
        <v>1737</v>
      </c>
      <c r="BC379" s="100">
        <f t="shared" si="389"/>
        <v>0</v>
      </c>
      <c r="BD379" s="100">
        <f t="shared" si="390"/>
        <v>0</v>
      </c>
      <c r="BE379" s="100">
        <v>0</v>
      </c>
      <c r="BF379" s="100">
        <f>379</f>
        <v>379</v>
      </c>
      <c r="BH379" s="108">
        <f t="shared" si="391"/>
        <v>0</v>
      </c>
      <c r="BI379" s="108">
        <f t="shared" si="392"/>
        <v>0</v>
      </c>
      <c r="BJ379" s="108">
        <f t="shared" si="393"/>
        <v>0</v>
      </c>
    </row>
    <row r="380" spans="1:62" x14ac:dyDescent="0.2">
      <c r="A380" s="117" t="s">
        <v>340</v>
      </c>
      <c r="B380" s="117" t="s">
        <v>857</v>
      </c>
      <c r="C380" s="304" t="s">
        <v>1449</v>
      </c>
      <c r="D380" s="305"/>
      <c r="E380" s="305"/>
      <c r="F380" s="117" t="s">
        <v>1647</v>
      </c>
      <c r="G380" s="116">
        <v>8</v>
      </c>
      <c r="H380" s="159"/>
      <c r="I380" s="108">
        <f t="shared" si="370"/>
        <v>0</v>
      </c>
      <c r="J380" s="108">
        <f t="shared" si="371"/>
        <v>0</v>
      </c>
      <c r="K380" s="108">
        <f t="shared" si="372"/>
        <v>0</v>
      </c>
      <c r="L380" s="111"/>
      <c r="Z380" s="100">
        <f t="shared" si="373"/>
        <v>0</v>
      </c>
      <c r="AB380" s="100">
        <f t="shared" si="374"/>
        <v>0</v>
      </c>
      <c r="AC380" s="100">
        <f t="shared" si="375"/>
        <v>0</v>
      </c>
      <c r="AD380" s="100">
        <f t="shared" si="376"/>
        <v>0</v>
      </c>
      <c r="AE380" s="100">
        <f t="shared" si="377"/>
        <v>0</v>
      </c>
      <c r="AF380" s="100">
        <f t="shared" si="378"/>
        <v>0</v>
      </c>
      <c r="AG380" s="100">
        <f t="shared" si="379"/>
        <v>0</v>
      </c>
      <c r="AH380" s="100">
        <f t="shared" si="380"/>
        <v>0</v>
      </c>
      <c r="AI380" s="109"/>
      <c r="AJ380" s="108">
        <f t="shared" si="381"/>
        <v>0</v>
      </c>
      <c r="AK380" s="108">
        <f t="shared" si="382"/>
        <v>0</v>
      </c>
      <c r="AL380" s="108">
        <f t="shared" si="383"/>
        <v>0</v>
      </c>
      <c r="AN380" s="100">
        <v>15</v>
      </c>
      <c r="AO380" s="100">
        <f t="shared" si="384"/>
        <v>0</v>
      </c>
      <c r="AP380" s="100">
        <f t="shared" si="385"/>
        <v>0</v>
      </c>
      <c r="AQ380" s="111" t="s">
        <v>13</v>
      </c>
      <c r="AV380" s="100">
        <f t="shared" si="386"/>
        <v>0</v>
      </c>
      <c r="AW380" s="100">
        <f t="shared" si="387"/>
        <v>0</v>
      </c>
      <c r="AX380" s="100">
        <f t="shared" si="388"/>
        <v>0</v>
      </c>
      <c r="AY380" s="110" t="s">
        <v>1713</v>
      </c>
      <c r="AZ380" s="110" t="s">
        <v>1733</v>
      </c>
      <c r="BA380" s="109" t="s">
        <v>1737</v>
      </c>
      <c r="BC380" s="100">
        <f t="shared" si="389"/>
        <v>0</v>
      </c>
      <c r="BD380" s="100">
        <f t="shared" si="390"/>
        <v>0</v>
      </c>
      <c r="BE380" s="100">
        <v>0</v>
      </c>
      <c r="BF380" s="100">
        <f>380</f>
        <v>380</v>
      </c>
      <c r="BH380" s="108">
        <f t="shared" si="391"/>
        <v>0</v>
      </c>
      <c r="BI380" s="108">
        <f t="shared" si="392"/>
        <v>0</v>
      </c>
      <c r="BJ380" s="108">
        <f t="shared" si="393"/>
        <v>0</v>
      </c>
    </row>
    <row r="381" spans="1:62" x14ac:dyDescent="0.2">
      <c r="A381" s="117" t="s">
        <v>341</v>
      </c>
      <c r="B381" s="117" t="s">
        <v>858</v>
      </c>
      <c r="C381" s="304" t="s">
        <v>1450</v>
      </c>
      <c r="D381" s="305"/>
      <c r="E381" s="305"/>
      <c r="F381" s="117" t="s">
        <v>1647</v>
      </c>
      <c r="G381" s="116">
        <v>4</v>
      </c>
      <c r="H381" s="159"/>
      <c r="I381" s="108">
        <f t="shared" si="370"/>
        <v>0</v>
      </c>
      <c r="J381" s="108">
        <f t="shared" si="371"/>
        <v>0</v>
      </c>
      <c r="K381" s="108">
        <f t="shared" si="372"/>
        <v>0</v>
      </c>
      <c r="L381" s="111"/>
      <c r="Z381" s="100">
        <f t="shared" si="373"/>
        <v>0</v>
      </c>
      <c r="AB381" s="100">
        <f t="shared" si="374"/>
        <v>0</v>
      </c>
      <c r="AC381" s="100">
        <f t="shared" si="375"/>
        <v>0</v>
      </c>
      <c r="AD381" s="100">
        <f t="shared" si="376"/>
        <v>0</v>
      </c>
      <c r="AE381" s="100">
        <f t="shared" si="377"/>
        <v>0</v>
      </c>
      <c r="AF381" s="100">
        <f t="shared" si="378"/>
        <v>0</v>
      </c>
      <c r="AG381" s="100">
        <f t="shared" si="379"/>
        <v>0</v>
      </c>
      <c r="AH381" s="100">
        <f t="shared" si="380"/>
        <v>0</v>
      </c>
      <c r="AI381" s="109"/>
      <c r="AJ381" s="108">
        <f t="shared" si="381"/>
        <v>0</v>
      </c>
      <c r="AK381" s="108">
        <f t="shared" si="382"/>
        <v>0</v>
      </c>
      <c r="AL381" s="108">
        <f t="shared" si="383"/>
        <v>0</v>
      </c>
      <c r="AN381" s="100">
        <v>15</v>
      </c>
      <c r="AO381" s="100">
        <f t="shared" si="384"/>
        <v>0</v>
      </c>
      <c r="AP381" s="100">
        <f t="shared" si="385"/>
        <v>0</v>
      </c>
      <c r="AQ381" s="111" t="s">
        <v>13</v>
      </c>
      <c r="AV381" s="100">
        <f t="shared" si="386"/>
        <v>0</v>
      </c>
      <c r="AW381" s="100">
        <f t="shared" si="387"/>
        <v>0</v>
      </c>
      <c r="AX381" s="100">
        <f t="shared" si="388"/>
        <v>0</v>
      </c>
      <c r="AY381" s="110" t="s">
        <v>1713</v>
      </c>
      <c r="AZ381" s="110" t="s">
        <v>1733</v>
      </c>
      <c r="BA381" s="109" t="s">
        <v>1737</v>
      </c>
      <c r="BC381" s="100">
        <f t="shared" si="389"/>
        <v>0</v>
      </c>
      <c r="BD381" s="100">
        <f t="shared" si="390"/>
        <v>0</v>
      </c>
      <c r="BE381" s="100">
        <v>0</v>
      </c>
      <c r="BF381" s="100">
        <f>381</f>
        <v>381</v>
      </c>
      <c r="BH381" s="108">
        <f t="shared" si="391"/>
        <v>0</v>
      </c>
      <c r="BI381" s="108">
        <f t="shared" si="392"/>
        <v>0</v>
      </c>
      <c r="BJ381" s="108">
        <f t="shared" si="393"/>
        <v>0</v>
      </c>
    </row>
    <row r="382" spans="1:62" x14ac:dyDescent="0.2">
      <c r="A382" s="117" t="s">
        <v>342</v>
      </c>
      <c r="B382" s="117" t="s">
        <v>859</v>
      </c>
      <c r="C382" s="304" t="s">
        <v>1451</v>
      </c>
      <c r="D382" s="305"/>
      <c r="E382" s="305"/>
      <c r="F382" s="117" t="s">
        <v>1647</v>
      </c>
      <c r="G382" s="116">
        <v>18</v>
      </c>
      <c r="H382" s="159"/>
      <c r="I382" s="108">
        <f t="shared" si="370"/>
        <v>0</v>
      </c>
      <c r="J382" s="108">
        <f t="shared" si="371"/>
        <v>0</v>
      </c>
      <c r="K382" s="108">
        <f t="shared" si="372"/>
        <v>0</v>
      </c>
      <c r="L382" s="111"/>
      <c r="Z382" s="100">
        <f t="shared" si="373"/>
        <v>0</v>
      </c>
      <c r="AB382" s="100">
        <f t="shared" si="374"/>
        <v>0</v>
      </c>
      <c r="AC382" s="100">
        <f t="shared" si="375"/>
        <v>0</v>
      </c>
      <c r="AD382" s="100">
        <f t="shared" si="376"/>
        <v>0</v>
      </c>
      <c r="AE382" s="100">
        <f t="shared" si="377"/>
        <v>0</v>
      </c>
      <c r="AF382" s="100">
        <f t="shared" si="378"/>
        <v>0</v>
      </c>
      <c r="AG382" s="100">
        <f t="shared" si="379"/>
        <v>0</v>
      </c>
      <c r="AH382" s="100">
        <f t="shared" si="380"/>
        <v>0</v>
      </c>
      <c r="AI382" s="109"/>
      <c r="AJ382" s="108">
        <f t="shared" si="381"/>
        <v>0</v>
      </c>
      <c r="AK382" s="108">
        <f t="shared" si="382"/>
        <v>0</v>
      </c>
      <c r="AL382" s="108">
        <f t="shared" si="383"/>
        <v>0</v>
      </c>
      <c r="AN382" s="100">
        <v>15</v>
      </c>
      <c r="AO382" s="100">
        <f t="shared" si="384"/>
        <v>0</v>
      </c>
      <c r="AP382" s="100">
        <f t="shared" si="385"/>
        <v>0</v>
      </c>
      <c r="AQ382" s="111" t="s">
        <v>13</v>
      </c>
      <c r="AV382" s="100">
        <f t="shared" si="386"/>
        <v>0</v>
      </c>
      <c r="AW382" s="100">
        <f t="shared" si="387"/>
        <v>0</v>
      </c>
      <c r="AX382" s="100">
        <f t="shared" si="388"/>
        <v>0</v>
      </c>
      <c r="AY382" s="110" t="s">
        <v>1713</v>
      </c>
      <c r="AZ382" s="110" t="s">
        <v>1733</v>
      </c>
      <c r="BA382" s="109" t="s">
        <v>1737</v>
      </c>
      <c r="BC382" s="100">
        <f t="shared" si="389"/>
        <v>0</v>
      </c>
      <c r="BD382" s="100">
        <f t="shared" si="390"/>
        <v>0</v>
      </c>
      <c r="BE382" s="100">
        <v>0</v>
      </c>
      <c r="BF382" s="100">
        <f>382</f>
        <v>382</v>
      </c>
      <c r="BH382" s="108">
        <f t="shared" si="391"/>
        <v>0</v>
      </c>
      <c r="BI382" s="108">
        <f t="shared" si="392"/>
        <v>0</v>
      </c>
      <c r="BJ382" s="108">
        <f t="shared" si="393"/>
        <v>0</v>
      </c>
    </row>
    <row r="383" spans="1:62" x14ac:dyDescent="0.2">
      <c r="A383" s="117" t="s">
        <v>343</v>
      </c>
      <c r="B383" s="117" t="s">
        <v>860</v>
      </c>
      <c r="C383" s="304" t="s">
        <v>1452</v>
      </c>
      <c r="D383" s="305"/>
      <c r="E383" s="305"/>
      <c r="F383" s="117" t="s">
        <v>1644</v>
      </c>
      <c r="G383" s="116">
        <v>1</v>
      </c>
      <c r="H383" s="159"/>
      <c r="I383" s="108">
        <f t="shared" si="370"/>
        <v>0</v>
      </c>
      <c r="J383" s="108">
        <f t="shared" si="371"/>
        <v>0</v>
      </c>
      <c r="K383" s="108">
        <f t="shared" si="372"/>
        <v>0</v>
      </c>
      <c r="L383" s="111"/>
      <c r="Z383" s="100">
        <f t="shared" si="373"/>
        <v>0</v>
      </c>
      <c r="AB383" s="100">
        <f t="shared" si="374"/>
        <v>0</v>
      </c>
      <c r="AC383" s="100">
        <f t="shared" si="375"/>
        <v>0</v>
      </c>
      <c r="AD383" s="100">
        <f t="shared" si="376"/>
        <v>0</v>
      </c>
      <c r="AE383" s="100">
        <f t="shared" si="377"/>
        <v>0</v>
      </c>
      <c r="AF383" s="100">
        <f t="shared" si="378"/>
        <v>0</v>
      </c>
      <c r="AG383" s="100">
        <f t="shared" si="379"/>
        <v>0</v>
      </c>
      <c r="AH383" s="100">
        <f t="shared" si="380"/>
        <v>0</v>
      </c>
      <c r="AI383" s="109"/>
      <c r="AJ383" s="108">
        <f t="shared" si="381"/>
        <v>0</v>
      </c>
      <c r="AK383" s="108">
        <f t="shared" si="382"/>
        <v>0</v>
      </c>
      <c r="AL383" s="108">
        <f t="shared" si="383"/>
        <v>0</v>
      </c>
      <c r="AN383" s="100">
        <v>15</v>
      </c>
      <c r="AO383" s="100">
        <f t="shared" si="384"/>
        <v>0</v>
      </c>
      <c r="AP383" s="100">
        <f t="shared" si="385"/>
        <v>0</v>
      </c>
      <c r="AQ383" s="111" t="s">
        <v>13</v>
      </c>
      <c r="AV383" s="100">
        <f t="shared" si="386"/>
        <v>0</v>
      </c>
      <c r="AW383" s="100">
        <f t="shared" si="387"/>
        <v>0</v>
      </c>
      <c r="AX383" s="100">
        <f t="shared" si="388"/>
        <v>0</v>
      </c>
      <c r="AY383" s="110" t="s">
        <v>1713</v>
      </c>
      <c r="AZ383" s="110" t="s">
        <v>1733</v>
      </c>
      <c r="BA383" s="109" t="s">
        <v>1737</v>
      </c>
      <c r="BC383" s="100">
        <f t="shared" si="389"/>
        <v>0</v>
      </c>
      <c r="BD383" s="100">
        <f t="shared" si="390"/>
        <v>0</v>
      </c>
      <c r="BE383" s="100">
        <v>0</v>
      </c>
      <c r="BF383" s="100">
        <f>383</f>
        <v>383</v>
      </c>
      <c r="BH383" s="108">
        <f t="shared" si="391"/>
        <v>0</v>
      </c>
      <c r="BI383" s="108">
        <f t="shared" si="392"/>
        <v>0</v>
      </c>
      <c r="BJ383" s="108">
        <f t="shared" si="393"/>
        <v>0</v>
      </c>
    </row>
    <row r="384" spans="1:62" x14ac:dyDescent="0.2">
      <c r="A384" s="117" t="s">
        <v>344</v>
      </c>
      <c r="B384" s="117" t="s">
        <v>861</v>
      </c>
      <c r="C384" s="304" t="s">
        <v>1453</v>
      </c>
      <c r="D384" s="305"/>
      <c r="E384" s="305"/>
      <c r="F384" s="117" t="s">
        <v>1645</v>
      </c>
      <c r="G384" s="116">
        <v>17</v>
      </c>
      <c r="H384" s="159"/>
      <c r="I384" s="108">
        <f t="shared" si="370"/>
        <v>0</v>
      </c>
      <c r="J384" s="108">
        <f t="shared" si="371"/>
        <v>0</v>
      </c>
      <c r="K384" s="108">
        <f t="shared" si="372"/>
        <v>0</v>
      </c>
      <c r="L384" s="111"/>
      <c r="Z384" s="100">
        <f t="shared" si="373"/>
        <v>0</v>
      </c>
      <c r="AB384" s="100">
        <f t="shared" si="374"/>
        <v>0</v>
      </c>
      <c r="AC384" s="100">
        <f t="shared" si="375"/>
        <v>0</v>
      </c>
      <c r="AD384" s="100">
        <f t="shared" si="376"/>
        <v>0</v>
      </c>
      <c r="AE384" s="100">
        <f t="shared" si="377"/>
        <v>0</v>
      </c>
      <c r="AF384" s="100">
        <f t="shared" si="378"/>
        <v>0</v>
      </c>
      <c r="AG384" s="100">
        <f t="shared" si="379"/>
        <v>0</v>
      </c>
      <c r="AH384" s="100">
        <f t="shared" si="380"/>
        <v>0</v>
      </c>
      <c r="AI384" s="109"/>
      <c r="AJ384" s="108">
        <f t="shared" si="381"/>
        <v>0</v>
      </c>
      <c r="AK384" s="108">
        <f t="shared" si="382"/>
        <v>0</v>
      </c>
      <c r="AL384" s="108">
        <f t="shared" si="383"/>
        <v>0</v>
      </c>
      <c r="AN384" s="100">
        <v>15</v>
      </c>
      <c r="AO384" s="100">
        <f t="shared" si="384"/>
        <v>0</v>
      </c>
      <c r="AP384" s="100">
        <f t="shared" si="385"/>
        <v>0</v>
      </c>
      <c r="AQ384" s="111" t="s">
        <v>13</v>
      </c>
      <c r="AV384" s="100">
        <f t="shared" si="386"/>
        <v>0</v>
      </c>
      <c r="AW384" s="100">
        <f t="shared" si="387"/>
        <v>0</v>
      </c>
      <c r="AX384" s="100">
        <f t="shared" si="388"/>
        <v>0</v>
      </c>
      <c r="AY384" s="110" t="s">
        <v>1713</v>
      </c>
      <c r="AZ384" s="110" t="s">
        <v>1733</v>
      </c>
      <c r="BA384" s="109" t="s">
        <v>1737</v>
      </c>
      <c r="BC384" s="100">
        <f t="shared" si="389"/>
        <v>0</v>
      </c>
      <c r="BD384" s="100">
        <f t="shared" si="390"/>
        <v>0</v>
      </c>
      <c r="BE384" s="100">
        <v>0</v>
      </c>
      <c r="BF384" s="100">
        <f>384</f>
        <v>384</v>
      </c>
      <c r="BH384" s="108">
        <f t="shared" si="391"/>
        <v>0</v>
      </c>
      <c r="BI384" s="108">
        <f t="shared" si="392"/>
        <v>0</v>
      </c>
      <c r="BJ384" s="108">
        <f t="shared" si="393"/>
        <v>0</v>
      </c>
    </row>
    <row r="385" spans="1:62" x14ac:dyDescent="0.2">
      <c r="A385" s="117" t="s">
        <v>345</v>
      </c>
      <c r="B385" s="117" t="s">
        <v>862</v>
      </c>
      <c r="C385" s="304" t="s">
        <v>1454</v>
      </c>
      <c r="D385" s="305"/>
      <c r="E385" s="305"/>
      <c r="F385" s="117" t="s">
        <v>1652</v>
      </c>
      <c r="G385" s="116">
        <v>1</v>
      </c>
      <c r="H385" s="159"/>
      <c r="I385" s="108">
        <f t="shared" si="370"/>
        <v>0</v>
      </c>
      <c r="J385" s="108">
        <f t="shared" si="371"/>
        <v>0</v>
      </c>
      <c r="K385" s="108">
        <f t="shared" si="372"/>
        <v>0</v>
      </c>
      <c r="L385" s="111"/>
      <c r="Z385" s="100">
        <f t="shared" si="373"/>
        <v>0</v>
      </c>
      <c r="AB385" s="100">
        <f t="shared" si="374"/>
        <v>0</v>
      </c>
      <c r="AC385" s="100">
        <f t="shared" si="375"/>
        <v>0</v>
      </c>
      <c r="AD385" s="100">
        <f t="shared" si="376"/>
        <v>0</v>
      </c>
      <c r="AE385" s="100">
        <f t="shared" si="377"/>
        <v>0</v>
      </c>
      <c r="AF385" s="100">
        <f t="shared" si="378"/>
        <v>0</v>
      </c>
      <c r="AG385" s="100">
        <f t="shared" si="379"/>
        <v>0</v>
      </c>
      <c r="AH385" s="100">
        <f t="shared" si="380"/>
        <v>0</v>
      </c>
      <c r="AI385" s="109"/>
      <c r="AJ385" s="108">
        <f t="shared" si="381"/>
        <v>0</v>
      </c>
      <c r="AK385" s="108">
        <f t="shared" si="382"/>
        <v>0</v>
      </c>
      <c r="AL385" s="108">
        <f t="shared" si="383"/>
        <v>0</v>
      </c>
      <c r="AN385" s="100">
        <v>15</v>
      </c>
      <c r="AO385" s="100">
        <f t="shared" si="384"/>
        <v>0</v>
      </c>
      <c r="AP385" s="100">
        <f t="shared" si="385"/>
        <v>0</v>
      </c>
      <c r="AQ385" s="111" t="s">
        <v>13</v>
      </c>
      <c r="AV385" s="100">
        <f t="shared" si="386"/>
        <v>0</v>
      </c>
      <c r="AW385" s="100">
        <f t="shared" si="387"/>
        <v>0</v>
      </c>
      <c r="AX385" s="100">
        <f t="shared" si="388"/>
        <v>0</v>
      </c>
      <c r="AY385" s="110" t="s">
        <v>1713</v>
      </c>
      <c r="AZ385" s="110" t="s">
        <v>1733</v>
      </c>
      <c r="BA385" s="109" t="s">
        <v>1737</v>
      </c>
      <c r="BC385" s="100">
        <f t="shared" si="389"/>
        <v>0</v>
      </c>
      <c r="BD385" s="100">
        <f t="shared" si="390"/>
        <v>0</v>
      </c>
      <c r="BE385" s="100">
        <v>0</v>
      </c>
      <c r="BF385" s="100">
        <f>385</f>
        <v>385</v>
      </c>
      <c r="BH385" s="108">
        <f t="shared" si="391"/>
        <v>0</v>
      </c>
      <c r="BI385" s="108">
        <f t="shared" si="392"/>
        <v>0</v>
      </c>
      <c r="BJ385" s="108">
        <f t="shared" si="393"/>
        <v>0</v>
      </c>
    </row>
    <row r="386" spans="1:62" x14ac:dyDescent="0.2">
      <c r="A386" s="117" t="s">
        <v>346</v>
      </c>
      <c r="B386" s="117" t="s">
        <v>863</v>
      </c>
      <c r="C386" s="304" t="s">
        <v>1455</v>
      </c>
      <c r="D386" s="305"/>
      <c r="E386" s="305"/>
      <c r="F386" s="117" t="s">
        <v>1652</v>
      </c>
      <c r="G386" s="116">
        <v>1</v>
      </c>
      <c r="H386" s="159"/>
      <c r="I386" s="108">
        <f t="shared" si="370"/>
        <v>0</v>
      </c>
      <c r="J386" s="108">
        <f t="shared" si="371"/>
        <v>0</v>
      </c>
      <c r="K386" s="108">
        <f t="shared" si="372"/>
        <v>0</v>
      </c>
      <c r="L386" s="111"/>
      <c r="Z386" s="100">
        <f t="shared" si="373"/>
        <v>0</v>
      </c>
      <c r="AB386" s="100">
        <f t="shared" si="374"/>
        <v>0</v>
      </c>
      <c r="AC386" s="100">
        <f t="shared" si="375"/>
        <v>0</v>
      </c>
      <c r="AD386" s="100">
        <f t="shared" si="376"/>
        <v>0</v>
      </c>
      <c r="AE386" s="100">
        <f t="shared" si="377"/>
        <v>0</v>
      </c>
      <c r="AF386" s="100">
        <f t="shared" si="378"/>
        <v>0</v>
      </c>
      <c r="AG386" s="100">
        <f t="shared" si="379"/>
        <v>0</v>
      </c>
      <c r="AH386" s="100">
        <f t="shared" si="380"/>
        <v>0</v>
      </c>
      <c r="AI386" s="109"/>
      <c r="AJ386" s="108">
        <f t="shared" si="381"/>
        <v>0</v>
      </c>
      <c r="AK386" s="108">
        <f t="shared" si="382"/>
        <v>0</v>
      </c>
      <c r="AL386" s="108">
        <f t="shared" si="383"/>
        <v>0</v>
      </c>
      <c r="AN386" s="100">
        <v>15</v>
      </c>
      <c r="AO386" s="100">
        <f t="shared" si="384"/>
        <v>0</v>
      </c>
      <c r="AP386" s="100">
        <f t="shared" si="385"/>
        <v>0</v>
      </c>
      <c r="AQ386" s="111" t="s">
        <v>13</v>
      </c>
      <c r="AV386" s="100">
        <f t="shared" si="386"/>
        <v>0</v>
      </c>
      <c r="AW386" s="100">
        <f t="shared" si="387"/>
        <v>0</v>
      </c>
      <c r="AX386" s="100">
        <f t="shared" si="388"/>
        <v>0</v>
      </c>
      <c r="AY386" s="110" t="s">
        <v>1713</v>
      </c>
      <c r="AZ386" s="110" t="s">
        <v>1733</v>
      </c>
      <c r="BA386" s="109" t="s">
        <v>1737</v>
      </c>
      <c r="BC386" s="100">
        <f t="shared" si="389"/>
        <v>0</v>
      </c>
      <c r="BD386" s="100">
        <f t="shared" si="390"/>
        <v>0</v>
      </c>
      <c r="BE386" s="100">
        <v>0</v>
      </c>
      <c r="BF386" s="100">
        <f>386</f>
        <v>386</v>
      </c>
      <c r="BH386" s="108">
        <f t="shared" si="391"/>
        <v>0</v>
      </c>
      <c r="BI386" s="108">
        <f t="shared" si="392"/>
        <v>0</v>
      </c>
      <c r="BJ386" s="108">
        <f t="shared" si="393"/>
        <v>0</v>
      </c>
    </row>
    <row r="387" spans="1:62" x14ac:dyDescent="0.2">
      <c r="A387" s="117" t="s">
        <v>347</v>
      </c>
      <c r="B387" s="117" t="s">
        <v>864</v>
      </c>
      <c r="C387" s="304" t="s">
        <v>1456</v>
      </c>
      <c r="D387" s="305"/>
      <c r="E387" s="305"/>
      <c r="F387" s="117" t="s">
        <v>1652</v>
      </c>
      <c r="G387" s="116">
        <v>1</v>
      </c>
      <c r="H387" s="159"/>
      <c r="I387" s="108">
        <f t="shared" si="370"/>
        <v>0</v>
      </c>
      <c r="J387" s="108">
        <f t="shared" si="371"/>
        <v>0</v>
      </c>
      <c r="K387" s="108">
        <f t="shared" si="372"/>
        <v>0</v>
      </c>
      <c r="L387" s="111"/>
      <c r="Z387" s="100">
        <f t="shared" si="373"/>
        <v>0</v>
      </c>
      <c r="AB387" s="100">
        <f t="shared" si="374"/>
        <v>0</v>
      </c>
      <c r="AC387" s="100">
        <f t="shared" si="375"/>
        <v>0</v>
      </c>
      <c r="AD387" s="100">
        <f t="shared" si="376"/>
        <v>0</v>
      </c>
      <c r="AE387" s="100">
        <f t="shared" si="377"/>
        <v>0</v>
      </c>
      <c r="AF387" s="100">
        <f t="shared" si="378"/>
        <v>0</v>
      </c>
      <c r="AG387" s="100">
        <f t="shared" si="379"/>
        <v>0</v>
      </c>
      <c r="AH387" s="100">
        <f t="shared" si="380"/>
        <v>0</v>
      </c>
      <c r="AI387" s="109"/>
      <c r="AJ387" s="108">
        <f t="shared" si="381"/>
        <v>0</v>
      </c>
      <c r="AK387" s="108">
        <f t="shared" si="382"/>
        <v>0</v>
      </c>
      <c r="AL387" s="108">
        <f t="shared" si="383"/>
        <v>0</v>
      </c>
      <c r="AN387" s="100">
        <v>15</v>
      </c>
      <c r="AO387" s="100">
        <f t="shared" si="384"/>
        <v>0</v>
      </c>
      <c r="AP387" s="100">
        <f t="shared" si="385"/>
        <v>0</v>
      </c>
      <c r="AQ387" s="111" t="s">
        <v>13</v>
      </c>
      <c r="AV387" s="100">
        <f t="shared" si="386"/>
        <v>0</v>
      </c>
      <c r="AW387" s="100">
        <f t="shared" si="387"/>
        <v>0</v>
      </c>
      <c r="AX387" s="100">
        <f t="shared" si="388"/>
        <v>0</v>
      </c>
      <c r="AY387" s="110" t="s">
        <v>1713</v>
      </c>
      <c r="AZ387" s="110" t="s">
        <v>1733</v>
      </c>
      <c r="BA387" s="109" t="s">
        <v>1737</v>
      </c>
      <c r="BC387" s="100">
        <f t="shared" si="389"/>
        <v>0</v>
      </c>
      <c r="BD387" s="100">
        <f t="shared" si="390"/>
        <v>0</v>
      </c>
      <c r="BE387" s="100">
        <v>0</v>
      </c>
      <c r="BF387" s="100">
        <f>387</f>
        <v>387</v>
      </c>
      <c r="BH387" s="108">
        <f t="shared" si="391"/>
        <v>0</v>
      </c>
      <c r="BI387" s="108">
        <f t="shared" si="392"/>
        <v>0</v>
      </c>
      <c r="BJ387" s="108">
        <f t="shared" si="393"/>
        <v>0</v>
      </c>
    </row>
    <row r="388" spans="1:62" x14ac:dyDescent="0.2">
      <c r="A388" s="117" t="s">
        <v>348</v>
      </c>
      <c r="B388" s="117" t="s">
        <v>865</v>
      </c>
      <c r="C388" s="304" t="s">
        <v>1420</v>
      </c>
      <c r="D388" s="305"/>
      <c r="E388" s="305"/>
      <c r="F388" s="117" t="s">
        <v>1652</v>
      </c>
      <c r="G388" s="116">
        <v>1</v>
      </c>
      <c r="H388" s="159"/>
      <c r="I388" s="108">
        <f t="shared" si="370"/>
        <v>0</v>
      </c>
      <c r="J388" s="108">
        <f t="shared" si="371"/>
        <v>0</v>
      </c>
      <c r="K388" s="108">
        <f t="shared" si="372"/>
        <v>0</v>
      </c>
      <c r="L388" s="111"/>
      <c r="Z388" s="100">
        <f t="shared" si="373"/>
        <v>0</v>
      </c>
      <c r="AB388" s="100">
        <f t="shared" si="374"/>
        <v>0</v>
      </c>
      <c r="AC388" s="100">
        <f t="shared" si="375"/>
        <v>0</v>
      </c>
      <c r="AD388" s="100">
        <f t="shared" si="376"/>
        <v>0</v>
      </c>
      <c r="AE388" s="100">
        <f t="shared" si="377"/>
        <v>0</v>
      </c>
      <c r="AF388" s="100">
        <f t="shared" si="378"/>
        <v>0</v>
      </c>
      <c r="AG388" s="100">
        <f t="shared" si="379"/>
        <v>0</v>
      </c>
      <c r="AH388" s="100">
        <f t="shared" si="380"/>
        <v>0</v>
      </c>
      <c r="AI388" s="109"/>
      <c r="AJ388" s="108">
        <f t="shared" si="381"/>
        <v>0</v>
      </c>
      <c r="AK388" s="108">
        <f t="shared" si="382"/>
        <v>0</v>
      </c>
      <c r="AL388" s="108">
        <f t="shared" si="383"/>
        <v>0</v>
      </c>
      <c r="AN388" s="100">
        <v>15</v>
      </c>
      <c r="AO388" s="100">
        <f t="shared" si="384"/>
        <v>0</v>
      </c>
      <c r="AP388" s="100">
        <f t="shared" si="385"/>
        <v>0</v>
      </c>
      <c r="AQ388" s="111" t="s">
        <v>13</v>
      </c>
      <c r="AV388" s="100">
        <f t="shared" si="386"/>
        <v>0</v>
      </c>
      <c r="AW388" s="100">
        <f t="shared" si="387"/>
        <v>0</v>
      </c>
      <c r="AX388" s="100">
        <f t="shared" si="388"/>
        <v>0</v>
      </c>
      <c r="AY388" s="110" t="s">
        <v>1713</v>
      </c>
      <c r="AZ388" s="110" t="s">
        <v>1733</v>
      </c>
      <c r="BA388" s="109" t="s">
        <v>1737</v>
      </c>
      <c r="BC388" s="100">
        <f t="shared" si="389"/>
        <v>0</v>
      </c>
      <c r="BD388" s="100">
        <f t="shared" si="390"/>
        <v>0</v>
      </c>
      <c r="BE388" s="100">
        <v>0</v>
      </c>
      <c r="BF388" s="100">
        <f>388</f>
        <v>388</v>
      </c>
      <c r="BH388" s="108">
        <f t="shared" si="391"/>
        <v>0</v>
      </c>
      <c r="BI388" s="108">
        <f t="shared" si="392"/>
        <v>0</v>
      </c>
      <c r="BJ388" s="108">
        <f t="shared" si="393"/>
        <v>0</v>
      </c>
    </row>
    <row r="389" spans="1:62" x14ac:dyDescent="0.2">
      <c r="A389" s="117" t="s">
        <v>349</v>
      </c>
      <c r="B389" s="117" t="s">
        <v>866</v>
      </c>
      <c r="C389" s="304" t="s">
        <v>1421</v>
      </c>
      <c r="D389" s="305"/>
      <c r="E389" s="305"/>
      <c r="F389" s="117" t="s">
        <v>1652</v>
      </c>
      <c r="G389" s="116">
        <v>1</v>
      </c>
      <c r="H389" s="159"/>
      <c r="I389" s="108">
        <f t="shared" si="370"/>
        <v>0</v>
      </c>
      <c r="J389" s="108">
        <f t="shared" si="371"/>
        <v>0</v>
      </c>
      <c r="K389" s="108">
        <f t="shared" si="372"/>
        <v>0</v>
      </c>
      <c r="L389" s="111"/>
      <c r="Z389" s="100">
        <f t="shared" si="373"/>
        <v>0</v>
      </c>
      <c r="AB389" s="100">
        <f t="shared" si="374"/>
        <v>0</v>
      </c>
      <c r="AC389" s="100">
        <f t="shared" si="375"/>
        <v>0</v>
      </c>
      <c r="AD389" s="100">
        <f t="shared" si="376"/>
        <v>0</v>
      </c>
      <c r="AE389" s="100">
        <f t="shared" si="377"/>
        <v>0</v>
      </c>
      <c r="AF389" s="100">
        <f t="shared" si="378"/>
        <v>0</v>
      </c>
      <c r="AG389" s="100">
        <f t="shared" si="379"/>
        <v>0</v>
      </c>
      <c r="AH389" s="100">
        <f t="shared" si="380"/>
        <v>0</v>
      </c>
      <c r="AI389" s="109"/>
      <c r="AJ389" s="108">
        <f t="shared" si="381"/>
        <v>0</v>
      </c>
      <c r="AK389" s="108">
        <f t="shared" si="382"/>
        <v>0</v>
      </c>
      <c r="AL389" s="108">
        <f t="shared" si="383"/>
        <v>0</v>
      </c>
      <c r="AN389" s="100">
        <v>15</v>
      </c>
      <c r="AO389" s="100">
        <f t="shared" si="384"/>
        <v>0</v>
      </c>
      <c r="AP389" s="100">
        <f t="shared" si="385"/>
        <v>0</v>
      </c>
      <c r="AQ389" s="111" t="s">
        <v>13</v>
      </c>
      <c r="AV389" s="100">
        <f t="shared" si="386"/>
        <v>0</v>
      </c>
      <c r="AW389" s="100">
        <f t="shared" si="387"/>
        <v>0</v>
      </c>
      <c r="AX389" s="100">
        <f t="shared" si="388"/>
        <v>0</v>
      </c>
      <c r="AY389" s="110" t="s">
        <v>1713</v>
      </c>
      <c r="AZ389" s="110" t="s">
        <v>1733</v>
      </c>
      <c r="BA389" s="109" t="s">
        <v>1737</v>
      </c>
      <c r="BC389" s="100">
        <f t="shared" si="389"/>
        <v>0</v>
      </c>
      <c r="BD389" s="100">
        <f t="shared" si="390"/>
        <v>0</v>
      </c>
      <c r="BE389" s="100">
        <v>0</v>
      </c>
      <c r="BF389" s="100">
        <f>389</f>
        <v>389</v>
      </c>
      <c r="BH389" s="108">
        <f t="shared" si="391"/>
        <v>0</v>
      </c>
      <c r="BI389" s="108">
        <f t="shared" si="392"/>
        <v>0</v>
      </c>
      <c r="BJ389" s="108">
        <f t="shared" si="393"/>
        <v>0</v>
      </c>
    </row>
    <row r="390" spans="1:62" x14ac:dyDescent="0.2">
      <c r="A390" s="117" t="s">
        <v>350</v>
      </c>
      <c r="B390" s="117" t="s">
        <v>867</v>
      </c>
      <c r="C390" s="304" t="s">
        <v>1457</v>
      </c>
      <c r="D390" s="305"/>
      <c r="E390" s="305"/>
      <c r="F390" s="117" t="s">
        <v>1652</v>
      </c>
      <c r="G390" s="116">
        <v>1</v>
      </c>
      <c r="H390" s="159"/>
      <c r="I390" s="108">
        <f t="shared" si="370"/>
        <v>0</v>
      </c>
      <c r="J390" s="108">
        <f t="shared" si="371"/>
        <v>0</v>
      </c>
      <c r="K390" s="108">
        <f t="shared" si="372"/>
        <v>0</v>
      </c>
      <c r="L390" s="111"/>
      <c r="Z390" s="100">
        <f t="shared" si="373"/>
        <v>0</v>
      </c>
      <c r="AB390" s="100">
        <f t="shared" si="374"/>
        <v>0</v>
      </c>
      <c r="AC390" s="100">
        <f t="shared" si="375"/>
        <v>0</v>
      </c>
      <c r="AD390" s="100">
        <f t="shared" si="376"/>
        <v>0</v>
      </c>
      <c r="AE390" s="100">
        <f t="shared" si="377"/>
        <v>0</v>
      </c>
      <c r="AF390" s="100">
        <f t="shared" si="378"/>
        <v>0</v>
      </c>
      <c r="AG390" s="100">
        <f t="shared" si="379"/>
        <v>0</v>
      </c>
      <c r="AH390" s="100">
        <f t="shared" si="380"/>
        <v>0</v>
      </c>
      <c r="AI390" s="109"/>
      <c r="AJ390" s="108">
        <f t="shared" si="381"/>
        <v>0</v>
      </c>
      <c r="AK390" s="108">
        <f t="shared" si="382"/>
        <v>0</v>
      </c>
      <c r="AL390" s="108">
        <f t="shared" si="383"/>
        <v>0</v>
      </c>
      <c r="AN390" s="100">
        <v>15</v>
      </c>
      <c r="AO390" s="100">
        <f t="shared" si="384"/>
        <v>0</v>
      </c>
      <c r="AP390" s="100">
        <f t="shared" si="385"/>
        <v>0</v>
      </c>
      <c r="AQ390" s="111" t="s">
        <v>13</v>
      </c>
      <c r="AV390" s="100">
        <f t="shared" si="386"/>
        <v>0</v>
      </c>
      <c r="AW390" s="100">
        <f t="shared" si="387"/>
        <v>0</v>
      </c>
      <c r="AX390" s="100">
        <f t="shared" si="388"/>
        <v>0</v>
      </c>
      <c r="AY390" s="110" t="s">
        <v>1713</v>
      </c>
      <c r="AZ390" s="110" t="s">
        <v>1733</v>
      </c>
      <c r="BA390" s="109" t="s">
        <v>1737</v>
      </c>
      <c r="BC390" s="100">
        <f t="shared" si="389"/>
        <v>0</v>
      </c>
      <c r="BD390" s="100">
        <f t="shared" si="390"/>
        <v>0</v>
      </c>
      <c r="BE390" s="100">
        <v>0</v>
      </c>
      <c r="BF390" s="100">
        <f>390</f>
        <v>390</v>
      </c>
      <c r="BH390" s="108">
        <f t="shared" si="391"/>
        <v>0</v>
      </c>
      <c r="BI390" s="108">
        <f t="shared" si="392"/>
        <v>0</v>
      </c>
      <c r="BJ390" s="108">
        <f t="shared" si="393"/>
        <v>0</v>
      </c>
    </row>
    <row r="391" spans="1:62" x14ac:dyDescent="0.2">
      <c r="A391" s="119"/>
      <c r="B391" s="120" t="s">
        <v>869</v>
      </c>
      <c r="C391" s="306" t="s">
        <v>1458</v>
      </c>
      <c r="D391" s="307"/>
      <c r="E391" s="307"/>
      <c r="F391" s="119" t="s">
        <v>6</v>
      </c>
      <c r="G391" s="119" t="s">
        <v>6</v>
      </c>
      <c r="H391" s="119" t="s">
        <v>6</v>
      </c>
      <c r="I391" s="118">
        <f>SUM(I392:I403)</f>
        <v>0</v>
      </c>
      <c r="J391" s="118">
        <f>SUM(J392:J403)</f>
        <v>0</v>
      </c>
      <c r="K391" s="118">
        <f>SUM(K392:K403)</f>
        <v>0</v>
      </c>
      <c r="L391" s="109"/>
      <c r="AI391" s="109"/>
      <c r="AS391" s="118">
        <f>SUM(AJ392:AJ403)</f>
        <v>0</v>
      </c>
      <c r="AT391" s="118">
        <f>SUM(AK392:AK403)</f>
        <v>0</v>
      </c>
      <c r="AU391" s="118">
        <f>SUM(AL392:AL403)</f>
        <v>0</v>
      </c>
    </row>
    <row r="392" spans="1:62" x14ac:dyDescent="0.2">
      <c r="A392" s="117" t="s">
        <v>351</v>
      </c>
      <c r="B392" s="117" t="s">
        <v>870</v>
      </c>
      <c r="C392" s="304" t="s">
        <v>1459</v>
      </c>
      <c r="D392" s="305"/>
      <c r="E392" s="305"/>
      <c r="F392" s="117" t="s">
        <v>1644</v>
      </c>
      <c r="G392" s="116">
        <v>3</v>
      </c>
      <c r="H392" s="159"/>
      <c r="I392" s="108">
        <f t="shared" ref="I392:I403" si="394">G392*AO392</f>
        <v>0</v>
      </c>
      <c r="J392" s="108">
        <f t="shared" ref="J392:J403" si="395">G392*AP392</f>
        <v>0</v>
      </c>
      <c r="K392" s="108">
        <f t="shared" ref="K392:K403" si="396">G392*H392</f>
        <v>0</v>
      </c>
      <c r="L392" s="111" t="s">
        <v>1671</v>
      </c>
      <c r="Z392" s="100">
        <f t="shared" ref="Z392:Z403" si="397">IF(AQ392="5",BJ392,0)</f>
        <v>0</v>
      </c>
      <c r="AB392" s="100">
        <f t="shared" ref="AB392:AB403" si="398">IF(AQ392="1",BH392,0)</f>
        <v>0</v>
      </c>
      <c r="AC392" s="100">
        <f t="shared" ref="AC392:AC403" si="399">IF(AQ392="1",BI392,0)</f>
        <v>0</v>
      </c>
      <c r="AD392" s="100">
        <f t="shared" ref="AD392:AD403" si="400">IF(AQ392="7",BH392,0)</f>
        <v>0</v>
      </c>
      <c r="AE392" s="100">
        <f t="shared" ref="AE392:AE403" si="401">IF(AQ392="7",BI392,0)</f>
        <v>0</v>
      </c>
      <c r="AF392" s="100">
        <f t="shared" ref="AF392:AF403" si="402">IF(AQ392="2",BH392,0)</f>
        <v>0</v>
      </c>
      <c r="AG392" s="100">
        <f t="shared" ref="AG392:AG403" si="403">IF(AQ392="2",BI392,0)</f>
        <v>0</v>
      </c>
      <c r="AH392" s="100">
        <f t="shared" ref="AH392:AH403" si="404">IF(AQ392="0",BJ392,0)</f>
        <v>0</v>
      </c>
      <c r="AI392" s="109"/>
      <c r="AJ392" s="108">
        <f t="shared" ref="AJ392:AJ403" si="405">IF(AN392=0,K392,0)</f>
        <v>0</v>
      </c>
      <c r="AK392" s="108">
        <f t="shared" ref="AK392:AK403" si="406">IF(AN392=15,K392,0)</f>
        <v>0</v>
      </c>
      <c r="AL392" s="108">
        <f t="shared" ref="AL392:AL403" si="407">IF(AN392=21,K392,0)</f>
        <v>0</v>
      </c>
      <c r="AN392" s="100">
        <v>15</v>
      </c>
      <c r="AO392" s="100">
        <f>H392*0.0692044609665427</f>
        <v>0</v>
      </c>
      <c r="AP392" s="100">
        <f>H392*(1-0.0692044609665427)</f>
        <v>0</v>
      </c>
      <c r="AQ392" s="111" t="s">
        <v>13</v>
      </c>
      <c r="AV392" s="100">
        <f t="shared" ref="AV392:AV403" si="408">AW392+AX392</f>
        <v>0</v>
      </c>
      <c r="AW392" s="100">
        <f t="shared" ref="AW392:AW403" si="409">G392*AO392</f>
        <v>0</v>
      </c>
      <c r="AX392" s="100">
        <f t="shared" ref="AX392:AX403" si="410">G392*AP392</f>
        <v>0</v>
      </c>
      <c r="AY392" s="110" t="s">
        <v>1714</v>
      </c>
      <c r="AZ392" s="110" t="s">
        <v>1734</v>
      </c>
      <c r="BA392" s="109" t="s">
        <v>1737</v>
      </c>
      <c r="BC392" s="100">
        <f t="shared" ref="BC392:BC403" si="411">AW392+AX392</f>
        <v>0</v>
      </c>
      <c r="BD392" s="100">
        <f t="shared" ref="BD392:BD403" si="412">H392/(100-BE392)*100</f>
        <v>0</v>
      </c>
      <c r="BE392" s="100">
        <v>0</v>
      </c>
      <c r="BF392" s="100">
        <f>392</f>
        <v>392</v>
      </c>
      <c r="BH392" s="108">
        <f t="shared" ref="BH392:BH403" si="413">G392*AO392</f>
        <v>0</v>
      </c>
      <c r="BI392" s="108">
        <f t="shared" ref="BI392:BI403" si="414">G392*AP392</f>
        <v>0</v>
      </c>
      <c r="BJ392" s="108">
        <f t="shared" ref="BJ392:BJ403" si="415">G392*H392</f>
        <v>0</v>
      </c>
    </row>
    <row r="393" spans="1:62" x14ac:dyDescent="0.2">
      <c r="A393" s="117" t="s">
        <v>352</v>
      </c>
      <c r="B393" s="117" t="s">
        <v>871</v>
      </c>
      <c r="C393" s="304" t="s">
        <v>2692</v>
      </c>
      <c r="D393" s="305"/>
      <c r="E393" s="305"/>
      <c r="F393" s="117" t="s">
        <v>1645</v>
      </c>
      <c r="G393" s="116">
        <v>310.892</v>
      </c>
      <c r="H393" s="159"/>
      <c r="I393" s="108">
        <f t="shared" si="394"/>
        <v>0</v>
      </c>
      <c r="J393" s="108">
        <f t="shared" si="395"/>
        <v>0</v>
      </c>
      <c r="K393" s="108">
        <f t="shared" si="396"/>
        <v>0</v>
      </c>
      <c r="L393" s="111" t="s">
        <v>1671</v>
      </c>
      <c r="Z393" s="100">
        <f t="shared" si="397"/>
        <v>0</v>
      </c>
      <c r="AB393" s="100">
        <f t="shared" si="398"/>
        <v>0</v>
      </c>
      <c r="AC393" s="100">
        <f t="shared" si="399"/>
        <v>0</v>
      </c>
      <c r="AD393" s="100">
        <f t="shared" si="400"/>
        <v>0</v>
      </c>
      <c r="AE393" s="100">
        <f t="shared" si="401"/>
        <v>0</v>
      </c>
      <c r="AF393" s="100">
        <f t="shared" si="402"/>
        <v>0</v>
      </c>
      <c r="AG393" s="100">
        <f t="shared" si="403"/>
        <v>0</v>
      </c>
      <c r="AH393" s="100">
        <f t="shared" si="404"/>
        <v>0</v>
      </c>
      <c r="AI393" s="109"/>
      <c r="AJ393" s="108">
        <f t="shared" si="405"/>
        <v>0</v>
      </c>
      <c r="AK393" s="108">
        <f t="shared" si="406"/>
        <v>0</v>
      </c>
      <c r="AL393" s="108">
        <f t="shared" si="407"/>
        <v>0</v>
      </c>
      <c r="AN393" s="100">
        <v>15</v>
      </c>
      <c r="AO393" s="100">
        <f>H393*0.493473684210526</f>
        <v>0</v>
      </c>
      <c r="AP393" s="100">
        <f>H393*(1-0.493473684210526)</f>
        <v>0</v>
      </c>
      <c r="AQ393" s="111" t="s">
        <v>13</v>
      </c>
      <c r="AV393" s="100">
        <f t="shared" si="408"/>
        <v>0</v>
      </c>
      <c r="AW393" s="100">
        <f t="shared" si="409"/>
        <v>0</v>
      </c>
      <c r="AX393" s="100">
        <f t="shared" si="410"/>
        <v>0</v>
      </c>
      <c r="AY393" s="110" t="s">
        <v>1714</v>
      </c>
      <c r="AZ393" s="110" t="s">
        <v>1734</v>
      </c>
      <c r="BA393" s="109" t="s">
        <v>1737</v>
      </c>
      <c r="BC393" s="100">
        <f t="shared" si="411"/>
        <v>0</v>
      </c>
      <c r="BD393" s="100">
        <f t="shared" si="412"/>
        <v>0</v>
      </c>
      <c r="BE393" s="100">
        <v>0</v>
      </c>
      <c r="BF393" s="100">
        <f>393</f>
        <v>393</v>
      </c>
      <c r="BH393" s="108">
        <f t="shared" si="413"/>
        <v>0</v>
      </c>
      <c r="BI393" s="108">
        <f t="shared" si="414"/>
        <v>0</v>
      </c>
      <c r="BJ393" s="108">
        <f t="shared" si="415"/>
        <v>0</v>
      </c>
    </row>
    <row r="394" spans="1:62" x14ac:dyDescent="0.2">
      <c r="A394" s="117" t="s">
        <v>353</v>
      </c>
      <c r="B394" s="117" t="s">
        <v>872</v>
      </c>
      <c r="C394" s="304" t="s">
        <v>1461</v>
      </c>
      <c r="D394" s="305"/>
      <c r="E394" s="305"/>
      <c r="F394" s="117" t="s">
        <v>1645</v>
      </c>
      <c r="G394" s="116">
        <v>357.27</v>
      </c>
      <c r="H394" s="159"/>
      <c r="I394" s="108">
        <f t="shared" si="394"/>
        <v>0</v>
      </c>
      <c r="J394" s="108">
        <f t="shared" si="395"/>
        <v>0</v>
      </c>
      <c r="K394" s="108">
        <f t="shared" si="396"/>
        <v>0</v>
      </c>
      <c r="L394" s="111" t="s">
        <v>1671</v>
      </c>
      <c r="Z394" s="100">
        <f t="shared" si="397"/>
        <v>0</v>
      </c>
      <c r="AB394" s="100">
        <f t="shared" si="398"/>
        <v>0</v>
      </c>
      <c r="AC394" s="100">
        <f t="shared" si="399"/>
        <v>0</v>
      </c>
      <c r="AD394" s="100">
        <f t="shared" si="400"/>
        <v>0</v>
      </c>
      <c r="AE394" s="100">
        <f t="shared" si="401"/>
        <v>0</v>
      </c>
      <c r="AF394" s="100">
        <f t="shared" si="402"/>
        <v>0</v>
      </c>
      <c r="AG394" s="100">
        <f t="shared" si="403"/>
        <v>0</v>
      </c>
      <c r="AH394" s="100">
        <f t="shared" si="404"/>
        <v>0</v>
      </c>
      <c r="AI394" s="109"/>
      <c r="AJ394" s="108">
        <f t="shared" si="405"/>
        <v>0</v>
      </c>
      <c r="AK394" s="108">
        <f t="shared" si="406"/>
        <v>0</v>
      </c>
      <c r="AL394" s="108">
        <f t="shared" si="407"/>
        <v>0</v>
      </c>
      <c r="AN394" s="100">
        <v>15</v>
      </c>
      <c r="AO394" s="100">
        <f>H394*0.493506493506494</f>
        <v>0</v>
      </c>
      <c r="AP394" s="100">
        <f>H394*(1-0.493506493506494)</f>
        <v>0</v>
      </c>
      <c r="AQ394" s="111" t="s">
        <v>13</v>
      </c>
      <c r="AV394" s="100">
        <f t="shared" si="408"/>
        <v>0</v>
      </c>
      <c r="AW394" s="100">
        <f t="shared" si="409"/>
        <v>0</v>
      </c>
      <c r="AX394" s="100">
        <f t="shared" si="410"/>
        <v>0</v>
      </c>
      <c r="AY394" s="110" t="s">
        <v>1714</v>
      </c>
      <c r="AZ394" s="110" t="s">
        <v>1734</v>
      </c>
      <c r="BA394" s="109" t="s">
        <v>1737</v>
      </c>
      <c r="BC394" s="100">
        <f t="shared" si="411"/>
        <v>0</v>
      </c>
      <c r="BD394" s="100">
        <f t="shared" si="412"/>
        <v>0</v>
      </c>
      <c r="BE394" s="100">
        <v>0</v>
      </c>
      <c r="BF394" s="100">
        <f>394</f>
        <v>394</v>
      </c>
      <c r="BH394" s="108">
        <f t="shared" si="413"/>
        <v>0</v>
      </c>
      <c r="BI394" s="108">
        <f t="shared" si="414"/>
        <v>0</v>
      </c>
      <c r="BJ394" s="108">
        <f t="shared" si="415"/>
        <v>0</v>
      </c>
    </row>
    <row r="395" spans="1:62" x14ac:dyDescent="0.2">
      <c r="A395" s="117" t="s">
        <v>354</v>
      </c>
      <c r="B395" s="117" t="s">
        <v>873</v>
      </c>
      <c r="C395" s="304" t="s">
        <v>1462</v>
      </c>
      <c r="D395" s="305"/>
      <c r="E395" s="305"/>
      <c r="F395" s="117" t="s">
        <v>1645</v>
      </c>
      <c r="G395" s="116">
        <v>357.27</v>
      </c>
      <c r="H395" s="159"/>
      <c r="I395" s="108">
        <f t="shared" si="394"/>
        <v>0</v>
      </c>
      <c r="J395" s="108">
        <f t="shared" si="395"/>
        <v>0</v>
      </c>
      <c r="K395" s="108">
        <f t="shared" si="396"/>
        <v>0</v>
      </c>
      <c r="L395" s="111" t="s">
        <v>1671</v>
      </c>
      <c r="Z395" s="100">
        <f t="shared" si="397"/>
        <v>0</v>
      </c>
      <c r="AB395" s="100">
        <f t="shared" si="398"/>
        <v>0</v>
      </c>
      <c r="AC395" s="100">
        <f t="shared" si="399"/>
        <v>0</v>
      </c>
      <c r="AD395" s="100">
        <f t="shared" si="400"/>
        <v>0</v>
      </c>
      <c r="AE395" s="100">
        <f t="shared" si="401"/>
        <v>0</v>
      </c>
      <c r="AF395" s="100">
        <f t="shared" si="402"/>
        <v>0</v>
      </c>
      <c r="AG395" s="100">
        <f t="shared" si="403"/>
        <v>0</v>
      </c>
      <c r="AH395" s="100">
        <f t="shared" si="404"/>
        <v>0</v>
      </c>
      <c r="AI395" s="109"/>
      <c r="AJ395" s="108">
        <f t="shared" si="405"/>
        <v>0</v>
      </c>
      <c r="AK395" s="108">
        <f t="shared" si="406"/>
        <v>0</v>
      </c>
      <c r="AL395" s="108">
        <f t="shared" si="407"/>
        <v>0</v>
      </c>
      <c r="AN395" s="100">
        <v>15</v>
      </c>
      <c r="AO395" s="100">
        <f>H395*0.493489096573209</f>
        <v>0</v>
      </c>
      <c r="AP395" s="100">
        <f>H395*(1-0.493489096573209)</f>
        <v>0</v>
      </c>
      <c r="AQ395" s="111" t="s">
        <v>13</v>
      </c>
      <c r="AV395" s="100">
        <f t="shared" si="408"/>
        <v>0</v>
      </c>
      <c r="AW395" s="100">
        <f t="shared" si="409"/>
        <v>0</v>
      </c>
      <c r="AX395" s="100">
        <f t="shared" si="410"/>
        <v>0</v>
      </c>
      <c r="AY395" s="110" t="s">
        <v>1714</v>
      </c>
      <c r="AZ395" s="110" t="s">
        <v>1734</v>
      </c>
      <c r="BA395" s="109" t="s">
        <v>1737</v>
      </c>
      <c r="BC395" s="100">
        <f t="shared" si="411"/>
        <v>0</v>
      </c>
      <c r="BD395" s="100">
        <f t="shared" si="412"/>
        <v>0</v>
      </c>
      <c r="BE395" s="100">
        <v>0</v>
      </c>
      <c r="BF395" s="100">
        <f>395</f>
        <v>395</v>
      </c>
      <c r="BH395" s="108">
        <f t="shared" si="413"/>
        <v>0</v>
      </c>
      <c r="BI395" s="108">
        <f t="shared" si="414"/>
        <v>0</v>
      </c>
      <c r="BJ395" s="108">
        <f t="shared" si="415"/>
        <v>0</v>
      </c>
    </row>
    <row r="396" spans="1:62" x14ac:dyDescent="0.2">
      <c r="A396" s="117" t="s">
        <v>355</v>
      </c>
      <c r="B396" s="117" t="s">
        <v>874</v>
      </c>
      <c r="C396" s="304" t="s">
        <v>2691</v>
      </c>
      <c r="D396" s="305"/>
      <c r="E396" s="305"/>
      <c r="F396" s="117" t="s">
        <v>1645</v>
      </c>
      <c r="G396" s="116">
        <v>357.27</v>
      </c>
      <c r="H396" s="159"/>
      <c r="I396" s="108">
        <f t="shared" si="394"/>
        <v>0</v>
      </c>
      <c r="J396" s="108">
        <f t="shared" si="395"/>
        <v>0</v>
      </c>
      <c r="K396" s="108">
        <f t="shared" si="396"/>
        <v>0</v>
      </c>
      <c r="L396" s="111" t="s">
        <v>1671</v>
      </c>
      <c r="Z396" s="100">
        <f t="shared" si="397"/>
        <v>0</v>
      </c>
      <c r="AB396" s="100">
        <f t="shared" si="398"/>
        <v>0</v>
      </c>
      <c r="AC396" s="100">
        <f t="shared" si="399"/>
        <v>0</v>
      </c>
      <c r="AD396" s="100">
        <f t="shared" si="400"/>
        <v>0</v>
      </c>
      <c r="AE396" s="100">
        <f t="shared" si="401"/>
        <v>0</v>
      </c>
      <c r="AF396" s="100">
        <f t="shared" si="402"/>
        <v>0</v>
      </c>
      <c r="AG396" s="100">
        <f t="shared" si="403"/>
        <v>0</v>
      </c>
      <c r="AH396" s="100">
        <f t="shared" si="404"/>
        <v>0</v>
      </c>
      <c r="AI396" s="109"/>
      <c r="AJ396" s="108">
        <f t="shared" si="405"/>
        <v>0</v>
      </c>
      <c r="AK396" s="108">
        <f t="shared" si="406"/>
        <v>0</v>
      </c>
      <c r="AL396" s="108">
        <f t="shared" si="407"/>
        <v>0</v>
      </c>
      <c r="AN396" s="100">
        <v>15</v>
      </c>
      <c r="AO396" s="100">
        <f>H396*0</f>
        <v>0</v>
      </c>
      <c r="AP396" s="100">
        <f>H396*(1-0)</f>
        <v>0</v>
      </c>
      <c r="AQ396" s="111" t="s">
        <v>13</v>
      </c>
      <c r="AV396" s="100">
        <f t="shared" si="408"/>
        <v>0</v>
      </c>
      <c r="AW396" s="100">
        <f t="shared" si="409"/>
        <v>0</v>
      </c>
      <c r="AX396" s="100">
        <f t="shared" si="410"/>
        <v>0</v>
      </c>
      <c r="AY396" s="110" t="s">
        <v>1714</v>
      </c>
      <c r="AZ396" s="110" t="s">
        <v>1734</v>
      </c>
      <c r="BA396" s="109" t="s">
        <v>1737</v>
      </c>
      <c r="BC396" s="100">
        <f t="shared" si="411"/>
        <v>0</v>
      </c>
      <c r="BD396" s="100">
        <f t="shared" si="412"/>
        <v>0</v>
      </c>
      <c r="BE396" s="100">
        <v>0</v>
      </c>
      <c r="BF396" s="100">
        <f>396</f>
        <v>396</v>
      </c>
      <c r="BH396" s="108">
        <f t="shared" si="413"/>
        <v>0</v>
      </c>
      <c r="BI396" s="108">
        <f t="shared" si="414"/>
        <v>0</v>
      </c>
      <c r="BJ396" s="108">
        <f t="shared" si="415"/>
        <v>0</v>
      </c>
    </row>
    <row r="397" spans="1:62" x14ac:dyDescent="0.2">
      <c r="A397" s="124" t="s">
        <v>356</v>
      </c>
      <c r="B397" s="124" t="s">
        <v>875</v>
      </c>
      <c r="C397" s="311" t="s">
        <v>1464</v>
      </c>
      <c r="D397" s="312"/>
      <c r="E397" s="312"/>
      <c r="F397" s="124" t="s">
        <v>1645</v>
      </c>
      <c r="G397" s="123">
        <v>375.13400000000001</v>
      </c>
      <c r="H397" s="160"/>
      <c r="I397" s="121">
        <f t="shared" si="394"/>
        <v>0</v>
      </c>
      <c r="J397" s="121">
        <f t="shared" si="395"/>
        <v>0</v>
      </c>
      <c r="K397" s="121">
        <f t="shared" si="396"/>
        <v>0</v>
      </c>
      <c r="L397" s="122" t="s">
        <v>1671</v>
      </c>
      <c r="Z397" s="100">
        <f t="shared" si="397"/>
        <v>0</v>
      </c>
      <c r="AB397" s="100">
        <f t="shared" si="398"/>
        <v>0</v>
      </c>
      <c r="AC397" s="100">
        <f t="shared" si="399"/>
        <v>0</v>
      </c>
      <c r="AD397" s="100">
        <f t="shared" si="400"/>
        <v>0</v>
      </c>
      <c r="AE397" s="100">
        <f t="shared" si="401"/>
        <v>0</v>
      </c>
      <c r="AF397" s="100">
        <f t="shared" si="402"/>
        <v>0</v>
      </c>
      <c r="AG397" s="100">
        <f t="shared" si="403"/>
        <v>0</v>
      </c>
      <c r="AH397" s="100">
        <f t="shared" si="404"/>
        <v>0</v>
      </c>
      <c r="AI397" s="109"/>
      <c r="AJ397" s="121">
        <f t="shared" si="405"/>
        <v>0</v>
      </c>
      <c r="AK397" s="121">
        <f t="shared" si="406"/>
        <v>0</v>
      </c>
      <c r="AL397" s="121">
        <f t="shared" si="407"/>
        <v>0</v>
      </c>
      <c r="AN397" s="100">
        <v>15</v>
      </c>
      <c r="AO397" s="100">
        <f>H397*1</f>
        <v>0</v>
      </c>
      <c r="AP397" s="100">
        <f>H397*(1-1)</f>
        <v>0</v>
      </c>
      <c r="AQ397" s="122" t="s">
        <v>13</v>
      </c>
      <c r="AV397" s="100">
        <f t="shared" si="408"/>
        <v>0</v>
      </c>
      <c r="AW397" s="100">
        <f t="shared" si="409"/>
        <v>0</v>
      </c>
      <c r="AX397" s="100">
        <f t="shared" si="410"/>
        <v>0</v>
      </c>
      <c r="AY397" s="110" t="s">
        <v>1714</v>
      </c>
      <c r="AZ397" s="110" t="s">
        <v>1734</v>
      </c>
      <c r="BA397" s="109" t="s">
        <v>1737</v>
      </c>
      <c r="BC397" s="100">
        <f t="shared" si="411"/>
        <v>0</v>
      </c>
      <c r="BD397" s="100">
        <f t="shared" si="412"/>
        <v>0</v>
      </c>
      <c r="BE397" s="100">
        <v>0</v>
      </c>
      <c r="BF397" s="100">
        <f>397</f>
        <v>397</v>
      </c>
      <c r="BH397" s="121">
        <f t="shared" si="413"/>
        <v>0</v>
      </c>
      <c r="BI397" s="121">
        <f t="shared" si="414"/>
        <v>0</v>
      </c>
      <c r="BJ397" s="121">
        <f t="shared" si="415"/>
        <v>0</v>
      </c>
    </row>
    <row r="398" spans="1:62" x14ac:dyDescent="0.2">
      <c r="A398" s="117" t="s">
        <v>357</v>
      </c>
      <c r="B398" s="117" t="s">
        <v>876</v>
      </c>
      <c r="C398" s="304" t="s">
        <v>1465</v>
      </c>
      <c r="D398" s="305"/>
      <c r="E398" s="305"/>
      <c r="F398" s="117" t="s">
        <v>1645</v>
      </c>
      <c r="G398" s="116">
        <v>357.27</v>
      </c>
      <c r="H398" s="159"/>
      <c r="I398" s="108">
        <f t="shared" si="394"/>
        <v>0</v>
      </c>
      <c r="J398" s="108">
        <f t="shared" si="395"/>
        <v>0</v>
      </c>
      <c r="K398" s="108">
        <f t="shared" si="396"/>
        <v>0</v>
      </c>
      <c r="L398" s="111" t="s">
        <v>1671</v>
      </c>
      <c r="Z398" s="100">
        <f t="shared" si="397"/>
        <v>0</v>
      </c>
      <c r="AB398" s="100">
        <f t="shared" si="398"/>
        <v>0</v>
      </c>
      <c r="AC398" s="100">
        <f t="shared" si="399"/>
        <v>0</v>
      </c>
      <c r="AD398" s="100">
        <f t="shared" si="400"/>
        <v>0</v>
      </c>
      <c r="AE398" s="100">
        <f t="shared" si="401"/>
        <v>0</v>
      </c>
      <c r="AF398" s="100">
        <f t="shared" si="402"/>
        <v>0</v>
      </c>
      <c r="AG398" s="100">
        <f t="shared" si="403"/>
        <v>0</v>
      </c>
      <c r="AH398" s="100">
        <f t="shared" si="404"/>
        <v>0</v>
      </c>
      <c r="AI398" s="109"/>
      <c r="AJ398" s="108">
        <f t="shared" si="405"/>
        <v>0</v>
      </c>
      <c r="AK398" s="108">
        <f t="shared" si="406"/>
        <v>0</v>
      </c>
      <c r="AL398" s="108">
        <f t="shared" si="407"/>
        <v>0</v>
      </c>
      <c r="AN398" s="100">
        <v>15</v>
      </c>
      <c r="AO398" s="100">
        <f>H398*0</f>
        <v>0</v>
      </c>
      <c r="AP398" s="100">
        <f>H398*(1-0)</f>
        <v>0</v>
      </c>
      <c r="AQ398" s="111" t="s">
        <v>13</v>
      </c>
      <c r="AV398" s="100">
        <f t="shared" si="408"/>
        <v>0</v>
      </c>
      <c r="AW398" s="100">
        <f t="shared" si="409"/>
        <v>0</v>
      </c>
      <c r="AX398" s="100">
        <f t="shared" si="410"/>
        <v>0</v>
      </c>
      <c r="AY398" s="110" t="s">
        <v>1714</v>
      </c>
      <c r="AZ398" s="110" t="s">
        <v>1734</v>
      </c>
      <c r="BA398" s="109" t="s">
        <v>1737</v>
      </c>
      <c r="BC398" s="100">
        <f t="shared" si="411"/>
        <v>0</v>
      </c>
      <c r="BD398" s="100">
        <f t="shared" si="412"/>
        <v>0</v>
      </c>
      <c r="BE398" s="100">
        <v>0</v>
      </c>
      <c r="BF398" s="100">
        <f>398</f>
        <v>398</v>
      </c>
      <c r="BH398" s="108">
        <f t="shared" si="413"/>
        <v>0</v>
      </c>
      <c r="BI398" s="108">
        <f t="shared" si="414"/>
        <v>0</v>
      </c>
      <c r="BJ398" s="108">
        <f t="shared" si="415"/>
        <v>0</v>
      </c>
    </row>
    <row r="399" spans="1:62" x14ac:dyDescent="0.2">
      <c r="A399" s="117" t="s">
        <v>358</v>
      </c>
      <c r="B399" s="117" t="s">
        <v>877</v>
      </c>
      <c r="C399" s="304" t="s">
        <v>1466</v>
      </c>
      <c r="D399" s="305"/>
      <c r="E399" s="305"/>
      <c r="F399" s="117" t="s">
        <v>1647</v>
      </c>
      <c r="G399" s="116">
        <v>7.86</v>
      </c>
      <c r="H399" s="159"/>
      <c r="I399" s="108">
        <f t="shared" si="394"/>
        <v>0</v>
      </c>
      <c r="J399" s="108">
        <f t="shared" si="395"/>
        <v>0</v>
      </c>
      <c r="K399" s="108">
        <f t="shared" si="396"/>
        <v>0</v>
      </c>
      <c r="L399" s="111" t="s">
        <v>1671</v>
      </c>
      <c r="Z399" s="100">
        <f t="shared" si="397"/>
        <v>0</v>
      </c>
      <c r="AB399" s="100">
        <f t="shared" si="398"/>
        <v>0</v>
      </c>
      <c r="AC399" s="100">
        <f t="shared" si="399"/>
        <v>0</v>
      </c>
      <c r="AD399" s="100">
        <f t="shared" si="400"/>
        <v>0</v>
      </c>
      <c r="AE399" s="100">
        <f t="shared" si="401"/>
        <v>0</v>
      </c>
      <c r="AF399" s="100">
        <f t="shared" si="402"/>
        <v>0</v>
      </c>
      <c r="AG399" s="100">
        <f t="shared" si="403"/>
        <v>0</v>
      </c>
      <c r="AH399" s="100">
        <f t="shared" si="404"/>
        <v>0</v>
      </c>
      <c r="AI399" s="109"/>
      <c r="AJ399" s="108">
        <f t="shared" si="405"/>
        <v>0</v>
      </c>
      <c r="AK399" s="108">
        <f t="shared" si="406"/>
        <v>0</v>
      </c>
      <c r="AL399" s="108">
        <f t="shared" si="407"/>
        <v>0</v>
      </c>
      <c r="AN399" s="100">
        <v>15</v>
      </c>
      <c r="AO399" s="100">
        <f>H399*1</f>
        <v>0</v>
      </c>
      <c r="AP399" s="100">
        <f>H399*(1-1)</f>
        <v>0</v>
      </c>
      <c r="AQ399" s="111" t="s">
        <v>13</v>
      </c>
      <c r="AV399" s="100">
        <f t="shared" si="408"/>
        <v>0</v>
      </c>
      <c r="AW399" s="100">
        <f t="shared" si="409"/>
        <v>0</v>
      </c>
      <c r="AX399" s="100">
        <f t="shared" si="410"/>
        <v>0</v>
      </c>
      <c r="AY399" s="110" t="s">
        <v>1714</v>
      </c>
      <c r="AZ399" s="110" t="s">
        <v>1734</v>
      </c>
      <c r="BA399" s="109" t="s">
        <v>1737</v>
      </c>
      <c r="BC399" s="100">
        <f t="shared" si="411"/>
        <v>0</v>
      </c>
      <c r="BD399" s="100">
        <f t="shared" si="412"/>
        <v>0</v>
      </c>
      <c r="BE399" s="100">
        <v>0</v>
      </c>
      <c r="BF399" s="100">
        <f>399</f>
        <v>399</v>
      </c>
      <c r="BH399" s="108">
        <f t="shared" si="413"/>
        <v>0</v>
      </c>
      <c r="BI399" s="108">
        <f t="shared" si="414"/>
        <v>0</v>
      </c>
      <c r="BJ399" s="108">
        <f t="shared" si="415"/>
        <v>0</v>
      </c>
    </row>
    <row r="400" spans="1:62" x14ac:dyDescent="0.2">
      <c r="A400" s="117" t="s">
        <v>359</v>
      </c>
      <c r="B400" s="117" t="s">
        <v>878</v>
      </c>
      <c r="C400" s="304" t="s">
        <v>1467</v>
      </c>
      <c r="D400" s="305"/>
      <c r="E400" s="305"/>
      <c r="F400" s="117" t="s">
        <v>1645</v>
      </c>
      <c r="G400" s="116">
        <v>54.9</v>
      </c>
      <c r="H400" s="159"/>
      <c r="I400" s="108">
        <f t="shared" si="394"/>
        <v>0</v>
      </c>
      <c r="J400" s="108">
        <f t="shared" si="395"/>
        <v>0</v>
      </c>
      <c r="K400" s="108">
        <f t="shared" si="396"/>
        <v>0</v>
      </c>
      <c r="L400" s="111" t="s">
        <v>1671</v>
      </c>
      <c r="Z400" s="100">
        <f t="shared" si="397"/>
        <v>0</v>
      </c>
      <c r="AB400" s="100">
        <f t="shared" si="398"/>
        <v>0</v>
      </c>
      <c r="AC400" s="100">
        <f t="shared" si="399"/>
        <v>0</v>
      </c>
      <c r="AD400" s="100">
        <f t="shared" si="400"/>
        <v>0</v>
      </c>
      <c r="AE400" s="100">
        <f t="shared" si="401"/>
        <v>0</v>
      </c>
      <c r="AF400" s="100">
        <f t="shared" si="402"/>
        <v>0</v>
      </c>
      <c r="AG400" s="100">
        <f t="shared" si="403"/>
        <v>0</v>
      </c>
      <c r="AH400" s="100">
        <f t="shared" si="404"/>
        <v>0</v>
      </c>
      <c r="AI400" s="109"/>
      <c r="AJ400" s="108">
        <f t="shared" si="405"/>
        <v>0</v>
      </c>
      <c r="AK400" s="108">
        <f t="shared" si="406"/>
        <v>0</v>
      </c>
      <c r="AL400" s="108">
        <f t="shared" si="407"/>
        <v>0</v>
      </c>
      <c r="AN400" s="100">
        <v>15</v>
      </c>
      <c r="AO400" s="100">
        <f>H400*0.650037878787879</f>
        <v>0</v>
      </c>
      <c r="AP400" s="100">
        <f>H400*(1-0.650037878787879)</f>
        <v>0</v>
      </c>
      <c r="AQ400" s="111" t="s">
        <v>13</v>
      </c>
      <c r="AV400" s="100">
        <f t="shared" si="408"/>
        <v>0</v>
      </c>
      <c r="AW400" s="100">
        <f t="shared" si="409"/>
        <v>0</v>
      </c>
      <c r="AX400" s="100">
        <f t="shared" si="410"/>
        <v>0</v>
      </c>
      <c r="AY400" s="110" t="s">
        <v>1714</v>
      </c>
      <c r="AZ400" s="110" t="s">
        <v>1734</v>
      </c>
      <c r="BA400" s="109" t="s">
        <v>1737</v>
      </c>
      <c r="BC400" s="100">
        <f t="shared" si="411"/>
        <v>0</v>
      </c>
      <c r="BD400" s="100">
        <f t="shared" si="412"/>
        <v>0</v>
      </c>
      <c r="BE400" s="100">
        <v>0</v>
      </c>
      <c r="BF400" s="100">
        <f>400</f>
        <v>400</v>
      </c>
      <c r="BH400" s="108">
        <f t="shared" si="413"/>
        <v>0</v>
      </c>
      <c r="BI400" s="108">
        <f t="shared" si="414"/>
        <v>0</v>
      </c>
      <c r="BJ400" s="108">
        <f t="shared" si="415"/>
        <v>0</v>
      </c>
    </row>
    <row r="401" spans="1:62" x14ac:dyDescent="0.2">
      <c r="A401" s="117" t="s">
        <v>360</v>
      </c>
      <c r="B401" s="117" t="s">
        <v>879</v>
      </c>
      <c r="C401" s="304" t="s">
        <v>1468</v>
      </c>
      <c r="D401" s="305"/>
      <c r="E401" s="305"/>
      <c r="F401" s="117" t="s">
        <v>1645</v>
      </c>
      <c r="G401" s="116">
        <v>54.9</v>
      </c>
      <c r="H401" s="159"/>
      <c r="I401" s="108">
        <f t="shared" si="394"/>
        <v>0</v>
      </c>
      <c r="J401" s="108">
        <f t="shared" si="395"/>
        <v>0</v>
      </c>
      <c r="K401" s="108">
        <f t="shared" si="396"/>
        <v>0</v>
      </c>
      <c r="L401" s="111" t="s">
        <v>1671</v>
      </c>
      <c r="Z401" s="100">
        <f t="shared" si="397"/>
        <v>0</v>
      </c>
      <c r="AB401" s="100">
        <f t="shared" si="398"/>
        <v>0</v>
      </c>
      <c r="AC401" s="100">
        <f t="shared" si="399"/>
        <v>0</v>
      </c>
      <c r="AD401" s="100">
        <f t="shared" si="400"/>
        <v>0</v>
      </c>
      <c r="AE401" s="100">
        <f t="shared" si="401"/>
        <v>0</v>
      </c>
      <c r="AF401" s="100">
        <f t="shared" si="402"/>
        <v>0</v>
      </c>
      <c r="AG401" s="100">
        <f t="shared" si="403"/>
        <v>0</v>
      </c>
      <c r="AH401" s="100">
        <f t="shared" si="404"/>
        <v>0</v>
      </c>
      <c r="AI401" s="109"/>
      <c r="AJ401" s="108">
        <f t="shared" si="405"/>
        <v>0</v>
      </c>
      <c r="AK401" s="108">
        <f t="shared" si="406"/>
        <v>0</v>
      </c>
      <c r="AL401" s="108">
        <f t="shared" si="407"/>
        <v>0</v>
      </c>
      <c r="AN401" s="100">
        <v>15</v>
      </c>
      <c r="AO401" s="100">
        <f>H401*0.0505464480874317</f>
        <v>0</v>
      </c>
      <c r="AP401" s="100">
        <f>H401*(1-0.0505464480874317)</f>
        <v>0</v>
      </c>
      <c r="AQ401" s="111" t="s">
        <v>13</v>
      </c>
      <c r="AV401" s="100">
        <f t="shared" si="408"/>
        <v>0</v>
      </c>
      <c r="AW401" s="100">
        <f t="shared" si="409"/>
        <v>0</v>
      </c>
      <c r="AX401" s="100">
        <f t="shared" si="410"/>
        <v>0</v>
      </c>
      <c r="AY401" s="110" t="s">
        <v>1714</v>
      </c>
      <c r="AZ401" s="110" t="s">
        <v>1734</v>
      </c>
      <c r="BA401" s="109" t="s">
        <v>1737</v>
      </c>
      <c r="BC401" s="100">
        <f t="shared" si="411"/>
        <v>0</v>
      </c>
      <c r="BD401" s="100">
        <f t="shared" si="412"/>
        <v>0</v>
      </c>
      <c r="BE401" s="100">
        <v>0</v>
      </c>
      <c r="BF401" s="100">
        <f>401</f>
        <v>401</v>
      </c>
      <c r="BH401" s="108">
        <f t="shared" si="413"/>
        <v>0</v>
      </c>
      <c r="BI401" s="108">
        <f t="shared" si="414"/>
        <v>0</v>
      </c>
      <c r="BJ401" s="108">
        <f t="shared" si="415"/>
        <v>0</v>
      </c>
    </row>
    <row r="402" spans="1:62" x14ac:dyDescent="0.2">
      <c r="A402" s="117" t="s">
        <v>361</v>
      </c>
      <c r="B402" s="117" t="s">
        <v>880</v>
      </c>
      <c r="C402" s="304" t="s">
        <v>1469</v>
      </c>
      <c r="D402" s="305"/>
      <c r="E402" s="305"/>
      <c r="F402" s="117" t="s">
        <v>1647</v>
      </c>
      <c r="G402" s="116">
        <v>1.0429999999999999</v>
      </c>
      <c r="H402" s="159"/>
      <c r="I402" s="108">
        <f t="shared" si="394"/>
        <v>0</v>
      </c>
      <c r="J402" s="108">
        <f t="shared" si="395"/>
        <v>0</v>
      </c>
      <c r="K402" s="108">
        <f t="shared" si="396"/>
        <v>0</v>
      </c>
      <c r="L402" s="111" t="s">
        <v>1671</v>
      </c>
      <c r="Z402" s="100">
        <f t="shared" si="397"/>
        <v>0</v>
      </c>
      <c r="AB402" s="100">
        <f t="shared" si="398"/>
        <v>0</v>
      </c>
      <c r="AC402" s="100">
        <f t="shared" si="399"/>
        <v>0</v>
      </c>
      <c r="AD402" s="100">
        <f t="shared" si="400"/>
        <v>0</v>
      </c>
      <c r="AE402" s="100">
        <f t="shared" si="401"/>
        <v>0</v>
      </c>
      <c r="AF402" s="100">
        <f t="shared" si="402"/>
        <v>0</v>
      </c>
      <c r="AG402" s="100">
        <f t="shared" si="403"/>
        <v>0</v>
      </c>
      <c r="AH402" s="100">
        <f t="shared" si="404"/>
        <v>0</v>
      </c>
      <c r="AI402" s="109"/>
      <c r="AJ402" s="108">
        <f t="shared" si="405"/>
        <v>0</v>
      </c>
      <c r="AK402" s="108">
        <f t="shared" si="406"/>
        <v>0</v>
      </c>
      <c r="AL402" s="108">
        <f t="shared" si="407"/>
        <v>0</v>
      </c>
      <c r="AN402" s="100">
        <v>15</v>
      </c>
      <c r="AO402" s="100">
        <f>H402*1.00000541682466</f>
        <v>0</v>
      </c>
      <c r="AP402" s="100">
        <f>H402*(1-1.00000541682466)</f>
        <v>0</v>
      </c>
      <c r="AQ402" s="111" t="s">
        <v>13</v>
      </c>
      <c r="AV402" s="100">
        <f t="shared" si="408"/>
        <v>0</v>
      </c>
      <c r="AW402" s="100">
        <f t="shared" si="409"/>
        <v>0</v>
      </c>
      <c r="AX402" s="100">
        <f t="shared" si="410"/>
        <v>0</v>
      </c>
      <c r="AY402" s="110" t="s">
        <v>1714</v>
      </c>
      <c r="AZ402" s="110" t="s">
        <v>1734</v>
      </c>
      <c r="BA402" s="109" t="s">
        <v>1737</v>
      </c>
      <c r="BC402" s="100">
        <f t="shared" si="411"/>
        <v>0</v>
      </c>
      <c r="BD402" s="100">
        <f t="shared" si="412"/>
        <v>0</v>
      </c>
      <c r="BE402" s="100">
        <v>0</v>
      </c>
      <c r="BF402" s="100">
        <f>402</f>
        <v>402</v>
      </c>
      <c r="BH402" s="108">
        <f t="shared" si="413"/>
        <v>0</v>
      </c>
      <c r="BI402" s="108">
        <f t="shared" si="414"/>
        <v>0</v>
      </c>
      <c r="BJ402" s="108">
        <f t="shared" si="415"/>
        <v>0</v>
      </c>
    </row>
    <row r="403" spans="1:62" x14ac:dyDescent="0.2">
      <c r="A403" s="117" t="s">
        <v>362</v>
      </c>
      <c r="B403" s="117" t="s">
        <v>881</v>
      </c>
      <c r="C403" s="304" t="s">
        <v>1470</v>
      </c>
      <c r="D403" s="305"/>
      <c r="E403" s="305"/>
      <c r="F403" s="117" t="s">
        <v>1648</v>
      </c>
      <c r="G403" s="116">
        <v>32.53</v>
      </c>
      <c r="H403" s="159"/>
      <c r="I403" s="108">
        <f t="shared" si="394"/>
        <v>0</v>
      </c>
      <c r="J403" s="108">
        <f t="shared" si="395"/>
        <v>0</v>
      </c>
      <c r="K403" s="108">
        <f t="shared" si="396"/>
        <v>0</v>
      </c>
      <c r="L403" s="111" t="s">
        <v>1671</v>
      </c>
      <c r="Z403" s="100">
        <f t="shared" si="397"/>
        <v>0</v>
      </c>
      <c r="AB403" s="100">
        <f t="shared" si="398"/>
        <v>0</v>
      </c>
      <c r="AC403" s="100">
        <f t="shared" si="399"/>
        <v>0</v>
      </c>
      <c r="AD403" s="100">
        <f t="shared" si="400"/>
        <v>0</v>
      </c>
      <c r="AE403" s="100">
        <f t="shared" si="401"/>
        <v>0</v>
      </c>
      <c r="AF403" s="100">
        <f t="shared" si="402"/>
        <v>0</v>
      </c>
      <c r="AG403" s="100">
        <f t="shared" si="403"/>
        <v>0</v>
      </c>
      <c r="AH403" s="100">
        <f t="shared" si="404"/>
        <v>0</v>
      </c>
      <c r="AI403" s="109"/>
      <c r="AJ403" s="108">
        <f t="shared" si="405"/>
        <v>0</v>
      </c>
      <c r="AK403" s="108">
        <f t="shared" si="406"/>
        <v>0</v>
      </c>
      <c r="AL403" s="108">
        <f t="shared" si="407"/>
        <v>0</v>
      </c>
      <c r="AN403" s="100">
        <v>15</v>
      </c>
      <c r="AO403" s="100">
        <f>H403*0</f>
        <v>0</v>
      </c>
      <c r="AP403" s="100">
        <f>H403*(1-0)</f>
        <v>0</v>
      </c>
      <c r="AQ403" s="111" t="s">
        <v>11</v>
      </c>
      <c r="AV403" s="100">
        <f t="shared" si="408"/>
        <v>0</v>
      </c>
      <c r="AW403" s="100">
        <f t="shared" si="409"/>
        <v>0</v>
      </c>
      <c r="AX403" s="100">
        <f t="shared" si="410"/>
        <v>0</v>
      </c>
      <c r="AY403" s="110" t="s">
        <v>1714</v>
      </c>
      <c r="AZ403" s="110" t="s">
        <v>1734</v>
      </c>
      <c r="BA403" s="109" t="s">
        <v>1737</v>
      </c>
      <c r="BC403" s="100">
        <f t="shared" si="411"/>
        <v>0</v>
      </c>
      <c r="BD403" s="100">
        <f t="shared" si="412"/>
        <v>0</v>
      </c>
      <c r="BE403" s="100">
        <v>0</v>
      </c>
      <c r="BF403" s="100">
        <f>403</f>
        <v>403</v>
      </c>
      <c r="BH403" s="108">
        <f t="shared" si="413"/>
        <v>0</v>
      </c>
      <c r="BI403" s="108">
        <f t="shared" si="414"/>
        <v>0</v>
      </c>
      <c r="BJ403" s="108">
        <f t="shared" si="415"/>
        <v>0</v>
      </c>
    </row>
    <row r="404" spans="1:62" x14ac:dyDescent="0.2">
      <c r="A404" s="119"/>
      <c r="B404" s="120" t="s">
        <v>882</v>
      </c>
      <c r="C404" s="306" t="s">
        <v>1471</v>
      </c>
      <c r="D404" s="307"/>
      <c r="E404" s="307"/>
      <c r="F404" s="119" t="s">
        <v>6</v>
      </c>
      <c r="G404" s="119" t="s">
        <v>6</v>
      </c>
      <c r="H404" s="119" t="s">
        <v>6</v>
      </c>
      <c r="I404" s="118">
        <f>SUM(I405:I424)</f>
        <v>0</v>
      </c>
      <c r="J404" s="118">
        <f>SUM(J405:J424)</f>
        <v>0</v>
      </c>
      <c r="K404" s="118">
        <f>SUM(K405:K424)</f>
        <v>0</v>
      </c>
      <c r="L404" s="109"/>
      <c r="AI404" s="109"/>
      <c r="AS404" s="118">
        <f>SUM(AJ405:AJ424)</f>
        <v>0</v>
      </c>
      <c r="AT404" s="118">
        <f>SUM(AK405:AK424)</f>
        <v>0</v>
      </c>
      <c r="AU404" s="118">
        <f>SUM(AL405:AL424)</f>
        <v>0</v>
      </c>
    </row>
    <row r="405" spans="1:62" x14ac:dyDescent="0.2">
      <c r="A405" s="117" t="s">
        <v>363</v>
      </c>
      <c r="B405" s="117" t="s">
        <v>883</v>
      </c>
      <c r="C405" s="304" t="s">
        <v>1472</v>
      </c>
      <c r="D405" s="305"/>
      <c r="E405" s="305"/>
      <c r="F405" s="117" t="s">
        <v>1645</v>
      </c>
      <c r="G405" s="116">
        <v>357.27</v>
      </c>
      <c r="H405" s="159"/>
      <c r="I405" s="108">
        <f t="shared" ref="I405:I424" si="416">G405*AO405</f>
        <v>0</v>
      </c>
      <c r="J405" s="108">
        <f t="shared" ref="J405:J424" si="417">G405*AP405</f>
        <v>0</v>
      </c>
      <c r="K405" s="108">
        <f t="shared" ref="K405:K424" si="418">G405*H405</f>
        <v>0</v>
      </c>
      <c r="L405" s="111" t="s">
        <v>1671</v>
      </c>
      <c r="Z405" s="100">
        <f t="shared" ref="Z405:Z424" si="419">IF(AQ405="5",BJ405,0)</f>
        <v>0</v>
      </c>
      <c r="AB405" s="100">
        <f t="shared" ref="AB405:AB424" si="420">IF(AQ405="1",BH405,0)</f>
        <v>0</v>
      </c>
      <c r="AC405" s="100">
        <f t="shared" ref="AC405:AC424" si="421">IF(AQ405="1",BI405,0)</f>
        <v>0</v>
      </c>
      <c r="AD405" s="100">
        <f t="shared" ref="AD405:AD424" si="422">IF(AQ405="7",BH405,0)</f>
        <v>0</v>
      </c>
      <c r="AE405" s="100">
        <f t="shared" ref="AE405:AE424" si="423">IF(AQ405="7",BI405,0)</f>
        <v>0</v>
      </c>
      <c r="AF405" s="100">
        <f t="shared" ref="AF405:AF424" si="424">IF(AQ405="2",BH405,0)</f>
        <v>0</v>
      </c>
      <c r="AG405" s="100">
        <f t="shared" ref="AG405:AG424" si="425">IF(AQ405="2",BI405,0)</f>
        <v>0</v>
      </c>
      <c r="AH405" s="100">
        <f t="shared" ref="AH405:AH424" si="426">IF(AQ405="0",BJ405,0)</f>
        <v>0</v>
      </c>
      <c r="AI405" s="109"/>
      <c r="AJ405" s="108">
        <f t="shared" ref="AJ405:AJ424" si="427">IF(AN405=0,K405,0)</f>
        <v>0</v>
      </c>
      <c r="AK405" s="108">
        <f t="shared" ref="AK405:AK424" si="428">IF(AN405=15,K405,0)</f>
        <v>0</v>
      </c>
      <c r="AL405" s="108">
        <f t="shared" ref="AL405:AL424" si="429">IF(AN405=21,K405,0)</f>
        <v>0</v>
      </c>
      <c r="AN405" s="100">
        <v>15</v>
      </c>
      <c r="AO405" s="100">
        <f>H405*0</f>
        <v>0</v>
      </c>
      <c r="AP405" s="100">
        <f>H405*(1-0)</f>
        <v>0</v>
      </c>
      <c r="AQ405" s="111" t="s">
        <v>13</v>
      </c>
      <c r="AV405" s="100">
        <f t="shared" ref="AV405:AV424" si="430">AW405+AX405</f>
        <v>0</v>
      </c>
      <c r="AW405" s="100">
        <f t="shared" ref="AW405:AW424" si="431">G405*AO405</f>
        <v>0</v>
      </c>
      <c r="AX405" s="100">
        <f t="shared" ref="AX405:AX424" si="432">G405*AP405</f>
        <v>0</v>
      </c>
      <c r="AY405" s="110" t="s">
        <v>1715</v>
      </c>
      <c r="AZ405" s="110" t="s">
        <v>1734</v>
      </c>
      <c r="BA405" s="109" t="s">
        <v>1737</v>
      </c>
      <c r="BC405" s="100">
        <f t="shared" ref="BC405:BC424" si="433">AW405+AX405</f>
        <v>0</v>
      </c>
      <c r="BD405" s="100">
        <f t="shared" ref="BD405:BD424" si="434">H405/(100-BE405)*100</f>
        <v>0</v>
      </c>
      <c r="BE405" s="100">
        <v>0</v>
      </c>
      <c r="BF405" s="100">
        <f>405</f>
        <v>405</v>
      </c>
      <c r="BH405" s="108">
        <f t="shared" ref="BH405:BH424" si="435">G405*AO405</f>
        <v>0</v>
      </c>
      <c r="BI405" s="108">
        <f t="shared" ref="BI405:BI424" si="436">G405*AP405</f>
        <v>0</v>
      </c>
      <c r="BJ405" s="108">
        <f t="shared" ref="BJ405:BJ424" si="437">G405*H405</f>
        <v>0</v>
      </c>
    </row>
    <row r="406" spans="1:62" x14ac:dyDescent="0.2">
      <c r="A406" s="117" t="s">
        <v>364</v>
      </c>
      <c r="B406" s="117" t="s">
        <v>884</v>
      </c>
      <c r="C406" s="304" t="s">
        <v>1473</v>
      </c>
      <c r="D406" s="305"/>
      <c r="E406" s="305"/>
      <c r="F406" s="117" t="s">
        <v>1646</v>
      </c>
      <c r="G406" s="116">
        <v>106</v>
      </c>
      <c r="H406" s="159"/>
      <c r="I406" s="108">
        <f t="shared" si="416"/>
        <v>0</v>
      </c>
      <c r="J406" s="108">
        <f t="shared" si="417"/>
        <v>0</v>
      </c>
      <c r="K406" s="108">
        <f t="shared" si="418"/>
        <v>0</v>
      </c>
      <c r="L406" s="111" t="s">
        <v>1671</v>
      </c>
      <c r="Z406" s="100">
        <f t="shared" si="419"/>
        <v>0</v>
      </c>
      <c r="AB406" s="100">
        <f t="shared" si="420"/>
        <v>0</v>
      </c>
      <c r="AC406" s="100">
        <f t="shared" si="421"/>
        <v>0</v>
      </c>
      <c r="AD406" s="100">
        <f t="shared" si="422"/>
        <v>0</v>
      </c>
      <c r="AE406" s="100">
        <f t="shared" si="423"/>
        <v>0</v>
      </c>
      <c r="AF406" s="100">
        <f t="shared" si="424"/>
        <v>0</v>
      </c>
      <c r="AG406" s="100">
        <f t="shared" si="425"/>
        <v>0</v>
      </c>
      <c r="AH406" s="100">
        <f t="shared" si="426"/>
        <v>0</v>
      </c>
      <c r="AI406" s="109"/>
      <c r="AJ406" s="108">
        <f t="shared" si="427"/>
        <v>0</v>
      </c>
      <c r="AK406" s="108">
        <f t="shared" si="428"/>
        <v>0</v>
      </c>
      <c r="AL406" s="108">
        <f t="shared" si="429"/>
        <v>0</v>
      </c>
      <c r="AN406" s="100">
        <v>15</v>
      </c>
      <c r="AO406" s="100">
        <f>H406*0</f>
        <v>0</v>
      </c>
      <c r="AP406" s="100">
        <f>H406*(1-0)</f>
        <v>0</v>
      </c>
      <c r="AQ406" s="111" t="s">
        <v>13</v>
      </c>
      <c r="AV406" s="100">
        <f t="shared" si="430"/>
        <v>0</v>
      </c>
      <c r="AW406" s="100">
        <f t="shared" si="431"/>
        <v>0</v>
      </c>
      <c r="AX406" s="100">
        <f t="shared" si="432"/>
        <v>0</v>
      </c>
      <c r="AY406" s="110" t="s">
        <v>1715</v>
      </c>
      <c r="AZ406" s="110" t="s">
        <v>1734</v>
      </c>
      <c r="BA406" s="109" t="s">
        <v>1737</v>
      </c>
      <c r="BC406" s="100">
        <f t="shared" si="433"/>
        <v>0</v>
      </c>
      <c r="BD406" s="100">
        <f t="shared" si="434"/>
        <v>0</v>
      </c>
      <c r="BE406" s="100">
        <v>0</v>
      </c>
      <c r="BF406" s="100">
        <f>406</f>
        <v>406</v>
      </c>
      <c r="BH406" s="108">
        <f t="shared" si="435"/>
        <v>0</v>
      </c>
      <c r="BI406" s="108">
        <f t="shared" si="436"/>
        <v>0</v>
      </c>
      <c r="BJ406" s="108">
        <f t="shared" si="437"/>
        <v>0</v>
      </c>
    </row>
    <row r="407" spans="1:62" x14ac:dyDescent="0.2">
      <c r="A407" s="117" t="s">
        <v>365</v>
      </c>
      <c r="B407" s="117" t="s">
        <v>885</v>
      </c>
      <c r="C407" s="304" t="s">
        <v>1474</v>
      </c>
      <c r="D407" s="305"/>
      <c r="E407" s="305"/>
      <c r="F407" s="117" t="s">
        <v>1645</v>
      </c>
      <c r="G407" s="116">
        <v>1.952</v>
      </c>
      <c r="H407" s="159"/>
      <c r="I407" s="108">
        <f t="shared" si="416"/>
        <v>0</v>
      </c>
      <c r="J407" s="108">
        <f t="shared" si="417"/>
        <v>0</v>
      </c>
      <c r="K407" s="108">
        <f t="shared" si="418"/>
        <v>0</v>
      </c>
      <c r="L407" s="111" t="s">
        <v>1671</v>
      </c>
      <c r="Z407" s="100">
        <f t="shared" si="419"/>
        <v>0</v>
      </c>
      <c r="AB407" s="100">
        <f t="shared" si="420"/>
        <v>0</v>
      </c>
      <c r="AC407" s="100">
        <f t="shared" si="421"/>
        <v>0</v>
      </c>
      <c r="AD407" s="100">
        <f t="shared" si="422"/>
        <v>0</v>
      </c>
      <c r="AE407" s="100">
        <f t="shared" si="423"/>
        <v>0</v>
      </c>
      <c r="AF407" s="100">
        <f t="shared" si="424"/>
        <v>0</v>
      </c>
      <c r="AG407" s="100">
        <f t="shared" si="425"/>
        <v>0</v>
      </c>
      <c r="AH407" s="100">
        <f t="shared" si="426"/>
        <v>0</v>
      </c>
      <c r="AI407" s="109"/>
      <c r="AJ407" s="108">
        <f t="shared" si="427"/>
        <v>0</v>
      </c>
      <c r="AK407" s="108">
        <f t="shared" si="428"/>
        <v>0</v>
      </c>
      <c r="AL407" s="108">
        <f t="shared" si="429"/>
        <v>0</v>
      </c>
      <c r="AN407" s="100">
        <v>15</v>
      </c>
      <c r="AO407" s="100">
        <f>H407*0</f>
        <v>0</v>
      </c>
      <c r="AP407" s="100">
        <f>H407*(1-0)</f>
        <v>0</v>
      </c>
      <c r="AQ407" s="111" t="s">
        <v>13</v>
      </c>
      <c r="AV407" s="100">
        <f t="shared" si="430"/>
        <v>0</v>
      </c>
      <c r="AW407" s="100">
        <f t="shared" si="431"/>
        <v>0</v>
      </c>
      <c r="AX407" s="100">
        <f t="shared" si="432"/>
        <v>0</v>
      </c>
      <c r="AY407" s="110" t="s">
        <v>1715</v>
      </c>
      <c r="AZ407" s="110" t="s">
        <v>1734</v>
      </c>
      <c r="BA407" s="109" t="s">
        <v>1737</v>
      </c>
      <c r="BC407" s="100">
        <f t="shared" si="433"/>
        <v>0</v>
      </c>
      <c r="BD407" s="100">
        <f t="shared" si="434"/>
        <v>0</v>
      </c>
      <c r="BE407" s="100">
        <v>0</v>
      </c>
      <c r="BF407" s="100">
        <f>407</f>
        <v>407</v>
      </c>
      <c r="BH407" s="108">
        <f t="shared" si="435"/>
        <v>0</v>
      </c>
      <c r="BI407" s="108">
        <f t="shared" si="436"/>
        <v>0</v>
      </c>
      <c r="BJ407" s="108">
        <f t="shared" si="437"/>
        <v>0</v>
      </c>
    </row>
    <row r="408" spans="1:62" x14ac:dyDescent="0.2">
      <c r="A408" s="117" t="s">
        <v>366</v>
      </c>
      <c r="B408" s="117" t="s">
        <v>886</v>
      </c>
      <c r="C408" s="304" t="s">
        <v>3034</v>
      </c>
      <c r="D408" s="305"/>
      <c r="E408" s="305"/>
      <c r="F408" s="117" t="s">
        <v>1646</v>
      </c>
      <c r="G408" s="116">
        <v>64.5</v>
      </c>
      <c r="H408" s="159"/>
      <c r="I408" s="108">
        <f t="shared" si="416"/>
        <v>0</v>
      </c>
      <c r="J408" s="108">
        <f t="shared" si="417"/>
        <v>0</v>
      </c>
      <c r="K408" s="108">
        <f t="shared" si="418"/>
        <v>0</v>
      </c>
      <c r="L408" s="111" t="s">
        <v>1671</v>
      </c>
      <c r="Z408" s="100">
        <f t="shared" si="419"/>
        <v>0</v>
      </c>
      <c r="AB408" s="100">
        <f t="shared" si="420"/>
        <v>0</v>
      </c>
      <c r="AC408" s="100">
        <f t="shared" si="421"/>
        <v>0</v>
      </c>
      <c r="AD408" s="100">
        <f t="shared" si="422"/>
        <v>0</v>
      </c>
      <c r="AE408" s="100">
        <f t="shared" si="423"/>
        <v>0</v>
      </c>
      <c r="AF408" s="100">
        <f t="shared" si="424"/>
        <v>0</v>
      </c>
      <c r="AG408" s="100">
        <f t="shared" si="425"/>
        <v>0</v>
      </c>
      <c r="AH408" s="100">
        <f t="shared" si="426"/>
        <v>0</v>
      </c>
      <c r="AI408" s="109"/>
      <c r="AJ408" s="108">
        <f t="shared" si="427"/>
        <v>0</v>
      </c>
      <c r="AK408" s="108">
        <f t="shared" si="428"/>
        <v>0</v>
      </c>
      <c r="AL408" s="108">
        <f t="shared" si="429"/>
        <v>0</v>
      </c>
      <c r="AN408" s="100">
        <v>15</v>
      </c>
      <c r="AO408" s="100">
        <f>H408*0</f>
        <v>0</v>
      </c>
      <c r="AP408" s="100">
        <f>H408*(1-0)</f>
        <v>0</v>
      </c>
      <c r="AQ408" s="111" t="s">
        <v>13</v>
      </c>
      <c r="AV408" s="100">
        <f t="shared" si="430"/>
        <v>0</v>
      </c>
      <c r="AW408" s="100">
        <f t="shared" si="431"/>
        <v>0</v>
      </c>
      <c r="AX408" s="100">
        <f t="shared" si="432"/>
        <v>0</v>
      </c>
      <c r="AY408" s="110" t="s">
        <v>1715</v>
      </c>
      <c r="AZ408" s="110" t="s">
        <v>1734</v>
      </c>
      <c r="BA408" s="109" t="s">
        <v>1737</v>
      </c>
      <c r="BC408" s="100">
        <f t="shared" si="433"/>
        <v>0</v>
      </c>
      <c r="BD408" s="100">
        <f t="shared" si="434"/>
        <v>0</v>
      </c>
      <c r="BE408" s="100">
        <v>0</v>
      </c>
      <c r="BF408" s="100">
        <f>408</f>
        <v>408</v>
      </c>
      <c r="BH408" s="108">
        <f t="shared" si="435"/>
        <v>0</v>
      </c>
      <c r="BI408" s="108">
        <f t="shared" si="436"/>
        <v>0</v>
      </c>
      <c r="BJ408" s="108">
        <f t="shared" si="437"/>
        <v>0</v>
      </c>
    </row>
    <row r="409" spans="1:62" x14ac:dyDescent="0.2">
      <c r="A409" s="117" t="s">
        <v>367</v>
      </c>
      <c r="B409" s="117" t="s">
        <v>887</v>
      </c>
      <c r="C409" s="304" t="s">
        <v>3033</v>
      </c>
      <c r="D409" s="305"/>
      <c r="E409" s="305"/>
      <c r="F409" s="117" t="s">
        <v>1644</v>
      </c>
      <c r="G409" s="116">
        <v>4</v>
      </c>
      <c r="H409" s="159"/>
      <c r="I409" s="108">
        <f t="shared" si="416"/>
        <v>0</v>
      </c>
      <c r="J409" s="108">
        <f t="shared" si="417"/>
        <v>0</v>
      </c>
      <c r="K409" s="108">
        <f t="shared" si="418"/>
        <v>0</v>
      </c>
      <c r="L409" s="111" t="s">
        <v>1671</v>
      </c>
      <c r="Z409" s="100">
        <f t="shared" si="419"/>
        <v>0</v>
      </c>
      <c r="AB409" s="100">
        <f t="shared" si="420"/>
        <v>0</v>
      </c>
      <c r="AC409" s="100">
        <f t="shared" si="421"/>
        <v>0</v>
      </c>
      <c r="AD409" s="100">
        <f t="shared" si="422"/>
        <v>0</v>
      </c>
      <c r="AE409" s="100">
        <f t="shared" si="423"/>
        <v>0</v>
      </c>
      <c r="AF409" s="100">
        <f t="shared" si="424"/>
        <v>0</v>
      </c>
      <c r="AG409" s="100">
        <f t="shared" si="425"/>
        <v>0</v>
      </c>
      <c r="AH409" s="100">
        <f t="shared" si="426"/>
        <v>0</v>
      </c>
      <c r="AI409" s="109"/>
      <c r="AJ409" s="108">
        <f t="shared" si="427"/>
        <v>0</v>
      </c>
      <c r="AK409" s="108">
        <f t="shared" si="428"/>
        <v>0</v>
      </c>
      <c r="AL409" s="108">
        <f t="shared" si="429"/>
        <v>0</v>
      </c>
      <c r="AN409" s="100">
        <v>15</v>
      </c>
      <c r="AO409" s="100">
        <f>H409*0</f>
        <v>0</v>
      </c>
      <c r="AP409" s="100">
        <f>H409*(1-0)</f>
        <v>0</v>
      </c>
      <c r="AQ409" s="111" t="s">
        <v>13</v>
      </c>
      <c r="AV409" s="100">
        <f t="shared" si="430"/>
        <v>0</v>
      </c>
      <c r="AW409" s="100">
        <f t="shared" si="431"/>
        <v>0</v>
      </c>
      <c r="AX409" s="100">
        <f t="shared" si="432"/>
        <v>0</v>
      </c>
      <c r="AY409" s="110" t="s">
        <v>1715</v>
      </c>
      <c r="AZ409" s="110" t="s">
        <v>1734</v>
      </c>
      <c r="BA409" s="109" t="s">
        <v>1737</v>
      </c>
      <c r="BC409" s="100">
        <f t="shared" si="433"/>
        <v>0</v>
      </c>
      <c r="BD409" s="100">
        <f t="shared" si="434"/>
        <v>0</v>
      </c>
      <c r="BE409" s="100">
        <v>0</v>
      </c>
      <c r="BF409" s="100">
        <f>409</f>
        <v>409</v>
      </c>
      <c r="BH409" s="108">
        <f t="shared" si="435"/>
        <v>0</v>
      </c>
      <c r="BI409" s="108">
        <f t="shared" si="436"/>
        <v>0</v>
      </c>
      <c r="BJ409" s="108">
        <f t="shared" si="437"/>
        <v>0</v>
      </c>
    </row>
    <row r="410" spans="1:62" x14ac:dyDescent="0.2">
      <c r="A410" s="117" t="s">
        <v>368</v>
      </c>
      <c r="B410" s="117" t="s">
        <v>888</v>
      </c>
      <c r="C410" s="304" t="s">
        <v>3032</v>
      </c>
      <c r="D410" s="305"/>
      <c r="E410" s="305"/>
      <c r="F410" s="117" t="s">
        <v>1644</v>
      </c>
      <c r="G410" s="116">
        <v>1</v>
      </c>
      <c r="H410" s="159"/>
      <c r="I410" s="108">
        <f t="shared" si="416"/>
        <v>0</v>
      </c>
      <c r="J410" s="108">
        <f t="shared" si="417"/>
        <v>0</v>
      </c>
      <c r="K410" s="108">
        <f t="shared" si="418"/>
        <v>0</v>
      </c>
      <c r="L410" s="111" t="s">
        <v>1671</v>
      </c>
      <c r="Z410" s="100">
        <f t="shared" si="419"/>
        <v>0</v>
      </c>
      <c r="AB410" s="100">
        <f t="shared" si="420"/>
        <v>0</v>
      </c>
      <c r="AC410" s="100">
        <f t="shared" si="421"/>
        <v>0</v>
      </c>
      <c r="AD410" s="100">
        <f t="shared" si="422"/>
        <v>0</v>
      </c>
      <c r="AE410" s="100">
        <f t="shared" si="423"/>
        <v>0</v>
      </c>
      <c r="AF410" s="100">
        <f t="shared" si="424"/>
        <v>0</v>
      </c>
      <c r="AG410" s="100">
        <f t="shared" si="425"/>
        <v>0</v>
      </c>
      <c r="AH410" s="100">
        <f t="shared" si="426"/>
        <v>0</v>
      </c>
      <c r="AI410" s="109"/>
      <c r="AJ410" s="108">
        <f t="shared" si="427"/>
        <v>0</v>
      </c>
      <c r="AK410" s="108">
        <f t="shared" si="428"/>
        <v>0</v>
      </c>
      <c r="AL410" s="108">
        <f t="shared" si="429"/>
        <v>0</v>
      </c>
      <c r="AN410" s="100">
        <v>15</v>
      </c>
      <c r="AO410" s="100">
        <f>H410*0.270879136690647</f>
        <v>0</v>
      </c>
      <c r="AP410" s="100">
        <f>H410*(1-0.270879136690647)</f>
        <v>0</v>
      </c>
      <c r="AQ410" s="111" t="s">
        <v>13</v>
      </c>
      <c r="AV410" s="100">
        <f t="shared" si="430"/>
        <v>0</v>
      </c>
      <c r="AW410" s="100">
        <f t="shared" si="431"/>
        <v>0</v>
      </c>
      <c r="AX410" s="100">
        <f t="shared" si="432"/>
        <v>0</v>
      </c>
      <c r="AY410" s="110" t="s">
        <v>1715</v>
      </c>
      <c r="AZ410" s="110" t="s">
        <v>1734</v>
      </c>
      <c r="BA410" s="109" t="s">
        <v>1737</v>
      </c>
      <c r="BC410" s="100">
        <f t="shared" si="433"/>
        <v>0</v>
      </c>
      <c r="BD410" s="100">
        <f t="shared" si="434"/>
        <v>0</v>
      </c>
      <c r="BE410" s="100">
        <v>0</v>
      </c>
      <c r="BF410" s="100">
        <f>410</f>
        <v>410</v>
      </c>
      <c r="BH410" s="108">
        <f t="shared" si="435"/>
        <v>0</v>
      </c>
      <c r="BI410" s="108">
        <f t="shared" si="436"/>
        <v>0</v>
      </c>
      <c r="BJ410" s="108">
        <f t="shared" si="437"/>
        <v>0</v>
      </c>
    </row>
    <row r="411" spans="1:62" x14ac:dyDescent="0.2">
      <c r="A411" s="117" t="s">
        <v>369</v>
      </c>
      <c r="B411" s="117" t="s">
        <v>889</v>
      </c>
      <c r="C411" s="304" t="s">
        <v>1478</v>
      </c>
      <c r="D411" s="305"/>
      <c r="E411" s="305"/>
      <c r="F411" s="117" t="s">
        <v>1646</v>
      </c>
      <c r="G411" s="116">
        <v>37.799999999999997</v>
      </c>
      <c r="H411" s="159"/>
      <c r="I411" s="108">
        <f t="shared" si="416"/>
        <v>0</v>
      </c>
      <c r="J411" s="108">
        <f t="shared" si="417"/>
        <v>0</v>
      </c>
      <c r="K411" s="108">
        <f t="shared" si="418"/>
        <v>0</v>
      </c>
      <c r="L411" s="111" t="s">
        <v>1671</v>
      </c>
      <c r="Z411" s="100">
        <f t="shared" si="419"/>
        <v>0</v>
      </c>
      <c r="AB411" s="100">
        <f t="shared" si="420"/>
        <v>0</v>
      </c>
      <c r="AC411" s="100">
        <f t="shared" si="421"/>
        <v>0</v>
      </c>
      <c r="AD411" s="100">
        <f t="shared" si="422"/>
        <v>0</v>
      </c>
      <c r="AE411" s="100">
        <f t="shared" si="423"/>
        <v>0</v>
      </c>
      <c r="AF411" s="100">
        <f t="shared" si="424"/>
        <v>0</v>
      </c>
      <c r="AG411" s="100">
        <f t="shared" si="425"/>
        <v>0</v>
      </c>
      <c r="AH411" s="100">
        <f t="shared" si="426"/>
        <v>0</v>
      </c>
      <c r="AI411" s="109"/>
      <c r="AJ411" s="108">
        <f t="shared" si="427"/>
        <v>0</v>
      </c>
      <c r="AK411" s="108">
        <f t="shared" si="428"/>
        <v>0</v>
      </c>
      <c r="AL411" s="108">
        <f t="shared" si="429"/>
        <v>0</v>
      </c>
      <c r="AN411" s="100">
        <v>15</v>
      </c>
      <c r="AO411" s="100">
        <f>H411*0.28170135170443</f>
        <v>0</v>
      </c>
      <c r="AP411" s="100">
        <f>H411*(1-0.28170135170443)</f>
        <v>0</v>
      </c>
      <c r="AQ411" s="111" t="s">
        <v>13</v>
      </c>
      <c r="AV411" s="100">
        <f t="shared" si="430"/>
        <v>0</v>
      </c>
      <c r="AW411" s="100">
        <f t="shared" si="431"/>
        <v>0</v>
      </c>
      <c r="AX411" s="100">
        <f t="shared" si="432"/>
        <v>0</v>
      </c>
      <c r="AY411" s="110" t="s">
        <v>1715</v>
      </c>
      <c r="AZ411" s="110" t="s">
        <v>1734</v>
      </c>
      <c r="BA411" s="109" t="s">
        <v>1737</v>
      </c>
      <c r="BC411" s="100">
        <f t="shared" si="433"/>
        <v>0</v>
      </c>
      <c r="BD411" s="100">
        <f t="shared" si="434"/>
        <v>0</v>
      </c>
      <c r="BE411" s="100">
        <v>0</v>
      </c>
      <c r="BF411" s="100">
        <f>411</f>
        <v>411</v>
      </c>
      <c r="BH411" s="108">
        <f t="shared" si="435"/>
        <v>0</v>
      </c>
      <c r="BI411" s="108">
        <f t="shared" si="436"/>
        <v>0</v>
      </c>
      <c r="BJ411" s="108">
        <f t="shared" si="437"/>
        <v>0</v>
      </c>
    </row>
    <row r="412" spans="1:62" x14ac:dyDescent="0.2">
      <c r="A412" s="117" t="s">
        <v>370</v>
      </c>
      <c r="B412" s="117" t="s">
        <v>890</v>
      </c>
      <c r="C412" s="304" t="s">
        <v>1479</v>
      </c>
      <c r="D412" s="305"/>
      <c r="E412" s="305"/>
      <c r="F412" s="117" t="s">
        <v>1646</v>
      </c>
      <c r="G412" s="116">
        <v>9.6</v>
      </c>
      <c r="H412" s="159"/>
      <c r="I412" s="108">
        <f t="shared" si="416"/>
        <v>0</v>
      </c>
      <c r="J412" s="108">
        <f t="shared" si="417"/>
        <v>0</v>
      </c>
      <c r="K412" s="108">
        <f t="shared" si="418"/>
        <v>0</v>
      </c>
      <c r="L412" s="111" t="s">
        <v>1671</v>
      </c>
      <c r="Z412" s="100">
        <f t="shared" si="419"/>
        <v>0</v>
      </c>
      <c r="AB412" s="100">
        <f t="shared" si="420"/>
        <v>0</v>
      </c>
      <c r="AC412" s="100">
        <f t="shared" si="421"/>
        <v>0</v>
      </c>
      <c r="AD412" s="100">
        <f t="shared" si="422"/>
        <v>0</v>
      </c>
      <c r="AE412" s="100">
        <f t="shared" si="423"/>
        <v>0</v>
      </c>
      <c r="AF412" s="100">
        <f t="shared" si="424"/>
        <v>0</v>
      </c>
      <c r="AG412" s="100">
        <f t="shared" si="425"/>
        <v>0</v>
      </c>
      <c r="AH412" s="100">
        <f t="shared" si="426"/>
        <v>0</v>
      </c>
      <c r="AI412" s="109"/>
      <c r="AJ412" s="108">
        <f t="shared" si="427"/>
        <v>0</v>
      </c>
      <c r="AK412" s="108">
        <f t="shared" si="428"/>
        <v>0</v>
      </c>
      <c r="AL412" s="108">
        <f t="shared" si="429"/>
        <v>0</v>
      </c>
      <c r="AN412" s="100">
        <v>15</v>
      </c>
      <c r="AO412" s="100">
        <f>H412*0.31016318537859</f>
        <v>0</v>
      </c>
      <c r="AP412" s="100">
        <f>H412*(1-0.31016318537859)</f>
        <v>0</v>
      </c>
      <c r="AQ412" s="111" t="s">
        <v>13</v>
      </c>
      <c r="AV412" s="100">
        <f t="shared" si="430"/>
        <v>0</v>
      </c>
      <c r="AW412" s="100">
        <f t="shared" si="431"/>
        <v>0</v>
      </c>
      <c r="AX412" s="100">
        <f t="shared" si="432"/>
        <v>0</v>
      </c>
      <c r="AY412" s="110" t="s">
        <v>1715</v>
      </c>
      <c r="AZ412" s="110" t="s">
        <v>1734</v>
      </c>
      <c r="BA412" s="109" t="s">
        <v>1737</v>
      </c>
      <c r="BC412" s="100">
        <f t="shared" si="433"/>
        <v>0</v>
      </c>
      <c r="BD412" s="100">
        <f t="shared" si="434"/>
        <v>0</v>
      </c>
      <c r="BE412" s="100">
        <v>0</v>
      </c>
      <c r="BF412" s="100">
        <f>412</f>
        <v>412</v>
      </c>
      <c r="BH412" s="108">
        <f t="shared" si="435"/>
        <v>0</v>
      </c>
      <c r="BI412" s="108">
        <f t="shared" si="436"/>
        <v>0</v>
      </c>
      <c r="BJ412" s="108">
        <f t="shared" si="437"/>
        <v>0</v>
      </c>
    </row>
    <row r="413" spans="1:62" x14ac:dyDescent="0.2">
      <c r="A413" s="117" t="s">
        <v>371</v>
      </c>
      <c r="B413" s="117" t="s">
        <v>891</v>
      </c>
      <c r="C413" s="304" t="s">
        <v>1480</v>
      </c>
      <c r="D413" s="305"/>
      <c r="E413" s="305"/>
      <c r="F413" s="117" t="s">
        <v>1646</v>
      </c>
      <c r="G413" s="116">
        <v>36</v>
      </c>
      <c r="H413" s="159"/>
      <c r="I413" s="108">
        <f t="shared" si="416"/>
        <v>0</v>
      </c>
      <c r="J413" s="108">
        <f t="shared" si="417"/>
        <v>0</v>
      </c>
      <c r="K413" s="108">
        <f t="shared" si="418"/>
        <v>0</v>
      </c>
      <c r="L413" s="111" t="s">
        <v>1671</v>
      </c>
      <c r="Z413" s="100">
        <f t="shared" si="419"/>
        <v>0</v>
      </c>
      <c r="AB413" s="100">
        <f t="shared" si="420"/>
        <v>0</v>
      </c>
      <c r="AC413" s="100">
        <f t="shared" si="421"/>
        <v>0</v>
      </c>
      <c r="AD413" s="100">
        <f t="shared" si="422"/>
        <v>0</v>
      </c>
      <c r="AE413" s="100">
        <f t="shared" si="423"/>
        <v>0</v>
      </c>
      <c r="AF413" s="100">
        <f t="shared" si="424"/>
        <v>0</v>
      </c>
      <c r="AG413" s="100">
        <f t="shared" si="425"/>
        <v>0</v>
      </c>
      <c r="AH413" s="100">
        <f t="shared" si="426"/>
        <v>0</v>
      </c>
      <c r="AI413" s="109"/>
      <c r="AJ413" s="108">
        <f t="shared" si="427"/>
        <v>0</v>
      </c>
      <c r="AK413" s="108">
        <f t="shared" si="428"/>
        <v>0</v>
      </c>
      <c r="AL413" s="108">
        <f t="shared" si="429"/>
        <v>0</v>
      </c>
      <c r="AN413" s="100">
        <v>15</v>
      </c>
      <c r="AO413" s="100">
        <f>H413*0</f>
        <v>0</v>
      </c>
      <c r="AP413" s="100">
        <f>H413*(1-0)</f>
        <v>0</v>
      </c>
      <c r="AQ413" s="111" t="s">
        <v>13</v>
      </c>
      <c r="AV413" s="100">
        <f t="shared" si="430"/>
        <v>0</v>
      </c>
      <c r="AW413" s="100">
        <f t="shared" si="431"/>
        <v>0</v>
      </c>
      <c r="AX413" s="100">
        <f t="shared" si="432"/>
        <v>0</v>
      </c>
      <c r="AY413" s="110" t="s">
        <v>1715</v>
      </c>
      <c r="AZ413" s="110" t="s">
        <v>1734</v>
      </c>
      <c r="BA413" s="109" t="s">
        <v>1737</v>
      </c>
      <c r="BC413" s="100">
        <f t="shared" si="433"/>
        <v>0</v>
      </c>
      <c r="BD413" s="100">
        <f t="shared" si="434"/>
        <v>0</v>
      </c>
      <c r="BE413" s="100">
        <v>0</v>
      </c>
      <c r="BF413" s="100">
        <f>413</f>
        <v>413</v>
      </c>
      <c r="BH413" s="108">
        <f t="shared" si="435"/>
        <v>0</v>
      </c>
      <c r="BI413" s="108">
        <f t="shared" si="436"/>
        <v>0</v>
      </c>
      <c r="BJ413" s="108">
        <f t="shared" si="437"/>
        <v>0</v>
      </c>
    </row>
    <row r="414" spans="1:62" x14ac:dyDescent="0.2">
      <c r="A414" s="117" t="s">
        <v>372</v>
      </c>
      <c r="B414" s="117" t="s">
        <v>892</v>
      </c>
      <c r="C414" s="304" t="s">
        <v>1481</v>
      </c>
      <c r="D414" s="305"/>
      <c r="E414" s="305"/>
      <c r="F414" s="117" t="s">
        <v>1646</v>
      </c>
      <c r="G414" s="116">
        <v>31</v>
      </c>
      <c r="H414" s="159"/>
      <c r="I414" s="108">
        <f t="shared" si="416"/>
        <v>0</v>
      </c>
      <c r="J414" s="108">
        <f t="shared" si="417"/>
        <v>0</v>
      </c>
      <c r="K414" s="108">
        <f t="shared" si="418"/>
        <v>0</v>
      </c>
      <c r="L414" s="111" t="s">
        <v>1671</v>
      </c>
      <c r="Z414" s="100">
        <f t="shared" si="419"/>
        <v>0</v>
      </c>
      <c r="AB414" s="100">
        <f t="shared" si="420"/>
        <v>0</v>
      </c>
      <c r="AC414" s="100">
        <f t="shared" si="421"/>
        <v>0</v>
      </c>
      <c r="AD414" s="100">
        <f t="shared" si="422"/>
        <v>0</v>
      </c>
      <c r="AE414" s="100">
        <f t="shared" si="423"/>
        <v>0</v>
      </c>
      <c r="AF414" s="100">
        <f t="shared" si="424"/>
        <v>0</v>
      </c>
      <c r="AG414" s="100">
        <f t="shared" si="425"/>
        <v>0</v>
      </c>
      <c r="AH414" s="100">
        <f t="shared" si="426"/>
        <v>0</v>
      </c>
      <c r="AI414" s="109"/>
      <c r="AJ414" s="108">
        <f t="shared" si="427"/>
        <v>0</v>
      </c>
      <c r="AK414" s="108">
        <f t="shared" si="428"/>
        <v>0</v>
      </c>
      <c r="AL414" s="108">
        <f t="shared" si="429"/>
        <v>0</v>
      </c>
      <c r="AN414" s="100">
        <v>15</v>
      </c>
      <c r="AO414" s="100">
        <f>H414*0</f>
        <v>0</v>
      </c>
      <c r="AP414" s="100">
        <f>H414*(1-0)</f>
        <v>0</v>
      </c>
      <c r="AQ414" s="111" t="s">
        <v>13</v>
      </c>
      <c r="AV414" s="100">
        <f t="shared" si="430"/>
        <v>0</v>
      </c>
      <c r="AW414" s="100">
        <f t="shared" si="431"/>
        <v>0</v>
      </c>
      <c r="AX414" s="100">
        <f t="shared" si="432"/>
        <v>0</v>
      </c>
      <c r="AY414" s="110" t="s">
        <v>1715</v>
      </c>
      <c r="AZ414" s="110" t="s">
        <v>1734</v>
      </c>
      <c r="BA414" s="109" t="s">
        <v>1737</v>
      </c>
      <c r="BC414" s="100">
        <f t="shared" si="433"/>
        <v>0</v>
      </c>
      <c r="BD414" s="100">
        <f t="shared" si="434"/>
        <v>0</v>
      </c>
      <c r="BE414" s="100">
        <v>0</v>
      </c>
      <c r="BF414" s="100">
        <f>414</f>
        <v>414</v>
      </c>
      <c r="BH414" s="108">
        <f t="shared" si="435"/>
        <v>0</v>
      </c>
      <c r="BI414" s="108">
        <f t="shared" si="436"/>
        <v>0</v>
      </c>
      <c r="BJ414" s="108">
        <f t="shared" si="437"/>
        <v>0</v>
      </c>
    </row>
    <row r="415" spans="1:62" x14ac:dyDescent="0.2">
      <c r="A415" s="117" t="s">
        <v>373</v>
      </c>
      <c r="B415" s="117" t="s">
        <v>893</v>
      </c>
      <c r="C415" s="304" t="s">
        <v>1482</v>
      </c>
      <c r="D415" s="305"/>
      <c r="E415" s="305"/>
      <c r="F415" s="117" t="s">
        <v>1646</v>
      </c>
      <c r="G415" s="116">
        <v>64.5</v>
      </c>
      <c r="H415" s="159"/>
      <c r="I415" s="108">
        <f t="shared" si="416"/>
        <v>0</v>
      </c>
      <c r="J415" s="108">
        <f t="shared" si="417"/>
        <v>0</v>
      </c>
      <c r="K415" s="108">
        <f t="shared" si="418"/>
        <v>0</v>
      </c>
      <c r="L415" s="111" t="s">
        <v>1671</v>
      </c>
      <c r="Z415" s="100">
        <f t="shared" si="419"/>
        <v>0</v>
      </c>
      <c r="AB415" s="100">
        <f t="shared" si="420"/>
        <v>0</v>
      </c>
      <c r="AC415" s="100">
        <f t="shared" si="421"/>
        <v>0</v>
      </c>
      <c r="AD415" s="100">
        <f t="shared" si="422"/>
        <v>0</v>
      </c>
      <c r="AE415" s="100">
        <f t="shared" si="423"/>
        <v>0</v>
      </c>
      <c r="AF415" s="100">
        <f t="shared" si="424"/>
        <v>0</v>
      </c>
      <c r="AG415" s="100">
        <f t="shared" si="425"/>
        <v>0</v>
      </c>
      <c r="AH415" s="100">
        <f t="shared" si="426"/>
        <v>0</v>
      </c>
      <c r="AI415" s="109"/>
      <c r="AJ415" s="108">
        <f t="shared" si="427"/>
        <v>0</v>
      </c>
      <c r="AK415" s="108">
        <f t="shared" si="428"/>
        <v>0</v>
      </c>
      <c r="AL415" s="108">
        <f t="shared" si="429"/>
        <v>0</v>
      </c>
      <c r="AN415" s="100">
        <v>15</v>
      </c>
      <c r="AO415" s="100">
        <f>H415*0.603371428571429</f>
        <v>0</v>
      </c>
      <c r="AP415" s="100">
        <f>H415*(1-0.603371428571429)</f>
        <v>0</v>
      </c>
      <c r="AQ415" s="111" t="s">
        <v>13</v>
      </c>
      <c r="AV415" s="100">
        <f t="shared" si="430"/>
        <v>0</v>
      </c>
      <c r="AW415" s="100">
        <f t="shared" si="431"/>
        <v>0</v>
      </c>
      <c r="AX415" s="100">
        <f t="shared" si="432"/>
        <v>0</v>
      </c>
      <c r="AY415" s="110" t="s">
        <v>1715</v>
      </c>
      <c r="AZ415" s="110" t="s">
        <v>1734</v>
      </c>
      <c r="BA415" s="109" t="s">
        <v>1737</v>
      </c>
      <c r="BC415" s="100">
        <f t="shared" si="433"/>
        <v>0</v>
      </c>
      <c r="BD415" s="100">
        <f t="shared" si="434"/>
        <v>0</v>
      </c>
      <c r="BE415" s="100">
        <v>0</v>
      </c>
      <c r="BF415" s="100">
        <f>415</f>
        <v>415</v>
      </c>
      <c r="BH415" s="108">
        <f t="shared" si="435"/>
        <v>0</v>
      </c>
      <c r="BI415" s="108">
        <f t="shared" si="436"/>
        <v>0</v>
      </c>
      <c r="BJ415" s="108">
        <f t="shared" si="437"/>
        <v>0</v>
      </c>
    </row>
    <row r="416" spans="1:62" x14ac:dyDescent="0.2">
      <c r="A416" s="117" t="s">
        <v>374</v>
      </c>
      <c r="B416" s="117" t="s">
        <v>894</v>
      </c>
      <c r="C416" s="304" t="s">
        <v>1483</v>
      </c>
      <c r="D416" s="305"/>
      <c r="E416" s="305"/>
      <c r="F416" s="117" t="s">
        <v>1644</v>
      </c>
      <c r="G416" s="116">
        <v>4</v>
      </c>
      <c r="H416" s="159"/>
      <c r="I416" s="108">
        <f t="shared" si="416"/>
        <v>0</v>
      </c>
      <c r="J416" s="108">
        <f t="shared" si="417"/>
        <v>0</v>
      </c>
      <c r="K416" s="108">
        <f t="shared" si="418"/>
        <v>0</v>
      </c>
      <c r="L416" s="111" t="s">
        <v>1671</v>
      </c>
      <c r="Z416" s="100">
        <f t="shared" si="419"/>
        <v>0</v>
      </c>
      <c r="AB416" s="100">
        <f t="shared" si="420"/>
        <v>0</v>
      </c>
      <c r="AC416" s="100">
        <f t="shared" si="421"/>
        <v>0</v>
      </c>
      <c r="AD416" s="100">
        <f t="shared" si="422"/>
        <v>0</v>
      </c>
      <c r="AE416" s="100">
        <f t="shared" si="423"/>
        <v>0</v>
      </c>
      <c r="AF416" s="100">
        <f t="shared" si="424"/>
        <v>0</v>
      </c>
      <c r="AG416" s="100">
        <f t="shared" si="425"/>
        <v>0</v>
      </c>
      <c r="AH416" s="100">
        <f t="shared" si="426"/>
        <v>0</v>
      </c>
      <c r="AI416" s="109"/>
      <c r="AJ416" s="108">
        <f t="shared" si="427"/>
        <v>0</v>
      </c>
      <c r="AK416" s="108">
        <f t="shared" si="428"/>
        <v>0</v>
      </c>
      <c r="AL416" s="108">
        <f t="shared" si="429"/>
        <v>0</v>
      </c>
      <c r="AN416" s="100">
        <v>15</v>
      </c>
      <c r="AO416" s="100">
        <f>H416*0.568224852071006</f>
        <v>0</v>
      </c>
      <c r="AP416" s="100">
        <f>H416*(1-0.568224852071006)</f>
        <v>0</v>
      </c>
      <c r="AQ416" s="111" t="s">
        <v>13</v>
      </c>
      <c r="AV416" s="100">
        <f t="shared" si="430"/>
        <v>0</v>
      </c>
      <c r="AW416" s="100">
        <f t="shared" si="431"/>
        <v>0</v>
      </c>
      <c r="AX416" s="100">
        <f t="shared" si="432"/>
        <v>0</v>
      </c>
      <c r="AY416" s="110" t="s">
        <v>1715</v>
      </c>
      <c r="AZ416" s="110" t="s">
        <v>1734</v>
      </c>
      <c r="BA416" s="109" t="s">
        <v>1737</v>
      </c>
      <c r="BC416" s="100">
        <f t="shared" si="433"/>
        <v>0</v>
      </c>
      <c r="BD416" s="100">
        <f t="shared" si="434"/>
        <v>0</v>
      </c>
      <c r="BE416" s="100">
        <v>0</v>
      </c>
      <c r="BF416" s="100">
        <f>416</f>
        <v>416</v>
      </c>
      <c r="BH416" s="108">
        <f t="shared" si="435"/>
        <v>0</v>
      </c>
      <c r="BI416" s="108">
        <f t="shared" si="436"/>
        <v>0</v>
      </c>
      <c r="BJ416" s="108">
        <f t="shared" si="437"/>
        <v>0</v>
      </c>
    </row>
    <row r="417" spans="1:62" x14ac:dyDescent="0.2">
      <c r="A417" s="117" t="s">
        <v>375</v>
      </c>
      <c r="B417" s="117" t="s">
        <v>895</v>
      </c>
      <c r="C417" s="304" t="s">
        <v>1484</v>
      </c>
      <c r="D417" s="305"/>
      <c r="E417" s="305"/>
      <c r="F417" s="117" t="s">
        <v>1646</v>
      </c>
      <c r="G417" s="116">
        <v>31</v>
      </c>
      <c r="H417" s="159"/>
      <c r="I417" s="108">
        <f t="shared" si="416"/>
        <v>0</v>
      </c>
      <c r="J417" s="108">
        <f t="shared" si="417"/>
        <v>0</v>
      </c>
      <c r="K417" s="108">
        <f t="shared" si="418"/>
        <v>0</v>
      </c>
      <c r="L417" s="111" t="s">
        <v>1671</v>
      </c>
      <c r="Z417" s="100">
        <f t="shared" si="419"/>
        <v>0</v>
      </c>
      <c r="AB417" s="100">
        <f t="shared" si="420"/>
        <v>0</v>
      </c>
      <c r="AC417" s="100">
        <f t="shared" si="421"/>
        <v>0</v>
      </c>
      <c r="AD417" s="100">
        <f t="shared" si="422"/>
        <v>0</v>
      </c>
      <c r="AE417" s="100">
        <f t="shared" si="423"/>
        <v>0</v>
      </c>
      <c r="AF417" s="100">
        <f t="shared" si="424"/>
        <v>0</v>
      </c>
      <c r="AG417" s="100">
        <f t="shared" si="425"/>
        <v>0</v>
      </c>
      <c r="AH417" s="100">
        <f t="shared" si="426"/>
        <v>0</v>
      </c>
      <c r="AI417" s="109"/>
      <c r="AJ417" s="108">
        <f t="shared" si="427"/>
        <v>0</v>
      </c>
      <c r="AK417" s="108">
        <f t="shared" si="428"/>
        <v>0</v>
      </c>
      <c r="AL417" s="108">
        <f t="shared" si="429"/>
        <v>0</v>
      </c>
      <c r="AN417" s="100">
        <v>15</v>
      </c>
      <c r="AO417" s="100">
        <f>H417*0.772046783625731</f>
        <v>0</v>
      </c>
      <c r="AP417" s="100">
        <f>H417*(1-0.772046783625731)</f>
        <v>0</v>
      </c>
      <c r="AQ417" s="111" t="s">
        <v>13</v>
      </c>
      <c r="AV417" s="100">
        <f t="shared" si="430"/>
        <v>0</v>
      </c>
      <c r="AW417" s="100">
        <f t="shared" si="431"/>
        <v>0</v>
      </c>
      <c r="AX417" s="100">
        <f t="shared" si="432"/>
        <v>0</v>
      </c>
      <c r="AY417" s="110" t="s">
        <v>1715</v>
      </c>
      <c r="AZ417" s="110" t="s">
        <v>1734</v>
      </c>
      <c r="BA417" s="109" t="s">
        <v>1737</v>
      </c>
      <c r="BC417" s="100">
        <f t="shared" si="433"/>
        <v>0</v>
      </c>
      <c r="BD417" s="100">
        <f t="shared" si="434"/>
        <v>0</v>
      </c>
      <c r="BE417" s="100">
        <v>0</v>
      </c>
      <c r="BF417" s="100">
        <f>417</f>
        <v>417</v>
      </c>
      <c r="BH417" s="108">
        <f t="shared" si="435"/>
        <v>0</v>
      </c>
      <c r="BI417" s="108">
        <f t="shared" si="436"/>
        <v>0</v>
      </c>
      <c r="BJ417" s="108">
        <f t="shared" si="437"/>
        <v>0</v>
      </c>
    </row>
    <row r="418" spans="1:62" x14ac:dyDescent="0.2">
      <c r="A418" s="117" t="s">
        <v>376</v>
      </c>
      <c r="B418" s="117" t="s">
        <v>896</v>
      </c>
      <c r="C418" s="304" t="s">
        <v>2690</v>
      </c>
      <c r="D418" s="305"/>
      <c r="E418" s="305"/>
      <c r="F418" s="117" t="s">
        <v>1646</v>
      </c>
      <c r="G418" s="116">
        <v>106</v>
      </c>
      <c r="H418" s="159"/>
      <c r="I418" s="108">
        <f t="shared" si="416"/>
        <v>0</v>
      </c>
      <c r="J418" s="108">
        <f t="shared" si="417"/>
        <v>0</v>
      </c>
      <c r="K418" s="108">
        <f t="shared" si="418"/>
        <v>0</v>
      </c>
      <c r="L418" s="111" t="s">
        <v>1671</v>
      </c>
      <c r="Z418" s="100">
        <f t="shared" si="419"/>
        <v>0</v>
      </c>
      <c r="AB418" s="100">
        <f t="shared" si="420"/>
        <v>0</v>
      </c>
      <c r="AC418" s="100">
        <f t="shared" si="421"/>
        <v>0</v>
      </c>
      <c r="AD418" s="100">
        <f t="shared" si="422"/>
        <v>0</v>
      </c>
      <c r="AE418" s="100">
        <f t="shared" si="423"/>
        <v>0</v>
      </c>
      <c r="AF418" s="100">
        <f t="shared" si="424"/>
        <v>0</v>
      </c>
      <c r="AG418" s="100">
        <f t="shared" si="425"/>
        <v>0</v>
      </c>
      <c r="AH418" s="100">
        <f t="shared" si="426"/>
        <v>0</v>
      </c>
      <c r="AI418" s="109"/>
      <c r="AJ418" s="108">
        <f t="shared" si="427"/>
        <v>0</v>
      </c>
      <c r="AK418" s="108">
        <f t="shared" si="428"/>
        <v>0</v>
      </c>
      <c r="AL418" s="108">
        <f t="shared" si="429"/>
        <v>0</v>
      </c>
      <c r="AN418" s="100">
        <v>15</v>
      </c>
      <c r="AO418" s="100">
        <f>H418*0.816326164874552</f>
        <v>0</v>
      </c>
      <c r="AP418" s="100">
        <f>H418*(1-0.816326164874552)</f>
        <v>0</v>
      </c>
      <c r="AQ418" s="111" t="s">
        <v>13</v>
      </c>
      <c r="AV418" s="100">
        <f t="shared" si="430"/>
        <v>0</v>
      </c>
      <c r="AW418" s="100">
        <f t="shared" si="431"/>
        <v>0</v>
      </c>
      <c r="AX418" s="100">
        <f t="shared" si="432"/>
        <v>0</v>
      </c>
      <c r="AY418" s="110" t="s">
        <v>1715</v>
      </c>
      <c r="AZ418" s="110" t="s">
        <v>1734</v>
      </c>
      <c r="BA418" s="109" t="s">
        <v>1737</v>
      </c>
      <c r="BC418" s="100">
        <f t="shared" si="433"/>
        <v>0</v>
      </c>
      <c r="BD418" s="100">
        <f t="shared" si="434"/>
        <v>0</v>
      </c>
      <c r="BE418" s="100">
        <v>0</v>
      </c>
      <c r="BF418" s="100">
        <f>418</f>
        <v>418</v>
      </c>
      <c r="BH418" s="108">
        <f t="shared" si="435"/>
        <v>0</v>
      </c>
      <c r="BI418" s="108">
        <f t="shared" si="436"/>
        <v>0</v>
      </c>
      <c r="BJ418" s="108">
        <f t="shared" si="437"/>
        <v>0</v>
      </c>
    </row>
    <row r="419" spans="1:62" x14ac:dyDescent="0.2">
      <c r="A419" s="117" t="s">
        <v>377</v>
      </c>
      <c r="B419" s="117" t="s">
        <v>897</v>
      </c>
      <c r="C419" s="304" t="s">
        <v>1486</v>
      </c>
      <c r="D419" s="305"/>
      <c r="E419" s="305"/>
      <c r="F419" s="117" t="s">
        <v>1646</v>
      </c>
      <c r="G419" s="116">
        <v>6.2</v>
      </c>
      <c r="H419" s="159"/>
      <c r="I419" s="108">
        <f t="shared" si="416"/>
        <v>0</v>
      </c>
      <c r="J419" s="108">
        <f t="shared" si="417"/>
        <v>0</v>
      </c>
      <c r="K419" s="108">
        <f t="shared" si="418"/>
        <v>0</v>
      </c>
      <c r="L419" s="111" t="s">
        <v>1671</v>
      </c>
      <c r="Z419" s="100">
        <f t="shared" si="419"/>
        <v>0</v>
      </c>
      <c r="AB419" s="100">
        <f t="shared" si="420"/>
        <v>0</v>
      </c>
      <c r="AC419" s="100">
        <f t="shared" si="421"/>
        <v>0</v>
      </c>
      <c r="AD419" s="100">
        <f t="shared" si="422"/>
        <v>0</v>
      </c>
      <c r="AE419" s="100">
        <f t="shared" si="423"/>
        <v>0</v>
      </c>
      <c r="AF419" s="100">
        <f t="shared" si="424"/>
        <v>0</v>
      </c>
      <c r="AG419" s="100">
        <f t="shared" si="425"/>
        <v>0</v>
      </c>
      <c r="AH419" s="100">
        <f t="shared" si="426"/>
        <v>0</v>
      </c>
      <c r="AI419" s="109"/>
      <c r="AJ419" s="108">
        <f t="shared" si="427"/>
        <v>0</v>
      </c>
      <c r="AK419" s="108">
        <f t="shared" si="428"/>
        <v>0</v>
      </c>
      <c r="AL419" s="108">
        <f t="shared" si="429"/>
        <v>0</v>
      </c>
      <c r="AN419" s="100">
        <v>15</v>
      </c>
      <c r="AO419" s="100">
        <f>H419*0.816325503355705</f>
        <v>0</v>
      </c>
      <c r="AP419" s="100">
        <f>H419*(1-0.816325503355705)</f>
        <v>0</v>
      </c>
      <c r="AQ419" s="111" t="s">
        <v>13</v>
      </c>
      <c r="AV419" s="100">
        <f t="shared" si="430"/>
        <v>0</v>
      </c>
      <c r="AW419" s="100">
        <f t="shared" si="431"/>
        <v>0</v>
      </c>
      <c r="AX419" s="100">
        <f t="shared" si="432"/>
        <v>0</v>
      </c>
      <c r="AY419" s="110" t="s">
        <v>1715</v>
      </c>
      <c r="AZ419" s="110" t="s">
        <v>1734</v>
      </c>
      <c r="BA419" s="109" t="s">
        <v>1737</v>
      </c>
      <c r="BC419" s="100">
        <f t="shared" si="433"/>
        <v>0</v>
      </c>
      <c r="BD419" s="100">
        <f t="shared" si="434"/>
        <v>0</v>
      </c>
      <c r="BE419" s="100">
        <v>0</v>
      </c>
      <c r="BF419" s="100">
        <f>419</f>
        <v>419</v>
      </c>
      <c r="BH419" s="108">
        <f t="shared" si="435"/>
        <v>0</v>
      </c>
      <c r="BI419" s="108">
        <f t="shared" si="436"/>
        <v>0</v>
      </c>
      <c r="BJ419" s="108">
        <f t="shared" si="437"/>
        <v>0</v>
      </c>
    </row>
    <row r="420" spans="1:62" x14ac:dyDescent="0.2">
      <c r="A420" s="117" t="s">
        <v>378</v>
      </c>
      <c r="B420" s="117" t="s">
        <v>898</v>
      </c>
      <c r="C420" s="304" t="s">
        <v>1487</v>
      </c>
      <c r="D420" s="305"/>
      <c r="E420" s="305"/>
      <c r="F420" s="117" t="s">
        <v>1646</v>
      </c>
      <c r="G420" s="116">
        <v>3.2</v>
      </c>
      <c r="H420" s="159"/>
      <c r="I420" s="108">
        <f t="shared" si="416"/>
        <v>0</v>
      </c>
      <c r="J420" s="108">
        <f t="shared" si="417"/>
        <v>0</v>
      </c>
      <c r="K420" s="108">
        <f t="shared" si="418"/>
        <v>0</v>
      </c>
      <c r="L420" s="111" t="s">
        <v>1671</v>
      </c>
      <c r="Z420" s="100">
        <f t="shared" si="419"/>
        <v>0</v>
      </c>
      <c r="AB420" s="100">
        <f t="shared" si="420"/>
        <v>0</v>
      </c>
      <c r="AC420" s="100">
        <f t="shared" si="421"/>
        <v>0</v>
      </c>
      <c r="AD420" s="100">
        <f t="shared" si="422"/>
        <v>0</v>
      </c>
      <c r="AE420" s="100">
        <f t="shared" si="423"/>
        <v>0</v>
      </c>
      <c r="AF420" s="100">
        <f t="shared" si="424"/>
        <v>0</v>
      </c>
      <c r="AG420" s="100">
        <f t="shared" si="425"/>
        <v>0</v>
      </c>
      <c r="AH420" s="100">
        <f t="shared" si="426"/>
        <v>0</v>
      </c>
      <c r="AI420" s="109"/>
      <c r="AJ420" s="108">
        <f t="shared" si="427"/>
        <v>0</v>
      </c>
      <c r="AK420" s="108">
        <f t="shared" si="428"/>
        <v>0</v>
      </c>
      <c r="AL420" s="108">
        <f t="shared" si="429"/>
        <v>0</v>
      </c>
      <c r="AN420" s="100">
        <v>15</v>
      </c>
      <c r="AO420" s="100">
        <f>H420*0.816330128205128</f>
        <v>0</v>
      </c>
      <c r="AP420" s="100">
        <f>H420*(1-0.816330128205128)</f>
        <v>0</v>
      </c>
      <c r="AQ420" s="111" t="s">
        <v>13</v>
      </c>
      <c r="AV420" s="100">
        <f t="shared" si="430"/>
        <v>0</v>
      </c>
      <c r="AW420" s="100">
        <f t="shared" si="431"/>
        <v>0</v>
      </c>
      <c r="AX420" s="100">
        <f t="shared" si="432"/>
        <v>0</v>
      </c>
      <c r="AY420" s="110" t="s">
        <v>1715</v>
      </c>
      <c r="AZ420" s="110" t="s">
        <v>1734</v>
      </c>
      <c r="BA420" s="109" t="s">
        <v>1737</v>
      </c>
      <c r="BC420" s="100">
        <f t="shared" si="433"/>
        <v>0</v>
      </c>
      <c r="BD420" s="100">
        <f t="shared" si="434"/>
        <v>0</v>
      </c>
      <c r="BE420" s="100">
        <v>0</v>
      </c>
      <c r="BF420" s="100">
        <f>420</f>
        <v>420</v>
      </c>
      <c r="BH420" s="108">
        <f t="shared" si="435"/>
        <v>0</v>
      </c>
      <c r="BI420" s="108">
        <f t="shared" si="436"/>
        <v>0</v>
      </c>
      <c r="BJ420" s="108">
        <f t="shared" si="437"/>
        <v>0</v>
      </c>
    </row>
    <row r="421" spans="1:62" x14ac:dyDescent="0.2">
      <c r="A421" s="117" t="s">
        <v>379</v>
      </c>
      <c r="B421" s="117" t="s">
        <v>899</v>
      </c>
      <c r="C421" s="304" t="s">
        <v>1488</v>
      </c>
      <c r="D421" s="305"/>
      <c r="E421" s="305"/>
      <c r="F421" s="117" t="s">
        <v>1646</v>
      </c>
      <c r="G421" s="116">
        <v>31.18</v>
      </c>
      <c r="H421" s="159"/>
      <c r="I421" s="108">
        <f t="shared" si="416"/>
        <v>0</v>
      </c>
      <c r="J421" s="108">
        <f t="shared" si="417"/>
        <v>0</v>
      </c>
      <c r="K421" s="108">
        <f t="shared" si="418"/>
        <v>0</v>
      </c>
      <c r="L421" s="111" t="s">
        <v>1671</v>
      </c>
      <c r="Z421" s="100">
        <f t="shared" si="419"/>
        <v>0</v>
      </c>
      <c r="AB421" s="100">
        <f t="shared" si="420"/>
        <v>0</v>
      </c>
      <c r="AC421" s="100">
        <f t="shared" si="421"/>
        <v>0</v>
      </c>
      <c r="AD421" s="100">
        <f t="shared" si="422"/>
        <v>0</v>
      </c>
      <c r="AE421" s="100">
        <f t="shared" si="423"/>
        <v>0</v>
      </c>
      <c r="AF421" s="100">
        <f t="shared" si="424"/>
        <v>0</v>
      </c>
      <c r="AG421" s="100">
        <f t="shared" si="425"/>
        <v>0</v>
      </c>
      <c r="AH421" s="100">
        <f t="shared" si="426"/>
        <v>0</v>
      </c>
      <c r="AI421" s="109"/>
      <c r="AJ421" s="108">
        <f t="shared" si="427"/>
        <v>0</v>
      </c>
      <c r="AK421" s="108">
        <f t="shared" si="428"/>
        <v>0</v>
      </c>
      <c r="AL421" s="108">
        <f t="shared" si="429"/>
        <v>0</v>
      </c>
      <c r="AN421" s="100">
        <v>15</v>
      </c>
      <c r="AO421" s="100">
        <f>H421*0.857614814814815</f>
        <v>0</v>
      </c>
      <c r="AP421" s="100">
        <f>H421*(1-0.857614814814815)</f>
        <v>0</v>
      </c>
      <c r="AQ421" s="111" t="s">
        <v>13</v>
      </c>
      <c r="AV421" s="100">
        <f t="shared" si="430"/>
        <v>0</v>
      </c>
      <c r="AW421" s="100">
        <f t="shared" si="431"/>
        <v>0</v>
      </c>
      <c r="AX421" s="100">
        <f t="shared" si="432"/>
        <v>0</v>
      </c>
      <c r="AY421" s="110" t="s">
        <v>1715</v>
      </c>
      <c r="AZ421" s="110" t="s">
        <v>1734</v>
      </c>
      <c r="BA421" s="109" t="s">
        <v>1737</v>
      </c>
      <c r="BC421" s="100">
        <f t="shared" si="433"/>
        <v>0</v>
      </c>
      <c r="BD421" s="100">
        <f t="shared" si="434"/>
        <v>0</v>
      </c>
      <c r="BE421" s="100">
        <v>0</v>
      </c>
      <c r="BF421" s="100">
        <f>421</f>
        <v>421</v>
      </c>
      <c r="BH421" s="108">
        <f t="shared" si="435"/>
        <v>0</v>
      </c>
      <c r="BI421" s="108">
        <f t="shared" si="436"/>
        <v>0</v>
      </c>
      <c r="BJ421" s="108">
        <f t="shared" si="437"/>
        <v>0</v>
      </c>
    </row>
    <row r="422" spans="1:62" x14ac:dyDescent="0.2">
      <c r="A422" s="117" t="s">
        <v>380</v>
      </c>
      <c r="B422" s="117" t="s">
        <v>900</v>
      </c>
      <c r="C422" s="304" t="s">
        <v>1489</v>
      </c>
      <c r="D422" s="305"/>
      <c r="E422" s="305"/>
      <c r="F422" s="117" t="s">
        <v>1646</v>
      </c>
      <c r="G422" s="116">
        <v>31.17</v>
      </c>
      <c r="H422" s="159"/>
      <c r="I422" s="108">
        <f t="shared" si="416"/>
        <v>0</v>
      </c>
      <c r="J422" s="108">
        <f t="shared" si="417"/>
        <v>0</v>
      </c>
      <c r="K422" s="108">
        <f t="shared" si="418"/>
        <v>0</v>
      </c>
      <c r="L422" s="111" t="s">
        <v>1671</v>
      </c>
      <c r="Z422" s="100">
        <f t="shared" si="419"/>
        <v>0</v>
      </c>
      <c r="AB422" s="100">
        <f t="shared" si="420"/>
        <v>0</v>
      </c>
      <c r="AC422" s="100">
        <f t="shared" si="421"/>
        <v>0</v>
      </c>
      <c r="AD422" s="100">
        <f t="shared" si="422"/>
        <v>0</v>
      </c>
      <c r="AE422" s="100">
        <f t="shared" si="423"/>
        <v>0</v>
      </c>
      <c r="AF422" s="100">
        <f t="shared" si="424"/>
        <v>0</v>
      </c>
      <c r="AG422" s="100">
        <f t="shared" si="425"/>
        <v>0</v>
      </c>
      <c r="AH422" s="100">
        <f t="shared" si="426"/>
        <v>0</v>
      </c>
      <c r="AI422" s="109"/>
      <c r="AJ422" s="108">
        <f t="shared" si="427"/>
        <v>0</v>
      </c>
      <c r="AK422" s="108">
        <f t="shared" si="428"/>
        <v>0</v>
      </c>
      <c r="AL422" s="108">
        <f t="shared" si="429"/>
        <v>0</v>
      </c>
      <c r="AN422" s="100">
        <v>15</v>
      </c>
      <c r="AO422" s="100">
        <f>H422*0.417402597402597</f>
        <v>0</v>
      </c>
      <c r="AP422" s="100">
        <f>H422*(1-0.417402597402597)</f>
        <v>0</v>
      </c>
      <c r="AQ422" s="111" t="s">
        <v>13</v>
      </c>
      <c r="AV422" s="100">
        <f t="shared" si="430"/>
        <v>0</v>
      </c>
      <c r="AW422" s="100">
        <f t="shared" si="431"/>
        <v>0</v>
      </c>
      <c r="AX422" s="100">
        <f t="shared" si="432"/>
        <v>0</v>
      </c>
      <c r="AY422" s="110" t="s">
        <v>1715</v>
      </c>
      <c r="AZ422" s="110" t="s">
        <v>1734</v>
      </c>
      <c r="BA422" s="109" t="s">
        <v>1737</v>
      </c>
      <c r="BC422" s="100">
        <f t="shared" si="433"/>
        <v>0</v>
      </c>
      <c r="BD422" s="100">
        <f t="shared" si="434"/>
        <v>0</v>
      </c>
      <c r="BE422" s="100">
        <v>0</v>
      </c>
      <c r="BF422" s="100">
        <f>422</f>
        <v>422</v>
      </c>
      <c r="BH422" s="108">
        <f t="shared" si="435"/>
        <v>0</v>
      </c>
      <c r="BI422" s="108">
        <f t="shared" si="436"/>
        <v>0</v>
      </c>
      <c r="BJ422" s="108">
        <f t="shared" si="437"/>
        <v>0</v>
      </c>
    </row>
    <row r="423" spans="1:62" x14ac:dyDescent="0.2">
      <c r="A423" s="117" t="s">
        <v>381</v>
      </c>
      <c r="B423" s="117" t="s">
        <v>901</v>
      </c>
      <c r="C423" s="304" t="s">
        <v>1490</v>
      </c>
      <c r="D423" s="305"/>
      <c r="E423" s="305"/>
      <c r="F423" s="117" t="s">
        <v>1646</v>
      </c>
      <c r="G423" s="116">
        <v>64.5</v>
      </c>
      <c r="H423" s="159"/>
      <c r="I423" s="108">
        <f t="shared" si="416"/>
        <v>0</v>
      </c>
      <c r="J423" s="108">
        <f t="shared" si="417"/>
        <v>0</v>
      </c>
      <c r="K423" s="108">
        <f t="shared" si="418"/>
        <v>0</v>
      </c>
      <c r="L423" s="111" t="s">
        <v>1671</v>
      </c>
      <c r="Z423" s="100">
        <f t="shared" si="419"/>
        <v>0</v>
      </c>
      <c r="AB423" s="100">
        <f t="shared" si="420"/>
        <v>0</v>
      </c>
      <c r="AC423" s="100">
        <f t="shared" si="421"/>
        <v>0</v>
      </c>
      <c r="AD423" s="100">
        <f t="shared" si="422"/>
        <v>0</v>
      </c>
      <c r="AE423" s="100">
        <f t="shared" si="423"/>
        <v>0</v>
      </c>
      <c r="AF423" s="100">
        <f t="shared" si="424"/>
        <v>0</v>
      </c>
      <c r="AG423" s="100">
        <f t="shared" si="425"/>
        <v>0</v>
      </c>
      <c r="AH423" s="100">
        <f t="shared" si="426"/>
        <v>0</v>
      </c>
      <c r="AI423" s="109"/>
      <c r="AJ423" s="108">
        <f t="shared" si="427"/>
        <v>0</v>
      </c>
      <c r="AK423" s="108">
        <f t="shared" si="428"/>
        <v>0</v>
      </c>
      <c r="AL423" s="108">
        <f t="shared" si="429"/>
        <v>0</v>
      </c>
      <c r="AN423" s="100">
        <v>15</v>
      </c>
      <c r="AO423" s="100">
        <f>H423*0.41738255033557</f>
        <v>0</v>
      </c>
      <c r="AP423" s="100">
        <f>H423*(1-0.41738255033557)</f>
        <v>0</v>
      </c>
      <c r="AQ423" s="111" t="s">
        <v>13</v>
      </c>
      <c r="AV423" s="100">
        <f t="shared" si="430"/>
        <v>0</v>
      </c>
      <c r="AW423" s="100">
        <f t="shared" si="431"/>
        <v>0</v>
      </c>
      <c r="AX423" s="100">
        <f t="shared" si="432"/>
        <v>0</v>
      </c>
      <c r="AY423" s="110" t="s">
        <v>1715</v>
      </c>
      <c r="AZ423" s="110" t="s">
        <v>1734</v>
      </c>
      <c r="BA423" s="109" t="s">
        <v>1737</v>
      </c>
      <c r="BC423" s="100">
        <f t="shared" si="433"/>
        <v>0</v>
      </c>
      <c r="BD423" s="100">
        <f t="shared" si="434"/>
        <v>0</v>
      </c>
      <c r="BE423" s="100">
        <v>0</v>
      </c>
      <c r="BF423" s="100">
        <f>423</f>
        <v>423</v>
      </c>
      <c r="BH423" s="108">
        <f t="shared" si="435"/>
        <v>0</v>
      </c>
      <c r="BI423" s="108">
        <f t="shared" si="436"/>
        <v>0</v>
      </c>
      <c r="BJ423" s="108">
        <f t="shared" si="437"/>
        <v>0</v>
      </c>
    </row>
    <row r="424" spans="1:62" x14ac:dyDescent="0.2">
      <c r="A424" s="117" t="s">
        <v>382</v>
      </c>
      <c r="B424" s="117" t="s">
        <v>902</v>
      </c>
      <c r="C424" s="304" t="s">
        <v>1491</v>
      </c>
      <c r="D424" s="305"/>
      <c r="E424" s="305"/>
      <c r="F424" s="117" t="s">
        <v>1648</v>
      </c>
      <c r="G424" s="116">
        <v>4.6790000000000003</v>
      </c>
      <c r="H424" s="159"/>
      <c r="I424" s="108">
        <f t="shared" si="416"/>
        <v>0</v>
      </c>
      <c r="J424" s="108">
        <f t="shared" si="417"/>
        <v>0</v>
      </c>
      <c r="K424" s="108">
        <f t="shared" si="418"/>
        <v>0</v>
      </c>
      <c r="L424" s="111" t="s">
        <v>1671</v>
      </c>
      <c r="Z424" s="100">
        <f t="shared" si="419"/>
        <v>0</v>
      </c>
      <c r="AB424" s="100">
        <f t="shared" si="420"/>
        <v>0</v>
      </c>
      <c r="AC424" s="100">
        <f t="shared" si="421"/>
        <v>0</v>
      </c>
      <c r="AD424" s="100">
        <f t="shared" si="422"/>
        <v>0</v>
      </c>
      <c r="AE424" s="100">
        <f t="shared" si="423"/>
        <v>0</v>
      </c>
      <c r="AF424" s="100">
        <f t="shared" si="424"/>
        <v>0</v>
      </c>
      <c r="AG424" s="100">
        <f t="shared" si="425"/>
        <v>0</v>
      </c>
      <c r="AH424" s="100">
        <f t="shared" si="426"/>
        <v>0</v>
      </c>
      <c r="AI424" s="109"/>
      <c r="AJ424" s="108">
        <f t="shared" si="427"/>
        <v>0</v>
      </c>
      <c r="AK424" s="108">
        <f t="shared" si="428"/>
        <v>0</v>
      </c>
      <c r="AL424" s="108">
        <f t="shared" si="429"/>
        <v>0</v>
      </c>
      <c r="AN424" s="100">
        <v>15</v>
      </c>
      <c r="AO424" s="100">
        <f>H424*0</f>
        <v>0</v>
      </c>
      <c r="AP424" s="100">
        <f>H424*(1-0)</f>
        <v>0</v>
      </c>
      <c r="AQ424" s="111" t="s">
        <v>11</v>
      </c>
      <c r="AV424" s="100">
        <f t="shared" si="430"/>
        <v>0</v>
      </c>
      <c r="AW424" s="100">
        <f t="shared" si="431"/>
        <v>0</v>
      </c>
      <c r="AX424" s="100">
        <f t="shared" si="432"/>
        <v>0</v>
      </c>
      <c r="AY424" s="110" t="s">
        <v>1715</v>
      </c>
      <c r="AZ424" s="110" t="s">
        <v>1734</v>
      </c>
      <c r="BA424" s="109" t="s">
        <v>1737</v>
      </c>
      <c r="BC424" s="100">
        <f t="shared" si="433"/>
        <v>0</v>
      </c>
      <c r="BD424" s="100">
        <f t="shared" si="434"/>
        <v>0</v>
      </c>
      <c r="BE424" s="100">
        <v>0</v>
      </c>
      <c r="BF424" s="100">
        <f>424</f>
        <v>424</v>
      </c>
      <c r="BH424" s="108">
        <f t="shared" si="435"/>
        <v>0</v>
      </c>
      <c r="BI424" s="108">
        <f t="shared" si="436"/>
        <v>0</v>
      </c>
      <c r="BJ424" s="108">
        <f t="shared" si="437"/>
        <v>0</v>
      </c>
    </row>
    <row r="425" spans="1:62" x14ac:dyDescent="0.2">
      <c r="A425" s="119"/>
      <c r="B425" s="120" t="s">
        <v>903</v>
      </c>
      <c r="C425" s="306" t="s">
        <v>1492</v>
      </c>
      <c r="D425" s="307"/>
      <c r="E425" s="307"/>
      <c r="F425" s="119" t="s">
        <v>6</v>
      </c>
      <c r="G425" s="119" t="s">
        <v>6</v>
      </c>
      <c r="H425" s="119" t="s">
        <v>6</v>
      </c>
      <c r="I425" s="118">
        <f>SUM(I426:I434)</f>
        <v>0</v>
      </c>
      <c r="J425" s="118">
        <f>SUM(J426:J434)</f>
        <v>0</v>
      </c>
      <c r="K425" s="118">
        <f>SUM(K426:K434)</f>
        <v>0</v>
      </c>
      <c r="L425" s="109"/>
      <c r="AI425" s="109"/>
      <c r="AS425" s="118">
        <f>SUM(AJ426:AJ434)</f>
        <v>0</v>
      </c>
      <c r="AT425" s="118">
        <f>SUM(AK426:AK434)</f>
        <v>0</v>
      </c>
      <c r="AU425" s="118">
        <f>SUM(AL426:AL434)</f>
        <v>0</v>
      </c>
    </row>
    <row r="426" spans="1:62" x14ac:dyDescent="0.2">
      <c r="A426" s="117" t="s">
        <v>383</v>
      </c>
      <c r="B426" s="117" t="s">
        <v>2689</v>
      </c>
      <c r="C426" s="304" t="s">
        <v>2688</v>
      </c>
      <c r="D426" s="305"/>
      <c r="E426" s="305"/>
      <c r="F426" s="117" t="s">
        <v>1646</v>
      </c>
      <c r="G426" s="116">
        <v>30.6</v>
      </c>
      <c r="H426" s="159"/>
      <c r="I426" s="108">
        <f t="shared" ref="I426:I434" si="438">G426*AO426</f>
        <v>0</v>
      </c>
      <c r="J426" s="108">
        <f t="shared" ref="J426:J434" si="439">G426*AP426</f>
        <v>0</v>
      </c>
      <c r="K426" s="108">
        <f t="shared" ref="K426:K434" si="440">G426*H426</f>
        <v>0</v>
      </c>
      <c r="L426" s="111" t="s">
        <v>1671</v>
      </c>
      <c r="Z426" s="100">
        <f t="shared" ref="Z426:Z434" si="441">IF(AQ426="5",BJ426,0)</f>
        <v>0</v>
      </c>
      <c r="AB426" s="100">
        <f t="shared" ref="AB426:AB434" si="442">IF(AQ426="1",BH426,0)</f>
        <v>0</v>
      </c>
      <c r="AC426" s="100">
        <f t="shared" ref="AC426:AC434" si="443">IF(AQ426="1",BI426,0)</f>
        <v>0</v>
      </c>
      <c r="AD426" s="100">
        <f t="shared" ref="AD426:AD434" si="444">IF(AQ426="7",BH426,0)</f>
        <v>0</v>
      </c>
      <c r="AE426" s="100">
        <f t="shared" ref="AE426:AE434" si="445">IF(AQ426="7",BI426,0)</f>
        <v>0</v>
      </c>
      <c r="AF426" s="100">
        <f t="shared" ref="AF426:AF434" si="446">IF(AQ426="2",BH426,0)</f>
        <v>0</v>
      </c>
      <c r="AG426" s="100">
        <f t="shared" ref="AG426:AG434" si="447">IF(AQ426="2",BI426,0)</f>
        <v>0</v>
      </c>
      <c r="AH426" s="100">
        <f t="shared" ref="AH426:AH434" si="448">IF(AQ426="0",BJ426,0)</f>
        <v>0</v>
      </c>
      <c r="AI426" s="109"/>
      <c r="AJ426" s="108">
        <f t="shared" ref="AJ426:AJ434" si="449">IF(AN426=0,K426,0)</f>
        <v>0</v>
      </c>
      <c r="AK426" s="108">
        <f t="shared" ref="AK426:AK434" si="450">IF(AN426=15,K426,0)</f>
        <v>0</v>
      </c>
      <c r="AL426" s="108">
        <f t="shared" ref="AL426:AL434" si="451">IF(AN426=21,K426,0)</f>
        <v>0</v>
      </c>
      <c r="AN426" s="100">
        <v>15</v>
      </c>
      <c r="AO426" s="100">
        <f>H426*0.461015230987641</f>
        <v>0</v>
      </c>
      <c r="AP426" s="100">
        <f>H426*(1-0.461015230987641)</f>
        <v>0</v>
      </c>
      <c r="AQ426" s="111" t="s">
        <v>13</v>
      </c>
      <c r="AV426" s="100">
        <f t="shared" ref="AV426:AV434" si="452">AW426+AX426</f>
        <v>0</v>
      </c>
      <c r="AW426" s="100">
        <f t="shared" ref="AW426:AW434" si="453">G426*AO426</f>
        <v>0</v>
      </c>
      <c r="AX426" s="100">
        <f t="shared" ref="AX426:AX434" si="454">G426*AP426</f>
        <v>0</v>
      </c>
      <c r="AY426" s="110" t="s">
        <v>1716</v>
      </c>
      <c r="AZ426" s="110" t="s">
        <v>1734</v>
      </c>
      <c r="BA426" s="109" t="s">
        <v>1737</v>
      </c>
      <c r="BC426" s="100">
        <f t="shared" ref="BC426:BC434" si="455">AW426+AX426</f>
        <v>0</v>
      </c>
      <c r="BD426" s="100">
        <f t="shared" ref="BD426:BD434" si="456">H426/(100-BE426)*100</f>
        <v>0</v>
      </c>
      <c r="BE426" s="100">
        <v>0</v>
      </c>
      <c r="BF426" s="100">
        <f>426</f>
        <v>426</v>
      </c>
      <c r="BH426" s="108">
        <f t="shared" ref="BH426:BH434" si="457">G426*AO426</f>
        <v>0</v>
      </c>
      <c r="BI426" s="108">
        <f t="shared" ref="BI426:BI434" si="458">G426*AP426</f>
        <v>0</v>
      </c>
      <c r="BJ426" s="108">
        <f t="shared" ref="BJ426:BJ434" si="459">G426*H426</f>
        <v>0</v>
      </c>
    </row>
    <row r="427" spans="1:62" x14ac:dyDescent="0.2">
      <c r="A427" s="117" t="s">
        <v>384</v>
      </c>
      <c r="B427" s="117" t="s">
        <v>2687</v>
      </c>
      <c r="C427" s="304" t="s">
        <v>2686</v>
      </c>
      <c r="D427" s="305"/>
      <c r="E427" s="305"/>
      <c r="F427" s="117" t="s">
        <v>1646</v>
      </c>
      <c r="G427" s="116">
        <v>10.199999999999999</v>
      </c>
      <c r="H427" s="159"/>
      <c r="I427" s="108">
        <f t="shared" si="438"/>
        <v>0</v>
      </c>
      <c r="J427" s="108">
        <f t="shared" si="439"/>
        <v>0</v>
      </c>
      <c r="K427" s="108">
        <f t="shared" si="440"/>
        <v>0</v>
      </c>
      <c r="L427" s="111" t="s">
        <v>1671</v>
      </c>
      <c r="Z427" s="100">
        <f t="shared" si="441"/>
        <v>0</v>
      </c>
      <c r="AB427" s="100">
        <f t="shared" si="442"/>
        <v>0</v>
      </c>
      <c r="AC427" s="100">
        <f t="shared" si="443"/>
        <v>0</v>
      </c>
      <c r="AD427" s="100">
        <f t="shared" si="444"/>
        <v>0</v>
      </c>
      <c r="AE427" s="100">
        <f t="shared" si="445"/>
        <v>0</v>
      </c>
      <c r="AF427" s="100">
        <f t="shared" si="446"/>
        <v>0</v>
      </c>
      <c r="AG427" s="100">
        <f t="shared" si="447"/>
        <v>0</v>
      </c>
      <c r="AH427" s="100">
        <f t="shared" si="448"/>
        <v>0</v>
      </c>
      <c r="AI427" s="109"/>
      <c r="AJ427" s="108">
        <f t="shared" si="449"/>
        <v>0</v>
      </c>
      <c r="AK427" s="108">
        <f t="shared" si="450"/>
        <v>0</v>
      </c>
      <c r="AL427" s="108">
        <f t="shared" si="451"/>
        <v>0</v>
      </c>
      <c r="AN427" s="100">
        <v>15</v>
      </c>
      <c r="AO427" s="100">
        <f>H427*0.40109649122807</f>
        <v>0</v>
      </c>
      <c r="AP427" s="100">
        <f>H427*(1-0.40109649122807)</f>
        <v>0</v>
      </c>
      <c r="AQ427" s="111" t="s">
        <v>13</v>
      </c>
      <c r="AV427" s="100">
        <f t="shared" si="452"/>
        <v>0</v>
      </c>
      <c r="AW427" s="100">
        <f t="shared" si="453"/>
        <v>0</v>
      </c>
      <c r="AX427" s="100">
        <f t="shared" si="454"/>
        <v>0</v>
      </c>
      <c r="AY427" s="110" t="s">
        <v>1716</v>
      </c>
      <c r="AZ427" s="110" t="s">
        <v>1734</v>
      </c>
      <c r="BA427" s="109" t="s">
        <v>1737</v>
      </c>
      <c r="BC427" s="100">
        <f t="shared" si="455"/>
        <v>0</v>
      </c>
      <c r="BD427" s="100">
        <f t="shared" si="456"/>
        <v>0</v>
      </c>
      <c r="BE427" s="100">
        <v>0</v>
      </c>
      <c r="BF427" s="100">
        <f>427</f>
        <v>427</v>
      </c>
      <c r="BH427" s="108">
        <f t="shared" si="457"/>
        <v>0</v>
      </c>
      <c r="BI427" s="108">
        <f t="shared" si="458"/>
        <v>0</v>
      </c>
      <c r="BJ427" s="108">
        <f t="shared" si="459"/>
        <v>0</v>
      </c>
    </row>
    <row r="428" spans="1:62" x14ac:dyDescent="0.2">
      <c r="A428" s="117" t="s">
        <v>385</v>
      </c>
      <c r="B428" s="117" t="s">
        <v>904</v>
      </c>
      <c r="C428" s="304" t="s">
        <v>1493</v>
      </c>
      <c r="D428" s="305"/>
      <c r="E428" s="305"/>
      <c r="F428" s="117" t="s">
        <v>1644</v>
      </c>
      <c r="G428" s="116">
        <v>1</v>
      </c>
      <c r="H428" s="159"/>
      <c r="I428" s="108">
        <f t="shared" si="438"/>
        <v>0</v>
      </c>
      <c r="J428" s="108">
        <f t="shared" si="439"/>
        <v>0</v>
      </c>
      <c r="K428" s="108">
        <f t="shared" si="440"/>
        <v>0</v>
      </c>
      <c r="L428" s="111" t="s">
        <v>1671</v>
      </c>
      <c r="Z428" s="100">
        <f t="shared" si="441"/>
        <v>0</v>
      </c>
      <c r="AB428" s="100">
        <f t="shared" si="442"/>
        <v>0</v>
      </c>
      <c r="AC428" s="100">
        <f t="shared" si="443"/>
        <v>0</v>
      </c>
      <c r="AD428" s="100">
        <f t="shared" si="444"/>
        <v>0</v>
      </c>
      <c r="AE428" s="100">
        <f t="shared" si="445"/>
        <v>0</v>
      </c>
      <c r="AF428" s="100">
        <f t="shared" si="446"/>
        <v>0</v>
      </c>
      <c r="AG428" s="100">
        <f t="shared" si="447"/>
        <v>0</v>
      </c>
      <c r="AH428" s="100">
        <f t="shared" si="448"/>
        <v>0</v>
      </c>
      <c r="AI428" s="109"/>
      <c r="AJ428" s="108">
        <f t="shared" si="449"/>
        <v>0</v>
      </c>
      <c r="AK428" s="108">
        <f t="shared" si="450"/>
        <v>0</v>
      </c>
      <c r="AL428" s="108">
        <f t="shared" si="451"/>
        <v>0</v>
      </c>
      <c r="AN428" s="100">
        <v>15</v>
      </c>
      <c r="AO428" s="100">
        <f>H428*0.007425</f>
        <v>0</v>
      </c>
      <c r="AP428" s="100">
        <f>H428*(1-0.007425)</f>
        <v>0</v>
      </c>
      <c r="AQ428" s="111" t="s">
        <v>13</v>
      </c>
      <c r="AV428" s="100">
        <f t="shared" si="452"/>
        <v>0</v>
      </c>
      <c r="AW428" s="100">
        <f t="shared" si="453"/>
        <v>0</v>
      </c>
      <c r="AX428" s="100">
        <f t="shared" si="454"/>
        <v>0</v>
      </c>
      <c r="AY428" s="110" t="s">
        <v>1716</v>
      </c>
      <c r="AZ428" s="110" t="s">
        <v>1734</v>
      </c>
      <c r="BA428" s="109" t="s">
        <v>1737</v>
      </c>
      <c r="BC428" s="100">
        <f t="shared" si="455"/>
        <v>0</v>
      </c>
      <c r="BD428" s="100">
        <f t="shared" si="456"/>
        <v>0</v>
      </c>
      <c r="BE428" s="100">
        <v>0</v>
      </c>
      <c r="BF428" s="100">
        <f>428</f>
        <v>428</v>
      </c>
      <c r="BH428" s="108">
        <f t="shared" si="457"/>
        <v>0</v>
      </c>
      <c r="BI428" s="108">
        <f t="shared" si="458"/>
        <v>0</v>
      </c>
      <c r="BJ428" s="108">
        <f t="shared" si="459"/>
        <v>0</v>
      </c>
    </row>
    <row r="429" spans="1:62" x14ac:dyDescent="0.2">
      <c r="A429" s="117" t="s">
        <v>386</v>
      </c>
      <c r="B429" s="117" t="s">
        <v>905</v>
      </c>
      <c r="C429" s="304" t="s">
        <v>3031</v>
      </c>
      <c r="D429" s="305"/>
      <c r="E429" s="305"/>
      <c r="F429" s="117" t="s">
        <v>1644</v>
      </c>
      <c r="G429" s="116">
        <v>1</v>
      </c>
      <c r="H429" s="159"/>
      <c r="I429" s="108">
        <f t="shared" si="438"/>
        <v>0</v>
      </c>
      <c r="J429" s="108">
        <f t="shared" si="439"/>
        <v>0</v>
      </c>
      <c r="K429" s="108">
        <f t="shared" si="440"/>
        <v>0</v>
      </c>
      <c r="L429" s="111" t="s">
        <v>1671</v>
      </c>
      <c r="Z429" s="100">
        <f t="shared" si="441"/>
        <v>0</v>
      </c>
      <c r="AB429" s="100">
        <f t="shared" si="442"/>
        <v>0</v>
      </c>
      <c r="AC429" s="100">
        <f t="shared" si="443"/>
        <v>0</v>
      </c>
      <c r="AD429" s="100">
        <f t="shared" si="444"/>
        <v>0</v>
      </c>
      <c r="AE429" s="100">
        <f t="shared" si="445"/>
        <v>0</v>
      </c>
      <c r="AF429" s="100">
        <f t="shared" si="446"/>
        <v>0</v>
      </c>
      <c r="AG429" s="100">
        <f t="shared" si="447"/>
        <v>0</v>
      </c>
      <c r="AH429" s="100">
        <f t="shared" si="448"/>
        <v>0</v>
      </c>
      <c r="AI429" s="109"/>
      <c r="AJ429" s="108">
        <f t="shared" si="449"/>
        <v>0</v>
      </c>
      <c r="AK429" s="108">
        <f t="shared" si="450"/>
        <v>0</v>
      </c>
      <c r="AL429" s="108">
        <f t="shared" si="451"/>
        <v>0</v>
      </c>
      <c r="AN429" s="100">
        <v>15</v>
      </c>
      <c r="AO429" s="100">
        <f>H429*0.0040695652173913</f>
        <v>0</v>
      </c>
      <c r="AP429" s="100">
        <f>H429*(1-0.0040695652173913)</f>
        <v>0</v>
      </c>
      <c r="AQ429" s="111" t="s">
        <v>13</v>
      </c>
      <c r="AV429" s="100">
        <f t="shared" si="452"/>
        <v>0</v>
      </c>
      <c r="AW429" s="100">
        <f t="shared" si="453"/>
        <v>0</v>
      </c>
      <c r="AX429" s="100">
        <f t="shared" si="454"/>
        <v>0</v>
      </c>
      <c r="AY429" s="110" t="s">
        <v>1716</v>
      </c>
      <c r="AZ429" s="110" t="s">
        <v>1734</v>
      </c>
      <c r="BA429" s="109" t="s">
        <v>1737</v>
      </c>
      <c r="BC429" s="100">
        <f t="shared" si="455"/>
        <v>0</v>
      </c>
      <c r="BD429" s="100">
        <f t="shared" si="456"/>
        <v>0</v>
      </c>
      <c r="BE429" s="100">
        <v>0</v>
      </c>
      <c r="BF429" s="100">
        <f>429</f>
        <v>429</v>
      </c>
      <c r="BH429" s="108">
        <f t="shared" si="457"/>
        <v>0</v>
      </c>
      <c r="BI429" s="108">
        <f t="shared" si="458"/>
        <v>0</v>
      </c>
      <c r="BJ429" s="108">
        <f t="shared" si="459"/>
        <v>0</v>
      </c>
    </row>
    <row r="430" spans="1:62" x14ac:dyDescent="0.2">
      <c r="A430" s="117" t="s">
        <v>387</v>
      </c>
      <c r="B430" s="117" t="s">
        <v>2685</v>
      </c>
      <c r="C430" s="304" t="s">
        <v>2684</v>
      </c>
      <c r="D430" s="305"/>
      <c r="E430" s="305"/>
      <c r="F430" s="117" t="s">
        <v>1644</v>
      </c>
      <c r="G430" s="116">
        <v>7</v>
      </c>
      <c r="H430" s="159"/>
      <c r="I430" s="108">
        <f t="shared" si="438"/>
        <v>0</v>
      </c>
      <c r="J430" s="108">
        <f t="shared" si="439"/>
        <v>0</v>
      </c>
      <c r="K430" s="108">
        <f t="shared" si="440"/>
        <v>0</v>
      </c>
      <c r="L430" s="111" t="s">
        <v>1671</v>
      </c>
      <c r="Z430" s="100">
        <f t="shared" si="441"/>
        <v>0</v>
      </c>
      <c r="AB430" s="100">
        <f t="shared" si="442"/>
        <v>0</v>
      </c>
      <c r="AC430" s="100">
        <f t="shared" si="443"/>
        <v>0</v>
      </c>
      <c r="AD430" s="100">
        <f t="shared" si="444"/>
        <v>0</v>
      </c>
      <c r="AE430" s="100">
        <f t="shared" si="445"/>
        <v>0</v>
      </c>
      <c r="AF430" s="100">
        <f t="shared" si="446"/>
        <v>0</v>
      </c>
      <c r="AG430" s="100">
        <f t="shared" si="447"/>
        <v>0</v>
      </c>
      <c r="AH430" s="100">
        <f t="shared" si="448"/>
        <v>0</v>
      </c>
      <c r="AI430" s="109"/>
      <c r="AJ430" s="108">
        <f t="shared" si="449"/>
        <v>0</v>
      </c>
      <c r="AK430" s="108">
        <f t="shared" si="450"/>
        <v>0</v>
      </c>
      <c r="AL430" s="108">
        <f t="shared" si="451"/>
        <v>0</v>
      </c>
      <c r="AN430" s="100">
        <v>15</v>
      </c>
      <c r="AO430" s="100">
        <f>H430*0.0607105719237435</f>
        <v>0</v>
      </c>
      <c r="AP430" s="100">
        <f>H430*(1-0.0607105719237435)</f>
        <v>0</v>
      </c>
      <c r="AQ430" s="111" t="s">
        <v>13</v>
      </c>
      <c r="AV430" s="100">
        <f t="shared" si="452"/>
        <v>0</v>
      </c>
      <c r="AW430" s="100">
        <f t="shared" si="453"/>
        <v>0</v>
      </c>
      <c r="AX430" s="100">
        <f t="shared" si="454"/>
        <v>0</v>
      </c>
      <c r="AY430" s="110" t="s">
        <v>1716</v>
      </c>
      <c r="AZ430" s="110" t="s">
        <v>1734</v>
      </c>
      <c r="BA430" s="109" t="s">
        <v>1737</v>
      </c>
      <c r="BC430" s="100">
        <f t="shared" si="455"/>
        <v>0</v>
      </c>
      <c r="BD430" s="100">
        <f t="shared" si="456"/>
        <v>0</v>
      </c>
      <c r="BE430" s="100">
        <v>0</v>
      </c>
      <c r="BF430" s="100">
        <f>430</f>
        <v>430</v>
      </c>
      <c r="BH430" s="108">
        <f t="shared" si="457"/>
        <v>0</v>
      </c>
      <c r="BI430" s="108">
        <f t="shared" si="458"/>
        <v>0</v>
      </c>
      <c r="BJ430" s="108">
        <f t="shared" si="459"/>
        <v>0</v>
      </c>
    </row>
    <row r="431" spans="1:62" x14ac:dyDescent="0.2">
      <c r="A431" s="124" t="s">
        <v>388</v>
      </c>
      <c r="B431" s="124" t="s">
        <v>2683</v>
      </c>
      <c r="C431" s="311" t="s">
        <v>2682</v>
      </c>
      <c r="D431" s="312"/>
      <c r="E431" s="312"/>
      <c r="F431" s="124" t="s">
        <v>1644</v>
      </c>
      <c r="G431" s="123">
        <v>7</v>
      </c>
      <c r="H431" s="160"/>
      <c r="I431" s="121">
        <f t="shared" si="438"/>
        <v>0</v>
      </c>
      <c r="J431" s="121">
        <f t="shared" si="439"/>
        <v>0</v>
      </c>
      <c r="K431" s="121">
        <f t="shared" si="440"/>
        <v>0</v>
      </c>
      <c r="L431" s="122" t="s">
        <v>1671</v>
      </c>
      <c r="Z431" s="100">
        <f t="shared" si="441"/>
        <v>0</v>
      </c>
      <c r="AB431" s="100">
        <f t="shared" si="442"/>
        <v>0</v>
      </c>
      <c r="AC431" s="100">
        <f t="shared" si="443"/>
        <v>0</v>
      </c>
      <c r="AD431" s="100">
        <f t="shared" si="444"/>
        <v>0</v>
      </c>
      <c r="AE431" s="100">
        <f t="shared" si="445"/>
        <v>0</v>
      </c>
      <c r="AF431" s="100">
        <f t="shared" si="446"/>
        <v>0</v>
      </c>
      <c r="AG431" s="100">
        <f t="shared" si="447"/>
        <v>0</v>
      </c>
      <c r="AH431" s="100">
        <f t="shared" si="448"/>
        <v>0</v>
      </c>
      <c r="AI431" s="109"/>
      <c r="AJ431" s="121">
        <f t="shared" si="449"/>
        <v>0</v>
      </c>
      <c r="AK431" s="121">
        <f t="shared" si="450"/>
        <v>0</v>
      </c>
      <c r="AL431" s="121">
        <f t="shared" si="451"/>
        <v>0</v>
      </c>
      <c r="AN431" s="100">
        <v>15</v>
      </c>
      <c r="AO431" s="100">
        <f>H431*1</f>
        <v>0</v>
      </c>
      <c r="AP431" s="100">
        <f>H431*(1-1)</f>
        <v>0</v>
      </c>
      <c r="AQ431" s="122" t="s">
        <v>13</v>
      </c>
      <c r="AV431" s="100">
        <f t="shared" si="452"/>
        <v>0</v>
      </c>
      <c r="AW431" s="100">
        <f t="shared" si="453"/>
        <v>0</v>
      </c>
      <c r="AX431" s="100">
        <f t="shared" si="454"/>
        <v>0</v>
      </c>
      <c r="AY431" s="110" t="s">
        <v>1716</v>
      </c>
      <c r="AZ431" s="110" t="s">
        <v>1734</v>
      </c>
      <c r="BA431" s="109" t="s">
        <v>1737</v>
      </c>
      <c r="BC431" s="100">
        <f t="shared" si="455"/>
        <v>0</v>
      </c>
      <c r="BD431" s="100">
        <f t="shared" si="456"/>
        <v>0</v>
      </c>
      <c r="BE431" s="100">
        <v>0</v>
      </c>
      <c r="BF431" s="100">
        <f>431</f>
        <v>431</v>
      </c>
      <c r="BH431" s="121">
        <f t="shared" si="457"/>
        <v>0</v>
      </c>
      <c r="BI431" s="121">
        <f t="shared" si="458"/>
        <v>0</v>
      </c>
      <c r="BJ431" s="121">
        <f t="shared" si="459"/>
        <v>0</v>
      </c>
    </row>
    <row r="432" spans="1:62" x14ac:dyDescent="0.2">
      <c r="A432" s="117" t="s">
        <v>389</v>
      </c>
      <c r="B432" s="117" t="s">
        <v>2681</v>
      </c>
      <c r="C432" s="304" t="s">
        <v>2680</v>
      </c>
      <c r="D432" s="305"/>
      <c r="E432" s="305"/>
      <c r="F432" s="117" t="s">
        <v>1644</v>
      </c>
      <c r="G432" s="116">
        <v>2</v>
      </c>
      <c r="H432" s="159"/>
      <c r="I432" s="108">
        <f t="shared" si="438"/>
        <v>0</v>
      </c>
      <c r="J432" s="108">
        <f t="shared" si="439"/>
        <v>0</v>
      </c>
      <c r="K432" s="108">
        <f t="shared" si="440"/>
        <v>0</v>
      </c>
      <c r="L432" s="111" t="s">
        <v>1671</v>
      </c>
      <c r="Z432" s="100">
        <f t="shared" si="441"/>
        <v>0</v>
      </c>
      <c r="AB432" s="100">
        <f t="shared" si="442"/>
        <v>0</v>
      </c>
      <c r="AC432" s="100">
        <f t="shared" si="443"/>
        <v>0</v>
      </c>
      <c r="AD432" s="100">
        <f t="shared" si="444"/>
        <v>0</v>
      </c>
      <c r="AE432" s="100">
        <f t="shared" si="445"/>
        <v>0</v>
      </c>
      <c r="AF432" s="100">
        <f t="shared" si="446"/>
        <v>0</v>
      </c>
      <c r="AG432" s="100">
        <f t="shared" si="447"/>
        <v>0</v>
      </c>
      <c r="AH432" s="100">
        <f t="shared" si="448"/>
        <v>0</v>
      </c>
      <c r="AI432" s="109"/>
      <c r="AJ432" s="108">
        <f t="shared" si="449"/>
        <v>0</v>
      </c>
      <c r="AK432" s="108">
        <f t="shared" si="450"/>
        <v>0</v>
      </c>
      <c r="AL432" s="108">
        <f t="shared" si="451"/>
        <v>0</v>
      </c>
      <c r="AN432" s="100">
        <v>15</v>
      </c>
      <c r="AO432" s="100">
        <f>H432*0.0665726681127983</f>
        <v>0</v>
      </c>
      <c r="AP432" s="100">
        <f>H432*(1-0.0665726681127983)</f>
        <v>0</v>
      </c>
      <c r="AQ432" s="111" t="s">
        <v>13</v>
      </c>
      <c r="AV432" s="100">
        <f t="shared" si="452"/>
        <v>0</v>
      </c>
      <c r="AW432" s="100">
        <f t="shared" si="453"/>
        <v>0</v>
      </c>
      <c r="AX432" s="100">
        <f t="shared" si="454"/>
        <v>0</v>
      </c>
      <c r="AY432" s="110" t="s">
        <v>1716</v>
      </c>
      <c r="AZ432" s="110" t="s">
        <v>1734</v>
      </c>
      <c r="BA432" s="109" t="s">
        <v>1737</v>
      </c>
      <c r="BC432" s="100">
        <f t="shared" si="455"/>
        <v>0</v>
      </c>
      <c r="BD432" s="100">
        <f t="shared" si="456"/>
        <v>0</v>
      </c>
      <c r="BE432" s="100">
        <v>0</v>
      </c>
      <c r="BF432" s="100">
        <f>432</f>
        <v>432</v>
      </c>
      <c r="BH432" s="108">
        <f t="shared" si="457"/>
        <v>0</v>
      </c>
      <c r="BI432" s="108">
        <f t="shared" si="458"/>
        <v>0</v>
      </c>
      <c r="BJ432" s="108">
        <f t="shared" si="459"/>
        <v>0</v>
      </c>
    </row>
    <row r="433" spans="1:62" x14ac:dyDescent="0.2">
      <c r="A433" s="124" t="s">
        <v>390</v>
      </c>
      <c r="B433" s="124" t="s">
        <v>2679</v>
      </c>
      <c r="C433" s="311" t="s">
        <v>2678</v>
      </c>
      <c r="D433" s="312"/>
      <c r="E433" s="312"/>
      <c r="F433" s="124" t="s">
        <v>1644</v>
      </c>
      <c r="G433" s="123">
        <v>2</v>
      </c>
      <c r="H433" s="160"/>
      <c r="I433" s="121">
        <f t="shared" si="438"/>
        <v>0</v>
      </c>
      <c r="J433" s="121">
        <f t="shared" si="439"/>
        <v>0</v>
      </c>
      <c r="K433" s="121">
        <f t="shared" si="440"/>
        <v>0</v>
      </c>
      <c r="L433" s="122" t="s">
        <v>1671</v>
      </c>
      <c r="Z433" s="100">
        <f t="shared" si="441"/>
        <v>0</v>
      </c>
      <c r="AB433" s="100">
        <f t="shared" si="442"/>
        <v>0</v>
      </c>
      <c r="AC433" s="100">
        <f t="shared" si="443"/>
        <v>0</v>
      </c>
      <c r="AD433" s="100">
        <f t="shared" si="444"/>
        <v>0</v>
      </c>
      <c r="AE433" s="100">
        <f t="shared" si="445"/>
        <v>0</v>
      </c>
      <c r="AF433" s="100">
        <f t="shared" si="446"/>
        <v>0</v>
      </c>
      <c r="AG433" s="100">
        <f t="shared" si="447"/>
        <v>0</v>
      </c>
      <c r="AH433" s="100">
        <f t="shared" si="448"/>
        <v>0</v>
      </c>
      <c r="AI433" s="109"/>
      <c r="AJ433" s="121">
        <f t="shared" si="449"/>
        <v>0</v>
      </c>
      <c r="AK433" s="121">
        <f t="shared" si="450"/>
        <v>0</v>
      </c>
      <c r="AL433" s="121">
        <f t="shared" si="451"/>
        <v>0</v>
      </c>
      <c r="AN433" s="100">
        <v>15</v>
      </c>
      <c r="AO433" s="100">
        <f>H433*1</f>
        <v>0</v>
      </c>
      <c r="AP433" s="100">
        <f>H433*(1-1)</f>
        <v>0</v>
      </c>
      <c r="AQ433" s="122" t="s">
        <v>13</v>
      </c>
      <c r="AV433" s="100">
        <f t="shared" si="452"/>
        <v>0</v>
      </c>
      <c r="AW433" s="100">
        <f t="shared" si="453"/>
        <v>0</v>
      </c>
      <c r="AX433" s="100">
        <f t="shared" si="454"/>
        <v>0</v>
      </c>
      <c r="AY433" s="110" t="s">
        <v>1716</v>
      </c>
      <c r="AZ433" s="110" t="s">
        <v>1734</v>
      </c>
      <c r="BA433" s="109" t="s">
        <v>1737</v>
      </c>
      <c r="BC433" s="100">
        <f t="shared" si="455"/>
        <v>0</v>
      </c>
      <c r="BD433" s="100">
        <f t="shared" si="456"/>
        <v>0</v>
      </c>
      <c r="BE433" s="100">
        <v>0</v>
      </c>
      <c r="BF433" s="100">
        <f>433</f>
        <v>433</v>
      </c>
      <c r="BH433" s="121">
        <f t="shared" si="457"/>
        <v>0</v>
      </c>
      <c r="BI433" s="121">
        <f t="shared" si="458"/>
        <v>0</v>
      </c>
      <c r="BJ433" s="121">
        <f t="shared" si="459"/>
        <v>0</v>
      </c>
    </row>
    <row r="434" spans="1:62" x14ac:dyDescent="0.2">
      <c r="A434" s="117" t="s">
        <v>391</v>
      </c>
      <c r="B434" s="117" t="s">
        <v>906</v>
      </c>
      <c r="C434" s="304" t="s">
        <v>1495</v>
      </c>
      <c r="D434" s="305"/>
      <c r="E434" s="305"/>
      <c r="F434" s="117" t="s">
        <v>1648</v>
      </c>
      <c r="G434" s="116">
        <v>0.34399999999999997</v>
      </c>
      <c r="H434" s="159"/>
      <c r="I434" s="108">
        <f t="shared" si="438"/>
        <v>0</v>
      </c>
      <c r="J434" s="108">
        <f t="shared" si="439"/>
        <v>0</v>
      </c>
      <c r="K434" s="108">
        <f t="shared" si="440"/>
        <v>0</v>
      </c>
      <c r="L434" s="111" t="s">
        <v>1671</v>
      </c>
      <c r="Z434" s="100">
        <f t="shared" si="441"/>
        <v>0</v>
      </c>
      <c r="AB434" s="100">
        <f t="shared" si="442"/>
        <v>0</v>
      </c>
      <c r="AC434" s="100">
        <f t="shared" si="443"/>
        <v>0</v>
      </c>
      <c r="AD434" s="100">
        <f t="shared" si="444"/>
        <v>0</v>
      </c>
      <c r="AE434" s="100">
        <f t="shared" si="445"/>
        <v>0</v>
      </c>
      <c r="AF434" s="100">
        <f t="shared" si="446"/>
        <v>0</v>
      </c>
      <c r="AG434" s="100">
        <f t="shared" si="447"/>
        <v>0</v>
      </c>
      <c r="AH434" s="100">
        <f t="shared" si="448"/>
        <v>0</v>
      </c>
      <c r="AI434" s="109"/>
      <c r="AJ434" s="108">
        <f t="shared" si="449"/>
        <v>0</v>
      </c>
      <c r="AK434" s="108">
        <f t="shared" si="450"/>
        <v>0</v>
      </c>
      <c r="AL434" s="108">
        <f t="shared" si="451"/>
        <v>0</v>
      </c>
      <c r="AN434" s="100">
        <v>15</v>
      </c>
      <c r="AO434" s="100">
        <f>H434*0</f>
        <v>0</v>
      </c>
      <c r="AP434" s="100">
        <f>H434*(1-0)</f>
        <v>0</v>
      </c>
      <c r="AQ434" s="111" t="s">
        <v>11</v>
      </c>
      <c r="AV434" s="100">
        <f t="shared" si="452"/>
        <v>0</v>
      </c>
      <c r="AW434" s="100">
        <f t="shared" si="453"/>
        <v>0</v>
      </c>
      <c r="AX434" s="100">
        <f t="shared" si="454"/>
        <v>0</v>
      </c>
      <c r="AY434" s="110" t="s">
        <v>1716</v>
      </c>
      <c r="AZ434" s="110" t="s">
        <v>1734</v>
      </c>
      <c r="BA434" s="109" t="s">
        <v>1737</v>
      </c>
      <c r="BC434" s="100">
        <f t="shared" si="455"/>
        <v>0</v>
      </c>
      <c r="BD434" s="100">
        <f t="shared" si="456"/>
        <v>0</v>
      </c>
      <c r="BE434" s="100">
        <v>0</v>
      </c>
      <c r="BF434" s="100">
        <f>434</f>
        <v>434</v>
      </c>
      <c r="BH434" s="108">
        <f t="shared" si="457"/>
        <v>0</v>
      </c>
      <c r="BI434" s="108">
        <f t="shared" si="458"/>
        <v>0</v>
      </c>
      <c r="BJ434" s="108">
        <f t="shared" si="459"/>
        <v>0</v>
      </c>
    </row>
    <row r="435" spans="1:62" x14ac:dyDescent="0.2">
      <c r="A435" s="119"/>
      <c r="B435" s="120" t="s">
        <v>907</v>
      </c>
      <c r="C435" s="306" t="s">
        <v>1496</v>
      </c>
      <c r="D435" s="307"/>
      <c r="E435" s="307"/>
      <c r="F435" s="119" t="s">
        <v>6</v>
      </c>
      <c r="G435" s="119" t="s">
        <v>6</v>
      </c>
      <c r="H435" s="119" t="s">
        <v>6</v>
      </c>
      <c r="I435" s="118">
        <f>SUM(I436:I447)</f>
        <v>0</v>
      </c>
      <c r="J435" s="118">
        <f>SUM(J436:J447)</f>
        <v>0</v>
      </c>
      <c r="K435" s="118">
        <f>SUM(K436:K447)</f>
        <v>0</v>
      </c>
      <c r="L435" s="109"/>
      <c r="AI435" s="109"/>
      <c r="AS435" s="118">
        <f>SUM(AJ436:AJ447)</f>
        <v>0</v>
      </c>
      <c r="AT435" s="118">
        <f>SUM(AK436:AK447)</f>
        <v>0</v>
      </c>
      <c r="AU435" s="118">
        <f>SUM(AL436:AL447)</f>
        <v>0</v>
      </c>
    </row>
    <row r="436" spans="1:62" x14ac:dyDescent="0.2">
      <c r="A436" s="117" t="s">
        <v>392</v>
      </c>
      <c r="B436" s="117" t="s">
        <v>908</v>
      </c>
      <c r="C436" s="304" t="s">
        <v>3030</v>
      </c>
      <c r="D436" s="305"/>
      <c r="E436" s="305"/>
      <c r="F436" s="117" t="s">
        <v>1644</v>
      </c>
      <c r="G436" s="116">
        <v>2</v>
      </c>
      <c r="H436" s="159"/>
      <c r="I436" s="108">
        <f t="shared" ref="I436:I447" si="460">G436*AO436</f>
        <v>0</v>
      </c>
      <c r="J436" s="108">
        <f t="shared" ref="J436:J447" si="461">G436*AP436</f>
        <v>0</v>
      </c>
      <c r="K436" s="108">
        <f t="shared" ref="K436:K447" si="462">G436*H436</f>
        <v>0</v>
      </c>
      <c r="L436" s="111" t="s">
        <v>1671</v>
      </c>
      <c r="Z436" s="100">
        <f t="shared" ref="Z436:Z447" si="463">IF(AQ436="5",BJ436,0)</f>
        <v>0</v>
      </c>
      <c r="AB436" s="100">
        <f t="shared" ref="AB436:AB447" si="464">IF(AQ436="1",BH436,0)</f>
        <v>0</v>
      </c>
      <c r="AC436" s="100">
        <f t="shared" ref="AC436:AC447" si="465">IF(AQ436="1",BI436,0)</f>
        <v>0</v>
      </c>
      <c r="AD436" s="100">
        <f t="shared" ref="AD436:AD447" si="466">IF(AQ436="7",BH436,0)</f>
        <v>0</v>
      </c>
      <c r="AE436" s="100">
        <f t="shared" ref="AE436:AE447" si="467">IF(AQ436="7",BI436,0)</f>
        <v>0</v>
      </c>
      <c r="AF436" s="100">
        <f t="shared" ref="AF436:AF447" si="468">IF(AQ436="2",BH436,0)</f>
        <v>0</v>
      </c>
      <c r="AG436" s="100">
        <f t="shared" ref="AG436:AG447" si="469">IF(AQ436="2",BI436,0)</f>
        <v>0</v>
      </c>
      <c r="AH436" s="100">
        <f t="shared" ref="AH436:AH447" si="470">IF(AQ436="0",BJ436,0)</f>
        <v>0</v>
      </c>
      <c r="AI436" s="109"/>
      <c r="AJ436" s="108">
        <f t="shared" ref="AJ436:AJ447" si="471">IF(AN436=0,K436,0)</f>
        <v>0</v>
      </c>
      <c r="AK436" s="108">
        <f t="shared" ref="AK436:AK447" si="472">IF(AN436=15,K436,0)</f>
        <v>0</v>
      </c>
      <c r="AL436" s="108">
        <f t="shared" ref="AL436:AL447" si="473">IF(AN436=21,K436,0)</f>
        <v>0</v>
      </c>
      <c r="AN436" s="100">
        <v>15</v>
      </c>
      <c r="AO436" s="100">
        <f>H436*0.0305007936507936</f>
        <v>0</v>
      </c>
      <c r="AP436" s="100">
        <f>H436*(1-0.0305007936507936)</f>
        <v>0</v>
      </c>
      <c r="AQ436" s="111" t="s">
        <v>13</v>
      </c>
      <c r="AV436" s="100">
        <f t="shared" ref="AV436:AV447" si="474">AW436+AX436</f>
        <v>0</v>
      </c>
      <c r="AW436" s="100">
        <f t="shared" ref="AW436:AW447" si="475">G436*AO436</f>
        <v>0</v>
      </c>
      <c r="AX436" s="100">
        <f t="shared" ref="AX436:AX447" si="476">G436*AP436</f>
        <v>0</v>
      </c>
      <c r="AY436" s="110" t="s">
        <v>1717</v>
      </c>
      <c r="AZ436" s="110" t="s">
        <v>1734</v>
      </c>
      <c r="BA436" s="109" t="s">
        <v>1737</v>
      </c>
      <c r="BC436" s="100">
        <f t="shared" ref="BC436:BC447" si="477">AW436+AX436</f>
        <v>0</v>
      </c>
      <c r="BD436" s="100">
        <f t="shared" ref="BD436:BD447" si="478">H436/(100-BE436)*100</f>
        <v>0</v>
      </c>
      <c r="BE436" s="100">
        <v>0</v>
      </c>
      <c r="BF436" s="100">
        <f>436</f>
        <v>436</v>
      </c>
      <c r="BH436" s="108">
        <f t="shared" ref="BH436:BH447" si="479">G436*AO436</f>
        <v>0</v>
      </c>
      <c r="BI436" s="108">
        <f t="shared" ref="BI436:BI447" si="480">G436*AP436</f>
        <v>0</v>
      </c>
      <c r="BJ436" s="108">
        <f t="shared" ref="BJ436:BJ447" si="481">G436*H436</f>
        <v>0</v>
      </c>
    </row>
    <row r="437" spans="1:62" x14ac:dyDescent="0.2">
      <c r="A437" s="117" t="s">
        <v>393</v>
      </c>
      <c r="B437" s="117" t="s">
        <v>909</v>
      </c>
      <c r="C437" s="304" t="s">
        <v>1498</v>
      </c>
      <c r="D437" s="305"/>
      <c r="E437" s="305"/>
      <c r="F437" s="117" t="s">
        <v>1644</v>
      </c>
      <c r="G437" s="116">
        <v>1</v>
      </c>
      <c r="H437" s="159"/>
      <c r="I437" s="108">
        <f t="shared" si="460"/>
        <v>0</v>
      </c>
      <c r="J437" s="108">
        <f t="shared" si="461"/>
        <v>0</v>
      </c>
      <c r="K437" s="108">
        <f t="shared" si="462"/>
        <v>0</v>
      </c>
      <c r="L437" s="111" t="s">
        <v>1671</v>
      </c>
      <c r="Z437" s="100">
        <f t="shared" si="463"/>
        <v>0</v>
      </c>
      <c r="AB437" s="100">
        <f t="shared" si="464"/>
        <v>0</v>
      </c>
      <c r="AC437" s="100">
        <f t="shared" si="465"/>
        <v>0</v>
      </c>
      <c r="AD437" s="100">
        <f t="shared" si="466"/>
        <v>0</v>
      </c>
      <c r="AE437" s="100">
        <f t="shared" si="467"/>
        <v>0</v>
      </c>
      <c r="AF437" s="100">
        <f t="shared" si="468"/>
        <v>0</v>
      </c>
      <c r="AG437" s="100">
        <f t="shared" si="469"/>
        <v>0</v>
      </c>
      <c r="AH437" s="100">
        <f t="shared" si="470"/>
        <v>0</v>
      </c>
      <c r="AI437" s="109"/>
      <c r="AJ437" s="108">
        <f t="shared" si="471"/>
        <v>0</v>
      </c>
      <c r="AK437" s="108">
        <f t="shared" si="472"/>
        <v>0</v>
      </c>
      <c r="AL437" s="108">
        <f t="shared" si="473"/>
        <v>0</v>
      </c>
      <c r="AN437" s="100">
        <v>15</v>
      </c>
      <c r="AO437" s="100">
        <f>H437*0</f>
        <v>0</v>
      </c>
      <c r="AP437" s="100">
        <f>H437*(1-0)</f>
        <v>0</v>
      </c>
      <c r="AQ437" s="111" t="s">
        <v>13</v>
      </c>
      <c r="AV437" s="100">
        <f t="shared" si="474"/>
        <v>0</v>
      </c>
      <c r="AW437" s="100">
        <f t="shared" si="475"/>
        <v>0</v>
      </c>
      <c r="AX437" s="100">
        <f t="shared" si="476"/>
        <v>0</v>
      </c>
      <c r="AY437" s="110" t="s">
        <v>1717</v>
      </c>
      <c r="AZ437" s="110" t="s">
        <v>1734</v>
      </c>
      <c r="BA437" s="109" t="s">
        <v>1737</v>
      </c>
      <c r="BC437" s="100">
        <f t="shared" si="477"/>
        <v>0</v>
      </c>
      <c r="BD437" s="100">
        <f t="shared" si="478"/>
        <v>0</v>
      </c>
      <c r="BE437" s="100">
        <v>0</v>
      </c>
      <c r="BF437" s="100">
        <f>437</f>
        <v>437</v>
      </c>
      <c r="BH437" s="108">
        <f t="shared" si="479"/>
        <v>0</v>
      </c>
      <c r="BI437" s="108">
        <f t="shared" si="480"/>
        <v>0</v>
      </c>
      <c r="BJ437" s="108">
        <f t="shared" si="481"/>
        <v>0</v>
      </c>
    </row>
    <row r="438" spans="1:62" x14ac:dyDescent="0.2">
      <c r="A438" s="117" t="s">
        <v>394</v>
      </c>
      <c r="B438" s="117" t="s">
        <v>913</v>
      </c>
      <c r="C438" s="304" t="s">
        <v>1502</v>
      </c>
      <c r="D438" s="305"/>
      <c r="E438" s="305"/>
      <c r="F438" s="117" t="s">
        <v>1644</v>
      </c>
      <c r="G438" s="116">
        <v>4</v>
      </c>
      <c r="H438" s="159"/>
      <c r="I438" s="108">
        <f t="shared" si="460"/>
        <v>0</v>
      </c>
      <c r="J438" s="108">
        <f t="shared" si="461"/>
        <v>0</v>
      </c>
      <c r="K438" s="108">
        <f t="shared" si="462"/>
        <v>0</v>
      </c>
      <c r="L438" s="111" t="s">
        <v>1671</v>
      </c>
      <c r="Z438" s="100">
        <f t="shared" si="463"/>
        <v>0</v>
      </c>
      <c r="AB438" s="100">
        <f t="shared" si="464"/>
        <v>0</v>
      </c>
      <c r="AC438" s="100">
        <f t="shared" si="465"/>
        <v>0</v>
      </c>
      <c r="AD438" s="100">
        <f t="shared" si="466"/>
        <v>0</v>
      </c>
      <c r="AE438" s="100">
        <f t="shared" si="467"/>
        <v>0</v>
      </c>
      <c r="AF438" s="100">
        <f t="shared" si="468"/>
        <v>0</v>
      </c>
      <c r="AG438" s="100">
        <f t="shared" si="469"/>
        <v>0</v>
      </c>
      <c r="AH438" s="100">
        <f t="shared" si="470"/>
        <v>0</v>
      </c>
      <c r="AI438" s="109"/>
      <c r="AJ438" s="108">
        <f t="shared" si="471"/>
        <v>0</v>
      </c>
      <c r="AK438" s="108">
        <f t="shared" si="472"/>
        <v>0</v>
      </c>
      <c r="AL438" s="108">
        <f t="shared" si="473"/>
        <v>0</v>
      </c>
      <c r="AN438" s="100">
        <v>15</v>
      </c>
      <c r="AO438" s="100">
        <f>H438*0</f>
        <v>0</v>
      </c>
      <c r="AP438" s="100">
        <f>H438*(1-0)</f>
        <v>0</v>
      </c>
      <c r="AQ438" s="111" t="s">
        <v>13</v>
      </c>
      <c r="AV438" s="100">
        <f t="shared" si="474"/>
        <v>0</v>
      </c>
      <c r="AW438" s="100">
        <f t="shared" si="475"/>
        <v>0</v>
      </c>
      <c r="AX438" s="100">
        <f t="shared" si="476"/>
        <v>0</v>
      </c>
      <c r="AY438" s="110" t="s">
        <v>1717</v>
      </c>
      <c r="AZ438" s="110" t="s">
        <v>1734</v>
      </c>
      <c r="BA438" s="109" t="s">
        <v>1737</v>
      </c>
      <c r="BC438" s="100">
        <f t="shared" si="477"/>
        <v>0</v>
      </c>
      <c r="BD438" s="100">
        <f t="shared" si="478"/>
        <v>0</v>
      </c>
      <c r="BE438" s="100">
        <v>0</v>
      </c>
      <c r="BF438" s="100">
        <f>438</f>
        <v>438</v>
      </c>
      <c r="BH438" s="108">
        <f t="shared" si="479"/>
        <v>0</v>
      </c>
      <c r="BI438" s="108">
        <f t="shared" si="480"/>
        <v>0</v>
      </c>
      <c r="BJ438" s="108">
        <f t="shared" si="481"/>
        <v>0</v>
      </c>
    </row>
    <row r="439" spans="1:62" x14ac:dyDescent="0.2">
      <c r="A439" s="117" t="s">
        <v>395</v>
      </c>
      <c r="B439" s="117" t="s">
        <v>3029</v>
      </c>
      <c r="C439" s="304" t="s">
        <v>3028</v>
      </c>
      <c r="D439" s="305"/>
      <c r="E439" s="305"/>
      <c r="F439" s="117" t="s">
        <v>1644</v>
      </c>
      <c r="G439" s="116">
        <v>6</v>
      </c>
      <c r="H439" s="159"/>
      <c r="I439" s="108">
        <f t="shared" si="460"/>
        <v>0</v>
      </c>
      <c r="J439" s="108">
        <f t="shared" si="461"/>
        <v>0</v>
      </c>
      <c r="K439" s="108">
        <f t="shared" si="462"/>
        <v>0</v>
      </c>
      <c r="L439" s="111" t="s">
        <v>1671</v>
      </c>
      <c r="Z439" s="100">
        <f t="shared" si="463"/>
        <v>0</v>
      </c>
      <c r="AB439" s="100">
        <f t="shared" si="464"/>
        <v>0</v>
      </c>
      <c r="AC439" s="100">
        <f t="shared" si="465"/>
        <v>0</v>
      </c>
      <c r="AD439" s="100">
        <f t="shared" si="466"/>
        <v>0</v>
      </c>
      <c r="AE439" s="100">
        <f t="shared" si="467"/>
        <v>0</v>
      </c>
      <c r="AF439" s="100">
        <f t="shared" si="468"/>
        <v>0</v>
      </c>
      <c r="AG439" s="100">
        <f t="shared" si="469"/>
        <v>0</v>
      </c>
      <c r="AH439" s="100">
        <f t="shared" si="470"/>
        <v>0</v>
      </c>
      <c r="AI439" s="109"/>
      <c r="AJ439" s="108">
        <f t="shared" si="471"/>
        <v>0</v>
      </c>
      <c r="AK439" s="108">
        <f t="shared" si="472"/>
        <v>0</v>
      </c>
      <c r="AL439" s="108">
        <f t="shared" si="473"/>
        <v>0</v>
      </c>
      <c r="AN439" s="100">
        <v>15</v>
      </c>
      <c r="AO439" s="100">
        <f>H439*0</f>
        <v>0</v>
      </c>
      <c r="AP439" s="100">
        <f>H439*(1-0)</f>
        <v>0</v>
      </c>
      <c r="AQ439" s="111" t="s">
        <v>13</v>
      </c>
      <c r="AV439" s="100">
        <f t="shared" si="474"/>
        <v>0</v>
      </c>
      <c r="AW439" s="100">
        <f t="shared" si="475"/>
        <v>0</v>
      </c>
      <c r="AX439" s="100">
        <f t="shared" si="476"/>
        <v>0</v>
      </c>
      <c r="AY439" s="110" t="s">
        <v>1717</v>
      </c>
      <c r="AZ439" s="110" t="s">
        <v>1734</v>
      </c>
      <c r="BA439" s="109" t="s">
        <v>1737</v>
      </c>
      <c r="BC439" s="100">
        <f t="shared" si="477"/>
        <v>0</v>
      </c>
      <c r="BD439" s="100">
        <f t="shared" si="478"/>
        <v>0</v>
      </c>
      <c r="BE439" s="100">
        <v>0</v>
      </c>
      <c r="BF439" s="100">
        <f>439</f>
        <v>439</v>
      </c>
      <c r="BH439" s="108">
        <f t="shared" si="479"/>
        <v>0</v>
      </c>
      <c r="BI439" s="108">
        <f t="shared" si="480"/>
        <v>0</v>
      </c>
      <c r="BJ439" s="108">
        <f t="shared" si="481"/>
        <v>0</v>
      </c>
    </row>
    <row r="440" spans="1:62" x14ac:dyDescent="0.2">
      <c r="A440" s="117" t="s">
        <v>396</v>
      </c>
      <c r="B440" s="117" t="s">
        <v>914</v>
      </c>
      <c r="C440" s="304" t="s">
        <v>1503</v>
      </c>
      <c r="D440" s="305"/>
      <c r="E440" s="305"/>
      <c r="F440" s="117" t="s">
        <v>1644</v>
      </c>
      <c r="G440" s="116">
        <v>2</v>
      </c>
      <c r="H440" s="159"/>
      <c r="I440" s="108">
        <f t="shared" si="460"/>
        <v>0</v>
      </c>
      <c r="J440" s="108">
        <f t="shared" si="461"/>
        <v>0</v>
      </c>
      <c r="K440" s="108">
        <f t="shared" si="462"/>
        <v>0</v>
      </c>
      <c r="L440" s="111" t="s">
        <v>1671</v>
      </c>
      <c r="Z440" s="100">
        <f t="shared" si="463"/>
        <v>0</v>
      </c>
      <c r="AB440" s="100">
        <f t="shared" si="464"/>
        <v>0</v>
      </c>
      <c r="AC440" s="100">
        <f t="shared" si="465"/>
        <v>0</v>
      </c>
      <c r="AD440" s="100">
        <f t="shared" si="466"/>
        <v>0</v>
      </c>
      <c r="AE440" s="100">
        <f t="shared" si="467"/>
        <v>0</v>
      </c>
      <c r="AF440" s="100">
        <f t="shared" si="468"/>
        <v>0</v>
      </c>
      <c r="AG440" s="100">
        <f t="shared" si="469"/>
        <v>0</v>
      </c>
      <c r="AH440" s="100">
        <f t="shared" si="470"/>
        <v>0</v>
      </c>
      <c r="AI440" s="109"/>
      <c r="AJ440" s="108">
        <f t="shared" si="471"/>
        <v>0</v>
      </c>
      <c r="AK440" s="108">
        <f t="shared" si="472"/>
        <v>0</v>
      </c>
      <c r="AL440" s="108">
        <f t="shared" si="473"/>
        <v>0</v>
      </c>
      <c r="AN440" s="100">
        <v>15</v>
      </c>
      <c r="AO440" s="100">
        <f>H440*0</f>
        <v>0</v>
      </c>
      <c r="AP440" s="100">
        <f>H440*(1-0)</f>
        <v>0</v>
      </c>
      <c r="AQ440" s="111" t="s">
        <v>13</v>
      </c>
      <c r="AV440" s="100">
        <f t="shared" si="474"/>
        <v>0</v>
      </c>
      <c r="AW440" s="100">
        <f t="shared" si="475"/>
        <v>0</v>
      </c>
      <c r="AX440" s="100">
        <f t="shared" si="476"/>
        <v>0</v>
      </c>
      <c r="AY440" s="110" t="s">
        <v>1717</v>
      </c>
      <c r="AZ440" s="110" t="s">
        <v>1734</v>
      </c>
      <c r="BA440" s="109" t="s">
        <v>1737</v>
      </c>
      <c r="BC440" s="100">
        <f t="shared" si="477"/>
        <v>0</v>
      </c>
      <c r="BD440" s="100">
        <f t="shared" si="478"/>
        <v>0</v>
      </c>
      <c r="BE440" s="100">
        <v>0</v>
      </c>
      <c r="BF440" s="100">
        <f>440</f>
        <v>440</v>
      </c>
      <c r="BH440" s="108">
        <f t="shared" si="479"/>
        <v>0</v>
      </c>
      <c r="BI440" s="108">
        <f t="shared" si="480"/>
        <v>0</v>
      </c>
      <c r="BJ440" s="108">
        <f t="shared" si="481"/>
        <v>0</v>
      </c>
    </row>
    <row r="441" spans="1:62" x14ac:dyDescent="0.2">
      <c r="A441" s="117" t="s">
        <v>397</v>
      </c>
      <c r="B441" s="117" t="s">
        <v>916</v>
      </c>
      <c r="C441" s="304" t="s">
        <v>1505</v>
      </c>
      <c r="D441" s="305"/>
      <c r="E441" s="305"/>
      <c r="F441" s="117" t="s">
        <v>1644</v>
      </c>
      <c r="G441" s="116">
        <v>1</v>
      </c>
      <c r="H441" s="159"/>
      <c r="I441" s="108">
        <f t="shared" si="460"/>
        <v>0</v>
      </c>
      <c r="J441" s="108">
        <f t="shared" si="461"/>
        <v>0</v>
      </c>
      <c r="K441" s="108">
        <f t="shared" si="462"/>
        <v>0</v>
      </c>
      <c r="L441" s="111" t="s">
        <v>1671</v>
      </c>
      <c r="Z441" s="100">
        <f t="shared" si="463"/>
        <v>0</v>
      </c>
      <c r="AB441" s="100">
        <f t="shared" si="464"/>
        <v>0</v>
      </c>
      <c r="AC441" s="100">
        <f t="shared" si="465"/>
        <v>0</v>
      </c>
      <c r="AD441" s="100">
        <f t="shared" si="466"/>
        <v>0</v>
      </c>
      <c r="AE441" s="100">
        <f t="shared" si="467"/>
        <v>0</v>
      </c>
      <c r="AF441" s="100">
        <f t="shared" si="468"/>
        <v>0</v>
      </c>
      <c r="AG441" s="100">
        <f t="shared" si="469"/>
        <v>0</v>
      </c>
      <c r="AH441" s="100">
        <f t="shared" si="470"/>
        <v>0</v>
      </c>
      <c r="AI441" s="109"/>
      <c r="AJ441" s="108">
        <f t="shared" si="471"/>
        <v>0</v>
      </c>
      <c r="AK441" s="108">
        <f t="shared" si="472"/>
        <v>0</v>
      </c>
      <c r="AL441" s="108">
        <f t="shared" si="473"/>
        <v>0</v>
      </c>
      <c r="AN441" s="100">
        <v>15</v>
      </c>
      <c r="AO441" s="100">
        <f>H441*0.0282374100719424</f>
        <v>0</v>
      </c>
      <c r="AP441" s="100">
        <f>H441*(1-0.0282374100719424)</f>
        <v>0</v>
      </c>
      <c r="AQ441" s="111" t="s">
        <v>13</v>
      </c>
      <c r="AV441" s="100">
        <f t="shared" si="474"/>
        <v>0</v>
      </c>
      <c r="AW441" s="100">
        <f t="shared" si="475"/>
        <v>0</v>
      </c>
      <c r="AX441" s="100">
        <f t="shared" si="476"/>
        <v>0</v>
      </c>
      <c r="AY441" s="110" t="s">
        <v>1717</v>
      </c>
      <c r="AZ441" s="110" t="s">
        <v>1734</v>
      </c>
      <c r="BA441" s="109" t="s">
        <v>1737</v>
      </c>
      <c r="BC441" s="100">
        <f t="shared" si="477"/>
        <v>0</v>
      </c>
      <c r="BD441" s="100">
        <f t="shared" si="478"/>
        <v>0</v>
      </c>
      <c r="BE441" s="100">
        <v>0</v>
      </c>
      <c r="BF441" s="100">
        <f>441</f>
        <v>441</v>
      </c>
      <c r="BH441" s="108">
        <f t="shared" si="479"/>
        <v>0</v>
      </c>
      <c r="BI441" s="108">
        <f t="shared" si="480"/>
        <v>0</v>
      </c>
      <c r="BJ441" s="108">
        <f t="shared" si="481"/>
        <v>0</v>
      </c>
    </row>
    <row r="442" spans="1:62" x14ac:dyDescent="0.2">
      <c r="A442" s="117" t="s">
        <v>398</v>
      </c>
      <c r="B442" s="117" t="s">
        <v>918</v>
      </c>
      <c r="C442" s="304" t="s">
        <v>1507</v>
      </c>
      <c r="D442" s="305"/>
      <c r="E442" s="305"/>
      <c r="F442" s="117" t="s">
        <v>1644</v>
      </c>
      <c r="G442" s="116">
        <v>4</v>
      </c>
      <c r="H442" s="159"/>
      <c r="I442" s="108">
        <f t="shared" si="460"/>
        <v>0</v>
      </c>
      <c r="J442" s="108">
        <f t="shared" si="461"/>
        <v>0</v>
      </c>
      <c r="K442" s="108">
        <f t="shared" si="462"/>
        <v>0</v>
      </c>
      <c r="L442" s="111" t="s">
        <v>1671</v>
      </c>
      <c r="Z442" s="100">
        <f t="shared" si="463"/>
        <v>0</v>
      </c>
      <c r="AB442" s="100">
        <f t="shared" si="464"/>
        <v>0</v>
      </c>
      <c r="AC442" s="100">
        <f t="shared" si="465"/>
        <v>0</v>
      </c>
      <c r="AD442" s="100">
        <f t="shared" si="466"/>
        <v>0</v>
      </c>
      <c r="AE442" s="100">
        <f t="shared" si="467"/>
        <v>0</v>
      </c>
      <c r="AF442" s="100">
        <f t="shared" si="468"/>
        <v>0</v>
      </c>
      <c r="AG442" s="100">
        <f t="shared" si="469"/>
        <v>0</v>
      </c>
      <c r="AH442" s="100">
        <f t="shared" si="470"/>
        <v>0</v>
      </c>
      <c r="AI442" s="109"/>
      <c r="AJ442" s="108">
        <f t="shared" si="471"/>
        <v>0</v>
      </c>
      <c r="AK442" s="108">
        <f t="shared" si="472"/>
        <v>0</v>
      </c>
      <c r="AL442" s="108">
        <f t="shared" si="473"/>
        <v>0</v>
      </c>
      <c r="AN442" s="100">
        <v>15</v>
      </c>
      <c r="AO442" s="100">
        <f>H442*0.71982</f>
        <v>0</v>
      </c>
      <c r="AP442" s="100">
        <f>H442*(1-0.71982)</f>
        <v>0</v>
      </c>
      <c r="AQ442" s="111" t="s">
        <v>13</v>
      </c>
      <c r="AV442" s="100">
        <f t="shared" si="474"/>
        <v>0</v>
      </c>
      <c r="AW442" s="100">
        <f t="shared" si="475"/>
        <v>0</v>
      </c>
      <c r="AX442" s="100">
        <f t="shared" si="476"/>
        <v>0</v>
      </c>
      <c r="AY442" s="110" t="s">
        <v>1717</v>
      </c>
      <c r="AZ442" s="110" t="s">
        <v>1734</v>
      </c>
      <c r="BA442" s="109" t="s">
        <v>1737</v>
      </c>
      <c r="BC442" s="100">
        <f t="shared" si="477"/>
        <v>0</v>
      </c>
      <c r="BD442" s="100">
        <f t="shared" si="478"/>
        <v>0</v>
      </c>
      <c r="BE442" s="100">
        <v>0</v>
      </c>
      <c r="BF442" s="100">
        <f>442</f>
        <v>442</v>
      </c>
      <c r="BH442" s="108">
        <f t="shared" si="479"/>
        <v>0</v>
      </c>
      <c r="BI442" s="108">
        <f t="shared" si="480"/>
        <v>0</v>
      </c>
      <c r="BJ442" s="108">
        <f t="shared" si="481"/>
        <v>0</v>
      </c>
    </row>
    <row r="443" spans="1:62" x14ac:dyDescent="0.2">
      <c r="A443" s="117" t="s">
        <v>399</v>
      </c>
      <c r="B443" s="117" t="s">
        <v>919</v>
      </c>
      <c r="C443" s="304" t="s">
        <v>1508</v>
      </c>
      <c r="D443" s="305"/>
      <c r="E443" s="305"/>
      <c r="F443" s="117" t="s">
        <v>1644</v>
      </c>
      <c r="G443" s="116">
        <v>3</v>
      </c>
      <c r="H443" s="159"/>
      <c r="I443" s="108">
        <f t="shared" si="460"/>
        <v>0</v>
      </c>
      <c r="J443" s="108">
        <f t="shared" si="461"/>
        <v>0</v>
      </c>
      <c r="K443" s="108">
        <f t="shared" si="462"/>
        <v>0</v>
      </c>
      <c r="L443" s="111" t="s">
        <v>1671</v>
      </c>
      <c r="Z443" s="100">
        <f t="shared" si="463"/>
        <v>0</v>
      </c>
      <c r="AB443" s="100">
        <f t="shared" si="464"/>
        <v>0</v>
      </c>
      <c r="AC443" s="100">
        <f t="shared" si="465"/>
        <v>0</v>
      </c>
      <c r="AD443" s="100">
        <f t="shared" si="466"/>
        <v>0</v>
      </c>
      <c r="AE443" s="100">
        <f t="shared" si="467"/>
        <v>0</v>
      </c>
      <c r="AF443" s="100">
        <f t="shared" si="468"/>
        <v>0</v>
      </c>
      <c r="AG443" s="100">
        <f t="shared" si="469"/>
        <v>0</v>
      </c>
      <c r="AH443" s="100">
        <f t="shared" si="470"/>
        <v>0</v>
      </c>
      <c r="AI443" s="109"/>
      <c r="AJ443" s="108">
        <f t="shared" si="471"/>
        <v>0</v>
      </c>
      <c r="AK443" s="108">
        <f t="shared" si="472"/>
        <v>0</v>
      </c>
      <c r="AL443" s="108">
        <f t="shared" si="473"/>
        <v>0</v>
      </c>
      <c r="AN443" s="100">
        <v>15</v>
      </c>
      <c r="AO443" s="100">
        <f>H443*0.71976</f>
        <v>0</v>
      </c>
      <c r="AP443" s="100">
        <f>H443*(1-0.71976)</f>
        <v>0</v>
      </c>
      <c r="AQ443" s="111" t="s">
        <v>13</v>
      </c>
      <c r="AV443" s="100">
        <f t="shared" si="474"/>
        <v>0</v>
      </c>
      <c r="AW443" s="100">
        <f t="shared" si="475"/>
        <v>0</v>
      </c>
      <c r="AX443" s="100">
        <f t="shared" si="476"/>
        <v>0</v>
      </c>
      <c r="AY443" s="110" t="s">
        <v>1717</v>
      </c>
      <c r="AZ443" s="110" t="s">
        <v>1734</v>
      </c>
      <c r="BA443" s="109" t="s">
        <v>1737</v>
      </c>
      <c r="BC443" s="100">
        <f t="shared" si="477"/>
        <v>0</v>
      </c>
      <c r="BD443" s="100">
        <f t="shared" si="478"/>
        <v>0</v>
      </c>
      <c r="BE443" s="100">
        <v>0</v>
      </c>
      <c r="BF443" s="100">
        <f>443</f>
        <v>443</v>
      </c>
      <c r="BH443" s="108">
        <f t="shared" si="479"/>
        <v>0</v>
      </c>
      <c r="BI443" s="108">
        <f t="shared" si="480"/>
        <v>0</v>
      </c>
      <c r="BJ443" s="108">
        <f t="shared" si="481"/>
        <v>0</v>
      </c>
    </row>
    <row r="444" spans="1:62" x14ac:dyDescent="0.2">
      <c r="A444" s="117" t="s">
        <v>400</v>
      </c>
      <c r="B444" s="117" t="s">
        <v>917</v>
      </c>
      <c r="C444" s="304" t="s">
        <v>1506</v>
      </c>
      <c r="D444" s="305"/>
      <c r="E444" s="305"/>
      <c r="F444" s="117" t="s">
        <v>1644</v>
      </c>
      <c r="G444" s="116">
        <v>1</v>
      </c>
      <c r="H444" s="159"/>
      <c r="I444" s="108">
        <f t="shared" si="460"/>
        <v>0</v>
      </c>
      <c r="J444" s="108">
        <f t="shared" si="461"/>
        <v>0</v>
      </c>
      <c r="K444" s="108">
        <f t="shared" si="462"/>
        <v>0</v>
      </c>
      <c r="L444" s="111" t="s">
        <v>1671</v>
      </c>
      <c r="Z444" s="100">
        <f t="shared" si="463"/>
        <v>0</v>
      </c>
      <c r="AB444" s="100">
        <f t="shared" si="464"/>
        <v>0</v>
      </c>
      <c r="AC444" s="100">
        <f t="shared" si="465"/>
        <v>0</v>
      </c>
      <c r="AD444" s="100">
        <f t="shared" si="466"/>
        <v>0</v>
      </c>
      <c r="AE444" s="100">
        <f t="shared" si="467"/>
        <v>0</v>
      </c>
      <c r="AF444" s="100">
        <f t="shared" si="468"/>
        <v>0</v>
      </c>
      <c r="AG444" s="100">
        <f t="shared" si="469"/>
        <v>0</v>
      </c>
      <c r="AH444" s="100">
        <f t="shared" si="470"/>
        <v>0</v>
      </c>
      <c r="AI444" s="109"/>
      <c r="AJ444" s="108">
        <f t="shared" si="471"/>
        <v>0</v>
      </c>
      <c r="AK444" s="108">
        <f t="shared" si="472"/>
        <v>0</v>
      </c>
      <c r="AL444" s="108">
        <f t="shared" si="473"/>
        <v>0</v>
      </c>
      <c r="AN444" s="100">
        <v>15</v>
      </c>
      <c r="AO444" s="100">
        <f>H444*0.781246290322581</f>
        <v>0</v>
      </c>
      <c r="AP444" s="100">
        <f>H444*(1-0.781246290322581)</f>
        <v>0</v>
      </c>
      <c r="AQ444" s="111" t="s">
        <v>13</v>
      </c>
      <c r="AV444" s="100">
        <f t="shared" si="474"/>
        <v>0</v>
      </c>
      <c r="AW444" s="100">
        <f t="shared" si="475"/>
        <v>0</v>
      </c>
      <c r="AX444" s="100">
        <f t="shared" si="476"/>
        <v>0</v>
      </c>
      <c r="AY444" s="110" t="s">
        <v>1717</v>
      </c>
      <c r="AZ444" s="110" t="s">
        <v>1734</v>
      </c>
      <c r="BA444" s="109" t="s">
        <v>1737</v>
      </c>
      <c r="BC444" s="100">
        <f t="shared" si="477"/>
        <v>0</v>
      </c>
      <c r="BD444" s="100">
        <f t="shared" si="478"/>
        <v>0</v>
      </c>
      <c r="BE444" s="100">
        <v>0</v>
      </c>
      <c r="BF444" s="100">
        <f>444</f>
        <v>444</v>
      </c>
      <c r="BH444" s="108">
        <f t="shared" si="479"/>
        <v>0</v>
      </c>
      <c r="BI444" s="108">
        <f t="shared" si="480"/>
        <v>0</v>
      </c>
      <c r="BJ444" s="108">
        <f t="shared" si="481"/>
        <v>0</v>
      </c>
    </row>
    <row r="445" spans="1:62" x14ac:dyDescent="0.2">
      <c r="A445" s="117" t="s">
        <v>401</v>
      </c>
      <c r="B445" s="117" t="s">
        <v>920</v>
      </c>
      <c r="C445" s="304" t="s">
        <v>3027</v>
      </c>
      <c r="D445" s="305"/>
      <c r="E445" s="305"/>
      <c r="F445" s="117" t="s">
        <v>1644</v>
      </c>
      <c r="G445" s="116">
        <v>2</v>
      </c>
      <c r="H445" s="159"/>
      <c r="I445" s="108">
        <f t="shared" si="460"/>
        <v>0</v>
      </c>
      <c r="J445" s="108">
        <f t="shared" si="461"/>
        <v>0</v>
      </c>
      <c r="K445" s="108">
        <f t="shared" si="462"/>
        <v>0</v>
      </c>
      <c r="L445" s="111" t="s">
        <v>1671</v>
      </c>
      <c r="Z445" s="100">
        <f t="shared" si="463"/>
        <v>0</v>
      </c>
      <c r="AB445" s="100">
        <f t="shared" si="464"/>
        <v>0</v>
      </c>
      <c r="AC445" s="100">
        <f t="shared" si="465"/>
        <v>0</v>
      </c>
      <c r="AD445" s="100">
        <f t="shared" si="466"/>
        <v>0</v>
      </c>
      <c r="AE445" s="100">
        <f t="shared" si="467"/>
        <v>0</v>
      </c>
      <c r="AF445" s="100">
        <f t="shared" si="468"/>
        <v>0</v>
      </c>
      <c r="AG445" s="100">
        <f t="shared" si="469"/>
        <v>0</v>
      </c>
      <c r="AH445" s="100">
        <f t="shared" si="470"/>
        <v>0</v>
      </c>
      <c r="AI445" s="109"/>
      <c r="AJ445" s="108">
        <f t="shared" si="471"/>
        <v>0</v>
      </c>
      <c r="AK445" s="108">
        <f t="shared" si="472"/>
        <v>0</v>
      </c>
      <c r="AL445" s="108">
        <f t="shared" si="473"/>
        <v>0</v>
      </c>
      <c r="AN445" s="100">
        <v>15</v>
      </c>
      <c r="AO445" s="100">
        <f>H445*0</f>
        <v>0</v>
      </c>
      <c r="AP445" s="100">
        <f>H445*(1-0)</f>
        <v>0</v>
      </c>
      <c r="AQ445" s="111" t="s">
        <v>13</v>
      </c>
      <c r="AV445" s="100">
        <f t="shared" si="474"/>
        <v>0</v>
      </c>
      <c r="AW445" s="100">
        <f t="shared" si="475"/>
        <v>0</v>
      </c>
      <c r="AX445" s="100">
        <f t="shared" si="476"/>
        <v>0</v>
      </c>
      <c r="AY445" s="110" t="s">
        <v>1717</v>
      </c>
      <c r="AZ445" s="110" t="s">
        <v>1734</v>
      </c>
      <c r="BA445" s="109" t="s">
        <v>1737</v>
      </c>
      <c r="BC445" s="100">
        <f t="shared" si="477"/>
        <v>0</v>
      </c>
      <c r="BD445" s="100">
        <f t="shared" si="478"/>
        <v>0</v>
      </c>
      <c r="BE445" s="100">
        <v>0</v>
      </c>
      <c r="BF445" s="100">
        <f>445</f>
        <v>445</v>
      </c>
      <c r="BH445" s="108">
        <f t="shared" si="479"/>
        <v>0</v>
      </c>
      <c r="BI445" s="108">
        <f t="shared" si="480"/>
        <v>0</v>
      </c>
      <c r="BJ445" s="108">
        <f t="shared" si="481"/>
        <v>0</v>
      </c>
    </row>
    <row r="446" spans="1:62" x14ac:dyDescent="0.2">
      <c r="A446" s="117" t="s">
        <v>402</v>
      </c>
      <c r="B446" s="117" t="s">
        <v>2677</v>
      </c>
      <c r="C446" s="304" t="s">
        <v>2676</v>
      </c>
      <c r="D446" s="305"/>
      <c r="E446" s="305"/>
      <c r="F446" s="117" t="s">
        <v>1644</v>
      </c>
      <c r="G446" s="116">
        <v>2</v>
      </c>
      <c r="H446" s="159"/>
      <c r="I446" s="108">
        <f t="shared" si="460"/>
        <v>0</v>
      </c>
      <c r="J446" s="108">
        <f t="shared" si="461"/>
        <v>0</v>
      </c>
      <c r="K446" s="108">
        <f t="shared" si="462"/>
        <v>0</v>
      </c>
      <c r="L446" s="111" t="s">
        <v>1671</v>
      </c>
      <c r="Z446" s="100">
        <f t="shared" si="463"/>
        <v>0</v>
      </c>
      <c r="AB446" s="100">
        <f t="shared" si="464"/>
        <v>0</v>
      </c>
      <c r="AC446" s="100">
        <f t="shared" si="465"/>
        <v>0</v>
      </c>
      <c r="AD446" s="100">
        <f t="shared" si="466"/>
        <v>0</v>
      </c>
      <c r="AE446" s="100">
        <f t="shared" si="467"/>
        <v>0</v>
      </c>
      <c r="AF446" s="100">
        <f t="shared" si="468"/>
        <v>0</v>
      </c>
      <c r="AG446" s="100">
        <f t="shared" si="469"/>
        <v>0</v>
      </c>
      <c r="AH446" s="100">
        <f t="shared" si="470"/>
        <v>0</v>
      </c>
      <c r="AI446" s="109"/>
      <c r="AJ446" s="108">
        <f t="shared" si="471"/>
        <v>0</v>
      </c>
      <c r="AK446" s="108">
        <f t="shared" si="472"/>
        <v>0</v>
      </c>
      <c r="AL446" s="108">
        <f t="shared" si="473"/>
        <v>0</v>
      </c>
      <c r="AN446" s="100">
        <v>15</v>
      </c>
      <c r="AO446" s="100">
        <f>H446*0.0669529411764706</f>
        <v>0</v>
      </c>
      <c r="AP446" s="100">
        <f>H446*(1-0.0669529411764706)</f>
        <v>0</v>
      </c>
      <c r="AQ446" s="111" t="s">
        <v>13</v>
      </c>
      <c r="AV446" s="100">
        <f t="shared" si="474"/>
        <v>0</v>
      </c>
      <c r="AW446" s="100">
        <f t="shared" si="475"/>
        <v>0</v>
      </c>
      <c r="AX446" s="100">
        <f t="shared" si="476"/>
        <v>0</v>
      </c>
      <c r="AY446" s="110" t="s">
        <v>1717</v>
      </c>
      <c r="AZ446" s="110" t="s">
        <v>1734</v>
      </c>
      <c r="BA446" s="109" t="s">
        <v>1737</v>
      </c>
      <c r="BC446" s="100">
        <f t="shared" si="477"/>
        <v>0</v>
      </c>
      <c r="BD446" s="100">
        <f t="shared" si="478"/>
        <v>0</v>
      </c>
      <c r="BE446" s="100">
        <v>0</v>
      </c>
      <c r="BF446" s="100">
        <f>446</f>
        <v>446</v>
      </c>
      <c r="BH446" s="108">
        <f t="shared" si="479"/>
        <v>0</v>
      </c>
      <c r="BI446" s="108">
        <f t="shared" si="480"/>
        <v>0</v>
      </c>
      <c r="BJ446" s="108">
        <f t="shared" si="481"/>
        <v>0</v>
      </c>
    </row>
    <row r="447" spans="1:62" x14ac:dyDescent="0.2">
      <c r="A447" s="117" t="s">
        <v>403</v>
      </c>
      <c r="B447" s="117" t="s">
        <v>921</v>
      </c>
      <c r="C447" s="304" t="s">
        <v>1510</v>
      </c>
      <c r="D447" s="305"/>
      <c r="E447" s="305"/>
      <c r="F447" s="117" t="s">
        <v>1648</v>
      </c>
      <c r="G447" s="116">
        <v>0.78400000000000003</v>
      </c>
      <c r="H447" s="159"/>
      <c r="I447" s="108">
        <f t="shared" si="460"/>
        <v>0</v>
      </c>
      <c r="J447" s="108">
        <f t="shared" si="461"/>
        <v>0</v>
      </c>
      <c r="K447" s="108">
        <f t="shared" si="462"/>
        <v>0</v>
      </c>
      <c r="L447" s="111" t="s">
        <v>1671</v>
      </c>
      <c r="Z447" s="100">
        <f t="shared" si="463"/>
        <v>0</v>
      </c>
      <c r="AB447" s="100">
        <f t="shared" si="464"/>
        <v>0</v>
      </c>
      <c r="AC447" s="100">
        <f t="shared" si="465"/>
        <v>0</v>
      </c>
      <c r="AD447" s="100">
        <f t="shared" si="466"/>
        <v>0</v>
      </c>
      <c r="AE447" s="100">
        <f t="shared" si="467"/>
        <v>0</v>
      </c>
      <c r="AF447" s="100">
        <f t="shared" si="468"/>
        <v>0</v>
      </c>
      <c r="AG447" s="100">
        <f t="shared" si="469"/>
        <v>0</v>
      </c>
      <c r="AH447" s="100">
        <f t="shared" si="470"/>
        <v>0</v>
      </c>
      <c r="AI447" s="109"/>
      <c r="AJ447" s="108">
        <f t="shared" si="471"/>
        <v>0</v>
      </c>
      <c r="AK447" s="108">
        <f t="shared" si="472"/>
        <v>0</v>
      </c>
      <c r="AL447" s="108">
        <f t="shared" si="473"/>
        <v>0</v>
      </c>
      <c r="AN447" s="100">
        <v>15</v>
      </c>
      <c r="AO447" s="100">
        <f>H447*0</f>
        <v>0</v>
      </c>
      <c r="AP447" s="100">
        <f>H447*(1-0)</f>
        <v>0</v>
      </c>
      <c r="AQ447" s="111" t="s">
        <v>11</v>
      </c>
      <c r="AV447" s="100">
        <f t="shared" si="474"/>
        <v>0</v>
      </c>
      <c r="AW447" s="100">
        <f t="shared" si="475"/>
        <v>0</v>
      </c>
      <c r="AX447" s="100">
        <f t="shared" si="476"/>
        <v>0</v>
      </c>
      <c r="AY447" s="110" t="s">
        <v>1717</v>
      </c>
      <c r="AZ447" s="110" t="s">
        <v>1734</v>
      </c>
      <c r="BA447" s="109" t="s">
        <v>1737</v>
      </c>
      <c r="BC447" s="100">
        <f t="shared" si="477"/>
        <v>0</v>
      </c>
      <c r="BD447" s="100">
        <f t="shared" si="478"/>
        <v>0</v>
      </c>
      <c r="BE447" s="100">
        <v>0</v>
      </c>
      <c r="BF447" s="100">
        <f>447</f>
        <v>447</v>
      </c>
      <c r="BH447" s="108">
        <f t="shared" si="479"/>
        <v>0</v>
      </c>
      <c r="BI447" s="108">
        <f t="shared" si="480"/>
        <v>0</v>
      </c>
      <c r="BJ447" s="108">
        <f t="shared" si="481"/>
        <v>0</v>
      </c>
    </row>
    <row r="448" spans="1:62" x14ac:dyDescent="0.2">
      <c r="A448" s="119"/>
      <c r="B448" s="120" t="s">
        <v>922</v>
      </c>
      <c r="C448" s="306" t="s">
        <v>1511</v>
      </c>
      <c r="D448" s="307"/>
      <c r="E448" s="307"/>
      <c r="F448" s="119" t="s">
        <v>6</v>
      </c>
      <c r="G448" s="119" t="s">
        <v>6</v>
      </c>
      <c r="H448" s="119" t="s">
        <v>6</v>
      </c>
      <c r="I448" s="118">
        <f>SUM(I449:I455)</f>
        <v>0</v>
      </c>
      <c r="J448" s="118">
        <f>SUM(J449:J455)</f>
        <v>0</v>
      </c>
      <c r="K448" s="118">
        <f>SUM(K449:K455)</f>
        <v>0</v>
      </c>
      <c r="L448" s="109"/>
      <c r="AI448" s="109"/>
      <c r="AS448" s="118">
        <f>SUM(AJ449:AJ455)</f>
        <v>0</v>
      </c>
      <c r="AT448" s="118">
        <f>SUM(AK449:AK455)</f>
        <v>0</v>
      </c>
      <c r="AU448" s="118">
        <f>SUM(AL449:AL455)</f>
        <v>0</v>
      </c>
    </row>
    <row r="449" spans="1:62" x14ac:dyDescent="0.2">
      <c r="A449" s="117" t="s">
        <v>404</v>
      </c>
      <c r="B449" s="117" t="s">
        <v>923</v>
      </c>
      <c r="C449" s="304" t="s">
        <v>1512</v>
      </c>
      <c r="D449" s="305"/>
      <c r="E449" s="305"/>
      <c r="F449" s="117" t="s">
        <v>1645</v>
      </c>
      <c r="G449" s="116">
        <v>32.003</v>
      </c>
      <c r="H449" s="159"/>
      <c r="I449" s="108">
        <f t="shared" ref="I449:I455" si="482">G449*AO449</f>
        <v>0</v>
      </c>
      <c r="J449" s="108">
        <f t="shared" ref="J449:J455" si="483">G449*AP449</f>
        <v>0</v>
      </c>
      <c r="K449" s="108">
        <f t="shared" ref="K449:K455" si="484">G449*H449</f>
        <v>0</v>
      </c>
      <c r="L449" s="111" t="s">
        <v>1671</v>
      </c>
      <c r="Z449" s="100">
        <f t="shared" ref="Z449:Z455" si="485">IF(AQ449="5",BJ449,0)</f>
        <v>0</v>
      </c>
      <c r="AB449" s="100">
        <f t="shared" ref="AB449:AB455" si="486">IF(AQ449="1",BH449,0)</f>
        <v>0</v>
      </c>
      <c r="AC449" s="100">
        <f t="shared" ref="AC449:AC455" si="487">IF(AQ449="1",BI449,0)</f>
        <v>0</v>
      </c>
      <c r="AD449" s="100">
        <f t="shared" ref="AD449:AD455" si="488">IF(AQ449="7",BH449,0)</f>
        <v>0</v>
      </c>
      <c r="AE449" s="100">
        <f t="shared" ref="AE449:AE455" si="489">IF(AQ449="7",BI449,0)</f>
        <v>0</v>
      </c>
      <c r="AF449" s="100">
        <f t="shared" ref="AF449:AF455" si="490">IF(AQ449="2",BH449,0)</f>
        <v>0</v>
      </c>
      <c r="AG449" s="100">
        <f t="shared" ref="AG449:AG455" si="491">IF(AQ449="2",BI449,0)</f>
        <v>0</v>
      </c>
      <c r="AH449" s="100">
        <f t="shared" ref="AH449:AH455" si="492">IF(AQ449="0",BJ449,0)</f>
        <v>0</v>
      </c>
      <c r="AI449" s="109"/>
      <c r="AJ449" s="108">
        <f t="shared" ref="AJ449:AJ455" si="493">IF(AN449=0,K449,0)</f>
        <v>0</v>
      </c>
      <c r="AK449" s="108">
        <f t="shared" ref="AK449:AK455" si="494">IF(AN449=15,K449,0)</f>
        <v>0</v>
      </c>
      <c r="AL449" s="108">
        <f t="shared" ref="AL449:AL455" si="495">IF(AN449=21,K449,0)</f>
        <v>0</v>
      </c>
      <c r="AN449" s="100">
        <v>15</v>
      </c>
      <c r="AO449" s="100">
        <f>H449*0</f>
        <v>0</v>
      </c>
      <c r="AP449" s="100">
        <f>H449*(1-0)</f>
        <v>0</v>
      </c>
      <c r="AQ449" s="111" t="s">
        <v>13</v>
      </c>
      <c r="AV449" s="100">
        <f t="shared" ref="AV449:AV455" si="496">AW449+AX449</f>
        <v>0</v>
      </c>
      <c r="AW449" s="100">
        <f t="shared" ref="AW449:AW455" si="497">G449*AO449</f>
        <v>0</v>
      </c>
      <c r="AX449" s="100">
        <f t="shared" ref="AX449:AX455" si="498">G449*AP449</f>
        <v>0</v>
      </c>
      <c r="AY449" s="110" t="s">
        <v>1718</v>
      </c>
      <c r="AZ449" s="110" t="s">
        <v>1735</v>
      </c>
      <c r="BA449" s="109" t="s">
        <v>1737</v>
      </c>
      <c r="BC449" s="100">
        <f t="shared" ref="BC449:BC455" si="499">AW449+AX449</f>
        <v>0</v>
      </c>
      <c r="BD449" s="100">
        <f t="shared" ref="BD449:BD455" si="500">H449/(100-BE449)*100</f>
        <v>0</v>
      </c>
      <c r="BE449" s="100">
        <v>0</v>
      </c>
      <c r="BF449" s="100">
        <f>449</f>
        <v>449</v>
      </c>
      <c r="BH449" s="108">
        <f t="shared" ref="BH449:BH455" si="501">G449*AO449</f>
        <v>0</v>
      </c>
      <c r="BI449" s="108">
        <f t="shared" ref="BI449:BI455" si="502">G449*AP449</f>
        <v>0</v>
      </c>
      <c r="BJ449" s="108">
        <f t="shared" ref="BJ449:BJ455" si="503">G449*H449</f>
        <v>0</v>
      </c>
    </row>
    <row r="450" spans="1:62" x14ac:dyDescent="0.2">
      <c r="A450" s="117" t="s">
        <v>405</v>
      </c>
      <c r="B450" s="117" t="s">
        <v>924</v>
      </c>
      <c r="C450" s="304" t="s">
        <v>1513</v>
      </c>
      <c r="D450" s="305"/>
      <c r="E450" s="305"/>
      <c r="F450" s="117" t="s">
        <v>1645</v>
      </c>
      <c r="G450" s="116">
        <v>32.003</v>
      </c>
      <c r="H450" s="159"/>
      <c r="I450" s="108">
        <f t="shared" si="482"/>
        <v>0</v>
      </c>
      <c r="J450" s="108">
        <f t="shared" si="483"/>
        <v>0</v>
      </c>
      <c r="K450" s="108">
        <f t="shared" si="484"/>
        <v>0</v>
      </c>
      <c r="L450" s="111" t="s">
        <v>1671</v>
      </c>
      <c r="Z450" s="100">
        <f t="shared" si="485"/>
        <v>0</v>
      </c>
      <c r="AB450" s="100">
        <f t="shared" si="486"/>
        <v>0</v>
      </c>
      <c r="AC450" s="100">
        <f t="shared" si="487"/>
        <v>0</v>
      </c>
      <c r="AD450" s="100">
        <f t="shared" si="488"/>
        <v>0</v>
      </c>
      <c r="AE450" s="100">
        <f t="shared" si="489"/>
        <v>0</v>
      </c>
      <c r="AF450" s="100">
        <f t="shared" si="490"/>
        <v>0</v>
      </c>
      <c r="AG450" s="100">
        <f t="shared" si="491"/>
        <v>0</v>
      </c>
      <c r="AH450" s="100">
        <f t="shared" si="492"/>
        <v>0</v>
      </c>
      <c r="AI450" s="109"/>
      <c r="AJ450" s="108">
        <f t="shared" si="493"/>
        <v>0</v>
      </c>
      <c r="AK450" s="108">
        <f t="shared" si="494"/>
        <v>0</v>
      </c>
      <c r="AL450" s="108">
        <f t="shared" si="495"/>
        <v>0</v>
      </c>
      <c r="AN450" s="100">
        <v>15</v>
      </c>
      <c r="AO450" s="100">
        <f>H450*0.476940171891991</f>
        <v>0</v>
      </c>
      <c r="AP450" s="100">
        <f>H450*(1-0.476940171891991)</f>
        <v>0</v>
      </c>
      <c r="AQ450" s="111" t="s">
        <v>13</v>
      </c>
      <c r="AV450" s="100">
        <f t="shared" si="496"/>
        <v>0</v>
      </c>
      <c r="AW450" s="100">
        <f t="shared" si="497"/>
        <v>0</v>
      </c>
      <c r="AX450" s="100">
        <f t="shared" si="498"/>
        <v>0</v>
      </c>
      <c r="AY450" s="110" t="s">
        <v>1718</v>
      </c>
      <c r="AZ450" s="110" t="s">
        <v>1735</v>
      </c>
      <c r="BA450" s="109" t="s">
        <v>1737</v>
      </c>
      <c r="BC450" s="100">
        <f t="shared" si="499"/>
        <v>0</v>
      </c>
      <c r="BD450" s="100">
        <f t="shared" si="500"/>
        <v>0</v>
      </c>
      <c r="BE450" s="100">
        <v>0</v>
      </c>
      <c r="BF450" s="100">
        <f>450</f>
        <v>450</v>
      </c>
      <c r="BH450" s="108">
        <f t="shared" si="501"/>
        <v>0</v>
      </c>
      <c r="BI450" s="108">
        <f t="shared" si="502"/>
        <v>0</v>
      </c>
      <c r="BJ450" s="108">
        <f t="shared" si="503"/>
        <v>0</v>
      </c>
    </row>
    <row r="451" spans="1:62" x14ac:dyDescent="0.2">
      <c r="A451" s="117" t="s">
        <v>406</v>
      </c>
      <c r="B451" s="117" t="s">
        <v>925</v>
      </c>
      <c r="C451" s="304" t="s">
        <v>1514</v>
      </c>
      <c r="D451" s="305"/>
      <c r="E451" s="305"/>
      <c r="F451" s="117" t="s">
        <v>1645</v>
      </c>
      <c r="G451" s="116">
        <v>32.003</v>
      </c>
      <c r="H451" s="159"/>
      <c r="I451" s="108">
        <f t="shared" si="482"/>
        <v>0</v>
      </c>
      <c r="J451" s="108">
        <f t="shared" si="483"/>
        <v>0</v>
      </c>
      <c r="K451" s="108">
        <f t="shared" si="484"/>
        <v>0</v>
      </c>
      <c r="L451" s="111" t="s">
        <v>1671</v>
      </c>
      <c r="Z451" s="100">
        <f t="shared" si="485"/>
        <v>0</v>
      </c>
      <c r="AB451" s="100">
        <f t="shared" si="486"/>
        <v>0</v>
      </c>
      <c r="AC451" s="100">
        <f t="shared" si="487"/>
        <v>0</v>
      </c>
      <c r="AD451" s="100">
        <f t="shared" si="488"/>
        <v>0</v>
      </c>
      <c r="AE451" s="100">
        <f t="shared" si="489"/>
        <v>0</v>
      </c>
      <c r="AF451" s="100">
        <f t="shared" si="490"/>
        <v>0</v>
      </c>
      <c r="AG451" s="100">
        <f t="shared" si="491"/>
        <v>0</v>
      </c>
      <c r="AH451" s="100">
        <f t="shared" si="492"/>
        <v>0</v>
      </c>
      <c r="AI451" s="109"/>
      <c r="AJ451" s="108">
        <f t="shared" si="493"/>
        <v>0</v>
      </c>
      <c r="AK451" s="108">
        <f t="shared" si="494"/>
        <v>0</v>
      </c>
      <c r="AL451" s="108">
        <f t="shared" si="495"/>
        <v>0</v>
      </c>
      <c r="AN451" s="100">
        <v>15</v>
      </c>
      <c r="AO451" s="100">
        <f>H451*0</f>
        <v>0</v>
      </c>
      <c r="AP451" s="100">
        <f>H451*(1-0)</f>
        <v>0</v>
      </c>
      <c r="AQ451" s="111" t="s">
        <v>13</v>
      </c>
      <c r="AV451" s="100">
        <f t="shared" si="496"/>
        <v>0</v>
      </c>
      <c r="AW451" s="100">
        <f t="shared" si="497"/>
        <v>0</v>
      </c>
      <c r="AX451" s="100">
        <f t="shared" si="498"/>
        <v>0</v>
      </c>
      <c r="AY451" s="110" t="s">
        <v>1718</v>
      </c>
      <c r="AZ451" s="110" t="s">
        <v>1735</v>
      </c>
      <c r="BA451" s="109" t="s">
        <v>1737</v>
      </c>
      <c r="BC451" s="100">
        <f t="shared" si="499"/>
        <v>0</v>
      </c>
      <c r="BD451" s="100">
        <f t="shared" si="500"/>
        <v>0</v>
      </c>
      <c r="BE451" s="100">
        <v>0</v>
      </c>
      <c r="BF451" s="100">
        <f>451</f>
        <v>451</v>
      </c>
      <c r="BH451" s="108">
        <f t="shared" si="501"/>
        <v>0</v>
      </c>
      <c r="BI451" s="108">
        <f t="shared" si="502"/>
        <v>0</v>
      </c>
      <c r="BJ451" s="108">
        <f t="shared" si="503"/>
        <v>0</v>
      </c>
    </row>
    <row r="452" spans="1:62" x14ac:dyDescent="0.2">
      <c r="A452" s="124" t="s">
        <v>407</v>
      </c>
      <c r="B452" s="124" t="s">
        <v>926</v>
      </c>
      <c r="C452" s="311" t="s">
        <v>1515</v>
      </c>
      <c r="D452" s="312"/>
      <c r="E452" s="312"/>
      <c r="F452" s="124" t="s">
        <v>1645</v>
      </c>
      <c r="G452" s="123">
        <v>33.603000000000002</v>
      </c>
      <c r="H452" s="160"/>
      <c r="I452" s="121">
        <f t="shared" si="482"/>
        <v>0</v>
      </c>
      <c r="J452" s="121">
        <f t="shared" si="483"/>
        <v>0</v>
      </c>
      <c r="K452" s="121">
        <f t="shared" si="484"/>
        <v>0</v>
      </c>
      <c r="L452" s="122" t="s">
        <v>1671</v>
      </c>
      <c r="Z452" s="100">
        <f t="shared" si="485"/>
        <v>0</v>
      </c>
      <c r="AB452" s="100">
        <f t="shared" si="486"/>
        <v>0</v>
      </c>
      <c r="AC452" s="100">
        <f t="shared" si="487"/>
        <v>0</v>
      </c>
      <c r="AD452" s="100">
        <f t="shared" si="488"/>
        <v>0</v>
      </c>
      <c r="AE452" s="100">
        <f t="shared" si="489"/>
        <v>0</v>
      </c>
      <c r="AF452" s="100">
        <f t="shared" si="490"/>
        <v>0</v>
      </c>
      <c r="AG452" s="100">
        <f t="shared" si="491"/>
        <v>0</v>
      </c>
      <c r="AH452" s="100">
        <f t="shared" si="492"/>
        <v>0</v>
      </c>
      <c r="AI452" s="109"/>
      <c r="AJ452" s="121">
        <f t="shared" si="493"/>
        <v>0</v>
      </c>
      <c r="AK452" s="121">
        <f t="shared" si="494"/>
        <v>0</v>
      </c>
      <c r="AL452" s="121">
        <f t="shared" si="495"/>
        <v>0</v>
      </c>
      <c r="AN452" s="100">
        <v>15</v>
      </c>
      <c r="AO452" s="100">
        <f>H452*1</f>
        <v>0</v>
      </c>
      <c r="AP452" s="100">
        <f>H452*(1-1)</f>
        <v>0</v>
      </c>
      <c r="AQ452" s="122" t="s">
        <v>13</v>
      </c>
      <c r="AV452" s="100">
        <f t="shared" si="496"/>
        <v>0</v>
      </c>
      <c r="AW452" s="100">
        <f t="shared" si="497"/>
        <v>0</v>
      </c>
      <c r="AX452" s="100">
        <f t="shared" si="498"/>
        <v>0</v>
      </c>
      <c r="AY452" s="110" t="s">
        <v>1718</v>
      </c>
      <c r="AZ452" s="110" t="s">
        <v>1735</v>
      </c>
      <c r="BA452" s="109" t="s">
        <v>1737</v>
      </c>
      <c r="BC452" s="100">
        <f t="shared" si="499"/>
        <v>0</v>
      </c>
      <c r="BD452" s="100">
        <f t="shared" si="500"/>
        <v>0</v>
      </c>
      <c r="BE452" s="100">
        <v>0</v>
      </c>
      <c r="BF452" s="100">
        <f>452</f>
        <v>452</v>
      </c>
      <c r="BH452" s="121">
        <f t="shared" si="501"/>
        <v>0</v>
      </c>
      <c r="BI452" s="121">
        <f t="shared" si="502"/>
        <v>0</v>
      </c>
      <c r="BJ452" s="121">
        <f t="shared" si="503"/>
        <v>0</v>
      </c>
    </row>
    <row r="453" spans="1:62" x14ac:dyDescent="0.2">
      <c r="A453" s="117" t="s">
        <v>408</v>
      </c>
      <c r="B453" s="117" t="s">
        <v>927</v>
      </c>
      <c r="C453" s="304" t="s">
        <v>1516</v>
      </c>
      <c r="D453" s="305"/>
      <c r="E453" s="305"/>
      <c r="F453" s="117" t="s">
        <v>1646</v>
      </c>
      <c r="G453" s="116">
        <v>33.950000000000003</v>
      </c>
      <c r="H453" s="159"/>
      <c r="I453" s="108">
        <f t="shared" si="482"/>
        <v>0</v>
      </c>
      <c r="J453" s="108">
        <f t="shared" si="483"/>
        <v>0</v>
      </c>
      <c r="K453" s="108">
        <f t="shared" si="484"/>
        <v>0</v>
      </c>
      <c r="L453" s="111" t="s">
        <v>1671</v>
      </c>
      <c r="Z453" s="100">
        <f t="shared" si="485"/>
        <v>0</v>
      </c>
      <c r="AB453" s="100">
        <f t="shared" si="486"/>
        <v>0</v>
      </c>
      <c r="AC453" s="100">
        <f t="shared" si="487"/>
        <v>0</v>
      </c>
      <c r="AD453" s="100">
        <f t="shared" si="488"/>
        <v>0</v>
      </c>
      <c r="AE453" s="100">
        <f t="shared" si="489"/>
        <v>0</v>
      </c>
      <c r="AF453" s="100">
        <f t="shared" si="490"/>
        <v>0</v>
      </c>
      <c r="AG453" s="100">
        <f t="shared" si="491"/>
        <v>0</v>
      </c>
      <c r="AH453" s="100">
        <f t="shared" si="492"/>
        <v>0</v>
      </c>
      <c r="AI453" s="109"/>
      <c r="AJ453" s="108">
        <f t="shared" si="493"/>
        <v>0</v>
      </c>
      <c r="AK453" s="108">
        <f t="shared" si="494"/>
        <v>0</v>
      </c>
      <c r="AL453" s="108">
        <f t="shared" si="495"/>
        <v>0</v>
      </c>
      <c r="AN453" s="100">
        <v>15</v>
      </c>
      <c r="AO453" s="100">
        <f>H453*0.0774901065695151</f>
        <v>0</v>
      </c>
      <c r="AP453" s="100">
        <f>H453*(1-0.0774901065695151)</f>
        <v>0</v>
      </c>
      <c r="AQ453" s="111" t="s">
        <v>13</v>
      </c>
      <c r="AV453" s="100">
        <f t="shared" si="496"/>
        <v>0</v>
      </c>
      <c r="AW453" s="100">
        <f t="shared" si="497"/>
        <v>0</v>
      </c>
      <c r="AX453" s="100">
        <f t="shared" si="498"/>
        <v>0</v>
      </c>
      <c r="AY453" s="110" t="s">
        <v>1718</v>
      </c>
      <c r="AZ453" s="110" t="s">
        <v>1735</v>
      </c>
      <c r="BA453" s="109" t="s">
        <v>1737</v>
      </c>
      <c r="BC453" s="100">
        <f t="shared" si="499"/>
        <v>0</v>
      </c>
      <c r="BD453" s="100">
        <f t="shared" si="500"/>
        <v>0</v>
      </c>
      <c r="BE453" s="100">
        <v>0</v>
      </c>
      <c r="BF453" s="100">
        <f>453</f>
        <v>453</v>
      </c>
      <c r="BH453" s="108">
        <f t="shared" si="501"/>
        <v>0</v>
      </c>
      <c r="BI453" s="108">
        <f t="shared" si="502"/>
        <v>0</v>
      </c>
      <c r="BJ453" s="108">
        <f t="shared" si="503"/>
        <v>0</v>
      </c>
    </row>
    <row r="454" spans="1:62" x14ac:dyDescent="0.2">
      <c r="A454" s="124" t="s">
        <v>409</v>
      </c>
      <c r="B454" s="124" t="s">
        <v>928</v>
      </c>
      <c r="C454" s="311" t="s">
        <v>1517</v>
      </c>
      <c r="D454" s="312"/>
      <c r="E454" s="312"/>
      <c r="F454" s="124" t="s">
        <v>1645</v>
      </c>
      <c r="G454" s="123">
        <v>4.2439999999999998</v>
      </c>
      <c r="H454" s="160"/>
      <c r="I454" s="121">
        <f t="shared" si="482"/>
        <v>0</v>
      </c>
      <c r="J454" s="121">
        <f t="shared" si="483"/>
        <v>0</v>
      </c>
      <c r="K454" s="121">
        <f t="shared" si="484"/>
        <v>0</v>
      </c>
      <c r="L454" s="122" t="s">
        <v>1671</v>
      </c>
      <c r="Z454" s="100">
        <f t="shared" si="485"/>
        <v>0</v>
      </c>
      <c r="AB454" s="100">
        <f t="shared" si="486"/>
        <v>0</v>
      </c>
      <c r="AC454" s="100">
        <f t="shared" si="487"/>
        <v>0</v>
      </c>
      <c r="AD454" s="100">
        <f t="shared" si="488"/>
        <v>0</v>
      </c>
      <c r="AE454" s="100">
        <f t="shared" si="489"/>
        <v>0</v>
      </c>
      <c r="AF454" s="100">
        <f t="shared" si="490"/>
        <v>0</v>
      </c>
      <c r="AG454" s="100">
        <f t="shared" si="491"/>
        <v>0</v>
      </c>
      <c r="AH454" s="100">
        <f t="shared" si="492"/>
        <v>0</v>
      </c>
      <c r="AI454" s="109"/>
      <c r="AJ454" s="121">
        <f t="shared" si="493"/>
        <v>0</v>
      </c>
      <c r="AK454" s="121">
        <f t="shared" si="494"/>
        <v>0</v>
      </c>
      <c r="AL454" s="121">
        <f t="shared" si="495"/>
        <v>0</v>
      </c>
      <c r="AN454" s="100">
        <v>15</v>
      </c>
      <c r="AO454" s="100">
        <f>H454*1</f>
        <v>0</v>
      </c>
      <c r="AP454" s="100">
        <f>H454*(1-1)</f>
        <v>0</v>
      </c>
      <c r="AQ454" s="122" t="s">
        <v>13</v>
      </c>
      <c r="AV454" s="100">
        <f t="shared" si="496"/>
        <v>0</v>
      </c>
      <c r="AW454" s="100">
        <f t="shared" si="497"/>
        <v>0</v>
      </c>
      <c r="AX454" s="100">
        <f t="shared" si="498"/>
        <v>0</v>
      </c>
      <c r="AY454" s="110" t="s">
        <v>1718</v>
      </c>
      <c r="AZ454" s="110" t="s">
        <v>1735</v>
      </c>
      <c r="BA454" s="109" t="s">
        <v>1737</v>
      </c>
      <c r="BC454" s="100">
        <f t="shared" si="499"/>
        <v>0</v>
      </c>
      <c r="BD454" s="100">
        <f t="shared" si="500"/>
        <v>0</v>
      </c>
      <c r="BE454" s="100">
        <v>0</v>
      </c>
      <c r="BF454" s="100">
        <f>454</f>
        <v>454</v>
      </c>
      <c r="BH454" s="121">
        <f t="shared" si="501"/>
        <v>0</v>
      </c>
      <c r="BI454" s="121">
        <f t="shared" si="502"/>
        <v>0</v>
      </c>
      <c r="BJ454" s="121">
        <f t="shared" si="503"/>
        <v>0</v>
      </c>
    </row>
    <row r="455" spans="1:62" x14ac:dyDescent="0.2">
      <c r="A455" s="117" t="s">
        <v>410</v>
      </c>
      <c r="B455" s="117" t="s">
        <v>929</v>
      </c>
      <c r="C455" s="304" t="s">
        <v>1518</v>
      </c>
      <c r="D455" s="305"/>
      <c r="E455" s="305"/>
      <c r="F455" s="117" t="s">
        <v>1648</v>
      </c>
      <c r="G455" s="116">
        <v>0.90400000000000003</v>
      </c>
      <c r="H455" s="159"/>
      <c r="I455" s="108">
        <f t="shared" si="482"/>
        <v>0</v>
      </c>
      <c r="J455" s="108">
        <f t="shared" si="483"/>
        <v>0</v>
      </c>
      <c r="K455" s="108">
        <f t="shared" si="484"/>
        <v>0</v>
      </c>
      <c r="L455" s="111" t="s">
        <v>1671</v>
      </c>
      <c r="Z455" s="100">
        <f t="shared" si="485"/>
        <v>0</v>
      </c>
      <c r="AB455" s="100">
        <f t="shared" si="486"/>
        <v>0</v>
      </c>
      <c r="AC455" s="100">
        <f t="shared" si="487"/>
        <v>0</v>
      </c>
      <c r="AD455" s="100">
        <f t="shared" si="488"/>
        <v>0</v>
      </c>
      <c r="AE455" s="100">
        <f t="shared" si="489"/>
        <v>0</v>
      </c>
      <c r="AF455" s="100">
        <f t="shared" si="490"/>
        <v>0</v>
      </c>
      <c r="AG455" s="100">
        <f t="shared" si="491"/>
        <v>0</v>
      </c>
      <c r="AH455" s="100">
        <f t="shared" si="492"/>
        <v>0</v>
      </c>
      <c r="AI455" s="109"/>
      <c r="AJ455" s="108">
        <f t="shared" si="493"/>
        <v>0</v>
      </c>
      <c r="AK455" s="108">
        <f t="shared" si="494"/>
        <v>0</v>
      </c>
      <c r="AL455" s="108">
        <f t="shared" si="495"/>
        <v>0</v>
      </c>
      <c r="AN455" s="100">
        <v>15</v>
      </c>
      <c r="AO455" s="100">
        <f>H455*0</f>
        <v>0</v>
      </c>
      <c r="AP455" s="100">
        <f>H455*(1-0)</f>
        <v>0</v>
      </c>
      <c r="AQ455" s="111" t="s">
        <v>11</v>
      </c>
      <c r="AV455" s="100">
        <f t="shared" si="496"/>
        <v>0</v>
      </c>
      <c r="AW455" s="100">
        <f t="shared" si="497"/>
        <v>0</v>
      </c>
      <c r="AX455" s="100">
        <f t="shared" si="498"/>
        <v>0</v>
      </c>
      <c r="AY455" s="110" t="s">
        <v>1718</v>
      </c>
      <c r="AZ455" s="110" t="s">
        <v>1735</v>
      </c>
      <c r="BA455" s="109" t="s">
        <v>1737</v>
      </c>
      <c r="BC455" s="100">
        <f t="shared" si="499"/>
        <v>0</v>
      </c>
      <c r="BD455" s="100">
        <f t="shared" si="500"/>
        <v>0</v>
      </c>
      <c r="BE455" s="100">
        <v>0</v>
      </c>
      <c r="BF455" s="100">
        <f>455</f>
        <v>455</v>
      </c>
      <c r="BH455" s="108">
        <f t="shared" si="501"/>
        <v>0</v>
      </c>
      <c r="BI455" s="108">
        <f t="shared" si="502"/>
        <v>0</v>
      </c>
      <c r="BJ455" s="108">
        <f t="shared" si="503"/>
        <v>0</v>
      </c>
    </row>
    <row r="456" spans="1:62" x14ac:dyDescent="0.2">
      <c r="A456" s="119"/>
      <c r="B456" s="120" t="s">
        <v>930</v>
      </c>
      <c r="C456" s="306" t="s">
        <v>1519</v>
      </c>
      <c r="D456" s="307"/>
      <c r="E456" s="307"/>
      <c r="F456" s="119" t="s">
        <v>6</v>
      </c>
      <c r="G456" s="119" t="s">
        <v>6</v>
      </c>
      <c r="H456" s="119" t="s">
        <v>6</v>
      </c>
      <c r="I456" s="118">
        <f>SUM(I457:I461)</f>
        <v>0</v>
      </c>
      <c r="J456" s="118">
        <f>SUM(J457:J461)</f>
        <v>0</v>
      </c>
      <c r="K456" s="118">
        <f>SUM(K457:K461)</f>
        <v>0</v>
      </c>
      <c r="L456" s="109"/>
      <c r="AI456" s="109"/>
      <c r="AS456" s="118">
        <f>SUM(AJ457:AJ461)</f>
        <v>0</v>
      </c>
      <c r="AT456" s="118">
        <f>SUM(AK457:AK461)</f>
        <v>0</v>
      </c>
      <c r="AU456" s="118">
        <f>SUM(AL457:AL461)</f>
        <v>0</v>
      </c>
    </row>
    <row r="457" spans="1:62" x14ac:dyDescent="0.2">
      <c r="A457" s="117" t="s">
        <v>411</v>
      </c>
      <c r="B457" s="117" t="s">
        <v>931</v>
      </c>
      <c r="C457" s="304" t="s">
        <v>1520</v>
      </c>
      <c r="D457" s="305"/>
      <c r="E457" s="305"/>
      <c r="F457" s="117" t="s">
        <v>1645</v>
      </c>
      <c r="G457" s="116">
        <v>623.00300000000004</v>
      </c>
      <c r="H457" s="159"/>
      <c r="I457" s="108">
        <f>G457*AO457</f>
        <v>0</v>
      </c>
      <c r="J457" s="108">
        <f>G457*AP457</f>
        <v>0</v>
      </c>
      <c r="K457" s="108">
        <f>G457*H457</f>
        <v>0</v>
      </c>
      <c r="L457" s="111" t="s">
        <v>1671</v>
      </c>
      <c r="Z457" s="100">
        <f>IF(AQ457="5",BJ457,0)</f>
        <v>0</v>
      </c>
      <c r="AB457" s="100">
        <f>IF(AQ457="1",BH457,0)</f>
        <v>0</v>
      </c>
      <c r="AC457" s="100">
        <f>IF(AQ457="1",BI457,0)</f>
        <v>0</v>
      </c>
      <c r="AD457" s="100">
        <f>IF(AQ457="7",BH457,0)</f>
        <v>0</v>
      </c>
      <c r="AE457" s="100">
        <f>IF(AQ457="7",BI457,0)</f>
        <v>0</v>
      </c>
      <c r="AF457" s="100">
        <f>IF(AQ457="2",BH457,0)</f>
        <v>0</v>
      </c>
      <c r="AG457" s="100">
        <f>IF(AQ457="2",BI457,0)</f>
        <v>0</v>
      </c>
      <c r="AH457" s="100">
        <f>IF(AQ457="0",BJ457,0)</f>
        <v>0</v>
      </c>
      <c r="AI457" s="109"/>
      <c r="AJ457" s="108">
        <f>IF(AN457=0,K457,0)</f>
        <v>0</v>
      </c>
      <c r="AK457" s="108">
        <f>IF(AN457=15,K457,0)</f>
        <v>0</v>
      </c>
      <c r="AL457" s="108">
        <f>IF(AN457=21,K457,0)</f>
        <v>0</v>
      </c>
      <c r="AN457" s="100">
        <v>15</v>
      </c>
      <c r="AO457" s="100">
        <f>H457*0</f>
        <v>0</v>
      </c>
      <c r="AP457" s="100">
        <f>H457*(1-0)</f>
        <v>0</v>
      </c>
      <c r="AQ457" s="111" t="s">
        <v>13</v>
      </c>
      <c r="AV457" s="100">
        <f>AW457+AX457</f>
        <v>0</v>
      </c>
      <c r="AW457" s="100">
        <f>G457*AO457</f>
        <v>0</v>
      </c>
      <c r="AX457" s="100">
        <f>G457*AP457</f>
        <v>0</v>
      </c>
      <c r="AY457" s="110" t="s">
        <v>1719</v>
      </c>
      <c r="AZ457" s="110" t="s">
        <v>1736</v>
      </c>
      <c r="BA457" s="109" t="s">
        <v>1737</v>
      </c>
      <c r="BC457" s="100">
        <f>AW457+AX457</f>
        <v>0</v>
      </c>
      <c r="BD457" s="100">
        <f>H457/(100-BE457)*100</f>
        <v>0</v>
      </c>
      <c r="BE457" s="100">
        <v>0</v>
      </c>
      <c r="BF457" s="100">
        <f>457</f>
        <v>457</v>
      </c>
      <c r="BH457" s="108">
        <f>G457*AO457</f>
        <v>0</v>
      </c>
      <c r="BI457" s="108">
        <f>G457*AP457</f>
        <v>0</v>
      </c>
      <c r="BJ457" s="108">
        <f>G457*H457</f>
        <v>0</v>
      </c>
    </row>
    <row r="458" spans="1:62" x14ac:dyDescent="0.2">
      <c r="A458" s="117" t="s">
        <v>412</v>
      </c>
      <c r="B458" s="117" t="s">
        <v>932</v>
      </c>
      <c r="C458" s="304" t="s">
        <v>1521</v>
      </c>
      <c r="D458" s="305"/>
      <c r="E458" s="305"/>
      <c r="F458" s="117" t="s">
        <v>1645</v>
      </c>
      <c r="G458" s="116">
        <v>119.27800000000001</v>
      </c>
      <c r="H458" s="159"/>
      <c r="I458" s="108">
        <f>G458*AO458</f>
        <v>0</v>
      </c>
      <c r="J458" s="108">
        <f>G458*AP458</f>
        <v>0</v>
      </c>
      <c r="K458" s="108">
        <f>G458*H458</f>
        <v>0</v>
      </c>
      <c r="L458" s="111" t="s">
        <v>1671</v>
      </c>
      <c r="Z458" s="100">
        <f>IF(AQ458="5",BJ458,0)</f>
        <v>0</v>
      </c>
      <c r="AB458" s="100">
        <f>IF(AQ458="1",BH458,0)</f>
        <v>0</v>
      </c>
      <c r="AC458" s="100">
        <f>IF(AQ458="1",BI458,0)</f>
        <v>0</v>
      </c>
      <c r="AD458" s="100">
        <f>IF(AQ458="7",BH458,0)</f>
        <v>0</v>
      </c>
      <c r="AE458" s="100">
        <f>IF(AQ458="7",BI458,0)</f>
        <v>0</v>
      </c>
      <c r="AF458" s="100">
        <f>IF(AQ458="2",BH458,0)</f>
        <v>0</v>
      </c>
      <c r="AG458" s="100">
        <f>IF(AQ458="2",BI458,0)</f>
        <v>0</v>
      </c>
      <c r="AH458" s="100">
        <f>IF(AQ458="0",BJ458,0)</f>
        <v>0</v>
      </c>
      <c r="AI458" s="109"/>
      <c r="AJ458" s="108">
        <f>IF(AN458=0,K458,0)</f>
        <v>0</v>
      </c>
      <c r="AK458" s="108">
        <f>IF(AN458=15,K458,0)</f>
        <v>0</v>
      </c>
      <c r="AL458" s="108">
        <f>IF(AN458=21,K458,0)</f>
        <v>0</v>
      </c>
      <c r="AN458" s="100">
        <v>15</v>
      </c>
      <c r="AO458" s="100">
        <f>H458*0.590822754305439</f>
        <v>0</v>
      </c>
      <c r="AP458" s="100">
        <f>H458*(1-0.590822754305439)</f>
        <v>0</v>
      </c>
      <c r="AQ458" s="111" t="s">
        <v>13</v>
      </c>
      <c r="AV458" s="100">
        <f>AW458+AX458</f>
        <v>0</v>
      </c>
      <c r="AW458" s="100">
        <f>G458*AO458</f>
        <v>0</v>
      </c>
      <c r="AX458" s="100">
        <f>G458*AP458</f>
        <v>0</v>
      </c>
      <c r="AY458" s="110" t="s">
        <v>1719</v>
      </c>
      <c r="AZ458" s="110" t="s">
        <v>1736</v>
      </c>
      <c r="BA458" s="109" t="s">
        <v>1737</v>
      </c>
      <c r="BC458" s="100">
        <f>AW458+AX458</f>
        <v>0</v>
      </c>
      <c r="BD458" s="100">
        <f>H458/(100-BE458)*100</f>
        <v>0</v>
      </c>
      <c r="BE458" s="100">
        <v>0</v>
      </c>
      <c r="BF458" s="100">
        <f>458</f>
        <v>458</v>
      </c>
      <c r="BH458" s="108">
        <f>G458*AO458</f>
        <v>0</v>
      </c>
      <c r="BI458" s="108">
        <f>G458*AP458</f>
        <v>0</v>
      </c>
      <c r="BJ458" s="108">
        <f>G458*H458</f>
        <v>0</v>
      </c>
    </row>
    <row r="459" spans="1:62" x14ac:dyDescent="0.2">
      <c r="A459" s="117" t="s">
        <v>413</v>
      </c>
      <c r="B459" s="117" t="s">
        <v>933</v>
      </c>
      <c r="C459" s="304" t="s">
        <v>1522</v>
      </c>
      <c r="D459" s="305"/>
      <c r="E459" s="305"/>
      <c r="F459" s="117" t="s">
        <v>1645</v>
      </c>
      <c r="G459" s="116">
        <v>623.00300000000004</v>
      </c>
      <c r="H459" s="159"/>
      <c r="I459" s="108">
        <f>G459*AO459</f>
        <v>0</v>
      </c>
      <c r="J459" s="108">
        <f>G459*AP459</f>
        <v>0</v>
      </c>
      <c r="K459" s="108">
        <f>G459*H459</f>
        <v>0</v>
      </c>
      <c r="L459" s="111" t="s">
        <v>1671</v>
      </c>
      <c r="Z459" s="100">
        <f>IF(AQ459="5",BJ459,0)</f>
        <v>0</v>
      </c>
      <c r="AB459" s="100">
        <f>IF(AQ459="1",BH459,0)</f>
        <v>0</v>
      </c>
      <c r="AC459" s="100">
        <f>IF(AQ459="1",BI459,0)</f>
        <v>0</v>
      </c>
      <c r="AD459" s="100">
        <f>IF(AQ459="7",BH459,0)</f>
        <v>0</v>
      </c>
      <c r="AE459" s="100">
        <f>IF(AQ459="7",BI459,0)</f>
        <v>0</v>
      </c>
      <c r="AF459" s="100">
        <f>IF(AQ459="2",BH459,0)</f>
        <v>0</v>
      </c>
      <c r="AG459" s="100">
        <f>IF(AQ459="2",BI459,0)</f>
        <v>0</v>
      </c>
      <c r="AH459" s="100">
        <f>IF(AQ459="0",BJ459,0)</f>
        <v>0</v>
      </c>
      <c r="AI459" s="109"/>
      <c r="AJ459" s="108">
        <f>IF(AN459=0,K459,0)</f>
        <v>0</v>
      </c>
      <c r="AK459" s="108">
        <f>IF(AN459=15,K459,0)</f>
        <v>0</v>
      </c>
      <c r="AL459" s="108">
        <f>IF(AN459=21,K459,0)</f>
        <v>0</v>
      </c>
      <c r="AN459" s="100">
        <v>15</v>
      </c>
      <c r="AO459" s="100">
        <f>H459*0.400704229881563</f>
        <v>0</v>
      </c>
      <c r="AP459" s="100">
        <f>H459*(1-0.400704229881563)</f>
        <v>0</v>
      </c>
      <c r="AQ459" s="111" t="s">
        <v>13</v>
      </c>
      <c r="AV459" s="100">
        <f>AW459+AX459</f>
        <v>0</v>
      </c>
      <c r="AW459" s="100">
        <f>G459*AO459</f>
        <v>0</v>
      </c>
      <c r="AX459" s="100">
        <f>G459*AP459</f>
        <v>0</v>
      </c>
      <c r="AY459" s="110" t="s">
        <v>1719</v>
      </c>
      <c r="AZ459" s="110" t="s">
        <v>1736</v>
      </c>
      <c r="BA459" s="109" t="s">
        <v>1737</v>
      </c>
      <c r="BC459" s="100">
        <f>AW459+AX459</f>
        <v>0</v>
      </c>
      <c r="BD459" s="100">
        <f>H459/(100-BE459)*100</f>
        <v>0</v>
      </c>
      <c r="BE459" s="100">
        <v>0</v>
      </c>
      <c r="BF459" s="100">
        <f>459</f>
        <v>459</v>
      </c>
      <c r="BH459" s="108">
        <f>G459*AO459</f>
        <v>0</v>
      </c>
      <c r="BI459" s="108">
        <f>G459*AP459</f>
        <v>0</v>
      </c>
      <c r="BJ459" s="108">
        <f>G459*H459</f>
        <v>0</v>
      </c>
    </row>
    <row r="460" spans="1:62" x14ac:dyDescent="0.2">
      <c r="A460" s="117" t="s">
        <v>414</v>
      </c>
      <c r="B460" s="117" t="s">
        <v>934</v>
      </c>
      <c r="C460" s="304" t="s">
        <v>1523</v>
      </c>
      <c r="D460" s="305"/>
      <c r="E460" s="305"/>
      <c r="F460" s="117" t="s">
        <v>1645</v>
      </c>
      <c r="G460" s="116">
        <v>163.66999999999999</v>
      </c>
      <c r="H460" s="159"/>
      <c r="I460" s="108">
        <f>G460*AO460</f>
        <v>0</v>
      </c>
      <c r="J460" s="108">
        <f>G460*AP460</f>
        <v>0</v>
      </c>
      <c r="K460" s="108">
        <f>G460*H460</f>
        <v>0</v>
      </c>
      <c r="L460" s="111" t="s">
        <v>1671</v>
      </c>
      <c r="Z460" s="100">
        <f>IF(AQ460="5",BJ460,0)</f>
        <v>0</v>
      </c>
      <c r="AB460" s="100">
        <f>IF(AQ460="1",BH460,0)</f>
        <v>0</v>
      </c>
      <c r="AC460" s="100">
        <f>IF(AQ460="1",BI460,0)</f>
        <v>0</v>
      </c>
      <c r="AD460" s="100">
        <f>IF(AQ460="7",BH460,0)</f>
        <v>0</v>
      </c>
      <c r="AE460" s="100">
        <f>IF(AQ460="7",BI460,0)</f>
        <v>0</v>
      </c>
      <c r="AF460" s="100">
        <f>IF(AQ460="2",BH460,0)</f>
        <v>0</v>
      </c>
      <c r="AG460" s="100">
        <f>IF(AQ460="2",BI460,0)</f>
        <v>0</v>
      </c>
      <c r="AH460" s="100">
        <f>IF(AQ460="0",BJ460,0)</f>
        <v>0</v>
      </c>
      <c r="AI460" s="109"/>
      <c r="AJ460" s="108">
        <f>IF(AN460=0,K460,0)</f>
        <v>0</v>
      </c>
      <c r="AK460" s="108">
        <f>IF(AN460=15,K460,0)</f>
        <v>0</v>
      </c>
      <c r="AL460" s="108">
        <f>IF(AN460=21,K460,0)</f>
        <v>0</v>
      </c>
      <c r="AN460" s="100">
        <v>15</v>
      </c>
      <c r="AO460" s="100">
        <f>H460*0.122818181818182</f>
        <v>0</v>
      </c>
      <c r="AP460" s="100">
        <f>H460*(1-0.122818181818182)</f>
        <v>0</v>
      </c>
      <c r="AQ460" s="111" t="s">
        <v>13</v>
      </c>
      <c r="AV460" s="100">
        <f>AW460+AX460</f>
        <v>0</v>
      </c>
      <c r="AW460" s="100">
        <f>G460*AO460</f>
        <v>0</v>
      </c>
      <c r="AX460" s="100">
        <f>G460*AP460</f>
        <v>0</v>
      </c>
      <c r="AY460" s="110" t="s">
        <v>1719</v>
      </c>
      <c r="AZ460" s="110" t="s">
        <v>1736</v>
      </c>
      <c r="BA460" s="109" t="s">
        <v>1737</v>
      </c>
      <c r="BC460" s="100">
        <f>AW460+AX460</f>
        <v>0</v>
      </c>
      <c r="BD460" s="100">
        <f>H460/(100-BE460)*100</f>
        <v>0</v>
      </c>
      <c r="BE460" s="100">
        <v>0</v>
      </c>
      <c r="BF460" s="100">
        <f>460</f>
        <v>460</v>
      </c>
      <c r="BH460" s="108">
        <f>G460*AO460</f>
        <v>0</v>
      </c>
      <c r="BI460" s="108">
        <f>G460*AP460</f>
        <v>0</v>
      </c>
      <c r="BJ460" s="108">
        <f>G460*H460</f>
        <v>0</v>
      </c>
    </row>
    <row r="461" spans="1:62" x14ac:dyDescent="0.2">
      <c r="A461" s="117" t="s">
        <v>415</v>
      </c>
      <c r="B461" s="117" t="s">
        <v>935</v>
      </c>
      <c r="C461" s="304" t="s">
        <v>1524</v>
      </c>
      <c r="D461" s="305"/>
      <c r="E461" s="305"/>
      <c r="F461" s="117" t="s">
        <v>1645</v>
      </c>
      <c r="G461" s="116">
        <v>459.33300000000003</v>
      </c>
      <c r="H461" s="159"/>
      <c r="I461" s="108">
        <f>G461*AO461</f>
        <v>0</v>
      </c>
      <c r="J461" s="108">
        <f>G461*AP461</f>
        <v>0</v>
      </c>
      <c r="K461" s="108">
        <f>G461*H461</f>
        <v>0</v>
      </c>
      <c r="L461" s="111" t="s">
        <v>1671</v>
      </c>
      <c r="Z461" s="100">
        <f>IF(AQ461="5",BJ461,0)</f>
        <v>0</v>
      </c>
      <c r="AB461" s="100">
        <f>IF(AQ461="1",BH461,0)</f>
        <v>0</v>
      </c>
      <c r="AC461" s="100">
        <f>IF(AQ461="1",BI461,0)</f>
        <v>0</v>
      </c>
      <c r="AD461" s="100">
        <f>IF(AQ461="7",BH461,0)</f>
        <v>0</v>
      </c>
      <c r="AE461" s="100">
        <f>IF(AQ461="7",BI461,0)</f>
        <v>0</v>
      </c>
      <c r="AF461" s="100">
        <f>IF(AQ461="2",BH461,0)</f>
        <v>0</v>
      </c>
      <c r="AG461" s="100">
        <f>IF(AQ461="2",BI461,0)</f>
        <v>0</v>
      </c>
      <c r="AH461" s="100">
        <f>IF(AQ461="0",BJ461,0)</f>
        <v>0</v>
      </c>
      <c r="AI461" s="109"/>
      <c r="AJ461" s="108">
        <f>IF(AN461=0,K461,0)</f>
        <v>0</v>
      </c>
      <c r="AK461" s="108">
        <f>IF(AN461=15,K461,0)</f>
        <v>0</v>
      </c>
      <c r="AL461" s="108">
        <f>IF(AN461=21,K461,0)</f>
        <v>0</v>
      </c>
      <c r="AN461" s="100">
        <v>15</v>
      </c>
      <c r="AO461" s="100">
        <f>H461*0.0909911710546744</f>
        <v>0</v>
      </c>
      <c r="AP461" s="100">
        <f>H461*(1-0.0909911710546744)</f>
        <v>0</v>
      </c>
      <c r="AQ461" s="111" t="s">
        <v>13</v>
      </c>
      <c r="AV461" s="100">
        <f>AW461+AX461</f>
        <v>0</v>
      </c>
      <c r="AW461" s="100">
        <f>G461*AO461</f>
        <v>0</v>
      </c>
      <c r="AX461" s="100">
        <f>G461*AP461</f>
        <v>0</v>
      </c>
      <c r="AY461" s="110" t="s">
        <v>1719</v>
      </c>
      <c r="AZ461" s="110" t="s">
        <v>1736</v>
      </c>
      <c r="BA461" s="109" t="s">
        <v>1737</v>
      </c>
      <c r="BC461" s="100">
        <f>AW461+AX461</f>
        <v>0</v>
      </c>
      <c r="BD461" s="100">
        <f>H461/(100-BE461)*100</f>
        <v>0</v>
      </c>
      <c r="BE461" s="100">
        <v>0</v>
      </c>
      <c r="BF461" s="100">
        <f>461</f>
        <v>461</v>
      </c>
      <c r="BH461" s="108">
        <f>G461*AO461</f>
        <v>0</v>
      </c>
      <c r="BI461" s="108">
        <f>G461*AP461</f>
        <v>0</v>
      </c>
      <c r="BJ461" s="108">
        <f>G461*H461</f>
        <v>0</v>
      </c>
    </row>
    <row r="462" spans="1:62" x14ac:dyDescent="0.2">
      <c r="A462" s="119"/>
      <c r="B462" s="120" t="s">
        <v>936</v>
      </c>
      <c r="C462" s="306" t="s">
        <v>1525</v>
      </c>
      <c r="D462" s="307"/>
      <c r="E462" s="307"/>
      <c r="F462" s="119" t="s">
        <v>6</v>
      </c>
      <c r="G462" s="119" t="s">
        <v>6</v>
      </c>
      <c r="H462" s="119" t="s">
        <v>6</v>
      </c>
      <c r="I462" s="118">
        <f>SUM(I463:I491)</f>
        <v>0</v>
      </c>
      <c r="J462" s="118">
        <f>SUM(J463:J491)</f>
        <v>0</v>
      </c>
      <c r="K462" s="118">
        <f>SUM(K463:K491)</f>
        <v>0</v>
      </c>
      <c r="L462" s="109"/>
      <c r="AI462" s="109"/>
      <c r="AS462" s="118">
        <f>SUM(AJ463:AJ491)</f>
        <v>0</v>
      </c>
      <c r="AT462" s="118">
        <f>SUM(AK463:AK491)</f>
        <v>0</v>
      </c>
      <c r="AU462" s="118">
        <f>SUM(AL463:AL491)</f>
        <v>0</v>
      </c>
    </row>
    <row r="463" spans="1:62" x14ac:dyDescent="0.2">
      <c r="A463" s="117" t="s">
        <v>416</v>
      </c>
      <c r="B463" s="117" t="s">
        <v>937</v>
      </c>
      <c r="C463" s="304" t="s">
        <v>1526</v>
      </c>
      <c r="D463" s="305"/>
      <c r="E463" s="305"/>
      <c r="F463" s="117" t="s">
        <v>1644</v>
      </c>
      <c r="G463" s="116">
        <v>2</v>
      </c>
      <c r="H463" s="159"/>
      <c r="I463" s="108">
        <f t="shared" ref="I463:I491" si="504">G463*AO463</f>
        <v>0</v>
      </c>
      <c r="J463" s="108">
        <f t="shared" ref="J463:J491" si="505">G463*AP463</f>
        <v>0</v>
      </c>
      <c r="K463" s="108">
        <f t="shared" ref="K463:K491" si="506">G463*H463</f>
        <v>0</v>
      </c>
      <c r="L463" s="111" t="s">
        <v>1671</v>
      </c>
      <c r="Z463" s="100">
        <f t="shared" ref="Z463:Z491" si="507">IF(AQ463="5",BJ463,0)</f>
        <v>0</v>
      </c>
      <c r="AB463" s="100">
        <f t="shared" ref="AB463:AB491" si="508">IF(AQ463="1",BH463,0)</f>
        <v>0</v>
      </c>
      <c r="AC463" s="100">
        <f t="shared" ref="AC463:AC491" si="509">IF(AQ463="1",BI463,0)</f>
        <v>0</v>
      </c>
      <c r="AD463" s="100">
        <f t="shared" ref="AD463:AD491" si="510">IF(AQ463="7",BH463,0)</f>
        <v>0</v>
      </c>
      <c r="AE463" s="100">
        <f t="shared" ref="AE463:AE491" si="511">IF(AQ463="7",BI463,0)</f>
        <v>0</v>
      </c>
      <c r="AF463" s="100">
        <f t="shared" ref="AF463:AF491" si="512">IF(AQ463="2",BH463,0)</f>
        <v>0</v>
      </c>
      <c r="AG463" s="100">
        <f t="shared" ref="AG463:AG491" si="513">IF(AQ463="2",BI463,0)</f>
        <v>0</v>
      </c>
      <c r="AH463" s="100">
        <f t="shared" ref="AH463:AH491" si="514">IF(AQ463="0",BJ463,0)</f>
        <v>0</v>
      </c>
      <c r="AI463" s="109"/>
      <c r="AJ463" s="108">
        <f t="shared" ref="AJ463:AJ491" si="515">IF(AN463=0,K463,0)</f>
        <v>0</v>
      </c>
      <c r="AK463" s="108">
        <f t="shared" ref="AK463:AK491" si="516">IF(AN463=15,K463,0)</f>
        <v>0</v>
      </c>
      <c r="AL463" s="108">
        <f t="shared" ref="AL463:AL491" si="517">IF(AN463=21,K463,0)</f>
        <v>0</v>
      </c>
      <c r="AN463" s="100">
        <v>15</v>
      </c>
      <c r="AO463" s="100">
        <f t="shared" ref="AO463:AO491" si="518">H463*0</f>
        <v>0</v>
      </c>
      <c r="AP463" s="100">
        <f t="shared" ref="AP463:AP491" si="519">H463*(1-0)</f>
        <v>0</v>
      </c>
      <c r="AQ463" s="111" t="s">
        <v>8</v>
      </c>
      <c r="AV463" s="100">
        <f t="shared" ref="AV463:AV491" si="520">AW463+AX463</f>
        <v>0</v>
      </c>
      <c r="AW463" s="100">
        <f t="shared" ref="AW463:AW491" si="521">G463*AO463</f>
        <v>0</v>
      </c>
      <c r="AX463" s="100">
        <f t="shared" ref="AX463:AX491" si="522">G463*AP463</f>
        <v>0</v>
      </c>
      <c r="AY463" s="110" t="s">
        <v>1720</v>
      </c>
      <c r="AZ463" s="110" t="s">
        <v>1730</v>
      </c>
      <c r="BA463" s="109" t="s">
        <v>1737</v>
      </c>
      <c r="BC463" s="100">
        <f t="shared" ref="BC463:BC491" si="523">AW463+AX463</f>
        <v>0</v>
      </c>
      <c r="BD463" s="100">
        <f t="shared" ref="BD463:BD491" si="524">H463/(100-BE463)*100</f>
        <v>0</v>
      </c>
      <c r="BE463" s="100">
        <v>0</v>
      </c>
      <c r="BF463" s="100">
        <f>463</f>
        <v>463</v>
      </c>
      <c r="BH463" s="108">
        <f t="shared" ref="BH463:BH491" si="525">G463*AO463</f>
        <v>0</v>
      </c>
      <c r="BI463" s="108">
        <f t="shared" ref="BI463:BI491" si="526">G463*AP463</f>
        <v>0</v>
      </c>
      <c r="BJ463" s="108">
        <f t="shared" ref="BJ463:BJ491" si="527">G463*H463</f>
        <v>0</v>
      </c>
    </row>
    <row r="464" spans="1:62" x14ac:dyDescent="0.2">
      <c r="A464" s="117" t="s">
        <v>417</v>
      </c>
      <c r="B464" s="117" t="s">
        <v>939</v>
      </c>
      <c r="C464" s="304" t="s">
        <v>3026</v>
      </c>
      <c r="D464" s="305"/>
      <c r="E464" s="305"/>
      <c r="F464" s="117" t="s">
        <v>1644</v>
      </c>
      <c r="G464" s="116">
        <v>1</v>
      </c>
      <c r="H464" s="159"/>
      <c r="I464" s="108">
        <f t="shared" si="504"/>
        <v>0</v>
      </c>
      <c r="J464" s="108">
        <f t="shared" si="505"/>
        <v>0</v>
      </c>
      <c r="K464" s="108">
        <f t="shared" si="506"/>
        <v>0</v>
      </c>
      <c r="L464" s="111" t="s">
        <v>1671</v>
      </c>
      <c r="Z464" s="100">
        <f t="shared" si="507"/>
        <v>0</v>
      </c>
      <c r="AB464" s="100">
        <f t="shared" si="508"/>
        <v>0</v>
      </c>
      <c r="AC464" s="100">
        <f t="shared" si="509"/>
        <v>0</v>
      </c>
      <c r="AD464" s="100">
        <f t="shared" si="510"/>
        <v>0</v>
      </c>
      <c r="AE464" s="100">
        <f t="shared" si="511"/>
        <v>0</v>
      </c>
      <c r="AF464" s="100">
        <f t="shared" si="512"/>
        <v>0</v>
      </c>
      <c r="AG464" s="100">
        <f t="shared" si="513"/>
        <v>0</v>
      </c>
      <c r="AH464" s="100">
        <f t="shared" si="514"/>
        <v>0</v>
      </c>
      <c r="AI464" s="109"/>
      <c r="AJ464" s="108">
        <f t="shared" si="515"/>
        <v>0</v>
      </c>
      <c r="AK464" s="108">
        <f t="shared" si="516"/>
        <v>0</v>
      </c>
      <c r="AL464" s="108">
        <f t="shared" si="517"/>
        <v>0</v>
      </c>
      <c r="AN464" s="100">
        <v>15</v>
      </c>
      <c r="AO464" s="100">
        <f t="shared" si="518"/>
        <v>0</v>
      </c>
      <c r="AP464" s="100">
        <f t="shared" si="519"/>
        <v>0</v>
      </c>
      <c r="AQ464" s="111" t="s">
        <v>8</v>
      </c>
      <c r="AV464" s="100">
        <f t="shared" si="520"/>
        <v>0</v>
      </c>
      <c r="AW464" s="100">
        <f t="shared" si="521"/>
        <v>0</v>
      </c>
      <c r="AX464" s="100">
        <f t="shared" si="522"/>
        <v>0</v>
      </c>
      <c r="AY464" s="110" t="s">
        <v>1720</v>
      </c>
      <c r="AZ464" s="110" t="s">
        <v>1730</v>
      </c>
      <c r="BA464" s="109" t="s">
        <v>1737</v>
      </c>
      <c r="BC464" s="100">
        <f t="shared" si="523"/>
        <v>0</v>
      </c>
      <c r="BD464" s="100">
        <f t="shared" si="524"/>
        <v>0</v>
      </c>
      <c r="BE464" s="100">
        <v>0</v>
      </c>
      <c r="BF464" s="100">
        <f>464</f>
        <v>464</v>
      </c>
      <c r="BH464" s="108">
        <f t="shared" si="525"/>
        <v>0</v>
      </c>
      <c r="BI464" s="108">
        <f t="shared" si="526"/>
        <v>0</v>
      </c>
      <c r="BJ464" s="108">
        <f t="shared" si="527"/>
        <v>0</v>
      </c>
    </row>
    <row r="465" spans="1:62" x14ac:dyDescent="0.2">
      <c r="A465" s="117" t="s">
        <v>418</v>
      </c>
      <c r="B465" s="117" t="s">
        <v>2673</v>
      </c>
      <c r="C465" s="304" t="s">
        <v>2672</v>
      </c>
      <c r="D465" s="305"/>
      <c r="E465" s="305"/>
      <c r="F465" s="117" t="s">
        <v>1644</v>
      </c>
      <c r="G465" s="116">
        <v>2</v>
      </c>
      <c r="H465" s="159"/>
      <c r="I465" s="108">
        <f t="shared" si="504"/>
        <v>0</v>
      </c>
      <c r="J465" s="108">
        <f t="shared" si="505"/>
        <v>0</v>
      </c>
      <c r="K465" s="108">
        <f t="shared" si="506"/>
        <v>0</v>
      </c>
      <c r="L465" s="111" t="s">
        <v>1671</v>
      </c>
      <c r="Z465" s="100">
        <f t="shared" si="507"/>
        <v>0</v>
      </c>
      <c r="AB465" s="100">
        <f t="shared" si="508"/>
        <v>0</v>
      </c>
      <c r="AC465" s="100">
        <f t="shared" si="509"/>
        <v>0</v>
      </c>
      <c r="AD465" s="100">
        <f t="shared" si="510"/>
        <v>0</v>
      </c>
      <c r="AE465" s="100">
        <f t="shared" si="511"/>
        <v>0</v>
      </c>
      <c r="AF465" s="100">
        <f t="shared" si="512"/>
        <v>0</v>
      </c>
      <c r="AG465" s="100">
        <f t="shared" si="513"/>
        <v>0</v>
      </c>
      <c r="AH465" s="100">
        <f t="shared" si="514"/>
        <v>0</v>
      </c>
      <c r="AI465" s="109"/>
      <c r="AJ465" s="108">
        <f t="shared" si="515"/>
        <v>0</v>
      </c>
      <c r="AK465" s="108">
        <f t="shared" si="516"/>
        <v>0</v>
      </c>
      <c r="AL465" s="108">
        <f t="shared" si="517"/>
        <v>0</v>
      </c>
      <c r="AN465" s="100">
        <v>15</v>
      </c>
      <c r="AO465" s="100">
        <f t="shared" si="518"/>
        <v>0</v>
      </c>
      <c r="AP465" s="100">
        <f t="shared" si="519"/>
        <v>0</v>
      </c>
      <c r="AQ465" s="111" t="s">
        <v>8</v>
      </c>
      <c r="AV465" s="100">
        <f t="shared" si="520"/>
        <v>0</v>
      </c>
      <c r="AW465" s="100">
        <f t="shared" si="521"/>
        <v>0</v>
      </c>
      <c r="AX465" s="100">
        <f t="shared" si="522"/>
        <v>0</v>
      </c>
      <c r="AY465" s="110" t="s">
        <v>1720</v>
      </c>
      <c r="AZ465" s="110" t="s">
        <v>1730</v>
      </c>
      <c r="BA465" s="109" t="s">
        <v>1737</v>
      </c>
      <c r="BC465" s="100">
        <f t="shared" si="523"/>
        <v>0</v>
      </c>
      <c r="BD465" s="100">
        <f t="shared" si="524"/>
        <v>0</v>
      </c>
      <c r="BE465" s="100">
        <v>0</v>
      </c>
      <c r="BF465" s="100">
        <f>465</f>
        <v>465</v>
      </c>
      <c r="BH465" s="108">
        <f t="shared" si="525"/>
        <v>0</v>
      </c>
      <c r="BI465" s="108">
        <f t="shared" si="526"/>
        <v>0</v>
      </c>
      <c r="BJ465" s="108">
        <f t="shared" si="527"/>
        <v>0</v>
      </c>
    </row>
    <row r="466" spans="1:62" x14ac:dyDescent="0.2">
      <c r="A466" s="117" t="s">
        <v>419</v>
      </c>
      <c r="B466" s="117" t="s">
        <v>940</v>
      </c>
      <c r="C466" s="304" t="s">
        <v>1529</v>
      </c>
      <c r="D466" s="305"/>
      <c r="E466" s="305"/>
      <c r="F466" s="117" t="s">
        <v>1644</v>
      </c>
      <c r="G466" s="116">
        <v>1</v>
      </c>
      <c r="H466" s="159"/>
      <c r="I466" s="108">
        <f t="shared" si="504"/>
        <v>0</v>
      </c>
      <c r="J466" s="108">
        <f t="shared" si="505"/>
        <v>0</v>
      </c>
      <c r="K466" s="108">
        <f t="shared" si="506"/>
        <v>0</v>
      </c>
      <c r="L466" s="111" t="s">
        <v>1671</v>
      </c>
      <c r="Z466" s="100">
        <f t="shared" si="507"/>
        <v>0</v>
      </c>
      <c r="AB466" s="100">
        <f t="shared" si="508"/>
        <v>0</v>
      </c>
      <c r="AC466" s="100">
        <f t="shared" si="509"/>
        <v>0</v>
      </c>
      <c r="AD466" s="100">
        <f t="shared" si="510"/>
        <v>0</v>
      </c>
      <c r="AE466" s="100">
        <f t="shared" si="511"/>
        <v>0</v>
      </c>
      <c r="AF466" s="100">
        <f t="shared" si="512"/>
        <v>0</v>
      </c>
      <c r="AG466" s="100">
        <f t="shared" si="513"/>
        <v>0</v>
      </c>
      <c r="AH466" s="100">
        <f t="shared" si="514"/>
        <v>0</v>
      </c>
      <c r="AI466" s="109"/>
      <c r="AJ466" s="108">
        <f t="shared" si="515"/>
        <v>0</v>
      </c>
      <c r="AK466" s="108">
        <f t="shared" si="516"/>
        <v>0</v>
      </c>
      <c r="AL466" s="108">
        <f t="shared" si="517"/>
        <v>0</v>
      </c>
      <c r="AN466" s="100">
        <v>15</v>
      </c>
      <c r="AO466" s="100">
        <f t="shared" si="518"/>
        <v>0</v>
      </c>
      <c r="AP466" s="100">
        <f t="shared" si="519"/>
        <v>0</v>
      </c>
      <c r="AQ466" s="111" t="s">
        <v>8</v>
      </c>
      <c r="AV466" s="100">
        <f t="shared" si="520"/>
        <v>0</v>
      </c>
      <c r="AW466" s="100">
        <f t="shared" si="521"/>
        <v>0</v>
      </c>
      <c r="AX466" s="100">
        <f t="shared" si="522"/>
        <v>0</v>
      </c>
      <c r="AY466" s="110" t="s">
        <v>1720</v>
      </c>
      <c r="AZ466" s="110" t="s">
        <v>1730</v>
      </c>
      <c r="BA466" s="109" t="s">
        <v>1737</v>
      </c>
      <c r="BC466" s="100">
        <f t="shared" si="523"/>
        <v>0</v>
      </c>
      <c r="BD466" s="100">
        <f t="shared" si="524"/>
        <v>0</v>
      </c>
      <c r="BE466" s="100">
        <v>0</v>
      </c>
      <c r="BF466" s="100">
        <f>466</f>
        <v>466</v>
      </c>
      <c r="BH466" s="108">
        <f t="shared" si="525"/>
        <v>0</v>
      </c>
      <c r="BI466" s="108">
        <f t="shared" si="526"/>
        <v>0</v>
      </c>
      <c r="BJ466" s="108">
        <f t="shared" si="527"/>
        <v>0</v>
      </c>
    </row>
    <row r="467" spans="1:62" x14ac:dyDescent="0.2">
      <c r="A467" s="117" t="s">
        <v>420</v>
      </c>
      <c r="B467" s="117" t="s">
        <v>3025</v>
      </c>
      <c r="C467" s="304" t="s">
        <v>1531</v>
      </c>
      <c r="D467" s="305"/>
      <c r="E467" s="305"/>
      <c r="F467" s="117" t="s">
        <v>1644</v>
      </c>
      <c r="G467" s="116">
        <v>1</v>
      </c>
      <c r="H467" s="159"/>
      <c r="I467" s="108">
        <f t="shared" si="504"/>
        <v>0</v>
      </c>
      <c r="J467" s="108">
        <f t="shared" si="505"/>
        <v>0</v>
      </c>
      <c r="K467" s="108">
        <f t="shared" si="506"/>
        <v>0</v>
      </c>
      <c r="L467" s="111"/>
      <c r="Z467" s="100">
        <f t="shared" si="507"/>
        <v>0</v>
      </c>
      <c r="AB467" s="100">
        <f t="shared" si="508"/>
        <v>0</v>
      </c>
      <c r="AC467" s="100">
        <f t="shared" si="509"/>
        <v>0</v>
      </c>
      <c r="AD467" s="100">
        <f t="shared" si="510"/>
        <v>0</v>
      </c>
      <c r="AE467" s="100">
        <f t="shared" si="511"/>
        <v>0</v>
      </c>
      <c r="AF467" s="100">
        <f t="shared" si="512"/>
        <v>0</v>
      </c>
      <c r="AG467" s="100">
        <f t="shared" si="513"/>
        <v>0</v>
      </c>
      <c r="AH467" s="100">
        <f t="shared" si="514"/>
        <v>0</v>
      </c>
      <c r="AI467" s="109"/>
      <c r="AJ467" s="108">
        <f t="shared" si="515"/>
        <v>0</v>
      </c>
      <c r="AK467" s="108">
        <f t="shared" si="516"/>
        <v>0</v>
      </c>
      <c r="AL467" s="108">
        <f t="shared" si="517"/>
        <v>0</v>
      </c>
      <c r="AN467" s="100">
        <v>15</v>
      </c>
      <c r="AO467" s="100">
        <f t="shared" si="518"/>
        <v>0</v>
      </c>
      <c r="AP467" s="100">
        <f t="shared" si="519"/>
        <v>0</v>
      </c>
      <c r="AQ467" s="111" t="s">
        <v>7</v>
      </c>
      <c r="AV467" s="100">
        <f t="shared" si="520"/>
        <v>0</v>
      </c>
      <c r="AW467" s="100">
        <f t="shared" si="521"/>
        <v>0</v>
      </c>
      <c r="AX467" s="100">
        <f t="shared" si="522"/>
        <v>0</v>
      </c>
      <c r="AY467" s="110" t="s">
        <v>1720</v>
      </c>
      <c r="AZ467" s="110" t="s">
        <v>1730</v>
      </c>
      <c r="BA467" s="109" t="s">
        <v>1737</v>
      </c>
      <c r="BC467" s="100">
        <f t="shared" si="523"/>
        <v>0</v>
      </c>
      <c r="BD467" s="100">
        <f t="shared" si="524"/>
        <v>0</v>
      </c>
      <c r="BE467" s="100">
        <v>0</v>
      </c>
      <c r="BF467" s="100">
        <f>467</f>
        <v>467</v>
      </c>
      <c r="BH467" s="108">
        <f t="shared" si="525"/>
        <v>0</v>
      </c>
      <c r="BI467" s="108">
        <f t="shared" si="526"/>
        <v>0</v>
      </c>
      <c r="BJ467" s="108">
        <f t="shared" si="527"/>
        <v>0</v>
      </c>
    </row>
    <row r="468" spans="1:62" x14ac:dyDescent="0.2">
      <c r="A468" s="117" t="s">
        <v>421</v>
      </c>
      <c r="B468" s="117" t="s">
        <v>3024</v>
      </c>
      <c r="C468" s="304" t="s">
        <v>1532</v>
      </c>
      <c r="D468" s="305"/>
      <c r="E468" s="305"/>
      <c r="F468" s="117" t="s">
        <v>1646</v>
      </c>
      <c r="G468" s="116">
        <v>20</v>
      </c>
      <c r="H468" s="159"/>
      <c r="I468" s="108">
        <f t="shared" si="504"/>
        <v>0</v>
      </c>
      <c r="J468" s="108">
        <f t="shared" si="505"/>
        <v>0</v>
      </c>
      <c r="K468" s="108">
        <f t="shared" si="506"/>
        <v>0</v>
      </c>
      <c r="L468" s="111"/>
      <c r="Z468" s="100">
        <f t="shared" si="507"/>
        <v>0</v>
      </c>
      <c r="AB468" s="100">
        <f t="shared" si="508"/>
        <v>0</v>
      </c>
      <c r="AC468" s="100">
        <f t="shared" si="509"/>
        <v>0</v>
      </c>
      <c r="AD468" s="100">
        <f t="shared" si="510"/>
        <v>0</v>
      </c>
      <c r="AE468" s="100">
        <f t="shared" si="511"/>
        <v>0</v>
      </c>
      <c r="AF468" s="100">
        <f t="shared" si="512"/>
        <v>0</v>
      </c>
      <c r="AG468" s="100">
        <f t="shared" si="513"/>
        <v>0</v>
      </c>
      <c r="AH468" s="100">
        <f t="shared" si="514"/>
        <v>0</v>
      </c>
      <c r="AI468" s="109"/>
      <c r="AJ468" s="108">
        <f t="shared" si="515"/>
        <v>0</v>
      </c>
      <c r="AK468" s="108">
        <f t="shared" si="516"/>
        <v>0</v>
      </c>
      <c r="AL468" s="108">
        <f t="shared" si="517"/>
        <v>0</v>
      </c>
      <c r="AN468" s="100">
        <v>15</v>
      </c>
      <c r="AO468" s="100">
        <f t="shared" si="518"/>
        <v>0</v>
      </c>
      <c r="AP468" s="100">
        <f t="shared" si="519"/>
        <v>0</v>
      </c>
      <c r="AQ468" s="111" t="s">
        <v>7</v>
      </c>
      <c r="AV468" s="100">
        <f t="shared" si="520"/>
        <v>0</v>
      </c>
      <c r="AW468" s="100">
        <f t="shared" si="521"/>
        <v>0</v>
      </c>
      <c r="AX468" s="100">
        <f t="shared" si="522"/>
        <v>0</v>
      </c>
      <c r="AY468" s="110" t="s">
        <v>1720</v>
      </c>
      <c r="AZ468" s="110" t="s">
        <v>1730</v>
      </c>
      <c r="BA468" s="109" t="s">
        <v>1737</v>
      </c>
      <c r="BC468" s="100">
        <f t="shared" si="523"/>
        <v>0</v>
      </c>
      <c r="BD468" s="100">
        <f t="shared" si="524"/>
        <v>0</v>
      </c>
      <c r="BE468" s="100">
        <v>0</v>
      </c>
      <c r="BF468" s="100">
        <f>468</f>
        <v>468</v>
      </c>
      <c r="BH468" s="108">
        <f t="shared" si="525"/>
        <v>0</v>
      </c>
      <c r="BI468" s="108">
        <f t="shared" si="526"/>
        <v>0</v>
      </c>
      <c r="BJ468" s="108">
        <f t="shared" si="527"/>
        <v>0</v>
      </c>
    </row>
    <row r="469" spans="1:62" x14ac:dyDescent="0.2">
      <c r="A469" s="117" t="s">
        <v>422</v>
      </c>
      <c r="B469" s="117" t="s">
        <v>3023</v>
      </c>
      <c r="C469" s="304" t="s">
        <v>1533</v>
      </c>
      <c r="D469" s="305"/>
      <c r="E469" s="305"/>
      <c r="F469" s="117" t="s">
        <v>1646</v>
      </c>
      <c r="G469" s="116">
        <v>10</v>
      </c>
      <c r="H469" s="159"/>
      <c r="I469" s="108">
        <f t="shared" si="504"/>
        <v>0</v>
      </c>
      <c r="J469" s="108">
        <f t="shared" si="505"/>
        <v>0</v>
      </c>
      <c r="K469" s="108">
        <f t="shared" si="506"/>
        <v>0</v>
      </c>
      <c r="L469" s="111"/>
      <c r="Z469" s="100">
        <f t="shared" si="507"/>
        <v>0</v>
      </c>
      <c r="AB469" s="100">
        <f t="shared" si="508"/>
        <v>0</v>
      </c>
      <c r="AC469" s="100">
        <f t="shared" si="509"/>
        <v>0</v>
      </c>
      <c r="AD469" s="100">
        <f t="shared" si="510"/>
        <v>0</v>
      </c>
      <c r="AE469" s="100">
        <f t="shared" si="511"/>
        <v>0</v>
      </c>
      <c r="AF469" s="100">
        <f t="shared" si="512"/>
        <v>0</v>
      </c>
      <c r="AG469" s="100">
        <f t="shared" si="513"/>
        <v>0</v>
      </c>
      <c r="AH469" s="100">
        <f t="shared" si="514"/>
        <v>0</v>
      </c>
      <c r="AI469" s="109"/>
      <c r="AJ469" s="108">
        <f t="shared" si="515"/>
        <v>0</v>
      </c>
      <c r="AK469" s="108">
        <f t="shared" si="516"/>
        <v>0</v>
      </c>
      <c r="AL469" s="108">
        <f t="shared" si="517"/>
        <v>0</v>
      </c>
      <c r="AN469" s="100">
        <v>15</v>
      </c>
      <c r="AO469" s="100">
        <f t="shared" si="518"/>
        <v>0</v>
      </c>
      <c r="AP469" s="100">
        <f t="shared" si="519"/>
        <v>0</v>
      </c>
      <c r="AQ469" s="111" t="s">
        <v>7</v>
      </c>
      <c r="AV469" s="100">
        <f t="shared" si="520"/>
        <v>0</v>
      </c>
      <c r="AW469" s="100">
        <f t="shared" si="521"/>
        <v>0</v>
      </c>
      <c r="AX469" s="100">
        <f t="shared" si="522"/>
        <v>0</v>
      </c>
      <c r="AY469" s="110" t="s">
        <v>1720</v>
      </c>
      <c r="AZ469" s="110" t="s">
        <v>1730</v>
      </c>
      <c r="BA469" s="109" t="s">
        <v>1737</v>
      </c>
      <c r="BC469" s="100">
        <f t="shared" si="523"/>
        <v>0</v>
      </c>
      <c r="BD469" s="100">
        <f t="shared" si="524"/>
        <v>0</v>
      </c>
      <c r="BE469" s="100">
        <v>0</v>
      </c>
      <c r="BF469" s="100">
        <f>469</f>
        <v>469</v>
      </c>
      <c r="BH469" s="108">
        <f t="shared" si="525"/>
        <v>0</v>
      </c>
      <c r="BI469" s="108">
        <f t="shared" si="526"/>
        <v>0</v>
      </c>
      <c r="BJ469" s="108">
        <f t="shared" si="527"/>
        <v>0</v>
      </c>
    </row>
    <row r="470" spans="1:62" x14ac:dyDescent="0.2">
      <c r="A470" s="117" t="s">
        <v>423</v>
      </c>
      <c r="B470" s="117" t="s">
        <v>3022</v>
      </c>
      <c r="C470" s="304" t="s">
        <v>1534</v>
      </c>
      <c r="D470" s="305"/>
      <c r="E470" s="305"/>
      <c r="F470" s="117" t="s">
        <v>1644</v>
      </c>
      <c r="G470" s="116">
        <v>5</v>
      </c>
      <c r="H470" s="159"/>
      <c r="I470" s="108">
        <f t="shared" si="504"/>
        <v>0</v>
      </c>
      <c r="J470" s="108">
        <f t="shared" si="505"/>
        <v>0</v>
      </c>
      <c r="K470" s="108">
        <f t="shared" si="506"/>
        <v>0</v>
      </c>
      <c r="L470" s="111"/>
      <c r="Z470" s="100">
        <f t="shared" si="507"/>
        <v>0</v>
      </c>
      <c r="AB470" s="100">
        <f t="shared" si="508"/>
        <v>0</v>
      </c>
      <c r="AC470" s="100">
        <f t="shared" si="509"/>
        <v>0</v>
      </c>
      <c r="AD470" s="100">
        <f t="shared" si="510"/>
        <v>0</v>
      </c>
      <c r="AE470" s="100">
        <f t="shared" si="511"/>
        <v>0</v>
      </c>
      <c r="AF470" s="100">
        <f t="shared" si="512"/>
        <v>0</v>
      </c>
      <c r="AG470" s="100">
        <f t="shared" si="513"/>
        <v>0</v>
      </c>
      <c r="AH470" s="100">
        <f t="shared" si="514"/>
        <v>0</v>
      </c>
      <c r="AI470" s="109"/>
      <c r="AJ470" s="108">
        <f t="shared" si="515"/>
        <v>0</v>
      </c>
      <c r="AK470" s="108">
        <f t="shared" si="516"/>
        <v>0</v>
      </c>
      <c r="AL470" s="108">
        <f t="shared" si="517"/>
        <v>0</v>
      </c>
      <c r="AN470" s="100">
        <v>15</v>
      </c>
      <c r="AO470" s="100">
        <f t="shared" si="518"/>
        <v>0</v>
      </c>
      <c r="AP470" s="100">
        <f t="shared" si="519"/>
        <v>0</v>
      </c>
      <c r="AQ470" s="111" t="s">
        <v>7</v>
      </c>
      <c r="AV470" s="100">
        <f t="shared" si="520"/>
        <v>0</v>
      </c>
      <c r="AW470" s="100">
        <f t="shared" si="521"/>
        <v>0</v>
      </c>
      <c r="AX470" s="100">
        <f t="shared" si="522"/>
        <v>0</v>
      </c>
      <c r="AY470" s="110" t="s">
        <v>1720</v>
      </c>
      <c r="AZ470" s="110" t="s">
        <v>1730</v>
      </c>
      <c r="BA470" s="109" t="s">
        <v>1737</v>
      </c>
      <c r="BC470" s="100">
        <f t="shared" si="523"/>
        <v>0</v>
      </c>
      <c r="BD470" s="100">
        <f t="shared" si="524"/>
        <v>0</v>
      </c>
      <c r="BE470" s="100">
        <v>0</v>
      </c>
      <c r="BF470" s="100">
        <f>470</f>
        <v>470</v>
      </c>
      <c r="BH470" s="108">
        <f t="shared" si="525"/>
        <v>0</v>
      </c>
      <c r="BI470" s="108">
        <f t="shared" si="526"/>
        <v>0</v>
      </c>
      <c r="BJ470" s="108">
        <f t="shared" si="527"/>
        <v>0</v>
      </c>
    </row>
    <row r="471" spans="1:62" x14ac:dyDescent="0.2">
      <c r="A471" s="117" t="s">
        <v>424</v>
      </c>
      <c r="B471" s="117" t="s">
        <v>3021</v>
      </c>
      <c r="C471" s="304" t="s">
        <v>1535</v>
      </c>
      <c r="D471" s="305"/>
      <c r="E471" s="305"/>
      <c r="F471" s="117" t="s">
        <v>1644</v>
      </c>
      <c r="G471" s="116">
        <v>3</v>
      </c>
      <c r="H471" s="159"/>
      <c r="I471" s="108">
        <f t="shared" si="504"/>
        <v>0</v>
      </c>
      <c r="J471" s="108">
        <f t="shared" si="505"/>
        <v>0</v>
      </c>
      <c r="K471" s="108">
        <f t="shared" si="506"/>
        <v>0</v>
      </c>
      <c r="L471" s="111"/>
      <c r="Z471" s="100">
        <f t="shared" si="507"/>
        <v>0</v>
      </c>
      <c r="AB471" s="100">
        <f t="shared" si="508"/>
        <v>0</v>
      </c>
      <c r="AC471" s="100">
        <f t="shared" si="509"/>
        <v>0</v>
      </c>
      <c r="AD471" s="100">
        <f t="shared" si="510"/>
        <v>0</v>
      </c>
      <c r="AE471" s="100">
        <f t="shared" si="511"/>
        <v>0</v>
      </c>
      <c r="AF471" s="100">
        <f t="shared" si="512"/>
        <v>0</v>
      </c>
      <c r="AG471" s="100">
        <f t="shared" si="513"/>
        <v>0</v>
      </c>
      <c r="AH471" s="100">
        <f t="shared" si="514"/>
        <v>0</v>
      </c>
      <c r="AI471" s="109"/>
      <c r="AJ471" s="108">
        <f t="shared" si="515"/>
        <v>0</v>
      </c>
      <c r="AK471" s="108">
        <f t="shared" si="516"/>
        <v>0</v>
      </c>
      <c r="AL471" s="108">
        <f t="shared" si="517"/>
        <v>0</v>
      </c>
      <c r="AN471" s="100">
        <v>15</v>
      </c>
      <c r="AO471" s="100">
        <f t="shared" si="518"/>
        <v>0</v>
      </c>
      <c r="AP471" s="100">
        <f t="shared" si="519"/>
        <v>0</v>
      </c>
      <c r="AQ471" s="111" t="s">
        <v>7</v>
      </c>
      <c r="AV471" s="100">
        <f t="shared" si="520"/>
        <v>0</v>
      </c>
      <c r="AW471" s="100">
        <f t="shared" si="521"/>
        <v>0</v>
      </c>
      <c r="AX471" s="100">
        <f t="shared" si="522"/>
        <v>0</v>
      </c>
      <c r="AY471" s="110" t="s">
        <v>1720</v>
      </c>
      <c r="AZ471" s="110" t="s">
        <v>1730</v>
      </c>
      <c r="BA471" s="109" t="s">
        <v>1737</v>
      </c>
      <c r="BC471" s="100">
        <f t="shared" si="523"/>
        <v>0</v>
      </c>
      <c r="BD471" s="100">
        <f t="shared" si="524"/>
        <v>0</v>
      </c>
      <c r="BE471" s="100">
        <v>0</v>
      </c>
      <c r="BF471" s="100">
        <f>471</f>
        <v>471</v>
      </c>
      <c r="BH471" s="108">
        <f t="shared" si="525"/>
        <v>0</v>
      </c>
      <c r="BI471" s="108">
        <f t="shared" si="526"/>
        <v>0</v>
      </c>
      <c r="BJ471" s="108">
        <f t="shared" si="527"/>
        <v>0</v>
      </c>
    </row>
    <row r="472" spans="1:62" x14ac:dyDescent="0.2">
      <c r="A472" s="117" t="s">
        <v>425</v>
      </c>
      <c r="B472" s="117" t="s">
        <v>3020</v>
      </c>
      <c r="C472" s="304" t="s">
        <v>1536</v>
      </c>
      <c r="D472" s="305"/>
      <c r="E472" s="305"/>
      <c r="F472" s="117" t="s">
        <v>1644</v>
      </c>
      <c r="G472" s="116">
        <v>24</v>
      </c>
      <c r="H472" s="159"/>
      <c r="I472" s="108">
        <f t="shared" si="504"/>
        <v>0</v>
      </c>
      <c r="J472" s="108">
        <f t="shared" si="505"/>
        <v>0</v>
      </c>
      <c r="K472" s="108">
        <f t="shared" si="506"/>
        <v>0</v>
      </c>
      <c r="L472" s="111"/>
      <c r="Z472" s="100">
        <f t="shared" si="507"/>
        <v>0</v>
      </c>
      <c r="AB472" s="100">
        <f t="shared" si="508"/>
        <v>0</v>
      </c>
      <c r="AC472" s="100">
        <f t="shared" si="509"/>
        <v>0</v>
      </c>
      <c r="AD472" s="100">
        <f t="shared" si="510"/>
        <v>0</v>
      </c>
      <c r="AE472" s="100">
        <f t="shared" si="511"/>
        <v>0</v>
      </c>
      <c r="AF472" s="100">
        <f t="shared" si="512"/>
        <v>0</v>
      </c>
      <c r="AG472" s="100">
        <f t="shared" si="513"/>
        <v>0</v>
      </c>
      <c r="AH472" s="100">
        <f t="shared" si="514"/>
        <v>0</v>
      </c>
      <c r="AI472" s="109"/>
      <c r="AJ472" s="108">
        <f t="shared" si="515"/>
        <v>0</v>
      </c>
      <c r="AK472" s="108">
        <f t="shared" si="516"/>
        <v>0</v>
      </c>
      <c r="AL472" s="108">
        <f t="shared" si="517"/>
        <v>0</v>
      </c>
      <c r="AN472" s="100">
        <v>15</v>
      </c>
      <c r="AO472" s="100">
        <f t="shared" si="518"/>
        <v>0</v>
      </c>
      <c r="AP472" s="100">
        <f t="shared" si="519"/>
        <v>0</v>
      </c>
      <c r="AQ472" s="111" t="s">
        <v>7</v>
      </c>
      <c r="AV472" s="100">
        <f t="shared" si="520"/>
        <v>0</v>
      </c>
      <c r="AW472" s="100">
        <f t="shared" si="521"/>
        <v>0</v>
      </c>
      <c r="AX472" s="100">
        <f t="shared" si="522"/>
        <v>0</v>
      </c>
      <c r="AY472" s="110" t="s">
        <v>1720</v>
      </c>
      <c r="AZ472" s="110" t="s">
        <v>1730</v>
      </c>
      <c r="BA472" s="109" t="s">
        <v>1737</v>
      </c>
      <c r="BC472" s="100">
        <f t="shared" si="523"/>
        <v>0</v>
      </c>
      <c r="BD472" s="100">
        <f t="shared" si="524"/>
        <v>0</v>
      </c>
      <c r="BE472" s="100">
        <v>0</v>
      </c>
      <c r="BF472" s="100">
        <f>472</f>
        <v>472</v>
      </c>
      <c r="BH472" s="108">
        <f t="shared" si="525"/>
        <v>0</v>
      </c>
      <c r="BI472" s="108">
        <f t="shared" si="526"/>
        <v>0</v>
      </c>
      <c r="BJ472" s="108">
        <f t="shared" si="527"/>
        <v>0</v>
      </c>
    </row>
    <row r="473" spans="1:62" x14ac:dyDescent="0.2">
      <c r="A473" s="117" t="s">
        <v>426</v>
      </c>
      <c r="B473" s="117" t="s">
        <v>3019</v>
      </c>
      <c r="C473" s="304" t="s">
        <v>1537</v>
      </c>
      <c r="D473" s="305"/>
      <c r="E473" s="305"/>
      <c r="F473" s="117" t="s">
        <v>1644</v>
      </c>
      <c r="G473" s="116">
        <v>1</v>
      </c>
      <c r="H473" s="159"/>
      <c r="I473" s="108">
        <f t="shared" si="504"/>
        <v>0</v>
      </c>
      <c r="J473" s="108">
        <f t="shared" si="505"/>
        <v>0</v>
      </c>
      <c r="K473" s="108">
        <f t="shared" si="506"/>
        <v>0</v>
      </c>
      <c r="L473" s="111"/>
      <c r="Z473" s="100">
        <f t="shared" si="507"/>
        <v>0</v>
      </c>
      <c r="AB473" s="100">
        <f t="shared" si="508"/>
        <v>0</v>
      </c>
      <c r="AC473" s="100">
        <f t="shared" si="509"/>
        <v>0</v>
      </c>
      <c r="AD473" s="100">
        <f t="shared" si="510"/>
        <v>0</v>
      </c>
      <c r="AE473" s="100">
        <f t="shared" si="511"/>
        <v>0</v>
      </c>
      <c r="AF473" s="100">
        <f t="shared" si="512"/>
        <v>0</v>
      </c>
      <c r="AG473" s="100">
        <f t="shared" si="513"/>
        <v>0</v>
      </c>
      <c r="AH473" s="100">
        <f t="shared" si="514"/>
        <v>0</v>
      </c>
      <c r="AI473" s="109"/>
      <c r="AJ473" s="108">
        <f t="shared" si="515"/>
        <v>0</v>
      </c>
      <c r="AK473" s="108">
        <f t="shared" si="516"/>
        <v>0</v>
      </c>
      <c r="AL473" s="108">
        <f t="shared" si="517"/>
        <v>0</v>
      </c>
      <c r="AN473" s="100">
        <v>15</v>
      </c>
      <c r="AO473" s="100">
        <f t="shared" si="518"/>
        <v>0</v>
      </c>
      <c r="AP473" s="100">
        <f t="shared" si="519"/>
        <v>0</v>
      </c>
      <c r="AQ473" s="111" t="s">
        <v>7</v>
      </c>
      <c r="AV473" s="100">
        <f t="shared" si="520"/>
        <v>0</v>
      </c>
      <c r="AW473" s="100">
        <f t="shared" si="521"/>
        <v>0</v>
      </c>
      <c r="AX473" s="100">
        <f t="shared" si="522"/>
        <v>0</v>
      </c>
      <c r="AY473" s="110" t="s">
        <v>1720</v>
      </c>
      <c r="AZ473" s="110" t="s">
        <v>1730</v>
      </c>
      <c r="BA473" s="109" t="s">
        <v>1737</v>
      </c>
      <c r="BC473" s="100">
        <f t="shared" si="523"/>
        <v>0</v>
      </c>
      <c r="BD473" s="100">
        <f t="shared" si="524"/>
        <v>0</v>
      </c>
      <c r="BE473" s="100">
        <v>0</v>
      </c>
      <c r="BF473" s="100">
        <f>473</f>
        <v>473</v>
      </c>
      <c r="BH473" s="108">
        <f t="shared" si="525"/>
        <v>0</v>
      </c>
      <c r="BI473" s="108">
        <f t="shared" si="526"/>
        <v>0</v>
      </c>
      <c r="BJ473" s="108">
        <f t="shared" si="527"/>
        <v>0</v>
      </c>
    </row>
    <row r="474" spans="1:62" x14ac:dyDescent="0.2">
      <c r="A474" s="117" t="s">
        <v>427</v>
      </c>
      <c r="B474" s="117" t="s">
        <v>3018</v>
      </c>
      <c r="C474" s="304" t="s">
        <v>1538</v>
      </c>
      <c r="D474" s="305"/>
      <c r="E474" s="305"/>
      <c r="F474" s="117" t="s">
        <v>1646</v>
      </c>
      <c r="G474" s="116">
        <v>10</v>
      </c>
      <c r="H474" s="159"/>
      <c r="I474" s="108">
        <f t="shared" si="504"/>
        <v>0</v>
      </c>
      <c r="J474" s="108">
        <f t="shared" si="505"/>
        <v>0</v>
      </c>
      <c r="K474" s="108">
        <f t="shared" si="506"/>
        <v>0</v>
      </c>
      <c r="L474" s="111"/>
      <c r="Z474" s="100">
        <f t="shared" si="507"/>
        <v>0</v>
      </c>
      <c r="AB474" s="100">
        <f t="shared" si="508"/>
        <v>0</v>
      </c>
      <c r="AC474" s="100">
        <f t="shared" si="509"/>
        <v>0</v>
      </c>
      <c r="AD474" s="100">
        <f t="shared" si="510"/>
        <v>0</v>
      </c>
      <c r="AE474" s="100">
        <f t="shared" si="511"/>
        <v>0</v>
      </c>
      <c r="AF474" s="100">
        <f t="shared" si="512"/>
        <v>0</v>
      </c>
      <c r="AG474" s="100">
        <f t="shared" si="513"/>
        <v>0</v>
      </c>
      <c r="AH474" s="100">
        <f t="shared" si="514"/>
        <v>0</v>
      </c>
      <c r="AI474" s="109"/>
      <c r="AJ474" s="108">
        <f t="shared" si="515"/>
        <v>0</v>
      </c>
      <c r="AK474" s="108">
        <f t="shared" si="516"/>
        <v>0</v>
      </c>
      <c r="AL474" s="108">
        <f t="shared" si="517"/>
        <v>0</v>
      </c>
      <c r="AN474" s="100">
        <v>15</v>
      </c>
      <c r="AO474" s="100">
        <f t="shared" si="518"/>
        <v>0</v>
      </c>
      <c r="AP474" s="100">
        <f t="shared" si="519"/>
        <v>0</v>
      </c>
      <c r="AQ474" s="111" t="s">
        <v>7</v>
      </c>
      <c r="AV474" s="100">
        <f t="shared" si="520"/>
        <v>0</v>
      </c>
      <c r="AW474" s="100">
        <f t="shared" si="521"/>
        <v>0</v>
      </c>
      <c r="AX474" s="100">
        <f t="shared" si="522"/>
        <v>0</v>
      </c>
      <c r="AY474" s="110" t="s">
        <v>1720</v>
      </c>
      <c r="AZ474" s="110" t="s">
        <v>1730</v>
      </c>
      <c r="BA474" s="109" t="s">
        <v>1737</v>
      </c>
      <c r="BC474" s="100">
        <f t="shared" si="523"/>
        <v>0</v>
      </c>
      <c r="BD474" s="100">
        <f t="shared" si="524"/>
        <v>0</v>
      </c>
      <c r="BE474" s="100">
        <v>0</v>
      </c>
      <c r="BF474" s="100">
        <f>474</f>
        <v>474</v>
      </c>
      <c r="BH474" s="108">
        <f t="shared" si="525"/>
        <v>0</v>
      </c>
      <c r="BI474" s="108">
        <f t="shared" si="526"/>
        <v>0</v>
      </c>
      <c r="BJ474" s="108">
        <f t="shared" si="527"/>
        <v>0</v>
      </c>
    </row>
    <row r="475" spans="1:62" x14ac:dyDescent="0.2">
      <c r="A475" s="117" t="s">
        <v>428</v>
      </c>
      <c r="B475" s="117" t="s">
        <v>3017</v>
      </c>
      <c r="C475" s="304" t="s">
        <v>1539</v>
      </c>
      <c r="D475" s="305"/>
      <c r="E475" s="305"/>
      <c r="F475" s="117" t="s">
        <v>1646</v>
      </c>
      <c r="G475" s="116">
        <v>10</v>
      </c>
      <c r="H475" s="159"/>
      <c r="I475" s="108">
        <f t="shared" si="504"/>
        <v>0</v>
      </c>
      <c r="J475" s="108">
        <f t="shared" si="505"/>
        <v>0</v>
      </c>
      <c r="K475" s="108">
        <f t="shared" si="506"/>
        <v>0</v>
      </c>
      <c r="L475" s="111"/>
      <c r="Z475" s="100">
        <f t="shared" si="507"/>
        <v>0</v>
      </c>
      <c r="AB475" s="100">
        <f t="shared" si="508"/>
        <v>0</v>
      </c>
      <c r="AC475" s="100">
        <f t="shared" si="509"/>
        <v>0</v>
      </c>
      <c r="AD475" s="100">
        <f t="shared" si="510"/>
        <v>0</v>
      </c>
      <c r="AE475" s="100">
        <f t="shared" si="511"/>
        <v>0</v>
      </c>
      <c r="AF475" s="100">
        <f t="shared" si="512"/>
        <v>0</v>
      </c>
      <c r="AG475" s="100">
        <f t="shared" si="513"/>
        <v>0</v>
      </c>
      <c r="AH475" s="100">
        <f t="shared" si="514"/>
        <v>0</v>
      </c>
      <c r="AI475" s="109"/>
      <c r="AJ475" s="108">
        <f t="shared" si="515"/>
        <v>0</v>
      </c>
      <c r="AK475" s="108">
        <f t="shared" si="516"/>
        <v>0</v>
      </c>
      <c r="AL475" s="108">
        <f t="shared" si="517"/>
        <v>0</v>
      </c>
      <c r="AN475" s="100">
        <v>15</v>
      </c>
      <c r="AO475" s="100">
        <f t="shared" si="518"/>
        <v>0</v>
      </c>
      <c r="AP475" s="100">
        <f t="shared" si="519"/>
        <v>0</v>
      </c>
      <c r="AQ475" s="111" t="s">
        <v>7</v>
      </c>
      <c r="AV475" s="100">
        <f t="shared" si="520"/>
        <v>0</v>
      </c>
      <c r="AW475" s="100">
        <f t="shared" si="521"/>
        <v>0</v>
      </c>
      <c r="AX475" s="100">
        <f t="shared" si="522"/>
        <v>0</v>
      </c>
      <c r="AY475" s="110" t="s">
        <v>1720</v>
      </c>
      <c r="AZ475" s="110" t="s">
        <v>1730</v>
      </c>
      <c r="BA475" s="109" t="s">
        <v>1737</v>
      </c>
      <c r="BC475" s="100">
        <f t="shared" si="523"/>
        <v>0</v>
      </c>
      <c r="BD475" s="100">
        <f t="shared" si="524"/>
        <v>0</v>
      </c>
      <c r="BE475" s="100">
        <v>0</v>
      </c>
      <c r="BF475" s="100">
        <f>475</f>
        <v>475</v>
      </c>
      <c r="BH475" s="108">
        <f t="shared" si="525"/>
        <v>0</v>
      </c>
      <c r="BI475" s="108">
        <f t="shared" si="526"/>
        <v>0</v>
      </c>
      <c r="BJ475" s="108">
        <f t="shared" si="527"/>
        <v>0</v>
      </c>
    </row>
    <row r="476" spans="1:62" x14ac:dyDescent="0.2">
      <c r="A476" s="117" t="s">
        <v>429</v>
      </c>
      <c r="B476" s="117" t="s">
        <v>3016</v>
      </c>
      <c r="C476" s="304" t="s">
        <v>1540</v>
      </c>
      <c r="D476" s="305"/>
      <c r="E476" s="305"/>
      <c r="F476" s="117" t="s">
        <v>1646</v>
      </c>
      <c r="G476" s="116">
        <v>20</v>
      </c>
      <c r="H476" s="159"/>
      <c r="I476" s="108">
        <f t="shared" si="504"/>
        <v>0</v>
      </c>
      <c r="J476" s="108">
        <f t="shared" si="505"/>
        <v>0</v>
      </c>
      <c r="K476" s="108">
        <f t="shared" si="506"/>
        <v>0</v>
      </c>
      <c r="L476" s="111"/>
      <c r="Z476" s="100">
        <f t="shared" si="507"/>
        <v>0</v>
      </c>
      <c r="AB476" s="100">
        <f t="shared" si="508"/>
        <v>0</v>
      </c>
      <c r="AC476" s="100">
        <f t="shared" si="509"/>
        <v>0</v>
      </c>
      <c r="AD476" s="100">
        <f t="shared" si="510"/>
        <v>0</v>
      </c>
      <c r="AE476" s="100">
        <f t="shared" si="511"/>
        <v>0</v>
      </c>
      <c r="AF476" s="100">
        <f t="shared" si="512"/>
        <v>0</v>
      </c>
      <c r="AG476" s="100">
        <f t="shared" si="513"/>
        <v>0</v>
      </c>
      <c r="AH476" s="100">
        <f t="shared" si="514"/>
        <v>0</v>
      </c>
      <c r="AI476" s="109"/>
      <c r="AJ476" s="108">
        <f t="shared" si="515"/>
        <v>0</v>
      </c>
      <c r="AK476" s="108">
        <f t="shared" si="516"/>
        <v>0</v>
      </c>
      <c r="AL476" s="108">
        <f t="shared" si="517"/>
        <v>0</v>
      </c>
      <c r="AN476" s="100">
        <v>15</v>
      </c>
      <c r="AO476" s="100">
        <f t="shared" si="518"/>
        <v>0</v>
      </c>
      <c r="AP476" s="100">
        <f t="shared" si="519"/>
        <v>0</v>
      </c>
      <c r="AQ476" s="111" t="s">
        <v>7</v>
      </c>
      <c r="AV476" s="100">
        <f t="shared" si="520"/>
        <v>0</v>
      </c>
      <c r="AW476" s="100">
        <f t="shared" si="521"/>
        <v>0</v>
      </c>
      <c r="AX476" s="100">
        <f t="shared" si="522"/>
        <v>0</v>
      </c>
      <c r="AY476" s="110" t="s">
        <v>1720</v>
      </c>
      <c r="AZ476" s="110" t="s">
        <v>1730</v>
      </c>
      <c r="BA476" s="109" t="s">
        <v>1737</v>
      </c>
      <c r="BC476" s="100">
        <f t="shared" si="523"/>
        <v>0</v>
      </c>
      <c r="BD476" s="100">
        <f t="shared" si="524"/>
        <v>0</v>
      </c>
      <c r="BE476" s="100">
        <v>0</v>
      </c>
      <c r="BF476" s="100">
        <f>476</f>
        <v>476</v>
      </c>
      <c r="BH476" s="108">
        <f t="shared" si="525"/>
        <v>0</v>
      </c>
      <c r="BI476" s="108">
        <f t="shared" si="526"/>
        <v>0</v>
      </c>
      <c r="BJ476" s="108">
        <f t="shared" si="527"/>
        <v>0</v>
      </c>
    </row>
    <row r="477" spans="1:62" x14ac:dyDescent="0.2">
      <c r="A477" s="117" t="s">
        <v>430</v>
      </c>
      <c r="B477" s="117" t="s">
        <v>3015</v>
      </c>
      <c r="C477" s="304" t="s">
        <v>1541</v>
      </c>
      <c r="D477" s="305"/>
      <c r="E477" s="305"/>
      <c r="F477" s="117" t="s">
        <v>1646</v>
      </c>
      <c r="G477" s="116">
        <v>20</v>
      </c>
      <c r="H477" s="159"/>
      <c r="I477" s="108">
        <f t="shared" si="504"/>
        <v>0</v>
      </c>
      <c r="J477" s="108">
        <f t="shared" si="505"/>
        <v>0</v>
      </c>
      <c r="K477" s="108">
        <f t="shared" si="506"/>
        <v>0</v>
      </c>
      <c r="L477" s="111"/>
      <c r="Z477" s="100">
        <f t="shared" si="507"/>
        <v>0</v>
      </c>
      <c r="AB477" s="100">
        <f t="shared" si="508"/>
        <v>0</v>
      </c>
      <c r="AC477" s="100">
        <f t="shared" si="509"/>
        <v>0</v>
      </c>
      <c r="AD477" s="100">
        <f t="shared" si="510"/>
        <v>0</v>
      </c>
      <c r="AE477" s="100">
        <f t="shared" si="511"/>
        <v>0</v>
      </c>
      <c r="AF477" s="100">
        <f t="shared" si="512"/>
        <v>0</v>
      </c>
      <c r="AG477" s="100">
        <f t="shared" si="513"/>
        <v>0</v>
      </c>
      <c r="AH477" s="100">
        <f t="shared" si="514"/>
        <v>0</v>
      </c>
      <c r="AI477" s="109"/>
      <c r="AJ477" s="108">
        <f t="shared" si="515"/>
        <v>0</v>
      </c>
      <c r="AK477" s="108">
        <f t="shared" si="516"/>
        <v>0</v>
      </c>
      <c r="AL477" s="108">
        <f t="shared" si="517"/>
        <v>0</v>
      </c>
      <c r="AN477" s="100">
        <v>15</v>
      </c>
      <c r="AO477" s="100">
        <f t="shared" si="518"/>
        <v>0</v>
      </c>
      <c r="AP477" s="100">
        <f t="shared" si="519"/>
        <v>0</v>
      </c>
      <c r="AQ477" s="111" t="s">
        <v>7</v>
      </c>
      <c r="AV477" s="100">
        <f t="shared" si="520"/>
        <v>0</v>
      </c>
      <c r="AW477" s="100">
        <f t="shared" si="521"/>
        <v>0</v>
      </c>
      <c r="AX477" s="100">
        <f t="shared" si="522"/>
        <v>0</v>
      </c>
      <c r="AY477" s="110" t="s">
        <v>1720</v>
      </c>
      <c r="AZ477" s="110" t="s">
        <v>1730</v>
      </c>
      <c r="BA477" s="109" t="s">
        <v>1737</v>
      </c>
      <c r="BC477" s="100">
        <f t="shared" si="523"/>
        <v>0</v>
      </c>
      <c r="BD477" s="100">
        <f t="shared" si="524"/>
        <v>0</v>
      </c>
      <c r="BE477" s="100">
        <v>0</v>
      </c>
      <c r="BF477" s="100">
        <f>477</f>
        <v>477</v>
      </c>
      <c r="BH477" s="108">
        <f t="shared" si="525"/>
        <v>0</v>
      </c>
      <c r="BI477" s="108">
        <f t="shared" si="526"/>
        <v>0</v>
      </c>
      <c r="BJ477" s="108">
        <f t="shared" si="527"/>
        <v>0</v>
      </c>
    </row>
    <row r="478" spans="1:62" x14ac:dyDescent="0.2">
      <c r="A478" s="117" t="s">
        <v>431</v>
      </c>
      <c r="B478" s="117" t="s">
        <v>3014</v>
      </c>
      <c r="C478" s="304" t="s">
        <v>1542</v>
      </c>
      <c r="D478" s="305"/>
      <c r="E478" s="305"/>
      <c r="F478" s="117" t="s">
        <v>1646</v>
      </c>
      <c r="G478" s="116">
        <v>10</v>
      </c>
      <c r="H478" s="159"/>
      <c r="I478" s="108">
        <f t="shared" si="504"/>
        <v>0</v>
      </c>
      <c r="J478" s="108">
        <f t="shared" si="505"/>
        <v>0</v>
      </c>
      <c r="K478" s="108">
        <f t="shared" si="506"/>
        <v>0</v>
      </c>
      <c r="L478" s="111"/>
      <c r="Z478" s="100">
        <f t="shared" si="507"/>
        <v>0</v>
      </c>
      <c r="AB478" s="100">
        <f t="shared" si="508"/>
        <v>0</v>
      </c>
      <c r="AC478" s="100">
        <f t="shared" si="509"/>
        <v>0</v>
      </c>
      <c r="AD478" s="100">
        <f t="shared" si="510"/>
        <v>0</v>
      </c>
      <c r="AE478" s="100">
        <f t="shared" si="511"/>
        <v>0</v>
      </c>
      <c r="AF478" s="100">
        <f t="shared" si="512"/>
        <v>0</v>
      </c>
      <c r="AG478" s="100">
        <f t="shared" si="513"/>
        <v>0</v>
      </c>
      <c r="AH478" s="100">
        <f t="shared" si="514"/>
        <v>0</v>
      </c>
      <c r="AI478" s="109"/>
      <c r="AJ478" s="108">
        <f t="shared" si="515"/>
        <v>0</v>
      </c>
      <c r="AK478" s="108">
        <f t="shared" si="516"/>
        <v>0</v>
      </c>
      <c r="AL478" s="108">
        <f t="shared" si="517"/>
        <v>0</v>
      </c>
      <c r="AN478" s="100">
        <v>15</v>
      </c>
      <c r="AO478" s="100">
        <f t="shared" si="518"/>
        <v>0</v>
      </c>
      <c r="AP478" s="100">
        <f t="shared" si="519"/>
        <v>0</v>
      </c>
      <c r="AQ478" s="111" t="s">
        <v>7</v>
      </c>
      <c r="AV478" s="100">
        <f t="shared" si="520"/>
        <v>0</v>
      </c>
      <c r="AW478" s="100">
        <f t="shared" si="521"/>
        <v>0</v>
      </c>
      <c r="AX478" s="100">
        <f t="shared" si="522"/>
        <v>0</v>
      </c>
      <c r="AY478" s="110" t="s">
        <v>1720</v>
      </c>
      <c r="AZ478" s="110" t="s">
        <v>1730</v>
      </c>
      <c r="BA478" s="109" t="s">
        <v>1737</v>
      </c>
      <c r="BC478" s="100">
        <f t="shared" si="523"/>
        <v>0</v>
      </c>
      <c r="BD478" s="100">
        <f t="shared" si="524"/>
        <v>0</v>
      </c>
      <c r="BE478" s="100">
        <v>0</v>
      </c>
      <c r="BF478" s="100">
        <f>478</f>
        <v>478</v>
      </c>
      <c r="BH478" s="108">
        <f t="shared" si="525"/>
        <v>0</v>
      </c>
      <c r="BI478" s="108">
        <f t="shared" si="526"/>
        <v>0</v>
      </c>
      <c r="BJ478" s="108">
        <f t="shared" si="527"/>
        <v>0</v>
      </c>
    </row>
    <row r="479" spans="1:62" x14ac:dyDescent="0.2">
      <c r="A479" s="117" t="s">
        <v>432</v>
      </c>
      <c r="B479" s="117" t="s">
        <v>3013</v>
      </c>
      <c r="C479" s="304" t="s">
        <v>1543</v>
      </c>
      <c r="D479" s="305"/>
      <c r="E479" s="305"/>
      <c r="F479" s="117" t="s">
        <v>1644</v>
      </c>
      <c r="G479" s="116">
        <v>1</v>
      </c>
      <c r="H479" s="159"/>
      <c r="I479" s="108">
        <f t="shared" si="504"/>
        <v>0</v>
      </c>
      <c r="J479" s="108">
        <f t="shared" si="505"/>
        <v>0</v>
      </c>
      <c r="K479" s="108">
        <f t="shared" si="506"/>
        <v>0</v>
      </c>
      <c r="L479" s="111"/>
      <c r="Z479" s="100">
        <f t="shared" si="507"/>
        <v>0</v>
      </c>
      <c r="AB479" s="100">
        <f t="shared" si="508"/>
        <v>0</v>
      </c>
      <c r="AC479" s="100">
        <f t="shared" si="509"/>
        <v>0</v>
      </c>
      <c r="AD479" s="100">
        <f t="shared" si="510"/>
        <v>0</v>
      </c>
      <c r="AE479" s="100">
        <f t="shared" si="511"/>
        <v>0</v>
      </c>
      <c r="AF479" s="100">
        <f t="shared" si="512"/>
        <v>0</v>
      </c>
      <c r="AG479" s="100">
        <f t="shared" si="513"/>
        <v>0</v>
      </c>
      <c r="AH479" s="100">
        <f t="shared" si="514"/>
        <v>0</v>
      </c>
      <c r="AI479" s="109"/>
      <c r="AJ479" s="108">
        <f t="shared" si="515"/>
        <v>0</v>
      </c>
      <c r="AK479" s="108">
        <f t="shared" si="516"/>
        <v>0</v>
      </c>
      <c r="AL479" s="108">
        <f t="shared" si="517"/>
        <v>0</v>
      </c>
      <c r="AN479" s="100">
        <v>15</v>
      </c>
      <c r="AO479" s="100">
        <f t="shared" si="518"/>
        <v>0</v>
      </c>
      <c r="AP479" s="100">
        <f t="shared" si="519"/>
        <v>0</v>
      </c>
      <c r="AQ479" s="111" t="s">
        <v>7</v>
      </c>
      <c r="AV479" s="100">
        <f t="shared" si="520"/>
        <v>0</v>
      </c>
      <c r="AW479" s="100">
        <f t="shared" si="521"/>
        <v>0</v>
      </c>
      <c r="AX479" s="100">
        <f t="shared" si="522"/>
        <v>0</v>
      </c>
      <c r="AY479" s="110" t="s">
        <v>1720</v>
      </c>
      <c r="AZ479" s="110" t="s">
        <v>1730</v>
      </c>
      <c r="BA479" s="109" t="s">
        <v>1737</v>
      </c>
      <c r="BC479" s="100">
        <f t="shared" si="523"/>
        <v>0</v>
      </c>
      <c r="BD479" s="100">
        <f t="shared" si="524"/>
        <v>0</v>
      </c>
      <c r="BE479" s="100">
        <v>0</v>
      </c>
      <c r="BF479" s="100">
        <f>479</f>
        <v>479</v>
      </c>
      <c r="BH479" s="108">
        <f t="shared" si="525"/>
        <v>0</v>
      </c>
      <c r="BI479" s="108">
        <f t="shared" si="526"/>
        <v>0</v>
      </c>
      <c r="BJ479" s="108">
        <f t="shared" si="527"/>
        <v>0</v>
      </c>
    </row>
    <row r="480" spans="1:62" x14ac:dyDescent="0.2">
      <c r="A480" s="117" t="s">
        <v>433</v>
      </c>
      <c r="B480" s="117" t="s">
        <v>3012</v>
      </c>
      <c r="C480" s="304" t="s">
        <v>1544</v>
      </c>
      <c r="D480" s="305"/>
      <c r="E480" s="305"/>
      <c r="F480" s="117" t="s">
        <v>1644</v>
      </c>
      <c r="G480" s="116">
        <v>4</v>
      </c>
      <c r="H480" s="159"/>
      <c r="I480" s="108">
        <f t="shared" si="504"/>
        <v>0</v>
      </c>
      <c r="J480" s="108">
        <f t="shared" si="505"/>
        <v>0</v>
      </c>
      <c r="K480" s="108">
        <f t="shared" si="506"/>
        <v>0</v>
      </c>
      <c r="L480" s="111"/>
      <c r="Z480" s="100">
        <f t="shared" si="507"/>
        <v>0</v>
      </c>
      <c r="AB480" s="100">
        <f t="shared" si="508"/>
        <v>0</v>
      </c>
      <c r="AC480" s="100">
        <f t="shared" si="509"/>
        <v>0</v>
      </c>
      <c r="AD480" s="100">
        <f t="shared" si="510"/>
        <v>0</v>
      </c>
      <c r="AE480" s="100">
        <f t="shared" si="511"/>
        <v>0</v>
      </c>
      <c r="AF480" s="100">
        <f t="shared" si="512"/>
        <v>0</v>
      </c>
      <c r="AG480" s="100">
        <f t="shared" si="513"/>
        <v>0</v>
      </c>
      <c r="AH480" s="100">
        <f t="shared" si="514"/>
        <v>0</v>
      </c>
      <c r="AI480" s="109"/>
      <c r="AJ480" s="108">
        <f t="shared" si="515"/>
        <v>0</v>
      </c>
      <c r="AK480" s="108">
        <f t="shared" si="516"/>
        <v>0</v>
      </c>
      <c r="AL480" s="108">
        <f t="shared" si="517"/>
        <v>0</v>
      </c>
      <c r="AN480" s="100">
        <v>15</v>
      </c>
      <c r="AO480" s="100">
        <f t="shared" si="518"/>
        <v>0</v>
      </c>
      <c r="AP480" s="100">
        <f t="shared" si="519"/>
        <v>0</v>
      </c>
      <c r="AQ480" s="111" t="s">
        <v>7</v>
      </c>
      <c r="AV480" s="100">
        <f t="shared" si="520"/>
        <v>0</v>
      </c>
      <c r="AW480" s="100">
        <f t="shared" si="521"/>
        <v>0</v>
      </c>
      <c r="AX480" s="100">
        <f t="shared" si="522"/>
        <v>0</v>
      </c>
      <c r="AY480" s="110" t="s">
        <v>1720</v>
      </c>
      <c r="AZ480" s="110" t="s">
        <v>1730</v>
      </c>
      <c r="BA480" s="109" t="s">
        <v>1737</v>
      </c>
      <c r="BC480" s="100">
        <f t="shared" si="523"/>
        <v>0</v>
      </c>
      <c r="BD480" s="100">
        <f t="shared" si="524"/>
        <v>0</v>
      </c>
      <c r="BE480" s="100">
        <v>0</v>
      </c>
      <c r="BF480" s="100">
        <f>480</f>
        <v>480</v>
      </c>
      <c r="BH480" s="108">
        <f t="shared" si="525"/>
        <v>0</v>
      </c>
      <c r="BI480" s="108">
        <f t="shared" si="526"/>
        <v>0</v>
      </c>
      <c r="BJ480" s="108">
        <f t="shared" si="527"/>
        <v>0</v>
      </c>
    </row>
    <row r="481" spans="1:62" x14ac:dyDescent="0.2">
      <c r="A481" s="117" t="s">
        <v>434</v>
      </c>
      <c r="B481" s="117" t="s">
        <v>3011</v>
      </c>
      <c r="C481" s="304" t="s">
        <v>1545</v>
      </c>
      <c r="D481" s="305"/>
      <c r="E481" s="305"/>
      <c r="F481" s="117" t="s">
        <v>1646</v>
      </c>
      <c r="G481" s="116">
        <v>120</v>
      </c>
      <c r="H481" s="159"/>
      <c r="I481" s="108">
        <f t="shared" si="504"/>
        <v>0</v>
      </c>
      <c r="J481" s="108">
        <f t="shared" si="505"/>
        <v>0</v>
      </c>
      <c r="K481" s="108">
        <f t="shared" si="506"/>
        <v>0</v>
      </c>
      <c r="L481" s="111"/>
      <c r="Z481" s="100">
        <f t="shared" si="507"/>
        <v>0</v>
      </c>
      <c r="AB481" s="100">
        <f t="shared" si="508"/>
        <v>0</v>
      </c>
      <c r="AC481" s="100">
        <f t="shared" si="509"/>
        <v>0</v>
      </c>
      <c r="AD481" s="100">
        <f t="shared" si="510"/>
        <v>0</v>
      </c>
      <c r="AE481" s="100">
        <f t="shared" si="511"/>
        <v>0</v>
      </c>
      <c r="AF481" s="100">
        <f t="shared" si="512"/>
        <v>0</v>
      </c>
      <c r="AG481" s="100">
        <f t="shared" si="513"/>
        <v>0</v>
      </c>
      <c r="AH481" s="100">
        <f t="shared" si="514"/>
        <v>0</v>
      </c>
      <c r="AI481" s="109"/>
      <c r="AJ481" s="108">
        <f t="shared" si="515"/>
        <v>0</v>
      </c>
      <c r="AK481" s="108">
        <f t="shared" si="516"/>
        <v>0</v>
      </c>
      <c r="AL481" s="108">
        <f t="shared" si="517"/>
        <v>0</v>
      </c>
      <c r="AN481" s="100">
        <v>15</v>
      </c>
      <c r="AO481" s="100">
        <f t="shared" si="518"/>
        <v>0</v>
      </c>
      <c r="AP481" s="100">
        <f t="shared" si="519"/>
        <v>0</v>
      </c>
      <c r="AQ481" s="111" t="s">
        <v>7</v>
      </c>
      <c r="AV481" s="100">
        <f t="shared" si="520"/>
        <v>0</v>
      </c>
      <c r="AW481" s="100">
        <f t="shared" si="521"/>
        <v>0</v>
      </c>
      <c r="AX481" s="100">
        <f t="shared" si="522"/>
        <v>0</v>
      </c>
      <c r="AY481" s="110" t="s">
        <v>1720</v>
      </c>
      <c r="AZ481" s="110" t="s">
        <v>1730</v>
      </c>
      <c r="BA481" s="109" t="s">
        <v>1737</v>
      </c>
      <c r="BC481" s="100">
        <f t="shared" si="523"/>
        <v>0</v>
      </c>
      <c r="BD481" s="100">
        <f t="shared" si="524"/>
        <v>0</v>
      </c>
      <c r="BE481" s="100">
        <v>0</v>
      </c>
      <c r="BF481" s="100">
        <f>481</f>
        <v>481</v>
      </c>
      <c r="BH481" s="108">
        <f t="shared" si="525"/>
        <v>0</v>
      </c>
      <c r="BI481" s="108">
        <f t="shared" si="526"/>
        <v>0</v>
      </c>
      <c r="BJ481" s="108">
        <f t="shared" si="527"/>
        <v>0</v>
      </c>
    </row>
    <row r="482" spans="1:62" x14ac:dyDescent="0.2">
      <c r="A482" s="117" t="s">
        <v>435</v>
      </c>
      <c r="B482" s="117" t="s">
        <v>3010</v>
      </c>
      <c r="C482" s="304" t="s">
        <v>1546</v>
      </c>
      <c r="D482" s="305"/>
      <c r="E482" s="305"/>
      <c r="F482" s="117" t="s">
        <v>1646</v>
      </c>
      <c r="G482" s="116">
        <v>30</v>
      </c>
      <c r="H482" s="159"/>
      <c r="I482" s="108">
        <f t="shared" si="504"/>
        <v>0</v>
      </c>
      <c r="J482" s="108">
        <f t="shared" si="505"/>
        <v>0</v>
      </c>
      <c r="K482" s="108">
        <f t="shared" si="506"/>
        <v>0</v>
      </c>
      <c r="L482" s="111"/>
      <c r="Z482" s="100">
        <f t="shared" si="507"/>
        <v>0</v>
      </c>
      <c r="AB482" s="100">
        <f t="shared" si="508"/>
        <v>0</v>
      </c>
      <c r="AC482" s="100">
        <f t="shared" si="509"/>
        <v>0</v>
      </c>
      <c r="AD482" s="100">
        <f t="shared" si="510"/>
        <v>0</v>
      </c>
      <c r="AE482" s="100">
        <f t="shared" si="511"/>
        <v>0</v>
      </c>
      <c r="AF482" s="100">
        <f t="shared" si="512"/>
        <v>0</v>
      </c>
      <c r="AG482" s="100">
        <f t="shared" si="513"/>
        <v>0</v>
      </c>
      <c r="AH482" s="100">
        <f t="shared" si="514"/>
        <v>0</v>
      </c>
      <c r="AI482" s="109"/>
      <c r="AJ482" s="108">
        <f t="shared" si="515"/>
        <v>0</v>
      </c>
      <c r="AK482" s="108">
        <f t="shared" si="516"/>
        <v>0</v>
      </c>
      <c r="AL482" s="108">
        <f t="shared" si="517"/>
        <v>0</v>
      </c>
      <c r="AN482" s="100">
        <v>15</v>
      </c>
      <c r="AO482" s="100">
        <f t="shared" si="518"/>
        <v>0</v>
      </c>
      <c r="AP482" s="100">
        <f t="shared" si="519"/>
        <v>0</v>
      </c>
      <c r="AQ482" s="111" t="s">
        <v>7</v>
      </c>
      <c r="AV482" s="100">
        <f t="shared" si="520"/>
        <v>0</v>
      </c>
      <c r="AW482" s="100">
        <f t="shared" si="521"/>
        <v>0</v>
      </c>
      <c r="AX482" s="100">
        <f t="shared" si="522"/>
        <v>0</v>
      </c>
      <c r="AY482" s="110" t="s">
        <v>1720</v>
      </c>
      <c r="AZ482" s="110" t="s">
        <v>1730</v>
      </c>
      <c r="BA482" s="109" t="s">
        <v>1737</v>
      </c>
      <c r="BC482" s="100">
        <f t="shared" si="523"/>
        <v>0</v>
      </c>
      <c r="BD482" s="100">
        <f t="shared" si="524"/>
        <v>0</v>
      </c>
      <c r="BE482" s="100">
        <v>0</v>
      </c>
      <c r="BF482" s="100">
        <f>482</f>
        <v>482</v>
      </c>
      <c r="BH482" s="108">
        <f t="shared" si="525"/>
        <v>0</v>
      </c>
      <c r="BI482" s="108">
        <f t="shared" si="526"/>
        <v>0</v>
      </c>
      <c r="BJ482" s="108">
        <f t="shared" si="527"/>
        <v>0</v>
      </c>
    </row>
    <row r="483" spans="1:62" x14ac:dyDescent="0.2">
      <c r="A483" s="117" t="s">
        <v>436</v>
      </c>
      <c r="B483" s="117" t="s">
        <v>3009</v>
      </c>
      <c r="C483" s="304" t="s">
        <v>1547</v>
      </c>
      <c r="D483" s="305"/>
      <c r="E483" s="305"/>
      <c r="F483" s="117" t="s">
        <v>1646</v>
      </c>
      <c r="G483" s="116">
        <v>100</v>
      </c>
      <c r="H483" s="159"/>
      <c r="I483" s="108">
        <f t="shared" si="504"/>
        <v>0</v>
      </c>
      <c r="J483" s="108">
        <f t="shared" si="505"/>
        <v>0</v>
      </c>
      <c r="K483" s="108">
        <f t="shared" si="506"/>
        <v>0</v>
      </c>
      <c r="L483" s="111"/>
      <c r="Z483" s="100">
        <f t="shared" si="507"/>
        <v>0</v>
      </c>
      <c r="AB483" s="100">
        <f t="shared" si="508"/>
        <v>0</v>
      </c>
      <c r="AC483" s="100">
        <f t="shared" si="509"/>
        <v>0</v>
      </c>
      <c r="AD483" s="100">
        <f t="shared" si="510"/>
        <v>0</v>
      </c>
      <c r="AE483" s="100">
        <f t="shared" si="511"/>
        <v>0</v>
      </c>
      <c r="AF483" s="100">
        <f t="shared" si="512"/>
        <v>0</v>
      </c>
      <c r="AG483" s="100">
        <f t="shared" si="513"/>
        <v>0</v>
      </c>
      <c r="AH483" s="100">
        <f t="shared" si="514"/>
        <v>0</v>
      </c>
      <c r="AI483" s="109"/>
      <c r="AJ483" s="108">
        <f t="shared" si="515"/>
        <v>0</v>
      </c>
      <c r="AK483" s="108">
        <f t="shared" si="516"/>
        <v>0</v>
      </c>
      <c r="AL483" s="108">
        <f t="shared" si="517"/>
        <v>0</v>
      </c>
      <c r="AN483" s="100">
        <v>15</v>
      </c>
      <c r="AO483" s="100">
        <f t="shared" si="518"/>
        <v>0</v>
      </c>
      <c r="AP483" s="100">
        <f t="shared" si="519"/>
        <v>0</v>
      </c>
      <c r="AQ483" s="111" t="s">
        <v>7</v>
      </c>
      <c r="AV483" s="100">
        <f t="shared" si="520"/>
        <v>0</v>
      </c>
      <c r="AW483" s="100">
        <f t="shared" si="521"/>
        <v>0</v>
      </c>
      <c r="AX483" s="100">
        <f t="shared" si="522"/>
        <v>0</v>
      </c>
      <c r="AY483" s="110" t="s">
        <v>1720</v>
      </c>
      <c r="AZ483" s="110" t="s">
        <v>1730</v>
      </c>
      <c r="BA483" s="109" t="s">
        <v>1737</v>
      </c>
      <c r="BC483" s="100">
        <f t="shared" si="523"/>
        <v>0</v>
      </c>
      <c r="BD483" s="100">
        <f t="shared" si="524"/>
        <v>0</v>
      </c>
      <c r="BE483" s="100">
        <v>0</v>
      </c>
      <c r="BF483" s="100">
        <f>483</f>
        <v>483</v>
      </c>
      <c r="BH483" s="108">
        <f t="shared" si="525"/>
        <v>0</v>
      </c>
      <c r="BI483" s="108">
        <f t="shared" si="526"/>
        <v>0</v>
      </c>
      <c r="BJ483" s="108">
        <f t="shared" si="527"/>
        <v>0</v>
      </c>
    </row>
    <row r="484" spans="1:62" x14ac:dyDescent="0.2">
      <c r="A484" s="117" t="s">
        <v>437</v>
      </c>
      <c r="B484" s="117" t="s">
        <v>3008</v>
      </c>
      <c r="C484" s="304" t="s">
        <v>1548</v>
      </c>
      <c r="D484" s="305"/>
      <c r="E484" s="305"/>
      <c r="F484" s="117" t="s">
        <v>1644</v>
      </c>
      <c r="G484" s="116">
        <v>4</v>
      </c>
      <c r="H484" s="159"/>
      <c r="I484" s="108">
        <f t="shared" si="504"/>
        <v>0</v>
      </c>
      <c r="J484" s="108">
        <f t="shared" si="505"/>
        <v>0</v>
      </c>
      <c r="K484" s="108">
        <f t="shared" si="506"/>
        <v>0</v>
      </c>
      <c r="L484" s="111"/>
      <c r="Z484" s="100">
        <f t="shared" si="507"/>
        <v>0</v>
      </c>
      <c r="AB484" s="100">
        <f t="shared" si="508"/>
        <v>0</v>
      </c>
      <c r="AC484" s="100">
        <f t="shared" si="509"/>
        <v>0</v>
      </c>
      <c r="AD484" s="100">
        <f t="shared" si="510"/>
        <v>0</v>
      </c>
      <c r="AE484" s="100">
        <f t="shared" si="511"/>
        <v>0</v>
      </c>
      <c r="AF484" s="100">
        <f t="shared" si="512"/>
        <v>0</v>
      </c>
      <c r="AG484" s="100">
        <f t="shared" si="513"/>
        <v>0</v>
      </c>
      <c r="AH484" s="100">
        <f t="shared" si="514"/>
        <v>0</v>
      </c>
      <c r="AI484" s="109"/>
      <c r="AJ484" s="108">
        <f t="shared" si="515"/>
        <v>0</v>
      </c>
      <c r="AK484" s="108">
        <f t="shared" si="516"/>
        <v>0</v>
      </c>
      <c r="AL484" s="108">
        <f t="shared" si="517"/>
        <v>0</v>
      </c>
      <c r="AN484" s="100">
        <v>15</v>
      </c>
      <c r="AO484" s="100">
        <f t="shared" si="518"/>
        <v>0</v>
      </c>
      <c r="AP484" s="100">
        <f t="shared" si="519"/>
        <v>0</v>
      </c>
      <c r="AQ484" s="111" t="s">
        <v>7</v>
      </c>
      <c r="AV484" s="100">
        <f t="shared" si="520"/>
        <v>0</v>
      </c>
      <c r="AW484" s="100">
        <f t="shared" si="521"/>
        <v>0</v>
      </c>
      <c r="AX484" s="100">
        <f t="shared" si="522"/>
        <v>0</v>
      </c>
      <c r="AY484" s="110" t="s">
        <v>1720</v>
      </c>
      <c r="AZ484" s="110" t="s">
        <v>1730</v>
      </c>
      <c r="BA484" s="109" t="s">
        <v>1737</v>
      </c>
      <c r="BC484" s="100">
        <f t="shared" si="523"/>
        <v>0</v>
      </c>
      <c r="BD484" s="100">
        <f t="shared" si="524"/>
        <v>0</v>
      </c>
      <c r="BE484" s="100">
        <v>0</v>
      </c>
      <c r="BF484" s="100">
        <f>484</f>
        <v>484</v>
      </c>
      <c r="BH484" s="108">
        <f t="shared" si="525"/>
        <v>0</v>
      </c>
      <c r="BI484" s="108">
        <f t="shared" si="526"/>
        <v>0</v>
      </c>
      <c r="BJ484" s="108">
        <f t="shared" si="527"/>
        <v>0</v>
      </c>
    </row>
    <row r="485" spans="1:62" x14ac:dyDescent="0.2">
      <c r="A485" s="117" t="s">
        <v>438</v>
      </c>
      <c r="B485" s="117" t="s">
        <v>3007</v>
      </c>
      <c r="C485" s="304" t="s">
        <v>1549</v>
      </c>
      <c r="D485" s="305"/>
      <c r="E485" s="305"/>
      <c r="F485" s="117" t="s">
        <v>1644</v>
      </c>
      <c r="G485" s="116">
        <v>5</v>
      </c>
      <c r="H485" s="159"/>
      <c r="I485" s="108">
        <f t="shared" si="504"/>
        <v>0</v>
      </c>
      <c r="J485" s="108">
        <f t="shared" si="505"/>
        <v>0</v>
      </c>
      <c r="K485" s="108">
        <f t="shared" si="506"/>
        <v>0</v>
      </c>
      <c r="L485" s="111"/>
      <c r="Z485" s="100">
        <f t="shared" si="507"/>
        <v>0</v>
      </c>
      <c r="AB485" s="100">
        <f t="shared" si="508"/>
        <v>0</v>
      </c>
      <c r="AC485" s="100">
        <f t="shared" si="509"/>
        <v>0</v>
      </c>
      <c r="AD485" s="100">
        <f t="shared" si="510"/>
        <v>0</v>
      </c>
      <c r="AE485" s="100">
        <f t="shared" si="511"/>
        <v>0</v>
      </c>
      <c r="AF485" s="100">
        <f t="shared" si="512"/>
        <v>0</v>
      </c>
      <c r="AG485" s="100">
        <f t="shared" si="513"/>
        <v>0</v>
      </c>
      <c r="AH485" s="100">
        <f t="shared" si="514"/>
        <v>0</v>
      </c>
      <c r="AI485" s="109"/>
      <c r="AJ485" s="108">
        <f t="shared" si="515"/>
        <v>0</v>
      </c>
      <c r="AK485" s="108">
        <f t="shared" si="516"/>
        <v>0</v>
      </c>
      <c r="AL485" s="108">
        <f t="shared" si="517"/>
        <v>0</v>
      </c>
      <c r="AN485" s="100">
        <v>15</v>
      </c>
      <c r="AO485" s="100">
        <f t="shared" si="518"/>
        <v>0</v>
      </c>
      <c r="AP485" s="100">
        <f t="shared" si="519"/>
        <v>0</v>
      </c>
      <c r="AQ485" s="111" t="s">
        <v>7</v>
      </c>
      <c r="AV485" s="100">
        <f t="shared" si="520"/>
        <v>0</v>
      </c>
      <c r="AW485" s="100">
        <f t="shared" si="521"/>
        <v>0</v>
      </c>
      <c r="AX485" s="100">
        <f t="shared" si="522"/>
        <v>0</v>
      </c>
      <c r="AY485" s="110" t="s">
        <v>1720</v>
      </c>
      <c r="AZ485" s="110" t="s">
        <v>1730</v>
      </c>
      <c r="BA485" s="109" t="s">
        <v>1737</v>
      </c>
      <c r="BC485" s="100">
        <f t="shared" si="523"/>
        <v>0</v>
      </c>
      <c r="BD485" s="100">
        <f t="shared" si="524"/>
        <v>0</v>
      </c>
      <c r="BE485" s="100">
        <v>0</v>
      </c>
      <c r="BF485" s="100">
        <f>485</f>
        <v>485</v>
      </c>
      <c r="BH485" s="108">
        <f t="shared" si="525"/>
        <v>0</v>
      </c>
      <c r="BI485" s="108">
        <f t="shared" si="526"/>
        <v>0</v>
      </c>
      <c r="BJ485" s="108">
        <f t="shared" si="527"/>
        <v>0</v>
      </c>
    </row>
    <row r="486" spans="1:62" x14ac:dyDescent="0.2">
      <c r="A486" s="117" t="s">
        <v>439</v>
      </c>
      <c r="B486" s="117" t="s">
        <v>3006</v>
      </c>
      <c r="C486" s="304" t="s">
        <v>1550</v>
      </c>
      <c r="D486" s="305"/>
      <c r="E486" s="305"/>
      <c r="F486" s="117" t="s">
        <v>1646</v>
      </c>
      <c r="G486" s="116">
        <v>80</v>
      </c>
      <c r="H486" s="159"/>
      <c r="I486" s="108">
        <f t="shared" si="504"/>
        <v>0</v>
      </c>
      <c r="J486" s="108">
        <f t="shared" si="505"/>
        <v>0</v>
      </c>
      <c r="K486" s="108">
        <f t="shared" si="506"/>
        <v>0</v>
      </c>
      <c r="L486" s="111"/>
      <c r="Z486" s="100">
        <f t="shared" si="507"/>
        <v>0</v>
      </c>
      <c r="AB486" s="100">
        <f t="shared" si="508"/>
        <v>0</v>
      </c>
      <c r="AC486" s="100">
        <f t="shared" si="509"/>
        <v>0</v>
      </c>
      <c r="AD486" s="100">
        <f t="shared" si="510"/>
        <v>0</v>
      </c>
      <c r="AE486" s="100">
        <f t="shared" si="511"/>
        <v>0</v>
      </c>
      <c r="AF486" s="100">
        <f t="shared" si="512"/>
        <v>0</v>
      </c>
      <c r="AG486" s="100">
        <f t="shared" si="513"/>
        <v>0</v>
      </c>
      <c r="AH486" s="100">
        <f t="shared" si="514"/>
        <v>0</v>
      </c>
      <c r="AI486" s="109"/>
      <c r="AJ486" s="108">
        <f t="shared" si="515"/>
        <v>0</v>
      </c>
      <c r="AK486" s="108">
        <f t="shared" si="516"/>
        <v>0</v>
      </c>
      <c r="AL486" s="108">
        <f t="shared" si="517"/>
        <v>0</v>
      </c>
      <c r="AN486" s="100">
        <v>15</v>
      </c>
      <c r="AO486" s="100">
        <f t="shared" si="518"/>
        <v>0</v>
      </c>
      <c r="AP486" s="100">
        <f t="shared" si="519"/>
        <v>0</v>
      </c>
      <c r="AQ486" s="111" t="s">
        <v>7</v>
      </c>
      <c r="AV486" s="100">
        <f t="shared" si="520"/>
        <v>0</v>
      </c>
      <c r="AW486" s="100">
        <f t="shared" si="521"/>
        <v>0</v>
      </c>
      <c r="AX486" s="100">
        <f t="shared" si="522"/>
        <v>0</v>
      </c>
      <c r="AY486" s="110" t="s">
        <v>1720</v>
      </c>
      <c r="AZ486" s="110" t="s">
        <v>1730</v>
      </c>
      <c r="BA486" s="109" t="s">
        <v>1737</v>
      </c>
      <c r="BC486" s="100">
        <f t="shared" si="523"/>
        <v>0</v>
      </c>
      <c r="BD486" s="100">
        <f t="shared" si="524"/>
        <v>0</v>
      </c>
      <c r="BE486" s="100">
        <v>0</v>
      </c>
      <c r="BF486" s="100">
        <f>486</f>
        <v>486</v>
      </c>
      <c r="BH486" s="108">
        <f t="shared" si="525"/>
        <v>0</v>
      </c>
      <c r="BI486" s="108">
        <f t="shared" si="526"/>
        <v>0</v>
      </c>
      <c r="BJ486" s="108">
        <f t="shared" si="527"/>
        <v>0</v>
      </c>
    </row>
    <row r="487" spans="1:62" x14ac:dyDescent="0.2">
      <c r="A487" s="117" t="s">
        <v>440</v>
      </c>
      <c r="B487" s="117" t="s">
        <v>3005</v>
      </c>
      <c r="C487" s="304" t="s">
        <v>1551</v>
      </c>
      <c r="D487" s="305"/>
      <c r="E487" s="305"/>
      <c r="F487" s="117" t="s">
        <v>1644</v>
      </c>
      <c r="G487" s="116">
        <v>1</v>
      </c>
      <c r="H487" s="159"/>
      <c r="I487" s="108">
        <f t="shared" si="504"/>
        <v>0</v>
      </c>
      <c r="J487" s="108">
        <f t="shared" si="505"/>
        <v>0</v>
      </c>
      <c r="K487" s="108">
        <f t="shared" si="506"/>
        <v>0</v>
      </c>
      <c r="L487" s="111"/>
      <c r="Z487" s="100">
        <f t="shared" si="507"/>
        <v>0</v>
      </c>
      <c r="AB487" s="100">
        <f t="shared" si="508"/>
        <v>0</v>
      </c>
      <c r="AC487" s="100">
        <f t="shared" si="509"/>
        <v>0</v>
      </c>
      <c r="AD487" s="100">
        <f t="shared" si="510"/>
        <v>0</v>
      </c>
      <c r="AE487" s="100">
        <f t="shared" si="511"/>
        <v>0</v>
      </c>
      <c r="AF487" s="100">
        <f t="shared" si="512"/>
        <v>0</v>
      </c>
      <c r="AG487" s="100">
        <f t="shared" si="513"/>
        <v>0</v>
      </c>
      <c r="AH487" s="100">
        <f t="shared" si="514"/>
        <v>0</v>
      </c>
      <c r="AI487" s="109"/>
      <c r="AJ487" s="108">
        <f t="shared" si="515"/>
        <v>0</v>
      </c>
      <c r="AK487" s="108">
        <f t="shared" si="516"/>
        <v>0</v>
      </c>
      <c r="AL487" s="108">
        <f t="shared" si="517"/>
        <v>0</v>
      </c>
      <c r="AN487" s="100">
        <v>15</v>
      </c>
      <c r="AO487" s="100">
        <f t="shared" si="518"/>
        <v>0</v>
      </c>
      <c r="AP487" s="100">
        <f t="shared" si="519"/>
        <v>0</v>
      </c>
      <c r="AQ487" s="111" t="s">
        <v>7</v>
      </c>
      <c r="AV487" s="100">
        <f t="shared" si="520"/>
        <v>0</v>
      </c>
      <c r="AW487" s="100">
        <f t="shared" si="521"/>
        <v>0</v>
      </c>
      <c r="AX487" s="100">
        <f t="shared" si="522"/>
        <v>0</v>
      </c>
      <c r="AY487" s="110" t="s">
        <v>1720</v>
      </c>
      <c r="AZ487" s="110" t="s">
        <v>1730</v>
      </c>
      <c r="BA487" s="109" t="s">
        <v>1737</v>
      </c>
      <c r="BC487" s="100">
        <f t="shared" si="523"/>
        <v>0</v>
      </c>
      <c r="BD487" s="100">
        <f t="shared" si="524"/>
        <v>0</v>
      </c>
      <c r="BE487" s="100">
        <v>0</v>
      </c>
      <c r="BF487" s="100">
        <f>487</f>
        <v>487</v>
      </c>
      <c r="BH487" s="108">
        <f t="shared" si="525"/>
        <v>0</v>
      </c>
      <c r="BI487" s="108">
        <f t="shared" si="526"/>
        <v>0</v>
      </c>
      <c r="BJ487" s="108">
        <f t="shared" si="527"/>
        <v>0</v>
      </c>
    </row>
    <row r="488" spans="1:62" x14ac:dyDescent="0.2">
      <c r="A488" s="117" t="s">
        <v>441</v>
      </c>
      <c r="B488" s="117" t="s">
        <v>3004</v>
      </c>
      <c r="C488" s="304" t="s">
        <v>1552</v>
      </c>
      <c r="D488" s="305"/>
      <c r="E488" s="305"/>
      <c r="F488" s="117" t="s">
        <v>1644</v>
      </c>
      <c r="G488" s="116">
        <v>1</v>
      </c>
      <c r="H488" s="159"/>
      <c r="I488" s="108">
        <f t="shared" si="504"/>
        <v>0</v>
      </c>
      <c r="J488" s="108">
        <f t="shared" si="505"/>
        <v>0</v>
      </c>
      <c r="K488" s="108">
        <f t="shared" si="506"/>
        <v>0</v>
      </c>
      <c r="L488" s="111"/>
      <c r="Z488" s="100">
        <f t="shared" si="507"/>
        <v>0</v>
      </c>
      <c r="AB488" s="100">
        <f t="shared" si="508"/>
        <v>0</v>
      </c>
      <c r="AC488" s="100">
        <f t="shared" si="509"/>
        <v>0</v>
      </c>
      <c r="AD488" s="100">
        <f t="shared" si="510"/>
        <v>0</v>
      </c>
      <c r="AE488" s="100">
        <f t="shared" si="511"/>
        <v>0</v>
      </c>
      <c r="AF488" s="100">
        <f t="shared" si="512"/>
        <v>0</v>
      </c>
      <c r="AG488" s="100">
        <f t="shared" si="513"/>
        <v>0</v>
      </c>
      <c r="AH488" s="100">
        <f t="shared" si="514"/>
        <v>0</v>
      </c>
      <c r="AI488" s="109"/>
      <c r="AJ488" s="108">
        <f t="shared" si="515"/>
        <v>0</v>
      </c>
      <c r="AK488" s="108">
        <f t="shared" si="516"/>
        <v>0</v>
      </c>
      <c r="AL488" s="108">
        <f t="shared" si="517"/>
        <v>0</v>
      </c>
      <c r="AN488" s="100">
        <v>15</v>
      </c>
      <c r="AO488" s="100">
        <f t="shared" si="518"/>
        <v>0</v>
      </c>
      <c r="AP488" s="100">
        <f t="shared" si="519"/>
        <v>0</v>
      </c>
      <c r="AQ488" s="111" t="s">
        <v>7</v>
      </c>
      <c r="AV488" s="100">
        <f t="shared" si="520"/>
        <v>0</v>
      </c>
      <c r="AW488" s="100">
        <f t="shared" si="521"/>
        <v>0</v>
      </c>
      <c r="AX488" s="100">
        <f t="shared" si="522"/>
        <v>0</v>
      </c>
      <c r="AY488" s="110" t="s">
        <v>1720</v>
      </c>
      <c r="AZ488" s="110" t="s">
        <v>1730</v>
      </c>
      <c r="BA488" s="109" t="s">
        <v>1737</v>
      </c>
      <c r="BC488" s="100">
        <f t="shared" si="523"/>
        <v>0</v>
      </c>
      <c r="BD488" s="100">
        <f t="shared" si="524"/>
        <v>0</v>
      </c>
      <c r="BE488" s="100">
        <v>0</v>
      </c>
      <c r="BF488" s="100">
        <f>488</f>
        <v>488</v>
      </c>
      <c r="BH488" s="108">
        <f t="shared" si="525"/>
        <v>0</v>
      </c>
      <c r="BI488" s="108">
        <f t="shared" si="526"/>
        <v>0</v>
      </c>
      <c r="BJ488" s="108">
        <f t="shared" si="527"/>
        <v>0</v>
      </c>
    </row>
    <row r="489" spans="1:62" x14ac:dyDescent="0.2">
      <c r="A489" s="117" t="s">
        <v>442</v>
      </c>
      <c r="B489" s="117" t="s">
        <v>3003</v>
      </c>
      <c r="C489" s="304" t="s">
        <v>1553</v>
      </c>
      <c r="D489" s="305"/>
      <c r="E489" s="305"/>
      <c r="F489" s="117" t="s">
        <v>1644</v>
      </c>
      <c r="G489" s="116">
        <v>1</v>
      </c>
      <c r="H489" s="159"/>
      <c r="I489" s="108">
        <f t="shared" si="504"/>
        <v>0</v>
      </c>
      <c r="J489" s="108">
        <f t="shared" si="505"/>
        <v>0</v>
      </c>
      <c r="K489" s="108">
        <f t="shared" si="506"/>
        <v>0</v>
      </c>
      <c r="L489" s="111"/>
      <c r="Z489" s="100">
        <f t="shared" si="507"/>
        <v>0</v>
      </c>
      <c r="AB489" s="100">
        <f t="shared" si="508"/>
        <v>0</v>
      </c>
      <c r="AC489" s="100">
        <f t="shared" si="509"/>
        <v>0</v>
      </c>
      <c r="AD489" s="100">
        <f t="shared" si="510"/>
        <v>0</v>
      </c>
      <c r="AE489" s="100">
        <f t="shared" si="511"/>
        <v>0</v>
      </c>
      <c r="AF489" s="100">
        <f t="shared" si="512"/>
        <v>0</v>
      </c>
      <c r="AG489" s="100">
        <f t="shared" si="513"/>
        <v>0</v>
      </c>
      <c r="AH489" s="100">
        <f t="shared" si="514"/>
        <v>0</v>
      </c>
      <c r="AI489" s="109"/>
      <c r="AJ489" s="108">
        <f t="shared" si="515"/>
        <v>0</v>
      </c>
      <c r="AK489" s="108">
        <f t="shared" si="516"/>
        <v>0</v>
      </c>
      <c r="AL489" s="108">
        <f t="shared" si="517"/>
        <v>0</v>
      </c>
      <c r="AN489" s="100">
        <v>15</v>
      </c>
      <c r="AO489" s="100">
        <f t="shared" si="518"/>
        <v>0</v>
      </c>
      <c r="AP489" s="100">
        <f t="shared" si="519"/>
        <v>0</v>
      </c>
      <c r="AQ489" s="111" t="s">
        <v>7</v>
      </c>
      <c r="AV489" s="100">
        <f t="shared" si="520"/>
        <v>0</v>
      </c>
      <c r="AW489" s="100">
        <f t="shared" si="521"/>
        <v>0</v>
      </c>
      <c r="AX489" s="100">
        <f t="shared" si="522"/>
        <v>0</v>
      </c>
      <c r="AY489" s="110" t="s">
        <v>1720</v>
      </c>
      <c r="AZ489" s="110" t="s">
        <v>1730</v>
      </c>
      <c r="BA489" s="109" t="s">
        <v>1737</v>
      </c>
      <c r="BC489" s="100">
        <f t="shared" si="523"/>
        <v>0</v>
      </c>
      <c r="BD489" s="100">
        <f t="shared" si="524"/>
        <v>0</v>
      </c>
      <c r="BE489" s="100">
        <v>0</v>
      </c>
      <c r="BF489" s="100">
        <f>489</f>
        <v>489</v>
      </c>
      <c r="BH489" s="108">
        <f t="shared" si="525"/>
        <v>0</v>
      </c>
      <c r="BI489" s="108">
        <f t="shared" si="526"/>
        <v>0</v>
      </c>
      <c r="BJ489" s="108">
        <f t="shared" si="527"/>
        <v>0</v>
      </c>
    </row>
    <row r="490" spans="1:62" x14ac:dyDescent="0.2">
      <c r="A490" s="117" t="s">
        <v>443</v>
      </c>
      <c r="B490" s="117" t="s">
        <v>3002</v>
      </c>
      <c r="C490" s="304" t="s">
        <v>1554</v>
      </c>
      <c r="D490" s="305"/>
      <c r="E490" s="305"/>
      <c r="F490" s="117" t="s">
        <v>1644</v>
      </c>
      <c r="G490" s="116">
        <v>1</v>
      </c>
      <c r="H490" s="159"/>
      <c r="I490" s="108">
        <f t="shared" si="504"/>
        <v>0</v>
      </c>
      <c r="J490" s="108">
        <f t="shared" si="505"/>
        <v>0</v>
      </c>
      <c r="K490" s="108">
        <f t="shared" si="506"/>
        <v>0</v>
      </c>
      <c r="L490" s="111"/>
      <c r="Z490" s="100">
        <f t="shared" si="507"/>
        <v>0</v>
      </c>
      <c r="AB490" s="100">
        <f t="shared" si="508"/>
        <v>0</v>
      </c>
      <c r="AC490" s="100">
        <f t="shared" si="509"/>
        <v>0</v>
      </c>
      <c r="AD490" s="100">
        <f t="shared" si="510"/>
        <v>0</v>
      </c>
      <c r="AE490" s="100">
        <f t="shared" si="511"/>
        <v>0</v>
      </c>
      <c r="AF490" s="100">
        <f t="shared" si="512"/>
        <v>0</v>
      </c>
      <c r="AG490" s="100">
        <f t="shared" si="513"/>
        <v>0</v>
      </c>
      <c r="AH490" s="100">
        <f t="shared" si="514"/>
        <v>0</v>
      </c>
      <c r="AI490" s="109"/>
      <c r="AJ490" s="108">
        <f t="shared" si="515"/>
        <v>0</v>
      </c>
      <c r="AK490" s="108">
        <f t="shared" si="516"/>
        <v>0</v>
      </c>
      <c r="AL490" s="108">
        <f t="shared" si="517"/>
        <v>0</v>
      </c>
      <c r="AN490" s="100">
        <v>15</v>
      </c>
      <c r="AO490" s="100">
        <f t="shared" si="518"/>
        <v>0</v>
      </c>
      <c r="AP490" s="100">
        <f t="shared" si="519"/>
        <v>0</v>
      </c>
      <c r="AQ490" s="111" t="s">
        <v>7</v>
      </c>
      <c r="AV490" s="100">
        <f t="shared" si="520"/>
        <v>0</v>
      </c>
      <c r="AW490" s="100">
        <f t="shared" si="521"/>
        <v>0</v>
      </c>
      <c r="AX490" s="100">
        <f t="shared" si="522"/>
        <v>0</v>
      </c>
      <c r="AY490" s="110" t="s">
        <v>1720</v>
      </c>
      <c r="AZ490" s="110" t="s">
        <v>1730</v>
      </c>
      <c r="BA490" s="109" t="s">
        <v>1737</v>
      </c>
      <c r="BC490" s="100">
        <f t="shared" si="523"/>
        <v>0</v>
      </c>
      <c r="BD490" s="100">
        <f t="shared" si="524"/>
        <v>0</v>
      </c>
      <c r="BE490" s="100">
        <v>0</v>
      </c>
      <c r="BF490" s="100">
        <f>490</f>
        <v>490</v>
      </c>
      <c r="BH490" s="108">
        <f t="shared" si="525"/>
        <v>0</v>
      </c>
      <c r="BI490" s="108">
        <f t="shared" si="526"/>
        <v>0</v>
      </c>
      <c r="BJ490" s="108">
        <f t="shared" si="527"/>
        <v>0</v>
      </c>
    </row>
    <row r="491" spans="1:62" x14ac:dyDescent="0.2">
      <c r="A491" s="117" t="s">
        <v>444</v>
      </c>
      <c r="B491" s="117" t="s">
        <v>3001</v>
      </c>
      <c r="C491" s="304" t="s">
        <v>1555</v>
      </c>
      <c r="D491" s="305"/>
      <c r="E491" s="305"/>
      <c r="F491" s="117" t="s">
        <v>1644</v>
      </c>
      <c r="G491" s="116">
        <v>1</v>
      </c>
      <c r="H491" s="159"/>
      <c r="I491" s="108">
        <f t="shared" si="504"/>
        <v>0</v>
      </c>
      <c r="J491" s="108">
        <f t="shared" si="505"/>
        <v>0</v>
      </c>
      <c r="K491" s="108">
        <f t="shared" si="506"/>
        <v>0</v>
      </c>
      <c r="L491" s="111"/>
      <c r="Z491" s="100">
        <f t="shared" si="507"/>
        <v>0</v>
      </c>
      <c r="AB491" s="100">
        <f t="shared" si="508"/>
        <v>0</v>
      </c>
      <c r="AC491" s="100">
        <f t="shared" si="509"/>
        <v>0</v>
      </c>
      <c r="AD491" s="100">
        <f t="shared" si="510"/>
        <v>0</v>
      </c>
      <c r="AE491" s="100">
        <f t="shared" si="511"/>
        <v>0</v>
      </c>
      <c r="AF491" s="100">
        <f t="shared" si="512"/>
        <v>0</v>
      </c>
      <c r="AG491" s="100">
        <f t="shared" si="513"/>
        <v>0</v>
      </c>
      <c r="AH491" s="100">
        <f t="shared" si="514"/>
        <v>0</v>
      </c>
      <c r="AI491" s="109"/>
      <c r="AJ491" s="108">
        <f t="shared" si="515"/>
        <v>0</v>
      </c>
      <c r="AK491" s="108">
        <f t="shared" si="516"/>
        <v>0</v>
      </c>
      <c r="AL491" s="108">
        <f t="shared" si="517"/>
        <v>0</v>
      </c>
      <c r="AN491" s="100">
        <v>15</v>
      </c>
      <c r="AO491" s="100">
        <f t="shared" si="518"/>
        <v>0</v>
      </c>
      <c r="AP491" s="100">
        <f t="shared" si="519"/>
        <v>0</v>
      </c>
      <c r="AQ491" s="111" t="s">
        <v>7</v>
      </c>
      <c r="AV491" s="100">
        <f t="shared" si="520"/>
        <v>0</v>
      </c>
      <c r="AW491" s="100">
        <f t="shared" si="521"/>
        <v>0</v>
      </c>
      <c r="AX491" s="100">
        <f t="shared" si="522"/>
        <v>0</v>
      </c>
      <c r="AY491" s="110" t="s">
        <v>1720</v>
      </c>
      <c r="AZ491" s="110" t="s">
        <v>1730</v>
      </c>
      <c r="BA491" s="109" t="s">
        <v>1737</v>
      </c>
      <c r="BC491" s="100">
        <f t="shared" si="523"/>
        <v>0</v>
      </c>
      <c r="BD491" s="100">
        <f t="shared" si="524"/>
        <v>0</v>
      </c>
      <c r="BE491" s="100">
        <v>0</v>
      </c>
      <c r="BF491" s="100">
        <f>491</f>
        <v>491</v>
      </c>
      <c r="BH491" s="108">
        <f t="shared" si="525"/>
        <v>0</v>
      </c>
      <c r="BI491" s="108">
        <f t="shared" si="526"/>
        <v>0</v>
      </c>
      <c r="BJ491" s="108">
        <f t="shared" si="527"/>
        <v>0</v>
      </c>
    </row>
    <row r="492" spans="1:62" x14ac:dyDescent="0.2">
      <c r="A492" s="119"/>
      <c r="B492" s="120" t="s">
        <v>2574</v>
      </c>
      <c r="C492" s="306" t="s">
        <v>2573</v>
      </c>
      <c r="D492" s="307"/>
      <c r="E492" s="307"/>
      <c r="F492" s="119" t="s">
        <v>6</v>
      </c>
      <c r="G492" s="119" t="s">
        <v>6</v>
      </c>
      <c r="H492" s="119" t="s">
        <v>6</v>
      </c>
      <c r="I492" s="118">
        <f>SUM(I493:I511)</f>
        <v>0</v>
      </c>
      <c r="J492" s="118">
        <f>SUM(J493:J511)</f>
        <v>0</v>
      </c>
      <c r="K492" s="118">
        <f>SUM(K493:K511)</f>
        <v>0</v>
      </c>
      <c r="L492" s="109"/>
      <c r="AI492" s="109"/>
      <c r="AS492" s="118">
        <f>SUM(AJ493:AJ511)</f>
        <v>0</v>
      </c>
      <c r="AT492" s="118">
        <f>SUM(AK493:AK511)</f>
        <v>0</v>
      </c>
      <c r="AU492" s="118">
        <f>SUM(AL493:AL511)</f>
        <v>0</v>
      </c>
    </row>
    <row r="493" spans="1:62" x14ac:dyDescent="0.2">
      <c r="A493" s="117" t="s">
        <v>445</v>
      </c>
      <c r="B493" s="117" t="s">
        <v>3000</v>
      </c>
      <c r="C493" s="341" t="s">
        <v>4665</v>
      </c>
      <c r="D493" s="305"/>
      <c r="E493" s="305"/>
      <c r="F493" s="172" t="s">
        <v>1655</v>
      </c>
      <c r="G493" s="116">
        <v>1</v>
      </c>
      <c r="H493" s="159"/>
      <c r="I493" s="108">
        <f t="shared" ref="I493:I511" si="528">G493*AO493</f>
        <v>0</v>
      </c>
      <c r="J493" s="108">
        <f t="shared" ref="J493:J511" si="529">G493*AP493</f>
        <v>0</v>
      </c>
      <c r="K493" s="108">
        <f t="shared" ref="K493:K511" si="530">G493*H493</f>
        <v>0</v>
      </c>
      <c r="L493" s="111"/>
      <c r="Z493" s="100">
        <f t="shared" ref="Z493:Z511" si="531">IF(AQ493="5",BJ493,0)</f>
        <v>0</v>
      </c>
      <c r="AB493" s="100">
        <f t="shared" ref="AB493:AB511" si="532">IF(AQ493="1",BH493,0)</f>
        <v>0</v>
      </c>
      <c r="AC493" s="100">
        <f t="shared" ref="AC493:AC511" si="533">IF(AQ493="1",BI493,0)</f>
        <v>0</v>
      </c>
      <c r="AD493" s="100">
        <f t="shared" ref="AD493:AD511" si="534">IF(AQ493="7",BH493,0)</f>
        <v>0</v>
      </c>
      <c r="AE493" s="100">
        <f t="shared" ref="AE493:AE511" si="535">IF(AQ493="7",BI493,0)</f>
        <v>0</v>
      </c>
      <c r="AF493" s="100">
        <f t="shared" ref="AF493:AF511" si="536">IF(AQ493="2",BH493,0)</f>
        <v>0</v>
      </c>
      <c r="AG493" s="100">
        <f t="shared" ref="AG493:AG511" si="537">IF(AQ493="2",BI493,0)</f>
        <v>0</v>
      </c>
      <c r="AH493" s="100">
        <f t="shared" ref="AH493:AH511" si="538">IF(AQ493="0",BJ493,0)</f>
        <v>0</v>
      </c>
      <c r="AI493" s="109"/>
      <c r="AJ493" s="108">
        <f t="shared" ref="AJ493:AJ511" si="539">IF(AN493=0,K493,0)</f>
        <v>0</v>
      </c>
      <c r="AK493" s="108">
        <f t="shared" ref="AK493:AK511" si="540">IF(AN493=15,K493,0)</f>
        <v>0</v>
      </c>
      <c r="AL493" s="108">
        <f t="shared" ref="AL493:AL511" si="541">IF(AN493=21,K493,0)</f>
        <v>0</v>
      </c>
      <c r="AN493" s="100">
        <v>15</v>
      </c>
      <c r="AO493" s="100">
        <f t="shared" ref="AO493:AO511" si="542">H493*0</f>
        <v>0</v>
      </c>
      <c r="AP493" s="100">
        <f t="shared" ref="AP493:AP511" si="543">H493*(1-0)</f>
        <v>0</v>
      </c>
      <c r="AQ493" s="111" t="s">
        <v>7</v>
      </c>
      <c r="AV493" s="100">
        <f t="shared" ref="AV493:AV511" si="544">AW493+AX493</f>
        <v>0</v>
      </c>
      <c r="AW493" s="100">
        <f t="shared" ref="AW493:AW511" si="545">G493*AO493</f>
        <v>0</v>
      </c>
      <c r="AX493" s="100">
        <f t="shared" ref="AX493:AX511" si="546">G493*AP493</f>
        <v>0</v>
      </c>
      <c r="AY493" s="110" t="s">
        <v>2623</v>
      </c>
      <c r="AZ493" s="110" t="s">
        <v>1730</v>
      </c>
      <c r="BA493" s="109" t="s">
        <v>1737</v>
      </c>
      <c r="BC493" s="100">
        <f t="shared" ref="BC493:BC511" si="547">AW493+AX493</f>
        <v>0</v>
      </c>
      <c r="BD493" s="100">
        <f t="shared" ref="BD493:BD511" si="548">H493/(100-BE493)*100</f>
        <v>0</v>
      </c>
      <c r="BE493" s="100">
        <v>0</v>
      </c>
      <c r="BF493" s="100">
        <f>493</f>
        <v>493</v>
      </c>
      <c r="BH493" s="108">
        <f t="shared" ref="BH493:BH511" si="549">G493*AO493</f>
        <v>0</v>
      </c>
      <c r="BI493" s="108">
        <f t="shared" ref="BI493:BI511" si="550">G493*AP493</f>
        <v>0</v>
      </c>
      <c r="BJ493" s="108">
        <f t="shared" ref="BJ493:BJ511" si="551">G493*H493</f>
        <v>0</v>
      </c>
    </row>
    <row r="494" spans="1:62" x14ac:dyDescent="0.2">
      <c r="A494" s="117" t="s">
        <v>446</v>
      </c>
      <c r="B494" s="117" t="s">
        <v>2999</v>
      </c>
      <c r="C494" s="341" t="s">
        <v>4664</v>
      </c>
      <c r="D494" s="305"/>
      <c r="E494" s="305"/>
      <c r="F494" s="172" t="s">
        <v>1655</v>
      </c>
      <c r="G494" s="116">
        <v>1</v>
      </c>
      <c r="H494" s="159"/>
      <c r="I494" s="108">
        <f t="shared" si="528"/>
        <v>0</v>
      </c>
      <c r="J494" s="108">
        <f t="shared" si="529"/>
        <v>0</v>
      </c>
      <c r="K494" s="108">
        <f t="shared" si="530"/>
        <v>0</v>
      </c>
      <c r="L494" s="111"/>
      <c r="Z494" s="100">
        <f t="shared" si="531"/>
        <v>0</v>
      </c>
      <c r="AB494" s="100">
        <f t="shared" si="532"/>
        <v>0</v>
      </c>
      <c r="AC494" s="100">
        <f t="shared" si="533"/>
        <v>0</v>
      </c>
      <c r="AD494" s="100">
        <f t="shared" si="534"/>
        <v>0</v>
      </c>
      <c r="AE494" s="100">
        <f t="shared" si="535"/>
        <v>0</v>
      </c>
      <c r="AF494" s="100">
        <f t="shared" si="536"/>
        <v>0</v>
      </c>
      <c r="AG494" s="100">
        <f t="shared" si="537"/>
        <v>0</v>
      </c>
      <c r="AH494" s="100">
        <f t="shared" si="538"/>
        <v>0</v>
      </c>
      <c r="AI494" s="109"/>
      <c r="AJ494" s="108">
        <f t="shared" si="539"/>
        <v>0</v>
      </c>
      <c r="AK494" s="108">
        <f t="shared" si="540"/>
        <v>0</v>
      </c>
      <c r="AL494" s="108">
        <f t="shared" si="541"/>
        <v>0</v>
      </c>
      <c r="AN494" s="100">
        <v>15</v>
      </c>
      <c r="AO494" s="100">
        <f t="shared" si="542"/>
        <v>0</v>
      </c>
      <c r="AP494" s="100">
        <f t="shared" si="543"/>
        <v>0</v>
      </c>
      <c r="AQ494" s="111" t="s">
        <v>7</v>
      </c>
      <c r="AV494" s="100">
        <f t="shared" si="544"/>
        <v>0</v>
      </c>
      <c r="AW494" s="100">
        <f t="shared" si="545"/>
        <v>0</v>
      </c>
      <c r="AX494" s="100">
        <f t="shared" si="546"/>
        <v>0</v>
      </c>
      <c r="AY494" s="110" t="s">
        <v>2623</v>
      </c>
      <c r="AZ494" s="110" t="s">
        <v>1730</v>
      </c>
      <c r="BA494" s="109" t="s">
        <v>1737</v>
      </c>
      <c r="BC494" s="100">
        <f t="shared" si="547"/>
        <v>0</v>
      </c>
      <c r="BD494" s="100">
        <f t="shared" si="548"/>
        <v>0</v>
      </c>
      <c r="BE494" s="100">
        <v>0</v>
      </c>
      <c r="BF494" s="100">
        <f>494</f>
        <v>494</v>
      </c>
      <c r="BH494" s="108">
        <f t="shared" si="549"/>
        <v>0</v>
      </c>
      <c r="BI494" s="108">
        <f t="shared" si="550"/>
        <v>0</v>
      </c>
      <c r="BJ494" s="108">
        <f t="shared" si="551"/>
        <v>0</v>
      </c>
    </row>
    <row r="495" spans="1:62" x14ac:dyDescent="0.2">
      <c r="A495" s="117" t="s">
        <v>447</v>
      </c>
      <c r="B495" s="117" t="s">
        <v>2998</v>
      </c>
      <c r="C495" s="341" t="s">
        <v>4663</v>
      </c>
      <c r="D495" s="305"/>
      <c r="E495" s="305"/>
      <c r="F495" s="117" t="s">
        <v>1644</v>
      </c>
      <c r="G495" s="116">
        <v>1</v>
      </c>
      <c r="H495" s="159"/>
      <c r="I495" s="108">
        <f t="shared" si="528"/>
        <v>0</v>
      </c>
      <c r="J495" s="108">
        <f t="shared" si="529"/>
        <v>0</v>
      </c>
      <c r="K495" s="108">
        <f t="shared" si="530"/>
        <v>0</v>
      </c>
      <c r="L495" s="111"/>
      <c r="Z495" s="100">
        <f t="shared" si="531"/>
        <v>0</v>
      </c>
      <c r="AB495" s="100">
        <f t="shared" si="532"/>
        <v>0</v>
      </c>
      <c r="AC495" s="100">
        <f t="shared" si="533"/>
        <v>0</v>
      </c>
      <c r="AD495" s="100">
        <f t="shared" si="534"/>
        <v>0</v>
      </c>
      <c r="AE495" s="100">
        <f t="shared" si="535"/>
        <v>0</v>
      </c>
      <c r="AF495" s="100">
        <f t="shared" si="536"/>
        <v>0</v>
      </c>
      <c r="AG495" s="100">
        <f t="shared" si="537"/>
        <v>0</v>
      </c>
      <c r="AH495" s="100">
        <f t="shared" si="538"/>
        <v>0</v>
      </c>
      <c r="AI495" s="109"/>
      <c r="AJ495" s="108">
        <f t="shared" si="539"/>
        <v>0</v>
      </c>
      <c r="AK495" s="108">
        <f t="shared" si="540"/>
        <v>0</v>
      </c>
      <c r="AL495" s="108">
        <f t="shared" si="541"/>
        <v>0</v>
      </c>
      <c r="AN495" s="100">
        <v>15</v>
      </c>
      <c r="AO495" s="100">
        <f t="shared" si="542"/>
        <v>0</v>
      </c>
      <c r="AP495" s="100">
        <f t="shared" si="543"/>
        <v>0</v>
      </c>
      <c r="AQ495" s="111" t="s">
        <v>7</v>
      </c>
      <c r="AV495" s="100">
        <f t="shared" si="544"/>
        <v>0</v>
      </c>
      <c r="AW495" s="100">
        <f t="shared" si="545"/>
        <v>0</v>
      </c>
      <c r="AX495" s="100">
        <f t="shared" si="546"/>
        <v>0</v>
      </c>
      <c r="AY495" s="110" t="s">
        <v>2623</v>
      </c>
      <c r="AZ495" s="110" t="s">
        <v>1730</v>
      </c>
      <c r="BA495" s="109" t="s">
        <v>1737</v>
      </c>
      <c r="BC495" s="100">
        <f t="shared" si="547"/>
        <v>0</v>
      </c>
      <c r="BD495" s="100">
        <f t="shared" si="548"/>
        <v>0</v>
      </c>
      <c r="BE495" s="100">
        <v>0</v>
      </c>
      <c r="BF495" s="100">
        <f>495</f>
        <v>495</v>
      </c>
      <c r="BH495" s="108">
        <f t="shared" si="549"/>
        <v>0</v>
      </c>
      <c r="BI495" s="108">
        <f t="shared" si="550"/>
        <v>0</v>
      </c>
      <c r="BJ495" s="108">
        <f t="shared" si="551"/>
        <v>0</v>
      </c>
    </row>
    <row r="496" spans="1:62" x14ac:dyDescent="0.2">
      <c r="A496" s="117" t="s">
        <v>448</v>
      </c>
      <c r="B496" s="117" t="s">
        <v>2997</v>
      </c>
      <c r="C496" s="304" t="s">
        <v>2641</v>
      </c>
      <c r="D496" s="305"/>
      <c r="E496" s="305"/>
      <c r="F496" s="117" t="s">
        <v>1646</v>
      </c>
      <c r="G496" s="116">
        <v>200</v>
      </c>
      <c r="H496" s="159"/>
      <c r="I496" s="108">
        <f t="shared" si="528"/>
        <v>0</v>
      </c>
      <c r="J496" s="108">
        <f t="shared" si="529"/>
        <v>0</v>
      </c>
      <c r="K496" s="108">
        <f t="shared" si="530"/>
        <v>0</v>
      </c>
      <c r="L496" s="111"/>
      <c r="Z496" s="100">
        <f t="shared" si="531"/>
        <v>0</v>
      </c>
      <c r="AB496" s="100">
        <f t="shared" si="532"/>
        <v>0</v>
      </c>
      <c r="AC496" s="100">
        <f t="shared" si="533"/>
        <v>0</v>
      </c>
      <c r="AD496" s="100">
        <f t="shared" si="534"/>
        <v>0</v>
      </c>
      <c r="AE496" s="100">
        <f t="shared" si="535"/>
        <v>0</v>
      </c>
      <c r="AF496" s="100">
        <f t="shared" si="536"/>
        <v>0</v>
      </c>
      <c r="AG496" s="100">
        <f t="shared" si="537"/>
        <v>0</v>
      </c>
      <c r="AH496" s="100">
        <f t="shared" si="538"/>
        <v>0</v>
      </c>
      <c r="AI496" s="109"/>
      <c r="AJ496" s="108">
        <f t="shared" si="539"/>
        <v>0</v>
      </c>
      <c r="AK496" s="108">
        <f t="shared" si="540"/>
        <v>0</v>
      </c>
      <c r="AL496" s="108">
        <f t="shared" si="541"/>
        <v>0</v>
      </c>
      <c r="AN496" s="100">
        <v>15</v>
      </c>
      <c r="AO496" s="100">
        <f t="shared" si="542"/>
        <v>0</v>
      </c>
      <c r="AP496" s="100">
        <f t="shared" si="543"/>
        <v>0</v>
      </c>
      <c r="AQ496" s="111" t="s">
        <v>7</v>
      </c>
      <c r="AV496" s="100">
        <f t="shared" si="544"/>
        <v>0</v>
      </c>
      <c r="AW496" s="100">
        <f t="shared" si="545"/>
        <v>0</v>
      </c>
      <c r="AX496" s="100">
        <f t="shared" si="546"/>
        <v>0</v>
      </c>
      <c r="AY496" s="110" t="s">
        <v>2623</v>
      </c>
      <c r="AZ496" s="110" t="s">
        <v>1730</v>
      </c>
      <c r="BA496" s="109" t="s">
        <v>1737</v>
      </c>
      <c r="BC496" s="100">
        <f t="shared" si="547"/>
        <v>0</v>
      </c>
      <c r="BD496" s="100">
        <f t="shared" si="548"/>
        <v>0</v>
      </c>
      <c r="BE496" s="100">
        <v>0</v>
      </c>
      <c r="BF496" s="100">
        <f>496</f>
        <v>496</v>
      </c>
      <c r="BH496" s="108">
        <f t="shared" si="549"/>
        <v>0</v>
      </c>
      <c r="BI496" s="108">
        <f t="shared" si="550"/>
        <v>0</v>
      </c>
      <c r="BJ496" s="108">
        <f t="shared" si="551"/>
        <v>0</v>
      </c>
    </row>
    <row r="497" spans="1:62" x14ac:dyDescent="0.2">
      <c r="A497" s="117" t="s">
        <v>449</v>
      </c>
      <c r="B497" s="117" t="s">
        <v>2996</v>
      </c>
      <c r="C497" s="304" t="s">
        <v>1539</v>
      </c>
      <c r="D497" s="305"/>
      <c r="E497" s="305"/>
      <c r="F497" s="117" t="s">
        <v>1646</v>
      </c>
      <c r="G497" s="116">
        <v>20</v>
      </c>
      <c r="H497" s="159"/>
      <c r="I497" s="108">
        <f t="shared" si="528"/>
        <v>0</v>
      </c>
      <c r="J497" s="108">
        <f t="shared" si="529"/>
        <v>0</v>
      </c>
      <c r="K497" s="108">
        <f t="shared" si="530"/>
        <v>0</v>
      </c>
      <c r="L497" s="111"/>
      <c r="Z497" s="100">
        <f t="shared" si="531"/>
        <v>0</v>
      </c>
      <c r="AB497" s="100">
        <f t="shared" si="532"/>
        <v>0</v>
      </c>
      <c r="AC497" s="100">
        <f t="shared" si="533"/>
        <v>0</v>
      </c>
      <c r="AD497" s="100">
        <f t="shared" si="534"/>
        <v>0</v>
      </c>
      <c r="AE497" s="100">
        <f t="shared" si="535"/>
        <v>0</v>
      </c>
      <c r="AF497" s="100">
        <f t="shared" si="536"/>
        <v>0</v>
      </c>
      <c r="AG497" s="100">
        <f t="shared" si="537"/>
        <v>0</v>
      </c>
      <c r="AH497" s="100">
        <f t="shared" si="538"/>
        <v>0</v>
      </c>
      <c r="AI497" s="109"/>
      <c r="AJ497" s="108">
        <f t="shared" si="539"/>
        <v>0</v>
      </c>
      <c r="AK497" s="108">
        <f t="shared" si="540"/>
        <v>0</v>
      </c>
      <c r="AL497" s="108">
        <f t="shared" si="541"/>
        <v>0</v>
      </c>
      <c r="AN497" s="100">
        <v>15</v>
      </c>
      <c r="AO497" s="100">
        <f t="shared" si="542"/>
        <v>0</v>
      </c>
      <c r="AP497" s="100">
        <f t="shared" si="543"/>
        <v>0</v>
      </c>
      <c r="AQ497" s="111" t="s">
        <v>7</v>
      </c>
      <c r="AV497" s="100">
        <f t="shared" si="544"/>
        <v>0</v>
      </c>
      <c r="AW497" s="100">
        <f t="shared" si="545"/>
        <v>0</v>
      </c>
      <c r="AX497" s="100">
        <f t="shared" si="546"/>
        <v>0</v>
      </c>
      <c r="AY497" s="110" t="s">
        <v>2623</v>
      </c>
      <c r="AZ497" s="110" t="s">
        <v>1730</v>
      </c>
      <c r="BA497" s="109" t="s">
        <v>1737</v>
      </c>
      <c r="BC497" s="100">
        <f t="shared" si="547"/>
        <v>0</v>
      </c>
      <c r="BD497" s="100">
        <f t="shared" si="548"/>
        <v>0</v>
      </c>
      <c r="BE497" s="100">
        <v>0</v>
      </c>
      <c r="BF497" s="100">
        <f>497</f>
        <v>497</v>
      </c>
      <c r="BH497" s="108">
        <f t="shared" si="549"/>
        <v>0</v>
      </c>
      <c r="BI497" s="108">
        <f t="shared" si="550"/>
        <v>0</v>
      </c>
      <c r="BJ497" s="108">
        <f t="shared" si="551"/>
        <v>0</v>
      </c>
    </row>
    <row r="498" spans="1:62" x14ac:dyDescent="0.2">
      <c r="A498" s="117" t="s">
        <v>450</v>
      </c>
      <c r="B498" s="117" t="s">
        <v>2995</v>
      </c>
      <c r="C498" s="304" t="s">
        <v>2638</v>
      </c>
      <c r="D498" s="305"/>
      <c r="E498" s="305"/>
      <c r="F498" s="117" t="s">
        <v>1646</v>
      </c>
      <c r="G498" s="116">
        <v>10</v>
      </c>
      <c r="H498" s="159"/>
      <c r="I498" s="108">
        <f t="shared" si="528"/>
        <v>0</v>
      </c>
      <c r="J498" s="108">
        <f t="shared" si="529"/>
        <v>0</v>
      </c>
      <c r="K498" s="108">
        <f t="shared" si="530"/>
        <v>0</v>
      </c>
      <c r="L498" s="111"/>
      <c r="Z498" s="100">
        <f t="shared" si="531"/>
        <v>0</v>
      </c>
      <c r="AB498" s="100">
        <f t="shared" si="532"/>
        <v>0</v>
      </c>
      <c r="AC498" s="100">
        <f t="shared" si="533"/>
        <v>0</v>
      </c>
      <c r="AD498" s="100">
        <f t="shared" si="534"/>
        <v>0</v>
      </c>
      <c r="AE498" s="100">
        <f t="shared" si="535"/>
        <v>0</v>
      </c>
      <c r="AF498" s="100">
        <f t="shared" si="536"/>
        <v>0</v>
      </c>
      <c r="AG498" s="100">
        <f t="shared" si="537"/>
        <v>0</v>
      </c>
      <c r="AH498" s="100">
        <f t="shared" si="538"/>
        <v>0</v>
      </c>
      <c r="AI498" s="109"/>
      <c r="AJ498" s="108">
        <f t="shared" si="539"/>
        <v>0</v>
      </c>
      <c r="AK498" s="108">
        <f t="shared" si="540"/>
        <v>0</v>
      </c>
      <c r="AL498" s="108">
        <f t="shared" si="541"/>
        <v>0</v>
      </c>
      <c r="AN498" s="100">
        <v>15</v>
      </c>
      <c r="AO498" s="100">
        <f t="shared" si="542"/>
        <v>0</v>
      </c>
      <c r="AP498" s="100">
        <f t="shared" si="543"/>
        <v>0</v>
      </c>
      <c r="AQ498" s="111" t="s">
        <v>7</v>
      </c>
      <c r="AV498" s="100">
        <f t="shared" si="544"/>
        <v>0</v>
      </c>
      <c r="AW498" s="100">
        <f t="shared" si="545"/>
        <v>0</v>
      </c>
      <c r="AX498" s="100">
        <f t="shared" si="546"/>
        <v>0</v>
      </c>
      <c r="AY498" s="110" t="s">
        <v>2623</v>
      </c>
      <c r="AZ498" s="110" t="s">
        <v>1730</v>
      </c>
      <c r="BA498" s="109" t="s">
        <v>1737</v>
      </c>
      <c r="BC498" s="100">
        <f t="shared" si="547"/>
        <v>0</v>
      </c>
      <c r="BD498" s="100">
        <f t="shared" si="548"/>
        <v>0</v>
      </c>
      <c r="BE498" s="100">
        <v>0</v>
      </c>
      <c r="BF498" s="100">
        <f>498</f>
        <v>498</v>
      </c>
      <c r="BH498" s="108">
        <f t="shared" si="549"/>
        <v>0</v>
      </c>
      <c r="BI498" s="108">
        <f t="shared" si="550"/>
        <v>0</v>
      </c>
      <c r="BJ498" s="108">
        <f t="shared" si="551"/>
        <v>0</v>
      </c>
    </row>
    <row r="499" spans="1:62" x14ac:dyDescent="0.2">
      <c r="A499" s="117" t="s">
        <v>451</v>
      </c>
      <c r="B499" s="117" t="s">
        <v>2994</v>
      </c>
      <c r="C499" s="304" t="s">
        <v>2993</v>
      </c>
      <c r="D499" s="305"/>
      <c r="E499" s="305"/>
      <c r="F499" s="117" t="s">
        <v>1646</v>
      </c>
      <c r="G499" s="116">
        <v>10</v>
      </c>
      <c r="H499" s="159"/>
      <c r="I499" s="108">
        <f t="shared" si="528"/>
        <v>0</v>
      </c>
      <c r="J499" s="108">
        <f t="shared" si="529"/>
        <v>0</v>
      </c>
      <c r="K499" s="108">
        <f t="shared" si="530"/>
        <v>0</v>
      </c>
      <c r="L499" s="111"/>
      <c r="Z499" s="100">
        <f t="shared" si="531"/>
        <v>0</v>
      </c>
      <c r="AB499" s="100">
        <f t="shared" si="532"/>
        <v>0</v>
      </c>
      <c r="AC499" s="100">
        <f t="shared" si="533"/>
        <v>0</v>
      </c>
      <c r="AD499" s="100">
        <f t="shared" si="534"/>
        <v>0</v>
      </c>
      <c r="AE499" s="100">
        <f t="shared" si="535"/>
        <v>0</v>
      </c>
      <c r="AF499" s="100">
        <f t="shared" si="536"/>
        <v>0</v>
      </c>
      <c r="AG499" s="100">
        <f t="shared" si="537"/>
        <v>0</v>
      </c>
      <c r="AH499" s="100">
        <f t="shared" si="538"/>
        <v>0</v>
      </c>
      <c r="AI499" s="109"/>
      <c r="AJ499" s="108">
        <f t="shared" si="539"/>
        <v>0</v>
      </c>
      <c r="AK499" s="108">
        <f t="shared" si="540"/>
        <v>0</v>
      </c>
      <c r="AL499" s="108">
        <f t="shared" si="541"/>
        <v>0</v>
      </c>
      <c r="AN499" s="100">
        <v>15</v>
      </c>
      <c r="AO499" s="100">
        <f t="shared" si="542"/>
        <v>0</v>
      </c>
      <c r="AP499" s="100">
        <f t="shared" si="543"/>
        <v>0</v>
      </c>
      <c r="AQ499" s="111" t="s">
        <v>7</v>
      </c>
      <c r="AV499" s="100">
        <f t="shared" si="544"/>
        <v>0</v>
      </c>
      <c r="AW499" s="100">
        <f t="shared" si="545"/>
        <v>0</v>
      </c>
      <c r="AX499" s="100">
        <f t="shared" si="546"/>
        <v>0</v>
      </c>
      <c r="AY499" s="110" t="s">
        <v>2623</v>
      </c>
      <c r="AZ499" s="110" t="s">
        <v>1730</v>
      </c>
      <c r="BA499" s="109" t="s">
        <v>1737</v>
      </c>
      <c r="BC499" s="100">
        <f t="shared" si="547"/>
        <v>0</v>
      </c>
      <c r="BD499" s="100">
        <f t="shared" si="548"/>
        <v>0</v>
      </c>
      <c r="BE499" s="100">
        <v>0</v>
      </c>
      <c r="BF499" s="100">
        <f>499</f>
        <v>499</v>
      </c>
      <c r="BH499" s="108">
        <f t="shared" si="549"/>
        <v>0</v>
      </c>
      <c r="BI499" s="108">
        <f t="shared" si="550"/>
        <v>0</v>
      </c>
      <c r="BJ499" s="108">
        <f t="shared" si="551"/>
        <v>0</v>
      </c>
    </row>
    <row r="500" spans="1:62" x14ac:dyDescent="0.2">
      <c r="A500" s="117" t="s">
        <v>452</v>
      </c>
      <c r="B500" s="117" t="s">
        <v>2992</v>
      </c>
      <c r="C500" s="304" t="s">
        <v>2991</v>
      </c>
      <c r="D500" s="305"/>
      <c r="E500" s="305"/>
      <c r="F500" s="117" t="s">
        <v>1646</v>
      </c>
      <c r="G500" s="116">
        <v>10</v>
      </c>
      <c r="H500" s="159"/>
      <c r="I500" s="108">
        <f t="shared" si="528"/>
        <v>0</v>
      </c>
      <c r="J500" s="108">
        <f t="shared" si="529"/>
        <v>0</v>
      </c>
      <c r="K500" s="108">
        <f t="shared" si="530"/>
        <v>0</v>
      </c>
      <c r="L500" s="111"/>
      <c r="Z500" s="100">
        <f t="shared" si="531"/>
        <v>0</v>
      </c>
      <c r="AB500" s="100">
        <f t="shared" si="532"/>
        <v>0</v>
      </c>
      <c r="AC500" s="100">
        <f t="shared" si="533"/>
        <v>0</v>
      </c>
      <c r="AD500" s="100">
        <f t="shared" si="534"/>
        <v>0</v>
      </c>
      <c r="AE500" s="100">
        <f t="shared" si="535"/>
        <v>0</v>
      </c>
      <c r="AF500" s="100">
        <f t="shared" si="536"/>
        <v>0</v>
      </c>
      <c r="AG500" s="100">
        <f t="shared" si="537"/>
        <v>0</v>
      </c>
      <c r="AH500" s="100">
        <f t="shared" si="538"/>
        <v>0</v>
      </c>
      <c r="AI500" s="109"/>
      <c r="AJ500" s="108">
        <f t="shared" si="539"/>
        <v>0</v>
      </c>
      <c r="AK500" s="108">
        <f t="shared" si="540"/>
        <v>0</v>
      </c>
      <c r="AL500" s="108">
        <f t="shared" si="541"/>
        <v>0</v>
      </c>
      <c r="AN500" s="100">
        <v>15</v>
      </c>
      <c r="AO500" s="100">
        <f t="shared" si="542"/>
        <v>0</v>
      </c>
      <c r="AP500" s="100">
        <f t="shared" si="543"/>
        <v>0</v>
      </c>
      <c r="AQ500" s="111" t="s">
        <v>7</v>
      </c>
      <c r="AV500" s="100">
        <f t="shared" si="544"/>
        <v>0</v>
      </c>
      <c r="AW500" s="100">
        <f t="shared" si="545"/>
        <v>0</v>
      </c>
      <c r="AX500" s="100">
        <f t="shared" si="546"/>
        <v>0</v>
      </c>
      <c r="AY500" s="110" t="s">
        <v>2623</v>
      </c>
      <c r="AZ500" s="110" t="s">
        <v>1730</v>
      </c>
      <c r="BA500" s="109" t="s">
        <v>1737</v>
      </c>
      <c r="BC500" s="100">
        <f t="shared" si="547"/>
        <v>0</v>
      </c>
      <c r="BD500" s="100">
        <f t="shared" si="548"/>
        <v>0</v>
      </c>
      <c r="BE500" s="100">
        <v>0</v>
      </c>
      <c r="BF500" s="100">
        <f>500</f>
        <v>500</v>
      </c>
      <c r="BH500" s="108">
        <f t="shared" si="549"/>
        <v>0</v>
      </c>
      <c r="BI500" s="108">
        <f t="shared" si="550"/>
        <v>0</v>
      </c>
      <c r="BJ500" s="108">
        <f t="shared" si="551"/>
        <v>0</v>
      </c>
    </row>
    <row r="501" spans="1:62" x14ac:dyDescent="0.2">
      <c r="A501" s="117" t="s">
        <v>453</v>
      </c>
      <c r="B501" s="117" t="s">
        <v>2990</v>
      </c>
      <c r="C501" s="304" t="s">
        <v>2989</v>
      </c>
      <c r="D501" s="305"/>
      <c r="E501" s="305"/>
      <c r="F501" s="117" t="s">
        <v>1646</v>
      </c>
      <c r="G501" s="116">
        <v>200</v>
      </c>
      <c r="H501" s="159"/>
      <c r="I501" s="108">
        <f t="shared" si="528"/>
        <v>0</v>
      </c>
      <c r="J501" s="108">
        <f t="shared" si="529"/>
        <v>0</v>
      </c>
      <c r="K501" s="108">
        <f t="shared" si="530"/>
        <v>0</v>
      </c>
      <c r="L501" s="111"/>
      <c r="Z501" s="100">
        <f t="shared" si="531"/>
        <v>0</v>
      </c>
      <c r="AB501" s="100">
        <f t="shared" si="532"/>
        <v>0</v>
      </c>
      <c r="AC501" s="100">
        <f t="shared" si="533"/>
        <v>0</v>
      </c>
      <c r="AD501" s="100">
        <f t="shared" si="534"/>
        <v>0</v>
      </c>
      <c r="AE501" s="100">
        <f t="shared" si="535"/>
        <v>0</v>
      </c>
      <c r="AF501" s="100">
        <f t="shared" si="536"/>
        <v>0</v>
      </c>
      <c r="AG501" s="100">
        <f t="shared" si="537"/>
        <v>0</v>
      </c>
      <c r="AH501" s="100">
        <f t="shared" si="538"/>
        <v>0</v>
      </c>
      <c r="AI501" s="109"/>
      <c r="AJ501" s="108">
        <f t="shared" si="539"/>
        <v>0</v>
      </c>
      <c r="AK501" s="108">
        <f t="shared" si="540"/>
        <v>0</v>
      </c>
      <c r="AL501" s="108">
        <f t="shared" si="541"/>
        <v>0</v>
      </c>
      <c r="AN501" s="100">
        <v>15</v>
      </c>
      <c r="AO501" s="100">
        <f t="shared" si="542"/>
        <v>0</v>
      </c>
      <c r="AP501" s="100">
        <f t="shared" si="543"/>
        <v>0</v>
      </c>
      <c r="AQ501" s="111" t="s">
        <v>7</v>
      </c>
      <c r="AV501" s="100">
        <f t="shared" si="544"/>
        <v>0</v>
      </c>
      <c r="AW501" s="100">
        <f t="shared" si="545"/>
        <v>0</v>
      </c>
      <c r="AX501" s="100">
        <f t="shared" si="546"/>
        <v>0</v>
      </c>
      <c r="AY501" s="110" t="s">
        <v>2623</v>
      </c>
      <c r="AZ501" s="110" t="s">
        <v>1730</v>
      </c>
      <c r="BA501" s="109" t="s">
        <v>1737</v>
      </c>
      <c r="BC501" s="100">
        <f t="shared" si="547"/>
        <v>0</v>
      </c>
      <c r="BD501" s="100">
        <f t="shared" si="548"/>
        <v>0</v>
      </c>
      <c r="BE501" s="100">
        <v>0</v>
      </c>
      <c r="BF501" s="100">
        <f>501</f>
        <v>501</v>
      </c>
      <c r="BH501" s="108">
        <f t="shared" si="549"/>
        <v>0</v>
      </c>
      <c r="BI501" s="108">
        <f t="shared" si="550"/>
        <v>0</v>
      </c>
      <c r="BJ501" s="108">
        <f t="shared" si="551"/>
        <v>0</v>
      </c>
    </row>
    <row r="502" spans="1:62" x14ac:dyDescent="0.2">
      <c r="A502" s="117" t="s">
        <v>454</v>
      </c>
      <c r="B502" s="117" t="s">
        <v>2988</v>
      </c>
      <c r="C502" s="304" t="s">
        <v>2634</v>
      </c>
      <c r="D502" s="305"/>
      <c r="E502" s="305"/>
      <c r="F502" s="117" t="s">
        <v>1644</v>
      </c>
      <c r="G502" s="116">
        <v>8</v>
      </c>
      <c r="H502" s="159"/>
      <c r="I502" s="108">
        <f t="shared" si="528"/>
        <v>0</v>
      </c>
      <c r="J502" s="108">
        <f t="shared" si="529"/>
        <v>0</v>
      </c>
      <c r="K502" s="108">
        <f t="shared" si="530"/>
        <v>0</v>
      </c>
      <c r="L502" s="111"/>
      <c r="Z502" s="100">
        <f t="shared" si="531"/>
        <v>0</v>
      </c>
      <c r="AB502" s="100">
        <f t="shared" si="532"/>
        <v>0</v>
      </c>
      <c r="AC502" s="100">
        <f t="shared" si="533"/>
        <v>0</v>
      </c>
      <c r="AD502" s="100">
        <f t="shared" si="534"/>
        <v>0</v>
      </c>
      <c r="AE502" s="100">
        <f t="shared" si="535"/>
        <v>0</v>
      </c>
      <c r="AF502" s="100">
        <f t="shared" si="536"/>
        <v>0</v>
      </c>
      <c r="AG502" s="100">
        <f t="shared" si="537"/>
        <v>0</v>
      </c>
      <c r="AH502" s="100">
        <f t="shared" si="538"/>
        <v>0</v>
      </c>
      <c r="AI502" s="109"/>
      <c r="AJ502" s="108">
        <f t="shared" si="539"/>
        <v>0</v>
      </c>
      <c r="AK502" s="108">
        <f t="shared" si="540"/>
        <v>0</v>
      </c>
      <c r="AL502" s="108">
        <f t="shared" si="541"/>
        <v>0</v>
      </c>
      <c r="AN502" s="100">
        <v>15</v>
      </c>
      <c r="AO502" s="100">
        <f t="shared" si="542"/>
        <v>0</v>
      </c>
      <c r="AP502" s="100">
        <f t="shared" si="543"/>
        <v>0</v>
      </c>
      <c r="AQ502" s="111" t="s">
        <v>7</v>
      </c>
      <c r="AV502" s="100">
        <f t="shared" si="544"/>
        <v>0</v>
      </c>
      <c r="AW502" s="100">
        <f t="shared" si="545"/>
        <v>0</v>
      </c>
      <c r="AX502" s="100">
        <f t="shared" si="546"/>
        <v>0</v>
      </c>
      <c r="AY502" s="110" t="s">
        <v>2623</v>
      </c>
      <c r="AZ502" s="110" t="s">
        <v>1730</v>
      </c>
      <c r="BA502" s="109" t="s">
        <v>1737</v>
      </c>
      <c r="BC502" s="100">
        <f t="shared" si="547"/>
        <v>0</v>
      </c>
      <c r="BD502" s="100">
        <f t="shared" si="548"/>
        <v>0</v>
      </c>
      <c r="BE502" s="100">
        <v>0</v>
      </c>
      <c r="BF502" s="100">
        <f>502</f>
        <v>502</v>
      </c>
      <c r="BH502" s="108">
        <f t="shared" si="549"/>
        <v>0</v>
      </c>
      <c r="BI502" s="108">
        <f t="shared" si="550"/>
        <v>0</v>
      </c>
      <c r="BJ502" s="108">
        <f t="shared" si="551"/>
        <v>0</v>
      </c>
    </row>
    <row r="503" spans="1:62" x14ac:dyDescent="0.2">
      <c r="A503" s="117" t="s">
        <v>455</v>
      </c>
      <c r="B503" s="117" t="s">
        <v>2987</v>
      </c>
      <c r="C503" s="304" t="s">
        <v>1538</v>
      </c>
      <c r="D503" s="305"/>
      <c r="E503" s="305"/>
      <c r="F503" s="117" t="s">
        <v>1646</v>
      </c>
      <c r="G503" s="116">
        <v>50</v>
      </c>
      <c r="H503" s="159"/>
      <c r="I503" s="108">
        <f t="shared" si="528"/>
        <v>0</v>
      </c>
      <c r="J503" s="108">
        <f t="shared" si="529"/>
        <v>0</v>
      </c>
      <c r="K503" s="108">
        <f t="shared" si="530"/>
        <v>0</v>
      </c>
      <c r="L503" s="111"/>
      <c r="Z503" s="100">
        <f t="shared" si="531"/>
        <v>0</v>
      </c>
      <c r="AB503" s="100">
        <f t="shared" si="532"/>
        <v>0</v>
      </c>
      <c r="AC503" s="100">
        <f t="shared" si="533"/>
        <v>0</v>
      </c>
      <c r="AD503" s="100">
        <f t="shared" si="534"/>
        <v>0</v>
      </c>
      <c r="AE503" s="100">
        <f t="shared" si="535"/>
        <v>0</v>
      </c>
      <c r="AF503" s="100">
        <f t="shared" si="536"/>
        <v>0</v>
      </c>
      <c r="AG503" s="100">
        <f t="shared" si="537"/>
        <v>0</v>
      </c>
      <c r="AH503" s="100">
        <f t="shared" si="538"/>
        <v>0</v>
      </c>
      <c r="AI503" s="109"/>
      <c r="AJ503" s="108">
        <f t="shared" si="539"/>
        <v>0</v>
      </c>
      <c r="AK503" s="108">
        <f t="shared" si="540"/>
        <v>0</v>
      </c>
      <c r="AL503" s="108">
        <f t="shared" si="541"/>
        <v>0</v>
      </c>
      <c r="AN503" s="100">
        <v>15</v>
      </c>
      <c r="AO503" s="100">
        <f t="shared" si="542"/>
        <v>0</v>
      </c>
      <c r="AP503" s="100">
        <f t="shared" si="543"/>
        <v>0</v>
      </c>
      <c r="AQ503" s="111" t="s">
        <v>7</v>
      </c>
      <c r="AV503" s="100">
        <f t="shared" si="544"/>
        <v>0</v>
      </c>
      <c r="AW503" s="100">
        <f t="shared" si="545"/>
        <v>0</v>
      </c>
      <c r="AX503" s="100">
        <f t="shared" si="546"/>
        <v>0</v>
      </c>
      <c r="AY503" s="110" t="s">
        <v>2623</v>
      </c>
      <c r="AZ503" s="110" t="s">
        <v>1730</v>
      </c>
      <c r="BA503" s="109" t="s">
        <v>1737</v>
      </c>
      <c r="BC503" s="100">
        <f t="shared" si="547"/>
        <v>0</v>
      </c>
      <c r="BD503" s="100">
        <f t="shared" si="548"/>
        <v>0</v>
      </c>
      <c r="BE503" s="100">
        <v>0</v>
      </c>
      <c r="BF503" s="100">
        <f>503</f>
        <v>503</v>
      </c>
      <c r="BH503" s="108">
        <f t="shared" si="549"/>
        <v>0</v>
      </c>
      <c r="BI503" s="108">
        <f t="shared" si="550"/>
        <v>0</v>
      </c>
      <c r="BJ503" s="108">
        <f t="shared" si="551"/>
        <v>0</v>
      </c>
    </row>
    <row r="504" spans="1:62" x14ac:dyDescent="0.2">
      <c r="A504" s="117" t="s">
        <v>456</v>
      </c>
      <c r="B504" s="117" t="s">
        <v>2986</v>
      </c>
      <c r="C504" s="304" t="s">
        <v>2985</v>
      </c>
      <c r="D504" s="305"/>
      <c r="E504" s="305"/>
      <c r="F504" s="117" t="s">
        <v>1644</v>
      </c>
      <c r="G504" s="116">
        <v>1</v>
      </c>
      <c r="H504" s="159"/>
      <c r="I504" s="108">
        <f t="shared" si="528"/>
        <v>0</v>
      </c>
      <c r="J504" s="108">
        <f t="shared" si="529"/>
        <v>0</v>
      </c>
      <c r="K504" s="108">
        <f t="shared" si="530"/>
        <v>0</v>
      </c>
      <c r="L504" s="111"/>
      <c r="Z504" s="100">
        <f t="shared" si="531"/>
        <v>0</v>
      </c>
      <c r="AB504" s="100">
        <f t="shared" si="532"/>
        <v>0</v>
      </c>
      <c r="AC504" s="100">
        <f t="shared" si="533"/>
        <v>0</v>
      </c>
      <c r="AD504" s="100">
        <f t="shared" si="534"/>
        <v>0</v>
      </c>
      <c r="AE504" s="100">
        <f t="shared" si="535"/>
        <v>0</v>
      </c>
      <c r="AF504" s="100">
        <f t="shared" si="536"/>
        <v>0</v>
      </c>
      <c r="AG504" s="100">
        <f t="shared" si="537"/>
        <v>0</v>
      </c>
      <c r="AH504" s="100">
        <f t="shared" si="538"/>
        <v>0</v>
      </c>
      <c r="AI504" s="109"/>
      <c r="AJ504" s="108">
        <f t="shared" si="539"/>
        <v>0</v>
      </c>
      <c r="AK504" s="108">
        <f t="shared" si="540"/>
        <v>0</v>
      </c>
      <c r="AL504" s="108">
        <f t="shared" si="541"/>
        <v>0</v>
      </c>
      <c r="AN504" s="100">
        <v>15</v>
      </c>
      <c r="AO504" s="100">
        <f t="shared" si="542"/>
        <v>0</v>
      </c>
      <c r="AP504" s="100">
        <f t="shared" si="543"/>
        <v>0</v>
      </c>
      <c r="AQ504" s="111" t="s">
        <v>7</v>
      </c>
      <c r="AV504" s="100">
        <f t="shared" si="544"/>
        <v>0</v>
      </c>
      <c r="AW504" s="100">
        <f t="shared" si="545"/>
        <v>0</v>
      </c>
      <c r="AX504" s="100">
        <f t="shared" si="546"/>
        <v>0</v>
      </c>
      <c r="AY504" s="110" t="s">
        <v>2623</v>
      </c>
      <c r="AZ504" s="110" t="s">
        <v>1730</v>
      </c>
      <c r="BA504" s="109" t="s">
        <v>1737</v>
      </c>
      <c r="BC504" s="100">
        <f t="shared" si="547"/>
        <v>0</v>
      </c>
      <c r="BD504" s="100">
        <f t="shared" si="548"/>
        <v>0</v>
      </c>
      <c r="BE504" s="100">
        <v>0</v>
      </c>
      <c r="BF504" s="100">
        <f>504</f>
        <v>504</v>
      </c>
      <c r="BH504" s="108">
        <f t="shared" si="549"/>
        <v>0</v>
      </c>
      <c r="BI504" s="108">
        <f t="shared" si="550"/>
        <v>0</v>
      </c>
      <c r="BJ504" s="108">
        <f t="shared" si="551"/>
        <v>0</v>
      </c>
    </row>
    <row r="505" spans="1:62" x14ac:dyDescent="0.2">
      <c r="A505" s="117" t="s">
        <v>457</v>
      </c>
      <c r="B505" s="117" t="s">
        <v>2984</v>
      </c>
      <c r="C505" s="304" t="s">
        <v>2983</v>
      </c>
      <c r="D505" s="305"/>
      <c r="E505" s="305"/>
      <c r="F505" s="117" t="s">
        <v>1644</v>
      </c>
      <c r="G505" s="116">
        <v>1</v>
      </c>
      <c r="H505" s="159"/>
      <c r="I505" s="108">
        <f t="shared" si="528"/>
        <v>0</v>
      </c>
      <c r="J505" s="108">
        <f t="shared" si="529"/>
        <v>0</v>
      </c>
      <c r="K505" s="108">
        <f t="shared" si="530"/>
        <v>0</v>
      </c>
      <c r="L505" s="111"/>
      <c r="Z505" s="100">
        <f t="shared" si="531"/>
        <v>0</v>
      </c>
      <c r="AB505" s="100">
        <f t="shared" si="532"/>
        <v>0</v>
      </c>
      <c r="AC505" s="100">
        <f t="shared" si="533"/>
        <v>0</v>
      </c>
      <c r="AD505" s="100">
        <f t="shared" si="534"/>
        <v>0</v>
      </c>
      <c r="AE505" s="100">
        <f t="shared" si="535"/>
        <v>0</v>
      </c>
      <c r="AF505" s="100">
        <f t="shared" si="536"/>
        <v>0</v>
      </c>
      <c r="AG505" s="100">
        <f t="shared" si="537"/>
        <v>0</v>
      </c>
      <c r="AH505" s="100">
        <f t="shared" si="538"/>
        <v>0</v>
      </c>
      <c r="AI505" s="109"/>
      <c r="AJ505" s="108">
        <f t="shared" si="539"/>
        <v>0</v>
      </c>
      <c r="AK505" s="108">
        <f t="shared" si="540"/>
        <v>0</v>
      </c>
      <c r="AL505" s="108">
        <f t="shared" si="541"/>
        <v>0</v>
      </c>
      <c r="AN505" s="100">
        <v>15</v>
      </c>
      <c r="AO505" s="100">
        <f t="shared" si="542"/>
        <v>0</v>
      </c>
      <c r="AP505" s="100">
        <f t="shared" si="543"/>
        <v>0</v>
      </c>
      <c r="AQ505" s="111" t="s">
        <v>7</v>
      </c>
      <c r="AV505" s="100">
        <f t="shared" si="544"/>
        <v>0</v>
      </c>
      <c r="AW505" s="100">
        <f t="shared" si="545"/>
        <v>0</v>
      </c>
      <c r="AX505" s="100">
        <f t="shared" si="546"/>
        <v>0</v>
      </c>
      <c r="AY505" s="110" t="s">
        <v>2623</v>
      </c>
      <c r="AZ505" s="110" t="s">
        <v>1730</v>
      </c>
      <c r="BA505" s="109" t="s">
        <v>1737</v>
      </c>
      <c r="BC505" s="100">
        <f t="shared" si="547"/>
        <v>0</v>
      </c>
      <c r="BD505" s="100">
        <f t="shared" si="548"/>
        <v>0</v>
      </c>
      <c r="BE505" s="100">
        <v>0</v>
      </c>
      <c r="BF505" s="100">
        <f>505</f>
        <v>505</v>
      </c>
      <c r="BH505" s="108">
        <f t="shared" si="549"/>
        <v>0</v>
      </c>
      <c r="BI505" s="108">
        <f t="shared" si="550"/>
        <v>0</v>
      </c>
      <c r="BJ505" s="108">
        <f t="shared" si="551"/>
        <v>0</v>
      </c>
    </row>
    <row r="506" spans="1:62" x14ac:dyDescent="0.2">
      <c r="A506" s="117" t="s">
        <v>458</v>
      </c>
      <c r="B506" s="117" t="s">
        <v>2982</v>
      </c>
      <c r="C506" s="304" t="s">
        <v>2631</v>
      </c>
      <c r="D506" s="305"/>
      <c r="E506" s="305"/>
      <c r="F506" s="117" t="s">
        <v>1644</v>
      </c>
      <c r="G506" s="116">
        <v>1</v>
      </c>
      <c r="H506" s="159"/>
      <c r="I506" s="108">
        <f t="shared" si="528"/>
        <v>0</v>
      </c>
      <c r="J506" s="108">
        <f t="shared" si="529"/>
        <v>0</v>
      </c>
      <c r="K506" s="108">
        <f t="shared" si="530"/>
        <v>0</v>
      </c>
      <c r="L506" s="111"/>
      <c r="Z506" s="100">
        <f t="shared" si="531"/>
        <v>0</v>
      </c>
      <c r="AB506" s="100">
        <f t="shared" si="532"/>
        <v>0</v>
      </c>
      <c r="AC506" s="100">
        <f t="shared" si="533"/>
        <v>0</v>
      </c>
      <c r="AD506" s="100">
        <f t="shared" si="534"/>
        <v>0</v>
      </c>
      <c r="AE506" s="100">
        <f t="shared" si="535"/>
        <v>0</v>
      </c>
      <c r="AF506" s="100">
        <f t="shared" si="536"/>
        <v>0</v>
      </c>
      <c r="AG506" s="100">
        <f t="shared" si="537"/>
        <v>0</v>
      </c>
      <c r="AH506" s="100">
        <f t="shared" si="538"/>
        <v>0</v>
      </c>
      <c r="AI506" s="109"/>
      <c r="AJ506" s="108">
        <f t="shared" si="539"/>
        <v>0</v>
      </c>
      <c r="AK506" s="108">
        <f t="shared" si="540"/>
        <v>0</v>
      </c>
      <c r="AL506" s="108">
        <f t="shared" si="541"/>
        <v>0</v>
      </c>
      <c r="AN506" s="100">
        <v>15</v>
      </c>
      <c r="AO506" s="100">
        <f t="shared" si="542"/>
        <v>0</v>
      </c>
      <c r="AP506" s="100">
        <f t="shared" si="543"/>
        <v>0</v>
      </c>
      <c r="AQ506" s="111" t="s">
        <v>7</v>
      </c>
      <c r="AV506" s="100">
        <f t="shared" si="544"/>
        <v>0</v>
      </c>
      <c r="AW506" s="100">
        <f t="shared" si="545"/>
        <v>0</v>
      </c>
      <c r="AX506" s="100">
        <f t="shared" si="546"/>
        <v>0</v>
      </c>
      <c r="AY506" s="110" t="s">
        <v>2623</v>
      </c>
      <c r="AZ506" s="110" t="s">
        <v>1730</v>
      </c>
      <c r="BA506" s="109" t="s">
        <v>1737</v>
      </c>
      <c r="BC506" s="100">
        <f t="shared" si="547"/>
        <v>0</v>
      </c>
      <c r="BD506" s="100">
        <f t="shared" si="548"/>
        <v>0</v>
      </c>
      <c r="BE506" s="100">
        <v>0</v>
      </c>
      <c r="BF506" s="100">
        <f>506</f>
        <v>506</v>
      </c>
      <c r="BH506" s="108">
        <f t="shared" si="549"/>
        <v>0</v>
      </c>
      <c r="BI506" s="108">
        <f t="shared" si="550"/>
        <v>0</v>
      </c>
      <c r="BJ506" s="108">
        <f t="shared" si="551"/>
        <v>0</v>
      </c>
    </row>
    <row r="507" spans="1:62" x14ac:dyDescent="0.2">
      <c r="A507" s="117" t="s">
        <v>459</v>
      </c>
      <c r="B507" s="117" t="s">
        <v>2981</v>
      </c>
      <c r="C507" s="304" t="s">
        <v>1551</v>
      </c>
      <c r="D507" s="305"/>
      <c r="E507" s="305"/>
      <c r="F507" s="117" t="s">
        <v>1644</v>
      </c>
      <c r="G507" s="116">
        <v>1</v>
      </c>
      <c r="H507" s="159"/>
      <c r="I507" s="108">
        <f t="shared" si="528"/>
        <v>0</v>
      </c>
      <c r="J507" s="108">
        <f t="shared" si="529"/>
        <v>0</v>
      </c>
      <c r="K507" s="108">
        <f t="shared" si="530"/>
        <v>0</v>
      </c>
      <c r="L507" s="111"/>
      <c r="Z507" s="100">
        <f t="shared" si="531"/>
        <v>0</v>
      </c>
      <c r="AB507" s="100">
        <f t="shared" si="532"/>
        <v>0</v>
      </c>
      <c r="AC507" s="100">
        <f t="shared" si="533"/>
        <v>0</v>
      </c>
      <c r="AD507" s="100">
        <f t="shared" si="534"/>
        <v>0</v>
      </c>
      <c r="AE507" s="100">
        <f t="shared" si="535"/>
        <v>0</v>
      </c>
      <c r="AF507" s="100">
        <f t="shared" si="536"/>
        <v>0</v>
      </c>
      <c r="AG507" s="100">
        <f t="shared" si="537"/>
        <v>0</v>
      </c>
      <c r="AH507" s="100">
        <f t="shared" si="538"/>
        <v>0</v>
      </c>
      <c r="AI507" s="109"/>
      <c r="AJ507" s="108">
        <f t="shared" si="539"/>
        <v>0</v>
      </c>
      <c r="AK507" s="108">
        <f t="shared" si="540"/>
        <v>0</v>
      </c>
      <c r="AL507" s="108">
        <f t="shared" si="541"/>
        <v>0</v>
      </c>
      <c r="AN507" s="100">
        <v>15</v>
      </c>
      <c r="AO507" s="100">
        <f t="shared" si="542"/>
        <v>0</v>
      </c>
      <c r="AP507" s="100">
        <f t="shared" si="543"/>
        <v>0</v>
      </c>
      <c r="AQ507" s="111" t="s">
        <v>7</v>
      </c>
      <c r="AV507" s="100">
        <f t="shared" si="544"/>
        <v>0</v>
      </c>
      <c r="AW507" s="100">
        <f t="shared" si="545"/>
        <v>0</v>
      </c>
      <c r="AX507" s="100">
        <f t="shared" si="546"/>
        <v>0</v>
      </c>
      <c r="AY507" s="110" t="s">
        <v>2623</v>
      </c>
      <c r="AZ507" s="110" t="s">
        <v>1730</v>
      </c>
      <c r="BA507" s="109" t="s">
        <v>1737</v>
      </c>
      <c r="BC507" s="100">
        <f t="shared" si="547"/>
        <v>0</v>
      </c>
      <c r="BD507" s="100">
        <f t="shared" si="548"/>
        <v>0</v>
      </c>
      <c r="BE507" s="100">
        <v>0</v>
      </c>
      <c r="BF507" s="100">
        <f>507</f>
        <v>507</v>
      </c>
      <c r="BH507" s="108">
        <f t="shared" si="549"/>
        <v>0</v>
      </c>
      <c r="BI507" s="108">
        <f t="shared" si="550"/>
        <v>0</v>
      </c>
      <c r="BJ507" s="108">
        <f t="shared" si="551"/>
        <v>0</v>
      </c>
    </row>
    <row r="508" spans="1:62" x14ac:dyDescent="0.2">
      <c r="A508" s="117" t="s">
        <v>460</v>
      </c>
      <c r="B508" s="117" t="s">
        <v>2980</v>
      </c>
      <c r="C508" s="304" t="s">
        <v>1552</v>
      </c>
      <c r="D508" s="305"/>
      <c r="E508" s="305"/>
      <c r="F508" s="117" t="s">
        <v>1644</v>
      </c>
      <c r="G508" s="116">
        <v>1</v>
      </c>
      <c r="H508" s="159"/>
      <c r="I508" s="108">
        <f t="shared" si="528"/>
        <v>0</v>
      </c>
      <c r="J508" s="108">
        <f t="shared" si="529"/>
        <v>0</v>
      </c>
      <c r="K508" s="108">
        <f t="shared" si="530"/>
        <v>0</v>
      </c>
      <c r="L508" s="111"/>
      <c r="Z508" s="100">
        <f t="shared" si="531"/>
        <v>0</v>
      </c>
      <c r="AB508" s="100">
        <f t="shared" si="532"/>
        <v>0</v>
      </c>
      <c r="AC508" s="100">
        <f t="shared" si="533"/>
        <v>0</v>
      </c>
      <c r="AD508" s="100">
        <f t="shared" si="534"/>
        <v>0</v>
      </c>
      <c r="AE508" s="100">
        <f t="shared" si="535"/>
        <v>0</v>
      </c>
      <c r="AF508" s="100">
        <f t="shared" si="536"/>
        <v>0</v>
      </c>
      <c r="AG508" s="100">
        <f t="shared" si="537"/>
        <v>0</v>
      </c>
      <c r="AH508" s="100">
        <f t="shared" si="538"/>
        <v>0</v>
      </c>
      <c r="AI508" s="109"/>
      <c r="AJ508" s="108">
        <f t="shared" si="539"/>
        <v>0</v>
      </c>
      <c r="AK508" s="108">
        <f t="shared" si="540"/>
        <v>0</v>
      </c>
      <c r="AL508" s="108">
        <f t="shared" si="541"/>
        <v>0</v>
      </c>
      <c r="AN508" s="100">
        <v>15</v>
      </c>
      <c r="AO508" s="100">
        <f t="shared" si="542"/>
        <v>0</v>
      </c>
      <c r="AP508" s="100">
        <f t="shared" si="543"/>
        <v>0</v>
      </c>
      <c r="AQ508" s="111" t="s">
        <v>7</v>
      </c>
      <c r="AV508" s="100">
        <f t="shared" si="544"/>
        <v>0</v>
      </c>
      <c r="AW508" s="100">
        <f t="shared" si="545"/>
        <v>0</v>
      </c>
      <c r="AX508" s="100">
        <f t="shared" si="546"/>
        <v>0</v>
      </c>
      <c r="AY508" s="110" t="s">
        <v>2623</v>
      </c>
      <c r="AZ508" s="110" t="s">
        <v>1730</v>
      </c>
      <c r="BA508" s="109" t="s">
        <v>1737</v>
      </c>
      <c r="BC508" s="100">
        <f t="shared" si="547"/>
        <v>0</v>
      </c>
      <c r="BD508" s="100">
        <f t="shared" si="548"/>
        <v>0</v>
      </c>
      <c r="BE508" s="100">
        <v>0</v>
      </c>
      <c r="BF508" s="100">
        <f>508</f>
        <v>508</v>
      </c>
      <c r="BH508" s="108">
        <f t="shared" si="549"/>
        <v>0</v>
      </c>
      <c r="BI508" s="108">
        <f t="shared" si="550"/>
        <v>0</v>
      </c>
      <c r="BJ508" s="108">
        <f t="shared" si="551"/>
        <v>0</v>
      </c>
    </row>
    <row r="509" spans="1:62" x14ac:dyDescent="0.2">
      <c r="A509" s="117" t="s">
        <v>461</v>
      </c>
      <c r="B509" s="117" t="s">
        <v>2979</v>
      </c>
      <c r="C509" s="304" t="s">
        <v>1553</v>
      </c>
      <c r="D509" s="305"/>
      <c r="E509" s="305"/>
      <c r="F509" s="117" t="s">
        <v>1644</v>
      </c>
      <c r="G509" s="116">
        <v>1</v>
      </c>
      <c r="H509" s="159"/>
      <c r="I509" s="108">
        <f t="shared" si="528"/>
        <v>0</v>
      </c>
      <c r="J509" s="108">
        <f t="shared" si="529"/>
        <v>0</v>
      </c>
      <c r="K509" s="108">
        <f t="shared" si="530"/>
        <v>0</v>
      </c>
      <c r="L509" s="111"/>
      <c r="Z509" s="100">
        <f t="shared" si="531"/>
        <v>0</v>
      </c>
      <c r="AB509" s="100">
        <f t="shared" si="532"/>
        <v>0</v>
      </c>
      <c r="AC509" s="100">
        <f t="shared" si="533"/>
        <v>0</v>
      </c>
      <c r="AD509" s="100">
        <f t="shared" si="534"/>
        <v>0</v>
      </c>
      <c r="AE509" s="100">
        <f t="shared" si="535"/>
        <v>0</v>
      </c>
      <c r="AF509" s="100">
        <f t="shared" si="536"/>
        <v>0</v>
      </c>
      <c r="AG509" s="100">
        <f t="shared" si="537"/>
        <v>0</v>
      </c>
      <c r="AH509" s="100">
        <f t="shared" si="538"/>
        <v>0</v>
      </c>
      <c r="AI509" s="109"/>
      <c r="AJ509" s="108">
        <f t="shared" si="539"/>
        <v>0</v>
      </c>
      <c r="AK509" s="108">
        <f t="shared" si="540"/>
        <v>0</v>
      </c>
      <c r="AL509" s="108">
        <f t="shared" si="541"/>
        <v>0</v>
      </c>
      <c r="AN509" s="100">
        <v>15</v>
      </c>
      <c r="AO509" s="100">
        <f t="shared" si="542"/>
        <v>0</v>
      </c>
      <c r="AP509" s="100">
        <f t="shared" si="543"/>
        <v>0</v>
      </c>
      <c r="AQ509" s="111" t="s">
        <v>7</v>
      </c>
      <c r="AV509" s="100">
        <f t="shared" si="544"/>
        <v>0</v>
      </c>
      <c r="AW509" s="100">
        <f t="shared" si="545"/>
        <v>0</v>
      </c>
      <c r="AX509" s="100">
        <f t="shared" si="546"/>
        <v>0</v>
      </c>
      <c r="AY509" s="110" t="s">
        <v>2623</v>
      </c>
      <c r="AZ509" s="110" t="s">
        <v>1730</v>
      </c>
      <c r="BA509" s="109" t="s">
        <v>1737</v>
      </c>
      <c r="BC509" s="100">
        <f t="shared" si="547"/>
        <v>0</v>
      </c>
      <c r="BD509" s="100">
        <f t="shared" si="548"/>
        <v>0</v>
      </c>
      <c r="BE509" s="100">
        <v>0</v>
      </c>
      <c r="BF509" s="100">
        <f>509</f>
        <v>509</v>
      </c>
      <c r="BH509" s="108">
        <f t="shared" si="549"/>
        <v>0</v>
      </c>
      <c r="BI509" s="108">
        <f t="shared" si="550"/>
        <v>0</v>
      </c>
      <c r="BJ509" s="108">
        <f t="shared" si="551"/>
        <v>0</v>
      </c>
    </row>
    <row r="510" spans="1:62" x14ac:dyDescent="0.2">
      <c r="A510" s="117" t="s">
        <v>462</v>
      </c>
      <c r="B510" s="117" t="s">
        <v>2978</v>
      </c>
      <c r="C510" s="304" t="s">
        <v>1554</v>
      </c>
      <c r="D510" s="305"/>
      <c r="E510" s="305"/>
      <c r="F510" s="117" t="s">
        <v>1644</v>
      </c>
      <c r="G510" s="116">
        <v>1</v>
      </c>
      <c r="H510" s="159"/>
      <c r="I510" s="108">
        <f t="shared" si="528"/>
        <v>0</v>
      </c>
      <c r="J510" s="108">
        <f t="shared" si="529"/>
        <v>0</v>
      </c>
      <c r="K510" s="108">
        <f t="shared" si="530"/>
        <v>0</v>
      </c>
      <c r="L510" s="111"/>
      <c r="Z510" s="100">
        <f t="shared" si="531"/>
        <v>0</v>
      </c>
      <c r="AB510" s="100">
        <f t="shared" si="532"/>
        <v>0</v>
      </c>
      <c r="AC510" s="100">
        <f t="shared" si="533"/>
        <v>0</v>
      </c>
      <c r="AD510" s="100">
        <f t="shared" si="534"/>
        <v>0</v>
      </c>
      <c r="AE510" s="100">
        <f t="shared" si="535"/>
        <v>0</v>
      </c>
      <c r="AF510" s="100">
        <f t="shared" si="536"/>
        <v>0</v>
      </c>
      <c r="AG510" s="100">
        <f t="shared" si="537"/>
        <v>0</v>
      </c>
      <c r="AH510" s="100">
        <f t="shared" si="538"/>
        <v>0</v>
      </c>
      <c r="AI510" s="109"/>
      <c r="AJ510" s="108">
        <f t="shared" si="539"/>
        <v>0</v>
      </c>
      <c r="AK510" s="108">
        <f t="shared" si="540"/>
        <v>0</v>
      </c>
      <c r="AL510" s="108">
        <f t="shared" si="541"/>
        <v>0</v>
      </c>
      <c r="AN510" s="100">
        <v>15</v>
      </c>
      <c r="AO510" s="100">
        <f t="shared" si="542"/>
        <v>0</v>
      </c>
      <c r="AP510" s="100">
        <f t="shared" si="543"/>
        <v>0</v>
      </c>
      <c r="AQ510" s="111" t="s">
        <v>7</v>
      </c>
      <c r="AV510" s="100">
        <f t="shared" si="544"/>
        <v>0</v>
      </c>
      <c r="AW510" s="100">
        <f t="shared" si="545"/>
        <v>0</v>
      </c>
      <c r="AX510" s="100">
        <f t="shared" si="546"/>
        <v>0</v>
      </c>
      <c r="AY510" s="110" t="s">
        <v>2623</v>
      </c>
      <c r="AZ510" s="110" t="s">
        <v>1730</v>
      </c>
      <c r="BA510" s="109" t="s">
        <v>1737</v>
      </c>
      <c r="BC510" s="100">
        <f t="shared" si="547"/>
        <v>0</v>
      </c>
      <c r="BD510" s="100">
        <f t="shared" si="548"/>
        <v>0</v>
      </c>
      <c r="BE510" s="100">
        <v>0</v>
      </c>
      <c r="BF510" s="100">
        <f>510</f>
        <v>510</v>
      </c>
      <c r="BH510" s="108">
        <f t="shared" si="549"/>
        <v>0</v>
      </c>
      <c r="BI510" s="108">
        <f t="shared" si="550"/>
        <v>0</v>
      </c>
      <c r="BJ510" s="108">
        <f t="shared" si="551"/>
        <v>0</v>
      </c>
    </row>
    <row r="511" spans="1:62" x14ac:dyDescent="0.2">
      <c r="A511" s="117" t="s">
        <v>463</v>
      </c>
      <c r="B511" s="117" t="s">
        <v>2977</v>
      </c>
      <c r="C511" s="304" t="s">
        <v>1555</v>
      </c>
      <c r="D511" s="305"/>
      <c r="E511" s="305"/>
      <c r="F511" s="117" t="s">
        <v>1644</v>
      </c>
      <c r="G511" s="116">
        <v>1</v>
      </c>
      <c r="H511" s="159"/>
      <c r="I511" s="108">
        <f t="shared" si="528"/>
        <v>0</v>
      </c>
      <c r="J511" s="108">
        <f t="shared" si="529"/>
        <v>0</v>
      </c>
      <c r="K511" s="108">
        <f t="shared" si="530"/>
        <v>0</v>
      </c>
      <c r="L511" s="111"/>
      <c r="Z511" s="100">
        <f t="shared" si="531"/>
        <v>0</v>
      </c>
      <c r="AB511" s="100">
        <f t="shared" si="532"/>
        <v>0</v>
      </c>
      <c r="AC511" s="100">
        <f t="shared" si="533"/>
        <v>0</v>
      </c>
      <c r="AD511" s="100">
        <f t="shared" si="534"/>
        <v>0</v>
      </c>
      <c r="AE511" s="100">
        <f t="shared" si="535"/>
        <v>0</v>
      </c>
      <c r="AF511" s="100">
        <f t="shared" si="536"/>
        <v>0</v>
      </c>
      <c r="AG511" s="100">
        <f t="shared" si="537"/>
        <v>0</v>
      </c>
      <c r="AH511" s="100">
        <f t="shared" si="538"/>
        <v>0</v>
      </c>
      <c r="AI511" s="109"/>
      <c r="AJ511" s="108">
        <f t="shared" si="539"/>
        <v>0</v>
      </c>
      <c r="AK511" s="108">
        <f t="shared" si="540"/>
        <v>0</v>
      </c>
      <c r="AL511" s="108">
        <f t="shared" si="541"/>
        <v>0</v>
      </c>
      <c r="AN511" s="100">
        <v>15</v>
      </c>
      <c r="AO511" s="100">
        <f t="shared" si="542"/>
        <v>0</v>
      </c>
      <c r="AP511" s="100">
        <f t="shared" si="543"/>
        <v>0</v>
      </c>
      <c r="AQ511" s="111" t="s">
        <v>7</v>
      </c>
      <c r="AV511" s="100">
        <f t="shared" si="544"/>
        <v>0</v>
      </c>
      <c r="AW511" s="100">
        <f t="shared" si="545"/>
        <v>0</v>
      </c>
      <c r="AX511" s="100">
        <f t="shared" si="546"/>
        <v>0</v>
      </c>
      <c r="AY511" s="110" t="s">
        <v>2623</v>
      </c>
      <c r="AZ511" s="110" t="s">
        <v>1730</v>
      </c>
      <c r="BA511" s="109" t="s">
        <v>1737</v>
      </c>
      <c r="BC511" s="100">
        <f t="shared" si="547"/>
        <v>0</v>
      </c>
      <c r="BD511" s="100">
        <f t="shared" si="548"/>
        <v>0</v>
      </c>
      <c r="BE511" s="100">
        <v>0</v>
      </c>
      <c r="BF511" s="100">
        <f>511</f>
        <v>511</v>
      </c>
      <c r="BH511" s="108">
        <f t="shared" si="549"/>
        <v>0</v>
      </c>
      <c r="BI511" s="108">
        <f t="shared" si="550"/>
        <v>0</v>
      </c>
      <c r="BJ511" s="108">
        <f t="shared" si="551"/>
        <v>0</v>
      </c>
    </row>
    <row r="512" spans="1:62" x14ac:dyDescent="0.2">
      <c r="A512" s="119"/>
      <c r="B512" s="120" t="s">
        <v>967</v>
      </c>
      <c r="C512" s="306" t="s">
        <v>1556</v>
      </c>
      <c r="D512" s="307"/>
      <c r="E512" s="307"/>
      <c r="F512" s="119" t="s">
        <v>6</v>
      </c>
      <c r="G512" s="119" t="s">
        <v>6</v>
      </c>
      <c r="H512" s="119" t="s">
        <v>6</v>
      </c>
      <c r="I512" s="118">
        <f>SUM(I513:I514)</f>
        <v>0</v>
      </c>
      <c r="J512" s="118">
        <f>SUM(J513:J514)</f>
        <v>0</v>
      </c>
      <c r="K512" s="118">
        <f>SUM(K513:K514)</f>
        <v>0</v>
      </c>
      <c r="L512" s="109"/>
      <c r="AI512" s="109"/>
      <c r="AS512" s="118">
        <f>SUM(AJ513:AJ514)</f>
        <v>0</v>
      </c>
      <c r="AT512" s="118">
        <f>SUM(AK513:AK514)</f>
        <v>0</v>
      </c>
      <c r="AU512" s="118">
        <f>SUM(AL513:AL514)</f>
        <v>0</v>
      </c>
    </row>
    <row r="513" spans="1:62" x14ac:dyDescent="0.2">
      <c r="A513" s="117" t="s">
        <v>464</v>
      </c>
      <c r="B513" s="117" t="s">
        <v>968</v>
      </c>
      <c r="C513" s="304" t="s">
        <v>2976</v>
      </c>
      <c r="D513" s="305"/>
      <c r="E513" s="305"/>
      <c r="F513" s="117" t="s">
        <v>1644</v>
      </c>
      <c r="G513" s="116">
        <v>1</v>
      </c>
      <c r="H513" s="159"/>
      <c r="I513" s="108">
        <f>G513*AO513</f>
        <v>0</v>
      </c>
      <c r="J513" s="108">
        <f>G513*AP513</f>
        <v>0</v>
      </c>
      <c r="K513" s="108">
        <f>G513*H513</f>
        <v>0</v>
      </c>
      <c r="L513" s="111" t="s">
        <v>1671</v>
      </c>
      <c r="Z513" s="100">
        <f>IF(AQ513="5",BJ513,0)</f>
        <v>0</v>
      </c>
      <c r="AB513" s="100">
        <f>IF(AQ513="1",BH513,0)</f>
        <v>0</v>
      </c>
      <c r="AC513" s="100">
        <f>IF(AQ513="1",BI513,0)</f>
        <v>0</v>
      </c>
      <c r="AD513" s="100">
        <f>IF(AQ513="7",BH513,0)</f>
        <v>0</v>
      </c>
      <c r="AE513" s="100">
        <f>IF(AQ513="7",BI513,0)</f>
        <v>0</v>
      </c>
      <c r="AF513" s="100">
        <f>IF(AQ513="2",BH513,0)</f>
        <v>0</v>
      </c>
      <c r="AG513" s="100">
        <f>IF(AQ513="2",BI513,0)</f>
        <v>0</v>
      </c>
      <c r="AH513" s="100">
        <f>IF(AQ513="0",BJ513,0)</f>
        <v>0</v>
      </c>
      <c r="AI513" s="109"/>
      <c r="AJ513" s="108">
        <f>IF(AN513=0,K513,0)</f>
        <v>0</v>
      </c>
      <c r="AK513" s="108">
        <f>IF(AN513=15,K513,0)</f>
        <v>0</v>
      </c>
      <c r="AL513" s="108">
        <f>IF(AN513=21,K513,0)</f>
        <v>0</v>
      </c>
      <c r="AN513" s="100">
        <v>15</v>
      </c>
      <c r="AO513" s="100">
        <f>H513*0</f>
        <v>0</v>
      </c>
      <c r="AP513" s="100">
        <f>H513*(1-0)</f>
        <v>0</v>
      </c>
      <c r="AQ513" s="111" t="s">
        <v>8</v>
      </c>
      <c r="AV513" s="100">
        <f>AW513+AX513</f>
        <v>0</v>
      </c>
      <c r="AW513" s="100">
        <f>G513*AO513</f>
        <v>0</v>
      </c>
      <c r="AX513" s="100">
        <f>G513*AP513</f>
        <v>0</v>
      </c>
      <c r="AY513" s="110" t="s">
        <v>1721</v>
      </c>
      <c r="AZ513" s="110" t="s">
        <v>1730</v>
      </c>
      <c r="BA513" s="109" t="s">
        <v>1737</v>
      </c>
      <c r="BC513" s="100">
        <f>AW513+AX513</f>
        <v>0</v>
      </c>
      <c r="BD513" s="100">
        <f>H513/(100-BE513)*100</f>
        <v>0</v>
      </c>
      <c r="BE513" s="100">
        <v>0</v>
      </c>
      <c r="BF513" s="100">
        <f>513</f>
        <v>513</v>
      </c>
      <c r="BH513" s="108">
        <f>G513*AO513</f>
        <v>0</v>
      </c>
      <c r="BI513" s="108">
        <f>G513*AP513</f>
        <v>0</v>
      </c>
      <c r="BJ513" s="108">
        <f>G513*H513</f>
        <v>0</v>
      </c>
    </row>
    <row r="514" spans="1:62" x14ac:dyDescent="0.2">
      <c r="A514" s="117" t="s">
        <v>465</v>
      </c>
      <c r="B514" s="117" t="s">
        <v>969</v>
      </c>
      <c r="C514" s="304" t="s">
        <v>2975</v>
      </c>
      <c r="D514" s="305"/>
      <c r="E514" s="305"/>
      <c r="F514" s="117" t="s">
        <v>1644</v>
      </c>
      <c r="G514" s="116">
        <v>1</v>
      </c>
      <c r="H514" s="159"/>
      <c r="I514" s="108">
        <f>G514*AO514</f>
        <v>0</v>
      </c>
      <c r="J514" s="108">
        <f>G514*AP514</f>
        <v>0</v>
      </c>
      <c r="K514" s="108">
        <f>G514*H514</f>
        <v>0</v>
      </c>
      <c r="L514" s="111" t="s">
        <v>1671</v>
      </c>
      <c r="Z514" s="100">
        <f>IF(AQ514="5",BJ514,0)</f>
        <v>0</v>
      </c>
      <c r="AB514" s="100">
        <f>IF(AQ514="1",BH514,0)</f>
        <v>0</v>
      </c>
      <c r="AC514" s="100">
        <f>IF(AQ514="1",BI514,0)</f>
        <v>0</v>
      </c>
      <c r="AD514" s="100">
        <f>IF(AQ514="7",BH514,0)</f>
        <v>0</v>
      </c>
      <c r="AE514" s="100">
        <f>IF(AQ514="7",BI514,0)</f>
        <v>0</v>
      </c>
      <c r="AF514" s="100">
        <f>IF(AQ514="2",BH514,0)</f>
        <v>0</v>
      </c>
      <c r="AG514" s="100">
        <f>IF(AQ514="2",BI514,0)</f>
        <v>0</v>
      </c>
      <c r="AH514" s="100">
        <f>IF(AQ514="0",BJ514,0)</f>
        <v>0</v>
      </c>
      <c r="AI514" s="109"/>
      <c r="AJ514" s="108">
        <f>IF(AN514=0,K514,0)</f>
        <v>0</v>
      </c>
      <c r="AK514" s="108">
        <f>IF(AN514=15,K514,0)</f>
        <v>0</v>
      </c>
      <c r="AL514" s="108">
        <f>IF(AN514=21,K514,0)</f>
        <v>0</v>
      </c>
      <c r="AN514" s="100">
        <v>15</v>
      </c>
      <c r="AO514" s="100">
        <f>H514*0</f>
        <v>0</v>
      </c>
      <c r="AP514" s="100">
        <f>H514*(1-0)</f>
        <v>0</v>
      </c>
      <c r="AQ514" s="111" t="s">
        <v>8</v>
      </c>
      <c r="AV514" s="100">
        <f>AW514+AX514</f>
        <v>0</v>
      </c>
      <c r="AW514" s="100">
        <f>G514*AO514</f>
        <v>0</v>
      </c>
      <c r="AX514" s="100">
        <f>G514*AP514</f>
        <v>0</v>
      </c>
      <c r="AY514" s="110" t="s">
        <v>1721</v>
      </c>
      <c r="AZ514" s="110" t="s">
        <v>1730</v>
      </c>
      <c r="BA514" s="109" t="s">
        <v>1737</v>
      </c>
      <c r="BC514" s="100">
        <f>AW514+AX514</f>
        <v>0</v>
      </c>
      <c r="BD514" s="100">
        <f>H514/(100-BE514)*100</f>
        <v>0</v>
      </c>
      <c r="BE514" s="100">
        <v>0</v>
      </c>
      <c r="BF514" s="100">
        <f>514</f>
        <v>514</v>
      </c>
      <c r="BH514" s="108">
        <f>G514*AO514</f>
        <v>0</v>
      </c>
      <c r="BI514" s="108">
        <f>G514*AP514</f>
        <v>0</v>
      </c>
      <c r="BJ514" s="108">
        <f>G514*H514</f>
        <v>0</v>
      </c>
    </row>
    <row r="515" spans="1:62" x14ac:dyDescent="0.2">
      <c r="A515" s="119"/>
      <c r="B515" s="120" t="s">
        <v>970</v>
      </c>
      <c r="C515" s="306" t="s">
        <v>1559</v>
      </c>
      <c r="D515" s="307"/>
      <c r="E515" s="307"/>
      <c r="F515" s="119" t="s">
        <v>6</v>
      </c>
      <c r="G515" s="119" t="s">
        <v>6</v>
      </c>
      <c r="H515" s="119" t="s">
        <v>6</v>
      </c>
      <c r="I515" s="118">
        <f>SUM(I516:I590)</f>
        <v>0</v>
      </c>
      <c r="J515" s="118">
        <f>SUM(J516:J590)</f>
        <v>0</v>
      </c>
      <c r="K515" s="118">
        <f>SUM(K516:K590)</f>
        <v>0</v>
      </c>
      <c r="L515" s="109"/>
      <c r="AI515" s="109"/>
      <c r="AS515" s="118">
        <f>SUM(AJ516:AJ590)</f>
        <v>0</v>
      </c>
      <c r="AT515" s="118">
        <f>SUM(AK516:AK590)</f>
        <v>0</v>
      </c>
      <c r="AU515" s="118">
        <f>SUM(AL516:AL590)</f>
        <v>0</v>
      </c>
    </row>
    <row r="516" spans="1:62" x14ac:dyDescent="0.2">
      <c r="A516" s="117" t="s">
        <v>466</v>
      </c>
      <c r="B516" s="117" t="s">
        <v>2622</v>
      </c>
      <c r="C516" s="304" t="s">
        <v>1560</v>
      </c>
      <c r="D516" s="305"/>
      <c r="E516" s="305"/>
      <c r="F516" s="117" t="s">
        <v>1644</v>
      </c>
      <c r="G516" s="116">
        <v>1</v>
      </c>
      <c r="H516" s="159"/>
      <c r="I516" s="108">
        <f t="shared" ref="I516:I547" si="552">G516*AO516</f>
        <v>0</v>
      </c>
      <c r="J516" s="108">
        <f t="shared" ref="J516:J547" si="553">G516*AP516</f>
        <v>0</v>
      </c>
      <c r="K516" s="108">
        <f t="shared" ref="K516:K547" si="554">G516*H516</f>
        <v>0</v>
      </c>
      <c r="L516" s="111"/>
      <c r="Z516" s="100">
        <f t="shared" ref="Z516:Z547" si="555">IF(AQ516="5",BJ516,0)</f>
        <v>0</v>
      </c>
      <c r="AB516" s="100">
        <f t="shared" ref="AB516:AB547" si="556">IF(AQ516="1",BH516,0)</f>
        <v>0</v>
      </c>
      <c r="AC516" s="100">
        <f t="shared" ref="AC516:AC547" si="557">IF(AQ516="1",BI516,0)</f>
        <v>0</v>
      </c>
      <c r="AD516" s="100">
        <f t="shared" ref="AD516:AD547" si="558">IF(AQ516="7",BH516,0)</f>
        <v>0</v>
      </c>
      <c r="AE516" s="100">
        <f t="shared" ref="AE516:AE547" si="559">IF(AQ516="7",BI516,0)</f>
        <v>0</v>
      </c>
      <c r="AF516" s="100">
        <f t="shared" ref="AF516:AF547" si="560">IF(AQ516="2",BH516,0)</f>
        <v>0</v>
      </c>
      <c r="AG516" s="100">
        <f t="shared" ref="AG516:AG547" si="561">IF(AQ516="2",BI516,0)</f>
        <v>0</v>
      </c>
      <c r="AH516" s="100">
        <f t="shared" ref="AH516:AH547" si="562">IF(AQ516="0",BJ516,0)</f>
        <v>0</v>
      </c>
      <c r="AI516" s="109"/>
      <c r="AJ516" s="108">
        <f t="shared" ref="AJ516:AJ547" si="563">IF(AN516=0,K516,0)</f>
        <v>0</v>
      </c>
      <c r="AK516" s="108">
        <f t="shared" ref="AK516:AK547" si="564">IF(AN516=15,K516,0)</f>
        <v>0</v>
      </c>
      <c r="AL516" s="108">
        <f t="shared" ref="AL516:AL547" si="565">IF(AN516=21,K516,0)</f>
        <v>0</v>
      </c>
      <c r="AN516" s="100">
        <v>15</v>
      </c>
      <c r="AO516" s="100">
        <f t="shared" ref="AO516:AO547" si="566">H516*0</f>
        <v>0</v>
      </c>
      <c r="AP516" s="100">
        <f t="shared" ref="AP516:AP547" si="567">H516*(1-0)</f>
        <v>0</v>
      </c>
      <c r="AQ516" s="111" t="s">
        <v>7</v>
      </c>
      <c r="AV516" s="100">
        <f t="shared" ref="AV516:AV547" si="568">AW516+AX516</f>
        <v>0</v>
      </c>
      <c r="AW516" s="100">
        <f t="shared" ref="AW516:AW547" si="569">G516*AO516</f>
        <v>0</v>
      </c>
      <c r="AX516" s="100">
        <f t="shared" ref="AX516:AX547" si="570">G516*AP516</f>
        <v>0</v>
      </c>
      <c r="AY516" s="110" t="s">
        <v>1722</v>
      </c>
      <c r="AZ516" s="110" t="s">
        <v>1730</v>
      </c>
      <c r="BA516" s="109" t="s">
        <v>1737</v>
      </c>
      <c r="BC516" s="100">
        <f t="shared" ref="BC516:BC547" si="571">AW516+AX516</f>
        <v>0</v>
      </c>
      <c r="BD516" s="100">
        <f t="shared" ref="BD516:BD547" si="572">H516/(100-BE516)*100</f>
        <v>0</v>
      </c>
      <c r="BE516" s="100">
        <v>0</v>
      </c>
      <c r="BF516" s="100">
        <f>516</f>
        <v>516</v>
      </c>
      <c r="BH516" s="108">
        <f t="shared" ref="BH516:BH547" si="573">G516*AO516</f>
        <v>0</v>
      </c>
      <c r="BI516" s="108">
        <f t="shared" ref="BI516:BI547" si="574">G516*AP516</f>
        <v>0</v>
      </c>
      <c r="BJ516" s="108">
        <f t="shared" ref="BJ516:BJ547" si="575">G516*H516</f>
        <v>0</v>
      </c>
    </row>
    <row r="517" spans="1:62" x14ac:dyDescent="0.2">
      <c r="A517" s="117" t="s">
        <v>467</v>
      </c>
      <c r="B517" s="117" t="s">
        <v>2621</v>
      </c>
      <c r="C517" s="304" t="s">
        <v>1561</v>
      </c>
      <c r="D517" s="305"/>
      <c r="E517" s="305"/>
      <c r="F517" s="117" t="s">
        <v>1644</v>
      </c>
      <c r="G517" s="116">
        <v>1</v>
      </c>
      <c r="H517" s="159"/>
      <c r="I517" s="108">
        <f t="shared" si="552"/>
        <v>0</v>
      </c>
      <c r="J517" s="108">
        <f t="shared" si="553"/>
        <v>0</v>
      </c>
      <c r="K517" s="108">
        <f t="shared" si="554"/>
        <v>0</v>
      </c>
      <c r="L517" s="111"/>
      <c r="Z517" s="100">
        <f t="shared" si="555"/>
        <v>0</v>
      </c>
      <c r="AB517" s="100">
        <f t="shared" si="556"/>
        <v>0</v>
      </c>
      <c r="AC517" s="100">
        <f t="shared" si="557"/>
        <v>0</v>
      </c>
      <c r="AD517" s="100">
        <f t="shared" si="558"/>
        <v>0</v>
      </c>
      <c r="AE517" s="100">
        <f t="shared" si="559"/>
        <v>0</v>
      </c>
      <c r="AF517" s="100">
        <f t="shared" si="560"/>
        <v>0</v>
      </c>
      <c r="AG517" s="100">
        <f t="shared" si="561"/>
        <v>0</v>
      </c>
      <c r="AH517" s="100">
        <f t="shared" si="562"/>
        <v>0</v>
      </c>
      <c r="AI517" s="109"/>
      <c r="AJ517" s="108">
        <f t="shared" si="563"/>
        <v>0</v>
      </c>
      <c r="AK517" s="108">
        <f t="shared" si="564"/>
        <v>0</v>
      </c>
      <c r="AL517" s="108">
        <f t="shared" si="565"/>
        <v>0</v>
      </c>
      <c r="AN517" s="100">
        <v>15</v>
      </c>
      <c r="AO517" s="100">
        <f t="shared" si="566"/>
        <v>0</v>
      </c>
      <c r="AP517" s="100">
        <f t="shared" si="567"/>
        <v>0</v>
      </c>
      <c r="AQ517" s="111" t="s">
        <v>7</v>
      </c>
      <c r="AV517" s="100">
        <f t="shared" si="568"/>
        <v>0</v>
      </c>
      <c r="AW517" s="100">
        <f t="shared" si="569"/>
        <v>0</v>
      </c>
      <c r="AX517" s="100">
        <f t="shared" si="570"/>
        <v>0</v>
      </c>
      <c r="AY517" s="110" t="s">
        <v>1722</v>
      </c>
      <c r="AZ517" s="110" t="s">
        <v>1730</v>
      </c>
      <c r="BA517" s="109" t="s">
        <v>1737</v>
      </c>
      <c r="BC517" s="100">
        <f t="shared" si="571"/>
        <v>0</v>
      </c>
      <c r="BD517" s="100">
        <f t="shared" si="572"/>
        <v>0</v>
      </c>
      <c r="BE517" s="100">
        <v>0</v>
      </c>
      <c r="BF517" s="100">
        <f>517</f>
        <v>517</v>
      </c>
      <c r="BH517" s="108">
        <f t="shared" si="573"/>
        <v>0</v>
      </c>
      <c r="BI517" s="108">
        <f t="shared" si="574"/>
        <v>0</v>
      </c>
      <c r="BJ517" s="108">
        <f t="shared" si="575"/>
        <v>0</v>
      </c>
    </row>
    <row r="518" spans="1:62" x14ac:dyDescent="0.2">
      <c r="A518" s="117" t="s">
        <v>468</v>
      </c>
      <c r="B518" s="117" t="s">
        <v>973</v>
      </c>
      <c r="C518" s="304" t="s">
        <v>1562</v>
      </c>
      <c r="D518" s="305"/>
      <c r="E518" s="305"/>
      <c r="F518" s="117" t="s">
        <v>1644</v>
      </c>
      <c r="G518" s="116">
        <v>1</v>
      </c>
      <c r="H518" s="159"/>
      <c r="I518" s="108">
        <f t="shared" si="552"/>
        <v>0</v>
      </c>
      <c r="J518" s="108">
        <f t="shared" si="553"/>
        <v>0</v>
      </c>
      <c r="K518" s="108">
        <f t="shared" si="554"/>
        <v>0</v>
      </c>
      <c r="L518" s="111"/>
      <c r="Z518" s="100">
        <f t="shared" si="555"/>
        <v>0</v>
      </c>
      <c r="AB518" s="100">
        <f t="shared" si="556"/>
        <v>0</v>
      </c>
      <c r="AC518" s="100">
        <f t="shared" si="557"/>
        <v>0</v>
      </c>
      <c r="AD518" s="100">
        <f t="shared" si="558"/>
        <v>0</v>
      </c>
      <c r="AE518" s="100">
        <f t="shared" si="559"/>
        <v>0</v>
      </c>
      <c r="AF518" s="100">
        <f t="shared" si="560"/>
        <v>0</v>
      </c>
      <c r="AG518" s="100">
        <f t="shared" si="561"/>
        <v>0</v>
      </c>
      <c r="AH518" s="100">
        <f t="shared" si="562"/>
        <v>0</v>
      </c>
      <c r="AI518" s="109"/>
      <c r="AJ518" s="108">
        <f t="shared" si="563"/>
        <v>0</v>
      </c>
      <c r="AK518" s="108">
        <f t="shared" si="564"/>
        <v>0</v>
      </c>
      <c r="AL518" s="108">
        <f t="shared" si="565"/>
        <v>0</v>
      </c>
      <c r="AN518" s="100">
        <v>15</v>
      </c>
      <c r="AO518" s="100">
        <f t="shared" si="566"/>
        <v>0</v>
      </c>
      <c r="AP518" s="100">
        <f t="shared" si="567"/>
        <v>0</v>
      </c>
      <c r="AQ518" s="111" t="s">
        <v>7</v>
      </c>
      <c r="AV518" s="100">
        <f t="shared" si="568"/>
        <v>0</v>
      </c>
      <c r="AW518" s="100">
        <f t="shared" si="569"/>
        <v>0</v>
      </c>
      <c r="AX518" s="100">
        <f t="shared" si="570"/>
        <v>0</v>
      </c>
      <c r="AY518" s="110" t="s">
        <v>1722</v>
      </c>
      <c r="AZ518" s="110" t="s">
        <v>1730</v>
      </c>
      <c r="BA518" s="109" t="s">
        <v>1737</v>
      </c>
      <c r="BC518" s="100">
        <f t="shared" si="571"/>
        <v>0</v>
      </c>
      <c r="BD518" s="100">
        <f t="shared" si="572"/>
        <v>0</v>
      </c>
      <c r="BE518" s="100">
        <v>0</v>
      </c>
      <c r="BF518" s="100">
        <f>518</f>
        <v>518</v>
      </c>
      <c r="BH518" s="108">
        <f t="shared" si="573"/>
        <v>0</v>
      </c>
      <c r="BI518" s="108">
        <f t="shared" si="574"/>
        <v>0</v>
      </c>
      <c r="BJ518" s="108">
        <f t="shared" si="575"/>
        <v>0</v>
      </c>
    </row>
    <row r="519" spans="1:62" x14ac:dyDescent="0.2">
      <c r="A519" s="117" t="s">
        <v>469</v>
      </c>
      <c r="B519" s="117" t="s">
        <v>974</v>
      </c>
      <c r="C519" s="304" t="s">
        <v>1563</v>
      </c>
      <c r="D519" s="305"/>
      <c r="E519" s="305"/>
      <c r="F519" s="117" t="s">
        <v>1644</v>
      </c>
      <c r="G519" s="116">
        <v>1</v>
      </c>
      <c r="H519" s="159"/>
      <c r="I519" s="108">
        <f t="shared" si="552"/>
        <v>0</v>
      </c>
      <c r="J519" s="108">
        <f t="shared" si="553"/>
        <v>0</v>
      </c>
      <c r="K519" s="108">
        <f t="shared" si="554"/>
        <v>0</v>
      </c>
      <c r="L519" s="111"/>
      <c r="Z519" s="100">
        <f t="shared" si="555"/>
        <v>0</v>
      </c>
      <c r="AB519" s="100">
        <f t="shared" si="556"/>
        <v>0</v>
      </c>
      <c r="AC519" s="100">
        <f t="shared" si="557"/>
        <v>0</v>
      </c>
      <c r="AD519" s="100">
        <f t="shared" si="558"/>
        <v>0</v>
      </c>
      <c r="AE519" s="100">
        <f t="shared" si="559"/>
        <v>0</v>
      </c>
      <c r="AF519" s="100">
        <f t="shared" si="560"/>
        <v>0</v>
      </c>
      <c r="AG519" s="100">
        <f t="shared" si="561"/>
        <v>0</v>
      </c>
      <c r="AH519" s="100">
        <f t="shared" si="562"/>
        <v>0</v>
      </c>
      <c r="AI519" s="109"/>
      <c r="AJ519" s="108">
        <f t="shared" si="563"/>
        <v>0</v>
      </c>
      <c r="AK519" s="108">
        <f t="shared" si="564"/>
        <v>0</v>
      </c>
      <c r="AL519" s="108">
        <f t="shared" si="565"/>
        <v>0</v>
      </c>
      <c r="AN519" s="100">
        <v>15</v>
      </c>
      <c r="AO519" s="100">
        <f t="shared" si="566"/>
        <v>0</v>
      </c>
      <c r="AP519" s="100">
        <f t="shared" si="567"/>
        <v>0</v>
      </c>
      <c r="AQ519" s="111" t="s">
        <v>7</v>
      </c>
      <c r="AV519" s="100">
        <f t="shared" si="568"/>
        <v>0</v>
      </c>
      <c r="AW519" s="100">
        <f t="shared" si="569"/>
        <v>0</v>
      </c>
      <c r="AX519" s="100">
        <f t="shared" si="570"/>
        <v>0</v>
      </c>
      <c r="AY519" s="110" t="s">
        <v>1722</v>
      </c>
      <c r="AZ519" s="110" t="s">
        <v>1730</v>
      </c>
      <c r="BA519" s="109" t="s">
        <v>1737</v>
      </c>
      <c r="BC519" s="100">
        <f t="shared" si="571"/>
        <v>0</v>
      </c>
      <c r="BD519" s="100">
        <f t="shared" si="572"/>
        <v>0</v>
      </c>
      <c r="BE519" s="100">
        <v>0</v>
      </c>
      <c r="BF519" s="100">
        <f>519</f>
        <v>519</v>
      </c>
      <c r="BH519" s="108">
        <f t="shared" si="573"/>
        <v>0</v>
      </c>
      <c r="BI519" s="108">
        <f t="shared" si="574"/>
        <v>0</v>
      </c>
      <c r="BJ519" s="108">
        <f t="shared" si="575"/>
        <v>0</v>
      </c>
    </row>
    <row r="520" spans="1:62" x14ac:dyDescent="0.2">
      <c r="A520" s="117" t="s">
        <v>470</v>
      </c>
      <c r="B520" s="117" t="s">
        <v>975</v>
      </c>
      <c r="C520" s="304" t="s">
        <v>1564</v>
      </c>
      <c r="D520" s="305"/>
      <c r="E520" s="305"/>
      <c r="F520" s="117" t="s">
        <v>1644</v>
      </c>
      <c r="G520" s="116">
        <v>1</v>
      </c>
      <c r="H520" s="159"/>
      <c r="I520" s="108">
        <f t="shared" si="552"/>
        <v>0</v>
      </c>
      <c r="J520" s="108">
        <f t="shared" si="553"/>
        <v>0</v>
      </c>
      <c r="K520" s="108">
        <f t="shared" si="554"/>
        <v>0</v>
      </c>
      <c r="L520" s="111"/>
      <c r="Z520" s="100">
        <f t="shared" si="555"/>
        <v>0</v>
      </c>
      <c r="AB520" s="100">
        <f t="shared" si="556"/>
        <v>0</v>
      </c>
      <c r="AC520" s="100">
        <f t="shared" si="557"/>
        <v>0</v>
      </c>
      <c r="AD520" s="100">
        <f t="shared" si="558"/>
        <v>0</v>
      </c>
      <c r="AE520" s="100">
        <f t="shared" si="559"/>
        <v>0</v>
      </c>
      <c r="AF520" s="100">
        <f t="shared" si="560"/>
        <v>0</v>
      </c>
      <c r="AG520" s="100">
        <f t="shared" si="561"/>
        <v>0</v>
      </c>
      <c r="AH520" s="100">
        <f t="shared" si="562"/>
        <v>0</v>
      </c>
      <c r="AI520" s="109"/>
      <c r="AJ520" s="108">
        <f t="shared" si="563"/>
        <v>0</v>
      </c>
      <c r="AK520" s="108">
        <f t="shared" si="564"/>
        <v>0</v>
      </c>
      <c r="AL520" s="108">
        <f t="shared" si="565"/>
        <v>0</v>
      </c>
      <c r="AN520" s="100">
        <v>15</v>
      </c>
      <c r="AO520" s="100">
        <f t="shared" si="566"/>
        <v>0</v>
      </c>
      <c r="AP520" s="100">
        <f t="shared" si="567"/>
        <v>0</v>
      </c>
      <c r="AQ520" s="111" t="s">
        <v>7</v>
      </c>
      <c r="AV520" s="100">
        <f t="shared" si="568"/>
        <v>0</v>
      </c>
      <c r="AW520" s="100">
        <f t="shared" si="569"/>
        <v>0</v>
      </c>
      <c r="AX520" s="100">
        <f t="shared" si="570"/>
        <v>0</v>
      </c>
      <c r="AY520" s="110" t="s">
        <v>1722</v>
      </c>
      <c r="AZ520" s="110" t="s">
        <v>1730</v>
      </c>
      <c r="BA520" s="109" t="s">
        <v>1737</v>
      </c>
      <c r="BC520" s="100">
        <f t="shared" si="571"/>
        <v>0</v>
      </c>
      <c r="BD520" s="100">
        <f t="shared" si="572"/>
        <v>0</v>
      </c>
      <c r="BE520" s="100">
        <v>0</v>
      </c>
      <c r="BF520" s="100">
        <f>520</f>
        <v>520</v>
      </c>
      <c r="BH520" s="108">
        <f t="shared" si="573"/>
        <v>0</v>
      </c>
      <c r="BI520" s="108">
        <f t="shared" si="574"/>
        <v>0</v>
      </c>
      <c r="BJ520" s="108">
        <f t="shared" si="575"/>
        <v>0</v>
      </c>
    </row>
    <row r="521" spans="1:62" x14ac:dyDescent="0.2">
      <c r="A521" s="117" t="s">
        <v>471</v>
      </c>
      <c r="B521" s="117" t="s">
        <v>976</v>
      </c>
      <c r="C521" s="304" t="s">
        <v>1565</v>
      </c>
      <c r="D521" s="305"/>
      <c r="E521" s="305"/>
      <c r="F521" s="117" t="s">
        <v>1644</v>
      </c>
      <c r="G521" s="116">
        <v>2</v>
      </c>
      <c r="H521" s="159"/>
      <c r="I521" s="108">
        <f t="shared" si="552"/>
        <v>0</v>
      </c>
      <c r="J521" s="108">
        <f t="shared" si="553"/>
        <v>0</v>
      </c>
      <c r="K521" s="108">
        <f t="shared" si="554"/>
        <v>0</v>
      </c>
      <c r="L521" s="111"/>
      <c r="Z521" s="100">
        <f t="shared" si="555"/>
        <v>0</v>
      </c>
      <c r="AB521" s="100">
        <f t="shared" si="556"/>
        <v>0</v>
      </c>
      <c r="AC521" s="100">
        <f t="shared" si="557"/>
        <v>0</v>
      </c>
      <c r="AD521" s="100">
        <f t="shared" si="558"/>
        <v>0</v>
      </c>
      <c r="AE521" s="100">
        <f t="shared" si="559"/>
        <v>0</v>
      </c>
      <c r="AF521" s="100">
        <f t="shared" si="560"/>
        <v>0</v>
      </c>
      <c r="AG521" s="100">
        <f t="shared" si="561"/>
        <v>0</v>
      </c>
      <c r="AH521" s="100">
        <f t="shared" si="562"/>
        <v>0</v>
      </c>
      <c r="AI521" s="109"/>
      <c r="AJ521" s="108">
        <f t="shared" si="563"/>
        <v>0</v>
      </c>
      <c r="AK521" s="108">
        <f t="shared" si="564"/>
        <v>0</v>
      </c>
      <c r="AL521" s="108">
        <f t="shared" si="565"/>
        <v>0</v>
      </c>
      <c r="AN521" s="100">
        <v>15</v>
      </c>
      <c r="AO521" s="100">
        <f t="shared" si="566"/>
        <v>0</v>
      </c>
      <c r="AP521" s="100">
        <f t="shared" si="567"/>
        <v>0</v>
      </c>
      <c r="AQ521" s="111" t="s">
        <v>7</v>
      </c>
      <c r="AV521" s="100">
        <f t="shared" si="568"/>
        <v>0</v>
      </c>
      <c r="AW521" s="100">
        <f t="shared" si="569"/>
        <v>0</v>
      </c>
      <c r="AX521" s="100">
        <f t="shared" si="570"/>
        <v>0</v>
      </c>
      <c r="AY521" s="110" t="s">
        <v>1722</v>
      </c>
      <c r="AZ521" s="110" t="s">
        <v>1730</v>
      </c>
      <c r="BA521" s="109" t="s">
        <v>1737</v>
      </c>
      <c r="BC521" s="100">
        <f t="shared" si="571"/>
        <v>0</v>
      </c>
      <c r="BD521" s="100">
        <f t="shared" si="572"/>
        <v>0</v>
      </c>
      <c r="BE521" s="100">
        <v>0</v>
      </c>
      <c r="BF521" s="100">
        <f>521</f>
        <v>521</v>
      </c>
      <c r="BH521" s="108">
        <f t="shared" si="573"/>
        <v>0</v>
      </c>
      <c r="BI521" s="108">
        <f t="shared" si="574"/>
        <v>0</v>
      </c>
      <c r="BJ521" s="108">
        <f t="shared" si="575"/>
        <v>0</v>
      </c>
    </row>
    <row r="522" spans="1:62" x14ac:dyDescent="0.2">
      <c r="A522" s="117" t="s">
        <v>472</v>
      </c>
      <c r="B522" s="117" t="s">
        <v>977</v>
      </c>
      <c r="C522" s="304" t="s">
        <v>1566</v>
      </c>
      <c r="D522" s="305"/>
      <c r="E522" s="305"/>
      <c r="F522" s="117" t="s">
        <v>1644</v>
      </c>
      <c r="G522" s="116">
        <v>1</v>
      </c>
      <c r="H522" s="159"/>
      <c r="I522" s="108">
        <f t="shared" si="552"/>
        <v>0</v>
      </c>
      <c r="J522" s="108">
        <f t="shared" si="553"/>
        <v>0</v>
      </c>
      <c r="K522" s="108">
        <f t="shared" si="554"/>
        <v>0</v>
      </c>
      <c r="L522" s="111"/>
      <c r="Z522" s="100">
        <f t="shared" si="555"/>
        <v>0</v>
      </c>
      <c r="AB522" s="100">
        <f t="shared" si="556"/>
        <v>0</v>
      </c>
      <c r="AC522" s="100">
        <f t="shared" si="557"/>
        <v>0</v>
      </c>
      <c r="AD522" s="100">
        <f t="shared" si="558"/>
        <v>0</v>
      </c>
      <c r="AE522" s="100">
        <f t="shared" si="559"/>
        <v>0</v>
      </c>
      <c r="AF522" s="100">
        <f t="shared" si="560"/>
        <v>0</v>
      </c>
      <c r="AG522" s="100">
        <f t="shared" si="561"/>
        <v>0</v>
      </c>
      <c r="AH522" s="100">
        <f t="shared" si="562"/>
        <v>0</v>
      </c>
      <c r="AI522" s="109"/>
      <c r="AJ522" s="108">
        <f t="shared" si="563"/>
        <v>0</v>
      </c>
      <c r="AK522" s="108">
        <f t="shared" si="564"/>
        <v>0</v>
      </c>
      <c r="AL522" s="108">
        <f t="shared" si="565"/>
        <v>0</v>
      </c>
      <c r="AN522" s="100">
        <v>15</v>
      </c>
      <c r="AO522" s="100">
        <f t="shared" si="566"/>
        <v>0</v>
      </c>
      <c r="AP522" s="100">
        <f t="shared" si="567"/>
        <v>0</v>
      </c>
      <c r="AQ522" s="111" t="s">
        <v>7</v>
      </c>
      <c r="AV522" s="100">
        <f t="shared" si="568"/>
        <v>0</v>
      </c>
      <c r="AW522" s="100">
        <f t="shared" si="569"/>
        <v>0</v>
      </c>
      <c r="AX522" s="100">
        <f t="shared" si="570"/>
        <v>0</v>
      </c>
      <c r="AY522" s="110" t="s">
        <v>1722</v>
      </c>
      <c r="AZ522" s="110" t="s">
        <v>1730</v>
      </c>
      <c r="BA522" s="109" t="s">
        <v>1737</v>
      </c>
      <c r="BC522" s="100">
        <f t="shared" si="571"/>
        <v>0</v>
      </c>
      <c r="BD522" s="100">
        <f t="shared" si="572"/>
        <v>0</v>
      </c>
      <c r="BE522" s="100">
        <v>0</v>
      </c>
      <c r="BF522" s="100">
        <f>522</f>
        <v>522</v>
      </c>
      <c r="BH522" s="108">
        <f t="shared" si="573"/>
        <v>0</v>
      </c>
      <c r="BI522" s="108">
        <f t="shared" si="574"/>
        <v>0</v>
      </c>
      <c r="BJ522" s="108">
        <f t="shared" si="575"/>
        <v>0</v>
      </c>
    </row>
    <row r="523" spans="1:62" x14ac:dyDescent="0.2">
      <c r="A523" s="117" t="s">
        <v>473</v>
      </c>
      <c r="B523" s="117" t="s">
        <v>978</v>
      </c>
      <c r="C523" s="304" t="s">
        <v>1567</v>
      </c>
      <c r="D523" s="305"/>
      <c r="E523" s="305"/>
      <c r="F523" s="117" t="s">
        <v>1644</v>
      </c>
      <c r="G523" s="116">
        <v>1</v>
      </c>
      <c r="H523" s="159"/>
      <c r="I523" s="108">
        <f t="shared" si="552"/>
        <v>0</v>
      </c>
      <c r="J523" s="108">
        <f t="shared" si="553"/>
        <v>0</v>
      </c>
      <c r="K523" s="108">
        <f t="shared" si="554"/>
        <v>0</v>
      </c>
      <c r="L523" s="111"/>
      <c r="Z523" s="100">
        <f t="shared" si="555"/>
        <v>0</v>
      </c>
      <c r="AB523" s="100">
        <f t="shared" si="556"/>
        <v>0</v>
      </c>
      <c r="AC523" s="100">
        <f t="shared" si="557"/>
        <v>0</v>
      </c>
      <c r="AD523" s="100">
        <f t="shared" si="558"/>
        <v>0</v>
      </c>
      <c r="AE523" s="100">
        <f t="shared" si="559"/>
        <v>0</v>
      </c>
      <c r="AF523" s="100">
        <f t="shared" si="560"/>
        <v>0</v>
      </c>
      <c r="AG523" s="100">
        <f t="shared" si="561"/>
        <v>0</v>
      </c>
      <c r="AH523" s="100">
        <f t="shared" si="562"/>
        <v>0</v>
      </c>
      <c r="AI523" s="109"/>
      <c r="AJ523" s="108">
        <f t="shared" si="563"/>
        <v>0</v>
      </c>
      <c r="AK523" s="108">
        <f t="shared" si="564"/>
        <v>0</v>
      </c>
      <c r="AL523" s="108">
        <f t="shared" si="565"/>
        <v>0</v>
      </c>
      <c r="AN523" s="100">
        <v>15</v>
      </c>
      <c r="AO523" s="100">
        <f t="shared" si="566"/>
        <v>0</v>
      </c>
      <c r="AP523" s="100">
        <f t="shared" si="567"/>
        <v>0</v>
      </c>
      <c r="AQ523" s="111" t="s">
        <v>7</v>
      </c>
      <c r="AV523" s="100">
        <f t="shared" si="568"/>
        <v>0</v>
      </c>
      <c r="AW523" s="100">
        <f t="shared" si="569"/>
        <v>0</v>
      </c>
      <c r="AX523" s="100">
        <f t="shared" si="570"/>
        <v>0</v>
      </c>
      <c r="AY523" s="110" t="s">
        <v>1722</v>
      </c>
      <c r="AZ523" s="110" t="s">
        <v>1730</v>
      </c>
      <c r="BA523" s="109" t="s">
        <v>1737</v>
      </c>
      <c r="BC523" s="100">
        <f t="shared" si="571"/>
        <v>0</v>
      </c>
      <c r="BD523" s="100">
        <f t="shared" si="572"/>
        <v>0</v>
      </c>
      <c r="BE523" s="100">
        <v>0</v>
      </c>
      <c r="BF523" s="100">
        <f>523</f>
        <v>523</v>
      </c>
      <c r="BH523" s="108">
        <f t="shared" si="573"/>
        <v>0</v>
      </c>
      <c r="BI523" s="108">
        <f t="shared" si="574"/>
        <v>0</v>
      </c>
      <c r="BJ523" s="108">
        <f t="shared" si="575"/>
        <v>0</v>
      </c>
    </row>
    <row r="524" spans="1:62" x14ac:dyDescent="0.2">
      <c r="A524" s="117" t="s">
        <v>474</v>
      </c>
      <c r="B524" s="117" t="s">
        <v>979</v>
      </c>
      <c r="C524" s="304" t="s">
        <v>1568</v>
      </c>
      <c r="D524" s="305"/>
      <c r="E524" s="305"/>
      <c r="F524" s="117" t="s">
        <v>1644</v>
      </c>
      <c r="G524" s="116">
        <v>1</v>
      </c>
      <c r="H524" s="159"/>
      <c r="I524" s="108">
        <f t="shared" si="552"/>
        <v>0</v>
      </c>
      <c r="J524" s="108">
        <f t="shared" si="553"/>
        <v>0</v>
      </c>
      <c r="K524" s="108">
        <f t="shared" si="554"/>
        <v>0</v>
      </c>
      <c r="L524" s="111"/>
      <c r="Z524" s="100">
        <f t="shared" si="555"/>
        <v>0</v>
      </c>
      <c r="AB524" s="100">
        <f t="shared" si="556"/>
        <v>0</v>
      </c>
      <c r="AC524" s="100">
        <f t="shared" si="557"/>
        <v>0</v>
      </c>
      <c r="AD524" s="100">
        <f t="shared" si="558"/>
        <v>0</v>
      </c>
      <c r="AE524" s="100">
        <f t="shared" si="559"/>
        <v>0</v>
      </c>
      <c r="AF524" s="100">
        <f t="shared" si="560"/>
        <v>0</v>
      </c>
      <c r="AG524" s="100">
        <f t="shared" si="561"/>
        <v>0</v>
      </c>
      <c r="AH524" s="100">
        <f t="shared" si="562"/>
        <v>0</v>
      </c>
      <c r="AI524" s="109"/>
      <c r="AJ524" s="108">
        <f t="shared" si="563"/>
        <v>0</v>
      </c>
      <c r="AK524" s="108">
        <f t="shared" si="564"/>
        <v>0</v>
      </c>
      <c r="AL524" s="108">
        <f t="shared" si="565"/>
        <v>0</v>
      </c>
      <c r="AN524" s="100">
        <v>15</v>
      </c>
      <c r="AO524" s="100">
        <f t="shared" si="566"/>
        <v>0</v>
      </c>
      <c r="AP524" s="100">
        <f t="shared" si="567"/>
        <v>0</v>
      </c>
      <c r="AQ524" s="111" t="s">
        <v>7</v>
      </c>
      <c r="AV524" s="100">
        <f t="shared" si="568"/>
        <v>0</v>
      </c>
      <c r="AW524" s="100">
        <f t="shared" si="569"/>
        <v>0</v>
      </c>
      <c r="AX524" s="100">
        <f t="shared" si="570"/>
        <v>0</v>
      </c>
      <c r="AY524" s="110" t="s">
        <v>1722</v>
      </c>
      <c r="AZ524" s="110" t="s">
        <v>1730</v>
      </c>
      <c r="BA524" s="109" t="s">
        <v>1737</v>
      </c>
      <c r="BC524" s="100">
        <f t="shared" si="571"/>
        <v>0</v>
      </c>
      <c r="BD524" s="100">
        <f t="shared" si="572"/>
        <v>0</v>
      </c>
      <c r="BE524" s="100">
        <v>0</v>
      </c>
      <c r="BF524" s="100">
        <f>524</f>
        <v>524</v>
      </c>
      <c r="BH524" s="108">
        <f t="shared" si="573"/>
        <v>0</v>
      </c>
      <c r="BI524" s="108">
        <f t="shared" si="574"/>
        <v>0</v>
      </c>
      <c r="BJ524" s="108">
        <f t="shared" si="575"/>
        <v>0</v>
      </c>
    </row>
    <row r="525" spans="1:62" x14ac:dyDescent="0.2">
      <c r="A525" s="117" t="s">
        <v>475</v>
      </c>
      <c r="B525" s="117" t="s">
        <v>2620</v>
      </c>
      <c r="C525" s="304" t="s">
        <v>1569</v>
      </c>
      <c r="D525" s="305"/>
      <c r="E525" s="305"/>
      <c r="F525" s="117" t="s">
        <v>1644</v>
      </c>
      <c r="G525" s="116">
        <v>1</v>
      </c>
      <c r="H525" s="159"/>
      <c r="I525" s="108">
        <f t="shared" si="552"/>
        <v>0</v>
      </c>
      <c r="J525" s="108">
        <f t="shared" si="553"/>
        <v>0</v>
      </c>
      <c r="K525" s="108">
        <f t="shared" si="554"/>
        <v>0</v>
      </c>
      <c r="L525" s="111"/>
      <c r="Z525" s="100">
        <f t="shared" si="555"/>
        <v>0</v>
      </c>
      <c r="AB525" s="100">
        <f t="shared" si="556"/>
        <v>0</v>
      </c>
      <c r="AC525" s="100">
        <f t="shared" si="557"/>
        <v>0</v>
      </c>
      <c r="AD525" s="100">
        <f t="shared" si="558"/>
        <v>0</v>
      </c>
      <c r="AE525" s="100">
        <f t="shared" si="559"/>
        <v>0</v>
      </c>
      <c r="AF525" s="100">
        <f t="shared" si="560"/>
        <v>0</v>
      </c>
      <c r="AG525" s="100">
        <f t="shared" si="561"/>
        <v>0</v>
      </c>
      <c r="AH525" s="100">
        <f t="shared" si="562"/>
        <v>0</v>
      </c>
      <c r="AI525" s="109"/>
      <c r="AJ525" s="108">
        <f t="shared" si="563"/>
        <v>0</v>
      </c>
      <c r="AK525" s="108">
        <f t="shared" si="564"/>
        <v>0</v>
      </c>
      <c r="AL525" s="108">
        <f t="shared" si="565"/>
        <v>0</v>
      </c>
      <c r="AN525" s="100">
        <v>15</v>
      </c>
      <c r="AO525" s="100">
        <f t="shared" si="566"/>
        <v>0</v>
      </c>
      <c r="AP525" s="100">
        <f t="shared" si="567"/>
        <v>0</v>
      </c>
      <c r="AQ525" s="111" t="s">
        <v>7</v>
      </c>
      <c r="AV525" s="100">
        <f t="shared" si="568"/>
        <v>0</v>
      </c>
      <c r="AW525" s="100">
        <f t="shared" si="569"/>
        <v>0</v>
      </c>
      <c r="AX525" s="100">
        <f t="shared" si="570"/>
        <v>0</v>
      </c>
      <c r="AY525" s="110" t="s">
        <v>1722</v>
      </c>
      <c r="AZ525" s="110" t="s">
        <v>1730</v>
      </c>
      <c r="BA525" s="109" t="s">
        <v>1737</v>
      </c>
      <c r="BC525" s="100">
        <f t="shared" si="571"/>
        <v>0</v>
      </c>
      <c r="BD525" s="100">
        <f t="shared" si="572"/>
        <v>0</v>
      </c>
      <c r="BE525" s="100">
        <v>0</v>
      </c>
      <c r="BF525" s="100">
        <f>525</f>
        <v>525</v>
      </c>
      <c r="BH525" s="108">
        <f t="shared" si="573"/>
        <v>0</v>
      </c>
      <c r="BI525" s="108">
        <f t="shared" si="574"/>
        <v>0</v>
      </c>
      <c r="BJ525" s="108">
        <f t="shared" si="575"/>
        <v>0</v>
      </c>
    </row>
    <row r="526" spans="1:62" x14ac:dyDescent="0.2">
      <c r="A526" s="117" t="s">
        <v>476</v>
      </c>
      <c r="B526" s="117" t="s">
        <v>2619</v>
      </c>
      <c r="C526" s="304" t="s">
        <v>1570</v>
      </c>
      <c r="D526" s="305"/>
      <c r="E526" s="305"/>
      <c r="F526" s="117" t="s">
        <v>1644</v>
      </c>
      <c r="G526" s="116">
        <v>1</v>
      </c>
      <c r="H526" s="159"/>
      <c r="I526" s="108">
        <f t="shared" si="552"/>
        <v>0</v>
      </c>
      <c r="J526" s="108">
        <f t="shared" si="553"/>
        <v>0</v>
      </c>
      <c r="K526" s="108">
        <f t="shared" si="554"/>
        <v>0</v>
      </c>
      <c r="L526" s="111"/>
      <c r="Z526" s="100">
        <f t="shared" si="555"/>
        <v>0</v>
      </c>
      <c r="AB526" s="100">
        <f t="shared" si="556"/>
        <v>0</v>
      </c>
      <c r="AC526" s="100">
        <f t="shared" si="557"/>
        <v>0</v>
      </c>
      <c r="AD526" s="100">
        <f t="shared" si="558"/>
        <v>0</v>
      </c>
      <c r="AE526" s="100">
        <f t="shared" si="559"/>
        <v>0</v>
      </c>
      <c r="AF526" s="100">
        <f t="shared" si="560"/>
        <v>0</v>
      </c>
      <c r="AG526" s="100">
        <f t="shared" si="561"/>
        <v>0</v>
      </c>
      <c r="AH526" s="100">
        <f t="shared" si="562"/>
        <v>0</v>
      </c>
      <c r="AI526" s="109"/>
      <c r="AJ526" s="108">
        <f t="shared" si="563"/>
        <v>0</v>
      </c>
      <c r="AK526" s="108">
        <f t="shared" si="564"/>
        <v>0</v>
      </c>
      <c r="AL526" s="108">
        <f t="shared" si="565"/>
        <v>0</v>
      </c>
      <c r="AN526" s="100">
        <v>15</v>
      </c>
      <c r="AO526" s="100">
        <f t="shared" si="566"/>
        <v>0</v>
      </c>
      <c r="AP526" s="100">
        <f t="shared" si="567"/>
        <v>0</v>
      </c>
      <c r="AQ526" s="111" t="s">
        <v>7</v>
      </c>
      <c r="AV526" s="100">
        <f t="shared" si="568"/>
        <v>0</v>
      </c>
      <c r="AW526" s="100">
        <f t="shared" si="569"/>
        <v>0</v>
      </c>
      <c r="AX526" s="100">
        <f t="shared" si="570"/>
        <v>0</v>
      </c>
      <c r="AY526" s="110" t="s">
        <v>1722</v>
      </c>
      <c r="AZ526" s="110" t="s">
        <v>1730</v>
      </c>
      <c r="BA526" s="109" t="s">
        <v>1737</v>
      </c>
      <c r="BC526" s="100">
        <f t="shared" si="571"/>
        <v>0</v>
      </c>
      <c r="BD526" s="100">
        <f t="shared" si="572"/>
        <v>0</v>
      </c>
      <c r="BE526" s="100">
        <v>0</v>
      </c>
      <c r="BF526" s="100">
        <f>526</f>
        <v>526</v>
      </c>
      <c r="BH526" s="108">
        <f t="shared" si="573"/>
        <v>0</v>
      </c>
      <c r="BI526" s="108">
        <f t="shared" si="574"/>
        <v>0</v>
      </c>
      <c r="BJ526" s="108">
        <f t="shared" si="575"/>
        <v>0</v>
      </c>
    </row>
    <row r="527" spans="1:62" x14ac:dyDescent="0.2">
      <c r="A527" s="117" t="s">
        <v>477</v>
      </c>
      <c r="B527" s="117" t="s">
        <v>2618</v>
      </c>
      <c r="C527" s="304" t="s">
        <v>1571</v>
      </c>
      <c r="D527" s="305"/>
      <c r="E527" s="305"/>
      <c r="F527" s="117" t="s">
        <v>1644</v>
      </c>
      <c r="G527" s="116">
        <v>1</v>
      </c>
      <c r="H527" s="159"/>
      <c r="I527" s="108">
        <f t="shared" si="552"/>
        <v>0</v>
      </c>
      <c r="J527" s="108">
        <f t="shared" si="553"/>
        <v>0</v>
      </c>
      <c r="K527" s="108">
        <f t="shared" si="554"/>
        <v>0</v>
      </c>
      <c r="L527" s="111"/>
      <c r="Z527" s="100">
        <f t="shared" si="555"/>
        <v>0</v>
      </c>
      <c r="AB527" s="100">
        <f t="shared" si="556"/>
        <v>0</v>
      </c>
      <c r="AC527" s="100">
        <f t="shared" si="557"/>
        <v>0</v>
      </c>
      <c r="AD527" s="100">
        <f t="shared" si="558"/>
        <v>0</v>
      </c>
      <c r="AE527" s="100">
        <f t="shared" si="559"/>
        <v>0</v>
      </c>
      <c r="AF527" s="100">
        <f t="shared" si="560"/>
        <v>0</v>
      </c>
      <c r="AG527" s="100">
        <f t="shared" si="561"/>
        <v>0</v>
      </c>
      <c r="AH527" s="100">
        <f t="shared" si="562"/>
        <v>0</v>
      </c>
      <c r="AI527" s="109"/>
      <c r="AJ527" s="108">
        <f t="shared" si="563"/>
        <v>0</v>
      </c>
      <c r="AK527" s="108">
        <f t="shared" si="564"/>
        <v>0</v>
      </c>
      <c r="AL527" s="108">
        <f t="shared" si="565"/>
        <v>0</v>
      </c>
      <c r="AN527" s="100">
        <v>15</v>
      </c>
      <c r="AO527" s="100">
        <f t="shared" si="566"/>
        <v>0</v>
      </c>
      <c r="AP527" s="100">
        <f t="shared" si="567"/>
        <v>0</v>
      </c>
      <c r="AQ527" s="111" t="s">
        <v>7</v>
      </c>
      <c r="AV527" s="100">
        <f t="shared" si="568"/>
        <v>0</v>
      </c>
      <c r="AW527" s="100">
        <f t="shared" si="569"/>
        <v>0</v>
      </c>
      <c r="AX527" s="100">
        <f t="shared" si="570"/>
        <v>0</v>
      </c>
      <c r="AY527" s="110" t="s">
        <v>1722</v>
      </c>
      <c r="AZ527" s="110" t="s">
        <v>1730</v>
      </c>
      <c r="BA527" s="109" t="s">
        <v>1737</v>
      </c>
      <c r="BC527" s="100">
        <f t="shared" si="571"/>
        <v>0</v>
      </c>
      <c r="BD527" s="100">
        <f t="shared" si="572"/>
        <v>0</v>
      </c>
      <c r="BE527" s="100">
        <v>0</v>
      </c>
      <c r="BF527" s="100">
        <f>527</f>
        <v>527</v>
      </c>
      <c r="BH527" s="108">
        <f t="shared" si="573"/>
        <v>0</v>
      </c>
      <c r="BI527" s="108">
        <f t="shared" si="574"/>
        <v>0</v>
      </c>
      <c r="BJ527" s="108">
        <f t="shared" si="575"/>
        <v>0</v>
      </c>
    </row>
    <row r="528" spans="1:62" x14ac:dyDescent="0.2">
      <c r="A528" s="117" t="s">
        <v>478</v>
      </c>
      <c r="B528" s="117" t="s">
        <v>2617</v>
      </c>
      <c r="C528" s="304" t="s">
        <v>1572</v>
      </c>
      <c r="D528" s="305"/>
      <c r="E528" s="305"/>
      <c r="F528" s="117" t="s">
        <v>1644</v>
      </c>
      <c r="G528" s="116">
        <v>1</v>
      </c>
      <c r="H528" s="159"/>
      <c r="I528" s="108">
        <f t="shared" si="552"/>
        <v>0</v>
      </c>
      <c r="J528" s="108">
        <f t="shared" si="553"/>
        <v>0</v>
      </c>
      <c r="K528" s="108">
        <f t="shared" si="554"/>
        <v>0</v>
      </c>
      <c r="L528" s="111"/>
      <c r="Z528" s="100">
        <f t="shared" si="555"/>
        <v>0</v>
      </c>
      <c r="AB528" s="100">
        <f t="shared" si="556"/>
        <v>0</v>
      </c>
      <c r="AC528" s="100">
        <f t="shared" si="557"/>
        <v>0</v>
      </c>
      <c r="AD528" s="100">
        <f t="shared" si="558"/>
        <v>0</v>
      </c>
      <c r="AE528" s="100">
        <f t="shared" si="559"/>
        <v>0</v>
      </c>
      <c r="AF528" s="100">
        <f t="shared" si="560"/>
        <v>0</v>
      </c>
      <c r="AG528" s="100">
        <f t="shared" si="561"/>
        <v>0</v>
      </c>
      <c r="AH528" s="100">
        <f t="shared" si="562"/>
        <v>0</v>
      </c>
      <c r="AI528" s="109"/>
      <c r="AJ528" s="108">
        <f t="shared" si="563"/>
        <v>0</v>
      </c>
      <c r="AK528" s="108">
        <f t="shared" si="564"/>
        <v>0</v>
      </c>
      <c r="AL528" s="108">
        <f t="shared" si="565"/>
        <v>0</v>
      </c>
      <c r="AN528" s="100">
        <v>15</v>
      </c>
      <c r="AO528" s="100">
        <f t="shared" si="566"/>
        <v>0</v>
      </c>
      <c r="AP528" s="100">
        <f t="shared" si="567"/>
        <v>0</v>
      </c>
      <c r="AQ528" s="111" t="s">
        <v>7</v>
      </c>
      <c r="AV528" s="100">
        <f t="shared" si="568"/>
        <v>0</v>
      </c>
      <c r="AW528" s="100">
        <f t="shared" si="569"/>
        <v>0</v>
      </c>
      <c r="AX528" s="100">
        <f t="shared" si="570"/>
        <v>0</v>
      </c>
      <c r="AY528" s="110" t="s">
        <v>1722</v>
      </c>
      <c r="AZ528" s="110" t="s">
        <v>1730</v>
      </c>
      <c r="BA528" s="109" t="s">
        <v>1737</v>
      </c>
      <c r="BC528" s="100">
        <f t="shared" si="571"/>
        <v>0</v>
      </c>
      <c r="BD528" s="100">
        <f t="shared" si="572"/>
        <v>0</v>
      </c>
      <c r="BE528" s="100">
        <v>0</v>
      </c>
      <c r="BF528" s="100">
        <f>528</f>
        <v>528</v>
      </c>
      <c r="BH528" s="108">
        <f t="shared" si="573"/>
        <v>0</v>
      </c>
      <c r="BI528" s="108">
        <f t="shared" si="574"/>
        <v>0</v>
      </c>
      <c r="BJ528" s="108">
        <f t="shared" si="575"/>
        <v>0</v>
      </c>
    </row>
    <row r="529" spans="1:62" x14ac:dyDescent="0.2">
      <c r="A529" s="117" t="s">
        <v>479</v>
      </c>
      <c r="B529" s="117" t="s">
        <v>2616</v>
      </c>
      <c r="C529" s="304" t="s">
        <v>1573</v>
      </c>
      <c r="D529" s="305"/>
      <c r="E529" s="305"/>
      <c r="F529" s="117" t="s">
        <v>1644</v>
      </c>
      <c r="G529" s="116">
        <v>1</v>
      </c>
      <c r="H529" s="159"/>
      <c r="I529" s="108">
        <f t="shared" si="552"/>
        <v>0</v>
      </c>
      <c r="J529" s="108">
        <f t="shared" si="553"/>
        <v>0</v>
      </c>
      <c r="K529" s="108">
        <f t="shared" si="554"/>
        <v>0</v>
      </c>
      <c r="L529" s="111"/>
      <c r="Z529" s="100">
        <f t="shared" si="555"/>
        <v>0</v>
      </c>
      <c r="AB529" s="100">
        <f t="shared" si="556"/>
        <v>0</v>
      </c>
      <c r="AC529" s="100">
        <f t="shared" si="557"/>
        <v>0</v>
      </c>
      <c r="AD529" s="100">
        <f t="shared" si="558"/>
        <v>0</v>
      </c>
      <c r="AE529" s="100">
        <f t="shared" si="559"/>
        <v>0</v>
      </c>
      <c r="AF529" s="100">
        <f t="shared" si="560"/>
        <v>0</v>
      </c>
      <c r="AG529" s="100">
        <f t="shared" si="561"/>
        <v>0</v>
      </c>
      <c r="AH529" s="100">
        <f t="shared" si="562"/>
        <v>0</v>
      </c>
      <c r="AI529" s="109"/>
      <c r="AJ529" s="108">
        <f t="shared" si="563"/>
        <v>0</v>
      </c>
      <c r="AK529" s="108">
        <f t="shared" si="564"/>
        <v>0</v>
      </c>
      <c r="AL529" s="108">
        <f t="shared" si="565"/>
        <v>0</v>
      </c>
      <c r="AN529" s="100">
        <v>15</v>
      </c>
      <c r="AO529" s="100">
        <f t="shared" si="566"/>
        <v>0</v>
      </c>
      <c r="AP529" s="100">
        <f t="shared" si="567"/>
        <v>0</v>
      </c>
      <c r="AQ529" s="111" t="s">
        <v>7</v>
      </c>
      <c r="AV529" s="100">
        <f t="shared" si="568"/>
        <v>0</v>
      </c>
      <c r="AW529" s="100">
        <f t="shared" si="569"/>
        <v>0</v>
      </c>
      <c r="AX529" s="100">
        <f t="shared" si="570"/>
        <v>0</v>
      </c>
      <c r="AY529" s="110" t="s">
        <v>1722</v>
      </c>
      <c r="AZ529" s="110" t="s">
        <v>1730</v>
      </c>
      <c r="BA529" s="109" t="s">
        <v>1737</v>
      </c>
      <c r="BC529" s="100">
        <f t="shared" si="571"/>
        <v>0</v>
      </c>
      <c r="BD529" s="100">
        <f t="shared" si="572"/>
        <v>0</v>
      </c>
      <c r="BE529" s="100">
        <v>0</v>
      </c>
      <c r="BF529" s="100">
        <f>529</f>
        <v>529</v>
      </c>
      <c r="BH529" s="108">
        <f t="shared" si="573"/>
        <v>0</v>
      </c>
      <c r="BI529" s="108">
        <f t="shared" si="574"/>
        <v>0</v>
      </c>
      <c r="BJ529" s="108">
        <f t="shared" si="575"/>
        <v>0</v>
      </c>
    </row>
    <row r="530" spans="1:62" x14ac:dyDescent="0.2">
      <c r="A530" s="117" t="s">
        <v>480</v>
      </c>
      <c r="B530" s="117" t="s">
        <v>2615</v>
      </c>
      <c r="C530" s="304" t="s">
        <v>1574</v>
      </c>
      <c r="D530" s="305"/>
      <c r="E530" s="305"/>
      <c r="F530" s="117" t="s">
        <v>1644</v>
      </c>
      <c r="G530" s="116">
        <v>1</v>
      </c>
      <c r="H530" s="159"/>
      <c r="I530" s="108">
        <f t="shared" si="552"/>
        <v>0</v>
      </c>
      <c r="J530" s="108">
        <f t="shared" si="553"/>
        <v>0</v>
      </c>
      <c r="K530" s="108">
        <f t="shared" si="554"/>
        <v>0</v>
      </c>
      <c r="L530" s="111"/>
      <c r="Z530" s="100">
        <f t="shared" si="555"/>
        <v>0</v>
      </c>
      <c r="AB530" s="100">
        <f t="shared" si="556"/>
        <v>0</v>
      </c>
      <c r="AC530" s="100">
        <f t="shared" si="557"/>
        <v>0</v>
      </c>
      <c r="AD530" s="100">
        <f t="shared" si="558"/>
        <v>0</v>
      </c>
      <c r="AE530" s="100">
        <f t="shared" si="559"/>
        <v>0</v>
      </c>
      <c r="AF530" s="100">
        <f t="shared" si="560"/>
        <v>0</v>
      </c>
      <c r="AG530" s="100">
        <f t="shared" si="561"/>
        <v>0</v>
      </c>
      <c r="AH530" s="100">
        <f t="shared" si="562"/>
        <v>0</v>
      </c>
      <c r="AI530" s="109"/>
      <c r="AJ530" s="108">
        <f t="shared" si="563"/>
        <v>0</v>
      </c>
      <c r="AK530" s="108">
        <f t="shared" si="564"/>
        <v>0</v>
      </c>
      <c r="AL530" s="108">
        <f t="shared" si="565"/>
        <v>0</v>
      </c>
      <c r="AN530" s="100">
        <v>15</v>
      </c>
      <c r="AO530" s="100">
        <f t="shared" si="566"/>
        <v>0</v>
      </c>
      <c r="AP530" s="100">
        <f t="shared" si="567"/>
        <v>0</v>
      </c>
      <c r="AQ530" s="111" t="s">
        <v>7</v>
      </c>
      <c r="AV530" s="100">
        <f t="shared" si="568"/>
        <v>0</v>
      </c>
      <c r="AW530" s="100">
        <f t="shared" si="569"/>
        <v>0</v>
      </c>
      <c r="AX530" s="100">
        <f t="shared" si="570"/>
        <v>0</v>
      </c>
      <c r="AY530" s="110" t="s">
        <v>1722</v>
      </c>
      <c r="AZ530" s="110" t="s">
        <v>1730</v>
      </c>
      <c r="BA530" s="109" t="s">
        <v>1737</v>
      </c>
      <c r="BC530" s="100">
        <f t="shared" si="571"/>
        <v>0</v>
      </c>
      <c r="BD530" s="100">
        <f t="shared" si="572"/>
        <v>0</v>
      </c>
      <c r="BE530" s="100">
        <v>0</v>
      </c>
      <c r="BF530" s="100">
        <f>530</f>
        <v>530</v>
      </c>
      <c r="BH530" s="108">
        <f t="shared" si="573"/>
        <v>0</v>
      </c>
      <c r="BI530" s="108">
        <f t="shared" si="574"/>
        <v>0</v>
      </c>
      <c r="BJ530" s="108">
        <f t="shared" si="575"/>
        <v>0</v>
      </c>
    </row>
    <row r="531" spans="1:62" x14ac:dyDescent="0.2">
      <c r="A531" s="117" t="s">
        <v>481</v>
      </c>
      <c r="B531" s="117" t="s">
        <v>2614</v>
      </c>
      <c r="C531" s="304" t="s">
        <v>1575</v>
      </c>
      <c r="D531" s="305"/>
      <c r="E531" s="305"/>
      <c r="F531" s="117" t="s">
        <v>1644</v>
      </c>
      <c r="G531" s="116">
        <v>1</v>
      </c>
      <c r="H531" s="159"/>
      <c r="I531" s="108">
        <f t="shared" si="552"/>
        <v>0</v>
      </c>
      <c r="J531" s="108">
        <f t="shared" si="553"/>
        <v>0</v>
      </c>
      <c r="K531" s="108">
        <f t="shared" si="554"/>
        <v>0</v>
      </c>
      <c r="L531" s="111"/>
      <c r="Z531" s="100">
        <f t="shared" si="555"/>
        <v>0</v>
      </c>
      <c r="AB531" s="100">
        <f t="shared" si="556"/>
        <v>0</v>
      </c>
      <c r="AC531" s="100">
        <f t="shared" si="557"/>
        <v>0</v>
      </c>
      <c r="AD531" s="100">
        <f t="shared" si="558"/>
        <v>0</v>
      </c>
      <c r="AE531" s="100">
        <f t="shared" si="559"/>
        <v>0</v>
      </c>
      <c r="AF531" s="100">
        <f t="shared" si="560"/>
        <v>0</v>
      </c>
      <c r="AG531" s="100">
        <f t="shared" si="561"/>
        <v>0</v>
      </c>
      <c r="AH531" s="100">
        <f t="shared" si="562"/>
        <v>0</v>
      </c>
      <c r="AI531" s="109"/>
      <c r="AJ531" s="108">
        <f t="shared" si="563"/>
        <v>0</v>
      </c>
      <c r="AK531" s="108">
        <f t="shared" si="564"/>
        <v>0</v>
      </c>
      <c r="AL531" s="108">
        <f t="shared" si="565"/>
        <v>0</v>
      </c>
      <c r="AN531" s="100">
        <v>15</v>
      </c>
      <c r="AO531" s="100">
        <f t="shared" si="566"/>
        <v>0</v>
      </c>
      <c r="AP531" s="100">
        <f t="shared" si="567"/>
        <v>0</v>
      </c>
      <c r="AQ531" s="111" t="s">
        <v>7</v>
      </c>
      <c r="AV531" s="100">
        <f t="shared" si="568"/>
        <v>0</v>
      </c>
      <c r="AW531" s="100">
        <f t="shared" si="569"/>
        <v>0</v>
      </c>
      <c r="AX531" s="100">
        <f t="shared" si="570"/>
        <v>0</v>
      </c>
      <c r="AY531" s="110" t="s">
        <v>1722</v>
      </c>
      <c r="AZ531" s="110" t="s">
        <v>1730</v>
      </c>
      <c r="BA531" s="109" t="s">
        <v>1737</v>
      </c>
      <c r="BC531" s="100">
        <f t="shared" si="571"/>
        <v>0</v>
      </c>
      <c r="BD531" s="100">
        <f t="shared" si="572"/>
        <v>0</v>
      </c>
      <c r="BE531" s="100">
        <v>0</v>
      </c>
      <c r="BF531" s="100">
        <f>531</f>
        <v>531</v>
      </c>
      <c r="BH531" s="108">
        <f t="shared" si="573"/>
        <v>0</v>
      </c>
      <c r="BI531" s="108">
        <f t="shared" si="574"/>
        <v>0</v>
      </c>
      <c r="BJ531" s="108">
        <f t="shared" si="575"/>
        <v>0</v>
      </c>
    </row>
    <row r="532" spans="1:62" x14ac:dyDescent="0.2">
      <c r="A532" s="117" t="s">
        <v>482</v>
      </c>
      <c r="B532" s="117" t="s">
        <v>2613</v>
      </c>
      <c r="C532" s="304" t="s">
        <v>1576</v>
      </c>
      <c r="D532" s="305"/>
      <c r="E532" s="305"/>
      <c r="F532" s="117" t="s">
        <v>1644</v>
      </c>
      <c r="G532" s="116">
        <v>1</v>
      </c>
      <c r="H532" s="159"/>
      <c r="I532" s="108">
        <f t="shared" si="552"/>
        <v>0</v>
      </c>
      <c r="J532" s="108">
        <f t="shared" si="553"/>
        <v>0</v>
      </c>
      <c r="K532" s="108">
        <f t="shared" si="554"/>
        <v>0</v>
      </c>
      <c r="L532" s="111"/>
      <c r="Z532" s="100">
        <f t="shared" si="555"/>
        <v>0</v>
      </c>
      <c r="AB532" s="100">
        <f t="shared" si="556"/>
        <v>0</v>
      </c>
      <c r="AC532" s="100">
        <f t="shared" si="557"/>
        <v>0</v>
      </c>
      <c r="AD532" s="100">
        <f t="shared" si="558"/>
        <v>0</v>
      </c>
      <c r="AE532" s="100">
        <f t="shared" si="559"/>
        <v>0</v>
      </c>
      <c r="AF532" s="100">
        <f t="shared" si="560"/>
        <v>0</v>
      </c>
      <c r="AG532" s="100">
        <f t="shared" si="561"/>
        <v>0</v>
      </c>
      <c r="AH532" s="100">
        <f t="shared" si="562"/>
        <v>0</v>
      </c>
      <c r="AI532" s="109"/>
      <c r="AJ532" s="108">
        <f t="shared" si="563"/>
        <v>0</v>
      </c>
      <c r="AK532" s="108">
        <f t="shared" si="564"/>
        <v>0</v>
      </c>
      <c r="AL532" s="108">
        <f t="shared" si="565"/>
        <v>0</v>
      </c>
      <c r="AN532" s="100">
        <v>15</v>
      </c>
      <c r="AO532" s="100">
        <f t="shared" si="566"/>
        <v>0</v>
      </c>
      <c r="AP532" s="100">
        <f t="shared" si="567"/>
        <v>0</v>
      </c>
      <c r="AQ532" s="111" t="s">
        <v>7</v>
      </c>
      <c r="AV532" s="100">
        <f t="shared" si="568"/>
        <v>0</v>
      </c>
      <c r="AW532" s="100">
        <f t="shared" si="569"/>
        <v>0</v>
      </c>
      <c r="AX532" s="100">
        <f t="shared" si="570"/>
        <v>0</v>
      </c>
      <c r="AY532" s="110" t="s">
        <v>1722</v>
      </c>
      <c r="AZ532" s="110" t="s">
        <v>1730</v>
      </c>
      <c r="BA532" s="109" t="s">
        <v>1737</v>
      </c>
      <c r="BC532" s="100">
        <f t="shared" si="571"/>
        <v>0</v>
      </c>
      <c r="BD532" s="100">
        <f t="shared" si="572"/>
        <v>0</v>
      </c>
      <c r="BE532" s="100">
        <v>0</v>
      </c>
      <c r="BF532" s="100">
        <f>532</f>
        <v>532</v>
      </c>
      <c r="BH532" s="108">
        <f t="shared" si="573"/>
        <v>0</v>
      </c>
      <c r="BI532" s="108">
        <f t="shared" si="574"/>
        <v>0</v>
      </c>
      <c r="BJ532" s="108">
        <f t="shared" si="575"/>
        <v>0</v>
      </c>
    </row>
    <row r="533" spans="1:62" x14ac:dyDescent="0.2">
      <c r="A533" s="117" t="s">
        <v>483</v>
      </c>
      <c r="B533" s="117" t="s">
        <v>973</v>
      </c>
      <c r="C533" s="304" t="s">
        <v>1577</v>
      </c>
      <c r="D533" s="305"/>
      <c r="E533" s="305"/>
      <c r="F533" s="117" t="s">
        <v>1644</v>
      </c>
      <c r="G533" s="116">
        <v>1</v>
      </c>
      <c r="H533" s="159"/>
      <c r="I533" s="108">
        <f t="shared" si="552"/>
        <v>0</v>
      </c>
      <c r="J533" s="108">
        <f t="shared" si="553"/>
        <v>0</v>
      </c>
      <c r="K533" s="108">
        <f t="shared" si="554"/>
        <v>0</v>
      </c>
      <c r="L533" s="111"/>
      <c r="Z533" s="100">
        <f t="shared" si="555"/>
        <v>0</v>
      </c>
      <c r="AB533" s="100">
        <f t="shared" si="556"/>
        <v>0</v>
      </c>
      <c r="AC533" s="100">
        <f t="shared" si="557"/>
        <v>0</v>
      </c>
      <c r="AD533" s="100">
        <f t="shared" si="558"/>
        <v>0</v>
      </c>
      <c r="AE533" s="100">
        <f t="shared" si="559"/>
        <v>0</v>
      </c>
      <c r="AF533" s="100">
        <f t="shared" si="560"/>
        <v>0</v>
      </c>
      <c r="AG533" s="100">
        <f t="shared" si="561"/>
        <v>0</v>
      </c>
      <c r="AH533" s="100">
        <f t="shared" si="562"/>
        <v>0</v>
      </c>
      <c r="AI533" s="109"/>
      <c r="AJ533" s="108">
        <f t="shared" si="563"/>
        <v>0</v>
      </c>
      <c r="AK533" s="108">
        <f t="shared" si="564"/>
        <v>0</v>
      </c>
      <c r="AL533" s="108">
        <f t="shared" si="565"/>
        <v>0</v>
      </c>
      <c r="AN533" s="100">
        <v>15</v>
      </c>
      <c r="AO533" s="100">
        <f t="shared" si="566"/>
        <v>0</v>
      </c>
      <c r="AP533" s="100">
        <f t="shared" si="567"/>
        <v>0</v>
      </c>
      <c r="AQ533" s="111" t="s">
        <v>7</v>
      </c>
      <c r="AV533" s="100">
        <f t="shared" si="568"/>
        <v>0</v>
      </c>
      <c r="AW533" s="100">
        <f t="shared" si="569"/>
        <v>0</v>
      </c>
      <c r="AX533" s="100">
        <f t="shared" si="570"/>
        <v>0</v>
      </c>
      <c r="AY533" s="110" t="s">
        <v>1722</v>
      </c>
      <c r="AZ533" s="110" t="s">
        <v>1730</v>
      </c>
      <c r="BA533" s="109" t="s">
        <v>1737</v>
      </c>
      <c r="BC533" s="100">
        <f t="shared" si="571"/>
        <v>0</v>
      </c>
      <c r="BD533" s="100">
        <f t="shared" si="572"/>
        <v>0</v>
      </c>
      <c r="BE533" s="100">
        <v>0</v>
      </c>
      <c r="BF533" s="100">
        <f>533</f>
        <v>533</v>
      </c>
      <c r="BH533" s="108">
        <f t="shared" si="573"/>
        <v>0</v>
      </c>
      <c r="BI533" s="108">
        <f t="shared" si="574"/>
        <v>0</v>
      </c>
      <c r="BJ533" s="108">
        <f t="shared" si="575"/>
        <v>0</v>
      </c>
    </row>
    <row r="534" spans="1:62" x14ac:dyDescent="0.2">
      <c r="A534" s="117" t="s">
        <v>484</v>
      </c>
      <c r="B534" s="117" t="s">
        <v>988</v>
      </c>
      <c r="C534" s="304" t="s">
        <v>1578</v>
      </c>
      <c r="D534" s="305"/>
      <c r="E534" s="305"/>
      <c r="F534" s="117" t="s">
        <v>1644</v>
      </c>
      <c r="G534" s="116">
        <v>1</v>
      </c>
      <c r="H534" s="159"/>
      <c r="I534" s="108">
        <f t="shared" si="552"/>
        <v>0</v>
      </c>
      <c r="J534" s="108">
        <f t="shared" si="553"/>
        <v>0</v>
      </c>
      <c r="K534" s="108">
        <f t="shared" si="554"/>
        <v>0</v>
      </c>
      <c r="L534" s="111"/>
      <c r="Z534" s="100">
        <f t="shared" si="555"/>
        <v>0</v>
      </c>
      <c r="AB534" s="100">
        <f t="shared" si="556"/>
        <v>0</v>
      </c>
      <c r="AC534" s="100">
        <f t="shared" si="557"/>
        <v>0</v>
      </c>
      <c r="AD534" s="100">
        <f t="shared" si="558"/>
        <v>0</v>
      </c>
      <c r="AE534" s="100">
        <f t="shared" si="559"/>
        <v>0</v>
      </c>
      <c r="AF534" s="100">
        <f t="shared" si="560"/>
        <v>0</v>
      </c>
      <c r="AG534" s="100">
        <f t="shared" si="561"/>
        <v>0</v>
      </c>
      <c r="AH534" s="100">
        <f t="shared" si="562"/>
        <v>0</v>
      </c>
      <c r="AI534" s="109"/>
      <c r="AJ534" s="108">
        <f t="shared" si="563"/>
        <v>0</v>
      </c>
      <c r="AK534" s="108">
        <f t="shared" si="564"/>
        <v>0</v>
      </c>
      <c r="AL534" s="108">
        <f t="shared" si="565"/>
        <v>0</v>
      </c>
      <c r="AN534" s="100">
        <v>15</v>
      </c>
      <c r="AO534" s="100">
        <f t="shared" si="566"/>
        <v>0</v>
      </c>
      <c r="AP534" s="100">
        <f t="shared" si="567"/>
        <v>0</v>
      </c>
      <c r="AQ534" s="111" t="s">
        <v>7</v>
      </c>
      <c r="AV534" s="100">
        <f t="shared" si="568"/>
        <v>0</v>
      </c>
      <c r="AW534" s="100">
        <f t="shared" si="569"/>
        <v>0</v>
      </c>
      <c r="AX534" s="100">
        <f t="shared" si="570"/>
        <v>0</v>
      </c>
      <c r="AY534" s="110" t="s">
        <v>1722</v>
      </c>
      <c r="AZ534" s="110" t="s">
        <v>1730</v>
      </c>
      <c r="BA534" s="109" t="s">
        <v>1737</v>
      </c>
      <c r="BC534" s="100">
        <f t="shared" si="571"/>
        <v>0</v>
      </c>
      <c r="BD534" s="100">
        <f t="shared" si="572"/>
        <v>0</v>
      </c>
      <c r="BE534" s="100">
        <v>0</v>
      </c>
      <c r="BF534" s="100">
        <f>534</f>
        <v>534</v>
      </c>
      <c r="BH534" s="108">
        <f t="shared" si="573"/>
        <v>0</v>
      </c>
      <c r="BI534" s="108">
        <f t="shared" si="574"/>
        <v>0</v>
      </c>
      <c r="BJ534" s="108">
        <f t="shared" si="575"/>
        <v>0</v>
      </c>
    </row>
    <row r="535" spans="1:62" x14ac:dyDescent="0.2">
      <c r="A535" s="117" t="s">
        <v>485</v>
      </c>
      <c r="B535" s="117" t="s">
        <v>989</v>
      </c>
      <c r="C535" s="304" t="s">
        <v>1579</v>
      </c>
      <c r="D535" s="305"/>
      <c r="E535" s="305"/>
      <c r="F535" s="117" t="s">
        <v>1644</v>
      </c>
      <c r="G535" s="116">
        <v>1</v>
      </c>
      <c r="H535" s="159"/>
      <c r="I535" s="108">
        <f t="shared" si="552"/>
        <v>0</v>
      </c>
      <c r="J535" s="108">
        <f t="shared" si="553"/>
        <v>0</v>
      </c>
      <c r="K535" s="108">
        <f t="shared" si="554"/>
        <v>0</v>
      </c>
      <c r="L535" s="111"/>
      <c r="Z535" s="100">
        <f t="shared" si="555"/>
        <v>0</v>
      </c>
      <c r="AB535" s="100">
        <f t="shared" si="556"/>
        <v>0</v>
      </c>
      <c r="AC535" s="100">
        <f t="shared" si="557"/>
        <v>0</v>
      </c>
      <c r="AD535" s="100">
        <f t="shared" si="558"/>
        <v>0</v>
      </c>
      <c r="AE535" s="100">
        <f t="shared" si="559"/>
        <v>0</v>
      </c>
      <c r="AF535" s="100">
        <f t="shared" si="560"/>
        <v>0</v>
      </c>
      <c r="AG535" s="100">
        <f t="shared" si="561"/>
        <v>0</v>
      </c>
      <c r="AH535" s="100">
        <f t="shared" si="562"/>
        <v>0</v>
      </c>
      <c r="AI535" s="109"/>
      <c r="AJ535" s="108">
        <f t="shared" si="563"/>
        <v>0</v>
      </c>
      <c r="AK535" s="108">
        <f t="shared" si="564"/>
        <v>0</v>
      </c>
      <c r="AL535" s="108">
        <f t="shared" si="565"/>
        <v>0</v>
      </c>
      <c r="AN535" s="100">
        <v>15</v>
      </c>
      <c r="AO535" s="100">
        <f t="shared" si="566"/>
        <v>0</v>
      </c>
      <c r="AP535" s="100">
        <f t="shared" si="567"/>
        <v>0</v>
      </c>
      <c r="AQ535" s="111" t="s">
        <v>7</v>
      </c>
      <c r="AV535" s="100">
        <f t="shared" si="568"/>
        <v>0</v>
      </c>
      <c r="AW535" s="100">
        <f t="shared" si="569"/>
        <v>0</v>
      </c>
      <c r="AX535" s="100">
        <f t="shared" si="570"/>
        <v>0</v>
      </c>
      <c r="AY535" s="110" t="s">
        <v>1722</v>
      </c>
      <c r="AZ535" s="110" t="s">
        <v>1730</v>
      </c>
      <c r="BA535" s="109" t="s">
        <v>1737</v>
      </c>
      <c r="BC535" s="100">
        <f t="shared" si="571"/>
        <v>0</v>
      </c>
      <c r="BD535" s="100">
        <f t="shared" si="572"/>
        <v>0</v>
      </c>
      <c r="BE535" s="100">
        <v>0</v>
      </c>
      <c r="BF535" s="100">
        <f>535</f>
        <v>535</v>
      </c>
      <c r="BH535" s="108">
        <f t="shared" si="573"/>
        <v>0</v>
      </c>
      <c r="BI535" s="108">
        <f t="shared" si="574"/>
        <v>0</v>
      </c>
      <c r="BJ535" s="108">
        <f t="shared" si="575"/>
        <v>0</v>
      </c>
    </row>
    <row r="536" spans="1:62" x14ac:dyDescent="0.2">
      <c r="A536" s="117" t="s">
        <v>486</v>
      </c>
      <c r="B536" s="117" t="s">
        <v>990</v>
      </c>
      <c r="C536" s="304" t="s">
        <v>1580</v>
      </c>
      <c r="D536" s="305"/>
      <c r="E536" s="305"/>
      <c r="F536" s="117" t="s">
        <v>1644</v>
      </c>
      <c r="G536" s="116">
        <v>1</v>
      </c>
      <c r="H536" s="159"/>
      <c r="I536" s="108">
        <f t="shared" si="552"/>
        <v>0</v>
      </c>
      <c r="J536" s="108">
        <f t="shared" si="553"/>
        <v>0</v>
      </c>
      <c r="K536" s="108">
        <f t="shared" si="554"/>
        <v>0</v>
      </c>
      <c r="L536" s="111"/>
      <c r="Z536" s="100">
        <f t="shared" si="555"/>
        <v>0</v>
      </c>
      <c r="AB536" s="100">
        <f t="shared" si="556"/>
        <v>0</v>
      </c>
      <c r="AC536" s="100">
        <f t="shared" si="557"/>
        <v>0</v>
      </c>
      <c r="AD536" s="100">
        <f t="shared" si="558"/>
        <v>0</v>
      </c>
      <c r="AE536" s="100">
        <f t="shared" si="559"/>
        <v>0</v>
      </c>
      <c r="AF536" s="100">
        <f t="shared" si="560"/>
        <v>0</v>
      </c>
      <c r="AG536" s="100">
        <f t="shared" si="561"/>
        <v>0</v>
      </c>
      <c r="AH536" s="100">
        <f t="shared" si="562"/>
        <v>0</v>
      </c>
      <c r="AI536" s="109"/>
      <c r="AJ536" s="108">
        <f t="shared" si="563"/>
        <v>0</v>
      </c>
      <c r="AK536" s="108">
        <f t="shared" si="564"/>
        <v>0</v>
      </c>
      <c r="AL536" s="108">
        <f t="shared" si="565"/>
        <v>0</v>
      </c>
      <c r="AN536" s="100">
        <v>15</v>
      </c>
      <c r="AO536" s="100">
        <f t="shared" si="566"/>
        <v>0</v>
      </c>
      <c r="AP536" s="100">
        <f t="shared" si="567"/>
        <v>0</v>
      </c>
      <c r="AQ536" s="111" t="s">
        <v>7</v>
      </c>
      <c r="AV536" s="100">
        <f t="shared" si="568"/>
        <v>0</v>
      </c>
      <c r="AW536" s="100">
        <f t="shared" si="569"/>
        <v>0</v>
      </c>
      <c r="AX536" s="100">
        <f t="shared" si="570"/>
        <v>0</v>
      </c>
      <c r="AY536" s="110" t="s">
        <v>1722</v>
      </c>
      <c r="AZ536" s="110" t="s">
        <v>1730</v>
      </c>
      <c r="BA536" s="109" t="s">
        <v>1737</v>
      </c>
      <c r="BC536" s="100">
        <f t="shared" si="571"/>
        <v>0</v>
      </c>
      <c r="BD536" s="100">
        <f t="shared" si="572"/>
        <v>0</v>
      </c>
      <c r="BE536" s="100">
        <v>0</v>
      </c>
      <c r="BF536" s="100">
        <f>536</f>
        <v>536</v>
      </c>
      <c r="BH536" s="108">
        <f t="shared" si="573"/>
        <v>0</v>
      </c>
      <c r="BI536" s="108">
        <f t="shared" si="574"/>
        <v>0</v>
      </c>
      <c r="BJ536" s="108">
        <f t="shared" si="575"/>
        <v>0</v>
      </c>
    </row>
    <row r="537" spans="1:62" x14ac:dyDescent="0.2">
      <c r="A537" s="117" t="s">
        <v>487</v>
      </c>
      <c r="B537" s="117" t="s">
        <v>991</v>
      </c>
      <c r="C537" s="304" t="s">
        <v>1581</v>
      </c>
      <c r="D537" s="305"/>
      <c r="E537" s="305"/>
      <c r="F537" s="117" t="s">
        <v>1644</v>
      </c>
      <c r="G537" s="116">
        <v>2</v>
      </c>
      <c r="H537" s="159"/>
      <c r="I537" s="108">
        <f t="shared" si="552"/>
        <v>0</v>
      </c>
      <c r="J537" s="108">
        <f t="shared" si="553"/>
        <v>0</v>
      </c>
      <c r="K537" s="108">
        <f t="shared" si="554"/>
        <v>0</v>
      </c>
      <c r="L537" s="111"/>
      <c r="Z537" s="100">
        <f t="shared" si="555"/>
        <v>0</v>
      </c>
      <c r="AB537" s="100">
        <f t="shared" si="556"/>
        <v>0</v>
      </c>
      <c r="AC537" s="100">
        <f t="shared" si="557"/>
        <v>0</v>
      </c>
      <c r="AD537" s="100">
        <f t="shared" si="558"/>
        <v>0</v>
      </c>
      <c r="AE537" s="100">
        <f t="shared" si="559"/>
        <v>0</v>
      </c>
      <c r="AF537" s="100">
        <f t="shared" si="560"/>
        <v>0</v>
      </c>
      <c r="AG537" s="100">
        <f t="shared" si="561"/>
        <v>0</v>
      </c>
      <c r="AH537" s="100">
        <f t="shared" si="562"/>
        <v>0</v>
      </c>
      <c r="AI537" s="109"/>
      <c r="AJ537" s="108">
        <f t="shared" si="563"/>
        <v>0</v>
      </c>
      <c r="AK537" s="108">
        <f t="shared" si="564"/>
        <v>0</v>
      </c>
      <c r="AL537" s="108">
        <f t="shared" si="565"/>
        <v>0</v>
      </c>
      <c r="AN537" s="100">
        <v>15</v>
      </c>
      <c r="AO537" s="100">
        <f t="shared" si="566"/>
        <v>0</v>
      </c>
      <c r="AP537" s="100">
        <f t="shared" si="567"/>
        <v>0</v>
      </c>
      <c r="AQ537" s="111" t="s">
        <v>7</v>
      </c>
      <c r="AV537" s="100">
        <f t="shared" si="568"/>
        <v>0</v>
      </c>
      <c r="AW537" s="100">
        <f t="shared" si="569"/>
        <v>0</v>
      </c>
      <c r="AX537" s="100">
        <f t="shared" si="570"/>
        <v>0</v>
      </c>
      <c r="AY537" s="110" t="s">
        <v>1722</v>
      </c>
      <c r="AZ537" s="110" t="s">
        <v>1730</v>
      </c>
      <c r="BA537" s="109" t="s">
        <v>1737</v>
      </c>
      <c r="BC537" s="100">
        <f t="shared" si="571"/>
        <v>0</v>
      </c>
      <c r="BD537" s="100">
        <f t="shared" si="572"/>
        <v>0</v>
      </c>
      <c r="BE537" s="100">
        <v>0</v>
      </c>
      <c r="BF537" s="100">
        <f>537</f>
        <v>537</v>
      </c>
      <c r="BH537" s="108">
        <f t="shared" si="573"/>
        <v>0</v>
      </c>
      <c r="BI537" s="108">
        <f t="shared" si="574"/>
        <v>0</v>
      </c>
      <c r="BJ537" s="108">
        <f t="shared" si="575"/>
        <v>0</v>
      </c>
    </row>
    <row r="538" spans="1:62" x14ac:dyDescent="0.2">
      <c r="A538" s="117" t="s">
        <v>488</v>
      </c>
      <c r="B538" s="117" t="s">
        <v>992</v>
      </c>
      <c r="C538" s="304" t="s">
        <v>1582</v>
      </c>
      <c r="D538" s="305"/>
      <c r="E538" s="305"/>
      <c r="F538" s="117" t="s">
        <v>1644</v>
      </c>
      <c r="G538" s="116">
        <v>1</v>
      </c>
      <c r="H538" s="159"/>
      <c r="I538" s="108">
        <f t="shared" si="552"/>
        <v>0</v>
      </c>
      <c r="J538" s="108">
        <f t="shared" si="553"/>
        <v>0</v>
      </c>
      <c r="K538" s="108">
        <f t="shared" si="554"/>
        <v>0</v>
      </c>
      <c r="L538" s="111"/>
      <c r="Z538" s="100">
        <f t="shared" si="555"/>
        <v>0</v>
      </c>
      <c r="AB538" s="100">
        <f t="shared" si="556"/>
        <v>0</v>
      </c>
      <c r="AC538" s="100">
        <f t="shared" si="557"/>
        <v>0</v>
      </c>
      <c r="AD538" s="100">
        <f t="shared" si="558"/>
        <v>0</v>
      </c>
      <c r="AE538" s="100">
        <f t="shared" si="559"/>
        <v>0</v>
      </c>
      <c r="AF538" s="100">
        <f t="shared" si="560"/>
        <v>0</v>
      </c>
      <c r="AG538" s="100">
        <f t="shared" si="561"/>
        <v>0</v>
      </c>
      <c r="AH538" s="100">
        <f t="shared" si="562"/>
        <v>0</v>
      </c>
      <c r="AI538" s="109"/>
      <c r="AJ538" s="108">
        <f t="shared" si="563"/>
        <v>0</v>
      </c>
      <c r="AK538" s="108">
        <f t="shared" si="564"/>
        <v>0</v>
      </c>
      <c r="AL538" s="108">
        <f t="shared" si="565"/>
        <v>0</v>
      </c>
      <c r="AN538" s="100">
        <v>15</v>
      </c>
      <c r="AO538" s="100">
        <f t="shared" si="566"/>
        <v>0</v>
      </c>
      <c r="AP538" s="100">
        <f t="shared" si="567"/>
        <v>0</v>
      </c>
      <c r="AQ538" s="111" t="s">
        <v>7</v>
      </c>
      <c r="AV538" s="100">
        <f t="shared" si="568"/>
        <v>0</v>
      </c>
      <c r="AW538" s="100">
        <f t="shared" si="569"/>
        <v>0</v>
      </c>
      <c r="AX538" s="100">
        <f t="shared" si="570"/>
        <v>0</v>
      </c>
      <c r="AY538" s="110" t="s">
        <v>1722</v>
      </c>
      <c r="AZ538" s="110" t="s">
        <v>1730</v>
      </c>
      <c r="BA538" s="109" t="s">
        <v>1737</v>
      </c>
      <c r="BC538" s="100">
        <f t="shared" si="571"/>
        <v>0</v>
      </c>
      <c r="BD538" s="100">
        <f t="shared" si="572"/>
        <v>0</v>
      </c>
      <c r="BE538" s="100">
        <v>0</v>
      </c>
      <c r="BF538" s="100">
        <f>538</f>
        <v>538</v>
      </c>
      <c r="BH538" s="108">
        <f t="shared" si="573"/>
        <v>0</v>
      </c>
      <c r="BI538" s="108">
        <f t="shared" si="574"/>
        <v>0</v>
      </c>
      <c r="BJ538" s="108">
        <f t="shared" si="575"/>
        <v>0</v>
      </c>
    </row>
    <row r="539" spans="1:62" x14ac:dyDescent="0.2">
      <c r="A539" s="117" t="s">
        <v>489</v>
      </c>
      <c r="B539" s="117" t="s">
        <v>975</v>
      </c>
      <c r="C539" s="304" t="s">
        <v>1583</v>
      </c>
      <c r="D539" s="305"/>
      <c r="E539" s="305"/>
      <c r="F539" s="117" t="s">
        <v>1644</v>
      </c>
      <c r="G539" s="116">
        <v>1</v>
      </c>
      <c r="H539" s="159"/>
      <c r="I539" s="108">
        <f t="shared" si="552"/>
        <v>0</v>
      </c>
      <c r="J539" s="108">
        <f t="shared" si="553"/>
        <v>0</v>
      </c>
      <c r="K539" s="108">
        <f t="shared" si="554"/>
        <v>0</v>
      </c>
      <c r="L539" s="111"/>
      <c r="Z539" s="100">
        <f t="shared" si="555"/>
        <v>0</v>
      </c>
      <c r="AB539" s="100">
        <f t="shared" si="556"/>
        <v>0</v>
      </c>
      <c r="AC539" s="100">
        <f t="shared" si="557"/>
        <v>0</v>
      </c>
      <c r="AD539" s="100">
        <f t="shared" si="558"/>
        <v>0</v>
      </c>
      <c r="AE539" s="100">
        <f t="shared" si="559"/>
        <v>0</v>
      </c>
      <c r="AF539" s="100">
        <f t="shared" si="560"/>
        <v>0</v>
      </c>
      <c r="AG539" s="100">
        <f t="shared" si="561"/>
        <v>0</v>
      </c>
      <c r="AH539" s="100">
        <f t="shared" si="562"/>
        <v>0</v>
      </c>
      <c r="AI539" s="109"/>
      <c r="AJ539" s="108">
        <f t="shared" si="563"/>
        <v>0</v>
      </c>
      <c r="AK539" s="108">
        <f t="shared" si="564"/>
        <v>0</v>
      </c>
      <c r="AL539" s="108">
        <f t="shared" si="565"/>
        <v>0</v>
      </c>
      <c r="AN539" s="100">
        <v>15</v>
      </c>
      <c r="AO539" s="100">
        <f t="shared" si="566"/>
        <v>0</v>
      </c>
      <c r="AP539" s="100">
        <f t="shared" si="567"/>
        <v>0</v>
      </c>
      <c r="AQ539" s="111" t="s">
        <v>7</v>
      </c>
      <c r="AV539" s="100">
        <f t="shared" si="568"/>
        <v>0</v>
      </c>
      <c r="AW539" s="100">
        <f t="shared" si="569"/>
        <v>0</v>
      </c>
      <c r="AX539" s="100">
        <f t="shared" si="570"/>
        <v>0</v>
      </c>
      <c r="AY539" s="110" t="s">
        <v>1722</v>
      </c>
      <c r="AZ539" s="110" t="s">
        <v>1730</v>
      </c>
      <c r="BA539" s="109" t="s">
        <v>1737</v>
      </c>
      <c r="BC539" s="100">
        <f t="shared" si="571"/>
        <v>0</v>
      </c>
      <c r="BD539" s="100">
        <f t="shared" si="572"/>
        <v>0</v>
      </c>
      <c r="BE539" s="100">
        <v>0</v>
      </c>
      <c r="BF539" s="100">
        <f>539</f>
        <v>539</v>
      </c>
      <c r="BH539" s="108">
        <f t="shared" si="573"/>
        <v>0</v>
      </c>
      <c r="BI539" s="108">
        <f t="shared" si="574"/>
        <v>0</v>
      </c>
      <c r="BJ539" s="108">
        <f t="shared" si="575"/>
        <v>0</v>
      </c>
    </row>
    <row r="540" spans="1:62" x14ac:dyDescent="0.2">
      <c r="A540" s="117" t="s">
        <v>490</v>
      </c>
      <c r="B540" s="117" t="s">
        <v>993</v>
      </c>
      <c r="C540" s="304" t="s">
        <v>1581</v>
      </c>
      <c r="D540" s="305"/>
      <c r="E540" s="305"/>
      <c r="F540" s="117" t="s">
        <v>1644</v>
      </c>
      <c r="G540" s="116">
        <v>1</v>
      </c>
      <c r="H540" s="159"/>
      <c r="I540" s="108">
        <f t="shared" si="552"/>
        <v>0</v>
      </c>
      <c r="J540" s="108">
        <f t="shared" si="553"/>
        <v>0</v>
      </c>
      <c r="K540" s="108">
        <f t="shared" si="554"/>
        <v>0</v>
      </c>
      <c r="L540" s="111"/>
      <c r="Z540" s="100">
        <f t="shared" si="555"/>
        <v>0</v>
      </c>
      <c r="AB540" s="100">
        <f t="shared" si="556"/>
        <v>0</v>
      </c>
      <c r="AC540" s="100">
        <f t="shared" si="557"/>
        <v>0</v>
      </c>
      <c r="AD540" s="100">
        <f t="shared" si="558"/>
        <v>0</v>
      </c>
      <c r="AE540" s="100">
        <f t="shared" si="559"/>
        <v>0</v>
      </c>
      <c r="AF540" s="100">
        <f t="shared" si="560"/>
        <v>0</v>
      </c>
      <c r="AG540" s="100">
        <f t="shared" si="561"/>
        <v>0</v>
      </c>
      <c r="AH540" s="100">
        <f t="shared" si="562"/>
        <v>0</v>
      </c>
      <c r="AI540" s="109"/>
      <c r="AJ540" s="108">
        <f t="shared" si="563"/>
        <v>0</v>
      </c>
      <c r="AK540" s="108">
        <f t="shared" si="564"/>
        <v>0</v>
      </c>
      <c r="AL540" s="108">
        <f t="shared" si="565"/>
        <v>0</v>
      </c>
      <c r="AN540" s="100">
        <v>15</v>
      </c>
      <c r="AO540" s="100">
        <f t="shared" si="566"/>
        <v>0</v>
      </c>
      <c r="AP540" s="100">
        <f t="shared" si="567"/>
        <v>0</v>
      </c>
      <c r="AQ540" s="111" t="s">
        <v>7</v>
      </c>
      <c r="AV540" s="100">
        <f t="shared" si="568"/>
        <v>0</v>
      </c>
      <c r="AW540" s="100">
        <f t="shared" si="569"/>
        <v>0</v>
      </c>
      <c r="AX540" s="100">
        <f t="shared" si="570"/>
        <v>0</v>
      </c>
      <c r="AY540" s="110" t="s">
        <v>1722</v>
      </c>
      <c r="AZ540" s="110" t="s">
        <v>1730</v>
      </c>
      <c r="BA540" s="109" t="s">
        <v>1737</v>
      </c>
      <c r="BC540" s="100">
        <f t="shared" si="571"/>
        <v>0</v>
      </c>
      <c r="BD540" s="100">
        <f t="shared" si="572"/>
        <v>0</v>
      </c>
      <c r="BE540" s="100">
        <v>0</v>
      </c>
      <c r="BF540" s="100">
        <f>540</f>
        <v>540</v>
      </c>
      <c r="BH540" s="108">
        <f t="shared" si="573"/>
        <v>0</v>
      </c>
      <c r="BI540" s="108">
        <f t="shared" si="574"/>
        <v>0</v>
      </c>
      <c r="BJ540" s="108">
        <f t="shared" si="575"/>
        <v>0</v>
      </c>
    </row>
    <row r="541" spans="1:62" x14ac:dyDescent="0.2">
      <c r="A541" s="117" t="s">
        <v>491</v>
      </c>
      <c r="B541" s="117" t="s">
        <v>994</v>
      </c>
      <c r="C541" s="304" t="s">
        <v>1584</v>
      </c>
      <c r="D541" s="305"/>
      <c r="E541" s="305"/>
      <c r="F541" s="117" t="s">
        <v>1644</v>
      </c>
      <c r="G541" s="116">
        <v>2</v>
      </c>
      <c r="H541" s="159"/>
      <c r="I541" s="108">
        <f t="shared" si="552"/>
        <v>0</v>
      </c>
      <c r="J541" s="108">
        <f t="shared" si="553"/>
        <v>0</v>
      </c>
      <c r="K541" s="108">
        <f t="shared" si="554"/>
        <v>0</v>
      </c>
      <c r="L541" s="111"/>
      <c r="Z541" s="100">
        <f t="shared" si="555"/>
        <v>0</v>
      </c>
      <c r="AB541" s="100">
        <f t="shared" si="556"/>
        <v>0</v>
      </c>
      <c r="AC541" s="100">
        <f t="shared" si="557"/>
        <v>0</v>
      </c>
      <c r="AD541" s="100">
        <f t="shared" si="558"/>
        <v>0</v>
      </c>
      <c r="AE541" s="100">
        <f t="shared" si="559"/>
        <v>0</v>
      </c>
      <c r="AF541" s="100">
        <f t="shared" si="560"/>
        <v>0</v>
      </c>
      <c r="AG541" s="100">
        <f t="shared" si="561"/>
        <v>0</v>
      </c>
      <c r="AH541" s="100">
        <f t="shared" si="562"/>
        <v>0</v>
      </c>
      <c r="AI541" s="109"/>
      <c r="AJ541" s="108">
        <f t="shared" si="563"/>
        <v>0</v>
      </c>
      <c r="AK541" s="108">
        <f t="shared" si="564"/>
        <v>0</v>
      </c>
      <c r="AL541" s="108">
        <f t="shared" si="565"/>
        <v>0</v>
      </c>
      <c r="AN541" s="100">
        <v>15</v>
      </c>
      <c r="AO541" s="100">
        <f t="shared" si="566"/>
        <v>0</v>
      </c>
      <c r="AP541" s="100">
        <f t="shared" si="567"/>
        <v>0</v>
      </c>
      <c r="AQ541" s="111" t="s">
        <v>7</v>
      </c>
      <c r="AV541" s="100">
        <f t="shared" si="568"/>
        <v>0</v>
      </c>
      <c r="AW541" s="100">
        <f t="shared" si="569"/>
        <v>0</v>
      </c>
      <c r="AX541" s="100">
        <f t="shared" si="570"/>
        <v>0</v>
      </c>
      <c r="AY541" s="110" t="s">
        <v>1722</v>
      </c>
      <c r="AZ541" s="110" t="s">
        <v>1730</v>
      </c>
      <c r="BA541" s="109" t="s">
        <v>1737</v>
      </c>
      <c r="BC541" s="100">
        <f t="shared" si="571"/>
        <v>0</v>
      </c>
      <c r="BD541" s="100">
        <f t="shared" si="572"/>
        <v>0</v>
      </c>
      <c r="BE541" s="100">
        <v>0</v>
      </c>
      <c r="BF541" s="100">
        <f>541</f>
        <v>541</v>
      </c>
      <c r="BH541" s="108">
        <f t="shared" si="573"/>
        <v>0</v>
      </c>
      <c r="BI541" s="108">
        <f t="shared" si="574"/>
        <v>0</v>
      </c>
      <c r="BJ541" s="108">
        <f t="shared" si="575"/>
        <v>0</v>
      </c>
    </row>
    <row r="542" spans="1:62" x14ac:dyDescent="0.2">
      <c r="A542" s="117" t="s">
        <v>492</v>
      </c>
      <c r="B542" s="117" t="s">
        <v>995</v>
      </c>
      <c r="C542" s="304" t="s">
        <v>1585</v>
      </c>
      <c r="D542" s="305"/>
      <c r="E542" s="305"/>
      <c r="F542" s="117" t="s">
        <v>1644</v>
      </c>
      <c r="G542" s="116">
        <v>1</v>
      </c>
      <c r="H542" s="159"/>
      <c r="I542" s="108">
        <f t="shared" si="552"/>
        <v>0</v>
      </c>
      <c r="J542" s="108">
        <f t="shared" si="553"/>
        <v>0</v>
      </c>
      <c r="K542" s="108">
        <f t="shared" si="554"/>
        <v>0</v>
      </c>
      <c r="L542" s="111"/>
      <c r="Z542" s="100">
        <f t="shared" si="555"/>
        <v>0</v>
      </c>
      <c r="AB542" s="100">
        <f t="shared" si="556"/>
        <v>0</v>
      </c>
      <c r="AC542" s="100">
        <f t="shared" si="557"/>
        <v>0</v>
      </c>
      <c r="AD542" s="100">
        <f t="shared" si="558"/>
        <v>0</v>
      </c>
      <c r="AE542" s="100">
        <f t="shared" si="559"/>
        <v>0</v>
      </c>
      <c r="AF542" s="100">
        <f t="shared" si="560"/>
        <v>0</v>
      </c>
      <c r="AG542" s="100">
        <f t="shared" si="561"/>
        <v>0</v>
      </c>
      <c r="AH542" s="100">
        <f t="shared" si="562"/>
        <v>0</v>
      </c>
      <c r="AI542" s="109"/>
      <c r="AJ542" s="108">
        <f t="shared" si="563"/>
        <v>0</v>
      </c>
      <c r="AK542" s="108">
        <f t="shared" si="564"/>
        <v>0</v>
      </c>
      <c r="AL542" s="108">
        <f t="shared" si="565"/>
        <v>0</v>
      </c>
      <c r="AN542" s="100">
        <v>15</v>
      </c>
      <c r="AO542" s="100">
        <f t="shared" si="566"/>
        <v>0</v>
      </c>
      <c r="AP542" s="100">
        <f t="shared" si="567"/>
        <v>0</v>
      </c>
      <c r="AQ542" s="111" t="s">
        <v>7</v>
      </c>
      <c r="AV542" s="100">
        <f t="shared" si="568"/>
        <v>0</v>
      </c>
      <c r="AW542" s="100">
        <f t="shared" si="569"/>
        <v>0</v>
      </c>
      <c r="AX542" s="100">
        <f t="shared" si="570"/>
        <v>0</v>
      </c>
      <c r="AY542" s="110" t="s">
        <v>1722</v>
      </c>
      <c r="AZ542" s="110" t="s">
        <v>1730</v>
      </c>
      <c r="BA542" s="109" t="s">
        <v>1737</v>
      </c>
      <c r="BC542" s="100">
        <f t="shared" si="571"/>
        <v>0</v>
      </c>
      <c r="BD542" s="100">
        <f t="shared" si="572"/>
        <v>0</v>
      </c>
      <c r="BE542" s="100">
        <v>0</v>
      </c>
      <c r="BF542" s="100">
        <f>542</f>
        <v>542</v>
      </c>
      <c r="BH542" s="108">
        <f t="shared" si="573"/>
        <v>0</v>
      </c>
      <c r="BI542" s="108">
        <f t="shared" si="574"/>
        <v>0</v>
      </c>
      <c r="BJ542" s="108">
        <f t="shared" si="575"/>
        <v>0</v>
      </c>
    </row>
    <row r="543" spans="1:62" x14ac:dyDescent="0.2">
      <c r="A543" s="117" t="s">
        <v>493</v>
      </c>
      <c r="B543" s="117" t="s">
        <v>996</v>
      </c>
      <c r="C543" s="304" t="s">
        <v>1586</v>
      </c>
      <c r="D543" s="305"/>
      <c r="E543" s="305"/>
      <c r="F543" s="117" t="s">
        <v>1644</v>
      </c>
      <c r="G543" s="116">
        <v>1</v>
      </c>
      <c r="H543" s="159"/>
      <c r="I543" s="108">
        <f t="shared" si="552"/>
        <v>0</v>
      </c>
      <c r="J543" s="108">
        <f t="shared" si="553"/>
        <v>0</v>
      </c>
      <c r="K543" s="108">
        <f t="shared" si="554"/>
        <v>0</v>
      </c>
      <c r="L543" s="111"/>
      <c r="Z543" s="100">
        <f t="shared" si="555"/>
        <v>0</v>
      </c>
      <c r="AB543" s="100">
        <f t="shared" si="556"/>
        <v>0</v>
      </c>
      <c r="AC543" s="100">
        <f t="shared" si="557"/>
        <v>0</v>
      </c>
      <c r="AD543" s="100">
        <f t="shared" si="558"/>
        <v>0</v>
      </c>
      <c r="AE543" s="100">
        <f t="shared" si="559"/>
        <v>0</v>
      </c>
      <c r="AF543" s="100">
        <f t="shared" si="560"/>
        <v>0</v>
      </c>
      <c r="AG543" s="100">
        <f t="shared" si="561"/>
        <v>0</v>
      </c>
      <c r="AH543" s="100">
        <f t="shared" si="562"/>
        <v>0</v>
      </c>
      <c r="AI543" s="109"/>
      <c r="AJ543" s="108">
        <f t="shared" si="563"/>
        <v>0</v>
      </c>
      <c r="AK543" s="108">
        <f t="shared" si="564"/>
        <v>0</v>
      </c>
      <c r="AL543" s="108">
        <f t="shared" si="565"/>
        <v>0</v>
      </c>
      <c r="AN543" s="100">
        <v>15</v>
      </c>
      <c r="AO543" s="100">
        <f t="shared" si="566"/>
        <v>0</v>
      </c>
      <c r="AP543" s="100">
        <f t="shared" si="567"/>
        <v>0</v>
      </c>
      <c r="AQ543" s="111" t="s">
        <v>7</v>
      </c>
      <c r="AV543" s="100">
        <f t="shared" si="568"/>
        <v>0</v>
      </c>
      <c r="AW543" s="100">
        <f t="shared" si="569"/>
        <v>0</v>
      </c>
      <c r="AX543" s="100">
        <f t="shared" si="570"/>
        <v>0</v>
      </c>
      <c r="AY543" s="110" t="s">
        <v>1722</v>
      </c>
      <c r="AZ543" s="110" t="s">
        <v>1730</v>
      </c>
      <c r="BA543" s="109" t="s">
        <v>1737</v>
      </c>
      <c r="BC543" s="100">
        <f t="shared" si="571"/>
        <v>0</v>
      </c>
      <c r="BD543" s="100">
        <f t="shared" si="572"/>
        <v>0</v>
      </c>
      <c r="BE543" s="100">
        <v>0</v>
      </c>
      <c r="BF543" s="100">
        <f>543</f>
        <v>543</v>
      </c>
      <c r="BH543" s="108">
        <f t="shared" si="573"/>
        <v>0</v>
      </c>
      <c r="BI543" s="108">
        <f t="shared" si="574"/>
        <v>0</v>
      </c>
      <c r="BJ543" s="108">
        <f t="shared" si="575"/>
        <v>0</v>
      </c>
    </row>
    <row r="544" spans="1:62" x14ac:dyDescent="0.2">
      <c r="A544" s="117" t="s">
        <v>494</v>
      </c>
      <c r="B544" s="117" t="s">
        <v>996</v>
      </c>
      <c r="C544" s="304" t="s">
        <v>1587</v>
      </c>
      <c r="D544" s="305"/>
      <c r="E544" s="305"/>
      <c r="F544" s="117" t="s">
        <v>1644</v>
      </c>
      <c r="G544" s="116">
        <v>1</v>
      </c>
      <c r="H544" s="159"/>
      <c r="I544" s="108">
        <f t="shared" si="552"/>
        <v>0</v>
      </c>
      <c r="J544" s="108">
        <f t="shared" si="553"/>
        <v>0</v>
      </c>
      <c r="K544" s="108">
        <f t="shared" si="554"/>
        <v>0</v>
      </c>
      <c r="L544" s="111"/>
      <c r="Z544" s="100">
        <f t="shared" si="555"/>
        <v>0</v>
      </c>
      <c r="AB544" s="100">
        <f t="shared" si="556"/>
        <v>0</v>
      </c>
      <c r="AC544" s="100">
        <f t="shared" si="557"/>
        <v>0</v>
      </c>
      <c r="AD544" s="100">
        <f t="shared" si="558"/>
        <v>0</v>
      </c>
      <c r="AE544" s="100">
        <f t="shared" si="559"/>
        <v>0</v>
      </c>
      <c r="AF544" s="100">
        <f t="shared" si="560"/>
        <v>0</v>
      </c>
      <c r="AG544" s="100">
        <f t="shared" si="561"/>
        <v>0</v>
      </c>
      <c r="AH544" s="100">
        <f t="shared" si="562"/>
        <v>0</v>
      </c>
      <c r="AI544" s="109"/>
      <c r="AJ544" s="108">
        <f t="shared" si="563"/>
        <v>0</v>
      </c>
      <c r="AK544" s="108">
        <f t="shared" si="564"/>
        <v>0</v>
      </c>
      <c r="AL544" s="108">
        <f t="shared" si="565"/>
        <v>0</v>
      </c>
      <c r="AN544" s="100">
        <v>15</v>
      </c>
      <c r="AO544" s="100">
        <f t="shared" si="566"/>
        <v>0</v>
      </c>
      <c r="AP544" s="100">
        <f t="shared" si="567"/>
        <v>0</v>
      </c>
      <c r="AQ544" s="111" t="s">
        <v>7</v>
      </c>
      <c r="AV544" s="100">
        <f t="shared" si="568"/>
        <v>0</v>
      </c>
      <c r="AW544" s="100">
        <f t="shared" si="569"/>
        <v>0</v>
      </c>
      <c r="AX544" s="100">
        <f t="shared" si="570"/>
        <v>0</v>
      </c>
      <c r="AY544" s="110" t="s">
        <v>1722</v>
      </c>
      <c r="AZ544" s="110" t="s">
        <v>1730</v>
      </c>
      <c r="BA544" s="109" t="s">
        <v>1737</v>
      </c>
      <c r="BC544" s="100">
        <f t="shared" si="571"/>
        <v>0</v>
      </c>
      <c r="BD544" s="100">
        <f t="shared" si="572"/>
        <v>0</v>
      </c>
      <c r="BE544" s="100">
        <v>0</v>
      </c>
      <c r="BF544" s="100">
        <f>544</f>
        <v>544</v>
      </c>
      <c r="BH544" s="108">
        <f t="shared" si="573"/>
        <v>0</v>
      </c>
      <c r="BI544" s="108">
        <f t="shared" si="574"/>
        <v>0</v>
      </c>
      <c r="BJ544" s="108">
        <f t="shared" si="575"/>
        <v>0</v>
      </c>
    </row>
    <row r="545" spans="1:62" x14ac:dyDescent="0.2">
      <c r="A545" s="117" t="s">
        <v>495</v>
      </c>
      <c r="B545" s="117" t="s">
        <v>997</v>
      </c>
      <c r="C545" s="304" t="s">
        <v>1588</v>
      </c>
      <c r="D545" s="305"/>
      <c r="E545" s="305"/>
      <c r="F545" s="117" t="s">
        <v>1644</v>
      </c>
      <c r="G545" s="116">
        <v>1</v>
      </c>
      <c r="H545" s="159"/>
      <c r="I545" s="108">
        <f t="shared" si="552"/>
        <v>0</v>
      </c>
      <c r="J545" s="108">
        <f t="shared" si="553"/>
        <v>0</v>
      </c>
      <c r="K545" s="108">
        <f t="shared" si="554"/>
        <v>0</v>
      </c>
      <c r="L545" s="111"/>
      <c r="Z545" s="100">
        <f t="shared" si="555"/>
        <v>0</v>
      </c>
      <c r="AB545" s="100">
        <f t="shared" si="556"/>
        <v>0</v>
      </c>
      <c r="AC545" s="100">
        <f t="shared" si="557"/>
        <v>0</v>
      </c>
      <c r="AD545" s="100">
        <f t="shared" si="558"/>
        <v>0</v>
      </c>
      <c r="AE545" s="100">
        <f t="shared" si="559"/>
        <v>0</v>
      </c>
      <c r="AF545" s="100">
        <f t="shared" si="560"/>
        <v>0</v>
      </c>
      <c r="AG545" s="100">
        <f t="shared" si="561"/>
        <v>0</v>
      </c>
      <c r="AH545" s="100">
        <f t="shared" si="562"/>
        <v>0</v>
      </c>
      <c r="AI545" s="109"/>
      <c r="AJ545" s="108">
        <f t="shared" si="563"/>
        <v>0</v>
      </c>
      <c r="AK545" s="108">
        <f t="shared" si="564"/>
        <v>0</v>
      </c>
      <c r="AL545" s="108">
        <f t="shared" si="565"/>
        <v>0</v>
      </c>
      <c r="AN545" s="100">
        <v>15</v>
      </c>
      <c r="AO545" s="100">
        <f t="shared" si="566"/>
        <v>0</v>
      </c>
      <c r="AP545" s="100">
        <f t="shared" si="567"/>
        <v>0</v>
      </c>
      <c r="AQ545" s="111" t="s">
        <v>7</v>
      </c>
      <c r="AV545" s="100">
        <f t="shared" si="568"/>
        <v>0</v>
      </c>
      <c r="AW545" s="100">
        <f t="shared" si="569"/>
        <v>0</v>
      </c>
      <c r="AX545" s="100">
        <f t="shared" si="570"/>
        <v>0</v>
      </c>
      <c r="AY545" s="110" t="s">
        <v>1722</v>
      </c>
      <c r="AZ545" s="110" t="s">
        <v>1730</v>
      </c>
      <c r="BA545" s="109" t="s">
        <v>1737</v>
      </c>
      <c r="BC545" s="100">
        <f t="shared" si="571"/>
        <v>0</v>
      </c>
      <c r="BD545" s="100">
        <f t="shared" si="572"/>
        <v>0</v>
      </c>
      <c r="BE545" s="100">
        <v>0</v>
      </c>
      <c r="BF545" s="100">
        <f>545</f>
        <v>545</v>
      </c>
      <c r="BH545" s="108">
        <f t="shared" si="573"/>
        <v>0</v>
      </c>
      <c r="BI545" s="108">
        <f t="shared" si="574"/>
        <v>0</v>
      </c>
      <c r="BJ545" s="108">
        <f t="shared" si="575"/>
        <v>0</v>
      </c>
    </row>
    <row r="546" spans="1:62" x14ac:dyDescent="0.2">
      <c r="A546" s="117" t="s">
        <v>496</v>
      </c>
      <c r="B546" s="117" t="s">
        <v>997</v>
      </c>
      <c r="C546" s="304" t="s">
        <v>1589</v>
      </c>
      <c r="D546" s="305"/>
      <c r="E546" s="305"/>
      <c r="F546" s="117" t="s">
        <v>1644</v>
      </c>
      <c r="G546" s="116">
        <v>1</v>
      </c>
      <c r="H546" s="159"/>
      <c r="I546" s="108">
        <f t="shared" si="552"/>
        <v>0</v>
      </c>
      <c r="J546" s="108">
        <f t="shared" si="553"/>
        <v>0</v>
      </c>
      <c r="K546" s="108">
        <f t="shared" si="554"/>
        <v>0</v>
      </c>
      <c r="L546" s="111"/>
      <c r="Z546" s="100">
        <f t="shared" si="555"/>
        <v>0</v>
      </c>
      <c r="AB546" s="100">
        <f t="shared" si="556"/>
        <v>0</v>
      </c>
      <c r="AC546" s="100">
        <f t="shared" si="557"/>
        <v>0</v>
      </c>
      <c r="AD546" s="100">
        <f t="shared" si="558"/>
        <v>0</v>
      </c>
      <c r="AE546" s="100">
        <f t="shared" si="559"/>
        <v>0</v>
      </c>
      <c r="AF546" s="100">
        <f t="shared" si="560"/>
        <v>0</v>
      </c>
      <c r="AG546" s="100">
        <f t="shared" si="561"/>
        <v>0</v>
      </c>
      <c r="AH546" s="100">
        <f t="shared" si="562"/>
        <v>0</v>
      </c>
      <c r="AI546" s="109"/>
      <c r="AJ546" s="108">
        <f t="shared" si="563"/>
        <v>0</v>
      </c>
      <c r="AK546" s="108">
        <f t="shared" si="564"/>
        <v>0</v>
      </c>
      <c r="AL546" s="108">
        <f t="shared" si="565"/>
        <v>0</v>
      </c>
      <c r="AN546" s="100">
        <v>15</v>
      </c>
      <c r="AO546" s="100">
        <f t="shared" si="566"/>
        <v>0</v>
      </c>
      <c r="AP546" s="100">
        <f t="shared" si="567"/>
        <v>0</v>
      </c>
      <c r="AQ546" s="111" t="s">
        <v>7</v>
      </c>
      <c r="AV546" s="100">
        <f t="shared" si="568"/>
        <v>0</v>
      </c>
      <c r="AW546" s="100">
        <f t="shared" si="569"/>
        <v>0</v>
      </c>
      <c r="AX546" s="100">
        <f t="shared" si="570"/>
        <v>0</v>
      </c>
      <c r="AY546" s="110" t="s">
        <v>1722</v>
      </c>
      <c r="AZ546" s="110" t="s">
        <v>1730</v>
      </c>
      <c r="BA546" s="109" t="s">
        <v>1737</v>
      </c>
      <c r="BC546" s="100">
        <f t="shared" si="571"/>
        <v>0</v>
      </c>
      <c r="BD546" s="100">
        <f t="shared" si="572"/>
        <v>0</v>
      </c>
      <c r="BE546" s="100">
        <v>0</v>
      </c>
      <c r="BF546" s="100">
        <f>546</f>
        <v>546</v>
      </c>
      <c r="BH546" s="108">
        <f t="shared" si="573"/>
        <v>0</v>
      </c>
      <c r="BI546" s="108">
        <f t="shared" si="574"/>
        <v>0</v>
      </c>
      <c r="BJ546" s="108">
        <f t="shared" si="575"/>
        <v>0</v>
      </c>
    </row>
    <row r="547" spans="1:62" x14ac:dyDescent="0.2">
      <c r="A547" s="117" t="s">
        <v>497</v>
      </c>
      <c r="B547" s="117" t="s">
        <v>977</v>
      </c>
      <c r="C547" s="304" t="s">
        <v>1590</v>
      </c>
      <c r="D547" s="305"/>
      <c r="E547" s="305"/>
      <c r="F547" s="117" t="s">
        <v>1644</v>
      </c>
      <c r="G547" s="116">
        <v>1</v>
      </c>
      <c r="H547" s="159"/>
      <c r="I547" s="108">
        <f t="shared" si="552"/>
        <v>0</v>
      </c>
      <c r="J547" s="108">
        <f t="shared" si="553"/>
        <v>0</v>
      </c>
      <c r="K547" s="108">
        <f t="shared" si="554"/>
        <v>0</v>
      </c>
      <c r="L547" s="111"/>
      <c r="Z547" s="100">
        <f t="shared" si="555"/>
        <v>0</v>
      </c>
      <c r="AB547" s="100">
        <f t="shared" si="556"/>
        <v>0</v>
      </c>
      <c r="AC547" s="100">
        <f t="shared" si="557"/>
        <v>0</v>
      </c>
      <c r="AD547" s="100">
        <f t="shared" si="558"/>
        <v>0</v>
      </c>
      <c r="AE547" s="100">
        <f t="shared" si="559"/>
        <v>0</v>
      </c>
      <c r="AF547" s="100">
        <f t="shared" si="560"/>
        <v>0</v>
      </c>
      <c r="AG547" s="100">
        <f t="shared" si="561"/>
        <v>0</v>
      </c>
      <c r="AH547" s="100">
        <f t="shared" si="562"/>
        <v>0</v>
      </c>
      <c r="AI547" s="109"/>
      <c r="AJ547" s="108">
        <f t="shared" si="563"/>
        <v>0</v>
      </c>
      <c r="AK547" s="108">
        <f t="shared" si="564"/>
        <v>0</v>
      </c>
      <c r="AL547" s="108">
        <f t="shared" si="565"/>
        <v>0</v>
      </c>
      <c r="AN547" s="100">
        <v>15</v>
      </c>
      <c r="AO547" s="100">
        <f t="shared" si="566"/>
        <v>0</v>
      </c>
      <c r="AP547" s="100">
        <f t="shared" si="567"/>
        <v>0</v>
      </c>
      <c r="AQ547" s="111" t="s">
        <v>7</v>
      </c>
      <c r="AV547" s="100">
        <f t="shared" si="568"/>
        <v>0</v>
      </c>
      <c r="AW547" s="100">
        <f t="shared" si="569"/>
        <v>0</v>
      </c>
      <c r="AX547" s="100">
        <f t="shared" si="570"/>
        <v>0</v>
      </c>
      <c r="AY547" s="110" t="s">
        <v>1722</v>
      </c>
      <c r="AZ547" s="110" t="s">
        <v>1730</v>
      </c>
      <c r="BA547" s="109" t="s">
        <v>1737</v>
      </c>
      <c r="BC547" s="100">
        <f t="shared" si="571"/>
        <v>0</v>
      </c>
      <c r="BD547" s="100">
        <f t="shared" si="572"/>
        <v>0</v>
      </c>
      <c r="BE547" s="100">
        <v>0</v>
      </c>
      <c r="BF547" s="100">
        <f>547</f>
        <v>547</v>
      </c>
      <c r="BH547" s="108">
        <f t="shared" si="573"/>
        <v>0</v>
      </c>
      <c r="BI547" s="108">
        <f t="shared" si="574"/>
        <v>0</v>
      </c>
      <c r="BJ547" s="108">
        <f t="shared" si="575"/>
        <v>0</v>
      </c>
    </row>
    <row r="548" spans="1:62" x14ac:dyDescent="0.2">
      <c r="A548" s="117" t="s">
        <v>498</v>
      </c>
      <c r="B548" s="117" t="s">
        <v>998</v>
      </c>
      <c r="C548" s="304" t="s">
        <v>1591</v>
      </c>
      <c r="D548" s="305"/>
      <c r="E548" s="305"/>
      <c r="F548" s="117" t="s">
        <v>1644</v>
      </c>
      <c r="G548" s="116">
        <v>1</v>
      </c>
      <c r="H548" s="159"/>
      <c r="I548" s="108">
        <f t="shared" ref="I548:I579" si="576">G548*AO548</f>
        <v>0</v>
      </c>
      <c r="J548" s="108">
        <f t="shared" ref="J548:J579" si="577">G548*AP548</f>
        <v>0</v>
      </c>
      <c r="K548" s="108">
        <f t="shared" ref="K548:K579" si="578">G548*H548</f>
        <v>0</v>
      </c>
      <c r="L548" s="111"/>
      <c r="Z548" s="100">
        <f t="shared" ref="Z548:Z579" si="579">IF(AQ548="5",BJ548,0)</f>
        <v>0</v>
      </c>
      <c r="AB548" s="100">
        <f t="shared" ref="AB548:AB579" si="580">IF(AQ548="1",BH548,0)</f>
        <v>0</v>
      </c>
      <c r="AC548" s="100">
        <f t="shared" ref="AC548:AC579" si="581">IF(AQ548="1",BI548,0)</f>
        <v>0</v>
      </c>
      <c r="AD548" s="100">
        <f t="shared" ref="AD548:AD579" si="582">IF(AQ548="7",BH548,0)</f>
        <v>0</v>
      </c>
      <c r="AE548" s="100">
        <f t="shared" ref="AE548:AE579" si="583">IF(AQ548="7",BI548,0)</f>
        <v>0</v>
      </c>
      <c r="AF548" s="100">
        <f t="shared" ref="AF548:AF579" si="584">IF(AQ548="2",BH548,0)</f>
        <v>0</v>
      </c>
      <c r="AG548" s="100">
        <f t="shared" ref="AG548:AG579" si="585">IF(AQ548="2",BI548,0)</f>
        <v>0</v>
      </c>
      <c r="AH548" s="100">
        <f t="shared" ref="AH548:AH579" si="586">IF(AQ548="0",BJ548,0)</f>
        <v>0</v>
      </c>
      <c r="AI548" s="109"/>
      <c r="AJ548" s="108">
        <f t="shared" ref="AJ548:AJ579" si="587">IF(AN548=0,K548,0)</f>
        <v>0</v>
      </c>
      <c r="AK548" s="108">
        <f t="shared" ref="AK548:AK579" si="588">IF(AN548=15,K548,0)</f>
        <v>0</v>
      </c>
      <c r="AL548" s="108">
        <f t="shared" ref="AL548:AL579" si="589">IF(AN548=21,K548,0)</f>
        <v>0</v>
      </c>
      <c r="AN548" s="100">
        <v>15</v>
      </c>
      <c r="AO548" s="100">
        <f t="shared" ref="AO548:AO579" si="590">H548*0</f>
        <v>0</v>
      </c>
      <c r="AP548" s="100">
        <f t="shared" ref="AP548:AP579" si="591">H548*(1-0)</f>
        <v>0</v>
      </c>
      <c r="AQ548" s="111" t="s">
        <v>7</v>
      </c>
      <c r="AV548" s="100">
        <f t="shared" ref="AV548:AV579" si="592">AW548+AX548</f>
        <v>0</v>
      </c>
      <c r="AW548" s="100">
        <f t="shared" ref="AW548:AW579" si="593">G548*AO548</f>
        <v>0</v>
      </c>
      <c r="AX548" s="100">
        <f t="shared" ref="AX548:AX579" si="594">G548*AP548</f>
        <v>0</v>
      </c>
      <c r="AY548" s="110" t="s">
        <v>1722</v>
      </c>
      <c r="AZ548" s="110" t="s">
        <v>1730</v>
      </c>
      <c r="BA548" s="109" t="s">
        <v>1737</v>
      </c>
      <c r="BC548" s="100">
        <f t="shared" ref="BC548:BC579" si="595">AW548+AX548</f>
        <v>0</v>
      </c>
      <c r="BD548" s="100">
        <f t="shared" ref="BD548:BD579" si="596">H548/(100-BE548)*100</f>
        <v>0</v>
      </c>
      <c r="BE548" s="100">
        <v>0</v>
      </c>
      <c r="BF548" s="100">
        <f>548</f>
        <v>548</v>
      </c>
      <c r="BH548" s="108">
        <f t="shared" ref="BH548:BH579" si="597">G548*AO548</f>
        <v>0</v>
      </c>
      <c r="BI548" s="108">
        <f t="shared" ref="BI548:BI579" si="598">G548*AP548</f>
        <v>0</v>
      </c>
      <c r="BJ548" s="108">
        <f t="shared" ref="BJ548:BJ579" si="599">G548*H548</f>
        <v>0</v>
      </c>
    </row>
    <row r="549" spans="1:62" x14ac:dyDescent="0.2">
      <c r="A549" s="117" t="s">
        <v>499</v>
      </c>
      <c r="B549" s="117" t="s">
        <v>999</v>
      </c>
      <c r="C549" s="304" t="s">
        <v>1586</v>
      </c>
      <c r="D549" s="305"/>
      <c r="E549" s="305"/>
      <c r="F549" s="117" t="s">
        <v>1644</v>
      </c>
      <c r="G549" s="116">
        <v>2</v>
      </c>
      <c r="H549" s="159"/>
      <c r="I549" s="108">
        <f t="shared" si="576"/>
        <v>0</v>
      </c>
      <c r="J549" s="108">
        <f t="shared" si="577"/>
        <v>0</v>
      </c>
      <c r="K549" s="108">
        <f t="shared" si="578"/>
        <v>0</v>
      </c>
      <c r="L549" s="111"/>
      <c r="Z549" s="100">
        <f t="shared" si="579"/>
        <v>0</v>
      </c>
      <c r="AB549" s="100">
        <f t="shared" si="580"/>
        <v>0</v>
      </c>
      <c r="AC549" s="100">
        <f t="shared" si="581"/>
        <v>0</v>
      </c>
      <c r="AD549" s="100">
        <f t="shared" si="582"/>
        <v>0</v>
      </c>
      <c r="AE549" s="100">
        <f t="shared" si="583"/>
        <v>0</v>
      </c>
      <c r="AF549" s="100">
        <f t="shared" si="584"/>
        <v>0</v>
      </c>
      <c r="AG549" s="100">
        <f t="shared" si="585"/>
        <v>0</v>
      </c>
      <c r="AH549" s="100">
        <f t="shared" si="586"/>
        <v>0</v>
      </c>
      <c r="AI549" s="109"/>
      <c r="AJ549" s="108">
        <f t="shared" si="587"/>
        <v>0</v>
      </c>
      <c r="AK549" s="108">
        <f t="shared" si="588"/>
        <v>0</v>
      </c>
      <c r="AL549" s="108">
        <f t="shared" si="589"/>
        <v>0</v>
      </c>
      <c r="AN549" s="100">
        <v>15</v>
      </c>
      <c r="AO549" s="100">
        <f t="shared" si="590"/>
        <v>0</v>
      </c>
      <c r="AP549" s="100">
        <f t="shared" si="591"/>
        <v>0</v>
      </c>
      <c r="AQ549" s="111" t="s">
        <v>7</v>
      </c>
      <c r="AV549" s="100">
        <f t="shared" si="592"/>
        <v>0</v>
      </c>
      <c r="AW549" s="100">
        <f t="shared" si="593"/>
        <v>0</v>
      </c>
      <c r="AX549" s="100">
        <f t="shared" si="594"/>
        <v>0</v>
      </c>
      <c r="AY549" s="110" t="s">
        <v>1722</v>
      </c>
      <c r="AZ549" s="110" t="s">
        <v>1730</v>
      </c>
      <c r="BA549" s="109" t="s">
        <v>1737</v>
      </c>
      <c r="BC549" s="100">
        <f t="shared" si="595"/>
        <v>0</v>
      </c>
      <c r="BD549" s="100">
        <f t="shared" si="596"/>
        <v>0</v>
      </c>
      <c r="BE549" s="100">
        <v>0</v>
      </c>
      <c r="BF549" s="100">
        <f>549</f>
        <v>549</v>
      </c>
      <c r="BH549" s="108">
        <f t="shared" si="597"/>
        <v>0</v>
      </c>
      <c r="BI549" s="108">
        <f t="shared" si="598"/>
        <v>0</v>
      </c>
      <c r="BJ549" s="108">
        <f t="shared" si="599"/>
        <v>0</v>
      </c>
    </row>
    <row r="550" spans="1:62" x14ac:dyDescent="0.2">
      <c r="A550" s="117" t="s">
        <v>500</v>
      </c>
      <c r="B550" s="117" t="s">
        <v>999</v>
      </c>
      <c r="C550" s="304" t="s">
        <v>1587</v>
      </c>
      <c r="D550" s="305"/>
      <c r="E550" s="305"/>
      <c r="F550" s="117" t="s">
        <v>1644</v>
      </c>
      <c r="G550" s="116">
        <v>2</v>
      </c>
      <c r="H550" s="159"/>
      <c r="I550" s="108">
        <f t="shared" si="576"/>
        <v>0</v>
      </c>
      <c r="J550" s="108">
        <f t="shared" si="577"/>
        <v>0</v>
      </c>
      <c r="K550" s="108">
        <f t="shared" si="578"/>
        <v>0</v>
      </c>
      <c r="L550" s="111"/>
      <c r="Z550" s="100">
        <f t="shared" si="579"/>
        <v>0</v>
      </c>
      <c r="AB550" s="100">
        <f t="shared" si="580"/>
        <v>0</v>
      </c>
      <c r="AC550" s="100">
        <f t="shared" si="581"/>
        <v>0</v>
      </c>
      <c r="AD550" s="100">
        <f t="shared" si="582"/>
        <v>0</v>
      </c>
      <c r="AE550" s="100">
        <f t="shared" si="583"/>
        <v>0</v>
      </c>
      <c r="AF550" s="100">
        <f t="shared" si="584"/>
        <v>0</v>
      </c>
      <c r="AG550" s="100">
        <f t="shared" si="585"/>
        <v>0</v>
      </c>
      <c r="AH550" s="100">
        <f t="shared" si="586"/>
        <v>0</v>
      </c>
      <c r="AI550" s="109"/>
      <c r="AJ550" s="108">
        <f t="shared" si="587"/>
        <v>0</v>
      </c>
      <c r="AK550" s="108">
        <f t="shared" si="588"/>
        <v>0</v>
      </c>
      <c r="AL550" s="108">
        <f t="shared" si="589"/>
        <v>0</v>
      </c>
      <c r="AN550" s="100">
        <v>15</v>
      </c>
      <c r="AO550" s="100">
        <f t="shared" si="590"/>
        <v>0</v>
      </c>
      <c r="AP550" s="100">
        <f t="shared" si="591"/>
        <v>0</v>
      </c>
      <c r="AQ550" s="111" t="s">
        <v>7</v>
      </c>
      <c r="AV550" s="100">
        <f t="shared" si="592"/>
        <v>0</v>
      </c>
      <c r="AW550" s="100">
        <f t="shared" si="593"/>
        <v>0</v>
      </c>
      <c r="AX550" s="100">
        <f t="shared" si="594"/>
        <v>0</v>
      </c>
      <c r="AY550" s="110" t="s">
        <v>1722</v>
      </c>
      <c r="AZ550" s="110" t="s">
        <v>1730</v>
      </c>
      <c r="BA550" s="109" t="s">
        <v>1737</v>
      </c>
      <c r="BC550" s="100">
        <f t="shared" si="595"/>
        <v>0</v>
      </c>
      <c r="BD550" s="100">
        <f t="shared" si="596"/>
        <v>0</v>
      </c>
      <c r="BE550" s="100">
        <v>0</v>
      </c>
      <c r="BF550" s="100">
        <f>550</f>
        <v>550</v>
      </c>
      <c r="BH550" s="108">
        <f t="shared" si="597"/>
        <v>0</v>
      </c>
      <c r="BI550" s="108">
        <f t="shared" si="598"/>
        <v>0</v>
      </c>
      <c r="BJ550" s="108">
        <f t="shared" si="599"/>
        <v>0</v>
      </c>
    </row>
    <row r="551" spans="1:62" x14ac:dyDescent="0.2">
      <c r="A551" s="117" t="s">
        <v>501</v>
      </c>
      <c r="B551" s="117" t="s">
        <v>1000</v>
      </c>
      <c r="C551" s="304" t="s">
        <v>1581</v>
      </c>
      <c r="D551" s="305"/>
      <c r="E551" s="305"/>
      <c r="F551" s="117" t="s">
        <v>1644</v>
      </c>
      <c r="G551" s="116">
        <v>1</v>
      </c>
      <c r="H551" s="159"/>
      <c r="I551" s="108">
        <f t="shared" si="576"/>
        <v>0</v>
      </c>
      <c r="J551" s="108">
        <f t="shared" si="577"/>
        <v>0</v>
      </c>
      <c r="K551" s="108">
        <f t="shared" si="578"/>
        <v>0</v>
      </c>
      <c r="L551" s="111"/>
      <c r="Z551" s="100">
        <f t="shared" si="579"/>
        <v>0</v>
      </c>
      <c r="AB551" s="100">
        <f t="shared" si="580"/>
        <v>0</v>
      </c>
      <c r="AC551" s="100">
        <f t="shared" si="581"/>
        <v>0</v>
      </c>
      <c r="AD551" s="100">
        <f t="shared" si="582"/>
        <v>0</v>
      </c>
      <c r="AE551" s="100">
        <f t="shared" si="583"/>
        <v>0</v>
      </c>
      <c r="AF551" s="100">
        <f t="shared" si="584"/>
        <v>0</v>
      </c>
      <c r="AG551" s="100">
        <f t="shared" si="585"/>
        <v>0</v>
      </c>
      <c r="AH551" s="100">
        <f t="shared" si="586"/>
        <v>0</v>
      </c>
      <c r="AI551" s="109"/>
      <c r="AJ551" s="108">
        <f t="shared" si="587"/>
        <v>0</v>
      </c>
      <c r="AK551" s="108">
        <f t="shared" si="588"/>
        <v>0</v>
      </c>
      <c r="AL551" s="108">
        <f t="shared" si="589"/>
        <v>0</v>
      </c>
      <c r="AN551" s="100">
        <v>15</v>
      </c>
      <c r="AO551" s="100">
        <f t="shared" si="590"/>
        <v>0</v>
      </c>
      <c r="AP551" s="100">
        <f t="shared" si="591"/>
        <v>0</v>
      </c>
      <c r="AQ551" s="111" t="s">
        <v>7</v>
      </c>
      <c r="AV551" s="100">
        <f t="shared" si="592"/>
        <v>0</v>
      </c>
      <c r="AW551" s="100">
        <f t="shared" si="593"/>
        <v>0</v>
      </c>
      <c r="AX551" s="100">
        <f t="shared" si="594"/>
        <v>0</v>
      </c>
      <c r="AY551" s="110" t="s">
        <v>1722</v>
      </c>
      <c r="AZ551" s="110" t="s">
        <v>1730</v>
      </c>
      <c r="BA551" s="109" t="s">
        <v>1737</v>
      </c>
      <c r="BC551" s="100">
        <f t="shared" si="595"/>
        <v>0</v>
      </c>
      <c r="BD551" s="100">
        <f t="shared" si="596"/>
        <v>0</v>
      </c>
      <c r="BE551" s="100">
        <v>0</v>
      </c>
      <c r="BF551" s="100">
        <f>551</f>
        <v>551</v>
      </c>
      <c r="BH551" s="108">
        <f t="shared" si="597"/>
        <v>0</v>
      </c>
      <c r="BI551" s="108">
        <f t="shared" si="598"/>
        <v>0</v>
      </c>
      <c r="BJ551" s="108">
        <f t="shared" si="599"/>
        <v>0</v>
      </c>
    </row>
    <row r="552" spans="1:62" x14ac:dyDescent="0.2">
      <c r="A552" s="117" t="s">
        <v>502</v>
      </c>
      <c r="B552" s="117" t="s">
        <v>1001</v>
      </c>
      <c r="C552" s="304" t="s">
        <v>1592</v>
      </c>
      <c r="D552" s="305"/>
      <c r="E552" s="305"/>
      <c r="F552" s="117" t="s">
        <v>1644</v>
      </c>
      <c r="G552" s="116">
        <v>1</v>
      </c>
      <c r="H552" s="159"/>
      <c r="I552" s="108">
        <f t="shared" si="576"/>
        <v>0</v>
      </c>
      <c r="J552" s="108">
        <f t="shared" si="577"/>
        <v>0</v>
      </c>
      <c r="K552" s="108">
        <f t="shared" si="578"/>
        <v>0</v>
      </c>
      <c r="L552" s="111"/>
      <c r="Z552" s="100">
        <f t="shared" si="579"/>
        <v>0</v>
      </c>
      <c r="AB552" s="100">
        <f t="shared" si="580"/>
        <v>0</v>
      </c>
      <c r="AC552" s="100">
        <f t="shared" si="581"/>
        <v>0</v>
      </c>
      <c r="AD552" s="100">
        <f t="shared" si="582"/>
        <v>0</v>
      </c>
      <c r="AE552" s="100">
        <f t="shared" si="583"/>
        <v>0</v>
      </c>
      <c r="AF552" s="100">
        <f t="shared" si="584"/>
        <v>0</v>
      </c>
      <c r="AG552" s="100">
        <f t="shared" si="585"/>
        <v>0</v>
      </c>
      <c r="AH552" s="100">
        <f t="shared" si="586"/>
        <v>0</v>
      </c>
      <c r="AI552" s="109"/>
      <c r="AJ552" s="108">
        <f t="shared" si="587"/>
        <v>0</v>
      </c>
      <c r="AK552" s="108">
        <f t="shared" si="588"/>
        <v>0</v>
      </c>
      <c r="AL552" s="108">
        <f t="shared" si="589"/>
        <v>0</v>
      </c>
      <c r="AN552" s="100">
        <v>15</v>
      </c>
      <c r="AO552" s="100">
        <f t="shared" si="590"/>
        <v>0</v>
      </c>
      <c r="AP552" s="100">
        <f t="shared" si="591"/>
        <v>0</v>
      </c>
      <c r="AQ552" s="111" t="s">
        <v>7</v>
      </c>
      <c r="AV552" s="100">
        <f t="shared" si="592"/>
        <v>0</v>
      </c>
      <c r="AW552" s="100">
        <f t="shared" si="593"/>
        <v>0</v>
      </c>
      <c r="AX552" s="100">
        <f t="shared" si="594"/>
        <v>0</v>
      </c>
      <c r="AY552" s="110" t="s">
        <v>1722</v>
      </c>
      <c r="AZ552" s="110" t="s">
        <v>1730</v>
      </c>
      <c r="BA552" s="109" t="s">
        <v>1737</v>
      </c>
      <c r="BC552" s="100">
        <f t="shared" si="595"/>
        <v>0</v>
      </c>
      <c r="BD552" s="100">
        <f t="shared" si="596"/>
        <v>0</v>
      </c>
      <c r="BE552" s="100">
        <v>0</v>
      </c>
      <c r="BF552" s="100">
        <f>552</f>
        <v>552</v>
      </c>
      <c r="BH552" s="108">
        <f t="shared" si="597"/>
        <v>0</v>
      </c>
      <c r="BI552" s="108">
        <f t="shared" si="598"/>
        <v>0</v>
      </c>
      <c r="BJ552" s="108">
        <f t="shared" si="599"/>
        <v>0</v>
      </c>
    </row>
    <row r="553" spans="1:62" x14ac:dyDescent="0.2">
      <c r="A553" s="117" t="s">
        <v>503</v>
      </c>
      <c r="B553" s="117" t="s">
        <v>1002</v>
      </c>
      <c r="C553" s="304" t="s">
        <v>1593</v>
      </c>
      <c r="D553" s="305"/>
      <c r="E553" s="305"/>
      <c r="F553" s="117" t="s">
        <v>1644</v>
      </c>
      <c r="G553" s="116">
        <v>1</v>
      </c>
      <c r="H553" s="159"/>
      <c r="I553" s="108">
        <f t="shared" si="576"/>
        <v>0</v>
      </c>
      <c r="J553" s="108">
        <f t="shared" si="577"/>
        <v>0</v>
      </c>
      <c r="K553" s="108">
        <f t="shared" si="578"/>
        <v>0</v>
      </c>
      <c r="L553" s="111"/>
      <c r="Z553" s="100">
        <f t="shared" si="579"/>
        <v>0</v>
      </c>
      <c r="AB553" s="100">
        <f t="shared" si="580"/>
        <v>0</v>
      </c>
      <c r="AC553" s="100">
        <f t="shared" si="581"/>
        <v>0</v>
      </c>
      <c r="AD553" s="100">
        <f t="shared" si="582"/>
        <v>0</v>
      </c>
      <c r="AE553" s="100">
        <f t="shared" si="583"/>
        <v>0</v>
      </c>
      <c r="AF553" s="100">
        <f t="shared" si="584"/>
        <v>0</v>
      </c>
      <c r="AG553" s="100">
        <f t="shared" si="585"/>
        <v>0</v>
      </c>
      <c r="AH553" s="100">
        <f t="shared" si="586"/>
        <v>0</v>
      </c>
      <c r="AI553" s="109"/>
      <c r="AJ553" s="108">
        <f t="shared" si="587"/>
        <v>0</v>
      </c>
      <c r="AK553" s="108">
        <f t="shared" si="588"/>
        <v>0</v>
      </c>
      <c r="AL553" s="108">
        <f t="shared" si="589"/>
        <v>0</v>
      </c>
      <c r="AN553" s="100">
        <v>15</v>
      </c>
      <c r="AO553" s="100">
        <f t="shared" si="590"/>
        <v>0</v>
      </c>
      <c r="AP553" s="100">
        <f t="shared" si="591"/>
        <v>0</v>
      </c>
      <c r="AQ553" s="111" t="s">
        <v>7</v>
      </c>
      <c r="AV553" s="100">
        <f t="shared" si="592"/>
        <v>0</v>
      </c>
      <c r="AW553" s="100">
        <f t="shared" si="593"/>
        <v>0</v>
      </c>
      <c r="AX553" s="100">
        <f t="shared" si="594"/>
        <v>0</v>
      </c>
      <c r="AY553" s="110" t="s">
        <v>1722</v>
      </c>
      <c r="AZ553" s="110" t="s">
        <v>1730</v>
      </c>
      <c r="BA553" s="109" t="s">
        <v>1737</v>
      </c>
      <c r="BC553" s="100">
        <f t="shared" si="595"/>
        <v>0</v>
      </c>
      <c r="BD553" s="100">
        <f t="shared" si="596"/>
        <v>0</v>
      </c>
      <c r="BE553" s="100">
        <v>0</v>
      </c>
      <c r="BF553" s="100">
        <f>553</f>
        <v>553</v>
      </c>
      <c r="BH553" s="108">
        <f t="shared" si="597"/>
        <v>0</v>
      </c>
      <c r="BI553" s="108">
        <f t="shared" si="598"/>
        <v>0</v>
      </c>
      <c r="BJ553" s="108">
        <f t="shared" si="599"/>
        <v>0</v>
      </c>
    </row>
    <row r="554" spans="1:62" x14ac:dyDescent="0.2">
      <c r="A554" s="117" t="s">
        <v>504</v>
      </c>
      <c r="B554" s="117" t="s">
        <v>1003</v>
      </c>
      <c r="C554" s="304" t="s">
        <v>1594</v>
      </c>
      <c r="D554" s="305"/>
      <c r="E554" s="305"/>
      <c r="F554" s="117" t="s">
        <v>1644</v>
      </c>
      <c r="G554" s="116">
        <v>1</v>
      </c>
      <c r="H554" s="159"/>
      <c r="I554" s="108">
        <f t="shared" si="576"/>
        <v>0</v>
      </c>
      <c r="J554" s="108">
        <f t="shared" si="577"/>
        <v>0</v>
      </c>
      <c r="K554" s="108">
        <f t="shared" si="578"/>
        <v>0</v>
      </c>
      <c r="L554" s="111"/>
      <c r="Z554" s="100">
        <f t="shared" si="579"/>
        <v>0</v>
      </c>
      <c r="AB554" s="100">
        <f t="shared" si="580"/>
        <v>0</v>
      </c>
      <c r="AC554" s="100">
        <f t="shared" si="581"/>
        <v>0</v>
      </c>
      <c r="AD554" s="100">
        <f t="shared" si="582"/>
        <v>0</v>
      </c>
      <c r="AE554" s="100">
        <f t="shared" si="583"/>
        <v>0</v>
      </c>
      <c r="AF554" s="100">
        <f t="shared" si="584"/>
        <v>0</v>
      </c>
      <c r="AG554" s="100">
        <f t="shared" si="585"/>
        <v>0</v>
      </c>
      <c r="AH554" s="100">
        <f t="shared" si="586"/>
        <v>0</v>
      </c>
      <c r="AI554" s="109"/>
      <c r="AJ554" s="108">
        <f t="shared" si="587"/>
        <v>0</v>
      </c>
      <c r="AK554" s="108">
        <f t="shared" si="588"/>
        <v>0</v>
      </c>
      <c r="AL554" s="108">
        <f t="shared" si="589"/>
        <v>0</v>
      </c>
      <c r="AN554" s="100">
        <v>15</v>
      </c>
      <c r="AO554" s="100">
        <f t="shared" si="590"/>
        <v>0</v>
      </c>
      <c r="AP554" s="100">
        <f t="shared" si="591"/>
        <v>0</v>
      </c>
      <c r="AQ554" s="111" t="s">
        <v>7</v>
      </c>
      <c r="AV554" s="100">
        <f t="shared" si="592"/>
        <v>0</v>
      </c>
      <c r="AW554" s="100">
        <f t="shared" si="593"/>
        <v>0</v>
      </c>
      <c r="AX554" s="100">
        <f t="shared" si="594"/>
        <v>0</v>
      </c>
      <c r="AY554" s="110" t="s">
        <v>1722</v>
      </c>
      <c r="AZ554" s="110" t="s">
        <v>1730</v>
      </c>
      <c r="BA554" s="109" t="s">
        <v>1737</v>
      </c>
      <c r="BC554" s="100">
        <f t="shared" si="595"/>
        <v>0</v>
      </c>
      <c r="BD554" s="100">
        <f t="shared" si="596"/>
        <v>0</v>
      </c>
      <c r="BE554" s="100">
        <v>0</v>
      </c>
      <c r="BF554" s="100">
        <f>554</f>
        <v>554</v>
      </c>
      <c r="BH554" s="108">
        <f t="shared" si="597"/>
        <v>0</v>
      </c>
      <c r="BI554" s="108">
        <f t="shared" si="598"/>
        <v>0</v>
      </c>
      <c r="BJ554" s="108">
        <f t="shared" si="599"/>
        <v>0</v>
      </c>
    </row>
    <row r="555" spans="1:62" x14ac:dyDescent="0.2">
      <c r="A555" s="117" t="s">
        <v>505</v>
      </c>
      <c r="B555" s="117" t="s">
        <v>1003</v>
      </c>
      <c r="C555" s="304" t="s">
        <v>1595</v>
      </c>
      <c r="D555" s="305"/>
      <c r="E555" s="305"/>
      <c r="F555" s="117" t="s">
        <v>1644</v>
      </c>
      <c r="G555" s="116">
        <v>1</v>
      </c>
      <c r="H555" s="159"/>
      <c r="I555" s="108">
        <f t="shared" si="576"/>
        <v>0</v>
      </c>
      <c r="J555" s="108">
        <f t="shared" si="577"/>
        <v>0</v>
      </c>
      <c r="K555" s="108">
        <f t="shared" si="578"/>
        <v>0</v>
      </c>
      <c r="L555" s="111"/>
      <c r="Z555" s="100">
        <f t="shared" si="579"/>
        <v>0</v>
      </c>
      <c r="AB555" s="100">
        <f t="shared" si="580"/>
        <v>0</v>
      </c>
      <c r="AC555" s="100">
        <f t="shared" si="581"/>
        <v>0</v>
      </c>
      <c r="AD555" s="100">
        <f t="shared" si="582"/>
        <v>0</v>
      </c>
      <c r="AE555" s="100">
        <f t="shared" si="583"/>
        <v>0</v>
      </c>
      <c r="AF555" s="100">
        <f t="shared" si="584"/>
        <v>0</v>
      </c>
      <c r="AG555" s="100">
        <f t="shared" si="585"/>
        <v>0</v>
      </c>
      <c r="AH555" s="100">
        <f t="shared" si="586"/>
        <v>0</v>
      </c>
      <c r="AI555" s="109"/>
      <c r="AJ555" s="108">
        <f t="shared" si="587"/>
        <v>0</v>
      </c>
      <c r="AK555" s="108">
        <f t="shared" si="588"/>
        <v>0</v>
      </c>
      <c r="AL555" s="108">
        <f t="shared" si="589"/>
        <v>0</v>
      </c>
      <c r="AN555" s="100">
        <v>15</v>
      </c>
      <c r="AO555" s="100">
        <f t="shared" si="590"/>
        <v>0</v>
      </c>
      <c r="AP555" s="100">
        <f t="shared" si="591"/>
        <v>0</v>
      </c>
      <c r="AQ555" s="111" t="s">
        <v>7</v>
      </c>
      <c r="AV555" s="100">
        <f t="shared" si="592"/>
        <v>0</v>
      </c>
      <c r="AW555" s="100">
        <f t="shared" si="593"/>
        <v>0</v>
      </c>
      <c r="AX555" s="100">
        <f t="shared" si="594"/>
        <v>0</v>
      </c>
      <c r="AY555" s="110" t="s">
        <v>1722</v>
      </c>
      <c r="AZ555" s="110" t="s">
        <v>1730</v>
      </c>
      <c r="BA555" s="109" t="s">
        <v>1737</v>
      </c>
      <c r="BC555" s="100">
        <f t="shared" si="595"/>
        <v>0</v>
      </c>
      <c r="BD555" s="100">
        <f t="shared" si="596"/>
        <v>0</v>
      </c>
      <c r="BE555" s="100">
        <v>0</v>
      </c>
      <c r="BF555" s="100">
        <f>555</f>
        <v>555</v>
      </c>
      <c r="BH555" s="108">
        <f t="shared" si="597"/>
        <v>0</v>
      </c>
      <c r="BI555" s="108">
        <f t="shared" si="598"/>
        <v>0</v>
      </c>
      <c r="BJ555" s="108">
        <f t="shared" si="599"/>
        <v>0</v>
      </c>
    </row>
    <row r="556" spans="1:62" x14ac:dyDescent="0.2">
      <c r="A556" s="117" t="s">
        <v>506</v>
      </c>
      <c r="B556" s="117" t="s">
        <v>1004</v>
      </c>
      <c r="C556" s="304" t="s">
        <v>1596</v>
      </c>
      <c r="D556" s="305"/>
      <c r="E556" s="305"/>
      <c r="F556" s="117" t="s">
        <v>1644</v>
      </c>
      <c r="G556" s="116">
        <v>1</v>
      </c>
      <c r="H556" s="159"/>
      <c r="I556" s="108">
        <f t="shared" si="576"/>
        <v>0</v>
      </c>
      <c r="J556" s="108">
        <f t="shared" si="577"/>
        <v>0</v>
      </c>
      <c r="K556" s="108">
        <f t="shared" si="578"/>
        <v>0</v>
      </c>
      <c r="L556" s="111"/>
      <c r="Z556" s="100">
        <f t="shared" si="579"/>
        <v>0</v>
      </c>
      <c r="AB556" s="100">
        <f t="shared" si="580"/>
        <v>0</v>
      </c>
      <c r="AC556" s="100">
        <f t="shared" si="581"/>
        <v>0</v>
      </c>
      <c r="AD556" s="100">
        <f t="shared" si="582"/>
        <v>0</v>
      </c>
      <c r="AE556" s="100">
        <f t="shared" si="583"/>
        <v>0</v>
      </c>
      <c r="AF556" s="100">
        <f t="shared" si="584"/>
        <v>0</v>
      </c>
      <c r="AG556" s="100">
        <f t="shared" si="585"/>
        <v>0</v>
      </c>
      <c r="AH556" s="100">
        <f t="shared" si="586"/>
        <v>0</v>
      </c>
      <c r="AI556" s="109"/>
      <c r="AJ556" s="108">
        <f t="shared" si="587"/>
        <v>0</v>
      </c>
      <c r="AK556" s="108">
        <f t="shared" si="588"/>
        <v>0</v>
      </c>
      <c r="AL556" s="108">
        <f t="shared" si="589"/>
        <v>0</v>
      </c>
      <c r="AN556" s="100">
        <v>15</v>
      </c>
      <c r="AO556" s="100">
        <f t="shared" si="590"/>
        <v>0</v>
      </c>
      <c r="AP556" s="100">
        <f t="shared" si="591"/>
        <v>0</v>
      </c>
      <c r="AQ556" s="111" t="s">
        <v>7</v>
      </c>
      <c r="AV556" s="100">
        <f t="shared" si="592"/>
        <v>0</v>
      </c>
      <c r="AW556" s="100">
        <f t="shared" si="593"/>
        <v>0</v>
      </c>
      <c r="AX556" s="100">
        <f t="shared" si="594"/>
        <v>0</v>
      </c>
      <c r="AY556" s="110" t="s">
        <v>1722</v>
      </c>
      <c r="AZ556" s="110" t="s">
        <v>1730</v>
      </c>
      <c r="BA556" s="109" t="s">
        <v>1737</v>
      </c>
      <c r="BC556" s="100">
        <f t="shared" si="595"/>
        <v>0</v>
      </c>
      <c r="BD556" s="100">
        <f t="shared" si="596"/>
        <v>0</v>
      </c>
      <c r="BE556" s="100">
        <v>0</v>
      </c>
      <c r="BF556" s="100">
        <f>556</f>
        <v>556</v>
      </c>
      <c r="BH556" s="108">
        <f t="shared" si="597"/>
        <v>0</v>
      </c>
      <c r="BI556" s="108">
        <f t="shared" si="598"/>
        <v>0</v>
      </c>
      <c r="BJ556" s="108">
        <f t="shared" si="599"/>
        <v>0</v>
      </c>
    </row>
    <row r="557" spans="1:62" x14ac:dyDescent="0.2">
      <c r="A557" s="117" t="s">
        <v>507</v>
      </c>
      <c r="B557" s="117" t="s">
        <v>1005</v>
      </c>
      <c r="C557" s="304" t="s">
        <v>1597</v>
      </c>
      <c r="D557" s="305"/>
      <c r="E557" s="305"/>
      <c r="F557" s="117" t="s">
        <v>1644</v>
      </c>
      <c r="G557" s="116">
        <v>1</v>
      </c>
      <c r="H557" s="159"/>
      <c r="I557" s="108">
        <f t="shared" si="576"/>
        <v>0</v>
      </c>
      <c r="J557" s="108">
        <f t="shared" si="577"/>
        <v>0</v>
      </c>
      <c r="K557" s="108">
        <f t="shared" si="578"/>
        <v>0</v>
      </c>
      <c r="L557" s="111"/>
      <c r="Z557" s="100">
        <f t="shared" si="579"/>
        <v>0</v>
      </c>
      <c r="AB557" s="100">
        <f t="shared" si="580"/>
        <v>0</v>
      </c>
      <c r="AC557" s="100">
        <f t="shared" si="581"/>
        <v>0</v>
      </c>
      <c r="AD557" s="100">
        <f t="shared" si="582"/>
        <v>0</v>
      </c>
      <c r="AE557" s="100">
        <f t="shared" si="583"/>
        <v>0</v>
      </c>
      <c r="AF557" s="100">
        <f t="shared" si="584"/>
        <v>0</v>
      </c>
      <c r="AG557" s="100">
        <f t="shared" si="585"/>
        <v>0</v>
      </c>
      <c r="AH557" s="100">
        <f t="shared" si="586"/>
        <v>0</v>
      </c>
      <c r="AI557" s="109"/>
      <c r="AJ557" s="108">
        <f t="shared" si="587"/>
        <v>0</v>
      </c>
      <c r="AK557" s="108">
        <f t="shared" si="588"/>
        <v>0</v>
      </c>
      <c r="AL557" s="108">
        <f t="shared" si="589"/>
        <v>0</v>
      </c>
      <c r="AN557" s="100">
        <v>15</v>
      </c>
      <c r="AO557" s="100">
        <f t="shared" si="590"/>
        <v>0</v>
      </c>
      <c r="AP557" s="100">
        <f t="shared" si="591"/>
        <v>0</v>
      </c>
      <c r="AQ557" s="111" t="s">
        <v>7</v>
      </c>
      <c r="AV557" s="100">
        <f t="shared" si="592"/>
        <v>0</v>
      </c>
      <c r="AW557" s="100">
        <f t="shared" si="593"/>
        <v>0</v>
      </c>
      <c r="AX557" s="100">
        <f t="shared" si="594"/>
        <v>0</v>
      </c>
      <c r="AY557" s="110" t="s">
        <v>1722</v>
      </c>
      <c r="AZ557" s="110" t="s">
        <v>1730</v>
      </c>
      <c r="BA557" s="109" t="s">
        <v>1737</v>
      </c>
      <c r="BC557" s="100">
        <f t="shared" si="595"/>
        <v>0</v>
      </c>
      <c r="BD557" s="100">
        <f t="shared" si="596"/>
        <v>0</v>
      </c>
      <c r="BE557" s="100">
        <v>0</v>
      </c>
      <c r="BF557" s="100">
        <f>557</f>
        <v>557</v>
      </c>
      <c r="BH557" s="108">
        <f t="shared" si="597"/>
        <v>0</v>
      </c>
      <c r="BI557" s="108">
        <f t="shared" si="598"/>
        <v>0</v>
      </c>
      <c r="BJ557" s="108">
        <f t="shared" si="599"/>
        <v>0</v>
      </c>
    </row>
    <row r="558" spans="1:62" x14ac:dyDescent="0.2">
      <c r="A558" s="117" t="s">
        <v>508</v>
      </c>
      <c r="B558" s="117" t="s">
        <v>1006</v>
      </c>
      <c r="C558" s="304" t="s">
        <v>1598</v>
      </c>
      <c r="D558" s="305"/>
      <c r="E558" s="305"/>
      <c r="F558" s="117" t="s">
        <v>1644</v>
      </c>
      <c r="G558" s="116">
        <v>1</v>
      </c>
      <c r="H558" s="159"/>
      <c r="I558" s="108">
        <f t="shared" si="576"/>
        <v>0</v>
      </c>
      <c r="J558" s="108">
        <f t="shared" si="577"/>
        <v>0</v>
      </c>
      <c r="K558" s="108">
        <f t="shared" si="578"/>
        <v>0</v>
      </c>
      <c r="L558" s="111"/>
      <c r="Z558" s="100">
        <f t="shared" si="579"/>
        <v>0</v>
      </c>
      <c r="AB558" s="100">
        <f t="shared" si="580"/>
        <v>0</v>
      </c>
      <c r="AC558" s="100">
        <f t="shared" si="581"/>
        <v>0</v>
      </c>
      <c r="AD558" s="100">
        <f t="shared" si="582"/>
        <v>0</v>
      </c>
      <c r="AE558" s="100">
        <f t="shared" si="583"/>
        <v>0</v>
      </c>
      <c r="AF558" s="100">
        <f t="shared" si="584"/>
        <v>0</v>
      </c>
      <c r="AG558" s="100">
        <f t="shared" si="585"/>
        <v>0</v>
      </c>
      <c r="AH558" s="100">
        <f t="shared" si="586"/>
        <v>0</v>
      </c>
      <c r="AI558" s="109"/>
      <c r="AJ558" s="108">
        <f t="shared" si="587"/>
        <v>0</v>
      </c>
      <c r="AK558" s="108">
        <f t="shared" si="588"/>
        <v>0</v>
      </c>
      <c r="AL558" s="108">
        <f t="shared" si="589"/>
        <v>0</v>
      </c>
      <c r="AN558" s="100">
        <v>15</v>
      </c>
      <c r="AO558" s="100">
        <f t="shared" si="590"/>
        <v>0</v>
      </c>
      <c r="AP558" s="100">
        <f t="shared" si="591"/>
        <v>0</v>
      </c>
      <c r="AQ558" s="111" t="s">
        <v>7</v>
      </c>
      <c r="AV558" s="100">
        <f t="shared" si="592"/>
        <v>0</v>
      </c>
      <c r="AW558" s="100">
        <f t="shared" si="593"/>
        <v>0</v>
      </c>
      <c r="AX558" s="100">
        <f t="shared" si="594"/>
        <v>0</v>
      </c>
      <c r="AY558" s="110" t="s">
        <v>1722</v>
      </c>
      <c r="AZ558" s="110" t="s">
        <v>1730</v>
      </c>
      <c r="BA558" s="109" t="s">
        <v>1737</v>
      </c>
      <c r="BC558" s="100">
        <f t="shared" si="595"/>
        <v>0</v>
      </c>
      <c r="BD558" s="100">
        <f t="shared" si="596"/>
        <v>0</v>
      </c>
      <c r="BE558" s="100">
        <v>0</v>
      </c>
      <c r="BF558" s="100">
        <f>558</f>
        <v>558</v>
      </c>
      <c r="BH558" s="108">
        <f t="shared" si="597"/>
        <v>0</v>
      </c>
      <c r="BI558" s="108">
        <f t="shared" si="598"/>
        <v>0</v>
      </c>
      <c r="BJ558" s="108">
        <f t="shared" si="599"/>
        <v>0</v>
      </c>
    </row>
    <row r="559" spans="1:62" x14ac:dyDescent="0.2">
      <c r="A559" s="117" t="s">
        <v>509</v>
      </c>
      <c r="B559" s="117" t="s">
        <v>1007</v>
      </c>
      <c r="C559" s="304" t="s">
        <v>1599</v>
      </c>
      <c r="D559" s="305"/>
      <c r="E559" s="305"/>
      <c r="F559" s="117" t="s">
        <v>1644</v>
      </c>
      <c r="G559" s="116">
        <v>1</v>
      </c>
      <c r="H559" s="159"/>
      <c r="I559" s="108">
        <f t="shared" si="576"/>
        <v>0</v>
      </c>
      <c r="J559" s="108">
        <f t="shared" si="577"/>
        <v>0</v>
      </c>
      <c r="K559" s="108">
        <f t="shared" si="578"/>
        <v>0</v>
      </c>
      <c r="L559" s="111"/>
      <c r="Z559" s="100">
        <f t="shared" si="579"/>
        <v>0</v>
      </c>
      <c r="AB559" s="100">
        <f t="shared" si="580"/>
        <v>0</v>
      </c>
      <c r="AC559" s="100">
        <f t="shared" si="581"/>
        <v>0</v>
      </c>
      <c r="AD559" s="100">
        <f t="shared" si="582"/>
        <v>0</v>
      </c>
      <c r="AE559" s="100">
        <f t="shared" si="583"/>
        <v>0</v>
      </c>
      <c r="AF559" s="100">
        <f t="shared" si="584"/>
        <v>0</v>
      </c>
      <c r="AG559" s="100">
        <f t="shared" si="585"/>
        <v>0</v>
      </c>
      <c r="AH559" s="100">
        <f t="shared" si="586"/>
        <v>0</v>
      </c>
      <c r="AI559" s="109"/>
      <c r="AJ559" s="108">
        <f t="shared" si="587"/>
        <v>0</v>
      </c>
      <c r="AK559" s="108">
        <f t="shared" si="588"/>
        <v>0</v>
      </c>
      <c r="AL559" s="108">
        <f t="shared" si="589"/>
        <v>0</v>
      </c>
      <c r="AN559" s="100">
        <v>15</v>
      </c>
      <c r="AO559" s="100">
        <f t="shared" si="590"/>
        <v>0</v>
      </c>
      <c r="AP559" s="100">
        <f t="shared" si="591"/>
        <v>0</v>
      </c>
      <c r="AQ559" s="111" t="s">
        <v>7</v>
      </c>
      <c r="AV559" s="100">
        <f t="shared" si="592"/>
        <v>0</v>
      </c>
      <c r="AW559" s="100">
        <f t="shared" si="593"/>
        <v>0</v>
      </c>
      <c r="AX559" s="100">
        <f t="shared" si="594"/>
        <v>0</v>
      </c>
      <c r="AY559" s="110" t="s">
        <v>1722</v>
      </c>
      <c r="AZ559" s="110" t="s">
        <v>1730</v>
      </c>
      <c r="BA559" s="109" t="s">
        <v>1737</v>
      </c>
      <c r="BC559" s="100">
        <f t="shared" si="595"/>
        <v>0</v>
      </c>
      <c r="BD559" s="100">
        <f t="shared" si="596"/>
        <v>0</v>
      </c>
      <c r="BE559" s="100">
        <v>0</v>
      </c>
      <c r="BF559" s="100">
        <f>559</f>
        <v>559</v>
      </c>
      <c r="BH559" s="108">
        <f t="shared" si="597"/>
        <v>0</v>
      </c>
      <c r="BI559" s="108">
        <f t="shared" si="598"/>
        <v>0</v>
      </c>
      <c r="BJ559" s="108">
        <f t="shared" si="599"/>
        <v>0</v>
      </c>
    </row>
    <row r="560" spans="1:62" x14ac:dyDescent="0.2">
      <c r="A560" s="117" t="s">
        <v>510</v>
      </c>
      <c r="B560" s="117" t="s">
        <v>1008</v>
      </c>
      <c r="C560" s="304" t="s">
        <v>1600</v>
      </c>
      <c r="D560" s="305"/>
      <c r="E560" s="305"/>
      <c r="F560" s="117" t="s">
        <v>1644</v>
      </c>
      <c r="G560" s="116">
        <v>1</v>
      </c>
      <c r="H560" s="159"/>
      <c r="I560" s="108">
        <f t="shared" si="576"/>
        <v>0</v>
      </c>
      <c r="J560" s="108">
        <f t="shared" si="577"/>
        <v>0</v>
      </c>
      <c r="K560" s="108">
        <f t="shared" si="578"/>
        <v>0</v>
      </c>
      <c r="L560" s="111"/>
      <c r="Z560" s="100">
        <f t="shared" si="579"/>
        <v>0</v>
      </c>
      <c r="AB560" s="100">
        <f t="shared" si="580"/>
        <v>0</v>
      </c>
      <c r="AC560" s="100">
        <f t="shared" si="581"/>
        <v>0</v>
      </c>
      <c r="AD560" s="100">
        <f t="shared" si="582"/>
        <v>0</v>
      </c>
      <c r="AE560" s="100">
        <f t="shared" si="583"/>
        <v>0</v>
      </c>
      <c r="AF560" s="100">
        <f t="shared" si="584"/>
        <v>0</v>
      </c>
      <c r="AG560" s="100">
        <f t="shared" si="585"/>
        <v>0</v>
      </c>
      <c r="AH560" s="100">
        <f t="shared" si="586"/>
        <v>0</v>
      </c>
      <c r="AI560" s="109"/>
      <c r="AJ560" s="108">
        <f t="shared" si="587"/>
        <v>0</v>
      </c>
      <c r="AK560" s="108">
        <f t="shared" si="588"/>
        <v>0</v>
      </c>
      <c r="AL560" s="108">
        <f t="shared" si="589"/>
        <v>0</v>
      </c>
      <c r="AN560" s="100">
        <v>15</v>
      </c>
      <c r="AO560" s="100">
        <f t="shared" si="590"/>
        <v>0</v>
      </c>
      <c r="AP560" s="100">
        <f t="shared" si="591"/>
        <v>0</v>
      </c>
      <c r="AQ560" s="111" t="s">
        <v>7</v>
      </c>
      <c r="AV560" s="100">
        <f t="shared" si="592"/>
        <v>0</v>
      </c>
      <c r="AW560" s="100">
        <f t="shared" si="593"/>
        <v>0</v>
      </c>
      <c r="AX560" s="100">
        <f t="shared" si="594"/>
        <v>0</v>
      </c>
      <c r="AY560" s="110" t="s">
        <v>1722</v>
      </c>
      <c r="AZ560" s="110" t="s">
        <v>1730</v>
      </c>
      <c r="BA560" s="109" t="s">
        <v>1737</v>
      </c>
      <c r="BC560" s="100">
        <f t="shared" si="595"/>
        <v>0</v>
      </c>
      <c r="BD560" s="100">
        <f t="shared" si="596"/>
        <v>0</v>
      </c>
      <c r="BE560" s="100">
        <v>0</v>
      </c>
      <c r="BF560" s="100">
        <f>560</f>
        <v>560</v>
      </c>
      <c r="BH560" s="108">
        <f t="shared" si="597"/>
        <v>0</v>
      </c>
      <c r="BI560" s="108">
        <f t="shared" si="598"/>
        <v>0</v>
      </c>
      <c r="BJ560" s="108">
        <f t="shared" si="599"/>
        <v>0</v>
      </c>
    </row>
    <row r="561" spans="1:62" x14ac:dyDescent="0.2">
      <c r="A561" s="117" t="s">
        <v>511</v>
      </c>
      <c r="B561" s="117" t="s">
        <v>1009</v>
      </c>
      <c r="C561" s="304" t="s">
        <v>1601</v>
      </c>
      <c r="D561" s="305"/>
      <c r="E561" s="305"/>
      <c r="F561" s="117" t="s">
        <v>1644</v>
      </c>
      <c r="G561" s="116">
        <v>1</v>
      </c>
      <c r="H561" s="159"/>
      <c r="I561" s="108">
        <f t="shared" si="576"/>
        <v>0</v>
      </c>
      <c r="J561" s="108">
        <f t="shared" si="577"/>
        <v>0</v>
      </c>
      <c r="K561" s="108">
        <f t="shared" si="578"/>
        <v>0</v>
      </c>
      <c r="L561" s="111"/>
      <c r="Z561" s="100">
        <f t="shared" si="579"/>
        <v>0</v>
      </c>
      <c r="AB561" s="100">
        <f t="shared" si="580"/>
        <v>0</v>
      </c>
      <c r="AC561" s="100">
        <f t="shared" si="581"/>
        <v>0</v>
      </c>
      <c r="AD561" s="100">
        <f t="shared" si="582"/>
        <v>0</v>
      </c>
      <c r="AE561" s="100">
        <f t="shared" si="583"/>
        <v>0</v>
      </c>
      <c r="AF561" s="100">
        <f t="shared" si="584"/>
        <v>0</v>
      </c>
      <c r="AG561" s="100">
        <f t="shared" si="585"/>
        <v>0</v>
      </c>
      <c r="AH561" s="100">
        <f t="shared" si="586"/>
        <v>0</v>
      </c>
      <c r="AI561" s="109"/>
      <c r="AJ561" s="108">
        <f t="shared" si="587"/>
        <v>0</v>
      </c>
      <c r="AK561" s="108">
        <f t="shared" si="588"/>
        <v>0</v>
      </c>
      <c r="AL561" s="108">
        <f t="shared" si="589"/>
        <v>0</v>
      </c>
      <c r="AN561" s="100">
        <v>15</v>
      </c>
      <c r="AO561" s="100">
        <f t="shared" si="590"/>
        <v>0</v>
      </c>
      <c r="AP561" s="100">
        <f t="shared" si="591"/>
        <v>0</v>
      </c>
      <c r="AQ561" s="111" t="s">
        <v>7</v>
      </c>
      <c r="AV561" s="100">
        <f t="shared" si="592"/>
        <v>0</v>
      </c>
      <c r="AW561" s="100">
        <f t="shared" si="593"/>
        <v>0</v>
      </c>
      <c r="AX561" s="100">
        <f t="shared" si="594"/>
        <v>0</v>
      </c>
      <c r="AY561" s="110" t="s">
        <v>1722</v>
      </c>
      <c r="AZ561" s="110" t="s">
        <v>1730</v>
      </c>
      <c r="BA561" s="109" t="s">
        <v>1737</v>
      </c>
      <c r="BC561" s="100">
        <f t="shared" si="595"/>
        <v>0</v>
      </c>
      <c r="BD561" s="100">
        <f t="shared" si="596"/>
        <v>0</v>
      </c>
      <c r="BE561" s="100">
        <v>0</v>
      </c>
      <c r="BF561" s="100">
        <f>561</f>
        <v>561</v>
      </c>
      <c r="BH561" s="108">
        <f t="shared" si="597"/>
        <v>0</v>
      </c>
      <c r="BI561" s="108">
        <f t="shared" si="598"/>
        <v>0</v>
      </c>
      <c r="BJ561" s="108">
        <f t="shared" si="599"/>
        <v>0</v>
      </c>
    </row>
    <row r="562" spans="1:62" x14ac:dyDescent="0.2">
      <c r="A562" s="117" t="s">
        <v>512</v>
      </c>
      <c r="B562" s="117" t="s">
        <v>2612</v>
      </c>
      <c r="C562" s="304" t="s">
        <v>1602</v>
      </c>
      <c r="D562" s="305"/>
      <c r="E562" s="305"/>
      <c r="F562" s="117" t="s">
        <v>1646</v>
      </c>
      <c r="G562" s="116">
        <v>20</v>
      </c>
      <c r="H562" s="159"/>
      <c r="I562" s="108">
        <f t="shared" si="576"/>
        <v>0</v>
      </c>
      <c r="J562" s="108">
        <f t="shared" si="577"/>
        <v>0</v>
      </c>
      <c r="K562" s="108">
        <f t="shared" si="578"/>
        <v>0</v>
      </c>
      <c r="L562" s="111"/>
      <c r="Z562" s="100">
        <f t="shared" si="579"/>
        <v>0</v>
      </c>
      <c r="AB562" s="100">
        <f t="shared" si="580"/>
        <v>0</v>
      </c>
      <c r="AC562" s="100">
        <f t="shared" si="581"/>
        <v>0</v>
      </c>
      <c r="AD562" s="100">
        <f t="shared" si="582"/>
        <v>0</v>
      </c>
      <c r="AE562" s="100">
        <f t="shared" si="583"/>
        <v>0</v>
      </c>
      <c r="AF562" s="100">
        <f t="shared" si="584"/>
        <v>0</v>
      </c>
      <c r="AG562" s="100">
        <f t="shared" si="585"/>
        <v>0</v>
      </c>
      <c r="AH562" s="100">
        <f t="shared" si="586"/>
        <v>0</v>
      </c>
      <c r="AI562" s="109"/>
      <c r="AJ562" s="108">
        <f t="shared" si="587"/>
        <v>0</v>
      </c>
      <c r="AK562" s="108">
        <f t="shared" si="588"/>
        <v>0</v>
      </c>
      <c r="AL562" s="108">
        <f t="shared" si="589"/>
        <v>0</v>
      </c>
      <c r="AN562" s="100">
        <v>15</v>
      </c>
      <c r="AO562" s="100">
        <f t="shared" si="590"/>
        <v>0</v>
      </c>
      <c r="AP562" s="100">
        <f t="shared" si="591"/>
        <v>0</v>
      </c>
      <c r="AQ562" s="111" t="s">
        <v>7</v>
      </c>
      <c r="AV562" s="100">
        <f t="shared" si="592"/>
        <v>0</v>
      </c>
      <c r="AW562" s="100">
        <f t="shared" si="593"/>
        <v>0</v>
      </c>
      <c r="AX562" s="100">
        <f t="shared" si="594"/>
        <v>0</v>
      </c>
      <c r="AY562" s="110" t="s">
        <v>1722</v>
      </c>
      <c r="AZ562" s="110" t="s">
        <v>1730</v>
      </c>
      <c r="BA562" s="109" t="s">
        <v>1737</v>
      </c>
      <c r="BC562" s="100">
        <f t="shared" si="595"/>
        <v>0</v>
      </c>
      <c r="BD562" s="100">
        <f t="shared" si="596"/>
        <v>0</v>
      </c>
      <c r="BE562" s="100">
        <v>0</v>
      </c>
      <c r="BF562" s="100">
        <f>562</f>
        <v>562</v>
      </c>
      <c r="BH562" s="108">
        <f t="shared" si="597"/>
        <v>0</v>
      </c>
      <c r="BI562" s="108">
        <f t="shared" si="598"/>
        <v>0</v>
      </c>
      <c r="BJ562" s="108">
        <f t="shared" si="599"/>
        <v>0</v>
      </c>
    </row>
    <row r="563" spans="1:62" x14ac:dyDescent="0.2">
      <c r="A563" s="117" t="s">
        <v>513</v>
      </c>
      <c r="B563" s="117" t="s">
        <v>2611</v>
      </c>
      <c r="C563" s="304" t="s">
        <v>1603</v>
      </c>
      <c r="D563" s="305"/>
      <c r="E563" s="305"/>
      <c r="F563" s="117" t="s">
        <v>1646</v>
      </c>
      <c r="G563" s="116">
        <v>10</v>
      </c>
      <c r="H563" s="159"/>
      <c r="I563" s="108">
        <f t="shared" si="576"/>
        <v>0</v>
      </c>
      <c r="J563" s="108">
        <f t="shared" si="577"/>
        <v>0</v>
      </c>
      <c r="K563" s="108">
        <f t="shared" si="578"/>
        <v>0</v>
      </c>
      <c r="L563" s="111"/>
      <c r="Z563" s="100">
        <f t="shared" si="579"/>
        <v>0</v>
      </c>
      <c r="AB563" s="100">
        <f t="shared" si="580"/>
        <v>0</v>
      </c>
      <c r="AC563" s="100">
        <f t="shared" si="581"/>
        <v>0</v>
      </c>
      <c r="AD563" s="100">
        <f t="shared" si="582"/>
        <v>0</v>
      </c>
      <c r="AE563" s="100">
        <f t="shared" si="583"/>
        <v>0</v>
      </c>
      <c r="AF563" s="100">
        <f t="shared" si="584"/>
        <v>0</v>
      </c>
      <c r="AG563" s="100">
        <f t="shared" si="585"/>
        <v>0</v>
      </c>
      <c r="AH563" s="100">
        <f t="shared" si="586"/>
        <v>0</v>
      </c>
      <c r="AI563" s="109"/>
      <c r="AJ563" s="108">
        <f t="shared" si="587"/>
        <v>0</v>
      </c>
      <c r="AK563" s="108">
        <f t="shared" si="588"/>
        <v>0</v>
      </c>
      <c r="AL563" s="108">
        <f t="shared" si="589"/>
        <v>0</v>
      </c>
      <c r="AN563" s="100">
        <v>15</v>
      </c>
      <c r="AO563" s="100">
        <f t="shared" si="590"/>
        <v>0</v>
      </c>
      <c r="AP563" s="100">
        <f t="shared" si="591"/>
        <v>0</v>
      </c>
      <c r="AQ563" s="111" t="s">
        <v>7</v>
      </c>
      <c r="AV563" s="100">
        <f t="shared" si="592"/>
        <v>0</v>
      </c>
      <c r="AW563" s="100">
        <f t="shared" si="593"/>
        <v>0</v>
      </c>
      <c r="AX563" s="100">
        <f t="shared" si="594"/>
        <v>0</v>
      </c>
      <c r="AY563" s="110" t="s">
        <v>1722</v>
      </c>
      <c r="AZ563" s="110" t="s">
        <v>1730</v>
      </c>
      <c r="BA563" s="109" t="s">
        <v>1737</v>
      </c>
      <c r="BC563" s="100">
        <f t="shared" si="595"/>
        <v>0</v>
      </c>
      <c r="BD563" s="100">
        <f t="shared" si="596"/>
        <v>0</v>
      </c>
      <c r="BE563" s="100">
        <v>0</v>
      </c>
      <c r="BF563" s="100">
        <f>563</f>
        <v>563</v>
      </c>
      <c r="BH563" s="108">
        <f t="shared" si="597"/>
        <v>0</v>
      </c>
      <c r="BI563" s="108">
        <f t="shared" si="598"/>
        <v>0</v>
      </c>
      <c r="BJ563" s="108">
        <f t="shared" si="599"/>
        <v>0</v>
      </c>
    </row>
    <row r="564" spans="1:62" x14ac:dyDescent="0.2">
      <c r="A564" s="117" t="s">
        <v>514</v>
      </c>
      <c r="B564" s="117" t="s">
        <v>2610</v>
      </c>
      <c r="C564" s="304" t="s">
        <v>1604</v>
      </c>
      <c r="D564" s="305"/>
      <c r="E564" s="305"/>
      <c r="F564" s="117" t="s">
        <v>1646</v>
      </c>
      <c r="G564" s="116">
        <v>5</v>
      </c>
      <c r="H564" s="159"/>
      <c r="I564" s="108">
        <f t="shared" si="576"/>
        <v>0</v>
      </c>
      <c r="J564" s="108">
        <f t="shared" si="577"/>
        <v>0</v>
      </c>
      <c r="K564" s="108">
        <f t="shared" si="578"/>
        <v>0</v>
      </c>
      <c r="L564" s="111"/>
      <c r="Z564" s="100">
        <f t="shared" si="579"/>
        <v>0</v>
      </c>
      <c r="AB564" s="100">
        <f t="shared" si="580"/>
        <v>0</v>
      </c>
      <c r="AC564" s="100">
        <f t="shared" si="581"/>
        <v>0</v>
      </c>
      <c r="AD564" s="100">
        <f t="shared" si="582"/>
        <v>0</v>
      </c>
      <c r="AE564" s="100">
        <f t="shared" si="583"/>
        <v>0</v>
      </c>
      <c r="AF564" s="100">
        <f t="shared" si="584"/>
        <v>0</v>
      </c>
      <c r="AG564" s="100">
        <f t="shared" si="585"/>
        <v>0</v>
      </c>
      <c r="AH564" s="100">
        <f t="shared" si="586"/>
        <v>0</v>
      </c>
      <c r="AI564" s="109"/>
      <c r="AJ564" s="108">
        <f t="shared" si="587"/>
        <v>0</v>
      </c>
      <c r="AK564" s="108">
        <f t="shared" si="588"/>
        <v>0</v>
      </c>
      <c r="AL564" s="108">
        <f t="shared" si="589"/>
        <v>0</v>
      </c>
      <c r="AN564" s="100">
        <v>15</v>
      </c>
      <c r="AO564" s="100">
        <f t="shared" si="590"/>
        <v>0</v>
      </c>
      <c r="AP564" s="100">
        <f t="shared" si="591"/>
        <v>0</v>
      </c>
      <c r="AQ564" s="111" t="s">
        <v>7</v>
      </c>
      <c r="AV564" s="100">
        <f t="shared" si="592"/>
        <v>0</v>
      </c>
      <c r="AW564" s="100">
        <f t="shared" si="593"/>
        <v>0</v>
      </c>
      <c r="AX564" s="100">
        <f t="shared" si="594"/>
        <v>0</v>
      </c>
      <c r="AY564" s="110" t="s">
        <v>1722</v>
      </c>
      <c r="AZ564" s="110" t="s">
        <v>1730</v>
      </c>
      <c r="BA564" s="109" t="s">
        <v>1737</v>
      </c>
      <c r="BC564" s="100">
        <f t="shared" si="595"/>
        <v>0</v>
      </c>
      <c r="BD564" s="100">
        <f t="shared" si="596"/>
        <v>0</v>
      </c>
      <c r="BE564" s="100">
        <v>0</v>
      </c>
      <c r="BF564" s="100">
        <f>564</f>
        <v>564</v>
      </c>
      <c r="BH564" s="108">
        <f t="shared" si="597"/>
        <v>0</v>
      </c>
      <c r="BI564" s="108">
        <f t="shared" si="598"/>
        <v>0</v>
      </c>
      <c r="BJ564" s="108">
        <f t="shared" si="599"/>
        <v>0</v>
      </c>
    </row>
    <row r="565" spans="1:62" x14ac:dyDescent="0.2">
      <c r="A565" s="117" t="s">
        <v>515</v>
      </c>
      <c r="B565" s="117" t="s">
        <v>2609</v>
      </c>
      <c r="C565" s="304" t="s">
        <v>1605</v>
      </c>
      <c r="D565" s="305"/>
      <c r="E565" s="305"/>
      <c r="F565" s="117" t="s">
        <v>1646</v>
      </c>
      <c r="G565" s="116">
        <v>5</v>
      </c>
      <c r="H565" s="159"/>
      <c r="I565" s="108">
        <f t="shared" si="576"/>
        <v>0</v>
      </c>
      <c r="J565" s="108">
        <f t="shared" si="577"/>
        <v>0</v>
      </c>
      <c r="K565" s="108">
        <f t="shared" si="578"/>
        <v>0</v>
      </c>
      <c r="L565" s="111"/>
      <c r="Z565" s="100">
        <f t="shared" si="579"/>
        <v>0</v>
      </c>
      <c r="AB565" s="100">
        <f t="shared" si="580"/>
        <v>0</v>
      </c>
      <c r="AC565" s="100">
        <f t="shared" si="581"/>
        <v>0</v>
      </c>
      <c r="AD565" s="100">
        <f t="shared" si="582"/>
        <v>0</v>
      </c>
      <c r="AE565" s="100">
        <f t="shared" si="583"/>
        <v>0</v>
      </c>
      <c r="AF565" s="100">
        <f t="shared" si="584"/>
        <v>0</v>
      </c>
      <c r="AG565" s="100">
        <f t="shared" si="585"/>
        <v>0</v>
      </c>
      <c r="AH565" s="100">
        <f t="shared" si="586"/>
        <v>0</v>
      </c>
      <c r="AI565" s="109"/>
      <c r="AJ565" s="108">
        <f t="shared" si="587"/>
        <v>0</v>
      </c>
      <c r="AK565" s="108">
        <f t="shared" si="588"/>
        <v>0</v>
      </c>
      <c r="AL565" s="108">
        <f t="shared" si="589"/>
        <v>0</v>
      </c>
      <c r="AN565" s="100">
        <v>15</v>
      </c>
      <c r="AO565" s="100">
        <f t="shared" si="590"/>
        <v>0</v>
      </c>
      <c r="AP565" s="100">
        <f t="shared" si="591"/>
        <v>0</v>
      </c>
      <c r="AQ565" s="111" t="s">
        <v>7</v>
      </c>
      <c r="AV565" s="100">
        <f t="shared" si="592"/>
        <v>0</v>
      </c>
      <c r="AW565" s="100">
        <f t="shared" si="593"/>
        <v>0</v>
      </c>
      <c r="AX565" s="100">
        <f t="shared" si="594"/>
        <v>0</v>
      </c>
      <c r="AY565" s="110" t="s">
        <v>1722</v>
      </c>
      <c r="AZ565" s="110" t="s">
        <v>1730</v>
      </c>
      <c r="BA565" s="109" t="s">
        <v>1737</v>
      </c>
      <c r="BC565" s="100">
        <f t="shared" si="595"/>
        <v>0</v>
      </c>
      <c r="BD565" s="100">
        <f t="shared" si="596"/>
        <v>0</v>
      </c>
      <c r="BE565" s="100">
        <v>0</v>
      </c>
      <c r="BF565" s="100">
        <f>565</f>
        <v>565</v>
      </c>
      <c r="BH565" s="108">
        <f t="shared" si="597"/>
        <v>0</v>
      </c>
      <c r="BI565" s="108">
        <f t="shared" si="598"/>
        <v>0</v>
      </c>
      <c r="BJ565" s="108">
        <f t="shared" si="599"/>
        <v>0</v>
      </c>
    </row>
    <row r="566" spans="1:62" x14ac:dyDescent="0.2">
      <c r="A566" s="117" t="s">
        <v>516</v>
      </c>
      <c r="B566" s="117" t="s">
        <v>2608</v>
      </c>
      <c r="C566" s="304" t="s">
        <v>1606</v>
      </c>
      <c r="D566" s="305"/>
      <c r="E566" s="305"/>
      <c r="F566" s="117" t="s">
        <v>1646</v>
      </c>
      <c r="G566" s="116">
        <v>20</v>
      </c>
      <c r="H566" s="159"/>
      <c r="I566" s="108">
        <f t="shared" si="576"/>
        <v>0</v>
      </c>
      <c r="J566" s="108">
        <f t="shared" si="577"/>
        <v>0</v>
      </c>
      <c r="K566" s="108">
        <f t="shared" si="578"/>
        <v>0</v>
      </c>
      <c r="L566" s="111"/>
      <c r="Z566" s="100">
        <f t="shared" si="579"/>
        <v>0</v>
      </c>
      <c r="AB566" s="100">
        <f t="shared" si="580"/>
        <v>0</v>
      </c>
      <c r="AC566" s="100">
        <f t="shared" si="581"/>
        <v>0</v>
      </c>
      <c r="AD566" s="100">
        <f t="shared" si="582"/>
        <v>0</v>
      </c>
      <c r="AE566" s="100">
        <f t="shared" si="583"/>
        <v>0</v>
      </c>
      <c r="AF566" s="100">
        <f t="shared" si="584"/>
        <v>0</v>
      </c>
      <c r="AG566" s="100">
        <f t="shared" si="585"/>
        <v>0</v>
      </c>
      <c r="AH566" s="100">
        <f t="shared" si="586"/>
        <v>0</v>
      </c>
      <c r="AI566" s="109"/>
      <c r="AJ566" s="108">
        <f t="shared" si="587"/>
        <v>0</v>
      </c>
      <c r="AK566" s="108">
        <f t="shared" si="588"/>
        <v>0</v>
      </c>
      <c r="AL566" s="108">
        <f t="shared" si="589"/>
        <v>0</v>
      </c>
      <c r="AN566" s="100">
        <v>15</v>
      </c>
      <c r="AO566" s="100">
        <f t="shared" si="590"/>
        <v>0</v>
      </c>
      <c r="AP566" s="100">
        <f t="shared" si="591"/>
        <v>0</v>
      </c>
      <c r="AQ566" s="111" t="s">
        <v>7</v>
      </c>
      <c r="AV566" s="100">
        <f t="shared" si="592"/>
        <v>0</v>
      </c>
      <c r="AW566" s="100">
        <f t="shared" si="593"/>
        <v>0</v>
      </c>
      <c r="AX566" s="100">
        <f t="shared" si="594"/>
        <v>0</v>
      </c>
      <c r="AY566" s="110" t="s">
        <v>1722</v>
      </c>
      <c r="AZ566" s="110" t="s">
        <v>1730</v>
      </c>
      <c r="BA566" s="109" t="s">
        <v>1737</v>
      </c>
      <c r="BC566" s="100">
        <f t="shared" si="595"/>
        <v>0</v>
      </c>
      <c r="BD566" s="100">
        <f t="shared" si="596"/>
        <v>0</v>
      </c>
      <c r="BE566" s="100">
        <v>0</v>
      </c>
      <c r="BF566" s="100">
        <f>566</f>
        <v>566</v>
      </c>
      <c r="BH566" s="108">
        <f t="shared" si="597"/>
        <v>0</v>
      </c>
      <c r="BI566" s="108">
        <f t="shared" si="598"/>
        <v>0</v>
      </c>
      <c r="BJ566" s="108">
        <f t="shared" si="599"/>
        <v>0</v>
      </c>
    </row>
    <row r="567" spans="1:62" x14ac:dyDescent="0.2">
      <c r="A567" s="117" t="s">
        <v>517</v>
      </c>
      <c r="B567" s="117" t="s">
        <v>2607</v>
      </c>
      <c r="C567" s="304" t="s">
        <v>1607</v>
      </c>
      <c r="D567" s="305"/>
      <c r="E567" s="305"/>
      <c r="F567" s="117" t="s">
        <v>1646</v>
      </c>
      <c r="G567" s="116">
        <v>10</v>
      </c>
      <c r="H567" s="159"/>
      <c r="I567" s="108">
        <f t="shared" si="576"/>
        <v>0</v>
      </c>
      <c r="J567" s="108">
        <f t="shared" si="577"/>
        <v>0</v>
      </c>
      <c r="K567" s="108">
        <f t="shared" si="578"/>
        <v>0</v>
      </c>
      <c r="L567" s="111"/>
      <c r="Z567" s="100">
        <f t="shared" si="579"/>
        <v>0</v>
      </c>
      <c r="AB567" s="100">
        <f t="shared" si="580"/>
        <v>0</v>
      </c>
      <c r="AC567" s="100">
        <f t="shared" si="581"/>
        <v>0</v>
      </c>
      <c r="AD567" s="100">
        <f t="shared" si="582"/>
        <v>0</v>
      </c>
      <c r="AE567" s="100">
        <f t="shared" si="583"/>
        <v>0</v>
      </c>
      <c r="AF567" s="100">
        <f t="shared" si="584"/>
        <v>0</v>
      </c>
      <c r="AG567" s="100">
        <f t="shared" si="585"/>
        <v>0</v>
      </c>
      <c r="AH567" s="100">
        <f t="shared" si="586"/>
        <v>0</v>
      </c>
      <c r="AI567" s="109"/>
      <c r="AJ567" s="108">
        <f t="shared" si="587"/>
        <v>0</v>
      </c>
      <c r="AK567" s="108">
        <f t="shared" si="588"/>
        <v>0</v>
      </c>
      <c r="AL567" s="108">
        <f t="shared" si="589"/>
        <v>0</v>
      </c>
      <c r="AN567" s="100">
        <v>15</v>
      </c>
      <c r="AO567" s="100">
        <f t="shared" si="590"/>
        <v>0</v>
      </c>
      <c r="AP567" s="100">
        <f t="shared" si="591"/>
        <v>0</v>
      </c>
      <c r="AQ567" s="111" t="s">
        <v>7</v>
      </c>
      <c r="AV567" s="100">
        <f t="shared" si="592"/>
        <v>0</v>
      </c>
      <c r="AW567" s="100">
        <f t="shared" si="593"/>
        <v>0</v>
      </c>
      <c r="AX567" s="100">
        <f t="shared" si="594"/>
        <v>0</v>
      </c>
      <c r="AY567" s="110" t="s">
        <v>1722</v>
      </c>
      <c r="AZ567" s="110" t="s">
        <v>1730</v>
      </c>
      <c r="BA567" s="109" t="s">
        <v>1737</v>
      </c>
      <c r="BC567" s="100">
        <f t="shared" si="595"/>
        <v>0</v>
      </c>
      <c r="BD567" s="100">
        <f t="shared" si="596"/>
        <v>0</v>
      </c>
      <c r="BE567" s="100">
        <v>0</v>
      </c>
      <c r="BF567" s="100">
        <f>567</f>
        <v>567</v>
      </c>
      <c r="BH567" s="108">
        <f t="shared" si="597"/>
        <v>0</v>
      </c>
      <c r="BI567" s="108">
        <f t="shared" si="598"/>
        <v>0</v>
      </c>
      <c r="BJ567" s="108">
        <f t="shared" si="599"/>
        <v>0</v>
      </c>
    </row>
    <row r="568" spans="1:62" x14ac:dyDescent="0.2">
      <c r="A568" s="117" t="s">
        <v>518</v>
      </c>
      <c r="B568" s="117" t="s">
        <v>2606</v>
      </c>
      <c r="C568" s="304" t="s">
        <v>1608</v>
      </c>
      <c r="D568" s="305"/>
      <c r="E568" s="305"/>
      <c r="F568" s="117" t="s">
        <v>1644</v>
      </c>
      <c r="G568" s="116">
        <v>70</v>
      </c>
      <c r="H568" s="159"/>
      <c r="I568" s="108">
        <f t="shared" si="576"/>
        <v>0</v>
      </c>
      <c r="J568" s="108">
        <f t="shared" si="577"/>
        <v>0</v>
      </c>
      <c r="K568" s="108">
        <f t="shared" si="578"/>
        <v>0</v>
      </c>
      <c r="L568" s="111"/>
      <c r="Z568" s="100">
        <f t="shared" si="579"/>
        <v>0</v>
      </c>
      <c r="AB568" s="100">
        <f t="shared" si="580"/>
        <v>0</v>
      </c>
      <c r="AC568" s="100">
        <f t="shared" si="581"/>
        <v>0</v>
      </c>
      <c r="AD568" s="100">
        <f t="shared" si="582"/>
        <v>0</v>
      </c>
      <c r="AE568" s="100">
        <f t="shared" si="583"/>
        <v>0</v>
      </c>
      <c r="AF568" s="100">
        <f t="shared" si="584"/>
        <v>0</v>
      </c>
      <c r="AG568" s="100">
        <f t="shared" si="585"/>
        <v>0</v>
      </c>
      <c r="AH568" s="100">
        <f t="shared" si="586"/>
        <v>0</v>
      </c>
      <c r="AI568" s="109"/>
      <c r="AJ568" s="108">
        <f t="shared" si="587"/>
        <v>0</v>
      </c>
      <c r="AK568" s="108">
        <f t="shared" si="588"/>
        <v>0</v>
      </c>
      <c r="AL568" s="108">
        <f t="shared" si="589"/>
        <v>0</v>
      </c>
      <c r="AN568" s="100">
        <v>15</v>
      </c>
      <c r="AO568" s="100">
        <f t="shared" si="590"/>
        <v>0</v>
      </c>
      <c r="AP568" s="100">
        <f t="shared" si="591"/>
        <v>0</v>
      </c>
      <c r="AQ568" s="111" t="s">
        <v>7</v>
      </c>
      <c r="AV568" s="100">
        <f t="shared" si="592"/>
        <v>0</v>
      </c>
      <c r="AW568" s="100">
        <f t="shared" si="593"/>
        <v>0</v>
      </c>
      <c r="AX568" s="100">
        <f t="shared" si="594"/>
        <v>0</v>
      </c>
      <c r="AY568" s="110" t="s">
        <v>1722</v>
      </c>
      <c r="AZ568" s="110" t="s">
        <v>1730</v>
      </c>
      <c r="BA568" s="109" t="s">
        <v>1737</v>
      </c>
      <c r="BC568" s="100">
        <f t="shared" si="595"/>
        <v>0</v>
      </c>
      <c r="BD568" s="100">
        <f t="shared" si="596"/>
        <v>0</v>
      </c>
      <c r="BE568" s="100">
        <v>0</v>
      </c>
      <c r="BF568" s="100">
        <f>568</f>
        <v>568</v>
      </c>
      <c r="BH568" s="108">
        <f t="shared" si="597"/>
        <v>0</v>
      </c>
      <c r="BI568" s="108">
        <f t="shared" si="598"/>
        <v>0</v>
      </c>
      <c r="BJ568" s="108">
        <f t="shared" si="599"/>
        <v>0</v>
      </c>
    </row>
    <row r="569" spans="1:62" x14ac:dyDescent="0.2">
      <c r="A569" s="117" t="s">
        <v>519</v>
      </c>
      <c r="B569" s="117" t="s">
        <v>2605</v>
      </c>
      <c r="C569" s="304" t="s">
        <v>1609</v>
      </c>
      <c r="D569" s="305"/>
      <c r="E569" s="305"/>
      <c r="F569" s="117" t="s">
        <v>1644</v>
      </c>
      <c r="G569" s="116">
        <v>3</v>
      </c>
      <c r="H569" s="159"/>
      <c r="I569" s="108">
        <f t="shared" si="576"/>
        <v>0</v>
      </c>
      <c r="J569" s="108">
        <f t="shared" si="577"/>
        <v>0</v>
      </c>
      <c r="K569" s="108">
        <f t="shared" si="578"/>
        <v>0</v>
      </c>
      <c r="L569" s="111"/>
      <c r="Z569" s="100">
        <f t="shared" si="579"/>
        <v>0</v>
      </c>
      <c r="AB569" s="100">
        <f t="shared" si="580"/>
        <v>0</v>
      </c>
      <c r="AC569" s="100">
        <f t="shared" si="581"/>
        <v>0</v>
      </c>
      <c r="AD569" s="100">
        <f t="shared" si="582"/>
        <v>0</v>
      </c>
      <c r="AE569" s="100">
        <f t="shared" si="583"/>
        <v>0</v>
      </c>
      <c r="AF569" s="100">
        <f t="shared" si="584"/>
        <v>0</v>
      </c>
      <c r="AG569" s="100">
        <f t="shared" si="585"/>
        <v>0</v>
      </c>
      <c r="AH569" s="100">
        <f t="shared" si="586"/>
        <v>0</v>
      </c>
      <c r="AI569" s="109"/>
      <c r="AJ569" s="108">
        <f t="shared" si="587"/>
        <v>0</v>
      </c>
      <c r="AK569" s="108">
        <f t="shared" si="588"/>
        <v>0</v>
      </c>
      <c r="AL569" s="108">
        <f t="shared" si="589"/>
        <v>0</v>
      </c>
      <c r="AN569" s="100">
        <v>15</v>
      </c>
      <c r="AO569" s="100">
        <f t="shared" si="590"/>
        <v>0</v>
      </c>
      <c r="AP569" s="100">
        <f t="shared" si="591"/>
        <v>0</v>
      </c>
      <c r="AQ569" s="111" t="s">
        <v>7</v>
      </c>
      <c r="AV569" s="100">
        <f t="shared" si="592"/>
        <v>0</v>
      </c>
      <c r="AW569" s="100">
        <f t="shared" si="593"/>
        <v>0</v>
      </c>
      <c r="AX569" s="100">
        <f t="shared" si="594"/>
        <v>0</v>
      </c>
      <c r="AY569" s="110" t="s">
        <v>1722</v>
      </c>
      <c r="AZ569" s="110" t="s">
        <v>1730</v>
      </c>
      <c r="BA569" s="109" t="s">
        <v>1737</v>
      </c>
      <c r="BC569" s="100">
        <f t="shared" si="595"/>
        <v>0</v>
      </c>
      <c r="BD569" s="100">
        <f t="shared" si="596"/>
        <v>0</v>
      </c>
      <c r="BE569" s="100">
        <v>0</v>
      </c>
      <c r="BF569" s="100">
        <f>569</f>
        <v>569</v>
      </c>
      <c r="BH569" s="108">
        <f t="shared" si="597"/>
        <v>0</v>
      </c>
      <c r="BI569" s="108">
        <f t="shared" si="598"/>
        <v>0</v>
      </c>
      <c r="BJ569" s="108">
        <f t="shared" si="599"/>
        <v>0</v>
      </c>
    </row>
    <row r="570" spans="1:62" x14ac:dyDescent="0.2">
      <c r="A570" s="117" t="s">
        <v>520</v>
      </c>
      <c r="B570" s="117" t="s">
        <v>2604</v>
      </c>
      <c r="C570" s="304" t="s">
        <v>1610</v>
      </c>
      <c r="D570" s="305"/>
      <c r="E570" s="305"/>
      <c r="F570" s="117" t="s">
        <v>1644</v>
      </c>
      <c r="G570" s="116">
        <v>1</v>
      </c>
      <c r="H570" s="159"/>
      <c r="I570" s="108">
        <f t="shared" si="576"/>
        <v>0</v>
      </c>
      <c r="J570" s="108">
        <f t="shared" si="577"/>
        <v>0</v>
      </c>
      <c r="K570" s="108">
        <f t="shared" si="578"/>
        <v>0</v>
      </c>
      <c r="L570" s="111"/>
      <c r="Z570" s="100">
        <f t="shared" si="579"/>
        <v>0</v>
      </c>
      <c r="AB570" s="100">
        <f t="shared" si="580"/>
        <v>0</v>
      </c>
      <c r="AC570" s="100">
        <f t="shared" si="581"/>
        <v>0</v>
      </c>
      <c r="AD570" s="100">
        <f t="shared" si="582"/>
        <v>0</v>
      </c>
      <c r="AE570" s="100">
        <f t="shared" si="583"/>
        <v>0</v>
      </c>
      <c r="AF570" s="100">
        <f t="shared" si="584"/>
        <v>0</v>
      </c>
      <c r="AG570" s="100">
        <f t="shared" si="585"/>
        <v>0</v>
      </c>
      <c r="AH570" s="100">
        <f t="shared" si="586"/>
        <v>0</v>
      </c>
      <c r="AI570" s="109"/>
      <c r="AJ570" s="108">
        <f t="shared" si="587"/>
        <v>0</v>
      </c>
      <c r="AK570" s="108">
        <f t="shared" si="588"/>
        <v>0</v>
      </c>
      <c r="AL570" s="108">
        <f t="shared" si="589"/>
        <v>0</v>
      </c>
      <c r="AN570" s="100">
        <v>15</v>
      </c>
      <c r="AO570" s="100">
        <f t="shared" si="590"/>
        <v>0</v>
      </c>
      <c r="AP570" s="100">
        <f t="shared" si="591"/>
        <v>0</v>
      </c>
      <c r="AQ570" s="111" t="s">
        <v>7</v>
      </c>
      <c r="AV570" s="100">
        <f t="shared" si="592"/>
        <v>0</v>
      </c>
      <c r="AW570" s="100">
        <f t="shared" si="593"/>
        <v>0</v>
      </c>
      <c r="AX570" s="100">
        <f t="shared" si="594"/>
        <v>0</v>
      </c>
      <c r="AY570" s="110" t="s">
        <v>1722</v>
      </c>
      <c r="AZ570" s="110" t="s">
        <v>1730</v>
      </c>
      <c r="BA570" s="109" t="s">
        <v>1737</v>
      </c>
      <c r="BC570" s="100">
        <f t="shared" si="595"/>
        <v>0</v>
      </c>
      <c r="BD570" s="100">
        <f t="shared" si="596"/>
        <v>0</v>
      </c>
      <c r="BE570" s="100">
        <v>0</v>
      </c>
      <c r="BF570" s="100">
        <f>570</f>
        <v>570</v>
      </c>
      <c r="BH570" s="108">
        <f t="shared" si="597"/>
        <v>0</v>
      </c>
      <c r="BI570" s="108">
        <f t="shared" si="598"/>
        <v>0</v>
      </c>
      <c r="BJ570" s="108">
        <f t="shared" si="599"/>
        <v>0</v>
      </c>
    </row>
    <row r="571" spans="1:62" x14ac:dyDescent="0.2">
      <c r="A571" s="117" t="s">
        <v>521</v>
      </c>
      <c r="B571" s="117" t="s">
        <v>2603</v>
      </c>
      <c r="C571" s="304" t="s">
        <v>1611</v>
      </c>
      <c r="D571" s="305"/>
      <c r="E571" s="305"/>
      <c r="F571" s="117" t="s">
        <v>1651</v>
      </c>
      <c r="G571" s="116">
        <v>1</v>
      </c>
      <c r="H571" s="159"/>
      <c r="I571" s="108">
        <f t="shared" si="576"/>
        <v>0</v>
      </c>
      <c r="J571" s="108">
        <f t="shared" si="577"/>
        <v>0</v>
      </c>
      <c r="K571" s="108">
        <f t="shared" si="578"/>
        <v>0</v>
      </c>
      <c r="L571" s="111"/>
      <c r="Z571" s="100">
        <f t="shared" si="579"/>
        <v>0</v>
      </c>
      <c r="AB571" s="100">
        <f t="shared" si="580"/>
        <v>0</v>
      </c>
      <c r="AC571" s="100">
        <f t="shared" si="581"/>
        <v>0</v>
      </c>
      <c r="AD571" s="100">
        <f t="shared" si="582"/>
        <v>0</v>
      </c>
      <c r="AE571" s="100">
        <f t="shared" si="583"/>
        <v>0</v>
      </c>
      <c r="AF571" s="100">
        <f t="shared" si="584"/>
        <v>0</v>
      </c>
      <c r="AG571" s="100">
        <f t="shared" si="585"/>
        <v>0</v>
      </c>
      <c r="AH571" s="100">
        <f t="shared" si="586"/>
        <v>0</v>
      </c>
      <c r="AI571" s="109"/>
      <c r="AJ571" s="108">
        <f t="shared" si="587"/>
        <v>0</v>
      </c>
      <c r="AK571" s="108">
        <f t="shared" si="588"/>
        <v>0</v>
      </c>
      <c r="AL571" s="108">
        <f t="shared" si="589"/>
        <v>0</v>
      </c>
      <c r="AN571" s="100">
        <v>15</v>
      </c>
      <c r="AO571" s="100">
        <f t="shared" si="590"/>
        <v>0</v>
      </c>
      <c r="AP571" s="100">
        <f t="shared" si="591"/>
        <v>0</v>
      </c>
      <c r="AQ571" s="111" t="s">
        <v>7</v>
      </c>
      <c r="AV571" s="100">
        <f t="shared" si="592"/>
        <v>0</v>
      </c>
      <c r="AW571" s="100">
        <f t="shared" si="593"/>
        <v>0</v>
      </c>
      <c r="AX571" s="100">
        <f t="shared" si="594"/>
        <v>0</v>
      </c>
      <c r="AY571" s="110" t="s">
        <v>1722</v>
      </c>
      <c r="AZ571" s="110" t="s">
        <v>1730</v>
      </c>
      <c r="BA571" s="109" t="s">
        <v>1737</v>
      </c>
      <c r="BC571" s="100">
        <f t="shared" si="595"/>
        <v>0</v>
      </c>
      <c r="BD571" s="100">
        <f t="shared" si="596"/>
        <v>0</v>
      </c>
      <c r="BE571" s="100">
        <v>0</v>
      </c>
      <c r="BF571" s="100">
        <f>571</f>
        <v>571</v>
      </c>
      <c r="BH571" s="108">
        <f t="shared" si="597"/>
        <v>0</v>
      </c>
      <c r="BI571" s="108">
        <f t="shared" si="598"/>
        <v>0</v>
      </c>
      <c r="BJ571" s="108">
        <f t="shared" si="599"/>
        <v>0</v>
      </c>
    </row>
    <row r="572" spans="1:62" x14ac:dyDescent="0.2">
      <c r="A572" s="117" t="s">
        <v>522</v>
      </c>
      <c r="B572" s="117" t="s">
        <v>2602</v>
      </c>
      <c r="C572" s="304" t="s">
        <v>1612</v>
      </c>
      <c r="D572" s="305"/>
      <c r="E572" s="305"/>
      <c r="F572" s="117" t="s">
        <v>1646</v>
      </c>
      <c r="G572" s="116">
        <v>170</v>
      </c>
      <c r="H572" s="159"/>
      <c r="I572" s="108">
        <f t="shared" si="576"/>
        <v>0</v>
      </c>
      <c r="J572" s="108">
        <f t="shared" si="577"/>
        <v>0</v>
      </c>
      <c r="K572" s="108">
        <f t="shared" si="578"/>
        <v>0</v>
      </c>
      <c r="L572" s="111"/>
      <c r="Z572" s="100">
        <f t="shared" si="579"/>
        <v>0</v>
      </c>
      <c r="AB572" s="100">
        <f t="shared" si="580"/>
        <v>0</v>
      </c>
      <c r="AC572" s="100">
        <f t="shared" si="581"/>
        <v>0</v>
      </c>
      <c r="AD572" s="100">
        <f t="shared" si="582"/>
        <v>0</v>
      </c>
      <c r="AE572" s="100">
        <f t="shared" si="583"/>
        <v>0</v>
      </c>
      <c r="AF572" s="100">
        <f t="shared" si="584"/>
        <v>0</v>
      </c>
      <c r="AG572" s="100">
        <f t="shared" si="585"/>
        <v>0</v>
      </c>
      <c r="AH572" s="100">
        <f t="shared" si="586"/>
        <v>0</v>
      </c>
      <c r="AI572" s="109"/>
      <c r="AJ572" s="108">
        <f t="shared" si="587"/>
        <v>0</v>
      </c>
      <c r="AK572" s="108">
        <f t="shared" si="588"/>
        <v>0</v>
      </c>
      <c r="AL572" s="108">
        <f t="shared" si="589"/>
        <v>0</v>
      </c>
      <c r="AN572" s="100">
        <v>15</v>
      </c>
      <c r="AO572" s="100">
        <f t="shared" si="590"/>
        <v>0</v>
      </c>
      <c r="AP572" s="100">
        <f t="shared" si="591"/>
        <v>0</v>
      </c>
      <c r="AQ572" s="111" t="s">
        <v>7</v>
      </c>
      <c r="AV572" s="100">
        <f t="shared" si="592"/>
        <v>0</v>
      </c>
      <c r="AW572" s="100">
        <f t="shared" si="593"/>
        <v>0</v>
      </c>
      <c r="AX572" s="100">
        <f t="shared" si="594"/>
        <v>0</v>
      </c>
      <c r="AY572" s="110" t="s">
        <v>1722</v>
      </c>
      <c r="AZ572" s="110" t="s">
        <v>1730</v>
      </c>
      <c r="BA572" s="109" t="s">
        <v>1737</v>
      </c>
      <c r="BC572" s="100">
        <f t="shared" si="595"/>
        <v>0</v>
      </c>
      <c r="BD572" s="100">
        <f t="shared" si="596"/>
        <v>0</v>
      </c>
      <c r="BE572" s="100">
        <v>0</v>
      </c>
      <c r="BF572" s="100">
        <f>572</f>
        <v>572</v>
      </c>
      <c r="BH572" s="108">
        <f t="shared" si="597"/>
        <v>0</v>
      </c>
      <c r="BI572" s="108">
        <f t="shared" si="598"/>
        <v>0</v>
      </c>
      <c r="BJ572" s="108">
        <f t="shared" si="599"/>
        <v>0</v>
      </c>
    </row>
    <row r="573" spans="1:62" x14ac:dyDescent="0.2">
      <c r="A573" s="117" t="s">
        <v>523</v>
      </c>
      <c r="B573" s="117" t="s">
        <v>2601</v>
      </c>
      <c r="C573" s="304" t="s">
        <v>1613</v>
      </c>
      <c r="D573" s="305"/>
      <c r="E573" s="305"/>
      <c r="F573" s="117" t="s">
        <v>1646</v>
      </c>
      <c r="G573" s="116">
        <v>45</v>
      </c>
      <c r="H573" s="159"/>
      <c r="I573" s="108">
        <f t="shared" si="576"/>
        <v>0</v>
      </c>
      <c r="J573" s="108">
        <f t="shared" si="577"/>
        <v>0</v>
      </c>
      <c r="K573" s="108">
        <f t="shared" si="578"/>
        <v>0</v>
      </c>
      <c r="L573" s="111"/>
      <c r="Z573" s="100">
        <f t="shared" si="579"/>
        <v>0</v>
      </c>
      <c r="AB573" s="100">
        <f t="shared" si="580"/>
        <v>0</v>
      </c>
      <c r="AC573" s="100">
        <f t="shared" si="581"/>
        <v>0</v>
      </c>
      <c r="AD573" s="100">
        <f t="shared" si="582"/>
        <v>0</v>
      </c>
      <c r="AE573" s="100">
        <f t="shared" si="583"/>
        <v>0</v>
      </c>
      <c r="AF573" s="100">
        <f t="shared" si="584"/>
        <v>0</v>
      </c>
      <c r="AG573" s="100">
        <f t="shared" si="585"/>
        <v>0</v>
      </c>
      <c r="AH573" s="100">
        <f t="shared" si="586"/>
        <v>0</v>
      </c>
      <c r="AI573" s="109"/>
      <c r="AJ573" s="108">
        <f t="shared" si="587"/>
        <v>0</v>
      </c>
      <c r="AK573" s="108">
        <f t="shared" si="588"/>
        <v>0</v>
      </c>
      <c r="AL573" s="108">
        <f t="shared" si="589"/>
        <v>0</v>
      </c>
      <c r="AN573" s="100">
        <v>15</v>
      </c>
      <c r="AO573" s="100">
        <f t="shared" si="590"/>
        <v>0</v>
      </c>
      <c r="AP573" s="100">
        <f t="shared" si="591"/>
        <v>0</v>
      </c>
      <c r="AQ573" s="111" t="s">
        <v>7</v>
      </c>
      <c r="AV573" s="100">
        <f t="shared" si="592"/>
        <v>0</v>
      </c>
      <c r="AW573" s="100">
        <f t="shared" si="593"/>
        <v>0</v>
      </c>
      <c r="AX573" s="100">
        <f t="shared" si="594"/>
        <v>0</v>
      </c>
      <c r="AY573" s="110" t="s">
        <v>1722</v>
      </c>
      <c r="AZ573" s="110" t="s">
        <v>1730</v>
      </c>
      <c r="BA573" s="109" t="s">
        <v>1737</v>
      </c>
      <c r="BC573" s="100">
        <f t="shared" si="595"/>
        <v>0</v>
      </c>
      <c r="BD573" s="100">
        <f t="shared" si="596"/>
        <v>0</v>
      </c>
      <c r="BE573" s="100">
        <v>0</v>
      </c>
      <c r="BF573" s="100">
        <f>573</f>
        <v>573</v>
      </c>
      <c r="BH573" s="108">
        <f t="shared" si="597"/>
        <v>0</v>
      </c>
      <c r="BI573" s="108">
        <f t="shared" si="598"/>
        <v>0</v>
      </c>
      <c r="BJ573" s="108">
        <f t="shared" si="599"/>
        <v>0</v>
      </c>
    </row>
    <row r="574" spans="1:62" x14ac:dyDescent="0.2">
      <c r="A574" s="117" t="s">
        <v>524</v>
      </c>
      <c r="B574" s="117" t="s">
        <v>2600</v>
      </c>
      <c r="C574" s="304" t="s">
        <v>1614</v>
      </c>
      <c r="D574" s="305"/>
      <c r="E574" s="305"/>
      <c r="F574" s="117" t="s">
        <v>1646</v>
      </c>
      <c r="G574" s="116">
        <v>80</v>
      </c>
      <c r="H574" s="159"/>
      <c r="I574" s="108">
        <f t="shared" si="576"/>
        <v>0</v>
      </c>
      <c r="J574" s="108">
        <f t="shared" si="577"/>
        <v>0</v>
      </c>
      <c r="K574" s="108">
        <f t="shared" si="578"/>
        <v>0</v>
      </c>
      <c r="L574" s="111"/>
      <c r="Z574" s="100">
        <f t="shared" si="579"/>
        <v>0</v>
      </c>
      <c r="AB574" s="100">
        <f t="shared" si="580"/>
        <v>0</v>
      </c>
      <c r="AC574" s="100">
        <f t="shared" si="581"/>
        <v>0</v>
      </c>
      <c r="AD574" s="100">
        <f t="shared" si="582"/>
        <v>0</v>
      </c>
      <c r="AE574" s="100">
        <f t="shared" si="583"/>
        <v>0</v>
      </c>
      <c r="AF574" s="100">
        <f t="shared" si="584"/>
        <v>0</v>
      </c>
      <c r="AG574" s="100">
        <f t="shared" si="585"/>
        <v>0</v>
      </c>
      <c r="AH574" s="100">
        <f t="shared" si="586"/>
        <v>0</v>
      </c>
      <c r="AI574" s="109"/>
      <c r="AJ574" s="108">
        <f t="shared" si="587"/>
        <v>0</v>
      </c>
      <c r="AK574" s="108">
        <f t="shared" si="588"/>
        <v>0</v>
      </c>
      <c r="AL574" s="108">
        <f t="shared" si="589"/>
        <v>0</v>
      </c>
      <c r="AN574" s="100">
        <v>15</v>
      </c>
      <c r="AO574" s="100">
        <f t="shared" si="590"/>
        <v>0</v>
      </c>
      <c r="AP574" s="100">
        <f t="shared" si="591"/>
        <v>0</v>
      </c>
      <c r="AQ574" s="111" t="s">
        <v>7</v>
      </c>
      <c r="AV574" s="100">
        <f t="shared" si="592"/>
        <v>0</v>
      </c>
      <c r="AW574" s="100">
        <f t="shared" si="593"/>
        <v>0</v>
      </c>
      <c r="AX574" s="100">
        <f t="shared" si="594"/>
        <v>0</v>
      </c>
      <c r="AY574" s="110" t="s">
        <v>1722</v>
      </c>
      <c r="AZ574" s="110" t="s">
        <v>1730</v>
      </c>
      <c r="BA574" s="109" t="s">
        <v>1737</v>
      </c>
      <c r="BC574" s="100">
        <f t="shared" si="595"/>
        <v>0</v>
      </c>
      <c r="BD574" s="100">
        <f t="shared" si="596"/>
        <v>0</v>
      </c>
      <c r="BE574" s="100">
        <v>0</v>
      </c>
      <c r="BF574" s="100">
        <f>574</f>
        <v>574</v>
      </c>
      <c r="BH574" s="108">
        <f t="shared" si="597"/>
        <v>0</v>
      </c>
      <c r="BI574" s="108">
        <f t="shared" si="598"/>
        <v>0</v>
      </c>
      <c r="BJ574" s="108">
        <f t="shared" si="599"/>
        <v>0</v>
      </c>
    </row>
    <row r="575" spans="1:62" x14ac:dyDescent="0.2">
      <c r="A575" s="117" t="s">
        <v>525</v>
      </c>
      <c r="B575" s="117" t="s">
        <v>2599</v>
      </c>
      <c r="C575" s="304" t="s">
        <v>1615</v>
      </c>
      <c r="D575" s="305"/>
      <c r="E575" s="305"/>
      <c r="F575" s="117" t="s">
        <v>1646</v>
      </c>
      <c r="G575" s="116">
        <v>30</v>
      </c>
      <c r="H575" s="159"/>
      <c r="I575" s="108">
        <f t="shared" si="576"/>
        <v>0</v>
      </c>
      <c r="J575" s="108">
        <f t="shared" si="577"/>
        <v>0</v>
      </c>
      <c r="K575" s="108">
        <f t="shared" si="578"/>
        <v>0</v>
      </c>
      <c r="L575" s="111"/>
      <c r="Z575" s="100">
        <f t="shared" si="579"/>
        <v>0</v>
      </c>
      <c r="AB575" s="100">
        <f t="shared" si="580"/>
        <v>0</v>
      </c>
      <c r="AC575" s="100">
        <f t="shared" si="581"/>
        <v>0</v>
      </c>
      <c r="AD575" s="100">
        <f t="shared" si="582"/>
        <v>0</v>
      </c>
      <c r="AE575" s="100">
        <f t="shared" si="583"/>
        <v>0</v>
      </c>
      <c r="AF575" s="100">
        <f t="shared" si="584"/>
        <v>0</v>
      </c>
      <c r="AG575" s="100">
        <f t="shared" si="585"/>
        <v>0</v>
      </c>
      <c r="AH575" s="100">
        <f t="shared" si="586"/>
        <v>0</v>
      </c>
      <c r="AI575" s="109"/>
      <c r="AJ575" s="108">
        <f t="shared" si="587"/>
        <v>0</v>
      </c>
      <c r="AK575" s="108">
        <f t="shared" si="588"/>
        <v>0</v>
      </c>
      <c r="AL575" s="108">
        <f t="shared" si="589"/>
        <v>0</v>
      </c>
      <c r="AN575" s="100">
        <v>15</v>
      </c>
      <c r="AO575" s="100">
        <f t="shared" si="590"/>
        <v>0</v>
      </c>
      <c r="AP575" s="100">
        <f t="shared" si="591"/>
        <v>0</v>
      </c>
      <c r="AQ575" s="111" t="s">
        <v>7</v>
      </c>
      <c r="AV575" s="100">
        <f t="shared" si="592"/>
        <v>0</v>
      </c>
      <c r="AW575" s="100">
        <f t="shared" si="593"/>
        <v>0</v>
      </c>
      <c r="AX575" s="100">
        <f t="shared" si="594"/>
        <v>0</v>
      </c>
      <c r="AY575" s="110" t="s">
        <v>1722</v>
      </c>
      <c r="AZ575" s="110" t="s">
        <v>1730</v>
      </c>
      <c r="BA575" s="109" t="s">
        <v>1737</v>
      </c>
      <c r="BC575" s="100">
        <f t="shared" si="595"/>
        <v>0</v>
      </c>
      <c r="BD575" s="100">
        <f t="shared" si="596"/>
        <v>0</v>
      </c>
      <c r="BE575" s="100">
        <v>0</v>
      </c>
      <c r="BF575" s="100">
        <f>575</f>
        <v>575</v>
      </c>
      <c r="BH575" s="108">
        <f t="shared" si="597"/>
        <v>0</v>
      </c>
      <c r="BI575" s="108">
        <f t="shared" si="598"/>
        <v>0</v>
      </c>
      <c r="BJ575" s="108">
        <f t="shared" si="599"/>
        <v>0</v>
      </c>
    </row>
    <row r="576" spans="1:62" x14ac:dyDescent="0.2">
      <c r="A576" s="117" t="s">
        <v>526</v>
      </c>
      <c r="B576" s="117" t="s">
        <v>2598</v>
      </c>
      <c r="C576" s="304" t="s">
        <v>1616</v>
      </c>
      <c r="D576" s="305"/>
      <c r="E576" s="305"/>
      <c r="F576" s="117" t="s">
        <v>1646</v>
      </c>
      <c r="G576" s="116">
        <v>30</v>
      </c>
      <c r="H576" s="159"/>
      <c r="I576" s="108">
        <f t="shared" si="576"/>
        <v>0</v>
      </c>
      <c r="J576" s="108">
        <f t="shared" si="577"/>
        <v>0</v>
      </c>
      <c r="K576" s="108">
        <f t="shared" si="578"/>
        <v>0</v>
      </c>
      <c r="L576" s="111"/>
      <c r="Z576" s="100">
        <f t="shared" si="579"/>
        <v>0</v>
      </c>
      <c r="AB576" s="100">
        <f t="shared" si="580"/>
        <v>0</v>
      </c>
      <c r="AC576" s="100">
        <f t="shared" si="581"/>
        <v>0</v>
      </c>
      <c r="AD576" s="100">
        <f t="shared" si="582"/>
        <v>0</v>
      </c>
      <c r="AE576" s="100">
        <f t="shared" si="583"/>
        <v>0</v>
      </c>
      <c r="AF576" s="100">
        <f t="shared" si="584"/>
        <v>0</v>
      </c>
      <c r="AG576" s="100">
        <f t="shared" si="585"/>
        <v>0</v>
      </c>
      <c r="AH576" s="100">
        <f t="shared" si="586"/>
        <v>0</v>
      </c>
      <c r="AI576" s="109"/>
      <c r="AJ576" s="108">
        <f t="shared" si="587"/>
        <v>0</v>
      </c>
      <c r="AK576" s="108">
        <f t="shared" si="588"/>
        <v>0</v>
      </c>
      <c r="AL576" s="108">
        <f t="shared" si="589"/>
        <v>0</v>
      </c>
      <c r="AN576" s="100">
        <v>15</v>
      </c>
      <c r="AO576" s="100">
        <f t="shared" si="590"/>
        <v>0</v>
      </c>
      <c r="AP576" s="100">
        <f t="shared" si="591"/>
        <v>0</v>
      </c>
      <c r="AQ576" s="111" t="s">
        <v>7</v>
      </c>
      <c r="AV576" s="100">
        <f t="shared" si="592"/>
        <v>0</v>
      </c>
      <c r="AW576" s="100">
        <f t="shared" si="593"/>
        <v>0</v>
      </c>
      <c r="AX576" s="100">
        <f t="shared" si="594"/>
        <v>0</v>
      </c>
      <c r="AY576" s="110" t="s">
        <v>1722</v>
      </c>
      <c r="AZ576" s="110" t="s">
        <v>1730</v>
      </c>
      <c r="BA576" s="109" t="s">
        <v>1737</v>
      </c>
      <c r="BC576" s="100">
        <f t="shared" si="595"/>
        <v>0</v>
      </c>
      <c r="BD576" s="100">
        <f t="shared" si="596"/>
        <v>0</v>
      </c>
      <c r="BE576" s="100">
        <v>0</v>
      </c>
      <c r="BF576" s="100">
        <f>576</f>
        <v>576</v>
      </c>
      <c r="BH576" s="108">
        <f t="shared" si="597"/>
        <v>0</v>
      </c>
      <c r="BI576" s="108">
        <f t="shared" si="598"/>
        <v>0</v>
      </c>
      <c r="BJ576" s="108">
        <f t="shared" si="599"/>
        <v>0</v>
      </c>
    </row>
    <row r="577" spans="1:62" x14ac:dyDescent="0.2">
      <c r="A577" s="117" t="s">
        <v>527</v>
      </c>
      <c r="B577" s="117" t="s">
        <v>2597</v>
      </c>
      <c r="C577" s="304" t="s">
        <v>1617</v>
      </c>
      <c r="D577" s="305"/>
      <c r="E577" s="305"/>
      <c r="F577" s="117" t="s">
        <v>1646</v>
      </c>
      <c r="G577" s="116">
        <v>20</v>
      </c>
      <c r="H577" s="159"/>
      <c r="I577" s="108">
        <f t="shared" si="576"/>
        <v>0</v>
      </c>
      <c r="J577" s="108">
        <f t="shared" si="577"/>
        <v>0</v>
      </c>
      <c r="K577" s="108">
        <f t="shared" si="578"/>
        <v>0</v>
      </c>
      <c r="L577" s="111"/>
      <c r="Z577" s="100">
        <f t="shared" si="579"/>
        <v>0</v>
      </c>
      <c r="AB577" s="100">
        <f t="shared" si="580"/>
        <v>0</v>
      </c>
      <c r="AC577" s="100">
        <f t="shared" si="581"/>
        <v>0</v>
      </c>
      <c r="AD577" s="100">
        <f t="shared" si="582"/>
        <v>0</v>
      </c>
      <c r="AE577" s="100">
        <f t="shared" si="583"/>
        <v>0</v>
      </c>
      <c r="AF577" s="100">
        <f t="shared" si="584"/>
        <v>0</v>
      </c>
      <c r="AG577" s="100">
        <f t="shared" si="585"/>
        <v>0</v>
      </c>
      <c r="AH577" s="100">
        <f t="shared" si="586"/>
        <v>0</v>
      </c>
      <c r="AI577" s="109"/>
      <c r="AJ577" s="108">
        <f t="shared" si="587"/>
        <v>0</v>
      </c>
      <c r="AK577" s="108">
        <f t="shared" si="588"/>
        <v>0</v>
      </c>
      <c r="AL577" s="108">
        <f t="shared" si="589"/>
        <v>0</v>
      </c>
      <c r="AN577" s="100">
        <v>15</v>
      </c>
      <c r="AO577" s="100">
        <f t="shared" si="590"/>
        <v>0</v>
      </c>
      <c r="AP577" s="100">
        <f t="shared" si="591"/>
        <v>0</v>
      </c>
      <c r="AQ577" s="111" t="s">
        <v>7</v>
      </c>
      <c r="AV577" s="100">
        <f t="shared" si="592"/>
        <v>0</v>
      </c>
      <c r="AW577" s="100">
        <f t="shared" si="593"/>
        <v>0</v>
      </c>
      <c r="AX577" s="100">
        <f t="shared" si="594"/>
        <v>0</v>
      </c>
      <c r="AY577" s="110" t="s">
        <v>1722</v>
      </c>
      <c r="AZ577" s="110" t="s">
        <v>1730</v>
      </c>
      <c r="BA577" s="109" t="s">
        <v>1737</v>
      </c>
      <c r="BC577" s="100">
        <f t="shared" si="595"/>
        <v>0</v>
      </c>
      <c r="BD577" s="100">
        <f t="shared" si="596"/>
        <v>0</v>
      </c>
      <c r="BE577" s="100">
        <v>0</v>
      </c>
      <c r="BF577" s="100">
        <f>577</f>
        <v>577</v>
      </c>
      <c r="BH577" s="108">
        <f t="shared" si="597"/>
        <v>0</v>
      </c>
      <c r="BI577" s="108">
        <f t="shared" si="598"/>
        <v>0</v>
      </c>
      <c r="BJ577" s="108">
        <f t="shared" si="599"/>
        <v>0</v>
      </c>
    </row>
    <row r="578" spans="1:62" x14ac:dyDescent="0.2">
      <c r="A578" s="117" t="s">
        <v>528</v>
      </c>
      <c r="B578" s="117" t="s">
        <v>2596</v>
      </c>
      <c r="C578" s="304" t="s">
        <v>1618</v>
      </c>
      <c r="D578" s="305"/>
      <c r="E578" s="305"/>
      <c r="F578" s="117" t="s">
        <v>1646</v>
      </c>
      <c r="G578" s="116">
        <v>25</v>
      </c>
      <c r="H578" s="159"/>
      <c r="I578" s="108">
        <f t="shared" si="576"/>
        <v>0</v>
      </c>
      <c r="J578" s="108">
        <f t="shared" si="577"/>
        <v>0</v>
      </c>
      <c r="K578" s="108">
        <f t="shared" si="578"/>
        <v>0</v>
      </c>
      <c r="L578" s="111"/>
      <c r="Z578" s="100">
        <f t="shared" si="579"/>
        <v>0</v>
      </c>
      <c r="AB578" s="100">
        <f t="shared" si="580"/>
        <v>0</v>
      </c>
      <c r="AC578" s="100">
        <f t="shared" si="581"/>
        <v>0</v>
      </c>
      <c r="AD578" s="100">
        <f t="shared" si="582"/>
        <v>0</v>
      </c>
      <c r="AE578" s="100">
        <f t="shared" si="583"/>
        <v>0</v>
      </c>
      <c r="AF578" s="100">
        <f t="shared" si="584"/>
        <v>0</v>
      </c>
      <c r="AG578" s="100">
        <f t="shared" si="585"/>
        <v>0</v>
      </c>
      <c r="AH578" s="100">
        <f t="shared" si="586"/>
        <v>0</v>
      </c>
      <c r="AI578" s="109"/>
      <c r="AJ578" s="108">
        <f t="shared" si="587"/>
        <v>0</v>
      </c>
      <c r="AK578" s="108">
        <f t="shared" si="588"/>
        <v>0</v>
      </c>
      <c r="AL578" s="108">
        <f t="shared" si="589"/>
        <v>0</v>
      </c>
      <c r="AN578" s="100">
        <v>15</v>
      </c>
      <c r="AO578" s="100">
        <f t="shared" si="590"/>
        <v>0</v>
      </c>
      <c r="AP578" s="100">
        <f t="shared" si="591"/>
        <v>0</v>
      </c>
      <c r="AQ578" s="111" t="s">
        <v>7</v>
      </c>
      <c r="AV578" s="100">
        <f t="shared" si="592"/>
        <v>0</v>
      </c>
      <c r="AW578" s="100">
        <f t="shared" si="593"/>
        <v>0</v>
      </c>
      <c r="AX578" s="100">
        <f t="shared" si="594"/>
        <v>0</v>
      </c>
      <c r="AY578" s="110" t="s">
        <v>1722</v>
      </c>
      <c r="AZ578" s="110" t="s">
        <v>1730</v>
      </c>
      <c r="BA578" s="109" t="s">
        <v>1737</v>
      </c>
      <c r="BC578" s="100">
        <f t="shared" si="595"/>
        <v>0</v>
      </c>
      <c r="BD578" s="100">
        <f t="shared" si="596"/>
        <v>0</v>
      </c>
      <c r="BE578" s="100">
        <v>0</v>
      </c>
      <c r="BF578" s="100">
        <f>578</f>
        <v>578</v>
      </c>
      <c r="BH578" s="108">
        <f t="shared" si="597"/>
        <v>0</v>
      </c>
      <c r="BI578" s="108">
        <f t="shared" si="598"/>
        <v>0</v>
      </c>
      <c r="BJ578" s="108">
        <f t="shared" si="599"/>
        <v>0</v>
      </c>
    </row>
    <row r="579" spans="1:62" x14ac:dyDescent="0.2">
      <c r="A579" s="117" t="s">
        <v>529</v>
      </c>
      <c r="B579" s="117" t="s">
        <v>2595</v>
      </c>
      <c r="C579" s="304" t="s">
        <v>1619</v>
      </c>
      <c r="D579" s="305"/>
      <c r="E579" s="305"/>
      <c r="F579" s="117" t="s">
        <v>1644</v>
      </c>
      <c r="G579" s="116">
        <v>1</v>
      </c>
      <c r="H579" s="159"/>
      <c r="I579" s="108">
        <f t="shared" si="576"/>
        <v>0</v>
      </c>
      <c r="J579" s="108">
        <f t="shared" si="577"/>
        <v>0</v>
      </c>
      <c r="K579" s="108">
        <f t="shared" si="578"/>
        <v>0</v>
      </c>
      <c r="L579" s="111"/>
      <c r="Z579" s="100">
        <f t="shared" si="579"/>
        <v>0</v>
      </c>
      <c r="AB579" s="100">
        <f t="shared" si="580"/>
        <v>0</v>
      </c>
      <c r="AC579" s="100">
        <f t="shared" si="581"/>
        <v>0</v>
      </c>
      <c r="AD579" s="100">
        <f t="shared" si="582"/>
        <v>0</v>
      </c>
      <c r="AE579" s="100">
        <f t="shared" si="583"/>
        <v>0</v>
      </c>
      <c r="AF579" s="100">
        <f t="shared" si="584"/>
        <v>0</v>
      </c>
      <c r="AG579" s="100">
        <f t="shared" si="585"/>
        <v>0</v>
      </c>
      <c r="AH579" s="100">
        <f t="shared" si="586"/>
        <v>0</v>
      </c>
      <c r="AI579" s="109"/>
      <c r="AJ579" s="108">
        <f t="shared" si="587"/>
        <v>0</v>
      </c>
      <c r="AK579" s="108">
        <f t="shared" si="588"/>
        <v>0</v>
      </c>
      <c r="AL579" s="108">
        <f t="shared" si="589"/>
        <v>0</v>
      </c>
      <c r="AN579" s="100">
        <v>15</v>
      </c>
      <c r="AO579" s="100">
        <f t="shared" si="590"/>
        <v>0</v>
      </c>
      <c r="AP579" s="100">
        <f t="shared" si="591"/>
        <v>0</v>
      </c>
      <c r="AQ579" s="111" t="s">
        <v>7</v>
      </c>
      <c r="AV579" s="100">
        <f t="shared" si="592"/>
        <v>0</v>
      </c>
      <c r="AW579" s="100">
        <f t="shared" si="593"/>
        <v>0</v>
      </c>
      <c r="AX579" s="100">
        <f t="shared" si="594"/>
        <v>0</v>
      </c>
      <c r="AY579" s="110" t="s">
        <v>1722</v>
      </c>
      <c r="AZ579" s="110" t="s">
        <v>1730</v>
      </c>
      <c r="BA579" s="109" t="s">
        <v>1737</v>
      </c>
      <c r="BC579" s="100">
        <f t="shared" si="595"/>
        <v>0</v>
      </c>
      <c r="BD579" s="100">
        <f t="shared" si="596"/>
        <v>0</v>
      </c>
      <c r="BE579" s="100">
        <v>0</v>
      </c>
      <c r="BF579" s="100">
        <f>579</f>
        <v>579</v>
      </c>
      <c r="BH579" s="108">
        <f t="shared" si="597"/>
        <v>0</v>
      </c>
      <c r="BI579" s="108">
        <f t="shared" si="598"/>
        <v>0</v>
      </c>
      <c r="BJ579" s="108">
        <f t="shared" si="599"/>
        <v>0</v>
      </c>
    </row>
    <row r="580" spans="1:62" x14ac:dyDescent="0.2">
      <c r="A580" s="117" t="s">
        <v>530</v>
      </c>
      <c r="B580" s="117" t="s">
        <v>2594</v>
      </c>
      <c r="C580" s="304" t="s">
        <v>1620</v>
      </c>
      <c r="D580" s="305"/>
      <c r="E580" s="305"/>
      <c r="F580" s="117" t="s">
        <v>1644</v>
      </c>
      <c r="G580" s="116">
        <v>1</v>
      </c>
      <c r="H580" s="159"/>
      <c r="I580" s="108">
        <f t="shared" ref="I580:I590" si="600">G580*AO580</f>
        <v>0</v>
      </c>
      <c r="J580" s="108">
        <f t="shared" ref="J580:J590" si="601">G580*AP580</f>
        <v>0</v>
      </c>
      <c r="K580" s="108">
        <f t="shared" ref="K580:K590" si="602">G580*H580</f>
        <v>0</v>
      </c>
      <c r="L580" s="111"/>
      <c r="Z580" s="100">
        <f t="shared" ref="Z580:Z590" si="603">IF(AQ580="5",BJ580,0)</f>
        <v>0</v>
      </c>
      <c r="AB580" s="100">
        <f t="shared" ref="AB580:AB590" si="604">IF(AQ580="1",BH580,0)</f>
        <v>0</v>
      </c>
      <c r="AC580" s="100">
        <f t="shared" ref="AC580:AC590" si="605">IF(AQ580="1",BI580,0)</f>
        <v>0</v>
      </c>
      <c r="AD580" s="100">
        <f t="shared" ref="AD580:AD590" si="606">IF(AQ580="7",BH580,0)</f>
        <v>0</v>
      </c>
      <c r="AE580" s="100">
        <f t="shared" ref="AE580:AE590" si="607">IF(AQ580="7",BI580,0)</f>
        <v>0</v>
      </c>
      <c r="AF580" s="100">
        <f t="shared" ref="AF580:AF590" si="608">IF(AQ580="2",BH580,0)</f>
        <v>0</v>
      </c>
      <c r="AG580" s="100">
        <f t="shared" ref="AG580:AG590" si="609">IF(AQ580="2",BI580,0)</f>
        <v>0</v>
      </c>
      <c r="AH580" s="100">
        <f t="shared" ref="AH580:AH590" si="610">IF(AQ580="0",BJ580,0)</f>
        <v>0</v>
      </c>
      <c r="AI580" s="109"/>
      <c r="AJ580" s="108">
        <f t="shared" ref="AJ580:AJ590" si="611">IF(AN580=0,K580,0)</f>
        <v>0</v>
      </c>
      <c r="AK580" s="108">
        <f t="shared" ref="AK580:AK590" si="612">IF(AN580=15,K580,0)</f>
        <v>0</v>
      </c>
      <c r="AL580" s="108">
        <f t="shared" ref="AL580:AL590" si="613">IF(AN580=21,K580,0)</f>
        <v>0</v>
      </c>
      <c r="AN580" s="100">
        <v>15</v>
      </c>
      <c r="AO580" s="100">
        <f t="shared" ref="AO580:AO590" si="614">H580*0</f>
        <v>0</v>
      </c>
      <c r="AP580" s="100">
        <f t="shared" ref="AP580:AP590" si="615">H580*(1-0)</f>
        <v>0</v>
      </c>
      <c r="AQ580" s="111" t="s">
        <v>7</v>
      </c>
      <c r="AV580" s="100">
        <f t="shared" ref="AV580:AV590" si="616">AW580+AX580</f>
        <v>0</v>
      </c>
      <c r="AW580" s="100">
        <f t="shared" ref="AW580:AW590" si="617">G580*AO580</f>
        <v>0</v>
      </c>
      <c r="AX580" s="100">
        <f t="shared" ref="AX580:AX590" si="618">G580*AP580</f>
        <v>0</v>
      </c>
      <c r="AY580" s="110" t="s">
        <v>1722</v>
      </c>
      <c r="AZ580" s="110" t="s">
        <v>1730</v>
      </c>
      <c r="BA580" s="109" t="s">
        <v>1737</v>
      </c>
      <c r="BC580" s="100">
        <f t="shared" ref="BC580:BC590" si="619">AW580+AX580</f>
        <v>0</v>
      </c>
      <c r="BD580" s="100">
        <f t="shared" ref="BD580:BD590" si="620">H580/(100-BE580)*100</f>
        <v>0</v>
      </c>
      <c r="BE580" s="100">
        <v>0</v>
      </c>
      <c r="BF580" s="100">
        <f>580</f>
        <v>580</v>
      </c>
      <c r="BH580" s="108">
        <f t="shared" ref="BH580:BH590" si="621">G580*AO580</f>
        <v>0</v>
      </c>
      <c r="BI580" s="108">
        <f t="shared" ref="BI580:BI590" si="622">G580*AP580</f>
        <v>0</v>
      </c>
      <c r="BJ580" s="108">
        <f t="shared" ref="BJ580:BJ590" si="623">G580*H580</f>
        <v>0</v>
      </c>
    </row>
    <row r="581" spans="1:62" x14ac:dyDescent="0.2">
      <c r="A581" s="117" t="s">
        <v>531</v>
      </c>
      <c r="B581" s="117" t="s">
        <v>2593</v>
      </c>
      <c r="C581" s="304" t="s">
        <v>1621</v>
      </c>
      <c r="D581" s="305"/>
      <c r="E581" s="305"/>
      <c r="F581" s="117" t="s">
        <v>1644</v>
      </c>
      <c r="G581" s="116">
        <v>1</v>
      </c>
      <c r="H581" s="159"/>
      <c r="I581" s="108">
        <f t="shared" si="600"/>
        <v>0</v>
      </c>
      <c r="J581" s="108">
        <f t="shared" si="601"/>
        <v>0</v>
      </c>
      <c r="K581" s="108">
        <f t="shared" si="602"/>
        <v>0</v>
      </c>
      <c r="L581" s="111"/>
      <c r="Z581" s="100">
        <f t="shared" si="603"/>
        <v>0</v>
      </c>
      <c r="AB581" s="100">
        <f t="shared" si="604"/>
        <v>0</v>
      </c>
      <c r="AC581" s="100">
        <f t="shared" si="605"/>
        <v>0</v>
      </c>
      <c r="AD581" s="100">
        <f t="shared" si="606"/>
        <v>0</v>
      </c>
      <c r="AE581" s="100">
        <f t="shared" si="607"/>
        <v>0</v>
      </c>
      <c r="AF581" s="100">
        <f t="shared" si="608"/>
        <v>0</v>
      </c>
      <c r="AG581" s="100">
        <f t="shared" si="609"/>
        <v>0</v>
      </c>
      <c r="AH581" s="100">
        <f t="shared" si="610"/>
        <v>0</v>
      </c>
      <c r="AI581" s="109"/>
      <c r="AJ581" s="108">
        <f t="shared" si="611"/>
        <v>0</v>
      </c>
      <c r="AK581" s="108">
        <f t="shared" si="612"/>
        <v>0</v>
      </c>
      <c r="AL581" s="108">
        <f t="shared" si="613"/>
        <v>0</v>
      </c>
      <c r="AN581" s="100">
        <v>15</v>
      </c>
      <c r="AO581" s="100">
        <f t="shared" si="614"/>
        <v>0</v>
      </c>
      <c r="AP581" s="100">
        <f t="shared" si="615"/>
        <v>0</v>
      </c>
      <c r="AQ581" s="111" t="s">
        <v>7</v>
      </c>
      <c r="AV581" s="100">
        <f t="shared" si="616"/>
        <v>0</v>
      </c>
      <c r="AW581" s="100">
        <f t="shared" si="617"/>
        <v>0</v>
      </c>
      <c r="AX581" s="100">
        <f t="shared" si="618"/>
        <v>0</v>
      </c>
      <c r="AY581" s="110" t="s">
        <v>1722</v>
      </c>
      <c r="AZ581" s="110" t="s">
        <v>1730</v>
      </c>
      <c r="BA581" s="109" t="s">
        <v>1737</v>
      </c>
      <c r="BC581" s="100">
        <f t="shared" si="619"/>
        <v>0</v>
      </c>
      <c r="BD581" s="100">
        <f t="shared" si="620"/>
        <v>0</v>
      </c>
      <c r="BE581" s="100">
        <v>0</v>
      </c>
      <c r="BF581" s="100">
        <f>581</f>
        <v>581</v>
      </c>
      <c r="BH581" s="108">
        <f t="shared" si="621"/>
        <v>0</v>
      </c>
      <c r="BI581" s="108">
        <f t="shared" si="622"/>
        <v>0</v>
      </c>
      <c r="BJ581" s="108">
        <f t="shared" si="623"/>
        <v>0</v>
      </c>
    </row>
    <row r="582" spans="1:62" x14ac:dyDescent="0.2">
      <c r="A582" s="117" t="s">
        <v>532</v>
      </c>
      <c r="B582" s="117" t="s">
        <v>2592</v>
      </c>
      <c r="C582" s="304" t="s">
        <v>1622</v>
      </c>
      <c r="D582" s="305"/>
      <c r="E582" s="305"/>
      <c r="F582" s="117" t="s">
        <v>1644</v>
      </c>
      <c r="G582" s="116">
        <v>1</v>
      </c>
      <c r="H582" s="159"/>
      <c r="I582" s="108">
        <f t="shared" si="600"/>
        <v>0</v>
      </c>
      <c r="J582" s="108">
        <f t="shared" si="601"/>
        <v>0</v>
      </c>
      <c r="K582" s="108">
        <f t="shared" si="602"/>
        <v>0</v>
      </c>
      <c r="L582" s="111"/>
      <c r="Z582" s="100">
        <f t="shared" si="603"/>
        <v>0</v>
      </c>
      <c r="AB582" s="100">
        <f t="shared" si="604"/>
        <v>0</v>
      </c>
      <c r="AC582" s="100">
        <f t="shared" si="605"/>
        <v>0</v>
      </c>
      <c r="AD582" s="100">
        <f t="shared" si="606"/>
        <v>0</v>
      </c>
      <c r="AE582" s="100">
        <f t="shared" si="607"/>
        <v>0</v>
      </c>
      <c r="AF582" s="100">
        <f t="shared" si="608"/>
        <v>0</v>
      </c>
      <c r="AG582" s="100">
        <f t="shared" si="609"/>
        <v>0</v>
      </c>
      <c r="AH582" s="100">
        <f t="shared" si="610"/>
        <v>0</v>
      </c>
      <c r="AI582" s="109"/>
      <c r="AJ582" s="108">
        <f t="shared" si="611"/>
        <v>0</v>
      </c>
      <c r="AK582" s="108">
        <f t="shared" si="612"/>
        <v>0</v>
      </c>
      <c r="AL582" s="108">
        <f t="shared" si="613"/>
        <v>0</v>
      </c>
      <c r="AN582" s="100">
        <v>15</v>
      </c>
      <c r="AO582" s="100">
        <f t="shared" si="614"/>
        <v>0</v>
      </c>
      <c r="AP582" s="100">
        <f t="shared" si="615"/>
        <v>0</v>
      </c>
      <c r="AQ582" s="111" t="s">
        <v>7</v>
      </c>
      <c r="AV582" s="100">
        <f t="shared" si="616"/>
        <v>0</v>
      </c>
      <c r="AW582" s="100">
        <f t="shared" si="617"/>
        <v>0</v>
      </c>
      <c r="AX582" s="100">
        <f t="shared" si="618"/>
        <v>0</v>
      </c>
      <c r="AY582" s="110" t="s">
        <v>1722</v>
      </c>
      <c r="AZ582" s="110" t="s">
        <v>1730</v>
      </c>
      <c r="BA582" s="109" t="s">
        <v>1737</v>
      </c>
      <c r="BC582" s="100">
        <f t="shared" si="619"/>
        <v>0</v>
      </c>
      <c r="BD582" s="100">
        <f t="shared" si="620"/>
        <v>0</v>
      </c>
      <c r="BE582" s="100">
        <v>0</v>
      </c>
      <c r="BF582" s="100">
        <f>582</f>
        <v>582</v>
      </c>
      <c r="BH582" s="108">
        <f t="shared" si="621"/>
        <v>0</v>
      </c>
      <c r="BI582" s="108">
        <f t="shared" si="622"/>
        <v>0</v>
      </c>
      <c r="BJ582" s="108">
        <f t="shared" si="623"/>
        <v>0</v>
      </c>
    </row>
    <row r="583" spans="1:62" x14ac:dyDescent="0.2">
      <c r="A583" s="117" t="s">
        <v>533</v>
      </c>
      <c r="B583" s="117" t="s">
        <v>2591</v>
      </c>
      <c r="C583" s="304" t="s">
        <v>1623</v>
      </c>
      <c r="D583" s="305"/>
      <c r="E583" s="305"/>
      <c r="F583" s="117" t="s">
        <v>1644</v>
      </c>
      <c r="G583" s="116">
        <v>1</v>
      </c>
      <c r="H583" s="159"/>
      <c r="I583" s="108">
        <f t="shared" si="600"/>
        <v>0</v>
      </c>
      <c r="J583" s="108">
        <f t="shared" si="601"/>
        <v>0</v>
      </c>
      <c r="K583" s="108">
        <f t="shared" si="602"/>
        <v>0</v>
      </c>
      <c r="L583" s="111"/>
      <c r="Z583" s="100">
        <f t="shared" si="603"/>
        <v>0</v>
      </c>
      <c r="AB583" s="100">
        <f t="shared" si="604"/>
        <v>0</v>
      </c>
      <c r="AC583" s="100">
        <f t="shared" si="605"/>
        <v>0</v>
      </c>
      <c r="AD583" s="100">
        <f t="shared" si="606"/>
        <v>0</v>
      </c>
      <c r="AE583" s="100">
        <f t="shared" si="607"/>
        <v>0</v>
      </c>
      <c r="AF583" s="100">
        <f t="shared" si="608"/>
        <v>0</v>
      </c>
      <c r="AG583" s="100">
        <f t="shared" si="609"/>
        <v>0</v>
      </c>
      <c r="AH583" s="100">
        <f t="shared" si="610"/>
        <v>0</v>
      </c>
      <c r="AI583" s="109"/>
      <c r="AJ583" s="108">
        <f t="shared" si="611"/>
        <v>0</v>
      </c>
      <c r="AK583" s="108">
        <f t="shared" si="612"/>
        <v>0</v>
      </c>
      <c r="AL583" s="108">
        <f t="shared" si="613"/>
        <v>0</v>
      </c>
      <c r="AN583" s="100">
        <v>15</v>
      </c>
      <c r="AO583" s="100">
        <f t="shared" si="614"/>
        <v>0</v>
      </c>
      <c r="AP583" s="100">
        <f t="shared" si="615"/>
        <v>0</v>
      </c>
      <c r="AQ583" s="111" t="s">
        <v>7</v>
      </c>
      <c r="AV583" s="100">
        <f t="shared" si="616"/>
        <v>0</v>
      </c>
      <c r="AW583" s="100">
        <f t="shared" si="617"/>
        <v>0</v>
      </c>
      <c r="AX583" s="100">
        <f t="shared" si="618"/>
        <v>0</v>
      </c>
      <c r="AY583" s="110" t="s">
        <v>1722</v>
      </c>
      <c r="AZ583" s="110" t="s">
        <v>1730</v>
      </c>
      <c r="BA583" s="109" t="s">
        <v>1737</v>
      </c>
      <c r="BC583" s="100">
        <f t="shared" si="619"/>
        <v>0</v>
      </c>
      <c r="BD583" s="100">
        <f t="shared" si="620"/>
        <v>0</v>
      </c>
      <c r="BE583" s="100">
        <v>0</v>
      </c>
      <c r="BF583" s="100">
        <f>583</f>
        <v>583</v>
      </c>
      <c r="BH583" s="108">
        <f t="shared" si="621"/>
        <v>0</v>
      </c>
      <c r="BI583" s="108">
        <f t="shared" si="622"/>
        <v>0</v>
      </c>
      <c r="BJ583" s="108">
        <f t="shared" si="623"/>
        <v>0</v>
      </c>
    </row>
    <row r="584" spans="1:62" x14ac:dyDescent="0.2">
      <c r="A584" s="117" t="s">
        <v>534</v>
      </c>
      <c r="B584" s="117" t="s">
        <v>2590</v>
      </c>
      <c r="C584" s="304" t="s">
        <v>1624</v>
      </c>
      <c r="D584" s="305"/>
      <c r="E584" s="305"/>
      <c r="F584" s="117" t="s">
        <v>1644</v>
      </c>
      <c r="G584" s="116">
        <v>1</v>
      </c>
      <c r="H584" s="159"/>
      <c r="I584" s="108">
        <f t="shared" si="600"/>
        <v>0</v>
      </c>
      <c r="J584" s="108">
        <f t="shared" si="601"/>
        <v>0</v>
      </c>
      <c r="K584" s="108">
        <f t="shared" si="602"/>
        <v>0</v>
      </c>
      <c r="L584" s="111"/>
      <c r="Z584" s="100">
        <f t="shared" si="603"/>
        <v>0</v>
      </c>
      <c r="AB584" s="100">
        <f t="shared" si="604"/>
        <v>0</v>
      </c>
      <c r="AC584" s="100">
        <f t="shared" si="605"/>
        <v>0</v>
      </c>
      <c r="AD584" s="100">
        <f t="shared" si="606"/>
        <v>0</v>
      </c>
      <c r="AE584" s="100">
        <f t="shared" si="607"/>
        <v>0</v>
      </c>
      <c r="AF584" s="100">
        <f t="shared" si="608"/>
        <v>0</v>
      </c>
      <c r="AG584" s="100">
        <f t="shared" si="609"/>
        <v>0</v>
      </c>
      <c r="AH584" s="100">
        <f t="shared" si="610"/>
        <v>0</v>
      </c>
      <c r="AI584" s="109"/>
      <c r="AJ584" s="108">
        <f t="shared" si="611"/>
        <v>0</v>
      </c>
      <c r="AK584" s="108">
        <f t="shared" si="612"/>
        <v>0</v>
      </c>
      <c r="AL584" s="108">
        <f t="shared" si="613"/>
        <v>0</v>
      </c>
      <c r="AN584" s="100">
        <v>15</v>
      </c>
      <c r="AO584" s="100">
        <f t="shared" si="614"/>
        <v>0</v>
      </c>
      <c r="AP584" s="100">
        <f t="shared" si="615"/>
        <v>0</v>
      </c>
      <c r="AQ584" s="111" t="s">
        <v>7</v>
      </c>
      <c r="AV584" s="100">
        <f t="shared" si="616"/>
        <v>0</v>
      </c>
      <c r="AW584" s="100">
        <f t="shared" si="617"/>
        <v>0</v>
      </c>
      <c r="AX584" s="100">
        <f t="shared" si="618"/>
        <v>0</v>
      </c>
      <c r="AY584" s="110" t="s">
        <v>1722</v>
      </c>
      <c r="AZ584" s="110" t="s">
        <v>1730</v>
      </c>
      <c r="BA584" s="109" t="s">
        <v>1737</v>
      </c>
      <c r="BC584" s="100">
        <f t="shared" si="619"/>
        <v>0</v>
      </c>
      <c r="BD584" s="100">
        <f t="shared" si="620"/>
        <v>0</v>
      </c>
      <c r="BE584" s="100">
        <v>0</v>
      </c>
      <c r="BF584" s="100">
        <f>584</f>
        <v>584</v>
      </c>
      <c r="BH584" s="108">
        <f t="shared" si="621"/>
        <v>0</v>
      </c>
      <c r="BI584" s="108">
        <f t="shared" si="622"/>
        <v>0</v>
      </c>
      <c r="BJ584" s="108">
        <f t="shared" si="623"/>
        <v>0</v>
      </c>
    </row>
    <row r="585" spans="1:62" x14ac:dyDescent="0.2">
      <c r="A585" s="117" t="s">
        <v>535</v>
      </c>
      <c r="B585" s="117" t="s">
        <v>2589</v>
      </c>
      <c r="C585" s="304" t="s">
        <v>1625</v>
      </c>
      <c r="D585" s="305"/>
      <c r="E585" s="305"/>
      <c r="F585" s="117" t="s">
        <v>1644</v>
      </c>
      <c r="G585" s="116">
        <v>1</v>
      </c>
      <c r="H585" s="159"/>
      <c r="I585" s="108">
        <f t="shared" si="600"/>
        <v>0</v>
      </c>
      <c r="J585" s="108">
        <f t="shared" si="601"/>
        <v>0</v>
      </c>
      <c r="K585" s="108">
        <f t="shared" si="602"/>
        <v>0</v>
      </c>
      <c r="L585" s="111"/>
      <c r="Z585" s="100">
        <f t="shared" si="603"/>
        <v>0</v>
      </c>
      <c r="AB585" s="100">
        <f t="shared" si="604"/>
        <v>0</v>
      </c>
      <c r="AC585" s="100">
        <f t="shared" si="605"/>
        <v>0</v>
      </c>
      <c r="AD585" s="100">
        <f t="shared" si="606"/>
        <v>0</v>
      </c>
      <c r="AE585" s="100">
        <f t="shared" si="607"/>
        <v>0</v>
      </c>
      <c r="AF585" s="100">
        <f t="shared" si="608"/>
        <v>0</v>
      </c>
      <c r="AG585" s="100">
        <f t="shared" si="609"/>
        <v>0</v>
      </c>
      <c r="AH585" s="100">
        <f t="shared" si="610"/>
        <v>0</v>
      </c>
      <c r="AI585" s="109"/>
      <c r="AJ585" s="108">
        <f t="shared" si="611"/>
        <v>0</v>
      </c>
      <c r="AK585" s="108">
        <f t="shared" si="612"/>
        <v>0</v>
      </c>
      <c r="AL585" s="108">
        <f t="shared" si="613"/>
        <v>0</v>
      </c>
      <c r="AN585" s="100">
        <v>15</v>
      </c>
      <c r="AO585" s="100">
        <f t="shared" si="614"/>
        <v>0</v>
      </c>
      <c r="AP585" s="100">
        <f t="shared" si="615"/>
        <v>0</v>
      </c>
      <c r="AQ585" s="111" t="s">
        <v>7</v>
      </c>
      <c r="AV585" s="100">
        <f t="shared" si="616"/>
        <v>0</v>
      </c>
      <c r="AW585" s="100">
        <f t="shared" si="617"/>
        <v>0</v>
      </c>
      <c r="AX585" s="100">
        <f t="shared" si="618"/>
        <v>0</v>
      </c>
      <c r="AY585" s="110" t="s">
        <v>1722</v>
      </c>
      <c r="AZ585" s="110" t="s">
        <v>1730</v>
      </c>
      <c r="BA585" s="109" t="s">
        <v>1737</v>
      </c>
      <c r="BC585" s="100">
        <f t="shared" si="619"/>
        <v>0</v>
      </c>
      <c r="BD585" s="100">
        <f t="shared" si="620"/>
        <v>0</v>
      </c>
      <c r="BE585" s="100">
        <v>0</v>
      </c>
      <c r="BF585" s="100">
        <f>585</f>
        <v>585</v>
      </c>
      <c r="BH585" s="108">
        <f t="shared" si="621"/>
        <v>0</v>
      </c>
      <c r="BI585" s="108">
        <f t="shared" si="622"/>
        <v>0</v>
      </c>
      <c r="BJ585" s="108">
        <f t="shared" si="623"/>
        <v>0</v>
      </c>
    </row>
    <row r="586" spans="1:62" x14ac:dyDescent="0.2">
      <c r="A586" s="117" t="s">
        <v>536</v>
      </c>
      <c r="B586" s="117" t="s">
        <v>2588</v>
      </c>
      <c r="C586" s="304" t="s">
        <v>1626</v>
      </c>
      <c r="D586" s="305"/>
      <c r="E586" s="305"/>
      <c r="F586" s="117" t="s">
        <v>1644</v>
      </c>
      <c r="G586" s="116">
        <v>1</v>
      </c>
      <c r="H586" s="159"/>
      <c r="I586" s="108">
        <f t="shared" si="600"/>
        <v>0</v>
      </c>
      <c r="J586" s="108">
        <f t="shared" si="601"/>
        <v>0</v>
      </c>
      <c r="K586" s="108">
        <f t="shared" si="602"/>
        <v>0</v>
      </c>
      <c r="L586" s="111"/>
      <c r="Z586" s="100">
        <f t="shared" si="603"/>
        <v>0</v>
      </c>
      <c r="AB586" s="100">
        <f t="shared" si="604"/>
        <v>0</v>
      </c>
      <c r="AC586" s="100">
        <f t="shared" si="605"/>
        <v>0</v>
      </c>
      <c r="AD586" s="100">
        <f t="shared" si="606"/>
        <v>0</v>
      </c>
      <c r="AE586" s="100">
        <f t="shared" si="607"/>
        <v>0</v>
      </c>
      <c r="AF586" s="100">
        <f t="shared" si="608"/>
        <v>0</v>
      </c>
      <c r="AG586" s="100">
        <f t="shared" si="609"/>
        <v>0</v>
      </c>
      <c r="AH586" s="100">
        <f t="shared" si="610"/>
        <v>0</v>
      </c>
      <c r="AI586" s="109"/>
      <c r="AJ586" s="108">
        <f t="shared" si="611"/>
        <v>0</v>
      </c>
      <c r="AK586" s="108">
        <f t="shared" si="612"/>
        <v>0</v>
      </c>
      <c r="AL586" s="108">
        <f t="shared" si="613"/>
        <v>0</v>
      </c>
      <c r="AN586" s="100">
        <v>15</v>
      </c>
      <c r="AO586" s="100">
        <f t="shared" si="614"/>
        <v>0</v>
      </c>
      <c r="AP586" s="100">
        <f t="shared" si="615"/>
        <v>0</v>
      </c>
      <c r="AQ586" s="111" t="s">
        <v>7</v>
      </c>
      <c r="AV586" s="100">
        <f t="shared" si="616"/>
        <v>0</v>
      </c>
      <c r="AW586" s="100">
        <f t="shared" si="617"/>
        <v>0</v>
      </c>
      <c r="AX586" s="100">
        <f t="shared" si="618"/>
        <v>0</v>
      </c>
      <c r="AY586" s="110" t="s">
        <v>1722</v>
      </c>
      <c r="AZ586" s="110" t="s">
        <v>1730</v>
      </c>
      <c r="BA586" s="109" t="s">
        <v>1737</v>
      </c>
      <c r="BC586" s="100">
        <f t="shared" si="619"/>
        <v>0</v>
      </c>
      <c r="BD586" s="100">
        <f t="shared" si="620"/>
        <v>0</v>
      </c>
      <c r="BE586" s="100">
        <v>0</v>
      </c>
      <c r="BF586" s="100">
        <f>586</f>
        <v>586</v>
      </c>
      <c r="BH586" s="108">
        <f t="shared" si="621"/>
        <v>0</v>
      </c>
      <c r="BI586" s="108">
        <f t="shared" si="622"/>
        <v>0</v>
      </c>
      <c r="BJ586" s="108">
        <f t="shared" si="623"/>
        <v>0</v>
      </c>
    </row>
    <row r="587" spans="1:62" x14ac:dyDescent="0.2">
      <c r="A587" s="117" t="s">
        <v>537</v>
      </c>
      <c r="B587" s="117" t="s">
        <v>2587</v>
      </c>
      <c r="C587" s="304" t="s">
        <v>1627</v>
      </c>
      <c r="D587" s="305"/>
      <c r="E587" s="305"/>
      <c r="F587" s="117" t="s">
        <v>1644</v>
      </c>
      <c r="G587" s="116">
        <v>1</v>
      </c>
      <c r="H587" s="159"/>
      <c r="I587" s="108">
        <f t="shared" si="600"/>
        <v>0</v>
      </c>
      <c r="J587" s="108">
        <f t="shared" si="601"/>
        <v>0</v>
      </c>
      <c r="K587" s="108">
        <f t="shared" si="602"/>
        <v>0</v>
      </c>
      <c r="L587" s="111"/>
      <c r="Z587" s="100">
        <f t="shared" si="603"/>
        <v>0</v>
      </c>
      <c r="AB587" s="100">
        <f t="shared" si="604"/>
        <v>0</v>
      </c>
      <c r="AC587" s="100">
        <f t="shared" si="605"/>
        <v>0</v>
      </c>
      <c r="AD587" s="100">
        <f t="shared" si="606"/>
        <v>0</v>
      </c>
      <c r="AE587" s="100">
        <f t="shared" si="607"/>
        <v>0</v>
      </c>
      <c r="AF587" s="100">
        <f t="shared" si="608"/>
        <v>0</v>
      </c>
      <c r="AG587" s="100">
        <f t="shared" si="609"/>
        <v>0</v>
      </c>
      <c r="AH587" s="100">
        <f t="shared" si="610"/>
        <v>0</v>
      </c>
      <c r="AI587" s="109"/>
      <c r="AJ587" s="108">
        <f t="shared" si="611"/>
        <v>0</v>
      </c>
      <c r="AK587" s="108">
        <f t="shared" si="612"/>
        <v>0</v>
      </c>
      <c r="AL587" s="108">
        <f t="shared" si="613"/>
        <v>0</v>
      </c>
      <c r="AN587" s="100">
        <v>15</v>
      </c>
      <c r="AO587" s="100">
        <f t="shared" si="614"/>
        <v>0</v>
      </c>
      <c r="AP587" s="100">
        <f t="shared" si="615"/>
        <v>0</v>
      </c>
      <c r="AQ587" s="111" t="s">
        <v>7</v>
      </c>
      <c r="AV587" s="100">
        <f t="shared" si="616"/>
        <v>0</v>
      </c>
      <c r="AW587" s="100">
        <f t="shared" si="617"/>
        <v>0</v>
      </c>
      <c r="AX587" s="100">
        <f t="shared" si="618"/>
        <v>0</v>
      </c>
      <c r="AY587" s="110" t="s">
        <v>1722</v>
      </c>
      <c r="AZ587" s="110" t="s">
        <v>1730</v>
      </c>
      <c r="BA587" s="109" t="s">
        <v>1737</v>
      </c>
      <c r="BC587" s="100">
        <f t="shared" si="619"/>
        <v>0</v>
      </c>
      <c r="BD587" s="100">
        <f t="shared" si="620"/>
        <v>0</v>
      </c>
      <c r="BE587" s="100">
        <v>0</v>
      </c>
      <c r="BF587" s="100">
        <f>587</f>
        <v>587</v>
      </c>
      <c r="BH587" s="108">
        <f t="shared" si="621"/>
        <v>0</v>
      </c>
      <c r="BI587" s="108">
        <f t="shared" si="622"/>
        <v>0</v>
      </c>
      <c r="BJ587" s="108">
        <f t="shared" si="623"/>
        <v>0</v>
      </c>
    </row>
    <row r="588" spans="1:62" x14ac:dyDescent="0.2">
      <c r="A588" s="117" t="s">
        <v>538</v>
      </c>
      <c r="B588" s="117" t="s">
        <v>2586</v>
      </c>
      <c r="C588" s="304" t="s">
        <v>1628</v>
      </c>
      <c r="D588" s="305"/>
      <c r="E588" s="305"/>
      <c r="F588" s="117" t="s">
        <v>1644</v>
      </c>
      <c r="G588" s="116">
        <v>1</v>
      </c>
      <c r="H588" s="159"/>
      <c r="I588" s="108">
        <f t="shared" si="600"/>
        <v>0</v>
      </c>
      <c r="J588" s="108">
        <f t="shared" si="601"/>
        <v>0</v>
      </c>
      <c r="K588" s="108">
        <f t="shared" si="602"/>
        <v>0</v>
      </c>
      <c r="L588" s="111"/>
      <c r="Z588" s="100">
        <f t="shared" si="603"/>
        <v>0</v>
      </c>
      <c r="AB588" s="100">
        <f t="shared" si="604"/>
        <v>0</v>
      </c>
      <c r="AC588" s="100">
        <f t="shared" si="605"/>
        <v>0</v>
      </c>
      <c r="AD588" s="100">
        <f t="shared" si="606"/>
        <v>0</v>
      </c>
      <c r="AE588" s="100">
        <f t="shared" si="607"/>
        <v>0</v>
      </c>
      <c r="AF588" s="100">
        <f t="shared" si="608"/>
        <v>0</v>
      </c>
      <c r="AG588" s="100">
        <f t="shared" si="609"/>
        <v>0</v>
      </c>
      <c r="AH588" s="100">
        <f t="shared" si="610"/>
        <v>0</v>
      </c>
      <c r="AI588" s="109"/>
      <c r="AJ588" s="108">
        <f t="shared" si="611"/>
        <v>0</v>
      </c>
      <c r="AK588" s="108">
        <f t="shared" si="612"/>
        <v>0</v>
      </c>
      <c r="AL588" s="108">
        <f t="shared" si="613"/>
        <v>0</v>
      </c>
      <c r="AN588" s="100">
        <v>15</v>
      </c>
      <c r="AO588" s="100">
        <f t="shared" si="614"/>
        <v>0</v>
      </c>
      <c r="AP588" s="100">
        <f t="shared" si="615"/>
        <v>0</v>
      </c>
      <c r="AQ588" s="111" t="s">
        <v>7</v>
      </c>
      <c r="AV588" s="100">
        <f t="shared" si="616"/>
        <v>0</v>
      </c>
      <c r="AW588" s="100">
        <f t="shared" si="617"/>
        <v>0</v>
      </c>
      <c r="AX588" s="100">
        <f t="shared" si="618"/>
        <v>0</v>
      </c>
      <c r="AY588" s="110" t="s">
        <v>1722</v>
      </c>
      <c r="AZ588" s="110" t="s">
        <v>1730</v>
      </c>
      <c r="BA588" s="109" t="s">
        <v>1737</v>
      </c>
      <c r="BC588" s="100">
        <f t="shared" si="619"/>
        <v>0</v>
      </c>
      <c r="BD588" s="100">
        <f t="shared" si="620"/>
        <v>0</v>
      </c>
      <c r="BE588" s="100">
        <v>0</v>
      </c>
      <c r="BF588" s="100">
        <f>588</f>
        <v>588</v>
      </c>
      <c r="BH588" s="108">
        <f t="shared" si="621"/>
        <v>0</v>
      </c>
      <c r="BI588" s="108">
        <f t="shared" si="622"/>
        <v>0</v>
      </c>
      <c r="BJ588" s="108">
        <f t="shared" si="623"/>
        <v>0</v>
      </c>
    </row>
    <row r="589" spans="1:62" x14ac:dyDescent="0.2">
      <c r="A589" s="117" t="s">
        <v>539</v>
      </c>
      <c r="B589" s="117" t="s">
        <v>2584</v>
      </c>
      <c r="C589" s="304" t="s">
        <v>1629</v>
      </c>
      <c r="D589" s="305"/>
      <c r="E589" s="305"/>
      <c r="F589" s="117" t="s">
        <v>1644</v>
      </c>
      <c r="G589" s="116">
        <v>1</v>
      </c>
      <c r="H589" s="159"/>
      <c r="I589" s="108">
        <f t="shared" si="600"/>
        <v>0</v>
      </c>
      <c r="J589" s="108">
        <f t="shared" si="601"/>
        <v>0</v>
      </c>
      <c r="K589" s="108">
        <f t="shared" si="602"/>
        <v>0</v>
      </c>
      <c r="L589" s="111"/>
      <c r="Z589" s="100">
        <f t="shared" si="603"/>
        <v>0</v>
      </c>
      <c r="AB589" s="100">
        <f t="shared" si="604"/>
        <v>0</v>
      </c>
      <c r="AC589" s="100">
        <f t="shared" si="605"/>
        <v>0</v>
      </c>
      <c r="AD589" s="100">
        <f t="shared" si="606"/>
        <v>0</v>
      </c>
      <c r="AE589" s="100">
        <f t="shared" si="607"/>
        <v>0</v>
      </c>
      <c r="AF589" s="100">
        <f t="shared" si="608"/>
        <v>0</v>
      </c>
      <c r="AG589" s="100">
        <f t="shared" si="609"/>
        <v>0</v>
      </c>
      <c r="AH589" s="100">
        <f t="shared" si="610"/>
        <v>0</v>
      </c>
      <c r="AI589" s="109"/>
      <c r="AJ589" s="108">
        <f t="shared" si="611"/>
        <v>0</v>
      </c>
      <c r="AK589" s="108">
        <f t="shared" si="612"/>
        <v>0</v>
      </c>
      <c r="AL589" s="108">
        <f t="shared" si="613"/>
        <v>0</v>
      </c>
      <c r="AN589" s="100">
        <v>15</v>
      </c>
      <c r="AO589" s="100">
        <f t="shared" si="614"/>
        <v>0</v>
      </c>
      <c r="AP589" s="100">
        <f t="shared" si="615"/>
        <v>0</v>
      </c>
      <c r="AQ589" s="111" t="s">
        <v>7</v>
      </c>
      <c r="AV589" s="100">
        <f t="shared" si="616"/>
        <v>0</v>
      </c>
      <c r="AW589" s="100">
        <f t="shared" si="617"/>
        <v>0</v>
      </c>
      <c r="AX589" s="100">
        <f t="shared" si="618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619"/>
        <v>0</v>
      </c>
      <c r="BD589" s="100">
        <f t="shared" si="620"/>
        <v>0</v>
      </c>
      <c r="BE589" s="100">
        <v>0</v>
      </c>
      <c r="BF589" s="100">
        <f>589</f>
        <v>589</v>
      </c>
      <c r="BH589" s="108">
        <f t="shared" si="621"/>
        <v>0</v>
      </c>
      <c r="BI589" s="108">
        <f t="shared" si="622"/>
        <v>0</v>
      </c>
      <c r="BJ589" s="108">
        <f t="shared" si="623"/>
        <v>0</v>
      </c>
    </row>
    <row r="590" spans="1:62" x14ac:dyDescent="0.2">
      <c r="A590" s="117" t="s">
        <v>540</v>
      </c>
      <c r="B590" s="117" t="s">
        <v>2582</v>
      </c>
      <c r="C590" s="304" t="s">
        <v>1630</v>
      </c>
      <c r="D590" s="305"/>
      <c r="E590" s="305"/>
      <c r="F590" s="117" t="s">
        <v>1644</v>
      </c>
      <c r="G590" s="116">
        <v>1</v>
      </c>
      <c r="H590" s="159"/>
      <c r="I590" s="108">
        <f t="shared" si="600"/>
        <v>0</v>
      </c>
      <c r="J590" s="108">
        <f t="shared" si="601"/>
        <v>0</v>
      </c>
      <c r="K590" s="108">
        <f t="shared" si="602"/>
        <v>0</v>
      </c>
      <c r="L590" s="111"/>
      <c r="Z590" s="100">
        <f t="shared" si="603"/>
        <v>0</v>
      </c>
      <c r="AB590" s="100">
        <f t="shared" si="604"/>
        <v>0</v>
      </c>
      <c r="AC590" s="100">
        <f t="shared" si="605"/>
        <v>0</v>
      </c>
      <c r="AD590" s="100">
        <f t="shared" si="606"/>
        <v>0</v>
      </c>
      <c r="AE590" s="100">
        <f t="shared" si="607"/>
        <v>0</v>
      </c>
      <c r="AF590" s="100">
        <f t="shared" si="608"/>
        <v>0</v>
      </c>
      <c r="AG590" s="100">
        <f t="shared" si="609"/>
        <v>0</v>
      </c>
      <c r="AH590" s="100">
        <f t="shared" si="610"/>
        <v>0</v>
      </c>
      <c r="AI590" s="109"/>
      <c r="AJ590" s="108">
        <f t="shared" si="611"/>
        <v>0</v>
      </c>
      <c r="AK590" s="108">
        <f t="shared" si="612"/>
        <v>0</v>
      </c>
      <c r="AL590" s="108">
        <f t="shared" si="613"/>
        <v>0</v>
      </c>
      <c r="AN590" s="100">
        <v>15</v>
      </c>
      <c r="AO590" s="100">
        <f t="shared" si="614"/>
        <v>0</v>
      </c>
      <c r="AP590" s="100">
        <f t="shared" si="615"/>
        <v>0</v>
      </c>
      <c r="AQ590" s="111" t="s">
        <v>7</v>
      </c>
      <c r="AV590" s="100">
        <f t="shared" si="616"/>
        <v>0</v>
      </c>
      <c r="AW590" s="100">
        <f t="shared" si="617"/>
        <v>0</v>
      </c>
      <c r="AX590" s="100">
        <f t="shared" si="618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619"/>
        <v>0</v>
      </c>
      <c r="BD590" s="100">
        <f t="shared" si="620"/>
        <v>0</v>
      </c>
      <c r="BE590" s="100">
        <v>0</v>
      </c>
      <c r="BF590" s="100">
        <f>590</f>
        <v>590</v>
      </c>
      <c r="BH590" s="108">
        <f t="shared" si="621"/>
        <v>0</v>
      </c>
      <c r="BI590" s="108">
        <f t="shared" si="622"/>
        <v>0</v>
      </c>
      <c r="BJ590" s="108">
        <f t="shared" si="623"/>
        <v>0</v>
      </c>
    </row>
    <row r="591" spans="1:62" x14ac:dyDescent="0.2">
      <c r="A591" s="119"/>
      <c r="B591" s="120" t="s">
        <v>1039</v>
      </c>
      <c r="C591" s="306" t="s">
        <v>1631</v>
      </c>
      <c r="D591" s="307"/>
      <c r="E591" s="307"/>
      <c r="F591" s="119" t="s">
        <v>6</v>
      </c>
      <c r="G591" s="119" t="s">
        <v>6</v>
      </c>
      <c r="H591" s="119" t="s">
        <v>6</v>
      </c>
      <c r="I591" s="118">
        <f>SUM(I592:I598)</f>
        <v>0</v>
      </c>
      <c r="J591" s="118">
        <f>SUM(J592:J598)</f>
        <v>0</v>
      </c>
      <c r="K591" s="118">
        <f>SUM(K592:K598)</f>
        <v>0</v>
      </c>
      <c r="L591" s="109"/>
      <c r="AI591" s="109"/>
      <c r="AS591" s="118">
        <f>SUM(AJ592:AJ598)</f>
        <v>0</v>
      </c>
      <c r="AT591" s="118">
        <f>SUM(AK592:AK598)</f>
        <v>0</v>
      </c>
      <c r="AU591" s="118">
        <f>SUM(AL592:AL598)</f>
        <v>0</v>
      </c>
    </row>
    <row r="592" spans="1:62" x14ac:dyDescent="0.2">
      <c r="A592" s="117" t="s">
        <v>541</v>
      </c>
      <c r="B592" s="117" t="s">
        <v>1040</v>
      </c>
      <c r="C592" s="304" t="s">
        <v>1632</v>
      </c>
      <c r="D592" s="305"/>
      <c r="E592" s="305"/>
      <c r="F592" s="117" t="s">
        <v>1644</v>
      </c>
      <c r="G592" s="116">
        <v>1</v>
      </c>
      <c r="H592" s="159"/>
      <c r="I592" s="108">
        <f t="shared" ref="I592:I598" si="624">G592*AO592</f>
        <v>0</v>
      </c>
      <c r="J592" s="108">
        <f t="shared" ref="J592:J598" si="625">G592*AP592</f>
        <v>0</v>
      </c>
      <c r="K592" s="108">
        <f t="shared" ref="K592:K598" si="626">G592*H592</f>
        <v>0</v>
      </c>
      <c r="L592" s="111" t="s">
        <v>1671</v>
      </c>
      <c r="Z592" s="100">
        <f t="shared" ref="Z592:Z598" si="627">IF(AQ592="5",BJ592,0)</f>
        <v>0</v>
      </c>
      <c r="AB592" s="100">
        <f t="shared" ref="AB592:AB598" si="628">IF(AQ592="1",BH592,0)</f>
        <v>0</v>
      </c>
      <c r="AC592" s="100">
        <f t="shared" ref="AC592:AC598" si="629">IF(AQ592="1",BI592,0)</f>
        <v>0</v>
      </c>
      <c r="AD592" s="100">
        <f t="shared" ref="AD592:AD598" si="630">IF(AQ592="7",BH592,0)</f>
        <v>0</v>
      </c>
      <c r="AE592" s="100">
        <f t="shared" ref="AE592:AE598" si="631">IF(AQ592="7",BI592,0)</f>
        <v>0</v>
      </c>
      <c r="AF592" s="100">
        <f t="shared" ref="AF592:AF598" si="632">IF(AQ592="2",BH592,0)</f>
        <v>0</v>
      </c>
      <c r="AG592" s="100">
        <f t="shared" ref="AG592:AG598" si="633">IF(AQ592="2",BI592,0)</f>
        <v>0</v>
      </c>
      <c r="AH592" s="100">
        <f t="shared" ref="AH592:AH598" si="634">IF(AQ592="0",BJ592,0)</f>
        <v>0</v>
      </c>
      <c r="AI592" s="109"/>
      <c r="AJ592" s="108">
        <f t="shared" ref="AJ592:AJ598" si="635">IF(AN592=0,K592,0)</f>
        <v>0</v>
      </c>
      <c r="AK592" s="108">
        <f t="shared" ref="AK592:AK598" si="636">IF(AN592=15,K592,0)</f>
        <v>0</v>
      </c>
      <c r="AL592" s="108">
        <f t="shared" ref="AL592:AL598" si="637">IF(AN592=21,K592,0)</f>
        <v>0</v>
      </c>
      <c r="AN592" s="100">
        <v>15</v>
      </c>
      <c r="AO592" s="100">
        <f t="shared" ref="AO592:AO598" si="638">H592*0</f>
        <v>0</v>
      </c>
      <c r="AP592" s="100">
        <f t="shared" ref="AP592:AP598" si="639">H592*(1-0)</f>
        <v>0</v>
      </c>
      <c r="AQ592" s="111" t="s">
        <v>7</v>
      </c>
      <c r="AV592" s="100">
        <f t="shared" ref="AV592:AV598" si="640">AW592+AX592</f>
        <v>0</v>
      </c>
      <c r="AW592" s="100">
        <f t="shared" ref="AW592:AW598" si="641">G592*AO592</f>
        <v>0</v>
      </c>
      <c r="AX592" s="100">
        <f t="shared" ref="AX592:AX598" si="642">G592*AP592</f>
        <v>0</v>
      </c>
      <c r="AY592" s="110" t="s">
        <v>1723</v>
      </c>
      <c r="AZ592" s="110" t="s">
        <v>1730</v>
      </c>
      <c r="BA592" s="109" t="s">
        <v>1737</v>
      </c>
      <c r="BC592" s="100">
        <f t="shared" ref="BC592:BC598" si="643">AW592+AX592</f>
        <v>0</v>
      </c>
      <c r="BD592" s="100">
        <f t="shared" ref="BD592:BD598" si="644">H592/(100-BE592)*100</f>
        <v>0</v>
      </c>
      <c r="BE592" s="100">
        <v>0</v>
      </c>
      <c r="BF592" s="100">
        <f>592</f>
        <v>592</v>
      </c>
      <c r="BH592" s="108">
        <f t="shared" ref="BH592:BH598" si="645">G592*AO592</f>
        <v>0</v>
      </c>
      <c r="BI592" s="108">
        <f t="shared" ref="BI592:BI598" si="646">G592*AP592</f>
        <v>0</v>
      </c>
      <c r="BJ592" s="108">
        <f t="shared" ref="BJ592:BJ598" si="647">G592*H592</f>
        <v>0</v>
      </c>
    </row>
    <row r="593" spans="1:62" x14ac:dyDescent="0.2">
      <c r="A593" s="117" t="s">
        <v>542</v>
      </c>
      <c r="B593" s="117" t="s">
        <v>1041</v>
      </c>
      <c r="C593" s="304" t="s">
        <v>1633</v>
      </c>
      <c r="D593" s="305"/>
      <c r="E593" s="305"/>
      <c r="F593" s="117" t="s">
        <v>1644</v>
      </c>
      <c r="G593" s="116">
        <v>1</v>
      </c>
      <c r="H593" s="159"/>
      <c r="I593" s="108">
        <f t="shared" si="624"/>
        <v>0</v>
      </c>
      <c r="J593" s="108">
        <f t="shared" si="625"/>
        <v>0</v>
      </c>
      <c r="K593" s="108">
        <f t="shared" si="626"/>
        <v>0</v>
      </c>
      <c r="L593" s="111" t="s">
        <v>1671</v>
      </c>
      <c r="Z593" s="100">
        <f t="shared" si="627"/>
        <v>0</v>
      </c>
      <c r="AB593" s="100">
        <f t="shared" si="628"/>
        <v>0</v>
      </c>
      <c r="AC593" s="100">
        <f t="shared" si="629"/>
        <v>0</v>
      </c>
      <c r="AD593" s="100">
        <f t="shared" si="630"/>
        <v>0</v>
      </c>
      <c r="AE593" s="100">
        <f t="shared" si="631"/>
        <v>0</v>
      </c>
      <c r="AF593" s="100">
        <f t="shared" si="632"/>
        <v>0</v>
      </c>
      <c r="AG593" s="100">
        <f t="shared" si="633"/>
        <v>0</v>
      </c>
      <c r="AH593" s="100">
        <f t="shared" si="634"/>
        <v>0</v>
      </c>
      <c r="AI593" s="109"/>
      <c r="AJ593" s="108">
        <f t="shared" si="635"/>
        <v>0</v>
      </c>
      <c r="AK593" s="108">
        <f t="shared" si="636"/>
        <v>0</v>
      </c>
      <c r="AL593" s="108">
        <f t="shared" si="637"/>
        <v>0</v>
      </c>
      <c r="AN593" s="100">
        <v>15</v>
      </c>
      <c r="AO593" s="100">
        <f t="shared" si="638"/>
        <v>0</v>
      </c>
      <c r="AP593" s="100">
        <f t="shared" si="639"/>
        <v>0</v>
      </c>
      <c r="AQ593" s="111" t="s">
        <v>7</v>
      </c>
      <c r="AV593" s="100">
        <f t="shared" si="640"/>
        <v>0</v>
      </c>
      <c r="AW593" s="100">
        <f t="shared" si="641"/>
        <v>0</v>
      </c>
      <c r="AX593" s="100">
        <f t="shared" si="642"/>
        <v>0</v>
      </c>
      <c r="AY593" s="110" t="s">
        <v>1723</v>
      </c>
      <c r="AZ593" s="110" t="s">
        <v>1730</v>
      </c>
      <c r="BA593" s="109" t="s">
        <v>1737</v>
      </c>
      <c r="BC593" s="100">
        <f t="shared" si="643"/>
        <v>0</v>
      </c>
      <c r="BD593" s="100">
        <f t="shared" si="644"/>
        <v>0</v>
      </c>
      <c r="BE593" s="100">
        <v>0</v>
      </c>
      <c r="BF593" s="100">
        <f>593</f>
        <v>593</v>
      </c>
      <c r="BH593" s="108">
        <f t="shared" si="645"/>
        <v>0</v>
      </c>
      <c r="BI593" s="108">
        <f t="shared" si="646"/>
        <v>0</v>
      </c>
      <c r="BJ593" s="108">
        <f t="shared" si="647"/>
        <v>0</v>
      </c>
    </row>
    <row r="594" spans="1:62" x14ac:dyDescent="0.2">
      <c r="A594" s="117" t="s">
        <v>543</v>
      </c>
      <c r="B594" s="117" t="s">
        <v>1042</v>
      </c>
      <c r="C594" s="304" t="s">
        <v>1634</v>
      </c>
      <c r="D594" s="305"/>
      <c r="E594" s="305"/>
      <c r="F594" s="117" t="s">
        <v>1644</v>
      </c>
      <c r="G594" s="116">
        <v>1</v>
      </c>
      <c r="H594" s="159"/>
      <c r="I594" s="108">
        <f t="shared" si="624"/>
        <v>0</v>
      </c>
      <c r="J594" s="108">
        <f t="shared" si="625"/>
        <v>0</v>
      </c>
      <c r="K594" s="108">
        <f t="shared" si="626"/>
        <v>0</v>
      </c>
      <c r="L594" s="111" t="s">
        <v>1671</v>
      </c>
      <c r="Z594" s="100">
        <f t="shared" si="627"/>
        <v>0</v>
      </c>
      <c r="AB594" s="100">
        <f t="shared" si="628"/>
        <v>0</v>
      </c>
      <c r="AC594" s="100">
        <f t="shared" si="629"/>
        <v>0</v>
      </c>
      <c r="AD594" s="100">
        <f t="shared" si="630"/>
        <v>0</v>
      </c>
      <c r="AE594" s="100">
        <f t="shared" si="631"/>
        <v>0</v>
      </c>
      <c r="AF594" s="100">
        <f t="shared" si="632"/>
        <v>0</v>
      </c>
      <c r="AG594" s="100">
        <f t="shared" si="633"/>
        <v>0</v>
      </c>
      <c r="AH594" s="100">
        <f t="shared" si="634"/>
        <v>0</v>
      </c>
      <c r="AI594" s="109"/>
      <c r="AJ594" s="108">
        <f t="shared" si="635"/>
        <v>0</v>
      </c>
      <c r="AK594" s="108">
        <f t="shared" si="636"/>
        <v>0</v>
      </c>
      <c r="AL594" s="108">
        <f t="shared" si="637"/>
        <v>0</v>
      </c>
      <c r="AN594" s="100">
        <v>15</v>
      </c>
      <c r="AO594" s="100">
        <f t="shared" si="638"/>
        <v>0</v>
      </c>
      <c r="AP594" s="100">
        <f t="shared" si="639"/>
        <v>0</v>
      </c>
      <c r="AQ594" s="111" t="s">
        <v>7</v>
      </c>
      <c r="AV594" s="100">
        <f t="shared" si="640"/>
        <v>0</v>
      </c>
      <c r="AW594" s="100">
        <f t="shared" si="641"/>
        <v>0</v>
      </c>
      <c r="AX594" s="100">
        <f t="shared" si="642"/>
        <v>0</v>
      </c>
      <c r="AY594" s="110" t="s">
        <v>1723</v>
      </c>
      <c r="AZ594" s="110" t="s">
        <v>1730</v>
      </c>
      <c r="BA594" s="109" t="s">
        <v>1737</v>
      </c>
      <c r="BC594" s="100">
        <f t="shared" si="643"/>
        <v>0</v>
      </c>
      <c r="BD594" s="100">
        <f t="shared" si="644"/>
        <v>0</v>
      </c>
      <c r="BE594" s="100">
        <v>0</v>
      </c>
      <c r="BF594" s="100">
        <f>594</f>
        <v>594</v>
      </c>
      <c r="BH594" s="108">
        <f t="shared" si="645"/>
        <v>0</v>
      </c>
      <c r="BI594" s="108">
        <f t="shared" si="646"/>
        <v>0</v>
      </c>
      <c r="BJ594" s="108">
        <f t="shared" si="647"/>
        <v>0</v>
      </c>
    </row>
    <row r="595" spans="1:62" x14ac:dyDescent="0.2">
      <c r="A595" s="117" t="s">
        <v>544</v>
      </c>
      <c r="B595" s="117" t="s">
        <v>1043</v>
      </c>
      <c r="C595" s="304" t="s">
        <v>1635</v>
      </c>
      <c r="D595" s="305"/>
      <c r="E595" s="305"/>
      <c r="F595" s="117" t="s">
        <v>1644</v>
      </c>
      <c r="G595" s="116">
        <v>1</v>
      </c>
      <c r="H595" s="159"/>
      <c r="I595" s="108">
        <f t="shared" si="624"/>
        <v>0</v>
      </c>
      <c r="J595" s="108">
        <f t="shared" si="625"/>
        <v>0</v>
      </c>
      <c r="K595" s="108">
        <f t="shared" si="626"/>
        <v>0</v>
      </c>
      <c r="L595" s="111" t="s">
        <v>1671</v>
      </c>
      <c r="Z595" s="100">
        <f t="shared" si="627"/>
        <v>0</v>
      </c>
      <c r="AB595" s="100">
        <f t="shared" si="628"/>
        <v>0</v>
      </c>
      <c r="AC595" s="100">
        <f t="shared" si="629"/>
        <v>0</v>
      </c>
      <c r="AD595" s="100">
        <f t="shared" si="630"/>
        <v>0</v>
      </c>
      <c r="AE595" s="100">
        <f t="shared" si="631"/>
        <v>0</v>
      </c>
      <c r="AF595" s="100">
        <f t="shared" si="632"/>
        <v>0</v>
      </c>
      <c r="AG595" s="100">
        <f t="shared" si="633"/>
        <v>0</v>
      </c>
      <c r="AH595" s="100">
        <f t="shared" si="634"/>
        <v>0</v>
      </c>
      <c r="AI595" s="109"/>
      <c r="AJ595" s="108">
        <f t="shared" si="635"/>
        <v>0</v>
      </c>
      <c r="AK595" s="108">
        <f t="shared" si="636"/>
        <v>0</v>
      </c>
      <c r="AL595" s="108">
        <f t="shared" si="637"/>
        <v>0</v>
      </c>
      <c r="AN595" s="100">
        <v>15</v>
      </c>
      <c r="AO595" s="100">
        <f t="shared" si="638"/>
        <v>0</v>
      </c>
      <c r="AP595" s="100">
        <f t="shared" si="639"/>
        <v>0</v>
      </c>
      <c r="AQ595" s="111" t="s">
        <v>7</v>
      </c>
      <c r="AV595" s="100">
        <f t="shared" si="640"/>
        <v>0</v>
      </c>
      <c r="AW595" s="100">
        <f t="shared" si="641"/>
        <v>0</v>
      </c>
      <c r="AX595" s="100">
        <f t="shared" si="642"/>
        <v>0</v>
      </c>
      <c r="AY595" s="110" t="s">
        <v>1723</v>
      </c>
      <c r="AZ595" s="110" t="s">
        <v>1730</v>
      </c>
      <c r="BA595" s="109" t="s">
        <v>1737</v>
      </c>
      <c r="BC595" s="100">
        <f t="shared" si="643"/>
        <v>0</v>
      </c>
      <c r="BD595" s="100">
        <f t="shared" si="644"/>
        <v>0</v>
      </c>
      <c r="BE595" s="100">
        <v>0</v>
      </c>
      <c r="BF595" s="100">
        <f>595</f>
        <v>595</v>
      </c>
      <c r="BH595" s="108">
        <f t="shared" si="645"/>
        <v>0</v>
      </c>
      <c r="BI595" s="108">
        <f t="shared" si="646"/>
        <v>0</v>
      </c>
      <c r="BJ595" s="108">
        <f t="shared" si="647"/>
        <v>0</v>
      </c>
    </row>
    <row r="596" spans="1:62" x14ac:dyDescent="0.2">
      <c r="A596" s="117" t="s">
        <v>545</v>
      </c>
      <c r="B596" s="117" t="s">
        <v>1044</v>
      </c>
      <c r="C596" s="304" t="s">
        <v>1636</v>
      </c>
      <c r="D596" s="305"/>
      <c r="E596" s="305"/>
      <c r="F596" s="117" t="s">
        <v>1644</v>
      </c>
      <c r="G596" s="116">
        <v>1</v>
      </c>
      <c r="H596" s="159"/>
      <c r="I596" s="108">
        <f t="shared" si="624"/>
        <v>0</v>
      </c>
      <c r="J596" s="108">
        <f t="shared" si="625"/>
        <v>0</v>
      </c>
      <c r="K596" s="108">
        <f t="shared" si="626"/>
        <v>0</v>
      </c>
      <c r="L596" s="111" t="s">
        <v>1671</v>
      </c>
      <c r="Z596" s="100">
        <f t="shared" si="627"/>
        <v>0</v>
      </c>
      <c r="AB596" s="100">
        <f t="shared" si="628"/>
        <v>0</v>
      </c>
      <c r="AC596" s="100">
        <f t="shared" si="629"/>
        <v>0</v>
      </c>
      <c r="AD596" s="100">
        <f t="shared" si="630"/>
        <v>0</v>
      </c>
      <c r="AE596" s="100">
        <f t="shared" si="631"/>
        <v>0</v>
      </c>
      <c r="AF596" s="100">
        <f t="shared" si="632"/>
        <v>0</v>
      </c>
      <c r="AG596" s="100">
        <f t="shared" si="633"/>
        <v>0</v>
      </c>
      <c r="AH596" s="100">
        <f t="shared" si="634"/>
        <v>0</v>
      </c>
      <c r="AI596" s="109"/>
      <c r="AJ596" s="108">
        <f t="shared" si="635"/>
        <v>0</v>
      </c>
      <c r="AK596" s="108">
        <f t="shared" si="636"/>
        <v>0</v>
      </c>
      <c r="AL596" s="108">
        <f t="shared" si="637"/>
        <v>0</v>
      </c>
      <c r="AN596" s="100">
        <v>15</v>
      </c>
      <c r="AO596" s="100">
        <f t="shared" si="638"/>
        <v>0</v>
      </c>
      <c r="AP596" s="100">
        <f t="shared" si="639"/>
        <v>0</v>
      </c>
      <c r="AQ596" s="111" t="s">
        <v>7</v>
      </c>
      <c r="AV596" s="100">
        <f t="shared" si="640"/>
        <v>0</v>
      </c>
      <c r="AW596" s="100">
        <f t="shared" si="641"/>
        <v>0</v>
      </c>
      <c r="AX596" s="100">
        <f t="shared" si="642"/>
        <v>0</v>
      </c>
      <c r="AY596" s="110" t="s">
        <v>1723</v>
      </c>
      <c r="AZ596" s="110" t="s">
        <v>1730</v>
      </c>
      <c r="BA596" s="109" t="s">
        <v>1737</v>
      </c>
      <c r="BC596" s="100">
        <f t="shared" si="643"/>
        <v>0</v>
      </c>
      <c r="BD596" s="100">
        <f t="shared" si="644"/>
        <v>0</v>
      </c>
      <c r="BE596" s="100">
        <v>0</v>
      </c>
      <c r="BF596" s="100">
        <f>596</f>
        <v>596</v>
      </c>
      <c r="BH596" s="108">
        <f t="shared" si="645"/>
        <v>0</v>
      </c>
      <c r="BI596" s="108">
        <f t="shared" si="646"/>
        <v>0</v>
      </c>
      <c r="BJ596" s="108">
        <f t="shared" si="647"/>
        <v>0</v>
      </c>
    </row>
    <row r="597" spans="1:62" x14ac:dyDescent="0.2">
      <c r="A597" s="117" t="s">
        <v>546</v>
      </c>
      <c r="B597" s="117" t="s">
        <v>1045</v>
      </c>
      <c r="C597" s="304" t="s">
        <v>1637</v>
      </c>
      <c r="D597" s="305"/>
      <c r="E597" s="305"/>
      <c r="F597" s="117" t="s">
        <v>1644</v>
      </c>
      <c r="G597" s="116">
        <v>1</v>
      </c>
      <c r="H597" s="159"/>
      <c r="I597" s="108">
        <f t="shared" si="624"/>
        <v>0</v>
      </c>
      <c r="J597" s="108">
        <f t="shared" si="625"/>
        <v>0</v>
      </c>
      <c r="K597" s="108">
        <f t="shared" si="626"/>
        <v>0</v>
      </c>
      <c r="L597" s="111" t="s">
        <v>1671</v>
      </c>
      <c r="Z597" s="100">
        <f t="shared" si="627"/>
        <v>0</v>
      </c>
      <c r="AB597" s="100">
        <f t="shared" si="628"/>
        <v>0</v>
      </c>
      <c r="AC597" s="100">
        <f t="shared" si="629"/>
        <v>0</v>
      </c>
      <c r="AD597" s="100">
        <f t="shared" si="630"/>
        <v>0</v>
      </c>
      <c r="AE597" s="100">
        <f t="shared" si="631"/>
        <v>0</v>
      </c>
      <c r="AF597" s="100">
        <f t="shared" si="632"/>
        <v>0</v>
      </c>
      <c r="AG597" s="100">
        <f t="shared" si="633"/>
        <v>0</v>
      </c>
      <c r="AH597" s="100">
        <f t="shared" si="634"/>
        <v>0</v>
      </c>
      <c r="AI597" s="109"/>
      <c r="AJ597" s="108">
        <f t="shared" si="635"/>
        <v>0</v>
      </c>
      <c r="AK597" s="108">
        <f t="shared" si="636"/>
        <v>0</v>
      </c>
      <c r="AL597" s="108">
        <f t="shared" si="637"/>
        <v>0</v>
      </c>
      <c r="AN597" s="100">
        <v>15</v>
      </c>
      <c r="AO597" s="100">
        <f t="shared" si="638"/>
        <v>0</v>
      </c>
      <c r="AP597" s="100">
        <f t="shared" si="639"/>
        <v>0</v>
      </c>
      <c r="AQ597" s="111" t="s">
        <v>7</v>
      </c>
      <c r="AV597" s="100">
        <f t="shared" si="640"/>
        <v>0</v>
      </c>
      <c r="AW597" s="100">
        <f t="shared" si="641"/>
        <v>0</v>
      </c>
      <c r="AX597" s="100">
        <f t="shared" si="642"/>
        <v>0</v>
      </c>
      <c r="AY597" s="110" t="s">
        <v>1723</v>
      </c>
      <c r="AZ597" s="110" t="s">
        <v>1730</v>
      </c>
      <c r="BA597" s="109" t="s">
        <v>1737</v>
      </c>
      <c r="BC597" s="100">
        <f t="shared" si="643"/>
        <v>0</v>
      </c>
      <c r="BD597" s="100">
        <f t="shared" si="644"/>
        <v>0</v>
      </c>
      <c r="BE597" s="100">
        <v>0</v>
      </c>
      <c r="BF597" s="100">
        <f>597</f>
        <v>597</v>
      </c>
      <c r="BH597" s="108">
        <f t="shared" si="645"/>
        <v>0</v>
      </c>
      <c r="BI597" s="108">
        <f t="shared" si="646"/>
        <v>0</v>
      </c>
      <c r="BJ597" s="108">
        <f t="shared" si="647"/>
        <v>0</v>
      </c>
    </row>
    <row r="598" spans="1:62" x14ac:dyDescent="0.2">
      <c r="A598" s="115" t="s">
        <v>547</v>
      </c>
      <c r="B598" s="115" t="s">
        <v>1046</v>
      </c>
      <c r="C598" s="308" t="s">
        <v>1638</v>
      </c>
      <c r="D598" s="309"/>
      <c r="E598" s="309"/>
      <c r="F598" s="115" t="s">
        <v>1644</v>
      </c>
      <c r="G598" s="114">
        <v>1</v>
      </c>
      <c r="H598" s="161"/>
      <c r="I598" s="113">
        <f t="shared" si="624"/>
        <v>0</v>
      </c>
      <c r="J598" s="113">
        <f t="shared" si="625"/>
        <v>0</v>
      </c>
      <c r="K598" s="113">
        <f t="shared" si="626"/>
        <v>0</v>
      </c>
      <c r="L598" s="112" t="s">
        <v>1671</v>
      </c>
      <c r="Z598" s="100">
        <f t="shared" si="627"/>
        <v>0</v>
      </c>
      <c r="AB598" s="100">
        <f t="shared" si="628"/>
        <v>0</v>
      </c>
      <c r="AC598" s="100">
        <f t="shared" si="629"/>
        <v>0</v>
      </c>
      <c r="AD598" s="100">
        <f t="shared" si="630"/>
        <v>0</v>
      </c>
      <c r="AE598" s="100">
        <f t="shared" si="631"/>
        <v>0</v>
      </c>
      <c r="AF598" s="100">
        <f t="shared" si="632"/>
        <v>0</v>
      </c>
      <c r="AG598" s="100">
        <f t="shared" si="633"/>
        <v>0</v>
      </c>
      <c r="AH598" s="100">
        <f t="shared" si="634"/>
        <v>0</v>
      </c>
      <c r="AI598" s="109"/>
      <c r="AJ598" s="108">
        <f t="shared" si="635"/>
        <v>0</v>
      </c>
      <c r="AK598" s="108">
        <f t="shared" si="636"/>
        <v>0</v>
      </c>
      <c r="AL598" s="108">
        <f t="shared" si="637"/>
        <v>0</v>
      </c>
      <c r="AN598" s="100">
        <v>15</v>
      </c>
      <c r="AO598" s="100">
        <f t="shared" si="638"/>
        <v>0</v>
      </c>
      <c r="AP598" s="100">
        <f t="shared" si="639"/>
        <v>0</v>
      </c>
      <c r="AQ598" s="111" t="s">
        <v>7</v>
      </c>
      <c r="AV598" s="100">
        <f t="shared" si="640"/>
        <v>0</v>
      </c>
      <c r="AW598" s="100">
        <f t="shared" si="641"/>
        <v>0</v>
      </c>
      <c r="AX598" s="100">
        <f t="shared" si="642"/>
        <v>0</v>
      </c>
      <c r="AY598" s="110" t="s">
        <v>1723</v>
      </c>
      <c r="AZ598" s="110" t="s">
        <v>1730</v>
      </c>
      <c r="BA598" s="109" t="s">
        <v>1737</v>
      </c>
      <c r="BC598" s="100">
        <f t="shared" si="643"/>
        <v>0</v>
      </c>
      <c r="BD598" s="100">
        <f t="shared" si="644"/>
        <v>0</v>
      </c>
      <c r="BE598" s="100">
        <v>0</v>
      </c>
      <c r="BF598" s="100">
        <f>598</f>
        <v>598</v>
      </c>
      <c r="BH598" s="108">
        <f t="shared" si="645"/>
        <v>0</v>
      </c>
      <c r="BI598" s="108">
        <f t="shared" si="646"/>
        <v>0</v>
      </c>
      <c r="BJ598" s="108">
        <f t="shared" si="647"/>
        <v>0</v>
      </c>
    </row>
    <row r="599" spans="1:62" x14ac:dyDescent="0.2">
      <c r="A599" s="84"/>
      <c r="B599" s="84"/>
      <c r="C599" s="84"/>
      <c r="D599" s="84"/>
      <c r="E599" s="84"/>
      <c r="F599" s="84"/>
      <c r="G599" s="84"/>
      <c r="H599" s="84"/>
      <c r="I599" s="310" t="s">
        <v>1666</v>
      </c>
      <c r="J599" s="291"/>
      <c r="K599" s="107">
        <f>K12+K17+K19+K22+K26+K29+K31+K34+K36+K41+K45+K49+K57+K82+K85+K88+K91+K94+K102+K114+K134+K153+K170+K172+K177+K186+K203+K280+K304+K327+K356+K391+K404+K425+K435+K448+K456+K462+K492+K512+K515+K591</f>
        <v>0</v>
      </c>
      <c r="L599" s="84"/>
    </row>
    <row r="600" spans="1:62" ht="11.25" customHeight="1" x14ac:dyDescent="0.2">
      <c r="A600" s="106" t="s">
        <v>569</v>
      </c>
    </row>
    <row r="601" spans="1:62" x14ac:dyDescent="0.2">
      <c r="A601" s="255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  <c r="L601" s="256"/>
    </row>
  </sheetData>
  <mergeCells count="613">
    <mergeCell ref="C597:E597"/>
    <mergeCell ref="C598:E598"/>
    <mergeCell ref="I599:J599"/>
    <mergeCell ref="A601:L601"/>
    <mergeCell ref="C591:E591"/>
    <mergeCell ref="C592:E592"/>
    <mergeCell ref="C593:E593"/>
    <mergeCell ref="C594:E594"/>
    <mergeCell ref="C595:E595"/>
    <mergeCell ref="C596:E596"/>
    <mergeCell ref="C588:E588"/>
    <mergeCell ref="C589:E589"/>
    <mergeCell ref="C590:E590"/>
    <mergeCell ref="C567:E567"/>
    <mergeCell ref="C568:E568"/>
    <mergeCell ref="C569:E569"/>
    <mergeCell ref="C570:E570"/>
    <mergeCell ref="C571:E571"/>
    <mergeCell ref="C572:E572"/>
    <mergeCell ref="C573:E573"/>
    <mergeCell ref="C574:E574"/>
    <mergeCell ref="C575:E575"/>
    <mergeCell ref="C576:E576"/>
    <mergeCell ref="C577:E577"/>
    <mergeCell ref="C578:E578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64:E564"/>
    <mergeCell ref="C565:E565"/>
    <mergeCell ref="C566:E566"/>
    <mergeCell ref="C543:E543"/>
    <mergeCell ref="C544:E544"/>
    <mergeCell ref="C545:E545"/>
    <mergeCell ref="C546:E546"/>
    <mergeCell ref="C547:E547"/>
    <mergeCell ref="C548:E548"/>
    <mergeCell ref="C549:E549"/>
    <mergeCell ref="C550:E550"/>
    <mergeCell ref="C551:E551"/>
    <mergeCell ref="C552:E552"/>
    <mergeCell ref="C553:E553"/>
    <mergeCell ref="C554:E554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40:E540"/>
    <mergeCell ref="C541:E541"/>
    <mergeCell ref="C542:E542"/>
    <mergeCell ref="C519:E519"/>
    <mergeCell ref="C520:E520"/>
    <mergeCell ref="C521:E521"/>
    <mergeCell ref="C522:E522"/>
    <mergeCell ref="C523:E523"/>
    <mergeCell ref="C524:E524"/>
    <mergeCell ref="C525:E525"/>
    <mergeCell ref="C526:E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C537:E537"/>
    <mergeCell ref="C538:E538"/>
    <mergeCell ref="C539:E539"/>
    <mergeCell ref="C516:E516"/>
    <mergeCell ref="C517:E517"/>
    <mergeCell ref="C518:E518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C503:E503"/>
    <mergeCell ref="C504:E504"/>
    <mergeCell ref="C505:E505"/>
    <mergeCell ref="C506:E506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492:E492"/>
    <mergeCell ref="C493:E493"/>
    <mergeCell ref="C494:E494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C479:E479"/>
    <mergeCell ref="C480:E480"/>
    <mergeCell ref="C481:E481"/>
    <mergeCell ref="C482:E482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68:E468"/>
    <mergeCell ref="C469:E469"/>
    <mergeCell ref="C470:E470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44:E444"/>
    <mergeCell ref="C445:E445"/>
    <mergeCell ref="C446:E446"/>
    <mergeCell ref="C423:E423"/>
    <mergeCell ref="C424:E424"/>
    <mergeCell ref="C425:E425"/>
    <mergeCell ref="C426:E426"/>
    <mergeCell ref="C427:E427"/>
    <mergeCell ref="C428:E428"/>
    <mergeCell ref="C429:E429"/>
    <mergeCell ref="C430:E430"/>
    <mergeCell ref="C431:E431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20:E420"/>
    <mergeCell ref="C421:E421"/>
    <mergeCell ref="C422:E422"/>
    <mergeCell ref="C399:E399"/>
    <mergeCell ref="C400:E400"/>
    <mergeCell ref="C401:E401"/>
    <mergeCell ref="C402:E402"/>
    <mergeCell ref="C403:E403"/>
    <mergeCell ref="C404:E404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396:E396"/>
    <mergeCell ref="C397:E397"/>
    <mergeCell ref="C398:E398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72:E372"/>
    <mergeCell ref="C373:E373"/>
    <mergeCell ref="C374:E374"/>
    <mergeCell ref="C351:E351"/>
    <mergeCell ref="C352:E352"/>
    <mergeCell ref="C353:E353"/>
    <mergeCell ref="C354:E354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48:E348"/>
    <mergeCell ref="C349:E349"/>
    <mergeCell ref="C350:E350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24:E324"/>
    <mergeCell ref="C325:E325"/>
    <mergeCell ref="C326:E326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00:E300"/>
    <mergeCell ref="C301:E301"/>
    <mergeCell ref="C302:E302"/>
    <mergeCell ref="C279:E279"/>
    <mergeCell ref="C280:E280"/>
    <mergeCell ref="C281:E28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276:E276"/>
    <mergeCell ref="C277:E277"/>
    <mergeCell ref="C278:E278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52:E252"/>
    <mergeCell ref="C253:E253"/>
    <mergeCell ref="C254:E254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28:E228"/>
    <mergeCell ref="C229:E229"/>
    <mergeCell ref="C230:E230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04:E204"/>
    <mergeCell ref="C205:E205"/>
    <mergeCell ref="C206:E206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180:E180"/>
    <mergeCell ref="C181:E181"/>
    <mergeCell ref="C182:E182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56:E156"/>
    <mergeCell ref="C157:E157"/>
    <mergeCell ref="C158:E158"/>
    <mergeCell ref="C135:E135"/>
    <mergeCell ref="C136:E136"/>
    <mergeCell ref="C137:E137"/>
    <mergeCell ref="C138:E138"/>
    <mergeCell ref="C139:E139"/>
    <mergeCell ref="C140:E140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32:E132"/>
    <mergeCell ref="C133:E133"/>
    <mergeCell ref="C134:E134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08:E108"/>
    <mergeCell ref="C109:E109"/>
    <mergeCell ref="C110:E110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84:E84"/>
    <mergeCell ref="C85:E85"/>
    <mergeCell ref="C86:E86"/>
    <mergeCell ref="C63:E63"/>
    <mergeCell ref="C65:E65"/>
    <mergeCell ref="C67:E67"/>
    <mergeCell ref="C69:E69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80:E80"/>
    <mergeCell ref="C81:E81"/>
    <mergeCell ref="C82:E82"/>
    <mergeCell ref="C83:E83"/>
    <mergeCell ref="C60:E60"/>
    <mergeCell ref="C61:E61"/>
    <mergeCell ref="C62:E62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36:E36"/>
    <mergeCell ref="C37:E37"/>
    <mergeCell ref="C38:E38"/>
    <mergeCell ref="C15:E15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14:E14"/>
    <mergeCell ref="A4:B5"/>
    <mergeCell ref="C4:C5"/>
    <mergeCell ref="D4:E5"/>
    <mergeCell ref="F4:G5"/>
    <mergeCell ref="H4:H5"/>
    <mergeCell ref="I4:L5"/>
    <mergeCell ref="A6:B7"/>
    <mergeCell ref="C6:C7"/>
    <mergeCell ref="D6:E7"/>
    <mergeCell ref="F6:G7"/>
    <mergeCell ref="H6:H7"/>
    <mergeCell ref="I6:L7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A1:L1"/>
    <mergeCell ref="A2:B3"/>
    <mergeCell ref="C2:C3"/>
    <mergeCell ref="D2:E3"/>
    <mergeCell ref="F2:G3"/>
    <mergeCell ref="H2:H3"/>
    <mergeCell ref="I2:L3"/>
    <mergeCell ref="C12:E12"/>
    <mergeCell ref="C13:E1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55"/>
  <sheetViews>
    <sheetView workbookViewId="0">
      <pane ySplit="10" topLeftCell="A45" activePane="bottomLeft" state="frozenSplit"/>
      <selection activeCell="C6" sqref="C6:C7"/>
      <selection pane="bottomLeft" activeCell="B2" sqref="B2:C3"/>
    </sheetView>
  </sheetViews>
  <sheetFormatPr defaultColWidth="11.5703125" defaultRowHeight="12.75" x14ac:dyDescent="0.2"/>
  <cols>
    <col min="1" max="2" width="16.5703125" customWidth="1"/>
    <col min="3" max="3" width="41.7109375" customWidth="1"/>
    <col min="5" max="5" width="22.140625" hidden="1" customWidth="1"/>
    <col min="6" max="6" width="21" hidden="1" customWidth="1"/>
    <col min="7" max="7" width="20.85546875" customWidth="1"/>
    <col min="8" max="9" width="0" hidden="1" customWidth="1"/>
  </cols>
  <sheetData>
    <row r="1" spans="1:9" ht="72.95" customHeight="1" x14ac:dyDescent="0.35">
      <c r="A1" s="212" t="s">
        <v>1741</v>
      </c>
      <c r="B1" s="174"/>
      <c r="C1" s="174"/>
      <c r="D1" s="174"/>
      <c r="E1" s="174"/>
      <c r="F1" s="174"/>
      <c r="G1" s="174"/>
    </row>
    <row r="2" spans="1:9" x14ac:dyDescent="0.2">
      <c r="A2" s="175" t="s">
        <v>1</v>
      </c>
      <c r="B2" s="179" t="str">
        <f>'Stavební rozpočet-SO01'!C2</f>
        <v>Snížení energetické.náročnosti objektů Domova Kladno-Švermov</v>
      </c>
      <c r="C2" s="180"/>
      <c r="D2" s="182" t="s">
        <v>1657</v>
      </c>
      <c r="E2" s="182" t="str">
        <f>'Stavební rozpočet-SO01'!I2</f>
        <v> </v>
      </c>
      <c r="F2" s="176"/>
      <c r="G2" s="213"/>
      <c r="H2" s="32"/>
    </row>
    <row r="3" spans="1:9" x14ac:dyDescent="0.2">
      <c r="A3" s="177"/>
      <c r="B3" s="181"/>
      <c r="C3" s="181"/>
      <c r="D3" s="178"/>
      <c r="E3" s="178"/>
      <c r="F3" s="178"/>
      <c r="G3" s="184"/>
      <c r="H3" s="32"/>
    </row>
    <row r="4" spans="1:9" x14ac:dyDescent="0.2">
      <c r="A4" s="186" t="s">
        <v>2</v>
      </c>
      <c r="B4" s="187" t="str">
        <f>'Stavební rozpočet-SO01'!C4</f>
        <v>SO 01 - OBJEKT 1 - č.p.1454</v>
      </c>
      <c r="C4" s="178"/>
      <c r="D4" s="187" t="s">
        <v>1658</v>
      </c>
      <c r="E4" s="187" t="str">
        <f>'Stavební rozpočet-SO01'!I4</f>
        <v> </v>
      </c>
      <c r="F4" s="178"/>
      <c r="G4" s="184"/>
      <c r="H4" s="32"/>
    </row>
    <row r="5" spans="1:9" x14ac:dyDescent="0.2">
      <c r="A5" s="177"/>
      <c r="B5" s="178"/>
      <c r="C5" s="178"/>
      <c r="D5" s="178"/>
      <c r="E5" s="178"/>
      <c r="F5" s="178"/>
      <c r="G5" s="184"/>
      <c r="H5" s="32"/>
    </row>
    <row r="6" spans="1:9" x14ac:dyDescent="0.2">
      <c r="A6" s="186" t="s">
        <v>3</v>
      </c>
      <c r="B6" s="187" t="str">
        <f>'Stavební rozpočet-SO01'!C6</f>
        <v xml:space="preserve"> </v>
      </c>
      <c r="C6" s="178"/>
      <c r="D6" s="187" t="s">
        <v>1659</v>
      </c>
      <c r="E6" s="187" t="str">
        <f>'Stavební rozpočet-SO01'!I6</f>
        <v> </v>
      </c>
      <c r="F6" s="178"/>
      <c r="G6" s="184"/>
      <c r="H6" s="32"/>
    </row>
    <row r="7" spans="1:9" x14ac:dyDescent="0.2">
      <c r="A7" s="177"/>
      <c r="B7" s="178"/>
      <c r="C7" s="178"/>
      <c r="D7" s="178"/>
      <c r="E7" s="178"/>
      <c r="F7" s="178"/>
      <c r="G7" s="184"/>
      <c r="H7" s="32"/>
    </row>
    <row r="8" spans="1:9" x14ac:dyDescent="0.2">
      <c r="A8" s="186" t="s">
        <v>1660</v>
      </c>
      <c r="B8" s="187" t="str">
        <f>'Stavební rozpočet-SO01'!I8</f>
        <v> </v>
      </c>
      <c r="C8" s="178"/>
      <c r="D8" s="190" t="s">
        <v>1642</v>
      </c>
      <c r="E8" s="187"/>
      <c r="F8" s="178"/>
      <c r="G8" s="184"/>
      <c r="H8" s="32"/>
    </row>
    <row r="9" spans="1:9" x14ac:dyDescent="0.2">
      <c r="A9" s="214"/>
      <c r="B9" s="215"/>
      <c r="C9" s="215"/>
      <c r="D9" s="215"/>
      <c r="E9" s="215"/>
      <c r="F9" s="215"/>
      <c r="G9" s="216"/>
      <c r="H9" s="32"/>
    </row>
    <row r="10" spans="1:9" x14ac:dyDescent="0.2">
      <c r="A10" s="39" t="s">
        <v>1742</v>
      </c>
      <c r="B10" s="41" t="s">
        <v>570</v>
      </c>
      <c r="C10" s="217" t="s">
        <v>1743</v>
      </c>
      <c r="D10" s="218"/>
      <c r="E10" s="42" t="s">
        <v>1744</v>
      </c>
      <c r="F10" s="42" t="s">
        <v>1745</v>
      </c>
      <c r="G10" s="42" t="s">
        <v>1746</v>
      </c>
      <c r="H10" s="32"/>
    </row>
    <row r="11" spans="1:9" x14ac:dyDescent="0.2">
      <c r="A11" s="40"/>
      <c r="B11" s="40" t="s">
        <v>17</v>
      </c>
      <c r="C11" s="219" t="s">
        <v>1051</v>
      </c>
      <c r="D11" s="220"/>
      <c r="E11" s="44">
        <f>'Stavební rozpočet-SO01'!I12</f>
        <v>0</v>
      </c>
      <c r="F11" s="44">
        <f>'Stavební rozpočet-SO01'!J12</f>
        <v>0</v>
      </c>
      <c r="G11" s="44">
        <f>'Stavební rozpočet-SO01'!K12</f>
        <v>0</v>
      </c>
      <c r="H11" s="34" t="s">
        <v>1747</v>
      </c>
      <c r="I11" s="34">
        <f t="shared" ref="I11:I53" si="0">IF(H11="F",0,G11)</f>
        <v>0</v>
      </c>
    </row>
    <row r="12" spans="1:9" x14ac:dyDescent="0.2">
      <c r="A12" s="15"/>
      <c r="B12" s="15" t="s">
        <v>18</v>
      </c>
      <c r="C12" s="190" t="s">
        <v>1059</v>
      </c>
      <c r="D12" s="178"/>
      <c r="E12" s="34">
        <f>'Stavební rozpočet-SO01'!I20</f>
        <v>0</v>
      </c>
      <c r="F12" s="34">
        <f>'Stavební rozpočet-SO01'!J20</f>
        <v>0</v>
      </c>
      <c r="G12" s="34">
        <f>'Stavební rozpočet-SO01'!K20</f>
        <v>0</v>
      </c>
      <c r="H12" s="34" t="s">
        <v>1747</v>
      </c>
      <c r="I12" s="34">
        <f t="shared" si="0"/>
        <v>0</v>
      </c>
    </row>
    <row r="13" spans="1:9" x14ac:dyDescent="0.2">
      <c r="A13" s="15"/>
      <c r="B13" s="15" t="s">
        <v>19</v>
      </c>
      <c r="C13" s="190" t="s">
        <v>1061</v>
      </c>
      <c r="D13" s="178"/>
      <c r="E13" s="34">
        <f>'Stavební rozpočet-SO01'!I22</f>
        <v>0</v>
      </c>
      <c r="F13" s="34">
        <f>'Stavební rozpočet-SO01'!J22</f>
        <v>0</v>
      </c>
      <c r="G13" s="34">
        <f>'Stavební rozpočet-SO01'!K22</f>
        <v>0</v>
      </c>
      <c r="H13" s="34" t="s">
        <v>1747</v>
      </c>
      <c r="I13" s="34">
        <f t="shared" si="0"/>
        <v>0</v>
      </c>
    </row>
    <row r="14" spans="1:9" x14ac:dyDescent="0.2">
      <c r="A14" s="15"/>
      <c r="B14" s="15" t="s">
        <v>22</v>
      </c>
      <c r="C14" s="190" t="s">
        <v>1066</v>
      </c>
      <c r="D14" s="178"/>
      <c r="E14" s="34">
        <f>'Stavební rozpočet-SO01'!I27</f>
        <v>0</v>
      </c>
      <c r="F14" s="34">
        <f>'Stavební rozpočet-SO01'!J27</f>
        <v>0</v>
      </c>
      <c r="G14" s="34">
        <f>'Stavební rozpočet-SO01'!K27</f>
        <v>0</v>
      </c>
      <c r="H14" s="34" t="s">
        <v>1747</v>
      </c>
      <c r="I14" s="34">
        <f t="shared" si="0"/>
        <v>0</v>
      </c>
    </row>
    <row r="15" spans="1:9" x14ac:dyDescent="0.2">
      <c r="A15" s="15"/>
      <c r="B15" s="15" t="s">
        <v>23</v>
      </c>
      <c r="C15" s="190" t="s">
        <v>1070</v>
      </c>
      <c r="D15" s="178"/>
      <c r="E15" s="34">
        <f>'Stavební rozpočet-SO01'!I31</f>
        <v>0</v>
      </c>
      <c r="F15" s="34">
        <f>'Stavební rozpočet-SO01'!J31</f>
        <v>0</v>
      </c>
      <c r="G15" s="34">
        <f>'Stavební rozpočet-SO01'!K31</f>
        <v>0</v>
      </c>
      <c r="H15" s="34" t="s">
        <v>1747</v>
      </c>
      <c r="I15" s="34">
        <f t="shared" si="0"/>
        <v>0</v>
      </c>
    </row>
    <row r="16" spans="1:9" x14ac:dyDescent="0.2">
      <c r="A16" s="15"/>
      <c r="B16" s="15" t="s">
        <v>24</v>
      </c>
      <c r="C16" s="190" t="s">
        <v>1076</v>
      </c>
      <c r="D16" s="178"/>
      <c r="E16" s="34">
        <f>'Stavební rozpočet-SO01'!I37</f>
        <v>0</v>
      </c>
      <c r="F16" s="34">
        <f>'Stavební rozpočet-SO01'!J37</f>
        <v>0</v>
      </c>
      <c r="G16" s="34">
        <f>'Stavební rozpočet-SO01'!K37</f>
        <v>0</v>
      </c>
      <c r="H16" s="34" t="s">
        <v>1747</v>
      </c>
      <c r="I16" s="34">
        <f t="shared" si="0"/>
        <v>0</v>
      </c>
    </row>
    <row r="17" spans="1:9" x14ac:dyDescent="0.2">
      <c r="A17" s="15"/>
      <c r="B17" s="15" t="s">
        <v>27</v>
      </c>
      <c r="C17" s="190" t="s">
        <v>1078</v>
      </c>
      <c r="D17" s="178"/>
      <c r="E17" s="34">
        <f>'Stavební rozpočet-SO01'!I39</f>
        <v>0</v>
      </c>
      <c r="F17" s="34">
        <f>'Stavební rozpočet-SO01'!J39</f>
        <v>0</v>
      </c>
      <c r="G17" s="34">
        <f>'Stavební rozpočet-SO01'!K39</f>
        <v>0</v>
      </c>
      <c r="H17" s="34" t="s">
        <v>1747</v>
      </c>
      <c r="I17" s="34">
        <f t="shared" si="0"/>
        <v>0</v>
      </c>
    </row>
    <row r="18" spans="1:9" x14ac:dyDescent="0.2">
      <c r="A18" s="15"/>
      <c r="B18" s="15" t="s">
        <v>33</v>
      </c>
      <c r="C18" s="190" t="s">
        <v>1081</v>
      </c>
      <c r="D18" s="178"/>
      <c r="E18" s="34">
        <f>'Stavební rozpočet-SO01'!I42</f>
        <v>0</v>
      </c>
      <c r="F18" s="34">
        <f>'Stavební rozpočet-SO01'!J42</f>
        <v>0</v>
      </c>
      <c r="G18" s="34">
        <f>'Stavební rozpočet-SO01'!K42</f>
        <v>0</v>
      </c>
      <c r="H18" s="34" t="s">
        <v>1747</v>
      </c>
      <c r="I18" s="34">
        <f t="shared" si="0"/>
        <v>0</v>
      </c>
    </row>
    <row r="19" spans="1:9" x14ac:dyDescent="0.2">
      <c r="A19" s="15"/>
      <c r="B19" s="15" t="s">
        <v>37</v>
      </c>
      <c r="C19" s="190" t="s">
        <v>1084</v>
      </c>
      <c r="D19" s="178"/>
      <c r="E19" s="34">
        <f>'Stavební rozpočet-SO01'!I45</f>
        <v>0</v>
      </c>
      <c r="F19" s="34">
        <f>'Stavební rozpočet-SO01'!J45</f>
        <v>0</v>
      </c>
      <c r="G19" s="34">
        <f>'Stavební rozpočet-SO01'!K45</f>
        <v>0</v>
      </c>
      <c r="H19" s="34" t="s">
        <v>1747</v>
      </c>
      <c r="I19" s="34">
        <f t="shared" si="0"/>
        <v>0</v>
      </c>
    </row>
    <row r="20" spans="1:9" x14ac:dyDescent="0.2">
      <c r="A20" s="15"/>
      <c r="B20" s="15" t="s">
        <v>62</v>
      </c>
      <c r="C20" s="190" t="s">
        <v>1090</v>
      </c>
      <c r="D20" s="178"/>
      <c r="E20" s="34">
        <f>'Stavební rozpočet-SO01'!I51</f>
        <v>0</v>
      </c>
      <c r="F20" s="34">
        <f>'Stavební rozpočet-SO01'!J51</f>
        <v>0</v>
      </c>
      <c r="G20" s="34">
        <f>'Stavební rozpočet-SO01'!K51</f>
        <v>0</v>
      </c>
      <c r="H20" s="34" t="s">
        <v>1747</v>
      </c>
      <c r="I20" s="34">
        <f t="shared" si="0"/>
        <v>0</v>
      </c>
    </row>
    <row r="21" spans="1:9" x14ac:dyDescent="0.2">
      <c r="A21" s="15"/>
      <c r="B21" s="15" t="s">
        <v>65</v>
      </c>
      <c r="C21" s="190" t="s">
        <v>1094</v>
      </c>
      <c r="D21" s="178"/>
      <c r="E21" s="34">
        <f>'Stavební rozpočet-SO01'!I55</f>
        <v>0</v>
      </c>
      <c r="F21" s="34">
        <f>'Stavební rozpočet-SO01'!J55</f>
        <v>0</v>
      </c>
      <c r="G21" s="34">
        <f>'Stavební rozpočet-SO01'!K55</f>
        <v>0</v>
      </c>
      <c r="H21" s="34" t="s">
        <v>1747</v>
      </c>
      <c r="I21" s="34">
        <f t="shared" si="0"/>
        <v>0</v>
      </c>
    </row>
    <row r="22" spans="1:9" x14ac:dyDescent="0.2">
      <c r="A22" s="15"/>
      <c r="B22" s="15" t="s">
        <v>67</v>
      </c>
      <c r="C22" s="190" t="s">
        <v>1097</v>
      </c>
      <c r="D22" s="178"/>
      <c r="E22" s="34">
        <f>'Stavební rozpočet-SO01'!I58</f>
        <v>0</v>
      </c>
      <c r="F22" s="34">
        <f>'Stavební rozpočet-SO01'!J58</f>
        <v>0</v>
      </c>
      <c r="G22" s="34">
        <f>'Stavební rozpočet-SO01'!K58</f>
        <v>0</v>
      </c>
      <c r="H22" s="34" t="s">
        <v>1747</v>
      </c>
      <c r="I22" s="34">
        <f t="shared" si="0"/>
        <v>0</v>
      </c>
    </row>
    <row r="23" spans="1:9" x14ac:dyDescent="0.2">
      <c r="A23" s="15"/>
      <c r="B23" s="15" t="s">
        <v>68</v>
      </c>
      <c r="C23" s="190" t="s">
        <v>1104</v>
      </c>
      <c r="D23" s="178"/>
      <c r="E23" s="34">
        <f>'Stavební rozpočet-SO01'!I65</f>
        <v>0</v>
      </c>
      <c r="F23" s="34">
        <f>'Stavební rozpočet-SO01'!J65</f>
        <v>0</v>
      </c>
      <c r="G23" s="34">
        <f>'Stavební rozpočet-SO01'!K65</f>
        <v>0</v>
      </c>
      <c r="H23" s="34" t="s">
        <v>1747</v>
      </c>
      <c r="I23" s="34">
        <f t="shared" si="0"/>
        <v>0</v>
      </c>
    </row>
    <row r="24" spans="1:9" x14ac:dyDescent="0.2">
      <c r="A24" s="15"/>
      <c r="B24" s="15" t="s">
        <v>69</v>
      </c>
      <c r="C24" s="190" t="s">
        <v>1128</v>
      </c>
      <c r="D24" s="178"/>
      <c r="E24" s="34">
        <f>'Stavební rozpočet-SO01'!I89</f>
        <v>0</v>
      </c>
      <c r="F24" s="34">
        <f>'Stavební rozpočet-SO01'!J89</f>
        <v>0</v>
      </c>
      <c r="G24" s="34">
        <f>'Stavební rozpočet-SO01'!K89</f>
        <v>0</v>
      </c>
      <c r="H24" s="34" t="s">
        <v>1747</v>
      </c>
      <c r="I24" s="34">
        <f t="shared" si="0"/>
        <v>0</v>
      </c>
    </row>
    <row r="25" spans="1:9" x14ac:dyDescent="0.2">
      <c r="A25" s="15"/>
      <c r="B25" s="15" t="s">
        <v>89</v>
      </c>
      <c r="C25" s="190" t="s">
        <v>1130</v>
      </c>
      <c r="D25" s="178"/>
      <c r="E25" s="34">
        <f>'Stavební rozpočet-SO01'!I91</f>
        <v>0</v>
      </c>
      <c r="F25" s="34">
        <f>'Stavební rozpočet-SO01'!J91</f>
        <v>0</v>
      </c>
      <c r="G25" s="34">
        <f>'Stavební rozpočet-SO01'!K91</f>
        <v>0</v>
      </c>
      <c r="H25" s="34" t="s">
        <v>1747</v>
      </c>
      <c r="I25" s="34">
        <f t="shared" si="0"/>
        <v>0</v>
      </c>
    </row>
    <row r="26" spans="1:9" x14ac:dyDescent="0.2">
      <c r="A26" s="15"/>
      <c r="B26" s="15" t="s">
        <v>95</v>
      </c>
      <c r="C26" s="190" t="s">
        <v>1133</v>
      </c>
      <c r="D26" s="178"/>
      <c r="E26" s="34">
        <f>'Stavební rozpočet-SO01'!I94</f>
        <v>0</v>
      </c>
      <c r="F26" s="34">
        <f>'Stavební rozpočet-SO01'!J94</f>
        <v>0</v>
      </c>
      <c r="G26" s="34">
        <f>'Stavební rozpočet-SO01'!K94</f>
        <v>0</v>
      </c>
      <c r="H26" s="34" t="s">
        <v>1747</v>
      </c>
      <c r="I26" s="34">
        <f t="shared" si="0"/>
        <v>0</v>
      </c>
    </row>
    <row r="27" spans="1:9" x14ac:dyDescent="0.2">
      <c r="A27" s="15"/>
      <c r="B27" s="15" t="s">
        <v>97</v>
      </c>
      <c r="C27" s="190" t="s">
        <v>1136</v>
      </c>
      <c r="D27" s="178"/>
      <c r="E27" s="34">
        <f>'Stavební rozpočet-SO01'!I97</f>
        <v>0</v>
      </c>
      <c r="F27" s="34">
        <f>'Stavební rozpočet-SO01'!J97</f>
        <v>0</v>
      </c>
      <c r="G27" s="34">
        <f>'Stavební rozpočet-SO01'!K97</f>
        <v>0</v>
      </c>
      <c r="H27" s="34" t="s">
        <v>1747</v>
      </c>
      <c r="I27" s="34">
        <f t="shared" si="0"/>
        <v>0</v>
      </c>
    </row>
    <row r="28" spans="1:9" x14ac:dyDescent="0.2">
      <c r="A28" s="15"/>
      <c r="B28" s="15" t="s">
        <v>100</v>
      </c>
      <c r="C28" s="190" t="s">
        <v>1139</v>
      </c>
      <c r="D28" s="178"/>
      <c r="E28" s="34">
        <f>'Stavební rozpočet-SO01'!I100</f>
        <v>0</v>
      </c>
      <c r="F28" s="34">
        <f>'Stavební rozpočet-SO01'!J100</f>
        <v>0</v>
      </c>
      <c r="G28" s="34">
        <f>'Stavební rozpočet-SO01'!K100</f>
        <v>0</v>
      </c>
      <c r="H28" s="34" t="s">
        <v>1747</v>
      </c>
      <c r="I28" s="34">
        <f t="shared" si="0"/>
        <v>0</v>
      </c>
    </row>
    <row r="29" spans="1:9" x14ac:dyDescent="0.2">
      <c r="A29" s="15"/>
      <c r="B29" s="15" t="s">
        <v>101</v>
      </c>
      <c r="C29" s="190" t="s">
        <v>1147</v>
      </c>
      <c r="D29" s="178"/>
      <c r="E29" s="34">
        <f>'Stavební rozpočet-SO01'!I108</f>
        <v>0</v>
      </c>
      <c r="F29" s="34">
        <f>'Stavební rozpočet-SO01'!J108</f>
        <v>0</v>
      </c>
      <c r="G29" s="34">
        <f>'Stavební rozpočet-SO01'!K108</f>
        <v>0</v>
      </c>
      <c r="H29" s="34" t="s">
        <v>1747</v>
      </c>
      <c r="I29" s="34">
        <f t="shared" si="0"/>
        <v>0</v>
      </c>
    </row>
    <row r="30" spans="1:9" x14ac:dyDescent="0.2">
      <c r="A30" s="15"/>
      <c r="B30" s="15" t="s">
        <v>102</v>
      </c>
      <c r="C30" s="190" t="s">
        <v>1158</v>
      </c>
      <c r="D30" s="178"/>
      <c r="E30" s="34">
        <f>'Stavební rozpočet-SO01'!I119</f>
        <v>0</v>
      </c>
      <c r="F30" s="34">
        <f>'Stavební rozpočet-SO01'!J119</f>
        <v>0</v>
      </c>
      <c r="G30" s="34">
        <f>'Stavební rozpočet-SO01'!K119</f>
        <v>0</v>
      </c>
      <c r="H30" s="34" t="s">
        <v>1747</v>
      </c>
      <c r="I30" s="34">
        <f t="shared" si="0"/>
        <v>0</v>
      </c>
    </row>
    <row r="31" spans="1:9" x14ac:dyDescent="0.2">
      <c r="A31" s="15"/>
      <c r="B31" s="15" t="s">
        <v>103</v>
      </c>
      <c r="C31" s="190" t="s">
        <v>1178</v>
      </c>
      <c r="D31" s="178"/>
      <c r="E31" s="34">
        <f>'Stavební rozpočet-SO01'!I139</f>
        <v>0</v>
      </c>
      <c r="F31" s="34">
        <f>'Stavební rozpočet-SO01'!J139</f>
        <v>0</v>
      </c>
      <c r="G31" s="34">
        <f>'Stavební rozpočet-SO01'!K139</f>
        <v>0</v>
      </c>
      <c r="H31" s="34" t="s">
        <v>1747</v>
      </c>
      <c r="I31" s="34">
        <f t="shared" si="0"/>
        <v>0</v>
      </c>
    </row>
    <row r="32" spans="1:9" x14ac:dyDescent="0.2">
      <c r="A32" s="15"/>
      <c r="B32" s="15" t="s">
        <v>104</v>
      </c>
      <c r="C32" s="190" t="s">
        <v>1196</v>
      </c>
      <c r="D32" s="178"/>
      <c r="E32" s="34">
        <f>'Stavební rozpočet-SO01'!I157</f>
        <v>0</v>
      </c>
      <c r="F32" s="34">
        <f>'Stavební rozpočet-SO01'!J157</f>
        <v>0</v>
      </c>
      <c r="G32" s="34">
        <f>'Stavební rozpočet-SO01'!K157</f>
        <v>0</v>
      </c>
      <c r="H32" s="34" t="s">
        <v>1747</v>
      </c>
      <c r="I32" s="34">
        <f t="shared" si="0"/>
        <v>0</v>
      </c>
    </row>
    <row r="33" spans="1:9" x14ac:dyDescent="0.2">
      <c r="A33" s="15"/>
      <c r="B33" s="15" t="s">
        <v>686</v>
      </c>
      <c r="C33" s="190" t="s">
        <v>1198</v>
      </c>
      <c r="D33" s="178"/>
      <c r="E33" s="34">
        <f>'Stavební rozpočet-SO01'!I159</f>
        <v>0</v>
      </c>
      <c r="F33" s="34">
        <f>'Stavební rozpočet-SO01'!J159</f>
        <v>0</v>
      </c>
      <c r="G33" s="34">
        <f>'Stavební rozpočet-SO01'!K159</f>
        <v>0</v>
      </c>
      <c r="H33" s="34" t="s">
        <v>1747</v>
      </c>
      <c r="I33" s="34">
        <f t="shared" si="0"/>
        <v>0</v>
      </c>
    </row>
    <row r="34" spans="1:9" x14ac:dyDescent="0.2">
      <c r="A34" s="15"/>
      <c r="B34" s="15" t="s">
        <v>703</v>
      </c>
      <c r="C34" s="190" t="s">
        <v>1215</v>
      </c>
      <c r="D34" s="178"/>
      <c r="E34" s="34">
        <f>'Stavební rozpočet-SO01'!I176</f>
        <v>0</v>
      </c>
      <c r="F34" s="34">
        <f>'Stavební rozpočet-SO01'!J176</f>
        <v>0</v>
      </c>
      <c r="G34" s="34">
        <f>'Stavební rozpočet-SO01'!K176</f>
        <v>0</v>
      </c>
      <c r="H34" s="34" t="s">
        <v>1747</v>
      </c>
      <c r="I34" s="34">
        <f t="shared" si="0"/>
        <v>0</v>
      </c>
    </row>
    <row r="35" spans="1:9" x14ac:dyDescent="0.2">
      <c r="A35" s="15"/>
      <c r="B35" s="15" t="s">
        <v>705</v>
      </c>
      <c r="C35" s="190" t="s">
        <v>1217</v>
      </c>
      <c r="D35" s="178"/>
      <c r="E35" s="34">
        <f>'Stavební rozpočet-SO01'!I178</f>
        <v>0</v>
      </c>
      <c r="F35" s="34">
        <f>'Stavební rozpočet-SO01'!J178</f>
        <v>0</v>
      </c>
      <c r="G35" s="34">
        <f>'Stavební rozpočet-SO01'!K178</f>
        <v>0</v>
      </c>
      <c r="H35" s="34" t="s">
        <v>1747</v>
      </c>
      <c r="I35" s="34">
        <f t="shared" si="0"/>
        <v>0</v>
      </c>
    </row>
    <row r="36" spans="1:9" x14ac:dyDescent="0.2">
      <c r="A36" s="15"/>
      <c r="B36" s="15" t="s">
        <v>710</v>
      </c>
      <c r="C36" s="190" t="s">
        <v>1222</v>
      </c>
      <c r="D36" s="178"/>
      <c r="E36" s="34">
        <f>'Stavební rozpočet-SO01'!I183</f>
        <v>0</v>
      </c>
      <c r="F36" s="34">
        <f>'Stavební rozpočet-SO01'!J183</f>
        <v>0</v>
      </c>
      <c r="G36" s="34">
        <f>'Stavební rozpočet-SO01'!K183</f>
        <v>0</v>
      </c>
      <c r="H36" s="34" t="s">
        <v>1747</v>
      </c>
      <c r="I36" s="34">
        <f t="shared" si="0"/>
        <v>0</v>
      </c>
    </row>
    <row r="37" spans="1:9" x14ac:dyDescent="0.2">
      <c r="A37" s="15"/>
      <c r="B37" s="15" t="s">
        <v>719</v>
      </c>
      <c r="C37" s="190" t="s">
        <v>1231</v>
      </c>
      <c r="D37" s="178"/>
      <c r="E37" s="34">
        <f>'Stavební rozpočet-SO01'!I192</f>
        <v>0</v>
      </c>
      <c r="F37" s="34">
        <f>'Stavební rozpočet-SO01'!J192</f>
        <v>0</v>
      </c>
      <c r="G37" s="34">
        <f>'Stavební rozpočet-SO01'!K192</f>
        <v>0</v>
      </c>
      <c r="H37" s="34" t="s">
        <v>1747</v>
      </c>
      <c r="I37" s="34">
        <f t="shared" si="0"/>
        <v>0</v>
      </c>
    </row>
    <row r="38" spans="1:9" x14ac:dyDescent="0.2">
      <c r="A38" s="15"/>
      <c r="B38" s="15" t="s">
        <v>744</v>
      </c>
      <c r="C38" s="190" t="s">
        <v>1256</v>
      </c>
      <c r="D38" s="178"/>
      <c r="E38" s="34">
        <f>'Stavební rozpočet-SO01'!I217</f>
        <v>0</v>
      </c>
      <c r="F38" s="34">
        <f>'Stavební rozpočet-SO01'!J217</f>
        <v>0</v>
      </c>
      <c r="G38" s="34">
        <f>'Stavební rozpočet-SO01'!K217</f>
        <v>0</v>
      </c>
      <c r="H38" s="34" t="s">
        <v>1747</v>
      </c>
      <c r="I38" s="34">
        <f t="shared" si="0"/>
        <v>0</v>
      </c>
    </row>
    <row r="39" spans="1:9" x14ac:dyDescent="0.2">
      <c r="A39" s="15"/>
      <c r="B39" s="15" t="s">
        <v>771</v>
      </c>
      <c r="C39" s="190" t="s">
        <v>1283</v>
      </c>
      <c r="D39" s="178"/>
      <c r="E39" s="34">
        <f>'Stavební rozpočet-SO01'!I244</f>
        <v>0</v>
      </c>
      <c r="F39" s="34">
        <f>'Stavební rozpočet-SO01'!J244</f>
        <v>0</v>
      </c>
      <c r="G39" s="34">
        <f>'Stavební rozpočet-SO01'!K244</f>
        <v>0</v>
      </c>
      <c r="H39" s="34" t="s">
        <v>1747</v>
      </c>
      <c r="I39" s="34">
        <f t="shared" si="0"/>
        <v>0</v>
      </c>
    </row>
    <row r="40" spans="1:9" x14ac:dyDescent="0.2">
      <c r="A40" s="15"/>
      <c r="B40" s="15" t="s">
        <v>772</v>
      </c>
      <c r="C40" s="190" t="s">
        <v>1355</v>
      </c>
      <c r="D40" s="178"/>
      <c r="E40" s="34">
        <f>'Stavební rozpočet-SO01'!I321</f>
        <v>0</v>
      </c>
      <c r="F40" s="34">
        <f>'Stavební rozpočet-SO01'!J321</f>
        <v>0</v>
      </c>
      <c r="G40" s="34">
        <f>'Stavební rozpočet-SO01'!K321</f>
        <v>0</v>
      </c>
      <c r="H40" s="34" t="s">
        <v>1747</v>
      </c>
      <c r="I40" s="34">
        <f t="shared" si="0"/>
        <v>0</v>
      </c>
    </row>
    <row r="41" spans="1:9" x14ac:dyDescent="0.2">
      <c r="A41" s="15"/>
      <c r="B41" s="15" t="s">
        <v>798</v>
      </c>
      <c r="C41" s="190" t="s">
        <v>1379</v>
      </c>
      <c r="D41" s="178"/>
      <c r="E41" s="34">
        <f>'Stavební rozpočet-SO01'!I347</f>
        <v>0</v>
      </c>
      <c r="F41" s="34">
        <f>'Stavební rozpočet-SO01'!J347</f>
        <v>0</v>
      </c>
      <c r="G41" s="34">
        <f>'Stavební rozpočet-SO01'!K347</f>
        <v>0</v>
      </c>
      <c r="H41" s="34" t="s">
        <v>1747</v>
      </c>
      <c r="I41" s="34">
        <f t="shared" si="0"/>
        <v>0</v>
      </c>
    </row>
    <row r="42" spans="1:9" x14ac:dyDescent="0.2">
      <c r="A42" s="15"/>
      <c r="B42" s="15" t="s">
        <v>822</v>
      </c>
      <c r="C42" s="190" t="s">
        <v>1395</v>
      </c>
      <c r="D42" s="178"/>
      <c r="E42" s="34">
        <f>'Stavební rozpočet-SO01'!I371</f>
        <v>0</v>
      </c>
      <c r="F42" s="34">
        <f>'Stavební rozpočet-SO01'!J371</f>
        <v>0</v>
      </c>
      <c r="G42" s="34">
        <f>'Stavební rozpočet-SO01'!K371</f>
        <v>0</v>
      </c>
      <c r="H42" s="34" t="s">
        <v>1747</v>
      </c>
      <c r="I42" s="34">
        <f t="shared" si="0"/>
        <v>0</v>
      </c>
    </row>
    <row r="43" spans="1:9" x14ac:dyDescent="0.2">
      <c r="A43" s="15"/>
      <c r="B43" s="15" t="s">
        <v>842</v>
      </c>
      <c r="C43" s="190" t="s">
        <v>1424</v>
      </c>
      <c r="D43" s="178"/>
      <c r="E43" s="34">
        <f>'Stavební rozpočet-SO01'!I400</f>
        <v>0</v>
      </c>
      <c r="F43" s="34">
        <f>'Stavební rozpočet-SO01'!J400</f>
        <v>0</v>
      </c>
      <c r="G43" s="34">
        <f>'Stavební rozpočet-SO01'!K400</f>
        <v>0</v>
      </c>
      <c r="H43" s="34" t="s">
        <v>1747</v>
      </c>
      <c r="I43" s="34">
        <f t="shared" si="0"/>
        <v>0</v>
      </c>
    </row>
    <row r="44" spans="1:9" x14ac:dyDescent="0.2">
      <c r="A44" s="15"/>
      <c r="B44" s="15" t="s">
        <v>869</v>
      </c>
      <c r="C44" s="190" t="s">
        <v>1458</v>
      </c>
      <c r="D44" s="178"/>
      <c r="E44" s="34">
        <f>'Stavební rozpočet-SO01'!I436</f>
        <v>0</v>
      </c>
      <c r="F44" s="34">
        <f>'Stavební rozpočet-SO01'!J436</f>
        <v>0</v>
      </c>
      <c r="G44" s="34">
        <f>'Stavební rozpočet-SO01'!K436</f>
        <v>0</v>
      </c>
      <c r="H44" s="34" t="s">
        <v>1747</v>
      </c>
      <c r="I44" s="34">
        <f t="shared" si="0"/>
        <v>0</v>
      </c>
    </row>
    <row r="45" spans="1:9" x14ac:dyDescent="0.2">
      <c r="A45" s="15"/>
      <c r="B45" s="15" t="s">
        <v>882</v>
      </c>
      <c r="C45" s="190" t="s">
        <v>1471</v>
      </c>
      <c r="D45" s="178"/>
      <c r="E45" s="34">
        <f>'Stavební rozpočet-SO01'!I449</f>
        <v>0</v>
      </c>
      <c r="F45" s="34">
        <f>'Stavební rozpočet-SO01'!J449</f>
        <v>0</v>
      </c>
      <c r="G45" s="34">
        <f>'Stavební rozpočet-SO01'!K449</f>
        <v>0</v>
      </c>
      <c r="H45" s="34" t="s">
        <v>1747</v>
      </c>
      <c r="I45" s="34">
        <f t="shared" si="0"/>
        <v>0</v>
      </c>
    </row>
    <row r="46" spans="1:9" x14ac:dyDescent="0.2">
      <c r="A46" s="15"/>
      <c r="B46" s="15" t="s">
        <v>903</v>
      </c>
      <c r="C46" s="190" t="s">
        <v>1492</v>
      </c>
      <c r="D46" s="178"/>
      <c r="E46" s="34">
        <f>'Stavební rozpočet-SO01'!I470</f>
        <v>0</v>
      </c>
      <c r="F46" s="34">
        <f>'Stavební rozpočet-SO01'!J470</f>
        <v>0</v>
      </c>
      <c r="G46" s="34">
        <f>'Stavební rozpočet-SO01'!K470</f>
        <v>0</v>
      </c>
      <c r="H46" s="34" t="s">
        <v>1747</v>
      </c>
      <c r="I46" s="34">
        <f t="shared" si="0"/>
        <v>0</v>
      </c>
    </row>
    <row r="47" spans="1:9" x14ac:dyDescent="0.2">
      <c r="A47" s="15"/>
      <c r="B47" s="15" t="s">
        <v>907</v>
      </c>
      <c r="C47" s="190" t="s">
        <v>1496</v>
      </c>
      <c r="D47" s="178"/>
      <c r="E47" s="34">
        <f>'Stavební rozpočet-SO01'!I474</f>
        <v>0</v>
      </c>
      <c r="F47" s="34">
        <f>'Stavební rozpočet-SO01'!J474</f>
        <v>0</v>
      </c>
      <c r="G47" s="34">
        <f>'Stavební rozpočet-SO01'!K474</f>
        <v>0</v>
      </c>
      <c r="H47" s="34" t="s">
        <v>1747</v>
      </c>
      <c r="I47" s="34">
        <f t="shared" si="0"/>
        <v>0</v>
      </c>
    </row>
    <row r="48" spans="1:9" x14ac:dyDescent="0.2">
      <c r="A48" s="15"/>
      <c r="B48" s="15" t="s">
        <v>922</v>
      </c>
      <c r="C48" s="190" t="s">
        <v>1511</v>
      </c>
      <c r="D48" s="178"/>
      <c r="E48" s="34">
        <f>'Stavební rozpočet-SO01'!I489</f>
        <v>0</v>
      </c>
      <c r="F48" s="34">
        <f>'Stavební rozpočet-SO01'!J489</f>
        <v>0</v>
      </c>
      <c r="G48" s="34">
        <f>'Stavební rozpočet-SO01'!K489</f>
        <v>0</v>
      </c>
      <c r="H48" s="34" t="s">
        <v>1747</v>
      </c>
      <c r="I48" s="34">
        <f t="shared" si="0"/>
        <v>0</v>
      </c>
    </row>
    <row r="49" spans="1:9" x14ac:dyDescent="0.2">
      <c r="A49" s="15"/>
      <c r="B49" s="15" t="s">
        <v>930</v>
      </c>
      <c r="C49" s="190" t="s">
        <v>1519</v>
      </c>
      <c r="D49" s="178"/>
      <c r="E49" s="34">
        <f>'Stavební rozpočet-SO01'!I497</f>
        <v>0</v>
      </c>
      <c r="F49" s="34">
        <f>'Stavební rozpočet-SO01'!J497</f>
        <v>0</v>
      </c>
      <c r="G49" s="34">
        <f>'Stavební rozpočet-SO01'!K497</f>
        <v>0</v>
      </c>
      <c r="H49" s="34" t="s">
        <v>1747</v>
      </c>
      <c r="I49" s="34">
        <f t="shared" si="0"/>
        <v>0</v>
      </c>
    </row>
    <row r="50" spans="1:9" x14ac:dyDescent="0.2">
      <c r="A50" s="15"/>
      <c r="B50" s="15" t="s">
        <v>936</v>
      </c>
      <c r="C50" s="190" t="s">
        <v>1525</v>
      </c>
      <c r="D50" s="178"/>
      <c r="E50" s="34">
        <f>'Stavební rozpočet-SO01'!I503</f>
        <v>0</v>
      </c>
      <c r="F50" s="34">
        <f>'Stavební rozpočet-SO01'!J503</f>
        <v>0</v>
      </c>
      <c r="G50" s="34">
        <f>'Stavební rozpočet-SO01'!K503</f>
        <v>0</v>
      </c>
      <c r="H50" s="34" t="s">
        <v>1747</v>
      </c>
      <c r="I50" s="34">
        <f t="shared" si="0"/>
        <v>0</v>
      </c>
    </row>
    <row r="51" spans="1:9" x14ac:dyDescent="0.2">
      <c r="A51" s="15"/>
      <c r="B51" s="15" t="s">
        <v>967</v>
      </c>
      <c r="C51" s="190" t="s">
        <v>1556</v>
      </c>
      <c r="D51" s="178"/>
      <c r="E51" s="34">
        <f>'Stavební rozpočet-SO01'!I534</f>
        <v>0</v>
      </c>
      <c r="F51" s="34">
        <f>'Stavební rozpočet-SO01'!J534</f>
        <v>0</v>
      </c>
      <c r="G51" s="34">
        <f>'Stavební rozpočet-SO01'!K534</f>
        <v>0</v>
      </c>
      <c r="H51" s="34" t="s">
        <v>1747</v>
      </c>
      <c r="I51" s="34">
        <f t="shared" si="0"/>
        <v>0</v>
      </c>
    </row>
    <row r="52" spans="1:9" x14ac:dyDescent="0.2">
      <c r="A52" s="15"/>
      <c r="B52" s="15" t="s">
        <v>970</v>
      </c>
      <c r="C52" s="190" t="s">
        <v>1559</v>
      </c>
      <c r="D52" s="178"/>
      <c r="E52" s="34">
        <f>'Stavební rozpočet-SO01'!I537</f>
        <v>0</v>
      </c>
      <c r="F52" s="34">
        <f>'Stavební rozpočet-SO01'!J537</f>
        <v>0</v>
      </c>
      <c r="G52" s="34">
        <f>'Stavební rozpočet-SO01'!K537</f>
        <v>0</v>
      </c>
      <c r="H52" s="34" t="s">
        <v>1747</v>
      </c>
      <c r="I52" s="34">
        <f t="shared" si="0"/>
        <v>0</v>
      </c>
    </row>
    <row r="53" spans="1:9" x14ac:dyDescent="0.2">
      <c r="A53" s="15"/>
      <c r="B53" s="15" t="s">
        <v>1039</v>
      </c>
      <c r="C53" s="190" t="s">
        <v>1631</v>
      </c>
      <c r="D53" s="178"/>
      <c r="E53" s="34">
        <f>'Stavební rozpočet-SO01'!I613</f>
        <v>0</v>
      </c>
      <c r="F53" s="34">
        <f>'Stavební rozpočet-SO01'!J613</f>
        <v>0</v>
      </c>
      <c r="G53" s="34">
        <f>'Stavební rozpočet-SO01'!K613</f>
        <v>0</v>
      </c>
      <c r="H53" s="34" t="s">
        <v>1747</v>
      </c>
      <c r="I53" s="34">
        <f t="shared" si="0"/>
        <v>0</v>
      </c>
    </row>
    <row r="55" spans="1:9" x14ac:dyDescent="0.2">
      <c r="F55" s="43" t="s">
        <v>1666</v>
      </c>
      <c r="G55" s="45">
        <f>SUM(I11:I53)</f>
        <v>0</v>
      </c>
    </row>
  </sheetData>
  <sheetProtection algorithmName="SHA-512" hashValue="5UTK2zcviEfAXqpIGVyKZ+podOJnsiO0BtOwi8/HmfVajuQcWX7wacz4jXwsrTDq9nuOpMEisV/FCB7D+K2j4g==" saltValue="9kJCnFB5V79rYW4lTLyIUw==" spinCount="100000" sheet="1" objects="1" scenarios="1"/>
  <mergeCells count="61">
    <mergeCell ref="C52:D52"/>
    <mergeCell ref="C53:D53"/>
    <mergeCell ref="C46:D46"/>
    <mergeCell ref="C47:D47"/>
    <mergeCell ref="C48:D48"/>
    <mergeCell ref="C49:D49"/>
    <mergeCell ref="C50:D50"/>
    <mergeCell ref="C51:D51"/>
    <mergeCell ref="C45:D45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33:D33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21:D21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A6:A7"/>
    <mergeCell ref="B6:C7"/>
    <mergeCell ref="D6:D7"/>
    <mergeCell ref="E6:G7"/>
    <mergeCell ref="A8:A9"/>
    <mergeCell ref="B8:C9"/>
    <mergeCell ref="D8:D9"/>
    <mergeCell ref="E8:G9"/>
    <mergeCell ref="A4:A5"/>
    <mergeCell ref="B4:C5"/>
    <mergeCell ref="D4:D5"/>
    <mergeCell ref="E4:G5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96443-1254-48D8-9F3C-8D93C5FA2654}">
  <sheetPr>
    <pageSetUpPr fitToPage="1"/>
  </sheetPr>
  <dimension ref="A1:I827"/>
  <sheetViews>
    <sheetView workbookViewId="0">
      <pane ySplit="10" topLeftCell="A11" activePane="bottomLeft" state="frozenSplit"/>
      <selection pane="bottomLeft" activeCell="D718" sqref="D718:E718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7.28515625" style="75" customWidth="1"/>
    <col min="7" max="7" width="14.14062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rozpočet-SO05'!C2</f>
        <v>Snížení energetické.náročnosti objektů Domova Kladno-Švermov</v>
      </c>
      <c r="D2" s="291"/>
      <c r="E2" s="293" t="s">
        <v>1657</v>
      </c>
      <c r="F2" s="293" t="str">
        <f>'Stavební rozpočet-SO05'!I2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rozpočet-SO05'!C4</f>
        <v>SO 05 - OBJEKT 5 - č.p.1442</v>
      </c>
      <c r="D4" s="256"/>
      <c r="E4" s="255" t="s">
        <v>1658</v>
      </c>
      <c r="F4" s="255" t="str">
        <f>'Stavební rozpočet-SO05'!I4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rozpočet-SO05'!C6</f>
        <v xml:space="preserve"> </v>
      </c>
      <c r="D6" s="256"/>
      <c r="E6" s="255" t="s">
        <v>1659</v>
      </c>
      <c r="F6" s="255" t="str">
        <f>'Stavební rozpočet-SO05'!I6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rozpočet-SO05'!I8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574</v>
      </c>
      <c r="D14" s="304" t="s">
        <v>1056</v>
      </c>
      <c r="E14" s="305"/>
      <c r="F14" s="117" t="s">
        <v>1645</v>
      </c>
      <c r="G14" s="116">
        <v>34.825000000000003</v>
      </c>
      <c r="H14" s="108">
        <v>0</v>
      </c>
    </row>
    <row r="15" spans="1:9" ht="12.2" customHeight="1" x14ac:dyDescent="0.2">
      <c r="D15" s="334" t="s">
        <v>3237</v>
      </c>
      <c r="E15" s="335"/>
      <c r="F15" s="335"/>
      <c r="G15" s="143">
        <v>34.825000000000003</v>
      </c>
    </row>
    <row r="16" spans="1:9" x14ac:dyDescent="0.2">
      <c r="A16" s="117" t="s">
        <v>9</v>
      </c>
      <c r="B16" s="117"/>
      <c r="C16" s="117" t="s">
        <v>2867</v>
      </c>
      <c r="D16" s="304" t="s">
        <v>3186</v>
      </c>
      <c r="E16" s="305"/>
      <c r="F16" s="117" t="s">
        <v>1645</v>
      </c>
      <c r="G16" s="116">
        <v>27.018000000000001</v>
      </c>
      <c r="H16" s="108">
        <v>0</v>
      </c>
    </row>
    <row r="17" spans="1:8" ht="12.2" customHeight="1" x14ac:dyDescent="0.2">
      <c r="D17" s="334" t="s">
        <v>3236</v>
      </c>
      <c r="E17" s="335"/>
      <c r="F17" s="335"/>
      <c r="G17" s="143">
        <v>27.018000000000001</v>
      </c>
    </row>
    <row r="18" spans="1:8" x14ac:dyDescent="0.2">
      <c r="A18" s="117" t="s">
        <v>10</v>
      </c>
      <c r="B18" s="117"/>
      <c r="C18" s="117" t="s">
        <v>575</v>
      </c>
      <c r="D18" s="304" t="s">
        <v>1057</v>
      </c>
      <c r="E18" s="305"/>
      <c r="F18" s="117" t="s">
        <v>1646</v>
      </c>
      <c r="G18" s="116">
        <v>52.82</v>
      </c>
      <c r="H18" s="108">
        <v>0</v>
      </c>
    </row>
    <row r="19" spans="1:8" ht="12.2" customHeight="1" x14ac:dyDescent="0.2">
      <c r="D19" s="334" t="s">
        <v>3222</v>
      </c>
      <c r="E19" s="335"/>
      <c r="F19" s="335"/>
      <c r="G19" s="143">
        <v>52.82</v>
      </c>
    </row>
    <row r="20" spans="1:8" x14ac:dyDescent="0.2">
      <c r="A20" s="120"/>
      <c r="B20" s="120"/>
      <c r="C20" s="120" t="s">
        <v>18</v>
      </c>
      <c r="D20" s="306" t="s">
        <v>1059</v>
      </c>
      <c r="E20" s="307"/>
      <c r="F20" s="120"/>
      <c r="G20" s="142"/>
      <c r="H20" s="109"/>
    </row>
    <row r="21" spans="1:8" x14ac:dyDescent="0.2">
      <c r="A21" s="117" t="s">
        <v>11</v>
      </c>
      <c r="B21" s="117"/>
      <c r="C21" s="117" t="s">
        <v>577</v>
      </c>
      <c r="D21" s="304" t="s">
        <v>1060</v>
      </c>
      <c r="E21" s="305"/>
      <c r="F21" s="117" t="s">
        <v>1647</v>
      </c>
      <c r="G21" s="116">
        <v>7.8070000000000004</v>
      </c>
      <c r="H21" s="108">
        <v>0</v>
      </c>
    </row>
    <row r="22" spans="1:8" ht="12.2" customHeight="1" x14ac:dyDescent="0.2">
      <c r="D22" s="334" t="s">
        <v>3235</v>
      </c>
      <c r="E22" s="335"/>
      <c r="F22" s="335"/>
      <c r="G22" s="143">
        <v>7.8070000000000004</v>
      </c>
    </row>
    <row r="23" spans="1:8" x14ac:dyDescent="0.2">
      <c r="A23" s="120"/>
      <c r="B23" s="120"/>
      <c r="C23" s="120" t="s">
        <v>19</v>
      </c>
      <c r="D23" s="306" t="s">
        <v>1061</v>
      </c>
      <c r="E23" s="307"/>
      <c r="F23" s="120"/>
      <c r="G23" s="142"/>
      <c r="H23" s="109"/>
    </row>
    <row r="24" spans="1:8" x14ac:dyDescent="0.2">
      <c r="A24" s="117" t="s">
        <v>12</v>
      </c>
      <c r="B24" s="117"/>
      <c r="C24" s="117" t="s">
        <v>578</v>
      </c>
      <c r="D24" s="304" t="s">
        <v>1062</v>
      </c>
      <c r="E24" s="305"/>
      <c r="F24" s="117" t="s">
        <v>1647</v>
      </c>
      <c r="G24" s="116">
        <v>97.855000000000004</v>
      </c>
      <c r="H24" s="108">
        <v>0</v>
      </c>
    </row>
    <row r="25" spans="1:8" ht="12.2" customHeight="1" x14ac:dyDescent="0.2">
      <c r="D25" s="334" t="s">
        <v>2970</v>
      </c>
      <c r="E25" s="335"/>
      <c r="F25" s="335"/>
      <c r="G25" s="143">
        <v>97.855000000000004</v>
      </c>
    </row>
    <row r="26" spans="1:8" x14ac:dyDescent="0.2">
      <c r="A26" s="117" t="s">
        <v>13</v>
      </c>
      <c r="B26" s="117"/>
      <c r="C26" s="117" t="s">
        <v>579</v>
      </c>
      <c r="D26" s="304" t="s">
        <v>1063</v>
      </c>
      <c r="E26" s="305"/>
      <c r="F26" s="117" t="s">
        <v>1647</v>
      </c>
      <c r="G26" s="116">
        <v>97.885000000000005</v>
      </c>
      <c r="H26" s="108">
        <v>0</v>
      </c>
    </row>
    <row r="27" spans="1:8" ht="12.2" customHeight="1" x14ac:dyDescent="0.2">
      <c r="D27" s="334" t="s">
        <v>2969</v>
      </c>
      <c r="E27" s="335"/>
      <c r="F27" s="335"/>
      <c r="G27" s="143">
        <v>97.885000000000005</v>
      </c>
    </row>
    <row r="28" spans="1:8" x14ac:dyDescent="0.2">
      <c r="A28" s="120"/>
      <c r="B28" s="120"/>
      <c r="C28" s="120" t="s">
        <v>22</v>
      </c>
      <c r="D28" s="306" t="s">
        <v>1066</v>
      </c>
      <c r="E28" s="307"/>
      <c r="F28" s="120"/>
      <c r="G28" s="142"/>
      <c r="H28" s="109"/>
    </row>
    <row r="29" spans="1:8" x14ac:dyDescent="0.2">
      <c r="A29" s="117" t="s">
        <v>14</v>
      </c>
      <c r="B29" s="117"/>
      <c r="C29" s="117" t="s">
        <v>581</v>
      </c>
      <c r="D29" s="304" t="s">
        <v>1067</v>
      </c>
      <c r="E29" s="305"/>
      <c r="F29" s="117" t="s">
        <v>1647</v>
      </c>
      <c r="G29" s="116">
        <v>44.603999999999999</v>
      </c>
      <c r="H29" s="108">
        <v>0</v>
      </c>
    </row>
    <row r="30" spans="1:8" ht="12.2" customHeight="1" x14ac:dyDescent="0.2">
      <c r="D30" s="334" t="s">
        <v>3234</v>
      </c>
      <c r="E30" s="335"/>
      <c r="F30" s="335"/>
      <c r="G30" s="143">
        <v>44.603999999999999</v>
      </c>
    </row>
    <row r="31" spans="1:8" x14ac:dyDescent="0.2">
      <c r="A31" s="117" t="s">
        <v>15</v>
      </c>
      <c r="B31" s="117"/>
      <c r="C31" s="117" t="s">
        <v>582</v>
      </c>
      <c r="D31" s="304" t="s">
        <v>1068</v>
      </c>
      <c r="E31" s="305"/>
      <c r="F31" s="117" t="s">
        <v>1648</v>
      </c>
      <c r="G31" s="116">
        <v>78.057000000000002</v>
      </c>
      <c r="H31" s="108">
        <v>0</v>
      </c>
    </row>
    <row r="32" spans="1:8" ht="12.2" customHeight="1" x14ac:dyDescent="0.2">
      <c r="D32" s="334" t="s">
        <v>3233</v>
      </c>
      <c r="E32" s="335"/>
      <c r="F32" s="335"/>
      <c r="G32" s="143">
        <v>78.057000000000002</v>
      </c>
    </row>
    <row r="33" spans="1:8" x14ac:dyDescent="0.2">
      <c r="A33" s="117" t="s">
        <v>16</v>
      </c>
      <c r="B33" s="117"/>
      <c r="C33" s="117" t="s">
        <v>583</v>
      </c>
      <c r="D33" s="304" t="s">
        <v>1069</v>
      </c>
      <c r="E33" s="305"/>
      <c r="F33" s="117" t="s">
        <v>1647</v>
      </c>
      <c r="G33" s="116">
        <v>44.603999999999999</v>
      </c>
      <c r="H33" s="108">
        <v>0</v>
      </c>
    </row>
    <row r="34" spans="1:8" ht="12.2" customHeight="1" x14ac:dyDescent="0.2">
      <c r="D34" s="334" t="s">
        <v>3232</v>
      </c>
      <c r="E34" s="335"/>
      <c r="F34" s="335"/>
      <c r="G34" s="143">
        <v>44.603999999999999</v>
      </c>
    </row>
    <row r="35" spans="1:8" x14ac:dyDescent="0.2">
      <c r="A35" s="120"/>
      <c r="B35" s="120"/>
      <c r="C35" s="120" t="s">
        <v>23</v>
      </c>
      <c r="D35" s="306" t="s">
        <v>1070</v>
      </c>
      <c r="E35" s="307"/>
      <c r="F35" s="120"/>
      <c r="G35" s="142"/>
      <c r="H35" s="109"/>
    </row>
    <row r="36" spans="1:8" x14ac:dyDescent="0.2">
      <c r="A36" s="117" t="s">
        <v>17</v>
      </c>
      <c r="B36" s="117"/>
      <c r="C36" s="117" t="s">
        <v>584</v>
      </c>
      <c r="D36" s="304" t="s">
        <v>1071</v>
      </c>
      <c r="E36" s="305"/>
      <c r="F36" s="117" t="s">
        <v>1647</v>
      </c>
      <c r="G36" s="116">
        <v>44.603999999999999</v>
      </c>
      <c r="H36" s="108">
        <v>0</v>
      </c>
    </row>
    <row r="37" spans="1:8" ht="12.2" customHeight="1" x14ac:dyDescent="0.2">
      <c r="D37" s="334" t="s">
        <v>3232</v>
      </c>
      <c r="E37" s="335"/>
      <c r="F37" s="335"/>
      <c r="G37" s="143">
        <v>44.603999999999999</v>
      </c>
    </row>
    <row r="38" spans="1:8" x14ac:dyDescent="0.2">
      <c r="A38" s="117" t="s">
        <v>18</v>
      </c>
      <c r="B38" s="117"/>
      <c r="C38" s="117" t="s">
        <v>585</v>
      </c>
      <c r="D38" s="304" t="s">
        <v>1072</v>
      </c>
      <c r="E38" s="305"/>
      <c r="F38" s="117" t="s">
        <v>1647</v>
      </c>
      <c r="G38" s="116">
        <v>53.250999999999998</v>
      </c>
      <c r="H38" s="108">
        <v>0</v>
      </c>
    </row>
    <row r="39" spans="1:8" ht="12.2" customHeight="1" x14ac:dyDescent="0.2">
      <c r="D39" s="334" t="s">
        <v>2964</v>
      </c>
      <c r="E39" s="335"/>
      <c r="F39" s="335"/>
      <c r="G39" s="143">
        <v>53.250999999999998</v>
      </c>
    </row>
    <row r="40" spans="1:8" x14ac:dyDescent="0.2">
      <c r="A40" s="120"/>
      <c r="B40" s="120"/>
      <c r="C40" s="120" t="s">
        <v>24</v>
      </c>
      <c r="D40" s="306" t="s">
        <v>1076</v>
      </c>
      <c r="E40" s="307"/>
      <c r="F40" s="120"/>
      <c r="G40" s="142"/>
      <c r="H40" s="109"/>
    </row>
    <row r="41" spans="1:8" x14ac:dyDescent="0.2">
      <c r="A41" s="117" t="s">
        <v>19</v>
      </c>
      <c r="B41" s="117"/>
      <c r="C41" s="117" t="s">
        <v>587</v>
      </c>
      <c r="D41" s="304" t="s">
        <v>1077</v>
      </c>
      <c r="E41" s="305"/>
      <c r="F41" s="117" t="s">
        <v>1645</v>
      </c>
      <c r="G41" s="116">
        <v>139.03299999999999</v>
      </c>
      <c r="H41" s="108">
        <v>0</v>
      </c>
    </row>
    <row r="42" spans="1:8" ht="12.2" customHeight="1" x14ac:dyDescent="0.2">
      <c r="D42" s="334" t="s">
        <v>3231</v>
      </c>
      <c r="E42" s="335"/>
      <c r="F42" s="335"/>
      <c r="G42" s="143">
        <v>39.033000000000001</v>
      </c>
    </row>
    <row r="43" spans="1:8" ht="12.2" customHeight="1" x14ac:dyDescent="0.2">
      <c r="A43" s="117"/>
      <c r="B43" s="117"/>
      <c r="C43" s="117"/>
      <c r="D43" s="334" t="s">
        <v>1769</v>
      </c>
      <c r="E43" s="335"/>
      <c r="F43" s="334"/>
      <c r="G43" s="144">
        <v>100</v>
      </c>
      <c r="H43" s="111"/>
    </row>
    <row r="44" spans="1:8" x14ac:dyDescent="0.2">
      <c r="A44" s="120"/>
      <c r="B44" s="120"/>
      <c r="C44" s="120" t="s">
        <v>27</v>
      </c>
      <c r="D44" s="306" t="s">
        <v>1078</v>
      </c>
      <c r="E44" s="307"/>
      <c r="F44" s="120"/>
      <c r="G44" s="142"/>
      <c r="H44" s="109"/>
    </row>
    <row r="45" spans="1:8" x14ac:dyDescent="0.2">
      <c r="A45" s="117" t="s">
        <v>20</v>
      </c>
      <c r="B45" s="117"/>
      <c r="C45" s="117" t="s">
        <v>588</v>
      </c>
      <c r="D45" s="304" t="s">
        <v>1079</v>
      </c>
      <c r="E45" s="305"/>
      <c r="F45" s="117" t="s">
        <v>1646</v>
      </c>
      <c r="G45" s="116">
        <v>87.08</v>
      </c>
      <c r="H45" s="108">
        <v>0</v>
      </c>
    </row>
    <row r="46" spans="1:8" ht="12.2" customHeight="1" x14ac:dyDescent="0.2">
      <c r="D46" s="334" t="s">
        <v>2961</v>
      </c>
      <c r="E46" s="335"/>
      <c r="F46" s="335"/>
      <c r="G46" s="143">
        <v>87.08</v>
      </c>
    </row>
    <row r="47" spans="1:8" x14ac:dyDescent="0.2">
      <c r="A47" s="117" t="s">
        <v>21</v>
      </c>
      <c r="B47" s="117"/>
      <c r="C47" s="117" t="s">
        <v>589</v>
      </c>
      <c r="D47" s="304" t="s">
        <v>1080</v>
      </c>
      <c r="E47" s="305"/>
      <c r="F47" s="117" t="s">
        <v>1646</v>
      </c>
      <c r="G47" s="116">
        <v>87.08</v>
      </c>
      <c r="H47" s="108">
        <v>0</v>
      </c>
    </row>
    <row r="48" spans="1:8" ht="12.2" customHeight="1" x14ac:dyDescent="0.2">
      <c r="D48" s="334" t="s">
        <v>2961</v>
      </c>
      <c r="E48" s="335"/>
      <c r="F48" s="335"/>
      <c r="G48" s="143">
        <v>87.08</v>
      </c>
    </row>
    <row r="49" spans="1:8" x14ac:dyDescent="0.2">
      <c r="A49" s="120"/>
      <c r="B49" s="120"/>
      <c r="C49" s="120" t="s">
        <v>33</v>
      </c>
      <c r="D49" s="306" t="s">
        <v>1081</v>
      </c>
      <c r="E49" s="307"/>
      <c r="F49" s="120"/>
      <c r="G49" s="142"/>
      <c r="H49" s="109"/>
    </row>
    <row r="50" spans="1:8" x14ac:dyDescent="0.2">
      <c r="A50" s="117" t="s">
        <v>22</v>
      </c>
      <c r="B50" s="117"/>
      <c r="C50" s="117" t="s">
        <v>591</v>
      </c>
      <c r="D50" s="304" t="s">
        <v>1083</v>
      </c>
      <c r="E50" s="305"/>
      <c r="F50" s="117" t="s">
        <v>1647</v>
      </c>
      <c r="G50" s="116">
        <v>0.12</v>
      </c>
      <c r="H50" s="108">
        <v>0</v>
      </c>
    </row>
    <row r="51" spans="1:8" ht="12.2" customHeight="1" x14ac:dyDescent="0.2">
      <c r="D51" s="334" t="s">
        <v>3230</v>
      </c>
      <c r="E51" s="335"/>
      <c r="F51" s="335"/>
      <c r="G51" s="143">
        <v>0.12</v>
      </c>
    </row>
    <row r="52" spans="1:8" x14ac:dyDescent="0.2">
      <c r="A52" s="120"/>
      <c r="B52" s="120"/>
      <c r="C52" s="120" t="s">
        <v>37</v>
      </c>
      <c r="D52" s="306" t="s">
        <v>1084</v>
      </c>
      <c r="E52" s="307"/>
      <c r="F52" s="120"/>
      <c r="G52" s="142"/>
      <c r="H52" s="109"/>
    </row>
    <row r="53" spans="1:8" x14ac:dyDescent="0.2">
      <c r="A53" s="117" t="s">
        <v>23</v>
      </c>
      <c r="B53" s="117"/>
      <c r="C53" s="117" t="s">
        <v>592</v>
      </c>
      <c r="D53" s="304" t="s">
        <v>3185</v>
      </c>
      <c r="E53" s="305"/>
      <c r="F53" s="117" t="s">
        <v>1644</v>
      </c>
      <c r="G53" s="116">
        <v>2</v>
      </c>
      <c r="H53" s="108">
        <v>0</v>
      </c>
    </row>
    <row r="54" spans="1:8" ht="12.2" customHeight="1" x14ac:dyDescent="0.2">
      <c r="D54" s="334" t="s">
        <v>1849</v>
      </c>
      <c r="E54" s="335"/>
      <c r="F54" s="335"/>
      <c r="G54" s="143">
        <v>2</v>
      </c>
    </row>
    <row r="55" spans="1:8" x14ac:dyDescent="0.2">
      <c r="A55" s="117" t="s">
        <v>24</v>
      </c>
      <c r="B55" s="117"/>
      <c r="C55" s="117" t="s">
        <v>594</v>
      </c>
      <c r="D55" s="304" t="s">
        <v>2155</v>
      </c>
      <c r="E55" s="305"/>
      <c r="F55" s="117" t="s">
        <v>1648</v>
      </c>
      <c r="G55" s="116">
        <v>3.4000000000000002E-2</v>
      </c>
      <c r="H55" s="108">
        <v>0</v>
      </c>
    </row>
    <row r="56" spans="1:8" ht="12.2" customHeight="1" x14ac:dyDescent="0.2">
      <c r="D56" s="334" t="s">
        <v>1774</v>
      </c>
      <c r="E56" s="335"/>
      <c r="F56" s="335"/>
      <c r="G56" s="143">
        <v>3.4000000000000002E-2</v>
      </c>
    </row>
    <row r="57" spans="1:8" x14ac:dyDescent="0.2">
      <c r="A57" s="117" t="s">
        <v>25</v>
      </c>
      <c r="B57" s="117"/>
      <c r="C57" s="117" t="s">
        <v>3184</v>
      </c>
      <c r="D57" s="304" t="s">
        <v>3183</v>
      </c>
      <c r="E57" s="305"/>
      <c r="F57" s="117" t="s">
        <v>1644</v>
      </c>
      <c r="G57" s="116">
        <v>2</v>
      </c>
      <c r="H57" s="108">
        <v>0</v>
      </c>
    </row>
    <row r="58" spans="1:8" ht="12.2" customHeight="1" x14ac:dyDescent="0.2">
      <c r="D58" s="334" t="s">
        <v>2923</v>
      </c>
      <c r="E58" s="335"/>
      <c r="F58" s="335"/>
      <c r="G58" s="143">
        <v>2</v>
      </c>
    </row>
    <row r="59" spans="1:8" x14ac:dyDescent="0.2">
      <c r="A59" s="117" t="s">
        <v>26</v>
      </c>
      <c r="B59" s="117"/>
      <c r="C59" s="117" t="s">
        <v>595</v>
      </c>
      <c r="D59" s="304" t="s">
        <v>1089</v>
      </c>
      <c r="E59" s="305"/>
      <c r="F59" s="117" t="s">
        <v>1646</v>
      </c>
      <c r="G59" s="116">
        <v>100</v>
      </c>
      <c r="H59" s="108">
        <v>0</v>
      </c>
    </row>
    <row r="60" spans="1:8" ht="12.2" customHeight="1" x14ac:dyDescent="0.2">
      <c r="D60" s="334" t="s">
        <v>1769</v>
      </c>
      <c r="E60" s="335"/>
      <c r="F60" s="335"/>
      <c r="G60" s="143">
        <v>100</v>
      </c>
    </row>
    <row r="61" spans="1:8" x14ac:dyDescent="0.2">
      <c r="A61" s="120"/>
      <c r="B61" s="120"/>
      <c r="C61" s="120" t="s">
        <v>62</v>
      </c>
      <c r="D61" s="306" t="s">
        <v>1090</v>
      </c>
      <c r="E61" s="307"/>
      <c r="F61" s="120"/>
      <c r="G61" s="142"/>
      <c r="H61" s="109"/>
    </row>
    <row r="62" spans="1:8" x14ac:dyDescent="0.2">
      <c r="A62" s="117" t="s">
        <v>27</v>
      </c>
      <c r="B62" s="117"/>
      <c r="C62" s="117" t="s">
        <v>596</v>
      </c>
      <c r="D62" s="304" t="s">
        <v>1091</v>
      </c>
      <c r="E62" s="305"/>
      <c r="F62" s="117" t="s">
        <v>1645</v>
      </c>
      <c r="G62" s="116">
        <v>26.86</v>
      </c>
      <c r="H62" s="108">
        <v>0</v>
      </c>
    </row>
    <row r="63" spans="1:8" ht="12.2" customHeight="1" x14ac:dyDescent="0.2">
      <c r="D63" s="334" t="s">
        <v>2957</v>
      </c>
      <c r="E63" s="335"/>
      <c r="F63" s="335"/>
      <c r="G63" s="143">
        <v>26.86</v>
      </c>
    </row>
    <row r="64" spans="1:8" x14ac:dyDescent="0.2">
      <c r="A64" s="117" t="s">
        <v>28</v>
      </c>
      <c r="B64" s="117"/>
      <c r="C64" s="117" t="s">
        <v>597</v>
      </c>
      <c r="D64" s="304" t="s">
        <v>1092</v>
      </c>
      <c r="E64" s="305"/>
      <c r="F64" s="117" t="s">
        <v>1645</v>
      </c>
      <c r="G64" s="116">
        <v>26.86</v>
      </c>
      <c r="H64" s="108">
        <v>0</v>
      </c>
    </row>
    <row r="65" spans="1:8" ht="12.2" customHeight="1" x14ac:dyDescent="0.2">
      <c r="D65" s="334" t="s">
        <v>2957</v>
      </c>
      <c r="E65" s="335"/>
      <c r="F65" s="335"/>
      <c r="G65" s="143">
        <v>26.86</v>
      </c>
    </row>
    <row r="66" spans="1:8" x14ac:dyDescent="0.2">
      <c r="A66" s="117" t="s">
        <v>29</v>
      </c>
      <c r="B66" s="117"/>
      <c r="C66" s="117" t="s">
        <v>598</v>
      </c>
      <c r="D66" s="304" t="s">
        <v>1093</v>
      </c>
      <c r="E66" s="305"/>
      <c r="F66" s="117" t="s">
        <v>1645</v>
      </c>
      <c r="G66" s="116">
        <v>26.86</v>
      </c>
      <c r="H66" s="108">
        <v>0</v>
      </c>
    </row>
    <row r="67" spans="1:8" ht="12.2" customHeight="1" x14ac:dyDescent="0.2">
      <c r="D67" s="334" t="s">
        <v>2957</v>
      </c>
      <c r="E67" s="335"/>
      <c r="F67" s="335"/>
      <c r="G67" s="143">
        <v>26.86</v>
      </c>
    </row>
    <row r="68" spans="1:8" x14ac:dyDescent="0.2">
      <c r="A68" s="120"/>
      <c r="B68" s="120"/>
      <c r="C68" s="120" t="s">
        <v>65</v>
      </c>
      <c r="D68" s="306" t="s">
        <v>1094</v>
      </c>
      <c r="E68" s="307"/>
      <c r="F68" s="120"/>
      <c r="G68" s="142"/>
      <c r="H68" s="109"/>
    </row>
    <row r="69" spans="1:8" x14ac:dyDescent="0.2">
      <c r="A69" s="117" t="s">
        <v>30</v>
      </c>
      <c r="B69" s="117"/>
      <c r="C69" s="117" t="s">
        <v>599</v>
      </c>
      <c r="D69" s="304" t="s">
        <v>1095</v>
      </c>
      <c r="E69" s="305"/>
      <c r="F69" s="117" t="s">
        <v>1645</v>
      </c>
      <c r="G69" s="116">
        <v>47.707999999999998</v>
      </c>
      <c r="H69" s="108">
        <v>0</v>
      </c>
    </row>
    <row r="70" spans="1:8" ht="12.2" customHeight="1" x14ac:dyDescent="0.2">
      <c r="D70" s="334" t="s">
        <v>3229</v>
      </c>
      <c r="E70" s="335"/>
      <c r="F70" s="335"/>
      <c r="G70" s="143">
        <v>47.707999999999998</v>
      </c>
    </row>
    <row r="71" spans="1:8" x14ac:dyDescent="0.2">
      <c r="A71" s="117" t="s">
        <v>31</v>
      </c>
      <c r="B71" s="117"/>
      <c r="C71" s="117" t="s">
        <v>2865</v>
      </c>
      <c r="D71" s="304" t="s">
        <v>2864</v>
      </c>
      <c r="E71" s="305"/>
      <c r="F71" s="117" t="s">
        <v>1645</v>
      </c>
      <c r="G71" s="116">
        <v>8.923</v>
      </c>
      <c r="H71" s="108">
        <v>0</v>
      </c>
    </row>
    <row r="72" spans="1:8" ht="12.2" customHeight="1" x14ac:dyDescent="0.2">
      <c r="D72" s="334" t="s">
        <v>3228</v>
      </c>
      <c r="E72" s="335"/>
      <c r="F72" s="335"/>
      <c r="G72" s="143">
        <v>8.923</v>
      </c>
    </row>
    <row r="73" spans="1:8" x14ac:dyDescent="0.2">
      <c r="A73" s="117" t="s">
        <v>32</v>
      </c>
      <c r="B73" s="117"/>
      <c r="C73" s="117" t="s">
        <v>600</v>
      </c>
      <c r="D73" s="304" t="s">
        <v>1096</v>
      </c>
      <c r="E73" s="305"/>
      <c r="F73" s="117" t="s">
        <v>1645</v>
      </c>
      <c r="G73" s="116">
        <v>21.47</v>
      </c>
      <c r="H73" s="108">
        <v>0</v>
      </c>
    </row>
    <row r="74" spans="1:8" ht="12.2" customHeight="1" x14ac:dyDescent="0.2">
      <c r="D74" s="334" t="s">
        <v>3227</v>
      </c>
      <c r="E74" s="335"/>
      <c r="F74" s="335"/>
      <c r="G74" s="143">
        <v>21.47</v>
      </c>
    </row>
    <row r="75" spans="1:8" x14ac:dyDescent="0.2">
      <c r="A75" s="120"/>
      <c r="B75" s="120"/>
      <c r="C75" s="120" t="s">
        <v>67</v>
      </c>
      <c r="D75" s="306" t="s">
        <v>1097</v>
      </c>
      <c r="E75" s="307"/>
      <c r="F75" s="120"/>
      <c r="G75" s="142"/>
      <c r="H75" s="109"/>
    </row>
    <row r="76" spans="1:8" x14ac:dyDescent="0.2">
      <c r="A76" s="117" t="s">
        <v>33</v>
      </c>
      <c r="B76" s="117"/>
      <c r="C76" s="117" t="s">
        <v>601</v>
      </c>
      <c r="D76" s="304" t="s">
        <v>1098</v>
      </c>
      <c r="E76" s="305"/>
      <c r="F76" s="117" t="s">
        <v>1645</v>
      </c>
      <c r="G76" s="116">
        <v>32.003</v>
      </c>
      <c r="H76" s="108">
        <v>0</v>
      </c>
    </row>
    <row r="77" spans="1:8" ht="12.2" customHeight="1" x14ac:dyDescent="0.2">
      <c r="D77" s="334" t="s">
        <v>3196</v>
      </c>
      <c r="E77" s="335"/>
      <c r="F77" s="335"/>
      <c r="G77" s="143">
        <v>32.003</v>
      </c>
    </row>
    <row r="78" spans="1:8" x14ac:dyDescent="0.2">
      <c r="A78" s="117" t="s">
        <v>34</v>
      </c>
      <c r="B78" s="117"/>
      <c r="C78" s="117" t="s">
        <v>602</v>
      </c>
      <c r="D78" s="304" t="s">
        <v>1099</v>
      </c>
      <c r="E78" s="305"/>
      <c r="F78" s="117" t="s">
        <v>1645</v>
      </c>
      <c r="G78" s="116">
        <v>0.3</v>
      </c>
      <c r="H78" s="108">
        <v>0</v>
      </c>
    </row>
    <row r="79" spans="1:8" ht="12.2" customHeight="1" x14ac:dyDescent="0.2">
      <c r="D79" s="334" t="s">
        <v>3226</v>
      </c>
      <c r="E79" s="335"/>
      <c r="F79" s="335"/>
      <c r="G79" s="143">
        <v>0.3</v>
      </c>
    </row>
    <row r="80" spans="1:8" x14ac:dyDescent="0.2">
      <c r="A80" s="117" t="s">
        <v>35</v>
      </c>
      <c r="B80" s="117"/>
      <c r="C80" s="117" t="s">
        <v>603</v>
      </c>
      <c r="D80" s="304" t="s">
        <v>1100</v>
      </c>
      <c r="E80" s="305"/>
      <c r="F80" s="117" t="s">
        <v>1645</v>
      </c>
      <c r="G80" s="116">
        <v>0.3</v>
      </c>
      <c r="H80" s="108">
        <v>0</v>
      </c>
    </row>
    <row r="81" spans="1:8" ht="12.2" customHeight="1" x14ac:dyDescent="0.2">
      <c r="D81" s="334" t="s">
        <v>3226</v>
      </c>
      <c r="E81" s="335"/>
      <c r="F81" s="335"/>
      <c r="G81" s="143">
        <v>0.3</v>
      </c>
    </row>
    <row r="82" spans="1:8" x14ac:dyDescent="0.2">
      <c r="A82" s="117" t="s">
        <v>36</v>
      </c>
      <c r="B82" s="117"/>
      <c r="C82" s="117" t="s">
        <v>604</v>
      </c>
      <c r="D82" s="304" t="s">
        <v>1101</v>
      </c>
      <c r="E82" s="305"/>
      <c r="F82" s="117" t="s">
        <v>1645</v>
      </c>
      <c r="G82" s="116">
        <v>24.055</v>
      </c>
      <c r="H82" s="108">
        <v>0</v>
      </c>
    </row>
    <row r="83" spans="1:8" ht="12.2" customHeight="1" x14ac:dyDescent="0.2">
      <c r="D83" s="334" t="s">
        <v>3216</v>
      </c>
      <c r="E83" s="335"/>
      <c r="F83" s="335"/>
      <c r="G83" s="143">
        <v>24.055</v>
      </c>
    </row>
    <row r="84" spans="1:8" x14ac:dyDescent="0.2">
      <c r="A84" s="117" t="s">
        <v>37</v>
      </c>
      <c r="B84" s="117"/>
      <c r="C84" s="117" t="s">
        <v>2862</v>
      </c>
      <c r="D84" s="304" t="s">
        <v>2861</v>
      </c>
      <c r="E84" s="305"/>
      <c r="F84" s="117" t="s">
        <v>1646</v>
      </c>
      <c r="G84" s="116">
        <v>30.6</v>
      </c>
      <c r="H84" s="108">
        <v>0</v>
      </c>
    </row>
    <row r="85" spans="1:8" ht="12.2" customHeight="1" x14ac:dyDescent="0.2">
      <c r="D85" s="334" t="s">
        <v>3201</v>
      </c>
      <c r="E85" s="335"/>
      <c r="F85" s="335"/>
      <c r="G85" s="143">
        <v>30.6</v>
      </c>
    </row>
    <row r="86" spans="1:8" x14ac:dyDescent="0.2">
      <c r="A86" s="117" t="s">
        <v>38</v>
      </c>
      <c r="B86" s="117"/>
      <c r="C86" s="117" t="s">
        <v>605</v>
      </c>
      <c r="D86" s="304" t="s">
        <v>1102</v>
      </c>
      <c r="E86" s="305"/>
      <c r="F86" s="117" t="s">
        <v>1645</v>
      </c>
      <c r="G86" s="116">
        <v>265.774</v>
      </c>
      <c r="H86" s="108">
        <v>0</v>
      </c>
    </row>
    <row r="87" spans="1:8" ht="12.2" customHeight="1" x14ac:dyDescent="0.2">
      <c r="D87" s="334" t="s">
        <v>2920</v>
      </c>
      <c r="E87" s="335"/>
      <c r="F87" s="335"/>
      <c r="G87" s="143">
        <v>265.774</v>
      </c>
    </row>
    <row r="88" spans="1:8" x14ac:dyDescent="0.2">
      <c r="A88" s="117" t="s">
        <v>39</v>
      </c>
      <c r="B88" s="117"/>
      <c r="C88" s="117" t="s">
        <v>606</v>
      </c>
      <c r="D88" s="304" t="s">
        <v>2860</v>
      </c>
      <c r="E88" s="305"/>
      <c r="F88" s="117" t="s">
        <v>1645</v>
      </c>
      <c r="G88" s="116">
        <v>47.027000000000001</v>
      </c>
      <c r="H88" s="108">
        <v>0</v>
      </c>
    </row>
    <row r="89" spans="1:8" ht="12.2" customHeight="1" x14ac:dyDescent="0.2">
      <c r="D89" s="334" t="s">
        <v>3215</v>
      </c>
      <c r="E89" s="335"/>
      <c r="F89" s="335"/>
      <c r="G89" s="143">
        <v>47.027000000000001</v>
      </c>
    </row>
    <row r="90" spans="1:8" x14ac:dyDescent="0.2">
      <c r="A90" s="120"/>
      <c r="B90" s="120"/>
      <c r="C90" s="120" t="s">
        <v>68</v>
      </c>
      <c r="D90" s="306" t="s">
        <v>1104</v>
      </c>
      <c r="E90" s="307"/>
      <c r="F90" s="120"/>
      <c r="G90" s="142"/>
      <c r="H90" s="109"/>
    </row>
    <row r="91" spans="1:8" x14ac:dyDescent="0.2">
      <c r="A91" s="117" t="s">
        <v>40</v>
      </c>
      <c r="B91" s="117"/>
      <c r="C91" s="117" t="s">
        <v>607</v>
      </c>
      <c r="D91" s="304" t="s">
        <v>1105</v>
      </c>
      <c r="E91" s="305"/>
      <c r="F91" s="117" t="s">
        <v>1645</v>
      </c>
      <c r="G91" s="116">
        <v>68.34</v>
      </c>
      <c r="H91" s="108">
        <v>0</v>
      </c>
    </row>
    <row r="92" spans="1:8" ht="12.2" customHeight="1" x14ac:dyDescent="0.2">
      <c r="D92" s="334" t="s">
        <v>2953</v>
      </c>
      <c r="E92" s="335"/>
      <c r="F92" s="335"/>
      <c r="G92" s="143">
        <v>68.34</v>
      </c>
    </row>
    <row r="93" spans="1:8" x14ac:dyDescent="0.2">
      <c r="A93" s="117" t="s">
        <v>41</v>
      </c>
      <c r="B93" s="117"/>
      <c r="C93" s="117" t="s">
        <v>608</v>
      </c>
      <c r="D93" s="304" t="s">
        <v>1106</v>
      </c>
      <c r="E93" s="305"/>
      <c r="F93" s="117" t="s">
        <v>1645</v>
      </c>
      <c r="G93" s="116">
        <v>716.42499999999995</v>
      </c>
      <c r="H93" s="108">
        <v>0</v>
      </c>
    </row>
    <row r="94" spans="1:8" ht="12.2" customHeight="1" x14ac:dyDescent="0.2">
      <c r="D94" s="334" t="s">
        <v>2951</v>
      </c>
      <c r="E94" s="335"/>
      <c r="F94" s="335"/>
      <c r="G94" s="143">
        <v>76.400000000000006</v>
      </c>
    </row>
    <row r="95" spans="1:8" ht="12.2" customHeight="1" x14ac:dyDescent="0.2">
      <c r="A95" s="117"/>
      <c r="B95" s="117"/>
      <c r="C95" s="117"/>
      <c r="D95" s="334" t="s">
        <v>2916</v>
      </c>
      <c r="E95" s="335"/>
      <c r="F95" s="334"/>
      <c r="G95" s="144">
        <v>98.432000000000002</v>
      </c>
      <c r="H95" s="111"/>
    </row>
    <row r="96" spans="1:8" ht="12.2" customHeight="1" x14ac:dyDescent="0.2">
      <c r="A96" s="117"/>
      <c r="B96" s="117"/>
      <c r="C96" s="117"/>
      <c r="D96" s="334" t="s">
        <v>2917</v>
      </c>
      <c r="E96" s="335"/>
      <c r="F96" s="334"/>
      <c r="G96" s="144">
        <v>497.28899999999999</v>
      </c>
      <c r="H96" s="111"/>
    </row>
    <row r="97" spans="1:8" ht="12.2" customHeight="1" x14ac:dyDescent="0.2">
      <c r="A97" s="117"/>
      <c r="B97" s="117"/>
      <c r="C97" s="117"/>
      <c r="D97" s="334" t="s">
        <v>2950</v>
      </c>
      <c r="E97" s="335"/>
      <c r="F97" s="334"/>
      <c r="G97" s="144">
        <v>44.304000000000002</v>
      </c>
      <c r="H97" s="111"/>
    </row>
    <row r="98" spans="1:8" x14ac:dyDescent="0.2">
      <c r="A98" s="117" t="s">
        <v>42</v>
      </c>
      <c r="B98" s="117"/>
      <c r="C98" s="117" t="s">
        <v>609</v>
      </c>
      <c r="D98" s="304" t="s">
        <v>1107</v>
      </c>
      <c r="E98" s="305"/>
      <c r="F98" s="117" t="s">
        <v>1646</v>
      </c>
      <c r="G98" s="116">
        <v>40</v>
      </c>
      <c r="H98" s="108">
        <v>0</v>
      </c>
    </row>
    <row r="99" spans="1:8" ht="12.2" customHeight="1" x14ac:dyDescent="0.2">
      <c r="D99" s="334" t="s">
        <v>1786</v>
      </c>
      <c r="E99" s="335"/>
      <c r="F99" s="335"/>
      <c r="G99" s="143">
        <v>40</v>
      </c>
    </row>
    <row r="100" spans="1:8" x14ac:dyDescent="0.2">
      <c r="A100" s="117" t="s">
        <v>43</v>
      </c>
      <c r="B100" s="117"/>
      <c r="C100" s="117" t="s">
        <v>610</v>
      </c>
      <c r="D100" s="304" t="s">
        <v>1108</v>
      </c>
      <c r="E100" s="305"/>
      <c r="F100" s="117" t="s">
        <v>1646</v>
      </c>
      <c r="G100" s="116">
        <v>84.16</v>
      </c>
      <c r="H100" s="108">
        <v>0</v>
      </c>
    </row>
    <row r="101" spans="1:8" ht="12.2" customHeight="1" x14ac:dyDescent="0.2">
      <c r="D101" s="334" t="s">
        <v>2952</v>
      </c>
      <c r="E101" s="335"/>
      <c r="F101" s="335"/>
      <c r="G101" s="143">
        <v>84.16</v>
      </c>
    </row>
    <row r="102" spans="1:8" x14ac:dyDescent="0.2">
      <c r="A102" s="117" t="s">
        <v>44</v>
      </c>
      <c r="B102" s="117"/>
      <c r="C102" s="117" t="s">
        <v>611</v>
      </c>
      <c r="D102" s="304" t="s">
        <v>3182</v>
      </c>
      <c r="E102" s="305"/>
      <c r="F102" s="117" t="s">
        <v>1646</v>
      </c>
      <c r="G102" s="116">
        <v>15.7</v>
      </c>
      <c r="H102" s="108">
        <v>0</v>
      </c>
    </row>
    <row r="103" spans="1:8" ht="12.2" customHeight="1" x14ac:dyDescent="0.2">
      <c r="D103" s="334" t="s">
        <v>1788</v>
      </c>
      <c r="E103" s="335"/>
      <c r="F103" s="335"/>
      <c r="G103" s="143">
        <v>15.7</v>
      </c>
    </row>
    <row r="104" spans="1:8" x14ac:dyDescent="0.2">
      <c r="A104" s="117" t="s">
        <v>45</v>
      </c>
      <c r="B104" s="117"/>
      <c r="C104" s="117" t="s">
        <v>612</v>
      </c>
      <c r="D104" s="304" t="s">
        <v>1110</v>
      </c>
      <c r="E104" s="305"/>
      <c r="F104" s="117" t="s">
        <v>1645</v>
      </c>
      <c r="G104" s="116">
        <v>98.432000000000002</v>
      </c>
      <c r="H104" s="108">
        <v>0</v>
      </c>
    </row>
    <row r="105" spans="1:8" ht="12.2" customHeight="1" x14ac:dyDescent="0.2">
      <c r="D105" s="334" t="s">
        <v>2916</v>
      </c>
      <c r="E105" s="335"/>
      <c r="F105" s="335"/>
      <c r="G105" s="143">
        <v>98.432000000000002</v>
      </c>
    </row>
    <row r="106" spans="1:8" x14ac:dyDescent="0.2">
      <c r="A106" s="117" t="s">
        <v>46</v>
      </c>
      <c r="B106" s="117"/>
      <c r="C106" s="117" t="s">
        <v>614</v>
      </c>
      <c r="D106" s="304" t="s">
        <v>1112</v>
      </c>
      <c r="E106" s="305"/>
      <c r="F106" s="117" t="s">
        <v>1645</v>
      </c>
      <c r="G106" s="116">
        <v>76.400000000000006</v>
      </c>
      <c r="H106" s="108">
        <v>0</v>
      </c>
    </row>
    <row r="107" spans="1:8" ht="12.2" customHeight="1" x14ac:dyDescent="0.2">
      <c r="D107" s="334" t="s">
        <v>2951</v>
      </c>
      <c r="E107" s="335"/>
      <c r="F107" s="335"/>
      <c r="G107" s="143">
        <v>76.400000000000006</v>
      </c>
    </row>
    <row r="108" spans="1:8" x14ac:dyDescent="0.2">
      <c r="A108" s="117" t="s">
        <v>47</v>
      </c>
      <c r="B108" s="117"/>
      <c r="C108" s="117" t="s">
        <v>615</v>
      </c>
      <c r="D108" s="304" t="s">
        <v>1114</v>
      </c>
      <c r="E108" s="305"/>
      <c r="F108" s="117" t="s">
        <v>1645</v>
      </c>
      <c r="G108" s="116">
        <v>497.28899999999999</v>
      </c>
      <c r="H108" s="108">
        <v>0</v>
      </c>
    </row>
    <row r="109" spans="1:8" ht="12.2" customHeight="1" x14ac:dyDescent="0.2">
      <c r="D109" s="334" t="s">
        <v>2917</v>
      </c>
      <c r="E109" s="335"/>
      <c r="F109" s="335"/>
      <c r="G109" s="143">
        <v>497.28899999999999</v>
      </c>
    </row>
    <row r="110" spans="1:8" x14ac:dyDescent="0.2">
      <c r="A110" s="117" t="s">
        <v>48</v>
      </c>
      <c r="B110" s="117"/>
      <c r="C110" s="117" t="s">
        <v>616</v>
      </c>
      <c r="D110" s="304" t="s">
        <v>1116</v>
      </c>
      <c r="E110" s="305"/>
      <c r="F110" s="117" t="s">
        <v>1645</v>
      </c>
      <c r="G110" s="116">
        <v>44.304000000000002</v>
      </c>
      <c r="H110" s="108">
        <v>0</v>
      </c>
    </row>
    <row r="111" spans="1:8" ht="12.2" customHeight="1" x14ac:dyDescent="0.2">
      <c r="D111" s="334" t="s">
        <v>2950</v>
      </c>
      <c r="E111" s="335"/>
      <c r="F111" s="335"/>
      <c r="G111" s="143">
        <v>44.304000000000002</v>
      </c>
    </row>
    <row r="112" spans="1:8" x14ac:dyDescent="0.2">
      <c r="A112" s="117" t="s">
        <v>49</v>
      </c>
      <c r="B112" s="117"/>
      <c r="C112" s="117" t="s">
        <v>617</v>
      </c>
      <c r="D112" s="304" t="s">
        <v>1118</v>
      </c>
      <c r="E112" s="305"/>
      <c r="F112" s="117" t="s">
        <v>1646</v>
      </c>
      <c r="G112" s="116">
        <v>37.200000000000003</v>
      </c>
      <c r="H112" s="108">
        <v>0</v>
      </c>
    </row>
    <row r="113" spans="1:8" ht="12.2" customHeight="1" x14ac:dyDescent="0.2">
      <c r="D113" s="334" t="s">
        <v>3225</v>
      </c>
      <c r="E113" s="335"/>
      <c r="F113" s="335"/>
      <c r="G113" s="143">
        <v>37.200000000000003</v>
      </c>
    </row>
    <row r="114" spans="1:8" x14ac:dyDescent="0.2">
      <c r="A114" s="117" t="s">
        <v>50</v>
      </c>
      <c r="B114" s="117"/>
      <c r="C114" s="117" t="s">
        <v>2859</v>
      </c>
      <c r="D114" s="304" t="s">
        <v>2858</v>
      </c>
      <c r="E114" s="305"/>
      <c r="F114" s="117" t="s">
        <v>1646</v>
      </c>
      <c r="G114" s="116">
        <v>10.199999999999999</v>
      </c>
      <c r="H114" s="108">
        <v>0</v>
      </c>
    </row>
    <row r="115" spans="1:8" ht="12.2" customHeight="1" x14ac:dyDescent="0.2">
      <c r="D115" s="334" t="s">
        <v>3224</v>
      </c>
      <c r="E115" s="335"/>
      <c r="F115" s="335"/>
      <c r="G115" s="143">
        <v>10.199999999999999</v>
      </c>
    </row>
    <row r="116" spans="1:8" x14ac:dyDescent="0.2">
      <c r="A116" s="117" t="s">
        <v>51</v>
      </c>
      <c r="B116" s="117"/>
      <c r="C116" s="117" t="s">
        <v>618</v>
      </c>
      <c r="D116" s="304" t="s">
        <v>1119</v>
      </c>
      <c r="E116" s="305"/>
      <c r="F116" s="117" t="s">
        <v>1645</v>
      </c>
      <c r="G116" s="116">
        <v>716.42499999999995</v>
      </c>
      <c r="H116" s="108">
        <v>0</v>
      </c>
    </row>
    <row r="117" spans="1:8" ht="12.2" customHeight="1" x14ac:dyDescent="0.2">
      <c r="D117" s="334" t="s">
        <v>2947</v>
      </c>
      <c r="E117" s="335"/>
      <c r="F117" s="335"/>
      <c r="G117" s="143">
        <v>716.42499999999995</v>
      </c>
    </row>
    <row r="118" spans="1:8" x14ac:dyDescent="0.2">
      <c r="A118" s="117" t="s">
        <v>52</v>
      </c>
      <c r="B118" s="117"/>
      <c r="C118" s="117" t="s">
        <v>619</v>
      </c>
      <c r="D118" s="304" t="s">
        <v>1120</v>
      </c>
      <c r="E118" s="305"/>
      <c r="F118" s="117" t="s">
        <v>1646</v>
      </c>
      <c r="G118" s="116">
        <v>170.4</v>
      </c>
      <c r="H118" s="108">
        <v>0</v>
      </c>
    </row>
    <row r="119" spans="1:8" ht="12.2" customHeight="1" x14ac:dyDescent="0.2">
      <c r="D119" s="334" t="s">
        <v>2945</v>
      </c>
      <c r="E119" s="335"/>
      <c r="F119" s="335"/>
      <c r="G119" s="143">
        <v>170.4</v>
      </c>
    </row>
    <row r="120" spans="1:8" x14ac:dyDescent="0.2">
      <c r="A120" s="117" t="s">
        <v>53</v>
      </c>
      <c r="B120" s="117"/>
      <c r="C120" s="117" t="s">
        <v>620</v>
      </c>
      <c r="D120" s="304" t="s">
        <v>1121</v>
      </c>
      <c r="E120" s="305"/>
      <c r="F120" s="117" t="s">
        <v>1646</v>
      </c>
      <c r="G120" s="116">
        <v>47.4</v>
      </c>
      <c r="H120" s="108">
        <v>0</v>
      </c>
    </row>
    <row r="121" spans="1:8" ht="12.2" customHeight="1" x14ac:dyDescent="0.2">
      <c r="D121" s="334" t="s">
        <v>2946</v>
      </c>
      <c r="E121" s="335"/>
      <c r="F121" s="335"/>
      <c r="G121" s="143">
        <v>47.4</v>
      </c>
    </row>
    <row r="122" spans="1:8" x14ac:dyDescent="0.2">
      <c r="A122" s="117" t="s">
        <v>54</v>
      </c>
      <c r="B122" s="117"/>
      <c r="C122" s="117" t="s">
        <v>621</v>
      </c>
      <c r="D122" s="304" t="s">
        <v>1122</v>
      </c>
      <c r="E122" s="305"/>
      <c r="F122" s="117" t="s">
        <v>1645</v>
      </c>
      <c r="G122" s="116">
        <v>98.432000000000002</v>
      </c>
      <c r="H122" s="108">
        <v>0</v>
      </c>
    </row>
    <row r="123" spans="1:8" ht="12.2" customHeight="1" x14ac:dyDescent="0.2">
      <c r="D123" s="334" t="s">
        <v>2916</v>
      </c>
      <c r="E123" s="335"/>
      <c r="F123" s="335"/>
      <c r="G123" s="143">
        <v>98.432000000000002</v>
      </c>
    </row>
    <row r="124" spans="1:8" x14ac:dyDescent="0.2">
      <c r="A124" s="117" t="s">
        <v>55</v>
      </c>
      <c r="B124" s="117"/>
      <c r="C124" s="117" t="s">
        <v>622</v>
      </c>
      <c r="D124" s="304" t="s">
        <v>1123</v>
      </c>
      <c r="E124" s="305"/>
      <c r="F124" s="117" t="s">
        <v>1646</v>
      </c>
      <c r="G124" s="116">
        <v>170.4</v>
      </c>
      <c r="H124" s="108">
        <v>0</v>
      </c>
    </row>
    <row r="125" spans="1:8" ht="12.2" customHeight="1" x14ac:dyDescent="0.2">
      <c r="D125" s="334" t="s">
        <v>2945</v>
      </c>
      <c r="E125" s="335"/>
      <c r="F125" s="335"/>
      <c r="G125" s="143">
        <v>170.4</v>
      </c>
    </row>
    <row r="126" spans="1:8" x14ac:dyDescent="0.2">
      <c r="A126" s="117" t="s">
        <v>56</v>
      </c>
      <c r="B126" s="117"/>
      <c r="C126" s="117" t="s">
        <v>623</v>
      </c>
      <c r="D126" s="304" t="s">
        <v>1124</v>
      </c>
      <c r="E126" s="305"/>
      <c r="F126" s="117" t="s">
        <v>1645</v>
      </c>
      <c r="G126" s="116">
        <v>716.42499999999995</v>
      </c>
      <c r="H126" s="108">
        <v>0</v>
      </c>
    </row>
    <row r="127" spans="1:8" ht="12.2" customHeight="1" x14ac:dyDescent="0.2">
      <c r="D127" s="334" t="s">
        <v>2944</v>
      </c>
      <c r="E127" s="335"/>
      <c r="F127" s="335"/>
      <c r="G127" s="143">
        <v>716.42499999999995</v>
      </c>
    </row>
    <row r="128" spans="1:8" x14ac:dyDescent="0.2">
      <c r="A128" s="117" t="s">
        <v>57</v>
      </c>
      <c r="B128" s="117"/>
      <c r="C128" s="117" t="s">
        <v>624</v>
      </c>
      <c r="D128" s="304" t="s">
        <v>3181</v>
      </c>
      <c r="E128" s="305"/>
      <c r="F128" s="117" t="s">
        <v>1645</v>
      </c>
      <c r="G128" s="116">
        <v>716.42499999999995</v>
      </c>
      <c r="H128" s="108">
        <v>0</v>
      </c>
    </row>
    <row r="129" spans="1:8" ht="12.2" customHeight="1" x14ac:dyDescent="0.2">
      <c r="D129" s="334" t="s">
        <v>2944</v>
      </c>
      <c r="E129" s="335"/>
      <c r="F129" s="335"/>
      <c r="G129" s="143">
        <v>716.42499999999995</v>
      </c>
    </row>
    <row r="130" spans="1:8" x14ac:dyDescent="0.2">
      <c r="A130" s="117" t="s">
        <v>58</v>
      </c>
      <c r="B130" s="117"/>
      <c r="C130" s="117" t="s">
        <v>625</v>
      </c>
      <c r="D130" s="304" t="s">
        <v>1126</v>
      </c>
      <c r="E130" s="305"/>
      <c r="F130" s="117" t="s">
        <v>1645</v>
      </c>
      <c r="G130" s="116">
        <v>358.21300000000002</v>
      </c>
      <c r="H130" s="108">
        <v>0</v>
      </c>
    </row>
    <row r="131" spans="1:8" ht="12.2" customHeight="1" x14ac:dyDescent="0.2">
      <c r="D131" s="334" t="s">
        <v>2943</v>
      </c>
      <c r="E131" s="335"/>
      <c r="F131" s="335"/>
      <c r="G131" s="143">
        <v>358.21300000000002</v>
      </c>
    </row>
    <row r="132" spans="1:8" x14ac:dyDescent="0.2">
      <c r="A132" s="117" t="s">
        <v>59</v>
      </c>
      <c r="B132" s="117"/>
      <c r="C132" s="117" t="s">
        <v>626</v>
      </c>
      <c r="D132" s="304" t="s">
        <v>1127</v>
      </c>
      <c r="E132" s="305"/>
      <c r="F132" s="117" t="s">
        <v>1645</v>
      </c>
      <c r="G132" s="116">
        <v>358.21300000000002</v>
      </c>
      <c r="H132" s="108">
        <v>0</v>
      </c>
    </row>
    <row r="133" spans="1:8" ht="12.2" customHeight="1" x14ac:dyDescent="0.2">
      <c r="D133" s="334" t="s">
        <v>2943</v>
      </c>
      <c r="E133" s="335"/>
      <c r="F133" s="335"/>
      <c r="G133" s="143">
        <v>358.21300000000002</v>
      </c>
    </row>
    <row r="134" spans="1:8" x14ac:dyDescent="0.2">
      <c r="A134" s="120"/>
      <c r="B134" s="120"/>
      <c r="C134" s="120" t="s">
        <v>70</v>
      </c>
      <c r="D134" s="306" t="s">
        <v>2575</v>
      </c>
      <c r="E134" s="307"/>
      <c r="F134" s="120"/>
      <c r="G134" s="142"/>
      <c r="H134" s="109"/>
    </row>
    <row r="135" spans="1:8" x14ac:dyDescent="0.2">
      <c r="A135" s="117" t="s">
        <v>60</v>
      </c>
      <c r="B135" s="117"/>
      <c r="C135" s="117" t="s">
        <v>2856</v>
      </c>
      <c r="D135" s="304" t="s">
        <v>2855</v>
      </c>
      <c r="E135" s="305"/>
      <c r="F135" s="117" t="s">
        <v>1646</v>
      </c>
      <c r="G135" s="116">
        <v>1.8</v>
      </c>
      <c r="H135" s="108">
        <v>0</v>
      </c>
    </row>
    <row r="136" spans="1:8" ht="12.2" customHeight="1" x14ac:dyDescent="0.2">
      <c r="D136" s="334" t="s">
        <v>2942</v>
      </c>
      <c r="E136" s="335"/>
      <c r="F136" s="335"/>
      <c r="G136" s="143">
        <v>1.8</v>
      </c>
    </row>
    <row r="137" spans="1:8" x14ac:dyDescent="0.2">
      <c r="A137" s="117" t="s">
        <v>61</v>
      </c>
      <c r="B137" s="117"/>
      <c r="C137" s="117" t="s">
        <v>2854</v>
      </c>
      <c r="D137" s="304" t="s">
        <v>2853</v>
      </c>
      <c r="E137" s="305"/>
      <c r="F137" s="117" t="s">
        <v>1646</v>
      </c>
      <c r="G137" s="116">
        <v>8.4</v>
      </c>
      <c r="H137" s="108">
        <v>0</v>
      </c>
    </row>
    <row r="138" spans="1:8" ht="12.2" customHeight="1" x14ac:dyDescent="0.2">
      <c r="D138" s="334" t="s">
        <v>3223</v>
      </c>
      <c r="E138" s="335"/>
      <c r="F138" s="335"/>
      <c r="G138" s="143">
        <v>8.4</v>
      </c>
    </row>
    <row r="139" spans="1:8" x14ac:dyDescent="0.2">
      <c r="A139" s="120"/>
      <c r="B139" s="120"/>
      <c r="C139" s="120" t="s">
        <v>89</v>
      </c>
      <c r="D139" s="306" t="s">
        <v>1130</v>
      </c>
      <c r="E139" s="307"/>
      <c r="F139" s="120"/>
      <c r="G139" s="142"/>
      <c r="H139" s="109"/>
    </row>
    <row r="140" spans="1:8" x14ac:dyDescent="0.2">
      <c r="A140" s="117" t="s">
        <v>62</v>
      </c>
      <c r="B140" s="117"/>
      <c r="C140" s="117" t="s">
        <v>628</v>
      </c>
      <c r="D140" s="304" t="s">
        <v>2489</v>
      </c>
      <c r="E140" s="305"/>
      <c r="F140" s="117" t="s">
        <v>1644</v>
      </c>
      <c r="G140" s="116">
        <v>4</v>
      </c>
      <c r="H140" s="108">
        <v>0</v>
      </c>
    </row>
    <row r="141" spans="1:8" ht="12.2" customHeight="1" x14ac:dyDescent="0.2">
      <c r="D141" s="334" t="s">
        <v>1795</v>
      </c>
      <c r="E141" s="335"/>
      <c r="F141" s="335"/>
      <c r="G141" s="143">
        <v>4</v>
      </c>
    </row>
    <row r="142" spans="1:8" x14ac:dyDescent="0.2">
      <c r="A142" s="117" t="s">
        <v>63</v>
      </c>
      <c r="B142" s="117"/>
      <c r="C142" s="117" t="s">
        <v>629</v>
      </c>
      <c r="D142" s="304" t="s">
        <v>1132</v>
      </c>
      <c r="E142" s="305"/>
      <c r="F142" s="117" t="s">
        <v>1646</v>
      </c>
      <c r="G142" s="116">
        <v>30</v>
      </c>
      <c r="H142" s="108">
        <v>0</v>
      </c>
    </row>
    <row r="143" spans="1:8" ht="12.2" customHeight="1" x14ac:dyDescent="0.2">
      <c r="D143" s="334" t="s">
        <v>2203</v>
      </c>
      <c r="E143" s="335"/>
      <c r="F143" s="335"/>
      <c r="G143" s="143">
        <v>30</v>
      </c>
    </row>
    <row r="144" spans="1:8" x14ac:dyDescent="0.2">
      <c r="A144" s="120"/>
      <c r="B144" s="120"/>
      <c r="C144" s="120" t="s">
        <v>95</v>
      </c>
      <c r="D144" s="306" t="s">
        <v>1133</v>
      </c>
      <c r="E144" s="307"/>
      <c r="F144" s="120"/>
      <c r="G144" s="142"/>
      <c r="H144" s="109"/>
    </row>
    <row r="145" spans="1:8" x14ac:dyDescent="0.2">
      <c r="A145" s="117" t="s">
        <v>64</v>
      </c>
      <c r="B145" s="117"/>
      <c r="C145" s="117" t="s">
        <v>630</v>
      </c>
      <c r="D145" s="304" t="s">
        <v>2851</v>
      </c>
      <c r="E145" s="305"/>
      <c r="F145" s="117" t="s">
        <v>1644</v>
      </c>
      <c r="G145" s="116">
        <v>6</v>
      </c>
      <c r="H145" s="108">
        <v>0</v>
      </c>
    </row>
    <row r="146" spans="1:8" ht="12.2" customHeight="1" x14ac:dyDescent="0.2">
      <c r="D146" s="334" t="s">
        <v>1806</v>
      </c>
      <c r="E146" s="335"/>
      <c r="F146" s="335"/>
      <c r="G146" s="143">
        <v>6</v>
      </c>
    </row>
    <row r="147" spans="1:8" x14ac:dyDescent="0.2">
      <c r="A147" s="117" t="s">
        <v>65</v>
      </c>
      <c r="B147" s="117"/>
      <c r="C147" s="117" t="s">
        <v>631</v>
      </c>
      <c r="D147" s="304" t="s">
        <v>1135</v>
      </c>
      <c r="E147" s="305"/>
      <c r="F147" s="117" t="s">
        <v>1644</v>
      </c>
      <c r="G147" s="116">
        <v>2</v>
      </c>
      <c r="H147" s="108">
        <v>0</v>
      </c>
    </row>
    <row r="148" spans="1:8" ht="12.2" customHeight="1" x14ac:dyDescent="0.2">
      <c r="D148" s="334" t="s">
        <v>1849</v>
      </c>
      <c r="E148" s="335"/>
      <c r="F148" s="335"/>
      <c r="G148" s="143">
        <v>2</v>
      </c>
    </row>
    <row r="149" spans="1:8" x14ac:dyDescent="0.2">
      <c r="A149" s="120"/>
      <c r="B149" s="120"/>
      <c r="C149" s="120" t="s">
        <v>97</v>
      </c>
      <c r="D149" s="306" t="s">
        <v>1136</v>
      </c>
      <c r="E149" s="307"/>
      <c r="F149" s="120"/>
      <c r="G149" s="142"/>
      <c r="H149" s="109"/>
    </row>
    <row r="150" spans="1:8" x14ac:dyDescent="0.2">
      <c r="A150" s="117" t="s">
        <v>66</v>
      </c>
      <c r="B150" s="117"/>
      <c r="C150" s="117" t="s">
        <v>632</v>
      </c>
      <c r="D150" s="304" t="s">
        <v>1137</v>
      </c>
      <c r="E150" s="305"/>
      <c r="F150" s="117" t="s">
        <v>1646</v>
      </c>
      <c r="G150" s="116">
        <v>52.82</v>
      </c>
      <c r="H150" s="108">
        <v>0</v>
      </c>
    </row>
    <row r="151" spans="1:8" ht="12.2" customHeight="1" x14ac:dyDescent="0.2">
      <c r="D151" s="334" t="s">
        <v>3222</v>
      </c>
      <c r="E151" s="335"/>
      <c r="F151" s="335"/>
      <c r="G151" s="143">
        <v>52.82</v>
      </c>
    </row>
    <row r="152" spans="1:8" x14ac:dyDescent="0.2">
      <c r="A152" s="117" t="s">
        <v>67</v>
      </c>
      <c r="B152" s="117"/>
      <c r="C152" s="117" t="s">
        <v>633</v>
      </c>
      <c r="D152" s="304" t="s">
        <v>1138</v>
      </c>
      <c r="E152" s="305"/>
      <c r="F152" s="117" t="s">
        <v>1647</v>
      </c>
      <c r="G152" s="116">
        <v>2.3769999999999998</v>
      </c>
      <c r="H152" s="108">
        <v>0</v>
      </c>
    </row>
    <row r="153" spans="1:8" ht="12.2" customHeight="1" x14ac:dyDescent="0.2">
      <c r="D153" s="334" t="s">
        <v>3221</v>
      </c>
      <c r="E153" s="335"/>
      <c r="F153" s="335"/>
      <c r="G153" s="143">
        <v>2.3769999999999998</v>
      </c>
    </row>
    <row r="154" spans="1:8" x14ac:dyDescent="0.2">
      <c r="A154" s="120"/>
      <c r="B154" s="120"/>
      <c r="C154" s="120" t="s">
        <v>100</v>
      </c>
      <c r="D154" s="306" t="s">
        <v>1139</v>
      </c>
      <c r="E154" s="307"/>
      <c r="F154" s="120"/>
      <c r="G154" s="142"/>
      <c r="H154" s="109"/>
    </row>
    <row r="155" spans="1:8" x14ac:dyDescent="0.2">
      <c r="A155" s="117" t="s">
        <v>68</v>
      </c>
      <c r="B155" s="117"/>
      <c r="C155" s="117" t="s">
        <v>634</v>
      </c>
      <c r="D155" s="304" t="s">
        <v>1140</v>
      </c>
      <c r="E155" s="305"/>
      <c r="F155" s="117" t="s">
        <v>1645</v>
      </c>
      <c r="G155" s="116">
        <v>765.49599999999998</v>
      </c>
      <c r="H155" s="108">
        <v>0</v>
      </c>
    </row>
    <row r="156" spans="1:8" ht="12.2" customHeight="1" x14ac:dyDescent="0.2">
      <c r="D156" s="334" t="s">
        <v>2938</v>
      </c>
      <c r="E156" s="335"/>
      <c r="F156" s="335"/>
      <c r="G156" s="143">
        <v>765.49599999999998</v>
      </c>
    </row>
    <row r="157" spans="1:8" x14ac:dyDescent="0.2">
      <c r="A157" s="117" t="s">
        <v>69</v>
      </c>
      <c r="B157" s="117"/>
      <c r="C157" s="117" t="s">
        <v>635</v>
      </c>
      <c r="D157" s="304" t="s">
        <v>1141</v>
      </c>
      <c r="E157" s="305"/>
      <c r="F157" s="117" t="s">
        <v>1645</v>
      </c>
      <c r="G157" s="116">
        <v>1530.992</v>
      </c>
      <c r="H157" s="108">
        <v>0</v>
      </c>
    </row>
    <row r="158" spans="1:8" ht="12.2" customHeight="1" x14ac:dyDescent="0.2">
      <c r="D158" s="334" t="s">
        <v>2939</v>
      </c>
      <c r="E158" s="335"/>
      <c r="F158" s="335"/>
      <c r="G158" s="143">
        <v>1530.992</v>
      </c>
    </row>
    <row r="159" spans="1:8" x14ac:dyDescent="0.2">
      <c r="A159" s="117" t="s">
        <v>70</v>
      </c>
      <c r="B159" s="117"/>
      <c r="C159" s="117" t="s">
        <v>636</v>
      </c>
      <c r="D159" s="304" t="s">
        <v>1142</v>
      </c>
      <c r="E159" s="305"/>
      <c r="F159" s="117" t="s">
        <v>1645</v>
      </c>
      <c r="G159" s="116">
        <v>765.49599999999998</v>
      </c>
      <c r="H159" s="108">
        <v>0</v>
      </c>
    </row>
    <row r="160" spans="1:8" ht="12.2" customHeight="1" x14ac:dyDescent="0.2">
      <c r="D160" s="334" t="s">
        <v>2938</v>
      </c>
      <c r="E160" s="335"/>
      <c r="F160" s="335"/>
      <c r="G160" s="143">
        <v>765.49599999999998</v>
      </c>
    </row>
    <row r="161" spans="1:8" x14ac:dyDescent="0.2">
      <c r="A161" s="117" t="s">
        <v>71</v>
      </c>
      <c r="B161" s="117"/>
      <c r="C161" s="117" t="s">
        <v>637</v>
      </c>
      <c r="D161" s="304" t="s">
        <v>1143</v>
      </c>
      <c r="E161" s="305"/>
      <c r="F161" s="117" t="s">
        <v>1645</v>
      </c>
      <c r="G161" s="116">
        <v>765.49599999999998</v>
      </c>
      <c r="H161" s="108">
        <v>0</v>
      </c>
    </row>
    <row r="162" spans="1:8" ht="12.2" customHeight="1" x14ac:dyDescent="0.2">
      <c r="D162" s="334" t="s">
        <v>2938</v>
      </c>
      <c r="E162" s="335"/>
      <c r="F162" s="335"/>
      <c r="G162" s="143">
        <v>765.49599999999998</v>
      </c>
    </row>
    <row r="163" spans="1:8" x14ac:dyDescent="0.2">
      <c r="A163" s="117" t="s">
        <v>72</v>
      </c>
      <c r="B163" s="117"/>
      <c r="C163" s="117" t="s">
        <v>638</v>
      </c>
      <c r="D163" s="304" t="s">
        <v>1144</v>
      </c>
      <c r="E163" s="305"/>
      <c r="F163" s="117" t="s">
        <v>1645</v>
      </c>
      <c r="G163" s="116">
        <v>1530.992</v>
      </c>
      <c r="H163" s="108">
        <v>0</v>
      </c>
    </row>
    <row r="164" spans="1:8" ht="12.2" customHeight="1" x14ac:dyDescent="0.2">
      <c r="D164" s="334" t="s">
        <v>2939</v>
      </c>
      <c r="E164" s="335"/>
      <c r="F164" s="335"/>
      <c r="G164" s="143">
        <v>1530.992</v>
      </c>
    </row>
    <row r="165" spans="1:8" x14ac:dyDescent="0.2">
      <c r="A165" s="117" t="s">
        <v>73</v>
      </c>
      <c r="B165" s="117"/>
      <c r="C165" s="117" t="s">
        <v>639</v>
      </c>
      <c r="D165" s="304" t="s">
        <v>1145</v>
      </c>
      <c r="E165" s="305"/>
      <c r="F165" s="117" t="s">
        <v>1645</v>
      </c>
      <c r="G165" s="116">
        <v>765.49599999999998</v>
      </c>
      <c r="H165" s="108">
        <v>0</v>
      </c>
    </row>
    <row r="166" spans="1:8" ht="12.2" customHeight="1" x14ac:dyDescent="0.2">
      <c r="D166" s="334" t="s">
        <v>2938</v>
      </c>
      <c r="E166" s="335"/>
      <c r="F166" s="335"/>
      <c r="G166" s="143">
        <v>765.49599999999998</v>
      </c>
    </row>
    <row r="167" spans="1:8" x14ac:dyDescent="0.2">
      <c r="A167" s="117" t="s">
        <v>74</v>
      </c>
      <c r="B167" s="117"/>
      <c r="C167" s="117" t="s">
        <v>640</v>
      </c>
      <c r="D167" s="304" t="s">
        <v>1146</v>
      </c>
      <c r="E167" s="305"/>
      <c r="F167" s="117" t="s">
        <v>1649</v>
      </c>
      <c r="G167" s="116">
        <v>20</v>
      </c>
      <c r="H167" s="108">
        <v>0</v>
      </c>
    </row>
    <row r="168" spans="1:8" ht="12.2" customHeight="1" x14ac:dyDescent="0.2">
      <c r="D168" s="334" t="s">
        <v>1802</v>
      </c>
      <c r="E168" s="335"/>
      <c r="F168" s="335"/>
      <c r="G168" s="143">
        <v>20</v>
      </c>
    </row>
    <row r="169" spans="1:8" x14ac:dyDescent="0.2">
      <c r="A169" s="120"/>
      <c r="B169" s="120"/>
      <c r="C169" s="120" t="s">
        <v>101</v>
      </c>
      <c r="D169" s="306" t="s">
        <v>1147</v>
      </c>
      <c r="E169" s="307"/>
      <c r="F169" s="120"/>
      <c r="G169" s="142"/>
      <c r="H169" s="109"/>
    </row>
    <row r="170" spans="1:8" x14ac:dyDescent="0.2">
      <c r="A170" s="117" t="s">
        <v>75</v>
      </c>
      <c r="B170" s="117"/>
      <c r="C170" s="117" t="s">
        <v>641</v>
      </c>
      <c r="D170" s="304" t="s">
        <v>1148</v>
      </c>
      <c r="E170" s="305"/>
      <c r="F170" s="117" t="s">
        <v>1645</v>
      </c>
      <c r="G170" s="116">
        <v>68.34</v>
      </c>
      <c r="H170" s="108">
        <v>0</v>
      </c>
    </row>
    <row r="171" spans="1:8" ht="12.2" customHeight="1" x14ac:dyDescent="0.2">
      <c r="D171" s="334" t="s">
        <v>2937</v>
      </c>
      <c r="E171" s="335"/>
      <c r="F171" s="335"/>
      <c r="G171" s="143">
        <v>68.34</v>
      </c>
    </row>
    <row r="172" spans="1:8" x14ac:dyDescent="0.2">
      <c r="A172" s="117" t="s">
        <v>76</v>
      </c>
      <c r="B172" s="117"/>
      <c r="C172" s="117" t="s">
        <v>642</v>
      </c>
      <c r="D172" s="304" t="s">
        <v>1149</v>
      </c>
      <c r="E172" s="305"/>
      <c r="F172" s="117" t="s">
        <v>1645</v>
      </c>
      <c r="G172" s="116">
        <v>18.702999999999999</v>
      </c>
      <c r="H172" s="108">
        <v>0</v>
      </c>
    </row>
    <row r="173" spans="1:8" ht="12.2" customHeight="1" x14ac:dyDescent="0.2">
      <c r="D173" s="334" t="s">
        <v>2936</v>
      </c>
      <c r="E173" s="335"/>
      <c r="F173" s="335"/>
      <c r="G173" s="143">
        <v>18.702999999999999</v>
      </c>
    </row>
    <row r="174" spans="1:8" x14ac:dyDescent="0.2">
      <c r="A174" s="117" t="s">
        <v>77</v>
      </c>
      <c r="B174" s="117"/>
      <c r="C174" s="117" t="s">
        <v>643</v>
      </c>
      <c r="D174" s="304" t="s">
        <v>1150</v>
      </c>
      <c r="E174" s="305"/>
      <c r="F174" s="117" t="s">
        <v>1645</v>
      </c>
      <c r="G174" s="116">
        <v>357.27</v>
      </c>
      <c r="H174" s="108">
        <v>0</v>
      </c>
    </row>
    <row r="175" spans="1:8" ht="12.2" customHeight="1" x14ac:dyDescent="0.2">
      <c r="D175" s="334" t="s">
        <v>2889</v>
      </c>
      <c r="E175" s="335"/>
      <c r="F175" s="335"/>
      <c r="G175" s="143">
        <v>357.27</v>
      </c>
    </row>
    <row r="176" spans="1:8" x14ac:dyDescent="0.2">
      <c r="A176" s="117" t="s">
        <v>78</v>
      </c>
      <c r="B176" s="117"/>
      <c r="C176" s="117" t="s">
        <v>3180</v>
      </c>
      <c r="D176" s="304" t="s">
        <v>3179</v>
      </c>
      <c r="E176" s="305"/>
      <c r="F176" s="117" t="s">
        <v>1644</v>
      </c>
      <c r="G176" s="116">
        <v>1</v>
      </c>
      <c r="H176" s="108">
        <v>0</v>
      </c>
    </row>
    <row r="177" spans="1:8" ht="12.2" customHeight="1" x14ac:dyDescent="0.2">
      <c r="D177" s="334" t="s">
        <v>1749</v>
      </c>
      <c r="E177" s="335"/>
      <c r="F177" s="335"/>
      <c r="G177" s="143">
        <v>1</v>
      </c>
    </row>
    <row r="178" spans="1:8" x14ac:dyDescent="0.2">
      <c r="A178" s="117" t="s">
        <v>79</v>
      </c>
      <c r="B178" s="117"/>
      <c r="C178" s="117" t="s">
        <v>644</v>
      </c>
      <c r="D178" s="304" t="s">
        <v>1151</v>
      </c>
      <c r="E178" s="305"/>
      <c r="F178" s="117" t="s">
        <v>1644</v>
      </c>
      <c r="G178" s="116">
        <v>1</v>
      </c>
      <c r="H178" s="108">
        <v>0</v>
      </c>
    </row>
    <row r="179" spans="1:8" ht="12.2" customHeight="1" x14ac:dyDescent="0.2">
      <c r="D179" s="334" t="s">
        <v>1749</v>
      </c>
      <c r="E179" s="335"/>
      <c r="F179" s="335"/>
      <c r="G179" s="143">
        <v>1</v>
      </c>
    </row>
    <row r="180" spans="1:8" x14ac:dyDescent="0.2">
      <c r="A180" s="117" t="s">
        <v>80</v>
      </c>
      <c r="B180" s="117"/>
      <c r="C180" s="117" t="s">
        <v>645</v>
      </c>
      <c r="D180" s="304" t="s">
        <v>1152</v>
      </c>
      <c r="E180" s="305"/>
      <c r="F180" s="117" t="s">
        <v>1645</v>
      </c>
      <c r="G180" s="116">
        <v>12</v>
      </c>
      <c r="H180" s="108">
        <v>0</v>
      </c>
    </row>
    <row r="181" spans="1:8" ht="12.2" customHeight="1" x14ac:dyDescent="0.2">
      <c r="D181" s="334" t="s">
        <v>1804</v>
      </c>
      <c r="E181" s="335"/>
      <c r="F181" s="335"/>
      <c r="G181" s="143">
        <v>12</v>
      </c>
    </row>
    <row r="182" spans="1:8" x14ac:dyDescent="0.2">
      <c r="A182" s="117" t="s">
        <v>81</v>
      </c>
      <c r="B182" s="117"/>
      <c r="C182" s="117" t="s">
        <v>646</v>
      </c>
      <c r="D182" s="304" t="s">
        <v>1153</v>
      </c>
      <c r="E182" s="305"/>
      <c r="F182" s="117" t="s">
        <v>1650</v>
      </c>
      <c r="G182" s="116">
        <v>150</v>
      </c>
      <c r="H182" s="108">
        <v>0</v>
      </c>
    </row>
    <row r="183" spans="1:8" ht="12.2" customHeight="1" x14ac:dyDescent="0.2">
      <c r="D183" s="334" t="s">
        <v>1805</v>
      </c>
      <c r="E183" s="335"/>
      <c r="F183" s="335"/>
      <c r="G183" s="143">
        <v>150</v>
      </c>
    </row>
    <row r="184" spans="1:8" x14ac:dyDescent="0.2">
      <c r="A184" s="117" t="s">
        <v>82</v>
      </c>
      <c r="B184" s="117"/>
      <c r="C184" s="117" t="s">
        <v>647</v>
      </c>
      <c r="D184" s="304" t="s">
        <v>1154</v>
      </c>
      <c r="E184" s="305"/>
      <c r="F184" s="117" t="s">
        <v>1644</v>
      </c>
      <c r="G184" s="116">
        <v>6</v>
      </c>
      <c r="H184" s="108">
        <v>0</v>
      </c>
    </row>
    <row r="185" spans="1:8" ht="12.2" customHeight="1" x14ac:dyDescent="0.2">
      <c r="D185" s="334" t="s">
        <v>1806</v>
      </c>
      <c r="E185" s="335"/>
      <c r="F185" s="335"/>
      <c r="G185" s="143">
        <v>6</v>
      </c>
    </row>
    <row r="186" spans="1:8" x14ac:dyDescent="0.2">
      <c r="A186" s="117" t="s">
        <v>83</v>
      </c>
      <c r="B186" s="117"/>
      <c r="C186" s="117" t="s">
        <v>648</v>
      </c>
      <c r="D186" s="304" t="s">
        <v>1155</v>
      </c>
      <c r="E186" s="305"/>
      <c r="F186" s="117" t="s">
        <v>1644</v>
      </c>
      <c r="G186" s="116">
        <v>1</v>
      </c>
      <c r="H186" s="108">
        <v>0</v>
      </c>
    </row>
    <row r="187" spans="1:8" ht="12.2" customHeight="1" x14ac:dyDescent="0.2">
      <c r="D187" s="334" t="s">
        <v>1749</v>
      </c>
      <c r="E187" s="335"/>
      <c r="F187" s="335"/>
      <c r="G187" s="143">
        <v>1</v>
      </c>
    </row>
    <row r="188" spans="1:8" x14ac:dyDescent="0.2">
      <c r="A188" s="117" t="s">
        <v>84</v>
      </c>
      <c r="B188" s="117"/>
      <c r="C188" s="117" t="s">
        <v>649</v>
      </c>
      <c r="D188" s="304" t="s">
        <v>1156</v>
      </c>
      <c r="E188" s="305"/>
      <c r="F188" s="117" t="s">
        <v>1644</v>
      </c>
      <c r="G188" s="116">
        <v>1</v>
      </c>
      <c r="H188" s="108">
        <v>0</v>
      </c>
    </row>
    <row r="189" spans="1:8" ht="12.2" customHeight="1" x14ac:dyDescent="0.2">
      <c r="D189" s="334" t="s">
        <v>1749</v>
      </c>
      <c r="E189" s="335"/>
      <c r="F189" s="335"/>
      <c r="G189" s="143">
        <v>1</v>
      </c>
    </row>
    <row r="190" spans="1:8" x14ac:dyDescent="0.2">
      <c r="A190" s="117" t="s">
        <v>85</v>
      </c>
      <c r="B190" s="117"/>
      <c r="C190" s="117" t="s">
        <v>650</v>
      </c>
      <c r="D190" s="304" t="s">
        <v>1157</v>
      </c>
      <c r="E190" s="305"/>
      <c r="F190" s="117" t="s">
        <v>1644</v>
      </c>
      <c r="G190" s="116">
        <v>1</v>
      </c>
      <c r="H190" s="108">
        <v>0</v>
      </c>
    </row>
    <row r="191" spans="1:8" ht="12.2" customHeight="1" x14ac:dyDescent="0.2">
      <c r="D191" s="334" t="s">
        <v>1749</v>
      </c>
      <c r="E191" s="335"/>
      <c r="F191" s="335"/>
      <c r="G191" s="143">
        <v>1</v>
      </c>
    </row>
    <row r="192" spans="1:8" x14ac:dyDescent="0.2">
      <c r="A192" s="120"/>
      <c r="B192" s="120"/>
      <c r="C192" s="120" t="s">
        <v>102</v>
      </c>
      <c r="D192" s="306" t="s">
        <v>1158</v>
      </c>
      <c r="E192" s="307"/>
      <c r="F192" s="120"/>
      <c r="G192" s="142"/>
      <c r="H192" s="109"/>
    </row>
    <row r="193" spans="1:8" x14ac:dyDescent="0.2">
      <c r="A193" s="117" t="s">
        <v>86</v>
      </c>
      <c r="B193" s="117"/>
      <c r="C193" s="117" t="s">
        <v>651</v>
      </c>
      <c r="D193" s="304" t="s">
        <v>1159</v>
      </c>
      <c r="E193" s="305"/>
      <c r="F193" s="117" t="s">
        <v>1645</v>
      </c>
      <c r="G193" s="116">
        <v>83.04</v>
      </c>
      <c r="H193" s="108">
        <v>0</v>
      </c>
    </row>
    <row r="194" spans="1:8" ht="12.2" customHeight="1" x14ac:dyDescent="0.2">
      <c r="D194" s="334" t="s">
        <v>2934</v>
      </c>
      <c r="E194" s="335"/>
      <c r="F194" s="335"/>
      <c r="G194" s="143">
        <v>83.04</v>
      </c>
    </row>
    <row r="195" spans="1:8" x14ac:dyDescent="0.2">
      <c r="A195" s="117" t="s">
        <v>87</v>
      </c>
      <c r="B195" s="117"/>
      <c r="C195" s="117" t="s">
        <v>652</v>
      </c>
      <c r="D195" s="304" t="s">
        <v>1160</v>
      </c>
      <c r="E195" s="305"/>
      <c r="F195" s="117" t="s">
        <v>1644</v>
      </c>
      <c r="G195" s="116">
        <v>4</v>
      </c>
      <c r="H195" s="108">
        <v>0</v>
      </c>
    </row>
    <row r="196" spans="1:8" ht="12.2" customHeight="1" x14ac:dyDescent="0.2">
      <c r="D196" s="334" t="s">
        <v>1795</v>
      </c>
      <c r="E196" s="335"/>
      <c r="F196" s="335"/>
      <c r="G196" s="143">
        <v>4</v>
      </c>
    </row>
    <row r="197" spans="1:8" x14ac:dyDescent="0.2">
      <c r="A197" s="117" t="s">
        <v>88</v>
      </c>
      <c r="B197" s="117"/>
      <c r="C197" s="117" t="s">
        <v>653</v>
      </c>
      <c r="D197" s="304" t="s">
        <v>1161</v>
      </c>
      <c r="E197" s="305"/>
      <c r="F197" s="117" t="s">
        <v>1647</v>
      </c>
      <c r="G197" s="116">
        <v>0.12</v>
      </c>
      <c r="H197" s="108">
        <v>0</v>
      </c>
    </row>
    <row r="198" spans="1:8" ht="12.2" customHeight="1" x14ac:dyDescent="0.2">
      <c r="D198" s="334" t="s">
        <v>1807</v>
      </c>
      <c r="E198" s="335"/>
      <c r="F198" s="335"/>
      <c r="G198" s="143">
        <v>0.12</v>
      </c>
    </row>
    <row r="199" spans="1:8" x14ac:dyDescent="0.2">
      <c r="A199" s="117" t="s">
        <v>89</v>
      </c>
      <c r="B199" s="117"/>
      <c r="C199" s="117" t="s">
        <v>654</v>
      </c>
      <c r="D199" s="304" t="s">
        <v>1162</v>
      </c>
      <c r="E199" s="305"/>
      <c r="F199" s="117" t="s">
        <v>1645</v>
      </c>
      <c r="G199" s="116">
        <v>83.04</v>
      </c>
      <c r="H199" s="108">
        <v>0</v>
      </c>
    </row>
    <row r="200" spans="1:8" ht="12.2" customHeight="1" x14ac:dyDescent="0.2">
      <c r="D200" s="334" t="s">
        <v>2934</v>
      </c>
      <c r="E200" s="335"/>
      <c r="F200" s="335"/>
      <c r="G200" s="143">
        <v>83.04</v>
      </c>
    </row>
    <row r="201" spans="1:8" x14ac:dyDescent="0.2">
      <c r="A201" s="117" t="s">
        <v>90</v>
      </c>
      <c r="B201" s="117"/>
      <c r="C201" s="117" t="s">
        <v>655</v>
      </c>
      <c r="D201" s="304" t="s">
        <v>1163</v>
      </c>
      <c r="E201" s="305"/>
      <c r="F201" s="117" t="s">
        <v>1647</v>
      </c>
      <c r="G201" s="116">
        <v>1.1000000000000001</v>
      </c>
      <c r="H201" s="108">
        <v>0</v>
      </c>
    </row>
    <row r="202" spans="1:8" ht="12.2" customHeight="1" x14ac:dyDescent="0.2">
      <c r="D202" s="334" t="s">
        <v>1808</v>
      </c>
      <c r="E202" s="335"/>
      <c r="F202" s="335"/>
      <c r="G202" s="143">
        <v>1.1000000000000001</v>
      </c>
    </row>
    <row r="203" spans="1:8" x14ac:dyDescent="0.2">
      <c r="A203" s="117" t="s">
        <v>91</v>
      </c>
      <c r="B203" s="117"/>
      <c r="C203" s="117" t="s">
        <v>2847</v>
      </c>
      <c r="D203" s="304" t="s">
        <v>2846</v>
      </c>
      <c r="E203" s="305"/>
      <c r="F203" s="117" t="s">
        <v>1645</v>
      </c>
      <c r="G203" s="116">
        <v>6.84</v>
      </c>
      <c r="H203" s="108">
        <v>0</v>
      </c>
    </row>
    <row r="204" spans="1:8" ht="12.2" customHeight="1" x14ac:dyDescent="0.2">
      <c r="D204" s="334" t="s">
        <v>2933</v>
      </c>
      <c r="E204" s="335"/>
      <c r="F204" s="335"/>
      <c r="G204" s="143">
        <v>6.84</v>
      </c>
    </row>
    <row r="205" spans="1:8" x14ac:dyDescent="0.2">
      <c r="A205" s="117" t="s">
        <v>92</v>
      </c>
      <c r="B205" s="117"/>
      <c r="C205" s="117" t="s">
        <v>658</v>
      </c>
      <c r="D205" s="304" t="s">
        <v>3178</v>
      </c>
      <c r="E205" s="305"/>
      <c r="F205" s="117" t="s">
        <v>1645</v>
      </c>
      <c r="G205" s="116">
        <v>32.003</v>
      </c>
      <c r="H205" s="108">
        <v>0</v>
      </c>
    </row>
    <row r="206" spans="1:8" ht="12.2" customHeight="1" x14ac:dyDescent="0.2">
      <c r="D206" s="334" t="s">
        <v>3196</v>
      </c>
      <c r="E206" s="335"/>
      <c r="F206" s="335"/>
      <c r="G206" s="143">
        <v>32.003</v>
      </c>
    </row>
    <row r="207" spans="1:8" x14ac:dyDescent="0.2">
      <c r="A207" s="117" t="s">
        <v>93</v>
      </c>
      <c r="B207" s="117"/>
      <c r="C207" s="117" t="s">
        <v>659</v>
      </c>
      <c r="D207" s="304" t="s">
        <v>3177</v>
      </c>
      <c r="E207" s="305"/>
      <c r="F207" s="117" t="s">
        <v>1646</v>
      </c>
      <c r="G207" s="116">
        <v>35.15</v>
      </c>
      <c r="H207" s="108">
        <v>0</v>
      </c>
    </row>
    <row r="208" spans="1:8" ht="12.2" customHeight="1" x14ac:dyDescent="0.2">
      <c r="D208" s="334" t="s">
        <v>3220</v>
      </c>
      <c r="E208" s="335"/>
      <c r="F208" s="335"/>
      <c r="G208" s="143">
        <v>35.15</v>
      </c>
    </row>
    <row r="209" spans="1:8" x14ac:dyDescent="0.2">
      <c r="A209" s="117" t="s">
        <v>94</v>
      </c>
      <c r="B209" s="117"/>
      <c r="C209" s="117" t="s">
        <v>660</v>
      </c>
      <c r="D209" s="304" t="s">
        <v>3176</v>
      </c>
      <c r="E209" s="305"/>
      <c r="F209" s="117" t="s">
        <v>1645</v>
      </c>
      <c r="G209" s="116">
        <v>32.003</v>
      </c>
      <c r="H209" s="108">
        <v>0</v>
      </c>
    </row>
    <row r="210" spans="1:8" ht="12.2" customHeight="1" x14ac:dyDescent="0.2">
      <c r="D210" s="334" t="s">
        <v>3196</v>
      </c>
      <c r="E210" s="335"/>
      <c r="F210" s="335"/>
      <c r="G210" s="143">
        <v>32.003</v>
      </c>
    </row>
    <row r="211" spans="1:8" x14ac:dyDescent="0.2">
      <c r="A211" s="117" t="s">
        <v>95</v>
      </c>
      <c r="B211" s="117"/>
      <c r="C211" s="117" t="s">
        <v>662</v>
      </c>
      <c r="D211" s="304" t="s">
        <v>1170</v>
      </c>
      <c r="E211" s="305"/>
      <c r="F211" s="117" t="s">
        <v>1644</v>
      </c>
      <c r="G211" s="116">
        <v>1</v>
      </c>
      <c r="H211" s="108">
        <v>0</v>
      </c>
    </row>
    <row r="212" spans="1:8" ht="12.2" customHeight="1" x14ac:dyDescent="0.2">
      <c r="D212" s="334" t="s">
        <v>1749</v>
      </c>
      <c r="E212" s="335"/>
      <c r="F212" s="335"/>
      <c r="G212" s="143">
        <v>1</v>
      </c>
    </row>
    <row r="213" spans="1:8" x14ac:dyDescent="0.2">
      <c r="A213" s="117" t="s">
        <v>96</v>
      </c>
      <c r="B213" s="117"/>
      <c r="C213" s="117" t="s">
        <v>2145</v>
      </c>
      <c r="D213" s="304" t="s">
        <v>2144</v>
      </c>
      <c r="E213" s="305"/>
      <c r="F213" s="117" t="s">
        <v>1644</v>
      </c>
      <c r="G213" s="116">
        <v>1</v>
      </c>
      <c r="H213" s="108">
        <v>0</v>
      </c>
    </row>
    <row r="214" spans="1:8" ht="12.2" customHeight="1" x14ac:dyDescent="0.2">
      <c r="D214" s="334" t="s">
        <v>1749</v>
      </c>
      <c r="E214" s="335"/>
      <c r="F214" s="335"/>
      <c r="G214" s="143">
        <v>1</v>
      </c>
    </row>
    <row r="215" spans="1:8" x14ac:dyDescent="0.2">
      <c r="A215" s="117" t="s">
        <v>97</v>
      </c>
      <c r="B215" s="117"/>
      <c r="C215" s="117" t="s">
        <v>663</v>
      </c>
      <c r="D215" s="304" t="s">
        <v>1171</v>
      </c>
      <c r="E215" s="305"/>
      <c r="F215" s="117" t="s">
        <v>1644</v>
      </c>
      <c r="G215" s="116">
        <v>12</v>
      </c>
      <c r="H215" s="108">
        <v>0</v>
      </c>
    </row>
    <row r="216" spans="1:8" ht="12.2" customHeight="1" x14ac:dyDescent="0.2">
      <c r="D216" s="334" t="s">
        <v>2929</v>
      </c>
      <c r="E216" s="335"/>
      <c r="F216" s="335"/>
      <c r="G216" s="143">
        <v>12</v>
      </c>
    </row>
    <row r="217" spans="1:8" x14ac:dyDescent="0.2">
      <c r="A217" s="117" t="s">
        <v>98</v>
      </c>
      <c r="B217" s="117"/>
      <c r="C217" s="117" t="s">
        <v>664</v>
      </c>
      <c r="D217" s="304" t="s">
        <v>2845</v>
      </c>
      <c r="E217" s="305"/>
      <c r="F217" s="117" t="s">
        <v>1645</v>
      </c>
      <c r="G217" s="116">
        <v>0.85</v>
      </c>
      <c r="H217" s="108">
        <v>0</v>
      </c>
    </row>
    <row r="218" spans="1:8" ht="12.2" customHeight="1" x14ac:dyDescent="0.2">
      <c r="D218" s="334" t="s">
        <v>2928</v>
      </c>
      <c r="E218" s="335"/>
      <c r="F218" s="335"/>
      <c r="G218" s="143">
        <v>0.85</v>
      </c>
    </row>
    <row r="219" spans="1:8" x14ac:dyDescent="0.2">
      <c r="A219" s="117" t="s">
        <v>99</v>
      </c>
      <c r="B219" s="117"/>
      <c r="C219" s="117" t="s">
        <v>665</v>
      </c>
      <c r="D219" s="304" t="s">
        <v>1173</v>
      </c>
      <c r="E219" s="305"/>
      <c r="F219" s="117" t="s">
        <v>1645</v>
      </c>
      <c r="G219" s="116">
        <v>58.128</v>
      </c>
      <c r="H219" s="108">
        <v>0</v>
      </c>
    </row>
    <row r="220" spans="1:8" ht="12.2" customHeight="1" x14ac:dyDescent="0.2">
      <c r="D220" s="334" t="s">
        <v>2927</v>
      </c>
      <c r="E220" s="335"/>
      <c r="F220" s="335"/>
      <c r="G220" s="143">
        <v>58.128</v>
      </c>
    </row>
    <row r="221" spans="1:8" x14ac:dyDescent="0.2">
      <c r="A221" s="117" t="s">
        <v>100</v>
      </c>
      <c r="B221" s="117"/>
      <c r="C221" s="117" t="s">
        <v>666</v>
      </c>
      <c r="D221" s="304" t="s">
        <v>1174</v>
      </c>
      <c r="E221" s="305"/>
      <c r="F221" s="117" t="s">
        <v>1645</v>
      </c>
      <c r="G221" s="116">
        <v>24.911999999999999</v>
      </c>
      <c r="H221" s="108">
        <v>0</v>
      </c>
    </row>
    <row r="222" spans="1:8" ht="12.2" customHeight="1" x14ac:dyDescent="0.2">
      <c r="D222" s="334" t="s">
        <v>2926</v>
      </c>
      <c r="E222" s="335"/>
      <c r="F222" s="335"/>
      <c r="G222" s="143">
        <v>24.911999999999999</v>
      </c>
    </row>
    <row r="223" spans="1:8" x14ac:dyDescent="0.2">
      <c r="A223" s="117" t="s">
        <v>101</v>
      </c>
      <c r="B223" s="117"/>
      <c r="C223" s="117" t="s">
        <v>2844</v>
      </c>
      <c r="D223" s="304" t="s">
        <v>2843</v>
      </c>
      <c r="E223" s="305"/>
      <c r="F223" s="117" t="s">
        <v>1644</v>
      </c>
      <c r="G223" s="116">
        <v>7</v>
      </c>
      <c r="H223" s="108">
        <v>0</v>
      </c>
    </row>
    <row r="224" spans="1:8" ht="12.2" customHeight="1" x14ac:dyDescent="0.2">
      <c r="D224" s="334" t="s">
        <v>3219</v>
      </c>
      <c r="E224" s="335"/>
      <c r="F224" s="335"/>
      <c r="G224" s="143">
        <v>7</v>
      </c>
    </row>
    <row r="225" spans="1:8" x14ac:dyDescent="0.2">
      <c r="A225" s="117" t="s">
        <v>102</v>
      </c>
      <c r="B225" s="117"/>
      <c r="C225" s="117" t="s">
        <v>2842</v>
      </c>
      <c r="D225" s="304" t="s">
        <v>2841</v>
      </c>
      <c r="E225" s="305"/>
      <c r="F225" s="117" t="s">
        <v>1645</v>
      </c>
      <c r="G225" s="116">
        <v>5.04</v>
      </c>
      <c r="H225" s="108">
        <v>0</v>
      </c>
    </row>
    <row r="226" spans="1:8" ht="12.2" customHeight="1" x14ac:dyDescent="0.2">
      <c r="D226" s="334" t="s">
        <v>3218</v>
      </c>
      <c r="E226" s="335"/>
      <c r="F226" s="335"/>
      <c r="G226" s="143">
        <v>5.04</v>
      </c>
    </row>
    <row r="227" spans="1:8" x14ac:dyDescent="0.2">
      <c r="A227" s="117" t="s">
        <v>103</v>
      </c>
      <c r="B227" s="117"/>
      <c r="C227" s="117" t="s">
        <v>667</v>
      </c>
      <c r="D227" s="304" t="s">
        <v>2143</v>
      </c>
      <c r="E227" s="305"/>
      <c r="F227" s="117" t="s">
        <v>1644</v>
      </c>
      <c r="G227" s="116">
        <v>2</v>
      </c>
      <c r="H227" s="108">
        <v>0</v>
      </c>
    </row>
    <row r="228" spans="1:8" ht="12.2" customHeight="1" x14ac:dyDescent="0.2">
      <c r="D228" s="334" t="s">
        <v>2923</v>
      </c>
      <c r="E228" s="335"/>
      <c r="F228" s="335"/>
      <c r="G228" s="143">
        <v>2</v>
      </c>
    </row>
    <row r="229" spans="1:8" x14ac:dyDescent="0.2">
      <c r="A229" s="117" t="s">
        <v>104</v>
      </c>
      <c r="B229" s="117"/>
      <c r="C229" s="117" t="s">
        <v>668</v>
      </c>
      <c r="D229" s="304" t="s">
        <v>1176</v>
      </c>
      <c r="E229" s="305"/>
      <c r="F229" s="117" t="s">
        <v>1645</v>
      </c>
      <c r="G229" s="116">
        <v>1.56</v>
      </c>
      <c r="H229" s="108">
        <v>0</v>
      </c>
    </row>
    <row r="230" spans="1:8" ht="12.2" customHeight="1" x14ac:dyDescent="0.2">
      <c r="D230" s="334" t="s">
        <v>1817</v>
      </c>
      <c r="E230" s="335"/>
      <c r="F230" s="335"/>
      <c r="G230" s="143">
        <v>1.56</v>
      </c>
    </row>
    <row r="231" spans="1:8" x14ac:dyDescent="0.2">
      <c r="A231" s="120"/>
      <c r="B231" s="120"/>
      <c r="C231" s="120" t="s">
        <v>103</v>
      </c>
      <c r="D231" s="306" t="s">
        <v>1178</v>
      </c>
      <c r="E231" s="307"/>
      <c r="F231" s="120"/>
      <c r="G231" s="142"/>
      <c r="H231" s="109"/>
    </row>
    <row r="232" spans="1:8" x14ac:dyDescent="0.2">
      <c r="A232" s="117" t="s">
        <v>105</v>
      </c>
      <c r="B232" s="117"/>
      <c r="C232" s="117" t="s">
        <v>2485</v>
      </c>
      <c r="D232" s="304" t="s">
        <v>2484</v>
      </c>
      <c r="E232" s="305"/>
      <c r="F232" s="117" t="s">
        <v>1646</v>
      </c>
      <c r="G232" s="116">
        <v>0.45</v>
      </c>
      <c r="H232" s="108">
        <v>0</v>
      </c>
    </row>
    <row r="233" spans="1:8" ht="12.2" customHeight="1" x14ac:dyDescent="0.2">
      <c r="D233" s="334" t="s">
        <v>2546</v>
      </c>
      <c r="E233" s="335"/>
      <c r="F233" s="335"/>
      <c r="G233" s="143">
        <v>0.45</v>
      </c>
    </row>
    <row r="234" spans="1:8" x14ac:dyDescent="0.2">
      <c r="A234" s="117" t="s">
        <v>106</v>
      </c>
      <c r="B234" s="117"/>
      <c r="C234" s="117" t="s">
        <v>2483</v>
      </c>
      <c r="D234" s="304" t="s">
        <v>2482</v>
      </c>
      <c r="E234" s="305"/>
      <c r="F234" s="117" t="s">
        <v>1646</v>
      </c>
      <c r="G234" s="116">
        <v>0.45</v>
      </c>
      <c r="H234" s="108">
        <v>0</v>
      </c>
    </row>
    <row r="235" spans="1:8" ht="12.2" customHeight="1" x14ac:dyDescent="0.2">
      <c r="D235" s="334" t="s">
        <v>2546</v>
      </c>
      <c r="E235" s="335"/>
      <c r="F235" s="335"/>
      <c r="G235" s="143">
        <v>0.45</v>
      </c>
    </row>
    <row r="236" spans="1:8" x14ac:dyDescent="0.2">
      <c r="A236" s="117" t="s">
        <v>107</v>
      </c>
      <c r="B236" s="117"/>
      <c r="C236" s="117" t="s">
        <v>2481</v>
      </c>
      <c r="D236" s="304" t="s">
        <v>2480</v>
      </c>
      <c r="E236" s="305"/>
      <c r="F236" s="117" t="s">
        <v>1646</v>
      </c>
      <c r="G236" s="116">
        <v>0.45</v>
      </c>
      <c r="H236" s="108">
        <v>0</v>
      </c>
    </row>
    <row r="237" spans="1:8" ht="12.2" customHeight="1" x14ac:dyDescent="0.2">
      <c r="D237" s="334" t="s">
        <v>2546</v>
      </c>
      <c r="E237" s="335"/>
      <c r="F237" s="335"/>
      <c r="G237" s="143">
        <v>0.45</v>
      </c>
    </row>
    <row r="238" spans="1:8" x14ac:dyDescent="0.2">
      <c r="A238" s="117" t="s">
        <v>108</v>
      </c>
      <c r="B238" s="117"/>
      <c r="C238" s="117" t="s">
        <v>670</v>
      </c>
      <c r="D238" s="304" t="s">
        <v>1179</v>
      </c>
      <c r="E238" s="305"/>
      <c r="F238" s="117" t="s">
        <v>1646</v>
      </c>
      <c r="G238" s="116">
        <v>0.9</v>
      </c>
      <c r="H238" s="108">
        <v>0</v>
      </c>
    </row>
    <row r="239" spans="1:8" ht="12.2" customHeight="1" x14ac:dyDescent="0.2">
      <c r="D239" s="334" t="s">
        <v>3217</v>
      </c>
      <c r="E239" s="335"/>
      <c r="F239" s="335"/>
      <c r="G239" s="143">
        <v>0.9</v>
      </c>
    </row>
    <row r="240" spans="1:8" x14ac:dyDescent="0.2">
      <c r="A240" s="117" t="s">
        <v>109</v>
      </c>
      <c r="B240" s="117"/>
      <c r="C240" s="117" t="s">
        <v>671</v>
      </c>
      <c r="D240" s="304" t="s">
        <v>1180</v>
      </c>
      <c r="E240" s="305"/>
      <c r="F240" s="117" t="s">
        <v>1646</v>
      </c>
      <c r="G240" s="116">
        <v>0.9</v>
      </c>
      <c r="H240" s="108">
        <v>0</v>
      </c>
    </row>
    <row r="241" spans="1:8" ht="12.2" customHeight="1" x14ac:dyDescent="0.2">
      <c r="D241" s="334" t="s">
        <v>3217</v>
      </c>
      <c r="E241" s="335"/>
      <c r="F241" s="335"/>
      <c r="G241" s="143">
        <v>0.9</v>
      </c>
    </row>
    <row r="242" spans="1:8" x14ac:dyDescent="0.2">
      <c r="A242" s="117" t="s">
        <v>110</v>
      </c>
      <c r="B242" s="117"/>
      <c r="C242" s="117" t="s">
        <v>672</v>
      </c>
      <c r="D242" s="304" t="s">
        <v>1181</v>
      </c>
      <c r="E242" s="305"/>
      <c r="F242" s="117" t="s">
        <v>1646</v>
      </c>
      <c r="G242" s="116">
        <v>0.9</v>
      </c>
      <c r="H242" s="108">
        <v>0</v>
      </c>
    </row>
    <row r="243" spans="1:8" ht="12.2" customHeight="1" x14ac:dyDescent="0.2">
      <c r="D243" s="334" t="s">
        <v>3217</v>
      </c>
      <c r="E243" s="335"/>
      <c r="F243" s="335"/>
      <c r="G243" s="143">
        <v>0.9</v>
      </c>
    </row>
    <row r="244" spans="1:8" x14ac:dyDescent="0.2">
      <c r="A244" s="117" t="s">
        <v>111</v>
      </c>
      <c r="B244" s="117"/>
      <c r="C244" s="117" t="s">
        <v>2479</v>
      </c>
      <c r="D244" s="304" t="s">
        <v>2478</v>
      </c>
      <c r="E244" s="305"/>
      <c r="F244" s="117" t="s">
        <v>1646</v>
      </c>
      <c r="G244" s="116">
        <v>0.45</v>
      </c>
      <c r="H244" s="108">
        <v>0</v>
      </c>
    </row>
    <row r="245" spans="1:8" ht="12.2" customHeight="1" x14ac:dyDescent="0.2">
      <c r="D245" s="334" t="s">
        <v>2546</v>
      </c>
      <c r="E245" s="335"/>
      <c r="F245" s="335"/>
      <c r="G245" s="143">
        <v>0.45</v>
      </c>
    </row>
    <row r="246" spans="1:8" x14ac:dyDescent="0.2">
      <c r="A246" s="117" t="s">
        <v>112</v>
      </c>
      <c r="B246" s="117"/>
      <c r="C246" s="117" t="s">
        <v>2477</v>
      </c>
      <c r="D246" s="304" t="s">
        <v>2476</v>
      </c>
      <c r="E246" s="305"/>
      <c r="F246" s="117" t="s">
        <v>1646</v>
      </c>
      <c r="G246" s="116">
        <v>0.45</v>
      </c>
      <c r="H246" s="108">
        <v>0</v>
      </c>
    </row>
    <row r="247" spans="1:8" ht="12.2" customHeight="1" x14ac:dyDescent="0.2">
      <c r="D247" s="334" t="s">
        <v>2546</v>
      </c>
      <c r="E247" s="335"/>
      <c r="F247" s="335"/>
      <c r="G247" s="143">
        <v>0.45</v>
      </c>
    </row>
    <row r="248" spans="1:8" x14ac:dyDescent="0.2">
      <c r="A248" s="117" t="s">
        <v>113</v>
      </c>
      <c r="B248" s="117"/>
      <c r="C248" s="117" t="s">
        <v>673</v>
      </c>
      <c r="D248" s="304" t="s">
        <v>1182</v>
      </c>
      <c r="E248" s="305"/>
      <c r="F248" s="117" t="s">
        <v>1644</v>
      </c>
      <c r="G248" s="116">
        <v>8</v>
      </c>
      <c r="H248" s="108">
        <v>0</v>
      </c>
    </row>
    <row r="249" spans="1:8" ht="12.2" customHeight="1" x14ac:dyDescent="0.2">
      <c r="D249" s="334" t="s">
        <v>1821</v>
      </c>
      <c r="E249" s="335"/>
      <c r="F249" s="335"/>
      <c r="G249" s="143">
        <v>8</v>
      </c>
    </row>
    <row r="250" spans="1:8" x14ac:dyDescent="0.2">
      <c r="A250" s="117" t="s">
        <v>114</v>
      </c>
      <c r="B250" s="117"/>
      <c r="C250" s="117" t="s">
        <v>676</v>
      </c>
      <c r="D250" s="304" t="s">
        <v>1185</v>
      </c>
      <c r="E250" s="305"/>
      <c r="F250" s="117" t="s">
        <v>1645</v>
      </c>
      <c r="G250" s="116">
        <v>265.774</v>
      </c>
      <c r="H250" s="108">
        <v>0</v>
      </c>
    </row>
    <row r="251" spans="1:8" ht="12.2" customHeight="1" x14ac:dyDescent="0.2">
      <c r="D251" s="334" t="s">
        <v>2920</v>
      </c>
      <c r="E251" s="335"/>
      <c r="F251" s="335"/>
      <c r="G251" s="143">
        <v>265.774</v>
      </c>
    </row>
    <row r="252" spans="1:8" x14ac:dyDescent="0.2">
      <c r="A252" s="117" t="s">
        <v>115</v>
      </c>
      <c r="B252" s="117"/>
      <c r="C252" s="117" t="s">
        <v>677</v>
      </c>
      <c r="D252" s="304" t="s">
        <v>3175</v>
      </c>
      <c r="E252" s="305"/>
      <c r="F252" s="117" t="s">
        <v>1645</v>
      </c>
      <c r="G252" s="116">
        <v>32.003</v>
      </c>
      <c r="H252" s="108">
        <v>0</v>
      </c>
    </row>
    <row r="253" spans="1:8" ht="12.2" customHeight="1" x14ac:dyDescent="0.2">
      <c r="D253" s="334" t="s">
        <v>3196</v>
      </c>
      <c r="E253" s="335"/>
      <c r="F253" s="335"/>
      <c r="G253" s="143">
        <v>32.003</v>
      </c>
    </row>
    <row r="254" spans="1:8" x14ac:dyDescent="0.2">
      <c r="A254" s="117" t="s">
        <v>116</v>
      </c>
      <c r="B254" s="117"/>
      <c r="C254" s="117" t="s">
        <v>678</v>
      </c>
      <c r="D254" s="304" t="s">
        <v>3174</v>
      </c>
      <c r="E254" s="305"/>
      <c r="F254" s="117" t="s">
        <v>1645</v>
      </c>
      <c r="G254" s="116">
        <v>47.027000000000001</v>
      </c>
      <c r="H254" s="108">
        <v>0</v>
      </c>
    </row>
    <row r="255" spans="1:8" ht="12.2" customHeight="1" x14ac:dyDescent="0.2">
      <c r="D255" s="334" t="s">
        <v>3215</v>
      </c>
      <c r="E255" s="335"/>
      <c r="F255" s="335"/>
      <c r="G255" s="143">
        <v>47.027000000000001</v>
      </c>
    </row>
    <row r="256" spans="1:8" x14ac:dyDescent="0.2">
      <c r="A256" s="117" t="s">
        <v>117</v>
      </c>
      <c r="B256" s="117"/>
      <c r="C256" s="117" t="s">
        <v>679</v>
      </c>
      <c r="D256" s="304" t="s">
        <v>3173</v>
      </c>
      <c r="E256" s="305"/>
      <c r="F256" s="117" t="s">
        <v>1645</v>
      </c>
      <c r="G256" s="116">
        <v>24.055</v>
      </c>
      <c r="H256" s="108">
        <v>0</v>
      </c>
    </row>
    <row r="257" spans="1:8" ht="12.2" customHeight="1" x14ac:dyDescent="0.2">
      <c r="D257" s="334" t="s">
        <v>3216</v>
      </c>
      <c r="E257" s="335"/>
      <c r="F257" s="335"/>
      <c r="G257" s="143">
        <v>24.055</v>
      </c>
    </row>
    <row r="258" spans="1:8" x14ac:dyDescent="0.2">
      <c r="A258" s="117" t="s">
        <v>118</v>
      </c>
      <c r="B258" s="117"/>
      <c r="C258" s="117" t="s">
        <v>680</v>
      </c>
      <c r="D258" s="304" t="s">
        <v>1189</v>
      </c>
      <c r="E258" s="305"/>
      <c r="F258" s="117" t="s">
        <v>1645</v>
      </c>
      <c r="G258" s="116">
        <v>497.28899999999999</v>
      </c>
      <c r="H258" s="108">
        <v>0</v>
      </c>
    </row>
    <row r="259" spans="1:8" ht="12.2" customHeight="1" x14ac:dyDescent="0.2">
      <c r="D259" s="334" t="s">
        <v>2917</v>
      </c>
      <c r="E259" s="335"/>
      <c r="F259" s="335"/>
      <c r="G259" s="143">
        <v>497.28899999999999</v>
      </c>
    </row>
    <row r="260" spans="1:8" x14ac:dyDescent="0.2">
      <c r="A260" s="117" t="s">
        <v>119</v>
      </c>
      <c r="B260" s="117"/>
      <c r="C260" s="117" t="s">
        <v>681</v>
      </c>
      <c r="D260" s="304" t="s">
        <v>1190</v>
      </c>
      <c r="E260" s="305"/>
      <c r="F260" s="117" t="s">
        <v>1645</v>
      </c>
      <c r="G260" s="116">
        <v>497.28899999999999</v>
      </c>
      <c r="H260" s="108">
        <v>0</v>
      </c>
    </row>
    <row r="261" spans="1:8" ht="12.2" customHeight="1" x14ac:dyDescent="0.2">
      <c r="D261" s="334" t="s">
        <v>2917</v>
      </c>
      <c r="E261" s="335"/>
      <c r="F261" s="335"/>
      <c r="G261" s="143">
        <v>497.28899999999999</v>
      </c>
    </row>
    <row r="262" spans="1:8" x14ac:dyDescent="0.2">
      <c r="A262" s="117" t="s">
        <v>120</v>
      </c>
      <c r="B262" s="117"/>
      <c r="C262" s="117" t="s">
        <v>682</v>
      </c>
      <c r="D262" s="304" t="s">
        <v>1191</v>
      </c>
      <c r="E262" s="305"/>
      <c r="F262" s="117" t="s">
        <v>1645</v>
      </c>
      <c r="G262" s="116">
        <v>98.432000000000002</v>
      </c>
      <c r="H262" s="108">
        <v>0</v>
      </c>
    </row>
    <row r="263" spans="1:8" ht="12.2" customHeight="1" x14ac:dyDescent="0.2">
      <c r="D263" s="334" t="s">
        <v>2916</v>
      </c>
      <c r="E263" s="335"/>
      <c r="F263" s="335"/>
      <c r="G263" s="143">
        <v>98.432000000000002</v>
      </c>
    </row>
    <row r="264" spans="1:8" x14ac:dyDescent="0.2">
      <c r="A264" s="117" t="s">
        <v>121</v>
      </c>
      <c r="B264" s="117"/>
      <c r="C264" s="117" t="s">
        <v>682</v>
      </c>
      <c r="D264" s="304" t="s">
        <v>1192</v>
      </c>
      <c r="E264" s="305"/>
      <c r="F264" s="117" t="s">
        <v>1645</v>
      </c>
      <c r="G264" s="116">
        <v>80.08</v>
      </c>
      <c r="H264" s="108">
        <v>0</v>
      </c>
    </row>
    <row r="265" spans="1:8" ht="12.2" customHeight="1" x14ac:dyDescent="0.2">
      <c r="D265" s="334" t="s">
        <v>2913</v>
      </c>
      <c r="E265" s="335"/>
      <c r="F265" s="335"/>
      <c r="G265" s="143">
        <v>75.760000000000005</v>
      </c>
    </row>
    <row r="266" spans="1:8" ht="12.2" customHeight="1" x14ac:dyDescent="0.2">
      <c r="A266" s="117"/>
      <c r="B266" s="117"/>
      <c r="C266" s="117"/>
      <c r="D266" s="334" t="s">
        <v>2914</v>
      </c>
      <c r="E266" s="335"/>
      <c r="F266" s="334"/>
      <c r="G266" s="144">
        <v>4.32</v>
      </c>
      <c r="H266" s="111"/>
    </row>
    <row r="267" spans="1:8" x14ac:dyDescent="0.2">
      <c r="A267" s="117" t="s">
        <v>122</v>
      </c>
      <c r="B267" s="117"/>
      <c r="C267" s="117" t="s">
        <v>683</v>
      </c>
      <c r="D267" s="304" t="s">
        <v>1194</v>
      </c>
      <c r="E267" s="305"/>
      <c r="F267" s="117" t="s">
        <v>1645</v>
      </c>
      <c r="G267" s="116">
        <v>47.027000000000001</v>
      </c>
      <c r="H267" s="108">
        <v>0</v>
      </c>
    </row>
    <row r="268" spans="1:8" ht="12.2" customHeight="1" x14ac:dyDescent="0.2">
      <c r="D268" s="334" t="s">
        <v>3215</v>
      </c>
      <c r="E268" s="335"/>
      <c r="F268" s="335"/>
      <c r="G268" s="143">
        <v>47.027000000000001</v>
      </c>
    </row>
    <row r="269" spans="1:8" x14ac:dyDescent="0.2">
      <c r="A269" s="120"/>
      <c r="B269" s="120"/>
      <c r="C269" s="120" t="s">
        <v>686</v>
      </c>
      <c r="D269" s="306" t="s">
        <v>1198</v>
      </c>
      <c r="E269" s="307"/>
      <c r="F269" s="120"/>
      <c r="G269" s="142"/>
      <c r="H269" s="109"/>
    </row>
    <row r="270" spans="1:8" x14ac:dyDescent="0.2">
      <c r="A270" s="117" t="s">
        <v>123</v>
      </c>
      <c r="B270" s="117"/>
      <c r="C270" s="117" t="s">
        <v>687</v>
      </c>
      <c r="D270" s="304" t="s">
        <v>1199</v>
      </c>
      <c r="E270" s="305"/>
      <c r="F270" s="117" t="s">
        <v>1648</v>
      </c>
      <c r="G270" s="116">
        <v>29.844000000000001</v>
      </c>
      <c r="H270" s="108">
        <v>0</v>
      </c>
    </row>
    <row r="271" spans="1:8" ht="12.2" customHeight="1" x14ac:dyDescent="0.2">
      <c r="D271" s="334" t="s">
        <v>3214</v>
      </c>
      <c r="E271" s="335"/>
      <c r="F271" s="335"/>
      <c r="G271" s="143">
        <v>29.844000000000001</v>
      </c>
    </row>
    <row r="272" spans="1:8" x14ac:dyDescent="0.2">
      <c r="A272" s="117" t="s">
        <v>124</v>
      </c>
      <c r="B272" s="117"/>
      <c r="C272" s="117" t="s">
        <v>688</v>
      </c>
      <c r="D272" s="304" t="s">
        <v>1200</v>
      </c>
      <c r="E272" s="305"/>
      <c r="F272" s="117" t="s">
        <v>1648</v>
      </c>
      <c r="G272" s="116">
        <v>17.905999999999999</v>
      </c>
      <c r="H272" s="108">
        <v>0</v>
      </c>
    </row>
    <row r="273" spans="1:8" ht="12.2" customHeight="1" x14ac:dyDescent="0.2">
      <c r="D273" s="334" t="s">
        <v>3213</v>
      </c>
      <c r="E273" s="335"/>
      <c r="F273" s="335"/>
      <c r="G273" s="143">
        <v>17.905999999999999</v>
      </c>
    </row>
    <row r="274" spans="1:8" x14ac:dyDescent="0.2">
      <c r="A274" s="117" t="s">
        <v>125</v>
      </c>
      <c r="B274" s="117"/>
      <c r="C274" s="117" t="s">
        <v>689</v>
      </c>
      <c r="D274" s="304" t="s">
        <v>1201</v>
      </c>
      <c r="E274" s="305"/>
      <c r="F274" s="117" t="s">
        <v>1648</v>
      </c>
      <c r="G274" s="116">
        <v>89.531999999999996</v>
      </c>
      <c r="H274" s="108">
        <v>0</v>
      </c>
    </row>
    <row r="275" spans="1:8" ht="12.2" customHeight="1" x14ac:dyDescent="0.2">
      <c r="D275" s="334" t="s">
        <v>3210</v>
      </c>
      <c r="E275" s="335"/>
      <c r="F275" s="335"/>
      <c r="G275" s="143">
        <v>89.531999999999996</v>
      </c>
    </row>
    <row r="276" spans="1:8" x14ac:dyDescent="0.2">
      <c r="A276" s="117" t="s">
        <v>126</v>
      </c>
      <c r="B276" s="117"/>
      <c r="C276" s="117" t="s">
        <v>690</v>
      </c>
      <c r="D276" s="304" t="s">
        <v>1202</v>
      </c>
      <c r="E276" s="305"/>
      <c r="F276" s="117" t="s">
        <v>1648</v>
      </c>
      <c r="G276" s="116">
        <v>805.78800000000001</v>
      </c>
      <c r="H276" s="108">
        <v>0</v>
      </c>
    </row>
    <row r="277" spans="1:8" ht="12.2" customHeight="1" x14ac:dyDescent="0.2">
      <c r="D277" s="334" t="s">
        <v>3212</v>
      </c>
      <c r="E277" s="335"/>
      <c r="F277" s="335"/>
      <c r="G277" s="143">
        <v>805.78800000000001</v>
      </c>
    </row>
    <row r="278" spans="1:8" x14ac:dyDescent="0.2">
      <c r="A278" s="117" t="s">
        <v>127</v>
      </c>
      <c r="B278" s="117"/>
      <c r="C278" s="117" t="s">
        <v>691</v>
      </c>
      <c r="D278" s="304" t="s">
        <v>1203</v>
      </c>
      <c r="E278" s="305"/>
      <c r="F278" s="117" t="s">
        <v>1648</v>
      </c>
      <c r="G278" s="116">
        <v>89.531999999999996</v>
      </c>
      <c r="H278" s="108">
        <v>0</v>
      </c>
    </row>
    <row r="279" spans="1:8" ht="12.2" customHeight="1" x14ac:dyDescent="0.2">
      <c r="D279" s="334" t="s">
        <v>3210</v>
      </c>
      <c r="E279" s="335"/>
      <c r="F279" s="335"/>
      <c r="G279" s="143">
        <v>89.531999999999996</v>
      </c>
    </row>
    <row r="280" spans="1:8" x14ac:dyDescent="0.2">
      <c r="A280" s="117" t="s">
        <v>128</v>
      </c>
      <c r="B280" s="117"/>
      <c r="C280" s="117" t="s">
        <v>692</v>
      </c>
      <c r="D280" s="304" t="s">
        <v>1204</v>
      </c>
      <c r="E280" s="305"/>
      <c r="F280" s="117" t="s">
        <v>1648</v>
      </c>
      <c r="G280" s="116">
        <v>358.12799999999999</v>
      </c>
      <c r="H280" s="108">
        <v>0</v>
      </c>
    </row>
    <row r="281" spans="1:8" ht="12.2" customHeight="1" x14ac:dyDescent="0.2">
      <c r="D281" s="334" t="s">
        <v>3211</v>
      </c>
      <c r="E281" s="335"/>
      <c r="F281" s="335"/>
      <c r="G281" s="143">
        <v>358.12799999999999</v>
      </c>
    </row>
    <row r="282" spans="1:8" x14ac:dyDescent="0.2">
      <c r="A282" s="117" t="s">
        <v>129</v>
      </c>
      <c r="B282" s="117"/>
      <c r="C282" s="117" t="s">
        <v>693</v>
      </c>
      <c r="D282" s="304" t="s">
        <v>1205</v>
      </c>
      <c r="E282" s="305"/>
      <c r="F282" s="117" t="s">
        <v>1648</v>
      </c>
      <c r="G282" s="116">
        <v>89.531999999999996</v>
      </c>
      <c r="H282" s="108">
        <v>0</v>
      </c>
    </row>
    <row r="283" spans="1:8" ht="12.2" customHeight="1" x14ac:dyDescent="0.2">
      <c r="D283" s="334" t="s">
        <v>3210</v>
      </c>
      <c r="E283" s="335"/>
      <c r="F283" s="335"/>
      <c r="G283" s="143">
        <v>89.531999999999996</v>
      </c>
    </row>
    <row r="284" spans="1:8" x14ac:dyDescent="0.2">
      <c r="A284" s="117" t="s">
        <v>130</v>
      </c>
      <c r="B284" s="117"/>
      <c r="C284" s="117" t="s">
        <v>694</v>
      </c>
      <c r="D284" s="304" t="s">
        <v>1206</v>
      </c>
      <c r="E284" s="305"/>
      <c r="F284" s="117" t="s">
        <v>1648</v>
      </c>
      <c r="G284" s="116">
        <v>89.531999999999996</v>
      </c>
      <c r="H284" s="108">
        <v>0</v>
      </c>
    </row>
    <row r="285" spans="1:8" ht="12.2" customHeight="1" x14ac:dyDescent="0.2">
      <c r="D285" s="334" t="s">
        <v>3210</v>
      </c>
      <c r="E285" s="335"/>
      <c r="F285" s="335"/>
      <c r="G285" s="143">
        <v>89.531999999999996</v>
      </c>
    </row>
    <row r="286" spans="1:8" x14ac:dyDescent="0.2">
      <c r="A286" s="117" t="s">
        <v>131</v>
      </c>
      <c r="B286" s="117"/>
      <c r="C286" s="117" t="s">
        <v>695</v>
      </c>
      <c r="D286" s="304" t="s">
        <v>1207</v>
      </c>
      <c r="E286" s="305"/>
      <c r="F286" s="117" t="s">
        <v>1648</v>
      </c>
      <c r="G286" s="116">
        <v>3.43</v>
      </c>
      <c r="H286" s="108">
        <v>0</v>
      </c>
    </row>
    <row r="287" spans="1:8" ht="12.2" customHeight="1" x14ac:dyDescent="0.2">
      <c r="D287" s="334" t="s">
        <v>3209</v>
      </c>
      <c r="E287" s="335"/>
      <c r="F287" s="335"/>
      <c r="G287" s="143">
        <v>3.43</v>
      </c>
    </row>
    <row r="288" spans="1:8" x14ac:dyDescent="0.2">
      <c r="A288" s="117" t="s">
        <v>132</v>
      </c>
      <c r="B288" s="117"/>
      <c r="C288" s="117" t="s">
        <v>696</v>
      </c>
      <c r="D288" s="304" t="s">
        <v>1208</v>
      </c>
      <c r="E288" s="305"/>
      <c r="F288" s="117" t="s">
        <v>1648</v>
      </c>
      <c r="G288" s="116">
        <v>14.727</v>
      </c>
      <c r="H288" s="108">
        <v>0</v>
      </c>
    </row>
    <row r="289" spans="1:8" ht="12.2" customHeight="1" x14ac:dyDescent="0.2">
      <c r="D289" s="334" t="s">
        <v>3208</v>
      </c>
      <c r="E289" s="335"/>
      <c r="F289" s="335"/>
      <c r="G289" s="143">
        <v>14.727</v>
      </c>
    </row>
    <row r="290" spans="1:8" x14ac:dyDescent="0.2">
      <c r="A290" s="117" t="s">
        <v>133</v>
      </c>
      <c r="B290" s="117"/>
      <c r="C290" s="117" t="s">
        <v>697</v>
      </c>
      <c r="D290" s="304" t="s">
        <v>1209</v>
      </c>
      <c r="E290" s="305"/>
      <c r="F290" s="117" t="s">
        <v>1648</v>
      </c>
      <c r="G290" s="116">
        <v>24.201000000000001</v>
      </c>
      <c r="H290" s="108">
        <v>0</v>
      </c>
    </row>
    <row r="291" spans="1:8" ht="12.2" customHeight="1" x14ac:dyDescent="0.2">
      <c r="D291" s="334" t="s">
        <v>3207</v>
      </c>
      <c r="E291" s="335"/>
      <c r="F291" s="335"/>
      <c r="G291" s="143">
        <v>24.201000000000001</v>
      </c>
    </row>
    <row r="292" spans="1:8" x14ac:dyDescent="0.2">
      <c r="A292" s="117" t="s">
        <v>134</v>
      </c>
      <c r="B292" s="117"/>
      <c r="C292" s="117" t="s">
        <v>698</v>
      </c>
      <c r="D292" s="304" t="s">
        <v>2832</v>
      </c>
      <c r="E292" s="305"/>
      <c r="F292" s="117" t="s">
        <v>1648</v>
      </c>
      <c r="G292" s="116">
        <v>33.484000000000002</v>
      </c>
      <c r="H292" s="108">
        <v>0</v>
      </c>
    </row>
    <row r="293" spans="1:8" ht="12.2" customHeight="1" x14ac:dyDescent="0.2">
      <c r="D293" s="334" t="s">
        <v>3206</v>
      </c>
      <c r="E293" s="335"/>
      <c r="F293" s="335"/>
      <c r="G293" s="143">
        <v>33.484000000000002</v>
      </c>
    </row>
    <row r="294" spans="1:8" x14ac:dyDescent="0.2">
      <c r="A294" s="117" t="s">
        <v>135</v>
      </c>
      <c r="B294" s="117"/>
      <c r="C294" s="117" t="s">
        <v>699</v>
      </c>
      <c r="D294" s="304" t="s">
        <v>1211</v>
      </c>
      <c r="E294" s="305"/>
      <c r="F294" s="117" t="s">
        <v>1648</v>
      </c>
      <c r="G294" s="116">
        <v>0.38100000000000001</v>
      </c>
      <c r="H294" s="108">
        <v>0</v>
      </c>
    </row>
    <row r="295" spans="1:8" ht="12.2" customHeight="1" x14ac:dyDescent="0.2">
      <c r="D295" s="334" t="s">
        <v>2903</v>
      </c>
      <c r="E295" s="335"/>
      <c r="F295" s="335"/>
      <c r="G295" s="143">
        <v>0.38100000000000001</v>
      </c>
    </row>
    <row r="296" spans="1:8" x14ac:dyDescent="0.2">
      <c r="A296" s="117" t="s">
        <v>136</v>
      </c>
      <c r="B296" s="117"/>
      <c r="C296" s="117" t="s">
        <v>700</v>
      </c>
      <c r="D296" s="304" t="s">
        <v>1212</v>
      </c>
      <c r="E296" s="305"/>
      <c r="F296" s="117" t="s">
        <v>1648</v>
      </c>
      <c r="G296" s="116">
        <v>0.65400000000000003</v>
      </c>
      <c r="H296" s="108">
        <v>0</v>
      </c>
    </row>
    <row r="297" spans="1:8" ht="12.2" customHeight="1" x14ac:dyDescent="0.2">
      <c r="D297" s="334" t="s">
        <v>3205</v>
      </c>
      <c r="E297" s="335"/>
      <c r="F297" s="335"/>
      <c r="G297" s="143">
        <v>0.65400000000000003</v>
      </c>
    </row>
    <row r="298" spans="1:8" x14ac:dyDescent="0.2">
      <c r="A298" s="117" t="s">
        <v>137</v>
      </c>
      <c r="B298" s="117"/>
      <c r="C298" s="117" t="s">
        <v>701</v>
      </c>
      <c r="D298" s="304" t="s">
        <v>1213</v>
      </c>
      <c r="E298" s="305"/>
      <c r="F298" s="117" t="s">
        <v>1648</v>
      </c>
      <c r="G298" s="116">
        <v>4.4279999999999999</v>
      </c>
      <c r="H298" s="108">
        <v>0</v>
      </c>
    </row>
    <row r="299" spans="1:8" ht="12.2" customHeight="1" x14ac:dyDescent="0.2">
      <c r="D299" s="334" t="s">
        <v>2901</v>
      </c>
      <c r="E299" s="335"/>
      <c r="F299" s="335"/>
      <c r="G299" s="143">
        <v>4.4279999999999999</v>
      </c>
    </row>
    <row r="300" spans="1:8" x14ac:dyDescent="0.2">
      <c r="A300" s="117" t="s">
        <v>138</v>
      </c>
      <c r="B300" s="117"/>
      <c r="C300" s="117" t="s">
        <v>702</v>
      </c>
      <c r="D300" s="304" t="s">
        <v>1214</v>
      </c>
      <c r="E300" s="305"/>
      <c r="F300" s="117" t="s">
        <v>1648</v>
      </c>
      <c r="G300" s="116">
        <v>8.2270000000000003</v>
      </c>
      <c r="H300" s="108">
        <v>0</v>
      </c>
    </row>
    <row r="301" spans="1:8" ht="12.2" customHeight="1" x14ac:dyDescent="0.2">
      <c r="D301" s="334" t="s">
        <v>3204</v>
      </c>
      <c r="E301" s="335"/>
      <c r="F301" s="335"/>
      <c r="G301" s="143">
        <v>8.2270000000000003</v>
      </c>
    </row>
    <row r="302" spans="1:8" x14ac:dyDescent="0.2">
      <c r="A302" s="120"/>
      <c r="B302" s="120"/>
      <c r="C302" s="120" t="s">
        <v>703</v>
      </c>
      <c r="D302" s="306" t="s">
        <v>1215</v>
      </c>
      <c r="E302" s="307"/>
      <c r="F302" s="120"/>
      <c r="G302" s="142"/>
      <c r="H302" s="109"/>
    </row>
    <row r="303" spans="1:8" x14ac:dyDescent="0.2">
      <c r="A303" s="117" t="s">
        <v>139</v>
      </c>
      <c r="B303" s="117"/>
      <c r="C303" s="117" t="s">
        <v>704</v>
      </c>
      <c r="D303" s="304" t="s">
        <v>1216</v>
      </c>
      <c r="E303" s="305"/>
      <c r="F303" s="117" t="s">
        <v>1648</v>
      </c>
      <c r="G303" s="116">
        <v>182.935</v>
      </c>
      <c r="H303" s="108">
        <v>0</v>
      </c>
    </row>
    <row r="304" spans="1:8" ht="12.2" customHeight="1" x14ac:dyDescent="0.2">
      <c r="D304" s="334" t="s">
        <v>3203</v>
      </c>
      <c r="E304" s="335"/>
      <c r="F304" s="335"/>
      <c r="G304" s="143">
        <v>182.935</v>
      </c>
    </row>
    <row r="305" spans="1:8" x14ac:dyDescent="0.2">
      <c r="A305" s="120"/>
      <c r="B305" s="120"/>
      <c r="C305" s="120" t="s">
        <v>705</v>
      </c>
      <c r="D305" s="306" t="s">
        <v>1217</v>
      </c>
      <c r="E305" s="307"/>
      <c r="F305" s="120"/>
      <c r="G305" s="142"/>
      <c r="H305" s="109"/>
    </row>
    <row r="306" spans="1:8" x14ac:dyDescent="0.2">
      <c r="A306" s="117" t="s">
        <v>140</v>
      </c>
      <c r="B306" s="117"/>
      <c r="C306" s="117" t="s">
        <v>706</v>
      </c>
      <c r="D306" s="304" t="s">
        <v>1218</v>
      </c>
      <c r="E306" s="305"/>
      <c r="F306" s="117" t="s">
        <v>1645</v>
      </c>
      <c r="G306" s="116">
        <v>357.27</v>
      </c>
      <c r="H306" s="108">
        <v>0</v>
      </c>
    </row>
    <row r="307" spans="1:8" ht="12.2" customHeight="1" x14ac:dyDescent="0.2">
      <c r="D307" s="334" t="s">
        <v>2889</v>
      </c>
      <c r="E307" s="335"/>
      <c r="F307" s="335"/>
      <c r="G307" s="143">
        <v>357.27</v>
      </c>
    </row>
    <row r="308" spans="1:8" x14ac:dyDescent="0.2">
      <c r="A308" s="117" t="s">
        <v>141</v>
      </c>
      <c r="B308" s="117"/>
      <c r="C308" s="117" t="s">
        <v>707</v>
      </c>
      <c r="D308" s="304" t="s">
        <v>1219</v>
      </c>
      <c r="E308" s="305"/>
      <c r="F308" s="117" t="s">
        <v>1644</v>
      </c>
      <c r="G308" s="116">
        <v>20</v>
      </c>
      <c r="H308" s="108">
        <v>0</v>
      </c>
    </row>
    <row r="309" spans="1:8" ht="12.2" customHeight="1" x14ac:dyDescent="0.2">
      <c r="D309" s="334" t="s">
        <v>1802</v>
      </c>
      <c r="E309" s="335"/>
      <c r="F309" s="335"/>
      <c r="G309" s="143">
        <v>20</v>
      </c>
    </row>
    <row r="310" spans="1:8" x14ac:dyDescent="0.2">
      <c r="A310" s="117" t="s">
        <v>142</v>
      </c>
      <c r="B310" s="117"/>
      <c r="C310" s="117" t="s">
        <v>708</v>
      </c>
      <c r="D310" s="304" t="s">
        <v>2831</v>
      </c>
      <c r="E310" s="305"/>
      <c r="F310" s="117" t="s">
        <v>1645</v>
      </c>
      <c r="G310" s="116">
        <v>357.27</v>
      </c>
      <c r="H310" s="108">
        <v>0</v>
      </c>
    </row>
    <row r="311" spans="1:8" ht="12.2" customHeight="1" x14ac:dyDescent="0.2">
      <c r="D311" s="334" t="s">
        <v>2889</v>
      </c>
      <c r="E311" s="335"/>
      <c r="F311" s="335"/>
      <c r="G311" s="143">
        <v>357.27</v>
      </c>
    </row>
    <row r="312" spans="1:8" x14ac:dyDescent="0.2">
      <c r="A312" s="117" t="s">
        <v>143</v>
      </c>
      <c r="B312" s="117"/>
      <c r="C312" s="117" t="s">
        <v>709</v>
      </c>
      <c r="D312" s="304" t="s">
        <v>1221</v>
      </c>
      <c r="E312" s="305"/>
      <c r="F312" s="117" t="s">
        <v>1648</v>
      </c>
      <c r="G312" s="116">
        <v>4.4589999999999996</v>
      </c>
      <c r="H312" s="108">
        <v>0</v>
      </c>
    </row>
    <row r="313" spans="1:8" ht="12.2" customHeight="1" x14ac:dyDescent="0.2">
      <c r="D313" s="334" t="s">
        <v>2898</v>
      </c>
      <c r="E313" s="335"/>
      <c r="F313" s="335"/>
      <c r="G313" s="143">
        <v>4.4589999999999996</v>
      </c>
    </row>
    <row r="314" spans="1:8" x14ac:dyDescent="0.2">
      <c r="A314" s="120"/>
      <c r="B314" s="120"/>
      <c r="C314" s="120" t="s">
        <v>710</v>
      </c>
      <c r="D314" s="306" t="s">
        <v>1222</v>
      </c>
      <c r="E314" s="307"/>
      <c r="F314" s="120"/>
      <c r="G314" s="142"/>
      <c r="H314" s="109"/>
    </row>
    <row r="315" spans="1:8" x14ac:dyDescent="0.2">
      <c r="A315" s="117" t="s">
        <v>144</v>
      </c>
      <c r="B315" s="117"/>
      <c r="C315" s="117" t="s">
        <v>711</v>
      </c>
      <c r="D315" s="304" t="s">
        <v>2830</v>
      </c>
      <c r="E315" s="305"/>
      <c r="F315" s="117" t="s">
        <v>1645</v>
      </c>
      <c r="G315" s="116">
        <v>310.892</v>
      </c>
      <c r="H315" s="108">
        <v>0</v>
      </c>
    </row>
    <row r="316" spans="1:8" ht="12.2" customHeight="1" x14ac:dyDescent="0.2">
      <c r="D316" s="334" t="s">
        <v>2896</v>
      </c>
      <c r="E316" s="335"/>
      <c r="F316" s="335"/>
      <c r="G316" s="143">
        <v>310.892</v>
      </c>
    </row>
    <row r="317" spans="1:8" x14ac:dyDescent="0.2">
      <c r="A317" s="124" t="s">
        <v>145</v>
      </c>
      <c r="B317" s="124"/>
      <c r="C317" s="124" t="s">
        <v>712</v>
      </c>
      <c r="D317" s="311" t="s">
        <v>1224</v>
      </c>
      <c r="E317" s="312"/>
      <c r="F317" s="124" t="s">
        <v>1645</v>
      </c>
      <c r="G317" s="123">
        <v>341.98099999999999</v>
      </c>
      <c r="H317" s="121">
        <v>0</v>
      </c>
    </row>
    <row r="318" spans="1:8" ht="12.2" customHeight="1" x14ac:dyDescent="0.2">
      <c r="D318" s="336" t="s">
        <v>2896</v>
      </c>
      <c r="E318" s="337"/>
      <c r="F318" s="337"/>
      <c r="G318" s="146">
        <v>310.892</v>
      </c>
    </row>
    <row r="319" spans="1:8" ht="12.2" customHeight="1" x14ac:dyDescent="0.2">
      <c r="A319" s="124"/>
      <c r="B319" s="124"/>
      <c r="C319" s="124"/>
      <c r="D319" s="336" t="s">
        <v>2897</v>
      </c>
      <c r="E319" s="337"/>
      <c r="F319" s="336"/>
      <c r="G319" s="145">
        <v>31.088999999999999</v>
      </c>
      <c r="H319" s="122"/>
    </row>
    <row r="320" spans="1:8" x14ac:dyDescent="0.2">
      <c r="A320" s="124" t="s">
        <v>146</v>
      </c>
      <c r="B320" s="124"/>
      <c r="C320" s="124" t="s">
        <v>713</v>
      </c>
      <c r="D320" s="311" t="s">
        <v>1225</v>
      </c>
      <c r="E320" s="312"/>
      <c r="F320" s="124" t="s">
        <v>1645</v>
      </c>
      <c r="G320" s="123">
        <v>341.98099999999999</v>
      </c>
      <c r="H320" s="121">
        <v>0</v>
      </c>
    </row>
    <row r="321" spans="1:8" ht="12.2" customHeight="1" x14ac:dyDescent="0.2">
      <c r="D321" s="336" t="s">
        <v>2896</v>
      </c>
      <c r="E321" s="337"/>
      <c r="F321" s="337"/>
      <c r="G321" s="146">
        <v>310.892</v>
      </c>
    </row>
    <row r="322" spans="1:8" ht="12.2" customHeight="1" x14ac:dyDescent="0.2">
      <c r="A322" s="124"/>
      <c r="B322" s="124"/>
      <c r="C322" s="124"/>
      <c r="D322" s="336" t="s">
        <v>2897</v>
      </c>
      <c r="E322" s="337"/>
      <c r="F322" s="336"/>
      <c r="G322" s="145">
        <v>31.088999999999999</v>
      </c>
      <c r="H322" s="122"/>
    </row>
    <row r="323" spans="1:8" x14ac:dyDescent="0.2">
      <c r="A323" s="117" t="s">
        <v>147</v>
      </c>
      <c r="B323" s="117"/>
      <c r="C323" s="117" t="s">
        <v>714</v>
      </c>
      <c r="D323" s="304" t="s">
        <v>1226</v>
      </c>
      <c r="E323" s="305"/>
      <c r="F323" s="117" t="s">
        <v>1646</v>
      </c>
      <c r="G323" s="116">
        <v>64.5</v>
      </c>
      <c r="H323" s="108">
        <v>0</v>
      </c>
    </row>
    <row r="324" spans="1:8" ht="12.2" customHeight="1" x14ac:dyDescent="0.2">
      <c r="D324" s="334" t="s">
        <v>2885</v>
      </c>
      <c r="E324" s="335"/>
      <c r="F324" s="335"/>
      <c r="G324" s="143">
        <v>64.5</v>
      </c>
    </row>
    <row r="325" spans="1:8" x14ac:dyDescent="0.2">
      <c r="A325" s="117" t="s">
        <v>148</v>
      </c>
      <c r="B325" s="117"/>
      <c r="C325" s="117" t="s">
        <v>715</v>
      </c>
      <c r="D325" s="304" t="s">
        <v>2829</v>
      </c>
      <c r="E325" s="305"/>
      <c r="F325" s="117" t="s">
        <v>1645</v>
      </c>
      <c r="G325" s="116">
        <v>310.892</v>
      </c>
      <c r="H325" s="108">
        <v>0</v>
      </c>
    </row>
    <row r="326" spans="1:8" ht="12.2" customHeight="1" x14ac:dyDescent="0.2">
      <c r="D326" s="334" t="s">
        <v>2896</v>
      </c>
      <c r="E326" s="335"/>
      <c r="F326" s="335"/>
      <c r="G326" s="143">
        <v>310.892</v>
      </c>
    </row>
    <row r="327" spans="1:8" x14ac:dyDescent="0.2">
      <c r="A327" s="117" t="s">
        <v>149</v>
      </c>
      <c r="B327" s="117"/>
      <c r="C327" s="117" t="s">
        <v>716</v>
      </c>
      <c r="D327" s="304" t="s">
        <v>2828</v>
      </c>
      <c r="E327" s="305"/>
      <c r="F327" s="117" t="s">
        <v>1645</v>
      </c>
      <c r="G327" s="116">
        <v>310.892</v>
      </c>
      <c r="H327" s="108">
        <v>0</v>
      </c>
    </row>
    <row r="328" spans="1:8" ht="12.2" customHeight="1" x14ac:dyDescent="0.2">
      <c r="D328" s="334" t="s">
        <v>2896</v>
      </c>
      <c r="E328" s="335"/>
      <c r="F328" s="335"/>
      <c r="G328" s="143">
        <v>310.892</v>
      </c>
    </row>
    <row r="329" spans="1:8" x14ac:dyDescent="0.2">
      <c r="A329" s="117" t="s">
        <v>150</v>
      </c>
      <c r="B329" s="117"/>
      <c r="C329" s="117" t="s">
        <v>717</v>
      </c>
      <c r="D329" s="304" t="s">
        <v>2827</v>
      </c>
      <c r="E329" s="305"/>
      <c r="F329" s="117" t="s">
        <v>1645</v>
      </c>
      <c r="G329" s="116">
        <v>357.27</v>
      </c>
      <c r="H329" s="108">
        <v>0</v>
      </c>
    </row>
    <row r="330" spans="1:8" ht="12.2" customHeight="1" x14ac:dyDescent="0.2">
      <c r="D330" s="334" t="s">
        <v>2889</v>
      </c>
      <c r="E330" s="335"/>
      <c r="F330" s="335"/>
      <c r="G330" s="143">
        <v>357.27</v>
      </c>
    </row>
    <row r="331" spans="1:8" x14ac:dyDescent="0.2">
      <c r="A331" s="117" t="s">
        <v>151</v>
      </c>
      <c r="B331" s="117"/>
      <c r="C331" s="117" t="s">
        <v>718</v>
      </c>
      <c r="D331" s="304" t="s">
        <v>1230</v>
      </c>
      <c r="E331" s="305"/>
      <c r="F331" s="117" t="s">
        <v>1648</v>
      </c>
      <c r="G331" s="116">
        <v>1.482</v>
      </c>
      <c r="H331" s="108">
        <v>0</v>
      </c>
    </row>
    <row r="332" spans="1:8" ht="12.2" customHeight="1" x14ac:dyDescent="0.2">
      <c r="D332" s="334" t="s">
        <v>2895</v>
      </c>
      <c r="E332" s="335"/>
      <c r="F332" s="335"/>
      <c r="G332" s="143">
        <v>1.482</v>
      </c>
    </row>
    <row r="333" spans="1:8" x14ac:dyDescent="0.2">
      <c r="A333" s="120"/>
      <c r="B333" s="120"/>
      <c r="C333" s="120" t="s">
        <v>744</v>
      </c>
      <c r="D333" s="306" t="s">
        <v>1256</v>
      </c>
      <c r="E333" s="307"/>
      <c r="F333" s="120"/>
      <c r="G333" s="142"/>
      <c r="H333" s="109"/>
    </row>
    <row r="334" spans="1:8" x14ac:dyDescent="0.2">
      <c r="A334" s="117" t="s">
        <v>152</v>
      </c>
      <c r="B334" s="117"/>
      <c r="C334" s="117" t="s">
        <v>3172</v>
      </c>
      <c r="D334" s="304" t="s">
        <v>1257</v>
      </c>
      <c r="E334" s="305"/>
      <c r="F334" s="117" t="s">
        <v>1646</v>
      </c>
      <c r="G334" s="116">
        <v>1</v>
      </c>
      <c r="H334" s="108">
        <v>0</v>
      </c>
    </row>
    <row r="335" spans="1:8" x14ac:dyDescent="0.2">
      <c r="A335" s="117" t="s">
        <v>153</v>
      </c>
      <c r="B335" s="117"/>
      <c r="C335" s="117" t="s">
        <v>3171</v>
      </c>
      <c r="D335" s="304" t="s">
        <v>1258</v>
      </c>
      <c r="E335" s="305"/>
      <c r="F335" s="117" t="s">
        <v>1646</v>
      </c>
      <c r="G335" s="116">
        <v>2</v>
      </c>
      <c r="H335" s="108">
        <v>0</v>
      </c>
    </row>
    <row r="336" spans="1:8" x14ac:dyDescent="0.2">
      <c r="A336" s="117" t="s">
        <v>154</v>
      </c>
      <c r="B336" s="117"/>
      <c r="C336" s="117" t="s">
        <v>3170</v>
      </c>
      <c r="D336" s="304" t="s">
        <v>2133</v>
      </c>
      <c r="E336" s="305"/>
      <c r="F336" s="117" t="s">
        <v>1646</v>
      </c>
      <c r="G336" s="116">
        <v>1</v>
      </c>
      <c r="H336" s="108">
        <v>0</v>
      </c>
    </row>
    <row r="337" spans="1:8" x14ac:dyDescent="0.2">
      <c r="A337" s="117" t="s">
        <v>155</v>
      </c>
      <c r="B337" s="117"/>
      <c r="C337" s="117" t="s">
        <v>3169</v>
      </c>
      <c r="D337" s="304" t="s">
        <v>1262</v>
      </c>
      <c r="E337" s="305"/>
      <c r="F337" s="117" t="s">
        <v>1644</v>
      </c>
      <c r="G337" s="116">
        <v>1</v>
      </c>
      <c r="H337" s="108">
        <v>0</v>
      </c>
    </row>
    <row r="338" spans="1:8" x14ac:dyDescent="0.2">
      <c r="A338" s="117" t="s">
        <v>156</v>
      </c>
      <c r="B338" s="117"/>
      <c r="C338" s="117" t="s">
        <v>3168</v>
      </c>
      <c r="D338" s="304" t="s">
        <v>1263</v>
      </c>
      <c r="E338" s="305"/>
      <c r="F338" s="117" t="s">
        <v>1644</v>
      </c>
      <c r="G338" s="116">
        <v>2</v>
      </c>
      <c r="H338" s="108">
        <v>0</v>
      </c>
    </row>
    <row r="339" spans="1:8" x14ac:dyDescent="0.2">
      <c r="A339" s="117" t="s">
        <v>157</v>
      </c>
      <c r="B339" s="117"/>
      <c r="C339" s="117" t="s">
        <v>3167</v>
      </c>
      <c r="D339" s="304" t="s">
        <v>1264</v>
      </c>
      <c r="E339" s="305"/>
      <c r="F339" s="117" t="s">
        <v>1644</v>
      </c>
      <c r="G339" s="116">
        <v>1</v>
      </c>
      <c r="H339" s="108">
        <v>0</v>
      </c>
    </row>
    <row r="340" spans="1:8" x14ac:dyDescent="0.2">
      <c r="A340" s="117" t="s">
        <v>158</v>
      </c>
      <c r="B340" s="117"/>
      <c r="C340" s="117" t="s">
        <v>3166</v>
      </c>
      <c r="D340" s="304" t="s">
        <v>1269</v>
      </c>
      <c r="E340" s="305"/>
      <c r="F340" s="117" t="s">
        <v>1644</v>
      </c>
      <c r="G340" s="116">
        <v>1</v>
      </c>
      <c r="H340" s="108">
        <v>0</v>
      </c>
    </row>
    <row r="341" spans="1:8" x14ac:dyDescent="0.2">
      <c r="A341" s="117" t="s">
        <v>159</v>
      </c>
      <c r="B341" s="117"/>
      <c r="C341" s="117" t="s">
        <v>3165</v>
      </c>
      <c r="D341" s="304" t="s">
        <v>1270</v>
      </c>
      <c r="E341" s="305"/>
      <c r="F341" s="117" t="s">
        <v>1644</v>
      </c>
      <c r="G341" s="116">
        <v>1</v>
      </c>
      <c r="H341" s="108">
        <v>0</v>
      </c>
    </row>
    <row r="342" spans="1:8" x14ac:dyDescent="0.2">
      <c r="A342" s="117" t="s">
        <v>160</v>
      </c>
      <c r="B342" s="117"/>
      <c r="C342" s="117" t="s">
        <v>3164</v>
      </c>
      <c r="D342" s="304" t="s">
        <v>1271</v>
      </c>
      <c r="E342" s="305"/>
      <c r="F342" s="117" t="s">
        <v>1644</v>
      </c>
      <c r="G342" s="116">
        <v>1</v>
      </c>
      <c r="H342" s="108">
        <v>0</v>
      </c>
    </row>
    <row r="343" spans="1:8" x14ac:dyDescent="0.2">
      <c r="A343" s="117" t="s">
        <v>161</v>
      </c>
      <c r="B343" s="117"/>
      <c r="C343" s="117" t="s">
        <v>3163</v>
      </c>
      <c r="D343" s="304" t="s">
        <v>1272</v>
      </c>
      <c r="E343" s="305"/>
      <c r="F343" s="117" t="s">
        <v>1644</v>
      </c>
      <c r="G343" s="116">
        <v>1</v>
      </c>
      <c r="H343" s="108">
        <v>0</v>
      </c>
    </row>
    <row r="344" spans="1:8" x14ac:dyDescent="0.2">
      <c r="A344" s="117" t="s">
        <v>162</v>
      </c>
      <c r="B344" s="117"/>
      <c r="C344" s="117" t="s">
        <v>3162</v>
      </c>
      <c r="D344" s="304" t="s">
        <v>1276</v>
      </c>
      <c r="E344" s="305"/>
      <c r="F344" s="117" t="s">
        <v>1644</v>
      </c>
      <c r="G344" s="116">
        <v>1</v>
      </c>
      <c r="H344" s="108">
        <v>0</v>
      </c>
    </row>
    <row r="345" spans="1:8" x14ac:dyDescent="0.2">
      <c r="A345" s="117" t="s">
        <v>163</v>
      </c>
      <c r="B345" s="117"/>
      <c r="C345" s="117" t="s">
        <v>3161</v>
      </c>
      <c r="D345" s="304" t="s">
        <v>1278</v>
      </c>
      <c r="E345" s="305"/>
      <c r="F345" s="117" t="s">
        <v>1644</v>
      </c>
      <c r="G345" s="116">
        <v>2</v>
      </c>
      <c r="H345" s="108">
        <v>0</v>
      </c>
    </row>
    <row r="346" spans="1:8" x14ac:dyDescent="0.2">
      <c r="A346" s="117" t="s">
        <v>164</v>
      </c>
      <c r="B346" s="117"/>
      <c r="C346" s="117" t="s">
        <v>3160</v>
      </c>
      <c r="D346" s="304" t="s">
        <v>2123</v>
      </c>
      <c r="E346" s="305"/>
      <c r="F346" s="117" t="s">
        <v>1644</v>
      </c>
      <c r="G346" s="116">
        <v>1</v>
      </c>
      <c r="H346" s="108">
        <v>0</v>
      </c>
    </row>
    <row r="347" spans="1:8" x14ac:dyDescent="0.2">
      <c r="A347" s="117" t="s">
        <v>165</v>
      </c>
      <c r="B347" s="117"/>
      <c r="C347" s="117" t="s">
        <v>3159</v>
      </c>
      <c r="D347" s="304" t="s">
        <v>1280</v>
      </c>
      <c r="E347" s="305"/>
      <c r="F347" s="117" t="s">
        <v>1646</v>
      </c>
      <c r="G347" s="116">
        <v>10</v>
      </c>
      <c r="H347" s="108">
        <v>0</v>
      </c>
    </row>
    <row r="348" spans="1:8" x14ac:dyDescent="0.2">
      <c r="A348" s="117" t="s">
        <v>166</v>
      </c>
      <c r="B348" s="117"/>
      <c r="C348" s="117" t="s">
        <v>3158</v>
      </c>
      <c r="D348" s="304" t="s">
        <v>1281</v>
      </c>
      <c r="E348" s="305"/>
      <c r="F348" s="117" t="s">
        <v>1646</v>
      </c>
      <c r="G348" s="116">
        <v>4</v>
      </c>
      <c r="H348" s="108">
        <v>0</v>
      </c>
    </row>
    <row r="349" spans="1:8" x14ac:dyDescent="0.2">
      <c r="A349" s="117" t="s">
        <v>167</v>
      </c>
      <c r="B349" s="117"/>
      <c r="C349" s="117" t="s">
        <v>3157</v>
      </c>
      <c r="D349" s="304" t="s">
        <v>1282</v>
      </c>
      <c r="E349" s="305"/>
      <c r="F349" s="117" t="s">
        <v>1644</v>
      </c>
      <c r="G349" s="116">
        <v>1</v>
      </c>
      <c r="H349" s="108">
        <v>0</v>
      </c>
    </row>
    <row r="350" spans="1:8" x14ac:dyDescent="0.2">
      <c r="A350" s="120"/>
      <c r="B350" s="120"/>
      <c r="C350" s="120" t="s">
        <v>771</v>
      </c>
      <c r="D350" s="306" t="s">
        <v>1283</v>
      </c>
      <c r="E350" s="307"/>
      <c r="F350" s="120"/>
      <c r="G350" s="142"/>
      <c r="H350" s="109"/>
    </row>
    <row r="351" spans="1:8" x14ac:dyDescent="0.2">
      <c r="A351" s="117" t="s">
        <v>168</v>
      </c>
      <c r="B351" s="117"/>
      <c r="C351" s="117" t="s">
        <v>3156</v>
      </c>
      <c r="D351" s="304" t="s">
        <v>1284</v>
      </c>
      <c r="E351" s="305"/>
      <c r="F351" s="117" t="s">
        <v>1644</v>
      </c>
      <c r="G351" s="116">
        <v>1</v>
      </c>
      <c r="H351" s="108">
        <v>0</v>
      </c>
    </row>
    <row r="352" spans="1:8" x14ac:dyDescent="0.2">
      <c r="A352" s="117" t="s">
        <v>169</v>
      </c>
      <c r="B352" s="117"/>
      <c r="C352" s="117" t="s">
        <v>3155</v>
      </c>
      <c r="D352" s="304" t="s">
        <v>1285</v>
      </c>
      <c r="E352" s="305"/>
      <c r="F352" s="117" t="s">
        <v>1644</v>
      </c>
      <c r="G352" s="116">
        <v>1</v>
      </c>
      <c r="H352" s="108">
        <v>0</v>
      </c>
    </row>
    <row r="353" spans="1:8" x14ac:dyDescent="0.2">
      <c r="A353" s="117" t="s">
        <v>170</v>
      </c>
      <c r="B353" s="117"/>
      <c r="C353" s="117" t="s">
        <v>3154</v>
      </c>
      <c r="D353" s="304" t="s">
        <v>1286</v>
      </c>
      <c r="E353" s="305"/>
      <c r="F353" s="117" t="s">
        <v>1644</v>
      </c>
      <c r="G353" s="116">
        <v>2</v>
      </c>
      <c r="H353" s="108">
        <v>0</v>
      </c>
    </row>
    <row r="354" spans="1:8" x14ac:dyDescent="0.2">
      <c r="A354" s="117" t="s">
        <v>171</v>
      </c>
      <c r="B354" s="117"/>
      <c r="C354" s="117" t="s">
        <v>3153</v>
      </c>
      <c r="D354" s="304" t="s">
        <v>1287</v>
      </c>
      <c r="E354" s="305"/>
      <c r="F354" s="117" t="s">
        <v>1644</v>
      </c>
      <c r="G354" s="116">
        <v>1</v>
      </c>
      <c r="H354" s="108">
        <v>0</v>
      </c>
    </row>
    <row r="355" spans="1:8" x14ac:dyDescent="0.2">
      <c r="A355" s="117" t="s">
        <v>172</v>
      </c>
      <c r="B355" s="117"/>
      <c r="C355" s="117" t="s">
        <v>3152</v>
      </c>
      <c r="D355" s="304" t="s">
        <v>1288</v>
      </c>
      <c r="E355" s="305"/>
      <c r="F355" s="117" t="s">
        <v>1644</v>
      </c>
      <c r="G355" s="116">
        <v>1</v>
      </c>
      <c r="H355" s="108">
        <v>0</v>
      </c>
    </row>
    <row r="356" spans="1:8" x14ac:dyDescent="0.2">
      <c r="A356" s="117" t="s">
        <v>173</v>
      </c>
      <c r="B356" s="117"/>
      <c r="C356" s="117" t="s">
        <v>3151</v>
      </c>
      <c r="D356" s="304" t="s">
        <v>1289</v>
      </c>
      <c r="E356" s="305"/>
      <c r="F356" s="117" t="s">
        <v>1644</v>
      </c>
      <c r="G356" s="116">
        <v>3</v>
      </c>
      <c r="H356" s="108">
        <v>0</v>
      </c>
    </row>
    <row r="357" spans="1:8" x14ac:dyDescent="0.2">
      <c r="A357" s="117" t="s">
        <v>174</v>
      </c>
      <c r="B357" s="117"/>
      <c r="C357" s="117" t="s">
        <v>3150</v>
      </c>
      <c r="D357" s="304" t="s">
        <v>1290</v>
      </c>
      <c r="E357" s="305"/>
      <c r="F357" s="117" t="s">
        <v>1644</v>
      </c>
      <c r="G357" s="116">
        <v>2</v>
      </c>
      <c r="H357" s="108">
        <v>0</v>
      </c>
    </row>
    <row r="358" spans="1:8" x14ac:dyDescent="0.2">
      <c r="A358" s="117" t="s">
        <v>175</v>
      </c>
      <c r="B358" s="117"/>
      <c r="C358" s="117" t="s">
        <v>3149</v>
      </c>
      <c r="D358" s="304" t="s">
        <v>1291</v>
      </c>
      <c r="E358" s="305"/>
      <c r="F358" s="117" t="s">
        <v>1644</v>
      </c>
      <c r="G358" s="116">
        <v>2</v>
      </c>
      <c r="H358" s="108">
        <v>0</v>
      </c>
    </row>
    <row r="359" spans="1:8" x14ac:dyDescent="0.2">
      <c r="A359" s="117" t="s">
        <v>176</v>
      </c>
      <c r="B359" s="117"/>
      <c r="C359" s="117" t="s">
        <v>3148</v>
      </c>
      <c r="D359" s="304" t="s">
        <v>1292</v>
      </c>
      <c r="E359" s="305"/>
      <c r="F359" s="117" t="s">
        <v>1644</v>
      </c>
      <c r="G359" s="116">
        <v>1</v>
      </c>
      <c r="H359" s="108">
        <v>0</v>
      </c>
    </row>
    <row r="360" spans="1:8" x14ac:dyDescent="0.2">
      <c r="A360" s="117" t="s">
        <v>177</v>
      </c>
      <c r="B360" s="117"/>
      <c r="C360" s="117" t="s">
        <v>3147</v>
      </c>
      <c r="D360" s="304" t="s">
        <v>1293</v>
      </c>
      <c r="E360" s="305"/>
      <c r="F360" s="117" t="s">
        <v>1644</v>
      </c>
      <c r="G360" s="116">
        <v>1</v>
      </c>
      <c r="H360" s="108">
        <v>0</v>
      </c>
    </row>
    <row r="361" spans="1:8" x14ac:dyDescent="0.2">
      <c r="A361" s="117" t="s">
        <v>178</v>
      </c>
      <c r="B361" s="117"/>
      <c r="C361" s="117" t="s">
        <v>3146</v>
      </c>
      <c r="D361" s="304" t="s">
        <v>1294</v>
      </c>
      <c r="E361" s="305"/>
      <c r="F361" s="117" t="s">
        <v>1644</v>
      </c>
      <c r="G361" s="116">
        <v>1</v>
      </c>
      <c r="H361" s="108">
        <v>0</v>
      </c>
    </row>
    <row r="362" spans="1:8" x14ac:dyDescent="0.2">
      <c r="A362" s="117" t="s">
        <v>179</v>
      </c>
      <c r="B362" s="117"/>
      <c r="C362" s="117" t="s">
        <v>3145</v>
      </c>
      <c r="D362" s="304" t="s">
        <v>1295</v>
      </c>
      <c r="E362" s="305"/>
      <c r="F362" s="117" t="s">
        <v>1644</v>
      </c>
      <c r="G362" s="116">
        <v>1</v>
      </c>
      <c r="H362" s="108">
        <v>0</v>
      </c>
    </row>
    <row r="363" spans="1:8" x14ac:dyDescent="0.2">
      <c r="A363" s="117" t="s">
        <v>180</v>
      </c>
      <c r="B363" s="117"/>
      <c r="C363" s="117" t="s">
        <v>3144</v>
      </c>
      <c r="D363" s="304" t="s">
        <v>1296</v>
      </c>
      <c r="E363" s="305"/>
      <c r="F363" s="117" t="s">
        <v>1644</v>
      </c>
      <c r="G363" s="116">
        <v>2</v>
      </c>
      <c r="H363" s="108">
        <v>0</v>
      </c>
    </row>
    <row r="364" spans="1:8" x14ac:dyDescent="0.2">
      <c r="A364" s="117" t="s">
        <v>181</v>
      </c>
      <c r="B364" s="117"/>
      <c r="C364" s="117" t="s">
        <v>3143</v>
      </c>
      <c r="D364" s="304" t="s">
        <v>1297</v>
      </c>
      <c r="E364" s="305"/>
      <c r="F364" s="117" t="s">
        <v>1644</v>
      </c>
      <c r="G364" s="116">
        <v>2</v>
      </c>
      <c r="H364" s="108">
        <v>0</v>
      </c>
    </row>
    <row r="365" spans="1:8" x14ac:dyDescent="0.2">
      <c r="A365" s="117" t="s">
        <v>182</v>
      </c>
      <c r="B365" s="117"/>
      <c r="C365" s="117" t="s">
        <v>3142</v>
      </c>
      <c r="D365" s="304" t="s">
        <v>1298</v>
      </c>
      <c r="E365" s="305"/>
      <c r="F365" s="117" t="s">
        <v>1644</v>
      </c>
      <c r="G365" s="116">
        <v>1</v>
      </c>
      <c r="H365" s="108">
        <v>0</v>
      </c>
    </row>
    <row r="366" spans="1:8" x14ac:dyDescent="0.2">
      <c r="A366" s="117" t="s">
        <v>183</v>
      </c>
      <c r="B366" s="117"/>
      <c r="C366" s="117" t="s">
        <v>3141</v>
      </c>
      <c r="D366" s="304" t="s">
        <v>1299</v>
      </c>
      <c r="E366" s="305"/>
      <c r="F366" s="117" t="s">
        <v>1646</v>
      </c>
      <c r="G366" s="116">
        <v>8</v>
      </c>
      <c r="H366" s="108">
        <v>0</v>
      </c>
    </row>
    <row r="367" spans="1:8" x14ac:dyDescent="0.2">
      <c r="A367" s="117" t="s">
        <v>184</v>
      </c>
      <c r="B367" s="117"/>
      <c r="C367" s="117" t="s">
        <v>3140</v>
      </c>
      <c r="D367" s="304" t="s">
        <v>1300</v>
      </c>
      <c r="E367" s="305"/>
      <c r="F367" s="117" t="s">
        <v>1646</v>
      </c>
      <c r="G367" s="116">
        <v>18</v>
      </c>
      <c r="H367" s="108">
        <v>0</v>
      </c>
    </row>
    <row r="368" spans="1:8" x14ac:dyDescent="0.2">
      <c r="A368" s="117" t="s">
        <v>185</v>
      </c>
      <c r="B368" s="117"/>
      <c r="C368" s="117" t="s">
        <v>3139</v>
      </c>
      <c r="D368" s="304" t="s">
        <v>1301</v>
      </c>
      <c r="E368" s="305"/>
      <c r="F368" s="117" t="s">
        <v>1646</v>
      </c>
      <c r="G368" s="116">
        <v>8</v>
      </c>
      <c r="H368" s="108">
        <v>0</v>
      </c>
    </row>
    <row r="369" spans="1:8" x14ac:dyDescent="0.2">
      <c r="A369" s="117" t="s">
        <v>186</v>
      </c>
      <c r="B369" s="117"/>
      <c r="C369" s="117" t="s">
        <v>3138</v>
      </c>
      <c r="D369" s="304" t="s">
        <v>1302</v>
      </c>
      <c r="E369" s="305"/>
      <c r="F369" s="117" t="s">
        <v>1644</v>
      </c>
      <c r="G369" s="116">
        <v>1</v>
      </c>
      <c r="H369" s="108">
        <v>0</v>
      </c>
    </row>
    <row r="370" spans="1:8" x14ac:dyDescent="0.2">
      <c r="A370" s="117" t="s">
        <v>187</v>
      </c>
      <c r="B370" s="117"/>
      <c r="C370" s="117" t="s">
        <v>3137</v>
      </c>
      <c r="D370" s="304" t="s">
        <v>1303</v>
      </c>
      <c r="E370" s="305"/>
      <c r="F370" s="117" t="s">
        <v>1644</v>
      </c>
      <c r="G370" s="116">
        <v>1</v>
      </c>
      <c r="H370" s="108">
        <v>0</v>
      </c>
    </row>
    <row r="371" spans="1:8" x14ac:dyDescent="0.2">
      <c r="A371" s="117" t="s">
        <v>188</v>
      </c>
      <c r="B371" s="117"/>
      <c r="C371" s="117" t="s">
        <v>3136</v>
      </c>
      <c r="D371" s="304" t="s">
        <v>1304</v>
      </c>
      <c r="E371" s="305"/>
      <c r="F371" s="117" t="s">
        <v>1644</v>
      </c>
      <c r="G371" s="116">
        <v>1</v>
      </c>
      <c r="H371" s="108">
        <v>0</v>
      </c>
    </row>
    <row r="372" spans="1:8" x14ac:dyDescent="0.2">
      <c r="A372" s="117" t="s">
        <v>189</v>
      </c>
      <c r="B372" s="117"/>
      <c r="C372" s="117" t="s">
        <v>3135</v>
      </c>
      <c r="D372" s="304" t="s">
        <v>1305</v>
      </c>
      <c r="E372" s="305"/>
      <c r="F372" s="117" t="s">
        <v>1644</v>
      </c>
      <c r="G372" s="116">
        <v>1</v>
      </c>
      <c r="H372" s="108">
        <v>0</v>
      </c>
    </row>
    <row r="373" spans="1:8" x14ac:dyDescent="0.2">
      <c r="A373" s="117" t="s">
        <v>190</v>
      </c>
      <c r="B373" s="117"/>
      <c r="C373" s="117" t="s">
        <v>3134</v>
      </c>
      <c r="D373" s="304" t="s">
        <v>1306</v>
      </c>
      <c r="E373" s="305"/>
      <c r="F373" s="117" t="s">
        <v>1646</v>
      </c>
      <c r="G373" s="116">
        <v>15</v>
      </c>
      <c r="H373" s="108">
        <v>0</v>
      </c>
    </row>
    <row r="374" spans="1:8" x14ac:dyDescent="0.2">
      <c r="A374" s="117" t="s">
        <v>191</v>
      </c>
      <c r="B374" s="117"/>
      <c r="C374" s="117" t="s">
        <v>3133</v>
      </c>
      <c r="D374" s="304" t="s">
        <v>1286</v>
      </c>
      <c r="E374" s="305"/>
      <c r="F374" s="117" t="s">
        <v>1644</v>
      </c>
      <c r="G374" s="116">
        <v>2</v>
      </c>
      <c r="H374" s="108">
        <v>0</v>
      </c>
    </row>
    <row r="375" spans="1:8" x14ac:dyDescent="0.2">
      <c r="A375" s="117" t="s">
        <v>192</v>
      </c>
      <c r="B375" s="117"/>
      <c r="C375" s="117" t="s">
        <v>3132</v>
      </c>
      <c r="D375" s="304" t="s">
        <v>1307</v>
      </c>
      <c r="E375" s="305"/>
      <c r="F375" s="117" t="s">
        <v>1644</v>
      </c>
      <c r="G375" s="116">
        <v>1</v>
      </c>
      <c r="H375" s="108">
        <v>0</v>
      </c>
    </row>
    <row r="376" spans="1:8" x14ac:dyDescent="0.2">
      <c r="A376" s="117" t="s">
        <v>193</v>
      </c>
      <c r="B376" s="117"/>
      <c r="C376" s="117" t="s">
        <v>3131</v>
      </c>
      <c r="D376" s="304" t="s">
        <v>1308</v>
      </c>
      <c r="E376" s="305"/>
      <c r="F376" s="117" t="s">
        <v>1644</v>
      </c>
      <c r="G376" s="116">
        <v>1</v>
      </c>
      <c r="H376" s="108">
        <v>0</v>
      </c>
    </row>
    <row r="377" spans="1:8" x14ac:dyDescent="0.2">
      <c r="A377" s="117" t="s">
        <v>194</v>
      </c>
      <c r="B377" s="117"/>
      <c r="C377" s="117" t="s">
        <v>3130</v>
      </c>
      <c r="D377" s="304" t="s">
        <v>1309</v>
      </c>
      <c r="E377" s="305"/>
      <c r="F377" s="117" t="s">
        <v>1644</v>
      </c>
      <c r="G377" s="116">
        <v>1</v>
      </c>
      <c r="H377" s="108">
        <v>0</v>
      </c>
    </row>
    <row r="378" spans="1:8" x14ac:dyDescent="0.2">
      <c r="A378" s="117" t="s">
        <v>195</v>
      </c>
      <c r="B378" s="117"/>
      <c r="C378" s="117" t="s">
        <v>3129</v>
      </c>
      <c r="D378" s="304" t="s">
        <v>1310</v>
      </c>
      <c r="E378" s="305"/>
      <c r="F378" s="117" t="s">
        <v>1644</v>
      </c>
      <c r="G378" s="116">
        <v>1</v>
      </c>
      <c r="H378" s="108">
        <v>0</v>
      </c>
    </row>
    <row r="379" spans="1:8" x14ac:dyDescent="0.2">
      <c r="A379" s="117" t="s">
        <v>196</v>
      </c>
      <c r="B379" s="117"/>
      <c r="C379" s="117" t="s">
        <v>3128</v>
      </c>
      <c r="D379" s="304" t="s">
        <v>1311</v>
      </c>
      <c r="E379" s="305"/>
      <c r="F379" s="117" t="s">
        <v>1644</v>
      </c>
      <c r="G379" s="116">
        <v>1</v>
      </c>
      <c r="H379" s="108">
        <v>0</v>
      </c>
    </row>
    <row r="380" spans="1:8" x14ac:dyDescent="0.2">
      <c r="A380" s="117" t="s">
        <v>197</v>
      </c>
      <c r="B380" s="117"/>
      <c r="C380" s="117" t="s">
        <v>3127</v>
      </c>
      <c r="D380" s="304" t="s">
        <v>1312</v>
      </c>
      <c r="E380" s="305"/>
      <c r="F380" s="117" t="s">
        <v>1644</v>
      </c>
      <c r="G380" s="116">
        <v>2</v>
      </c>
      <c r="H380" s="108">
        <v>0</v>
      </c>
    </row>
    <row r="381" spans="1:8" x14ac:dyDescent="0.2">
      <c r="A381" s="117" t="s">
        <v>198</v>
      </c>
      <c r="B381" s="117"/>
      <c r="C381" s="117" t="s">
        <v>3126</v>
      </c>
      <c r="D381" s="304" t="s">
        <v>1313</v>
      </c>
      <c r="E381" s="305"/>
      <c r="F381" s="117" t="s">
        <v>1644</v>
      </c>
      <c r="G381" s="116">
        <v>2</v>
      </c>
      <c r="H381" s="108">
        <v>0</v>
      </c>
    </row>
    <row r="382" spans="1:8" x14ac:dyDescent="0.2">
      <c r="A382" s="117" t="s">
        <v>199</v>
      </c>
      <c r="B382" s="117"/>
      <c r="C382" s="117" t="s">
        <v>3125</v>
      </c>
      <c r="D382" s="304" t="s">
        <v>1314</v>
      </c>
      <c r="E382" s="305"/>
      <c r="F382" s="117" t="s">
        <v>1644</v>
      </c>
      <c r="G382" s="116">
        <v>1</v>
      </c>
      <c r="H382" s="108">
        <v>0</v>
      </c>
    </row>
    <row r="383" spans="1:8" x14ac:dyDescent="0.2">
      <c r="A383" s="117" t="s">
        <v>200</v>
      </c>
      <c r="B383" s="117"/>
      <c r="C383" s="117" t="s">
        <v>3124</v>
      </c>
      <c r="D383" s="304" t="s">
        <v>1315</v>
      </c>
      <c r="E383" s="305"/>
      <c r="F383" s="117" t="s">
        <v>1644</v>
      </c>
      <c r="G383" s="116">
        <v>1</v>
      </c>
      <c r="H383" s="108">
        <v>0</v>
      </c>
    </row>
    <row r="384" spans="1:8" x14ac:dyDescent="0.2">
      <c r="A384" s="117" t="s">
        <v>201</v>
      </c>
      <c r="B384" s="117"/>
      <c r="C384" s="117" t="s">
        <v>3123</v>
      </c>
      <c r="D384" s="304" t="s">
        <v>1316</v>
      </c>
      <c r="E384" s="305"/>
      <c r="F384" s="117" t="s">
        <v>1644</v>
      </c>
      <c r="G384" s="116">
        <v>2</v>
      </c>
      <c r="H384" s="108">
        <v>0</v>
      </c>
    </row>
    <row r="385" spans="1:8" x14ac:dyDescent="0.2">
      <c r="A385" s="117" t="s">
        <v>202</v>
      </c>
      <c r="B385" s="117"/>
      <c r="C385" s="117" t="s">
        <v>3122</v>
      </c>
      <c r="D385" s="304" t="s">
        <v>1317</v>
      </c>
      <c r="E385" s="305"/>
      <c r="F385" s="117" t="s">
        <v>1644</v>
      </c>
      <c r="G385" s="116">
        <v>1</v>
      </c>
      <c r="H385" s="108">
        <v>0</v>
      </c>
    </row>
    <row r="386" spans="1:8" x14ac:dyDescent="0.2">
      <c r="A386" s="117" t="s">
        <v>203</v>
      </c>
      <c r="B386" s="117"/>
      <c r="C386" s="117" t="s">
        <v>3121</v>
      </c>
      <c r="D386" s="304" t="s">
        <v>1318</v>
      </c>
      <c r="E386" s="305"/>
      <c r="F386" s="117" t="s">
        <v>1644</v>
      </c>
      <c r="G386" s="116">
        <v>2</v>
      </c>
      <c r="H386" s="108">
        <v>0</v>
      </c>
    </row>
    <row r="387" spans="1:8" x14ac:dyDescent="0.2">
      <c r="A387" s="117" t="s">
        <v>204</v>
      </c>
      <c r="B387" s="117"/>
      <c r="C387" s="117" t="s">
        <v>3120</v>
      </c>
      <c r="D387" s="304" t="s">
        <v>1319</v>
      </c>
      <c r="E387" s="305"/>
      <c r="F387" s="117" t="s">
        <v>1644</v>
      </c>
      <c r="G387" s="116">
        <v>6</v>
      </c>
      <c r="H387" s="108">
        <v>0</v>
      </c>
    </row>
    <row r="388" spans="1:8" x14ac:dyDescent="0.2">
      <c r="A388" s="117" t="s">
        <v>205</v>
      </c>
      <c r="B388" s="117"/>
      <c r="C388" s="117" t="s">
        <v>3119</v>
      </c>
      <c r="D388" s="304" t="s">
        <v>1320</v>
      </c>
      <c r="E388" s="305"/>
      <c r="F388" s="117" t="s">
        <v>1644</v>
      </c>
      <c r="G388" s="116">
        <v>14</v>
      </c>
      <c r="H388" s="108">
        <v>0</v>
      </c>
    </row>
    <row r="389" spans="1:8" x14ac:dyDescent="0.2">
      <c r="A389" s="117" t="s">
        <v>206</v>
      </c>
      <c r="B389" s="117"/>
      <c r="C389" s="117" t="s">
        <v>3118</v>
      </c>
      <c r="D389" s="304" t="s">
        <v>1321</v>
      </c>
      <c r="E389" s="305"/>
      <c r="F389" s="117" t="s">
        <v>1644</v>
      </c>
      <c r="G389" s="116">
        <v>1</v>
      </c>
      <c r="H389" s="108">
        <v>0</v>
      </c>
    </row>
    <row r="390" spans="1:8" x14ac:dyDescent="0.2">
      <c r="A390" s="117" t="s">
        <v>207</v>
      </c>
      <c r="B390" s="117"/>
      <c r="C390" s="117" t="s">
        <v>3117</v>
      </c>
      <c r="D390" s="304" t="s">
        <v>1322</v>
      </c>
      <c r="E390" s="305"/>
      <c r="F390" s="117" t="s">
        <v>1644</v>
      </c>
      <c r="G390" s="116">
        <v>2</v>
      </c>
      <c r="H390" s="108">
        <v>0</v>
      </c>
    </row>
    <row r="391" spans="1:8" x14ac:dyDescent="0.2">
      <c r="A391" s="117" t="s">
        <v>208</v>
      </c>
      <c r="B391" s="117"/>
      <c r="C391" s="117" t="s">
        <v>3116</v>
      </c>
      <c r="D391" s="304" t="s">
        <v>1323</v>
      </c>
      <c r="E391" s="305"/>
      <c r="F391" s="117" t="s">
        <v>1644</v>
      </c>
      <c r="G391" s="116">
        <v>1</v>
      </c>
      <c r="H391" s="108">
        <v>0</v>
      </c>
    </row>
    <row r="392" spans="1:8" x14ac:dyDescent="0.2">
      <c r="A392" s="117" t="s">
        <v>209</v>
      </c>
      <c r="B392" s="117"/>
      <c r="C392" s="117" t="s">
        <v>3115</v>
      </c>
      <c r="D392" s="304" t="s">
        <v>1324</v>
      </c>
      <c r="E392" s="305"/>
      <c r="F392" s="117" t="s">
        <v>1644</v>
      </c>
      <c r="G392" s="116">
        <v>2</v>
      </c>
      <c r="H392" s="108">
        <v>0</v>
      </c>
    </row>
    <row r="393" spans="1:8" x14ac:dyDescent="0.2">
      <c r="A393" s="117" t="s">
        <v>210</v>
      </c>
      <c r="B393" s="117"/>
      <c r="C393" s="117" t="s">
        <v>3114</v>
      </c>
      <c r="D393" s="304" t="s">
        <v>1325</v>
      </c>
      <c r="E393" s="305"/>
      <c r="F393" s="117" t="s">
        <v>1644</v>
      </c>
      <c r="G393" s="116">
        <v>1</v>
      </c>
      <c r="H393" s="108">
        <v>0</v>
      </c>
    </row>
    <row r="394" spans="1:8" x14ac:dyDescent="0.2">
      <c r="A394" s="117" t="s">
        <v>211</v>
      </c>
      <c r="B394" s="117"/>
      <c r="C394" s="117" t="s">
        <v>3113</v>
      </c>
      <c r="D394" s="304" t="s">
        <v>1297</v>
      </c>
      <c r="E394" s="305"/>
      <c r="F394" s="117" t="s">
        <v>1644</v>
      </c>
      <c r="G394" s="116">
        <v>8</v>
      </c>
      <c r="H394" s="108">
        <v>0</v>
      </c>
    </row>
    <row r="395" spans="1:8" x14ac:dyDescent="0.2">
      <c r="A395" s="117" t="s">
        <v>212</v>
      </c>
      <c r="B395" s="117"/>
      <c r="C395" s="117" t="s">
        <v>3112</v>
      </c>
      <c r="D395" s="304" t="s">
        <v>1326</v>
      </c>
      <c r="E395" s="305"/>
      <c r="F395" s="117" t="s">
        <v>1644</v>
      </c>
      <c r="G395" s="116">
        <v>8</v>
      </c>
      <c r="H395" s="108">
        <v>0</v>
      </c>
    </row>
    <row r="396" spans="1:8" x14ac:dyDescent="0.2">
      <c r="A396" s="117" t="s">
        <v>213</v>
      </c>
      <c r="B396" s="117"/>
      <c r="C396" s="117" t="s">
        <v>3111</v>
      </c>
      <c r="D396" s="304" t="s">
        <v>1327</v>
      </c>
      <c r="E396" s="305"/>
      <c r="F396" s="117" t="s">
        <v>1644</v>
      </c>
      <c r="G396" s="116">
        <v>6</v>
      </c>
      <c r="H396" s="108">
        <v>0</v>
      </c>
    </row>
    <row r="397" spans="1:8" x14ac:dyDescent="0.2">
      <c r="A397" s="117" t="s">
        <v>214</v>
      </c>
      <c r="B397" s="117"/>
      <c r="C397" s="117" t="s">
        <v>3110</v>
      </c>
      <c r="D397" s="304" t="s">
        <v>1294</v>
      </c>
      <c r="E397" s="305"/>
      <c r="F397" s="117" t="s">
        <v>1644</v>
      </c>
      <c r="G397" s="116">
        <v>2</v>
      </c>
      <c r="H397" s="108">
        <v>0</v>
      </c>
    </row>
    <row r="398" spans="1:8" x14ac:dyDescent="0.2">
      <c r="A398" s="117" t="s">
        <v>215</v>
      </c>
      <c r="B398" s="117"/>
      <c r="C398" s="117" t="s">
        <v>3109</v>
      </c>
      <c r="D398" s="304" t="s">
        <v>1295</v>
      </c>
      <c r="E398" s="305"/>
      <c r="F398" s="117" t="s">
        <v>1644</v>
      </c>
      <c r="G398" s="116">
        <v>2</v>
      </c>
      <c r="H398" s="108">
        <v>0</v>
      </c>
    </row>
    <row r="399" spans="1:8" x14ac:dyDescent="0.2">
      <c r="A399" s="117" t="s">
        <v>216</v>
      </c>
      <c r="B399" s="117"/>
      <c r="C399" s="117" t="s">
        <v>3108</v>
      </c>
      <c r="D399" s="304" t="s">
        <v>1328</v>
      </c>
      <c r="E399" s="305"/>
      <c r="F399" s="117" t="s">
        <v>1644</v>
      </c>
      <c r="G399" s="116">
        <v>22</v>
      </c>
      <c r="H399" s="108">
        <v>0</v>
      </c>
    </row>
    <row r="400" spans="1:8" x14ac:dyDescent="0.2">
      <c r="A400" s="117" t="s">
        <v>217</v>
      </c>
      <c r="B400" s="117"/>
      <c r="C400" s="117" t="s">
        <v>3107</v>
      </c>
      <c r="D400" s="304" t="s">
        <v>1329</v>
      </c>
      <c r="E400" s="305"/>
      <c r="F400" s="117" t="s">
        <v>1644</v>
      </c>
      <c r="G400" s="116">
        <v>1</v>
      </c>
      <c r="H400" s="108">
        <v>0</v>
      </c>
    </row>
    <row r="401" spans="1:8" x14ac:dyDescent="0.2">
      <c r="A401" s="117" t="s">
        <v>218</v>
      </c>
      <c r="B401" s="117"/>
      <c r="C401" s="117" t="s">
        <v>3106</v>
      </c>
      <c r="D401" s="304" t="s">
        <v>1330</v>
      </c>
      <c r="E401" s="305"/>
      <c r="F401" s="117" t="s">
        <v>1646</v>
      </c>
      <c r="G401" s="116">
        <v>44</v>
      </c>
      <c r="H401" s="108">
        <v>0</v>
      </c>
    </row>
    <row r="402" spans="1:8" x14ac:dyDescent="0.2">
      <c r="A402" s="117" t="s">
        <v>219</v>
      </c>
      <c r="B402" s="117"/>
      <c r="C402" s="117" t="s">
        <v>3105</v>
      </c>
      <c r="D402" s="304" t="s">
        <v>1331</v>
      </c>
      <c r="E402" s="305"/>
      <c r="F402" s="117" t="s">
        <v>1646</v>
      </c>
      <c r="G402" s="116">
        <v>16</v>
      </c>
      <c r="H402" s="108">
        <v>0</v>
      </c>
    </row>
    <row r="403" spans="1:8" x14ac:dyDescent="0.2">
      <c r="A403" s="117" t="s">
        <v>220</v>
      </c>
      <c r="B403" s="117"/>
      <c r="C403" s="117" t="s">
        <v>3104</v>
      </c>
      <c r="D403" s="304" t="s">
        <v>1332</v>
      </c>
      <c r="E403" s="305"/>
      <c r="F403" s="117" t="s">
        <v>1646</v>
      </c>
      <c r="G403" s="116">
        <v>4</v>
      </c>
      <c r="H403" s="108">
        <v>0</v>
      </c>
    </row>
    <row r="404" spans="1:8" x14ac:dyDescent="0.2">
      <c r="A404" s="117" t="s">
        <v>221</v>
      </c>
      <c r="B404" s="117"/>
      <c r="C404" s="117" t="s">
        <v>3103</v>
      </c>
      <c r="D404" s="304" t="s">
        <v>1333</v>
      </c>
      <c r="E404" s="305"/>
      <c r="F404" s="117" t="s">
        <v>1646</v>
      </c>
      <c r="G404" s="116">
        <v>44</v>
      </c>
      <c r="H404" s="108">
        <v>0</v>
      </c>
    </row>
    <row r="405" spans="1:8" x14ac:dyDescent="0.2">
      <c r="A405" s="117" t="s">
        <v>222</v>
      </c>
      <c r="B405" s="117"/>
      <c r="C405" s="117" t="s">
        <v>3102</v>
      </c>
      <c r="D405" s="304" t="s">
        <v>1334</v>
      </c>
      <c r="E405" s="305"/>
      <c r="F405" s="117" t="s">
        <v>1646</v>
      </c>
      <c r="G405" s="116">
        <v>16</v>
      </c>
      <c r="H405" s="108">
        <v>0</v>
      </c>
    </row>
    <row r="406" spans="1:8" x14ac:dyDescent="0.2">
      <c r="A406" s="117" t="s">
        <v>223</v>
      </c>
      <c r="B406" s="117"/>
      <c r="C406" s="117" t="s">
        <v>3101</v>
      </c>
      <c r="D406" s="304" t="s">
        <v>1335</v>
      </c>
      <c r="E406" s="305"/>
      <c r="F406" s="117" t="s">
        <v>1645</v>
      </c>
      <c r="G406" s="116">
        <v>3.5</v>
      </c>
      <c r="H406" s="108">
        <v>0</v>
      </c>
    </row>
    <row r="407" spans="1:8" x14ac:dyDescent="0.2">
      <c r="A407" s="117" t="s">
        <v>224</v>
      </c>
      <c r="B407" s="117"/>
      <c r="C407" s="117" t="s">
        <v>3100</v>
      </c>
      <c r="D407" s="304" t="s">
        <v>3099</v>
      </c>
      <c r="E407" s="305"/>
      <c r="F407" s="117" t="s">
        <v>1644</v>
      </c>
      <c r="G407" s="116">
        <v>1</v>
      </c>
      <c r="H407" s="108">
        <v>0</v>
      </c>
    </row>
    <row r="408" spans="1:8" x14ac:dyDescent="0.2">
      <c r="A408" s="117" t="s">
        <v>225</v>
      </c>
      <c r="B408" s="117"/>
      <c r="C408" s="117" t="s">
        <v>3098</v>
      </c>
      <c r="D408" s="304" t="s">
        <v>1336</v>
      </c>
      <c r="E408" s="305"/>
      <c r="F408" s="117" t="s">
        <v>1644</v>
      </c>
      <c r="G408" s="116">
        <v>2</v>
      </c>
      <c r="H408" s="108">
        <v>0</v>
      </c>
    </row>
    <row r="409" spans="1:8" x14ac:dyDescent="0.2">
      <c r="A409" s="117" t="s">
        <v>226</v>
      </c>
      <c r="B409" s="117"/>
      <c r="C409" s="117" t="s">
        <v>3097</v>
      </c>
      <c r="D409" s="304" t="s">
        <v>1337</v>
      </c>
      <c r="E409" s="305"/>
      <c r="F409" s="117" t="s">
        <v>1644</v>
      </c>
      <c r="G409" s="116">
        <v>1</v>
      </c>
      <c r="H409" s="108">
        <v>0</v>
      </c>
    </row>
    <row r="410" spans="1:8" x14ac:dyDescent="0.2">
      <c r="A410" s="117" t="s">
        <v>227</v>
      </c>
      <c r="B410" s="117"/>
      <c r="C410" s="117" t="s">
        <v>3096</v>
      </c>
      <c r="D410" s="304" t="s">
        <v>1338</v>
      </c>
      <c r="E410" s="305"/>
      <c r="F410" s="117" t="s">
        <v>1644</v>
      </c>
      <c r="G410" s="116">
        <v>1</v>
      </c>
      <c r="H410" s="108">
        <v>0</v>
      </c>
    </row>
    <row r="411" spans="1:8" x14ac:dyDescent="0.2">
      <c r="A411" s="117" t="s">
        <v>228</v>
      </c>
      <c r="B411" s="117"/>
      <c r="C411" s="117" t="s">
        <v>3095</v>
      </c>
      <c r="D411" s="304" t="s">
        <v>1339</v>
      </c>
      <c r="E411" s="305"/>
      <c r="F411" s="117" t="s">
        <v>1644</v>
      </c>
      <c r="G411" s="116">
        <v>1</v>
      </c>
      <c r="H411" s="108">
        <v>0</v>
      </c>
    </row>
    <row r="412" spans="1:8" x14ac:dyDescent="0.2">
      <c r="A412" s="117" t="s">
        <v>229</v>
      </c>
      <c r="B412" s="117"/>
      <c r="C412" s="117" t="s">
        <v>3094</v>
      </c>
      <c r="D412" s="304" t="s">
        <v>1341</v>
      </c>
      <c r="E412" s="305"/>
      <c r="F412" s="117" t="s">
        <v>1644</v>
      </c>
      <c r="G412" s="116">
        <v>1</v>
      </c>
      <c r="H412" s="108">
        <v>0</v>
      </c>
    </row>
    <row r="413" spans="1:8" x14ac:dyDescent="0.2">
      <c r="A413" s="117" t="s">
        <v>230</v>
      </c>
      <c r="B413" s="117"/>
      <c r="C413" s="117" t="s">
        <v>3093</v>
      </c>
      <c r="D413" s="304" t="s">
        <v>1342</v>
      </c>
      <c r="E413" s="305"/>
      <c r="F413" s="117" t="s">
        <v>1646</v>
      </c>
      <c r="G413" s="116">
        <v>5</v>
      </c>
      <c r="H413" s="108">
        <v>0</v>
      </c>
    </row>
    <row r="414" spans="1:8" x14ac:dyDescent="0.2">
      <c r="A414" s="117" t="s">
        <v>231</v>
      </c>
      <c r="B414" s="117"/>
      <c r="C414" s="117" t="s">
        <v>3092</v>
      </c>
      <c r="D414" s="304" t="s">
        <v>1343</v>
      </c>
      <c r="E414" s="305"/>
      <c r="F414" s="117" t="s">
        <v>1646</v>
      </c>
      <c r="G414" s="116">
        <v>9</v>
      </c>
      <c r="H414" s="108">
        <v>0</v>
      </c>
    </row>
    <row r="415" spans="1:8" x14ac:dyDescent="0.2">
      <c r="A415" s="117" t="s">
        <v>232</v>
      </c>
      <c r="B415" s="117"/>
      <c r="C415" s="117" t="s">
        <v>3091</v>
      </c>
      <c r="D415" s="304" t="s">
        <v>1344</v>
      </c>
      <c r="E415" s="305"/>
      <c r="F415" s="117" t="s">
        <v>1646</v>
      </c>
      <c r="G415" s="116">
        <v>20</v>
      </c>
      <c r="H415" s="108">
        <v>0</v>
      </c>
    </row>
    <row r="416" spans="1:8" x14ac:dyDescent="0.2">
      <c r="A416" s="117" t="s">
        <v>233</v>
      </c>
      <c r="B416" s="117"/>
      <c r="C416" s="117" t="s">
        <v>3090</v>
      </c>
      <c r="D416" s="304" t="s">
        <v>1345</v>
      </c>
      <c r="E416" s="305"/>
      <c r="F416" s="117" t="s">
        <v>1646</v>
      </c>
      <c r="G416" s="116">
        <v>20</v>
      </c>
      <c r="H416" s="108">
        <v>0</v>
      </c>
    </row>
    <row r="417" spans="1:8" x14ac:dyDescent="0.2">
      <c r="A417" s="117" t="s">
        <v>234</v>
      </c>
      <c r="B417" s="117"/>
      <c r="C417" s="117" t="s">
        <v>3089</v>
      </c>
      <c r="D417" s="304" t="s">
        <v>1346</v>
      </c>
      <c r="E417" s="305"/>
      <c r="F417" s="117" t="s">
        <v>1644</v>
      </c>
      <c r="G417" s="116">
        <v>1</v>
      </c>
      <c r="H417" s="108">
        <v>0</v>
      </c>
    </row>
    <row r="418" spans="1:8" x14ac:dyDescent="0.2">
      <c r="A418" s="117" t="s">
        <v>235</v>
      </c>
      <c r="B418" s="117"/>
      <c r="C418" s="117" t="s">
        <v>3088</v>
      </c>
      <c r="D418" s="304" t="s">
        <v>1253</v>
      </c>
      <c r="E418" s="305"/>
      <c r="F418" s="117" t="s">
        <v>1644</v>
      </c>
      <c r="G418" s="116">
        <v>1</v>
      </c>
      <c r="H418" s="108">
        <v>0</v>
      </c>
    </row>
    <row r="419" spans="1:8" x14ac:dyDescent="0.2">
      <c r="A419" s="117" t="s">
        <v>236</v>
      </c>
      <c r="B419" s="117"/>
      <c r="C419" s="117" t="s">
        <v>3087</v>
      </c>
      <c r="D419" s="304" t="s">
        <v>1347</v>
      </c>
      <c r="E419" s="305"/>
      <c r="F419" s="117" t="s">
        <v>1646</v>
      </c>
      <c r="G419" s="116">
        <v>82</v>
      </c>
      <c r="H419" s="108">
        <v>0</v>
      </c>
    </row>
    <row r="420" spans="1:8" x14ac:dyDescent="0.2">
      <c r="A420" s="117" t="s">
        <v>237</v>
      </c>
      <c r="B420" s="117"/>
      <c r="C420" s="117" t="s">
        <v>3086</v>
      </c>
      <c r="D420" s="304" t="s">
        <v>1348</v>
      </c>
      <c r="E420" s="305"/>
      <c r="F420" s="117" t="s">
        <v>1644</v>
      </c>
      <c r="G420" s="116">
        <v>1</v>
      </c>
      <c r="H420" s="108">
        <v>0</v>
      </c>
    </row>
    <row r="421" spans="1:8" x14ac:dyDescent="0.2">
      <c r="A421" s="117" t="s">
        <v>238</v>
      </c>
      <c r="B421" s="117"/>
      <c r="C421" s="117" t="s">
        <v>3085</v>
      </c>
      <c r="D421" s="304" t="s">
        <v>1349</v>
      </c>
      <c r="E421" s="305"/>
      <c r="F421" s="117" t="s">
        <v>1644</v>
      </c>
      <c r="G421" s="116">
        <v>2</v>
      </c>
      <c r="H421" s="108">
        <v>0</v>
      </c>
    </row>
    <row r="422" spans="1:8" x14ac:dyDescent="0.2">
      <c r="A422" s="117" t="s">
        <v>239</v>
      </c>
      <c r="B422" s="117"/>
      <c r="C422" s="117" t="s">
        <v>3084</v>
      </c>
      <c r="D422" s="304" t="s">
        <v>1350</v>
      </c>
      <c r="E422" s="305"/>
      <c r="F422" s="117" t="s">
        <v>1644</v>
      </c>
      <c r="G422" s="116">
        <v>1</v>
      </c>
      <c r="H422" s="108">
        <v>0</v>
      </c>
    </row>
    <row r="423" spans="1:8" x14ac:dyDescent="0.2">
      <c r="A423" s="117" t="s">
        <v>240</v>
      </c>
      <c r="B423" s="117"/>
      <c r="C423" s="117" t="s">
        <v>3083</v>
      </c>
      <c r="D423" s="304" t="s">
        <v>1351</v>
      </c>
      <c r="E423" s="305"/>
      <c r="F423" s="117" t="s">
        <v>1644</v>
      </c>
      <c r="G423" s="116">
        <v>1</v>
      </c>
      <c r="H423" s="108">
        <v>0</v>
      </c>
    </row>
    <row r="424" spans="1:8" x14ac:dyDescent="0.2">
      <c r="A424" s="117" t="s">
        <v>241</v>
      </c>
      <c r="B424" s="117"/>
      <c r="C424" s="117" t="s">
        <v>3082</v>
      </c>
      <c r="D424" s="304" t="s">
        <v>1352</v>
      </c>
      <c r="E424" s="305"/>
      <c r="F424" s="117" t="s">
        <v>1644</v>
      </c>
      <c r="G424" s="116">
        <v>16</v>
      </c>
      <c r="H424" s="108">
        <v>0</v>
      </c>
    </row>
    <row r="425" spans="1:8" x14ac:dyDescent="0.2">
      <c r="A425" s="117" t="s">
        <v>242</v>
      </c>
      <c r="B425" s="117"/>
      <c r="C425" s="117" t="s">
        <v>3081</v>
      </c>
      <c r="D425" s="304" t="s">
        <v>1353</v>
      </c>
      <c r="E425" s="305"/>
      <c r="F425" s="117" t="s">
        <v>1644</v>
      </c>
      <c r="G425" s="116">
        <v>1</v>
      </c>
      <c r="H425" s="108">
        <v>0</v>
      </c>
    </row>
    <row r="426" spans="1:8" x14ac:dyDescent="0.2">
      <c r="A426" s="117" t="s">
        <v>243</v>
      </c>
      <c r="B426" s="117"/>
      <c r="C426" s="117" t="s">
        <v>3080</v>
      </c>
      <c r="D426" s="304" t="s">
        <v>1354</v>
      </c>
      <c r="E426" s="305"/>
      <c r="F426" s="117" t="s">
        <v>1644</v>
      </c>
      <c r="G426" s="116">
        <v>1</v>
      </c>
      <c r="H426" s="108">
        <v>0</v>
      </c>
    </row>
    <row r="427" spans="1:8" x14ac:dyDescent="0.2">
      <c r="A427" s="120"/>
      <c r="B427" s="120"/>
      <c r="C427" s="120" t="s">
        <v>772</v>
      </c>
      <c r="D427" s="306" t="s">
        <v>1355</v>
      </c>
      <c r="E427" s="307"/>
      <c r="F427" s="120"/>
      <c r="G427" s="142"/>
      <c r="H427" s="109"/>
    </row>
    <row r="428" spans="1:8" x14ac:dyDescent="0.2">
      <c r="A428" s="117" t="s">
        <v>244</v>
      </c>
      <c r="B428" s="117"/>
      <c r="C428" s="117" t="s">
        <v>3079</v>
      </c>
      <c r="D428" s="304" t="s">
        <v>1356</v>
      </c>
      <c r="E428" s="305"/>
      <c r="F428" s="117" t="s">
        <v>1644</v>
      </c>
      <c r="G428" s="116">
        <v>1</v>
      </c>
      <c r="H428" s="108">
        <v>0</v>
      </c>
    </row>
    <row r="429" spans="1:8" x14ac:dyDescent="0.2">
      <c r="A429" s="117" t="s">
        <v>245</v>
      </c>
      <c r="B429" s="117"/>
      <c r="C429" s="117" t="s">
        <v>3078</v>
      </c>
      <c r="D429" s="304" t="s">
        <v>1357</v>
      </c>
      <c r="E429" s="305"/>
      <c r="F429" s="117" t="s">
        <v>1644</v>
      </c>
      <c r="G429" s="116">
        <v>1</v>
      </c>
      <c r="H429" s="108">
        <v>0</v>
      </c>
    </row>
    <row r="430" spans="1:8" x14ac:dyDescent="0.2">
      <c r="A430" s="117" t="s">
        <v>246</v>
      </c>
      <c r="B430" s="117"/>
      <c r="C430" s="117" t="s">
        <v>3077</v>
      </c>
      <c r="D430" s="304" t="s">
        <v>1358</v>
      </c>
      <c r="E430" s="305"/>
      <c r="F430" s="117" t="s">
        <v>1644</v>
      </c>
      <c r="G430" s="116">
        <v>1</v>
      </c>
      <c r="H430" s="108">
        <v>0</v>
      </c>
    </row>
    <row r="431" spans="1:8" x14ac:dyDescent="0.2">
      <c r="A431" s="117" t="s">
        <v>247</v>
      </c>
      <c r="B431" s="117"/>
      <c r="C431" s="117" t="s">
        <v>3076</v>
      </c>
      <c r="D431" s="304" t="s">
        <v>1359</v>
      </c>
      <c r="E431" s="305"/>
      <c r="F431" s="117" t="s">
        <v>1644</v>
      </c>
      <c r="G431" s="116">
        <v>1</v>
      </c>
      <c r="H431" s="108">
        <v>0</v>
      </c>
    </row>
    <row r="432" spans="1:8" x14ac:dyDescent="0.2">
      <c r="A432" s="117" t="s">
        <v>248</v>
      </c>
      <c r="B432" s="117"/>
      <c r="C432" s="117" t="s">
        <v>3075</v>
      </c>
      <c r="D432" s="304" t="s">
        <v>1360</v>
      </c>
      <c r="E432" s="305"/>
      <c r="F432" s="117" t="s">
        <v>1644</v>
      </c>
      <c r="G432" s="116">
        <v>1</v>
      </c>
      <c r="H432" s="108">
        <v>0</v>
      </c>
    </row>
    <row r="433" spans="1:8" x14ac:dyDescent="0.2">
      <c r="A433" s="117" t="s">
        <v>249</v>
      </c>
      <c r="B433" s="117"/>
      <c r="C433" s="117" t="s">
        <v>3074</v>
      </c>
      <c r="D433" s="304" t="s">
        <v>1361</v>
      </c>
      <c r="E433" s="305"/>
      <c r="F433" s="117" t="s">
        <v>1644</v>
      </c>
      <c r="G433" s="116">
        <v>1</v>
      </c>
      <c r="H433" s="108">
        <v>0</v>
      </c>
    </row>
    <row r="434" spans="1:8" x14ac:dyDescent="0.2">
      <c r="A434" s="117" t="s">
        <v>250</v>
      </c>
      <c r="B434" s="117"/>
      <c r="C434" s="117" t="s">
        <v>3073</v>
      </c>
      <c r="D434" s="304" t="s">
        <v>1362</v>
      </c>
      <c r="E434" s="305"/>
      <c r="F434" s="117" t="s">
        <v>1644</v>
      </c>
      <c r="G434" s="116">
        <v>1</v>
      </c>
      <c r="H434" s="108">
        <v>0</v>
      </c>
    </row>
    <row r="435" spans="1:8" x14ac:dyDescent="0.2">
      <c r="A435" s="117" t="s">
        <v>251</v>
      </c>
      <c r="B435" s="117"/>
      <c r="C435" s="117" t="s">
        <v>3072</v>
      </c>
      <c r="D435" s="304" t="s">
        <v>1363</v>
      </c>
      <c r="E435" s="305"/>
      <c r="F435" s="117" t="s">
        <v>1644</v>
      </c>
      <c r="G435" s="116">
        <v>1</v>
      </c>
      <c r="H435" s="108">
        <v>0</v>
      </c>
    </row>
    <row r="436" spans="1:8" x14ac:dyDescent="0.2">
      <c r="A436" s="117" t="s">
        <v>252</v>
      </c>
      <c r="B436" s="117"/>
      <c r="C436" s="117" t="s">
        <v>3071</v>
      </c>
      <c r="D436" s="304" t="s">
        <v>1364</v>
      </c>
      <c r="E436" s="305"/>
      <c r="F436" s="117" t="s">
        <v>1644</v>
      </c>
      <c r="G436" s="116">
        <v>2</v>
      </c>
      <c r="H436" s="108">
        <v>0</v>
      </c>
    </row>
    <row r="437" spans="1:8" x14ac:dyDescent="0.2">
      <c r="A437" s="117" t="s">
        <v>253</v>
      </c>
      <c r="B437" s="117"/>
      <c r="C437" s="117" t="s">
        <v>3070</v>
      </c>
      <c r="D437" s="304" t="s">
        <v>1365</v>
      </c>
      <c r="E437" s="305"/>
      <c r="F437" s="117" t="s">
        <v>1644</v>
      </c>
      <c r="G437" s="116">
        <v>1</v>
      </c>
      <c r="H437" s="108">
        <v>0</v>
      </c>
    </row>
    <row r="438" spans="1:8" x14ac:dyDescent="0.2">
      <c r="A438" s="117" t="s">
        <v>254</v>
      </c>
      <c r="B438" s="117"/>
      <c r="C438" s="117" t="s">
        <v>3069</v>
      </c>
      <c r="D438" s="304" t="s">
        <v>1366</v>
      </c>
      <c r="E438" s="305"/>
      <c r="F438" s="117" t="s">
        <v>1644</v>
      </c>
      <c r="G438" s="116">
        <v>1</v>
      </c>
      <c r="H438" s="108">
        <v>0</v>
      </c>
    </row>
    <row r="439" spans="1:8" x14ac:dyDescent="0.2">
      <c r="A439" s="117" t="s">
        <v>255</v>
      </c>
      <c r="B439" s="117"/>
      <c r="C439" s="117" t="s">
        <v>3068</v>
      </c>
      <c r="D439" s="304" t="s">
        <v>1367</v>
      </c>
      <c r="E439" s="305"/>
      <c r="F439" s="117" t="s">
        <v>1644</v>
      </c>
      <c r="G439" s="116">
        <v>1</v>
      </c>
      <c r="H439" s="108">
        <v>0</v>
      </c>
    </row>
    <row r="440" spans="1:8" x14ac:dyDescent="0.2">
      <c r="A440" s="117" t="s">
        <v>256</v>
      </c>
      <c r="B440" s="117"/>
      <c r="C440" s="117" t="s">
        <v>3067</v>
      </c>
      <c r="D440" s="304" t="s">
        <v>1368</v>
      </c>
      <c r="E440" s="305"/>
      <c r="F440" s="117" t="s">
        <v>1644</v>
      </c>
      <c r="G440" s="116">
        <v>5</v>
      </c>
      <c r="H440" s="108">
        <v>0</v>
      </c>
    </row>
    <row r="441" spans="1:8" x14ac:dyDescent="0.2">
      <c r="A441" s="117" t="s">
        <v>257</v>
      </c>
      <c r="B441" s="117"/>
      <c r="C441" s="117" t="s">
        <v>3066</v>
      </c>
      <c r="D441" s="304" t="s">
        <v>1369</v>
      </c>
      <c r="E441" s="305"/>
      <c r="F441" s="117" t="s">
        <v>1644</v>
      </c>
      <c r="G441" s="116">
        <v>2</v>
      </c>
      <c r="H441" s="108">
        <v>0</v>
      </c>
    </row>
    <row r="442" spans="1:8" x14ac:dyDescent="0.2">
      <c r="A442" s="117" t="s">
        <v>258</v>
      </c>
      <c r="B442" s="117"/>
      <c r="C442" s="117" t="s">
        <v>3065</v>
      </c>
      <c r="D442" s="304" t="s">
        <v>1326</v>
      </c>
      <c r="E442" s="305"/>
      <c r="F442" s="117" t="s">
        <v>1644</v>
      </c>
      <c r="G442" s="116">
        <v>1</v>
      </c>
      <c r="H442" s="108">
        <v>0</v>
      </c>
    </row>
    <row r="443" spans="1:8" x14ac:dyDescent="0.2">
      <c r="A443" s="117" t="s">
        <v>259</v>
      </c>
      <c r="B443" s="117"/>
      <c r="C443" s="117" t="s">
        <v>3064</v>
      </c>
      <c r="D443" s="304" t="s">
        <v>1327</v>
      </c>
      <c r="E443" s="305"/>
      <c r="F443" s="117" t="s">
        <v>1644</v>
      </c>
      <c r="G443" s="116">
        <v>1</v>
      </c>
      <c r="H443" s="108">
        <v>0</v>
      </c>
    </row>
    <row r="444" spans="1:8" x14ac:dyDescent="0.2">
      <c r="A444" s="117" t="s">
        <v>260</v>
      </c>
      <c r="B444" s="117"/>
      <c r="C444" s="117" t="s">
        <v>3063</v>
      </c>
      <c r="D444" s="304" t="s">
        <v>1372</v>
      </c>
      <c r="E444" s="305"/>
      <c r="F444" s="117" t="s">
        <v>1646</v>
      </c>
      <c r="G444" s="116">
        <v>12</v>
      </c>
      <c r="H444" s="108">
        <v>0</v>
      </c>
    </row>
    <row r="445" spans="1:8" x14ac:dyDescent="0.2">
      <c r="A445" s="117" t="s">
        <v>261</v>
      </c>
      <c r="B445" s="117"/>
      <c r="C445" s="117" t="s">
        <v>3062</v>
      </c>
      <c r="D445" s="304" t="s">
        <v>1373</v>
      </c>
      <c r="E445" s="305"/>
      <c r="F445" s="117" t="s">
        <v>1646</v>
      </c>
      <c r="G445" s="116">
        <v>4</v>
      </c>
      <c r="H445" s="108">
        <v>0</v>
      </c>
    </row>
    <row r="446" spans="1:8" x14ac:dyDescent="0.2">
      <c r="A446" s="117" t="s">
        <v>262</v>
      </c>
      <c r="B446" s="117"/>
      <c r="C446" s="117" t="s">
        <v>3061</v>
      </c>
      <c r="D446" s="304" t="s">
        <v>1374</v>
      </c>
      <c r="E446" s="305"/>
      <c r="F446" s="117" t="s">
        <v>1646</v>
      </c>
      <c r="G446" s="116">
        <v>4</v>
      </c>
      <c r="H446" s="108">
        <v>0</v>
      </c>
    </row>
    <row r="447" spans="1:8" x14ac:dyDescent="0.2">
      <c r="A447" s="117" t="s">
        <v>263</v>
      </c>
      <c r="B447" s="117"/>
      <c r="C447" s="117" t="s">
        <v>3060</v>
      </c>
      <c r="D447" s="304" t="s">
        <v>1375</v>
      </c>
      <c r="E447" s="305"/>
      <c r="F447" s="117" t="s">
        <v>1646</v>
      </c>
      <c r="G447" s="116">
        <v>4</v>
      </c>
      <c r="H447" s="108">
        <v>0</v>
      </c>
    </row>
    <row r="448" spans="1:8" x14ac:dyDescent="0.2">
      <c r="A448" s="117" t="s">
        <v>264</v>
      </c>
      <c r="B448" s="117"/>
      <c r="C448" s="117" t="s">
        <v>3059</v>
      </c>
      <c r="D448" s="304" t="s">
        <v>1376</v>
      </c>
      <c r="E448" s="305"/>
      <c r="F448" s="117" t="s">
        <v>1646</v>
      </c>
      <c r="G448" s="116">
        <v>8</v>
      </c>
      <c r="H448" s="108">
        <v>0</v>
      </c>
    </row>
    <row r="449" spans="1:8" x14ac:dyDescent="0.2">
      <c r="A449" s="117" t="s">
        <v>265</v>
      </c>
      <c r="B449" s="117"/>
      <c r="C449" s="117" t="s">
        <v>3058</v>
      </c>
      <c r="D449" s="304" t="s">
        <v>1377</v>
      </c>
      <c r="E449" s="305"/>
      <c r="F449" s="117" t="s">
        <v>1646</v>
      </c>
      <c r="G449" s="116">
        <v>16</v>
      </c>
      <c r="H449" s="108">
        <v>0</v>
      </c>
    </row>
    <row r="450" spans="1:8" x14ac:dyDescent="0.2">
      <c r="A450" s="117" t="s">
        <v>266</v>
      </c>
      <c r="B450" s="117"/>
      <c r="C450" s="117" t="s">
        <v>3057</v>
      </c>
      <c r="D450" s="304" t="s">
        <v>1378</v>
      </c>
      <c r="E450" s="305"/>
      <c r="F450" s="117" t="s">
        <v>1646</v>
      </c>
      <c r="G450" s="116">
        <v>4</v>
      </c>
      <c r="H450" s="108">
        <v>0</v>
      </c>
    </row>
    <row r="451" spans="1:8" x14ac:dyDescent="0.2">
      <c r="A451" s="120"/>
      <c r="B451" s="120"/>
      <c r="C451" s="120" t="s">
        <v>798</v>
      </c>
      <c r="D451" s="306" t="s">
        <v>1379</v>
      </c>
      <c r="E451" s="307"/>
      <c r="F451" s="120"/>
      <c r="G451" s="142"/>
      <c r="H451" s="109"/>
    </row>
    <row r="452" spans="1:8" x14ac:dyDescent="0.2">
      <c r="A452" s="117" t="s">
        <v>267</v>
      </c>
      <c r="B452" s="117"/>
      <c r="C452" s="117" t="s">
        <v>3056</v>
      </c>
      <c r="D452" s="304" t="s">
        <v>1380</v>
      </c>
      <c r="E452" s="305"/>
      <c r="F452" s="117" t="s">
        <v>1646</v>
      </c>
      <c r="G452" s="116">
        <v>2</v>
      </c>
      <c r="H452" s="108">
        <v>0</v>
      </c>
    </row>
    <row r="453" spans="1:8" x14ac:dyDescent="0.2">
      <c r="A453" s="117" t="s">
        <v>268</v>
      </c>
      <c r="B453" s="117"/>
      <c r="C453" s="117" t="s">
        <v>3055</v>
      </c>
      <c r="D453" s="304" t="s">
        <v>1381</v>
      </c>
      <c r="E453" s="305"/>
      <c r="F453" s="117" t="s">
        <v>1644</v>
      </c>
      <c r="G453" s="116">
        <v>1</v>
      </c>
      <c r="H453" s="108">
        <v>0</v>
      </c>
    </row>
    <row r="454" spans="1:8" x14ac:dyDescent="0.2">
      <c r="A454" s="117" t="s">
        <v>269</v>
      </c>
      <c r="B454" s="117"/>
      <c r="C454" s="117" t="s">
        <v>3054</v>
      </c>
      <c r="D454" s="304" t="s">
        <v>1382</v>
      </c>
      <c r="E454" s="305"/>
      <c r="F454" s="117" t="s">
        <v>1644</v>
      </c>
      <c r="G454" s="116">
        <v>1</v>
      </c>
      <c r="H454" s="108">
        <v>0</v>
      </c>
    </row>
    <row r="455" spans="1:8" x14ac:dyDescent="0.2">
      <c r="A455" s="117" t="s">
        <v>270</v>
      </c>
      <c r="B455" s="117"/>
      <c r="C455" s="117" t="s">
        <v>3053</v>
      </c>
      <c r="D455" s="304" t="s">
        <v>1383</v>
      </c>
      <c r="E455" s="305"/>
      <c r="F455" s="117" t="s">
        <v>1644</v>
      </c>
      <c r="G455" s="116">
        <v>1</v>
      </c>
      <c r="H455" s="108">
        <v>0</v>
      </c>
    </row>
    <row r="456" spans="1:8" x14ac:dyDescent="0.2">
      <c r="A456" s="117" t="s">
        <v>271</v>
      </c>
      <c r="B456" s="117"/>
      <c r="C456" s="117" t="s">
        <v>3052</v>
      </c>
      <c r="D456" s="304" t="s">
        <v>1385</v>
      </c>
      <c r="E456" s="305"/>
      <c r="F456" s="117" t="s">
        <v>1646</v>
      </c>
      <c r="G456" s="116">
        <v>9</v>
      </c>
      <c r="H456" s="108">
        <v>0</v>
      </c>
    </row>
    <row r="457" spans="1:8" x14ac:dyDescent="0.2">
      <c r="A457" s="117" t="s">
        <v>272</v>
      </c>
      <c r="B457" s="117"/>
      <c r="C457" s="117" t="s">
        <v>3051</v>
      </c>
      <c r="D457" s="304" t="s">
        <v>1386</v>
      </c>
      <c r="E457" s="305"/>
      <c r="F457" s="117" t="s">
        <v>1644</v>
      </c>
      <c r="G457" s="116">
        <v>1</v>
      </c>
      <c r="H457" s="108">
        <v>0</v>
      </c>
    </row>
    <row r="458" spans="1:8" x14ac:dyDescent="0.2">
      <c r="A458" s="117" t="s">
        <v>273</v>
      </c>
      <c r="B458" s="117"/>
      <c r="C458" s="117" t="s">
        <v>3050</v>
      </c>
      <c r="D458" s="304" t="s">
        <v>1387</v>
      </c>
      <c r="E458" s="305"/>
      <c r="F458" s="117" t="s">
        <v>1644</v>
      </c>
      <c r="G458" s="116">
        <v>1</v>
      </c>
      <c r="H458" s="108">
        <v>0</v>
      </c>
    </row>
    <row r="459" spans="1:8" x14ac:dyDescent="0.2">
      <c r="A459" s="117" t="s">
        <v>274</v>
      </c>
      <c r="B459" s="117"/>
      <c r="C459" s="117" t="s">
        <v>3049</v>
      </c>
      <c r="D459" s="304" t="s">
        <v>1388</v>
      </c>
      <c r="E459" s="305"/>
      <c r="F459" s="117" t="s">
        <v>1644</v>
      </c>
      <c r="G459" s="116">
        <v>1</v>
      </c>
      <c r="H459" s="108">
        <v>0</v>
      </c>
    </row>
    <row r="460" spans="1:8" x14ac:dyDescent="0.2">
      <c r="A460" s="117" t="s">
        <v>275</v>
      </c>
      <c r="B460" s="117"/>
      <c r="C460" s="117" t="s">
        <v>3048</v>
      </c>
      <c r="D460" s="304" t="s">
        <v>1389</v>
      </c>
      <c r="E460" s="305"/>
      <c r="F460" s="117" t="s">
        <v>1644</v>
      </c>
      <c r="G460" s="116">
        <v>1</v>
      </c>
      <c r="H460" s="108">
        <v>0</v>
      </c>
    </row>
    <row r="461" spans="1:8" x14ac:dyDescent="0.2">
      <c r="A461" s="117" t="s">
        <v>276</v>
      </c>
      <c r="B461" s="117"/>
      <c r="C461" s="117" t="s">
        <v>3047</v>
      </c>
      <c r="D461" s="304" t="s">
        <v>1380</v>
      </c>
      <c r="E461" s="305"/>
      <c r="F461" s="117" t="s">
        <v>1646</v>
      </c>
      <c r="G461" s="116">
        <v>1.5</v>
      </c>
      <c r="H461" s="108">
        <v>0</v>
      </c>
    </row>
    <row r="462" spans="1:8" x14ac:dyDescent="0.2">
      <c r="A462" s="117" t="s">
        <v>277</v>
      </c>
      <c r="B462" s="117"/>
      <c r="C462" s="117" t="s">
        <v>3046</v>
      </c>
      <c r="D462" s="304" t="s">
        <v>1390</v>
      </c>
      <c r="E462" s="305"/>
      <c r="F462" s="117" t="s">
        <v>1644</v>
      </c>
      <c r="G462" s="116">
        <v>1</v>
      </c>
      <c r="H462" s="108">
        <v>0</v>
      </c>
    </row>
    <row r="463" spans="1:8" x14ac:dyDescent="0.2">
      <c r="A463" s="117" t="s">
        <v>278</v>
      </c>
      <c r="B463" s="117"/>
      <c r="C463" s="117" t="s">
        <v>3045</v>
      </c>
      <c r="D463" s="304" t="s">
        <v>1391</v>
      </c>
      <c r="E463" s="305"/>
      <c r="F463" s="117" t="s">
        <v>1644</v>
      </c>
      <c r="G463" s="116">
        <v>3</v>
      </c>
      <c r="H463" s="108">
        <v>0</v>
      </c>
    </row>
    <row r="464" spans="1:8" x14ac:dyDescent="0.2">
      <c r="A464" s="117" t="s">
        <v>279</v>
      </c>
      <c r="B464" s="117"/>
      <c r="C464" s="117" t="s">
        <v>3044</v>
      </c>
      <c r="D464" s="304" t="s">
        <v>1388</v>
      </c>
      <c r="E464" s="305"/>
      <c r="F464" s="117" t="s">
        <v>1644</v>
      </c>
      <c r="G464" s="116">
        <v>1</v>
      </c>
      <c r="H464" s="108">
        <v>0</v>
      </c>
    </row>
    <row r="465" spans="1:8" x14ac:dyDescent="0.2">
      <c r="A465" s="117" t="s">
        <v>280</v>
      </c>
      <c r="B465" s="117"/>
      <c r="C465" s="117" t="s">
        <v>3043</v>
      </c>
      <c r="D465" s="304" t="s">
        <v>1383</v>
      </c>
      <c r="E465" s="305"/>
      <c r="F465" s="117" t="s">
        <v>1644</v>
      </c>
      <c r="G465" s="116">
        <v>1</v>
      </c>
      <c r="H465" s="108">
        <v>0</v>
      </c>
    </row>
    <row r="466" spans="1:8" x14ac:dyDescent="0.2">
      <c r="A466" s="117" t="s">
        <v>281</v>
      </c>
      <c r="B466" s="117"/>
      <c r="C466" s="117" t="s">
        <v>3042</v>
      </c>
      <c r="D466" s="304" t="s">
        <v>1385</v>
      </c>
      <c r="E466" s="305"/>
      <c r="F466" s="117" t="s">
        <v>1646</v>
      </c>
      <c r="G466" s="116">
        <v>9</v>
      </c>
      <c r="H466" s="108">
        <v>0</v>
      </c>
    </row>
    <row r="467" spans="1:8" x14ac:dyDescent="0.2">
      <c r="A467" s="117" t="s">
        <v>282</v>
      </c>
      <c r="B467" s="117"/>
      <c r="C467" s="117" t="s">
        <v>3041</v>
      </c>
      <c r="D467" s="304" t="s">
        <v>1386</v>
      </c>
      <c r="E467" s="305"/>
      <c r="F467" s="117" t="s">
        <v>1644</v>
      </c>
      <c r="G467" s="116">
        <v>1</v>
      </c>
      <c r="H467" s="108">
        <v>0</v>
      </c>
    </row>
    <row r="468" spans="1:8" x14ac:dyDescent="0.2">
      <c r="A468" s="117" t="s">
        <v>283</v>
      </c>
      <c r="B468" s="117"/>
      <c r="C468" s="117" t="s">
        <v>3040</v>
      </c>
      <c r="D468" s="304" t="s">
        <v>1387</v>
      </c>
      <c r="E468" s="305"/>
      <c r="F468" s="117" t="s">
        <v>1644</v>
      </c>
      <c r="G468" s="116">
        <v>1</v>
      </c>
      <c r="H468" s="108">
        <v>0</v>
      </c>
    </row>
    <row r="469" spans="1:8" x14ac:dyDescent="0.2">
      <c r="A469" s="117" t="s">
        <v>284</v>
      </c>
      <c r="B469" s="117"/>
      <c r="C469" s="117" t="s">
        <v>3039</v>
      </c>
      <c r="D469" s="304" t="s">
        <v>1388</v>
      </c>
      <c r="E469" s="305"/>
      <c r="F469" s="117" t="s">
        <v>1644</v>
      </c>
      <c r="G469" s="116">
        <v>1</v>
      </c>
      <c r="H469" s="108">
        <v>0</v>
      </c>
    </row>
    <row r="470" spans="1:8" x14ac:dyDescent="0.2">
      <c r="A470" s="117" t="s">
        <v>285</v>
      </c>
      <c r="B470" s="117"/>
      <c r="C470" s="117" t="s">
        <v>3038</v>
      </c>
      <c r="D470" s="304" t="s">
        <v>1389</v>
      </c>
      <c r="E470" s="305"/>
      <c r="F470" s="117" t="s">
        <v>1644</v>
      </c>
      <c r="G470" s="116">
        <v>1</v>
      </c>
      <c r="H470" s="108">
        <v>0</v>
      </c>
    </row>
    <row r="471" spans="1:8" x14ac:dyDescent="0.2">
      <c r="A471" s="117" t="s">
        <v>286</v>
      </c>
      <c r="B471" s="117"/>
      <c r="C471" s="117" t="s">
        <v>3037</v>
      </c>
      <c r="D471" s="304" t="s">
        <v>1392</v>
      </c>
      <c r="E471" s="305"/>
      <c r="F471" s="117" t="s">
        <v>1644</v>
      </c>
      <c r="G471" s="116">
        <v>2</v>
      </c>
      <c r="H471" s="108">
        <v>0</v>
      </c>
    </row>
    <row r="472" spans="1:8" x14ac:dyDescent="0.2">
      <c r="A472" s="117" t="s">
        <v>287</v>
      </c>
      <c r="B472" s="117"/>
      <c r="C472" s="117" t="s">
        <v>3036</v>
      </c>
      <c r="D472" s="304" t="s">
        <v>1393</v>
      </c>
      <c r="E472" s="305"/>
      <c r="F472" s="117" t="s">
        <v>1644</v>
      </c>
      <c r="G472" s="116">
        <v>1</v>
      </c>
      <c r="H472" s="108">
        <v>0</v>
      </c>
    </row>
    <row r="473" spans="1:8" x14ac:dyDescent="0.2">
      <c r="A473" s="117" t="s">
        <v>288</v>
      </c>
      <c r="B473" s="117"/>
      <c r="C473" s="117" t="s">
        <v>3035</v>
      </c>
      <c r="D473" s="304" t="s">
        <v>1394</v>
      </c>
      <c r="E473" s="305"/>
      <c r="F473" s="117" t="s">
        <v>1644</v>
      </c>
      <c r="G473" s="116">
        <v>1</v>
      </c>
      <c r="H473" s="108">
        <v>0</v>
      </c>
    </row>
    <row r="474" spans="1:8" x14ac:dyDescent="0.2">
      <c r="A474" s="120"/>
      <c r="B474" s="120"/>
      <c r="C474" s="120" t="s">
        <v>822</v>
      </c>
      <c r="D474" s="306" t="s">
        <v>1395</v>
      </c>
      <c r="E474" s="307"/>
      <c r="F474" s="120"/>
      <c r="G474" s="142"/>
      <c r="H474" s="109"/>
    </row>
    <row r="475" spans="1:8" x14ac:dyDescent="0.2">
      <c r="A475" s="117" t="s">
        <v>289</v>
      </c>
      <c r="B475" s="117"/>
      <c r="C475" s="117" t="s">
        <v>117</v>
      </c>
      <c r="D475" s="304" t="s">
        <v>1396</v>
      </c>
      <c r="E475" s="305"/>
      <c r="F475" s="117" t="s">
        <v>1652</v>
      </c>
      <c r="G475" s="116">
        <v>1</v>
      </c>
      <c r="H475" s="108">
        <v>0</v>
      </c>
    </row>
    <row r="476" spans="1:8" x14ac:dyDescent="0.2">
      <c r="A476" s="117" t="s">
        <v>290</v>
      </c>
      <c r="B476" s="117"/>
      <c r="C476" s="117" t="s">
        <v>118</v>
      </c>
      <c r="D476" s="304" t="s">
        <v>1397</v>
      </c>
      <c r="E476" s="305"/>
      <c r="F476" s="117" t="s">
        <v>1652</v>
      </c>
      <c r="G476" s="116">
        <v>1</v>
      </c>
      <c r="H476" s="108">
        <v>0</v>
      </c>
    </row>
    <row r="477" spans="1:8" x14ac:dyDescent="0.2">
      <c r="A477" s="117" t="s">
        <v>291</v>
      </c>
      <c r="B477" s="117"/>
      <c r="C477" s="117" t="s">
        <v>119</v>
      </c>
      <c r="D477" s="304" t="s">
        <v>1398</v>
      </c>
      <c r="E477" s="305"/>
      <c r="F477" s="117" t="s">
        <v>1652</v>
      </c>
      <c r="G477" s="116">
        <v>1</v>
      </c>
      <c r="H477" s="108">
        <v>0</v>
      </c>
    </row>
    <row r="478" spans="1:8" x14ac:dyDescent="0.2">
      <c r="A478" s="117" t="s">
        <v>292</v>
      </c>
      <c r="B478" s="117"/>
      <c r="C478" s="117" t="s">
        <v>120</v>
      </c>
      <c r="D478" s="304" t="s">
        <v>1399</v>
      </c>
      <c r="E478" s="305"/>
      <c r="F478" s="117" t="s">
        <v>1652</v>
      </c>
      <c r="G478" s="116">
        <v>1</v>
      </c>
      <c r="H478" s="108">
        <v>0</v>
      </c>
    </row>
    <row r="479" spans="1:8" x14ac:dyDescent="0.2">
      <c r="A479" s="117" t="s">
        <v>293</v>
      </c>
      <c r="B479" s="117"/>
      <c r="C479" s="117" t="s">
        <v>121</v>
      </c>
      <c r="D479" s="304" t="s">
        <v>1400</v>
      </c>
      <c r="E479" s="305"/>
      <c r="F479" s="117" t="s">
        <v>1652</v>
      </c>
      <c r="G479" s="116">
        <v>1</v>
      </c>
      <c r="H479" s="108">
        <v>0</v>
      </c>
    </row>
    <row r="480" spans="1:8" x14ac:dyDescent="0.2">
      <c r="A480" s="117" t="s">
        <v>294</v>
      </c>
      <c r="B480" s="117"/>
      <c r="C480" s="117" t="s">
        <v>122</v>
      </c>
      <c r="D480" s="304" t="s">
        <v>1401</v>
      </c>
      <c r="E480" s="305"/>
      <c r="F480" s="117" t="s">
        <v>1652</v>
      </c>
      <c r="G480" s="116">
        <v>1</v>
      </c>
      <c r="H480" s="108">
        <v>0</v>
      </c>
    </row>
    <row r="481" spans="1:8" x14ac:dyDescent="0.2">
      <c r="A481" s="117" t="s">
        <v>295</v>
      </c>
      <c r="B481" s="117"/>
      <c r="C481" s="117" t="s">
        <v>123</v>
      </c>
      <c r="D481" s="304" t="s">
        <v>1402</v>
      </c>
      <c r="E481" s="305"/>
      <c r="F481" s="117" t="s">
        <v>1652</v>
      </c>
      <c r="G481" s="116">
        <v>1</v>
      </c>
      <c r="H481" s="108">
        <v>0</v>
      </c>
    </row>
    <row r="482" spans="1:8" x14ac:dyDescent="0.2">
      <c r="A482" s="117" t="s">
        <v>296</v>
      </c>
      <c r="B482" s="117"/>
      <c r="C482" s="117" t="s">
        <v>124</v>
      </c>
      <c r="D482" s="304" t="s">
        <v>1403</v>
      </c>
      <c r="E482" s="305"/>
      <c r="F482" s="117" t="s">
        <v>1652</v>
      </c>
      <c r="G482" s="116">
        <v>1</v>
      </c>
      <c r="H482" s="108">
        <v>0</v>
      </c>
    </row>
    <row r="483" spans="1:8" x14ac:dyDescent="0.2">
      <c r="A483" s="117" t="s">
        <v>297</v>
      </c>
      <c r="B483" s="117"/>
      <c r="C483" s="117" t="s">
        <v>125</v>
      </c>
      <c r="D483" s="304" t="s">
        <v>1404</v>
      </c>
      <c r="E483" s="305"/>
      <c r="F483" s="117" t="s">
        <v>1646</v>
      </c>
      <c r="G483" s="116">
        <v>450</v>
      </c>
      <c r="H483" s="108">
        <v>0</v>
      </c>
    </row>
    <row r="484" spans="1:8" x14ac:dyDescent="0.2">
      <c r="A484" s="117" t="s">
        <v>298</v>
      </c>
      <c r="B484" s="117"/>
      <c r="C484" s="117" t="s">
        <v>823</v>
      </c>
      <c r="D484" s="304" t="s">
        <v>1405</v>
      </c>
      <c r="E484" s="305"/>
      <c r="F484" s="117" t="s">
        <v>1646</v>
      </c>
      <c r="G484" s="116">
        <v>180</v>
      </c>
      <c r="H484" s="108">
        <v>0</v>
      </c>
    </row>
    <row r="485" spans="1:8" x14ac:dyDescent="0.2">
      <c r="A485" s="117" t="s">
        <v>299</v>
      </c>
      <c r="B485" s="117"/>
      <c r="C485" s="117" t="s">
        <v>824</v>
      </c>
      <c r="D485" s="304" t="s">
        <v>1406</v>
      </c>
      <c r="E485" s="305"/>
      <c r="F485" s="117" t="s">
        <v>1652</v>
      </c>
      <c r="G485" s="116">
        <v>3</v>
      </c>
      <c r="H485" s="108">
        <v>0</v>
      </c>
    </row>
    <row r="486" spans="1:8" x14ac:dyDescent="0.2">
      <c r="A486" s="117" t="s">
        <v>300</v>
      </c>
      <c r="B486" s="117"/>
      <c r="C486" s="117" t="s">
        <v>825</v>
      </c>
      <c r="D486" s="304" t="s">
        <v>1407</v>
      </c>
      <c r="E486" s="305"/>
      <c r="F486" s="117" t="s">
        <v>1644</v>
      </c>
      <c r="G486" s="116">
        <v>3</v>
      </c>
      <c r="H486" s="108">
        <v>0</v>
      </c>
    </row>
    <row r="487" spans="1:8" x14ac:dyDescent="0.2">
      <c r="A487" s="117" t="s">
        <v>301</v>
      </c>
      <c r="B487" s="117"/>
      <c r="C487" s="117" t="s">
        <v>826</v>
      </c>
      <c r="D487" s="304" t="s">
        <v>1408</v>
      </c>
      <c r="E487" s="305"/>
      <c r="F487" s="117" t="s">
        <v>1644</v>
      </c>
      <c r="G487" s="116">
        <v>3</v>
      </c>
      <c r="H487" s="108">
        <v>0</v>
      </c>
    </row>
    <row r="488" spans="1:8" x14ac:dyDescent="0.2">
      <c r="A488" s="117" t="s">
        <v>302</v>
      </c>
      <c r="B488" s="117"/>
      <c r="C488" s="117" t="s">
        <v>827</v>
      </c>
      <c r="D488" s="304" t="s">
        <v>1409</v>
      </c>
      <c r="E488" s="305"/>
      <c r="F488" s="117" t="s">
        <v>1644</v>
      </c>
      <c r="G488" s="116">
        <v>3</v>
      </c>
      <c r="H488" s="108">
        <v>0</v>
      </c>
    </row>
    <row r="489" spans="1:8" x14ac:dyDescent="0.2">
      <c r="A489" s="117" t="s">
        <v>303</v>
      </c>
      <c r="B489" s="117"/>
      <c r="C489" s="117" t="s">
        <v>828</v>
      </c>
      <c r="D489" s="304" t="s">
        <v>1410</v>
      </c>
      <c r="E489" s="305"/>
      <c r="F489" s="117" t="s">
        <v>1652</v>
      </c>
      <c r="G489" s="116">
        <v>3</v>
      </c>
      <c r="H489" s="108">
        <v>0</v>
      </c>
    </row>
    <row r="490" spans="1:8" x14ac:dyDescent="0.2">
      <c r="A490" s="117" t="s">
        <v>304</v>
      </c>
      <c r="B490" s="117"/>
      <c r="C490" s="117" t="s">
        <v>829</v>
      </c>
      <c r="D490" s="304" t="s">
        <v>1411</v>
      </c>
      <c r="E490" s="305"/>
      <c r="F490" s="117" t="s">
        <v>1652</v>
      </c>
      <c r="G490" s="116">
        <v>3</v>
      </c>
      <c r="H490" s="108">
        <v>0</v>
      </c>
    </row>
    <row r="491" spans="1:8" x14ac:dyDescent="0.2">
      <c r="A491" s="117" t="s">
        <v>305</v>
      </c>
      <c r="B491" s="117"/>
      <c r="C491" s="117" t="s">
        <v>830</v>
      </c>
      <c r="D491" s="304" t="s">
        <v>1412</v>
      </c>
      <c r="E491" s="305"/>
      <c r="F491" s="117" t="s">
        <v>1647</v>
      </c>
      <c r="G491" s="116">
        <v>7</v>
      </c>
      <c r="H491" s="108">
        <v>0</v>
      </c>
    </row>
    <row r="492" spans="1:8" x14ac:dyDescent="0.2">
      <c r="A492" s="117" t="s">
        <v>306</v>
      </c>
      <c r="B492" s="117"/>
      <c r="C492" s="117" t="s">
        <v>831</v>
      </c>
      <c r="D492" s="304" t="s">
        <v>1413</v>
      </c>
      <c r="E492" s="305"/>
      <c r="F492" s="117" t="s">
        <v>1652</v>
      </c>
      <c r="G492" s="116">
        <v>1</v>
      </c>
      <c r="H492" s="108">
        <v>0</v>
      </c>
    </row>
    <row r="493" spans="1:8" x14ac:dyDescent="0.2">
      <c r="A493" s="117" t="s">
        <v>307</v>
      </c>
      <c r="B493" s="117"/>
      <c r="C493" s="117" t="s">
        <v>832</v>
      </c>
      <c r="D493" s="304" t="s">
        <v>1414</v>
      </c>
      <c r="E493" s="305"/>
      <c r="F493" s="117" t="s">
        <v>1652</v>
      </c>
      <c r="G493" s="116">
        <v>1</v>
      </c>
      <c r="H493" s="108">
        <v>0</v>
      </c>
    </row>
    <row r="494" spans="1:8" x14ac:dyDescent="0.2">
      <c r="A494" s="117" t="s">
        <v>308</v>
      </c>
      <c r="B494" s="117"/>
      <c r="C494" s="117" t="s">
        <v>833</v>
      </c>
      <c r="D494" s="304" t="s">
        <v>1415</v>
      </c>
      <c r="E494" s="305"/>
      <c r="F494" s="117" t="s">
        <v>1652</v>
      </c>
      <c r="G494" s="116">
        <v>1</v>
      </c>
      <c r="H494" s="108">
        <v>0</v>
      </c>
    </row>
    <row r="495" spans="1:8" x14ac:dyDescent="0.2">
      <c r="A495" s="117" t="s">
        <v>309</v>
      </c>
      <c r="B495" s="117"/>
      <c r="C495" s="117" t="s">
        <v>834</v>
      </c>
      <c r="D495" s="304" t="s">
        <v>1416</v>
      </c>
      <c r="E495" s="305"/>
      <c r="F495" s="117" t="s">
        <v>1652</v>
      </c>
      <c r="G495" s="116">
        <v>6</v>
      </c>
      <c r="H495" s="108">
        <v>0</v>
      </c>
    </row>
    <row r="496" spans="1:8" x14ac:dyDescent="0.2">
      <c r="A496" s="117" t="s">
        <v>310</v>
      </c>
      <c r="B496" s="117"/>
      <c r="C496" s="117" t="s">
        <v>835</v>
      </c>
      <c r="D496" s="304" t="s">
        <v>1417</v>
      </c>
      <c r="E496" s="305"/>
      <c r="F496" s="117" t="s">
        <v>1653</v>
      </c>
      <c r="G496" s="116">
        <v>6</v>
      </c>
      <c r="H496" s="108">
        <v>0</v>
      </c>
    </row>
    <row r="497" spans="1:8" x14ac:dyDescent="0.2">
      <c r="A497" s="117" t="s">
        <v>311</v>
      </c>
      <c r="B497" s="117"/>
      <c r="C497" s="117" t="s">
        <v>836</v>
      </c>
      <c r="D497" s="304" t="s">
        <v>1418</v>
      </c>
      <c r="E497" s="305"/>
      <c r="F497" s="117" t="s">
        <v>1652</v>
      </c>
      <c r="G497" s="116">
        <v>1</v>
      </c>
      <c r="H497" s="108">
        <v>0</v>
      </c>
    </row>
    <row r="498" spans="1:8" x14ac:dyDescent="0.2">
      <c r="A498" s="117" t="s">
        <v>312</v>
      </c>
      <c r="B498" s="117"/>
      <c r="C498" s="117" t="s">
        <v>837</v>
      </c>
      <c r="D498" s="304" t="s">
        <v>1419</v>
      </c>
      <c r="E498" s="305"/>
      <c r="F498" s="117" t="s">
        <v>1652</v>
      </c>
      <c r="G498" s="116">
        <v>1</v>
      </c>
      <c r="H498" s="108">
        <v>0</v>
      </c>
    </row>
    <row r="499" spans="1:8" x14ac:dyDescent="0.2">
      <c r="A499" s="117" t="s">
        <v>313</v>
      </c>
      <c r="B499" s="117"/>
      <c r="C499" s="117" t="s">
        <v>838</v>
      </c>
      <c r="D499" s="304" t="s">
        <v>1420</v>
      </c>
      <c r="E499" s="305"/>
      <c r="F499" s="117" t="s">
        <v>1652</v>
      </c>
      <c r="G499" s="116">
        <v>1</v>
      </c>
      <c r="H499" s="108">
        <v>0</v>
      </c>
    </row>
    <row r="500" spans="1:8" x14ac:dyDescent="0.2">
      <c r="A500" s="117" t="s">
        <v>314</v>
      </c>
      <c r="B500" s="117"/>
      <c r="C500" s="117" t="s">
        <v>839</v>
      </c>
      <c r="D500" s="304" t="s">
        <v>1421</v>
      </c>
      <c r="E500" s="305"/>
      <c r="F500" s="117" t="s">
        <v>1652</v>
      </c>
      <c r="G500" s="116">
        <v>1</v>
      </c>
      <c r="H500" s="108">
        <v>0</v>
      </c>
    </row>
    <row r="501" spans="1:8" x14ac:dyDescent="0.2">
      <c r="A501" s="117" t="s">
        <v>315</v>
      </c>
      <c r="B501" s="117"/>
      <c r="C501" s="117" t="s">
        <v>840</v>
      </c>
      <c r="D501" s="304" t="s">
        <v>1422</v>
      </c>
      <c r="E501" s="305"/>
      <c r="F501" s="117" t="s">
        <v>1652</v>
      </c>
      <c r="G501" s="116">
        <v>1</v>
      </c>
      <c r="H501" s="108">
        <v>0</v>
      </c>
    </row>
    <row r="502" spans="1:8" x14ac:dyDescent="0.2">
      <c r="A502" s="117" t="s">
        <v>316</v>
      </c>
      <c r="B502" s="117"/>
      <c r="C502" s="117" t="s">
        <v>841</v>
      </c>
      <c r="D502" s="304" t="s">
        <v>1423</v>
      </c>
      <c r="E502" s="305"/>
      <c r="F502" s="117" t="s">
        <v>1652</v>
      </c>
      <c r="G502" s="116">
        <v>1</v>
      </c>
      <c r="H502" s="108">
        <v>0</v>
      </c>
    </row>
    <row r="503" spans="1:8" x14ac:dyDescent="0.2">
      <c r="A503" s="120"/>
      <c r="B503" s="120"/>
      <c r="C503" s="120" t="s">
        <v>842</v>
      </c>
      <c r="D503" s="306" t="s">
        <v>1424</v>
      </c>
      <c r="E503" s="307"/>
      <c r="F503" s="120"/>
      <c r="G503" s="142"/>
      <c r="H503" s="109"/>
    </row>
    <row r="504" spans="1:8" x14ac:dyDescent="0.2">
      <c r="A504" s="117" t="s">
        <v>317</v>
      </c>
      <c r="B504" s="117"/>
      <c r="C504" s="117" t="s">
        <v>127</v>
      </c>
      <c r="D504" s="304" t="s">
        <v>1425</v>
      </c>
      <c r="E504" s="305"/>
      <c r="F504" s="117" t="s">
        <v>1644</v>
      </c>
      <c r="G504" s="116">
        <v>6</v>
      </c>
      <c r="H504" s="108">
        <v>0</v>
      </c>
    </row>
    <row r="505" spans="1:8" x14ac:dyDescent="0.2">
      <c r="A505" s="117" t="s">
        <v>318</v>
      </c>
      <c r="B505" s="117"/>
      <c r="C505" s="117" t="s">
        <v>128</v>
      </c>
      <c r="D505" s="304" t="s">
        <v>1426</v>
      </c>
      <c r="E505" s="305"/>
      <c r="F505" s="117" t="s">
        <v>1646</v>
      </c>
      <c r="G505" s="116">
        <v>90</v>
      </c>
      <c r="H505" s="108">
        <v>0</v>
      </c>
    </row>
    <row r="506" spans="1:8" x14ac:dyDescent="0.2">
      <c r="A506" s="117" t="s">
        <v>319</v>
      </c>
      <c r="B506" s="117"/>
      <c r="C506" s="117" t="s">
        <v>129</v>
      </c>
      <c r="D506" s="304" t="s">
        <v>1427</v>
      </c>
      <c r="E506" s="305"/>
      <c r="F506" s="117" t="s">
        <v>1644</v>
      </c>
      <c r="G506" s="116">
        <v>6</v>
      </c>
      <c r="H506" s="108">
        <v>0</v>
      </c>
    </row>
    <row r="507" spans="1:8" x14ac:dyDescent="0.2">
      <c r="A507" s="117" t="s">
        <v>320</v>
      </c>
      <c r="B507" s="117"/>
      <c r="C507" s="117" t="s">
        <v>130</v>
      </c>
      <c r="D507" s="304" t="s">
        <v>1430</v>
      </c>
      <c r="E507" s="305"/>
      <c r="F507" s="117" t="s">
        <v>1644</v>
      </c>
      <c r="G507" s="116">
        <v>1</v>
      </c>
      <c r="H507" s="108">
        <v>0</v>
      </c>
    </row>
    <row r="508" spans="1:8" x14ac:dyDescent="0.2">
      <c r="A508" s="117" t="s">
        <v>321</v>
      </c>
      <c r="B508" s="117"/>
      <c r="C508" s="117" t="s">
        <v>131</v>
      </c>
      <c r="D508" s="304" t="s">
        <v>1431</v>
      </c>
      <c r="E508" s="305"/>
      <c r="F508" s="117" t="s">
        <v>1646</v>
      </c>
      <c r="G508" s="116">
        <v>55</v>
      </c>
      <c r="H508" s="108">
        <v>0</v>
      </c>
    </row>
    <row r="509" spans="1:8" x14ac:dyDescent="0.2">
      <c r="A509" s="117" t="s">
        <v>322</v>
      </c>
      <c r="B509" s="117"/>
      <c r="C509" s="117" t="s">
        <v>132</v>
      </c>
      <c r="D509" s="304" t="s">
        <v>1432</v>
      </c>
      <c r="E509" s="305"/>
      <c r="F509" s="117" t="s">
        <v>1644</v>
      </c>
      <c r="G509" s="116">
        <v>4</v>
      </c>
      <c r="H509" s="108">
        <v>0</v>
      </c>
    </row>
    <row r="510" spans="1:8" x14ac:dyDescent="0.2">
      <c r="A510" s="117" t="s">
        <v>323</v>
      </c>
      <c r="B510" s="117"/>
      <c r="C510" s="117" t="s">
        <v>133</v>
      </c>
      <c r="D510" s="304" t="s">
        <v>1995</v>
      </c>
      <c r="E510" s="305"/>
      <c r="F510" s="117" t="s">
        <v>1644</v>
      </c>
      <c r="G510" s="116">
        <v>4</v>
      </c>
      <c r="H510" s="108">
        <v>0</v>
      </c>
    </row>
    <row r="511" spans="1:8" x14ac:dyDescent="0.2">
      <c r="A511" s="117" t="s">
        <v>324</v>
      </c>
      <c r="B511" s="117"/>
      <c r="C511" s="117" t="s">
        <v>134</v>
      </c>
      <c r="D511" s="304" t="s">
        <v>1433</v>
      </c>
      <c r="E511" s="305"/>
      <c r="F511" s="117" t="s">
        <v>1646</v>
      </c>
      <c r="G511" s="116">
        <v>55</v>
      </c>
      <c r="H511" s="108">
        <v>0</v>
      </c>
    </row>
    <row r="512" spans="1:8" x14ac:dyDescent="0.2">
      <c r="A512" s="117" t="s">
        <v>325</v>
      </c>
      <c r="B512" s="117"/>
      <c r="C512" s="117" t="s">
        <v>135</v>
      </c>
      <c r="D512" s="304" t="s">
        <v>1434</v>
      </c>
      <c r="E512" s="305"/>
      <c r="F512" s="117" t="s">
        <v>1646</v>
      </c>
      <c r="G512" s="116">
        <v>55</v>
      </c>
      <c r="H512" s="108">
        <v>0</v>
      </c>
    </row>
    <row r="513" spans="1:8" x14ac:dyDescent="0.2">
      <c r="A513" s="117" t="s">
        <v>326</v>
      </c>
      <c r="B513" s="117"/>
      <c r="C513" s="117" t="s">
        <v>843</v>
      </c>
      <c r="D513" s="304" t="s">
        <v>1435</v>
      </c>
      <c r="E513" s="305"/>
      <c r="F513" s="117" t="s">
        <v>1652</v>
      </c>
      <c r="G513" s="116">
        <v>1</v>
      </c>
      <c r="H513" s="108">
        <v>0</v>
      </c>
    </row>
    <row r="514" spans="1:8" x14ac:dyDescent="0.2">
      <c r="A514" s="117" t="s">
        <v>327</v>
      </c>
      <c r="B514" s="117"/>
      <c r="C514" s="117" t="s">
        <v>844</v>
      </c>
      <c r="D514" s="304" t="s">
        <v>2327</v>
      </c>
      <c r="E514" s="305"/>
      <c r="F514" s="117" t="s">
        <v>1652</v>
      </c>
      <c r="G514" s="116">
        <v>1</v>
      </c>
      <c r="H514" s="108">
        <v>0</v>
      </c>
    </row>
    <row r="515" spans="1:8" x14ac:dyDescent="0.2">
      <c r="A515" s="117" t="s">
        <v>328</v>
      </c>
      <c r="B515" s="117"/>
      <c r="C515" s="117" t="s">
        <v>845</v>
      </c>
      <c r="D515" s="304" t="s">
        <v>1437</v>
      </c>
      <c r="E515" s="305"/>
      <c r="F515" s="117" t="s">
        <v>1654</v>
      </c>
      <c r="G515" s="116">
        <v>360</v>
      </c>
      <c r="H515" s="108">
        <v>0</v>
      </c>
    </row>
    <row r="516" spans="1:8" x14ac:dyDescent="0.2">
      <c r="A516" s="117" t="s">
        <v>329</v>
      </c>
      <c r="B516" s="117"/>
      <c r="C516" s="117" t="s">
        <v>846</v>
      </c>
      <c r="D516" s="304" t="s">
        <v>1438</v>
      </c>
      <c r="E516" s="305"/>
      <c r="F516" s="117" t="s">
        <v>1652</v>
      </c>
      <c r="G516" s="116">
        <v>1</v>
      </c>
      <c r="H516" s="108">
        <v>0</v>
      </c>
    </row>
    <row r="517" spans="1:8" x14ac:dyDescent="0.2">
      <c r="A517" s="117" t="s">
        <v>330</v>
      </c>
      <c r="B517" s="117"/>
      <c r="C517" s="117" t="s">
        <v>847</v>
      </c>
      <c r="D517" s="304" t="s">
        <v>1439</v>
      </c>
      <c r="E517" s="305"/>
      <c r="F517" s="117" t="s">
        <v>1652</v>
      </c>
      <c r="G517" s="116">
        <v>1</v>
      </c>
      <c r="H517" s="108">
        <v>0</v>
      </c>
    </row>
    <row r="518" spans="1:8" x14ac:dyDescent="0.2">
      <c r="A518" s="117" t="s">
        <v>331</v>
      </c>
      <c r="B518" s="117"/>
      <c r="C518" s="117" t="s">
        <v>848</v>
      </c>
      <c r="D518" s="304" t="s">
        <v>1440</v>
      </c>
      <c r="E518" s="305"/>
      <c r="F518" s="117" t="s">
        <v>1652</v>
      </c>
      <c r="G518" s="116">
        <v>1</v>
      </c>
      <c r="H518" s="108">
        <v>0</v>
      </c>
    </row>
    <row r="519" spans="1:8" x14ac:dyDescent="0.2">
      <c r="A519" s="117" t="s">
        <v>332</v>
      </c>
      <c r="B519" s="117"/>
      <c r="C519" s="117" t="s">
        <v>849</v>
      </c>
      <c r="D519" s="304" t="s">
        <v>1441</v>
      </c>
      <c r="E519" s="305"/>
      <c r="F519" s="117" t="s">
        <v>1652</v>
      </c>
      <c r="G519" s="116">
        <v>1</v>
      </c>
      <c r="H519" s="108">
        <v>0</v>
      </c>
    </row>
    <row r="520" spans="1:8" x14ac:dyDescent="0.2">
      <c r="A520" s="117" t="s">
        <v>333</v>
      </c>
      <c r="B520" s="117"/>
      <c r="C520" s="117" t="s">
        <v>850</v>
      </c>
      <c r="D520" s="304" t="s">
        <v>1442</v>
      </c>
      <c r="E520" s="305"/>
      <c r="F520" s="117" t="s">
        <v>1652</v>
      </c>
      <c r="G520" s="116">
        <v>1</v>
      </c>
      <c r="H520" s="108">
        <v>0</v>
      </c>
    </row>
    <row r="521" spans="1:8" x14ac:dyDescent="0.2">
      <c r="A521" s="117" t="s">
        <v>334</v>
      </c>
      <c r="B521" s="117"/>
      <c r="C521" s="117" t="s">
        <v>851</v>
      </c>
      <c r="D521" s="304" t="s">
        <v>1443</v>
      </c>
      <c r="E521" s="305"/>
      <c r="F521" s="117" t="s">
        <v>1645</v>
      </c>
      <c r="G521" s="116">
        <v>17</v>
      </c>
      <c r="H521" s="108">
        <v>0</v>
      </c>
    </row>
    <row r="522" spans="1:8" x14ac:dyDescent="0.2">
      <c r="A522" s="117" t="s">
        <v>335</v>
      </c>
      <c r="B522" s="117"/>
      <c r="C522" s="117" t="s">
        <v>852</v>
      </c>
      <c r="D522" s="304" t="s">
        <v>1444</v>
      </c>
      <c r="E522" s="305"/>
      <c r="F522" s="117" t="s">
        <v>1647</v>
      </c>
      <c r="G522" s="116">
        <v>17</v>
      </c>
      <c r="H522" s="108">
        <v>0</v>
      </c>
    </row>
    <row r="523" spans="1:8" x14ac:dyDescent="0.2">
      <c r="A523" s="117" t="s">
        <v>336</v>
      </c>
      <c r="B523" s="117"/>
      <c r="C523" s="117" t="s">
        <v>853</v>
      </c>
      <c r="D523" s="304" t="s">
        <v>1445</v>
      </c>
      <c r="E523" s="305"/>
      <c r="F523" s="117" t="s">
        <v>1647</v>
      </c>
      <c r="G523" s="116">
        <v>1</v>
      </c>
      <c r="H523" s="108">
        <v>0</v>
      </c>
    </row>
    <row r="524" spans="1:8" x14ac:dyDescent="0.2">
      <c r="A524" s="117" t="s">
        <v>337</v>
      </c>
      <c r="B524" s="117"/>
      <c r="C524" s="117" t="s">
        <v>854</v>
      </c>
      <c r="D524" s="304" t="s">
        <v>1446</v>
      </c>
      <c r="E524" s="305"/>
      <c r="F524" s="117" t="s">
        <v>1647</v>
      </c>
      <c r="G524" s="116">
        <v>18</v>
      </c>
      <c r="H524" s="108">
        <v>0</v>
      </c>
    </row>
    <row r="525" spans="1:8" x14ac:dyDescent="0.2">
      <c r="A525" s="117" t="s">
        <v>338</v>
      </c>
      <c r="B525" s="117"/>
      <c r="C525" s="117" t="s">
        <v>855</v>
      </c>
      <c r="D525" s="304" t="s">
        <v>1447</v>
      </c>
      <c r="E525" s="305"/>
      <c r="F525" s="117" t="s">
        <v>1647</v>
      </c>
      <c r="G525" s="116">
        <v>18</v>
      </c>
      <c r="H525" s="108">
        <v>0</v>
      </c>
    </row>
    <row r="526" spans="1:8" x14ac:dyDescent="0.2">
      <c r="A526" s="117" t="s">
        <v>339</v>
      </c>
      <c r="B526" s="117"/>
      <c r="C526" s="117" t="s">
        <v>856</v>
      </c>
      <c r="D526" s="304" t="s">
        <v>1448</v>
      </c>
      <c r="E526" s="305"/>
      <c r="F526" s="117" t="s">
        <v>1647</v>
      </c>
      <c r="G526" s="116">
        <v>4</v>
      </c>
      <c r="H526" s="108">
        <v>0</v>
      </c>
    </row>
    <row r="527" spans="1:8" x14ac:dyDescent="0.2">
      <c r="A527" s="117" t="s">
        <v>340</v>
      </c>
      <c r="B527" s="117"/>
      <c r="C527" s="117" t="s">
        <v>857</v>
      </c>
      <c r="D527" s="304" t="s">
        <v>1449</v>
      </c>
      <c r="E527" s="305"/>
      <c r="F527" s="117" t="s">
        <v>1647</v>
      </c>
      <c r="G527" s="116">
        <v>8</v>
      </c>
      <c r="H527" s="108">
        <v>0</v>
      </c>
    </row>
    <row r="528" spans="1:8" x14ac:dyDescent="0.2">
      <c r="A528" s="117" t="s">
        <v>341</v>
      </c>
      <c r="B528" s="117"/>
      <c r="C528" s="117" t="s">
        <v>858</v>
      </c>
      <c r="D528" s="304" t="s">
        <v>1450</v>
      </c>
      <c r="E528" s="305"/>
      <c r="F528" s="117" t="s">
        <v>1647</v>
      </c>
      <c r="G528" s="116">
        <v>4</v>
      </c>
      <c r="H528" s="108">
        <v>0</v>
      </c>
    </row>
    <row r="529" spans="1:8" x14ac:dyDescent="0.2">
      <c r="A529" s="117" t="s">
        <v>342</v>
      </c>
      <c r="B529" s="117"/>
      <c r="C529" s="117" t="s">
        <v>859</v>
      </c>
      <c r="D529" s="304" t="s">
        <v>1451</v>
      </c>
      <c r="E529" s="305"/>
      <c r="F529" s="117" t="s">
        <v>1647</v>
      </c>
      <c r="G529" s="116">
        <v>18</v>
      </c>
      <c r="H529" s="108">
        <v>0</v>
      </c>
    </row>
    <row r="530" spans="1:8" x14ac:dyDescent="0.2">
      <c r="A530" s="117" t="s">
        <v>343</v>
      </c>
      <c r="B530" s="117"/>
      <c r="C530" s="117" t="s">
        <v>860</v>
      </c>
      <c r="D530" s="304" t="s">
        <v>1452</v>
      </c>
      <c r="E530" s="305"/>
      <c r="F530" s="117" t="s">
        <v>1644</v>
      </c>
      <c r="G530" s="116">
        <v>1</v>
      </c>
      <c r="H530" s="108">
        <v>0</v>
      </c>
    </row>
    <row r="531" spans="1:8" x14ac:dyDescent="0.2">
      <c r="A531" s="117" t="s">
        <v>344</v>
      </c>
      <c r="B531" s="117"/>
      <c r="C531" s="117" t="s">
        <v>861</v>
      </c>
      <c r="D531" s="304" t="s">
        <v>1453</v>
      </c>
      <c r="E531" s="305"/>
      <c r="F531" s="117" t="s">
        <v>1645</v>
      </c>
      <c r="G531" s="116">
        <v>17</v>
      </c>
      <c r="H531" s="108">
        <v>0</v>
      </c>
    </row>
    <row r="532" spans="1:8" x14ac:dyDescent="0.2">
      <c r="A532" s="117" t="s">
        <v>345</v>
      </c>
      <c r="B532" s="117"/>
      <c r="C532" s="117" t="s">
        <v>862</v>
      </c>
      <c r="D532" s="304" t="s">
        <v>1454</v>
      </c>
      <c r="E532" s="305"/>
      <c r="F532" s="117" t="s">
        <v>1652</v>
      </c>
      <c r="G532" s="116">
        <v>1</v>
      </c>
      <c r="H532" s="108">
        <v>0</v>
      </c>
    </row>
    <row r="533" spans="1:8" x14ac:dyDescent="0.2">
      <c r="A533" s="117" t="s">
        <v>346</v>
      </c>
      <c r="B533" s="117"/>
      <c r="C533" s="117" t="s">
        <v>863</v>
      </c>
      <c r="D533" s="304" t="s">
        <v>1455</v>
      </c>
      <c r="E533" s="305"/>
      <c r="F533" s="117" t="s">
        <v>1652</v>
      </c>
      <c r="G533" s="116">
        <v>1</v>
      </c>
      <c r="H533" s="108">
        <v>0</v>
      </c>
    </row>
    <row r="534" spans="1:8" x14ac:dyDescent="0.2">
      <c r="A534" s="117" t="s">
        <v>347</v>
      </c>
      <c r="B534" s="117"/>
      <c r="C534" s="117" t="s">
        <v>864</v>
      </c>
      <c r="D534" s="304" t="s">
        <v>1456</v>
      </c>
      <c r="E534" s="305"/>
      <c r="F534" s="117" t="s">
        <v>1652</v>
      </c>
      <c r="G534" s="116">
        <v>1</v>
      </c>
      <c r="H534" s="108">
        <v>0</v>
      </c>
    </row>
    <row r="535" spans="1:8" x14ac:dyDescent="0.2">
      <c r="A535" s="117" t="s">
        <v>348</v>
      </c>
      <c r="B535" s="117"/>
      <c r="C535" s="117" t="s">
        <v>865</v>
      </c>
      <c r="D535" s="304" t="s">
        <v>1420</v>
      </c>
      <c r="E535" s="305"/>
      <c r="F535" s="117" t="s">
        <v>1652</v>
      </c>
      <c r="G535" s="116">
        <v>1</v>
      </c>
      <c r="H535" s="108">
        <v>0</v>
      </c>
    </row>
    <row r="536" spans="1:8" x14ac:dyDescent="0.2">
      <c r="A536" s="117" t="s">
        <v>349</v>
      </c>
      <c r="B536" s="117"/>
      <c r="C536" s="117" t="s">
        <v>866</v>
      </c>
      <c r="D536" s="304" t="s">
        <v>1421</v>
      </c>
      <c r="E536" s="305"/>
      <c r="F536" s="117" t="s">
        <v>1652</v>
      </c>
      <c r="G536" s="116">
        <v>1</v>
      </c>
      <c r="H536" s="108">
        <v>0</v>
      </c>
    </row>
    <row r="537" spans="1:8" x14ac:dyDescent="0.2">
      <c r="A537" s="117" t="s">
        <v>350</v>
      </c>
      <c r="B537" s="117"/>
      <c r="C537" s="117" t="s">
        <v>867</v>
      </c>
      <c r="D537" s="304" t="s">
        <v>1457</v>
      </c>
      <c r="E537" s="305"/>
      <c r="F537" s="117" t="s">
        <v>1652</v>
      </c>
      <c r="G537" s="116">
        <v>1</v>
      </c>
      <c r="H537" s="108">
        <v>0</v>
      </c>
    </row>
    <row r="538" spans="1:8" x14ac:dyDescent="0.2">
      <c r="A538" s="120"/>
      <c r="B538" s="120"/>
      <c r="C538" s="120" t="s">
        <v>869</v>
      </c>
      <c r="D538" s="306" t="s">
        <v>1458</v>
      </c>
      <c r="E538" s="307"/>
      <c r="F538" s="120"/>
      <c r="G538" s="142"/>
      <c r="H538" s="109"/>
    </row>
    <row r="539" spans="1:8" x14ac:dyDescent="0.2">
      <c r="A539" s="117" t="s">
        <v>351</v>
      </c>
      <c r="B539" s="117"/>
      <c r="C539" s="117" t="s">
        <v>870</v>
      </c>
      <c r="D539" s="304" t="s">
        <v>1459</v>
      </c>
      <c r="E539" s="305"/>
      <c r="F539" s="117" t="s">
        <v>1644</v>
      </c>
      <c r="G539" s="116">
        <v>3</v>
      </c>
      <c r="H539" s="108">
        <v>0</v>
      </c>
    </row>
    <row r="540" spans="1:8" ht="12.2" customHeight="1" x14ac:dyDescent="0.2">
      <c r="D540" s="334" t="s">
        <v>1797</v>
      </c>
      <c r="E540" s="335"/>
      <c r="F540" s="335"/>
      <c r="G540" s="143">
        <v>3</v>
      </c>
    </row>
    <row r="541" spans="1:8" x14ac:dyDescent="0.2">
      <c r="A541" s="117" t="s">
        <v>352</v>
      </c>
      <c r="B541" s="117"/>
      <c r="C541" s="117" t="s">
        <v>871</v>
      </c>
      <c r="D541" s="304" t="s">
        <v>2692</v>
      </c>
      <c r="E541" s="305"/>
      <c r="F541" s="117" t="s">
        <v>1645</v>
      </c>
      <c r="G541" s="116">
        <v>310.892</v>
      </c>
      <c r="H541" s="108">
        <v>0</v>
      </c>
    </row>
    <row r="542" spans="1:8" ht="12.2" customHeight="1" x14ac:dyDescent="0.2">
      <c r="D542" s="334" t="s">
        <v>2894</v>
      </c>
      <c r="E542" s="335"/>
      <c r="F542" s="335"/>
      <c r="G542" s="143">
        <v>310.892</v>
      </c>
    </row>
    <row r="543" spans="1:8" x14ac:dyDescent="0.2">
      <c r="A543" s="117" t="s">
        <v>353</v>
      </c>
      <c r="B543" s="117"/>
      <c r="C543" s="117" t="s">
        <v>872</v>
      </c>
      <c r="D543" s="304" t="s">
        <v>1461</v>
      </c>
      <c r="E543" s="305"/>
      <c r="F543" s="117" t="s">
        <v>1645</v>
      </c>
      <c r="G543" s="116">
        <v>357.27</v>
      </c>
      <c r="H543" s="108">
        <v>0</v>
      </c>
    </row>
    <row r="544" spans="1:8" ht="12.2" customHeight="1" x14ac:dyDescent="0.2">
      <c r="D544" s="334" t="s">
        <v>2889</v>
      </c>
      <c r="E544" s="335"/>
      <c r="F544" s="335"/>
      <c r="G544" s="143">
        <v>357.27</v>
      </c>
    </row>
    <row r="545" spans="1:8" x14ac:dyDescent="0.2">
      <c r="A545" s="117" t="s">
        <v>354</v>
      </c>
      <c r="B545" s="117"/>
      <c r="C545" s="117" t="s">
        <v>873</v>
      </c>
      <c r="D545" s="304" t="s">
        <v>1462</v>
      </c>
      <c r="E545" s="305"/>
      <c r="F545" s="117" t="s">
        <v>1645</v>
      </c>
      <c r="G545" s="116">
        <v>357.27</v>
      </c>
      <c r="H545" s="108">
        <v>0</v>
      </c>
    </row>
    <row r="546" spans="1:8" ht="12.2" customHeight="1" x14ac:dyDescent="0.2">
      <c r="D546" s="334" t="s">
        <v>2889</v>
      </c>
      <c r="E546" s="335"/>
      <c r="F546" s="335"/>
      <c r="G546" s="143">
        <v>357.27</v>
      </c>
    </row>
    <row r="547" spans="1:8" x14ac:dyDescent="0.2">
      <c r="A547" s="117" t="s">
        <v>355</v>
      </c>
      <c r="B547" s="117"/>
      <c r="C547" s="117" t="s">
        <v>874</v>
      </c>
      <c r="D547" s="304" t="s">
        <v>2691</v>
      </c>
      <c r="E547" s="305"/>
      <c r="F547" s="117" t="s">
        <v>1645</v>
      </c>
      <c r="G547" s="116">
        <v>357.27</v>
      </c>
      <c r="H547" s="108">
        <v>0</v>
      </c>
    </row>
    <row r="548" spans="1:8" ht="12.2" customHeight="1" x14ac:dyDescent="0.2">
      <c r="D548" s="334" t="s">
        <v>2889</v>
      </c>
      <c r="E548" s="335"/>
      <c r="F548" s="335"/>
      <c r="G548" s="143">
        <v>357.27</v>
      </c>
    </row>
    <row r="549" spans="1:8" x14ac:dyDescent="0.2">
      <c r="A549" s="124" t="s">
        <v>356</v>
      </c>
      <c r="B549" s="124"/>
      <c r="C549" s="124" t="s">
        <v>875</v>
      </c>
      <c r="D549" s="311" t="s">
        <v>1464</v>
      </c>
      <c r="E549" s="312"/>
      <c r="F549" s="124" t="s">
        <v>1645</v>
      </c>
      <c r="G549" s="123">
        <v>375.13400000000001</v>
      </c>
      <c r="H549" s="121">
        <v>0</v>
      </c>
    </row>
    <row r="550" spans="1:8" ht="12.2" customHeight="1" x14ac:dyDescent="0.2">
      <c r="D550" s="336" t="s">
        <v>2893</v>
      </c>
      <c r="E550" s="337"/>
      <c r="F550" s="337"/>
      <c r="G550" s="146">
        <v>357.27</v>
      </c>
    </row>
    <row r="551" spans="1:8" ht="12.2" customHeight="1" x14ac:dyDescent="0.2">
      <c r="A551" s="124"/>
      <c r="B551" s="124"/>
      <c r="C551" s="124"/>
      <c r="D551" s="336" t="s">
        <v>2892</v>
      </c>
      <c r="E551" s="337"/>
      <c r="F551" s="336"/>
      <c r="G551" s="145">
        <v>17.864000000000001</v>
      </c>
      <c r="H551" s="122"/>
    </row>
    <row r="552" spans="1:8" x14ac:dyDescent="0.2">
      <c r="A552" s="117" t="s">
        <v>357</v>
      </c>
      <c r="B552" s="117"/>
      <c r="C552" s="117" t="s">
        <v>876</v>
      </c>
      <c r="D552" s="304" t="s">
        <v>1465</v>
      </c>
      <c r="E552" s="305"/>
      <c r="F552" s="117" t="s">
        <v>1645</v>
      </c>
      <c r="G552" s="116">
        <v>357.27</v>
      </c>
      <c r="H552" s="108">
        <v>0</v>
      </c>
    </row>
    <row r="553" spans="1:8" ht="12.2" customHeight="1" x14ac:dyDescent="0.2">
      <c r="D553" s="334" t="s">
        <v>2889</v>
      </c>
      <c r="E553" s="335"/>
      <c r="F553" s="335"/>
      <c r="G553" s="143">
        <v>357.27</v>
      </c>
    </row>
    <row r="554" spans="1:8" x14ac:dyDescent="0.2">
      <c r="A554" s="117" t="s">
        <v>358</v>
      </c>
      <c r="B554" s="117"/>
      <c r="C554" s="117" t="s">
        <v>877</v>
      </c>
      <c r="D554" s="304" t="s">
        <v>1466</v>
      </c>
      <c r="E554" s="305"/>
      <c r="F554" s="117" t="s">
        <v>1647</v>
      </c>
      <c r="G554" s="116">
        <v>7.86</v>
      </c>
      <c r="H554" s="108">
        <v>0</v>
      </c>
    </row>
    <row r="555" spans="1:8" ht="12.2" customHeight="1" x14ac:dyDescent="0.2">
      <c r="D555" s="334" t="s">
        <v>2891</v>
      </c>
      <c r="E555" s="335"/>
      <c r="F555" s="335"/>
      <c r="G555" s="143">
        <v>7.86</v>
      </c>
    </row>
    <row r="556" spans="1:8" x14ac:dyDescent="0.2">
      <c r="A556" s="117" t="s">
        <v>359</v>
      </c>
      <c r="B556" s="117"/>
      <c r="C556" s="117" t="s">
        <v>878</v>
      </c>
      <c r="D556" s="304" t="s">
        <v>1467</v>
      </c>
      <c r="E556" s="305"/>
      <c r="F556" s="117" t="s">
        <v>1645</v>
      </c>
      <c r="G556" s="116">
        <v>54.9</v>
      </c>
      <c r="H556" s="108">
        <v>0</v>
      </c>
    </row>
    <row r="557" spans="1:8" ht="12.2" customHeight="1" x14ac:dyDescent="0.2">
      <c r="D557" s="334" t="s">
        <v>1853</v>
      </c>
      <c r="E557" s="335"/>
      <c r="F557" s="335"/>
      <c r="G557" s="143">
        <v>54.9</v>
      </c>
    </row>
    <row r="558" spans="1:8" x14ac:dyDescent="0.2">
      <c r="A558" s="117" t="s">
        <v>360</v>
      </c>
      <c r="B558" s="117"/>
      <c r="C558" s="117" t="s">
        <v>879</v>
      </c>
      <c r="D558" s="304" t="s">
        <v>1468</v>
      </c>
      <c r="E558" s="305"/>
      <c r="F558" s="117" t="s">
        <v>1645</v>
      </c>
      <c r="G558" s="116">
        <v>54.9</v>
      </c>
      <c r="H558" s="108">
        <v>0</v>
      </c>
    </row>
    <row r="559" spans="1:8" ht="12.2" customHeight="1" x14ac:dyDescent="0.2">
      <c r="D559" s="334" t="s">
        <v>1853</v>
      </c>
      <c r="E559" s="335"/>
      <c r="F559" s="335"/>
      <c r="G559" s="143">
        <v>54.9</v>
      </c>
    </row>
    <row r="560" spans="1:8" x14ac:dyDescent="0.2">
      <c r="A560" s="117" t="s">
        <v>361</v>
      </c>
      <c r="B560" s="117"/>
      <c r="C560" s="117" t="s">
        <v>880</v>
      </c>
      <c r="D560" s="304" t="s">
        <v>1469</v>
      </c>
      <c r="E560" s="305"/>
      <c r="F560" s="117" t="s">
        <v>1647</v>
      </c>
      <c r="G560" s="116">
        <v>1.0429999999999999</v>
      </c>
      <c r="H560" s="108">
        <v>0</v>
      </c>
    </row>
    <row r="561" spans="1:8" ht="12.2" customHeight="1" x14ac:dyDescent="0.2">
      <c r="D561" s="334" t="s">
        <v>1854</v>
      </c>
      <c r="E561" s="335"/>
      <c r="F561" s="335"/>
      <c r="G561" s="143">
        <v>1.0429999999999999</v>
      </c>
    </row>
    <row r="562" spans="1:8" x14ac:dyDescent="0.2">
      <c r="A562" s="117" t="s">
        <v>362</v>
      </c>
      <c r="B562" s="117"/>
      <c r="C562" s="117" t="s">
        <v>881</v>
      </c>
      <c r="D562" s="304" t="s">
        <v>1470</v>
      </c>
      <c r="E562" s="305"/>
      <c r="F562" s="117" t="s">
        <v>1648</v>
      </c>
      <c r="G562" s="116">
        <v>32.53</v>
      </c>
      <c r="H562" s="108">
        <v>0</v>
      </c>
    </row>
    <row r="563" spans="1:8" ht="12.2" customHeight="1" x14ac:dyDescent="0.2">
      <c r="D563" s="334" t="s">
        <v>2890</v>
      </c>
      <c r="E563" s="335"/>
      <c r="F563" s="335"/>
      <c r="G563" s="143">
        <v>32.53</v>
      </c>
    </row>
    <row r="564" spans="1:8" x14ac:dyDescent="0.2">
      <c r="A564" s="120"/>
      <c r="B564" s="120"/>
      <c r="C564" s="120" t="s">
        <v>882</v>
      </c>
      <c r="D564" s="306" t="s">
        <v>1471</v>
      </c>
      <c r="E564" s="307"/>
      <c r="F564" s="120"/>
      <c r="G564" s="142"/>
      <c r="H564" s="109"/>
    </row>
    <row r="565" spans="1:8" x14ac:dyDescent="0.2">
      <c r="A565" s="117" t="s">
        <v>363</v>
      </c>
      <c r="B565" s="117"/>
      <c r="C565" s="117" t="s">
        <v>883</v>
      </c>
      <c r="D565" s="304" t="s">
        <v>1472</v>
      </c>
      <c r="E565" s="305"/>
      <c r="F565" s="117" t="s">
        <v>1645</v>
      </c>
      <c r="G565" s="116">
        <v>357.27</v>
      </c>
      <c r="H565" s="108">
        <v>0</v>
      </c>
    </row>
    <row r="566" spans="1:8" ht="12.2" customHeight="1" x14ac:dyDescent="0.2">
      <c r="D566" s="334" t="s">
        <v>2889</v>
      </c>
      <c r="E566" s="335"/>
      <c r="F566" s="335"/>
      <c r="G566" s="143">
        <v>357.27</v>
      </c>
    </row>
    <row r="567" spans="1:8" x14ac:dyDescent="0.2">
      <c r="A567" s="117" t="s">
        <v>364</v>
      </c>
      <c r="B567" s="117"/>
      <c r="C567" s="117" t="s">
        <v>884</v>
      </c>
      <c r="D567" s="304" t="s">
        <v>1473</v>
      </c>
      <c r="E567" s="305"/>
      <c r="F567" s="117" t="s">
        <v>1646</v>
      </c>
      <c r="G567" s="116">
        <v>106</v>
      </c>
      <c r="H567" s="108">
        <v>0</v>
      </c>
    </row>
    <row r="568" spans="1:8" ht="12.2" customHeight="1" x14ac:dyDescent="0.2">
      <c r="D568" s="334" t="s">
        <v>1856</v>
      </c>
      <c r="E568" s="335"/>
      <c r="F568" s="335"/>
      <c r="G568" s="143">
        <v>106</v>
      </c>
    </row>
    <row r="569" spans="1:8" x14ac:dyDescent="0.2">
      <c r="A569" s="117" t="s">
        <v>365</v>
      </c>
      <c r="B569" s="117"/>
      <c r="C569" s="117" t="s">
        <v>885</v>
      </c>
      <c r="D569" s="304" t="s">
        <v>1474</v>
      </c>
      <c r="E569" s="305"/>
      <c r="F569" s="117" t="s">
        <v>1645</v>
      </c>
      <c r="G569" s="116">
        <v>1.952</v>
      </c>
      <c r="H569" s="108">
        <v>0</v>
      </c>
    </row>
    <row r="570" spans="1:8" ht="12.2" customHeight="1" x14ac:dyDescent="0.2">
      <c r="D570" s="334" t="s">
        <v>1857</v>
      </c>
      <c r="E570" s="335"/>
      <c r="F570" s="335"/>
      <c r="G570" s="143">
        <v>1.952</v>
      </c>
    </row>
    <row r="571" spans="1:8" x14ac:dyDescent="0.2">
      <c r="A571" s="117" t="s">
        <v>366</v>
      </c>
      <c r="B571" s="117"/>
      <c r="C571" s="117" t="s">
        <v>886</v>
      </c>
      <c r="D571" s="304" t="s">
        <v>3034</v>
      </c>
      <c r="E571" s="305"/>
      <c r="F571" s="117" t="s">
        <v>1646</v>
      </c>
      <c r="G571" s="116">
        <v>64.5</v>
      </c>
      <c r="H571" s="108">
        <v>0</v>
      </c>
    </row>
    <row r="572" spans="1:8" ht="12.2" customHeight="1" x14ac:dyDescent="0.2">
      <c r="D572" s="334" t="s">
        <v>2885</v>
      </c>
      <c r="E572" s="335"/>
      <c r="F572" s="335"/>
      <c r="G572" s="143">
        <v>64.5</v>
      </c>
    </row>
    <row r="573" spans="1:8" x14ac:dyDescent="0.2">
      <c r="A573" s="117" t="s">
        <v>367</v>
      </c>
      <c r="B573" s="117"/>
      <c r="C573" s="117" t="s">
        <v>887</v>
      </c>
      <c r="D573" s="304" t="s">
        <v>3033</v>
      </c>
      <c r="E573" s="305"/>
      <c r="F573" s="117" t="s">
        <v>1644</v>
      </c>
      <c r="G573" s="116">
        <v>4</v>
      </c>
      <c r="H573" s="108">
        <v>0</v>
      </c>
    </row>
    <row r="574" spans="1:8" ht="12.2" customHeight="1" x14ac:dyDescent="0.2">
      <c r="D574" s="334" t="s">
        <v>1795</v>
      </c>
      <c r="E574" s="335"/>
      <c r="F574" s="335"/>
      <c r="G574" s="143">
        <v>4</v>
      </c>
    </row>
    <row r="575" spans="1:8" x14ac:dyDescent="0.2">
      <c r="A575" s="117" t="s">
        <v>368</v>
      </c>
      <c r="B575" s="117"/>
      <c r="C575" s="117" t="s">
        <v>888</v>
      </c>
      <c r="D575" s="304" t="s">
        <v>3032</v>
      </c>
      <c r="E575" s="305"/>
      <c r="F575" s="117" t="s">
        <v>1644</v>
      </c>
      <c r="G575" s="116">
        <v>1</v>
      </c>
      <c r="H575" s="108">
        <v>0</v>
      </c>
    </row>
    <row r="576" spans="1:8" ht="12.2" customHeight="1" x14ac:dyDescent="0.2">
      <c r="D576" s="334" t="s">
        <v>1749</v>
      </c>
      <c r="E576" s="335"/>
      <c r="F576" s="335"/>
      <c r="G576" s="143">
        <v>1</v>
      </c>
    </row>
    <row r="577" spans="1:8" x14ac:dyDescent="0.2">
      <c r="A577" s="117" t="s">
        <v>369</v>
      </c>
      <c r="B577" s="117"/>
      <c r="C577" s="117" t="s">
        <v>889</v>
      </c>
      <c r="D577" s="304" t="s">
        <v>1478</v>
      </c>
      <c r="E577" s="305"/>
      <c r="F577" s="117" t="s">
        <v>1646</v>
      </c>
      <c r="G577" s="116">
        <v>37.799999999999997</v>
      </c>
      <c r="H577" s="108">
        <v>0</v>
      </c>
    </row>
    <row r="578" spans="1:8" ht="12.2" customHeight="1" x14ac:dyDescent="0.2">
      <c r="D578" s="334" t="s">
        <v>2888</v>
      </c>
      <c r="E578" s="335"/>
      <c r="F578" s="335"/>
      <c r="G578" s="143">
        <v>37.799999999999997</v>
      </c>
    </row>
    <row r="579" spans="1:8" x14ac:dyDescent="0.2">
      <c r="A579" s="117" t="s">
        <v>370</v>
      </c>
      <c r="B579" s="117"/>
      <c r="C579" s="117" t="s">
        <v>890</v>
      </c>
      <c r="D579" s="304" t="s">
        <v>1479</v>
      </c>
      <c r="E579" s="305"/>
      <c r="F579" s="117" t="s">
        <v>1646</v>
      </c>
      <c r="G579" s="116">
        <v>9.6</v>
      </c>
      <c r="H579" s="108">
        <v>0</v>
      </c>
    </row>
    <row r="580" spans="1:8" ht="12.2" customHeight="1" x14ac:dyDescent="0.2">
      <c r="D580" s="334" t="s">
        <v>2887</v>
      </c>
      <c r="E580" s="335"/>
      <c r="F580" s="335"/>
      <c r="G580" s="143">
        <v>9.6</v>
      </c>
    </row>
    <row r="581" spans="1:8" x14ac:dyDescent="0.2">
      <c r="A581" s="117" t="s">
        <v>371</v>
      </c>
      <c r="B581" s="117"/>
      <c r="C581" s="117" t="s">
        <v>891</v>
      </c>
      <c r="D581" s="304" t="s">
        <v>1480</v>
      </c>
      <c r="E581" s="305"/>
      <c r="F581" s="117" t="s">
        <v>1646</v>
      </c>
      <c r="G581" s="116">
        <v>36</v>
      </c>
      <c r="H581" s="108">
        <v>0</v>
      </c>
    </row>
    <row r="582" spans="1:8" ht="12.2" customHeight="1" x14ac:dyDescent="0.2">
      <c r="D582" s="334" t="s">
        <v>2886</v>
      </c>
      <c r="E582" s="335"/>
      <c r="F582" s="335"/>
      <c r="G582" s="143">
        <v>36</v>
      </c>
    </row>
    <row r="583" spans="1:8" x14ac:dyDescent="0.2">
      <c r="A583" s="117" t="s">
        <v>372</v>
      </c>
      <c r="B583" s="117"/>
      <c r="C583" s="117" t="s">
        <v>892</v>
      </c>
      <c r="D583" s="304" t="s">
        <v>1481</v>
      </c>
      <c r="E583" s="305"/>
      <c r="F583" s="117" t="s">
        <v>1646</v>
      </c>
      <c r="G583" s="116">
        <v>31</v>
      </c>
      <c r="H583" s="108">
        <v>0</v>
      </c>
    </row>
    <row r="584" spans="1:8" ht="12.2" customHeight="1" x14ac:dyDescent="0.2">
      <c r="D584" s="334" t="s">
        <v>1861</v>
      </c>
      <c r="E584" s="335"/>
      <c r="F584" s="335"/>
      <c r="G584" s="143">
        <v>31</v>
      </c>
    </row>
    <row r="585" spans="1:8" x14ac:dyDescent="0.2">
      <c r="A585" s="117" t="s">
        <v>373</v>
      </c>
      <c r="B585" s="117"/>
      <c r="C585" s="117" t="s">
        <v>893</v>
      </c>
      <c r="D585" s="304" t="s">
        <v>1482</v>
      </c>
      <c r="E585" s="305"/>
      <c r="F585" s="117" t="s">
        <v>1646</v>
      </c>
      <c r="G585" s="116">
        <v>64.5</v>
      </c>
      <c r="H585" s="108">
        <v>0</v>
      </c>
    </row>
    <row r="586" spans="1:8" ht="12.2" customHeight="1" x14ac:dyDescent="0.2">
      <c r="D586" s="334" t="s">
        <v>2885</v>
      </c>
      <c r="E586" s="335"/>
      <c r="F586" s="335"/>
      <c r="G586" s="143">
        <v>64.5</v>
      </c>
    </row>
    <row r="587" spans="1:8" x14ac:dyDescent="0.2">
      <c r="A587" s="117" t="s">
        <v>374</v>
      </c>
      <c r="B587" s="117"/>
      <c r="C587" s="117" t="s">
        <v>894</v>
      </c>
      <c r="D587" s="304" t="s">
        <v>1483</v>
      </c>
      <c r="E587" s="305"/>
      <c r="F587" s="117" t="s">
        <v>1644</v>
      </c>
      <c r="G587" s="116">
        <v>4</v>
      </c>
      <c r="H587" s="108">
        <v>0</v>
      </c>
    </row>
    <row r="588" spans="1:8" ht="12.2" customHeight="1" x14ac:dyDescent="0.2">
      <c r="D588" s="334" t="s">
        <v>1795</v>
      </c>
      <c r="E588" s="335"/>
      <c r="F588" s="335"/>
      <c r="G588" s="143">
        <v>4</v>
      </c>
    </row>
    <row r="589" spans="1:8" x14ac:dyDescent="0.2">
      <c r="A589" s="117" t="s">
        <v>375</v>
      </c>
      <c r="B589" s="117"/>
      <c r="C589" s="117" t="s">
        <v>895</v>
      </c>
      <c r="D589" s="304" t="s">
        <v>1484</v>
      </c>
      <c r="E589" s="305"/>
      <c r="F589" s="117" t="s">
        <v>1646</v>
      </c>
      <c r="G589" s="116">
        <v>31</v>
      </c>
      <c r="H589" s="108">
        <v>0</v>
      </c>
    </row>
    <row r="590" spans="1:8" ht="12.2" customHeight="1" x14ac:dyDescent="0.2">
      <c r="D590" s="334" t="s">
        <v>1861</v>
      </c>
      <c r="E590" s="335"/>
      <c r="F590" s="335"/>
      <c r="G590" s="143">
        <v>31</v>
      </c>
    </row>
    <row r="591" spans="1:8" x14ac:dyDescent="0.2">
      <c r="A591" s="117" t="s">
        <v>376</v>
      </c>
      <c r="B591" s="117"/>
      <c r="C591" s="117" t="s">
        <v>896</v>
      </c>
      <c r="D591" s="304" t="s">
        <v>2690</v>
      </c>
      <c r="E591" s="305"/>
      <c r="F591" s="117" t="s">
        <v>1646</v>
      </c>
      <c r="G591" s="116">
        <v>106</v>
      </c>
      <c r="H591" s="108">
        <v>0</v>
      </c>
    </row>
    <row r="592" spans="1:8" ht="12.2" customHeight="1" x14ac:dyDescent="0.2">
      <c r="D592" s="334" t="s">
        <v>1862</v>
      </c>
      <c r="E592" s="335"/>
      <c r="F592" s="335"/>
      <c r="G592" s="143">
        <v>106</v>
      </c>
    </row>
    <row r="593" spans="1:8" x14ac:dyDescent="0.2">
      <c r="A593" s="117" t="s">
        <v>377</v>
      </c>
      <c r="B593" s="117"/>
      <c r="C593" s="117" t="s">
        <v>897</v>
      </c>
      <c r="D593" s="304" t="s">
        <v>1486</v>
      </c>
      <c r="E593" s="305"/>
      <c r="F593" s="117" t="s">
        <v>1646</v>
      </c>
      <c r="G593" s="116">
        <v>6.2</v>
      </c>
      <c r="H593" s="108">
        <v>0</v>
      </c>
    </row>
    <row r="594" spans="1:8" ht="12.2" customHeight="1" x14ac:dyDescent="0.2">
      <c r="D594" s="334" t="s">
        <v>1863</v>
      </c>
      <c r="E594" s="335"/>
      <c r="F594" s="335"/>
      <c r="G594" s="143">
        <v>6.2</v>
      </c>
    </row>
    <row r="595" spans="1:8" x14ac:dyDescent="0.2">
      <c r="A595" s="117" t="s">
        <v>378</v>
      </c>
      <c r="B595" s="117"/>
      <c r="C595" s="117" t="s">
        <v>898</v>
      </c>
      <c r="D595" s="304" t="s">
        <v>1487</v>
      </c>
      <c r="E595" s="305"/>
      <c r="F595" s="117" t="s">
        <v>1646</v>
      </c>
      <c r="G595" s="116">
        <v>3.2</v>
      </c>
      <c r="H595" s="108">
        <v>0</v>
      </c>
    </row>
    <row r="596" spans="1:8" ht="12.2" customHeight="1" x14ac:dyDescent="0.2">
      <c r="D596" s="334" t="s">
        <v>1864</v>
      </c>
      <c r="E596" s="335"/>
      <c r="F596" s="335"/>
      <c r="G596" s="143">
        <v>3.2</v>
      </c>
    </row>
    <row r="597" spans="1:8" x14ac:dyDescent="0.2">
      <c r="A597" s="117" t="s">
        <v>379</v>
      </c>
      <c r="B597" s="117"/>
      <c r="C597" s="117" t="s">
        <v>899</v>
      </c>
      <c r="D597" s="304" t="s">
        <v>1488</v>
      </c>
      <c r="E597" s="305"/>
      <c r="F597" s="117" t="s">
        <v>1646</v>
      </c>
      <c r="G597" s="116">
        <v>31.18</v>
      </c>
      <c r="H597" s="108">
        <v>0</v>
      </c>
    </row>
    <row r="598" spans="1:8" ht="12.2" customHeight="1" x14ac:dyDescent="0.2">
      <c r="D598" s="334" t="s">
        <v>1865</v>
      </c>
      <c r="E598" s="335"/>
      <c r="F598" s="335"/>
      <c r="G598" s="143">
        <v>31.18</v>
      </c>
    </row>
    <row r="599" spans="1:8" x14ac:dyDescent="0.2">
      <c r="A599" s="117" t="s">
        <v>380</v>
      </c>
      <c r="B599" s="117"/>
      <c r="C599" s="117" t="s">
        <v>900</v>
      </c>
      <c r="D599" s="304" t="s">
        <v>1489</v>
      </c>
      <c r="E599" s="305"/>
      <c r="F599" s="117" t="s">
        <v>1646</v>
      </c>
      <c r="G599" s="116">
        <v>31.17</v>
      </c>
      <c r="H599" s="108">
        <v>0</v>
      </c>
    </row>
    <row r="600" spans="1:8" ht="12.2" customHeight="1" x14ac:dyDescent="0.2">
      <c r="D600" s="334" t="s">
        <v>3202</v>
      </c>
      <c r="E600" s="335"/>
      <c r="F600" s="335"/>
      <c r="G600" s="143">
        <v>31.17</v>
      </c>
    </row>
    <row r="601" spans="1:8" x14ac:dyDescent="0.2">
      <c r="A601" s="117" t="s">
        <v>381</v>
      </c>
      <c r="B601" s="117"/>
      <c r="C601" s="117" t="s">
        <v>901</v>
      </c>
      <c r="D601" s="304" t="s">
        <v>1490</v>
      </c>
      <c r="E601" s="305"/>
      <c r="F601" s="117" t="s">
        <v>1646</v>
      </c>
      <c r="G601" s="116">
        <v>64.5</v>
      </c>
      <c r="H601" s="108">
        <v>0</v>
      </c>
    </row>
    <row r="602" spans="1:8" ht="12.2" customHeight="1" x14ac:dyDescent="0.2">
      <c r="D602" s="334" t="s">
        <v>2885</v>
      </c>
      <c r="E602" s="335"/>
      <c r="F602" s="335"/>
      <c r="G602" s="143">
        <v>64.5</v>
      </c>
    </row>
    <row r="603" spans="1:8" x14ac:dyDescent="0.2">
      <c r="A603" s="117" t="s">
        <v>382</v>
      </c>
      <c r="B603" s="117"/>
      <c r="C603" s="117" t="s">
        <v>902</v>
      </c>
      <c r="D603" s="304" t="s">
        <v>1491</v>
      </c>
      <c r="E603" s="305"/>
      <c r="F603" s="117" t="s">
        <v>1648</v>
      </c>
      <c r="G603" s="116">
        <v>4.6790000000000003</v>
      </c>
      <c r="H603" s="108">
        <v>0</v>
      </c>
    </row>
    <row r="604" spans="1:8" ht="12.2" customHeight="1" x14ac:dyDescent="0.2">
      <c r="D604" s="334" t="s">
        <v>2884</v>
      </c>
      <c r="E604" s="335"/>
      <c r="F604" s="335"/>
      <c r="G604" s="143">
        <v>4.6790000000000003</v>
      </c>
    </row>
    <row r="605" spans="1:8" x14ac:dyDescent="0.2">
      <c r="A605" s="120"/>
      <c r="B605" s="120"/>
      <c r="C605" s="120" t="s">
        <v>903</v>
      </c>
      <c r="D605" s="306" t="s">
        <v>1492</v>
      </c>
      <c r="E605" s="307"/>
      <c r="F605" s="120"/>
      <c r="G605" s="142"/>
      <c r="H605" s="109"/>
    </row>
    <row r="606" spans="1:8" x14ac:dyDescent="0.2">
      <c r="A606" s="117" t="s">
        <v>383</v>
      </c>
      <c r="B606" s="117"/>
      <c r="C606" s="117" t="s">
        <v>2689</v>
      </c>
      <c r="D606" s="304" t="s">
        <v>2688</v>
      </c>
      <c r="E606" s="305"/>
      <c r="F606" s="117" t="s">
        <v>1646</v>
      </c>
      <c r="G606" s="116">
        <v>30.6</v>
      </c>
      <c r="H606" s="108">
        <v>0</v>
      </c>
    </row>
    <row r="607" spans="1:8" ht="12.2" customHeight="1" x14ac:dyDescent="0.2">
      <c r="D607" s="334" t="s">
        <v>3201</v>
      </c>
      <c r="E607" s="335"/>
      <c r="F607" s="335"/>
      <c r="G607" s="143">
        <v>30.6</v>
      </c>
    </row>
    <row r="608" spans="1:8" x14ac:dyDescent="0.2">
      <c r="A608" s="117" t="s">
        <v>384</v>
      </c>
      <c r="B608" s="117"/>
      <c r="C608" s="117" t="s">
        <v>2687</v>
      </c>
      <c r="D608" s="304" t="s">
        <v>2686</v>
      </c>
      <c r="E608" s="305"/>
      <c r="F608" s="117" t="s">
        <v>1646</v>
      </c>
      <c r="G608" s="116">
        <v>10.199999999999999</v>
      </c>
      <c r="H608" s="108">
        <v>0</v>
      </c>
    </row>
    <row r="609" spans="1:8" ht="12.2" customHeight="1" x14ac:dyDescent="0.2">
      <c r="D609" s="334" t="s">
        <v>3200</v>
      </c>
      <c r="E609" s="335"/>
      <c r="F609" s="335"/>
      <c r="G609" s="143">
        <v>10.199999999999999</v>
      </c>
    </row>
    <row r="610" spans="1:8" x14ac:dyDescent="0.2">
      <c r="A610" s="117" t="s">
        <v>385</v>
      </c>
      <c r="B610" s="117"/>
      <c r="C610" s="117" t="s">
        <v>904</v>
      </c>
      <c r="D610" s="304" t="s">
        <v>1493</v>
      </c>
      <c r="E610" s="305"/>
      <c r="F610" s="117" t="s">
        <v>1644</v>
      </c>
      <c r="G610" s="116">
        <v>1</v>
      </c>
      <c r="H610" s="108">
        <v>0</v>
      </c>
    </row>
    <row r="611" spans="1:8" ht="12.2" customHeight="1" x14ac:dyDescent="0.2">
      <c r="D611" s="334" t="s">
        <v>1749</v>
      </c>
      <c r="E611" s="335"/>
      <c r="F611" s="335"/>
      <c r="G611" s="143">
        <v>1</v>
      </c>
    </row>
    <row r="612" spans="1:8" x14ac:dyDescent="0.2">
      <c r="A612" s="117" t="s">
        <v>386</v>
      </c>
      <c r="B612" s="117"/>
      <c r="C612" s="117" t="s">
        <v>905</v>
      </c>
      <c r="D612" s="304" t="s">
        <v>3031</v>
      </c>
      <c r="E612" s="305"/>
      <c r="F612" s="117" t="s">
        <v>1644</v>
      </c>
      <c r="G612" s="116">
        <v>1</v>
      </c>
      <c r="H612" s="108">
        <v>0</v>
      </c>
    </row>
    <row r="613" spans="1:8" ht="12.2" customHeight="1" x14ac:dyDescent="0.2">
      <c r="D613" s="334" t="s">
        <v>1749</v>
      </c>
      <c r="E613" s="335"/>
      <c r="F613" s="335"/>
      <c r="G613" s="143">
        <v>1</v>
      </c>
    </row>
    <row r="614" spans="1:8" x14ac:dyDescent="0.2">
      <c r="A614" s="117" t="s">
        <v>387</v>
      </c>
      <c r="B614" s="117"/>
      <c r="C614" s="117" t="s">
        <v>2685</v>
      </c>
      <c r="D614" s="304" t="s">
        <v>2684</v>
      </c>
      <c r="E614" s="305"/>
      <c r="F614" s="117" t="s">
        <v>1644</v>
      </c>
      <c r="G614" s="116">
        <v>7</v>
      </c>
      <c r="H614" s="108">
        <v>0</v>
      </c>
    </row>
    <row r="615" spans="1:8" ht="12.2" customHeight="1" x14ac:dyDescent="0.2">
      <c r="D615" s="334" t="s">
        <v>3199</v>
      </c>
      <c r="E615" s="335"/>
      <c r="F615" s="335"/>
      <c r="G615" s="143">
        <v>7</v>
      </c>
    </row>
    <row r="616" spans="1:8" x14ac:dyDescent="0.2">
      <c r="A616" s="124" t="s">
        <v>388</v>
      </c>
      <c r="B616" s="124"/>
      <c r="C616" s="124" t="s">
        <v>2683</v>
      </c>
      <c r="D616" s="311" t="s">
        <v>2682</v>
      </c>
      <c r="E616" s="312"/>
      <c r="F616" s="124" t="s">
        <v>1644</v>
      </c>
      <c r="G616" s="123">
        <v>7</v>
      </c>
      <c r="H616" s="121">
        <v>0</v>
      </c>
    </row>
    <row r="617" spans="1:8" ht="12.2" customHeight="1" x14ac:dyDescent="0.2">
      <c r="D617" s="336" t="s">
        <v>3199</v>
      </c>
      <c r="E617" s="337"/>
      <c r="F617" s="337"/>
      <c r="G617" s="146">
        <v>7</v>
      </c>
    </row>
    <row r="618" spans="1:8" x14ac:dyDescent="0.2">
      <c r="A618" s="117" t="s">
        <v>389</v>
      </c>
      <c r="B618" s="117"/>
      <c r="C618" s="117" t="s">
        <v>2681</v>
      </c>
      <c r="D618" s="304" t="s">
        <v>2680</v>
      </c>
      <c r="E618" s="305"/>
      <c r="F618" s="117" t="s">
        <v>1644</v>
      </c>
      <c r="G618" s="116">
        <v>2</v>
      </c>
      <c r="H618" s="108">
        <v>0</v>
      </c>
    </row>
    <row r="619" spans="1:8" ht="12.2" customHeight="1" x14ac:dyDescent="0.2">
      <c r="D619" s="334" t="s">
        <v>1849</v>
      </c>
      <c r="E619" s="335"/>
      <c r="F619" s="335"/>
      <c r="G619" s="143">
        <v>2</v>
      </c>
    </row>
    <row r="620" spans="1:8" x14ac:dyDescent="0.2">
      <c r="A620" s="124" t="s">
        <v>390</v>
      </c>
      <c r="B620" s="124"/>
      <c r="C620" s="124" t="s">
        <v>2679</v>
      </c>
      <c r="D620" s="311" t="s">
        <v>2678</v>
      </c>
      <c r="E620" s="312"/>
      <c r="F620" s="124" t="s">
        <v>1644</v>
      </c>
      <c r="G620" s="123">
        <v>2</v>
      </c>
      <c r="H620" s="121">
        <v>0</v>
      </c>
    </row>
    <row r="621" spans="1:8" ht="12.2" customHeight="1" x14ac:dyDescent="0.2">
      <c r="D621" s="336" t="s">
        <v>1849</v>
      </c>
      <c r="E621" s="337"/>
      <c r="F621" s="337"/>
      <c r="G621" s="146">
        <v>2</v>
      </c>
    </row>
    <row r="622" spans="1:8" x14ac:dyDescent="0.2">
      <c r="A622" s="117" t="s">
        <v>391</v>
      </c>
      <c r="B622" s="117"/>
      <c r="C622" s="117" t="s">
        <v>906</v>
      </c>
      <c r="D622" s="304" t="s">
        <v>1495</v>
      </c>
      <c r="E622" s="305"/>
      <c r="F622" s="117" t="s">
        <v>1648</v>
      </c>
      <c r="G622" s="116">
        <v>0.34399999999999997</v>
      </c>
      <c r="H622" s="108">
        <v>0</v>
      </c>
    </row>
    <row r="623" spans="1:8" ht="12.2" customHeight="1" x14ac:dyDescent="0.2">
      <c r="D623" s="334" t="s">
        <v>3198</v>
      </c>
      <c r="E623" s="335"/>
      <c r="F623" s="335"/>
      <c r="G623" s="143">
        <v>0.34399999999999997</v>
      </c>
    </row>
    <row r="624" spans="1:8" x14ac:dyDescent="0.2">
      <c r="A624" s="120"/>
      <c r="B624" s="120"/>
      <c r="C624" s="120" t="s">
        <v>907</v>
      </c>
      <c r="D624" s="306" t="s">
        <v>1496</v>
      </c>
      <c r="E624" s="307"/>
      <c r="F624" s="120"/>
      <c r="G624" s="142"/>
      <c r="H624" s="109"/>
    </row>
    <row r="625" spans="1:8" x14ac:dyDescent="0.2">
      <c r="A625" s="117" t="s">
        <v>392</v>
      </c>
      <c r="B625" s="117"/>
      <c r="C625" s="117" t="s">
        <v>908</v>
      </c>
      <c r="D625" s="304" t="s">
        <v>3030</v>
      </c>
      <c r="E625" s="305"/>
      <c r="F625" s="117" t="s">
        <v>1644</v>
      </c>
      <c r="G625" s="116">
        <v>2</v>
      </c>
      <c r="H625" s="108">
        <v>0</v>
      </c>
    </row>
    <row r="626" spans="1:8" ht="12.2" customHeight="1" x14ac:dyDescent="0.2">
      <c r="D626" s="334" t="s">
        <v>1849</v>
      </c>
      <c r="E626" s="335"/>
      <c r="F626" s="335"/>
      <c r="G626" s="143">
        <v>2</v>
      </c>
    </row>
    <row r="627" spans="1:8" x14ac:dyDescent="0.2">
      <c r="A627" s="117" t="s">
        <v>393</v>
      </c>
      <c r="B627" s="117"/>
      <c r="C627" s="117" t="s">
        <v>909</v>
      </c>
      <c r="D627" s="304" t="s">
        <v>1498</v>
      </c>
      <c r="E627" s="305"/>
      <c r="F627" s="117" t="s">
        <v>1644</v>
      </c>
      <c r="G627" s="116">
        <v>1</v>
      </c>
      <c r="H627" s="108">
        <v>0</v>
      </c>
    </row>
    <row r="628" spans="1:8" ht="12.2" customHeight="1" x14ac:dyDescent="0.2">
      <c r="D628" s="334" t="s">
        <v>1749</v>
      </c>
      <c r="E628" s="335"/>
      <c r="F628" s="335"/>
      <c r="G628" s="143">
        <v>1</v>
      </c>
    </row>
    <row r="629" spans="1:8" x14ac:dyDescent="0.2">
      <c r="A629" s="117" t="s">
        <v>394</v>
      </c>
      <c r="B629" s="117"/>
      <c r="C629" s="117" t="s">
        <v>913</v>
      </c>
      <c r="D629" s="304" t="s">
        <v>1502</v>
      </c>
      <c r="E629" s="305"/>
      <c r="F629" s="117" t="s">
        <v>1644</v>
      </c>
      <c r="G629" s="116">
        <v>4</v>
      </c>
      <c r="H629" s="108">
        <v>0</v>
      </c>
    </row>
    <row r="630" spans="1:8" ht="12.2" customHeight="1" x14ac:dyDescent="0.2">
      <c r="D630" s="334" t="s">
        <v>1795</v>
      </c>
      <c r="E630" s="335"/>
      <c r="F630" s="335"/>
      <c r="G630" s="143">
        <v>4</v>
      </c>
    </row>
    <row r="631" spans="1:8" x14ac:dyDescent="0.2">
      <c r="A631" s="117" t="s">
        <v>395</v>
      </c>
      <c r="B631" s="117"/>
      <c r="C631" s="117" t="s">
        <v>3029</v>
      </c>
      <c r="D631" s="304" t="s">
        <v>3028</v>
      </c>
      <c r="E631" s="305"/>
      <c r="F631" s="117" t="s">
        <v>1644</v>
      </c>
      <c r="G631" s="116">
        <v>6</v>
      </c>
      <c r="H631" s="108">
        <v>0</v>
      </c>
    </row>
    <row r="632" spans="1:8" ht="12.2" customHeight="1" x14ac:dyDescent="0.2">
      <c r="D632" s="334" t="s">
        <v>1806</v>
      </c>
      <c r="E632" s="335"/>
      <c r="F632" s="335"/>
      <c r="G632" s="143">
        <v>6</v>
      </c>
    </row>
    <row r="633" spans="1:8" x14ac:dyDescent="0.2">
      <c r="A633" s="117" t="s">
        <v>396</v>
      </c>
      <c r="B633" s="117"/>
      <c r="C633" s="117" t="s">
        <v>914</v>
      </c>
      <c r="D633" s="304" t="s">
        <v>1503</v>
      </c>
      <c r="E633" s="305"/>
      <c r="F633" s="117" t="s">
        <v>1644</v>
      </c>
      <c r="G633" s="116">
        <v>2</v>
      </c>
      <c r="H633" s="108">
        <v>0</v>
      </c>
    </row>
    <row r="634" spans="1:8" ht="12.2" customHeight="1" x14ac:dyDescent="0.2">
      <c r="D634" s="334" t="s">
        <v>1849</v>
      </c>
      <c r="E634" s="335"/>
      <c r="F634" s="335"/>
      <c r="G634" s="143">
        <v>2</v>
      </c>
    </row>
    <row r="635" spans="1:8" x14ac:dyDescent="0.2">
      <c r="A635" s="117" t="s">
        <v>397</v>
      </c>
      <c r="B635" s="117"/>
      <c r="C635" s="117" t="s">
        <v>916</v>
      </c>
      <c r="D635" s="304" t="s">
        <v>1505</v>
      </c>
      <c r="E635" s="305"/>
      <c r="F635" s="117" t="s">
        <v>1644</v>
      </c>
      <c r="G635" s="116">
        <v>1</v>
      </c>
      <c r="H635" s="108">
        <v>0</v>
      </c>
    </row>
    <row r="636" spans="1:8" ht="12.2" customHeight="1" x14ac:dyDescent="0.2">
      <c r="D636" s="334" t="s">
        <v>1749</v>
      </c>
      <c r="E636" s="335"/>
      <c r="F636" s="335"/>
      <c r="G636" s="143">
        <v>1</v>
      </c>
    </row>
    <row r="637" spans="1:8" x14ac:dyDescent="0.2">
      <c r="A637" s="117" t="s">
        <v>398</v>
      </c>
      <c r="B637" s="117"/>
      <c r="C637" s="117" t="s">
        <v>918</v>
      </c>
      <c r="D637" s="304" t="s">
        <v>1507</v>
      </c>
      <c r="E637" s="305"/>
      <c r="F637" s="117" t="s">
        <v>1644</v>
      </c>
      <c r="G637" s="116">
        <v>4</v>
      </c>
      <c r="H637" s="108">
        <v>0</v>
      </c>
    </row>
    <row r="638" spans="1:8" ht="12.2" customHeight="1" x14ac:dyDescent="0.2">
      <c r="D638" s="334" t="s">
        <v>3197</v>
      </c>
      <c r="E638" s="335"/>
      <c r="F638" s="335"/>
      <c r="G638" s="143">
        <v>4</v>
      </c>
    </row>
    <row r="639" spans="1:8" x14ac:dyDescent="0.2">
      <c r="A639" s="117" t="s">
        <v>399</v>
      </c>
      <c r="B639" s="117"/>
      <c r="C639" s="117" t="s">
        <v>919</v>
      </c>
      <c r="D639" s="304" t="s">
        <v>1508</v>
      </c>
      <c r="E639" s="305"/>
      <c r="F639" s="117" t="s">
        <v>1644</v>
      </c>
      <c r="G639" s="116">
        <v>3</v>
      </c>
      <c r="H639" s="108">
        <v>0</v>
      </c>
    </row>
    <row r="640" spans="1:8" ht="12.2" customHeight="1" x14ac:dyDescent="0.2">
      <c r="D640" s="334" t="s">
        <v>1797</v>
      </c>
      <c r="E640" s="335"/>
      <c r="F640" s="335"/>
      <c r="G640" s="143">
        <v>3</v>
      </c>
    </row>
    <row r="641" spans="1:8" x14ac:dyDescent="0.2">
      <c r="A641" s="117" t="s">
        <v>400</v>
      </c>
      <c r="B641" s="117"/>
      <c r="C641" s="117" t="s">
        <v>917</v>
      </c>
      <c r="D641" s="304" t="s">
        <v>1506</v>
      </c>
      <c r="E641" s="305"/>
      <c r="F641" s="117" t="s">
        <v>1644</v>
      </c>
      <c r="G641" s="116">
        <v>1</v>
      </c>
      <c r="H641" s="108">
        <v>0</v>
      </c>
    </row>
    <row r="642" spans="1:8" ht="12.2" customHeight="1" x14ac:dyDescent="0.2">
      <c r="D642" s="334" t="s">
        <v>1749</v>
      </c>
      <c r="E642" s="335"/>
      <c r="F642" s="335"/>
      <c r="G642" s="143">
        <v>1</v>
      </c>
    </row>
    <row r="643" spans="1:8" x14ac:dyDescent="0.2">
      <c r="A643" s="117" t="s">
        <v>401</v>
      </c>
      <c r="B643" s="117"/>
      <c r="C643" s="117" t="s">
        <v>920</v>
      </c>
      <c r="D643" s="304" t="s">
        <v>3027</v>
      </c>
      <c r="E643" s="305"/>
      <c r="F643" s="117" t="s">
        <v>1644</v>
      </c>
      <c r="G643" s="116">
        <v>2</v>
      </c>
      <c r="H643" s="108">
        <v>0</v>
      </c>
    </row>
    <row r="644" spans="1:8" ht="12.2" customHeight="1" x14ac:dyDescent="0.2">
      <c r="D644" s="334" t="s">
        <v>1849</v>
      </c>
      <c r="E644" s="335"/>
      <c r="F644" s="335"/>
      <c r="G644" s="143">
        <v>2</v>
      </c>
    </row>
    <row r="645" spans="1:8" x14ac:dyDescent="0.2">
      <c r="A645" s="117" t="s">
        <v>402</v>
      </c>
      <c r="B645" s="117"/>
      <c r="C645" s="117" t="s">
        <v>2677</v>
      </c>
      <c r="D645" s="304" t="s">
        <v>2676</v>
      </c>
      <c r="E645" s="305"/>
      <c r="F645" s="117" t="s">
        <v>1644</v>
      </c>
      <c r="G645" s="116">
        <v>2</v>
      </c>
      <c r="H645" s="108">
        <v>0</v>
      </c>
    </row>
    <row r="646" spans="1:8" ht="12.2" customHeight="1" x14ac:dyDescent="0.2">
      <c r="D646" s="334" t="s">
        <v>1849</v>
      </c>
      <c r="E646" s="335"/>
      <c r="F646" s="335"/>
      <c r="G646" s="143">
        <v>2</v>
      </c>
    </row>
    <row r="647" spans="1:8" x14ac:dyDescent="0.2">
      <c r="A647" s="117" t="s">
        <v>403</v>
      </c>
      <c r="B647" s="117"/>
      <c r="C647" s="117" t="s">
        <v>921</v>
      </c>
      <c r="D647" s="304" t="s">
        <v>1510</v>
      </c>
      <c r="E647" s="305"/>
      <c r="F647" s="117" t="s">
        <v>1648</v>
      </c>
      <c r="G647" s="116">
        <v>0.78400000000000003</v>
      </c>
      <c r="H647" s="108">
        <v>0</v>
      </c>
    </row>
    <row r="648" spans="1:8" ht="12.2" customHeight="1" x14ac:dyDescent="0.2">
      <c r="D648" s="334" t="s">
        <v>2516</v>
      </c>
      <c r="E648" s="335"/>
      <c r="F648" s="335"/>
      <c r="G648" s="143">
        <v>0.78400000000000003</v>
      </c>
    </row>
    <row r="649" spans="1:8" x14ac:dyDescent="0.2">
      <c r="A649" s="120"/>
      <c r="B649" s="120"/>
      <c r="C649" s="120" t="s">
        <v>922</v>
      </c>
      <c r="D649" s="306" t="s">
        <v>1511</v>
      </c>
      <c r="E649" s="307"/>
      <c r="F649" s="120"/>
      <c r="G649" s="142"/>
      <c r="H649" s="109"/>
    </row>
    <row r="650" spans="1:8" x14ac:dyDescent="0.2">
      <c r="A650" s="117" t="s">
        <v>404</v>
      </c>
      <c r="B650" s="117"/>
      <c r="C650" s="117" t="s">
        <v>923</v>
      </c>
      <c r="D650" s="304" t="s">
        <v>1512</v>
      </c>
      <c r="E650" s="305"/>
      <c r="F650" s="117" t="s">
        <v>1645</v>
      </c>
      <c r="G650" s="116">
        <v>32.003</v>
      </c>
      <c r="H650" s="108">
        <v>0</v>
      </c>
    </row>
    <row r="651" spans="1:8" ht="12.2" customHeight="1" x14ac:dyDescent="0.2">
      <c r="D651" s="334" t="s">
        <v>3196</v>
      </c>
      <c r="E651" s="335"/>
      <c r="F651" s="335"/>
      <c r="G651" s="143">
        <v>32.003</v>
      </c>
    </row>
    <row r="652" spans="1:8" x14ac:dyDescent="0.2">
      <c r="A652" s="117" t="s">
        <v>405</v>
      </c>
      <c r="B652" s="117"/>
      <c r="C652" s="117" t="s">
        <v>924</v>
      </c>
      <c r="D652" s="304" t="s">
        <v>1513</v>
      </c>
      <c r="E652" s="305"/>
      <c r="F652" s="117" t="s">
        <v>1645</v>
      </c>
      <c r="G652" s="116">
        <v>32.003</v>
      </c>
      <c r="H652" s="108">
        <v>0</v>
      </c>
    </row>
    <row r="653" spans="1:8" ht="12.2" customHeight="1" x14ac:dyDescent="0.2">
      <c r="D653" s="334" t="s">
        <v>3196</v>
      </c>
      <c r="E653" s="335"/>
      <c r="F653" s="335"/>
      <c r="G653" s="143">
        <v>32.003</v>
      </c>
    </row>
    <row r="654" spans="1:8" x14ac:dyDescent="0.2">
      <c r="A654" s="117" t="s">
        <v>406</v>
      </c>
      <c r="B654" s="117"/>
      <c r="C654" s="117" t="s">
        <v>925</v>
      </c>
      <c r="D654" s="304" t="s">
        <v>1514</v>
      </c>
      <c r="E654" s="305"/>
      <c r="F654" s="117" t="s">
        <v>1645</v>
      </c>
      <c r="G654" s="116">
        <v>32.003</v>
      </c>
      <c r="H654" s="108">
        <v>0</v>
      </c>
    </row>
    <row r="655" spans="1:8" ht="12.2" customHeight="1" x14ac:dyDescent="0.2">
      <c r="D655" s="334" t="s">
        <v>3196</v>
      </c>
      <c r="E655" s="335"/>
      <c r="F655" s="335"/>
      <c r="G655" s="143">
        <v>32.003</v>
      </c>
    </row>
    <row r="656" spans="1:8" x14ac:dyDescent="0.2">
      <c r="A656" s="124" t="s">
        <v>407</v>
      </c>
      <c r="B656" s="124"/>
      <c r="C656" s="124" t="s">
        <v>926</v>
      </c>
      <c r="D656" s="311" t="s">
        <v>1515</v>
      </c>
      <c r="E656" s="312"/>
      <c r="F656" s="124" t="s">
        <v>1645</v>
      </c>
      <c r="G656" s="123">
        <v>33.603000000000002</v>
      </c>
      <c r="H656" s="121">
        <v>0</v>
      </c>
    </row>
    <row r="657" spans="1:8" ht="12.2" customHeight="1" x14ac:dyDescent="0.2">
      <c r="D657" s="336" t="s">
        <v>3195</v>
      </c>
      <c r="E657" s="337"/>
      <c r="F657" s="337"/>
      <c r="G657" s="146">
        <v>32.003</v>
      </c>
    </row>
    <row r="658" spans="1:8" ht="12.2" customHeight="1" x14ac:dyDescent="0.2">
      <c r="A658" s="124"/>
      <c r="B658" s="124"/>
      <c r="C658" s="124"/>
      <c r="D658" s="336" t="s">
        <v>3194</v>
      </c>
      <c r="E658" s="337"/>
      <c r="F658" s="336"/>
      <c r="G658" s="145">
        <v>1.6</v>
      </c>
      <c r="H658" s="122"/>
    </row>
    <row r="659" spans="1:8" x14ac:dyDescent="0.2">
      <c r="A659" s="117" t="s">
        <v>408</v>
      </c>
      <c r="B659" s="117"/>
      <c r="C659" s="117" t="s">
        <v>927</v>
      </c>
      <c r="D659" s="304" t="s">
        <v>1516</v>
      </c>
      <c r="E659" s="305"/>
      <c r="F659" s="117" t="s">
        <v>1646</v>
      </c>
      <c r="G659" s="116">
        <v>33.950000000000003</v>
      </c>
      <c r="H659" s="108">
        <v>0</v>
      </c>
    </row>
    <row r="660" spans="1:8" ht="12.2" customHeight="1" x14ac:dyDescent="0.2">
      <c r="D660" s="334" t="s">
        <v>3193</v>
      </c>
      <c r="E660" s="335"/>
      <c r="F660" s="335"/>
      <c r="G660" s="143">
        <v>33.950000000000003</v>
      </c>
    </row>
    <row r="661" spans="1:8" x14ac:dyDescent="0.2">
      <c r="A661" s="124" t="s">
        <v>409</v>
      </c>
      <c r="B661" s="124"/>
      <c r="C661" s="124" t="s">
        <v>928</v>
      </c>
      <c r="D661" s="311" t="s">
        <v>1517</v>
      </c>
      <c r="E661" s="312"/>
      <c r="F661" s="124" t="s">
        <v>1645</v>
      </c>
      <c r="G661" s="123">
        <v>4.2439999999999998</v>
      </c>
      <c r="H661" s="121">
        <v>0</v>
      </c>
    </row>
    <row r="662" spans="1:8" ht="12.2" customHeight="1" x14ac:dyDescent="0.2">
      <c r="D662" s="336" t="s">
        <v>3192</v>
      </c>
      <c r="E662" s="337"/>
      <c r="F662" s="337"/>
      <c r="G662" s="146">
        <v>3.395</v>
      </c>
    </row>
    <row r="663" spans="1:8" ht="12.2" customHeight="1" x14ac:dyDescent="0.2">
      <c r="A663" s="124"/>
      <c r="B663" s="124"/>
      <c r="C663" s="124"/>
      <c r="D663" s="336" t="s">
        <v>3191</v>
      </c>
      <c r="E663" s="337"/>
      <c r="F663" s="336"/>
      <c r="G663" s="145">
        <v>0.84899999999999998</v>
      </c>
      <c r="H663" s="122"/>
    </row>
    <row r="664" spans="1:8" x14ac:dyDescent="0.2">
      <c r="A664" s="117" t="s">
        <v>410</v>
      </c>
      <c r="B664" s="117"/>
      <c r="C664" s="117" t="s">
        <v>929</v>
      </c>
      <c r="D664" s="304" t="s">
        <v>1518</v>
      </c>
      <c r="E664" s="305"/>
      <c r="F664" s="117" t="s">
        <v>1648</v>
      </c>
      <c r="G664" s="116">
        <v>0.90400000000000003</v>
      </c>
      <c r="H664" s="108">
        <v>0</v>
      </c>
    </row>
    <row r="665" spans="1:8" ht="12.2" customHeight="1" x14ac:dyDescent="0.2">
      <c r="D665" s="334" t="s">
        <v>3190</v>
      </c>
      <c r="E665" s="335"/>
      <c r="F665" s="335"/>
      <c r="G665" s="143">
        <v>0.90400000000000003</v>
      </c>
    </row>
    <row r="666" spans="1:8" x14ac:dyDescent="0.2">
      <c r="A666" s="120"/>
      <c r="B666" s="120"/>
      <c r="C666" s="120" t="s">
        <v>930</v>
      </c>
      <c r="D666" s="306" t="s">
        <v>1519</v>
      </c>
      <c r="E666" s="307"/>
      <c r="F666" s="120"/>
      <c r="G666" s="142"/>
      <c r="H666" s="109"/>
    </row>
    <row r="667" spans="1:8" x14ac:dyDescent="0.2">
      <c r="A667" s="117" t="s">
        <v>411</v>
      </c>
      <c r="B667" s="117"/>
      <c r="C667" s="117" t="s">
        <v>931</v>
      </c>
      <c r="D667" s="304" t="s">
        <v>1520</v>
      </c>
      <c r="E667" s="305"/>
      <c r="F667" s="117" t="s">
        <v>1645</v>
      </c>
      <c r="G667" s="116">
        <v>623.00300000000004</v>
      </c>
      <c r="H667" s="108">
        <v>0</v>
      </c>
    </row>
    <row r="668" spans="1:8" ht="12.2" customHeight="1" x14ac:dyDescent="0.2">
      <c r="D668" s="334" t="s">
        <v>3189</v>
      </c>
      <c r="E668" s="335"/>
      <c r="F668" s="335"/>
      <c r="G668" s="143">
        <v>119.27800000000001</v>
      </c>
    </row>
    <row r="669" spans="1:8" ht="12.2" customHeight="1" x14ac:dyDescent="0.2">
      <c r="A669" s="117"/>
      <c r="B669" s="117"/>
      <c r="C669" s="117"/>
      <c r="D669" s="334" t="s">
        <v>3188</v>
      </c>
      <c r="E669" s="335"/>
      <c r="F669" s="334"/>
      <c r="G669" s="144">
        <v>340.05500000000001</v>
      </c>
      <c r="H669" s="111"/>
    </row>
    <row r="670" spans="1:8" ht="12.2" customHeight="1" x14ac:dyDescent="0.2">
      <c r="A670" s="117"/>
      <c r="B670" s="117"/>
      <c r="C670" s="117"/>
      <c r="D670" s="334" t="s">
        <v>2871</v>
      </c>
      <c r="E670" s="335"/>
      <c r="F670" s="334"/>
      <c r="G670" s="144">
        <v>163.66999999999999</v>
      </c>
      <c r="H670" s="111"/>
    </row>
    <row r="671" spans="1:8" x14ac:dyDescent="0.2">
      <c r="A671" s="117" t="s">
        <v>412</v>
      </c>
      <c r="B671" s="117"/>
      <c r="C671" s="117" t="s">
        <v>932</v>
      </c>
      <c r="D671" s="304" t="s">
        <v>1521</v>
      </c>
      <c r="E671" s="305"/>
      <c r="F671" s="117" t="s">
        <v>1645</v>
      </c>
      <c r="G671" s="116">
        <v>119.27800000000001</v>
      </c>
      <c r="H671" s="108">
        <v>0</v>
      </c>
    </row>
    <row r="672" spans="1:8" ht="12.2" customHeight="1" x14ac:dyDescent="0.2">
      <c r="D672" s="334" t="s">
        <v>3189</v>
      </c>
      <c r="E672" s="335"/>
      <c r="F672" s="335"/>
      <c r="G672" s="143">
        <v>119.27800000000001</v>
      </c>
    </row>
    <row r="673" spans="1:8" x14ac:dyDescent="0.2">
      <c r="A673" s="117" t="s">
        <v>413</v>
      </c>
      <c r="B673" s="117"/>
      <c r="C673" s="117" t="s">
        <v>933</v>
      </c>
      <c r="D673" s="304" t="s">
        <v>1522</v>
      </c>
      <c r="E673" s="305"/>
      <c r="F673" s="117" t="s">
        <v>1645</v>
      </c>
      <c r="G673" s="116">
        <v>623.00300000000004</v>
      </c>
      <c r="H673" s="108">
        <v>0</v>
      </c>
    </row>
    <row r="674" spans="1:8" ht="12.2" customHeight="1" x14ac:dyDescent="0.2">
      <c r="D674" s="334" t="s">
        <v>3189</v>
      </c>
      <c r="E674" s="335"/>
      <c r="F674" s="335"/>
      <c r="G674" s="143">
        <v>119.27800000000001</v>
      </c>
    </row>
    <row r="675" spans="1:8" ht="12.2" customHeight="1" x14ac:dyDescent="0.2">
      <c r="A675" s="117"/>
      <c r="B675" s="117"/>
      <c r="C675" s="117"/>
      <c r="D675" s="334" t="s">
        <v>3188</v>
      </c>
      <c r="E675" s="335"/>
      <c r="F675" s="334"/>
      <c r="G675" s="144">
        <v>340.05500000000001</v>
      </c>
      <c r="H675" s="111"/>
    </row>
    <row r="676" spans="1:8" ht="12.2" customHeight="1" x14ac:dyDescent="0.2">
      <c r="A676" s="117"/>
      <c r="B676" s="117"/>
      <c r="C676" s="117"/>
      <c r="D676" s="334" t="s">
        <v>2871</v>
      </c>
      <c r="E676" s="335"/>
      <c r="F676" s="334"/>
      <c r="G676" s="144">
        <v>163.66999999999999</v>
      </c>
      <c r="H676" s="111"/>
    </row>
    <row r="677" spans="1:8" x14ac:dyDescent="0.2">
      <c r="A677" s="117" t="s">
        <v>414</v>
      </c>
      <c r="B677" s="117"/>
      <c r="C677" s="117" t="s">
        <v>934</v>
      </c>
      <c r="D677" s="304" t="s">
        <v>1523</v>
      </c>
      <c r="E677" s="305"/>
      <c r="F677" s="117" t="s">
        <v>1645</v>
      </c>
      <c r="G677" s="116">
        <v>163.66999999999999</v>
      </c>
      <c r="H677" s="108">
        <v>0</v>
      </c>
    </row>
    <row r="678" spans="1:8" ht="12.2" customHeight="1" x14ac:dyDescent="0.2">
      <c r="D678" s="334" t="s">
        <v>2871</v>
      </c>
      <c r="E678" s="335"/>
      <c r="F678" s="335"/>
      <c r="G678" s="143">
        <v>163.66999999999999</v>
      </c>
    </row>
    <row r="679" spans="1:8" x14ac:dyDescent="0.2">
      <c r="A679" s="117" t="s">
        <v>415</v>
      </c>
      <c r="B679" s="117"/>
      <c r="C679" s="117" t="s">
        <v>935</v>
      </c>
      <c r="D679" s="304" t="s">
        <v>1524</v>
      </c>
      <c r="E679" s="305"/>
      <c r="F679" s="117" t="s">
        <v>1645</v>
      </c>
      <c r="G679" s="116">
        <v>459.33300000000003</v>
      </c>
      <c r="H679" s="108">
        <v>0</v>
      </c>
    </row>
    <row r="680" spans="1:8" ht="12.2" customHeight="1" x14ac:dyDescent="0.2">
      <c r="D680" s="334" t="s">
        <v>3189</v>
      </c>
      <c r="E680" s="335"/>
      <c r="F680" s="335"/>
      <c r="G680" s="143">
        <v>119.27800000000001</v>
      </c>
    </row>
    <row r="681" spans="1:8" ht="12.2" customHeight="1" x14ac:dyDescent="0.2">
      <c r="A681" s="117"/>
      <c r="B681" s="117"/>
      <c r="C681" s="117"/>
      <c r="D681" s="334" t="s">
        <v>3188</v>
      </c>
      <c r="E681" s="335"/>
      <c r="F681" s="334"/>
      <c r="G681" s="144">
        <v>340.05500000000001</v>
      </c>
      <c r="H681" s="111"/>
    </row>
    <row r="682" spans="1:8" x14ac:dyDescent="0.2">
      <c r="A682" s="120"/>
      <c r="B682" s="120"/>
      <c r="C682" s="120" t="s">
        <v>936</v>
      </c>
      <c r="D682" s="306" t="s">
        <v>1525</v>
      </c>
      <c r="E682" s="307"/>
      <c r="F682" s="120"/>
      <c r="G682" s="142"/>
      <c r="H682" s="109"/>
    </row>
    <row r="683" spans="1:8" x14ac:dyDescent="0.2">
      <c r="A683" s="117" t="s">
        <v>416</v>
      </c>
      <c r="B683" s="117"/>
      <c r="C683" s="117" t="s">
        <v>937</v>
      </c>
      <c r="D683" s="304" t="s">
        <v>1526</v>
      </c>
      <c r="E683" s="305"/>
      <c r="F683" s="117" t="s">
        <v>1644</v>
      </c>
      <c r="G683" s="116">
        <v>2</v>
      </c>
      <c r="H683" s="108">
        <v>0</v>
      </c>
    </row>
    <row r="684" spans="1:8" ht="12.2" customHeight="1" x14ac:dyDescent="0.2">
      <c r="D684" s="334" t="s">
        <v>1849</v>
      </c>
      <c r="E684" s="335"/>
      <c r="F684" s="335"/>
      <c r="G684" s="143">
        <v>2</v>
      </c>
    </row>
    <row r="685" spans="1:8" x14ac:dyDescent="0.2">
      <c r="A685" s="117" t="s">
        <v>417</v>
      </c>
      <c r="B685" s="117"/>
      <c r="C685" s="117" t="s">
        <v>939</v>
      </c>
      <c r="D685" s="304" t="s">
        <v>3026</v>
      </c>
      <c r="E685" s="305"/>
      <c r="F685" s="117" t="s">
        <v>1644</v>
      </c>
      <c r="G685" s="116">
        <v>1</v>
      </c>
      <c r="H685" s="108">
        <v>0</v>
      </c>
    </row>
    <row r="686" spans="1:8" ht="12.2" customHeight="1" x14ac:dyDescent="0.2">
      <c r="D686" s="334" t="s">
        <v>1749</v>
      </c>
      <c r="E686" s="335"/>
      <c r="F686" s="335"/>
      <c r="G686" s="143">
        <v>1</v>
      </c>
    </row>
    <row r="687" spans="1:8" x14ac:dyDescent="0.2">
      <c r="A687" s="117" t="s">
        <v>418</v>
      </c>
      <c r="B687" s="117"/>
      <c r="C687" s="117" t="s">
        <v>2673</v>
      </c>
      <c r="D687" s="304" t="s">
        <v>2672</v>
      </c>
      <c r="E687" s="305"/>
      <c r="F687" s="117" t="s">
        <v>1644</v>
      </c>
      <c r="G687" s="116">
        <v>2</v>
      </c>
      <c r="H687" s="108">
        <v>0</v>
      </c>
    </row>
    <row r="688" spans="1:8" ht="12.2" customHeight="1" x14ac:dyDescent="0.2">
      <c r="D688" s="334" t="s">
        <v>1849</v>
      </c>
      <c r="E688" s="335"/>
      <c r="F688" s="335"/>
      <c r="G688" s="143">
        <v>2</v>
      </c>
    </row>
    <row r="689" spans="1:8" x14ac:dyDescent="0.2">
      <c r="A689" s="117" t="s">
        <v>419</v>
      </c>
      <c r="B689" s="117"/>
      <c r="C689" s="117" t="s">
        <v>940</v>
      </c>
      <c r="D689" s="304" t="s">
        <v>1529</v>
      </c>
      <c r="E689" s="305"/>
      <c r="F689" s="117" t="s">
        <v>1644</v>
      </c>
      <c r="G689" s="116">
        <v>1</v>
      </c>
      <c r="H689" s="108">
        <v>0</v>
      </c>
    </row>
    <row r="690" spans="1:8" ht="12.2" customHeight="1" x14ac:dyDescent="0.2">
      <c r="D690" s="334" t="s">
        <v>1749</v>
      </c>
      <c r="E690" s="335"/>
      <c r="F690" s="335"/>
      <c r="G690" s="143">
        <v>1</v>
      </c>
    </row>
    <row r="691" spans="1:8" x14ac:dyDescent="0.2">
      <c r="A691" s="117" t="s">
        <v>420</v>
      </c>
      <c r="B691" s="117"/>
      <c r="C691" s="117" t="s">
        <v>3025</v>
      </c>
      <c r="D691" s="304" t="s">
        <v>1531</v>
      </c>
      <c r="E691" s="305"/>
      <c r="F691" s="117" t="s">
        <v>1644</v>
      </c>
      <c r="G691" s="116">
        <v>1</v>
      </c>
      <c r="H691" s="108">
        <v>0</v>
      </c>
    </row>
    <row r="692" spans="1:8" x14ac:dyDescent="0.2">
      <c r="A692" s="117" t="s">
        <v>421</v>
      </c>
      <c r="B692" s="117"/>
      <c r="C692" s="117" t="s">
        <v>3024</v>
      </c>
      <c r="D692" s="304" t="s">
        <v>1532</v>
      </c>
      <c r="E692" s="305"/>
      <c r="F692" s="117" t="s">
        <v>1646</v>
      </c>
      <c r="G692" s="116">
        <v>20</v>
      </c>
      <c r="H692" s="108">
        <v>0</v>
      </c>
    </row>
    <row r="693" spans="1:8" x14ac:dyDescent="0.2">
      <c r="A693" s="117" t="s">
        <v>422</v>
      </c>
      <c r="B693" s="117"/>
      <c r="C693" s="117" t="s">
        <v>3023</v>
      </c>
      <c r="D693" s="304" t="s">
        <v>1533</v>
      </c>
      <c r="E693" s="305"/>
      <c r="F693" s="117" t="s">
        <v>1646</v>
      </c>
      <c r="G693" s="116">
        <v>10</v>
      </c>
      <c r="H693" s="108">
        <v>0</v>
      </c>
    </row>
    <row r="694" spans="1:8" x14ac:dyDescent="0.2">
      <c r="A694" s="117" t="s">
        <v>423</v>
      </c>
      <c r="B694" s="117"/>
      <c r="C694" s="117" t="s">
        <v>3022</v>
      </c>
      <c r="D694" s="304" t="s">
        <v>1534</v>
      </c>
      <c r="E694" s="305"/>
      <c r="F694" s="117" t="s">
        <v>1644</v>
      </c>
      <c r="G694" s="116">
        <v>5</v>
      </c>
      <c r="H694" s="108">
        <v>0</v>
      </c>
    </row>
    <row r="695" spans="1:8" x14ac:dyDescent="0.2">
      <c r="A695" s="117" t="s">
        <v>424</v>
      </c>
      <c r="B695" s="117"/>
      <c r="C695" s="117" t="s">
        <v>3021</v>
      </c>
      <c r="D695" s="304" t="s">
        <v>1535</v>
      </c>
      <c r="E695" s="305"/>
      <c r="F695" s="117" t="s">
        <v>1644</v>
      </c>
      <c r="G695" s="116">
        <v>3</v>
      </c>
      <c r="H695" s="108">
        <v>0</v>
      </c>
    </row>
    <row r="696" spans="1:8" x14ac:dyDescent="0.2">
      <c r="A696" s="117" t="s">
        <v>425</v>
      </c>
      <c r="B696" s="117"/>
      <c r="C696" s="117" t="s">
        <v>3020</v>
      </c>
      <c r="D696" s="304" t="s">
        <v>1536</v>
      </c>
      <c r="E696" s="305"/>
      <c r="F696" s="117" t="s">
        <v>1644</v>
      </c>
      <c r="G696" s="116">
        <v>24</v>
      </c>
      <c r="H696" s="108">
        <v>0</v>
      </c>
    </row>
    <row r="697" spans="1:8" x14ac:dyDescent="0.2">
      <c r="A697" s="117" t="s">
        <v>426</v>
      </c>
      <c r="B697" s="117"/>
      <c r="C697" s="117" t="s">
        <v>3019</v>
      </c>
      <c r="D697" s="304" t="s">
        <v>1537</v>
      </c>
      <c r="E697" s="305"/>
      <c r="F697" s="117" t="s">
        <v>1644</v>
      </c>
      <c r="G697" s="116">
        <v>1</v>
      </c>
      <c r="H697" s="108">
        <v>0</v>
      </c>
    </row>
    <row r="698" spans="1:8" x14ac:dyDescent="0.2">
      <c r="A698" s="117" t="s">
        <v>427</v>
      </c>
      <c r="B698" s="117"/>
      <c r="C698" s="117" t="s">
        <v>3018</v>
      </c>
      <c r="D698" s="304" t="s">
        <v>1538</v>
      </c>
      <c r="E698" s="305"/>
      <c r="F698" s="117" t="s">
        <v>1646</v>
      </c>
      <c r="G698" s="116">
        <v>10</v>
      </c>
      <c r="H698" s="108">
        <v>0</v>
      </c>
    </row>
    <row r="699" spans="1:8" x14ac:dyDescent="0.2">
      <c r="A699" s="117" t="s">
        <v>428</v>
      </c>
      <c r="B699" s="117"/>
      <c r="C699" s="117" t="s">
        <v>3017</v>
      </c>
      <c r="D699" s="304" t="s">
        <v>1539</v>
      </c>
      <c r="E699" s="305"/>
      <c r="F699" s="117" t="s">
        <v>1646</v>
      </c>
      <c r="G699" s="116">
        <v>10</v>
      </c>
      <c r="H699" s="108">
        <v>0</v>
      </c>
    </row>
    <row r="700" spans="1:8" x14ac:dyDescent="0.2">
      <c r="A700" s="117" t="s">
        <v>429</v>
      </c>
      <c r="B700" s="117"/>
      <c r="C700" s="117" t="s">
        <v>3016</v>
      </c>
      <c r="D700" s="304" t="s">
        <v>1540</v>
      </c>
      <c r="E700" s="305"/>
      <c r="F700" s="117" t="s">
        <v>1646</v>
      </c>
      <c r="G700" s="116">
        <v>20</v>
      </c>
      <c r="H700" s="108">
        <v>0</v>
      </c>
    </row>
    <row r="701" spans="1:8" x14ac:dyDescent="0.2">
      <c r="A701" s="117" t="s">
        <v>430</v>
      </c>
      <c r="B701" s="117"/>
      <c r="C701" s="117" t="s">
        <v>3015</v>
      </c>
      <c r="D701" s="304" t="s">
        <v>1541</v>
      </c>
      <c r="E701" s="305"/>
      <c r="F701" s="117" t="s">
        <v>1646</v>
      </c>
      <c r="G701" s="116">
        <v>20</v>
      </c>
      <c r="H701" s="108">
        <v>0</v>
      </c>
    </row>
    <row r="702" spans="1:8" x14ac:dyDescent="0.2">
      <c r="A702" s="117" t="s">
        <v>431</v>
      </c>
      <c r="B702" s="117"/>
      <c r="C702" s="117" t="s">
        <v>3014</v>
      </c>
      <c r="D702" s="304" t="s">
        <v>1542</v>
      </c>
      <c r="E702" s="305"/>
      <c r="F702" s="117" t="s">
        <v>1646</v>
      </c>
      <c r="G702" s="116">
        <v>10</v>
      </c>
      <c r="H702" s="108">
        <v>0</v>
      </c>
    </row>
    <row r="703" spans="1:8" x14ac:dyDescent="0.2">
      <c r="A703" s="117" t="s">
        <v>432</v>
      </c>
      <c r="B703" s="117"/>
      <c r="C703" s="117" t="s">
        <v>3013</v>
      </c>
      <c r="D703" s="304" t="s">
        <v>1543</v>
      </c>
      <c r="E703" s="305"/>
      <c r="F703" s="117" t="s">
        <v>1644</v>
      </c>
      <c r="G703" s="116">
        <v>1</v>
      </c>
      <c r="H703" s="108">
        <v>0</v>
      </c>
    </row>
    <row r="704" spans="1:8" x14ac:dyDescent="0.2">
      <c r="A704" s="117" t="s">
        <v>433</v>
      </c>
      <c r="B704" s="117"/>
      <c r="C704" s="117" t="s">
        <v>3012</v>
      </c>
      <c r="D704" s="304" t="s">
        <v>1544</v>
      </c>
      <c r="E704" s="305"/>
      <c r="F704" s="117" t="s">
        <v>1644</v>
      </c>
      <c r="G704" s="116">
        <v>4</v>
      </c>
      <c r="H704" s="108">
        <v>0</v>
      </c>
    </row>
    <row r="705" spans="1:8" x14ac:dyDescent="0.2">
      <c r="A705" s="117" t="s">
        <v>434</v>
      </c>
      <c r="B705" s="117"/>
      <c r="C705" s="117" t="s">
        <v>3011</v>
      </c>
      <c r="D705" s="304" t="s">
        <v>1545</v>
      </c>
      <c r="E705" s="305"/>
      <c r="F705" s="117" t="s">
        <v>1646</v>
      </c>
      <c r="G705" s="116">
        <v>120</v>
      </c>
      <c r="H705" s="108">
        <v>0</v>
      </c>
    </row>
    <row r="706" spans="1:8" x14ac:dyDescent="0.2">
      <c r="A706" s="117" t="s">
        <v>435</v>
      </c>
      <c r="B706" s="117"/>
      <c r="C706" s="117" t="s">
        <v>3010</v>
      </c>
      <c r="D706" s="304" t="s">
        <v>1546</v>
      </c>
      <c r="E706" s="305"/>
      <c r="F706" s="117" t="s">
        <v>1646</v>
      </c>
      <c r="G706" s="116">
        <v>30</v>
      </c>
      <c r="H706" s="108">
        <v>0</v>
      </c>
    </row>
    <row r="707" spans="1:8" x14ac:dyDescent="0.2">
      <c r="A707" s="117" t="s">
        <v>436</v>
      </c>
      <c r="B707" s="117"/>
      <c r="C707" s="117" t="s">
        <v>3009</v>
      </c>
      <c r="D707" s="304" t="s">
        <v>1547</v>
      </c>
      <c r="E707" s="305"/>
      <c r="F707" s="117" t="s">
        <v>1646</v>
      </c>
      <c r="G707" s="116">
        <v>100</v>
      </c>
      <c r="H707" s="108">
        <v>0</v>
      </c>
    </row>
    <row r="708" spans="1:8" x14ac:dyDescent="0.2">
      <c r="A708" s="117" t="s">
        <v>437</v>
      </c>
      <c r="B708" s="117"/>
      <c r="C708" s="117" t="s">
        <v>3008</v>
      </c>
      <c r="D708" s="304" t="s">
        <v>1548</v>
      </c>
      <c r="E708" s="305"/>
      <c r="F708" s="117" t="s">
        <v>1644</v>
      </c>
      <c r="G708" s="116">
        <v>4</v>
      </c>
      <c r="H708" s="108">
        <v>0</v>
      </c>
    </row>
    <row r="709" spans="1:8" x14ac:dyDescent="0.2">
      <c r="A709" s="117" t="s">
        <v>438</v>
      </c>
      <c r="B709" s="117"/>
      <c r="C709" s="117" t="s">
        <v>3007</v>
      </c>
      <c r="D709" s="304" t="s">
        <v>1549</v>
      </c>
      <c r="E709" s="305"/>
      <c r="F709" s="117" t="s">
        <v>1644</v>
      </c>
      <c r="G709" s="116">
        <v>5</v>
      </c>
      <c r="H709" s="108">
        <v>0</v>
      </c>
    </row>
    <row r="710" spans="1:8" x14ac:dyDescent="0.2">
      <c r="A710" s="117" t="s">
        <v>439</v>
      </c>
      <c r="B710" s="117"/>
      <c r="C710" s="117" t="s">
        <v>3006</v>
      </c>
      <c r="D710" s="304" t="s">
        <v>1550</v>
      </c>
      <c r="E710" s="305"/>
      <c r="F710" s="117" t="s">
        <v>1646</v>
      </c>
      <c r="G710" s="116">
        <v>80</v>
      </c>
      <c r="H710" s="108">
        <v>0</v>
      </c>
    </row>
    <row r="711" spans="1:8" x14ac:dyDescent="0.2">
      <c r="A711" s="117" t="s">
        <v>440</v>
      </c>
      <c r="B711" s="117"/>
      <c r="C711" s="117" t="s">
        <v>3005</v>
      </c>
      <c r="D711" s="304" t="s">
        <v>1551</v>
      </c>
      <c r="E711" s="305"/>
      <c r="F711" s="117" t="s">
        <v>1644</v>
      </c>
      <c r="G711" s="116">
        <v>1</v>
      </c>
      <c r="H711" s="108">
        <v>0</v>
      </c>
    </row>
    <row r="712" spans="1:8" x14ac:dyDescent="0.2">
      <c r="A712" s="117" t="s">
        <v>441</v>
      </c>
      <c r="B712" s="117"/>
      <c r="C712" s="117" t="s">
        <v>3004</v>
      </c>
      <c r="D712" s="304" t="s">
        <v>1552</v>
      </c>
      <c r="E712" s="305"/>
      <c r="F712" s="117" t="s">
        <v>1644</v>
      </c>
      <c r="G712" s="116">
        <v>1</v>
      </c>
      <c r="H712" s="108">
        <v>0</v>
      </c>
    </row>
    <row r="713" spans="1:8" x14ac:dyDescent="0.2">
      <c r="A713" s="117" t="s">
        <v>442</v>
      </c>
      <c r="B713" s="117"/>
      <c r="C713" s="117" t="s">
        <v>3003</v>
      </c>
      <c r="D713" s="304" t="s">
        <v>1553</v>
      </c>
      <c r="E713" s="305"/>
      <c r="F713" s="117" t="s">
        <v>1644</v>
      </c>
      <c r="G713" s="116">
        <v>1</v>
      </c>
      <c r="H713" s="108">
        <v>0</v>
      </c>
    </row>
    <row r="714" spans="1:8" x14ac:dyDescent="0.2">
      <c r="A714" s="117" t="s">
        <v>443</v>
      </c>
      <c r="B714" s="117"/>
      <c r="C714" s="117" t="s">
        <v>3002</v>
      </c>
      <c r="D714" s="304" t="s">
        <v>1554</v>
      </c>
      <c r="E714" s="305"/>
      <c r="F714" s="117" t="s">
        <v>1644</v>
      </c>
      <c r="G714" s="116">
        <v>1</v>
      </c>
      <c r="H714" s="108">
        <v>0</v>
      </c>
    </row>
    <row r="715" spans="1:8" x14ac:dyDescent="0.2">
      <c r="A715" s="117" t="s">
        <v>444</v>
      </c>
      <c r="B715" s="117"/>
      <c r="C715" s="117" t="s">
        <v>3001</v>
      </c>
      <c r="D715" s="304" t="s">
        <v>1555</v>
      </c>
      <c r="E715" s="305"/>
      <c r="F715" s="117" t="s">
        <v>1644</v>
      </c>
      <c r="G715" s="116">
        <v>1</v>
      </c>
      <c r="H715" s="108">
        <v>0</v>
      </c>
    </row>
    <row r="716" spans="1:8" x14ac:dyDescent="0.2">
      <c r="A716" s="120"/>
      <c r="B716" s="120"/>
      <c r="C716" s="120" t="s">
        <v>2574</v>
      </c>
      <c r="D716" s="306" t="s">
        <v>2573</v>
      </c>
      <c r="E716" s="307"/>
      <c r="F716" s="120"/>
      <c r="G716" s="142"/>
      <c r="H716" s="109"/>
    </row>
    <row r="717" spans="1:8" x14ac:dyDescent="0.2">
      <c r="A717" s="117" t="s">
        <v>445</v>
      </c>
      <c r="B717" s="117"/>
      <c r="C717" s="117" t="s">
        <v>3000</v>
      </c>
      <c r="D717" s="341" t="s">
        <v>4660</v>
      </c>
      <c r="E717" s="305"/>
      <c r="F717" s="172" t="s">
        <v>1655</v>
      </c>
      <c r="G717" s="116">
        <v>1</v>
      </c>
      <c r="H717" s="108">
        <v>0</v>
      </c>
    </row>
    <row r="718" spans="1:8" x14ac:dyDescent="0.2">
      <c r="A718" s="117" t="s">
        <v>446</v>
      </c>
      <c r="B718" s="117"/>
      <c r="C718" s="117" t="s">
        <v>2999</v>
      </c>
      <c r="D718" s="341" t="s">
        <v>4661</v>
      </c>
      <c r="E718" s="305"/>
      <c r="F718" s="172" t="s">
        <v>1655</v>
      </c>
      <c r="G718" s="116">
        <v>1</v>
      </c>
      <c r="H718" s="108">
        <v>0</v>
      </c>
    </row>
    <row r="719" spans="1:8" x14ac:dyDescent="0.2">
      <c r="A719" s="117" t="s">
        <v>447</v>
      </c>
      <c r="B719" s="117"/>
      <c r="C719" s="117" t="s">
        <v>2998</v>
      </c>
      <c r="D719" s="304" t="s">
        <v>2643</v>
      </c>
      <c r="E719" s="305"/>
      <c r="F719" s="117" t="s">
        <v>1644</v>
      </c>
      <c r="G719" s="116">
        <v>1</v>
      </c>
      <c r="H719" s="108">
        <v>0</v>
      </c>
    </row>
    <row r="720" spans="1:8" x14ac:dyDescent="0.2">
      <c r="A720" s="117" t="s">
        <v>448</v>
      </c>
      <c r="B720" s="117"/>
      <c r="C720" s="117" t="s">
        <v>2997</v>
      </c>
      <c r="D720" s="304" t="s">
        <v>2641</v>
      </c>
      <c r="E720" s="305"/>
      <c r="F720" s="117" t="s">
        <v>1646</v>
      </c>
      <c r="G720" s="116">
        <v>200</v>
      </c>
      <c r="H720" s="108">
        <v>0</v>
      </c>
    </row>
    <row r="721" spans="1:8" x14ac:dyDescent="0.2">
      <c r="A721" s="117" t="s">
        <v>449</v>
      </c>
      <c r="B721" s="117"/>
      <c r="C721" s="117" t="s">
        <v>2996</v>
      </c>
      <c r="D721" s="304" t="s">
        <v>1539</v>
      </c>
      <c r="E721" s="305"/>
      <c r="F721" s="117" t="s">
        <v>1646</v>
      </c>
      <c r="G721" s="116">
        <v>20</v>
      </c>
      <c r="H721" s="108">
        <v>0</v>
      </c>
    </row>
    <row r="722" spans="1:8" x14ac:dyDescent="0.2">
      <c r="A722" s="117" t="s">
        <v>450</v>
      </c>
      <c r="B722" s="117"/>
      <c r="C722" s="117" t="s">
        <v>2995</v>
      </c>
      <c r="D722" s="304" t="s">
        <v>2638</v>
      </c>
      <c r="E722" s="305"/>
      <c r="F722" s="117" t="s">
        <v>1646</v>
      </c>
      <c r="G722" s="116">
        <v>10</v>
      </c>
      <c r="H722" s="108">
        <v>0</v>
      </c>
    </row>
    <row r="723" spans="1:8" x14ac:dyDescent="0.2">
      <c r="A723" s="117" t="s">
        <v>451</v>
      </c>
      <c r="B723" s="117"/>
      <c r="C723" s="117" t="s">
        <v>2994</v>
      </c>
      <c r="D723" s="304" t="s">
        <v>2993</v>
      </c>
      <c r="E723" s="305"/>
      <c r="F723" s="117" t="s">
        <v>1646</v>
      </c>
      <c r="G723" s="116">
        <v>10</v>
      </c>
      <c r="H723" s="108">
        <v>0</v>
      </c>
    </row>
    <row r="724" spans="1:8" x14ac:dyDescent="0.2">
      <c r="A724" s="117" t="s">
        <v>452</v>
      </c>
      <c r="B724" s="117"/>
      <c r="C724" s="117" t="s">
        <v>2992</v>
      </c>
      <c r="D724" s="304" t="s">
        <v>2991</v>
      </c>
      <c r="E724" s="305"/>
      <c r="F724" s="117" t="s">
        <v>1646</v>
      </c>
      <c r="G724" s="116">
        <v>10</v>
      </c>
      <c r="H724" s="108">
        <v>0</v>
      </c>
    </row>
    <row r="725" spans="1:8" x14ac:dyDescent="0.2">
      <c r="A725" s="117" t="s">
        <v>453</v>
      </c>
      <c r="B725" s="117"/>
      <c r="C725" s="117" t="s">
        <v>2990</v>
      </c>
      <c r="D725" s="304" t="s">
        <v>2989</v>
      </c>
      <c r="E725" s="305"/>
      <c r="F725" s="117" t="s">
        <v>1646</v>
      </c>
      <c r="G725" s="116">
        <v>200</v>
      </c>
      <c r="H725" s="108">
        <v>0</v>
      </c>
    </row>
    <row r="726" spans="1:8" x14ac:dyDescent="0.2">
      <c r="A726" s="117" t="s">
        <v>454</v>
      </c>
      <c r="B726" s="117"/>
      <c r="C726" s="117" t="s">
        <v>2988</v>
      </c>
      <c r="D726" s="304" t="s">
        <v>2634</v>
      </c>
      <c r="E726" s="305"/>
      <c r="F726" s="117" t="s">
        <v>1644</v>
      </c>
      <c r="G726" s="116">
        <v>8</v>
      </c>
      <c r="H726" s="108">
        <v>0</v>
      </c>
    </row>
    <row r="727" spans="1:8" x14ac:dyDescent="0.2">
      <c r="A727" s="117" t="s">
        <v>455</v>
      </c>
      <c r="B727" s="117"/>
      <c r="C727" s="117" t="s">
        <v>2987</v>
      </c>
      <c r="D727" s="304" t="s">
        <v>1538</v>
      </c>
      <c r="E727" s="305"/>
      <c r="F727" s="117" t="s">
        <v>1646</v>
      </c>
      <c r="G727" s="116">
        <v>50</v>
      </c>
      <c r="H727" s="108">
        <v>0</v>
      </c>
    </row>
    <row r="728" spans="1:8" x14ac:dyDescent="0.2">
      <c r="A728" s="117" t="s">
        <v>456</v>
      </c>
      <c r="B728" s="117"/>
      <c r="C728" s="117" t="s">
        <v>2986</v>
      </c>
      <c r="D728" s="304" t="s">
        <v>2985</v>
      </c>
      <c r="E728" s="305"/>
      <c r="F728" s="117" t="s">
        <v>1644</v>
      </c>
      <c r="G728" s="116">
        <v>1</v>
      </c>
      <c r="H728" s="108">
        <v>0</v>
      </c>
    </row>
    <row r="729" spans="1:8" x14ac:dyDescent="0.2">
      <c r="A729" s="117" t="s">
        <v>457</v>
      </c>
      <c r="B729" s="117"/>
      <c r="C729" s="117" t="s">
        <v>2984</v>
      </c>
      <c r="D729" s="304" t="s">
        <v>2983</v>
      </c>
      <c r="E729" s="305"/>
      <c r="F729" s="117" t="s">
        <v>1644</v>
      </c>
      <c r="G729" s="116">
        <v>1</v>
      </c>
      <c r="H729" s="108">
        <v>0</v>
      </c>
    </row>
    <row r="730" spans="1:8" x14ac:dyDescent="0.2">
      <c r="A730" s="117" t="s">
        <v>458</v>
      </c>
      <c r="B730" s="117"/>
      <c r="C730" s="117" t="s">
        <v>2982</v>
      </c>
      <c r="D730" s="304" t="s">
        <v>2631</v>
      </c>
      <c r="E730" s="305"/>
      <c r="F730" s="117" t="s">
        <v>1644</v>
      </c>
      <c r="G730" s="116">
        <v>1</v>
      </c>
      <c r="H730" s="108">
        <v>0</v>
      </c>
    </row>
    <row r="731" spans="1:8" x14ac:dyDescent="0.2">
      <c r="A731" s="117" t="s">
        <v>459</v>
      </c>
      <c r="B731" s="117"/>
      <c r="C731" s="117" t="s">
        <v>2981</v>
      </c>
      <c r="D731" s="304" t="s">
        <v>1551</v>
      </c>
      <c r="E731" s="305"/>
      <c r="F731" s="117" t="s">
        <v>1644</v>
      </c>
      <c r="G731" s="116">
        <v>1</v>
      </c>
      <c r="H731" s="108">
        <v>0</v>
      </c>
    </row>
    <row r="732" spans="1:8" x14ac:dyDescent="0.2">
      <c r="A732" s="117" t="s">
        <v>460</v>
      </c>
      <c r="B732" s="117"/>
      <c r="C732" s="117" t="s">
        <v>2980</v>
      </c>
      <c r="D732" s="304" t="s">
        <v>1552</v>
      </c>
      <c r="E732" s="305"/>
      <c r="F732" s="117" t="s">
        <v>1644</v>
      </c>
      <c r="G732" s="116">
        <v>1</v>
      </c>
      <c r="H732" s="108">
        <v>0</v>
      </c>
    </row>
    <row r="733" spans="1:8" x14ac:dyDescent="0.2">
      <c r="A733" s="117" t="s">
        <v>461</v>
      </c>
      <c r="B733" s="117"/>
      <c r="C733" s="117" t="s">
        <v>2979</v>
      </c>
      <c r="D733" s="304" t="s">
        <v>1553</v>
      </c>
      <c r="E733" s="305"/>
      <c r="F733" s="117" t="s">
        <v>1644</v>
      </c>
      <c r="G733" s="116">
        <v>1</v>
      </c>
      <c r="H733" s="108">
        <v>0</v>
      </c>
    </row>
    <row r="734" spans="1:8" x14ac:dyDescent="0.2">
      <c r="A734" s="117" t="s">
        <v>462</v>
      </c>
      <c r="B734" s="117"/>
      <c r="C734" s="117" t="s">
        <v>2978</v>
      </c>
      <c r="D734" s="304" t="s">
        <v>1554</v>
      </c>
      <c r="E734" s="305"/>
      <c r="F734" s="117" t="s">
        <v>1644</v>
      </c>
      <c r="G734" s="116">
        <v>1</v>
      </c>
      <c r="H734" s="108">
        <v>0</v>
      </c>
    </row>
    <row r="735" spans="1:8" x14ac:dyDescent="0.2">
      <c r="A735" s="117" t="s">
        <v>463</v>
      </c>
      <c r="B735" s="117"/>
      <c r="C735" s="117" t="s">
        <v>2977</v>
      </c>
      <c r="D735" s="304" t="s">
        <v>1555</v>
      </c>
      <c r="E735" s="305"/>
      <c r="F735" s="117" t="s">
        <v>1644</v>
      </c>
      <c r="G735" s="116">
        <v>1</v>
      </c>
      <c r="H735" s="108">
        <v>0</v>
      </c>
    </row>
    <row r="736" spans="1:8" x14ac:dyDescent="0.2">
      <c r="A736" s="120"/>
      <c r="B736" s="120"/>
      <c r="C736" s="120" t="s">
        <v>967</v>
      </c>
      <c r="D736" s="306" t="s">
        <v>1556</v>
      </c>
      <c r="E736" s="307"/>
      <c r="F736" s="120"/>
      <c r="G736" s="142"/>
      <c r="H736" s="109"/>
    </row>
    <row r="737" spans="1:8" x14ac:dyDescent="0.2">
      <c r="A737" s="117" t="s">
        <v>464</v>
      </c>
      <c r="B737" s="117"/>
      <c r="C737" s="117" t="s">
        <v>968</v>
      </c>
      <c r="D737" s="304" t="s">
        <v>2976</v>
      </c>
      <c r="E737" s="305"/>
      <c r="F737" s="117" t="s">
        <v>1644</v>
      </c>
      <c r="G737" s="116">
        <v>1</v>
      </c>
      <c r="H737" s="108">
        <v>0</v>
      </c>
    </row>
    <row r="738" spans="1:8" ht="12.2" customHeight="1" x14ac:dyDescent="0.2">
      <c r="D738" s="334" t="s">
        <v>1749</v>
      </c>
      <c r="E738" s="335"/>
      <c r="F738" s="335"/>
      <c r="G738" s="143">
        <v>1</v>
      </c>
    </row>
    <row r="739" spans="1:8" x14ac:dyDescent="0.2">
      <c r="A739" s="117" t="s">
        <v>465</v>
      </c>
      <c r="B739" s="117"/>
      <c r="C739" s="117" t="s">
        <v>969</v>
      </c>
      <c r="D739" s="304" t="s">
        <v>2975</v>
      </c>
      <c r="E739" s="305"/>
      <c r="F739" s="117" t="s">
        <v>1644</v>
      </c>
      <c r="G739" s="116">
        <v>1</v>
      </c>
      <c r="H739" s="108">
        <v>0</v>
      </c>
    </row>
    <row r="740" spans="1:8" ht="12.2" customHeight="1" x14ac:dyDescent="0.2">
      <c r="D740" s="334" t="s">
        <v>1749</v>
      </c>
      <c r="E740" s="335"/>
      <c r="F740" s="335"/>
      <c r="G740" s="143">
        <v>1</v>
      </c>
    </row>
    <row r="741" spans="1:8" x14ac:dyDescent="0.2">
      <c r="A741" s="120"/>
      <c r="B741" s="120"/>
      <c r="C741" s="120" t="s">
        <v>970</v>
      </c>
      <c r="D741" s="306" t="s">
        <v>1559</v>
      </c>
      <c r="E741" s="307"/>
      <c r="F741" s="120"/>
      <c r="G741" s="142"/>
      <c r="H741" s="109"/>
    </row>
    <row r="742" spans="1:8" x14ac:dyDescent="0.2">
      <c r="A742" s="117" t="s">
        <v>466</v>
      </c>
      <c r="B742" s="117"/>
      <c r="C742" s="117" t="s">
        <v>2622</v>
      </c>
      <c r="D742" s="304" t="s">
        <v>1560</v>
      </c>
      <c r="E742" s="305"/>
      <c r="F742" s="117" t="s">
        <v>1644</v>
      </c>
      <c r="G742" s="116">
        <v>1</v>
      </c>
      <c r="H742" s="108">
        <v>0</v>
      </c>
    </row>
    <row r="743" spans="1:8" x14ac:dyDescent="0.2">
      <c r="A743" s="117" t="s">
        <v>467</v>
      </c>
      <c r="B743" s="117"/>
      <c r="C743" s="117" t="s">
        <v>2621</v>
      </c>
      <c r="D743" s="304" t="s">
        <v>1561</v>
      </c>
      <c r="E743" s="305"/>
      <c r="F743" s="117" t="s">
        <v>1644</v>
      </c>
      <c r="G743" s="116">
        <v>1</v>
      </c>
      <c r="H743" s="108">
        <v>0</v>
      </c>
    </row>
    <row r="744" spans="1:8" x14ac:dyDescent="0.2">
      <c r="A744" s="117" t="s">
        <v>468</v>
      </c>
      <c r="B744" s="117"/>
      <c r="C744" s="117" t="s">
        <v>973</v>
      </c>
      <c r="D744" s="304" t="s">
        <v>1562</v>
      </c>
      <c r="E744" s="305"/>
      <c r="F744" s="117" t="s">
        <v>1644</v>
      </c>
      <c r="G744" s="116">
        <v>1</v>
      </c>
      <c r="H744" s="108">
        <v>0</v>
      </c>
    </row>
    <row r="745" spans="1:8" x14ac:dyDescent="0.2">
      <c r="A745" s="117" t="s">
        <v>469</v>
      </c>
      <c r="B745" s="117"/>
      <c r="C745" s="117" t="s">
        <v>974</v>
      </c>
      <c r="D745" s="304" t="s">
        <v>1563</v>
      </c>
      <c r="E745" s="305"/>
      <c r="F745" s="117" t="s">
        <v>1644</v>
      </c>
      <c r="G745" s="116">
        <v>1</v>
      </c>
      <c r="H745" s="108">
        <v>0</v>
      </c>
    </row>
    <row r="746" spans="1:8" x14ac:dyDescent="0.2">
      <c r="A746" s="117" t="s">
        <v>470</v>
      </c>
      <c r="B746" s="117"/>
      <c r="C746" s="117" t="s">
        <v>975</v>
      </c>
      <c r="D746" s="304" t="s">
        <v>1564</v>
      </c>
      <c r="E746" s="305"/>
      <c r="F746" s="117" t="s">
        <v>1644</v>
      </c>
      <c r="G746" s="116">
        <v>1</v>
      </c>
      <c r="H746" s="108">
        <v>0</v>
      </c>
    </row>
    <row r="747" spans="1:8" x14ac:dyDescent="0.2">
      <c r="A747" s="117" t="s">
        <v>471</v>
      </c>
      <c r="B747" s="117"/>
      <c r="C747" s="117" t="s">
        <v>976</v>
      </c>
      <c r="D747" s="304" t="s">
        <v>1565</v>
      </c>
      <c r="E747" s="305"/>
      <c r="F747" s="117" t="s">
        <v>1644</v>
      </c>
      <c r="G747" s="116">
        <v>2</v>
      </c>
      <c r="H747" s="108">
        <v>0</v>
      </c>
    </row>
    <row r="748" spans="1:8" x14ac:dyDescent="0.2">
      <c r="A748" s="117" t="s">
        <v>472</v>
      </c>
      <c r="B748" s="117"/>
      <c r="C748" s="117" t="s">
        <v>977</v>
      </c>
      <c r="D748" s="304" t="s">
        <v>1566</v>
      </c>
      <c r="E748" s="305"/>
      <c r="F748" s="117" t="s">
        <v>1644</v>
      </c>
      <c r="G748" s="116">
        <v>1</v>
      </c>
      <c r="H748" s="108">
        <v>0</v>
      </c>
    </row>
    <row r="749" spans="1:8" x14ac:dyDescent="0.2">
      <c r="A749" s="117" t="s">
        <v>473</v>
      </c>
      <c r="B749" s="117"/>
      <c r="C749" s="117" t="s">
        <v>978</v>
      </c>
      <c r="D749" s="304" t="s">
        <v>1567</v>
      </c>
      <c r="E749" s="305"/>
      <c r="F749" s="117" t="s">
        <v>1644</v>
      </c>
      <c r="G749" s="116">
        <v>1</v>
      </c>
      <c r="H749" s="108">
        <v>0</v>
      </c>
    </row>
    <row r="750" spans="1:8" x14ac:dyDescent="0.2">
      <c r="A750" s="117" t="s">
        <v>474</v>
      </c>
      <c r="B750" s="117"/>
      <c r="C750" s="117" t="s">
        <v>979</v>
      </c>
      <c r="D750" s="304" t="s">
        <v>1568</v>
      </c>
      <c r="E750" s="305"/>
      <c r="F750" s="117" t="s">
        <v>1644</v>
      </c>
      <c r="G750" s="116">
        <v>1</v>
      </c>
      <c r="H750" s="108">
        <v>0</v>
      </c>
    </row>
    <row r="751" spans="1:8" x14ac:dyDescent="0.2">
      <c r="A751" s="117" t="s">
        <v>475</v>
      </c>
      <c r="B751" s="117"/>
      <c r="C751" s="117" t="s">
        <v>2620</v>
      </c>
      <c r="D751" s="304" t="s">
        <v>1569</v>
      </c>
      <c r="E751" s="305"/>
      <c r="F751" s="117" t="s">
        <v>1644</v>
      </c>
      <c r="G751" s="116">
        <v>1</v>
      </c>
      <c r="H751" s="108">
        <v>0</v>
      </c>
    </row>
    <row r="752" spans="1:8" x14ac:dyDescent="0.2">
      <c r="A752" s="117" t="s">
        <v>476</v>
      </c>
      <c r="B752" s="117"/>
      <c r="C752" s="117" t="s">
        <v>2619</v>
      </c>
      <c r="D752" s="304" t="s">
        <v>1570</v>
      </c>
      <c r="E752" s="305"/>
      <c r="F752" s="117" t="s">
        <v>1644</v>
      </c>
      <c r="G752" s="116">
        <v>1</v>
      </c>
      <c r="H752" s="108">
        <v>0</v>
      </c>
    </row>
    <row r="753" spans="1:8" x14ac:dyDescent="0.2">
      <c r="A753" s="117" t="s">
        <v>477</v>
      </c>
      <c r="B753" s="117"/>
      <c r="C753" s="117" t="s">
        <v>2618</v>
      </c>
      <c r="D753" s="304" t="s">
        <v>1571</v>
      </c>
      <c r="E753" s="305"/>
      <c r="F753" s="117" t="s">
        <v>1644</v>
      </c>
      <c r="G753" s="116">
        <v>1</v>
      </c>
      <c r="H753" s="108">
        <v>0</v>
      </c>
    </row>
    <row r="754" spans="1:8" x14ac:dyDescent="0.2">
      <c r="A754" s="117" t="s">
        <v>478</v>
      </c>
      <c r="B754" s="117"/>
      <c r="C754" s="117" t="s">
        <v>2617</v>
      </c>
      <c r="D754" s="304" t="s">
        <v>1572</v>
      </c>
      <c r="E754" s="305"/>
      <c r="F754" s="117" t="s">
        <v>1644</v>
      </c>
      <c r="G754" s="116">
        <v>1</v>
      </c>
      <c r="H754" s="108">
        <v>0</v>
      </c>
    </row>
    <row r="755" spans="1:8" x14ac:dyDescent="0.2">
      <c r="A755" s="117" t="s">
        <v>479</v>
      </c>
      <c r="B755" s="117"/>
      <c r="C755" s="117" t="s">
        <v>2616</v>
      </c>
      <c r="D755" s="304" t="s">
        <v>1573</v>
      </c>
      <c r="E755" s="305"/>
      <c r="F755" s="117" t="s">
        <v>1644</v>
      </c>
      <c r="G755" s="116">
        <v>1</v>
      </c>
      <c r="H755" s="108">
        <v>0</v>
      </c>
    </row>
    <row r="756" spans="1:8" x14ac:dyDescent="0.2">
      <c r="A756" s="117" t="s">
        <v>480</v>
      </c>
      <c r="B756" s="117"/>
      <c r="C756" s="117" t="s">
        <v>2615</v>
      </c>
      <c r="D756" s="304" t="s">
        <v>1574</v>
      </c>
      <c r="E756" s="305"/>
      <c r="F756" s="117" t="s">
        <v>1644</v>
      </c>
      <c r="G756" s="116">
        <v>1</v>
      </c>
      <c r="H756" s="108">
        <v>0</v>
      </c>
    </row>
    <row r="757" spans="1:8" x14ac:dyDescent="0.2">
      <c r="A757" s="117" t="s">
        <v>481</v>
      </c>
      <c r="B757" s="117"/>
      <c r="C757" s="117" t="s">
        <v>2614</v>
      </c>
      <c r="D757" s="304" t="s">
        <v>1575</v>
      </c>
      <c r="E757" s="305"/>
      <c r="F757" s="117" t="s">
        <v>1644</v>
      </c>
      <c r="G757" s="116">
        <v>1</v>
      </c>
      <c r="H757" s="108">
        <v>0</v>
      </c>
    </row>
    <row r="758" spans="1:8" x14ac:dyDescent="0.2">
      <c r="A758" s="117" t="s">
        <v>482</v>
      </c>
      <c r="B758" s="117"/>
      <c r="C758" s="117" t="s">
        <v>2613</v>
      </c>
      <c r="D758" s="304" t="s">
        <v>1576</v>
      </c>
      <c r="E758" s="305"/>
      <c r="F758" s="117" t="s">
        <v>1644</v>
      </c>
      <c r="G758" s="116">
        <v>1</v>
      </c>
      <c r="H758" s="108">
        <v>0</v>
      </c>
    </row>
    <row r="759" spans="1:8" x14ac:dyDescent="0.2">
      <c r="A759" s="117" t="s">
        <v>483</v>
      </c>
      <c r="B759" s="117"/>
      <c r="C759" s="117" t="s">
        <v>973</v>
      </c>
      <c r="D759" s="304" t="s">
        <v>1577</v>
      </c>
      <c r="E759" s="305"/>
      <c r="F759" s="117" t="s">
        <v>1644</v>
      </c>
      <c r="G759" s="116">
        <v>1</v>
      </c>
      <c r="H759" s="108">
        <v>0</v>
      </c>
    </row>
    <row r="760" spans="1:8" x14ac:dyDescent="0.2">
      <c r="A760" s="117" t="s">
        <v>484</v>
      </c>
      <c r="B760" s="117"/>
      <c r="C760" s="117" t="s">
        <v>988</v>
      </c>
      <c r="D760" s="304" t="s">
        <v>1578</v>
      </c>
      <c r="E760" s="305"/>
      <c r="F760" s="117" t="s">
        <v>1644</v>
      </c>
      <c r="G760" s="116">
        <v>1</v>
      </c>
      <c r="H760" s="108">
        <v>0</v>
      </c>
    </row>
    <row r="761" spans="1:8" x14ac:dyDescent="0.2">
      <c r="A761" s="117" t="s">
        <v>485</v>
      </c>
      <c r="B761" s="117"/>
      <c r="C761" s="117" t="s">
        <v>989</v>
      </c>
      <c r="D761" s="304" t="s">
        <v>1579</v>
      </c>
      <c r="E761" s="305"/>
      <c r="F761" s="117" t="s">
        <v>1644</v>
      </c>
      <c r="G761" s="116">
        <v>1</v>
      </c>
      <c r="H761" s="108">
        <v>0</v>
      </c>
    </row>
    <row r="762" spans="1:8" x14ac:dyDescent="0.2">
      <c r="A762" s="117" t="s">
        <v>486</v>
      </c>
      <c r="B762" s="117"/>
      <c r="C762" s="117" t="s">
        <v>990</v>
      </c>
      <c r="D762" s="304" t="s">
        <v>1580</v>
      </c>
      <c r="E762" s="305"/>
      <c r="F762" s="117" t="s">
        <v>1644</v>
      </c>
      <c r="G762" s="116">
        <v>1</v>
      </c>
      <c r="H762" s="108">
        <v>0</v>
      </c>
    </row>
    <row r="763" spans="1:8" x14ac:dyDescent="0.2">
      <c r="A763" s="117" t="s">
        <v>487</v>
      </c>
      <c r="B763" s="117"/>
      <c r="C763" s="117" t="s">
        <v>991</v>
      </c>
      <c r="D763" s="304" t="s">
        <v>1581</v>
      </c>
      <c r="E763" s="305"/>
      <c r="F763" s="117" t="s">
        <v>1644</v>
      </c>
      <c r="G763" s="116">
        <v>2</v>
      </c>
      <c r="H763" s="108">
        <v>0</v>
      </c>
    </row>
    <row r="764" spans="1:8" x14ac:dyDescent="0.2">
      <c r="A764" s="117" t="s">
        <v>488</v>
      </c>
      <c r="B764" s="117"/>
      <c r="C764" s="117" t="s">
        <v>992</v>
      </c>
      <c r="D764" s="304" t="s">
        <v>1582</v>
      </c>
      <c r="E764" s="305"/>
      <c r="F764" s="117" t="s">
        <v>1644</v>
      </c>
      <c r="G764" s="116">
        <v>1</v>
      </c>
      <c r="H764" s="108">
        <v>0</v>
      </c>
    </row>
    <row r="765" spans="1:8" x14ac:dyDescent="0.2">
      <c r="A765" s="117" t="s">
        <v>489</v>
      </c>
      <c r="B765" s="117"/>
      <c r="C765" s="117" t="s">
        <v>975</v>
      </c>
      <c r="D765" s="304" t="s">
        <v>1583</v>
      </c>
      <c r="E765" s="305"/>
      <c r="F765" s="117" t="s">
        <v>1644</v>
      </c>
      <c r="G765" s="116">
        <v>1</v>
      </c>
      <c r="H765" s="108">
        <v>0</v>
      </c>
    </row>
    <row r="766" spans="1:8" x14ac:dyDescent="0.2">
      <c r="A766" s="117" t="s">
        <v>490</v>
      </c>
      <c r="B766" s="117"/>
      <c r="C766" s="117" t="s">
        <v>993</v>
      </c>
      <c r="D766" s="304" t="s">
        <v>1581</v>
      </c>
      <c r="E766" s="305"/>
      <c r="F766" s="117" t="s">
        <v>1644</v>
      </c>
      <c r="G766" s="116">
        <v>1</v>
      </c>
      <c r="H766" s="108">
        <v>0</v>
      </c>
    </row>
    <row r="767" spans="1:8" x14ac:dyDescent="0.2">
      <c r="A767" s="117" t="s">
        <v>491</v>
      </c>
      <c r="B767" s="117"/>
      <c r="C767" s="117" t="s">
        <v>994</v>
      </c>
      <c r="D767" s="304" t="s">
        <v>1584</v>
      </c>
      <c r="E767" s="305"/>
      <c r="F767" s="117" t="s">
        <v>1644</v>
      </c>
      <c r="G767" s="116">
        <v>2</v>
      </c>
      <c r="H767" s="108">
        <v>0</v>
      </c>
    </row>
    <row r="768" spans="1:8" x14ac:dyDescent="0.2">
      <c r="A768" s="117" t="s">
        <v>492</v>
      </c>
      <c r="B768" s="117"/>
      <c r="C768" s="117" t="s">
        <v>995</v>
      </c>
      <c r="D768" s="304" t="s">
        <v>1585</v>
      </c>
      <c r="E768" s="305"/>
      <c r="F768" s="117" t="s">
        <v>1644</v>
      </c>
      <c r="G768" s="116">
        <v>1</v>
      </c>
      <c r="H768" s="108">
        <v>0</v>
      </c>
    </row>
    <row r="769" spans="1:8" x14ac:dyDescent="0.2">
      <c r="A769" s="117" t="s">
        <v>493</v>
      </c>
      <c r="B769" s="117"/>
      <c r="C769" s="117" t="s">
        <v>996</v>
      </c>
      <c r="D769" s="304" t="s">
        <v>1586</v>
      </c>
      <c r="E769" s="305"/>
      <c r="F769" s="117" t="s">
        <v>1644</v>
      </c>
      <c r="G769" s="116">
        <v>1</v>
      </c>
      <c r="H769" s="108">
        <v>0</v>
      </c>
    </row>
    <row r="770" spans="1:8" x14ac:dyDescent="0.2">
      <c r="A770" s="117" t="s">
        <v>494</v>
      </c>
      <c r="B770" s="117"/>
      <c r="C770" s="117" t="s">
        <v>996</v>
      </c>
      <c r="D770" s="304" t="s">
        <v>1587</v>
      </c>
      <c r="E770" s="305"/>
      <c r="F770" s="117" t="s">
        <v>1644</v>
      </c>
      <c r="G770" s="116">
        <v>1</v>
      </c>
      <c r="H770" s="108">
        <v>0</v>
      </c>
    </row>
    <row r="771" spans="1:8" x14ac:dyDescent="0.2">
      <c r="A771" s="117" t="s">
        <v>495</v>
      </c>
      <c r="B771" s="117"/>
      <c r="C771" s="117" t="s">
        <v>997</v>
      </c>
      <c r="D771" s="304" t="s">
        <v>1588</v>
      </c>
      <c r="E771" s="305"/>
      <c r="F771" s="117" t="s">
        <v>1644</v>
      </c>
      <c r="G771" s="116">
        <v>1</v>
      </c>
      <c r="H771" s="108">
        <v>0</v>
      </c>
    </row>
    <row r="772" spans="1:8" x14ac:dyDescent="0.2">
      <c r="A772" s="117" t="s">
        <v>496</v>
      </c>
      <c r="B772" s="117"/>
      <c r="C772" s="117" t="s">
        <v>997</v>
      </c>
      <c r="D772" s="304" t="s">
        <v>1589</v>
      </c>
      <c r="E772" s="305"/>
      <c r="F772" s="117" t="s">
        <v>1644</v>
      </c>
      <c r="G772" s="116">
        <v>1</v>
      </c>
      <c r="H772" s="108">
        <v>0</v>
      </c>
    </row>
    <row r="773" spans="1:8" x14ac:dyDescent="0.2">
      <c r="A773" s="117" t="s">
        <v>497</v>
      </c>
      <c r="B773" s="117"/>
      <c r="C773" s="117" t="s">
        <v>977</v>
      </c>
      <c r="D773" s="304" t="s">
        <v>1590</v>
      </c>
      <c r="E773" s="305"/>
      <c r="F773" s="117" t="s">
        <v>1644</v>
      </c>
      <c r="G773" s="116">
        <v>1</v>
      </c>
      <c r="H773" s="108">
        <v>0</v>
      </c>
    </row>
    <row r="774" spans="1:8" x14ac:dyDescent="0.2">
      <c r="A774" s="117" t="s">
        <v>498</v>
      </c>
      <c r="B774" s="117"/>
      <c r="C774" s="117" t="s">
        <v>998</v>
      </c>
      <c r="D774" s="304" t="s">
        <v>1591</v>
      </c>
      <c r="E774" s="305"/>
      <c r="F774" s="117" t="s">
        <v>1644</v>
      </c>
      <c r="G774" s="116">
        <v>1</v>
      </c>
      <c r="H774" s="108">
        <v>0</v>
      </c>
    </row>
    <row r="775" spans="1:8" x14ac:dyDescent="0.2">
      <c r="A775" s="117" t="s">
        <v>499</v>
      </c>
      <c r="B775" s="117"/>
      <c r="C775" s="117" t="s">
        <v>999</v>
      </c>
      <c r="D775" s="304" t="s">
        <v>1586</v>
      </c>
      <c r="E775" s="305"/>
      <c r="F775" s="117" t="s">
        <v>1644</v>
      </c>
      <c r="G775" s="116">
        <v>2</v>
      </c>
      <c r="H775" s="108">
        <v>0</v>
      </c>
    </row>
    <row r="776" spans="1:8" x14ac:dyDescent="0.2">
      <c r="A776" s="117" t="s">
        <v>500</v>
      </c>
      <c r="B776" s="117"/>
      <c r="C776" s="117" t="s">
        <v>999</v>
      </c>
      <c r="D776" s="304" t="s">
        <v>1587</v>
      </c>
      <c r="E776" s="305"/>
      <c r="F776" s="117" t="s">
        <v>1644</v>
      </c>
      <c r="G776" s="116">
        <v>2</v>
      </c>
      <c r="H776" s="108">
        <v>0</v>
      </c>
    </row>
    <row r="777" spans="1:8" x14ac:dyDescent="0.2">
      <c r="A777" s="117" t="s">
        <v>501</v>
      </c>
      <c r="B777" s="117"/>
      <c r="C777" s="117" t="s">
        <v>1000</v>
      </c>
      <c r="D777" s="304" t="s">
        <v>1581</v>
      </c>
      <c r="E777" s="305"/>
      <c r="F777" s="117" t="s">
        <v>1644</v>
      </c>
      <c r="G777" s="116">
        <v>1</v>
      </c>
      <c r="H777" s="108">
        <v>0</v>
      </c>
    </row>
    <row r="778" spans="1:8" x14ac:dyDescent="0.2">
      <c r="A778" s="117" t="s">
        <v>502</v>
      </c>
      <c r="B778" s="117"/>
      <c r="C778" s="117" t="s">
        <v>1001</v>
      </c>
      <c r="D778" s="304" t="s">
        <v>1592</v>
      </c>
      <c r="E778" s="305"/>
      <c r="F778" s="117" t="s">
        <v>1644</v>
      </c>
      <c r="G778" s="116">
        <v>1</v>
      </c>
      <c r="H778" s="108">
        <v>0</v>
      </c>
    </row>
    <row r="779" spans="1:8" x14ac:dyDescent="0.2">
      <c r="A779" s="117" t="s">
        <v>503</v>
      </c>
      <c r="B779" s="117"/>
      <c r="C779" s="117" t="s">
        <v>1002</v>
      </c>
      <c r="D779" s="304" t="s">
        <v>1593</v>
      </c>
      <c r="E779" s="305"/>
      <c r="F779" s="117" t="s">
        <v>1644</v>
      </c>
      <c r="G779" s="116">
        <v>1</v>
      </c>
      <c r="H779" s="108">
        <v>0</v>
      </c>
    </row>
    <row r="780" spans="1:8" x14ac:dyDescent="0.2">
      <c r="A780" s="117" t="s">
        <v>504</v>
      </c>
      <c r="B780" s="117"/>
      <c r="C780" s="117" t="s">
        <v>1003</v>
      </c>
      <c r="D780" s="304" t="s">
        <v>1594</v>
      </c>
      <c r="E780" s="305"/>
      <c r="F780" s="117" t="s">
        <v>1644</v>
      </c>
      <c r="G780" s="116">
        <v>1</v>
      </c>
      <c r="H780" s="108">
        <v>0</v>
      </c>
    </row>
    <row r="781" spans="1:8" x14ac:dyDescent="0.2">
      <c r="A781" s="117" t="s">
        <v>505</v>
      </c>
      <c r="B781" s="117"/>
      <c r="C781" s="117" t="s">
        <v>1003</v>
      </c>
      <c r="D781" s="304" t="s">
        <v>1595</v>
      </c>
      <c r="E781" s="305"/>
      <c r="F781" s="117" t="s">
        <v>1644</v>
      </c>
      <c r="G781" s="116">
        <v>1</v>
      </c>
      <c r="H781" s="108">
        <v>0</v>
      </c>
    </row>
    <row r="782" spans="1:8" x14ac:dyDescent="0.2">
      <c r="A782" s="117" t="s">
        <v>506</v>
      </c>
      <c r="B782" s="117"/>
      <c r="C782" s="117" t="s">
        <v>1004</v>
      </c>
      <c r="D782" s="304" t="s">
        <v>1596</v>
      </c>
      <c r="E782" s="305"/>
      <c r="F782" s="117" t="s">
        <v>1644</v>
      </c>
      <c r="G782" s="116">
        <v>1</v>
      </c>
      <c r="H782" s="108">
        <v>0</v>
      </c>
    </row>
    <row r="783" spans="1:8" x14ac:dyDescent="0.2">
      <c r="A783" s="117" t="s">
        <v>507</v>
      </c>
      <c r="B783" s="117"/>
      <c r="C783" s="117" t="s">
        <v>1005</v>
      </c>
      <c r="D783" s="304" t="s">
        <v>1597</v>
      </c>
      <c r="E783" s="305"/>
      <c r="F783" s="117" t="s">
        <v>1644</v>
      </c>
      <c r="G783" s="116">
        <v>1</v>
      </c>
      <c r="H783" s="108">
        <v>0</v>
      </c>
    </row>
    <row r="784" spans="1:8" x14ac:dyDescent="0.2">
      <c r="A784" s="117" t="s">
        <v>508</v>
      </c>
      <c r="B784" s="117"/>
      <c r="C784" s="117" t="s">
        <v>1006</v>
      </c>
      <c r="D784" s="304" t="s">
        <v>1598</v>
      </c>
      <c r="E784" s="305"/>
      <c r="F784" s="117" t="s">
        <v>1644</v>
      </c>
      <c r="G784" s="116">
        <v>1</v>
      </c>
      <c r="H784" s="108">
        <v>0</v>
      </c>
    </row>
    <row r="785" spans="1:8" x14ac:dyDescent="0.2">
      <c r="A785" s="117" t="s">
        <v>509</v>
      </c>
      <c r="B785" s="117"/>
      <c r="C785" s="117" t="s">
        <v>1007</v>
      </c>
      <c r="D785" s="304" t="s">
        <v>1599</v>
      </c>
      <c r="E785" s="305"/>
      <c r="F785" s="117" t="s">
        <v>1644</v>
      </c>
      <c r="G785" s="116">
        <v>1</v>
      </c>
      <c r="H785" s="108">
        <v>0</v>
      </c>
    </row>
    <row r="786" spans="1:8" x14ac:dyDescent="0.2">
      <c r="A786" s="117" t="s">
        <v>510</v>
      </c>
      <c r="B786" s="117"/>
      <c r="C786" s="117" t="s">
        <v>1008</v>
      </c>
      <c r="D786" s="304" t="s">
        <v>1600</v>
      </c>
      <c r="E786" s="305"/>
      <c r="F786" s="117" t="s">
        <v>1644</v>
      </c>
      <c r="G786" s="116">
        <v>1</v>
      </c>
      <c r="H786" s="108">
        <v>0</v>
      </c>
    </row>
    <row r="787" spans="1:8" x14ac:dyDescent="0.2">
      <c r="A787" s="117" t="s">
        <v>511</v>
      </c>
      <c r="B787" s="117"/>
      <c r="C787" s="117" t="s">
        <v>1009</v>
      </c>
      <c r="D787" s="304" t="s">
        <v>1601</v>
      </c>
      <c r="E787" s="305"/>
      <c r="F787" s="117" t="s">
        <v>1644</v>
      </c>
      <c r="G787" s="116">
        <v>1</v>
      </c>
      <c r="H787" s="108">
        <v>0</v>
      </c>
    </row>
    <row r="788" spans="1:8" x14ac:dyDescent="0.2">
      <c r="A788" s="117" t="s">
        <v>512</v>
      </c>
      <c r="B788" s="117"/>
      <c r="C788" s="117" t="s">
        <v>2612</v>
      </c>
      <c r="D788" s="304" t="s">
        <v>1602</v>
      </c>
      <c r="E788" s="305"/>
      <c r="F788" s="117" t="s">
        <v>1646</v>
      </c>
      <c r="G788" s="116">
        <v>20</v>
      </c>
      <c r="H788" s="108">
        <v>0</v>
      </c>
    </row>
    <row r="789" spans="1:8" x14ac:dyDescent="0.2">
      <c r="A789" s="117" t="s">
        <v>513</v>
      </c>
      <c r="B789" s="117"/>
      <c r="C789" s="117" t="s">
        <v>2611</v>
      </c>
      <c r="D789" s="304" t="s">
        <v>1603</v>
      </c>
      <c r="E789" s="305"/>
      <c r="F789" s="117" t="s">
        <v>1646</v>
      </c>
      <c r="G789" s="116">
        <v>10</v>
      </c>
      <c r="H789" s="108">
        <v>0</v>
      </c>
    </row>
    <row r="790" spans="1:8" x14ac:dyDescent="0.2">
      <c r="A790" s="117" t="s">
        <v>514</v>
      </c>
      <c r="B790" s="117"/>
      <c r="C790" s="117" t="s">
        <v>2610</v>
      </c>
      <c r="D790" s="304" t="s">
        <v>1604</v>
      </c>
      <c r="E790" s="305"/>
      <c r="F790" s="117" t="s">
        <v>1646</v>
      </c>
      <c r="G790" s="116">
        <v>5</v>
      </c>
      <c r="H790" s="108">
        <v>0</v>
      </c>
    </row>
    <row r="791" spans="1:8" x14ac:dyDescent="0.2">
      <c r="A791" s="117" t="s">
        <v>515</v>
      </c>
      <c r="B791" s="117"/>
      <c r="C791" s="117" t="s">
        <v>2609</v>
      </c>
      <c r="D791" s="304" t="s">
        <v>1605</v>
      </c>
      <c r="E791" s="305"/>
      <c r="F791" s="117" t="s">
        <v>1646</v>
      </c>
      <c r="G791" s="116">
        <v>5</v>
      </c>
      <c r="H791" s="108">
        <v>0</v>
      </c>
    </row>
    <row r="792" spans="1:8" x14ac:dyDescent="0.2">
      <c r="A792" s="117" t="s">
        <v>516</v>
      </c>
      <c r="B792" s="117"/>
      <c r="C792" s="117" t="s">
        <v>2608</v>
      </c>
      <c r="D792" s="304" t="s">
        <v>1606</v>
      </c>
      <c r="E792" s="305"/>
      <c r="F792" s="117" t="s">
        <v>1646</v>
      </c>
      <c r="G792" s="116">
        <v>20</v>
      </c>
      <c r="H792" s="108">
        <v>0</v>
      </c>
    </row>
    <row r="793" spans="1:8" x14ac:dyDescent="0.2">
      <c r="A793" s="117" t="s">
        <v>517</v>
      </c>
      <c r="B793" s="117"/>
      <c r="C793" s="117" t="s">
        <v>2607</v>
      </c>
      <c r="D793" s="304" t="s">
        <v>1607</v>
      </c>
      <c r="E793" s="305"/>
      <c r="F793" s="117" t="s">
        <v>1646</v>
      </c>
      <c r="G793" s="116">
        <v>10</v>
      </c>
      <c r="H793" s="108">
        <v>0</v>
      </c>
    </row>
    <row r="794" spans="1:8" x14ac:dyDescent="0.2">
      <c r="A794" s="117" t="s">
        <v>518</v>
      </c>
      <c r="B794" s="117"/>
      <c r="C794" s="117" t="s">
        <v>2606</v>
      </c>
      <c r="D794" s="304" t="s">
        <v>1608</v>
      </c>
      <c r="E794" s="305"/>
      <c r="F794" s="117" t="s">
        <v>1644</v>
      </c>
      <c r="G794" s="116">
        <v>70</v>
      </c>
      <c r="H794" s="108">
        <v>0</v>
      </c>
    </row>
    <row r="795" spans="1:8" x14ac:dyDescent="0.2">
      <c r="A795" s="117" t="s">
        <v>519</v>
      </c>
      <c r="B795" s="117"/>
      <c r="C795" s="117" t="s">
        <v>2605</v>
      </c>
      <c r="D795" s="304" t="s">
        <v>1609</v>
      </c>
      <c r="E795" s="305"/>
      <c r="F795" s="117" t="s">
        <v>1644</v>
      </c>
      <c r="G795" s="116">
        <v>3</v>
      </c>
      <c r="H795" s="108">
        <v>0</v>
      </c>
    </row>
    <row r="796" spans="1:8" x14ac:dyDescent="0.2">
      <c r="A796" s="117" t="s">
        <v>520</v>
      </c>
      <c r="B796" s="117"/>
      <c r="C796" s="117" t="s">
        <v>2604</v>
      </c>
      <c r="D796" s="304" t="s">
        <v>1610</v>
      </c>
      <c r="E796" s="305"/>
      <c r="F796" s="117" t="s">
        <v>1644</v>
      </c>
      <c r="G796" s="116">
        <v>1</v>
      </c>
      <c r="H796" s="108">
        <v>0</v>
      </c>
    </row>
    <row r="797" spans="1:8" x14ac:dyDescent="0.2">
      <c r="A797" s="117" t="s">
        <v>521</v>
      </c>
      <c r="B797" s="117"/>
      <c r="C797" s="117" t="s">
        <v>2603</v>
      </c>
      <c r="D797" s="304" t="s">
        <v>1611</v>
      </c>
      <c r="E797" s="305"/>
      <c r="F797" s="117" t="s">
        <v>1651</v>
      </c>
      <c r="G797" s="116">
        <v>1</v>
      </c>
      <c r="H797" s="108">
        <v>0</v>
      </c>
    </row>
    <row r="798" spans="1:8" x14ac:dyDescent="0.2">
      <c r="A798" s="117" t="s">
        <v>522</v>
      </c>
      <c r="B798" s="117"/>
      <c r="C798" s="117" t="s">
        <v>2602</v>
      </c>
      <c r="D798" s="304" t="s">
        <v>1612</v>
      </c>
      <c r="E798" s="305"/>
      <c r="F798" s="117" t="s">
        <v>1646</v>
      </c>
      <c r="G798" s="116">
        <v>170</v>
      </c>
      <c r="H798" s="108">
        <v>0</v>
      </c>
    </row>
    <row r="799" spans="1:8" x14ac:dyDescent="0.2">
      <c r="A799" s="117" t="s">
        <v>523</v>
      </c>
      <c r="B799" s="117"/>
      <c r="C799" s="117" t="s">
        <v>2601</v>
      </c>
      <c r="D799" s="304" t="s">
        <v>1613</v>
      </c>
      <c r="E799" s="305"/>
      <c r="F799" s="117" t="s">
        <v>1646</v>
      </c>
      <c r="G799" s="116">
        <v>45</v>
      </c>
      <c r="H799" s="108">
        <v>0</v>
      </c>
    </row>
    <row r="800" spans="1:8" x14ac:dyDescent="0.2">
      <c r="A800" s="117" t="s">
        <v>524</v>
      </c>
      <c r="B800" s="117"/>
      <c r="C800" s="117" t="s">
        <v>2600</v>
      </c>
      <c r="D800" s="304" t="s">
        <v>1614</v>
      </c>
      <c r="E800" s="305"/>
      <c r="F800" s="117" t="s">
        <v>1646</v>
      </c>
      <c r="G800" s="116">
        <v>80</v>
      </c>
      <c r="H800" s="108">
        <v>0</v>
      </c>
    </row>
    <row r="801" spans="1:8" x14ac:dyDescent="0.2">
      <c r="A801" s="117" t="s">
        <v>525</v>
      </c>
      <c r="B801" s="117"/>
      <c r="C801" s="117" t="s">
        <v>2599</v>
      </c>
      <c r="D801" s="304" t="s">
        <v>1615</v>
      </c>
      <c r="E801" s="305"/>
      <c r="F801" s="117" t="s">
        <v>1646</v>
      </c>
      <c r="G801" s="116">
        <v>30</v>
      </c>
      <c r="H801" s="108">
        <v>0</v>
      </c>
    </row>
    <row r="802" spans="1:8" x14ac:dyDescent="0.2">
      <c r="A802" s="117" t="s">
        <v>526</v>
      </c>
      <c r="B802" s="117"/>
      <c r="C802" s="117" t="s">
        <v>2598</v>
      </c>
      <c r="D802" s="304" t="s">
        <v>1616</v>
      </c>
      <c r="E802" s="305"/>
      <c r="F802" s="117" t="s">
        <v>1646</v>
      </c>
      <c r="G802" s="116">
        <v>30</v>
      </c>
      <c r="H802" s="108">
        <v>0</v>
      </c>
    </row>
    <row r="803" spans="1:8" x14ac:dyDescent="0.2">
      <c r="A803" s="117" t="s">
        <v>527</v>
      </c>
      <c r="B803" s="117"/>
      <c r="C803" s="117" t="s">
        <v>2597</v>
      </c>
      <c r="D803" s="304" t="s">
        <v>1617</v>
      </c>
      <c r="E803" s="305"/>
      <c r="F803" s="117" t="s">
        <v>1646</v>
      </c>
      <c r="G803" s="116">
        <v>20</v>
      </c>
      <c r="H803" s="108">
        <v>0</v>
      </c>
    </row>
    <row r="804" spans="1:8" x14ac:dyDescent="0.2">
      <c r="A804" s="117" t="s">
        <v>528</v>
      </c>
      <c r="B804" s="117"/>
      <c r="C804" s="117" t="s">
        <v>2596</v>
      </c>
      <c r="D804" s="304" t="s">
        <v>1618</v>
      </c>
      <c r="E804" s="305"/>
      <c r="F804" s="117" t="s">
        <v>1646</v>
      </c>
      <c r="G804" s="116">
        <v>25</v>
      </c>
      <c r="H804" s="108">
        <v>0</v>
      </c>
    </row>
    <row r="805" spans="1:8" x14ac:dyDescent="0.2">
      <c r="A805" s="117" t="s">
        <v>529</v>
      </c>
      <c r="B805" s="117"/>
      <c r="C805" s="117" t="s">
        <v>2595</v>
      </c>
      <c r="D805" s="304" t="s">
        <v>1619</v>
      </c>
      <c r="E805" s="305"/>
      <c r="F805" s="117" t="s">
        <v>1644</v>
      </c>
      <c r="G805" s="116">
        <v>1</v>
      </c>
      <c r="H805" s="108">
        <v>0</v>
      </c>
    </row>
    <row r="806" spans="1:8" x14ac:dyDescent="0.2">
      <c r="A806" s="117" t="s">
        <v>530</v>
      </c>
      <c r="B806" s="117"/>
      <c r="C806" s="117" t="s">
        <v>2594</v>
      </c>
      <c r="D806" s="304" t="s">
        <v>1620</v>
      </c>
      <c r="E806" s="305"/>
      <c r="F806" s="117" t="s">
        <v>1644</v>
      </c>
      <c r="G806" s="116">
        <v>1</v>
      </c>
      <c r="H806" s="108">
        <v>0</v>
      </c>
    </row>
    <row r="807" spans="1:8" x14ac:dyDescent="0.2">
      <c r="A807" s="117" t="s">
        <v>531</v>
      </c>
      <c r="B807" s="117"/>
      <c r="C807" s="117" t="s">
        <v>2593</v>
      </c>
      <c r="D807" s="304" t="s">
        <v>1621</v>
      </c>
      <c r="E807" s="305"/>
      <c r="F807" s="117" t="s">
        <v>1644</v>
      </c>
      <c r="G807" s="116">
        <v>1</v>
      </c>
      <c r="H807" s="108">
        <v>0</v>
      </c>
    </row>
    <row r="808" spans="1:8" x14ac:dyDescent="0.2">
      <c r="A808" s="117" t="s">
        <v>532</v>
      </c>
      <c r="B808" s="117"/>
      <c r="C808" s="117" t="s">
        <v>2592</v>
      </c>
      <c r="D808" s="304" t="s">
        <v>1622</v>
      </c>
      <c r="E808" s="305"/>
      <c r="F808" s="117" t="s">
        <v>1644</v>
      </c>
      <c r="G808" s="116">
        <v>1</v>
      </c>
      <c r="H808" s="108">
        <v>0</v>
      </c>
    </row>
    <row r="809" spans="1:8" x14ac:dyDescent="0.2">
      <c r="A809" s="117" t="s">
        <v>533</v>
      </c>
      <c r="B809" s="117"/>
      <c r="C809" s="117" t="s">
        <v>2591</v>
      </c>
      <c r="D809" s="304" t="s">
        <v>1623</v>
      </c>
      <c r="E809" s="305"/>
      <c r="F809" s="117" t="s">
        <v>1644</v>
      </c>
      <c r="G809" s="116">
        <v>1</v>
      </c>
      <c r="H809" s="108">
        <v>0</v>
      </c>
    </row>
    <row r="810" spans="1:8" x14ac:dyDescent="0.2">
      <c r="A810" s="117" t="s">
        <v>534</v>
      </c>
      <c r="B810" s="117"/>
      <c r="C810" s="117" t="s">
        <v>2590</v>
      </c>
      <c r="D810" s="304" t="s">
        <v>1624</v>
      </c>
      <c r="E810" s="305"/>
      <c r="F810" s="117" t="s">
        <v>1644</v>
      </c>
      <c r="G810" s="116">
        <v>1</v>
      </c>
      <c r="H810" s="108">
        <v>0</v>
      </c>
    </row>
    <row r="811" spans="1:8" x14ac:dyDescent="0.2">
      <c r="A811" s="117" t="s">
        <v>535</v>
      </c>
      <c r="B811" s="117"/>
      <c r="C811" s="117" t="s">
        <v>2589</v>
      </c>
      <c r="D811" s="304" t="s">
        <v>1625</v>
      </c>
      <c r="E811" s="305"/>
      <c r="F811" s="117" t="s">
        <v>1644</v>
      </c>
      <c r="G811" s="116">
        <v>1</v>
      </c>
      <c r="H811" s="108">
        <v>0</v>
      </c>
    </row>
    <row r="812" spans="1:8" x14ac:dyDescent="0.2">
      <c r="A812" s="117" t="s">
        <v>536</v>
      </c>
      <c r="B812" s="117"/>
      <c r="C812" s="117" t="s">
        <v>2588</v>
      </c>
      <c r="D812" s="304" t="s">
        <v>1626</v>
      </c>
      <c r="E812" s="305"/>
      <c r="F812" s="117" t="s">
        <v>1644</v>
      </c>
      <c r="G812" s="116">
        <v>1</v>
      </c>
      <c r="H812" s="108">
        <v>0</v>
      </c>
    </row>
    <row r="813" spans="1:8" x14ac:dyDescent="0.2">
      <c r="A813" s="117" t="s">
        <v>537</v>
      </c>
      <c r="B813" s="117"/>
      <c r="C813" s="117" t="s">
        <v>2587</v>
      </c>
      <c r="D813" s="304" t="s">
        <v>1627</v>
      </c>
      <c r="E813" s="305"/>
      <c r="F813" s="117" t="s">
        <v>1644</v>
      </c>
      <c r="G813" s="116">
        <v>1</v>
      </c>
      <c r="H813" s="108">
        <v>0</v>
      </c>
    </row>
    <row r="814" spans="1:8" x14ac:dyDescent="0.2">
      <c r="A814" s="117" t="s">
        <v>538</v>
      </c>
      <c r="B814" s="117"/>
      <c r="C814" s="117" t="s">
        <v>2586</v>
      </c>
      <c r="D814" s="304" t="s">
        <v>1628</v>
      </c>
      <c r="E814" s="305"/>
      <c r="F814" s="117" t="s">
        <v>1644</v>
      </c>
      <c r="G814" s="116">
        <v>1</v>
      </c>
      <c r="H814" s="108">
        <v>0</v>
      </c>
    </row>
    <row r="815" spans="1:8" x14ac:dyDescent="0.2">
      <c r="A815" s="117" t="s">
        <v>539</v>
      </c>
      <c r="B815" s="117"/>
      <c r="C815" s="117" t="s">
        <v>2584</v>
      </c>
      <c r="D815" s="304" t="s">
        <v>1629</v>
      </c>
      <c r="E815" s="305"/>
      <c r="F815" s="117" t="s">
        <v>1644</v>
      </c>
      <c r="G815" s="116">
        <v>1</v>
      </c>
      <c r="H815" s="108">
        <v>0</v>
      </c>
    </row>
    <row r="816" spans="1:8" x14ac:dyDescent="0.2">
      <c r="A816" s="117" t="s">
        <v>540</v>
      </c>
      <c r="B816" s="117"/>
      <c r="C816" s="117" t="s">
        <v>2582</v>
      </c>
      <c r="D816" s="304" t="s">
        <v>1630</v>
      </c>
      <c r="E816" s="305"/>
      <c r="F816" s="117" t="s">
        <v>1644</v>
      </c>
      <c r="G816" s="116">
        <v>1</v>
      </c>
      <c r="H816" s="108">
        <v>0</v>
      </c>
    </row>
    <row r="817" spans="1:8" x14ac:dyDescent="0.2">
      <c r="A817" s="120"/>
      <c r="B817" s="120"/>
      <c r="C817" s="120" t="s">
        <v>1039</v>
      </c>
      <c r="D817" s="306" t="s">
        <v>1631</v>
      </c>
      <c r="E817" s="307"/>
      <c r="F817" s="120"/>
      <c r="G817" s="142"/>
      <c r="H817" s="109"/>
    </row>
    <row r="818" spans="1:8" x14ac:dyDescent="0.2">
      <c r="A818" s="117" t="s">
        <v>541</v>
      </c>
      <c r="B818" s="117"/>
      <c r="C818" s="117" t="s">
        <v>1040</v>
      </c>
      <c r="D818" s="304" t="s">
        <v>1632</v>
      </c>
      <c r="E818" s="305"/>
      <c r="F818" s="117" t="s">
        <v>1644</v>
      </c>
      <c r="G818" s="116">
        <v>1</v>
      </c>
      <c r="H818" s="108">
        <v>0</v>
      </c>
    </row>
    <row r="819" spans="1:8" x14ac:dyDescent="0.2">
      <c r="A819" s="117" t="s">
        <v>542</v>
      </c>
      <c r="B819" s="117"/>
      <c r="C819" s="117" t="s">
        <v>1041</v>
      </c>
      <c r="D819" s="304" t="s">
        <v>1633</v>
      </c>
      <c r="E819" s="305"/>
      <c r="F819" s="117" t="s">
        <v>1644</v>
      </c>
      <c r="G819" s="116">
        <v>1</v>
      </c>
      <c r="H819" s="108">
        <v>0</v>
      </c>
    </row>
    <row r="820" spans="1:8" x14ac:dyDescent="0.2">
      <c r="A820" s="117" t="s">
        <v>543</v>
      </c>
      <c r="B820" s="117"/>
      <c r="C820" s="117" t="s">
        <v>1042</v>
      </c>
      <c r="D820" s="304" t="s">
        <v>1634</v>
      </c>
      <c r="E820" s="305"/>
      <c r="F820" s="117" t="s">
        <v>1644</v>
      </c>
      <c r="G820" s="116">
        <v>1</v>
      </c>
      <c r="H820" s="108">
        <v>0</v>
      </c>
    </row>
    <row r="821" spans="1:8" x14ac:dyDescent="0.2">
      <c r="A821" s="117" t="s">
        <v>544</v>
      </c>
      <c r="B821" s="117"/>
      <c r="C821" s="117" t="s">
        <v>1043</v>
      </c>
      <c r="D821" s="304" t="s">
        <v>1635</v>
      </c>
      <c r="E821" s="305"/>
      <c r="F821" s="117" t="s">
        <v>1644</v>
      </c>
      <c r="G821" s="116">
        <v>1</v>
      </c>
      <c r="H821" s="108">
        <v>0</v>
      </c>
    </row>
    <row r="822" spans="1:8" x14ac:dyDescent="0.2">
      <c r="A822" s="117" t="s">
        <v>545</v>
      </c>
      <c r="B822" s="117"/>
      <c r="C822" s="117" t="s">
        <v>1044</v>
      </c>
      <c r="D822" s="304" t="s">
        <v>1636</v>
      </c>
      <c r="E822" s="305"/>
      <c r="F822" s="117" t="s">
        <v>1644</v>
      </c>
      <c r="G822" s="116">
        <v>1</v>
      </c>
      <c r="H822" s="108">
        <v>0</v>
      </c>
    </row>
    <row r="823" spans="1:8" x14ac:dyDescent="0.2">
      <c r="A823" s="117" t="s">
        <v>546</v>
      </c>
      <c r="B823" s="117"/>
      <c r="C823" s="117" t="s">
        <v>1045</v>
      </c>
      <c r="D823" s="304" t="s">
        <v>1637</v>
      </c>
      <c r="E823" s="305"/>
      <c r="F823" s="117" t="s">
        <v>1644</v>
      </c>
      <c r="G823" s="116">
        <v>1</v>
      </c>
      <c r="H823" s="108">
        <v>0</v>
      </c>
    </row>
    <row r="824" spans="1:8" x14ac:dyDescent="0.2">
      <c r="A824" s="117" t="s">
        <v>547</v>
      </c>
      <c r="B824" s="117"/>
      <c r="C824" s="117" t="s">
        <v>1046</v>
      </c>
      <c r="D824" s="304" t="s">
        <v>1638</v>
      </c>
      <c r="E824" s="305"/>
      <c r="F824" s="117" t="s">
        <v>1644</v>
      </c>
      <c r="G824" s="116">
        <v>1</v>
      </c>
      <c r="H824" s="108">
        <v>0</v>
      </c>
    </row>
    <row r="826" spans="1:8" ht="11.25" customHeight="1" x14ac:dyDescent="0.2">
      <c r="A826" s="106" t="s">
        <v>569</v>
      </c>
    </row>
    <row r="827" spans="1:8" x14ac:dyDescent="0.2">
      <c r="A827" s="255"/>
      <c r="B827" s="256"/>
      <c r="C827" s="256"/>
      <c r="D827" s="256"/>
      <c r="E827" s="256"/>
      <c r="F827" s="256"/>
      <c r="G827" s="256"/>
    </row>
  </sheetData>
  <sheetProtection algorithmName="SHA-512" hashValue="+2ZJBWzBbruFtmBCEOG4jffYkPy9gixN2ap9tSt6XFaw80M47CL4n7z8VyYQ0Jfm3g5Gk4ZpDf3BAD/SHZyF6w==" saltValue="q9JsQtSNHYAP0mvNQVIbVQ==" spinCount="100000" sheet="1" objects="1" scenarios="1"/>
  <mergeCells count="833">
    <mergeCell ref="D823:E823"/>
    <mergeCell ref="D824:E824"/>
    <mergeCell ref="A827:G827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821:E821"/>
    <mergeCell ref="D822:E822"/>
    <mergeCell ref="D799:E799"/>
    <mergeCell ref="D800:E800"/>
    <mergeCell ref="D801:E801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75:E775"/>
    <mergeCell ref="D776:E776"/>
    <mergeCell ref="D777:E777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71:E771"/>
    <mergeCell ref="D772:E772"/>
    <mergeCell ref="D773:E773"/>
    <mergeCell ref="D774:E774"/>
    <mergeCell ref="D751:E751"/>
    <mergeCell ref="D752:E752"/>
    <mergeCell ref="D753:E753"/>
    <mergeCell ref="D730:E730"/>
    <mergeCell ref="D731:E731"/>
    <mergeCell ref="D732:E732"/>
    <mergeCell ref="D733:E733"/>
    <mergeCell ref="D734:E734"/>
    <mergeCell ref="D735:E735"/>
    <mergeCell ref="D736:E736"/>
    <mergeCell ref="D737:E737"/>
    <mergeCell ref="D738:F738"/>
    <mergeCell ref="D739:E739"/>
    <mergeCell ref="D740:F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27:E727"/>
    <mergeCell ref="D728:E728"/>
    <mergeCell ref="D729:E729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03:E703"/>
    <mergeCell ref="D704:E704"/>
    <mergeCell ref="D705:E705"/>
    <mergeCell ref="D682:E682"/>
    <mergeCell ref="D683:E683"/>
    <mergeCell ref="D684:F684"/>
    <mergeCell ref="D685:E685"/>
    <mergeCell ref="D686:F686"/>
    <mergeCell ref="D687:E687"/>
    <mergeCell ref="D688:F688"/>
    <mergeCell ref="D689:E689"/>
    <mergeCell ref="D690:F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679:E679"/>
    <mergeCell ref="D680:F680"/>
    <mergeCell ref="D681:F681"/>
    <mergeCell ref="D658:F658"/>
    <mergeCell ref="D659:E659"/>
    <mergeCell ref="D660:F660"/>
    <mergeCell ref="D661:E661"/>
    <mergeCell ref="D662:F662"/>
    <mergeCell ref="D663:F663"/>
    <mergeCell ref="D664:E664"/>
    <mergeCell ref="D665:F665"/>
    <mergeCell ref="D666:E666"/>
    <mergeCell ref="D667:E667"/>
    <mergeCell ref="D668:F668"/>
    <mergeCell ref="D669:F669"/>
    <mergeCell ref="D670:F670"/>
    <mergeCell ref="D671:E671"/>
    <mergeCell ref="D672:F672"/>
    <mergeCell ref="D673:E673"/>
    <mergeCell ref="D674:F674"/>
    <mergeCell ref="D675:F675"/>
    <mergeCell ref="D676:F676"/>
    <mergeCell ref="D677:E677"/>
    <mergeCell ref="D678:F678"/>
    <mergeCell ref="D655:F655"/>
    <mergeCell ref="D656:E656"/>
    <mergeCell ref="D657:F657"/>
    <mergeCell ref="D634:F634"/>
    <mergeCell ref="D635:E635"/>
    <mergeCell ref="D636:F636"/>
    <mergeCell ref="D637:E637"/>
    <mergeCell ref="D638:F638"/>
    <mergeCell ref="D639:E639"/>
    <mergeCell ref="D640:F640"/>
    <mergeCell ref="D641:E641"/>
    <mergeCell ref="D642:F642"/>
    <mergeCell ref="D643:E643"/>
    <mergeCell ref="D644:F644"/>
    <mergeCell ref="D645:E645"/>
    <mergeCell ref="D646:F646"/>
    <mergeCell ref="D647:E647"/>
    <mergeCell ref="D648:F648"/>
    <mergeCell ref="D649:E649"/>
    <mergeCell ref="D650:E650"/>
    <mergeCell ref="D651:F651"/>
    <mergeCell ref="D652:E652"/>
    <mergeCell ref="D653:F653"/>
    <mergeCell ref="D654:E654"/>
    <mergeCell ref="D631:E631"/>
    <mergeCell ref="D632:F632"/>
    <mergeCell ref="D633:E633"/>
    <mergeCell ref="D610:E610"/>
    <mergeCell ref="D611:F611"/>
    <mergeCell ref="D612:E612"/>
    <mergeCell ref="D613:F613"/>
    <mergeCell ref="D614:E614"/>
    <mergeCell ref="D615:F615"/>
    <mergeCell ref="D616:E616"/>
    <mergeCell ref="D617:F617"/>
    <mergeCell ref="D618:E618"/>
    <mergeCell ref="D619:F619"/>
    <mergeCell ref="D620:E620"/>
    <mergeCell ref="D621:F621"/>
    <mergeCell ref="D622:E622"/>
    <mergeCell ref="D623:F623"/>
    <mergeCell ref="D624:E624"/>
    <mergeCell ref="D625:E625"/>
    <mergeCell ref="D626:F626"/>
    <mergeCell ref="D627:E627"/>
    <mergeCell ref="D628:F628"/>
    <mergeCell ref="D629:E629"/>
    <mergeCell ref="D630:F630"/>
    <mergeCell ref="D607:F607"/>
    <mergeCell ref="D608:E608"/>
    <mergeCell ref="D609:F609"/>
    <mergeCell ref="D586:F586"/>
    <mergeCell ref="D587:E587"/>
    <mergeCell ref="D588:F588"/>
    <mergeCell ref="D589:E589"/>
    <mergeCell ref="D590:F590"/>
    <mergeCell ref="D591:E591"/>
    <mergeCell ref="D592:F592"/>
    <mergeCell ref="D593:E593"/>
    <mergeCell ref="D594:F594"/>
    <mergeCell ref="D595:E595"/>
    <mergeCell ref="D596:F596"/>
    <mergeCell ref="D597:E597"/>
    <mergeCell ref="D598:F598"/>
    <mergeCell ref="D599:E599"/>
    <mergeCell ref="D600:F600"/>
    <mergeCell ref="D601:E601"/>
    <mergeCell ref="D602:F602"/>
    <mergeCell ref="D603:E603"/>
    <mergeCell ref="D604:F604"/>
    <mergeCell ref="D605:E605"/>
    <mergeCell ref="D606:E606"/>
    <mergeCell ref="D583:E583"/>
    <mergeCell ref="D584:F584"/>
    <mergeCell ref="D585:E585"/>
    <mergeCell ref="D562:E562"/>
    <mergeCell ref="D563:F563"/>
    <mergeCell ref="D564:E564"/>
    <mergeCell ref="D565:E565"/>
    <mergeCell ref="D566:F566"/>
    <mergeCell ref="D567:E567"/>
    <mergeCell ref="D568:F568"/>
    <mergeCell ref="D569:E569"/>
    <mergeCell ref="D570:F570"/>
    <mergeCell ref="D571:E571"/>
    <mergeCell ref="D572:F572"/>
    <mergeCell ref="D573:E573"/>
    <mergeCell ref="D574:F574"/>
    <mergeCell ref="D575:E575"/>
    <mergeCell ref="D576:F576"/>
    <mergeCell ref="D577:E577"/>
    <mergeCell ref="D578:F578"/>
    <mergeCell ref="D579:E579"/>
    <mergeCell ref="D580:F580"/>
    <mergeCell ref="D581:E581"/>
    <mergeCell ref="D582:F582"/>
    <mergeCell ref="D559:F559"/>
    <mergeCell ref="D560:E560"/>
    <mergeCell ref="D561:F561"/>
    <mergeCell ref="D538:E538"/>
    <mergeCell ref="D539:E539"/>
    <mergeCell ref="D540:F540"/>
    <mergeCell ref="D541:E541"/>
    <mergeCell ref="D542:F542"/>
    <mergeCell ref="D543:E543"/>
    <mergeCell ref="D544:F544"/>
    <mergeCell ref="D545:E545"/>
    <mergeCell ref="D546:F546"/>
    <mergeCell ref="D547:E547"/>
    <mergeCell ref="D548:F548"/>
    <mergeCell ref="D549:E549"/>
    <mergeCell ref="D550:F550"/>
    <mergeCell ref="D551:F551"/>
    <mergeCell ref="D552:E552"/>
    <mergeCell ref="D553:F553"/>
    <mergeCell ref="D554:E554"/>
    <mergeCell ref="D555:F555"/>
    <mergeCell ref="D556:E556"/>
    <mergeCell ref="D557:F557"/>
    <mergeCell ref="D558:E558"/>
    <mergeCell ref="D535:E535"/>
    <mergeCell ref="D536:E536"/>
    <mergeCell ref="D537:E537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11:E511"/>
    <mergeCell ref="D512:E512"/>
    <mergeCell ref="D513:E513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487:E487"/>
    <mergeCell ref="D488:E488"/>
    <mergeCell ref="D489:E489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63:E463"/>
    <mergeCell ref="D464:E464"/>
    <mergeCell ref="D465:E465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39:E439"/>
    <mergeCell ref="D440:E440"/>
    <mergeCell ref="D441:E441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15:E415"/>
    <mergeCell ref="D416:E416"/>
    <mergeCell ref="D417:E417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391:E391"/>
    <mergeCell ref="D392:E392"/>
    <mergeCell ref="D393:E393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67:E367"/>
    <mergeCell ref="D368:E368"/>
    <mergeCell ref="D369:E369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43:E343"/>
    <mergeCell ref="D344:E344"/>
    <mergeCell ref="D345:E345"/>
    <mergeCell ref="D322:F322"/>
    <mergeCell ref="D323:E323"/>
    <mergeCell ref="D324:F324"/>
    <mergeCell ref="D325:E325"/>
    <mergeCell ref="D326:F326"/>
    <mergeCell ref="D327:E327"/>
    <mergeCell ref="D328:F328"/>
    <mergeCell ref="D329:E329"/>
    <mergeCell ref="D330:F330"/>
    <mergeCell ref="D331:E331"/>
    <mergeCell ref="D332:F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19:F319"/>
    <mergeCell ref="D320:E320"/>
    <mergeCell ref="D321:F321"/>
    <mergeCell ref="D298:E298"/>
    <mergeCell ref="D299:F299"/>
    <mergeCell ref="D300:E300"/>
    <mergeCell ref="D301:F301"/>
    <mergeCell ref="D302:E302"/>
    <mergeCell ref="D303:E303"/>
    <mergeCell ref="D304:F304"/>
    <mergeCell ref="D305:E305"/>
    <mergeCell ref="D306:E306"/>
    <mergeCell ref="D307:F307"/>
    <mergeCell ref="D308:E308"/>
    <mergeCell ref="D309:F309"/>
    <mergeCell ref="D310:E310"/>
    <mergeCell ref="D311:F311"/>
    <mergeCell ref="D312:E312"/>
    <mergeCell ref="D313:F313"/>
    <mergeCell ref="D314:E314"/>
    <mergeCell ref="D315:E315"/>
    <mergeCell ref="D316:F316"/>
    <mergeCell ref="D317:E317"/>
    <mergeCell ref="D318:F318"/>
    <mergeCell ref="D295:F295"/>
    <mergeCell ref="D296:E296"/>
    <mergeCell ref="D297:F297"/>
    <mergeCell ref="D274:E274"/>
    <mergeCell ref="D275:F275"/>
    <mergeCell ref="D276:E276"/>
    <mergeCell ref="D277:F277"/>
    <mergeCell ref="D278:E278"/>
    <mergeCell ref="D279:F279"/>
    <mergeCell ref="D280:E280"/>
    <mergeCell ref="D281:F281"/>
    <mergeCell ref="D282:E282"/>
    <mergeCell ref="D283:F283"/>
    <mergeCell ref="D284:E284"/>
    <mergeCell ref="D285:F285"/>
    <mergeCell ref="D286:E286"/>
    <mergeCell ref="D287:F287"/>
    <mergeCell ref="D288:E288"/>
    <mergeCell ref="D289:F289"/>
    <mergeCell ref="D290:E290"/>
    <mergeCell ref="D291:F291"/>
    <mergeCell ref="D292:E292"/>
    <mergeCell ref="D293:F293"/>
    <mergeCell ref="D294:E294"/>
    <mergeCell ref="D271:F271"/>
    <mergeCell ref="D272:E272"/>
    <mergeCell ref="D273:F273"/>
    <mergeCell ref="D250:E250"/>
    <mergeCell ref="D251:F251"/>
    <mergeCell ref="D252:E252"/>
    <mergeCell ref="D253:F253"/>
    <mergeCell ref="D254:E254"/>
    <mergeCell ref="D255:F255"/>
    <mergeCell ref="D256:E256"/>
    <mergeCell ref="D257:F257"/>
    <mergeCell ref="D258:E258"/>
    <mergeCell ref="D259:F259"/>
    <mergeCell ref="D260:E260"/>
    <mergeCell ref="D261:F261"/>
    <mergeCell ref="D262:E262"/>
    <mergeCell ref="D263:F263"/>
    <mergeCell ref="D264:E264"/>
    <mergeCell ref="D265:F265"/>
    <mergeCell ref="D266:F266"/>
    <mergeCell ref="D267:E267"/>
    <mergeCell ref="D268:F268"/>
    <mergeCell ref="D269:E269"/>
    <mergeCell ref="D270:E270"/>
    <mergeCell ref="D247:F247"/>
    <mergeCell ref="D248:E248"/>
    <mergeCell ref="D249:F249"/>
    <mergeCell ref="D226:F226"/>
    <mergeCell ref="D227:E227"/>
    <mergeCell ref="D228:F228"/>
    <mergeCell ref="D229:E229"/>
    <mergeCell ref="D230:F230"/>
    <mergeCell ref="D231:E231"/>
    <mergeCell ref="D232:E232"/>
    <mergeCell ref="D233:F233"/>
    <mergeCell ref="D234:E234"/>
    <mergeCell ref="D235:F235"/>
    <mergeCell ref="D236:E236"/>
    <mergeCell ref="D237:F237"/>
    <mergeCell ref="D238:E238"/>
    <mergeCell ref="D239:F239"/>
    <mergeCell ref="D240:E240"/>
    <mergeCell ref="D241:F241"/>
    <mergeCell ref="D242:E242"/>
    <mergeCell ref="D243:F243"/>
    <mergeCell ref="D244:E244"/>
    <mergeCell ref="D245:F245"/>
    <mergeCell ref="D246:E246"/>
    <mergeCell ref="D223:E223"/>
    <mergeCell ref="D224:F224"/>
    <mergeCell ref="D225:E225"/>
    <mergeCell ref="D202:F202"/>
    <mergeCell ref="D203:E203"/>
    <mergeCell ref="D204:F204"/>
    <mergeCell ref="D205:E205"/>
    <mergeCell ref="D206:F206"/>
    <mergeCell ref="D207:E207"/>
    <mergeCell ref="D208:F208"/>
    <mergeCell ref="D209:E209"/>
    <mergeCell ref="D210:F210"/>
    <mergeCell ref="D211:E211"/>
    <mergeCell ref="D212:F212"/>
    <mergeCell ref="D213:E213"/>
    <mergeCell ref="D214:F214"/>
    <mergeCell ref="D215:E215"/>
    <mergeCell ref="D216:F216"/>
    <mergeCell ref="D217:E217"/>
    <mergeCell ref="D218:F218"/>
    <mergeCell ref="D219:E219"/>
    <mergeCell ref="D220:F220"/>
    <mergeCell ref="D221:E221"/>
    <mergeCell ref="D222:F222"/>
    <mergeCell ref="D199:E199"/>
    <mergeCell ref="D200:F200"/>
    <mergeCell ref="D201:E201"/>
    <mergeCell ref="D178:E178"/>
    <mergeCell ref="D179:F179"/>
    <mergeCell ref="D180:E180"/>
    <mergeCell ref="D181:F181"/>
    <mergeCell ref="D182:E182"/>
    <mergeCell ref="D183:F183"/>
    <mergeCell ref="D184:E184"/>
    <mergeCell ref="D185:F185"/>
    <mergeCell ref="D186:E186"/>
    <mergeCell ref="D187:F187"/>
    <mergeCell ref="D188:E188"/>
    <mergeCell ref="D189:F189"/>
    <mergeCell ref="D190:E190"/>
    <mergeCell ref="D191:F191"/>
    <mergeCell ref="D192:E192"/>
    <mergeCell ref="D193:E193"/>
    <mergeCell ref="D194:F194"/>
    <mergeCell ref="D195:E195"/>
    <mergeCell ref="D196:F196"/>
    <mergeCell ref="D197:E197"/>
    <mergeCell ref="D198:F198"/>
    <mergeCell ref="D175:F175"/>
    <mergeCell ref="D176:E176"/>
    <mergeCell ref="D177:F177"/>
    <mergeCell ref="D154:E154"/>
    <mergeCell ref="D155:E155"/>
    <mergeCell ref="D156:F156"/>
    <mergeCell ref="D157:E157"/>
    <mergeCell ref="D158:F158"/>
    <mergeCell ref="D159:E159"/>
    <mergeCell ref="D160:F160"/>
    <mergeCell ref="D161:E161"/>
    <mergeCell ref="D162:F162"/>
    <mergeCell ref="D163:E163"/>
    <mergeCell ref="D164:F164"/>
    <mergeCell ref="D165:E165"/>
    <mergeCell ref="D166:F166"/>
    <mergeCell ref="D167:E167"/>
    <mergeCell ref="D168:F168"/>
    <mergeCell ref="D169:E169"/>
    <mergeCell ref="D170:E170"/>
    <mergeCell ref="D171:F171"/>
    <mergeCell ref="D172:E172"/>
    <mergeCell ref="D173:F173"/>
    <mergeCell ref="D174:E174"/>
    <mergeCell ref="D151:F151"/>
    <mergeCell ref="D152:E152"/>
    <mergeCell ref="D153:F153"/>
    <mergeCell ref="D130:E130"/>
    <mergeCell ref="D131:F131"/>
    <mergeCell ref="D132:E132"/>
    <mergeCell ref="D133:F133"/>
    <mergeCell ref="D134:E134"/>
    <mergeCell ref="D135:E135"/>
    <mergeCell ref="D136:F136"/>
    <mergeCell ref="D137:E137"/>
    <mergeCell ref="D138:F138"/>
    <mergeCell ref="D139:E139"/>
    <mergeCell ref="D140:E140"/>
    <mergeCell ref="D141:F141"/>
    <mergeCell ref="D142:E142"/>
    <mergeCell ref="D143:F143"/>
    <mergeCell ref="D144:E144"/>
    <mergeCell ref="D145:E145"/>
    <mergeCell ref="D146:F146"/>
    <mergeCell ref="D147:E147"/>
    <mergeCell ref="D148:F148"/>
    <mergeCell ref="D149:E149"/>
    <mergeCell ref="D150:E150"/>
    <mergeCell ref="D127:F127"/>
    <mergeCell ref="D128:E128"/>
    <mergeCell ref="D129:F129"/>
    <mergeCell ref="D106:E106"/>
    <mergeCell ref="D107:F107"/>
    <mergeCell ref="D108:E108"/>
    <mergeCell ref="D109:F109"/>
    <mergeCell ref="D110:E110"/>
    <mergeCell ref="D111:F111"/>
    <mergeCell ref="D112:E112"/>
    <mergeCell ref="D113:F113"/>
    <mergeCell ref="D114:E114"/>
    <mergeCell ref="D115:F115"/>
    <mergeCell ref="D116:E116"/>
    <mergeCell ref="D117:F117"/>
    <mergeCell ref="D118:E118"/>
    <mergeCell ref="D119:F119"/>
    <mergeCell ref="D120:E120"/>
    <mergeCell ref="D121:F121"/>
    <mergeCell ref="D122:E122"/>
    <mergeCell ref="D123:F123"/>
    <mergeCell ref="D124:E124"/>
    <mergeCell ref="D125:F125"/>
    <mergeCell ref="D126:E126"/>
    <mergeCell ref="D103:F103"/>
    <mergeCell ref="D104:E104"/>
    <mergeCell ref="D105:F105"/>
    <mergeCell ref="D82:E82"/>
    <mergeCell ref="D83:F83"/>
    <mergeCell ref="D84:E84"/>
    <mergeCell ref="D85:F85"/>
    <mergeCell ref="D86:E86"/>
    <mergeCell ref="D87:F87"/>
    <mergeCell ref="D88:E88"/>
    <mergeCell ref="D89:F89"/>
    <mergeCell ref="D90:E90"/>
    <mergeCell ref="D91:E91"/>
    <mergeCell ref="D92:F92"/>
    <mergeCell ref="D93:E93"/>
    <mergeCell ref="D94:F94"/>
    <mergeCell ref="D95:F95"/>
    <mergeCell ref="D96:F96"/>
    <mergeCell ref="D97:F97"/>
    <mergeCell ref="D98:E98"/>
    <mergeCell ref="D99:F99"/>
    <mergeCell ref="D100:E100"/>
    <mergeCell ref="D101:F101"/>
    <mergeCell ref="D102:E102"/>
    <mergeCell ref="D79:F79"/>
    <mergeCell ref="D80:E80"/>
    <mergeCell ref="D81:F81"/>
    <mergeCell ref="D58:F58"/>
    <mergeCell ref="D59:E59"/>
    <mergeCell ref="D60:F60"/>
    <mergeCell ref="D61:E61"/>
    <mergeCell ref="D62:E62"/>
    <mergeCell ref="D63:F63"/>
    <mergeCell ref="D64:E64"/>
    <mergeCell ref="D65:F65"/>
    <mergeCell ref="D66:E66"/>
    <mergeCell ref="D67:F67"/>
    <mergeCell ref="D68:E68"/>
    <mergeCell ref="D69:E69"/>
    <mergeCell ref="D70:F70"/>
    <mergeCell ref="D71:E71"/>
    <mergeCell ref="D72:F72"/>
    <mergeCell ref="D73:E73"/>
    <mergeCell ref="D74:F74"/>
    <mergeCell ref="D75:E75"/>
    <mergeCell ref="D76:E76"/>
    <mergeCell ref="D77:F77"/>
    <mergeCell ref="D78:E78"/>
    <mergeCell ref="D55:E55"/>
    <mergeCell ref="D56:F56"/>
    <mergeCell ref="D57:E57"/>
    <mergeCell ref="D34:F34"/>
    <mergeCell ref="D35:E35"/>
    <mergeCell ref="D36:E36"/>
    <mergeCell ref="D37:F37"/>
    <mergeCell ref="D38:E38"/>
    <mergeCell ref="D39:F39"/>
    <mergeCell ref="D40:E40"/>
    <mergeCell ref="D41:E41"/>
    <mergeCell ref="D42:F42"/>
    <mergeCell ref="D43:F43"/>
    <mergeCell ref="D44:E44"/>
    <mergeCell ref="D45:E45"/>
    <mergeCell ref="D46:F46"/>
    <mergeCell ref="D47:E47"/>
    <mergeCell ref="D48:F48"/>
    <mergeCell ref="D49:E49"/>
    <mergeCell ref="D50:E50"/>
    <mergeCell ref="D51:F51"/>
    <mergeCell ref="D52:E52"/>
    <mergeCell ref="D53:E53"/>
    <mergeCell ref="D54:F54"/>
    <mergeCell ref="D31:E31"/>
    <mergeCell ref="D32:F32"/>
    <mergeCell ref="D33:E33"/>
    <mergeCell ref="D10:E10"/>
    <mergeCell ref="D11:E11"/>
    <mergeCell ref="D12:E12"/>
    <mergeCell ref="D13:F13"/>
    <mergeCell ref="D14:E14"/>
    <mergeCell ref="D15:F15"/>
    <mergeCell ref="D16:E16"/>
    <mergeCell ref="D17:F17"/>
    <mergeCell ref="D18:E18"/>
    <mergeCell ref="D19:F19"/>
    <mergeCell ref="D20:E20"/>
    <mergeCell ref="D21:E21"/>
    <mergeCell ref="D22:F22"/>
    <mergeCell ref="D23:E23"/>
    <mergeCell ref="D24:E24"/>
    <mergeCell ref="D25:F25"/>
    <mergeCell ref="D26:E26"/>
    <mergeCell ref="D27:F27"/>
    <mergeCell ref="D28:E28"/>
    <mergeCell ref="D29:E29"/>
    <mergeCell ref="D30:F30"/>
    <mergeCell ref="A6:B7"/>
    <mergeCell ref="C6:D7"/>
    <mergeCell ref="E6:E7"/>
    <mergeCell ref="F6:H7"/>
    <mergeCell ref="A8:B9"/>
    <mergeCell ref="C8:D9"/>
    <mergeCell ref="E8:E9"/>
    <mergeCell ref="F8:H9"/>
    <mergeCell ref="A1:H1"/>
    <mergeCell ref="A2:B3"/>
    <mergeCell ref="C2:D3"/>
    <mergeCell ref="E2:E3"/>
    <mergeCell ref="F2:H3"/>
    <mergeCell ref="A4:B5"/>
    <mergeCell ref="C4:D5"/>
    <mergeCell ref="E4:E5"/>
    <mergeCell ref="F4:H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9E7C0-69D0-4DD3-B8C1-26ABAB7DE327}">
  <sheetPr>
    <pageSetUpPr fitToPage="1"/>
  </sheetPr>
  <dimension ref="A1:J37"/>
  <sheetViews>
    <sheetView topLeftCell="A11"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rozpočet-SO06+SO07'!C2</f>
        <v>Snížení energetické.náročnosti objektů Domova Kladno-Švermov</v>
      </c>
      <c r="D2" s="291"/>
      <c r="E2" s="293" t="s">
        <v>1657</v>
      </c>
      <c r="F2" s="293" t="str">
        <f>'Stavební rozpočet-SO06+SO07'!I2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rozpočet-SO06+SO07'!C4</f>
        <v>SO 06 - OBJEKT 6 - č.p.1041 + SO 07 - OBJEKT 7 - č.p.1032</v>
      </c>
      <c r="D4" s="256"/>
      <c r="E4" s="255" t="s">
        <v>1658</v>
      </c>
      <c r="F4" s="255" t="str">
        <f>'Stavební rozpočet-SO06+SO07'!I4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rozpočet-SO06+SO07'!C6</f>
        <v xml:space="preserve"> </v>
      </c>
      <c r="D6" s="256"/>
      <c r="E6" s="255" t="s">
        <v>1659</v>
      </c>
      <c r="F6" s="255" t="str">
        <f>'Stavební rozpočet-SO06+SO07'!I6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3238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rozpočet-SO06+SO07'!C8</f>
        <v xml:space="preserve"> </v>
      </c>
      <c r="D10" s="256"/>
      <c r="E10" s="255" t="s">
        <v>1660</v>
      </c>
      <c r="F10" s="255" t="str">
        <f>'Stavební rozpočet-SO06+SO07'!I8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rozpočet-SO06+SO07'!AB12:AB679)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rozpočet-SO06+SO07'!AC12:AC679)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rozpočet-SO06+SO07'!AD12:AD679)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rozpočet-SO06+SO07'!AE12:AE679)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rozpočet-SO06+SO07'!AF12:AF679)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rozpočet-SO06+SO07'!AG12:AG679)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rozpočet-SO06+SO07'!AH12:AH679)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rozpočet-SO06+SO07'!Z12:Z679)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rozpočet-SO06+SO07'!AJ12:AJ679)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rozpočet-SO06+SO07'!AK12:AK679)+(F22+I22+F23+I23+I24+I25)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rozpočet-SO06+SO07'!AL12:AL679)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+juPwcrgCmuaK0d1PK7/UVLF3HCuMEFbIAHXHxBVX0VO6Mvcu/ADsVrjZ5I76kv6JBWaAa9lz4DJ6KvRsam8Zw==" saltValue="hsK7OQoQYK23S2O3EGUv3g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1934B-208C-4AA5-8598-26B3D539F7FB}">
  <sheetPr>
    <pageSetUpPr fitToPage="1"/>
  </sheetPr>
  <dimension ref="A1:I53"/>
  <sheetViews>
    <sheetView workbookViewId="0">
      <pane ySplit="10" topLeftCell="A11" activePane="bottomLeft" state="frozenSplit"/>
      <selection pane="bottomLeft" activeCell="A2" sqref="A2:A3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rozpočet-SO06+SO07'!C2</f>
        <v>Snížení energetické.náročnosti objektů Domova Kladno-Švermov</v>
      </c>
      <c r="C2" s="291"/>
      <c r="D2" s="293" t="s">
        <v>1657</v>
      </c>
      <c r="E2" s="293" t="str">
        <f>'Stavební rozpočet-SO06+SO07'!I2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rozpočet-SO06+SO07'!C4</f>
        <v>SO 06 - OBJEKT 6 - č.p.1041 + SO 07 - OBJEKT 7 - č.p.1032</v>
      </c>
      <c r="C4" s="256"/>
      <c r="D4" s="255" t="s">
        <v>1658</v>
      </c>
      <c r="E4" s="255" t="str">
        <f>'Stavební rozpočet-SO06+SO07'!I4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rozpočet-SO06+SO07'!C6</f>
        <v xml:space="preserve"> </v>
      </c>
      <c r="C6" s="256"/>
      <c r="D6" s="255" t="s">
        <v>1659</v>
      </c>
      <c r="E6" s="255" t="str">
        <f>'Stavební rozpočet-SO06+SO07'!I6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rozpočet-SO06+SO07'!I8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rozpočet-SO06+SO07'!I12</f>
        <v>0</v>
      </c>
      <c r="F11" s="101">
        <f>'Stavební rozpočet-SO06+SO07'!J12</f>
        <v>0</v>
      </c>
      <c r="G11" s="101">
        <f>'Stavební rozpočet-SO06+SO07'!K12</f>
        <v>0</v>
      </c>
      <c r="H11" s="100" t="s">
        <v>1747</v>
      </c>
      <c r="I11" s="100">
        <f t="shared" ref="I11:I51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rozpočet-SO06+SO07'!I18</f>
        <v>0</v>
      </c>
      <c r="F12" s="100">
        <f>'Stavební rozpočet-SO06+SO07'!J18</f>
        <v>0</v>
      </c>
      <c r="G12" s="100">
        <f>'Stavební rozpočet-SO06+SO07'!K18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rozpočet-SO06+SO07'!I20</f>
        <v>0</v>
      </c>
      <c r="F13" s="100">
        <f>'Stavební rozpočet-SO06+SO07'!J20</f>
        <v>0</v>
      </c>
      <c r="G13" s="100">
        <f>'Stavební rozpočet-SO06+SO07'!K20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rozpočet-SO06+SO07'!I24</f>
        <v>0</v>
      </c>
      <c r="F14" s="100">
        <f>'Stavební rozpočet-SO06+SO07'!J24</f>
        <v>0</v>
      </c>
      <c r="G14" s="100">
        <f>'Stavební rozpočet-SO06+SO07'!K24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rozpočet-SO06+SO07'!I28</f>
        <v>0</v>
      </c>
      <c r="F15" s="100">
        <f>'Stavební rozpočet-SO06+SO07'!J28</f>
        <v>0</v>
      </c>
      <c r="G15" s="100">
        <f>'Stavební rozpočet-SO06+SO07'!K28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rozpočet-SO06+SO07'!I32</f>
        <v>0</v>
      </c>
      <c r="F16" s="100">
        <f>'Stavební rozpočet-SO06+SO07'!J32</f>
        <v>0</v>
      </c>
      <c r="G16" s="100">
        <f>'Stavební rozpočet-SO06+SO07'!K32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rozpočet-SO06+SO07'!I34</f>
        <v>0</v>
      </c>
      <c r="F17" s="100">
        <f>'Stavební rozpočet-SO06+SO07'!J34</f>
        <v>0</v>
      </c>
      <c r="G17" s="100">
        <f>'Stavební rozpočet-SO06+SO07'!K34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37</v>
      </c>
      <c r="C18" s="282" t="s">
        <v>1084</v>
      </c>
      <c r="D18" s="256"/>
      <c r="E18" s="100">
        <f>'Stavební rozpočet-SO06+SO07'!I37</f>
        <v>0</v>
      </c>
      <c r="F18" s="100">
        <f>'Stavební rozpočet-SO06+SO07'!J37</f>
        <v>0</v>
      </c>
      <c r="G18" s="100">
        <f>'Stavební rozpočet-SO06+SO07'!K37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62</v>
      </c>
      <c r="C19" s="282" t="s">
        <v>1090</v>
      </c>
      <c r="D19" s="256"/>
      <c r="E19" s="100">
        <f>'Stavební rozpočet-SO06+SO07'!I42</f>
        <v>0</v>
      </c>
      <c r="F19" s="100">
        <f>'Stavební rozpočet-SO06+SO07'!J42</f>
        <v>0</v>
      </c>
      <c r="G19" s="100">
        <f>'Stavební rozpočet-SO06+SO07'!K42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64</v>
      </c>
      <c r="C20" s="282" t="s">
        <v>2230</v>
      </c>
      <c r="D20" s="256"/>
      <c r="E20" s="100">
        <f>'Stavební rozpočet-SO06+SO07'!I46</f>
        <v>0</v>
      </c>
      <c r="F20" s="100">
        <f>'Stavební rozpočet-SO06+SO07'!J46</f>
        <v>0</v>
      </c>
      <c r="G20" s="100">
        <f>'Stavební rozpočet-SO06+SO07'!K46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65</v>
      </c>
      <c r="C21" s="282" t="s">
        <v>1094</v>
      </c>
      <c r="D21" s="256"/>
      <c r="E21" s="100">
        <f>'Stavební rozpočet-SO06+SO07'!I48</f>
        <v>0</v>
      </c>
      <c r="F21" s="100">
        <f>'Stavební rozpočet-SO06+SO07'!J48</f>
        <v>0</v>
      </c>
      <c r="G21" s="100">
        <f>'Stavební rozpočet-SO06+SO07'!K48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67</v>
      </c>
      <c r="C22" s="282" t="s">
        <v>1097</v>
      </c>
      <c r="D22" s="256"/>
      <c r="E22" s="100">
        <f>'Stavební rozpočet-SO06+SO07'!I52</f>
        <v>0</v>
      </c>
      <c r="F22" s="100">
        <f>'Stavební rozpočet-SO06+SO07'!J52</f>
        <v>0</v>
      </c>
      <c r="G22" s="100">
        <f>'Stavební rozpočet-SO06+SO07'!K52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68</v>
      </c>
      <c r="C23" s="282" t="s">
        <v>1104</v>
      </c>
      <c r="D23" s="256"/>
      <c r="E23" s="100">
        <f>'Stavební rozpočet-SO06+SO07'!I61</f>
        <v>0</v>
      </c>
      <c r="F23" s="100">
        <f>'Stavební rozpočet-SO06+SO07'!J61</f>
        <v>0</v>
      </c>
      <c r="G23" s="100">
        <f>'Stavební rozpočet-SO06+SO07'!K61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70</v>
      </c>
      <c r="C24" s="282" t="s">
        <v>2575</v>
      </c>
      <c r="D24" s="256"/>
      <c r="E24" s="100">
        <f>'Stavební rozpočet-SO06+SO07'!I97</f>
        <v>0</v>
      </c>
      <c r="F24" s="100">
        <f>'Stavební rozpočet-SO06+SO07'!J97</f>
        <v>0</v>
      </c>
      <c r="G24" s="100">
        <f>'Stavební rozpočet-SO06+SO07'!K97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89</v>
      </c>
      <c r="C25" s="282" t="s">
        <v>1130</v>
      </c>
      <c r="D25" s="256"/>
      <c r="E25" s="100">
        <f>'Stavební rozpočet-SO06+SO07'!I99</f>
        <v>0</v>
      </c>
      <c r="F25" s="100">
        <f>'Stavební rozpočet-SO06+SO07'!J99</f>
        <v>0</v>
      </c>
      <c r="G25" s="100">
        <f>'Stavební rozpočet-SO06+SO07'!K99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95</v>
      </c>
      <c r="C26" s="282" t="s">
        <v>1133</v>
      </c>
      <c r="D26" s="256"/>
      <c r="E26" s="100">
        <f>'Stavební rozpočet-SO06+SO07'!I102</f>
        <v>0</v>
      </c>
      <c r="F26" s="100">
        <f>'Stavební rozpočet-SO06+SO07'!J102</f>
        <v>0</v>
      </c>
      <c r="G26" s="100">
        <f>'Stavební rozpočet-SO06+SO07'!K102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97</v>
      </c>
      <c r="C27" s="282" t="s">
        <v>1136</v>
      </c>
      <c r="D27" s="256"/>
      <c r="E27" s="100">
        <f>'Stavební rozpočet-SO06+SO07'!I105</f>
        <v>0</v>
      </c>
      <c r="F27" s="100">
        <f>'Stavební rozpočet-SO06+SO07'!J105</f>
        <v>0</v>
      </c>
      <c r="G27" s="100">
        <f>'Stavební rozpočet-SO06+SO07'!K105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100</v>
      </c>
      <c r="C28" s="282" t="s">
        <v>1139</v>
      </c>
      <c r="D28" s="256"/>
      <c r="E28" s="100">
        <f>'Stavební rozpočet-SO06+SO07'!I109</f>
        <v>0</v>
      </c>
      <c r="F28" s="100">
        <f>'Stavební rozpočet-SO06+SO07'!J109</f>
        <v>0</v>
      </c>
      <c r="G28" s="100">
        <f>'Stavební rozpočet-SO06+SO07'!K109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101</v>
      </c>
      <c r="C29" s="282" t="s">
        <v>1147</v>
      </c>
      <c r="D29" s="256"/>
      <c r="E29" s="100">
        <f>'Stavební rozpočet-SO06+SO07'!I117</f>
        <v>0</v>
      </c>
      <c r="F29" s="100">
        <f>'Stavební rozpočet-SO06+SO07'!J117</f>
        <v>0</v>
      </c>
      <c r="G29" s="100">
        <f>'Stavební rozpočet-SO06+SO07'!K117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102</v>
      </c>
      <c r="C30" s="282" t="s">
        <v>1158</v>
      </c>
      <c r="D30" s="256"/>
      <c r="E30" s="100">
        <f>'Stavební rozpočet-SO06+SO07'!I128</f>
        <v>0</v>
      </c>
      <c r="F30" s="100">
        <f>'Stavební rozpočet-SO06+SO07'!J128</f>
        <v>0</v>
      </c>
      <c r="G30" s="100">
        <f>'Stavební rozpočet-SO06+SO07'!K128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103</v>
      </c>
      <c r="C31" s="282" t="s">
        <v>1178</v>
      </c>
      <c r="D31" s="256"/>
      <c r="E31" s="100">
        <f>'Stavební rozpočet-SO06+SO07'!I148</f>
        <v>0</v>
      </c>
      <c r="F31" s="100">
        <f>'Stavební rozpočet-SO06+SO07'!J148</f>
        <v>0</v>
      </c>
      <c r="G31" s="100">
        <f>'Stavební rozpočet-SO06+SO07'!K148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686</v>
      </c>
      <c r="C32" s="282" t="s">
        <v>1198</v>
      </c>
      <c r="D32" s="256"/>
      <c r="E32" s="100">
        <f>'Stavební rozpočet-SO06+SO07'!I171</f>
        <v>0</v>
      </c>
      <c r="F32" s="100">
        <f>'Stavební rozpočet-SO06+SO07'!J171</f>
        <v>0</v>
      </c>
      <c r="G32" s="100">
        <f>'Stavební rozpočet-SO06+SO07'!K171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703</v>
      </c>
      <c r="C33" s="282" t="s">
        <v>1215</v>
      </c>
      <c r="D33" s="256"/>
      <c r="E33" s="100">
        <f>'Stavební rozpočet-SO06+SO07'!I188</f>
        <v>0</v>
      </c>
      <c r="F33" s="100">
        <f>'Stavební rozpočet-SO06+SO07'!J188</f>
        <v>0</v>
      </c>
      <c r="G33" s="100">
        <f>'Stavební rozpočet-SO06+SO07'!K188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705</v>
      </c>
      <c r="C34" s="282" t="s">
        <v>1217</v>
      </c>
      <c r="D34" s="256"/>
      <c r="E34" s="100">
        <f>'Stavební rozpočet-SO06+SO07'!I190</f>
        <v>0</v>
      </c>
      <c r="F34" s="100">
        <f>'Stavební rozpočet-SO06+SO07'!J190</f>
        <v>0</v>
      </c>
      <c r="G34" s="100">
        <f>'Stavební rozpočet-SO06+SO07'!K190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710</v>
      </c>
      <c r="C35" s="282" t="s">
        <v>1222</v>
      </c>
      <c r="D35" s="256"/>
      <c r="E35" s="100">
        <f>'Stavební rozpočet-SO06+SO07'!I196</f>
        <v>0</v>
      </c>
      <c r="F35" s="100">
        <f>'Stavební rozpočet-SO06+SO07'!J196</f>
        <v>0</v>
      </c>
      <c r="G35" s="100">
        <f>'Stavební rozpočet-SO06+SO07'!K196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744</v>
      </c>
      <c r="C36" s="282" t="s">
        <v>1256</v>
      </c>
      <c r="D36" s="256"/>
      <c r="E36" s="100">
        <f>'Stavební rozpočet-SO06+SO07'!I207</f>
        <v>0</v>
      </c>
      <c r="F36" s="100">
        <f>'Stavební rozpočet-SO06+SO07'!J207</f>
        <v>0</v>
      </c>
      <c r="G36" s="100">
        <f>'Stavební rozpočet-SO06+SO07'!K207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771</v>
      </c>
      <c r="C37" s="282" t="s">
        <v>1283</v>
      </c>
      <c r="D37" s="256"/>
      <c r="E37" s="100">
        <f>'Stavební rozpočet-SO06+SO07'!I242</f>
        <v>0</v>
      </c>
      <c r="F37" s="100">
        <f>'Stavební rozpočet-SO06+SO07'!J242</f>
        <v>0</v>
      </c>
      <c r="G37" s="100">
        <f>'Stavební rozpočet-SO06+SO07'!K242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772</v>
      </c>
      <c r="C38" s="282" t="s">
        <v>1355</v>
      </c>
      <c r="D38" s="256"/>
      <c r="E38" s="100">
        <f>'Stavební rozpočet-SO06+SO07'!I330</f>
        <v>0</v>
      </c>
      <c r="F38" s="100">
        <f>'Stavební rozpočet-SO06+SO07'!J330</f>
        <v>0</v>
      </c>
      <c r="G38" s="100">
        <f>'Stavební rozpočet-SO06+SO07'!K330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798</v>
      </c>
      <c r="C39" s="282" t="s">
        <v>1379</v>
      </c>
      <c r="D39" s="256"/>
      <c r="E39" s="100">
        <f>'Stavební rozpočet-SO06+SO07'!I353</f>
        <v>0</v>
      </c>
      <c r="F39" s="100">
        <f>'Stavební rozpočet-SO06+SO07'!J353</f>
        <v>0</v>
      </c>
      <c r="G39" s="100">
        <f>'Stavební rozpočet-SO06+SO07'!K353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822</v>
      </c>
      <c r="C40" s="282" t="s">
        <v>3239</v>
      </c>
      <c r="D40" s="256"/>
      <c r="E40" s="100">
        <f>'Stavební rozpočet-SO06+SO07'!I391</f>
        <v>0</v>
      </c>
      <c r="F40" s="100">
        <f>'Stavební rozpočet-SO06+SO07'!J391</f>
        <v>0</v>
      </c>
      <c r="G40" s="100">
        <f>'Stavební rozpočet-SO06+SO07'!K391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842</v>
      </c>
      <c r="C41" s="282" t="s">
        <v>1424</v>
      </c>
      <c r="D41" s="256"/>
      <c r="E41" s="100">
        <f>'Stavební rozpočet-SO06+SO07'!I420</f>
        <v>0</v>
      </c>
      <c r="F41" s="100">
        <f>'Stavební rozpočet-SO06+SO07'!J420</f>
        <v>0</v>
      </c>
      <c r="G41" s="100">
        <f>'Stavební rozpočet-SO06+SO07'!K420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869</v>
      </c>
      <c r="C42" s="282" t="s">
        <v>1458</v>
      </c>
      <c r="D42" s="256"/>
      <c r="E42" s="100">
        <f>'Stavební rozpočet-SO06+SO07'!I457</f>
        <v>0</v>
      </c>
      <c r="F42" s="100">
        <f>'Stavební rozpočet-SO06+SO07'!J457</f>
        <v>0</v>
      </c>
      <c r="G42" s="100">
        <f>'Stavební rozpočet-SO06+SO07'!K457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882</v>
      </c>
      <c r="C43" s="282" t="s">
        <v>1471</v>
      </c>
      <c r="D43" s="256"/>
      <c r="E43" s="100">
        <f>'Stavební rozpočet-SO06+SO07'!I474</f>
        <v>0</v>
      </c>
      <c r="F43" s="100">
        <f>'Stavební rozpočet-SO06+SO07'!J474</f>
        <v>0</v>
      </c>
      <c r="G43" s="100">
        <f>'Stavební rozpočet-SO06+SO07'!K474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903</v>
      </c>
      <c r="C44" s="282" t="s">
        <v>1492</v>
      </c>
      <c r="D44" s="256"/>
      <c r="E44" s="100">
        <f>'Stavební rozpočet-SO06+SO07'!I500</f>
        <v>0</v>
      </c>
      <c r="F44" s="100">
        <f>'Stavební rozpočet-SO06+SO07'!J500</f>
        <v>0</v>
      </c>
      <c r="G44" s="100">
        <f>'Stavební rozpočet-SO06+SO07'!K500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907</v>
      </c>
      <c r="C45" s="282" t="s">
        <v>1496</v>
      </c>
      <c r="D45" s="256"/>
      <c r="E45" s="100">
        <f>'Stavební rozpočet-SO06+SO07'!I512</f>
        <v>0</v>
      </c>
      <c r="F45" s="100">
        <f>'Stavební rozpočet-SO06+SO07'!J512</f>
        <v>0</v>
      </c>
      <c r="G45" s="100">
        <f>'Stavební rozpočet-SO06+SO07'!K512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922</v>
      </c>
      <c r="C46" s="282" t="s">
        <v>1511</v>
      </c>
      <c r="D46" s="256"/>
      <c r="E46" s="100">
        <f>'Stavební rozpočet-SO06+SO07'!I539</f>
        <v>0</v>
      </c>
      <c r="F46" s="100">
        <f>'Stavební rozpočet-SO06+SO07'!J539</f>
        <v>0</v>
      </c>
      <c r="G46" s="100">
        <f>'Stavební rozpočet-SO06+SO07'!K539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930</v>
      </c>
      <c r="C47" s="282" t="s">
        <v>1519</v>
      </c>
      <c r="D47" s="256"/>
      <c r="E47" s="100">
        <f>'Stavební rozpočet-SO06+SO07'!I548</f>
        <v>0</v>
      </c>
      <c r="F47" s="100">
        <f>'Stavební rozpočet-SO06+SO07'!J548</f>
        <v>0</v>
      </c>
      <c r="G47" s="100">
        <f>'Stavební rozpočet-SO06+SO07'!K548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936</v>
      </c>
      <c r="C48" s="282" t="s">
        <v>1525</v>
      </c>
      <c r="D48" s="256"/>
      <c r="E48" s="100">
        <f>'Stavební rozpočet-SO06+SO07'!I554</f>
        <v>0</v>
      </c>
      <c r="F48" s="100">
        <f>'Stavební rozpočet-SO06+SO07'!J554</f>
        <v>0</v>
      </c>
      <c r="G48" s="100">
        <f>'Stavební rozpočet-SO06+SO07'!K554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967</v>
      </c>
      <c r="C49" s="282" t="s">
        <v>1556</v>
      </c>
      <c r="D49" s="256"/>
      <c r="E49" s="100">
        <f>'Stavební rozpočet-SO06+SO07'!I584</f>
        <v>0</v>
      </c>
      <c r="F49" s="100">
        <f>'Stavební rozpočet-SO06+SO07'!J584</f>
        <v>0</v>
      </c>
      <c r="G49" s="100">
        <f>'Stavební rozpočet-SO06+SO07'!K584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970</v>
      </c>
      <c r="C50" s="282" t="s">
        <v>1559</v>
      </c>
      <c r="D50" s="256"/>
      <c r="E50" s="100">
        <f>'Stavební rozpočet-SO06+SO07'!I587</f>
        <v>0</v>
      </c>
      <c r="F50" s="100">
        <f>'Stavební rozpočet-SO06+SO07'!J587</f>
        <v>0</v>
      </c>
      <c r="G50" s="100">
        <f>'Stavební rozpočet-SO06+SO07'!K587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1039</v>
      </c>
      <c r="C51" s="282" t="s">
        <v>1631</v>
      </c>
      <c r="D51" s="256"/>
      <c r="E51" s="100">
        <f>'Stavební rozpočet-SO06+SO07'!I672</f>
        <v>0</v>
      </c>
      <c r="F51" s="100">
        <f>'Stavební rozpočet-SO06+SO07'!J672</f>
        <v>0</v>
      </c>
      <c r="G51" s="100">
        <f>'Stavební rozpočet-SO06+SO07'!K672</f>
        <v>0</v>
      </c>
      <c r="H51" s="100" t="s">
        <v>1747</v>
      </c>
      <c r="I51" s="100">
        <f t="shared" si="0"/>
        <v>0</v>
      </c>
    </row>
    <row r="53" spans="1:9" x14ac:dyDescent="0.2">
      <c r="F53" s="99" t="s">
        <v>1666</v>
      </c>
      <c r="G53" s="98">
        <f>SUM(I11:I51)</f>
        <v>0</v>
      </c>
    </row>
  </sheetData>
  <sheetProtection algorithmName="SHA-512" hashValue="n3K7S37TOX1DYIHZ2UQBTLS/FoL7V39a72EdU3WLJ+tbhiOxJEKpMDPOJ1GKr9goOLJ4pBD1OOJ3u9TQsddRVA==" saltValue="wRcObbCkOikwHBBypUNWag==" spinCount="100000" sheet="1" objects="1" scenarios="1"/>
  <mergeCells count="59">
    <mergeCell ref="C37:D37"/>
    <mergeCell ref="C38:D38"/>
    <mergeCell ref="C39:D39"/>
    <mergeCell ref="C51:D51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33:D33"/>
    <mergeCell ref="C34:D34"/>
    <mergeCell ref="C35:D35"/>
    <mergeCell ref="C36:D36"/>
    <mergeCell ref="C21:D21"/>
    <mergeCell ref="C22:D22"/>
    <mergeCell ref="C23:D23"/>
    <mergeCell ref="C24:D24"/>
    <mergeCell ref="C25:D25"/>
    <mergeCell ref="C26:D26"/>
    <mergeCell ref="C28:D28"/>
    <mergeCell ref="C29:D29"/>
    <mergeCell ref="C30:D30"/>
    <mergeCell ref="C31:D31"/>
    <mergeCell ref="C32:D32"/>
    <mergeCell ref="C11:D11"/>
    <mergeCell ref="C12:D12"/>
    <mergeCell ref="C13:D13"/>
    <mergeCell ref="C14:D14"/>
    <mergeCell ref="C27:D27"/>
    <mergeCell ref="C16:D16"/>
    <mergeCell ref="C17:D17"/>
    <mergeCell ref="C18:D18"/>
    <mergeCell ref="C19:D19"/>
    <mergeCell ref="C20:D20"/>
    <mergeCell ref="C15:D15"/>
    <mergeCell ref="C10:D10"/>
    <mergeCell ref="A4:A5"/>
    <mergeCell ref="B4:C5"/>
    <mergeCell ref="D4:D5"/>
    <mergeCell ref="E4:G5"/>
    <mergeCell ref="A6:A7"/>
    <mergeCell ref="B6:C7"/>
    <mergeCell ref="D6:D7"/>
    <mergeCell ref="E6:G7"/>
    <mergeCell ref="A8:A9"/>
    <mergeCell ref="B8:C9"/>
    <mergeCell ref="D8:D9"/>
    <mergeCell ref="E8:G9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D10D-CBA9-451D-BF5C-5AE8FF6D1AC5}">
  <sheetPr>
    <pageSetUpPr fitToPage="1"/>
  </sheetPr>
  <dimension ref="A1:BJ682"/>
  <sheetViews>
    <sheetView workbookViewId="0">
      <pane ySplit="11" topLeftCell="A106" activePane="bottomLeft" state="frozenSplit"/>
      <selection activeCell="A2" sqref="A2:A3"/>
      <selection pane="bottomLeft" activeCell="H108" sqref="H108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8554687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3746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SUM(I13:I17)</f>
        <v>0</v>
      </c>
      <c r="J12" s="127">
        <f>SUM(J13:J17)</f>
        <v>0</v>
      </c>
      <c r="K12" s="127">
        <f>SUM(K13:K17)</f>
        <v>0</v>
      </c>
      <c r="L12" s="126"/>
      <c r="AI12" s="109"/>
      <c r="AS12" s="118">
        <f>SUM(AJ13:AJ17)</f>
        <v>0</v>
      </c>
      <c r="AT12" s="118">
        <f>SUM(AK13:AK17)</f>
        <v>0</v>
      </c>
      <c r="AU12" s="118">
        <f>SUM(AL13:AL17)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>G13*AO13</f>
        <v>0</v>
      </c>
      <c r="J13" s="108">
        <f>G13*AP13</f>
        <v>0</v>
      </c>
      <c r="K13" s="108">
        <f>G13*H13</f>
        <v>0</v>
      </c>
      <c r="L13" s="111" t="s">
        <v>1671</v>
      </c>
      <c r="Z13" s="100">
        <f>IF(AQ13="5",BJ13,0)</f>
        <v>0</v>
      </c>
      <c r="AB13" s="100">
        <f>IF(AQ13="1",BH13,0)</f>
        <v>0</v>
      </c>
      <c r="AC13" s="100">
        <f>IF(AQ13="1",BI13,0)</f>
        <v>0</v>
      </c>
      <c r="AD13" s="100">
        <f>IF(AQ13="7",BH13,0)</f>
        <v>0</v>
      </c>
      <c r="AE13" s="100">
        <f>IF(AQ13="7",BI13,0)</f>
        <v>0</v>
      </c>
      <c r="AF13" s="100">
        <f>IF(AQ13="2",BH13,0)</f>
        <v>0</v>
      </c>
      <c r="AG13" s="100">
        <f>IF(AQ13="2",BI13,0)</f>
        <v>0</v>
      </c>
      <c r="AH13" s="100">
        <f>IF(AQ13="0",BJ13,0)</f>
        <v>0</v>
      </c>
      <c r="AI13" s="109"/>
      <c r="AJ13" s="108">
        <f>IF(AN13=0,K13,0)</f>
        <v>0</v>
      </c>
      <c r="AK13" s="108">
        <f>IF(AN13=15,K13,0)</f>
        <v>0</v>
      </c>
      <c r="AL13" s="108">
        <f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>AW13+AX13</f>
        <v>0</v>
      </c>
      <c r="AW13" s="100">
        <f>G13*AO13</f>
        <v>0</v>
      </c>
      <c r="AX13" s="100">
        <f>G13*AP13</f>
        <v>0</v>
      </c>
      <c r="AY13" s="110" t="s">
        <v>1681</v>
      </c>
      <c r="AZ13" s="110" t="s">
        <v>1724</v>
      </c>
      <c r="BA13" s="109" t="s">
        <v>1737</v>
      </c>
      <c r="BC13" s="100">
        <f>AW13+AX13</f>
        <v>0</v>
      </c>
      <c r="BD13" s="100">
        <f>H13/(100-BE13)*100</f>
        <v>0</v>
      </c>
      <c r="BE13" s="100">
        <v>0</v>
      </c>
      <c r="BF13" s="100">
        <f>13</f>
        <v>13</v>
      </c>
      <c r="BH13" s="108">
        <f>G13*AO13</f>
        <v>0</v>
      </c>
      <c r="BI13" s="108">
        <f>G13*AP13</f>
        <v>0</v>
      </c>
      <c r="BJ13" s="108">
        <f>G13*H13</f>
        <v>0</v>
      </c>
    </row>
    <row r="14" spans="1:62" x14ac:dyDescent="0.2">
      <c r="A14" s="117" t="s">
        <v>8</v>
      </c>
      <c r="B14" s="117" t="s">
        <v>573</v>
      </c>
      <c r="C14" s="304" t="s">
        <v>1054</v>
      </c>
      <c r="D14" s="305"/>
      <c r="E14" s="305"/>
      <c r="F14" s="117" t="s">
        <v>1645</v>
      </c>
      <c r="G14" s="116">
        <v>91.37</v>
      </c>
      <c r="H14" s="159"/>
      <c r="I14" s="108">
        <f>G14*AO14</f>
        <v>0</v>
      </c>
      <c r="J14" s="108">
        <f>G14*AP14</f>
        <v>0</v>
      </c>
      <c r="K14" s="108">
        <f>G14*H14</f>
        <v>0</v>
      </c>
      <c r="L14" s="111" t="s">
        <v>1671</v>
      </c>
      <c r="Z14" s="100">
        <f>IF(AQ14="5",BJ14,0)</f>
        <v>0</v>
      </c>
      <c r="AB14" s="100">
        <f>IF(AQ14="1",BH14,0)</f>
        <v>0</v>
      </c>
      <c r="AC14" s="100">
        <f>IF(AQ14="1",BI14,0)</f>
        <v>0</v>
      </c>
      <c r="AD14" s="100">
        <f>IF(AQ14="7",BH14,0)</f>
        <v>0</v>
      </c>
      <c r="AE14" s="100">
        <f>IF(AQ14="7",BI14,0)</f>
        <v>0</v>
      </c>
      <c r="AF14" s="100">
        <f>IF(AQ14="2",BH14,0)</f>
        <v>0</v>
      </c>
      <c r="AG14" s="100">
        <f>IF(AQ14="2",BI14,0)</f>
        <v>0</v>
      </c>
      <c r="AH14" s="100">
        <f>IF(AQ14="0",BJ14,0)</f>
        <v>0</v>
      </c>
      <c r="AI14" s="109"/>
      <c r="AJ14" s="108">
        <f>IF(AN14=0,K14,0)</f>
        <v>0</v>
      </c>
      <c r="AK14" s="108">
        <f>IF(AN14=15,K14,0)</f>
        <v>0</v>
      </c>
      <c r="AL14" s="108">
        <f>IF(AN14=21,K14,0)</f>
        <v>0</v>
      </c>
      <c r="AN14" s="100">
        <v>15</v>
      </c>
      <c r="AO14" s="100">
        <f>H14*0</f>
        <v>0</v>
      </c>
      <c r="AP14" s="100">
        <f>H14*(1-0)</f>
        <v>0</v>
      </c>
      <c r="AQ14" s="111" t="s">
        <v>7</v>
      </c>
      <c r="AV14" s="100">
        <f>AW14+AX14</f>
        <v>0</v>
      </c>
      <c r="AW14" s="100">
        <f>G14*AO14</f>
        <v>0</v>
      </c>
      <c r="AX14" s="100">
        <f>G14*AP14</f>
        <v>0</v>
      </c>
      <c r="AY14" s="110" t="s">
        <v>1681</v>
      </c>
      <c r="AZ14" s="110" t="s">
        <v>1724</v>
      </c>
      <c r="BA14" s="109" t="s">
        <v>1737</v>
      </c>
      <c r="BC14" s="100">
        <f>AW14+AX14</f>
        <v>0</v>
      </c>
      <c r="BD14" s="100">
        <f>H14/(100-BE14)*100</f>
        <v>0</v>
      </c>
      <c r="BE14" s="100">
        <v>0</v>
      </c>
      <c r="BF14" s="100">
        <f>14</f>
        <v>14</v>
      </c>
      <c r="BH14" s="108">
        <f>G14*AO14</f>
        <v>0</v>
      </c>
      <c r="BI14" s="108">
        <f>G14*AP14</f>
        <v>0</v>
      </c>
      <c r="BJ14" s="108">
        <f>G14*H14</f>
        <v>0</v>
      </c>
    </row>
    <row r="15" spans="1:62" x14ac:dyDescent="0.2">
      <c r="A15" s="117" t="s">
        <v>9</v>
      </c>
      <c r="B15" s="117" t="s">
        <v>574</v>
      </c>
      <c r="C15" s="304" t="s">
        <v>1056</v>
      </c>
      <c r="D15" s="305"/>
      <c r="E15" s="305"/>
      <c r="F15" s="117" t="s">
        <v>1645</v>
      </c>
      <c r="G15" s="116">
        <v>15.34</v>
      </c>
      <c r="H15" s="159"/>
      <c r="I15" s="108">
        <f>G15*AO15</f>
        <v>0</v>
      </c>
      <c r="J15" s="108">
        <f>G15*AP15</f>
        <v>0</v>
      </c>
      <c r="K15" s="108">
        <f>G15*H15</f>
        <v>0</v>
      </c>
      <c r="L15" s="111" t="s">
        <v>1671</v>
      </c>
      <c r="Z15" s="100">
        <f>IF(AQ15="5",BJ15,0)</f>
        <v>0</v>
      </c>
      <c r="AB15" s="100">
        <f>IF(AQ15="1",BH15,0)</f>
        <v>0</v>
      </c>
      <c r="AC15" s="100">
        <f>IF(AQ15="1",BI15,0)</f>
        <v>0</v>
      </c>
      <c r="AD15" s="100">
        <f>IF(AQ15="7",BH15,0)</f>
        <v>0</v>
      </c>
      <c r="AE15" s="100">
        <f>IF(AQ15="7",BI15,0)</f>
        <v>0</v>
      </c>
      <c r="AF15" s="100">
        <f>IF(AQ15="2",BH15,0)</f>
        <v>0</v>
      </c>
      <c r="AG15" s="100">
        <f>IF(AQ15="2",BI15,0)</f>
        <v>0</v>
      </c>
      <c r="AH15" s="100">
        <f>IF(AQ15="0",BJ15,0)</f>
        <v>0</v>
      </c>
      <c r="AI15" s="109"/>
      <c r="AJ15" s="108">
        <f>IF(AN15=0,K15,0)</f>
        <v>0</v>
      </c>
      <c r="AK15" s="108">
        <f>IF(AN15=15,K15,0)</f>
        <v>0</v>
      </c>
      <c r="AL15" s="108">
        <f>IF(AN15=21,K15,0)</f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>AW15+AX15</f>
        <v>0</v>
      </c>
      <c r="AW15" s="100">
        <f>G15*AO15</f>
        <v>0</v>
      </c>
      <c r="AX15" s="100">
        <f>G15*AP15</f>
        <v>0</v>
      </c>
      <c r="AY15" s="110" t="s">
        <v>1681</v>
      </c>
      <c r="AZ15" s="110" t="s">
        <v>1724</v>
      </c>
      <c r="BA15" s="109" t="s">
        <v>1737</v>
      </c>
      <c r="BC15" s="100">
        <f>AW15+AX15</f>
        <v>0</v>
      </c>
      <c r="BD15" s="100">
        <f>H15/(100-BE15)*100</f>
        <v>0</v>
      </c>
      <c r="BE15" s="100">
        <v>0</v>
      </c>
      <c r="BF15" s="100">
        <f>15</f>
        <v>15</v>
      </c>
      <c r="BH15" s="108">
        <f>G15*AO15</f>
        <v>0</v>
      </c>
      <c r="BI15" s="108">
        <f>G15*AP15</f>
        <v>0</v>
      </c>
      <c r="BJ15" s="108">
        <f>G15*H15</f>
        <v>0</v>
      </c>
    </row>
    <row r="16" spans="1:62" x14ac:dyDescent="0.2">
      <c r="A16" s="117" t="s">
        <v>10</v>
      </c>
      <c r="B16" s="117" t="s">
        <v>3745</v>
      </c>
      <c r="C16" s="304" t="s">
        <v>3744</v>
      </c>
      <c r="D16" s="305"/>
      <c r="E16" s="305"/>
      <c r="F16" s="117" t="s">
        <v>1645</v>
      </c>
      <c r="G16" s="116">
        <v>15.34</v>
      </c>
      <c r="H16" s="159"/>
      <c r="I16" s="108">
        <f>G16*AO16</f>
        <v>0</v>
      </c>
      <c r="J16" s="108">
        <f>G16*AP16</f>
        <v>0</v>
      </c>
      <c r="K16" s="108">
        <f>G16*H16</f>
        <v>0</v>
      </c>
      <c r="L16" s="111" t="s">
        <v>1671</v>
      </c>
      <c r="Z16" s="100">
        <f>IF(AQ16="5",BJ16,0)</f>
        <v>0</v>
      </c>
      <c r="AB16" s="100">
        <f>IF(AQ16="1",BH16,0)</f>
        <v>0</v>
      </c>
      <c r="AC16" s="100">
        <f>IF(AQ16="1",BI16,0)</f>
        <v>0</v>
      </c>
      <c r="AD16" s="100">
        <f>IF(AQ16="7",BH16,0)</f>
        <v>0</v>
      </c>
      <c r="AE16" s="100">
        <f>IF(AQ16="7",BI16,0)</f>
        <v>0</v>
      </c>
      <c r="AF16" s="100">
        <f>IF(AQ16="2",BH16,0)</f>
        <v>0</v>
      </c>
      <c r="AG16" s="100">
        <f>IF(AQ16="2",BI16,0)</f>
        <v>0</v>
      </c>
      <c r="AH16" s="100">
        <f>IF(AQ16="0",BJ16,0)</f>
        <v>0</v>
      </c>
      <c r="AI16" s="109"/>
      <c r="AJ16" s="108">
        <f>IF(AN16=0,K16,0)</f>
        <v>0</v>
      </c>
      <c r="AK16" s="108">
        <f>IF(AN16=15,K16,0)</f>
        <v>0</v>
      </c>
      <c r="AL16" s="108">
        <f>IF(AN16=21,K16,0)</f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>AW16+AX16</f>
        <v>0</v>
      </c>
      <c r="AW16" s="100">
        <f>G16*AO16</f>
        <v>0</v>
      </c>
      <c r="AX16" s="100">
        <f>G16*AP16</f>
        <v>0</v>
      </c>
      <c r="AY16" s="110" t="s">
        <v>1681</v>
      </c>
      <c r="AZ16" s="110" t="s">
        <v>1724</v>
      </c>
      <c r="BA16" s="109" t="s">
        <v>1737</v>
      </c>
      <c r="BC16" s="100">
        <f>AW16+AX16</f>
        <v>0</v>
      </c>
      <c r="BD16" s="100">
        <f>H16/(100-BE16)*100</f>
        <v>0</v>
      </c>
      <c r="BE16" s="100">
        <v>0</v>
      </c>
      <c r="BF16" s="100">
        <f>16</f>
        <v>16</v>
      </c>
      <c r="BH16" s="108">
        <f>G16*AO16</f>
        <v>0</v>
      </c>
      <c r="BI16" s="108">
        <f>G16*AP16</f>
        <v>0</v>
      </c>
      <c r="BJ16" s="108">
        <f>G16*H16</f>
        <v>0</v>
      </c>
    </row>
    <row r="17" spans="1:62" x14ac:dyDescent="0.2">
      <c r="A17" s="117" t="s">
        <v>11</v>
      </c>
      <c r="B17" s="117" t="s">
        <v>575</v>
      </c>
      <c r="C17" s="304" t="s">
        <v>1057</v>
      </c>
      <c r="D17" s="305"/>
      <c r="E17" s="305"/>
      <c r="F17" s="117" t="s">
        <v>1646</v>
      </c>
      <c r="G17" s="116">
        <v>15.6</v>
      </c>
      <c r="H17" s="159"/>
      <c r="I17" s="108">
        <f>G17*AO17</f>
        <v>0</v>
      </c>
      <c r="J17" s="108">
        <f>G17*AP17</f>
        <v>0</v>
      </c>
      <c r="K17" s="108">
        <f>G17*H17</f>
        <v>0</v>
      </c>
      <c r="L17" s="111" t="s">
        <v>1671</v>
      </c>
      <c r="Z17" s="100">
        <f>IF(AQ17="5",BJ17,0)</f>
        <v>0</v>
      </c>
      <c r="AB17" s="100">
        <f>IF(AQ17="1",BH17,0)</f>
        <v>0</v>
      </c>
      <c r="AC17" s="100">
        <f>IF(AQ17="1",BI17,0)</f>
        <v>0</v>
      </c>
      <c r="AD17" s="100">
        <f>IF(AQ17="7",BH17,0)</f>
        <v>0</v>
      </c>
      <c r="AE17" s="100">
        <f>IF(AQ17="7",BI17,0)</f>
        <v>0</v>
      </c>
      <c r="AF17" s="100">
        <f>IF(AQ17="2",BH17,0)</f>
        <v>0</v>
      </c>
      <c r="AG17" s="100">
        <f>IF(AQ17="2",BI17,0)</f>
        <v>0</v>
      </c>
      <c r="AH17" s="100">
        <f>IF(AQ17="0",BJ17,0)</f>
        <v>0</v>
      </c>
      <c r="AI17" s="109"/>
      <c r="AJ17" s="108">
        <f>IF(AN17=0,K17,0)</f>
        <v>0</v>
      </c>
      <c r="AK17" s="108">
        <f>IF(AN17=15,K17,0)</f>
        <v>0</v>
      </c>
      <c r="AL17" s="108">
        <f>IF(AN17=21,K17,0)</f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>AW17+AX17</f>
        <v>0</v>
      </c>
      <c r="AW17" s="100">
        <f>G17*AO17</f>
        <v>0</v>
      </c>
      <c r="AX17" s="100">
        <f>G17*AP17</f>
        <v>0</v>
      </c>
      <c r="AY17" s="110" t="s">
        <v>1681</v>
      </c>
      <c r="AZ17" s="110" t="s">
        <v>1724</v>
      </c>
      <c r="BA17" s="109" t="s">
        <v>1737</v>
      </c>
      <c r="BC17" s="100">
        <f>AW17+AX17</f>
        <v>0</v>
      </c>
      <c r="BD17" s="100">
        <f>H17/(100-BE17)*100</f>
        <v>0</v>
      </c>
      <c r="BE17" s="100">
        <v>0</v>
      </c>
      <c r="BF17" s="100">
        <f>17</f>
        <v>17</v>
      </c>
      <c r="BH17" s="108">
        <f>G17*AO17</f>
        <v>0</v>
      </c>
      <c r="BI17" s="108">
        <f>G17*AP17</f>
        <v>0</v>
      </c>
      <c r="BJ17" s="108">
        <f>G17*H17</f>
        <v>0</v>
      </c>
    </row>
    <row r="18" spans="1:62" x14ac:dyDescent="0.2">
      <c r="A18" s="119"/>
      <c r="B18" s="120" t="s">
        <v>18</v>
      </c>
      <c r="C18" s="306" t="s">
        <v>1059</v>
      </c>
      <c r="D18" s="307"/>
      <c r="E18" s="307"/>
      <c r="F18" s="119" t="s">
        <v>6</v>
      </c>
      <c r="G18" s="119" t="s">
        <v>6</v>
      </c>
      <c r="H18" s="119" t="s">
        <v>6</v>
      </c>
      <c r="I18" s="118">
        <f>SUM(I19:I19)</f>
        <v>0</v>
      </c>
      <c r="J18" s="118">
        <f>SUM(J19:J19)</f>
        <v>0</v>
      </c>
      <c r="K18" s="118">
        <f>SUM(K19:K19)</f>
        <v>0</v>
      </c>
      <c r="L18" s="109"/>
      <c r="AI18" s="109"/>
      <c r="AS18" s="118">
        <f>SUM(AJ19:AJ19)</f>
        <v>0</v>
      </c>
      <c r="AT18" s="118">
        <f>SUM(AK19:AK19)</f>
        <v>0</v>
      </c>
      <c r="AU18" s="118">
        <f>SUM(AL19:AL19)</f>
        <v>0</v>
      </c>
    </row>
    <row r="19" spans="1:62" x14ac:dyDescent="0.2">
      <c r="A19" s="117" t="s">
        <v>12</v>
      </c>
      <c r="B19" s="117" t="s">
        <v>577</v>
      </c>
      <c r="C19" s="304" t="s">
        <v>1060</v>
      </c>
      <c r="D19" s="305"/>
      <c r="E19" s="305"/>
      <c r="F19" s="117" t="s">
        <v>1647</v>
      </c>
      <c r="G19" s="116">
        <v>21.782</v>
      </c>
      <c r="H19" s="159"/>
      <c r="I19" s="108">
        <f>G19*AO19</f>
        <v>0</v>
      </c>
      <c r="J19" s="108">
        <f>G19*AP19</f>
        <v>0</v>
      </c>
      <c r="K19" s="108">
        <f>G19*H19</f>
        <v>0</v>
      </c>
      <c r="L19" s="111" t="s">
        <v>1671</v>
      </c>
      <c r="Z19" s="100">
        <f>IF(AQ19="5",BJ19,0)</f>
        <v>0</v>
      </c>
      <c r="AB19" s="100">
        <f>IF(AQ19="1",BH19,0)</f>
        <v>0</v>
      </c>
      <c r="AC19" s="100">
        <f>IF(AQ19="1",BI19,0)</f>
        <v>0</v>
      </c>
      <c r="AD19" s="100">
        <f>IF(AQ19="7",BH19,0)</f>
        <v>0</v>
      </c>
      <c r="AE19" s="100">
        <f>IF(AQ19="7",BI19,0)</f>
        <v>0</v>
      </c>
      <c r="AF19" s="100">
        <f>IF(AQ19="2",BH19,0)</f>
        <v>0</v>
      </c>
      <c r="AG19" s="100">
        <f>IF(AQ19="2",BI19,0)</f>
        <v>0</v>
      </c>
      <c r="AH19" s="100">
        <f>IF(AQ19="0",BJ19,0)</f>
        <v>0</v>
      </c>
      <c r="AI19" s="109"/>
      <c r="AJ19" s="108">
        <f>IF(AN19=0,K19,0)</f>
        <v>0</v>
      </c>
      <c r="AK19" s="108">
        <f>IF(AN19=15,K19,0)</f>
        <v>0</v>
      </c>
      <c r="AL19" s="108">
        <f>IF(AN19=21,K19,0)</f>
        <v>0</v>
      </c>
      <c r="AN19" s="100">
        <v>15</v>
      </c>
      <c r="AO19" s="100">
        <f>H19*0</f>
        <v>0</v>
      </c>
      <c r="AP19" s="100">
        <f>H19*(1-0)</f>
        <v>0</v>
      </c>
      <c r="AQ19" s="111" t="s">
        <v>7</v>
      </c>
      <c r="AV19" s="100">
        <f>AW19+AX19</f>
        <v>0</v>
      </c>
      <c r="AW19" s="100">
        <f>G19*AO19</f>
        <v>0</v>
      </c>
      <c r="AX19" s="100">
        <f>G19*AP19</f>
        <v>0</v>
      </c>
      <c r="AY19" s="110" t="s">
        <v>1682</v>
      </c>
      <c r="AZ19" s="110" t="s">
        <v>1724</v>
      </c>
      <c r="BA19" s="109" t="s">
        <v>1737</v>
      </c>
      <c r="BC19" s="100">
        <f>AW19+AX19</f>
        <v>0</v>
      </c>
      <c r="BD19" s="100">
        <f>H19/(100-BE19)*100</f>
        <v>0</v>
      </c>
      <c r="BE19" s="100">
        <v>0</v>
      </c>
      <c r="BF19" s="100">
        <f>19</f>
        <v>19</v>
      </c>
      <c r="BH19" s="108">
        <f>G19*AO19</f>
        <v>0</v>
      </c>
      <c r="BI19" s="108">
        <f>G19*AP19</f>
        <v>0</v>
      </c>
      <c r="BJ19" s="108">
        <f>G19*H19</f>
        <v>0</v>
      </c>
    </row>
    <row r="20" spans="1:62" x14ac:dyDescent="0.2">
      <c r="A20" s="119"/>
      <c r="B20" s="120" t="s">
        <v>19</v>
      </c>
      <c r="C20" s="306" t="s">
        <v>1061</v>
      </c>
      <c r="D20" s="307"/>
      <c r="E20" s="307"/>
      <c r="F20" s="119" t="s">
        <v>6</v>
      </c>
      <c r="G20" s="119" t="s">
        <v>6</v>
      </c>
      <c r="H20" s="119" t="s">
        <v>6</v>
      </c>
      <c r="I20" s="118">
        <f>SUM(I21:I23)</f>
        <v>0</v>
      </c>
      <c r="J20" s="118">
        <f>SUM(J21:J23)</f>
        <v>0</v>
      </c>
      <c r="K20" s="118">
        <f>SUM(K21:K23)</f>
        <v>0</v>
      </c>
      <c r="L20" s="109"/>
      <c r="AI20" s="109"/>
      <c r="AS20" s="118">
        <f>SUM(AJ21:AJ23)</f>
        <v>0</v>
      </c>
      <c r="AT20" s="118">
        <f>SUM(AK21:AK23)</f>
        <v>0</v>
      </c>
      <c r="AU20" s="118">
        <f>SUM(AL21:AL23)</f>
        <v>0</v>
      </c>
    </row>
    <row r="21" spans="1:62" x14ac:dyDescent="0.2">
      <c r="A21" s="117" t="s">
        <v>13</v>
      </c>
      <c r="B21" s="117" t="s">
        <v>578</v>
      </c>
      <c r="C21" s="304" t="s">
        <v>1062</v>
      </c>
      <c r="D21" s="305"/>
      <c r="E21" s="305"/>
      <c r="F21" s="117" t="s">
        <v>1647</v>
      </c>
      <c r="G21" s="116">
        <v>202.09800000000001</v>
      </c>
      <c r="H21" s="159"/>
      <c r="I21" s="108">
        <f>G21*AO21</f>
        <v>0</v>
      </c>
      <c r="J21" s="108">
        <f>G21*AP21</f>
        <v>0</v>
      </c>
      <c r="K21" s="108">
        <f>G21*H21</f>
        <v>0</v>
      </c>
      <c r="L21" s="111" t="s">
        <v>1671</v>
      </c>
      <c r="Z21" s="100">
        <f>IF(AQ21="5",BJ21,0)</f>
        <v>0</v>
      </c>
      <c r="AB21" s="100">
        <f>IF(AQ21="1",BH21,0)</f>
        <v>0</v>
      </c>
      <c r="AC21" s="100">
        <f>IF(AQ21="1",BI21,0)</f>
        <v>0</v>
      </c>
      <c r="AD21" s="100">
        <f>IF(AQ21="7",BH21,0)</f>
        <v>0</v>
      </c>
      <c r="AE21" s="100">
        <f>IF(AQ21="7",BI21,0)</f>
        <v>0</v>
      </c>
      <c r="AF21" s="100">
        <f>IF(AQ21="2",BH21,0)</f>
        <v>0</v>
      </c>
      <c r="AG21" s="100">
        <f>IF(AQ21="2",BI21,0)</f>
        <v>0</v>
      </c>
      <c r="AH21" s="100">
        <f>IF(AQ21="0",BJ21,0)</f>
        <v>0</v>
      </c>
      <c r="AI21" s="109"/>
      <c r="AJ21" s="108">
        <f>IF(AN21=0,K21,0)</f>
        <v>0</v>
      </c>
      <c r="AK21" s="108">
        <f>IF(AN21=15,K21,0)</f>
        <v>0</v>
      </c>
      <c r="AL21" s="108">
        <f>IF(AN21=21,K21,0)</f>
        <v>0</v>
      </c>
      <c r="AN21" s="100">
        <v>15</v>
      </c>
      <c r="AO21" s="100">
        <f>H21*0</f>
        <v>0</v>
      </c>
      <c r="AP21" s="100">
        <f>H21*(1-0)</f>
        <v>0</v>
      </c>
      <c r="AQ21" s="111" t="s">
        <v>7</v>
      </c>
      <c r="AV21" s="100">
        <f>AW21+AX21</f>
        <v>0</v>
      </c>
      <c r="AW21" s="100">
        <f>G21*AO21</f>
        <v>0</v>
      </c>
      <c r="AX21" s="100">
        <f>G21*AP21</f>
        <v>0</v>
      </c>
      <c r="AY21" s="110" t="s">
        <v>1683</v>
      </c>
      <c r="AZ21" s="110" t="s">
        <v>1724</v>
      </c>
      <c r="BA21" s="109" t="s">
        <v>1737</v>
      </c>
      <c r="BC21" s="100">
        <f>AW21+AX21</f>
        <v>0</v>
      </c>
      <c r="BD21" s="100">
        <f>H21/(100-BE21)*100</f>
        <v>0</v>
      </c>
      <c r="BE21" s="100">
        <v>0</v>
      </c>
      <c r="BF21" s="100">
        <f>21</f>
        <v>21</v>
      </c>
      <c r="BH21" s="108">
        <f>G21*AO21</f>
        <v>0</v>
      </c>
      <c r="BI21" s="108">
        <f>G21*AP21</f>
        <v>0</v>
      </c>
      <c r="BJ21" s="108">
        <f>G21*H21</f>
        <v>0</v>
      </c>
    </row>
    <row r="22" spans="1:62" x14ac:dyDescent="0.2">
      <c r="A22" s="117" t="s">
        <v>14</v>
      </c>
      <c r="B22" s="117" t="s">
        <v>579</v>
      </c>
      <c r="C22" s="304" t="s">
        <v>1063</v>
      </c>
      <c r="D22" s="305"/>
      <c r="E22" s="305"/>
      <c r="F22" s="117" t="s">
        <v>1647</v>
      </c>
      <c r="G22" s="116">
        <v>202.09800000000001</v>
      </c>
      <c r="H22" s="159"/>
      <c r="I22" s="108">
        <f>G22*AO22</f>
        <v>0</v>
      </c>
      <c r="J22" s="108">
        <f>G22*AP22</f>
        <v>0</v>
      </c>
      <c r="K22" s="108">
        <f>G22*H22</f>
        <v>0</v>
      </c>
      <c r="L22" s="111" t="s">
        <v>1671</v>
      </c>
      <c r="Z22" s="100">
        <f>IF(AQ22="5",BJ22,0)</f>
        <v>0</v>
      </c>
      <c r="AB22" s="100">
        <f>IF(AQ22="1",BH22,0)</f>
        <v>0</v>
      </c>
      <c r="AC22" s="100">
        <f>IF(AQ22="1",BI22,0)</f>
        <v>0</v>
      </c>
      <c r="AD22" s="100">
        <f>IF(AQ22="7",BH22,0)</f>
        <v>0</v>
      </c>
      <c r="AE22" s="100">
        <f>IF(AQ22="7",BI22,0)</f>
        <v>0</v>
      </c>
      <c r="AF22" s="100">
        <f>IF(AQ22="2",BH22,0)</f>
        <v>0</v>
      </c>
      <c r="AG22" s="100">
        <f>IF(AQ22="2",BI22,0)</f>
        <v>0</v>
      </c>
      <c r="AH22" s="100">
        <f>IF(AQ22="0",BJ22,0)</f>
        <v>0</v>
      </c>
      <c r="AI22" s="109"/>
      <c r="AJ22" s="108">
        <f>IF(AN22=0,K22,0)</f>
        <v>0</v>
      </c>
      <c r="AK22" s="108">
        <f>IF(AN22=15,K22,0)</f>
        <v>0</v>
      </c>
      <c r="AL22" s="108">
        <f>IF(AN22=21,K22,0)</f>
        <v>0</v>
      </c>
      <c r="AN22" s="100">
        <v>15</v>
      </c>
      <c r="AO22" s="100">
        <f>H22*0</f>
        <v>0</v>
      </c>
      <c r="AP22" s="100">
        <f>H22*(1-0)</f>
        <v>0</v>
      </c>
      <c r="AQ22" s="111" t="s">
        <v>7</v>
      </c>
      <c r="AV22" s="100">
        <f>AW22+AX22</f>
        <v>0</v>
      </c>
      <c r="AW22" s="100">
        <f>G22*AO22</f>
        <v>0</v>
      </c>
      <c r="AX22" s="100">
        <f>G22*AP22</f>
        <v>0</v>
      </c>
      <c r="AY22" s="110" t="s">
        <v>1683</v>
      </c>
      <c r="AZ22" s="110" t="s">
        <v>1724</v>
      </c>
      <c r="BA22" s="109" t="s">
        <v>1737</v>
      </c>
      <c r="BC22" s="100">
        <f>AW22+AX22</f>
        <v>0</v>
      </c>
      <c r="BD22" s="100">
        <f>H22/(100-BE22)*100</f>
        <v>0</v>
      </c>
      <c r="BE22" s="100">
        <v>0</v>
      </c>
      <c r="BF22" s="100">
        <f>22</f>
        <v>22</v>
      </c>
      <c r="BH22" s="108">
        <f>G22*AO22</f>
        <v>0</v>
      </c>
      <c r="BI22" s="108">
        <f>G22*AP22</f>
        <v>0</v>
      </c>
      <c r="BJ22" s="108">
        <f>G22*H22</f>
        <v>0</v>
      </c>
    </row>
    <row r="23" spans="1:62" x14ac:dyDescent="0.2">
      <c r="A23" s="117" t="s">
        <v>15</v>
      </c>
      <c r="B23" s="117" t="s">
        <v>580</v>
      </c>
      <c r="C23" s="304" t="s">
        <v>3743</v>
      </c>
      <c r="D23" s="305"/>
      <c r="E23" s="305"/>
      <c r="F23" s="117" t="s">
        <v>1647</v>
      </c>
      <c r="G23" s="116">
        <v>2.8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1683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9"/>
      <c r="B24" s="120" t="s">
        <v>22</v>
      </c>
      <c r="C24" s="306" t="s">
        <v>1066</v>
      </c>
      <c r="D24" s="307"/>
      <c r="E24" s="307"/>
      <c r="F24" s="119" t="s">
        <v>6</v>
      </c>
      <c r="G24" s="119" t="s">
        <v>6</v>
      </c>
      <c r="H24" s="119" t="s">
        <v>6</v>
      </c>
      <c r="I24" s="118">
        <f>SUM(I25:I27)</f>
        <v>0</v>
      </c>
      <c r="J24" s="118">
        <f>SUM(J25:J27)</f>
        <v>0</v>
      </c>
      <c r="K24" s="118">
        <f>SUM(K25:K27)</f>
        <v>0</v>
      </c>
      <c r="L24" s="109"/>
      <c r="AI24" s="109"/>
      <c r="AS24" s="118">
        <f>SUM(AJ25:AJ27)</f>
        <v>0</v>
      </c>
      <c r="AT24" s="118">
        <f>SUM(AK25:AK27)</f>
        <v>0</v>
      </c>
      <c r="AU24" s="118">
        <f>SUM(AL25:AL27)</f>
        <v>0</v>
      </c>
    </row>
    <row r="25" spans="1:62" x14ac:dyDescent="0.2">
      <c r="A25" s="117" t="s">
        <v>16</v>
      </c>
      <c r="B25" s="117" t="s">
        <v>581</v>
      </c>
      <c r="C25" s="304" t="s">
        <v>1067</v>
      </c>
      <c r="D25" s="305"/>
      <c r="E25" s="305"/>
      <c r="F25" s="117" t="s">
        <v>1647</v>
      </c>
      <c r="G25" s="116">
        <v>99.721999999999994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1684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7" t="s">
        <v>17</v>
      </c>
      <c r="B26" s="117" t="s">
        <v>582</v>
      </c>
      <c r="C26" s="304" t="s">
        <v>1068</v>
      </c>
      <c r="D26" s="305"/>
      <c r="E26" s="305"/>
      <c r="F26" s="117" t="s">
        <v>1648</v>
      </c>
      <c r="G26" s="116">
        <v>174.51400000000001</v>
      </c>
      <c r="H26" s="159"/>
      <c r="I26" s="108">
        <f>G26*AO26</f>
        <v>0</v>
      </c>
      <c r="J26" s="108">
        <f>G26*AP26</f>
        <v>0</v>
      </c>
      <c r="K26" s="108">
        <f>G26*H26</f>
        <v>0</v>
      </c>
      <c r="L26" s="111" t="s">
        <v>1671</v>
      </c>
      <c r="Z26" s="100">
        <f>IF(AQ26="5",BJ26,0)</f>
        <v>0</v>
      </c>
      <c r="AB26" s="100">
        <f>IF(AQ26="1",BH26,0)</f>
        <v>0</v>
      </c>
      <c r="AC26" s="100">
        <f>IF(AQ26="1",BI26,0)</f>
        <v>0</v>
      </c>
      <c r="AD26" s="100">
        <f>IF(AQ26="7",BH26,0)</f>
        <v>0</v>
      </c>
      <c r="AE26" s="100">
        <f>IF(AQ26="7",BI26,0)</f>
        <v>0</v>
      </c>
      <c r="AF26" s="100">
        <f>IF(AQ26="2",BH26,0)</f>
        <v>0</v>
      </c>
      <c r="AG26" s="100">
        <f>IF(AQ26="2",BI26,0)</f>
        <v>0</v>
      </c>
      <c r="AH26" s="100">
        <f>IF(AQ26="0",BJ26,0)</f>
        <v>0</v>
      </c>
      <c r="AI26" s="109"/>
      <c r="AJ26" s="108">
        <f>IF(AN26=0,K26,0)</f>
        <v>0</v>
      </c>
      <c r="AK26" s="108">
        <f>IF(AN26=15,K26,0)</f>
        <v>0</v>
      </c>
      <c r="AL26" s="108">
        <f>IF(AN26=21,K26,0)</f>
        <v>0</v>
      </c>
      <c r="AN26" s="100">
        <v>15</v>
      </c>
      <c r="AO26" s="100">
        <f>H26*0</f>
        <v>0</v>
      </c>
      <c r="AP26" s="100">
        <f>H26*(1-0)</f>
        <v>0</v>
      </c>
      <c r="AQ26" s="111" t="s">
        <v>7</v>
      </c>
      <c r="AV26" s="100">
        <f>AW26+AX26</f>
        <v>0</v>
      </c>
      <c r="AW26" s="100">
        <f>G26*AO26</f>
        <v>0</v>
      </c>
      <c r="AX26" s="100">
        <f>G26*AP26</f>
        <v>0</v>
      </c>
      <c r="AY26" s="110" t="s">
        <v>1684</v>
      </c>
      <c r="AZ26" s="110" t="s">
        <v>1724</v>
      </c>
      <c r="BA26" s="109" t="s">
        <v>1737</v>
      </c>
      <c r="BC26" s="100">
        <f>AW26+AX26</f>
        <v>0</v>
      </c>
      <c r="BD26" s="100">
        <f>H26/(100-BE26)*100</f>
        <v>0</v>
      </c>
      <c r="BE26" s="100">
        <v>0</v>
      </c>
      <c r="BF26" s="100">
        <f>26</f>
        <v>26</v>
      </c>
      <c r="BH26" s="108">
        <f>G26*AO26</f>
        <v>0</v>
      </c>
      <c r="BI26" s="108">
        <f>G26*AP26</f>
        <v>0</v>
      </c>
      <c r="BJ26" s="108">
        <f>G26*H26</f>
        <v>0</v>
      </c>
    </row>
    <row r="27" spans="1:62" x14ac:dyDescent="0.2">
      <c r="A27" s="117" t="s">
        <v>18</v>
      </c>
      <c r="B27" s="117" t="s">
        <v>583</v>
      </c>
      <c r="C27" s="304" t="s">
        <v>1069</v>
      </c>
      <c r="D27" s="305"/>
      <c r="E27" s="305"/>
      <c r="F27" s="117" t="s">
        <v>1647</v>
      </c>
      <c r="G27" s="116">
        <v>99.721999999999994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</f>
        <v>0</v>
      </c>
      <c r="AP27" s="100">
        <f>H27*(1-0)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1684</v>
      </c>
      <c r="AZ27" s="110" t="s">
        <v>1724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9"/>
      <c r="B28" s="120" t="s">
        <v>23</v>
      </c>
      <c r="C28" s="306" t="s">
        <v>1070</v>
      </c>
      <c r="D28" s="307"/>
      <c r="E28" s="307"/>
      <c r="F28" s="119" t="s">
        <v>6</v>
      </c>
      <c r="G28" s="119" t="s">
        <v>6</v>
      </c>
      <c r="H28" s="119" t="s">
        <v>6</v>
      </c>
      <c r="I28" s="118">
        <f>SUM(I29:I31)</f>
        <v>0</v>
      </c>
      <c r="J28" s="118">
        <f>SUM(J29:J31)</f>
        <v>0</v>
      </c>
      <c r="K28" s="118">
        <f>SUM(K29:K31)</f>
        <v>0</v>
      </c>
      <c r="L28" s="109"/>
      <c r="AI28" s="109"/>
      <c r="AS28" s="118">
        <f>SUM(AJ29:AJ31)</f>
        <v>0</v>
      </c>
      <c r="AT28" s="118">
        <f>SUM(AK29:AK31)</f>
        <v>0</v>
      </c>
      <c r="AU28" s="118">
        <f>SUM(AL29:AL31)</f>
        <v>0</v>
      </c>
    </row>
    <row r="29" spans="1:62" x14ac:dyDescent="0.2">
      <c r="A29" s="117" t="s">
        <v>19</v>
      </c>
      <c r="B29" s="117" t="s">
        <v>584</v>
      </c>
      <c r="C29" s="304" t="s">
        <v>1071</v>
      </c>
      <c r="D29" s="305"/>
      <c r="E29" s="305"/>
      <c r="F29" s="117" t="s">
        <v>1647</v>
      </c>
      <c r="G29" s="116">
        <v>99.721999999999994</v>
      </c>
      <c r="H29" s="159"/>
      <c r="I29" s="108">
        <f>G29*AO29</f>
        <v>0</v>
      </c>
      <c r="J29" s="108">
        <f>G29*AP29</f>
        <v>0</v>
      </c>
      <c r="K29" s="108">
        <f>G29*H29</f>
        <v>0</v>
      </c>
      <c r="L29" s="111" t="s">
        <v>1671</v>
      </c>
      <c r="Z29" s="100">
        <f>IF(AQ29="5",BJ29,0)</f>
        <v>0</v>
      </c>
      <c r="AB29" s="100">
        <f>IF(AQ29="1",BH29,0)</f>
        <v>0</v>
      </c>
      <c r="AC29" s="100">
        <f>IF(AQ29="1",BI29,0)</f>
        <v>0</v>
      </c>
      <c r="AD29" s="100">
        <f>IF(AQ29="7",BH29,0)</f>
        <v>0</v>
      </c>
      <c r="AE29" s="100">
        <f>IF(AQ29="7",BI29,0)</f>
        <v>0</v>
      </c>
      <c r="AF29" s="100">
        <f>IF(AQ29="2",BH29,0)</f>
        <v>0</v>
      </c>
      <c r="AG29" s="100">
        <f>IF(AQ29="2",BI29,0)</f>
        <v>0</v>
      </c>
      <c r="AH29" s="100">
        <f>IF(AQ29="0",BJ29,0)</f>
        <v>0</v>
      </c>
      <c r="AI29" s="109"/>
      <c r="AJ29" s="108">
        <f>IF(AN29=0,K29,0)</f>
        <v>0</v>
      </c>
      <c r="AK29" s="108">
        <f>IF(AN29=15,K29,0)</f>
        <v>0</v>
      </c>
      <c r="AL29" s="108">
        <f>IF(AN29=21,K29,0)</f>
        <v>0</v>
      </c>
      <c r="AN29" s="100">
        <v>15</v>
      </c>
      <c r="AO29" s="100">
        <f>H29*0</f>
        <v>0</v>
      </c>
      <c r="AP29" s="100">
        <f>H29*(1-0)</f>
        <v>0</v>
      </c>
      <c r="AQ29" s="111" t="s">
        <v>7</v>
      </c>
      <c r="AV29" s="100">
        <f>AW29+AX29</f>
        <v>0</v>
      </c>
      <c r="AW29" s="100">
        <f>G29*AO29</f>
        <v>0</v>
      </c>
      <c r="AX29" s="100">
        <f>G29*AP29</f>
        <v>0</v>
      </c>
      <c r="AY29" s="110" t="s">
        <v>1685</v>
      </c>
      <c r="AZ29" s="110" t="s">
        <v>1724</v>
      </c>
      <c r="BA29" s="109" t="s">
        <v>1737</v>
      </c>
      <c r="BC29" s="100">
        <f>AW29+AX29</f>
        <v>0</v>
      </c>
      <c r="BD29" s="100">
        <f>H29/(100-BE29)*100</f>
        <v>0</v>
      </c>
      <c r="BE29" s="100">
        <v>0</v>
      </c>
      <c r="BF29" s="100">
        <f>29</f>
        <v>29</v>
      </c>
      <c r="BH29" s="108">
        <f>G29*AO29</f>
        <v>0</v>
      </c>
      <c r="BI29" s="108">
        <f>G29*AP29</f>
        <v>0</v>
      </c>
      <c r="BJ29" s="108">
        <f>G29*H29</f>
        <v>0</v>
      </c>
    </row>
    <row r="30" spans="1:62" x14ac:dyDescent="0.2">
      <c r="A30" s="117" t="s">
        <v>20</v>
      </c>
      <c r="B30" s="117" t="s">
        <v>585</v>
      </c>
      <c r="C30" s="304" t="s">
        <v>1072</v>
      </c>
      <c r="D30" s="305"/>
      <c r="E30" s="305"/>
      <c r="F30" s="117" t="s">
        <v>1647</v>
      </c>
      <c r="G30" s="116">
        <v>102.65600000000001</v>
      </c>
      <c r="H30" s="159"/>
      <c r="I30" s="108">
        <f>G30*AO30</f>
        <v>0</v>
      </c>
      <c r="J30" s="108">
        <f>G30*AP30</f>
        <v>0</v>
      </c>
      <c r="K30" s="108">
        <f>G30*H30</f>
        <v>0</v>
      </c>
      <c r="L30" s="111" t="s">
        <v>1671</v>
      </c>
      <c r="Z30" s="100">
        <f>IF(AQ30="5",BJ30,0)</f>
        <v>0</v>
      </c>
      <c r="AB30" s="100">
        <f>IF(AQ30="1",BH30,0)</f>
        <v>0</v>
      </c>
      <c r="AC30" s="100">
        <f>IF(AQ30="1",BI30,0)</f>
        <v>0</v>
      </c>
      <c r="AD30" s="100">
        <f>IF(AQ30="7",BH30,0)</f>
        <v>0</v>
      </c>
      <c r="AE30" s="100">
        <f>IF(AQ30="7",BI30,0)</f>
        <v>0</v>
      </c>
      <c r="AF30" s="100">
        <f>IF(AQ30="2",BH30,0)</f>
        <v>0</v>
      </c>
      <c r="AG30" s="100">
        <f>IF(AQ30="2",BI30,0)</f>
        <v>0</v>
      </c>
      <c r="AH30" s="100">
        <f>IF(AQ30="0",BJ30,0)</f>
        <v>0</v>
      </c>
      <c r="AI30" s="109"/>
      <c r="AJ30" s="108">
        <f>IF(AN30=0,K30,0)</f>
        <v>0</v>
      </c>
      <c r="AK30" s="108">
        <f>IF(AN30=15,K30,0)</f>
        <v>0</v>
      </c>
      <c r="AL30" s="108">
        <f>IF(AN30=21,K30,0)</f>
        <v>0</v>
      </c>
      <c r="AN30" s="100">
        <v>15</v>
      </c>
      <c r="AO30" s="100">
        <f>H30*0</f>
        <v>0</v>
      </c>
      <c r="AP30" s="100">
        <f>H30*(1-0)</f>
        <v>0</v>
      </c>
      <c r="AQ30" s="111" t="s">
        <v>7</v>
      </c>
      <c r="AV30" s="100">
        <f>AW30+AX30</f>
        <v>0</v>
      </c>
      <c r="AW30" s="100">
        <f>G30*AO30</f>
        <v>0</v>
      </c>
      <c r="AX30" s="100">
        <f>G30*AP30</f>
        <v>0</v>
      </c>
      <c r="AY30" s="110" t="s">
        <v>1685</v>
      </c>
      <c r="AZ30" s="110" t="s">
        <v>1724</v>
      </c>
      <c r="BA30" s="109" t="s">
        <v>1737</v>
      </c>
      <c r="BC30" s="100">
        <f>AW30+AX30</f>
        <v>0</v>
      </c>
      <c r="BD30" s="100">
        <f>H30/(100-BE30)*100</f>
        <v>0</v>
      </c>
      <c r="BE30" s="100">
        <v>0</v>
      </c>
      <c r="BF30" s="100">
        <f>30</f>
        <v>30</v>
      </c>
      <c r="BH30" s="108">
        <f>G30*AO30</f>
        <v>0</v>
      </c>
      <c r="BI30" s="108">
        <f>G30*AP30</f>
        <v>0</v>
      </c>
      <c r="BJ30" s="108">
        <f>G30*H30</f>
        <v>0</v>
      </c>
    </row>
    <row r="31" spans="1:62" x14ac:dyDescent="0.2">
      <c r="A31" s="117" t="s">
        <v>21</v>
      </c>
      <c r="B31" s="117" t="s">
        <v>586</v>
      </c>
      <c r="C31" s="304" t="s">
        <v>2160</v>
      </c>
      <c r="D31" s="305"/>
      <c r="E31" s="305"/>
      <c r="F31" s="117" t="s">
        <v>1647</v>
      </c>
      <c r="G31" s="116">
        <v>2.52</v>
      </c>
      <c r="H31" s="159"/>
      <c r="I31" s="108">
        <f>G31*AO31</f>
        <v>0</v>
      </c>
      <c r="J31" s="108">
        <f>G31*AP31</f>
        <v>0</v>
      </c>
      <c r="K31" s="108">
        <f>G31*H31</f>
        <v>0</v>
      </c>
      <c r="L31" s="111" t="s">
        <v>1671</v>
      </c>
      <c r="Z31" s="100">
        <f>IF(AQ31="5",BJ31,0)</f>
        <v>0</v>
      </c>
      <c r="AB31" s="100">
        <f>IF(AQ31="1",BH31,0)</f>
        <v>0</v>
      </c>
      <c r="AC31" s="100">
        <f>IF(AQ31="1",BI31,0)</f>
        <v>0</v>
      </c>
      <c r="AD31" s="100">
        <f>IF(AQ31="7",BH31,0)</f>
        <v>0</v>
      </c>
      <c r="AE31" s="100">
        <f>IF(AQ31="7",BI31,0)</f>
        <v>0</v>
      </c>
      <c r="AF31" s="100">
        <f>IF(AQ31="2",BH31,0)</f>
        <v>0</v>
      </c>
      <c r="AG31" s="100">
        <f>IF(AQ31="2",BI31,0)</f>
        <v>0</v>
      </c>
      <c r="AH31" s="100">
        <f>IF(AQ31="0",BJ31,0)</f>
        <v>0</v>
      </c>
      <c r="AI31" s="109"/>
      <c r="AJ31" s="108">
        <f>IF(AN31=0,K31,0)</f>
        <v>0</v>
      </c>
      <c r="AK31" s="108">
        <f>IF(AN31=15,K31,0)</f>
        <v>0</v>
      </c>
      <c r="AL31" s="108">
        <f>IF(AN31=21,K31,0)</f>
        <v>0</v>
      </c>
      <c r="AN31" s="100">
        <v>15</v>
      </c>
      <c r="AO31" s="100">
        <f>H31*0</f>
        <v>0</v>
      </c>
      <c r="AP31" s="100">
        <f>H31*(1-0)</f>
        <v>0</v>
      </c>
      <c r="AQ31" s="111" t="s">
        <v>7</v>
      </c>
      <c r="AV31" s="100">
        <f>AW31+AX31</f>
        <v>0</v>
      </c>
      <c r="AW31" s="100">
        <f>G31*AO31</f>
        <v>0</v>
      </c>
      <c r="AX31" s="100">
        <f>G31*AP31</f>
        <v>0</v>
      </c>
      <c r="AY31" s="110" t="s">
        <v>1685</v>
      </c>
      <c r="AZ31" s="110" t="s">
        <v>1724</v>
      </c>
      <c r="BA31" s="109" t="s">
        <v>1737</v>
      </c>
      <c r="BC31" s="100">
        <f>AW31+AX31</f>
        <v>0</v>
      </c>
      <c r="BD31" s="100">
        <f>H31/(100-BE31)*100</f>
        <v>0</v>
      </c>
      <c r="BE31" s="100">
        <v>0</v>
      </c>
      <c r="BF31" s="100">
        <f>31</f>
        <v>31</v>
      </c>
      <c r="BH31" s="108">
        <f>G31*AO31</f>
        <v>0</v>
      </c>
      <c r="BI31" s="108">
        <f>G31*AP31</f>
        <v>0</v>
      </c>
      <c r="BJ31" s="108">
        <f>G31*H31</f>
        <v>0</v>
      </c>
    </row>
    <row r="32" spans="1:62" x14ac:dyDescent="0.2">
      <c r="A32" s="119"/>
      <c r="B32" s="120" t="s">
        <v>24</v>
      </c>
      <c r="C32" s="306" t="s">
        <v>1076</v>
      </c>
      <c r="D32" s="307"/>
      <c r="E32" s="307"/>
      <c r="F32" s="119" t="s">
        <v>6</v>
      </c>
      <c r="G32" s="119" t="s">
        <v>6</v>
      </c>
      <c r="H32" s="119" t="s">
        <v>6</v>
      </c>
      <c r="I32" s="118">
        <f>SUM(I33:I33)</f>
        <v>0</v>
      </c>
      <c r="J32" s="118">
        <f>SUM(J33:J33)</f>
        <v>0</v>
      </c>
      <c r="K32" s="118">
        <f>SUM(K33:K33)</f>
        <v>0</v>
      </c>
      <c r="L32" s="109"/>
      <c r="AI32" s="109"/>
      <c r="AS32" s="118">
        <f>SUM(AJ33:AJ33)</f>
        <v>0</v>
      </c>
      <c r="AT32" s="118">
        <f>SUM(AK33:AK33)</f>
        <v>0</v>
      </c>
      <c r="AU32" s="118">
        <f>SUM(AL33:AL33)</f>
        <v>0</v>
      </c>
    </row>
    <row r="33" spans="1:62" x14ac:dyDescent="0.2">
      <c r="A33" s="117" t="s">
        <v>22</v>
      </c>
      <c r="B33" s="117" t="s">
        <v>587</v>
      </c>
      <c r="C33" s="304" t="s">
        <v>1077</v>
      </c>
      <c r="D33" s="305"/>
      <c r="E33" s="305"/>
      <c r="F33" s="117" t="s">
        <v>1645</v>
      </c>
      <c r="G33" s="116">
        <v>357.202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</f>
        <v>0</v>
      </c>
      <c r="AP33" s="100">
        <f>H33*(1-0)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1686</v>
      </c>
      <c r="AZ33" s="110" t="s">
        <v>1724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9"/>
      <c r="B34" s="120" t="s">
        <v>27</v>
      </c>
      <c r="C34" s="306" t="s">
        <v>1078</v>
      </c>
      <c r="D34" s="307"/>
      <c r="E34" s="307"/>
      <c r="F34" s="119" t="s">
        <v>6</v>
      </c>
      <c r="G34" s="119" t="s">
        <v>6</v>
      </c>
      <c r="H34" s="119" t="s">
        <v>6</v>
      </c>
      <c r="I34" s="118">
        <f>SUM(I35:I36)</f>
        <v>0</v>
      </c>
      <c r="J34" s="118">
        <f>SUM(J35:J36)</f>
        <v>0</v>
      </c>
      <c r="K34" s="118">
        <f>SUM(K35:K36)</f>
        <v>0</v>
      </c>
      <c r="L34" s="109"/>
      <c r="AI34" s="109"/>
      <c r="AS34" s="118">
        <f>SUM(AJ35:AJ36)</f>
        <v>0</v>
      </c>
      <c r="AT34" s="118">
        <f>SUM(AK35:AK36)</f>
        <v>0</v>
      </c>
      <c r="AU34" s="118">
        <f>SUM(AL35:AL36)</f>
        <v>0</v>
      </c>
    </row>
    <row r="35" spans="1:62" x14ac:dyDescent="0.2">
      <c r="A35" s="117" t="s">
        <v>23</v>
      </c>
      <c r="B35" s="117" t="s">
        <v>588</v>
      </c>
      <c r="C35" s="304" t="s">
        <v>1079</v>
      </c>
      <c r="D35" s="305"/>
      <c r="E35" s="305"/>
      <c r="F35" s="117" t="s">
        <v>1646</v>
      </c>
      <c r="G35" s="116">
        <v>188.71</v>
      </c>
      <c r="H35" s="159"/>
      <c r="I35" s="108">
        <f>G35*AO35</f>
        <v>0</v>
      </c>
      <c r="J35" s="108">
        <f>G35*AP35</f>
        <v>0</v>
      </c>
      <c r="K35" s="108">
        <f>G35*H35</f>
        <v>0</v>
      </c>
      <c r="L35" s="111" t="s">
        <v>1671</v>
      </c>
      <c r="Z35" s="100">
        <f>IF(AQ35="5",BJ35,0)</f>
        <v>0</v>
      </c>
      <c r="AB35" s="100">
        <f>IF(AQ35="1",BH35,0)</f>
        <v>0</v>
      </c>
      <c r="AC35" s="100">
        <f>IF(AQ35="1",BI35,0)</f>
        <v>0</v>
      </c>
      <c r="AD35" s="100">
        <f>IF(AQ35="7",BH35,0)</f>
        <v>0</v>
      </c>
      <c r="AE35" s="100">
        <f>IF(AQ35="7",BI35,0)</f>
        <v>0</v>
      </c>
      <c r="AF35" s="100">
        <f>IF(AQ35="2",BH35,0)</f>
        <v>0</v>
      </c>
      <c r="AG35" s="100">
        <f>IF(AQ35="2",BI35,0)</f>
        <v>0</v>
      </c>
      <c r="AH35" s="100">
        <f>IF(AQ35="0",BJ35,0)</f>
        <v>0</v>
      </c>
      <c r="AI35" s="109"/>
      <c r="AJ35" s="108">
        <f>IF(AN35=0,K35,0)</f>
        <v>0</v>
      </c>
      <c r="AK35" s="108">
        <f>IF(AN35=15,K35,0)</f>
        <v>0</v>
      </c>
      <c r="AL35" s="108">
        <f>IF(AN35=21,K35,0)</f>
        <v>0</v>
      </c>
      <c r="AN35" s="100">
        <v>15</v>
      </c>
      <c r="AO35" s="100">
        <f>H35*0.568421052631579</f>
        <v>0</v>
      </c>
      <c r="AP35" s="100">
        <f>H35*(1-0.568421052631579)</f>
        <v>0</v>
      </c>
      <c r="AQ35" s="111" t="s">
        <v>7</v>
      </c>
      <c r="AV35" s="100">
        <f>AW35+AX35</f>
        <v>0</v>
      </c>
      <c r="AW35" s="100">
        <f>G35*AO35</f>
        <v>0</v>
      </c>
      <c r="AX35" s="100">
        <f>G35*AP35</f>
        <v>0</v>
      </c>
      <c r="AY35" s="110" t="s">
        <v>1687</v>
      </c>
      <c r="AZ35" s="110" t="s">
        <v>1725</v>
      </c>
      <c r="BA35" s="109" t="s">
        <v>1737</v>
      </c>
      <c r="BC35" s="100">
        <f>AW35+AX35</f>
        <v>0</v>
      </c>
      <c r="BD35" s="100">
        <f>H35/(100-BE35)*100</f>
        <v>0</v>
      </c>
      <c r="BE35" s="100">
        <v>0</v>
      </c>
      <c r="BF35" s="100">
        <f>35</f>
        <v>35</v>
      </c>
      <c r="BH35" s="108">
        <f>G35*AO35</f>
        <v>0</v>
      </c>
      <c r="BI35" s="108">
        <f>G35*AP35</f>
        <v>0</v>
      </c>
      <c r="BJ35" s="108">
        <f>G35*H35</f>
        <v>0</v>
      </c>
    </row>
    <row r="36" spans="1:62" x14ac:dyDescent="0.2">
      <c r="A36" s="117" t="s">
        <v>24</v>
      </c>
      <c r="B36" s="117" t="s">
        <v>589</v>
      </c>
      <c r="C36" s="304" t="s">
        <v>1080</v>
      </c>
      <c r="D36" s="305"/>
      <c r="E36" s="305"/>
      <c r="F36" s="117" t="s">
        <v>1646</v>
      </c>
      <c r="G36" s="116">
        <v>188.71</v>
      </c>
      <c r="H36" s="159"/>
      <c r="I36" s="108">
        <f>G36*AO36</f>
        <v>0</v>
      </c>
      <c r="J36" s="108">
        <f>G36*AP36</f>
        <v>0</v>
      </c>
      <c r="K36" s="108">
        <f>G36*H36</f>
        <v>0</v>
      </c>
      <c r="L36" s="111" t="s">
        <v>1671</v>
      </c>
      <c r="Z36" s="100">
        <f>IF(AQ36="5",BJ36,0)</f>
        <v>0</v>
      </c>
      <c r="AB36" s="100">
        <f>IF(AQ36="1",BH36,0)</f>
        <v>0</v>
      </c>
      <c r="AC36" s="100">
        <f>IF(AQ36="1",BI36,0)</f>
        <v>0</v>
      </c>
      <c r="AD36" s="100">
        <f>IF(AQ36="7",BH36,0)</f>
        <v>0</v>
      </c>
      <c r="AE36" s="100">
        <f>IF(AQ36="7",BI36,0)</f>
        <v>0</v>
      </c>
      <c r="AF36" s="100">
        <f>IF(AQ36="2",BH36,0)</f>
        <v>0</v>
      </c>
      <c r="AG36" s="100">
        <f>IF(AQ36="2",BI36,0)</f>
        <v>0</v>
      </c>
      <c r="AH36" s="100">
        <f>IF(AQ36="0",BJ36,0)</f>
        <v>0</v>
      </c>
      <c r="AI36" s="109"/>
      <c r="AJ36" s="108">
        <f>IF(AN36=0,K36,0)</f>
        <v>0</v>
      </c>
      <c r="AK36" s="108">
        <f>IF(AN36=15,K36,0)</f>
        <v>0</v>
      </c>
      <c r="AL36" s="108">
        <f>IF(AN36=21,K36,0)</f>
        <v>0</v>
      </c>
      <c r="AN36" s="100">
        <v>15</v>
      </c>
      <c r="AO36" s="100">
        <f>H36*0.677510040160643</f>
        <v>0</v>
      </c>
      <c r="AP36" s="100">
        <f>H36*(1-0.677510040160643)</f>
        <v>0</v>
      </c>
      <c r="AQ36" s="111" t="s">
        <v>7</v>
      </c>
      <c r="AV36" s="100">
        <f>AW36+AX36</f>
        <v>0</v>
      </c>
      <c r="AW36" s="100">
        <f>G36*AO36</f>
        <v>0</v>
      </c>
      <c r="AX36" s="100">
        <f>G36*AP36</f>
        <v>0</v>
      </c>
      <c r="AY36" s="110" t="s">
        <v>1687</v>
      </c>
      <c r="AZ36" s="110" t="s">
        <v>1725</v>
      </c>
      <c r="BA36" s="109" t="s">
        <v>1737</v>
      </c>
      <c r="BC36" s="100">
        <f>AW36+AX36</f>
        <v>0</v>
      </c>
      <c r="BD36" s="100">
        <f>H36/(100-BE36)*100</f>
        <v>0</v>
      </c>
      <c r="BE36" s="100">
        <v>0</v>
      </c>
      <c r="BF36" s="100">
        <f>36</f>
        <v>36</v>
      </c>
      <c r="BH36" s="108">
        <f>G36*AO36</f>
        <v>0</v>
      </c>
      <c r="BI36" s="108">
        <f>G36*AP36</f>
        <v>0</v>
      </c>
      <c r="BJ36" s="108">
        <f>G36*H36</f>
        <v>0</v>
      </c>
    </row>
    <row r="37" spans="1:62" x14ac:dyDescent="0.2">
      <c r="A37" s="119"/>
      <c r="B37" s="120" t="s">
        <v>37</v>
      </c>
      <c r="C37" s="306" t="s">
        <v>1084</v>
      </c>
      <c r="D37" s="307"/>
      <c r="E37" s="307"/>
      <c r="F37" s="119" t="s">
        <v>6</v>
      </c>
      <c r="G37" s="119" t="s">
        <v>6</v>
      </c>
      <c r="H37" s="119" t="s">
        <v>6</v>
      </c>
      <c r="I37" s="118">
        <f>SUM(I38:I41)</f>
        <v>0</v>
      </c>
      <c r="J37" s="118">
        <f>SUM(J38:J41)</f>
        <v>0</v>
      </c>
      <c r="K37" s="118">
        <f>SUM(K38:K41)</f>
        <v>0</v>
      </c>
      <c r="L37" s="109"/>
      <c r="AI37" s="109"/>
      <c r="AS37" s="118">
        <f>SUM(AJ38:AJ41)</f>
        <v>0</v>
      </c>
      <c r="AT37" s="118">
        <f>SUM(AK38:AK41)</f>
        <v>0</v>
      </c>
      <c r="AU37" s="118">
        <f>SUM(AL38:AL41)</f>
        <v>0</v>
      </c>
    </row>
    <row r="38" spans="1:62" x14ac:dyDescent="0.2">
      <c r="A38" s="117" t="s">
        <v>25</v>
      </c>
      <c r="B38" s="117" t="s">
        <v>3742</v>
      </c>
      <c r="C38" s="304" t="s">
        <v>3741</v>
      </c>
      <c r="D38" s="305"/>
      <c r="E38" s="305"/>
      <c r="F38" s="117" t="s">
        <v>1647</v>
      </c>
      <c r="G38" s="116">
        <v>0.40500000000000003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H38*0.624226785714286</f>
        <v>0</v>
      </c>
      <c r="AP38" s="100">
        <f>H38*(1-0.624226785714286)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1689</v>
      </c>
      <c r="AZ38" s="110" t="s">
        <v>1726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7" t="s">
        <v>26</v>
      </c>
      <c r="B39" s="117" t="s">
        <v>2157</v>
      </c>
      <c r="C39" s="304" t="s">
        <v>3740</v>
      </c>
      <c r="D39" s="305"/>
      <c r="E39" s="305"/>
      <c r="F39" s="117" t="s">
        <v>1645</v>
      </c>
      <c r="G39" s="116">
        <v>9.25</v>
      </c>
      <c r="H39" s="159"/>
      <c r="I39" s="108">
        <f>G39*AO39</f>
        <v>0</v>
      </c>
      <c r="J39" s="108">
        <f>G39*AP39</f>
        <v>0</v>
      </c>
      <c r="K39" s="108">
        <f>G39*H39</f>
        <v>0</v>
      </c>
      <c r="L39" s="111" t="s">
        <v>1671</v>
      </c>
      <c r="Z39" s="100">
        <f>IF(AQ39="5",BJ39,0)</f>
        <v>0</v>
      </c>
      <c r="AB39" s="100">
        <f>IF(AQ39="1",BH39,0)</f>
        <v>0</v>
      </c>
      <c r="AC39" s="100">
        <f>IF(AQ39="1",BI39,0)</f>
        <v>0</v>
      </c>
      <c r="AD39" s="100">
        <f>IF(AQ39="7",BH39,0)</f>
        <v>0</v>
      </c>
      <c r="AE39" s="100">
        <f>IF(AQ39="7",BI39,0)</f>
        <v>0</v>
      </c>
      <c r="AF39" s="100">
        <f>IF(AQ39="2",BH39,0)</f>
        <v>0</v>
      </c>
      <c r="AG39" s="100">
        <f>IF(AQ39="2",BI39,0)</f>
        <v>0</v>
      </c>
      <c r="AH39" s="100">
        <f>IF(AQ39="0",BJ39,0)</f>
        <v>0</v>
      </c>
      <c r="AI39" s="109"/>
      <c r="AJ39" s="108">
        <f>IF(AN39=0,K39,0)</f>
        <v>0</v>
      </c>
      <c r="AK39" s="108">
        <f>IF(AN39=15,K39,0)</f>
        <v>0</v>
      </c>
      <c r="AL39" s="108">
        <f>IF(AN39=21,K39,0)</f>
        <v>0</v>
      </c>
      <c r="AN39" s="100">
        <v>15</v>
      </c>
      <c r="AO39" s="100">
        <f>H39*0.63564347826087</f>
        <v>0</v>
      </c>
      <c r="AP39" s="100">
        <f>H39*(1-0.63564347826087)</f>
        <v>0</v>
      </c>
      <c r="AQ39" s="111" t="s">
        <v>7</v>
      </c>
      <c r="AV39" s="100">
        <f>AW39+AX39</f>
        <v>0</v>
      </c>
      <c r="AW39" s="100">
        <f>G39*AO39</f>
        <v>0</v>
      </c>
      <c r="AX39" s="100">
        <f>G39*AP39</f>
        <v>0</v>
      </c>
      <c r="AY39" s="110" t="s">
        <v>1689</v>
      </c>
      <c r="AZ39" s="110" t="s">
        <v>1726</v>
      </c>
      <c r="BA39" s="109" t="s">
        <v>1737</v>
      </c>
      <c r="BC39" s="100">
        <f>AW39+AX39</f>
        <v>0</v>
      </c>
      <c r="BD39" s="100">
        <f>H39/(100-BE39)*100</f>
        <v>0</v>
      </c>
      <c r="BE39" s="100">
        <v>0</v>
      </c>
      <c r="BF39" s="100">
        <f>39</f>
        <v>39</v>
      </c>
      <c r="BH39" s="108">
        <f>G39*AO39</f>
        <v>0</v>
      </c>
      <c r="BI39" s="108">
        <f>G39*AP39</f>
        <v>0</v>
      </c>
      <c r="BJ39" s="108">
        <f>G39*H39</f>
        <v>0</v>
      </c>
    </row>
    <row r="40" spans="1:62" x14ac:dyDescent="0.2">
      <c r="A40" s="117" t="s">
        <v>27</v>
      </c>
      <c r="B40" s="117" t="s">
        <v>594</v>
      </c>
      <c r="C40" s="304" t="s">
        <v>1088</v>
      </c>
      <c r="D40" s="305"/>
      <c r="E40" s="305"/>
      <c r="F40" s="117" t="s">
        <v>1648</v>
      </c>
      <c r="G40" s="116">
        <v>5.7000000000000002E-2</v>
      </c>
      <c r="H40" s="159"/>
      <c r="I40" s="108">
        <f>G40*AO40</f>
        <v>0</v>
      </c>
      <c r="J40" s="108">
        <f>G40*AP40</f>
        <v>0</v>
      </c>
      <c r="K40" s="108">
        <f>G40*H40</f>
        <v>0</v>
      </c>
      <c r="L40" s="111" t="s">
        <v>1671</v>
      </c>
      <c r="Z40" s="100">
        <f>IF(AQ40="5",BJ40,0)</f>
        <v>0</v>
      </c>
      <c r="AB40" s="100">
        <f>IF(AQ40="1",BH40,0)</f>
        <v>0</v>
      </c>
      <c r="AC40" s="100">
        <f>IF(AQ40="1",BI40,0)</f>
        <v>0</v>
      </c>
      <c r="AD40" s="100">
        <f>IF(AQ40="7",BH40,0)</f>
        <v>0</v>
      </c>
      <c r="AE40" s="100">
        <f>IF(AQ40="7",BI40,0)</f>
        <v>0</v>
      </c>
      <c r="AF40" s="100">
        <f>IF(AQ40="2",BH40,0)</f>
        <v>0</v>
      </c>
      <c r="AG40" s="100">
        <f>IF(AQ40="2",BI40,0)</f>
        <v>0</v>
      </c>
      <c r="AH40" s="100">
        <f>IF(AQ40="0",BJ40,0)</f>
        <v>0</v>
      </c>
      <c r="AI40" s="109"/>
      <c r="AJ40" s="108">
        <f>IF(AN40=0,K40,0)</f>
        <v>0</v>
      </c>
      <c r="AK40" s="108">
        <f>IF(AN40=15,K40,0)</f>
        <v>0</v>
      </c>
      <c r="AL40" s="108">
        <f>IF(AN40=21,K40,0)</f>
        <v>0</v>
      </c>
      <c r="AN40" s="100">
        <v>15</v>
      </c>
      <c r="AO40" s="100">
        <f>H40*0.782234965034965</f>
        <v>0</v>
      </c>
      <c r="AP40" s="100">
        <f>H40*(1-0.782234965034965)</f>
        <v>0</v>
      </c>
      <c r="AQ40" s="111" t="s">
        <v>7</v>
      </c>
      <c r="AV40" s="100">
        <f>AW40+AX40</f>
        <v>0</v>
      </c>
      <c r="AW40" s="100">
        <f>G40*AO40</f>
        <v>0</v>
      </c>
      <c r="AX40" s="100">
        <f>G40*AP40</f>
        <v>0</v>
      </c>
      <c r="AY40" s="110" t="s">
        <v>1689</v>
      </c>
      <c r="AZ40" s="110" t="s">
        <v>1726</v>
      </c>
      <c r="BA40" s="109" t="s">
        <v>1737</v>
      </c>
      <c r="BC40" s="100">
        <f>AW40+AX40</f>
        <v>0</v>
      </c>
      <c r="BD40" s="100">
        <f>H40/(100-BE40)*100</f>
        <v>0</v>
      </c>
      <c r="BE40" s="100">
        <v>0</v>
      </c>
      <c r="BF40" s="100">
        <f>40</f>
        <v>40</v>
      </c>
      <c r="BH40" s="108">
        <f>G40*AO40</f>
        <v>0</v>
      </c>
      <c r="BI40" s="108">
        <f>G40*AP40</f>
        <v>0</v>
      </c>
      <c r="BJ40" s="108">
        <f>G40*H40</f>
        <v>0</v>
      </c>
    </row>
    <row r="41" spans="1:62" x14ac:dyDescent="0.2">
      <c r="A41" s="117" t="s">
        <v>28</v>
      </c>
      <c r="B41" s="117" t="s">
        <v>595</v>
      </c>
      <c r="C41" s="304" t="s">
        <v>1089</v>
      </c>
      <c r="D41" s="305"/>
      <c r="E41" s="305"/>
      <c r="F41" s="117" t="s">
        <v>1646</v>
      </c>
      <c r="G41" s="116">
        <v>200</v>
      </c>
      <c r="H41" s="159"/>
      <c r="I41" s="108">
        <f>G41*AO41</f>
        <v>0</v>
      </c>
      <c r="J41" s="108">
        <f>G41*AP41</f>
        <v>0</v>
      </c>
      <c r="K41" s="108">
        <f>G41*H41</f>
        <v>0</v>
      </c>
      <c r="L41" s="111" t="s">
        <v>1671</v>
      </c>
      <c r="Z41" s="100">
        <f>IF(AQ41="5",BJ41,0)</f>
        <v>0</v>
      </c>
      <c r="AB41" s="100">
        <f>IF(AQ41="1",BH41,0)</f>
        <v>0</v>
      </c>
      <c r="AC41" s="100">
        <f>IF(AQ41="1",BI41,0)</f>
        <v>0</v>
      </c>
      <c r="AD41" s="100">
        <f>IF(AQ41="7",BH41,0)</f>
        <v>0</v>
      </c>
      <c r="AE41" s="100">
        <f>IF(AQ41="7",BI41,0)</f>
        <v>0</v>
      </c>
      <c r="AF41" s="100">
        <f>IF(AQ41="2",BH41,0)</f>
        <v>0</v>
      </c>
      <c r="AG41" s="100">
        <f>IF(AQ41="2",BI41,0)</f>
        <v>0</v>
      </c>
      <c r="AH41" s="100">
        <f>IF(AQ41="0",BJ41,0)</f>
        <v>0</v>
      </c>
      <c r="AI41" s="109"/>
      <c r="AJ41" s="108">
        <f>IF(AN41=0,K41,0)</f>
        <v>0</v>
      </c>
      <c r="AK41" s="108">
        <f>IF(AN41=15,K41,0)</f>
        <v>0</v>
      </c>
      <c r="AL41" s="108">
        <f>IF(AN41=21,K41,0)</f>
        <v>0</v>
      </c>
      <c r="AN41" s="100">
        <v>15</v>
      </c>
      <c r="AO41" s="100">
        <f>H41*0.318303571428571</f>
        <v>0</v>
      </c>
      <c r="AP41" s="100">
        <f>H41*(1-0.318303571428571)</f>
        <v>0</v>
      </c>
      <c r="AQ41" s="111" t="s">
        <v>7</v>
      </c>
      <c r="AV41" s="100">
        <f>AW41+AX41</f>
        <v>0</v>
      </c>
      <c r="AW41" s="100">
        <f>G41*AO41</f>
        <v>0</v>
      </c>
      <c r="AX41" s="100">
        <f>G41*AP41</f>
        <v>0</v>
      </c>
      <c r="AY41" s="110" t="s">
        <v>1689</v>
      </c>
      <c r="AZ41" s="110" t="s">
        <v>1726</v>
      </c>
      <c r="BA41" s="109" t="s">
        <v>1737</v>
      </c>
      <c r="BC41" s="100">
        <f>AW41+AX41</f>
        <v>0</v>
      </c>
      <c r="BD41" s="100">
        <f>H41/(100-BE41)*100</f>
        <v>0</v>
      </c>
      <c r="BE41" s="100">
        <v>0</v>
      </c>
      <c r="BF41" s="100">
        <f>41</f>
        <v>41</v>
      </c>
      <c r="BH41" s="108">
        <f>G41*AO41</f>
        <v>0</v>
      </c>
      <c r="BI41" s="108">
        <f>G41*AP41</f>
        <v>0</v>
      </c>
      <c r="BJ41" s="108">
        <f>G41*H41</f>
        <v>0</v>
      </c>
    </row>
    <row r="42" spans="1:62" x14ac:dyDescent="0.2">
      <c r="A42" s="119"/>
      <c r="B42" s="120" t="s">
        <v>62</v>
      </c>
      <c r="C42" s="306" t="s">
        <v>1090</v>
      </c>
      <c r="D42" s="307"/>
      <c r="E42" s="307"/>
      <c r="F42" s="119" t="s">
        <v>6</v>
      </c>
      <c r="G42" s="119" t="s">
        <v>6</v>
      </c>
      <c r="H42" s="119" t="s">
        <v>6</v>
      </c>
      <c r="I42" s="118">
        <f>SUM(I43:I45)</f>
        <v>0</v>
      </c>
      <c r="J42" s="118">
        <f>SUM(J43:J45)</f>
        <v>0</v>
      </c>
      <c r="K42" s="118">
        <f>SUM(K43:K45)</f>
        <v>0</v>
      </c>
      <c r="L42" s="109"/>
      <c r="AI42" s="109"/>
      <c r="AS42" s="118">
        <f>SUM(AJ43:AJ45)</f>
        <v>0</v>
      </c>
      <c r="AT42" s="118">
        <f>SUM(AK43:AK45)</f>
        <v>0</v>
      </c>
      <c r="AU42" s="118">
        <f>SUM(AL43:AL45)</f>
        <v>0</v>
      </c>
    </row>
    <row r="43" spans="1:62" x14ac:dyDescent="0.2">
      <c r="A43" s="117" t="s">
        <v>29</v>
      </c>
      <c r="B43" s="117" t="s">
        <v>596</v>
      </c>
      <c r="C43" s="304" t="s">
        <v>1091</v>
      </c>
      <c r="D43" s="305"/>
      <c r="E43" s="305"/>
      <c r="F43" s="117" t="s">
        <v>1645</v>
      </c>
      <c r="G43" s="116">
        <v>101.10899999999999</v>
      </c>
      <c r="H43" s="159"/>
      <c r="I43" s="108">
        <f>G43*AO43</f>
        <v>0</v>
      </c>
      <c r="J43" s="108">
        <f>G43*AP43</f>
        <v>0</v>
      </c>
      <c r="K43" s="108">
        <f>G43*H43</f>
        <v>0</v>
      </c>
      <c r="L43" s="111" t="s">
        <v>1671</v>
      </c>
      <c r="Z43" s="100">
        <f>IF(AQ43="5",BJ43,0)</f>
        <v>0</v>
      </c>
      <c r="AB43" s="100">
        <f>IF(AQ43="1",BH43,0)</f>
        <v>0</v>
      </c>
      <c r="AC43" s="100">
        <f>IF(AQ43="1",BI43,0)</f>
        <v>0</v>
      </c>
      <c r="AD43" s="100">
        <f>IF(AQ43="7",BH43,0)</f>
        <v>0</v>
      </c>
      <c r="AE43" s="100">
        <f>IF(AQ43="7",BI43,0)</f>
        <v>0</v>
      </c>
      <c r="AF43" s="100">
        <f>IF(AQ43="2",BH43,0)</f>
        <v>0</v>
      </c>
      <c r="AG43" s="100">
        <f>IF(AQ43="2",BI43,0)</f>
        <v>0</v>
      </c>
      <c r="AH43" s="100">
        <f>IF(AQ43="0",BJ43,0)</f>
        <v>0</v>
      </c>
      <c r="AI43" s="109"/>
      <c r="AJ43" s="108">
        <f>IF(AN43=0,K43,0)</f>
        <v>0</v>
      </c>
      <c r="AK43" s="108">
        <f>IF(AN43=15,K43,0)</f>
        <v>0</v>
      </c>
      <c r="AL43" s="108">
        <f>IF(AN43=21,K43,0)</f>
        <v>0</v>
      </c>
      <c r="AN43" s="100">
        <v>15</v>
      </c>
      <c r="AO43" s="100">
        <f>H43*0.863567356518956</f>
        <v>0</v>
      </c>
      <c r="AP43" s="100">
        <f>H43*(1-0.863567356518956)</f>
        <v>0</v>
      </c>
      <c r="AQ43" s="111" t="s">
        <v>7</v>
      </c>
      <c r="AV43" s="100">
        <f>AW43+AX43</f>
        <v>0</v>
      </c>
      <c r="AW43" s="100">
        <f>G43*AO43</f>
        <v>0</v>
      </c>
      <c r="AX43" s="100">
        <f>G43*AP43</f>
        <v>0</v>
      </c>
      <c r="AY43" s="110" t="s">
        <v>1690</v>
      </c>
      <c r="AZ43" s="110" t="s">
        <v>1727</v>
      </c>
      <c r="BA43" s="109" t="s">
        <v>1737</v>
      </c>
      <c r="BC43" s="100">
        <f>AW43+AX43</f>
        <v>0</v>
      </c>
      <c r="BD43" s="100">
        <f>H43/(100-BE43)*100</f>
        <v>0</v>
      </c>
      <c r="BE43" s="100">
        <v>0</v>
      </c>
      <c r="BF43" s="100">
        <f>43</f>
        <v>43</v>
      </c>
      <c r="BH43" s="108">
        <f>G43*AO43</f>
        <v>0</v>
      </c>
      <c r="BI43" s="108">
        <f>G43*AP43</f>
        <v>0</v>
      </c>
      <c r="BJ43" s="108">
        <f>G43*H43</f>
        <v>0</v>
      </c>
    </row>
    <row r="44" spans="1:62" x14ac:dyDescent="0.2">
      <c r="A44" s="117" t="s">
        <v>30</v>
      </c>
      <c r="B44" s="117" t="s">
        <v>597</v>
      </c>
      <c r="C44" s="304" t="s">
        <v>1092</v>
      </c>
      <c r="D44" s="305"/>
      <c r="E44" s="305"/>
      <c r="F44" s="117" t="s">
        <v>1645</v>
      </c>
      <c r="G44" s="116">
        <v>101.10899999999999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H44*0.764047492834761</f>
        <v>0</v>
      </c>
      <c r="AP44" s="100">
        <f>H44*(1-0.764047492834761)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1690</v>
      </c>
      <c r="AZ44" s="110" t="s">
        <v>1727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7" t="s">
        <v>31</v>
      </c>
      <c r="B45" s="117" t="s">
        <v>598</v>
      </c>
      <c r="C45" s="304" t="s">
        <v>1093</v>
      </c>
      <c r="D45" s="305"/>
      <c r="E45" s="305"/>
      <c r="F45" s="117" t="s">
        <v>1645</v>
      </c>
      <c r="G45" s="116">
        <v>101.10899999999999</v>
      </c>
      <c r="H45" s="159"/>
      <c r="I45" s="108">
        <f>G45*AO45</f>
        <v>0</v>
      </c>
      <c r="J45" s="108">
        <f>G45*AP45</f>
        <v>0</v>
      </c>
      <c r="K45" s="108">
        <f>G45*H45</f>
        <v>0</v>
      </c>
      <c r="L45" s="111" t="s">
        <v>1671</v>
      </c>
      <c r="Z45" s="100">
        <f>IF(AQ45="5",BJ45,0)</f>
        <v>0</v>
      </c>
      <c r="AB45" s="100">
        <f>IF(AQ45="1",BH45,0)</f>
        <v>0</v>
      </c>
      <c r="AC45" s="100">
        <f>IF(AQ45="1",BI45,0)</f>
        <v>0</v>
      </c>
      <c r="AD45" s="100">
        <f>IF(AQ45="7",BH45,0)</f>
        <v>0</v>
      </c>
      <c r="AE45" s="100">
        <f>IF(AQ45="7",BI45,0)</f>
        <v>0</v>
      </c>
      <c r="AF45" s="100">
        <f>IF(AQ45="2",BH45,0)</f>
        <v>0</v>
      </c>
      <c r="AG45" s="100">
        <f>IF(AQ45="2",BI45,0)</f>
        <v>0</v>
      </c>
      <c r="AH45" s="100">
        <f>IF(AQ45="0",BJ45,0)</f>
        <v>0</v>
      </c>
      <c r="AI45" s="109"/>
      <c r="AJ45" s="108">
        <f>IF(AN45=0,K45,0)</f>
        <v>0</v>
      </c>
      <c r="AK45" s="108">
        <f>IF(AN45=15,K45,0)</f>
        <v>0</v>
      </c>
      <c r="AL45" s="108">
        <f>IF(AN45=21,K45,0)</f>
        <v>0</v>
      </c>
      <c r="AN45" s="100">
        <v>15</v>
      </c>
      <c r="AO45" s="100">
        <f>H45*0</f>
        <v>0</v>
      </c>
      <c r="AP45" s="100">
        <f>H45*(1-0)</f>
        <v>0</v>
      </c>
      <c r="AQ45" s="111" t="s">
        <v>7</v>
      </c>
      <c r="AV45" s="100">
        <f>AW45+AX45</f>
        <v>0</v>
      </c>
      <c r="AW45" s="100">
        <f>G45*AO45</f>
        <v>0</v>
      </c>
      <c r="AX45" s="100">
        <f>G45*AP45</f>
        <v>0</v>
      </c>
      <c r="AY45" s="110" t="s">
        <v>1690</v>
      </c>
      <c r="AZ45" s="110" t="s">
        <v>1727</v>
      </c>
      <c r="BA45" s="109" t="s">
        <v>1737</v>
      </c>
      <c r="BC45" s="100">
        <f>AW45+AX45</f>
        <v>0</v>
      </c>
      <c r="BD45" s="100">
        <f>H45/(100-BE45)*100</f>
        <v>0</v>
      </c>
      <c r="BE45" s="100">
        <v>0</v>
      </c>
      <c r="BF45" s="100">
        <f>45</f>
        <v>45</v>
      </c>
      <c r="BH45" s="108">
        <f>G45*AO45</f>
        <v>0</v>
      </c>
      <c r="BI45" s="108">
        <f>G45*AP45</f>
        <v>0</v>
      </c>
      <c r="BJ45" s="108">
        <f>G45*H45</f>
        <v>0</v>
      </c>
    </row>
    <row r="46" spans="1:62" x14ac:dyDescent="0.2">
      <c r="A46" s="119"/>
      <c r="B46" s="120" t="s">
        <v>64</v>
      </c>
      <c r="C46" s="306" t="s">
        <v>2230</v>
      </c>
      <c r="D46" s="307"/>
      <c r="E46" s="307"/>
      <c r="F46" s="119" t="s">
        <v>6</v>
      </c>
      <c r="G46" s="119" t="s">
        <v>6</v>
      </c>
      <c r="H46" s="119" t="s">
        <v>6</v>
      </c>
      <c r="I46" s="118">
        <f>SUM(I47:I47)</f>
        <v>0</v>
      </c>
      <c r="J46" s="118">
        <f>SUM(J47:J47)</f>
        <v>0</v>
      </c>
      <c r="K46" s="118">
        <f>SUM(K47:K47)</f>
        <v>0</v>
      </c>
      <c r="L46" s="109"/>
      <c r="AI46" s="109"/>
      <c r="AS46" s="118">
        <f>SUM(AJ47:AJ47)</f>
        <v>0</v>
      </c>
      <c r="AT46" s="118">
        <f>SUM(AK47:AK47)</f>
        <v>0</v>
      </c>
      <c r="AU46" s="118">
        <f>SUM(AL47:AL47)</f>
        <v>0</v>
      </c>
    </row>
    <row r="47" spans="1:62" x14ac:dyDescent="0.2">
      <c r="A47" s="117" t="s">
        <v>32</v>
      </c>
      <c r="B47" s="117" t="s">
        <v>2509</v>
      </c>
      <c r="C47" s="304" t="s">
        <v>2508</v>
      </c>
      <c r="D47" s="305"/>
      <c r="E47" s="305"/>
      <c r="F47" s="117" t="s">
        <v>1645</v>
      </c>
      <c r="G47" s="116">
        <v>4.62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H47*0.859110761123058</f>
        <v>0</v>
      </c>
      <c r="AP47" s="100">
        <f>H47*(1-0.859110761123058)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2507</v>
      </c>
      <c r="AZ47" s="110" t="s">
        <v>1727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9"/>
      <c r="B48" s="120" t="s">
        <v>65</v>
      </c>
      <c r="C48" s="306" t="s">
        <v>1094</v>
      </c>
      <c r="D48" s="307"/>
      <c r="E48" s="307"/>
      <c r="F48" s="119" t="s">
        <v>6</v>
      </c>
      <c r="G48" s="119" t="s">
        <v>6</v>
      </c>
      <c r="H48" s="119" t="s">
        <v>6</v>
      </c>
      <c r="I48" s="118">
        <f>SUM(I49:I51)</f>
        <v>0</v>
      </c>
      <c r="J48" s="118">
        <f>SUM(J49:J51)</f>
        <v>0</v>
      </c>
      <c r="K48" s="118">
        <f>SUM(K49:K51)</f>
        <v>0</v>
      </c>
      <c r="L48" s="109"/>
      <c r="AI48" s="109"/>
      <c r="AS48" s="118">
        <f>SUM(AJ49:AJ51)</f>
        <v>0</v>
      </c>
      <c r="AT48" s="118">
        <f>SUM(AK49:AK51)</f>
        <v>0</v>
      </c>
      <c r="AU48" s="118">
        <f>SUM(AL49:AL51)</f>
        <v>0</v>
      </c>
    </row>
    <row r="49" spans="1:62" x14ac:dyDescent="0.2">
      <c r="A49" s="117" t="s">
        <v>33</v>
      </c>
      <c r="B49" s="117" t="s">
        <v>599</v>
      </c>
      <c r="C49" s="304" t="s">
        <v>1095</v>
      </c>
      <c r="D49" s="305"/>
      <c r="E49" s="305"/>
      <c r="F49" s="117" t="s">
        <v>1645</v>
      </c>
      <c r="G49" s="116">
        <v>15.34</v>
      </c>
      <c r="H49" s="159"/>
      <c r="I49" s="108">
        <f>G49*AO49</f>
        <v>0</v>
      </c>
      <c r="J49" s="108">
        <f>G49*AP49</f>
        <v>0</v>
      </c>
      <c r="K49" s="108">
        <f>G49*H49</f>
        <v>0</v>
      </c>
      <c r="L49" s="111" t="s">
        <v>1671</v>
      </c>
      <c r="Z49" s="100">
        <f>IF(AQ49="5",BJ49,0)</f>
        <v>0</v>
      </c>
      <c r="AB49" s="100">
        <f>IF(AQ49="1",BH49,0)</f>
        <v>0</v>
      </c>
      <c r="AC49" s="100">
        <f>IF(AQ49="1",BI49,0)</f>
        <v>0</v>
      </c>
      <c r="AD49" s="100">
        <f>IF(AQ49="7",BH49,0)</f>
        <v>0</v>
      </c>
      <c r="AE49" s="100">
        <f>IF(AQ49="7",BI49,0)</f>
        <v>0</v>
      </c>
      <c r="AF49" s="100">
        <f>IF(AQ49="2",BH49,0)</f>
        <v>0</v>
      </c>
      <c r="AG49" s="100">
        <f>IF(AQ49="2",BI49,0)</f>
        <v>0</v>
      </c>
      <c r="AH49" s="100">
        <f>IF(AQ49="0",BJ49,0)</f>
        <v>0</v>
      </c>
      <c r="AI49" s="109"/>
      <c r="AJ49" s="108">
        <f>IF(AN49=0,K49,0)</f>
        <v>0</v>
      </c>
      <c r="AK49" s="108">
        <f>IF(AN49=15,K49,0)</f>
        <v>0</v>
      </c>
      <c r="AL49" s="108">
        <f>IF(AN49=21,K49,0)</f>
        <v>0</v>
      </c>
      <c r="AN49" s="100">
        <v>15</v>
      </c>
      <c r="AO49" s="100">
        <f>H49*0.51</f>
        <v>0</v>
      </c>
      <c r="AP49" s="100">
        <f>H49*(1-0.51)</f>
        <v>0</v>
      </c>
      <c r="AQ49" s="111" t="s">
        <v>7</v>
      </c>
      <c r="AV49" s="100">
        <f>AW49+AX49</f>
        <v>0</v>
      </c>
      <c r="AW49" s="100">
        <f>G49*AO49</f>
        <v>0</v>
      </c>
      <c r="AX49" s="100">
        <f>G49*AP49</f>
        <v>0</v>
      </c>
      <c r="AY49" s="110" t="s">
        <v>1691</v>
      </c>
      <c r="AZ49" s="110" t="s">
        <v>1727</v>
      </c>
      <c r="BA49" s="109" t="s">
        <v>1737</v>
      </c>
      <c r="BC49" s="100">
        <f>AW49+AX49</f>
        <v>0</v>
      </c>
      <c r="BD49" s="100">
        <f>H49/(100-BE49)*100</f>
        <v>0</v>
      </c>
      <c r="BE49" s="100">
        <v>0</v>
      </c>
      <c r="BF49" s="100">
        <f>49</f>
        <v>49</v>
      </c>
      <c r="BH49" s="108">
        <f>G49*AO49</f>
        <v>0</v>
      </c>
      <c r="BI49" s="108">
        <f>G49*AP49</f>
        <v>0</v>
      </c>
      <c r="BJ49" s="108">
        <f>G49*H49</f>
        <v>0</v>
      </c>
    </row>
    <row r="50" spans="1:62" x14ac:dyDescent="0.2">
      <c r="A50" s="117" t="s">
        <v>34</v>
      </c>
      <c r="B50" s="117" t="s">
        <v>2865</v>
      </c>
      <c r="C50" s="304" t="s">
        <v>2864</v>
      </c>
      <c r="D50" s="305"/>
      <c r="E50" s="305"/>
      <c r="F50" s="117" t="s">
        <v>1645</v>
      </c>
      <c r="G50" s="116">
        <v>6.2130000000000001</v>
      </c>
      <c r="H50" s="159"/>
      <c r="I50" s="108">
        <f>G50*AO50</f>
        <v>0</v>
      </c>
      <c r="J50" s="108">
        <f>G50*AP50</f>
        <v>0</v>
      </c>
      <c r="K50" s="108">
        <f>G50*H50</f>
        <v>0</v>
      </c>
      <c r="L50" s="111" t="s">
        <v>1671</v>
      </c>
      <c r="Z50" s="100">
        <f>IF(AQ50="5",BJ50,0)</f>
        <v>0</v>
      </c>
      <c r="AB50" s="100">
        <f>IF(AQ50="1",BH50,0)</f>
        <v>0</v>
      </c>
      <c r="AC50" s="100">
        <f>IF(AQ50="1",BI50,0)</f>
        <v>0</v>
      </c>
      <c r="AD50" s="100">
        <f>IF(AQ50="7",BH50,0)</f>
        <v>0</v>
      </c>
      <c r="AE50" s="100">
        <f>IF(AQ50="7",BI50,0)</f>
        <v>0</v>
      </c>
      <c r="AF50" s="100">
        <f>IF(AQ50="2",BH50,0)</f>
        <v>0</v>
      </c>
      <c r="AG50" s="100">
        <f>IF(AQ50="2",BI50,0)</f>
        <v>0</v>
      </c>
      <c r="AH50" s="100">
        <f>IF(AQ50="0",BJ50,0)</f>
        <v>0</v>
      </c>
      <c r="AI50" s="109"/>
      <c r="AJ50" s="108">
        <f>IF(AN50=0,K50,0)</f>
        <v>0</v>
      </c>
      <c r="AK50" s="108">
        <f>IF(AN50=15,K50,0)</f>
        <v>0</v>
      </c>
      <c r="AL50" s="108">
        <f>IF(AN50=21,K50,0)</f>
        <v>0</v>
      </c>
      <c r="AN50" s="100">
        <v>15</v>
      </c>
      <c r="AO50" s="100">
        <f>H50*0.48683752754204</f>
        <v>0</v>
      </c>
      <c r="AP50" s="100">
        <f>H50*(1-0.48683752754204)</f>
        <v>0</v>
      </c>
      <c r="AQ50" s="111" t="s">
        <v>7</v>
      </c>
      <c r="AV50" s="100">
        <f>AW50+AX50</f>
        <v>0</v>
      </c>
      <c r="AW50" s="100">
        <f>G50*AO50</f>
        <v>0</v>
      </c>
      <c r="AX50" s="100">
        <f>G50*AP50</f>
        <v>0</v>
      </c>
      <c r="AY50" s="110" t="s">
        <v>1691</v>
      </c>
      <c r="AZ50" s="110" t="s">
        <v>1727</v>
      </c>
      <c r="BA50" s="109" t="s">
        <v>1737</v>
      </c>
      <c r="BC50" s="100">
        <f>AW50+AX50</f>
        <v>0</v>
      </c>
      <c r="BD50" s="100">
        <f>H50/(100-BE50)*100</f>
        <v>0</v>
      </c>
      <c r="BE50" s="100">
        <v>0</v>
      </c>
      <c r="BF50" s="100">
        <f>50</f>
        <v>50</v>
      </c>
      <c r="BH50" s="108">
        <f>G50*AO50</f>
        <v>0</v>
      </c>
      <c r="BI50" s="108">
        <f>G50*AP50</f>
        <v>0</v>
      </c>
      <c r="BJ50" s="108">
        <f>G50*H50</f>
        <v>0</v>
      </c>
    </row>
    <row r="51" spans="1:62" x14ac:dyDescent="0.2">
      <c r="A51" s="117" t="s">
        <v>35</v>
      </c>
      <c r="B51" s="117" t="s">
        <v>600</v>
      </c>
      <c r="C51" s="304" t="s">
        <v>1096</v>
      </c>
      <c r="D51" s="305"/>
      <c r="E51" s="305"/>
      <c r="F51" s="117" t="s">
        <v>1645</v>
      </c>
      <c r="G51" s="116">
        <v>101.10899999999999</v>
      </c>
      <c r="H51" s="159"/>
      <c r="I51" s="108">
        <f>G51*AO51</f>
        <v>0</v>
      </c>
      <c r="J51" s="108">
        <f>G51*AP51</f>
        <v>0</v>
      </c>
      <c r="K51" s="108">
        <f>G51*H51</f>
        <v>0</v>
      </c>
      <c r="L51" s="111" t="s">
        <v>1671</v>
      </c>
      <c r="Z51" s="100">
        <f>IF(AQ51="5",BJ51,0)</f>
        <v>0</v>
      </c>
      <c r="AB51" s="100">
        <f>IF(AQ51="1",BH51,0)</f>
        <v>0</v>
      </c>
      <c r="AC51" s="100">
        <f>IF(AQ51="1",BI51,0)</f>
        <v>0</v>
      </c>
      <c r="AD51" s="100">
        <f>IF(AQ51="7",BH51,0)</f>
        <v>0</v>
      </c>
      <c r="AE51" s="100">
        <f>IF(AQ51="7",BI51,0)</f>
        <v>0</v>
      </c>
      <c r="AF51" s="100">
        <f>IF(AQ51="2",BH51,0)</f>
        <v>0</v>
      </c>
      <c r="AG51" s="100">
        <f>IF(AQ51="2",BI51,0)</f>
        <v>0</v>
      </c>
      <c r="AH51" s="100">
        <f>IF(AQ51="0",BJ51,0)</f>
        <v>0</v>
      </c>
      <c r="AI51" s="109"/>
      <c r="AJ51" s="108">
        <f>IF(AN51=0,K51,0)</f>
        <v>0</v>
      </c>
      <c r="AK51" s="108">
        <f>IF(AN51=15,K51,0)</f>
        <v>0</v>
      </c>
      <c r="AL51" s="108">
        <f>IF(AN51=21,K51,0)</f>
        <v>0</v>
      </c>
      <c r="AN51" s="100">
        <v>15</v>
      </c>
      <c r="AO51" s="100">
        <f>H51*0.763125645124792</f>
        <v>0</v>
      </c>
      <c r="AP51" s="100">
        <f>H51*(1-0.763125645124792)</f>
        <v>0</v>
      </c>
      <c r="AQ51" s="111" t="s">
        <v>7</v>
      </c>
      <c r="AV51" s="100">
        <f>AW51+AX51</f>
        <v>0</v>
      </c>
      <c r="AW51" s="100">
        <f>G51*AO51</f>
        <v>0</v>
      </c>
      <c r="AX51" s="100">
        <f>G51*AP51</f>
        <v>0</v>
      </c>
      <c r="AY51" s="110" t="s">
        <v>1691</v>
      </c>
      <c r="AZ51" s="110" t="s">
        <v>1727</v>
      </c>
      <c r="BA51" s="109" t="s">
        <v>1737</v>
      </c>
      <c r="BC51" s="100">
        <f>AW51+AX51</f>
        <v>0</v>
      </c>
      <c r="BD51" s="100">
        <f>H51/(100-BE51)*100</f>
        <v>0</v>
      </c>
      <c r="BE51" s="100">
        <v>0</v>
      </c>
      <c r="BF51" s="100">
        <f>51</f>
        <v>51</v>
      </c>
      <c r="BH51" s="108">
        <f>G51*AO51</f>
        <v>0</v>
      </c>
      <c r="BI51" s="108">
        <f>G51*AP51</f>
        <v>0</v>
      </c>
      <c r="BJ51" s="108">
        <f>G51*H51</f>
        <v>0</v>
      </c>
    </row>
    <row r="52" spans="1:62" x14ac:dyDescent="0.2">
      <c r="A52" s="119"/>
      <c r="B52" s="120" t="s">
        <v>67</v>
      </c>
      <c r="C52" s="306" t="s">
        <v>1097</v>
      </c>
      <c r="D52" s="307"/>
      <c r="E52" s="307"/>
      <c r="F52" s="119" t="s">
        <v>6</v>
      </c>
      <c r="G52" s="119" t="s">
        <v>6</v>
      </c>
      <c r="H52" s="119" t="s">
        <v>6</v>
      </c>
      <c r="I52" s="118">
        <f>SUM(I53:I60)</f>
        <v>0</v>
      </c>
      <c r="J52" s="118">
        <f>SUM(J53:J60)</f>
        <v>0</v>
      </c>
      <c r="K52" s="118">
        <f>SUM(K53:K60)</f>
        <v>0</v>
      </c>
      <c r="L52" s="109"/>
      <c r="AI52" s="109"/>
      <c r="AS52" s="118">
        <f>SUM(AJ53:AJ60)</f>
        <v>0</v>
      </c>
      <c r="AT52" s="118">
        <f>SUM(AK53:AK60)</f>
        <v>0</v>
      </c>
      <c r="AU52" s="118">
        <f>SUM(AL53:AL60)</f>
        <v>0</v>
      </c>
    </row>
    <row r="53" spans="1:62" x14ac:dyDescent="0.2">
      <c r="A53" s="117" t="s">
        <v>36</v>
      </c>
      <c r="B53" s="117" t="s">
        <v>601</v>
      </c>
      <c r="C53" s="304" t="s">
        <v>1098</v>
      </c>
      <c r="D53" s="305"/>
      <c r="E53" s="305"/>
      <c r="F53" s="117" t="s">
        <v>1645</v>
      </c>
      <c r="G53" s="116">
        <v>31.725999999999999</v>
      </c>
      <c r="H53" s="159"/>
      <c r="I53" s="108">
        <f t="shared" ref="I53:I60" si="0">G53*AO53</f>
        <v>0</v>
      </c>
      <c r="J53" s="108">
        <f t="shared" ref="J53:J60" si="1">G53*AP53</f>
        <v>0</v>
      </c>
      <c r="K53" s="108">
        <f t="shared" ref="K53:K60" si="2">G53*H53</f>
        <v>0</v>
      </c>
      <c r="L53" s="111" t="s">
        <v>1671</v>
      </c>
      <c r="Z53" s="100">
        <f t="shared" ref="Z53:Z60" si="3">IF(AQ53="5",BJ53,0)</f>
        <v>0</v>
      </c>
      <c r="AB53" s="100">
        <f t="shared" ref="AB53:AB60" si="4">IF(AQ53="1",BH53,0)</f>
        <v>0</v>
      </c>
      <c r="AC53" s="100">
        <f t="shared" ref="AC53:AC60" si="5">IF(AQ53="1",BI53,0)</f>
        <v>0</v>
      </c>
      <c r="AD53" s="100">
        <f t="shared" ref="AD53:AD60" si="6">IF(AQ53="7",BH53,0)</f>
        <v>0</v>
      </c>
      <c r="AE53" s="100">
        <f t="shared" ref="AE53:AE60" si="7">IF(AQ53="7",BI53,0)</f>
        <v>0</v>
      </c>
      <c r="AF53" s="100">
        <f t="shared" ref="AF53:AF60" si="8">IF(AQ53="2",BH53,0)</f>
        <v>0</v>
      </c>
      <c r="AG53" s="100">
        <f t="shared" ref="AG53:AG60" si="9">IF(AQ53="2",BI53,0)</f>
        <v>0</v>
      </c>
      <c r="AH53" s="100">
        <f t="shared" ref="AH53:AH60" si="10">IF(AQ53="0",BJ53,0)</f>
        <v>0</v>
      </c>
      <c r="AI53" s="109"/>
      <c r="AJ53" s="108">
        <f t="shared" ref="AJ53:AJ60" si="11">IF(AN53=0,K53,0)</f>
        <v>0</v>
      </c>
      <c r="AK53" s="108">
        <f t="shared" ref="AK53:AK60" si="12">IF(AN53=15,K53,0)</f>
        <v>0</v>
      </c>
      <c r="AL53" s="108">
        <f t="shared" ref="AL53:AL60" si="13">IF(AN53=21,K53,0)</f>
        <v>0</v>
      </c>
      <c r="AN53" s="100">
        <v>15</v>
      </c>
      <c r="AO53" s="100">
        <f>H53*0.137604543151495</f>
        <v>0</v>
      </c>
      <c r="AP53" s="100">
        <f>H53*(1-0.137604543151495)</f>
        <v>0</v>
      </c>
      <c r="AQ53" s="111" t="s">
        <v>7</v>
      </c>
      <c r="AV53" s="100">
        <f t="shared" ref="AV53:AV60" si="14">AW53+AX53</f>
        <v>0</v>
      </c>
      <c r="AW53" s="100">
        <f t="shared" ref="AW53:AW60" si="15">G53*AO53</f>
        <v>0</v>
      </c>
      <c r="AX53" s="100">
        <f t="shared" ref="AX53:AX60" si="16">G53*AP53</f>
        <v>0</v>
      </c>
      <c r="AY53" s="110" t="s">
        <v>1692</v>
      </c>
      <c r="AZ53" s="110" t="s">
        <v>1728</v>
      </c>
      <c r="BA53" s="109" t="s">
        <v>1737</v>
      </c>
      <c r="BC53" s="100">
        <f t="shared" ref="BC53:BC60" si="17">AW53+AX53</f>
        <v>0</v>
      </c>
      <c r="BD53" s="100">
        <f t="shared" ref="BD53:BD60" si="18">H53/(100-BE53)*100</f>
        <v>0</v>
      </c>
      <c r="BE53" s="100">
        <v>0</v>
      </c>
      <c r="BF53" s="100">
        <f>53</f>
        <v>53</v>
      </c>
      <c r="BH53" s="108">
        <f t="shared" ref="BH53:BH60" si="19">G53*AO53</f>
        <v>0</v>
      </c>
      <c r="BI53" s="108">
        <f t="shared" ref="BI53:BI60" si="20">G53*AP53</f>
        <v>0</v>
      </c>
      <c r="BJ53" s="108">
        <f t="shared" ref="BJ53:BJ60" si="21">G53*H53</f>
        <v>0</v>
      </c>
    </row>
    <row r="54" spans="1:62" x14ac:dyDescent="0.2">
      <c r="A54" s="117" t="s">
        <v>37</v>
      </c>
      <c r="B54" s="117" t="s">
        <v>602</v>
      </c>
      <c r="C54" s="304" t="s">
        <v>1099</v>
      </c>
      <c r="D54" s="305"/>
      <c r="E54" s="305"/>
      <c r="F54" s="117" t="s">
        <v>1645</v>
      </c>
      <c r="G54" s="116">
        <v>1.1879999999999999</v>
      </c>
      <c r="H54" s="162"/>
      <c r="I54" s="108">
        <f t="shared" si="0"/>
        <v>0</v>
      </c>
      <c r="J54" s="108">
        <f t="shared" si="1"/>
        <v>0</v>
      </c>
      <c r="K54" s="108">
        <f t="shared" si="2"/>
        <v>0</v>
      </c>
      <c r="L54" s="111" t="s">
        <v>1671</v>
      </c>
      <c r="Z54" s="100">
        <f t="shared" si="3"/>
        <v>0</v>
      </c>
      <c r="AB54" s="100">
        <f t="shared" si="4"/>
        <v>0</v>
      </c>
      <c r="AC54" s="100">
        <f t="shared" si="5"/>
        <v>0</v>
      </c>
      <c r="AD54" s="100">
        <f t="shared" si="6"/>
        <v>0</v>
      </c>
      <c r="AE54" s="100">
        <f t="shared" si="7"/>
        <v>0</v>
      </c>
      <c r="AF54" s="100">
        <f t="shared" si="8"/>
        <v>0</v>
      </c>
      <c r="AG54" s="100">
        <f t="shared" si="9"/>
        <v>0</v>
      </c>
      <c r="AH54" s="100">
        <f t="shared" si="10"/>
        <v>0</v>
      </c>
      <c r="AI54" s="109"/>
      <c r="AJ54" s="108">
        <f t="shared" si="11"/>
        <v>0</v>
      </c>
      <c r="AK54" s="108">
        <f t="shared" si="12"/>
        <v>0</v>
      </c>
      <c r="AL54" s="108">
        <f t="shared" si="13"/>
        <v>0</v>
      </c>
      <c r="AN54" s="100">
        <v>15</v>
      </c>
      <c r="AO54" s="100">
        <f>H54*0.194001048379637</f>
        <v>0</v>
      </c>
      <c r="AP54" s="100">
        <f>H54*(1-0.194001048379637)</f>
        <v>0</v>
      </c>
      <c r="AQ54" s="111" t="s">
        <v>7</v>
      </c>
      <c r="AV54" s="100">
        <f t="shared" si="14"/>
        <v>0</v>
      </c>
      <c r="AW54" s="100">
        <f t="shared" si="15"/>
        <v>0</v>
      </c>
      <c r="AX54" s="100">
        <f t="shared" si="16"/>
        <v>0</v>
      </c>
      <c r="AY54" s="110" t="s">
        <v>1692</v>
      </c>
      <c r="AZ54" s="110" t="s">
        <v>1728</v>
      </c>
      <c r="BA54" s="109" t="s">
        <v>1737</v>
      </c>
      <c r="BC54" s="100">
        <f t="shared" si="17"/>
        <v>0</v>
      </c>
      <c r="BD54" s="100">
        <f t="shared" si="18"/>
        <v>0</v>
      </c>
      <c r="BE54" s="100">
        <v>0</v>
      </c>
      <c r="BF54" s="100">
        <f>54</f>
        <v>54</v>
      </c>
      <c r="BH54" s="108">
        <f t="shared" si="19"/>
        <v>0</v>
      </c>
      <c r="BI54" s="108">
        <f t="shared" si="20"/>
        <v>0</v>
      </c>
      <c r="BJ54" s="108">
        <f t="shared" si="21"/>
        <v>0</v>
      </c>
    </row>
    <row r="55" spans="1:62" x14ac:dyDescent="0.2">
      <c r="A55" s="117" t="s">
        <v>38</v>
      </c>
      <c r="B55" s="117" t="s">
        <v>603</v>
      </c>
      <c r="C55" s="304" t="s">
        <v>1100</v>
      </c>
      <c r="D55" s="305"/>
      <c r="E55" s="305"/>
      <c r="F55" s="117" t="s">
        <v>1645</v>
      </c>
      <c r="G55" s="116">
        <v>1.1879999999999999</v>
      </c>
      <c r="H55" s="159"/>
      <c r="I55" s="108">
        <f t="shared" si="0"/>
        <v>0</v>
      </c>
      <c r="J55" s="108">
        <f t="shared" si="1"/>
        <v>0</v>
      </c>
      <c r="K55" s="108">
        <f t="shared" si="2"/>
        <v>0</v>
      </c>
      <c r="L55" s="111" t="s">
        <v>1671</v>
      </c>
      <c r="Z55" s="100">
        <f t="shared" si="3"/>
        <v>0</v>
      </c>
      <c r="AB55" s="100">
        <f t="shared" si="4"/>
        <v>0</v>
      </c>
      <c r="AC55" s="100">
        <f t="shared" si="5"/>
        <v>0</v>
      </c>
      <c r="AD55" s="100">
        <f t="shared" si="6"/>
        <v>0</v>
      </c>
      <c r="AE55" s="100">
        <f t="shared" si="7"/>
        <v>0</v>
      </c>
      <c r="AF55" s="100">
        <f t="shared" si="8"/>
        <v>0</v>
      </c>
      <c r="AG55" s="100">
        <f t="shared" si="9"/>
        <v>0</v>
      </c>
      <c r="AH55" s="100">
        <f t="shared" si="10"/>
        <v>0</v>
      </c>
      <c r="AI55" s="109"/>
      <c r="AJ55" s="108">
        <f t="shared" si="11"/>
        <v>0</v>
      </c>
      <c r="AK55" s="108">
        <f t="shared" si="12"/>
        <v>0</v>
      </c>
      <c r="AL55" s="108">
        <f t="shared" si="13"/>
        <v>0</v>
      </c>
      <c r="AN55" s="100">
        <v>15</v>
      </c>
      <c r="AO55" s="100">
        <f>H55*0.0969451693597458</f>
        <v>0</v>
      </c>
      <c r="AP55" s="100">
        <f>H55*(1-0.0969451693597458)</f>
        <v>0</v>
      </c>
      <c r="AQ55" s="111" t="s">
        <v>7</v>
      </c>
      <c r="AV55" s="100">
        <f t="shared" si="14"/>
        <v>0</v>
      </c>
      <c r="AW55" s="100">
        <f t="shared" si="15"/>
        <v>0</v>
      </c>
      <c r="AX55" s="100">
        <f t="shared" si="16"/>
        <v>0</v>
      </c>
      <c r="AY55" s="110" t="s">
        <v>1692</v>
      </c>
      <c r="AZ55" s="110" t="s">
        <v>1728</v>
      </c>
      <c r="BA55" s="109" t="s">
        <v>1737</v>
      </c>
      <c r="BC55" s="100">
        <f t="shared" si="17"/>
        <v>0</v>
      </c>
      <c r="BD55" s="100">
        <f t="shared" si="18"/>
        <v>0</v>
      </c>
      <c r="BE55" s="100">
        <v>0</v>
      </c>
      <c r="BF55" s="100">
        <f>55</f>
        <v>55</v>
      </c>
      <c r="BH55" s="108">
        <f t="shared" si="19"/>
        <v>0</v>
      </c>
      <c r="BI55" s="108">
        <f t="shared" si="20"/>
        <v>0</v>
      </c>
      <c r="BJ55" s="108">
        <f t="shared" si="21"/>
        <v>0</v>
      </c>
    </row>
    <row r="56" spans="1:62" x14ac:dyDescent="0.2">
      <c r="A56" s="117" t="s">
        <v>39</v>
      </c>
      <c r="B56" s="117" t="s">
        <v>604</v>
      </c>
      <c r="C56" s="304" t="s">
        <v>1101</v>
      </c>
      <c r="D56" s="305"/>
      <c r="E56" s="305"/>
      <c r="F56" s="117" t="s">
        <v>1645</v>
      </c>
      <c r="G56" s="116">
        <v>44.162999999999997</v>
      </c>
      <c r="H56" s="159"/>
      <c r="I56" s="108">
        <f t="shared" si="0"/>
        <v>0</v>
      </c>
      <c r="J56" s="108">
        <f t="shared" si="1"/>
        <v>0</v>
      </c>
      <c r="K56" s="108">
        <f t="shared" si="2"/>
        <v>0</v>
      </c>
      <c r="L56" s="111" t="s">
        <v>1671</v>
      </c>
      <c r="Z56" s="100">
        <f t="shared" si="3"/>
        <v>0</v>
      </c>
      <c r="AB56" s="100">
        <f t="shared" si="4"/>
        <v>0</v>
      </c>
      <c r="AC56" s="100">
        <f t="shared" si="5"/>
        <v>0</v>
      </c>
      <c r="AD56" s="100">
        <f t="shared" si="6"/>
        <v>0</v>
      </c>
      <c r="AE56" s="100">
        <f t="shared" si="7"/>
        <v>0</v>
      </c>
      <c r="AF56" s="100">
        <f t="shared" si="8"/>
        <v>0</v>
      </c>
      <c r="AG56" s="100">
        <f t="shared" si="9"/>
        <v>0</v>
      </c>
      <c r="AH56" s="100">
        <f t="shared" si="10"/>
        <v>0</v>
      </c>
      <c r="AI56" s="109"/>
      <c r="AJ56" s="108">
        <f t="shared" si="11"/>
        <v>0</v>
      </c>
      <c r="AK56" s="108">
        <f t="shared" si="12"/>
        <v>0</v>
      </c>
      <c r="AL56" s="108">
        <f t="shared" si="13"/>
        <v>0</v>
      </c>
      <c r="AN56" s="100">
        <v>15</v>
      </c>
      <c r="AO56" s="100">
        <f>H56*0.0969230245305253</f>
        <v>0</v>
      </c>
      <c r="AP56" s="100">
        <f>H56*(1-0.0969230245305253)</f>
        <v>0</v>
      </c>
      <c r="AQ56" s="111" t="s">
        <v>7</v>
      </c>
      <c r="AV56" s="100">
        <f t="shared" si="14"/>
        <v>0</v>
      </c>
      <c r="AW56" s="100">
        <f t="shared" si="15"/>
        <v>0</v>
      </c>
      <c r="AX56" s="100">
        <f t="shared" si="16"/>
        <v>0</v>
      </c>
      <c r="AY56" s="110" t="s">
        <v>1692</v>
      </c>
      <c r="AZ56" s="110" t="s">
        <v>1728</v>
      </c>
      <c r="BA56" s="109" t="s">
        <v>1737</v>
      </c>
      <c r="BC56" s="100">
        <f t="shared" si="17"/>
        <v>0</v>
      </c>
      <c r="BD56" s="100">
        <f t="shared" si="18"/>
        <v>0</v>
      </c>
      <c r="BE56" s="100">
        <v>0</v>
      </c>
      <c r="BF56" s="100">
        <f>56</f>
        <v>56</v>
      </c>
      <c r="BH56" s="108">
        <f t="shared" si="19"/>
        <v>0</v>
      </c>
      <c r="BI56" s="108">
        <f t="shared" si="20"/>
        <v>0</v>
      </c>
      <c r="BJ56" s="108">
        <f t="shared" si="21"/>
        <v>0</v>
      </c>
    </row>
    <row r="57" spans="1:62" x14ac:dyDescent="0.2">
      <c r="A57" s="117" t="s">
        <v>40</v>
      </c>
      <c r="B57" s="117" t="s">
        <v>2862</v>
      </c>
      <c r="C57" s="304" t="s">
        <v>2861</v>
      </c>
      <c r="D57" s="305"/>
      <c r="E57" s="305"/>
      <c r="F57" s="117" t="s">
        <v>1646</v>
      </c>
      <c r="G57" s="116">
        <v>8.5500000000000007</v>
      </c>
      <c r="H57" s="159"/>
      <c r="I57" s="108">
        <f t="shared" si="0"/>
        <v>0</v>
      </c>
      <c r="J57" s="108">
        <f t="shared" si="1"/>
        <v>0</v>
      </c>
      <c r="K57" s="108">
        <f t="shared" si="2"/>
        <v>0</v>
      </c>
      <c r="L57" s="111" t="s">
        <v>1671</v>
      </c>
      <c r="Z57" s="100">
        <f t="shared" si="3"/>
        <v>0</v>
      </c>
      <c r="AB57" s="100">
        <f t="shared" si="4"/>
        <v>0</v>
      </c>
      <c r="AC57" s="100">
        <f t="shared" si="5"/>
        <v>0</v>
      </c>
      <c r="AD57" s="100">
        <f t="shared" si="6"/>
        <v>0</v>
      </c>
      <c r="AE57" s="100">
        <f t="shared" si="7"/>
        <v>0</v>
      </c>
      <c r="AF57" s="100">
        <f t="shared" si="8"/>
        <v>0</v>
      </c>
      <c r="AG57" s="100">
        <f t="shared" si="9"/>
        <v>0</v>
      </c>
      <c r="AH57" s="100">
        <f t="shared" si="10"/>
        <v>0</v>
      </c>
      <c r="AI57" s="109"/>
      <c r="AJ57" s="108">
        <f t="shared" si="11"/>
        <v>0</v>
      </c>
      <c r="AK57" s="108">
        <f t="shared" si="12"/>
        <v>0</v>
      </c>
      <c r="AL57" s="108">
        <f t="shared" si="13"/>
        <v>0</v>
      </c>
      <c r="AN57" s="100">
        <v>15</v>
      </c>
      <c r="AO57" s="100">
        <f>H57*0.693027027027027</f>
        <v>0</v>
      </c>
      <c r="AP57" s="100">
        <f>H57*(1-0.693027027027027)</f>
        <v>0</v>
      </c>
      <c r="AQ57" s="111" t="s">
        <v>7</v>
      </c>
      <c r="AV57" s="100">
        <f t="shared" si="14"/>
        <v>0</v>
      </c>
      <c r="AW57" s="100">
        <f t="shared" si="15"/>
        <v>0</v>
      </c>
      <c r="AX57" s="100">
        <f t="shared" si="16"/>
        <v>0</v>
      </c>
      <c r="AY57" s="110" t="s">
        <v>1692</v>
      </c>
      <c r="AZ57" s="110" t="s">
        <v>1728</v>
      </c>
      <c r="BA57" s="109" t="s">
        <v>1737</v>
      </c>
      <c r="BC57" s="100">
        <f t="shared" si="17"/>
        <v>0</v>
      </c>
      <c r="BD57" s="100">
        <f t="shared" si="18"/>
        <v>0</v>
      </c>
      <c r="BE57" s="100">
        <v>0</v>
      </c>
      <c r="BF57" s="100">
        <f>57</f>
        <v>57</v>
      </c>
      <c r="BH57" s="108">
        <f t="shared" si="19"/>
        <v>0</v>
      </c>
      <c r="BI57" s="108">
        <f t="shared" si="20"/>
        <v>0</v>
      </c>
      <c r="BJ57" s="108">
        <f t="shared" si="21"/>
        <v>0</v>
      </c>
    </row>
    <row r="58" spans="1:62" x14ac:dyDescent="0.2">
      <c r="A58" s="117" t="s">
        <v>41</v>
      </c>
      <c r="B58" s="117" t="s">
        <v>605</v>
      </c>
      <c r="C58" s="304" t="s">
        <v>1102</v>
      </c>
      <c r="D58" s="305"/>
      <c r="E58" s="305"/>
      <c r="F58" s="117" t="s">
        <v>1645</v>
      </c>
      <c r="G58" s="116">
        <v>890.52099999999996</v>
      </c>
      <c r="H58" s="159"/>
      <c r="I58" s="108">
        <f t="shared" si="0"/>
        <v>0</v>
      </c>
      <c r="J58" s="108">
        <f t="shared" si="1"/>
        <v>0</v>
      </c>
      <c r="K58" s="108">
        <f t="shared" si="2"/>
        <v>0</v>
      </c>
      <c r="L58" s="111" t="s">
        <v>1671</v>
      </c>
      <c r="Z58" s="100">
        <f t="shared" si="3"/>
        <v>0</v>
      </c>
      <c r="AB58" s="100">
        <f t="shared" si="4"/>
        <v>0</v>
      </c>
      <c r="AC58" s="100">
        <f t="shared" si="5"/>
        <v>0</v>
      </c>
      <c r="AD58" s="100">
        <f t="shared" si="6"/>
        <v>0</v>
      </c>
      <c r="AE58" s="100">
        <f t="shared" si="7"/>
        <v>0</v>
      </c>
      <c r="AF58" s="100">
        <f t="shared" si="8"/>
        <v>0</v>
      </c>
      <c r="AG58" s="100">
        <f t="shared" si="9"/>
        <v>0</v>
      </c>
      <c r="AH58" s="100">
        <f t="shared" si="10"/>
        <v>0</v>
      </c>
      <c r="AI58" s="109"/>
      <c r="AJ58" s="108">
        <f t="shared" si="11"/>
        <v>0</v>
      </c>
      <c r="AK58" s="108">
        <f t="shared" si="12"/>
        <v>0</v>
      </c>
      <c r="AL58" s="108">
        <f t="shared" si="13"/>
        <v>0</v>
      </c>
      <c r="AN58" s="100">
        <v>15</v>
      </c>
      <c r="AO58" s="100">
        <f>H58*0.0912500007018363</f>
        <v>0</v>
      </c>
      <c r="AP58" s="100">
        <f>H58*(1-0.0912500007018363)</f>
        <v>0</v>
      </c>
      <c r="AQ58" s="111" t="s">
        <v>7</v>
      </c>
      <c r="AV58" s="100">
        <f t="shared" si="14"/>
        <v>0</v>
      </c>
      <c r="AW58" s="100">
        <f t="shared" si="15"/>
        <v>0</v>
      </c>
      <c r="AX58" s="100">
        <f t="shared" si="16"/>
        <v>0</v>
      </c>
      <c r="AY58" s="110" t="s">
        <v>1692</v>
      </c>
      <c r="AZ58" s="110" t="s">
        <v>1728</v>
      </c>
      <c r="BA58" s="109" t="s">
        <v>1737</v>
      </c>
      <c r="BC58" s="100">
        <f t="shared" si="17"/>
        <v>0</v>
      </c>
      <c r="BD58" s="100">
        <f t="shared" si="18"/>
        <v>0</v>
      </c>
      <c r="BE58" s="100">
        <v>0</v>
      </c>
      <c r="BF58" s="100">
        <f>58</f>
        <v>58</v>
      </c>
      <c r="BH58" s="108">
        <f t="shared" si="19"/>
        <v>0</v>
      </c>
      <c r="BI58" s="108">
        <f t="shared" si="20"/>
        <v>0</v>
      </c>
      <c r="BJ58" s="108">
        <f t="shared" si="21"/>
        <v>0</v>
      </c>
    </row>
    <row r="59" spans="1:62" x14ac:dyDescent="0.2">
      <c r="A59" s="117" t="s">
        <v>42</v>
      </c>
      <c r="B59" s="117" t="s">
        <v>3739</v>
      </c>
      <c r="C59" s="304" t="s">
        <v>3738</v>
      </c>
      <c r="D59" s="305"/>
      <c r="E59" s="305"/>
      <c r="F59" s="117" t="s">
        <v>1645</v>
      </c>
      <c r="G59" s="116">
        <v>0.432</v>
      </c>
      <c r="H59" s="159"/>
      <c r="I59" s="108">
        <f t="shared" si="0"/>
        <v>0</v>
      </c>
      <c r="J59" s="108">
        <f t="shared" si="1"/>
        <v>0</v>
      </c>
      <c r="K59" s="108">
        <f t="shared" si="2"/>
        <v>0</v>
      </c>
      <c r="L59" s="111" t="s">
        <v>1671</v>
      </c>
      <c r="Z59" s="100">
        <f t="shared" si="3"/>
        <v>0</v>
      </c>
      <c r="AB59" s="100">
        <f t="shared" si="4"/>
        <v>0</v>
      </c>
      <c r="AC59" s="100">
        <f t="shared" si="5"/>
        <v>0</v>
      </c>
      <c r="AD59" s="100">
        <f t="shared" si="6"/>
        <v>0</v>
      </c>
      <c r="AE59" s="100">
        <f t="shared" si="7"/>
        <v>0</v>
      </c>
      <c r="AF59" s="100">
        <f t="shared" si="8"/>
        <v>0</v>
      </c>
      <c r="AG59" s="100">
        <f t="shared" si="9"/>
        <v>0</v>
      </c>
      <c r="AH59" s="100">
        <f t="shared" si="10"/>
        <v>0</v>
      </c>
      <c r="AI59" s="109"/>
      <c r="AJ59" s="108">
        <f t="shared" si="11"/>
        <v>0</v>
      </c>
      <c r="AK59" s="108">
        <f t="shared" si="12"/>
        <v>0</v>
      </c>
      <c r="AL59" s="108">
        <f t="shared" si="13"/>
        <v>0</v>
      </c>
      <c r="AN59" s="100">
        <v>15</v>
      </c>
      <c r="AO59" s="100">
        <f>H59*0.214473876665634</f>
        <v>0</v>
      </c>
      <c r="AP59" s="100">
        <f>H59*(1-0.214473876665634)</f>
        <v>0</v>
      </c>
      <c r="AQ59" s="111" t="s">
        <v>7</v>
      </c>
      <c r="AV59" s="100">
        <f t="shared" si="14"/>
        <v>0</v>
      </c>
      <c r="AW59" s="100">
        <f t="shared" si="15"/>
        <v>0</v>
      </c>
      <c r="AX59" s="100">
        <f t="shared" si="16"/>
        <v>0</v>
      </c>
      <c r="AY59" s="110" t="s">
        <v>1692</v>
      </c>
      <c r="AZ59" s="110" t="s">
        <v>1728</v>
      </c>
      <c r="BA59" s="109" t="s">
        <v>1737</v>
      </c>
      <c r="BC59" s="100">
        <f t="shared" si="17"/>
        <v>0</v>
      </c>
      <c r="BD59" s="100">
        <f t="shared" si="18"/>
        <v>0</v>
      </c>
      <c r="BE59" s="100">
        <v>0</v>
      </c>
      <c r="BF59" s="100">
        <f>59</f>
        <v>59</v>
      </c>
      <c r="BH59" s="108">
        <f t="shared" si="19"/>
        <v>0</v>
      </c>
      <c r="BI59" s="108">
        <f t="shared" si="20"/>
        <v>0</v>
      </c>
      <c r="BJ59" s="108">
        <f t="shared" si="21"/>
        <v>0</v>
      </c>
    </row>
    <row r="60" spans="1:62" x14ac:dyDescent="0.2">
      <c r="A60" s="117" t="s">
        <v>43</v>
      </c>
      <c r="B60" s="117" t="s">
        <v>606</v>
      </c>
      <c r="C60" s="304" t="s">
        <v>2860</v>
      </c>
      <c r="D60" s="305"/>
      <c r="E60" s="305"/>
      <c r="F60" s="117" t="s">
        <v>1645</v>
      </c>
      <c r="G60" s="116">
        <v>36.54</v>
      </c>
      <c r="H60" s="159"/>
      <c r="I60" s="108">
        <f t="shared" si="0"/>
        <v>0</v>
      </c>
      <c r="J60" s="108">
        <f t="shared" si="1"/>
        <v>0</v>
      </c>
      <c r="K60" s="108">
        <f t="shared" si="2"/>
        <v>0</v>
      </c>
      <c r="L60" s="111" t="s">
        <v>1671</v>
      </c>
      <c r="Z60" s="100">
        <f t="shared" si="3"/>
        <v>0</v>
      </c>
      <c r="AB60" s="100">
        <f t="shared" si="4"/>
        <v>0</v>
      </c>
      <c r="AC60" s="100">
        <f t="shared" si="5"/>
        <v>0</v>
      </c>
      <c r="AD60" s="100">
        <f t="shared" si="6"/>
        <v>0</v>
      </c>
      <c r="AE60" s="100">
        <f t="shared" si="7"/>
        <v>0</v>
      </c>
      <c r="AF60" s="100">
        <f t="shared" si="8"/>
        <v>0</v>
      </c>
      <c r="AG60" s="100">
        <f t="shared" si="9"/>
        <v>0</v>
      </c>
      <c r="AH60" s="100">
        <f t="shared" si="10"/>
        <v>0</v>
      </c>
      <c r="AI60" s="109"/>
      <c r="AJ60" s="108">
        <f t="shared" si="11"/>
        <v>0</v>
      </c>
      <c r="AK60" s="108">
        <f t="shared" si="12"/>
        <v>0</v>
      </c>
      <c r="AL60" s="108">
        <f t="shared" si="13"/>
        <v>0</v>
      </c>
      <c r="AN60" s="100">
        <v>15</v>
      </c>
      <c r="AO60" s="100">
        <f>H60*0.523085271317829</f>
        <v>0</v>
      </c>
      <c r="AP60" s="100">
        <f>H60*(1-0.523085271317829)</f>
        <v>0</v>
      </c>
      <c r="AQ60" s="111" t="s">
        <v>7</v>
      </c>
      <c r="AV60" s="100">
        <f t="shared" si="14"/>
        <v>0</v>
      </c>
      <c r="AW60" s="100">
        <f t="shared" si="15"/>
        <v>0</v>
      </c>
      <c r="AX60" s="100">
        <f t="shared" si="16"/>
        <v>0</v>
      </c>
      <c r="AY60" s="110" t="s">
        <v>1692</v>
      </c>
      <c r="AZ60" s="110" t="s">
        <v>1728</v>
      </c>
      <c r="BA60" s="109" t="s">
        <v>1737</v>
      </c>
      <c r="BC60" s="100">
        <f t="shared" si="17"/>
        <v>0</v>
      </c>
      <c r="BD60" s="100">
        <f t="shared" si="18"/>
        <v>0</v>
      </c>
      <c r="BE60" s="100">
        <v>0</v>
      </c>
      <c r="BF60" s="100">
        <f>60</f>
        <v>60</v>
      </c>
      <c r="BH60" s="108">
        <f t="shared" si="19"/>
        <v>0</v>
      </c>
      <c r="BI60" s="108">
        <f t="shared" si="20"/>
        <v>0</v>
      </c>
      <c r="BJ60" s="108">
        <f t="shared" si="21"/>
        <v>0</v>
      </c>
    </row>
    <row r="61" spans="1:62" x14ac:dyDescent="0.2">
      <c r="A61" s="119"/>
      <c r="B61" s="120" t="s">
        <v>68</v>
      </c>
      <c r="C61" s="306" t="s">
        <v>1104</v>
      </c>
      <c r="D61" s="307"/>
      <c r="E61" s="307"/>
      <c r="F61" s="119" t="s">
        <v>6</v>
      </c>
      <c r="G61" s="119" t="s">
        <v>6</v>
      </c>
      <c r="H61" s="119" t="s">
        <v>6</v>
      </c>
      <c r="I61" s="118">
        <f>SUM(I62:I96)</f>
        <v>0</v>
      </c>
      <c r="J61" s="118">
        <f>SUM(J62:J96)</f>
        <v>0</v>
      </c>
      <c r="K61" s="118">
        <f>SUM(K62:K96)</f>
        <v>0</v>
      </c>
      <c r="L61" s="109"/>
      <c r="AI61" s="109"/>
      <c r="AS61" s="118">
        <f>SUM(AJ62:AJ96)</f>
        <v>0</v>
      </c>
      <c r="AT61" s="118">
        <f>SUM(AK62:AK96)</f>
        <v>0</v>
      </c>
      <c r="AU61" s="118">
        <f>SUM(AL62:AL96)</f>
        <v>0</v>
      </c>
    </row>
    <row r="62" spans="1:62" x14ac:dyDescent="0.2">
      <c r="A62" s="117" t="s">
        <v>44</v>
      </c>
      <c r="B62" s="117" t="s">
        <v>607</v>
      </c>
      <c r="C62" s="304" t="s">
        <v>1105</v>
      </c>
      <c r="D62" s="305"/>
      <c r="E62" s="305"/>
      <c r="F62" s="117" t="s">
        <v>1645</v>
      </c>
      <c r="G62" s="116">
        <v>240.59</v>
      </c>
      <c r="H62" s="159"/>
      <c r="I62" s="108">
        <f t="shared" ref="I62:I70" si="22">G62*AO62</f>
        <v>0</v>
      </c>
      <c r="J62" s="108">
        <f t="shared" ref="J62:J70" si="23">G62*AP62</f>
        <v>0</v>
      </c>
      <c r="K62" s="108">
        <f t="shared" ref="K62:K70" si="24">G62*H62</f>
        <v>0</v>
      </c>
      <c r="L62" s="111" t="s">
        <v>1671</v>
      </c>
      <c r="Z62" s="100">
        <f t="shared" ref="Z62:Z70" si="25">IF(AQ62="5",BJ62,0)</f>
        <v>0</v>
      </c>
      <c r="AB62" s="100">
        <f t="shared" ref="AB62:AB70" si="26">IF(AQ62="1",BH62,0)</f>
        <v>0</v>
      </c>
      <c r="AC62" s="100">
        <f t="shared" ref="AC62:AC70" si="27">IF(AQ62="1",BI62,0)</f>
        <v>0</v>
      </c>
      <c r="AD62" s="100">
        <f t="shared" ref="AD62:AD70" si="28">IF(AQ62="7",BH62,0)</f>
        <v>0</v>
      </c>
      <c r="AE62" s="100">
        <f t="shared" ref="AE62:AE70" si="29">IF(AQ62="7",BI62,0)</f>
        <v>0</v>
      </c>
      <c r="AF62" s="100">
        <f t="shared" ref="AF62:AF70" si="30">IF(AQ62="2",BH62,0)</f>
        <v>0</v>
      </c>
      <c r="AG62" s="100">
        <f t="shared" ref="AG62:AG70" si="31">IF(AQ62="2",BI62,0)</f>
        <v>0</v>
      </c>
      <c r="AH62" s="100">
        <f t="shared" ref="AH62:AH70" si="32">IF(AQ62="0",BJ62,0)</f>
        <v>0</v>
      </c>
      <c r="AI62" s="109"/>
      <c r="AJ62" s="108">
        <f t="shared" ref="AJ62:AJ70" si="33">IF(AN62=0,K62,0)</f>
        <v>0</v>
      </c>
      <c r="AK62" s="108">
        <f t="shared" ref="AK62:AK70" si="34">IF(AN62=15,K62,0)</f>
        <v>0</v>
      </c>
      <c r="AL62" s="108">
        <f t="shared" ref="AL62:AL70" si="35">IF(AN62=21,K62,0)</f>
        <v>0</v>
      </c>
      <c r="AN62" s="100">
        <v>15</v>
      </c>
      <c r="AO62" s="100">
        <f>H62*0.285592782866827</f>
        <v>0</v>
      </c>
      <c r="AP62" s="100">
        <f>H62*(1-0.285592782866827)</f>
        <v>0</v>
      </c>
      <c r="AQ62" s="111" t="s">
        <v>7</v>
      </c>
      <c r="AV62" s="100">
        <f t="shared" ref="AV62:AV70" si="36">AW62+AX62</f>
        <v>0</v>
      </c>
      <c r="AW62" s="100">
        <f t="shared" ref="AW62:AW70" si="37">G62*AO62</f>
        <v>0</v>
      </c>
      <c r="AX62" s="100">
        <f t="shared" ref="AX62:AX70" si="38">G62*AP62</f>
        <v>0</v>
      </c>
      <c r="AY62" s="110" t="s">
        <v>1693</v>
      </c>
      <c r="AZ62" s="110" t="s">
        <v>1728</v>
      </c>
      <c r="BA62" s="109" t="s">
        <v>1737</v>
      </c>
      <c r="BC62" s="100">
        <f t="shared" ref="BC62:BC70" si="39">AW62+AX62</f>
        <v>0</v>
      </c>
      <c r="BD62" s="100">
        <f t="shared" ref="BD62:BD70" si="40">H62/(100-BE62)*100</f>
        <v>0</v>
      </c>
      <c r="BE62" s="100">
        <v>0</v>
      </c>
      <c r="BF62" s="100">
        <f>62</f>
        <v>62</v>
      </c>
      <c r="BH62" s="108">
        <f t="shared" ref="BH62:BH70" si="41">G62*AO62</f>
        <v>0</v>
      </c>
      <c r="BI62" s="108">
        <f t="shared" ref="BI62:BI70" si="42">G62*AP62</f>
        <v>0</v>
      </c>
      <c r="BJ62" s="108">
        <f t="shared" ref="BJ62:BJ70" si="43">G62*H62</f>
        <v>0</v>
      </c>
    </row>
    <row r="63" spans="1:62" x14ac:dyDescent="0.2">
      <c r="A63" s="117" t="s">
        <v>45</v>
      </c>
      <c r="B63" s="117" t="s">
        <v>608</v>
      </c>
      <c r="C63" s="304" t="s">
        <v>3737</v>
      </c>
      <c r="D63" s="305"/>
      <c r="E63" s="305"/>
      <c r="F63" s="117" t="s">
        <v>1645</v>
      </c>
      <c r="G63" s="116">
        <v>163.33699999999999</v>
      </c>
      <c r="H63" s="159"/>
      <c r="I63" s="108">
        <f t="shared" si="22"/>
        <v>0</v>
      </c>
      <c r="J63" s="108">
        <f t="shared" si="23"/>
        <v>0</v>
      </c>
      <c r="K63" s="108">
        <f t="shared" si="24"/>
        <v>0</v>
      </c>
      <c r="L63" s="111" t="s">
        <v>1671</v>
      </c>
      <c r="Z63" s="100">
        <f t="shared" si="25"/>
        <v>0</v>
      </c>
      <c r="AB63" s="100">
        <f t="shared" si="26"/>
        <v>0</v>
      </c>
      <c r="AC63" s="100">
        <f t="shared" si="27"/>
        <v>0</v>
      </c>
      <c r="AD63" s="100">
        <f t="shared" si="28"/>
        <v>0</v>
      </c>
      <c r="AE63" s="100">
        <f t="shared" si="29"/>
        <v>0</v>
      </c>
      <c r="AF63" s="100">
        <f t="shared" si="30"/>
        <v>0</v>
      </c>
      <c r="AG63" s="100">
        <f t="shared" si="31"/>
        <v>0</v>
      </c>
      <c r="AH63" s="100">
        <f t="shared" si="32"/>
        <v>0</v>
      </c>
      <c r="AI63" s="109"/>
      <c r="AJ63" s="108">
        <f t="shared" si="33"/>
        <v>0</v>
      </c>
      <c r="AK63" s="108">
        <f t="shared" si="34"/>
        <v>0</v>
      </c>
      <c r="AL63" s="108">
        <f t="shared" si="35"/>
        <v>0</v>
      </c>
      <c r="AN63" s="100">
        <v>15</v>
      </c>
      <c r="AO63" s="100">
        <f>H63*0.578269284482312</f>
        <v>0</v>
      </c>
      <c r="AP63" s="100">
        <f>H63*(1-0.578269284482312)</f>
        <v>0</v>
      </c>
      <c r="AQ63" s="111" t="s">
        <v>7</v>
      </c>
      <c r="AV63" s="100">
        <f t="shared" si="36"/>
        <v>0</v>
      </c>
      <c r="AW63" s="100">
        <f t="shared" si="37"/>
        <v>0</v>
      </c>
      <c r="AX63" s="100">
        <f t="shared" si="38"/>
        <v>0</v>
      </c>
      <c r="AY63" s="110" t="s">
        <v>1693</v>
      </c>
      <c r="AZ63" s="110" t="s">
        <v>1728</v>
      </c>
      <c r="BA63" s="109" t="s">
        <v>1737</v>
      </c>
      <c r="BC63" s="100">
        <f t="shared" si="39"/>
        <v>0</v>
      </c>
      <c r="BD63" s="100">
        <f t="shared" si="40"/>
        <v>0</v>
      </c>
      <c r="BE63" s="100">
        <v>0</v>
      </c>
      <c r="BF63" s="100">
        <f>63</f>
        <v>63</v>
      </c>
      <c r="BH63" s="108">
        <f t="shared" si="41"/>
        <v>0</v>
      </c>
      <c r="BI63" s="108">
        <f t="shared" si="42"/>
        <v>0</v>
      </c>
      <c r="BJ63" s="108">
        <f t="shared" si="43"/>
        <v>0</v>
      </c>
    </row>
    <row r="64" spans="1:62" x14ac:dyDescent="0.2">
      <c r="A64" s="117" t="s">
        <v>46</v>
      </c>
      <c r="B64" s="117" t="s">
        <v>608</v>
      </c>
      <c r="C64" s="304" t="s">
        <v>3736</v>
      </c>
      <c r="D64" s="305"/>
      <c r="E64" s="305"/>
      <c r="F64" s="117" t="s">
        <v>1645</v>
      </c>
      <c r="G64" s="116">
        <v>223.108</v>
      </c>
      <c r="H64" s="159"/>
      <c r="I64" s="108">
        <f t="shared" si="22"/>
        <v>0</v>
      </c>
      <c r="J64" s="108">
        <f t="shared" si="23"/>
        <v>0</v>
      </c>
      <c r="K64" s="108">
        <f t="shared" si="24"/>
        <v>0</v>
      </c>
      <c r="L64" s="111" t="s">
        <v>1671</v>
      </c>
      <c r="Z64" s="100">
        <f t="shared" si="25"/>
        <v>0</v>
      </c>
      <c r="AB64" s="100">
        <f t="shared" si="26"/>
        <v>0</v>
      </c>
      <c r="AC64" s="100">
        <f t="shared" si="27"/>
        <v>0</v>
      </c>
      <c r="AD64" s="100">
        <f t="shared" si="28"/>
        <v>0</v>
      </c>
      <c r="AE64" s="100">
        <f t="shared" si="29"/>
        <v>0</v>
      </c>
      <c r="AF64" s="100">
        <f t="shared" si="30"/>
        <v>0</v>
      </c>
      <c r="AG64" s="100">
        <f t="shared" si="31"/>
        <v>0</v>
      </c>
      <c r="AH64" s="100">
        <f t="shared" si="32"/>
        <v>0</v>
      </c>
      <c r="AI64" s="109"/>
      <c r="AJ64" s="108">
        <f t="shared" si="33"/>
        <v>0</v>
      </c>
      <c r="AK64" s="108">
        <f t="shared" si="34"/>
        <v>0</v>
      </c>
      <c r="AL64" s="108">
        <f t="shared" si="35"/>
        <v>0</v>
      </c>
      <c r="AN64" s="100">
        <v>15</v>
      </c>
      <c r="AO64" s="100">
        <f>H64*0.578269349142795</f>
        <v>0</v>
      </c>
      <c r="AP64" s="100">
        <f>H64*(1-0.578269349142795)</f>
        <v>0</v>
      </c>
      <c r="AQ64" s="111" t="s">
        <v>7</v>
      </c>
      <c r="AV64" s="100">
        <f t="shared" si="36"/>
        <v>0</v>
      </c>
      <c r="AW64" s="100">
        <f t="shared" si="37"/>
        <v>0</v>
      </c>
      <c r="AX64" s="100">
        <f t="shared" si="38"/>
        <v>0</v>
      </c>
      <c r="AY64" s="110" t="s">
        <v>1693</v>
      </c>
      <c r="AZ64" s="110" t="s">
        <v>1728</v>
      </c>
      <c r="BA64" s="109" t="s">
        <v>1737</v>
      </c>
      <c r="BC64" s="100">
        <f t="shared" si="39"/>
        <v>0</v>
      </c>
      <c r="BD64" s="100">
        <f t="shared" si="40"/>
        <v>0</v>
      </c>
      <c r="BE64" s="100">
        <v>0</v>
      </c>
      <c r="BF64" s="100">
        <f>64</f>
        <v>64</v>
      </c>
      <c r="BH64" s="108">
        <f t="shared" si="41"/>
        <v>0</v>
      </c>
      <c r="BI64" s="108">
        <f t="shared" si="42"/>
        <v>0</v>
      </c>
      <c r="BJ64" s="108">
        <f t="shared" si="43"/>
        <v>0</v>
      </c>
    </row>
    <row r="65" spans="1:62" x14ac:dyDescent="0.2">
      <c r="A65" s="117" t="s">
        <v>47</v>
      </c>
      <c r="B65" s="117" t="s">
        <v>608</v>
      </c>
      <c r="C65" s="304" t="s">
        <v>3735</v>
      </c>
      <c r="D65" s="305"/>
      <c r="E65" s="305"/>
      <c r="F65" s="117" t="s">
        <v>1645</v>
      </c>
      <c r="G65" s="116">
        <v>1198.499</v>
      </c>
      <c r="H65" s="159"/>
      <c r="I65" s="108">
        <f t="shared" si="22"/>
        <v>0</v>
      </c>
      <c r="J65" s="108">
        <f t="shared" si="23"/>
        <v>0</v>
      </c>
      <c r="K65" s="108">
        <f t="shared" si="24"/>
        <v>0</v>
      </c>
      <c r="L65" s="111" t="s">
        <v>1671</v>
      </c>
      <c r="Z65" s="100">
        <f t="shared" si="25"/>
        <v>0</v>
      </c>
      <c r="AB65" s="100">
        <f t="shared" si="26"/>
        <v>0</v>
      </c>
      <c r="AC65" s="100">
        <f t="shared" si="27"/>
        <v>0</v>
      </c>
      <c r="AD65" s="100">
        <f t="shared" si="28"/>
        <v>0</v>
      </c>
      <c r="AE65" s="100">
        <f t="shared" si="29"/>
        <v>0</v>
      </c>
      <c r="AF65" s="100">
        <f t="shared" si="30"/>
        <v>0</v>
      </c>
      <c r="AG65" s="100">
        <f t="shared" si="31"/>
        <v>0</v>
      </c>
      <c r="AH65" s="100">
        <f t="shared" si="32"/>
        <v>0</v>
      </c>
      <c r="AI65" s="109"/>
      <c r="AJ65" s="108">
        <f t="shared" si="33"/>
        <v>0</v>
      </c>
      <c r="AK65" s="108">
        <f t="shared" si="34"/>
        <v>0</v>
      </c>
      <c r="AL65" s="108">
        <f t="shared" si="35"/>
        <v>0</v>
      </c>
      <c r="AN65" s="100">
        <v>15</v>
      </c>
      <c r="AO65" s="100">
        <f>H65*0.578269344273063</f>
        <v>0</v>
      </c>
      <c r="AP65" s="100">
        <f>H65*(1-0.578269344273063)</f>
        <v>0</v>
      </c>
      <c r="AQ65" s="111" t="s">
        <v>7</v>
      </c>
      <c r="AV65" s="100">
        <f t="shared" si="36"/>
        <v>0</v>
      </c>
      <c r="AW65" s="100">
        <f t="shared" si="37"/>
        <v>0</v>
      </c>
      <c r="AX65" s="100">
        <f t="shared" si="38"/>
        <v>0</v>
      </c>
      <c r="AY65" s="110" t="s">
        <v>1693</v>
      </c>
      <c r="AZ65" s="110" t="s">
        <v>1728</v>
      </c>
      <c r="BA65" s="109" t="s">
        <v>1737</v>
      </c>
      <c r="BC65" s="100">
        <f t="shared" si="39"/>
        <v>0</v>
      </c>
      <c r="BD65" s="100">
        <f t="shared" si="40"/>
        <v>0</v>
      </c>
      <c r="BE65" s="100">
        <v>0</v>
      </c>
      <c r="BF65" s="100">
        <f>65</f>
        <v>65</v>
      </c>
      <c r="BH65" s="108">
        <f t="shared" si="41"/>
        <v>0</v>
      </c>
      <c r="BI65" s="108">
        <f t="shared" si="42"/>
        <v>0</v>
      </c>
      <c r="BJ65" s="108">
        <f t="shared" si="43"/>
        <v>0</v>
      </c>
    </row>
    <row r="66" spans="1:62" x14ac:dyDescent="0.2">
      <c r="A66" s="117" t="s">
        <v>48</v>
      </c>
      <c r="B66" s="117" t="s">
        <v>608</v>
      </c>
      <c r="C66" s="304" t="s">
        <v>3734</v>
      </c>
      <c r="D66" s="305"/>
      <c r="E66" s="305"/>
      <c r="F66" s="117" t="s">
        <v>1645</v>
      </c>
      <c r="G66" s="116">
        <v>261.39800000000002</v>
      </c>
      <c r="H66" s="159"/>
      <c r="I66" s="108">
        <f t="shared" si="22"/>
        <v>0</v>
      </c>
      <c r="J66" s="108">
        <f t="shared" si="23"/>
        <v>0</v>
      </c>
      <c r="K66" s="108">
        <f t="shared" si="24"/>
        <v>0</v>
      </c>
      <c r="L66" s="111" t="s">
        <v>1671</v>
      </c>
      <c r="Z66" s="100">
        <f t="shared" si="25"/>
        <v>0</v>
      </c>
      <c r="AB66" s="100">
        <f t="shared" si="26"/>
        <v>0</v>
      </c>
      <c r="AC66" s="100">
        <f t="shared" si="27"/>
        <v>0</v>
      </c>
      <c r="AD66" s="100">
        <f t="shared" si="28"/>
        <v>0</v>
      </c>
      <c r="AE66" s="100">
        <f t="shared" si="29"/>
        <v>0</v>
      </c>
      <c r="AF66" s="100">
        <f t="shared" si="30"/>
        <v>0</v>
      </c>
      <c r="AG66" s="100">
        <f t="shared" si="31"/>
        <v>0</v>
      </c>
      <c r="AH66" s="100">
        <f t="shared" si="32"/>
        <v>0</v>
      </c>
      <c r="AI66" s="109"/>
      <c r="AJ66" s="108">
        <f t="shared" si="33"/>
        <v>0</v>
      </c>
      <c r="AK66" s="108">
        <f t="shared" si="34"/>
        <v>0</v>
      </c>
      <c r="AL66" s="108">
        <f t="shared" si="35"/>
        <v>0</v>
      </c>
      <c r="AN66" s="100">
        <v>15</v>
      </c>
      <c r="AO66" s="100">
        <f>H66*0.578269393310131</f>
        <v>0</v>
      </c>
      <c r="AP66" s="100">
        <f>H66*(1-0.578269393310131)</f>
        <v>0</v>
      </c>
      <c r="AQ66" s="111" t="s">
        <v>7</v>
      </c>
      <c r="AV66" s="100">
        <f t="shared" si="36"/>
        <v>0</v>
      </c>
      <c r="AW66" s="100">
        <f t="shared" si="37"/>
        <v>0</v>
      </c>
      <c r="AX66" s="100">
        <f t="shared" si="38"/>
        <v>0</v>
      </c>
      <c r="AY66" s="110" t="s">
        <v>1693</v>
      </c>
      <c r="AZ66" s="110" t="s">
        <v>1728</v>
      </c>
      <c r="BA66" s="109" t="s">
        <v>1737</v>
      </c>
      <c r="BC66" s="100">
        <f t="shared" si="39"/>
        <v>0</v>
      </c>
      <c r="BD66" s="100">
        <f t="shared" si="40"/>
        <v>0</v>
      </c>
      <c r="BE66" s="100">
        <v>0</v>
      </c>
      <c r="BF66" s="100">
        <f>66</f>
        <v>66</v>
      </c>
      <c r="BH66" s="108">
        <f t="shared" si="41"/>
        <v>0</v>
      </c>
      <c r="BI66" s="108">
        <f t="shared" si="42"/>
        <v>0</v>
      </c>
      <c r="BJ66" s="108">
        <f t="shared" si="43"/>
        <v>0</v>
      </c>
    </row>
    <row r="67" spans="1:62" x14ac:dyDescent="0.2">
      <c r="A67" s="117" t="s">
        <v>49</v>
      </c>
      <c r="B67" s="117" t="s">
        <v>609</v>
      </c>
      <c r="C67" s="304" t="s">
        <v>1107</v>
      </c>
      <c r="D67" s="305"/>
      <c r="E67" s="305"/>
      <c r="F67" s="117" t="s">
        <v>1646</v>
      </c>
      <c r="G67" s="116">
        <v>120</v>
      </c>
      <c r="H67" s="159"/>
      <c r="I67" s="108">
        <f t="shared" si="22"/>
        <v>0</v>
      </c>
      <c r="J67" s="108">
        <f t="shared" si="23"/>
        <v>0</v>
      </c>
      <c r="K67" s="108">
        <f t="shared" si="24"/>
        <v>0</v>
      </c>
      <c r="L67" s="111" t="s">
        <v>1671</v>
      </c>
      <c r="Z67" s="100">
        <f t="shared" si="25"/>
        <v>0</v>
      </c>
      <c r="AB67" s="100">
        <f t="shared" si="26"/>
        <v>0</v>
      </c>
      <c r="AC67" s="100">
        <f t="shared" si="27"/>
        <v>0</v>
      </c>
      <c r="AD67" s="100">
        <f t="shared" si="28"/>
        <v>0</v>
      </c>
      <c r="AE67" s="100">
        <f t="shared" si="29"/>
        <v>0</v>
      </c>
      <c r="AF67" s="100">
        <f t="shared" si="30"/>
        <v>0</v>
      </c>
      <c r="AG67" s="100">
        <f t="shared" si="31"/>
        <v>0</v>
      </c>
      <c r="AH67" s="100">
        <f t="shared" si="32"/>
        <v>0</v>
      </c>
      <c r="AI67" s="109"/>
      <c r="AJ67" s="108">
        <f t="shared" si="33"/>
        <v>0</v>
      </c>
      <c r="AK67" s="108">
        <f t="shared" si="34"/>
        <v>0</v>
      </c>
      <c r="AL67" s="108">
        <f t="shared" si="35"/>
        <v>0</v>
      </c>
      <c r="AN67" s="100">
        <v>15</v>
      </c>
      <c r="AO67" s="100">
        <f>H67*0.215363511659808</f>
        <v>0</v>
      </c>
      <c r="AP67" s="100">
        <f>H67*(1-0.215363511659808)</f>
        <v>0</v>
      </c>
      <c r="AQ67" s="111" t="s">
        <v>7</v>
      </c>
      <c r="AV67" s="100">
        <f t="shared" si="36"/>
        <v>0</v>
      </c>
      <c r="AW67" s="100">
        <f t="shared" si="37"/>
        <v>0</v>
      </c>
      <c r="AX67" s="100">
        <f t="shared" si="38"/>
        <v>0</v>
      </c>
      <c r="AY67" s="110" t="s">
        <v>1693</v>
      </c>
      <c r="AZ67" s="110" t="s">
        <v>1728</v>
      </c>
      <c r="BA67" s="109" t="s">
        <v>1737</v>
      </c>
      <c r="BC67" s="100">
        <f t="shared" si="39"/>
        <v>0</v>
      </c>
      <c r="BD67" s="100">
        <f t="shared" si="40"/>
        <v>0</v>
      </c>
      <c r="BE67" s="100">
        <v>0</v>
      </c>
      <c r="BF67" s="100">
        <f>67</f>
        <v>67</v>
      </c>
      <c r="BH67" s="108">
        <f t="shared" si="41"/>
        <v>0</v>
      </c>
      <c r="BI67" s="108">
        <f t="shared" si="42"/>
        <v>0</v>
      </c>
      <c r="BJ67" s="108">
        <f t="shared" si="43"/>
        <v>0</v>
      </c>
    </row>
    <row r="68" spans="1:62" x14ac:dyDescent="0.2">
      <c r="A68" s="117" t="s">
        <v>50</v>
      </c>
      <c r="B68" s="117" t="s">
        <v>610</v>
      </c>
      <c r="C68" s="304" t="s">
        <v>1108</v>
      </c>
      <c r="D68" s="305"/>
      <c r="E68" s="305"/>
      <c r="F68" s="117" t="s">
        <v>1646</v>
      </c>
      <c r="G68" s="116">
        <v>189.84</v>
      </c>
      <c r="H68" s="159"/>
      <c r="I68" s="108">
        <f t="shared" si="22"/>
        <v>0</v>
      </c>
      <c r="J68" s="108">
        <f t="shared" si="23"/>
        <v>0</v>
      </c>
      <c r="K68" s="108">
        <f t="shared" si="24"/>
        <v>0</v>
      </c>
      <c r="L68" s="111" t="s">
        <v>1671</v>
      </c>
      <c r="Z68" s="100">
        <f t="shared" si="25"/>
        <v>0</v>
      </c>
      <c r="AB68" s="100">
        <f t="shared" si="26"/>
        <v>0</v>
      </c>
      <c r="AC68" s="100">
        <f t="shared" si="27"/>
        <v>0</v>
      </c>
      <c r="AD68" s="100">
        <f t="shared" si="28"/>
        <v>0</v>
      </c>
      <c r="AE68" s="100">
        <f t="shared" si="29"/>
        <v>0</v>
      </c>
      <c r="AF68" s="100">
        <f t="shared" si="30"/>
        <v>0</v>
      </c>
      <c r="AG68" s="100">
        <f t="shared" si="31"/>
        <v>0</v>
      </c>
      <c r="AH68" s="100">
        <f t="shared" si="32"/>
        <v>0</v>
      </c>
      <c r="AI68" s="109"/>
      <c r="AJ68" s="108">
        <f t="shared" si="33"/>
        <v>0</v>
      </c>
      <c r="AK68" s="108">
        <f t="shared" si="34"/>
        <v>0</v>
      </c>
      <c r="AL68" s="108">
        <f t="shared" si="35"/>
        <v>0</v>
      </c>
      <c r="AN68" s="100">
        <v>15</v>
      </c>
      <c r="AO68" s="100">
        <f>H68*0.564852672366171</f>
        <v>0</v>
      </c>
      <c r="AP68" s="100">
        <f>H68*(1-0.564852672366171)</f>
        <v>0</v>
      </c>
      <c r="AQ68" s="111" t="s">
        <v>7</v>
      </c>
      <c r="AV68" s="100">
        <f t="shared" si="36"/>
        <v>0</v>
      </c>
      <c r="AW68" s="100">
        <f t="shared" si="37"/>
        <v>0</v>
      </c>
      <c r="AX68" s="100">
        <f t="shared" si="38"/>
        <v>0</v>
      </c>
      <c r="AY68" s="110" t="s">
        <v>1693</v>
      </c>
      <c r="AZ68" s="110" t="s">
        <v>1728</v>
      </c>
      <c r="BA68" s="109" t="s">
        <v>1737</v>
      </c>
      <c r="BC68" s="100">
        <f t="shared" si="39"/>
        <v>0</v>
      </c>
      <c r="BD68" s="100">
        <f t="shared" si="40"/>
        <v>0</v>
      </c>
      <c r="BE68" s="100">
        <v>0</v>
      </c>
      <c r="BF68" s="100">
        <f>68</f>
        <v>68</v>
      </c>
      <c r="BH68" s="108">
        <f t="shared" si="41"/>
        <v>0</v>
      </c>
      <c r="BI68" s="108">
        <f t="shared" si="42"/>
        <v>0</v>
      </c>
      <c r="BJ68" s="108">
        <f t="shared" si="43"/>
        <v>0</v>
      </c>
    </row>
    <row r="69" spans="1:62" x14ac:dyDescent="0.2">
      <c r="A69" s="117" t="s">
        <v>51</v>
      </c>
      <c r="B69" s="117" t="s">
        <v>611</v>
      </c>
      <c r="C69" s="304" t="s">
        <v>3182</v>
      </c>
      <c r="D69" s="305"/>
      <c r="E69" s="305"/>
      <c r="F69" s="117" t="s">
        <v>1646</v>
      </c>
      <c r="G69" s="116">
        <v>31.4</v>
      </c>
      <c r="H69" s="159"/>
      <c r="I69" s="108">
        <f t="shared" si="22"/>
        <v>0</v>
      </c>
      <c r="J69" s="108">
        <f t="shared" si="23"/>
        <v>0</v>
      </c>
      <c r="K69" s="108">
        <f t="shared" si="24"/>
        <v>0</v>
      </c>
      <c r="L69" s="111" t="s">
        <v>1671</v>
      </c>
      <c r="Z69" s="100">
        <f t="shared" si="25"/>
        <v>0</v>
      </c>
      <c r="AB69" s="100">
        <f t="shared" si="26"/>
        <v>0</v>
      </c>
      <c r="AC69" s="100">
        <f t="shared" si="27"/>
        <v>0</v>
      </c>
      <c r="AD69" s="100">
        <f t="shared" si="28"/>
        <v>0</v>
      </c>
      <c r="AE69" s="100">
        <f t="shared" si="29"/>
        <v>0</v>
      </c>
      <c r="AF69" s="100">
        <f t="shared" si="30"/>
        <v>0</v>
      </c>
      <c r="AG69" s="100">
        <f t="shared" si="31"/>
        <v>0</v>
      </c>
      <c r="AH69" s="100">
        <f t="shared" si="32"/>
        <v>0</v>
      </c>
      <c r="AI69" s="109"/>
      <c r="AJ69" s="108">
        <f t="shared" si="33"/>
        <v>0</v>
      </c>
      <c r="AK69" s="108">
        <f t="shared" si="34"/>
        <v>0</v>
      </c>
      <c r="AL69" s="108">
        <f t="shared" si="35"/>
        <v>0</v>
      </c>
      <c r="AN69" s="100">
        <v>15</v>
      </c>
      <c r="AO69" s="100">
        <f>H69*0.723183810209713</f>
        <v>0</v>
      </c>
      <c r="AP69" s="100">
        <f>H69*(1-0.723183810209713)</f>
        <v>0</v>
      </c>
      <c r="AQ69" s="111" t="s">
        <v>7</v>
      </c>
      <c r="AV69" s="100">
        <f t="shared" si="36"/>
        <v>0</v>
      </c>
      <c r="AW69" s="100">
        <f t="shared" si="37"/>
        <v>0</v>
      </c>
      <c r="AX69" s="100">
        <f t="shared" si="38"/>
        <v>0</v>
      </c>
      <c r="AY69" s="110" t="s">
        <v>1693</v>
      </c>
      <c r="AZ69" s="110" t="s">
        <v>1728</v>
      </c>
      <c r="BA69" s="109" t="s">
        <v>1737</v>
      </c>
      <c r="BC69" s="100">
        <f t="shared" si="39"/>
        <v>0</v>
      </c>
      <c r="BD69" s="100">
        <f t="shared" si="40"/>
        <v>0</v>
      </c>
      <c r="BE69" s="100">
        <v>0</v>
      </c>
      <c r="BF69" s="100">
        <f>69</f>
        <v>69</v>
      </c>
      <c r="BH69" s="108">
        <f t="shared" si="41"/>
        <v>0</v>
      </c>
      <c r="BI69" s="108">
        <f t="shared" si="42"/>
        <v>0</v>
      </c>
      <c r="BJ69" s="108">
        <f t="shared" si="43"/>
        <v>0</v>
      </c>
    </row>
    <row r="70" spans="1:62" x14ac:dyDescent="0.2">
      <c r="A70" s="117" t="s">
        <v>52</v>
      </c>
      <c r="B70" s="117" t="s">
        <v>612</v>
      </c>
      <c r="C70" s="304" t="s">
        <v>1110</v>
      </c>
      <c r="D70" s="305"/>
      <c r="E70" s="305"/>
      <c r="F70" s="117" t="s">
        <v>1645</v>
      </c>
      <c r="G70" s="116">
        <v>223.108</v>
      </c>
      <c r="H70" s="159"/>
      <c r="I70" s="108">
        <f t="shared" si="22"/>
        <v>0</v>
      </c>
      <c r="J70" s="108">
        <f t="shared" si="23"/>
        <v>0</v>
      </c>
      <c r="K70" s="108">
        <f t="shared" si="24"/>
        <v>0</v>
      </c>
      <c r="L70" s="111" t="s">
        <v>1671</v>
      </c>
      <c r="Z70" s="100">
        <f t="shared" si="25"/>
        <v>0</v>
      </c>
      <c r="AB70" s="100">
        <f t="shared" si="26"/>
        <v>0</v>
      </c>
      <c r="AC70" s="100">
        <f t="shared" si="27"/>
        <v>0</v>
      </c>
      <c r="AD70" s="100">
        <f t="shared" si="28"/>
        <v>0</v>
      </c>
      <c r="AE70" s="100">
        <f t="shared" si="29"/>
        <v>0</v>
      </c>
      <c r="AF70" s="100">
        <f t="shared" si="30"/>
        <v>0</v>
      </c>
      <c r="AG70" s="100">
        <f t="shared" si="31"/>
        <v>0</v>
      </c>
      <c r="AH70" s="100">
        <f t="shared" si="32"/>
        <v>0</v>
      </c>
      <c r="AI70" s="109"/>
      <c r="AJ70" s="108">
        <f t="shared" si="33"/>
        <v>0</v>
      </c>
      <c r="AK70" s="108">
        <f t="shared" si="34"/>
        <v>0</v>
      </c>
      <c r="AL70" s="108">
        <f t="shared" si="35"/>
        <v>0</v>
      </c>
      <c r="AN70" s="100">
        <v>15</v>
      </c>
      <c r="AO70" s="100">
        <f>H70*0.580357817891941</f>
        <v>0</v>
      </c>
      <c r="AP70" s="100">
        <f>H70*(1-0.580357817891941)</f>
        <v>0</v>
      </c>
      <c r="AQ70" s="111" t="s">
        <v>7</v>
      </c>
      <c r="AV70" s="100">
        <f t="shared" si="36"/>
        <v>0</v>
      </c>
      <c r="AW70" s="100">
        <f t="shared" si="37"/>
        <v>0</v>
      </c>
      <c r="AX70" s="100">
        <f t="shared" si="38"/>
        <v>0</v>
      </c>
      <c r="AY70" s="110" t="s">
        <v>1693</v>
      </c>
      <c r="AZ70" s="110" t="s">
        <v>1728</v>
      </c>
      <c r="BA70" s="109" t="s">
        <v>1737</v>
      </c>
      <c r="BC70" s="100">
        <f t="shared" si="39"/>
        <v>0</v>
      </c>
      <c r="BD70" s="100">
        <f t="shared" si="40"/>
        <v>0</v>
      </c>
      <c r="BE70" s="100">
        <v>0</v>
      </c>
      <c r="BF70" s="100">
        <f>70</f>
        <v>70</v>
      </c>
      <c r="BH70" s="108">
        <f t="shared" si="41"/>
        <v>0</v>
      </c>
      <c r="BI70" s="108">
        <f t="shared" si="42"/>
        <v>0</v>
      </c>
      <c r="BJ70" s="108">
        <f t="shared" si="43"/>
        <v>0</v>
      </c>
    </row>
    <row r="71" spans="1:62" ht="12.75" customHeight="1" x14ac:dyDescent="0.2">
      <c r="B71" s="125" t="s">
        <v>613</v>
      </c>
      <c r="C71" s="164" t="s">
        <v>1111</v>
      </c>
      <c r="D71" s="158"/>
      <c r="E71" s="158"/>
      <c r="F71" s="158"/>
      <c r="G71" s="158"/>
      <c r="H71" s="158"/>
      <c r="I71" s="158"/>
      <c r="J71" s="158"/>
      <c r="K71" s="158"/>
      <c r="L71" s="158"/>
    </row>
    <row r="72" spans="1:62" x14ac:dyDescent="0.2">
      <c r="A72" s="117" t="s">
        <v>53</v>
      </c>
      <c r="B72" s="117" t="s">
        <v>614</v>
      </c>
      <c r="C72" s="304" t="s">
        <v>1112</v>
      </c>
      <c r="D72" s="305"/>
      <c r="E72" s="305"/>
      <c r="F72" s="117" t="s">
        <v>1645</v>
      </c>
      <c r="G72" s="116">
        <v>163.33699999999999</v>
      </c>
      <c r="H72" s="159"/>
      <c r="I72" s="108">
        <f>G72*AO72</f>
        <v>0</v>
      </c>
      <c r="J72" s="108">
        <f>G72*AP72</f>
        <v>0</v>
      </c>
      <c r="K72" s="108">
        <f>G72*H72</f>
        <v>0</v>
      </c>
      <c r="L72" s="111" t="s">
        <v>1671</v>
      </c>
      <c r="Z72" s="100">
        <f>IF(AQ72="5",BJ72,0)</f>
        <v>0</v>
      </c>
      <c r="AB72" s="100">
        <f>IF(AQ72="1",BH72,0)</f>
        <v>0</v>
      </c>
      <c r="AC72" s="100">
        <f>IF(AQ72="1",BI72,0)</f>
        <v>0</v>
      </c>
      <c r="AD72" s="100">
        <f>IF(AQ72="7",BH72,0)</f>
        <v>0</v>
      </c>
      <c r="AE72" s="100">
        <f>IF(AQ72="7",BI72,0)</f>
        <v>0</v>
      </c>
      <c r="AF72" s="100">
        <f>IF(AQ72="2",BH72,0)</f>
        <v>0</v>
      </c>
      <c r="AG72" s="100">
        <f>IF(AQ72="2",BI72,0)</f>
        <v>0</v>
      </c>
      <c r="AH72" s="100">
        <f>IF(AQ72="0",BJ72,0)</f>
        <v>0</v>
      </c>
      <c r="AI72" s="109"/>
      <c r="AJ72" s="108">
        <f>IF(AN72=0,K72,0)</f>
        <v>0</v>
      </c>
      <c r="AK72" s="108">
        <f>IF(AN72=15,K72,0)</f>
        <v>0</v>
      </c>
      <c r="AL72" s="108">
        <f>IF(AN72=21,K72,0)</f>
        <v>0</v>
      </c>
      <c r="AN72" s="100">
        <v>15</v>
      </c>
      <c r="AO72" s="100">
        <f>H72*0.659033033945956</f>
        <v>0</v>
      </c>
      <c r="AP72" s="100">
        <f>H72*(1-0.659033033945956)</f>
        <v>0</v>
      </c>
      <c r="AQ72" s="111" t="s">
        <v>7</v>
      </c>
      <c r="AV72" s="100">
        <f>AW72+AX72</f>
        <v>0</v>
      </c>
      <c r="AW72" s="100">
        <f>G72*AO72</f>
        <v>0</v>
      </c>
      <c r="AX72" s="100">
        <f>G72*AP72</f>
        <v>0</v>
      </c>
      <c r="AY72" s="110" t="s">
        <v>1693</v>
      </c>
      <c r="AZ72" s="110" t="s">
        <v>1728</v>
      </c>
      <c r="BA72" s="109" t="s">
        <v>1737</v>
      </c>
      <c r="BC72" s="100">
        <f>AW72+AX72</f>
        <v>0</v>
      </c>
      <c r="BD72" s="100">
        <f>H72/(100-BE72)*100</f>
        <v>0</v>
      </c>
      <c r="BE72" s="100">
        <v>0</v>
      </c>
      <c r="BF72" s="100">
        <f>72</f>
        <v>72</v>
      </c>
      <c r="BH72" s="108">
        <f>G72*AO72</f>
        <v>0</v>
      </c>
      <c r="BI72" s="108">
        <f>G72*AP72</f>
        <v>0</v>
      </c>
      <c r="BJ72" s="108">
        <f>G72*H72</f>
        <v>0</v>
      </c>
    </row>
    <row r="73" spans="1:62" ht="12.75" customHeight="1" x14ac:dyDescent="0.2">
      <c r="B73" s="125" t="s">
        <v>613</v>
      </c>
      <c r="C73" s="164" t="s">
        <v>1113</v>
      </c>
      <c r="D73" s="158"/>
      <c r="E73" s="158"/>
      <c r="F73" s="158"/>
      <c r="G73" s="158"/>
      <c r="H73" s="158"/>
      <c r="I73" s="158"/>
      <c r="J73" s="158"/>
      <c r="K73" s="158"/>
      <c r="L73" s="158"/>
    </row>
    <row r="74" spans="1:62" x14ac:dyDescent="0.2">
      <c r="A74" s="117" t="s">
        <v>54</v>
      </c>
      <c r="B74" s="117" t="s">
        <v>615</v>
      </c>
      <c r="C74" s="304" t="s">
        <v>1114</v>
      </c>
      <c r="D74" s="305"/>
      <c r="E74" s="305"/>
      <c r="F74" s="117" t="s">
        <v>1645</v>
      </c>
      <c r="G74" s="116">
        <v>1198.499</v>
      </c>
      <c r="H74" s="159"/>
      <c r="I74" s="108">
        <f>G74*AO74</f>
        <v>0</v>
      </c>
      <c r="J74" s="108">
        <f>G74*AP74</f>
        <v>0</v>
      </c>
      <c r="K74" s="108">
        <f>G74*H74</f>
        <v>0</v>
      </c>
      <c r="L74" s="111" t="s">
        <v>1671</v>
      </c>
      <c r="Z74" s="100">
        <f>IF(AQ74="5",BJ74,0)</f>
        <v>0</v>
      </c>
      <c r="AB74" s="100">
        <f>IF(AQ74="1",BH74,0)</f>
        <v>0</v>
      </c>
      <c r="AC74" s="100">
        <f>IF(AQ74="1",BI74,0)</f>
        <v>0</v>
      </c>
      <c r="AD74" s="100">
        <f>IF(AQ74="7",BH74,0)</f>
        <v>0</v>
      </c>
      <c r="AE74" s="100">
        <f>IF(AQ74="7",BI74,0)</f>
        <v>0</v>
      </c>
      <c r="AF74" s="100">
        <f>IF(AQ74="2",BH74,0)</f>
        <v>0</v>
      </c>
      <c r="AG74" s="100">
        <f>IF(AQ74="2",BI74,0)</f>
        <v>0</v>
      </c>
      <c r="AH74" s="100">
        <f>IF(AQ74="0",BJ74,0)</f>
        <v>0</v>
      </c>
      <c r="AI74" s="109"/>
      <c r="AJ74" s="108">
        <f>IF(AN74=0,K74,0)</f>
        <v>0</v>
      </c>
      <c r="AK74" s="108">
        <f>IF(AN74=15,K74,0)</f>
        <v>0</v>
      </c>
      <c r="AL74" s="108">
        <f>IF(AN74=21,K74,0)</f>
        <v>0</v>
      </c>
      <c r="AN74" s="100">
        <v>15</v>
      </c>
      <c r="AO74" s="100">
        <f>H74*0.695718875502008</f>
        <v>0</v>
      </c>
      <c r="AP74" s="100">
        <f>H74*(1-0.695718875502008)</f>
        <v>0</v>
      </c>
      <c r="AQ74" s="111" t="s">
        <v>7</v>
      </c>
      <c r="AV74" s="100">
        <f>AW74+AX74</f>
        <v>0</v>
      </c>
      <c r="AW74" s="100">
        <f>G74*AO74</f>
        <v>0</v>
      </c>
      <c r="AX74" s="100">
        <f>G74*AP74</f>
        <v>0</v>
      </c>
      <c r="AY74" s="110" t="s">
        <v>1693</v>
      </c>
      <c r="AZ74" s="110" t="s">
        <v>1728</v>
      </c>
      <c r="BA74" s="109" t="s">
        <v>1737</v>
      </c>
      <c r="BC74" s="100">
        <f>AW74+AX74</f>
        <v>0</v>
      </c>
      <c r="BD74" s="100">
        <f>H74/(100-BE74)*100</f>
        <v>0</v>
      </c>
      <c r="BE74" s="100">
        <v>0</v>
      </c>
      <c r="BF74" s="100">
        <f>74</f>
        <v>74</v>
      </c>
      <c r="BH74" s="108">
        <f>G74*AO74</f>
        <v>0</v>
      </c>
      <c r="BI74" s="108">
        <f>G74*AP74</f>
        <v>0</v>
      </c>
      <c r="BJ74" s="108">
        <f>G74*H74</f>
        <v>0</v>
      </c>
    </row>
    <row r="75" spans="1:62" x14ac:dyDescent="0.2">
      <c r="B75" s="125" t="s">
        <v>613</v>
      </c>
      <c r="C75" s="164" t="s">
        <v>1115</v>
      </c>
      <c r="D75" s="158"/>
      <c r="E75" s="158"/>
      <c r="F75" s="158"/>
      <c r="G75" s="158"/>
      <c r="H75" s="158"/>
      <c r="I75" s="158"/>
      <c r="J75" s="158"/>
      <c r="K75" s="158"/>
      <c r="L75" s="158"/>
    </row>
    <row r="76" spans="1:62" x14ac:dyDescent="0.2">
      <c r="A76" s="117" t="s">
        <v>55</v>
      </c>
      <c r="B76" s="117" t="s">
        <v>616</v>
      </c>
      <c r="C76" s="304" t="s">
        <v>1116</v>
      </c>
      <c r="D76" s="305"/>
      <c r="E76" s="305"/>
      <c r="F76" s="117" t="s">
        <v>1645</v>
      </c>
      <c r="G76" s="116">
        <v>175.93100000000001</v>
      </c>
      <c r="H76" s="159"/>
      <c r="I76" s="108">
        <f>G76*AO76</f>
        <v>0</v>
      </c>
      <c r="J76" s="108">
        <f>G76*AP76</f>
        <v>0</v>
      </c>
      <c r="K76" s="108">
        <f>G76*H76</f>
        <v>0</v>
      </c>
      <c r="L76" s="111" t="s">
        <v>1671</v>
      </c>
      <c r="Z76" s="100">
        <f>IF(AQ76="5",BJ76,0)</f>
        <v>0</v>
      </c>
      <c r="AB76" s="100">
        <f>IF(AQ76="1",BH76,0)</f>
        <v>0</v>
      </c>
      <c r="AC76" s="100">
        <f>IF(AQ76="1",BI76,0)</f>
        <v>0</v>
      </c>
      <c r="AD76" s="100">
        <f>IF(AQ76="7",BH76,0)</f>
        <v>0</v>
      </c>
      <c r="AE76" s="100">
        <f>IF(AQ76="7",BI76,0)</f>
        <v>0</v>
      </c>
      <c r="AF76" s="100">
        <f>IF(AQ76="2",BH76,0)</f>
        <v>0</v>
      </c>
      <c r="AG76" s="100">
        <f>IF(AQ76="2",BI76,0)</f>
        <v>0</v>
      </c>
      <c r="AH76" s="100">
        <f>IF(AQ76="0",BJ76,0)</f>
        <v>0</v>
      </c>
      <c r="AI76" s="109"/>
      <c r="AJ76" s="108">
        <f>IF(AN76=0,K76,0)</f>
        <v>0</v>
      </c>
      <c r="AK76" s="108">
        <f>IF(AN76=15,K76,0)</f>
        <v>0</v>
      </c>
      <c r="AL76" s="108">
        <f>IF(AN76=21,K76,0)</f>
        <v>0</v>
      </c>
      <c r="AN76" s="100">
        <v>15</v>
      </c>
      <c r="AO76" s="100">
        <f>H76*0.355093420930753</f>
        <v>0</v>
      </c>
      <c r="AP76" s="100">
        <f>H76*(1-0.355093420930753)</f>
        <v>0</v>
      </c>
      <c r="AQ76" s="111" t="s">
        <v>7</v>
      </c>
      <c r="AV76" s="100">
        <f>AW76+AX76</f>
        <v>0</v>
      </c>
      <c r="AW76" s="100">
        <f>G76*AO76</f>
        <v>0</v>
      </c>
      <c r="AX76" s="100">
        <f>G76*AP76</f>
        <v>0</v>
      </c>
      <c r="AY76" s="110" t="s">
        <v>1693</v>
      </c>
      <c r="AZ76" s="110" t="s">
        <v>1728</v>
      </c>
      <c r="BA76" s="109" t="s">
        <v>1737</v>
      </c>
      <c r="BC76" s="100">
        <f>AW76+AX76</f>
        <v>0</v>
      </c>
      <c r="BD76" s="100">
        <f>H76/(100-BE76)*100</f>
        <v>0</v>
      </c>
      <c r="BE76" s="100">
        <v>0</v>
      </c>
      <c r="BF76" s="100">
        <f>76</f>
        <v>76</v>
      </c>
      <c r="BH76" s="108">
        <f>G76*AO76</f>
        <v>0</v>
      </c>
      <c r="BI76" s="108">
        <f>G76*AP76</f>
        <v>0</v>
      </c>
      <c r="BJ76" s="108">
        <f>G76*H76</f>
        <v>0</v>
      </c>
    </row>
    <row r="77" spans="1:62" x14ac:dyDescent="0.2">
      <c r="B77" s="125" t="s">
        <v>613</v>
      </c>
      <c r="C77" s="164" t="s">
        <v>1117</v>
      </c>
      <c r="D77" s="158"/>
      <c r="E77" s="158"/>
      <c r="F77" s="158"/>
      <c r="G77" s="158"/>
      <c r="H77" s="158"/>
      <c r="I77" s="158"/>
      <c r="J77" s="158"/>
      <c r="K77" s="158"/>
      <c r="L77" s="158"/>
    </row>
    <row r="78" spans="1:62" x14ac:dyDescent="0.2">
      <c r="A78" s="117" t="s">
        <v>56</v>
      </c>
      <c r="B78" s="117" t="s">
        <v>617</v>
      </c>
      <c r="C78" s="304" t="s">
        <v>1118</v>
      </c>
      <c r="D78" s="305"/>
      <c r="E78" s="305"/>
      <c r="F78" s="117" t="s">
        <v>1646</v>
      </c>
      <c r="G78" s="116">
        <v>181.95</v>
      </c>
      <c r="H78" s="159"/>
      <c r="I78" s="108">
        <f t="shared" ref="I78:I84" si="44">G78*AO78</f>
        <v>0</v>
      </c>
      <c r="J78" s="108">
        <f t="shared" ref="J78:J84" si="45">G78*AP78</f>
        <v>0</v>
      </c>
      <c r="K78" s="108">
        <f t="shared" ref="K78:K84" si="46">G78*H78</f>
        <v>0</v>
      </c>
      <c r="L78" s="111" t="s">
        <v>1671</v>
      </c>
      <c r="Z78" s="100">
        <f t="shared" ref="Z78:Z84" si="47">IF(AQ78="5",BJ78,0)</f>
        <v>0</v>
      </c>
      <c r="AB78" s="100">
        <f t="shared" ref="AB78:AB84" si="48">IF(AQ78="1",BH78,0)</f>
        <v>0</v>
      </c>
      <c r="AC78" s="100">
        <f t="shared" ref="AC78:AC84" si="49">IF(AQ78="1",BI78,0)</f>
        <v>0</v>
      </c>
      <c r="AD78" s="100">
        <f t="shared" ref="AD78:AD84" si="50">IF(AQ78="7",BH78,0)</f>
        <v>0</v>
      </c>
      <c r="AE78" s="100">
        <f t="shared" ref="AE78:AE84" si="51">IF(AQ78="7",BI78,0)</f>
        <v>0</v>
      </c>
      <c r="AF78" s="100">
        <f t="shared" ref="AF78:AF84" si="52">IF(AQ78="2",BH78,0)</f>
        <v>0</v>
      </c>
      <c r="AG78" s="100">
        <f t="shared" ref="AG78:AG84" si="53">IF(AQ78="2",BI78,0)</f>
        <v>0</v>
      </c>
      <c r="AH78" s="100">
        <f t="shared" ref="AH78:AH84" si="54">IF(AQ78="0",BJ78,0)</f>
        <v>0</v>
      </c>
      <c r="AI78" s="109"/>
      <c r="AJ78" s="108">
        <f t="shared" ref="AJ78:AJ84" si="55">IF(AN78=0,K78,0)</f>
        <v>0</v>
      </c>
      <c r="AK78" s="108">
        <f t="shared" ref="AK78:AK84" si="56">IF(AN78=15,K78,0)</f>
        <v>0</v>
      </c>
      <c r="AL78" s="108">
        <f t="shared" ref="AL78:AL84" si="57">IF(AN78=21,K78,0)</f>
        <v>0</v>
      </c>
      <c r="AN78" s="100">
        <v>15</v>
      </c>
      <c r="AO78" s="100">
        <f>H78*0.314</f>
        <v>0</v>
      </c>
      <c r="AP78" s="100">
        <f>H78*(1-0.314)</f>
        <v>0</v>
      </c>
      <c r="AQ78" s="111" t="s">
        <v>7</v>
      </c>
      <c r="AV78" s="100">
        <f t="shared" ref="AV78:AV84" si="58">AW78+AX78</f>
        <v>0</v>
      </c>
      <c r="AW78" s="100">
        <f t="shared" ref="AW78:AW84" si="59">G78*AO78</f>
        <v>0</v>
      </c>
      <c r="AX78" s="100">
        <f t="shared" ref="AX78:AX84" si="60">G78*AP78</f>
        <v>0</v>
      </c>
      <c r="AY78" s="110" t="s">
        <v>1693</v>
      </c>
      <c r="AZ78" s="110" t="s">
        <v>1728</v>
      </c>
      <c r="BA78" s="109" t="s">
        <v>1737</v>
      </c>
      <c r="BC78" s="100">
        <f t="shared" ref="BC78:BC84" si="61">AW78+AX78</f>
        <v>0</v>
      </c>
      <c r="BD78" s="100">
        <f t="shared" ref="BD78:BD84" si="62">H78/(100-BE78)*100</f>
        <v>0</v>
      </c>
      <c r="BE78" s="100">
        <v>0</v>
      </c>
      <c r="BF78" s="100">
        <f>78</f>
        <v>78</v>
      </c>
      <c r="BH78" s="108">
        <f t="shared" ref="BH78:BH84" si="63">G78*AO78</f>
        <v>0</v>
      </c>
      <c r="BI78" s="108">
        <f t="shared" ref="BI78:BI84" si="64">G78*AP78</f>
        <v>0</v>
      </c>
      <c r="BJ78" s="108">
        <f t="shared" ref="BJ78:BJ84" si="65">G78*H78</f>
        <v>0</v>
      </c>
    </row>
    <row r="79" spans="1:62" x14ac:dyDescent="0.2">
      <c r="A79" s="117" t="s">
        <v>57</v>
      </c>
      <c r="B79" s="117" t="s">
        <v>2859</v>
      </c>
      <c r="C79" s="304" t="s">
        <v>2858</v>
      </c>
      <c r="D79" s="305"/>
      <c r="E79" s="305"/>
      <c r="F79" s="117" t="s">
        <v>1646</v>
      </c>
      <c r="G79" s="116">
        <v>2.5499999999999998</v>
      </c>
      <c r="H79" s="159"/>
      <c r="I79" s="108">
        <f t="shared" si="44"/>
        <v>0</v>
      </c>
      <c r="J79" s="108">
        <f t="shared" si="45"/>
        <v>0</v>
      </c>
      <c r="K79" s="108">
        <f t="shared" si="46"/>
        <v>0</v>
      </c>
      <c r="L79" s="111" t="s">
        <v>1671</v>
      </c>
      <c r="Z79" s="100">
        <f t="shared" si="47"/>
        <v>0</v>
      </c>
      <c r="AB79" s="100">
        <f t="shared" si="48"/>
        <v>0</v>
      </c>
      <c r="AC79" s="100">
        <f t="shared" si="49"/>
        <v>0</v>
      </c>
      <c r="AD79" s="100">
        <f t="shared" si="50"/>
        <v>0</v>
      </c>
      <c r="AE79" s="100">
        <f t="shared" si="51"/>
        <v>0</v>
      </c>
      <c r="AF79" s="100">
        <f t="shared" si="52"/>
        <v>0</v>
      </c>
      <c r="AG79" s="100">
        <f t="shared" si="53"/>
        <v>0</v>
      </c>
      <c r="AH79" s="100">
        <f t="shared" si="54"/>
        <v>0</v>
      </c>
      <c r="AI79" s="109"/>
      <c r="AJ79" s="108">
        <f t="shared" si="55"/>
        <v>0</v>
      </c>
      <c r="AK79" s="108">
        <f t="shared" si="56"/>
        <v>0</v>
      </c>
      <c r="AL79" s="108">
        <f t="shared" si="57"/>
        <v>0</v>
      </c>
      <c r="AN79" s="100">
        <v>15</v>
      </c>
      <c r="AO79" s="100">
        <f>H79*0.313882352941176</f>
        <v>0</v>
      </c>
      <c r="AP79" s="100">
        <f>H79*(1-0.313882352941176)</f>
        <v>0</v>
      </c>
      <c r="AQ79" s="111" t="s">
        <v>7</v>
      </c>
      <c r="AV79" s="100">
        <f t="shared" si="58"/>
        <v>0</v>
      </c>
      <c r="AW79" s="100">
        <f t="shared" si="59"/>
        <v>0</v>
      </c>
      <c r="AX79" s="100">
        <f t="shared" si="60"/>
        <v>0</v>
      </c>
      <c r="AY79" s="110" t="s">
        <v>1693</v>
      </c>
      <c r="AZ79" s="110" t="s">
        <v>1728</v>
      </c>
      <c r="BA79" s="109" t="s">
        <v>1737</v>
      </c>
      <c r="BC79" s="100">
        <f t="shared" si="61"/>
        <v>0</v>
      </c>
      <c r="BD79" s="100">
        <f t="shared" si="62"/>
        <v>0</v>
      </c>
      <c r="BE79" s="100">
        <v>0</v>
      </c>
      <c r="BF79" s="100">
        <f>79</f>
        <v>79</v>
      </c>
      <c r="BH79" s="108">
        <f t="shared" si="63"/>
        <v>0</v>
      </c>
      <c r="BI79" s="108">
        <f t="shared" si="64"/>
        <v>0</v>
      </c>
      <c r="BJ79" s="108">
        <f t="shared" si="65"/>
        <v>0</v>
      </c>
    </row>
    <row r="80" spans="1:62" x14ac:dyDescent="0.2">
      <c r="A80" s="117" t="s">
        <v>58</v>
      </c>
      <c r="B80" s="117" t="s">
        <v>618</v>
      </c>
      <c r="C80" s="304" t="s">
        <v>1119</v>
      </c>
      <c r="D80" s="305"/>
      <c r="E80" s="305"/>
      <c r="F80" s="117" t="s">
        <v>1645</v>
      </c>
      <c r="G80" s="116">
        <v>1670.4110000000001</v>
      </c>
      <c r="H80" s="159"/>
      <c r="I80" s="108">
        <f t="shared" si="44"/>
        <v>0</v>
      </c>
      <c r="J80" s="108">
        <f t="shared" si="45"/>
        <v>0</v>
      </c>
      <c r="K80" s="108">
        <f t="shared" si="46"/>
        <v>0</v>
      </c>
      <c r="L80" s="111" t="s">
        <v>1671</v>
      </c>
      <c r="Z80" s="100">
        <f t="shared" si="47"/>
        <v>0</v>
      </c>
      <c r="AB80" s="100">
        <f t="shared" si="48"/>
        <v>0</v>
      </c>
      <c r="AC80" s="100">
        <f t="shared" si="49"/>
        <v>0</v>
      </c>
      <c r="AD80" s="100">
        <f t="shared" si="50"/>
        <v>0</v>
      </c>
      <c r="AE80" s="100">
        <f t="shared" si="51"/>
        <v>0</v>
      </c>
      <c r="AF80" s="100">
        <f t="shared" si="52"/>
        <v>0</v>
      </c>
      <c r="AG80" s="100">
        <f t="shared" si="53"/>
        <v>0</v>
      </c>
      <c r="AH80" s="100">
        <f t="shared" si="54"/>
        <v>0</v>
      </c>
      <c r="AI80" s="109"/>
      <c r="AJ80" s="108">
        <f t="shared" si="55"/>
        <v>0</v>
      </c>
      <c r="AK80" s="108">
        <f t="shared" si="56"/>
        <v>0</v>
      </c>
      <c r="AL80" s="108">
        <f t="shared" si="57"/>
        <v>0</v>
      </c>
      <c r="AN80" s="100">
        <v>15</v>
      </c>
      <c r="AO80" s="100">
        <f>H80*0.321454527959965</f>
        <v>0</v>
      </c>
      <c r="AP80" s="100">
        <f>H80*(1-0.321454527959965)</f>
        <v>0</v>
      </c>
      <c r="AQ80" s="111" t="s">
        <v>7</v>
      </c>
      <c r="AV80" s="100">
        <f t="shared" si="58"/>
        <v>0</v>
      </c>
      <c r="AW80" s="100">
        <f t="shared" si="59"/>
        <v>0</v>
      </c>
      <c r="AX80" s="100">
        <f t="shared" si="60"/>
        <v>0</v>
      </c>
      <c r="AY80" s="110" t="s">
        <v>1693</v>
      </c>
      <c r="AZ80" s="110" t="s">
        <v>1728</v>
      </c>
      <c r="BA80" s="109" t="s">
        <v>1737</v>
      </c>
      <c r="BC80" s="100">
        <f t="shared" si="61"/>
        <v>0</v>
      </c>
      <c r="BD80" s="100">
        <f t="shared" si="62"/>
        <v>0</v>
      </c>
      <c r="BE80" s="100">
        <v>0</v>
      </c>
      <c r="BF80" s="100">
        <f>80</f>
        <v>80</v>
      </c>
      <c r="BH80" s="108">
        <f t="shared" si="63"/>
        <v>0</v>
      </c>
      <c r="BI80" s="108">
        <f t="shared" si="64"/>
        <v>0</v>
      </c>
      <c r="BJ80" s="108">
        <f t="shared" si="65"/>
        <v>0</v>
      </c>
    </row>
    <row r="81" spans="1:62" x14ac:dyDescent="0.2">
      <c r="A81" s="117" t="s">
        <v>59</v>
      </c>
      <c r="B81" s="117" t="s">
        <v>619</v>
      </c>
      <c r="C81" s="304" t="s">
        <v>1120</v>
      </c>
      <c r="D81" s="305"/>
      <c r="E81" s="305"/>
      <c r="F81" s="117" t="s">
        <v>1646</v>
      </c>
      <c r="G81" s="116">
        <v>556.69000000000005</v>
      </c>
      <c r="H81" s="159"/>
      <c r="I81" s="108">
        <f t="shared" si="44"/>
        <v>0</v>
      </c>
      <c r="J81" s="108">
        <f t="shared" si="45"/>
        <v>0</v>
      </c>
      <c r="K81" s="108">
        <f t="shared" si="46"/>
        <v>0</v>
      </c>
      <c r="L81" s="111" t="s">
        <v>1671</v>
      </c>
      <c r="Z81" s="100">
        <f t="shared" si="47"/>
        <v>0</v>
      </c>
      <c r="AB81" s="100">
        <f t="shared" si="48"/>
        <v>0</v>
      </c>
      <c r="AC81" s="100">
        <f t="shared" si="49"/>
        <v>0</v>
      </c>
      <c r="AD81" s="100">
        <f t="shared" si="50"/>
        <v>0</v>
      </c>
      <c r="AE81" s="100">
        <f t="shared" si="51"/>
        <v>0</v>
      </c>
      <c r="AF81" s="100">
        <f t="shared" si="52"/>
        <v>0</v>
      </c>
      <c r="AG81" s="100">
        <f t="shared" si="53"/>
        <v>0</v>
      </c>
      <c r="AH81" s="100">
        <f t="shared" si="54"/>
        <v>0</v>
      </c>
      <c r="AI81" s="109"/>
      <c r="AJ81" s="108">
        <f t="shared" si="55"/>
        <v>0</v>
      </c>
      <c r="AK81" s="108">
        <f t="shared" si="56"/>
        <v>0</v>
      </c>
      <c r="AL81" s="108">
        <f t="shared" si="57"/>
        <v>0</v>
      </c>
      <c r="AN81" s="100">
        <v>15</v>
      </c>
      <c r="AO81" s="100">
        <f>H81*0.240880096593693</f>
        <v>0</v>
      </c>
      <c r="AP81" s="100">
        <f>H81*(1-0.240880096593693)</f>
        <v>0</v>
      </c>
      <c r="AQ81" s="111" t="s">
        <v>7</v>
      </c>
      <c r="AV81" s="100">
        <f t="shared" si="58"/>
        <v>0</v>
      </c>
      <c r="AW81" s="100">
        <f t="shared" si="59"/>
        <v>0</v>
      </c>
      <c r="AX81" s="100">
        <f t="shared" si="60"/>
        <v>0</v>
      </c>
      <c r="AY81" s="110" t="s">
        <v>1693</v>
      </c>
      <c r="AZ81" s="110" t="s">
        <v>1728</v>
      </c>
      <c r="BA81" s="109" t="s">
        <v>1737</v>
      </c>
      <c r="BC81" s="100">
        <f t="shared" si="61"/>
        <v>0</v>
      </c>
      <c r="BD81" s="100">
        <f t="shared" si="62"/>
        <v>0</v>
      </c>
      <c r="BE81" s="100">
        <v>0</v>
      </c>
      <c r="BF81" s="100">
        <f>81</f>
        <v>81</v>
      </c>
      <c r="BH81" s="108">
        <f t="shared" si="63"/>
        <v>0</v>
      </c>
      <c r="BI81" s="108">
        <f t="shared" si="64"/>
        <v>0</v>
      </c>
      <c r="BJ81" s="108">
        <f t="shared" si="65"/>
        <v>0</v>
      </c>
    </row>
    <row r="82" spans="1:62" x14ac:dyDescent="0.2">
      <c r="A82" s="117" t="s">
        <v>60</v>
      </c>
      <c r="B82" s="117" t="s">
        <v>620</v>
      </c>
      <c r="C82" s="304" t="s">
        <v>1121</v>
      </c>
      <c r="D82" s="305"/>
      <c r="E82" s="305"/>
      <c r="F82" s="117" t="s">
        <v>1646</v>
      </c>
      <c r="G82" s="116">
        <v>184.5</v>
      </c>
      <c r="H82" s="159"/>
      <c r="I82" s="108">
        <f t="shared" si="44"/>
        <v>0</v>
      </c>
      <c r="J82" s="108">
        <f t="shared" si="45"/>
        <v>0</v>
      </c>
      <c r="K82" s="108">
        <f t="shared" si="46"/>
        <v>0</v>
      </c>
      <c r="L82" s="111" t="s">
        <v>1671</v>
      </c>
      <c r="Z82" s="100">
        <f t="shared" si="47"/>
        <v>0</v>
      </c>
      <c r="AB82" s="100">
        <f t="shared" si="48"/>
        <v>0</v>
      </c>
      <c r="AC82" s="100">
        <f t="shared" si="49"/>
        <v>0</v>
      </c>
      <c r="AD82" s="100">
        <f t="shared" si="50"/>
        <v>0</v>
      </c>
      <c r="AE82" s="100">
        <f t="shared" si="51"/>
        <v>0</v>
      </c>
      <c r="AF82" s="100">
        <f t="shared" si="52"/>
        <v>0</v>
      </c>
      <c r="AG82" s="100">
        <f t="shared" si="53"/>
        <v>0</v>
      </c>
      <c r="AH82" s="100">
        <f t="shared" si="54"/>
        <v>0</v>
      </c>
      <c r="AI82" s="109"/>
      <c r="AJ82" s="108">
        <f t="shared" si="55"/>
        <v>0</v>
      </c>
      <c r="AK82" s="108">
        <f t="shared" si="56"/>
        <v>0</v>
      </c>
      <c r="AL82" s="108">
        <f t="shared" si="57"/>
        <v>0</v>
      </c>
      <c r="AN82" s="100">
        <v>15</v>
      </c>
      <c r="AO82" s="100">
        <f>H82*0.259558963307115</f>
        <v>0</v>
      </c>
      <c r="AP82" s="100">
        <f>H82*(1-0.259558963307115)</f>
        <v>0</v>
      </c>
      <c r="AQ82" s="111" t="s">
        <v>7</v>
      </c>
      <c r="AV82" s="100">
        <f t="shared" si="58"/>
        <v>0</v>
      </c>
      <c r="AW82" s="100">
        <f t="shared" si="59"/>
        <v>0</v>
      </c>
      <c r="AX82" s="100">
        <f t="shared" si="60"/>
        <v>0</v>
      </c>
      <c r="AY82" s="110" t="s">
        <v>1693</v>
      </c>
      <c r="AZ82" s="110" t="s">
        <v>1728</v>
      </c>
      <c r="BA82" s="109" t="s">
        <v>1737</v>
      </c>
      <c r="BC82" s="100">
        <f t="shared" si="61"/>
        <v>0</v>
      </c>
      <c r="BD82" s="100">
        <f t="shared" si="62"/>
        <v>0</v>
      </c>
      <c r="BE82" s="100">
        <v>0</v>
      </c>
      <c r="BF82" s="100">
        <f>82</f>
        <v>82</v>
      </c>
      <c r="BH82" s="108">
        <f t="shared" si="63"/>
        <v>0</v>
      </c>
      <c r="BI82" s="108">
        <f t="shared" si="64"/>
        <v>0</v>
      </c>
      <c r="BJ82" s="108">
        <f t="shared" si="65"/>
        <v>0</v>
      </c>
    </row>
    <row r="83" spans="1:62" x14ac:dyDescent="0.2">
      <c r="A83" s="117" t="s">
        <v>61</v>
      </c>
      <c r="B83" s="117" t="s">
        <v>621</v>
      </c>
      <c r="C83" s="304" t="s">
        <v>1122</v>
      </c>
      <c r="D83" s="305"/>
      <c r="E83" s="305"/>
      <c r="F83" s="117" t="s">
        <v>1645</v>
      </c>
      <c r="G83" s="116">
        <v>223.108</v>
      </c>
      <c r="H83" s="159"/>
      <c r="I83" s="108">
        <f t="shared" si="44"/>
        <v>0</v>
      </c>
      <c r="J83" s="108">
        <f t="shared" si="45"/>
        <v>0</v>
      </c>
      <c r="K83" s="108">
        <f t="shared" si="46"/>
        <v>0</v>
      </c>
      <c r="L83" s="111" t="s">
        <v>1671</v>
      </c>
      <c r="Z83" s="100">
        <f t="shared" si="47"/>
        <v>0</v>
      </c>
      <c r="AB83" s="100">
        <f t="shared" si="48"/>
        <v>0</v>
      </c>
      <c r="AC83" s="100">
        <f t="shared" si="49"/>
        <v>0</v>
      </c>
      <c r="AD83" s="100">
        <f t="shared" si="50"/>
        <v>0</v>
      </c>
      <c r="AE83" s="100">
        <f t="shared" si="51"/>
        <v>0</v>
      </c>
      <c r="AF83" s="100">
        <f t="shared" si="52"/>
        <v>0</v>
      </c>
      <c r="AG83" s="100">
        <f t="shared" si="53"/>
        <v>0</v>
      </c>
      <c r="AH83" s="100">
        <f t="shared" si="54"/>
        <v>0</v>
      </c>
      <c r="AI83" s="109"/>
      <c r="AJ83" s="108">
        <f t="shared" si="55"/>
        <v>0</v>
      </c>
      <c r="AK83" s="108">
        <f t="shared" si="56"/>
        <v>0</v>
      </c>
      <c r="AL83" s="108">
        <f t="shared" si="57"/>
        <v>0</v>
      </c>
      <c r="AN83" s="100">
        <v>15</v>
      </c>
      <c r="AO83" s="100">
        <f>H83*0.476853737861696</f>
        <v>0</v>
      </c>
      <c r="AP83" s="100">
        <f>H83*(1-0.476853737861696)</f>
        <v>0</v>
      </c>
      <c r="AQ83" s="111" t="s">
        <v>7</v>
      </c>
      <c r="AV83" s="100">
        <f t="shared" si="58"/>
        <v>0</v>
      </c>
      <c r="AW83" s="100">
        <f t="shared" si="59"/>
        <v>0</v>
      </c>
      <c r="AX83" s="100">
        <f t="shared" si="60"/>
        <v>0</v>
      </c>
      <c r="AY83" s="110" t="s">
        <v>1693</v>
      </c>
      <c r="AZ83" s="110" t="s">
        <v>1728</v>
      </c>
      <c r="BA83" s="109" t="s">
        <v>1737</v>
      </c>
      <c r="BC83" s="100">
        <f t="shared" si="61"/>
        <v>0</v>
      </c>
      <c r="BD83" s="100">
        <f t="shared" si="62"/>
        <v>0</v>
      </c>
      <c r="BE83" s="100">
        <v>0</v>
      </c>
      <c r="BF83" s="100">
        <f>83</f>
        <v>83</v>
      </c>
      <c r="BH83" s="108">
        <f t="shared" si="63"/>
        <v>0</v>
      </c>
      <c r="BI83" s="108">
        <f t="shared" si="64"/>
        <v>0</v>
      </c>
      <c r="BJ83" s="108">
        <f t="shared" si="65"/>
        <v>0</v>
      </c>
    </row>
    <row r="84" spans="1:62" x14ac:dyDescent="0.2">
      <c r="A84" s="117" t="s">
        <v>62</v>
      </c>
      <c r="B84" s="117" t="s">
        <v>2502</v>
      </c>
      <c r="C84" s="304" t="s">
        <v>2501</v>
      </c>
      <c r="D84" s="305"/>
      <c r="E84" s="305"/>
      <c r="F84" s="117" t="s">
        <v>1645</v>
      </c>
      <c r="G84" s="116">
        <v>8.9830000000000005</v>
      </c>
      <c r="H84" s="159"/>
      <c r="I84" s="108">
        <f t="shared" si="44"/>
        <v>0</v>
      </c>
      <c r="J84" s="108">
        <f t="shared" si="45"/>
        <v>0</v>
      </c>
      <c r="K84" s="108">
        <f t="shared" si="46"/>
        <v>0</v>
      </c>
      <c r="L84" s="111" t="s">
        <v>1671</v>
      </c>
      <c r="Z84" s="100">
        <f t="shared" si="47"/>
        <v>0</v>
      </c>
      <c r="AB84" s="100">
        <f t="shared" si="48"/>
        <v>0</v>
      </c>
      <c r="AC84" s="100">
        <f t="shared" si="49"/>
        <v>0</v>
      </c>
      <c r="AD84" s="100">
        <f t="shared" si="50"/>
        <v>0</v>
      </c>
      <c r="AE84" s="100">
        <f t="shared" si="51"/>
        <v>0</v>
      </c>
      <c r="AF84" s="100">
        <f t="shared" si="52"/>
        <v>0</v>
      </c>
      <c r="AG84" s="100">
        <f t="shared" si="53"/>
        <v>0</v>
      </c>
      <c r="AH84" s="100">
        <f t="shared" si="54"/>
        <v>0</v>
      </c>
      <c r="AI84" s="109"/>
      <c r="AJ84" s="108">
        <f t="shared" si="55"/>
        <v>0</v>
      </c>
      <c r="AK84" s="108">
        <f t="shared" si="56"/>
        <v>0</v>
      </c>
      <c r="AL84" s="108">
        <f t="shared" si="57"/>
        <v>0</v>
      </c>
      <c r="AN84" s="100">
        <v>15</v>
      </c>
      <c r="AO84" s="100">
        <f>H84*0.407449586343266</f>
        <v>0</v>
      </c>
      <c r="AP84" s="100">
        <f>H84*(1-0.407449586343266)</f>
        <v>0</v>
      </c>
      <c r="AQ84" s="111" t="s">
        <v>7</v>
      </c>
      <c r="AV84" s="100">
        <f t="shared" si="58"/>
        <v>0</v>
      </c>
      <c r="AW84" s="100">
        <f t="shared" si="59"/>
        <v>0</v>
      </c>
      <c r="AX84" s="100">
        <f t="shared" si="60"/>
        <v>0</v>
      </c>
      <c r="AY84" s="110" t="s">
        <v>1693</v>
      </c>
      <c r="AZ84" s="110" t="s">
        <v>1728</v>
      </c>
      <c r="BA84" s="109" t="s">
        <v>1737</v>
      </c>
      <c r="BC84" s="100">
        <f t="shared" si="61"/>
        <v>0</v>
      </c>
      <c r="BD84" s="100">
        <f t="shared" si="62"/>
        <v>0</v>
      </c>
      <c r="BE84" s="100">
        <v>0</v>
      </c>
      <c r="BF84" s="100">
        <f>84</f>
        <v>84</v>
      </c>
      <c r="BH84" s="108">
        <f t="shared" si="63"/>
        <v>0</v>
      </c>
      <c r="BI84" s="108">
        <f t="shared" si="64"/>
        <v>0</v>
      </c>
      <c r="BJ84" s="108">
        <f t="shared" si="65"/>
        <v>0</v>
      </c>
    </row>
    <row r="85" spans="1:62" x14ac:dyDescent="0.2">
      <c r="B85" s="125" t="s">
        <v>613</v>
      </c>
      <c r="C85" s="165" t="s">
        <v>4656</v>
      </c>
      <c r="D85" s="158"/>
      <c r="E85" s="158"/>
      <c r="F85" s="158"/>
      <c r="G85" s="158"/>
      <c r="H85" s="158"/>
      <c r="I85" s="158"/>
      <c r="J85" s="158"/>
      <c r="K85" s="158"/>
      <c r="L85" s="158"/>
    </row>
    <row r="86" spans="1:62" x14ac:dyDescent="0.2">
      <c r="A86" s="117" t="s">
        <v>63</v>
      </c>
      <c r="B86" s="117" t="s">
        <v>2500</v>
      </c>
      <c r="C86" s="304" t="s">
        <v>2499</v>
      </c>
      <c r="D86" s="305"/>
      <c r="E86" s="305"/>
      <c r="F86" s="117" t="s">
        <v>1645</v>
      </c>
      <c r="G86" s="116">
        <v>76.483999999999995</v>
      </c>
      <c r="H86" s="159"/>
      <c r="I86" s="108">
        <f>G86*AO86</f>
        <v>0</v>
      </c>
      <c r="J86" s="108">
        <f>G86*AP86</f>
        <v>0</v>
      </c>
      <c r="K86" s="108">
        <f>G86*H86</f>
        <v>0</v>
      </c>
      <c r="L86" s="111" t="s">
        <v>1671</v>
      </c>
      <c r="Z86" s="100">
        <f>IF(AQ86="5",BJ86,0)</f>
        <v>0</v>
      </c>
      <c r="AB86" s="100">
        <f>IF(AQ86="1",BH86,0)</f>
        <v>0</v>
      </c>
      <c r="AC86" s="100">
        <f>IF(AQ86="1",BI86,0)</f>
        <v>0</v>
      </c>
      <c r="AD86" s="100">
        <f>IF(AQ86="7",BH86,0)</f>
        <v>0</v>
      </c>
      <c r="AE86" s="100">
        <f>IF(AQ86="7",BI86,0)</f>
        <v>0</v>
      </c>
      <c r="AF86" s="100">
        <f>IF(AQ86="2",BH86,0)</f>
        <v>0</v>
      </c>
      <c r="AG86" s="100">
        <f>IF(AQ86="2",BI86,0)</f>
        <v>0</v>
      </c>
      <c r="AH86" s="100">
        <f>IF(AQ86="0",BJ86,0)</f>
        <v>0</v>
      </c>
      <c r="AI86" s="109"/>
      <c r="AJ86" s="108">
        <f>IF(AN86=0,K86,0)</f>
        <v>0</v>
      </c>
      <c r="AK86" s="108">
        <f>IF(AN86=15,K86,0)</f>
        <v>0</v>
      </c>
      <c r="AL86" s="108">
        <f>IF(AN86=21,K86,0)</f>
        <v>0</v>
      </c>
      <c r="AN86" s="100">
        <v>15</v>
      </c>
      <c r="AO86" s="100">
        <f>H86*0.504680412371134</f>
        <v>0</v>
      </c>
      <c r="AP86" s="100">
        <f>H86*(1-0.504680412371134)</f>
        <v>0</v>
      </c>
      <c r="AQ86" s="111" t="s">
        <v>7</v>
      </c>
      <c r="AV86" s="100">
        <f>AW86+AX86</f>
        <v>0</v>
      </c>
      <c r="AW86" s="100">
        <f>G86*AO86</f>
        <v>0</v>
      </c>
      <c r="AX86" s="100">
        <f>G86*AP86</f>
        <v>0</v>
      </c>
      <c r="AY86" s="110" t="s">
        <v>1693</v>
      </c>
      <c r="AZ86" s="110" t="s">
        <v>1728</v>
      </c>
      <c r="BA86" s="109" t="s">
        <v>1737</v>
      </c>
      <c r="BC86" s="100">
        <f>AW86+AX86</f>
        <v>0</v>
      </c>
      <c r="BD86" s="100">
        <f>H86/(100-BE86)*100</f>
        <v>0</v>
      </c>
      <c r="BE86" s="100">
        <v>0</v>
      </c>
      <c r="BF86" s="100">
        <f>86</f>
        <v>86</v>
      </c>
      <c r="BH86" s="108">
        <f>G86*AO86</f>
        <v>0</v>
      </c>
      <c r="BI86" s="108">
        <f>G86*AP86</f>
        <v>0</v>
      </c>
      <c r="BJ86" s="108">
        <f>G86*H86</f>
        <v>0</v>
      </c>
    </row>
    <row r="87" spans="1:62" x14ac:dyDescent="0.2">
      <c r="B87" s="125" t="s">
        <v>613</v>
      </c>
      <c r="C87" s="164" t="s">
        <v>2498</v>
      </c>
      <c r="D87" s="158"/>
      <c r="E87" s="158"/>
      <c r="F87" s="158"/>
      <c r="G87" s="158"/>
      <c r="H87" s="158"/>
      <c r="I87" s="158"/>
      <c r="J87" s="158"/>
      <c r="K87" s="158"/>
      <c r="L87" s="158"/>
    </row>
    <row r="88" spans="1:62" x14ac:dyDescent="0.2">
      <c r="A88" s="117" t="s">
        <v>64</v>
      </c>
      <c r="B88" s="117" t="s">
        <v>622</v>
      </c>
      <c r="C88" s="304" t="s">
        <v>1123</v>
      </c>
      <c r="D88" s="305"/>
      <c r="E88" s="305"/>
      <c r="F88" s="117" t="s">
        <v>1646</v>
      </c>
      <c r="G88" s="116">
        <v>556.69000000000005</v>
      </c>
      <c r="H88" s="159"/>
      <c r="I88" s="108">
        <f t="shared" ref="I88:I96" si="66">G88*AO88</f>
        <v>0</v>
      </c>
      <c r="J88" s="108">
        <f t="shared" ref="J88:J96" si="67">G88*AP88</f>
        <v>0</v>
      </c>
      <c r="K88" s="108">
        <f t="shared" ref="K88:K96" si="68">G88*H88</f>
        <v>0</v>
      </c>
      <c r="L88" s="111" t="s">
        <v>1671</v>
      </c>
      <c r="Z88" s="100">
        <f t="shared" ref="Z88:Z96" si="69">IF(AQ88="5",BJ88,0)</f>
        <v>0</v>
      </c>
      <c r="AB88" s="100">
        <f t="shared" ref="AB88:AB96" si="70">IF(AQ88="1",BH88,0)</f>
        <v>0</v>
      </c>
      <c r="AC88" s="100">
        <f t="shared" ref="AC88:AC96" si="71">IF(AQ88="1",BI88,0)</f>
        <v>0</v>
      </c>
      <c r="AD88" s="100">
        <f t="shared" ref="AD88:AD96" si="72">IF(AQ88="7",BH88,0)</f>
        <v>0</v>
      </c>
      <c r="AE88" s="100">
        <f t="shared" ref="AE88:AE96" si="73">IF(AQ88="7",BI88,0)</f>
        <v>0</v>
      </c>
      <c r="AF88" s="100">
        <f t="shared" ref="AF88:AF96" si="74">IF(AQ88="2",BH88,0)</f>
        <v>0</v>
      </c>
      <c r="AG88" s="100">
        <f t="shared" ref="AG88:AG96" si="75">IF(AQ88="2",BI88,0)</f>
        <v>0</v>
      </c>
      <c r="AH88" s="100">
        <f t="shared" ref="AH88:AH96" si="76">IF(AQ88="0",BJ88,0)</f>
        <v>0</v>
      </c>
      <c r="AI88" s="109"/>
      <c r="AJ88" s="108">
        <f t="shared" ref="AJ88:AJ96" si="77">IF(AN88=0,K88,0)</f>
        <v>0</v>
      </c>
      <c r="AK88" s="108">
        <f t="shared" ref="AK88:AK96" si="78">IF(AN88=15,K88,0)</f>
        <v>0</v>
      </c>
      <c r="AL88" s="108">
        <f t="shared" ref="AL88:AL96" si="79">IF(AN88=21,K88,0)</f>
        <v>0</v>
      </c>
      <c r="AN88" s="100">
        <v>15</v>
      </c>
      <c r="AO88" s="100">
        <f>H88*0.413696018210018</f>
        <v>0</v>
      </c>
      <c r="AP88" s="100">
        <f>H88*(1-0.413696018210018)</f>
        <v>0</v>
      </c>
      <c r="AQ88" s="111" t="s">
        <v>7</v>
      </c>
      <c r="AV88" s="100">
        <f t="shared" ref="AV88:AV96" si="80">AW88+AX88</f>
        <v>0</v>
      </c>
      <c r="AW88" s="100">
        <f t="shared" ref="AW88:AW96" si="81">G88*AO88</f>
        <v>0</v>
      </c>
      <c r="AX88" s="100">
        <f t="shared" ref="AX88:AX96" si="82">G88*AP88</f>
        <v>0</v>
      </c>
      <c r="AY88" s="110" t="s">
        <v>1693</v>
      </c>
      <c r="AZ88" s="110" t="s">
        <v>1728</v>
      </c>
      <c r="BA88" s="109" t="s">
        <v>1737</v>
      </c>
      <c r="BC88" s="100">
        <f t="shared" ref="BC88:BC96" si="83">AW88+AX88</f>
        <v>0</v>
      </c>
      <c r="BD88" s="100">
        <f t="shared" ref="BD88:BD96" si="84">H88/(100-BE88)*100</f>
        <v>0</v>
      </c>
      <c r="BE88" s="100">
        <v>0</v>
      </c>
      <c r="BF88" s="100">
        <f>88</f>
        <v>88</v>
      </c>
      <c r="BH88" s="108">
        <f t="shared" ref="BH88:BH96" si="85">G88*AO88</f>
        <v>0</v>
      </c>
      <c r="BI88" s="108">
        <f t="shared" ref="BI88:BI96" si="86">G88*AP88</f>
        <v>0</v>
      </c>
      <c r="BJ88" s="108">
        <f t="shared" ref="BJ88:BJ96" si="87">G88*H88</f>
        <v>0</v>
      </c>
    </row>
    <row r="89" spans="1:62" x14ac:dyDescent="0.2">
      <c r="A89" s="117" t="s">
        <v>65</v>
      </c>
      <c r="B89" s="117" t="s">
        <v>623</v>
      </c>
      <c r="C89" s="304" t="s">
        <v>2497</v>
      </c>
      <c r="D89" s="305"/>
      <c r="E89" s="305"/>
      <c r="F89" s="117" t="s">
        <v>1645</v>
      </c>
      <c r="G89" s="116">
        <v>1584.944</v>
      </c>
      <c r="H89" s="159"/>
      <c r="I89" s="108">
        <f t="shared" si="66"/>
        <v>0</v>
      </c>
      <c r="J89" s="108">
        <f t="shared" si="67"/>
        <v>0</v>
      </c>
      <c r="K89" s="108">
        <f t="shared" si="68"/>
        <v>0</v>
      </c>
      <c r="L89" s="111" t="s">
        <v>1671</v>
      </c>
      <c r="Z89" s="100">
        <f t="shared" si="69"/>
        <v>0</v>
      </c>
      <c r="AB89" s="100">
        <f t="shared" si="70"/>
        <v>0</v>
      </c>
      <c r="AC89" s="100">
        <f t="shared" si="71"/>
        <v>0</v>
      </c>
      <c r="AD89" s="100">
        <f t="shared" si="72"/>
        <v>0</v>
      </c>
      <c r="AE89" s="100">
        <f t="shared" si="73"/>
        <v>0</v>
      </c>
      <c r="AF89" s="100">
        <f t="shared" si="74"/>
        <v>0</v>
      </c>
      <c r="AG89" s="100">
        <f t="shared" si="75"/>
        <v>0</v>
      </c>
      <c r="AH89" s="100">
        <f t="shared" si="76"/>
        <v>0</v>
      </c>
      <c r="AI89" s="109"/>
      <c r="AJ89" s="108">
        <f t="shared" si="77"/>
        <v>0</v>
      </c>
      <c r="AK89" s="108">
        <f t="shared" si="78"/>
        <v>0</v>
      </c>
      <c r="AL89" s="108">
        <f t="shared" si="79"/>
        <v>0</v>
      </c>
      <c r="AN89" s="100">
        <v>15</v>
      </c>
      <c r="AO89" s="100">
        <f>H89*0</f>
        <v>0</v>
      </c>
      <c r="AP89" s="100">
        <f>H89*(1-0)</f>
        <v>0</v>
      </c>
      <c r="AQ89" s="111" t="s">
        <v>7</v>
      </c>
      <c r="AV89" s="100">
        <f t="shared" si="80"/>
        <v>0</v>
      </c>
      <c r="AW89" s="100">
        <f t="shared" si="81"/>
        <v>0</v>
      </c>
      <c r="AX89" s="100">
        <f t="shared" si="82"/>
        <v>0</v>
      </c>
      <c r="AY89" s="110" t="s">
        <v>1693</v>
      </c>
      <c r="AZ89" s="110" t="s">
        <v>1728</v>
      </c>
      <c r="BA89" s="109" t="s">
        <v>1737</v>
      </c>
      <c r="BC89" s="100">
        <f t="shared" si="83"/>
        <v>0</v>
      </c>
      <c r="BD89" s="100">
        <f t="shared" si="84"/>
        <v>0</v>
      </c>
      <c r="BE89" s="100">
        <v>0</v>
      </c>
      <c r="BF89" s="100">
        <f>89</f>
        <v>89</v>
      </c>
      <c r="BH89" s="108">
        <f t="shared" si="85"/>
        <v>0</v>
      </c>
      <c r="BI89" s="108">
        <f t="shared" si="86"/>
        <v>0</v>
      </c>
      <c r="BJ89" s="108">
        <f t="shared" si="87"/>
        <v>0</v>
      </c>
    </row>
    <row r="90" spans="1:62" x14ac:dyDescent="0.2">
      <c r="A90" s="117" t="s">
        <v>66</v>
      </c>
      <c r="B90" s="117" t="s">
        <v>623</v>
      </c>
      <c r="C90" s="304" t="s">
        <v>2496</v>
      </c>
      <c r="D90" s="305"/>
      <c r="E90" s="305"/>
      <c r="F90" s="117" t="s">
        <v>1645</v>
      </c>
      <c r="G90" s="116">
        <v>261.39800000000002</v>
      </c>
      <c r="H90" s="159"/>
      <c r="I90" s="108">
        <f t="shared" si="66"/>
        <v>0</v>
      </c>
      <c r="J90" s="108">
        <f t="shared" si="67"/>
        <v>0</v>
      </c>
      <c r="K90" s="108">
        <f t="shared" si="68"/>
        <v>0</v>
      </c>
      <c r="L90" s="111" t="s">
        <v>1671</v>
      </c>
      <c r="Z90" s="100">
        <f t="shared" si="69"/>
        <v>0</v>
      </c>
      <c r="AB90" s="100">
        <f t="shared" si="70"/>
        <v>0</v>
      </c>
      <c r="AC90" s="100">
        <f t="shared" si="71"/>
        <v>0</v>
      </c>
      <c r="AD90" s="100">
        <f t="shared" si="72"/>
        <v>0</v>
      </c>
      <c r="AE90" s="100">
        <f t="shared" si="73"/>
        <v>0</v>
      </c>
      <c r="AF90" s="100">
        <f t="shared" si="74"/>
        <v>0</v>
      </c>
      <c r="AG90" s="100">
        <f t="shared" si="75"/>
        <v>0</v>
      </c>
      <c r="AH90" s="100">
        <f t="shared" si="76"/>
        <v>0</v>
      </c>
      <c r="AI90" s="109"/>
      <c r="AJ90" s="108">
        <f t="shared" si="77"/>
        <v>0</v>
      </c>
      <c r="AK90" s="108">
        <f t="shared" si="78"/>
        <v>0</v>
      </c>
      <c r="AL90" s="108">
        <f t="shared" si="79"/>
        <v>0</v>
      </c>
      <c r="AN90" s="100">
        <v>15</v>
      </c>
      <c r="AO90" s="100">
        <f>H90*0</f>
        <v>0</v>
      </c>
      <c r="AP90" s="100">
        <f>H90*(1-0)</f>
        <v>0</v>
      </c>
      <c r="AQ90" s="111" t="s">
        <v>7</v>
      </c>
      <c r="AV90" s="100">
        <f t="shared" si="80"/>
        <v>0</v>
      </c>
      <c r="AW90" s="100">
        <f t="shared" si="81"/>
        <v>0</v>
      </c>
      <c r="AX90" s="100">
        <f t="shared" si="82"/>
        <v>0</v>
      </c>
      <c r="AY90" s="110" t="s">
        <v>1693</v>
      </c>
      <c r="AZ90" s="110" t="s">
        <v>1728</v>
      </c>
      <c r="BA90" s="109" t="s">
        <v>1737</v>
      </c>
      <c r="BC90" s="100">
        <f t="shared" si="83"/>
        <v>0</v>
      </c>
      <c r="BD90" s="100">
        <f t="shared" si="84"/>
        <v>0</v>
      </c>
      <c r="BE90" s="100">
        <v>0</v>
      </c>
      <c r="BF90" s="100">
        <f>90</f>
        <v>90</v>
      </c>
      <c r="BH90" s="108">
        <f t="shared" si="85"/>
        <v>0</v>
      </c>
      <c r="BI90" s="108">
        <f t="shared" si="86"/>
        <v>0</v>
      </c>
      <c r="BJ90" s="108">
        <f t="shared" si="87"/>
        <v>0</v>
      </c>
    </row>
    <row r="91" spans="1:62" x14ac:dyDescent="0.2">
      <c r="A91" s="117" t="s">
        <v>67</v>
      </c>
      <c r="B91" s="117" t="s">
        <v>624</v>
      </c>
      <c r="C91" s="304" t="s">
        <v>2495</v>
      </c>
      <c r="D91" s="305"/>
      <c r="E91" s="305"/>
      <c r="F91" s="117" t="s">
        <v>1645</v>
      </c>
      <c r="G91" s="116">
        <v>1584.944</v>
      </c>
      <c r="H91" s="159"/>
      <c r="I91" s="108">
        <f t="shared" si="66"/>
        <v>0</v>
      </c>
      <c r="J91" s="108">
        <f t="shared" si="67"/>
        <v>0</v>
      </c>
      <c r="K91" s="108">
        <f t="shared" si="68"/>
        <v>0</v>
      </c>
      <c r="L91" s="111" t="s">
        <v>1671</v>
      </c>
      <c r="Z91" s="100">
        <f t="shared" si="69"/>
        <v>0</v>
      </c>
      <c r="AB91" s="100">
        <f t="shared" si="70"/>
        <v>0</v>
      </c>
      <c r="AC91" s="100">
        <f t="shared" si="71"/>
        <v>0</v>
      </c>
      <c r="AD91" s="100">
        <f t="shared" si="72"/>
        <v>0</v>
      </c>
      <c r="AE91" s="100">
        <f t="shared" si="73"/>
        <v>0</v>
      </c>
      <c r="AF91" s="100">
        <f t="shared" si="74"/>
        <v>0</v>
      </c>
      <c r="AG91" s="100">
        <f t="shared" si="75"/>
        <v>0</v>
      </c>
      <c r="AH91" s="100">
        <f t="shared" si="76"/>
        <v>0</v>
      </c>
      <c r="AI91" s="109"/>
      <c r="AJ91" s="108">
        <f t="shared" si="77"/>
        <v>0</v>
      </c>
      <c r="AK91" s="108">
        <f t="shared" si="78"/>
        <v>0</v>
      </c>
      <c r="AL91" s="108">
        <f t="shared" si="79"/>
        <v>0</v>
      </c>
      <c r="AN91" s="100">
        <v>15</v>
      </c>
      <c r="AO91" s="100">
        <f>H91*0.0655405438934023</f>
        <v>0</v>
      </c>
      <c r="AP91" s="100">
        <f>H91*(1-0.0655405438934023)</f>
        <v>0</v>
      </c>
      <c r="AQ91" s="111" t="s">
        <v>7</v>
      </c>
      <c r="AV91" s="100">
        <f t="shared" si="80"/>
        <v>0</v>
      </c>
      <c r="AW91" s="100">
        <f t="shared" si="81"/>
        <v>0</v>
      </c>
      <c r="AX91" s="100">
        <f t="shared" si="82"/>
        <v>0</v>
      </c>
      <c r="AY91" s="110" t="s">
        <v>1693</v>
      </c>
      <c r="AZ91" s="110" t="s">
        <v>1728</v>
      </c>
      <c r="BA91" s="109" t="s">
        <v>1737</v>
      </c>
      <c r="BC91" s="100">
        <f t="shared" si="83"/>
        <v>0</v>
      </c>
      <c r="BD91" s="100">
        <f t="shared" si="84"/>
        <v>0</v>
      </c>
      <c r="BE91" s="100">
        <v>0</v>
      </c>
      <c r="BF91" s="100">
        <f>91</f>
        <v>91</v>
      </c>
      <c r="BH91" s="108">
        <f t="shared" si="85"/>
        <v>0</v>
      </c>
      <c r="BI91" s="108">
        <f t="shared" si="86"/>
        <v>0</v>
      </c>
      <c r="BJ91" s="108">
        <f t="shared" si="87"/>
        <v>0</v>
      </c>
    </row>
    <row r="92" spans="1:62" x14ac:dyDescent="0.2">
      <c r="A92" s="117" t="s">
        <v>68</v>
      </c>
      <c r="B92" s="117" t="s">
        <v>624</v>
      </c>
      <c r="C92" s="304" t="s">
        <v>2494</v>
      </c>
      <c r="D92" s="305"/>
      <c r="E92" s="305"/>
      <c r="F92" s="117" t="s">
        <v>1645</v>
      </c>
      <c r="G92" s="116">
        <v>261.39800000000002</v>
      </c>
      <c r="H92" s="159"/>
      <c r="I92" s="108">
        <f t="shared" si="66"/>
        <v>0</v>
      </c>
      <c r="J92" s="108">
        <f t="shared" si="67"/>
        <v>0</v>
      </c>
      <c r="K92" s="108">
        <f t="shared" si="68"/>
        <v>0</v>
      </c>
      <c r="L92" s="111" t="s">
        <v>1671</v>
      </c>
      <c r="Z92" s="100">
        <f t="shared" si="69"/>
        <v>0</v>
      </c>
      <c r="AB92" s="100">
        <f t="shared" si="70"/>
        <v>0</v>
      </c>
      <c r="AC92" s="100">
        <f t="shared" si="71"/>
        <v>0</v>
      </c>
      <c r="AD92" s="100">
        <f t="shared" si="72"/>
        <v>0</v>
      </c>
      <c r="AE92" s="100">
        <f t="shared" si="73"/>
        <v>0</v>
      </c>
      <c r="AF92" s="100">
        <f t="shared" si="74"/>
        <v>0</v>
      </c>
      <c r="AG92" s="100">
        <f t="shared" si="75"/>
        <v>0</v>
      </c>
      <c r="AH92" s="100">
        <f t="shared" si="76"/>
        <v>0</v>
      </c>
      <c r="AI92" s="109"/>
      <c r="AJ92" s="108">
        <f t="shared" si="77"/>
        <v>0</v>
      </c>
      <c r="AK92" s="108">
        <f t="shared" si="78"/>
        <v>0</v>
      </c>
      <c r="AL92" s="108">
        <f t="shared" si="79"/>
        <v>0</v>
      </c>
      <c r="AN92" s="100">
        <v>15</v>
      </c>
      <c r="AO92" s="100">
        <f>H92*0.0655405473170505</f>
        <v>0</v>
      </c>
      <c r="AP92" s="100">
        <f>H92*(1-0.0655405473170505)</f>
        <v>0</v>
      </c>
      <c r="AQ92" s="111" t="s">
        <v>7</v>
      </c>
      <c r="AV92" s="100">
        <f t="shared" si="80"/>
        <v>0</v>
      </c>
      <c r="AW92" s="100">
        <f t="shared" si="81"/>
        <v>0</v>
      </c>
      <c r="AX92" s="100">
        <f t="shared" si="82"/>
        <v>0</v>
      </c>
      <c r="AY92" s="110" t="s">
        <v>1693</v>
      </c>
      <c r="AZ92" s="110" t="s">
        <v>1728</v>
      </c>
      <c r="BA92" s="109" t="s">
        <v>1737</v>
      </c>
      <c r="BC92" s="100">
        <f t="shared" si="83"/>
        <v>0</v>
      </c>
      <c r="BD92" s="100">
        <f t="shared" si="84"/>
        <v>0</v>
      </c>
      <c r="BE92" s="100">
        <v>0</v>
      </c>
      <c r="BF92" s="100">
        <f>92</f>
        <v>92</v>
      </c>
      <c r="BH92" s="108">
        <f t="shared" si="85"/>
        <v>0</v>
      </c>
      <c r="BI92" s="108">
        <f t="shared" si="86"/>
        <v>0</v>
      </c>
      <c r="BJ92" s="108">
        <f t="shared" si="87"/>
        <v>0</v>
      </c>
    </row>
    <row r="93" spans="1:62" x14ac:dyDescent="0.2">
      <c r="A93" s="117" t="s">
        <v>69</v>
      </c>
      <c r="B93" s="117" t="s">
        <v>625</v>
      </c>
      <c r="C93" s="304" t="s">
        <v>2493</v>
      </c>
      <c r="D93" s="305"/>
      <c r="E93" s="305"/>
      <c r="F93" s="117" t="s">
        <v>1645</v>
      </c>
      <c r="G93" s="116">
        <v>792.47199999999998</v>
      </c>
      <c r="H93" s="159"/>
      <c r="I93" s="108">
        <f t="shared" si="66"/>
        <v>0</v>
      </c>
      <c r="J93" s="108">
        <f t="shared" si="67"/>
        <v>0</v>
      </c>
      <c r="K93" s="108">
        <f t="shared" si="68"/>
        <v>0</v>
      </c>
      <c r="L93" s="111" t="s">
        <v>1671</v>
      </c>
      <c r="Z93" s="100">
        <f t="shared" si="69"/>
        <v>0</v>
      </c>
      <c r="AB93" s="100">
        <f t="shared" si="70"/>
        <v>0</v>
      </c>
      <c r="AC93" s="100">
        <f t="shared" si="71"/>
        <v>0</v>
      </c>
      <c r="AD93" s="100">
        <f t="shared" si="72"/>
        <v>0</v>
      </c>
      <c r="AE93" s="100">
        <f t="shared" si="73"/>
        <v>0</v>
      </c>
      <c r="AF93" s="100">
        <f t="shared" si="74"/>
        <v>0</v>
      </c>
      <c r="AG93" s="100">
        <f t="shared" si="75"/>
        <v>0</v>
      </c>
      <c r="AH93" s="100">
        <f t="shared" si="76"/>
        <v>0</v>
      </c>
      <c r="AI93" s="109"/>
      <c r="AJ93" s="108">
        <f t="shared" si="77"/>
        <v>0</v>
      </c>
      <c r="AK93" s="108">
        <f t="shared" si="78"/>
        <v>0</v>
      </c>
      <c r="AL93" s="108">
        <f t="shared" si="79"/>
        <v>0</v>
      </c>
      <c r="AN93" s="100">
        <v>15</v>
      </c>
      <c r="AO93" s="100">
        <f>H93*0</f>
        <v>0</v>
      </c>
      <c r="AP93" s="100">
        <f>H93*(1-0)</f>
        <v>0</v>
      </c>
      <c r="AQ93" s="111" t="s">
        <v>7</v>
      </c>
      <c r="AV93" s="100">
        <f t="shared" si="80"/>
        <v>0</v>
      </c>
      <c r="AW93" s="100">
        <f t="shared" si="81"/>
        <v>0</v>
      </c>
      <c r="AX93" s="100">
        <f t="shared" si="82"/>
        <v>0</v>
      </c>
      <c r="AY93" s="110" t="s">
        <v>1693</v>
      </c>
      <c r="AZ93" s="110" t="s">
        <v>1728</v>
      </c>
      <c r="BA93" s="109" t="s">
        <v>1737</v>
      </c>
      <c r="BC93" s="100">
        <f t="shared" si="83"/>
        <v>0</v>
      </c>
      <c r="BD93" s="100">
        <f t="shared" si="84"/>
        <v>0</v>
      </c>
      <c r="BE93" s="100">
        <v>0</v>
      </c>
      <c r="BF93" s="100">
        <f>93</f>
        <v>93</v>
      </c>
      <c r="BH93" s="108">
        <f t="shared" si="85"/>
        <v>0</v>
      </c>
      <c r="BI93" s="108">
        <f t="shared" si="86"/>
        <v>0</v>
      </c>
      <c r="BJ93" s="108">
        <f t="shared" si="87"/>
        <v>0</v>
      </c>
    </row>
    <row r="94" spans="1:62" x14ac:dyDescent="0.2">
      <c r="A94" s="117" t="s">
        <v>70</v>
      </c>
      <c r="B94" s="117" t="s">
        <v>625</v>
      </c>
      <c r="C94" s="304" t="s">
        <v>2492</v>
      </c>
      <c r="D94" s="305"/>
      <c r="E94" s="305"/>
      <c r="F94" s="117" t="s">
        <v>1645</v>
      </c>
      <c r="G94" s="116">
        <v>130.69900000000001</v>
      </c>
      <c r="H94" s="159"/>
      <c r="I94" s="108">
        <f t="shared" si="66"/>
        <v>0</v>
      </c>
      <c r="J94" s="108">
        <f t="shared" si="67"/>
        <v>0</v>
      </c>
      <c r="K94" s="108">
        <f t="shared" si="68"/>
        <v>0</v>
      </c>
      <c r="L94" s="111" t="s">
        <v>1671</v>
      </c>
      <c r="Z94" s="100">
        <f t="shared" si="69"/>
        <v>0</v>
      </c>
      <c r="AB94" s="100">
        <f t="shared" si="70"/>
        <v>0</v>
      </c>
      <c r="AC94" s="100">
        <f t="shared" si="71"/>
        <v>0</v>
      </c>
      <c r="AD94" s="100">
        <f t="shared" si="72"/>
        <v>0</v>
      </c>
      <c r="AE94" s="100">
        <f t="shared" si="73"/>
        <v>0</v>
      </c>
      <c r="AF94" s="100">
        <f t="shared" si="74"/>
        <v>0</v>
      </c>
      <c r="AG94" s="100">
        <f t="shared" si="75"/>
        <v>0</v>
      </c>
      <c r="AH94" s="100">
        <f t="shared" si="76"/>
        <v>0</v>
      </c>
      <c r="AI94" s="109"/>
      <c r="AJ94" s="108">
        <f t="shared" si="77"/>
        <v>0</v>
      </c>
      <c r="AK94" s="108">
        <f t="shared" si="78"/>
        <v>0</v>
      </c>
      <c r="AL94" s="108">
        <f t="shared" si="79"/>
        <v>0</v>
      </c>
      <c r="AN94" s="100">
        <v>15</v>
      </c>
      <c r="AO94" s="100">
        <f>H94*0</f>
        <v>0</v>
      </c>
      <c r="AP94" s="100">
        <f>H94*(1-0)</f>
        <v>0</v>
      </c>
      <c r="AQ94" s="111" t="s">
        <v>7</v>
      </c>
      <c r="AV94" s="100">
        <f t="shared" si="80"/>
        <v>0</v>
      </c>
      <c r="AW94" s="100">
        <f t="shared" si="81"/>
        <v>0</v>
      </c>
      <c r="AX94" s="100">
        <f t="shared" si="82"/>
        <v>0</v>
      </c>
      <c r="AY94" s="110" t="s">
        <v>1693</v>
      </c>
      <c r="AZ94" s="110" t="s">
        <v>1728</v>
      </c>
      <c r="BA94" s="109" t="s">
        <v>1737</v>
      </c>
      <c r="BC94" s="100">
        <f t="shared" si="83"/>
        <v>0</v>
      </c>
      <c r="BD94" s="100">
        <f t="shared" si="84"/>
        <v>0</v>
      </c>
      <c r="BE94" s="100">
        <v>0</v>
      </c>
      <c r="BF94" s="100">
        <f>94</f>
        <v>94</v>
      </c>
      <c r="BH94" s="108">
        <f t="shared" si="85"/>
        <v>0</v>
      </c>
      <c r="BI94" s="108">
        <f t="shared" si="86"/>
        <v>0</v>
      </c>
      <c r="BJ94" s="108">
        <f t="shared" si="87"/>
        <v>0</v>
      </c>
    </row>
    <row r="95" spans="1:62" x14ac:dyDescent="0.2">
      <c r="A95" s="117" t="s">
        <v>71</v>
      </c>
      <c r="B95" s="117" t="s">
        <v>626</v>
      </c>
      <c r="C95" s="304" t="s">
        <v>2491</v>
      </c>
      <c r="D95" s="305"/>
      <c r="E95" s="305"/>
      <c r="F95" s="117" t="s">
        <v>1645</v>
      </c>
      <c r="G95" s="116">
        <v>792.47199999999998</v>
      </c>
      <c r="H95" s="159"/>
      <c r="I95" s="108">
        <f t="shared" si="66"/>
        <v>0</v>
      </c>
      <c r="J95" s="108">
        <f t="shared" si="67"/>
        <v>0</v>
      </c>
      <c r="K95" s="108">
        <f t="shared" si="68"/>
        <v>0</v>
      </c>
      <c r="L95" s="111" t="s">
        <v>1671</v>
      </c>
      <c r="Z95" s="100">
        <f t="shared" si="69"/>
        <v>0</v>
      </c>
      <c r="AB95" s="100">
        <f t="shared" si="70"/>
        <v>0</v>
      </c>
      <c r="AC95" s="100">
        <f t="shared" si="71"/>
        <v>0</v>
      </c>
      <c r="AD95" s="100">
        <f t="shared" si="72"/>
        <v>0</v>
      </c>
      <c r="AE95" s="100">
        <f t="shared" si="73"/>
        <v>0</v>
      </c>
      <c r="AF95" s="100">
        <f t="shared" si="74"/>
        <v>0</v>
      </c>
      <c r="AG95" s="100">
        <f t="shared" si="75"/>
        <v>0</v>
      </c>
      <c r="AH95" s="100">
        <f t="shared" si="76"/>
        <v>0</v>
      </c>
      <c r="AI95" s="109"/>
      <c r="AJ95" s="108">
        <f t="shared" si="77"/>
        <v>0</v>
      </c>
      <c r="AK95" s="108">
        <f t="shared" si="78"/>
        <v>0</v>
      </c>
      <c r="AL95" s="108">
        <f t="shared" si="79"/>
        <v>0</v>
      </c>
      <c r="AN95" s="100">
        <v>15</v>
      </c>
      <c r="AO95" s="100">
        <f>H95*0.313660728421443</f>
        <v>0</v>
      </c>
      <c r="AP95" s="100">
        <f>H95*(1-0.313660728421443)</f>
        <v>0</v>
      </c>
      <c r="AQ95" s="111" t="s">
        <v>7</v>
      </c>
      <c r="AV95" s="100">
        <f t="shared" si="80"/>
        <v>0</v>
      </c>
      <c r="AW95" s="100">
        <f t="shared" si="81"/>
        <v>0</v>
      </c>
      <c r="AX95" s="100">
        <f t="shared" si="82"/>
        <v>0</v>
      </c>
      <c r="AY95" s="110" t="s">
        <v>1693</v>
      </c>
      <c r="AZ95" s="110" t="s">
        <v>1728</v>
      </c>
      <c r="BA95" s="109" t="s">
        <v>1737</v>
      </c>
      <c r="BC95" s="100">
        <f t="shared" si="83"/>
        <v>0</v>
      </c>
      <c r="BD95" s="100">
        <f t="shared" si="84"/>
        <v>0</v>
      </c>
      <c r="BE95" s="100">
        <v>0</v>
      </c>
      <c r="BF95" s="100">
        <f>95</f>
        <v>95</v>
      </c>
      <c r="BH95" s="108">
        <f t="shared" si="85"/>
        <v>0</v>
      </c>
      <c r="BI95" s="108">
        <f t="shared" si="86"/>
        <v>0</v>
      </c>
      <c r="BJ95" s="108">
        <f t="shared" si="87"/>
        <v>0</v>
      </c>
    </row>
    <row r="96" spans="1:62" x14ac:dyDescent="0.2">
      <c r="A96" s="117" t="s">
        <v>72</v>
      </c>
      <c r="B96" s="117" t="s">
        <v>626</v>
      </c>
      <c r="C96" s="304" t="s">
        <v>2490</v>
      </c>
      <c r="D96" s="305"/>
      <c r="E96" s="305"/>
      <c r="F96" s="117" t="s">
        <v>1645</v>
      </c>
      <c r="G96" s="116">
        <v>130.69900000000001</v>
      </c>
      <c r="H96" s="159"/>
      <c r="I96" s="108">
        <f t="shared" si="66"/>
        <v>0</v>
      </c>
      <c r="J96" s="108">
        <f t="shared" si="67"/>
        <v>0</v>
      </c>
      <c r="K96" s="108">
        <f t="shared" si="68"/>
        <v>0</v>
      </c>
      <c r="L96" s="111" t="s">
        <v>1671</v>
      </c>
      <c r="Z96" s="100">
        <f t="shared" si="69"/>
        <v>0</v>
      </c>
      <c r="AB96" s="100">
        <f t="shared" si="70"/>
        <v>0</v>
      </c>
      <c r="AC96" s="100">
        <f t="shared" si="71"/>
        <v>0</v>
      </c>
      <c r="AD96" s="100">
        <f t="shared" si="72"/>
        <v>0</v>
      </c>
      <c r="AE96" s="100">
        <f t="shared" si="73"/>
        <v>0</v>
      </c>
      <c r="AF96" s="100">
        <f t="shared" si="74"/>
        <v>0</v>
      </c>
      <c r="AG96" s="100">
        <f t="shared" si="75"/>
        <v>0</v>
      </c>
      <c r="AH96" s="100">
        <f t="shared" si="76"/>
        <v>0</v>
      </c>
      <c r="AI96" s="109"/>
      <c r="AJ96" s="108">
        <f t="shared" si="77"/>
        <v>0</v>
      </c>
      <c r="AK96" s="108">
        <f t="shared" si="78"/>
        <v>0</v>
      </c>
      <c r="AL96" s="108">
        <f t="shared" si="79"/>
        <v>0</v>
      </c>
      <c r="AN96" s="100">
        <v>15</v>
      </c>
      <c r="AO96" s="100">
        <f>H96*0.313660671430884</f>
        <v>0</v>
      </c>
      <c r="AP96" s="100">
        <f>H96*(1-0.313660671430884)</f>
        <v>0</v>
      </c>
      <c r="AQ96" s="111" t="s">
        <v>7</v>
      </c>
      <c r="AV96" s="100">
        <f t="shared" si="80"/>
        <v>0</v>
      </c>
      <c r="AW96" s="100">
        <f t="shared" si="81"/>
        <v>0</v>
      </c>
      <c r="AX96" s="100">
        <f t="shared" si="82"/>
        <v>0</v>
      </c>
      <c r="AY96" s="110" t="s">
        <v>1693</v>
      </c>
      <c r="AZ96" s="110" t="s">
        <v>1728</v>
      </c>
      <c r="BA96" s="109" t="s">
        <v>1737</v>
      </c>
      <c r="BC96" s="100">
        <f t="shared" si="83"/>
        <v>0</v>
      </c>
      <c r="BD96" s="100">
        <f t="shared" si="84"/>
        <v>0</v>
      </c>
      <c r="BE96" s="100">
        <v>0</v>
      </c>
      <c r="BF96" s="100">
        <f>96</f>
        <v>96</v>
      </c>
      <c r="BH96" s="108">
        <f t="shared" si="85"/>
        <v>0</v>
      </c>
      <c r="BI96" s="108">
        <f t="shared" si="86"/>
        <v>0</v>
      </c>
      <c r="BJ96" s="108">
        <f t="shared" si="87"/>
        <v>0</v>
      </c>
    </row>
    <row r="97" spans="1:62" x14ac:dyDescent="0.2">
      <c r="A97" s="119"/>
      <c r="B97" s="120" t="s">
        <v>70</v>
      </c>
      <c r="C97" s="306" t="s">
        <v>2575</v>
      </c>
      <c r="D97" s="307"/>
      <c r="E97" s="307"/>
      <c r="F97" s="119" t="s">
        <v>6</v>
      </c>
      <c r="G97" s="119" t="s">
        <v>6</v>
      </c>
      <c r="H97" s="119" t="s">
        <v>6</v>
      </c>
      <c r="I97" s="118">
        <f>SUM(I98:I98)</f>
        <v>0</v>
      </c>
      <c r="J97" s="118">
        <f>SUM(J98:J98)</f>
        <v>0</v>
      </c>
      <c r="K97" s="118">
        <f>SUM(K98:K98)</f>
        <v>0</v>
      </c>
      <c r="L97" s="109"/>
      <c r="AI97" s="109"/>
      <c r="AS97" s="118">
        <f>SUM(AJ98:AJ98)</f>
        <v>0</v>
      </c>
      <c r="AT97" s="118">
        <f>SUM(AK98:AK98)</f>
        <v>0</v>
      </c>
      <c r="AU97" s="118">
        <f>SUM(AL98:AL98)</f>
        <v>0</v>
      </c>
    </row>
    <row r="98" spans="1:62" x14ac:dyDescent="0.2">
      <c r="A98" s="117" t="s">
        <v>73</v>
      </c>
      <c r="B98" s="117" t="s">
        <v>2854</v>
      </c>
      <c r="C98" s="304" t="s">
        <v>3733</v>
      </c>
      <c r="D98" s="305"/>
      <c r="E98" s="305"/>
      <c r="F98" s="117" t="s">
        <v>1646</v>
      </c>
      <c r="G98" s="116">
        <v>0.75</v>
      </c>
      <c r="H98" s="159"/>
      <c r="I98" s="108">
        <f>G98*AO98</f>
        <v>0</v>
      </c>
      <c r="J98" s="108">
        <f>G98*AP98</f>
        <v>0</v>
      </c>
      <c r="K98" s="108">
        <f>G98*H98</f>
        <v>0</v>
      </c>
      <c r="L98" s="111" t="s">
        <v>1671</v>
      </c>
      <c r="Z98" s="100">
        <f>IF(AQ98="5",BJ98,0)</f>
        <v>0</v>
      </c>
      <c r="AB98" s="100">
        <f>IF(AQ98="1",BH98,0)</f>
        <v>0</v>
      </c>
      <c r="AC98" s="100">
        <f>IF(AQ98="1",BI98,0)</f>
        <v>0</v>
      </c>
      <c r="AD98" s="100">
        <f>IF(AQ98="7",BH98,0)</f>
        <v>0</v>
      </c>
      <c r="AE98" s="100">
        <f>IF(AQ98="7",BI98,0)</f>
        <v>0</v>
      </c>
      <c r="AF98" s="100">
        <f>IF(AQ98="2",BH98,0)</f>
        <v>0</v>
      </c>
      <c r="AG98" s="100">
        <f>IF(AQ98="2",BI98,0)</f>
        <v>0</v>
      </c>
      <c r="AH98" s="100">
        <f>IF(AQ98="0",BJ98,0)</f>
        <v>0</v>
      </c>
      <c r="AI98" s="109"/>
      <c r="AJ98" s="108">
        <f>IF(AN98=0,K98,0)</f>
        <v>0</v>
      </c>
      <c r="AK98" s="108">
        <f>IF(AN98=15,K98,0)</f>
        <v>0</v>
      </c>
      <c r="AL98" s="108">
        <f>IF(AN98=21,K98,0)</f>
        <v>0</v>
      </c>
      <c r="AN98" s="100">
        <v>15</v>
      </c>
      <c r="AO98" s="100">
        <f>H98*0.707705779334501</f>
        <v>0</v>
      </c>
      <c r="AP98" s="100">
        <f>H98*(1-0.707705779334501)</f>
        <v>0</v>
      </c>
      <c r="AQ98" s="111" t="s">
        <v>7</v>
      </c>
      <c r="AV98" s="100">
        <f>AW98+AX98</f>
        <v>0</v>
      </c>
      <c r="AW98" s="100">
        <f>G98*AO98</f>
        <v>0</v>
      </c>
      <c r="AX98" s="100">
        <f>G98*AP98</f>
        <v>0</v>
      </c>
      <c r="AY98" s="110" t="s">
        <v>2852</v>
      </c>
      <c r="AZ98" s="110" t="s">
        <v>1728</v>
      </c>
      <c r="BA98" s="109" t="s">
        <v>1737</v>
      </c>
      <c r="BC98" s="100">
        <f>AW98+AX98</f>
        <v>0</v>
      </c>
      <c r="BD98" s="100">
        <f>H98/(100-BE98)*100</f>
        <v>0</v>
      </c>
      <c r="BE98" s="100">
        <v>0</v>
      </c>
      <c r="BF98" s="100">
        <f>98</f>
        <v>98</v>
      </c>
      <c r="BH98" s="108">
        <f>G98*AO98</f>
        <v>0</v>
      </c>
      <c r="BI98" s="108">
        <f>G98*AP98</f>
        <v>0</v>
      </c>
      <c r="BJ98" s="108">
        <f>G98*H98</f>
        <v>0</v>
      </c>
    </row>
    <row r="99" spans="1:62" x14ac:dyDescent="0.2">
      <c r="A99" s="119"/>
      <c r="B99" s="120" t="s">
        <v>89</v>
      </c>
      <c r="C99" s="306" t="s">
        <v>1130</v>
      </c>
      <c r="D99" s="307"/>
      <c r="E99" s="307"/>
      <c r="F99" s="119" t="s">
        <v>6</v>
      </c>
      <c r="G99" s="119" t="s">
        <v>6</v>
      </c>
      <c r="H99" s="119" t="s">
        <v>6</v>
      </c>
      <c r="I99" s="118">
        <f>SUM(I100:I101)</f>
        <v>0</v>
      </c>
      <c r="J99" s="118">
        <f>SUM(J100:J101)</f>
        <v>0</v>
      </c>
      <c r="K99" s="118">
        <f>SUM(K100:K101)</f>
        <v>0</v>
      </c>
      <c r="L99" s="109"/>
      <c r="AI99" s="109"/>
      <c r="AS99" s="118">
        <f>SUM(AJ100:AJ101)</f>
        <v>0</v>
      </c>
      <c r="AT99" s="118">
        <f>SUM(AK100:AK101)</f>
        <v>0</v>
      </c>
      <c r="AU99" s="118">
        <f>SUM(AL100:AL101)</f>
        <v>0</v>
      </c>
    </row>
    <row r="100" spans="1:62" x14ac:dyDescent="0.2">
      <c r="A100" s="117" t="s">
        <v>74</v>
      </c>
      <c r="B100" s="117" t="s">
        <v>628</v>
      </c>
      <c r="C100" s="304" t="s">
        <v>3732</v>
      </c>
      <c r="D100" s="305"/>
      <c r="E100" s="305"/>
      <c r="F100" s="117" t="s">
        <v>1644</v>
      </c>
      <c r="G100" s="116">
        <v>11</v>
      </c>
      <c r="H100" s="159"/>
      <c r="I100" s="108">
        <f>G100*AO100</f>
        <v>0</v>
      </c>
      <c r="J100" s="108">
        <f>G100*AP100</f>
        <v>0</v>
      </c>
      <c r="K100" s="108">
        <f>G100*H100</f>
        <v>0</v>
      </c>
      <c r="L100" s="111" t="s">
        <v>1671</v>
      </c>
      <c r="Z100" s="100">
        <f>IF(AQ100="5",BJ100,0)</f>
        <v>0</v>
      </c>
      <c r="AB100" s="100">
        <f>IF(AQ100="1",BH100,0)</f>
        <v>0</v>
      </c>
      <c r="AC100" s="100">
        <f>IF(AQ100="1",BI100,0)</f>
        <v>0</v>
      </c>
      <c r="AD100" s="100">
        <f>IF(AQ100="7",BH100,0)</f>
        <v>0</v>
      </c>
      <c r="AE100" s="100">
        <f>IF(AQ100="7",BI100,0)</f>
        <v>0</v>
      </c>
      <c r="AF100" s="100">
        <f>IF(AQ100="2",BH100,0)</f>
        <v>0</v>
      </c>
      <c r="AG100" s="100">
        <f>IF(AQ100="2",BI100,0)</f>
        <v>0</v>
      </c>
      <c r="AH100" s="100">
        <f>IF(AQ100="0",BJ100,0)</f>
        <v>0</v>
      </c>
      <c r="AI100" s="109"/>
      <c r="AJ100" s="108">
        <f>IF(AN100=0,K100,0)</f>
        <v>0</v>
      </c>
      <c r="AK100" s="108">
        <f>IF(AN100=15,K100,0)</f>
        <v>0</v>
      </c>
      <c r="AL100" s="108">
        <f>IF(AN100=21,K100,0)</f>
        <v>0</v>
      </c>
      <c r="AN100" s="100">
        <v>15</v>
      </c>
      <c r="AO100" s="100">
        <f>H100*0.915172525266274</f>
        <v>0</v>
      </c>
      <c r="AP100" s="100">
        <f>H100*(1-0.915172525266274)</f>
        <v>0</v>
      </c>
      <c r="AQ100" s="111" t="s">
        <v>7</v>
      </c>
      <c r="AV100" s="100">
        <f>AW100+AX100</f>
        <v>0</v>
      </c>
      <c r="AW100" s="100">
        <f>G100*AO100</f>
        <v>0</v>
      </c>
      <c r="AX100" s="100">
        <f>G100*AP100</f>
        <v>0</v>
      </c>
      <c r="AY100" s="110" t="s">
        <v>1695</v>
      </c>
      <c r="AZ100" s="110" t="s">
        <v>1729</v>
      </c>
      <c r="BA100" s="109" t="s">
        <v>1737</v>
      </c>
      <c r="BC100" s="100">
        <f>AW100+AX100</f>
        <v>0</v>
      </c>
      <c r="BD100" s="100">
        <f>H100/(100-BE100)*100</f>
        <v>0</v>
      </c>
      <c r="BE100" s="100">
        <v>0</v>
      </c>
      <c r="BF100" s="100">
        <f>100</f>
        <v>100</v>
      </c>
      <c r="BH100" s="108">
        <f>G100*AO100</f>
        <v>0</v>
      </c>
      <c r="BI100" s="108">
        <f>G100*AP100</f>
        <v>0</v>
      </c>
      <c r="BJ100" s="108">
        <f>G100*H100</f>
        <v>0</v>
      </c>
    </row>
    <row r="101" spans="1:62" x14ac:dyDescent="0.2">
      <c r="A101" s="117" t="s">
        <v>75</v>
      </c>
      <c r="B101" s="117" t="s">
        <v>629</v>
      </c>
      <c r="C101" s="304" t="s">
        <v>1132</v>
      </c>
      <c r="D101" s="305"/>
      <c r="E101" s="305"/>
      <c r="F101" s="117" t="s">
        <v>1646</v>
      </c>
      <c r="G101" s="116">
        <v>34</v>
      </c>
      <c r="H101" s="159"/>
      <c r="I101" s="108">
        <f>G101*AO101</f>
        <v>0</v>
      </c>
      <c r="J101" s="108">
        <f>G101*AP101</f>
        <v>0</v>
      </c>
      <c r="K101" s="108">
        <f>G101*H101</f>
        <v>0</v>
      </c>
      <c r="L101" s="111" t="s">
        <v>1671</v>
      </c>
      <c r="Z101" s="100">
        <f>IF(AQ101="5",BJ101,0)</f>
        <v>0</v>
      </c>
      <c r="AB101" s="100">
        <f>IF(AQ101="1",BH101,0)</f>
        <v>0</v>
      </c>
      <c r="AC101" s="100">
        <f>IF(AQ101="1",BI101,0)</f>
        <v>0</v>
      </c>
      <c r="AD101" s="100">
        <f>IF(AQ101="7",BH101,0)</f>
        <v>0</v>
      </c>
      <c r="AE101" s="100">
        <f>IF(AQ101="7",BI101,0)</f>
        <v>0</v>
      </c>
      <c r="AF101" s="100">
        <f>IF(AQ101="2",BH101,0)</f>
        <v>0</v>
      </c>
      <c r="AG101" s="100">
        <f>IF(AQ101="2",BI101,0)</f>
        <v>0</v>
      </c>
      <c r="AH101" s="100">
        <f>IF(AQ101="0",BJ101,0)</f>
        <v>0</v>
      </c>
      <c r="AI101" s="109"/>
      <c r="AJ101" s="108">
        <f>IF(AN101=0,K101,0)</f>
        <v>0</v>
      </c>
      <c r="AK101" s="108">
        <f>IF(AN101=15,K101,0)</f>
        <v>0</v>
      </c>
      <c r="AL101" s="108">
        <f>IF(AN101=21,K101,0)</f>
        <v>0</v>
      </c>
      <c r="AN101" s="100">
        <v>15</v>
      </c>
      <c r="AO101" s="100">
        <f>H101*0.343381518923828</f>
        <v>0</v>
      </c>
      <c r="AP101" s="100">
        <f>H101*(1-0.343381518923828)</f>
        <v>0</v>
      </c>
      <c r="AQ101" s="111" t="s">
        <v>7</v>
      </c>
      <c r="AV101" s="100">
        <f>AW101+AX101</f>
        <v>0</v>
      </c>
      <c r="AW101" s="100">
        <f>G101*AO101</f>
        <v>0</v>
      </c>
      <c r="AX101" s="100">
        <f>G101*AP101</f>
        <v>0</v>
      </c>
      <c r="AY101" s="110" t="s">
        <v>1695</v>
      </c>
      <c r="AZ101" s="110" t="s">
        <v>1729</v>
      </c>
      <c r="BA101" s="109" t="s">
        <v>1737</v>
      </c>
      <c r="BC101" s="100">
        <f>AW101+AX101</f>
        <v>0</v>
      </c>
      <c r="BD101" s="100">
        <f>H101/(100-BE101)*100</f>
        <v>0</v>
      </c>
      <c r="BE101" s="100">
        <v>0</v>
      </c>
      <c r="BF101" s="100">
        <f>101</f>
        <v>101</v>
      </c>
      <c r="BH101" s="108">
        <f>G101*AO101</f>
        <v>0</v>
      </c>
      <c r="BI101" s="108">
        <f>G101*AP101</f>
        <v>0</v>
      </c>
      <c r="BJ101" s="108">
        <f>G101*H101</f>
        <v>0</v>
      </c>
    </row>
    <row r="102" spans="1:62" x14ac:dyDescent="0.2">
      <c r="A102" s="119"/>
      <c r="B102" s="120" t="s">
        <v>95</v>
      </c>
      <c r="C102" s="306" t="s">
        <v>1133</v>
      </c>
      <c r="D102" s="307"/>
      <c r="E102" s="307"/>
      <c r="F102" s="119" t="s">
        <v>6</v>
      </c>
      <c r="G102" s="119" t="s">
        <v>6</v>
      </c>
      <c r="H102" s="119" t="s">
        <v>6</v>
      </c>
      <c r="I102" s="118">
        <f>SUM(I103:I104)</f>
        <v>0</v>
      </c>
      <c r="J102" s="118">
        <f>SUM(J103:J104)</f>
        <v>0</v>
      </c>
      <c r="K102" s="118">
        <f>SUM(K103:K104)</f>
        <v>0</v>
      </c>
      <c r="L102" s="109"/>
      <c r="AI102" s="109"/>
      <c r="AS102" s="118">
        <f>SUM(AJ103:AJ104)</f>
        <v>0</v>
      </c>
      <c r="AT102" s="118">
        <f>SUM(AK103:AK104)</f>
        <v>0</v>
      </c>
      <c r="AU102" s="118">
        <f>SUM(AL103:AL104)</f>
        <v>0</v>
      </c>
    </row>
    <row r="103" spans="1:62" x14ac:dyDescent="0.2">
      <c r="A103" s="117" t="s">
        <v>76</v>
      </c>
      <c r="B103" s="117" t="s">
        <v>630</v>
      </c>
      <c r="C103" s="304" t="s">
        <v>3731</v>
      </c>
      <c r="D103" s="305"/>
      <c r="E103" s="305"/>
      <c r="F103" s="117" t="s">
        <v>1644</v>
      </c>
      <c r="G103" s="116">
        <v>17</v>
      </c>
      <c r="H103" s="159"/>
      <c r="I103" s="108">
        <f>G103*AO103</f>
        <v>0</v>
      </c>
      <c r="J103" s="108">
        <f>G103*AP103</f>
        <v>0</v>
      </c>
      <c r="K103" s="108">
        <f>G103*H103</f>
        <v>0</v>
      </c>
      <c r="L103" s="111" t="s">
        <v>1671</v>
      </c>
      <c r="Z103" s="100">
        <f>IF(AQ103="5",BJ103,0)</f>
        <v>0</v>
      </c>
      <c r="AB103" s="100">
        <f>IF(AQ103="1",BH103,0)</f>
        <v>0</v>
      </c>
      <c r="AC103" s="100">
        <f>IF(AQ103="1",BI103,0)</f>
        <v>0</v>
      </c>
      <c r="AD103" s="100">
        <f>IF(AQ103="7",BH103,0)</f>
        <v>0</v>
      </c>
      <c r="AE103" s="100">
        <f>IF(AQ103="7",BI103,0)</f>
        <v>0</v>
      </c>
      <c r="AF103" s="100">
        <f>IF(AQ103="2",BH103,0)</f>
        <v>0</v>
      </c>
      <c r="AG103" s="100">
        <f>IF(AQ103="2",BI103,0)</f>
        <v>0</v>
      </c>
      <c r="AH103" s="100">
        <f>IF(AQ103="0",BJ103,0)</f>
        <v>0</v>
      </c>
      <c r="AI103" s="109"/>
      <c r="AJ103" s="108">
        <f>IF(AN103=0,K103,0)</f>
        <v>0</v>
      </c>
      <c r="AK103" s="108">
        <f>IF(AN103=15,K103,0)</f>
        <v>0</v>
      </c>
      <c r="AL103" s="108">
        <f>IF(AN103=21,K103,0)</f>
        <v>0</v>
      </c>
      <c r="AN103" s="100">
        <v>15</v>
      </c>
      <c r="AO103" s="100">
        <f>H103*0.904839919834891</f>
        <v>0</v>
      </c>
      <c r="AP103" s="100">
        <f>H103*(1-0.904839919834891)</f>
        <v>0</v>
      </c>
      <c r="AQ103" s="111" t="s">
        <v>7</v>
      </c>
      <c r="AV103" s="100">
        <f>AW103+AX103</f>
        <v>0</v>
      </c>
      <c r="AW103" s="100">
        <f>G103*AO103</f>
        <v>0</v>
      </c>
      <c r="AX103" s="100">
        <f>G103*AP103</f>
        <v>0</v>
      </c>
      <c r="AY103" s="110" t="s">
        <v>1696</v>
      </c>
      <c r="AZ103" s="110" t="s">
        <v>1729</v>
      </c>
      <c r="BA103" s="109" t="s">
        <v>1737</v>
      </c>
      <c r="BC103" s="100">
        <f>AW103+AX103</f>
        <v>0</v>
      </c>
      <c r="BD103" s="100">
        <f>H103/(100-BE103)*100</f>
        <v>0</v>
      </c>
      <c r="BE103" s="100">
        <v>0</v>
      </c>
      <c r="BF103" s="100">
        <f>103</f>
        <v>103</v>
      </c>
      <c r="BH103" s="108">
        <f>G103*AO103</f>
        <v>0</v>
      </c>
      <c r="BI103" s="108">
        <f>G103*AP103</f>
        <v>0</v>
      </c>
      <c r="BJ103" s="108">
        <f>G103*H103</f>
        <v>0</v>
      </c>
    </row>
    <row r="104" spans="1:62" x14ac:dyDescent="0.2">
      <c r="A104" s="117" t="s">
        <v>77</v>
      </c>
      <c r="B104" s="117" t="s">
        <v>631</v>
      </c>
      <c r="C104" s="304" t="s">
        <v>1135</v>
      </c>
      <c r="D104" s="305"/>
      <c r="E104" s="305"/>
      <c r="F104" s="117" t="s">
        <v>1644</v>
      </c>
      <c r="G104" s="116">
        <v>7</v>
      </c>
      <c r="H104" s="159"/>
      <c r="I104" s="108">
        <f>G104*AO104</f>
        <v>0</v>
      </c>
      <c r="J104" s="108">
        <f>G104*AP104</f>
        <v>0</v>
      </c>
      <c r="K104" s="108">
        <f>G104*H104</f>
        <v>0</v>
      </c>
      <c r="L104" s="111" t="s">
        <v>1671</v>
      </c>
      <c r="Z104" s="100">
        <f>IF(AQ104="5",BJ104,0)</f>
        <v>0</v>
      </c>
      <c r="AB104" s="100">
        <f>IF(AQ104="1",BH104,0)</f>
        <v>0</v>
      </c>
      <c r="AC104" s="100">
        <f>IF(AQ104="1",BI104,0)</f>
        <v>0</v>
      </c>
      <c r="AD104" s="100">
        <f>IF(AQ104="7",BH104,0)</f>
        <v>0</v>
      </c>
      <c r="AE104" s="100">
        <f>IF(AQ104="7",BI104,0)</f>
        <v>0</v>
      </c>
      <c r="AF104" s="100">
        <f>IF(AQ104="2",BH104,0)</f>
        <v>0</v>
      </c>
      <c r="AG104" s="100">
        <f>IF(AQ104="2",BI104,0)</f>
        <v>0</v>
      </c>
      <c r="AH104" s="100">
        <f>IF(AQ104="0",BJ104,0)</f>
        <v>0</v>
      </c>
      <c r="AI104" s="109"/>
      <c r="AJ104" s="108">
        <f>IF(AN104=0,K104,0)</f>
        <v>0</v>
      </c>
      <c r="AK104" s="108">
        <f>IF(AN104=15,K104,0)</f>
        <v>0</v>
      </c>
      <c r="AL104" s="108">
        <f>IF(AN104=21,K104,0)</f>
        <v>0</v>
      </c>
      <c r="AN104" s="100">
        <v>15</v>
      </c>
      <c r="AO104" s="100">
        <f>H104*0.964949325254751</f>
        <v>0</v>
      </c>
      <c r="AP104" s="100">
        <f>H104*(1-0.964949325254751)</f>
        <v>0</v>
      </c>
      <c r="AQ104" s="111" t="s">
        <v>7</v>
      </c>
      <c r="AV104" s="100">
        <f>AW104+AX104</f>
        <v>0</v>
      </c>
      <c r="AW104" s="100">
        <f>G104*AO104</f>
        <v>0</v>
      </c>
      <c r="AX104" s="100">
        <f>G104*AP104</f>
        <v>0</v>
      </c>
      <c r="AY104" s="110" t="s">
        <v>1696</v>
      </c>
      <c r="AZ104" s="110" t="s">
        <v>1729</v>
      </c>
      <c r="BA104" s="109" t="s">
        <v>1737</v>
      </c>
      <c r="BC104" s="100">
        <f>AW104+AX104</f>
        <v>0</v>
      </c>
      <c r="BD104" s="100">
        <f>H104/(100-BE104)*100</f>
        <v>0</v>
      </c>
      <c r="BE104" s="100">
        <v>0</v>
      </c>
      <c r="BF104" s="100">
        <f>104</f>
        <v>104</v>
      </c>
      <c r="BH104" s="108">
        <f>G104*AO104</f>
        <v>0</v>
      </c>
      <c r="BI104" s="108">
        <f>G104*AP104</f>
        <v>0</v>
      </c>
      <c r="BJ104" s="108">
        <f>G104*H104</f>
        <v>0</v>
      </c>
    </row>
    <row r="105" spans="1:62" x14ac:dyDescent="0.2">
      <c r="A105" s="119"/>
      <c r="B105" s="120" t="s">
        <v>97</v>
      </c>
      <c r="C105" s="306" t="s">
        <v>1136</v>
      </c>
      <c r="D105" s="307"/>
      <c r="E105" s="307"/>
      <c r="F105" s="119" t="s">
        <v>6</v>
      </c>
      <c r="G105" s="119" t="s">
        <v>6</v>
      </c>
      <c r="H105" s="119" t="s">
        <v>6</v>
      </c>
      <c r="I105" s="118">
        <f>SUM(I106:I108)</f>
        <v>0</v>
      </c>
      <c r="J105" s="118">
        <f>SUM(J106:J108)</f>
        <v>0</v>
      </c>
      <c r="K105" s="118">
        <f>SUM(K106:K108)</f>
        <v>0</v>
      </c>
      <c r="L105" s="109"/>
      <c r="AI105" s="109"/>
      <c r="AS105" s="118">
        <f>SUM(AJ106:AJ108)</f>
        <v>0</v>
      </c>
      <c r="AT105" s="118">
        <f>SUM(AK106:AK108)</f>
        <v>0</v>
      </c>
      <c r="AU105" s="118">
        <f>SUM(AL106:AL108)</f>
        <v>0</v>
      </c>
    </row>
    <row r="106" spans="1:62" x14ac:dyDescent="0.2">
      <c r="A106" s="117" t="s">
        <v>78</v>
      </c>
      <c r="B106" s="117" t="s">
        <v>632</v>
      </c>
      <c r="C106" s="304" t="s">
        <v>1137</v>
      </c>
      <c r="D106" s="305"/>
      <c r="E106" s="305"/>
      <c r="F106" s="117" t="s">
        <v>1646</v>
      </c>
      <c r="G106" s="116">
        <v>15.6</v>
      </c>
      <c r="H106" s="159"/>
      <c r="I106" s="108">
        <f>G106*AO106</f>
        <v>0</v>
      </c>
      <c r="J106" s="108">
        <f>G106*AP106</f>
        <v>0</v>
      </c>
      <c r="K106" s="108">
        <f>G106*H106</f>
        <v>0</v>
      </c>
      <c r="L106" s="111" t="s">
        <v>1671</v>
      </c>
      <c r="Z106" s="100">
        <f>IF(AQ106="5",BJ106,0)</f>
        <v>0</v>
      </c>
      <c r="AB106" s="100">
        <f>IF(AQ106="1",BH106,0)</f>
        <v>0</v>
      </c>
      <c r="AC106" s="100">
        <f>IF(AQ106="1",BI106,0)</f>
        <v>0</v>
      </c>
      <c r="AD106" s="100">
        <f>IF(AQ106="7",BH106,0)</f>
        <v>0</v>
      </c>
      <c r="AE106" s="100">
        <f>IF(AQ106="7",BI106,0)</f>
        <v>0</v>
      </c>
      <c r="AF106" s="100">
        <f>IF(AQ106="2",BH106,0)</f>
        <v>0</v>
      </c>
      <c r="AG106" s="100">
        <f>IF(AQ106="2",BI106,0)</f>
        <v>0</v>
      </c>
      <c r="AH106" s="100">
        <f>IF(AQ106="0",BJ106,0)</f>
        <v>0</v>
      </c>
      <c r="AI106" s="109"/>
      <c r="AJ106" s="108">
        <f>IF(AN106=0,K106,0)</f>
        <v>0</v>
      </c>
      <c r="AK106" s="108">
        <f>IF(AN106=15,K106,0)</f>
        <v>0</v>
      </c>
      <c r="AL106" s="108">
        <f>IF(AN106=21,K106,0)</f>
        <v>0</v>
      </c>
      <c r="AN106" s="100">
        <v>15</v>
      </c>
      <c r="AO106" s="100">
        <f>H106*0.72</f>
        <v>0</v>
      </c>
      <c r="AP106" s="100">
        <f>H106*(1-0.72)</f>
        <v>0</v>
      </c>
      <c r="AQ106" s="111" t="s">
        <v>7</v>
      </c>
      <c r="AV106" s="100">
        <f>AW106+AX106</f>
        <v>0</v>
      </c>
      <c r="AW106" s="100">
        <f>G106*AO106</f>
        <v>0</v>
      </c>
      <c r="AX106" s="100">
        <f>G106*AP106</f>
        <v>0</v>
      </c>
      <c r="AY106" s="110" t="s">
        <v>1697</v>
      </c>
      <c r="AZ106" s="110" t="s">
        <v>1730</v>
      </c>
      <c r="BA106" s="109" t="s">
        <v>1737</v>
      </c>
      <c r="BC106" s="100">
        <f>AW106+AX106</f>
        <v>0</v>
      </c>
      <c r="BD106" s="100">
        <f>H106/(100-BE106)*100</f>
        <v>0</v>
      </c>
      <c r="BE106" s="100">
        <v>0</v>
      </c>
      <c r="BF106" s="100">
        <f>106</f>
        <v>106</v>
      </c>
      <c r="BH106" s="108">
        <f>G106*AO106</f>
        <v>0</v>
      </c>
      <c r="BI106" s="108">
        <f>G106*AP106</f>
        <v>0</v>
      </c>
      <c r="BJ106" s="108">
        <f>G106*H106</f>
        <v>0</v>
      </c>
    </row>
    <row r="107" spans="1:62" x14ac:dyDescent="0.2">
      <c r="A107" s="117" t="s">
        <v>79</v>
      </c>
      <c r="B107" s="117" t="s">
        <v>633</v>
      </c>
      <c r="C107" s="304" t="s">
        <v>1138</v>
      </c>
      <c r="D107" s="305"/>
      <c r="E107" s="305"/>
      <c r="F107" s="117" t="s">
        <v>1647</v>
      </c>
      <c r="G107" s="116">
        <v>0.70199999999999996</v>
      </c>
      <c r="H107" s="159"/>
      <c r="I107" s="108">
        <f>G107*AO107</f>
        <v>0</v>
      </c>
      <c r="J107" s="108">
        <f>G107*AP107</f>
        <v>0</v>
      </c>
      <c r="K107" s="108">
        <f>G107*H107</f>
        <v>0</v>
      </c>
      <c r="L107" s="111" t="s">
        <v>1671</v>
      </c>
      <c r="Z107" s="100">
        <f>IF(AQ107="5",BJ107,0)</f>
        <v>0</v>
      </c>
      <c r="AB107" s="100">
        <f>IF(AQ107="1",BH107,0)</f>
        <v>0</v>
      </c>
      <c r="AC107" s="100">
        <f>IF(AQ107="1",BI107,0)</f>
        <v>0</v>
      </c>
      <c r="AD107" s="100">
        <f>IF(AQ107="7",BH107,0)</f>
        <v>0</v>
      </c>
      <c r="AE107" s="100">
        <f>IF(AQ107="7",BI107,0)</f>
        <v>0</v>
      </c>
      <c r="AF107" s="100">
        <f>IF(AQ107="2",BH107,0)</f>
        <v>0</v>
      </c>
      <c r="AG107" s="100">
        <f>IF(AQ107="2",BI107,0)</f>
        <v>0</v>
      </c>
      <c r="AH107" s="100">
        <f>IF(AQ107="0",BJ107,0)</f>
        <v>0</v>
      </c>
      <c r="AI107" s="109"/>
      <c r="AJ107" s="108">
        <f>IF(AN107=0,K107,0)</f>
        <v>0</v>
      </c>
      <c r="AK107" s="108">
        <f>IF(AN107=15,K107,0)</f>
        <v>0</v>
      </c>
      <c r="AL107" s="108">
        <f>IF(AN107=21,K107,0)</f>
        <v>0</v>
      </c>
      <c r="AN107" s="100">
        <v>15</v>
      </c>
      <c r="AO107" s="100">
        <f>H107*0.780343362831858</f>
        <v>0</v>
      </c>
      <c r="AP107" s="100">
        <f>H107*(1-0.780343362831858)</f>
        <v>0</v>
      </c>
      <c r="AQ107" s="111" t="s">
        <v>7</v>
      </c>
      <c r="AV107" s="100">
        <f>AW107+AX107</f>
        <v>0</v>
      </c>
      <c r="AW107" s="100">
        <f>G107*AO107</f>
        <v>0</v>
      </c>
      <c r="AX107" s="100">
        <f>G107*AP107</f>
        <v>0</v>
      </c>
      <c r="AY107" s="110" t="s">
        <v>1697</v>
      </c>
      <c r="AZ107" s="110" t="s">
        <v>1730</v>
      </c>
      <c r="BA107" s="109" t="s">
        <v>1737</v>
      </c>
      <c r="BC107" s="100">
        <f>AW107+AX107</f>
        <v>0</v>
      </c>
      <c r="BD107" s="100">
        <f>H107/(100-BE107)*100</f>
        <v>0</v>
      </c>
      <c r="BE107" s="100">
        <v>0</v>
      </c>
      <c r="BF107" s="100">
        <f>107</f>
        <v>107</v>
      </c>
      <c r="BH107" s="108">
        <f>G107*AO107</f>
        <v>0</v>
      </c>
      <c r="BI107" s="108">
        <f>G107*AP107</f>
        <v>0</v>
      </c>
      <c r="BJ107" s="108">
        <f>G107*H107</f>
        <v>0</v>
      </c>
    </row>
    <row r="108" spans="1:62" x14ac:dyDescent="0.2">
      <c r="A108" s="117" t="s">
        <v>80</v>
      </c>
      <c r="B108" s="117" t="s">
        <v>3730</v>
      </c>
      <c r="C108" s="304" t="s">
        <v>3729</v>
      </c>
      <c r="D108" s="305"/>
      <c r="E108" s="305"/>
      <c r="F108" s="117" t="s">
        <v>1644</v>
      </c>
      <c r="G108" s="116">
        <v>1</v>
      </c>
      <c r="H108" s="159"/>
      <c r="I108" s="108">
        <f>G108*AO108</f>
        <v>0</v>
      </c>
      <c r="J108" s="108">
        <f>G108*AP108</f>
        <v>0</v>
      </c>
      <c r="K108" s="108">
        <f>G108*H108</f>
        <v>0</v>
      </c>
      <c r="L108" s="111" t="s">
        <v>1671</v>
      </c>
      <c r="Z108" s="100">
        <f>IF(AQ108="5",BJ108,0)</f>
        <v>0</v>
      </c>
      <c r="AB108" s="100">
        <f>IF(AQ108="1",BH108,0)</f>
        <v>0</v>
      </c>
      <c r="AC108" s="100">
        <f>IF(AQ108="1",BI108,0)</f>
        <v>0</v>
      </c>
      <c r="AD108" s="100">
        <f>IF(AQ108="7",BH108,0)</f>
        <v>0</v>
      </c>
      <c r="AE108" s="100">
        <f>IF(AQ108="7",BI108,0)</f>
        <v>0</v>
      </c>
      <c r="AF108" s="100">
        <f>IF(AQ108="2",BH108,0)</f>
        <v>0</v>
      </c>
      <c r="AG108" s="100">
        <f>IF(AQ108="2",BI108,0)</f>
        <v>0</v>
      </c>
      <c r="AH108" s="100">
        <f>IF(AQ108="0",BJ108,0)</f>
        <v>0</v>
      </c>
      <c r="AI108" s="109"/>
      <c r="AJ108" s="108">
        <f>IF(AN108=0,K108,0)</f>
        <v>0</v>
      </c>
      <c r="AK108" s="108">
        <f>IF(AN108=15,K108,0)</f>
        <v>0</v>
      </c>
      <c r="AL108" s="108">
        <f>IF(AN108=21,K108,0)</f>
        <v>0</v>
      </c>
      <c r="AN108" s="100">
        <v>15</v>
      </c>
      <c r="AO108" s="100">
        <f>H108*0.570755555555555</f>
        <v>0</v>
      </c>
      <c r="AP108" s="100">
        <f>H108*(1-0.570755555555555)</f>
        <v>0</v>
      </c>
      <c r="AQ108" s="111" t="s">
        <v>7</v>
      </c>
      <c r="AV108" s="100">
        <f>AW108+AX108</f>
        <v>0</v>
      </c>
      <c r="AW108" s="100">
        <f>G108*AO108</f>
        <v>0</v>
      </c>
      <c r="AX108" s="100">
        <f>G108*AP108</f>
        <v>0</v>
      </c>
      <c r="AY108" s="110" t="s">
        <v>1697</v>
      </c>
      <c r="AZ108" s="110" t="s">
        <v>1730</v>
      </c>
      <c r="BA108" s="109" t="s">
        <v>1737</v>
      </c>
      <c r="BC108" s="100">
        <f>AW108+AX108</f>
        <v>0</v>
      </c>
      <c r="BD108" s="100">
        <f>H108/(100-BE108)*100</f>
        <v>0</v>
      </c>
      <c r="BE108" s="100">
        <v>0</v>
      </c>
      <c r="BF108" s="100">
        <f>108</f>
        <v>108</v>
      </c>
      <c r="BH108" s="108">
        <f>G108*AO108</f>
        <v>0</v>
      </c>
      <c r="BI108" s="108">
        <f>G108*AP108</f>
        <v>0</v>
      </c>
      <c r="BJ108" s="108">
        <f>G108*H108</f>
        <v>0</v>
      </c>
    </row>
    <row r="109" spans="1:62" x14ac:dyDescent="0.2">
      <c r="A109" s="119"/>
      <c r="B109" s="120" t="s">
        <v>100</v>
      </c>
      <c r="C109" s="306" t="s">
        <v>1139</v>
      </c>
      <c r="D109" s="307"/>
      <c r="E109" s="307"/>
      <c r="F109" s="119" t="s">
        <v>6</v>
      </c>
      <c r="G109" s="119" t="s">
        <v>6</v>
      </c>
      <c r="H109" s="119" t="s">
        <v>6</v>
      </c>
      <c r="I109" s="118">
        <f>SUM(I110:I116)</f>
        <v>0</v>
      </c>
      <c r="J109" s="118">
        <f>SUM(J110:J116)</f>
        <v>0</v>
      </c>
      <c r="K109" s="118">
        <f>SUM(K110:K116)</f>
        <v>0</v>
      </c>
      <c r="L109" s="109"/>
      <c r="AI109" s="109"/>
      <c r="AS109" s="118">
        <f>SUM(AJ110:AJ116)</f>
        <v>0</v>
      </c>
      <c r="AT109" s="118">
        <f>SUM(AK110:AK116)</f>
        <v>0</v>
      </c>
      <c r="AU109" s="118">
        <f>SUM(AL110:AL116)</f>
        <v>0</v>
      </c>
    </row>
    <row r="110" spans="1:62" x14ac:dyDescent="0.2">
      <c r="A110" s="117" t="s">
        <v>81</v>
      </c>
      <c r="B110" s="117" t="s">
        <v>634</v>
      </c>
      <c r="C110" s="304" t="s">
        <v>1140</v>
      </c>
      <c r="D110" s="305"/>
      <c r="E110" s="305"/>
      <c r="F110" s="117" t="s">
        <v>1645</v>
      </c>
      <c r="G110" s="116">
        <v>1892.798</v>
      </c>
      <c r="H110" s="159"/>
      <c r="I110" s="108">
        <f t="shared" ref="I110:I116" si="88">G110*AO110</f>
        <v>0</v>
      </c>
      <c r="J110" s="108">
        <f t="shared" ref="J110:J116" si="89">G110*AP110</f>
        <v>0</v>
      </c>
      <c r="K110" s="108">
        <f t="shared" ref="K110:K116" si="90">G110*H110</f>
        <v>0</v>
      </c>
      <c r="L110" s="111" t="s">
        <v>1671</v>
      </c>
      <c r="Z110" s="100">
        <f t="shared" ref="Z110:Z116" si="91">IF(AQ110="5",BJ110,0)</f>
        <v>0</v>
      </c>
      <c r="AB110" s="100">
        <f t="shared" ref="AB110:AB116" si="92">IF(AQ110="1",BH110,0)</f>
        <v>0</v>
      </c>
      <c r="AC110" s="100">
        <f t="shared" ref="AC110:AC116" si="93">IF(AQ110="1",BI110,0)</f>
        <v>0</v>
      </c>
      <c r="AD110" s="100">
        <f t="shared" ref="AD110:AD116" si="94">IF(AQ110="7",BH110,0)</f>
        <v>0</v>
      </c>
      <c r="AE110" s="100">
        <f t="shared" ref="AE110:AE116" si="95">IF(AQ110="7",BI110,0)</f>
        <v>0</v>
      </c>
      <c r="AF110" s="100">
        <f t="shared" ref="AF110:AF116" si="96">IF(AQ110="2",BH110,0)</f>
        <v>0</v>
      </c>
      <c r="AG110" s="100">
        <f t="shared" ref="AG110:AG116" si="97">IF(AQ110="2",BI110,0)</f>
        <v>0</v>
      </c>
      <c r="AH110" s="100">
        <f t="shared" ref="AH110:AH116" si="98">IF(AQ110="0",BJ110,0)</f>
        <v>0</v>
      </c>
      <c r="AI110" s="109"/>
      <c r="AJ110" s="108">
        <f t="shared" ref="AJ110:AJ116" si="99">IF(AN110=0,K110,0)</f>
        <v>0</v>
      </c>
      <c r="AK110" s="108">
        <f t="shared" ref="AK110:AK116" si="100">IF(AN110=15,K110,0)</f>
        <v>0</v>
      </c>
      <c r="AL110" s="108">
        <f t="shared" ref="AL110:AL116" si="101">IF(AN110=21,K110,0)</f>
        <v>0</v>
      </c>
      <c r="AN110" s="100">
        <v>15</v>
      </c>
      <c r="AO110" s="100">
        <f>H110*0.000315955775158702</f>
        <v>0</v>
      </c>
      <c r="AP110" s="100">
        <f>H110*(1-0.000315955775158702)</f>
        <v>0</v>
      </c>
      <c r="AQ110" s="111" t="s">
        <v>7</v>
      </c>
      <c r="AV110" s="100">
        <f t="shared" ref="AV110:AV116" si="102">AW110+AX110</f>
        <v>0</v>
      </c>
      <c r="AW110" s="100">
        <f t="shared" ref="AW110:AW116" si="103">G110*AO110</f>
        <v>0</v>
      </c>
      <c r="AX110" s="100">
        <f t="shared" ref="AX110:AX116" si="104">G110*AP110</f>
        <v>0</v>
      </c>
      <c r="AY110" s="110" t="s">
        <v>1698</v>
      </c>
      <c r="AZ110" s="110" t="s">
        <v>1730</v>
      </c>
      <c r="BA110" s="109" t="s">
        <v>1737</v>
      </c>
      <c r="BC110" s="100">
        <f t="shared" ref="BC110:BC116" si="105">AW110+AX110</f>
        <v>0</v>
      </c>
      <c r="BD110" s="100">
        <f t="shared" ref="BD110:BD116" si="106">H110/(100-BE110)*100</f>
        <v>0</v>
      </c>
      <c r="BE110" s="100">
        <v>0</v>
      </c>
      <c r="BF110" s="100">
        <f>110</f>
        <v>110</v>
      </c>
      <c r="BH110" s="108">
        <f t="shared" ref="BH110:BH116" si="107">G110*AO110</f>
        <v>0</v>
      </c>
      <c r="BI110" s="108">
        <f t="shared" ref="BI110:BI116" si="108">G110*AP110</f>
        <v>0</v>
      </c>
      <c r="BJ110" s="108">
        <f t="shared" ref="BJ110:BJ116" si="109">G110*H110</f>
        <v>0</v>
      </c>
    </row>
    <row r="111" spans="1:62" x14ac:dyDescent="0.2">
      <c r="A111" s="117" t="s">
        <v>82</v>
      </c>
      <c r="B111" s="117" t="s">
        <v>635</v>
      </c>
      <c r="C111" s="304" t="s">
        <v>1141</v>
      </c>
      <c r="D111" s="305"/>
      <c r="E111" s="305"/>
      <c r="F111" s="117" t="s">
        <v>1645</v>
      </c>
      <c r="G111" s="116">
        <v>3785.596</v>
      </c>
      <c r="H111" s="159"/>
      <c r="I111" s="108">
        <f t="shared" si="88"/>
        <v>0</v>
      </c>
      <c r="J111" s="108">
        <f t="shared" si="89"/>
        <v>0</v>
      </c>
      <c r="K111" s="108">
        <f t="shared" si="90"/>
        <v>0</v>
      </c>
      <c r="L111" s="111" t="s">
        <v>1671</v>
      </c>
      <c r="Z111" s="100">
        <f t="shared" si="91"/>
        <v>0</v>
      </c>
      <c r="AB111" s="100">
        <f t="shared" si="92"/>
        <v>0</v>
      </c>
      <c r="AC111" s="100">
        <f t="shared" si="93"/>
        <v>0</v>
      </c>
      <c r="AD111" s="100">
        <f t="shared" si="94"/>
        <v>0</v>
      </c>
      <c r="AE111" s="100">
        <f t="shared" si="95"/>
        <v>0</v>
      </c>
      <c r="AF111" s="100">
        <f t="shared" si="96"/>
        <v>0</v>
      </c>
      <c r="AG111" s="100">
        <f t="shared" si="97"/>
        <v>0</v>
      </c>
      <c r="AH111" s="100">
        <f t="shared" si="98"/>
        <v>0</v>
      </c>
      <c r="AI111" s="109"/>
      <c r="AJ111" s="108">
        <f t="shared" si="99"/>
        <v>0</v>
      </c>
      <c r="AK111" s="108">
        <f t="shared" si="100"/>
        <v>0</v>
      </c>
      <c r="AL111" s="108">
        <f t="shared" si="101"/>
        <v>0</v>
      </c>
      <c r="AN111" s="100">
        <v>15</v>
      </c>
      <c r="AO111" s="100">
        <f>H111*0.909487423823779</f>
        <v>0</v>
      </c>
      <c r="AP111" s="100">
        <f>H111*(1-0.909487423823779)</f>
        <v>0</v>
      </c>
      <c r="AQ111" s="111" t="s">
        <v>7</v>
      </c>
      <c r="AV111" s="100">
        <f t="shared" si="102"/>
        <v>0</v>
      </c>
      <c r="AW111" s="100">
        <f t="shared" si="103"/>
        <v>0</v>
      </c>
      <c r="AX111" s="100">
        <f t="shared" si="104"/>
        <v>0</v>
      </c>
      <c r="AY111" s="110" t="s">
        <v>1698</v>
      </c>
      <c r="AZ111" s="110" t="s">
        <v>1730</v>
      </c>
      <c r="BA111" s="109" t="s">
        <v>1737</v>
      </c>
      <c r="BC111" s="100">
        <f t="shared" si="105"/>
        <v>0</v>
      </c>
      <c r="BD111" s="100">
        <f t="shared" si="106"/>
        <v>0</v>
      </c>
      <c r="BE111" s="100">
        <v>0</v>
      </c>
      <c r="BF111" s="100">
        <f>111</f>
        <v>111</v>
      </c>
      <c r="BH111" s="108">
        <f t="shared" si="107"/>
        <v>0</v>
      </c>
      <c r="BI111" s="108">
        <f t="shared" si="108"/>
        <v>0</v>
      </c>
      <c r="BJ111" s="108">
        <f t="shared" si="109"/>
        <v>0</v>
      </c>
    </row>
    <row r="112" spans="1:62" x14ac:dyDescent="0.2">
      <c r="A112" s="117" t="s">
        <v>83</v>
      </c>
      <c r="B112" s="117" t="s">
        <v>636</v>
      </c>
      <c r="C112" s="304" t="s">
        <v>1142</v>
      </c>
      <c r="D112" s="305"/>
      <c r="E112" s="305"/>
      <c r="F112" s="117" t="s">
        <v>1645</v>
      </c>
      <c r="G112" s="116">
        <v>1892.798</v>
      </c>
      <c r="H112" s="159"/>
      <c r="I112" s="108">
        <f t="shared" si="88"/>
        <v>0</v>
      </c>
      <c r="J112" s="108">
        <f t="shared" si="89"/>
        <v>0</v>
      </c>
      <c r="K112" s="108">
        <f t="shared" si="90"/>
        <v>0</v>
      </c>
      <c r="L112" s="111" t="s">
        <v>1671</v>
      </c>
      <c r="Z112" s="100">
        <f t="shared" si="91"/>
        <v>0</v>
      </c>
      <c r="AB112" s="100">
        <f t="shared" si="92"/>
        <v>0</v>
      </c>
      <c r="AC112" s="100">
        <f t="shared" si="93"/>
        <v>0</v>
      </c>
      <c r="AD112" s="100">
        <f t="shared" si="94"/>
        <v>0</v>
      </c>
      <c r="AE112" s="100">
        <f t="shared" si="95"/>
        <v>0</v>
      </c>
      <c r="AF112" s="100">
        <f t="shared" si="96"/>
        <v>0</v>
      </c>
      <c r="AG112" s="100">
        <f t="shared" si="97"/>
        <v>0</v>
      </c>
      <c r="AH112" s="100">
        <f t="shared" si="98"/>
        <v>0</v>
      </c>
      <c r="AI112" s="109"/>
      <c r="AJ112" s="108">
        <f t="shared" si="99"/>
        <v>0</v>
      </c>
      <c r="AK112" s="108">
        <f t="shared" si="100"/>
        <v>0</v>
      </c>
      <c r="AL112" s="108">
        <f t="shared" si="101"/>
        <v>0</v>
      </c>
      <c r="AN112" s="100">
        <v>15</v>
      </c>
      <c r="AO112" s="100">
        <f>H112*0</f>
        <v>0</v>
      </c>
      <c r="AP112" s="100">
        <f>H112*(1-0)</f>
        <v>0</v>
      </c>
      <c r="AQ112" s="111" t="s">
        <v>7</v>
      </c>
      <c r="AV112" s="100">
        <f t="shared" si="102"/>
        <v>0</v>
      </c>
      <c r="AW112" s="100">
        <f t="shared" si="103"/>
        <v>0</v>
      </c>
      <c r="AX112" s="100">
        <f t="shared" si="104"/>
        <v>0</v>
      </c>
      <c r="AY112" s="110" t="s">
        <v>1698</v>
      </c>
      <c r="AZ112" s="110" t="s">
        <v>1730</v>
      </c>
      <c r="BA112" s="109" t="s">
        <v>1737</v>
      </c>
      <c r="BC112" s="100">
        <f t="shared" si="105"/>
        <v>0</v>
      </c>
      <c r="BD112" s="100">
        <f t="shared" si="106"/>
        <v>0</v>
      </c>
      <c r="BE112" s="100">
        <v>0</v>
      </c>
      <c r="BF112" s="100">
        <f>112</f>
        <v>112</v>
      </c>
      <c r="BH112" s="108">
        <f t="shared" si="107"/>
        <v>0</v>
      </c>
      <c r="BI112" s="108">
        <f t="shared" si="108"/>
        <v>0</v>
      </c>
      <c r="BJ112" s="108">
        <f t="shared" si="109"/>
        <v>0</v>
      </c>
    </row>
    <row r="113" spans="1:62" x14ac:dyDescent="0.2">
      <c r="A113" s="117" t="s">
        <v>84</v>
      </c>
      <c r="B113" s="117" t="s">
        <v>637</v>
      </c>
      <c r="C113" s="304" t="s">
        <v>1143</v>
      </c>
      <c r="D113" s="305"/>
      <c r="E113" s="305"/>
      <c r="F113" s="117" t="s">
        <v>1645</v>
      </c>
      <c r="G113" s="116">
        <v>1892.798</v>
      </c>
      <c r="H113" s="159"/>
      <c r="I113" s="108">
        <f t="shared" si="88"/>
        <v>0</v>
      </c>
      <c r="J113" s="108">
        <f t="shared" si="89"/>
        <v>0</v>
      </c>
      <c r="K113" s="108">
        <f t="shared" si="90"/>
        <v>0</v>
      </c>
      <c r="L113" s="111" t="s">
        <v>1671</v>
      </c>
      <c r="Z113" s="100">
        <f t="shared" si="91"/>
        <v>0</v>
      </c>
      <c r="AB113" s="100">
        <f t="shared" si="92"/>
        <v>0</v>
      </c>
      <c r="AC113" s="100">
        <f t="shared" si="93"/>
        <v>0</v>
      </c>
      <c r="AD113" s="100">
        <f t="shared" si="94"/>
        <v>0</v>
      </c>
      <c r="AE113" s="100">
        <f t="shared" si="95"/>
        <v>0</v>
      </c>
      <c r="AF113" s="100">
        <f t="shared" si="96"/>
        <v>0</v>
      </c>
      <c r="AG113" s="100">
        <f t="shared" si="97"/>
        <v>0</v>
      </c>
      <c r="AH113" s="100">
        <f t="shared" si="98"/>
        <v>0</v>
      </c>
      <c r="AI113" s="109"/>
      <c r="AJ113" s="108">
        <f t="shared" si="99"/>
        <v>0</v>
      </c>
      <c r="AK113" s="108">
        <f t="shared" si="100"/>
        <v>0</v>
      </c>
      <c r="AL113" s="108">
        <f t="shared" si="101"/>
        <v>0</v>
      </c>
      <c r="AN113" s="100">
        <v>15</v>
      </c>
      <c r="AO113" s="100">
        <f>H113*0</f>
        <v>0</v>
      </c>
      <c r="AP113" s="100">
        <f>H113*(1-0)</f>
        <v>0</v>
      </c>
      <c r="AQ113" s="111" t="s">
        <v>7</v>
      </c>
      <c r="AV113" s="100">
        <f t="shared" si="102"/>
        <v>0</v>
      </c>
      <c r="AW113" s="100">
        <f t="shared" si="103"/>
        <v>0</v>
      </c>
      <c r="AX113" s="100">
        <f t="shared" si="104"/>
        <v>0</v>
      </c>
      <c r="AY113" s="110" t="s">
        <v>1698</v>
      </c>
      <c r="AZ113" s="110" t="s">
        <v>1730</v>
      </c>
      <c r="BA113" s="109" t="s">
        <v>1737</v>
      </c>
      <c r="BC113" s="100">
        <f t="shared" si="105"/>
        <v>0</v>
      </c>
      <c r="BD113" s="100">
        <f t="shared" si="106"/>
        <v>0</v>
      </c>
      <c r="BE113" s="100">
        <v>0</v>
      </c>
      <c r="BF113" s="100">
        <f>113</f>
        <v>113</v>
      </c>
      <c r="BH113" s="108">
        <f t="shared" si="107"/>
        <v>0</v>
      </c>
      <c r="BI113" s="108">
        <f t="shared" si="108"/>
        <v>0</v>
      </c>
      <c r="BJ113" s="108">
        <f t="shared" si="109"/>
        <v>0</v>
      </c>
    </row>
    <row r="114" spans="1:62" x14ac:dyDescent="0.2">
      <c r="A114" s="117" t="s">
        <v>85</v>
      </c>
      <c r="B114" s="117" t="s">
        <v>638</v>
      </c>
      <c r="C114" s="304" t="s">
        <v>1144</v>
      </c>
      <c r="D114" s="305"/>
      <c r="E114" s="305"/>
      <c r="F114" s="117" t="s">
        <v>1645</v>
      </c>
      <c r="G114" s="116">
        <v>3785.596</v>
      </c>
      <c r="H114" s="162"/>
      <c r="I114" s="108">
        <f t="shared" si="88"/>
        <v>0</v>
      </c>
      <c r="J114" s="108">
        <f t="shared" si="89"/>
        <v>0</v>
      </c>
      <c r="K114" s="108">
        <f t="shared" si="90"/>
        <v>0</v>
      </c>
      <c r="L114" s="111" t="s">
        <v>1671</v>
      </c>
      <c r="Z114" s="100">
        <f t="shared" si="91"/>
        <v>0</v>
      </c>
      <c r="AB114" s="100">
        <f t="shared" si="92"/>
        <v>0</v>
      </c>
      <c r="AC114" s="100">
        <f t="shared" si="93"/>
        <v>0</v>
      </c>
      <c r="AD114" s="100">
        <f t="shared" si="94"/>
        <v>0</v>
      </c>
      <c r="AE114" s="100">
        <f t="shared" si="95"/>
        <v>0</v>
      </c>
      <c r="AF114" s="100">
        <f t="shared" si="96"/>
        <v>0</v>
      </c>
      <c r="AG114" s="100">
        <f t="shared" si="97"/>
        <v>0</v>
      </c>
      <c r="AH114" s="100">
        <f t="shared" si="98"/>
        <v>0</v>
      </c>
      <c r="AI114" s="109"/>
      <c r="AJ114" s="108">
        <f t="shared" si="99"/>
        <v>0</v>
      </c>
      <c r="AK114" s="108">
        <f t="shared" si="100"/>
        <v>0</v>
      </c>
      <c r="AL114" s="108">
        <f t="shared" si="101"/>
        <v>0</v>
      </c>
      <c r="AN114" s="100">
        <v>15</v>
      </c>
      <c r="AO114" s="100">
        <f>H114*0.999999972554889</f>
        <v>0</v>
      </c>
      <c r="AP114" s="100">
        <f>H114*(1-0.999999972554889)</f>
        <v>0</v>
      </c>
      <c r="AQ114" s="111" t="s">
        <v>7</v>
      </c>
      <c r="AV114" s="100">
        <f t="shared" si="102"/>
        <v>0</v>
      </c>
      <c r="AW114" s="100">
        <f t="shared" si="103"/>
        <v>0</v>
      </c>
      <c r="AX114" s="100">
        <f t="shared" si="104"/>
        <v>0</v>
      </c>
      <c r="AY114" s="110" t="s">
        <v>1698</v>
      </c>
      <c r="AZ114" s="110" t="s">
        <v>1730</v>
      </c>
      <c r="BA114" s="109" t="s">
        <v>1737</v>
      </c>
      <c r="BC114" s="100">
        <f t="shared" si="105"/>
        <v>0</v>
      </c>
      <c r="BD114" s="100">
        <f t="shared" si="106"/>
        <v>0</v>
      </c>
      <c r="BE114" s="100">
        <v>0</v>
      </c>
      <c r="BF114" s="100">
        <f>114</f>
        <v>114</v>
      </c>
      <c r="BH114" s="108">
        <f t="shared" si="107"/>
        <v>0</v>
      </c>
      <c r="BI114" s="108">
        <f t="shared" si="108"/>
        <v>0</v>
      </c>
      <c r="BJ114" s="108">
        <f t="shared" si="109"/>
        <v>0</v>
      </c>
    </row>
    <row r="115" spans="1:62" x14ac:dyDescent="0.2">
      <c r="A115" s="117" t="s">
        <v>86</v>
      </c>
      <c r="B115" s="117" t="s">
        <v>639</v>
      </c>
      <c r="C115" s="304" t="s">
        <v>1145</v>
      </c>
      <c r="D115" s="305"/>
      <c r="E115" s="305"/>
      <c r="F115" s="117" t="s">
        <v>1645</v>
      </c>
      <c r="G115" s="116">
        <v>1892.798</v>
      </c>
      <c r="H115" s="159"/>
      <c r="I115" s="108">
        <f t="shared" si="88"/>
        <v>0</v>
      </c>
      <c r="J115" s="108">
        <f t="shared" si="89"/>
        <v>0</v>
      </c>
      <c r="K115" s="108">
        <f t="shared" si="90"/>
        <v>0</v>
      </c>
      <c r="L115" s="111" t="s">
        <v>1671</v>
      </c>
      <c r="Z115" s="100">
        <f t="shared" si="91"/>
        <v>0</v>
      </c>
      <c r="AB115" s="100">
        <f t="shared" si="92"/>
        <v>0</v>
      </c>
      <c r="AC115" s="100">
        <f t="shared" si="93"/>
        <v>0</v>
      </c>
      <c r="AD115" s="100">
        <f t="shared" si="94"/>
        <v>0</v>
      </c>
      <c r="AE115" s="100">
        <f t="shared" si="95"/>
        <v>0</v>
      </c>
      <c r="AF115" s="100">
        <f t="shared" si="96"/>
        <v>0</v>
      </c>
      <c r="AG115" s="100">
        <f t="shared" si="97"/>
        <v>0</v>
      </c>
      <c r="AH115" s="100">
        <f t="shared" si="98"/>
        <v>0</v>
      </c>
      <c r="AI115" s="109"/>
      <c r="AJ115" s="108">
        <f t="shared" si="99"/>
        <v>0</v>
      </c>
      <c r="AK115" s="108">
        <f t="shared" si="100"/>
        <v>0</v>
      </c>
      <c r="AL115" s="108">
        <f t="shared" si="101"/>
        <v>0</v>
      </c>
      <c r="AN115" s="100">
        <v>15</v>
      </c>
      <c r="AO115" s="100">
        <f>H115*0</f>
        <v>0</v>
      </c>
      <c r="AP115" s="100">
        <f>H115*(1-0)</f>
        <v>0</v>
      </c>
      <c r="AQ115" s="111" t="s">
        <v>7</v>
      </c>
      <c r="AV115" s="100">
        <f t="shared" si="102"/>
        <v>0</v>
      </c>
      <c r="AW115" s="100">
        <f t="shared" si="103"/>
        <v>0</v>
      </c>
      <c r="AX115" s="100">
        <f t="shared" si="104"/>
        <v>0</v>
      </c>
      <c r="AY115" s="110" t="s">
        <v>1698</v>
      </c>
      <c r="AZ115" s="110" t="s">
        <v>1730</v>
      </c>
      <c r="BA115" s="109" t="s">
        <v>1737</v>
      </c>
      <c r="BC115" s="100">
        <f t="shared" si="105"/>
        <v>0</v>
      </c>
      <c r="BD115" s="100">
        <f t="shared" si="106"/>
        <v>0</v>
      </c>
      <c r="BE115" s="100">
        <v>0</v>
      </c>
      <c r="BF115" s="100">
        <f>115</f>
        <v>115</v>
      </c>
      <c r="BH115" s="108">
        <f t="shared" si="107"/>
        <v>0</v>
      </c>
      <c r="BI115" s="108">
        <f t="shared" si="108"/>
        <v>0</v>
      </c>
      <c r="BJ115" s="108">
        <f t="shared" si="109"/>
        <v>0</v>
      </c>
    </row>
    <row r="116" spans="1:62" x14ac:dyDescent="0.2">
      <c r="A116" s="117" t="s">
        <v>87</v>
      </c>
      <c r="B116" s="117" t="s">
        <v>640</v>
      </c>
      <c r="C116" s="304" t="s">
        <v>1146</v>
      </c>
      <c r="D116" s="305"/>
      <c r="E116" s="305"/>
      <c r="F116" s="117" t="s">
        <v>1649</v>
      </c>
      <c r="G116" s="116">
        <v>40</v>
      </c>
      <c r="H116" s="159"/>
      <c r="I116" s="108">
        <f t="shared" si="88"/>
        <v>0</v>
      </c>
      <c r="J116" s="108">
        <f t="shared" si="89"/>
        <v>0</v>
      </c>
      <c r="K116" s="108">
        <f t="shared" si="90"/>
        <v>0</v>
      </c>
      <c r="L116" s="111" t="s">
        <v>1671</v>
      </c>
      <c r="Z116" s="100">
        <f t="shared" si="91"/>
        <v>0</v>
      </c>
      <c r="AB116" s="100">
        <f t="shared" si="92"/>
        <v>0</v>
      </c>
      <c r="AC116" s="100">
        <f t="shared" si="93"/>
        <v>0</v>
      </c>
      <c r="AD116" s="100">
        <f t="shared" si="94"/>
        <v>0</v>
      </c>
      <c r="AE116" s="100">
        <f t="shared" si="95"/>
        <v>0</v>
      </c>
      <c r="AF116" s="100">
        <f t="shared" si="96"/>
        <v>0</v>
      </c>
      <c r="AG116" s="100">
        <f t="shared" si="97"/>
        <v>0</v>
      </c>
      <c r="AH116" s="100">
        <f t="shared" si="98"/>
        <v>0</v>
      </c>
      <c r="AI116" s="109"/>
      <c r="AJ116" s="108">
        <f t="shared" si="99"/>
        <v>0</v>
      </c>
      <c r="AK116" s="108">
        <f t="shared" si="100"/>
        <v>0</v>
      </c>
      <c r="AL116" s="108">
        <f t="shared" si="101"/>
        <v>0</v>
      </c>
      <c r="AN116" s="100">
        <v>15</v>
      </c>
      <c r="AO116" s="100">
        <f>H116*0</f>
        <v>0</v>
      </c>
      <c r="AP116" s="100">
        <f>H116*(1-0)</f>
        <v>0</v>
      </c>
      <c r="AQ116" s="111" t="s">
        <v>7</v>
      </c>
      <c r="AV116" s="100">
        <f t="shared" si="102"/>
        <v>0</v>
      </c>
      <c r="AW116" s="100">
        <f t="shared" si="103"/>
        <v>0</v>
      </c>
      <c r="AX116" s="100">
        <f t="shared" si="104"/>
        <v>0</v>
      </c>
      <c r="AY116" s="110" t="s">
        <v>1698</v>
      </c>
      <c r="AZ116" s="110" t="s">
        <v>1730</v>
      </c>
      <c r="BA116" s="109" t="s">
        <v>1737</v>
      </c>
      <c r="BC116" s="100">
        <f t="shared" si="105"/>
        <v>0</v>
      </c>
      <c r="BD116" s="100">
        <f t="shared" si="106"/>
        <v>0</v>
      </c>
      <c r="BE116" s="100">
        <v>0</v>
      </c>
      <c r="BF116" s="100">
        <f>116</f>
        <v>116</v>
      </c>
      <c r="BH116" s="108">
        <f t="shared" si="107"/>
        <v>0</v>
      </c>
      <c r="BI116" s="108">
        <f t="shared" si="108"/>
        <v>0</v>
      </c>
      <c r="BJ116" s="108">
        <f t="shared" si="109"/>
        <v>0</v>
      </c>
    </row>
    <row r="117" spans="1:62" x14ac:dyDescent="0.2">
      <c r="A117" s="119"/>
      <c r="B117" s="120" t="s">
        <v>101</v>
      </c>
      <c r="C117" s="306" t="s">
        <v>1147</v>
      </c>
      <c r="D117" s="307"/>
      <c r="E117" s="307"/>
      <c r="F117" s="119" t="s">
        <v>6</v>
      </c>
      <c r="G117" s="119" t="s">
        <v>6</v>
      </c>
      <c r="H117" s="119" t="s">
        <v>6</v>
      </c>
      <c r="I117" s="118">
        <f>SUM(I118:I127)</f>
        <v>0</v>
      </c>
      <c r="J117" s="118">
        <f>SUM(J118:J127)</f>
        <v>0</v>
      </c>
      <c r="K117" s="118">
        <f>SUM(K118:K127)</f>
        <v>0</v>
      </c>
      <c r="L117" s="109"/>
      <c r="AI117" s="109"/>
      <c r="AS117" s="118">
        <f>SUM(AJ118:AJ127)</f>
        <v>0</v>
      </c>
      <c r="AT117" s="118">
        <f>SUM(AK118:AK127)</f>
        <v>0</v>
      </c>
      <c r="AU117" s="118">
        <f>SUM(AL118:AL127)</f>
        <v>0</v>
      </c>
    </row>
    <row r="118" spans="1:62" x14ac:dyDescent="0.2">
      <c r="A118" s="117" t="s">
        <v>88</v>
      </c>
      <c r="B118" s="117" t="s">
        <v>641</v>
      </c>
      <c r="C118" s="304" t="s">
        <v>1148</v>
      </c>
      <c r="D118" s="305"/>
      <c r="E118" s="305"/>
      <c r="F118" s="117" t="s">
        <v>1645</v>
      </c>
      <c r="G118" s="116">
        <v>240.59</v>
      </c>
      <c r="H118" s="159"/>
      <c r="I118" s="108">
        <f t="shared" ref="I118:I127" si="110">G118*AO118</f>
        <v>0</v>
      </c>
      <c r="J118" s="108">
        <f t="shared" ref="J118:J127" si="111">G118*AP118</f>
        <v>0</v>
      </c>
      <c r="K118" s="108">
        <f t="shared" ref="K118:K127" si="112">G118*H118</f>
        <v>0</v>
      </c>
      <c r="L118" s="111" t="s">
        <v>1671</v>
      </c>
      <c r="Z118" s="100">
        <f t="shared" ref="Z118:Z127" si="113">IF(AQ118="5",BJ118,0)</f>
        <v>0</v>
      </c>
      <c r="AB118" s="100">
        <f t="shared" ref="AB118:AB127" si="114">IF(AQ118="1",BH118,0)</f>
        <v>0</v>
      </c>
      <c r="AC118" s="100">
        <f t="shared" ref="AC118:AC127" si="115">IF(AQ118="1",BI118,0)</f>
        <v>0</v>
      </c>
      <c r="AD118" s="100">
        <f t="shared" ref="AD118:AD127" si="116">IF(AQ118="7",BH118,0)</f>
        <v>0</v>
      </c>
      <c r="AE118" s="100">
        <f t="shared" ref="AE118:AE127" si="117">IF(AQ118="7",BI118,0)</f>
        <v>0</v>
      </c>
      <c r="AF118" s="100">
        <f t="shared" ref="AF118:AF127" si="118">IF(AQ118="2",BH118,0)</f>
        <v>0</v>
      </c>
      <c r="AG118" s="100">
        <f t="shared" ref="AG118:AG127" si="119">IF(AQ118="2",BI118,0)</f>
        <v>0</v>
      </c>
      <c r="AH118" s="100">
        <f t="shared" ref="AH118:AH127" si="120">IF(AQ118="0",BJ118,0)</f>
        <v>0</v>
      </c>
      <c r="AI118" s="109"/>
      <c r="AJ118" s="108">
        <f t="shared" ref="AJ118:AJ127" si="121">IF(AN118=0,K118,0)</f>
        <v>0</v>
      </c>
      <c r="AK118" s="108">
        <f t="shared" ref="AK118:AK127" si="122">IF(AN118=15,K118,0)</f>
        <v>0</v>
      </c>
      <c r="AL118" s="108">
        <f t="shared" ref="AL118:AL127" si="123">IF(AN118=21,K118,0)</f>
        <v>0</v>
      </c>
      <c r="AN118" s="100">
        <v>15</v>
      </c>
      <c r="AO118" s="100">
        <f>H118*0.0189490167102421</f>
        <v>0</v>
      </c>
      <c r="AP118" s="100">
        <f>H118*(1-0.0189490167102421)</f>
        <v>0</v>
      </c>
      <c r="AQ118" s="111" t="s">
        <v>7</v>
      </c>
      <c r="AV118" s="100">
        <f t="shared" ref="AV118:AV127" si="124">AW118+AX118</f>
        <v>0</v>
      </c>
      <c r="AW118" s="100">
        <f t="shared" ref="AW118:AW127" si="125">G118*AO118</f>
        <v>0</v>
      </c>
      <c r="AX118" s="100">
        <f t="shared" ref="AX118:AX127" si="126">G118*AP118</f>
        <v>0</v>
      </c>
      <c r="AY118" s="110" t="s">
        <v>1699</v>
      </c>
      <c r="AZ118" s="110" t="s">
        <v>1730</v>
      </c>
      <c r="BA118" s="109" t="s">
        <v>1737</v>
      </c>
      <c r="BC118" s="100">
        <f t="shared" ref="BC118:BC127" si="127">AW118+AX118</f>
        <v>0</v>
      </c>
      <c r="BD118" s="100">
        <f t="shared" ref="BD118:BD127" si="128">H118/(100-BE118)*100</f>
        <v>0</v>
      </c>
      <c r="BE118" s="100">
        <v>0</v>
      </c>
      <c r="BF118" s="100">
        <f>118</f>
        <v>118</v>
      </c>
      <c r="BH118" s="108">
        <f t="shared" ref="BH118:BH127" si="129">G118*AO118</f>
        <v>0</v>
      </c>
      <c r="BI118" s="108">
        <f t="shared" ref="BI118:BI127" si="130">G118*AP118</f>
        <v>0</v>
      </c>
      <c r="BJ118" s="108">
        <f t="shared" ref="BJ118:BJ127" si="131">G118*H118</f>
        <v>0</v>
      </c>
    </row>
    <row r="119" spans="1:62" x14ac:dyDescent="0.2">
      <c r="A119" s="117" t="s">
        <v>89</v>
      </c>
      <c r="B119" s="117" t="s">
        <v>642</v>
      </c>
      <c r="C119" s="304" t="s">
        <v>1149</v>
      </c>
      <c r="D119" s="305"/>
      <c r="E119" s="305"/>
      <c r="F119" s="117" t="s">
        <v>1645</v>
      </c>
      <c r="G119" s="116">
        <v>32.076000000000001</v>
      </c>
      <c r="H119" s="159"/>
      <c r="I119" s="108">
        <f t="shared" si="110"/>
        <v>0</v>
      </c>
      <c r="J119" s="108">
        <f t="shared" si="111"/>
        <v>0</v>
      </c>
      <c r="K119" s="108">
        <f t="shared" si="112"/>
        <v>0</v>
      </c>
      <c r="L119" s="111" t="s">
        <v>1671</v>
      </c>
      <c r="Z119" s="100">
        <f t="shared" si="113"/>
        <v>0</v>
      </c>
      <c r="AB119" s="100">
        <f t="shared" si="114"/>
        <v>0</v>
      </c>
      <c r="AC119" s="100">
        <f t="shared" si="115"/>
        <v>0</v>
      </c>
      <c r="AD119" s="100">
        <f t="shared" si="116"/>
        <v>0</v>
      </c>
      <c r="AE119" s="100">
        <f t="shared" si="117"/>
        <v>0</v>
      </c>
      <c r="AF119" s="100">
        <f t="shared" si="118"/>
        <v>0</v>
      </c>
      <c r="AG119" s="100">
        <f t="shared" si="119"/>
        <v>0</v>
      </c>
      <c r="AH119" s="100">
        <f t="shared" si="120"/>
        <v>0</v>
      </c>
      <c r="AI119" s="109"/>
      <c r="AJ119" s="108">
        <f t="shared" si="121"/>
        <v>0</v>
      </c>
      <c r="AK119" s="108">
        <f t="shared" si="122"/>
        <v>0</v>
      </c>
      <c r="AL119" s="108">
        <f t="shared" si="123"/>
        <v>0</v>
      </c>
      <c r="AN119" s="100">
        <v>15</v>
      </c>
      <c r="AO119" s="100">
        <f>H119*0.0118672137764025</f>
        <v>0</v>
      </c>
      <c r="AP119" s="100">
        <f>H119*(1-0.0118672137764025)</f>
        <v>0</v>
      </c>
      <c r="AQ119" s="111" t="s">
        <v>7</v>
      </c>
      <c r="AV119" s="100">
        <f t="shared" si="124"/>
        <v>0</v>
      </c>
      <c r="AW119" s="100">
        <f t="shared" si="125"/>
        <v>0</v>
      </c>
      <c r="AX119" s="100">
        <f t="shared" si="126"/>
        <v>0</v>
      </c>
      <c r="AY119" s="110" t="s">
        <v>1699</v>
      </c>
      <c r="AZ119" s="110" t="s">
        <v>1730</v>
      </c>
      <c r="BA119" s="109" t="s">
        <v>1737</v>
      </c>
      <c r="BC119" s="100">
        <f t="shared" si="127"/>
        <v>0</v>
      </c>
      <c r="BD119" s="100">
        <f t="shared" si="128"/>
        <v>0</v>
      </c>
      <c r="BE119" s="100">
        <v>0</v>
      </c>
      <c r="BF119" s="100">
        <f>119</f>
        <v>119</v>
      </c>
      <c r="BH119" s="108">
        <f t="shared" si="129"/>
        <v>0</v>
      </c>
      <c r="BI119" s="108">
        <f t="shared" si="130"/>
        <v>0</v>
      </c>
      <c r="BJ119" s="108">
        <f t="shared" si="131"/>
        <v>0</v>
      </c>
    </row>
    <row r="120" spans="1:62" x14ac:dyDescent="0.2">
      <c r="A120" s="117" t="s">
        <v>90</v>
      </c>
      <c r="B120" s="117" t="s">
        <v>643</v>
      </c>
      <c r="C120" s="304" t="s">
        <v>1150</v>
      </c>
      <c r="D120" s="305"/>
      <c r="E120" s="305"/>
      <c r="F120" s="117" t="s">
        <v>1645</v>
      </c>
      <c r="G120" s="116">
        <v>1155.05</v>
      </c>
      <c r="H120" s="159"/>
      <c r="I120" s="108">
        <f t="shared" si="110"/>
        <v>0</v>
      </c>
      <c r="J120" s="108">
        <f t="shared" si="111"/>
        <v>0</v>
      </c>
      <c r="K120" s="108">
        <f t="shared" si="112"/>
        <v>0</v>
      </c>
      <c r="L120" s="111" t="s">
        <v>1671</v>
      </c>
      <c r="Z120" s="100">
        <f t="shared" si="113"/>
        <v>0</v>
      </c>
      <c r="AB120" s="100">
        <f t="shared" si="114"/>
        <v>0</v>
      </c>
      <c r="AC120" s="100">
        <f t="shared" si="115"/>
        <v>0</v>
      </c>
      <c r="AD120" s="100">
        <f t="shared" si="116"/>
        <v>0</v>
      </c>
      <c r="AE120" s="100">
        <f t="shared" si="117"/>
        <v>0</v>
      </c>
      <c r="AF120" s="100">
        <f t="shared" si="118"/>
        <v>0</v>
      </c>
      <c r="AG120" s="100">
        <f t="shared" si="119"/>
        <v>0</v>
      </c>
      <c r="AH120" s="100">
        <f t="shared" si="120"/>
        <v>0</v>
      </c>
      <c r="AI120" s="109"/>
      <c r="AJ120" s="108">
        <f t="shared" si="121"/>
        <v>0</v>
      </c>
      <c r="AK120" s="108">
        <f t="shared" si="122"/>
        <v>0</v>
      </c>
      <c r="AL120" s="108">
        <f t="shared" si="123"/>
        <v>0</v>
      </c>
      <c r="AN120" s="100">
        <v>15</v>
      </c>
      <c r="AO120" s="100">
        <f>H120*0</f>
        <v>0</v>
      </c>
      <c r="AP120" s="100">
        <f>H120*(1-0)</f>
        <v>0</v>
      </c>
      <c r="AQ120" s="111" t="s">
        <v>7</v>
      </c>
      <c r="AV120" s="100">
        <f t="shared" si="124"/>
        <v>0</v>
      </c>
      <c r="AW120" s="100">
        <f t="shared" si="125"/>
        <v>0</v>
      </c>
      <c r="AX120" s="100">
        <f t="shared" si="126"/>
        <v>0</v>
      </c>
      <c r="AY120" s="110" t="s">
        <v>1699</v>
      </c>
      <c r="AZ120" s="110" t="s">
        <v>1730</v>
      </c>
      <c r="BA120" s="109" t="s">
        <v>1737</v>
      </c>
      <c r="BC120" s="100">
        <f t="shared" si="127"/>
        <v>0</v>
      </c>
      <c r="BD120" s="100">
        <f t="shared" si="128"/>
        <v>0</v>
      </c>
      <c r="BE120" s="100">
        <v>0</v>
      </c>
      <c r="BF120" s="100">
        <f>120</f>
        <v>120</v>
      </c>
      <c r="BH120" s="108">
        <f t="shared" si="129"/>
        <v>0</v>
      </c>
      <c r="BI120" s="108">
        <f t="shared" si="130"/>
        <v>0</v>
      </c>
      <c r="BJ120" s="108">
        <f t="shared" si="131"/>
        <v>0</v>
      </c>
    </row>
    <row r="121" spans="1:62" x14ac:dyDescent="0.2">
      <c r="A121" s="117" t="s">
        <v>91</v>
      </c>
      <c r="B121" s="117" t="s">
        <v>3180</v>
      </c>
      <c r="C121" s="304" t="s">
        <v>3728</v>
      </c>
      <c r="D121" s="305"/>
      <c r="E121" s="305"/>
      <c r="F121" s="117" t="s">
        <v>1644</v>
      </c>
      <c r="G121" s="116">
        <v>1</v>
      </c>
      <c r="H121" s="159"/>
      <c r="I121" s="108">
        <f t="shared" si="110"/>
        <v>0</v>
      </c>
      <c r="J121" s="108">
        <f t="shared" si="111"/>
        <v>0</v>
      </c>
      <c r="K121" s="108">
        <f t="shared" si="112"/>
        <v>0</v>
      </c>
      <c r="L121" s="111" t="s">
        <v>1671</v>
      </c>
      <c r="Z121" s="100">
        <f t="shared" si="113"/>
        <v>0</v>
      </c>
      <c r="AB121" s="100">
        <f t="shared" si="114"/>
        <v>0</v>
      </c>
      <c r="AC121" s="100">
        <f t="shared" si="115"/>
        <v>0</v>
      </c>
      <c r="AD121" s="100">
        <f t="shared" si="116"/>
        <v>0</v>
      </c>
      <c r="AE121" s="100">
        <f t="shared" si="117"/>
        <v>0</v>
      </c>
      <c r="AF121" s="100">
        <f t="shared" si="118"/>
        <v>0</v>
      </c>
      <c r="AG121" s="100">
        <f t="shared" si="119"/>
        <v>0</v>
      </c>
      <c r="AH121" s="100">
        <f t="shared" si="120"/>
        <v>0</v>
      </c>
      <c r="AI121" s="109"/>
      <c r="AJ121" s="108">
        <f t="shared" si="121"/>
        <v>0</v>
      </c>
      <c r="AK121" s="108">
        <f t="shared" si="122"/>
        <v>0</v>
      </c>
      <c r="AL121" s="108">
        <f t="shared" si="123"/>
        <v>0</v>
      </c>
      <c r="AN121" s="100">
        <v>15</v>
      </c>
      <c r="AO121" s="100">
        <f>H121*0.0119666666666667</f>
        <v>0</v>
      </c>
      <c r="AP121" s="100">
        <f>H121*(1-0.0119666666666667)</f>
        <v>0</v>
      </c>
      <c r="AQ121" s="111" t="s">
        <v>7</v>
      </c>
      <c r="AV121" s="100">
        <f t="shared" si="124"/>
        <v>0</v>
      </c>
      <c r="AW121" s="100">
        <f t="shared" si="125"/>
        <v>0</v>
      </c>
      <c r="AX121" s="100">
        <f t="shared" si="126"/>
        <v>0</v>
      </c>
      <c r="AY121" s="110" t="s">
        <v>1699</v>
      </c>
      <c r="AZ121" s="110" t="s">
        <v>1730</v>
      </c>
      <c r="BA121" s="109" t="s">
        <v>1737</v>
      </c>
      <c r="BC121" s="100">
        <f t="shared" si="127"/>
        <v>0</v>
      </c>
      <c r="BD121" s="100">
        <f t="shared" si="128"/>
        <v>0</v>
      </c>
      <c r="BE121" s="100">
        <v>0</v>
      </c>
      <c r="BF121" s="100">
        <f>121</f>
        <v>121</v>
      </c>
      <c r="BH121" s="108">
        <f t="shared" si="129"/>
        <v>0</v>
      </c>
      <c r="BI121" s="108">
        <f t="shared" si="130"/>
        <v>0</v>
      </c>
      <c r="BJ121" s="108">
        <f t="shared" si="131"/>
        <v>0</v>
      </c>
    </row>
    <row r="122" spans="1:62" x14ac:dyDescent="0.2">
      <c r="A122" s="117" t="s">
        <v>92</v>
      </c>
      <c r="B122" s="117" t="s">
        <v>644</v>
      </c>
      <c r="C122" s="304" t="s">
        <v>1151</v>
      </c>
      <c r="D122" s="305"/>
      <c r="E122" s="305"/>
      <c r="F122" s="117" t="s">
        <v>1644</v>
      </c>
      <c r="G122" s="116">
        <v>2</v>
      </c>
      <c r="H122" s="159"/>
      <c r="I122" s="108">
        <f t="shared" si="110"/>
        <v>0</v>
      </c>
      <c r="J122" s="108">
        <f t="shared" si="111"/>
        <v>0</v>
      </c>
      <c r="K122" s="108">
        <f t="shared" si="112"/>
        <v>0</v>
      </c>
      <c r="L122" s="111" t="s">
        <v>1671</v>
      </c>
      <c r="Z122" s="100">
        <f t="shared" si="113"/>
        <v>0</v>
      </c>
      <c r="AB122" s="100">
        <f t="shared" si="114"/>
        <v>0</v>
      </c>
      <c r="AC122" s="100">
        <f t="shared" si="115"/>
        <v>0</v>
      </c>
      <c r="AD122" s="100">
        <f t="shared" si="116"/>
        <v>0</v>
      </c>
      <c r="AE122" s="100">
        <f t="shared" si="117"/>
        <v>0</v>
      </c>
      <c r="AF122" s="100">
        <f t="shared" si="118"/>
        <v>0</v>
      </c>
      <c r="AG122" s="100">
        <f t="shared" si="119"/>
        <v>0</v>
      </c>
      <c r="AH122" s="100">
        <f t="shared" si="120"/>
        <v>0</v>
      </c>
      <c r="AI122" s="109"/>
      <c r="AJ122" s="108">
        <f t="shared" si="121"/>
        <v>0</v>
      </c>
      <c r="AK122" s="108">
        <f t="shared" si="122"/>
        <v>0</v>
      </c>
      <c r="AL122" s="108">
        <f t="shared" si="123"/>
        <v>0</v>
      </c>
      <c r="AN122" s="100">
        <v>15</v>
      </c>
      <c r="AO122" s="100">
        <f>H122*0</f>
        <v>0</v>
      </c>
      <c r="AP122" s="100">
        <f>H122*(1-0)</f>
        <v>0</v>
      </c>
      <c r="AQ122" s="111" t="s">
        <v>7</v>
      </c>
      <c r="AV122" s="100">
        <f t="shared" si="124"/>
        <v>0</v>
      </c>
      <c r="AW122" s="100">
        <f t="shared" si="125"/>
        <v>0</v>
      </c>
      <c r="AX122" s="100">
        <f t="shared" si="126"/>
        <v>0</v>
      </c>
      <c r="AY122" s="110" t="s">
        <v>1699</v>
      </c>
      <c r="AZ122" s="110" t="s">
        <v>1730</v>
      </c>
      <c r="BA122" s="109" t="s">
        <v>1737</v>
      </c>
      <c r="BC122" s="100">
        <f t="shared" si="127"/>
        <v>0</v>
      </c>
      <c r="BD122" s="100">
        <f t="shared" si="128"/>
        <v>0</v>
      </c>
      <c r="BE122" s="100">
        <v>0</v>
      </c>
      <c r="BF122" s="100">
        <f>122</f>
        <v>122</v>
      </c>
      <c r="BH122" s="108">
        <f t="shared" si="129"/>
        <v>0</v>
      </c>
      <c r="BI122" s="108">
        <f t="shared" si="130"/>
        <v>0</v>
      </c>
      <c r="BJ122" s="108">
        <f t="shared" si="131"/>
        <v>0</v>
      </c>
    </row>
    <row r="123" spans="1:62" x14ac:dyDescent="0.2">
      <c r="A123" s="117" t="s">
        <v>93</v>
      </c>
      <c r="B123" s="117" t="s">
        <v>646</v>
      </c>
      <c r="C123" s="304" t="s">
        <v>1153</v>
      </c>
      <c r="D123" s="305"/>
      <c r="E123" s="305"/>
      <c r="F123" s="117" t="s">
        <v>1650</v>
      </c>
      <c r="G123" s="116">
        <v>350</v>
      </c>
      <c r="H123" s="159"/>
      <c r="I123" s="108">
        <f t="shared" si="110"/>
        <v>0</v>
      </c>
      <c r="J123" s="108">
        <f t="shared" si="111"/>
        <v>0</v>
      </c>
      <c r="K123" s="108">
        <f t="shared" si="112"/>
        <v>0</v>
      </c>
      <c r="L123" s="111" t="s">
        <v>1671</v>
      </c>
      <c r="Z123" s="100">
        <f t="shared" si="113"/>
        <v>0</v>
      </c>
      <c r="AB123" s="100">
        <f t="shared" si="114"/>
        <v>0</v>
      </c>
      <c r="AC123" s="100">
        <f t="shared" si="115"/>
        <v>0</v>
      </c>
      <c r="AD123" s="100">
        <f t="shared" si="116"/>
        <v>0</v>
      </c>
      <c r="AE123" s="100">
        <f t="shared" si="117"/>
        <v>0</v>
      </c>
      <c r="AF123" s="100">
        <f t="shared" si="118"/>
        <v>0</v>
      </c>
      <c r="AG123" s="100">
        <f t="shared" si="119"/>
        <v>0</v>
      </c>
      <c r="AH123" s="100">
        <f t="shared" si="120"/>
        <v>0</v>
      </c>
      <c r="AI123" s="109"/>
      <c r="AJ123" s="108">
        <f t="shared" si="121"/>
        <v>0</v>
      </c>
      <c r="AK123" s="108">
        <f t="shared" si="122"/>
        <v>0</v>
      </c>
      <c r="AL123" s="108">
        <f t="shared" si="123"/>
        <v>0</v>
      </c>
      <c r="AN123" s="100">
        <v>15</v>
      </c>
      <c r="AO123" s="100">
        <f>H123*0.412803738317757</f>
        <v>0</v>
      </c>
      <c r="AP123" s="100">
        <f>H123*(1-0.412803738317757)</f>
        <v>0</v>
      </c>
      <c r="AQ123" s="111" t="s">
        <v>7</v>
      </c>
      <c r="AV123" s="100">
        <f t="shared" si="124"/>
        <v>0</v>
      </c>
      <c r="AW123" s="100">
        <f t="shared" si="125"/>
        <v>0</v>
      </c>
      <c r="AX123" s="100">
        <f t="shared" si="126"/>
        <v>0</v>
      </c>
      <c r="AY123" s="110" t="s">
        <v>1699</v>
      </c>
      <c r="AZ123" s="110" t="s">
        <v>1730</v>
      </c>
      <c r="BA123" s="109" t="s">
        <v>1737</v>
      </c>
      <c r="BC123" s="100">
        <f t="shared" si="127"/>
        <v>0</v>
      </c>
      <c r="BD123" s="100">
        <f t="shared" si="128"/>
        <v>0</v>
      </c>
      <c r="BE123" s="100">
        <v>0</v>
      </c>
      <c r="BF123" s="100">
        <f>123</f>
        <v>123</v>
      </c>
      <c r="BH123" s="108">
        <f t="shared" si="129"/>
        <v>0</v>
      </c>
      <c r="BI123" s="108">
        <f t="shared" si="130"/>
        <v>0</v>
      </c>
      <c r="BJ123" s="108">
        <f t="shared" si="131"/>
        <v>0</v>
      </c>
    </row>
    <row r="124" spans="1:62" x14ac:dyDescent="0.2">
      <c r="A124" s="117" t="s">
        <v>94</v>
      </c>
      <c r="B124" s="117" t="s">
        <v>647</v>
      </c>
      <c r="C124" s="304" t="s">
        <v>1154</v>
      </c>
      <c r="D124" s="305"/>
      <c r="E124" s="305"/>
      <c r="F124" s="117" t="s">
        <v>1644</v>
      </c>
      <c r="G124" s="116">
        <v>16</v>
      </c>
      <c r="H124" s="159"/>
      <c r="I124" s="108">
        <f t="shared" si="110"/>
        <v>0</v>
      </c>
      <c r="J124" s="108">
        <f t="shared" si="111"/>
        <v>0</v>
      </c>
      <c r="K124" s="108">
        <f t="shared" si="112"/>
        <v>0</v>
      </c>
      <c r="L124" s="111" t="s">
        <v>1671</v>
      </c>
      <c r="Z124" s="100">
        <f t="shared" si="113"/>
        <v>0</v>
      </c>
      <c r="AB124" s="100">
        <f t="shared" si="114"/>
        <v>0</v>
      </c>
      <c r="AC124" s="100">
        <f t="shared" si="115"/>
        <v>0</v>
      </c>
      <c r="AD124" s="100">
        <f t="shared" si="116"/>
        <v>0</v>
      </c>
      <c r="AE124" s="100">
        <f t="shared" si="117"/>
        <v>0</v>
      </c>
      <c r="AF124" s="100">
        <f t="shared" si="118"/>
        <v>0</v>
      </c>
      <c r="AG124" s="100">
        <f t="shared" si="119"/>
        <v>0</v>
      </c>
      <c r="AH124" s="100">
        <f t="shared" si="120"/>
        <v>0</v>
      </c>
      <c r="AI124" s="109"/>
      <c r="AJ124" s="108">
        <f t="shared" si="121"/>
        <v>0</v>
      </c>
      <c r="AK124" s="108">
        <f t="shared" si="122"/>
        <v>0</v>
      </c>
      <c r="AL124" s="108">
        <f t="shared" si="123"/>
        <v>0</v>
      </c>
      <c r="AN124" s="100">
        <v>15</v>
      </c>
      <c r="AO124" s="100">
        <f>H124*0.35032967032967</f>
        <v>0</v>
      </c>
      <c r="AP124" s="100">
        <f>H124*(1-0.35032967032967)</f>
        <v>0</v>
      </c>
      <c r="AQ124" s="111" t="s">
        <v>7</v>
      </c>
      <c r="AV124" s="100">
        <f t="shared" si="124"/>
        <v>0</v>
      </c>
      <c r="AW124" s="100">
        <f t="shared" si="125"/>
        <v>0</v>
      </c>
      <c r="AX124" s="100">
        <f t="shared" si="126"/>
        <v>0</v>
      </c>
      <c r="AY124" s="110" t="s">
        <v>1699</v>
      </c>
      <c r="AZ124" s="110" t="s">
        <v>1730</v>
      </c>
      <c r="BA124" s="109" t="s">
        <v>1737</v>
      </c>
      <c r="BC124" s="100">
        <f t="shared" si="127"/>
        <v>0</v>
      </c>
      <c r="BD124" s="100">
        <f t="shared" si="128"/>
        <v>0</v>
      </c>
      <c r="BE124" s="100">
        <v>0</v>
      </c>
      <c r="BF124" s="100">
        <f>124</f>
        <v>124</v>
      </c>
      <c r="BH124" s="108">
        <f t="shared" si="129"/>
        <v>0</v>
      </c>
      <c r="BI124" s="108">
        <f t="shared" si="130"/>
        <v>0</v>
      </c>
      <c r="BJ124" s="108">
        <f t="shared" si="131"/>
        <v>0</v>
      </c>
    </row>
    <row r="125" spans="1:62" x14ac:dyDescent="0.2">
      <c r="A125" s="117" t="s">
        <v>95</v>
      </c>
      <c r="B125" s="117" t="s">
        <v>648</v>
      </c>
      <c r="C125" s="304" t="s">
        <v>1155</v>
      </c>
      <c r="D125" s="305"/>
      <c r="E125" s="305"/>
      <c r="F125" s="117" t="s">
        <v>1644</v>
      </c>
      <c r="G125" s="116">
        <v>1</v>
      </c>
      <c r="H125" s="159"/>
      <c r="I125" s="108">
        <f t="shared" si="110"/>
        <v>0</v>
      </c>
      <c r="J125" s="108">
        <f t="shared" si="111"/>
        <v>0</v>
      </c>
      <c r="K125" s="108">
        <f t="shared" si="112"/>
        <v>0</v>
      </c>
      <c r="L125" s="111" t="s">
        <v>1671</v>
      </c>
      <c r="Z125" s="100">
        <f t="shared" si="113"/>
        <v>0</v>
      </c>
      <c r="AB125" s="100">
        <f t="shared" si="114"/>
        <v>0</v>
      </c>
      <c r="AC125" s="100">
        <f t="shared" si="115"/>
        <v>0</v>
      </c>
      <c r="AD125" s="100">
        <f t="shared" si="116"/>
        <v>0</v>
      </c>
      <c r="AE125" s="100">
        <f t="shared" si="117"/>
        <v>0</v>
      </c>
      <c r="AF125" s="100">
        <f t="shared" si="118"/>
        <v>0</v>
      </c>
      <c r="AG125" s="100">
        <f t="shared" si="119"/>
        <v>0</v>
      </c>
      <c r="AH125" s="100">
        <f t="shared" si="120"/>
        <v>0</v>
      </c>
      <c r="AI125" s="109"/>
      <c r="AJ125" s="108">
        <f t="shared" si="121"/>
        <v>0</v>
      </c>
      <c r="AK125" s="108">
        <f t="shared" si="122"/>
        <v>0</v>
      </c>
      <c r="AL125" s="108">
        <f t="shared" si="123"/>
        <v>0</v>
      </c>
      <c r="AN125" s="100">
        <v>15</v>
      </c>
      <c r="AO125" s="100">
        <f>H125*0.908159692307692</f>
        <v>0</v>
      </c>
      <c r="AP125" s="100">
        <f>H125*(1-0.908159692307692)</f>
        <v>0</v>
      </c>
      <c r="AQ125" s="111" t="s">
        <v>7</v>
      </c>
      <c r="AV125" s="100">
        <f t="shared" si="124"/>
        <v>0</v>
      </c>
      <c r="AW125" s="100">
        <f t="shared" si="125"/>
        <v>0</v>
      </c>
      <c r="AX125" s="100">
        <f t="shared" si="126"/>
        <v>0</v>
      </c>
      <c r="AY125" s="110" t="s">
        <v>1699</v>
      </c>
      <c r="AZ125" s="110" t="s">
        <v>1730</v>
      </c>
      <c r="BA125" s="109" t="s">
        <v>1737</v>
      </c>
      <c r="BC125" s="100">
        <f t="shared" si="127"/>
        <v>0</v>
      </c>
      <c r="BD125" s="100">
        <f t="shared" si="128"/>
        <v>0</v>
      </c>
      <c r="BE125" s="100">
        <v>0</v>
      </c>
      <c r="BF125" s="100">
        <f>125</f>
        <v>125</v>
      </c>
      <c r="BH125" s="108">
        <f t="shared" si="129"/>
        <v>0</v>
      </c>
      <c r="BI125" s="108">
        <f t="shared" si="130"/>
        <v>0</v>
      </c>
      <c r="BJ125" s="108">
        <f t="shared" si="131"/>
        <v>0</v>
      </c>
    </row>
    <row r="126" spans="1:62" x14ac:dyDescent="0.2">
      <c r="A126" s="117" t="s">
        <v>96</v>
      </c>
      <c r="B126" s="117" t="s">
        <v>649</v>
      </c>
      <c r="C126" s="304" t="s">
        <v>1156</v>
      </c>
      <c r="D126" s="305"/>
      <c r="E126" s="305"/>
      <c r="F126" s="117" t="s">
        <v>1644</v>
      </c>
      <c r="G126" s="116">
        <v>1</v>
      </c>
      <c r="H126" s="159"/>
      <c r="I126" s="108">
        <f t="shared" si="110"/>
        <v>0</v>
      </c>
      <c r="J126" s="108">
        <f t="shared" si="111"/>
        <v>0</v>
      </c>
      <c r="K126" s="108">
        <f t="shared" si="112"/>
        <v>0</v>
      </c>
      <c r="L126" s="111" t="s">
        <v>1671</v>
      </c>
      <c r="Z126" s="100">
        <f t="shared" si="113"/>
        <v>0</v>
      </c>
      <c r="AB126" s="100">
        <f t="shared" si="114"/>
        <v>0</v>
      </c>
      <c r="AC126" s="100">
        <f t="shared" si="115"/>
        <v>0</v>
      </c>
      <c r="AD126" s="100">
        <f t="shared" si="116"/>
        <v>0</v>
      </c>
      <c r="AE126" s="100">
        <f t="shared" si="117"/>
        <v>0</v>
      </c>
      <c r="AF126" s="100">
        <f t="shared" si="118"/>
        <v>0</v>
      </c>
      <c r="AG126" s="100">
        <f t="shared" si="119"/>
        <v>0</v>
      </c>
      <c r="AH126" s="100">
        <f t="shared" si="120"/>
        <v>0</v>
      </c>
      <c r="AI126" s="109"/>
      <c r="AJ126" s="108">
        <f t="shared" si="121"/>
        <v>0</v>
      </c>
      <c r="AK126" s="108">
        <f t="shared" si="122"/>
        <v>0</v>
      </c>
      <c r="AL126" s="108">
        <f t="shared" si="123"/>
        <v>0</v>
      </c>
      <c r="AN126" s="100">
        <v>15</v>
      </c>
      <c r="AO126" s="100">
        <f>H126*0.908156</f>
        <v>0</v>
      </c>
      <c r="AP126" s="100">
        <f>H126*(1-0.908156)</f>
        <v>0</v>
      </c>
      <c r="AQ126" s="111" t="s">
        <v>7</v>
      </c>
      <c r="AV126" s="100">
        <f t="shared" si="124"/>
        <v>0</v>
      </c>
      <c r="AW126" s="100">
        <f t="shared" si="125"/>
        <v>0</v>
      </c>
      <c r="AX126" s="100">
        <f t="shared" si="126"/>
        <v>0</v>
      </c>
      <c r="AY126" s="110" t="s">
        <v>1699</v>
      </c>
      <c r="AZ126" s="110" t="s">
        <v>1730</v>
      </c>
      <c r="BA126" s="109" t="s">
        <v>1737</v>
      </c>
      <c r="BC126" s="100">
        <f t="shared" si="127"/>
        <v>0</v>
      </c>
      <c r="BD126" s="100">
        <f t="shared" si="128"/>
        <v>0</v>
      </c>
      <c r="BE126" s="100">
        <v>0</v>
      </c>
      <c r="BF126" s="100">
        <f>126</f>
        <v>126</v>
      </c>
      <c r="BH126" s="108">
        <f t="shared" si="129"/>
        <v>0</v>
      </c>
      <c r="BI126" s="108">
        <f t="shared" si="130"/>
        <v>0</v>
      </c>
      <c r="BJ126" s="108">
        <f t="shared" si="131"/>
        <v>0</v>
      </c>
    </row>
    <row r="127" spans="1:62" x14ac:dyDescent="0.2">
      <c r="A127" s="117" t="s">
        <v>97</v>
      </c>
      <c r="B127" s="117" t="s">
        <v>650</v>
      </c>
      <c r="C127" s="304" t="s">
        <v>1157</v>
      </c>
      <c r="D127" s="305"/>
      <c r="E127" s="305"/>
      <c r="F127" s="117" t="s">
        <v>1644</v>
      </c>
      <c r="G127" s="116">
        <v>1</v>
      </c>
      <c r="H127" s="159"/>
      <c r="I127" s="108">
        <f t="shared" si="110"/>
        <v>0</v>
      </c>
      <c r="J127" s="108">
        <f t="shared" si="111"/>
        <v>0</v>
      </c>
      <c r="K127" s="108">
        <f t="shared" si="112"/>
        <v>0</v>
      </c>
      <c r="L127" s="111" t="s">
        <v>1671</v>
      </c>
      <c r="Z127" s="100">
        <f t="shared" si="113"/>
        <v>0</v>
      </c>
      <c r="AB127" s="100">
        <f t="shared" si="114"/>
        <v>0</v>
      </c>
      <c r="AC127" s="100">
        <f t="shared" si="115"/>
        <v>0</v>
      </c>
      <c r="AD127" s="100">
        <f t="shared" si="116"/>
        <v>0</v>
      </c>
      <c r="AE127" s="100">
        <f t="shared" si="117"/>
        <v>0</v>
      </c>
      <c r="AF127" s="100">
        <f t="shared" si="118"/>
        <v>0</v>
      </c>
      <c r="AG127" s="100">
        <f t="shared" si="119"/>
        <v>0</v>
      </c>
      <c r="AH127" s="100">
        <f t="shared" si="120"/>
        <v>0</v>
      </c>
      <c r="AI127" s="109"/>
      <c r="AJ127" s="108">
        <f t="shared" si="121"/>
        <v>0</v>
      </c>
      <c r="AK127" s="108">
        <f t="shared" si="122"/>
        <v>0</v>
      </c>
      <c r="AL127" s="108">
        <f t="shared" si="123"/>
        <v>0</v>
      </c>
      <c r="AN127" s="100">
        <v>15</v>
      </c>
      <c r="AO127" s="100">
        <f>H127*0.90816</f>
        <v>0</v>
      </c>
      <c r="AP127" s="100">
        <f>H127*(1-0.90816)</f>
        <v>0</v>
      </c>
      <c r="AQ127" s="111" t="s">
        <v>7</v>
      </c>
      <c r="AV127" s="100">
        <f t="shared" si="124"/>
        <v>0</v>
      </c>
      <c r="AW127" s="100">
        <f t="shared" si="125"/>
        <v>0</v>
      </c>
      <c r="AX127" s="100">
        <f t="shared" si="126"/>
        <v>0</v>
      </c>
      <c r="AY127" s="110" t="s">
        <v>1699</v>
      </c>
      <c r="AZ127" s="110" t="s">
        <v>1730</v>
      </c>
      <c r="BA127" s="109" t="s">
        <v>1737</v>
      </c>
      <c r="BC127" s="100">
        <f t="shared" si="127"/>
        <v>0</v>
      </c>
      <c r="BD127" s="100">
        <f t="shared" si="128"/>
        <v>0</v>
      </c>
      <c r="BE127" s="100">
        <v>0</v>
      </c>
      <c r="BF127" s="100">
        <f>127</f>
        <v>127</v>
      </c>
      <c r="BH127" s="108">
        <f t="shared" si="129"/>
        <v>0</v>
      </c>
      <c r="BI127" s="108">
        <f t="shared" si="130"/>
        <v>0</v>
      </c>
      <c r="BJ127" s="108">
        <f t="shared" si="131"/>
        <v>0</v>
      </c>
    </row>
    <row r="128" spans="1:62" x14ac:dyDescent="0.2">
      <c r="A128" s="119"/>
      <c r="B128" s="120" t="s">
        <v>102</v>
      </c>
      <c r="C128" s="306" t="s">
        <v>1158</v>
      </c>
      <c r="D128" s="307"/>
      <c r="E128" s="307"/>
      <c r="F128" s="119" t="s">
        <v>6</v>
      </c>
      <c r="G128" s="119" t="s">
        <v>6</v>
      </c>
      <c r="H128" s="119" t="s">
        <v>6</v>
      </c>
      <c r="I128" s="118">
        <f>SUM(I129:I147)</f>
        <v>0</v>
      </c>
      <c r="J128" s="118">
        <f>SUM(J129:J147)</f>
        <v>0</v>
      </c>
      <c r="K128" s="118">
        <f>SUM(K129:K147)</f>
        <v>0</v>
      </c>
      <c r="L128" s="109"/>
      <c r="AI128" s="109"/>
      <c r="AS128" s="118">
        <f>SUM(AJ129:AJ147)</f>
        <v>0</v>
      </c>
      <c r="AT128" s="118">
        <f>SUM(AK129:AK147)</f>
        <v>0</v>
      </c>
      <c r="AU128" s="118">
        <f>SUM(AL129:AL147)</f>
        <v>0</v>
      </c>
    </row>
    <row r="129" spans="1:62" x14ac:dyDescent="0.2">
      <c r="A129" s="117" t="s">
        <v>98</v>
      </c>
      <c r="B129" s="117" t="s">
        <v>651</v>
      </c>
      <c r="C129" s="304" t="s">
        <v>1159</v>
      </c>
      <c r="D129" s="305"/>
      <c r="E129" s="305"/>
      <c r="F129" s="117" t="s">
        <v>1645</v>
      </c>
      <c r="G129" s="116">
        <v>223.108</v>
      </c>
      <c r="H129" s="159"/>
      <c r="I129" s="108">
        <f t="shared" ref="I129:I147" si="132">G129*AO129</f>
        <v>0</v>
      </c>
      <c r="J129" s="108">
        <f t="shared" ref="J129:J147" si="133">G129*AP129</f>
        <v>0</v>
      </c>
      <c r="K129" s="108">
        <f t="shared" ref="K129:K147" si="134">G129*H129</f>
        <v>0</v>
      </c>
      <c r="L129" s="111" t="s">
        <v>1671</v>
      </c>
      <c r="Z129" s="100">
        <f t="shared" ref="Z129:Z147" si="135">IF(AQ129="5",BJ129,0)</f>
        <v>0</v>
      </c>
      <c r="AB129" s="100">
        <f t="shared" ref="AB129:AB147" si="136">IF(AQ129="1",BH129,0)</f>
        <v>0</v>
      </c>
      <c r="AC129" s="100">
        <f t="shared" ref="AC129:AC147" si="137">IF(AQ129="1",BI129,0)</f>
        <v>0</v>
      </c>
      <c r="AD129" s="100">
        <f t="shared" ref="AD129:AD147" si="138">IF(AQ129="7",BH129,0)</f>
        <v>0</v>
      </c>
      <c r="AE129" s="100">
        <f t="shared" ref="AE129:AE147" si="139">IF(AQ129="7",BI129,0)</f>
        <v>0</v>
      </c>
      <c r="AF129" s="100">
        <f t="shared" ref="AF129:AF147" si="140">IF(AQ129="2",BH129,0)</f>
        <v>0</v>
      </c>
      <c r="AG129" s="100">
        <f t="shared" ref="AG129:AG147" si="141">IF(AQ129="2",BI129,0)</f>
        <v>0</v>
      </c>
      <c r="AH129" s="100">
        <f t="shared" ref="AH129:AH147" si="142">IF(AQ129="0",BJ129,0)</f>
        <v>0</v>
      </c>
      <c r="AI129" s="109"/>
      <c r="AJ129" s="108">
        <f t="shared" ref="AJ129:AJ147" si="143">IF(AN129=0,K129,0)</f>
        <v>0</v>
      </c>
      <c r="AK129" s="108">
        <f t="shared" ref="AK129:AK147" si="144">IF(AN129=15,K129,0)</f>
        <v>0</v>
      </c>
      <c r="AL129" s="108">
        <f t="shared" ref="AL129:AL147" si="145">IF(AN129=21,K129,0)</f>
        <v>0</v>
      </c>
      <c r="AN129" s="100">
        <v>15</v>
      </c>
      <c r="AO129" s="100">
        <f>H129*0</f>
        <v>0</v>
      </c>
      <c r="AP129" s="100">
        <f>H129*(1-0)</f>
        <v>0</v>
      </c>
      <c r="AQ129" s="111" t="s">
        <v>7</v>
      </c>
      <c r="AV129" s="100">
        <f t="shared" ref="AV129:AV147" si="146">AW129+AX129</f>
        <v>0</v>
      </c>
      <c r="AW129" s="100">
        <f t="shared" ref="AW129:AW147" si="147">G129*AO129</f>
        <v>0</v>
      </c>
      <c r="AX129" s="100">
        <f t="shared" ref="AX129:AX147" si="148">G129*AP129</f>
        <v>0</v>
      </c>
      <c r="AY129" s="110" t="s">
        <v>1700</v>
      </c>
      <c r="AZ129" s="110" t="s">
        <v>1730</v>
      </c>
      <c r="BA129" s="109" t="s">
        <v>1737</v>
      </c>
      <c r="BC129" s="100">
        <f t="shared" ref="BC129:BC147" si="149">AW129+AX129</f>
        <v>0</v>
      </c>
      <c r="BD129" s="100">
        <f t="shared" ref="BD129:BD147" si="150">H129/(100-BE129)*100</f>
        <v>0</v>
      </c>
      <c r="BE129" s="100">
        <v>0</v>
      </c>
      <c r="BF129" s="100">
        <f>129</f>
        <v>129</v>
      </c>
      <c r="BH129" s="108">
        <f t="shared" ref="BH129:BH147" si="151">G129*AO129</f>
        <v>0</v>
      </c>
      <c r="BI129" s="108">
        <f t="shared" ref="BI129:BI147" si="152">G129*AP129</f>
        <v>0</v>
      </c>
      <c r="BJ129" s="108">
        <f t="shared" ref="BJ129:BJ147" si="153">G129*H129</f>
        <v>0</v>
      </c>
    </row>
    <row r="130" spans="1:62" x14ac:dyDescent="0.2">
      <c r="A130" s="117" t="s">
        <v>99</v>
      </c>
      <c r="B130" s="117" t="s">
        <v>652</v>
      </c>
      <c r="C130" s="304" t="s">
        <v>1160</v>
      </c>
      <c r="D130" s="305"/>
      <c r="E130" s="305"/>
      <c r="F130" s="117" t="s">
        <v>1644</v>
      </c>
      <c r="G130" s="116">
        <v>11</v>
      </c>
      <c r="H130" s="159"/>
      <c r="I130" s="108">
        <f t="shared" si="132"/>
        <v>0</v>
      </c>
      <c r="J130" s="108">
        <f t="shared" si="133"/>
        <v>0</v>
      </c>
      <c r="K130" s="108">
        <f t="shared" si="134"/>
        <v>0</v>
      </c>
      <c r="L130" s="111" t="s">
        <v>1671</v>
      </c>
      <c r="Z130" s="100">
        <f t="shared" si="135"/>
        <v>0</v>
      </c>
      <c r="AB130" s="100">
        <f t="shared" si="136"/>
        <v>0</v>
      </c>
      <c r="AC130" s="100">
        <f t="shared" si="137"/>
        <v>0</v>
      </c>
      <c r="AD130" s="100">
        <f t="shared" si="138"/>
        <v>0</v>
      </c>
      <c r="AE130" s="100">
        <f t="shared" si="139"/>
        <v>0</v>
      </c>
      <c r="AF130" s="100">
        <f t="shared" si="140"/>
        <v>0</v>
      </c>
      <c r="AG130" s="100">
        <f t="shared" si="141"/>
        <v>0</v>
      </c>
      <c r="AH130" s="100">
        <f t="shared" si="142"/>
        <v>0</v>
      </c>
      <c r="AI130" s="109"/>
      <c r="AJ130" s="108">
        <f t="shared" si="143"/>
        <v>0</v>
      </c>
      <c r="AK130" s="108">
        <f t="shared" si="144"/>
        <v>0</v>
      </c>
      <c r="AL130" s="108">
        <f t="shared" si="145"/>
        <v>0</v>
      </c>
      <c r="AN130" s="100">
        <v>15</v>
      </c>
      <c r="AO130" s="100">
        <f>H130*0</f>
        <v>0</v>
      </c>
      <c r="AP130" s="100">
        <f>H130*(1-0)</f>
        <v>0</v>
      </c>
      <c r="AQ130" s="111" t="s">
        <v>7</v>
      </c>
      <c r="AV130" s="100">
        <f t="shared" si="146"/>
        <v>0</v>
      </c>
      <c r="AW130" s="100">
        <f t="shared" si="147"/>
        <v>0</v>
      </c>
      <c r="AX130" s="100">
        <f t="shared" si="148"/>
        <v>0</v>
      </c>
      <c r="AY130" s="110" t="s">
        <v>1700</v>
      </c>
      <c r="AZ130" s="110" t="s">
        <v>1730</v>
      </c>
      <c r="BA130" s="109" t="s">
        <v>1737</v>
      </c>
      <c r="BC130" s="100">
        <f t="shared" si="149"/>
        <v>0</v>
      </c>
      <c r="BD130" s="100">
        <f t="shared" si="150"/>
        <v>0</v>
      </c>
      <c r="BE130" s="100">
        <v>0</v>
      </c>
      <c r="BF130" s="100">
        <f>130</f>
        <v>130</v>
      </c>
      <c r="BH130" s="108">
        <f t="shared" si="151"/>
        <v>0</v>
      </c>
      <c r="BI130" s="108">
        <f t="shared" si="152"/>
        <v>0</v>
      </c>
      <c r="BJ130" s="108">
        <f t="shared" si="153"/>
        <v>0</v>
      </c>
    </row>
    <row r="131" spans="1:62" x14ac:dyDescent="0.2">
      <c r="A131" s="117" t="s">
        <v>100</v>
      </c>
      <c r="B131" s="117" t="s">
        <v>3727</v>
      </c>
      <c r="C131" s="304" t="s">
        <v>3726</v>
      </c>
      <c r="D131" s="305"/>
      <c r="E131" s="305"/>
      <c r="F131" s="117" t="s">
        <v>1644</v>
      </c>
      <c r="G131" s="116">
        <v>1</v>
      </c>
      <c r="H131" s="159"/>
      <c r="I131" s="108">
        <f t="shared" si="132"/>
        <v>0</v>
      </c>
      <c r="J131" s="108">
        <f t="shared" si="133"/>
        <v>0</v>
      </c>
      <c r="K131" s="108">
        <f t="shared" si="134"/>
        <v>0</v>
      </c>
      <c r="L131" s="111" t="s">
        <v>1671</v>
      </c>
      <c r="Z131" s="100">
        <f t="shared" si="135"/>
        <v>0</v>
      </c>
      <c r="AB131" s="100">
        <f t="shared" si="136"/>
        <v>0</v>
      </c>
      <c r="AC131" s="100">
        <f t="shared" si="137"/>
        <v>0</v>
      </c>
      <c r="AD131" s="100">
        <f t="shared" si="138"/>
        <v>0</v>
      </c>
      <c r="AE131" s="100">
        <f t="shared" si="139"/>
        <v>0</v>
      </c>
      <c r="AF131" s="100">
        <f t="shared" si="140"/>
        <v>0</v>
      </c>
      <c r="AG131" s="100">
        <f t="shared" si="141"/>
        <v>0</v>
      </c>
      <c r="AH131" s="100">
        <f t="shared" si="142"/>
        <v>0</v>
      </c>
      <c r="AI131" s="109"/>
      <c r="AJ131" s="108">
        <f t="shared" si="143"/>
        <v>0</v>
      </c>
      <c r="AK131" s="108">
        <f t="shared" si="144"/>
        <v>0</v>
      </c>
      <c r="AL131" s="108">
        <f t="shared" si="145"/>
        <v>0</v>
      </c>
      <c r="AN131" s="100">
        <v>15</v>
      </c>
      <c r="AO131" s="100">
        <f>H131*0.047502</f>
        <v>0</v>
      </c>
      <c r="AP131" s="100">
        <f>H131*(1-0.047502)</f>
        <v>0</v>
      </c>
      <c r="AQ131" s="111" t="s">
        <v>7</v>
      </c>
      <c r="AV131" s="100">
        <f t="shared" si="146"/>
        <v>0</v>
      </c>
      <c r="AW131" s="100">
        <f t="shared" si="147"/>
        <v>0</v>
      </c>
      <c r="AX131" s="100">
        <f t="shared" si="148"/>
        <v>0</v>
      </c>
      <c r="AY131" s="110" t="s">
        <v>1700</v>
      </c>
      <c r="AZ131" s="110" t="s">
        <v>1730</v>
      </c>
      <c r="BA131" s="109" t="s">
        <v>1737</v>
      </c>
      <c r="BC131" s="100">
        <f t="shared" si="149"/>
        <v>0</v>
      </c>
      <c r="BD131" s="100">
        <f t="shared" si="150"/>
        <v>0</v>
      </c>
      <c r="BE131" s="100">
        <v>0</v>
      </c>
      <c r="BF131" s="100">
        <f>131</f>
        <v>131</v>
      </c>
      <c r="BH131" s="108">
        <f t="shared" si="151"/>
        <v>0</v>
      </c>
      <c r="BI131" s="108">
        <f t="shared" si="152"/>
        <v>0</v>
      </c>
      <c r="BJ131" s="108">
        <f t="shared" si="153"/>
        <v>0</v>
      </c>
    </row>
    <row r="132" spans="1:62" x14ac:dyDescent="0.2">
      <c r="A132" s="117" t="s">
        <v>101</v>
      </c>
      <c r="B132" s="117" t="s">
        <v>653</v>
      </c>
      <c r="C132" s="304" t="s">
        <v>3725</v>
      </c>
      <c r="D132" s="305"/>
      <c r="E132" s="305"/>
      <c r="F132" s="117" t="s">
        <v>1647</v>
      </c>
      <c r="G132" s="116">
        <v>0.35</v>
      </c>
      <c r="H132" s="159"/>
      <c r="I132" s="108">
        <f t="shared" si="132"/>
        <v>0</v>
      </c>
      <c r="J132" s="108">
        <f t="shared" si="133"/>
        <v>0</v>
      </c>
      <c r="K132" s="108">
        <f t="shared" si="134"/>
        <v>0</v>
      </c>
      <c r="L132" s="111" t="s">
        <v>1671</v>
      </c>
      <c r="Z132" s="100">
        <f t="shared" si="135"/>
        <v>0</v>
      </c>
      <c r="AB132" s="100">
        <f t="shared" si="136"/>
        <v>0</v>
      </c>
      <c r="AC132" s="100">
        <f t="shared" si="137"/>
        <v>0</v>
      </c>
      <c r="AD132" s="100">
        <f t="shared" si="138"/>
        <v>0</v>
      </c>
      <c r="AE132" s="100">
        <f t="shared" si="139"/>
        <v>0</v>
      </c>
      <c r="AF132" s="100">
        <f t="shared" si="140"/>
        <v>0</v>
      </c>
      <c r="AG132" s="100">
        <f t="shared" si="141"/>
        <v>0</v>
      </c>
      <c r="AH132" s="100">
        <f t="shared" si="142"/>
        <v>0</v>
      </c>
      <c r="AI132" s="109"/>
      <c r="AJ132" s="108">
        <f t="shared" si="143"/>
        <v>0</v>
      </c>
      <c r="AK132" s="108">
        <f t="shared" si="144"/>
        <v>0</v>
      </c>
      <c r="AL132" s="108">
        <f t="shared" si="145"/>
        <v>0</v>
      </c>
      <c r="AN132" s="100">
        <v>15</v>
      </c>
      <c r="AO132" s="100">
        <f>H132*0</f>
        <v>0</v>
      </c>
      <c r="AP132" s="100">
        <f>H132*(1-0)</f>
        <v>0</v>
      </c>
      <c r="AQ132" s="111" t="s">
        <v>7</v>
      </c>
      <c r="AV132" s="100">
        <f t="shared" si="146"/>
        <v>0</v>
      </c>
      <c r="AW132" s="100">
        <f t="shared" si="147"/>
        <v>0</v>
      </c>
      <c r="AX132" s="100">
        <f t="shared" si="148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49"/>
        <v>0</v>
      </c>
      <c r="BD132" s="100">
        <f t="shared" si="150"/>
        <v>0</v>
      </c>
      <c r="BE132" s="100">
        <v>0</v>
      </c>
      <c r="BF132" s="100">
        <f>132</f>
        <v>132</v>
      </c>
      <c r="BH132" s="108">
        <f t="shared" si="151"/>
        <v>0</v>
      </c>
      <c r="BI132" s="108">
        <f t="shared" si="152"/>
        <v>0</v>
      </c>
      <c r="BJ132" s="108">
        <f t="shared" si="153"/>
        <v>0</v>
      </c>
    </row>
    <row r="133" spans="1:62" x14ac:dyDescent="0.2">
      <c r="A133" s="117" t="s">
        <v>102</v>
      </c>
      <c r="B133" s="117" t="s">
        <v>654</v>
      </c>
      <c r="C133" s="304" t="s">
        <v>1162</v>
      </c>
      <c r="D133" s="305"/>
      <c r="E133" s="305"/>
      <c r="F133" s="117" t="s">
        <v>1645</v>
      </c>
      <c r="G133" s="116">
        <v>223.108</v>
      </c>
      <c r="H133" s="159"/>
      <c r="I133" s="108">
        <f t="shared" si="132"/>
        <v>0</v>
      </c>
      <c r="J133" s="108">
        <f t="shared" si="133"/>
        <v>0</v>
      </c>
      <c r="K133" s="108">
        <f t="shared" si="134"/>
        <v>0</v>
      </c>
      <c r="L133" s="111" t="s">
        <v>1671</v>
      </c>
      <c r="Z133" s="100">
        <f t="shared" si="135"/>
        <v>0</v>
      </c>
      <c r="AB133" s="100">
        <f t="shared" si="136"/>
        <v>0</v>
      </c>
      <c r="AC133" s="100">
        <f t="shared" si="137"/>
        <v>0</v>
      </c>
      <c r="AD133" s="100">
        <f t="shared" si="138"/>
        <v>0</v>
      </c>
      <c r="AE133" s="100">
        <f t="shared" si="139"/>
        <v>0</v>
      </c>
      <c r="AF133" s="100">
        <f t="shared" si="140"/>
        <v>0</v>
      </c>
      <c r="AG133" s="100">
        <f t="shared" si="141"/>
        <v>0</v>
      </c>
      <c r="AH133" s="100">
        <f t="shared" si="142"/>
        <v>0</v>
      </c>
      <c r="AI133" s="109"/>
      <c r="AJ133" s="108">
        <f t="shared" si="143"/>
        <v>0</v>
      </c>
      <c r="AK133" s="108">
        <f t="shared" si="144"/>
        <v>0</v>
      </c>
      <c r="AL133" s="108">
        <f t="shared" si="145"/>
        <v>0</v>
      </c>
      <c r="AN133" s="100">
        <v>15</v>
      </c>
      <c r="AO133" s="100">
        <f>H133*0.09994810958365</f>
        <v>0</v>
      </c>
      <c r="AP133" s="100">
        <f>H133*(1-0.09994810958365)</f>
        <v>0</v>
      </c>
      <c r="AQ133" s="111" t="s">
        <v>7</v>
      </c>
      <c r="AV133" s="100">
        <f t="shared" si="146"/>
        <v>0</v>
      </c>
      <c r="AW133" s="100">
        <f t="shared" si="147"/>
        <v>0</v>
      </c>
      <c r="AX133" s="100">
        <f t="shared" si="148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49"/>
        <v>0</v>
      </c>
      <c r="BD133" s="100">
        <f t="shared" si="150"/>
        <v>0</v>
      </c>
      <c r="BE133" s="100">
        <v>0</v>
      </c>
      <c r="BF133" s="100">
        <f>133</f>
        <v>133</v>
      </c>
      <c r="BH133" s="108">
        <f t="shared" si="151"/>
        <v>0</v>
      </c>
      <c r="BI133" s="108">
        <f t="shared" si="152"/>
        <v>0</v>
      </c>
      <c r="BJ133" s="108">
        <f t="shared" si="153"/>
        <v>0</v>
      </c>
    </row>
    <row r="134" spans="1:62" x14ac:dyDescent="0.2">
      <c r="A134" s="117" t="s">
        <v>103</v>
      </c>
      <c r="B134" s="117" t="s">
        <v>655</v>
      </c>
      <c r="C134" s="304" t="s">
        <v>1163</v>
      </c>
      <c r="D134" s="305"/>
      <c r="E134" s="305"/>
      <c r="F134" s="117" t="s">
        <v>1647</v>
      </c>
      <c r="G134" s="116">
        <v>2.694</v>
      </c>
      <c r="H134" s="159"/>
      <c r="I134" s="108">
        <f t="shared" si="132"/>
        <v>0</v>
      </c>
      <c r="J134" s="108">
        <f t="shared" si="133"/>
        <v>0</v>
      </c>
      <c r="K134" s="108">
        <f t="shared" si="134"/>
        <v>0</v>
      </c>
      <c r="L134" s="111" t="s">
        <v>1671</v>
      </c>
      <c r="Z134" s="100">
        <f t="shared" si="135"/>
        <v>0</v>
      </c>
      <c r="AB134" s="100">
        <f t="shared" si="136"/>
        <v>0</v>
      </c>
      <c r="AC134" s="100">
        <f t="shared" si="137"/>
        <v>0</v>
      </c>
      <c r="AD134" s="100">
        <f t="shared" si="138"/>
        <v>0</v>
      </c>
      <c r="AE134" s="100">
        <f t="shared" si="139"/>
        <v>0</v>
      </c>
      <c r="AF134" s="100">
        <f t="shared" si="140"/>
        <v>0</v>
      </c>
      <c r="AG134" s="100">
        <f t="shared" si="141"/>
        <v>0</v>
      </c>
      <c r="AH134" s="100">
        <f t="shared" si="142"/>
        <v>0</v>
      </c>
      <c r="AI134" s="109"/>
      <c r="AJ134" s="108">
        <f t="shared" si="143"/>
        <v>0</v>
      </c>
      <c r="AK134" s="108">
        <f t="shared" si="144"/>
        <v>0</v>
      </c>
      <c r="AL134" s="108">
        <f t="shared" si="145"/>
        <v>0</v>
      </c>
      <c r="AN134" s="100">
        <v>15</v>
      </c>
      <c r="AO134" s="100">
        <f>H134*0.0363940185643451</f>
        <v>0</v>
      </c>
      <c r="AP134" s="100">
        <f>H134*(1-0.0363940185643451)</f>
        <v>0</v>
      </c>
      <c r="AQ134" s="111" t="s">
        <v>7</v>
      </c>
      <c r="AV134" s="100">
        <f t="shared" si="146"/>
        <v>0</v>
      </c>
      <c r="AW134" s="100">
        <f t="shared" si="147"/>
        <v>0</v>
      </c>
      <c r="AX134" s="100">
        <f t="shared" si="148"/>
        <v>0</v>
      </c>
      <c r="AY134" s="110" t="s">
        <v>1700</v>
      </c>
      <c r="AZ134" s="110" t="s">
        <v>1730</v>
      </c>
      <c r="BA134" s="109" t="s">
        <v>1737</v>
      </c>
      <c r="BC134" s="100">
        <f t="shared" si="149"/>
        <v>0</v>
      </c>
      <c r="BD134" s="100">
        <f t="shared" si="150"/>
        <v>0</v>
      </c>
      <c r="BE134" s="100">
        <v>0</v>
      </c>
      <c r="BF134" s="100">
        <f>134</f>
        <v>134</v>
      </c>
      <c r="BH134" s="108">
        <f t="shared" si="151"/>
        <v>0</v>
      </c>
      <c r="BI134" s="108">
        <f t="shared" si="152"/>
        <v>0</v>
      </c>
      <c r="BJ134" s="108">
        <f t="shared" si="153"/>
        <v>0</v>
      </c>
    </row>
    <row r="135" spans="1:62" x14ac:dyDescent="0.2">
      <c r="A135" s="117" t="s">
        <v>104</v>
      </c>
      <c r="B135" s="117" t="s">
        <v>658</v>
      </c>
      <c r="C135" s="304" t="s">
        <v>3178</v>
      </c>
      <c r="D135" s="305"/>
      <c r="E135" s="305"/>
      <c r="F135" s="117" t="s">
        <v>1645</v>
      </c>
      <c r="G135" s="116">
        <v>32.076000000000001</v>
      </c>
      <c r="H135" s="159"/>
      <c r="I135" s="108">
        <f t="shared" si="132"/>
        <v>0</v>
      </c>
      <c r="J135" s="108">
        <f t="shared" si="133"/>
        <v>0</v>
      </c>
      <c r="K135" s="108">
        <f t="shared" si="134"/>
        <v>0</v>
      </c>
      <c r="L135" s="111" t="s">
        <v>1671</v>
      </c>
      <c r="Z135" s="100">
        <f t="shared" si="135"/>
        <v>0</v>
      </c>
      <c r="AB135" s="100">
        <f t="shared" si="136"/>
        <v>0</v>
      </c>
      <c r="AC135" s="100">
        <f t="shared" si="137"/>
        <v>0</v>
      </c>
      <c r="AD135" s="100">
        <f t="shared" si="138"/>
        <v>0</v>
      </c>
      <c r="AE135" s="100">
        <f t="shared" si="139"/>
        <v>0</v>
      </c>
      <c r="AF135" s="100">
        <f t="shared" si="140"/>
        <v>0</v>
      </c>
      <c r="AG135" s="100">
        <f t="shared" si="141"/>
        <v>0</v>
      </c>
      <c r="AH135" s="100">
        <f t="shared" si="142"/>
        <v>0</v>
      </c>
      <c r="AI135" s="109"/>
      <c r="AJ135" s="108">
        <f t="shared" si="143"/>
        <v>0</v>
      </c>
      <c r="AK135" s="108">
        <f t="shared" si="144"/>
        <v>0</v>
      </c>
      <c r="AL135" s="108">
        <f t="shared" si="145"/>
        <v>0</v>
      </c>
      <c r="AN135" s="100">
        <v>15</v>
      </c>
      <c r="AO135" s="100">
        <f>H135*0</f>
        <v>0</v>
      </c>
      <c r="AP135" s="100">
        <f>H135*(1-0)</f>
        <v>0</v>
      </c>
      <c r="AQ135" s="111" t="s">
        <v>7</v>
      </c>
      <c r="AV135" s="100">
        <f t="shared" si="146"/>
        <v>0</v>
      </c>
      <c r="AW135" s="100">
        <f t="shared" si="147"/>
        <v>0</v>
      </c>
      <c r="AX135" s="100">
        <f t="shared" si="148"/>
        <v>0</v>
      </c>
      <c r="AY135" s="110" t="s">
        <v>1700</v>
      </c>
      <c r="AZ135" s="110" t="s">
        <v>1730</v>
      </c>
      <c r="BA135" s="109" t="s">
        <v>1737</v>
      </c>
      <c r="BC135" s="100">
        <f t="shared" si="149"/>
        <v>0</v>
      </c>
      <c r="BD135" s="100">
        <f t="shared" si="150"/>
        <v>0</v>
      </c>
      <c r="BE135" s="100">
        <v>0</v>
      </c>
      <c r="BF135" s="100">
        <f>135</f>
        <v>135</v>
      </c>
      <c r="BH135" s="108">
        <f t="shared" si="151"/>
        <v>0</v>
      </c>
      <c r="BI135" s="108">
        <f t="shared" si="152"/>
        <v>0</v>
      </c>
      <c r="BJ135" s="108">
        <f t="shared" si="153"/>
        <v>0</v>
      </c>
    </row>
    <row r="136" spans="1:62" x14ac:dyDescent="0.2">
      <c r="A136" s="117" t="s">
        <v>105</v>
      </c>
      <c r="B136" s="117" t="s">
        <v>659</v>
      </c>
      <c r="C136" s="304" t="s">
        <v>3177</v>
      </c>
      <c r="D136" s="305"/>
      <c r="E136" s="305"/>
      <c r="F136" s="117" t="s">
        <v>1646</v>
      </c>
      <c r="G136" s="116">
        <v>28.71</v>
      </c>
      <c r="H136" s="159"/>
      <c r="I136" s="108">
        <f t="shared" si="132"/>
        <v>0</v>
      </c>
      <c r="J136" s="108">
        <f t="shared" si="133"/>
        <v>0</v>
      </c>
      <c r="K136" s="108">
        <f t="shared" si="134"/>
        <v>0</v>
      </c>
      <c r="L136" s="111" t="s">
        <v>1671</v>
      </c>
      <c r="Z136" s="100">
        <f t="shared" si="135"/>
        <v>0</v>
      </c>
      <c r="AB136" s="100">
        <f t="shared" si="136"/>
        <v>0</v>
      </c>
      <c r="AC136" s="100">
        <f t="shared" si="137"/>
        <v>0</v>
      </c>
      <c r="AD136" s="100">
        <f t="shared" si="138"/>
        <v>0</v>
      </c>
      <c r="AE136" s="100">
        <f t="shared" si="139"/>
        <v>0</v>
      </c>
      <c r="AF136" s="100">
        <f t="shared" si="140"/>
        <v>0</v>
      </c>
      <c r="AG136" s="100">
        <f t="shared" si="141"/>
        <v>0</v>
      </c>
      <c r="AH136" s="100">
        <f t="shared" si="142"/>
        <v>0</v>
      </c>
      <c r="AI136" s="109"/>
      <c r="AJ136" s="108">
        <f t="shared" si="143"/>
        <v>0</v>
      </c>
      <c r="AK136" s="108">
        <f t="shared" si="144"/>
        <v>0</v>
      </c>
      <c r="AL136" s="108">
        <f t="shared" si="145"/>
        <v>0</v>
      </c>
      <c r="AN136" s="100">
        <v>15</v>
      </c>
      <c r="AO136" s="100">
        <f>H136*0</f>
        <v>0</v>
      </c>
      <c r="AP136" s="100">
        <f>H136*(1-0)</f>
        <v>0</v>
      </c>
      <c r="AQ136" s="111" t="s">
        <v>7</v>
      </c>
      <c r="AV136" s="100">
        <f t="shared" si="146"/>
        <v>0</v>
      </c>
      <c r="AW136" s="100">
        <f t="shared" si="147"/>
        <v>0</v>
      </c>
      <c r="AX136" s="100">
        <f t="shared" si="148"/>
        <v>0</v>
      </c>
      <c r="AY136" s="110" t="s">
        <v>1700</v>
      </c>
      <c r="AZ136" s="110" t="s">
        <v>1730</v>
      </c>
      <c r="BA136" s="109" t="s">
        <v>1737</v>
      </c>
      <c r="BC136" s="100">
        <f t="shared" si="149"/>
        <v>0</v>
      </c>
      <c r="BD136" s="100">
        <f t="shared" si="150"/>
        <v>0</v>
      </c>
      <c r="BE136" s="100">
        <v>0</v>
      </c>
      <c r="BF136" s="100">
        <f>136</f>
        <v>136</v>
      </c>
      <c r="BH136" s="108">
        <f t="shared" si="151"/>
        <v>0</v>
      </c>
      <c r="BI136" s="108">
        <f t="shared" si="152"/>
        <v>0</v>
      </c>
      <c r="BJ136" s="108">
        <f t="shared" si="153"/>
        <v>0</v>
      </c>
    </row>
    <row r="137" spans="1:62" x14ac:dyDescent="0.2">
      <c r="A137" s="117" t="s">
        <v>106</v>
      </c>
      <c r="B137" s="117" t="s">
        <v>660</v>
      </c>
      <c r="C137" s="304" t="s">
        <v>3176</v>
      </c>
      <c r="D137" s="305"/>
      <c r="E137" s="305"/>
      <c r="F137" s="117" t="s">
        <v>1645</v>
      </c>
      <c r="G137" s="116">
        <v>32.076000000000001</v>
      </c>
      <c r="H137" s="159"/>
      <c r="I137" s="108">
        <f t="shared" si="132"/>
        <v>0</v>
      </c>
      <c r="J137" s="108">
        <f t="shared" si="133"/>
        <v>0</v>
      </c>
      <c r="K137" s="108">
        <f t="shared" si="134"/>
        <v>0</v>
      </c>
      <c r="L137" s="111" t="s">
        <v>1671</v>
      </c>
      <c r="Z137" s="100">
        <f t="shared" si="135"/>
        <v>0</v>
      </c>
      <c r="AB137" s="100">
        <f t="shared" si="136"/>
        <v>0</v>
      </c>
      <c r="AC137" s="100">
        <f t="shared" si="137"/>
        <v>0</v>
      </c>
      <c r="AD137" s="100">
        <f t="shared" si="138"/>
        <v>0</v>
      </c>
      <c r="AE137" s="100">
        <f t="shared" si="139"/>
        <v>0</v>
      </c>
      <c r="AF137" s="100">
        <f t="shared" si="140"/>
        <v>0</v>
      </c>
      <c r="AG137" s="100">
        <f t="shared" si="141"/>
        <v>0</v>
      </c>
      <c r="AH137" s="100">
        <f t="shared" si="142"/>
        <v>0</v>
      </c>
      <c r="AI137" s="109"/>
      <c r="AJ137" s="108">
        <f t="shared" si="143"/>
        <v>0</v>
      </c>
      <c r="AK137" s="108">
        <f t="shared" si="144"/>
        <v>0</v>
      </c>
      <c r="AL137" s="108">
        <f t="shared" si="145"/>
        <v>0</v>
      </c>
      <c r="AN137" s="100">
        <v>15</v>
      </c>
      <c r="AO137" s="100">
        <f>H137*0</f>
        <v>0</v>
      </c>
      <c r="AP137" s="100">
        <f>H137*(1-0)</f>
        <v>0</v>
      </c>
      <c r="AQ137" s="111" t="s">
        <v>7</v>
      </c>
      <c r="AV137" s="100">
        <f t="shared" si="146"/>
        <v>0</v>
      </c>
      <c r="AW137" s="100">
        <f t="shared" si="147"/>
        <v>0</v>
      </c>
      <c r="AX137" s="100">
        <f t="shared" si="148"/>
        <v>0</v>
      </c>
      <c r="AY137" s="110" t="s">
        <v>1700</v>
      </c>
      <c r="AZ137" s="110" t="s">
        <v>1730</v>
      </c>
      <c r="BA137" s="109" t="s">
        <v>1737</v>
      </c>
      <c r="BC137" s="100">
        <f t="shared" si="149"/>
        <v>0</v>
      </c>
      <c r="BD137" s="100">
        <f t="shared" si="150"/>
        <v>0</v>
      </c>
      <c r="BE137" s="100">
        <v>0</v>
      </c>
      <c r="BF137" s="100">
        <f>137</f>
        <v>137</v>
      </c>
      <c r="BH137" s="108">
        <f t="shared" si="151"/>
        <v>0</v>
      </c>
      <c r="BI137" s="108">
        <f t="shared" si="152"/>
        <v>0</v>
      </c>
      <c r="BJ137" s="108">
        <f t="shared" si="153"/>
        <v>0</v>
      </c>
    </row>
    <row r="138" spans="1:62" x14ac:dyDescent="0.2">
      <c r="A138" s="117" t="s">
        <v>107</v>
      </c>
      <c r="B138" s="117" t="s">
        <v>662</v>
      </c>
      <c r="C138" s="304" t="s">
        <v>3724</v>
      </c>
      <c r="D138" s="305"/>
      <c r="E138" s="305"/>
      <c r="F138" s="117" t="s">
        <v>1644</v>
      </c>
      <c r="G138" s="116">
        <v>2</v>
      </c>
      <c r="H138" s="159"/>
      <c r="I138" s="108">
        <f t="shared" si="132"/>
        <v>0</v>
      </c>
      <c r="J138" s="108">
        <f t="shared" si="133"/>
        <v>0</v>
      </c>
      <c r="K138" s="108">
        <f t="shared" si="134"/>
        <v>0</v>
      </c>
      <c r="L138" s="111" t="s">
        <v>1671</v>
      </c>
      <c r="Z138" s="100">
        <f t="shared" si="135"/>
        <v>0</v>
      </c>
      <c r="AB138" s="100">
        <f t="shared" si="136"/>
        <v>0</v>
      </c>
      <c r="AC138" s="100">
        <f t="shared" si="137"/>
        <v>0</v>
      </c>
      <c r="AD138" s="100">
        <f t="shared" si="138"/>
        <v>0</v>
      </c>
      <c r="AE138" s="100">
        <f t="shared" si="139"/>
        <v>0</v>
      </c>
      <c r="AF138" s="100">
        <f t="shared" si="140"/>
        <v>0</v>
      </c>
      <c r="AG138" s="100">
        <f t="shared" si="141"/>
        <v>0</v>
      </c>
      <c r="AH138" s="100">
        <f t="shared" si="142"/>
        <v>0</v>
      </c>
      <c r="AI138" s="109"/>
      <c r="AJ138" s="108">
        <f t="shared" si="143"/>
        <v>0</v>
      </c>
      <c r="AK138" s="108">
        <f t="shared" si="144"/>
        <v>0</v>
      </c>
      <c r="AL138" s="108">
        <f t="shared" si="145"/>
        <v>0</v>
      </c>
      <c r="AN138" s="100">
        <v>15</v>
      </c>
      <c r="AO138" s="100">
        <f>H138*0.14559068800201</f>
        <v>0</v>
      </c>
      <c r="AP138" s="100">
        <f>H138*(1-0.14559068800201)</f>
        <v>0</v>
      </c>
      <c r="AQ138" s="111" t="s">
        <v>7</v>
      </c>
      <c r="AV138" s="100">
        <f t="shared" si="146"/>
        <v>0</v>
      </c>
      <c r="AW138" s="100">
        <f t="shared" si="147"/>
        <v>0</v>
      </c>
      <c r="AX138" s="100">
        <f t="shared" si="148"/>
        <v>0</v>
      </c>
      <c r="AY138" s="110" t="s">
        <v>1700</v>
      </c>
      <c r="AZ138" s="110" t="s">
        <v>1730</v>
      </c>
      <c r="BA138" s="109" t="s">
        <v>1737</v>
      </c>
      <c r="BC138" s="100">
        <f t="shared" si="149"/>
        <v>0</v>
      </c>
      <c r="BD138" s="100">
        <f t="shared" si="150"/>
        <v>0</v>
      </c>
      <c r="BE138" s="100">
        <v>0</v>
      </c>
      <c r="BF138" s="100">
        <f>138</f>
        <v>138</v>
      </c>
      <c r="BH138" s="108">
        <f t="shared" si="151"/>
        <v>0</v>
      </c>
      <c r="BI138" s="108">
        <f t="shared" si="152"/>
        <v>0</v>
      </c>
      <c r="BJ138" s="108">
        <f t="shared" si="153"/>
        <v>0</v>
      </c>
    </row>
    <row r="139" spans="1:62" x14ac:dyDescent="0.2">
      <c r="A139" s="117" t="s">
        <v>108</v>
      </c>
      <c r="B139" s="117" t="s">
        <v>3723</v>
      </c>
      <c r="C139" s="304" t="s">
        <v>3722</v>
      </c>
      <c r="D139" s="305"/>
      <c r="E139" s="305"/>
      <c r="F139" s="117" t="s">
        <v>1644</v>
      </c>
      <c r="G139" s="116">
        <v>1</v>
      </c>
      <c r="H139" s="159"/>
      <c r="I139" s="108">
        <f t="shared" si="132"/>
        <v>0</v>
      </c>
      <c r="J139" s="108">
        <f t="shared" si="133"/>
        <v>0</v>
      </c>
      <c r="K139" s="108">
        <f t="shared" si="134"/>
        <v>0</v>
      </c>
      <c r="L139" s="111" t="s">
        <v>1671</v>
      </c>
      <c r="Z139" s="100">
        <f t="shared" si="135"/>
        <v>0</v>
      </c>
      <c r="AB139" s="100">
        <f t="shared" si="136"/>
        <v>0</v>
      </c>
      <c r="AC139" s="100">
        <f t="shared" si="137"/>
        <v>0</v>
      </c>
      <c r="AD139" s="100">
        <f t="shared" si="138"/>
        <v>0</v>
      </c>
      <c r="AE139" s="100">
        <f t="shared" si="139"/>
        <v>0</v>
      </c>
      <c r="AF139" s="100">
        <f t="shared" si="140"/>
        <v>0</v>
      </c>
      <c r="AG139" s="100">
        <f t="shared" si="141"/>
        <v>0</v>
      </c>
      <c r="AH139" s="100">
        <f t="shared" si="142"/>
        <v>0</v>
      </c>
      <c r="AI139" s="109"/>
      <c r="AJ139" s="108">
        <f t="shared" si="143"/>
        <v>0</v>
      </c>
      <c r="AK139" s="108">
        <f t="shared" si="144"/>
        <v>0</v>
      </c>
      <c r="AL139" s="108">
        <f t="shared" si="145"/>
        <v>0</v>
      </c>
      <c r="AN139" s="100">
        <v>15</v>
      </c>
      <c r="AO139" s="100">
        <f>H139*0.145591428571429</f>
        <v>0</v>
      </c>
      <c r="AP139" s="100">
        <f>H139*(1-0.145591428571429)</f>
        <v>0</v>
      </c>
      <c r="AQ139" s="111" t="s">
        <v>7</v>
      </c>
      <c r="AV139" s="100">
        <f t="shared" si="146"/>
        <v>0</v>
      </c>
      <c r="AW139" s="100">
        <f t="shared" si="147"/>
        <v>0</v>
      </c>
      <c r="AX139" s="100">
        <f t="shared" si="148"/>
        <v>0</v>
      </c>
      <c r="AY139" s="110" t="s">
        <v>1700</v>
      </c>
      <c r="AZ139" s="110" t="s">
        <v>1730</v>
      </c>
      <c r="BA139" s="109" t="s">
        <v>1737</v>
      </c>
      <c r="BC139" s="100">
        <f t="shared" si="149"/>
        <v>0</v>
      </c>
      <c r="BD139" s="100">
        <f t="shared" si="150"/>
        <v>0</v>
      </c>
      <c r="BE139" s="100">
        <v>0</v>
      </c>
      <c r="BF139" s="100">
        <f>139</f>
        <v>139</v>
      </c>
      <c r="BH139" s="108">
        <f t="shared" si="151"/>
        <v>0</v>
      </c>
      <c r="BI139" s="108">
        <f t="shared" si="152"/>
        <v>0</v>
      </c>
      <c r="BJ139" s="108">
        <f t="shared" si="153"/>
        <v>0</v>
      </c>
    </row>
    <row r="140" spans="1:62" x14ac:dyDescent="0.2">
      <c r="A140" s="117" t="s">
        <v>109</v>
      </c>
      <c r="B140" s="117" t="s">
        <v>2145</v>
      </c>
      <c r="C140" s="304" t="s">
        <v>2144</v>
      </c>
      <c r="D140" s="305"/>
      <c r="E140" s="305"/>
      <c r="F140" s="117" t="s">
        <v>1644</v>
      </c>
      <c r="G140" s="116">
        <v>1</v>
      </c>
      <c r="H140" s="159"/>
      <c r="I140" s="108">
        <f t="shared" si="132"/>
        <v>0</v>
      </c>
      <c r="J140" s="108">
        <f t="shared" si="133"/>
        <v>0</v>
      </c>
      <c r="K140" s="108">
        <f t="shared" si="134"/>
        <v>0</v>
      </c>
      <c r="L140" s="111" t="s">
        <v>1671</v>
      </c>
      <c r="Z140" s="100">
        <f t="shared" si="135"/>
        <v>0</v>
      </c>
      <c r="AB140" s="100">
        <f t="shared" si="136"/>
        <v>0</v>
      </c>
      <c r="AC140" s="100">
        <f t="shared" si="137"/>
        <v>0</v>
      </c>
      <c r="AD140" s="100">
        <f t="shared" si="138"/>
        <v>0</v>
      </c>
      <c r="AE140" s="100">
        <f t="shared" si="139"/>
        <v>0</v>
      </c>
      <c r="AF140" s="100">
        <f t="shared" si="140"/>
        <v>0</v>
      </c>
      <c r="AG140" s="100">
        <f t="shared" si="141"/>
        <v>0</v>
      </c>
      <c r="AH140" s="100">
        <f t="shared" si="142"/>
        <v>0</v>
      </c>
      <c r="AI140" s="109"/>
      <c r="AJ140" s="108">
        <f t="shared" si="143"/>
        <v>0</v>
      </c>
      <c r="AK140" s="108">
        <f t="shared" si="144"/>
        <v>0</v>
      </c>
      <c r="AL140" s="108">
        <f t="shared" si="145"/>
        <v>0</v>
      </c>
      <c r="AN140" s="100">
        <v>15</v>
      </c>
      <c r="AO140" s="100">
        <f>H140*0.14559</f>
        <v>0</v>
      </c>
      <c r="AP140" s="100">
        <f>H140*(1-0.14559)</f>
        <v>0</v>
      </c>
      <c r="AQ140" s="111" t="s">
        <v>7</v>
      </c>
      <c r="AV140" s="100">
        <f t="shared" si="146"/>
        <v>0</v>
      </c>
      <c r="AW140" s="100">
        <f t="shared" si="147"/>
        <v>0</v>
      </c>
      <c r="AX140" s="100">
        <f t="shared" si="148"/>
        <v>0</v>
      </c>
      <c r="AY140" s="110" t="s">
        <v>1700</v>
      </c>
      <c r="AZ140" s="110" t="s">
        <v>1730</v>
      </c>
      <c r="BA140" s="109" t="s">
        <v>1737</v>
      </c>
      <c r="BC140" s="100">
        <f t="shared" si="149"/>
        <v>0</v>
      </c>
      <c r="BD140" s="100">
        <f t="shared" si="150"/>
        <v>0</v>
      </c>
      <c r="BE140" s="100">
        <v>0</v>
      </c>
      <c r="BF140" s="100">
        <f>140</f>
        <v>140</v>
      </c>
      <c r="BH140" s="108">
        <f t="shared" si="151"/>
        <v>0</v>
      </c>
      <c r="BI140" s="108">
        <f t="shared" si="152"/>
        <v>0</v>
      </c>
      <c r="BJ140" s="108">
        <f t="shared" si="153"/>
        <v>0</v>
      </c>
    </row>
    <row r="141" spans="1:62" x14ac:dyDescent="0.2">
      <c r="A141" s="117" t="s">
        <v>110</v>
      </c>
      <c r="B141" s="117" t="s">
        <v>663</v>
      </c>
      <c r="C141" s="304" t="s">
        <v>1171</v>
      </c>
      <c r="D141" s="305"/>
      <c r="E141" s="305"/>
      <c r="F141" s="117" t="s">
        <v>1644</v>
      </c>
      <c r="G141" s="116">
        <v>35</v>
      </c>
      <c r="H141" s="159"/>
      <c r="I141" s="108">
        <f t="shared" si="132"/>
        <v>0</v>
      </c>
      <c r="J141" s="108">
        <f t="shared" si="133"/>
        <v>0</v>
      </c>
      <c r="K141" s="108">
        <f t="shared" si="134"/>
        <v>0</v>
      </c>
      <c r="L141" s="111" t="s">
        <v>1671</v>
      </c>
      <c r="Z141" s="100">
        <f t="shared" si="135"/>
        <v>0</v>
      </c>
      <c r="AB141" s="100">
        <f t="shared" si="136"/>
        <v>0</v>
      </c>
      <c r="AC141" s="100">
        <f t="shared" si="137"/>
        <v>0</v>
      </c>
      <c r="AD141" s="100">
        <f t="shared" si="138"/>
        <v>0</v>
      </c>
      <c r="AE141" s="100">
        <f t="shared" si="139"/>
        <v>0</v>
      </c>
      <c r="AF141" s="100">
        <f t="shared" si="140"/>
        <v>0</v>
      </c>
      <c r="AG141" s="100">
        <f t="shared" si="141"/>
        <v>0</v>
      </c>
      <c r="AH141" s="100">
        <f t="shared" si="142"/>
        <v>0</v>
      </c>
      <c r="AI141" s="109"/>
      <c r="AJ141" s="108">
        <f t="shared" si="143"/>
        <v>0</v>
      </c>
      <c r="AK141" s="108">
        <f t="shared" si="144"/>
        <v>0</v>
      </c>
      <c r="AL141" s="108">
        <f t="shared" si="145"/>
        <v>0</v>
      </c>
      <c r="AN141" s="100">
        <v>15</v>
      </c>
      <c r="AO141" s="100">
        <f>H141*0.000181818181818182</f>
        <v>0</v>
      </c>
      <c r="AP141" s="100">
        <f>H141*(1-0.000181818181818182)</f>
        <v>0</v>
      </c>
      <c r="AQ141" s="111" t="s">
        <v>7</v>
      </c>
      <c r="AV141" s="100">
        <f t="shared" si="146"/>
        <v>0</v>
      </c>
      <c r="AW141" s="100">
        <f t="shared" si="147"/>
        <v>0</v>
      </c>
      <c r="AX141" s="100">
        <f t="shared" si="148"/>
        <v>0</v>
      </c>
      <c r="AY141" s="110" t="s">
        <v>1700</v>
      </c>
      <c r="AZ141" s="110" t="s">
        <v>1730</v>
      </c>
      <c r="BA141" s="109" t="s">
        <v>1737</v>
      </c>
      <c r="BC141" s="100">
        <f t="shared" si="149"/>
        <v>0</v>
      </c>
      <c r="BD141" s="100">
        <f t="shared" si="150"/>
        <v>0</v>
      </c>
      <c r="BE141" s="100">
        <v>0</v>
      </c>
      <c r="BF141" s="100">
        <f>141</f>
        <v>141</v>
      </c>
      <c r="BH141" s="108">
        <f t="shared" si="151"/>
        <v>0</v>
      </c>
      <c r="BI141" s="108">
        <f t="shared" si="152"/>
        <v>0</v>
      </c>
      <c r="BJ141" s="108">
        <f t="shared" si="153"/>
        <v>0</v>
      </c>
    </row>
    <row r="142" spans="1:62" x14ac:dyDescent="0.2">
      <c r="A142" s="117" t="s">
        <v>111</v>
      </c>
      <c r="B142" s="117" t="s">
        <v>665</v>
      </c>
      <c r="C142" s="304" t="s">
        <v>1173</v>
      </c>
      <c r="D142" s="305"/>
      <c r="E142" s="305"/>
      <c r="F142" s="117" t="s">
        <v>1645</v>
      </c>
      <c r="G142" s="116">
        <v>156.17599999999999</v>
      </c>
      <c r="H142" s="159"/>
      <c r="I142" s="108">
        <f t="shared" si="132"/>
        <v>0</v>
      </c>
      <c r="J142" s="108">
        <f t="shared" si="133"/>
        <v>0</v>
      </c>
      <c r="K142" s="108">
        <f t="shared" si="134"/>
        <v>0</v>
      </c>
      <c r="L142" s="111" t="s">
        <v>1671</v>
      </c>
      <c r="Z142" s="100">
        <f t="shared" si="135"/>
        <v>0</v>
      </c>
      <c r="AB142" s="100">
        <f t="shared" si="136"/>
        <v>0</v>
      </c>
      <c r="AC142" s="100">
        <f t="shared" si="137"/>
        <v>0</v>
      </c>
      <c r="AD142" s="100">
        <f t="shared" si="138"/>
        <v>0</v>
      </c>
      <c r="AE142" s="100">
        <f t="shared" si="139"/>
        <v>0</v>
      </c>
      <c r="AF142" s="100">
        <f t="shared" si="140"/>
        <v>0</v>
      </c>
      <c r="AG142" s="100">
        <f t="shared" si="141"/>
        <v>0</v>
      </c>
      <c r="AH142" s="100">
        <f t="shared" si="142"/>
        <v>0</v>
      </c>
      <c r="AI142" s="109"/>
      <c r="AJ142" s="108">
        <f t="shared" si="143"/>
        <v>0</v>
      </c>
      <c r="AK142" s="108">
        <f t="shared" si="144"/>
        <v>0</v>
      </c>
      <c r="AL142" s="108">
        <f t="shared" si="145"/>
        <v>0</v>
      </c>
      <c r="AN142" s="100">
        <v>15</v>
      </c>
      <c r="AO142" s="100">
        <f>H142*0.0147509582162868</f>
        <v>0</v>
      </c>
      <c r="AP142" s="100">
        <f>H142*(1-0.0147509582162868)</f>
        <v>0</v>
      </c>
      <c r="AQ142" s="111" t="s">
        <v>7</v>
      </c>
      <c r="AV142" s="100">
        <f t="shared" si="146"/>
        <v>0</v>
      </c>
      <c r="AW142" s="100">
        <f t="shared" si="147"/>
        <v>0</v>
      </c>
      <c r="AX142" s="100">
        <f t="shared" si="148"/>
        <v>0</v>
      </c>
      <c r="AY142" s="110" t="s">
        <v>1700</v>
      </c>
      <c r="AZ142" s="110" t="s">
        <v>1730</v>
      </c>
      <c r="BA142" s="109" t="s">
        <v>1737</v>
      </c>
      <c r="BC142" s="100">
        <f t="shared" si="149"/>
        <v>0</v>
      </c>
      <c r="BD142" s="100">
        <f t="shared" si="150"/>
        <v>0</v>
      </c>
      <c r="BE142" s="100">
        <v>0</v>
      </c>
      <c r="BF142" s="100">
        <f>142</f>
        <v>142</v>
      </c>
      <c r="BH142" s="108">
        <f t="shared" si="151"/>
        <v>0</v>
      </c>
      <c r="BI142" s="108">
        <f t="shared" si="152"/>
        <v>0</v>
      </c>
      <c r="BJ142" s="108">
        <f t="shared" si="153"/>
        <v>0</v>
      </c>
    </row>
    <row r="143" spans="1:62" x14ac:dyDescent="0.2">
      <c r="A143" s="117" t="s">
        <v>112</v>
      </c>
      <c r="B143" s="117" t="s">
        <v>666</v>
      </c>
      <c r="C143" s="304" t="s">
        <v>1174</v>
      </c>
      <c r="D143" s="305"/>
      <c r="E143" s="305"/>
      <c r="F143" s="117" t="s">
        <v>1645</v>
      </c>
      <c r="G143" s="116">
        <v>66.932000000000002</v>
      </c>
      <c r="H143" s="159"/>
      <c r="I143" s="108">
        <f t="shared" si="132"/>
        <v>0</v>
      </c>
      <c r="J143" s="108">
        <f t="shared" si="133"/>
        <v>0</v>
      </c>
      <c r="K143" s="108">
        <f t="shared" si="134"/>
        <v>0</v>
      </c>
      <c r="L143" s="111" t="s">
        <v>1671</v>
      </c>
      <c r="Z143" s="100">
        <f t="shared" si="135"/>
        <v>0</v>
      </c>
      <c r="AB143" s="100">
        <f t="shared" si="136"/>
        <v>0</v>
      </c>
      <c r="AC143" s="100">
        <f t="shared" si="137"/>
        <v>0</v>
      </c>
      <c r="AD143" s="100">
        <f t="shared" si="138"/>
        <v>0</v>
      </c>
      <c r="AE143" s="100">
        <f t="shared" si="139"/>
        <v>0</v>
      </c>
      <c r="AF143" s="100">
        <f t="shared" si="140"/>
        <v>0</v>
      </c>
      <c r="AG143" s="100">
        <f t="shared" si="141"/>
        <v>0</v>
      </c>
      <c r="AH143" s="100">
        <f t="shared" si="142"/>
        <v>0</v>
      </c>
      <c r="AI143" s="109"/>
      <c r="AJ143" s="108">
        <f t="shared" si="143"/>
        <v>0</v>
      </c>
      <c r="AK143" s="108">
        <f t="shared" si="144"/>
        <v>0</v>
      </c>
      <c r="AL143" s="108">
        <f t="shared" si="145"/>
        <v>0</v>
      </c>
      <c r="AN143" s="100">
        <v>15</v>
      </c>
      <c r="AO143" s="100">
        <f>H143*0.0103628865979381</f>
        <v>0</v>
      </c>
      <c r="AP143" s="100">
        <f>H143*(1-0.0103628865979381)</f>
        <v>0</v>
      </c>
      <c r="AQ143" s="111" t="s">
        <v>7</v>
      </c>
      <c r="AV143" s="100">
        <f t="shared" si="146"/>
        <v>0</v>
      </c>
      <c r="AW143" s="100">
        <f t="shared" si="147"/>
        <v>0</v>
      </c>
      <c r="AX143" s="100">
        <f t="shared" si="148"/>
        <v>0</v>
      </c>
      <c r="AY143" s="110" t="s">
        <v>1700</v>
      </c>
      <c r="AZ143" s="110" t="s">
        <v>1730</v>
      </c>
      <c r="BA143" s="109" t="s">
        <v>1737</v>
      </c>
      <c r="BC143" s="100">
        <f t="shared" si="149"/>
        <v>0</v>
      </c>
      <c r="BD143" s="100">
        <f t="shared" si="150"/>
        <v>0</v>
      </c>
      <c r="BE143" s="100">
        <v>0</v>
      </c>
      <c r="BF143" s="100">
        <f>143</f>
        <v>143</v>
      </c>
      <c r="BH143" s="108">
        <f t="shared" si="151"/>
        <v>0</v>
      </c>
      <c r="BI143" s="108">
        <f t="shared" si="152"/>
        <v>0</v>
      </c>
      <c r="BJ143" s="108">
        <f t="shared" si="153"/>
        <v>0</v>
      </c>
    </row>
    <row r="144" spans="1:62" x14ac:dyDescent="0.2">
      <c r="A144" s="117" t="s">
        <v>113</v>
      </c>
      <c r="B144" s="117" t="s">
        <v>2844</v>
      </c>
      <c r="C144" s="304" t="s">
        <v>2843</v>
      </c>
      <c r="D144" s="305"/>
      <c r="E144" s="305"/>
      <c r="F144" s="117" t="s">
        <v>1644</v>
      </c>
      <c r="G144" s="116">
        <v>3</v>
      </c>
      <c r="H144" s="159"/>
      <c r="I144" s="108">
        <f t="shared" si="132"/>
        <v>0</v>
      </c>
      <c r="J144" s="108">
        <f t="shared" si="133"/>
        <v>0</v>
      </c>
      <c r="K144" s="108">
        <f t="shared" si="134"/>
        <v>0</v>
      </c>
      <c r="L144" s="111" t="s">
        <v>1671</v>
      </c>
      <c r="Z144" s="100">
        <f t="shared" si="135"/>
        <v>0</v>
      </c>
      <c r="AB144" s="100">
        <f t="shared" si="136"/>
        <v>0</v>
      </c>
      <c r="AC144" s="100">
        <f t="shared" si="137"/>
        <v>0</v>
      </c>
      <c r="AD144" s="100">
        <f t="shared" si="138"/>
        <v>0</v>
      </c>
      <c r="AE144" s="100">
        <f t="shared" si="139"/>
        <v>0</v>
      </c>
      <c r="AF144" s="100">
        <f t="shared" si="140"/>
        <v>0</v>
      </c>
      <c r="AG144" s="100">
        <f t="shared" si="141"/>
        <v>0</v>
      </c>
      <c r="AH144" s="100">
        <f t="shared" si="142"/>
        <v>0</v>
      </c>
      <c r="AI144" s="109"/>
      <c r="AJ144" s="108">
        <f t="shared" si="143"/>
        <v>0</v>
      </c>
      <c r="AK144" s="108">
        <f t="shared" si="144"/>
        <v>0</v>
      </c>
      <c r="AL144" s="108">
        <f t="shared" si="145"/>
        <v>0</v>
      </c>
      <c r="AN144" s="100">
        <v>15</v>
      </c>
      <c r="AO144" s="100">
        <f>H144*0</f>
        <v>0</v>
      </c>
      <c r="AP144" s="100">
        <f>H144*(1-0)</f>
        <v>0</v>
      </c>
      <c r="AQ144" s="111" t="s">
        <v>7</v>
      </c>
      <c r="AV144" s="100">
        <f t="shared" si="146"/>
        <v>0</v>
      </c>
      <c r="AW144" s="100">
        <f t="shared" si="147"/>
        <v>0</v>
      </c>
      <c r="AX144" s="100">
        <f t="shared" si="148"/>
        <v>0</v>
      </c>
      <c r="AY144" s="110" t="s">
        <v>1700</v>
      </c>
      <c r="AZ144" s="110" t="s">
        <v>1730</v>
      </c>
      <c r="BA144" s="109" t="s">
        <v>1737</v>
      </c>
      <c r="BC144" s="100">
        <f t="shared" si="149"/>
        <v>0</v>
      </c>
      <c r="BD144" s="100">
        <f t="shared" si="150"/>
        <v>0</v>
      </c>
      <c r="BE144" s="100">
        <v>0</v>
      </c>
      <c r="BF144" s="100">
        <f>144</f>
        <v>144</v>
      </c>
      <c r="BH144" s="108">
        <f t="shared" si="151"/>
        <v>0</v>
      </c>
      <c r="BI144" s="108">
        <f t="shared" si="152"/>
        <v>0</v>
      </c>
      <c r="BJ144" s="108">
        <f t="shared" si="153"/>
        <v>0</v>
      </c>
    </row>
    <row r="145" spans="1:62" x14ac:dyDescent="0.2">
      <c r="A145" s="117" t="s">
        <v>114</v>
      </c>
      <c r="B145" s="117" t="s">
        <v>2842</v>
      </c>
      <c r="C145" s="304" t="s">
        <v>2841</v>
      </c>
      <c r="D145" s="305"/>
      <c r="E145" s="305"/>
      <c r="F145" s="117" t="s">
        <v>1645</v>
      </c>
      <c r="G145" s="116">
        <v>2.7</v>
      </c>
      <c r="H145" s="159"/>
      <c r="I145" s="108">
        <f t="shared" si="132"/>
        <v>0</v>
      </c>
      <c r="J145" s="108">
        <f t="shared" si="133"/>
        <v>0</v>
      </c>
      <c r="K145" s="108">
        <f t="shared" si="134"/>
        <v>0</v>
      </c>
      <c r="L145" s="111" t="s">
        <v>1671</v>
      </c>
      <c r="Z145" s="100">
        <f t="shared" si="135"/>
        <v>0</v>
      </c>
      <c r="AB145" s="100">
        <f t="shared" si="136"/>
        <v>0</v>
      </c>
      <c r="AC145" s="100">
        <f t="shared" si="137"/>
        <v>0</v>
      </c>
      <c r="AD145" s="100">
        <f t="shared" si="138"/>
        <v>0</v>
      </c>
      <c r="AE145" s="100">
        <f t="shared" si="139"/>
        <v>0</v>
      </c>
      <c r="AF145" s="100">
        <f t="shared" si="140"/>
        <v>0</v>
      </c>
      <c r="AG145" s="100">
        <f t="shared" si="141"/>
        <v>0</v>
      </c>
      <c r="AH145" s="100">
        <f t="shared" si="142"/>
        <v>0</v>
      </c>
      <c r="AI145" s="109"/>
      <c r="AJ145" s="108">
        <f t="shared" si="143"/>
        <v>0</v>
      </c>
      <c r="AK145" s="108">
        <f t="shared" si="144"/>
        <v>0</v>
      </c>
      <c r="AL145" s="108">
        <f t="shared" si="145"/>
        <v>0</v>
      </c>
      <c r="AN145" s="100">
        <v>15</v>
      </c>
      <c r="AO145" s="100">
        <f>H145*0.122082324455206</f>
        <v>0</v>
      </c>
      <c r="AP145" s="100">
        <f>H145*(1-0.122082324455206)</f>
        <v>0</v>
      </c>
      <c r="AQ145" s="111" t="s">
        <v>7</v>
      </c>
      <c r="AV145" s="100">
        <f t="shared" si="146"/>
        <v>0</v>
      </c>
      <c r="AW145" s="100">
        <f t="shared" si="147"/>
        <v>0</v>
      </c>
      <c r="AX145" s="100">
        <f t="shared" si="148"/>
        <v>0</v>
      </c>
      <c r="AY145" s="110" t="s">
        <v>1700</v>
      </c>
      <c r="AZ145" s="110" t="s">
        <v>1730</v>
      </c>
      <c r="BA145" s="109" t="s">
        <v>1737</v>
      </c>
      <c r="BC145" s="100">
        <f t="shared" si="149"/>
        <v>0</v>
      </c>
      <c r="BD145" s="100">
        <f t="shared" si="150"/>
        <v>0</v>
      </c>
      <c r="BE145" s="100">
        <v>0</v>
      </c>
      <c r="BF145" s="100">
        <f>145</f>
        <v>145</v>
      </c>
      <c r="BH145" s="108">
        <f t="shared" si="151"/>
        <v>0</v>
      </c>
      <c r="BI145" s="108">
        <f t="shared" si="152"/>
        <v>0</v>
      </c>
      <c r="BJ145" s="108">
        <f t="shared" si="153"/>
        <v>0</v>
      </c>
    </row>
    <row r="146" spans="1:62" x14ac:dyDescent="0.2">
      <c r="A146" s="117" t="s">
        <v>115</v>
      </c>
      <c r="B146" s="117" t="s">
        <v>667</v>
      </c>
      <c r="C146" s="304" t="s">
        <v>2143</v>
      </c>
      <c r="D146" s="305"/>
      <c r="E146" s="305"/>
      <c r="F146" s="117" t="s">
        <v>1644</v>
      </c>
      <c r="G146" s="116">
        <v>2</v>
      </c>
      <c r="H146" s="159"/>
      <c r="I146" s="108">
        <f t="shared" si="132"/>
        <v>0</v>
      </c>
      <c r="J146" s="108">
        <f t="shared" si="133"/>
        <v>0</v>
      </c>
      <c r="K146" s="108">
        <f t="shared" si="134"/>
        <v>0</v>
      </c>
      <c r="L146" s="111" t="s">
        <v>1671</v>
      </c>
      <c r="Z146" s="100">
        <f t="shared" si="135"/>
        <v>0</v>
      </c>
      <c r="AB146" s="100">
        <f t="shared" si="136"/>
        <v>0</v>
      </c>
      <c r="AC146" s="100">
        <f t="shared" si="137"/>
        <v>0</v>
      </c>
      <c r="AD146" s="100">
        <f t="shared" si="138"/>
        <v>0</v>
      </c>
      <c r="AE146" s="100">
        <f t="shared" si="139"/>
        <v>0</v>
      </c>
      <c r="AF146" s="100">
        <f t="shared" si="140"/>
        <v>0</v>
      </c>
      <c r="AG146" s="100">
        <f t="shared" si="141"/>
        <v>0</v>
      </c>
      <c r="AH146" s="100">
        <f t="shared" si="142"/>
        <v>0</v>
      </c>
      <c r="AI146" s="109"/>
      <c r="AJ146" s="108">
        <f t="shared" si="143"/>
        <v>0</v>
      </c>
      <c r="AK146" s="108">
        <f t="shared" si="144"/>
        <v>0</v>
      </c>
      <c r="AL146" s="108">
        <f t="shared" si="145"/>
        <v>0</v>
      </c>
      <c r="AN146" s="100">
        <v>15</v>
      </c>
      <c r="AO146" s="100">
        <f>H146*0</f>
        <v>0</v>
      </c>
      <c r="AP146" s="100">
        <f>H146*(1-0)</f>
        <v>0</v>
      </c>
      <c r="AQ146" s="111" t="s">
        <v>7</v>
      </c>
      <c r="AV146" s="100">
        <f t="shared" si="146"/>
        <v>0</v>
      </c>
      <c r="AW146" s="100">
        <f t="shared" si="147"/>
        <v>0</v>
      </c>
      <c r="AX146" s="100">
        <f t="shared" si="148"/>
        <v>0</v>
      </c>
      <c r="AY146" s="110" t="s">
        <v>1700</v>
      </c>
      <c r="AZ146" s="110" t="s">
        <v>1730</v>
      </c>
      <c r="BA146" s="109" t="s">
        <v>1737</v>
      </c>
      <c r="BC146" s="100">
        <f t="shared" si="149"/>
        <v>0</v>
      </c>
      <c r="BD146" s="100">
        <f t="shared" si="150"/>
        <v>0</v>
      </c>
      <c r="BE146" s="100">
        <v>0</v>
      </c>
      <c r="BF146" s="100">
        <f>146</f>
        <v>146</v>
      </c>
      <c r="BH146" s="108">
        <f t="shared" si="151"/>
        <v>0</v>
      </c>
      <c r="BI146" s="108">
        <f t="shared" si="152"/>
        <v>0</v>
      </c>
      <c r="BJ146" s="108">
        <f t="shared" si="153"/>
        <v>0</v>
      </c>
    </row>
    <row r="147" spans="1:62" x14ac:dyDescent="0.2">
      <c r="A147" s="117" t="s">
        <v>116</v>
      </c>
      <c r="B147" s="117" t="s">
        <v>668</v>
      </c>
      <c r="C147" s="304" t="s">
        <v>1176</v>
      </c>
      <c r="D147" s="305"/>
      <c r="E147" s="305"/>
      <c r="F147" s="117" t="s">
        <v>1645</v>
      </c>
      <c r="G147" s="116">
        <v>10.62</v>
      </c>
      <c r="H147" s="159"/>
      <c r="I147" s="108">
        <f t="shared" si="132"/>
        <v>0</v>
      </c>
      <c r="J147" s="108">
        <f t="shared" si="133"/>
        <v>0</v>
      </c>
      <c r="K147" s="108">
        <f t="shared" si="134"/>
        <v>0</v>
      </c>
      <c r="L147" s="111" t="s">
        <v>1671</v>
      </c>
      <c r="Z147" s="100">
        <f t="shared" si="135"/>
        <v>0</v>
      </c>
      <c r="AB147" s="100">
        <f t="shared" si="136"/>
        <v>0</v>
      </c>
      <c r="AC147" s="100">
        <f t="shared" si="137"/>
        <v>0</v>
      </c>
      <c r="AD147" s="100">
        <f t="shared" si="138"/>
        <v>0</v>
      </c>
      <c r="AE147" s="100">
        <f t="shared" si="139"/>
        <v>0</v>
      </c>
      <c r="AF147" s="100">
        <f t="shared" si="140"/>
        <v>0</v>
      </c>
      <c r="AG147" s="100">
        <f t="shared" si="141"/>
        <v>0</v>
      </c>
      <c r="AH147" s="100">
        <f t="shared" si="142"/>
        <v>0</v>
      </c>
      <c r="AI147" s="109"/>
      <c r="AJ147" s="108">
        <f t="shared" si="143"/>
        <v>0</v>
      </c>
      <c r="AK147" s="108">
        <f t="shared" si="144"/>
        <v>0</v>
      </c>
      <c r="AL147" s="108">
        <f t="shared" si="145"/>
        <v>0</v>
      </c>
      <c r="AN147" s="100">
        <v>15</v>
      </c>
      <c r="AO147" s="100">
        <f>H147*0</f>
        <v>0</v>
      </c>
      <c r="AP147" s="100">
        <f>H147*(1-0)</f>
        <v>0</v>
      </c>
      <c r="AQ147" s="111" t="s">
        <v>7</v>
      </c>
      <c r="AV147" s="100">
        <f t="shared" si="146"/>
        <v>0</v>
      </c>
      <c r="AW147" s="100">
        <f t="shared" si="147"/>
        <v>0</v>
      </c>
      <c r="AX147" s="100">
        <f t="shared" si="148"/>
        <v>0</v>
      </c>
      <c r="AY147" s="110" t="s">
        <v>1700</v>
      </c>
      <c r="AZ147" s="110" t="s">
        <v>1730</v>
      </c>
      <c r="BA147" s="109" t="s">
        <v>1737</v>
      </c>
      <c r="BC147" s="100">
        <f t="shared" si="149"/>
        <v>0</v>
      </c>
      <c r="BD147" s="100">
        <f t="shared" si="150"/>
        <v>0</v>
      </c>
      <c r="BE147" s="100">
        <v>0</v>
      </c>
      <c r="BF147" s="100">
        <f>147</f>
        <v>147</v>
      </c>
      <c r="BH147" s="108">
        <f t="shared" si="151"/>
        <v>0</v>
      </c>
      <c r="BI147" s="108">
        <f t="shared" si="152"/>
        <v>0</v>
      </c>
      <c r="BJ147" s="108">
        <f t="shared" si="153"/>
        <v>0</v>
      </c>
    </row>
    <row r="148" spans="1:62" x14ac:dyDescent="0.2">
      <c r="A148" s="119"/>
      <c r="B148" s="120" t="s">
        <v>103</v>
      </c>
      <c r="C148" s="306" t="s">
        <v>1178</v>
      </c>
      <c r="D148" s="307"/>
      <c r="E148" s="307"/>
      <c r="F148" s="119" t="s">
        <v>6</v>
      </c>
      <c r="G148" s="119" t="s">
        <v>6</v>
      </c>
      <c r="H148" s="119" t="s">
        <v>6</v>
      </c>
      <c r="I148" s="118">
        <f>SUM(I149:I170)</f>
        <v>0</v>
      </c>
      <c r="J148" s="118">
        <f>SUM(J149:J170)</f>
        <v>0</v>
      </c>
      <c r="K148" s="118">
        <f>SUM(K149:K170)</f>
        <v>0</v>
      </c>
      <c r="L148" s="109"/>
      <c r="AI148" s="109"/>
      <c r="AS148" s="118">
        <f>SUM(AJ149:AJ170)</f>
        <v>0</v>
      </c>
      <c r="AT148" s="118">
        <f>SUM(AK149:AK170)</f>
        <v>0</v>
      </c>
      <c r="AU148" s="118">
        <f>SUM(AL149:AL170)</f>
        <v>0</v>
      </c>
    </row>
    <row r="149" spans="1:62" x14ac:dyDescent="0.2">
      <c r="A149" s="117" t="s">
        <v>117</v>
      </c>
      <c r="B149" s="117" t="s">
        <v>2485</v>
      </c>
      <c r="C149" s="304" t="s">
        <v>2484</v>
      </c>
      <c r="D149" s="305"/>
      <c r="E149" s="305"/>
      <c r="F149" s="117" t="s">
        <v>1646</v>
      </c>
      <c r="G149" s="116">
        <v>0.45</v>
      </c>
      <c r="H149" s="159"/>
      <c r="I149" s="108">
        <f t="shared" ref="I149:I170" si="154">G149*AO149</f>
        <v>0</v>
      </c>
      <c r="J149" s="108">
        <f t="shared" ref="J149:J170" si="155">G149*AP149</f>
        <v>0</v>
      </c>
      <c r="K149" s="108">
        <f t="shared" ref="K149:K170" si="156">G149*H149</f>
        <v>0</v>
      </c>
      <c r="L149" s="111" t="s">
        <v>1671</v>
      </c>
      <c r="Z149" s="100">
        <f t="shared" ref="Z149:Z170" si="157">IF(AQ149="5",BJ149,0)</f>
        <v>0</v>
      </c>
      <c r="AB149" s="100">
        <f t="shared" ref="AB149:AB170" si="158">IF(AQ149="1",BH149,0)</f>
        <v>0</v>
      </c>
      <c r="AC149" s="100">
        <f t="shared" ref="AC149:AC170" si="159">IF(AQ149="1",BI149,0)</f>
        <v>0</v>
      </c>
      <c r="AD149" s="100">
        <f t="shared" ref="AD149:AD170" si="160">IF(AQ149="7",BH149,0)</f>
        <v>0</v>
      </c>
      <c r="AE149" s="100">
        <f t="shared" ref="AE149:AE170" si="161">IF(AQ149="7",BI149,0)</f>
        <v>0</v>
      </c>
      <c r="AF149" s="100">
        <f t="shared" ref="AF149:AF170" si="162">IF(AQ149="2",BH149,0)</f>
        <v>0</v>
      </c>
      <c r="AG149" s="100">
        <f t="shared" ref="AG149:AG170" si="163">IF(AQ149="2",BI149,0)</f>
        <v>0</v>
      </c>
      <c r="AH149" s="100">
        <f t="shared" ref="AH149:AH170" si="164">IF(AQ149="0",BJ149,0)</f>
        <v>0</v>
      </c>
      <c r="AI149" s="109"/>
      <c r="AJ149" s="108">
        <f t="shared" ref="AJ149:AJ170" si="165">IF(AN149=0,K149,0)</f>
        <v>0</v>
      </c>
      <c r="AK149" s="108">
        <f t="shared" ref="AK149:AK170" si="166">IF(AN149=15,K149,0)</f>
        <v>0</v>
      </c>
      <c r="AL149" s="108">
        <f t="shared" ref="AL149:AL170" si="167">IF(AN149=21,K149,0)</f>
        <v>0</v>
      </c>
      <c r="AN149" s="100">
        <v>15</v>
      </c>
      <c r="AO149" s="100">
        <f>H149*0.353294871794872</f>
        <v>0</v>
      </c>
      <c r="AP149" s="100">
        <f>H149*(1-0.353294871794872)</f>
        <v>0</v>
      </c>
      <c r="AQ149" s="111" t="s">
        <v>7</v>
      </c>
      <c r="AV149" s="100">
        <f t="shared" ref="AV149:AV170" si="168">AW149+AX149</f>
        <v>0</v>
      </c>
      <c r="AW149" s="100">
        <f t="shared" ref="AW149:AW170" si="169">G149*AO149</f>
        <v>0</v>
      </c>
      <c r="AX149" s="100">
        <f t="shared" ref="AX149:AX170" si="170">G149*AP149</f>
        <v>0</v>
      </c>
      <c r="AY149" s="110" t="s">
        <v>1701</v>
      </c>
      <c r="AZ149" s="110" t="s">
        <v>1730</v>
      </c>
      <c r="BA149" s="109" t="s">
        <v>1737</v>
      </c>
      <c r="BC149" s="100">
        <f t="shared" ref="BC149:BC170" si="171">AW149+AX149</f>
        <v>0</v>
      </c>
      <c r="BD149" s="100">
        <f t="shared" ref="BD149:BD170" si="172">H149/(100-BE149)*100</f>
        <v>0</v>
      </c>
      <c r="BE149" s="100">
        <v>0</v>
      </c>
      <c r="BF149" s="100">
        <f>149</f>
        <v>149</v>
      </c>
      <c r="BH149" s="108">
        <f t="shared" ref="BH149:BH170" si="173">G149*AO149</f>
        <v>0</v>
      </c>
      <c r="BI149" s="108">
        <f t="shared" ref="BI149:BI170" si="174">G149*AP149</f>
        <v>0</v>
      </c>
      <c r="BJ149" s="108">
        <f t="shared" ref="BJ149:BJ170" si="175">G149*H149</f>
        <v>0</v>
      </c>
    </row>
    <row r="150" spans="1:62" x14ac:dyDescent="0.2">
      <c r="A150" s="117" t="s">
        <v>118</v>
      </c>
      <c r="B150" s="117" t="s">
        <v>2483</v>
      </c>
      <c r="C150" s="304" t="s">
        <v>2482</v>
      </c>
      <c r="D150" s="305"/>
      <c r="E150" s="305"/>
      <c r="F150" s="117" t="s">
        <v>1646</v>
      </c>
      <c r="G150" s="116">
        <v>0.45</v>
      </c>
      <c r="H150" s="159"/>
      <c r="I150" s="108">
        <f t="shared" si="154"/>
        <v>0</v>
      </c>
      <c r="J150" s="108">
        <f t="shared" si="155"/>
        <v>0</v>
      </c>
      <c r="K150" s="108">
        <f t="shared" si="156"/>
        <v>0</v>
      </c>
      <c r="L150" s="111" t="s">
        <v>1671</v>
      </c>
      <c r="Z150" s="100">
        <f t="shared" si="157"/>
        <v>0</v>
      </c>
      <c r="AB150" s="100">
        <f t="shared" si="158"/>
        <v>0</v>
      </c>
      <c r="AC150" s="100">
        <f t="shared" si="159"/>
        <v>0</v>
      </c>
      <c r="AD150" s="100">
        <f t="shared" si="160"/>
        <v>0</v>
      </c>
      <c r="AE150" s="100">
        <f t="shared" si="161"/>
        <v>0</v>
      </c>
      <c r="AF150" s="100">
        <f t="shared" si="162"/>
        <v>0</v>
      </c>
      <c r="AG150" s="100">
        <f t="shared" si="163"/>
        <v>0</v>
      </c>
      <c r="AH150" s="100">
        <f t="shared" si="164"/>
        <v>0</v>
      </c>
      <c r="AI150" s="109"/>
      <c r="AJ150" s="108">
        <f t="shared" si="165"/>
        <v>0</v>
      </c>
      <c r="AK150" s="108">
        <f t="shared" si="166"/>
        <v>0</v>
      </c>
      <c r="AL150" s="108">
        <f t="shared" si="167"/>
        <v>0</v>
      </c>
      <c r="AN150" s="100">
        <v>15</v>
      </c>
      <c r="AO150" s="100">
        <f>H150*0.102532909332939</f>
        <v>0</v>
      </c>
      <c r="AP150" s="100">
        <f>H150*(1-0.102532909332939)</f>
        <v>0</v>
      </c>
      <c r="AQ150" s="111" t="s">
        <v>7</v>
      </c>
      <c r="AV150" s="100">
        <f t="shared" si="168"/>
        <v>0</v>
      </c>
      <c r="AW150" s="100">
        <f t="shared" si="169"/>
        <v>0</v>
      </c>
      <c r="AX150" s="100">
        <f t="shared" si="170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71"/>
        <v>0</v>
      </c>
      <c r="BD150" s="100">
        <f t="shared" si="172"/>
        <v>0</v>
      </c>
      <c r="BE150" s="100">
        <v>0</v>
      </c>
      <c r="BF150" s="100">
        <f>150</f>
        <v>150</v>
      </c>
      <c r="BH150" s="108">
        <f t="shared" si="173"/>
        <v>0</v>
      </c>
      <c r="BI150" s="108">
        <f t="shared" si="174"/>
        <v>0</v>
      </c>
      <c r="BJ150" s="108">
        <f t="shared" si="175"/>
        <v>0</v>
      </c>
    </row>
    <row r="151" spans="1:62" x14ac:dyDescent="0.2">
      <c r="A151" s="117" t="s">
        <v>119</v>
      </c>
      <c r="B151" s="117" t="s">
        <v>2481</v>
      </c>
      <c r="C151" s="304" t="s">
        <v>2480</v>
      </c>
      <c r="D151" s="305"/>
      <c r="E151" s="305"/>
      <c r="F151" s="117" t="s">
        <v>1646</v>
      </c>
      <c r="G151" s="116">
        <v>0.45</v>
      </c>
      <c r="H151" s="159"/>
      <c r="I151" s="108">
        <f t="shared" si="154"/>
        <v>0</v>
      </c>
      <c r="J151" s="108">
        <f t="shared" si="155"/>
        <v>0</v>
      </c>
      <c r="K151" s="108">
        <f t="shared" si="156"/>
        <v>0</v>
      </c>
      <c r="L151" s="111" t="s">
        <v>1671</v>
      </c>
      <c r="Z151" s="100">
        <f t="shared" si="157"/>
        <v>0</v>
      </c>
      <c r="AB151" s="100">
        <f t="shared" si="158"/>
        <v>0</v>
      </c>
      <c r="AC151" s="100">
        <f t="shared" si="159"/>
        <v>0</v>
      </c>
      <c r="AD151" s="100">
        <f t="shared" si="160"/>
        <v>0</v>
      </c>
      <c r="AE151" s="100">
        <f t="shared" si="161"/>
        <v>0</v>
      </c>
      <c r="AF151" s="100">
        <f t="shared" si="162"/>
        <v>0</v>
      </c>
      <c r="AG151" s="100">
        <f t="shared" si="163"/>
        <v>0</v>
      </c>
      <c r="AH151" s="100">
        <f t="shared" si="164"/>
        <v>0</v>
      </c>
      <c r="AI151" s="109"/>
      <c r="AJ151" s="108">
        <f t="shared" si="165"/>
        <v>0</v>
      </c>
      <c r="AK151" s="108">
        <f t="shared" si="166"/>
        <v>0</v>
      </c>
      <c r="AL151" s="108">
        <f t="shared" si="167"/>
        <v>0</v>
      </c>
      <c r="AN151" s="100">
        <v>15</v>
      </c>
      <c r="AO151" s="100">
        <f>H151*0.269681908548708</f>
        <v>0</v>
      </c>
      <c r="AP151" s="100">
        <f>H151*(1-0.269681908548708)</f>
        <v>0</v>
      </c>
      <c r="AQ151" s="111" t="s">
        <v>7</v>
      </c>
      <c r="AV151" s="100">
        <f t="shared" si="168"/>
        <v>0</v>
      </c>
      <c r="AW151" s="100">
        <f t="shared" si="169"/>
        <v>0</v>
      </c>
      <c r="AX151" s="100">
        <f t="shared" si="170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71"/>
        <v>0</v>
      </c>
      <c r="BD151" s="100">
        <f t="shared" si="172"/>
        <v>0</v>
      </c>
      <c r="BE151" s="100">
        <v>0</v>
      </c>
      <c r="BF151" s="100">
        <f>151</f>
        <v>151</v>
      </c>
      <c r="BH151" s="108">
        <f t="shared" si="173"/>
        <v>0</v>
      </c>
      <c r="BI151" s="108">
        <f t="shared" si="174"/>
        <v>0</v>
      </c>
      <c r="BJ151" s="108">
        <f t="shared" si="175"/>
        <v>0</v>
      </c>
    </row>
    <row r="152" spans="1:62" x14ac:dyDescent="0.2">
      <c r="A152" s="117" t="s">
        <v>120</v>
      </c>
      <c r="B152" s="117" t="s">
        <v>670</v>
      </c>
      <c r="C152" s="304" t="s">
        <v>1179</v>
      </c>
      <c r="D152" s="305"/>
      <c r="E152" s="305"/>
      <c r="F152" s="117" t="s">
        <v>1646</v>
      </c>
      <c r="G152" s="116">
        <v>0.45</v>
      </c>
      <c r="H152" s="159"/>
      <c r="I152" s="108">
        <f t="shared" si="154"/>
        <v>0</v>
      </c>
      <c r="J152" s="108">
        <f t="shared" si="155"/>
        <v>0</v>
      </c>
      <c r="K152" s="108">
        <f t="shared" si="156"/>
        <v>0</v>
      </c>
      <c r="L152" s="111" t="s">
        <v>1671</v>
      </c>
      <c r="Z152" s="100">
        <f t="shared" si="157"/>
        <v>0</v>
      </c>
      <c r="AB152" s="100">
        <f t="shared" si="158"/>
        <v>0</v>
      </c>
      <c r="AC152" s="100">
        <f t="shared" si="159"/>
        <v>0</v>
      </c>
      <c r="AD152" s="100">
        <f t="shared" si="160"/>
        <v>0</v>
      </c>
      <c r="AE152" s="100">
        <f t="shared" si="161"/>
        <v>0</v>
      </c>
      <c r="AF152" s="100">
        <f t="shared" si="162"/>
        <v>0</v>
      </c>
      <c r="AG152" s="100">
        <f t="shared" si="163"/>
        <v>0</v>
      </c>
      <c r="AH152" s="100">
        <f t="shared" si="164"/>
        <v>0</v>
      </c>
      <c r="AI152" s="109"/>
      <c r="AJ152" s="108">
        <f t="shared" si="165"/>
        <v>0</v>
      </c>
      <c r="AK152" s="108">
        <f t="shared" si="166"/>
        <v>0</v>
      </c>
      <c r="AL152" s="108">
        <f t="shared" si="167"/>
        <v>0</v>
      </c>
      <c r="AN152" s="100">
        <v>15</v>
      </c>
      <c r="AO152" s="100">
        <f>H152*0.317346200241255</f>
        <v>0</v>
      </c>
      <c r="AP152" s="100">
        <f>H152*(1-0.317346200241255)</f>
        <v>0</v>
      </c>
      <c r="AQ152" s="111" t="s">
        <v>7</v>
      </c>
      <c r="AV152" s="100">
        <f t="shared" si="168"/>
        <v>0</v>
      </c>
      <c r="AW152" s="100">
        <f t="shared" si="169"/>
        <v>0</v>
      </c>
      <c r="AX152" s="100">
        <f t="shared" si="170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71"/>
        <v>0</v>
      </c>
      <c r="BD152" s="100">
        <f t="shared" si="172"/>
        <v>0</v>
      </c>
      <c r="BE152" s="100">
        <v>0</v>
      </c>
      <c r="BF152" s="100">
        <f>152</f>
        <v>152</v>
      </c>
      <c r="BH152" s="108">
        <f t="shared" si="173"/>
        <v>0</v>
      </c>
      <c r="BI152" s="108">
        <f t="shared" si="174"/>
        <v>0</v>
      </c>
      <c r="BJ152" s="108">
        <f t="shared" si="175"/>
        <v>0</v>
      </c>
    </row>
    <row r="153" spans="1:62" x14ac:dyDescent="0.2">
      <c r="A153" s="117" t="s">
        <v>121</v>
      </c>
      <c r="B153" s="117" t="s">
        <v>671</v>
      </c>
      <c r="C153" s="304" t="s">
        <v>1180</v>
      </c>
      <c r="D153" s="305"/>
      <c r="E153" s="305"/>
      <c r="F153" s="117" t="s">
        <v>1646</v>
      </c>
      <c r="G153" s="116">
        <v>0.45</v>
      </c>
      <c r="H153" s="159"/>
      <c r="I153" s="108">
        <f t="shared" si="154"/>
        <v>0</v>
      </c>
      <c r="J153" s="108">
        <f t="shared" si="155"/>
        <v>0</v>
      </c>
      <c r="K153" s="108">
        <f t="shared" si="156"/>
        <v>0</v>
      </c>
      <c r="L153" s="111" t="s">
        <v>1671</v>
      </c>
      <c r="Z153" s="100">
        <f t="shared" si="157"/>
        <v>0</v>
      </c>
      <c r="AB153" s="100">
        <f t="shared" si="158"/>
        <v>0</v>
      </c>
      <c r="AC153" s="100">
        <f t="shared" si="159"/>
        <v>0</v>
      </c>
      <c r="AD153" s="100">
        <f t="shared" si="160"/>
        <v>0</v>
      </c>
      <c r="AE153" s="100">
        <f t="shared" si="161"/>
        <v>0</v>
      </c>
      <c r="AF153" s="100">
        <f t="shared" si="162"/>
        <v>0</v>
      </c>
      <c r="AG153" s="100">
        <f t="shared" si="163"/>
        <v>0</v>
      </c>
      <c r="AH153" s="100">
        <f t="shared" si="164"/>
        <v>0</v>
      </c>
      <c r="AI153" s="109"/>
      <c r="AJ153" s="108">
        <f t="shared" si="165"/>
        <v>0</v>
      </c>
      <c r="AK153" s="108">
        <f t="shared" si="166"/>
        <v>0</v>
      </c>
      <c r="AL153" s="108">
        <f t="shared" si="167"/>
        <v>0</v>
      </c>
      <c r="AN153" s="100">
        <v>15</v>
      </c>
      <c r="AO153" s="100">
        <f>H153*0.0581320754716981</f>
        <v>0</v>
      </c>
      <c r="AP153" s="100">
        <f>H153*(1-0.0581320754716981)</f>
        <v>0</v>
      </c>
      <c r="AQ153" s="111" t="s">
        <v>7</v>
      </c>
      <c r="AV153" s="100">
        <f t="shared" si="168"/>
        <v>0</v>
      </c>
      <c r="AW153" s="100">
        <f t="shared" si="169"/>
        <v>0</v>
      </c>
      <c r="AX153" s="100">
        <f t="shared" si="170"/>
        <v>0</v>
      </c>
      <c r="AY153" s="110" t="s">
        <v>1701</v>
      </c>
      <c r="AZ153" s="110" t="s">
        <v>1730</v>
      </c>
      <c r="BA153" s="109" t="s">
        <v>1737</v>
      </c>
      <c r="BC153" s="100">
        <f t="shared" si="171"/>
        <v>0</v>
      </c>
      <c r="BD153" s="100">
        <f t="shared" si="172"/>
        <v>0</v>
      </c>
      <c r="BE153" s="100">
        <v>0</v>
      </c>
      <c r="BF153" s="100">
        <f>153</f>
        <v>153</v>
      </c>
      <c r="BH153" s="108">
        <f t="shared" si="173"/>
        <v>0</v>
      </c>
      <c r="BI153" s="108">
        <f t="shared" si="174"/>
        <v>0</v>
      </c>
      <c r="BJ153" s="108">
        <f t="shared" si="175"/>
        <v>0</v>
      </c>
    </row>
    <row r="154" spans="1:62" x14ac:dyDescent="0.2">
      <c r="A154" s="117" t="s">
        <v>122</v>
      </c>
      <c r="B154" s="117" t="s">
        <v>672</v>
      </c>
      <c r="C154" s="304" t="s">
        <v>1181</v>
      </c>
      <c r="D154" s="305"/>
      <c r="E154" s="305"/>
      <c r="F154" s="117" t="s">
        <v>1646</v>
      </c>
      <c r="G154" s="116">
        <v>0.45</v>
      </c>
      <c r="H154" s="159"/>
      <c r="I154" s="108">
        <f t="shared" si="154"/>
        <v>0</v>
      </c>
      <c r="J154" s="108">
        <f t="shared" si="155"/>
        <v>0</v>
      </c>
      <c r="K154" s="108">
        <f t="shared" si="156"/>
        <v>0</v>
      </c>
      <c r="L154" s="111" t="s">
        <v>1671</v>
      </c>
      <c r="Z154" s="100">
        <f t="shared" si="157"/>
        <v>0</v>
      </c>
      <c r="AB154" s="100">
        <f t="shared" si="158"/>
        <v>0</v>
      </c>
      <c r="AC154" s="100">
        <f t="shared" si="159"/>
        <v>0</v>
      </c>
      <c r="AD154" s="100">
        <f t="shared" si="160"/>
        <v>0</v>
      </c>
      <c r="AE154" s="100">
        <f t="shared" si="161"/>
        <v>0</v>
      </c>
      <c r="AF154" s="100">
        <f t="shared" si="162"/>
        <v>0</v>
      </c>
      <c r="AG154" s="100">
        <f t="shared" si="163"/>
        <v>0</v>
      </c>
      <c r="AH154" s="100">
        <f t="shared" si="164"/>
        <v>0</v>
      </c>
      <c r="AI154" s="109"/>
      <c r="AJ154" s="108">
        <f t="shared" si="165"/>
        <v>0</v>
      </c>
      <c r="AK154" s="108">
        <f t="shared" si="166"/>
        <v>0</v>
      </c>
      <c r="AL154" s="108">
        <f t="shared" si="167"/>
        <v>0</v>
      </c>
      <c r="AN154" s="100">
        <v>15</v>
      </c>
      <c r="AO154" s="100">
        <f>H154*0.266918536009445</f>
        <v>0</v>
      </c>
      <c r="AP154" s="100">
        <f>H154*(1-0.266918536009445)</f>
        <v>0</v>
      </c>
      <c r="AQ154" s="111" t="s">
        <v>7</v>
      </c>
      <c r="AV154" s="100">
        <f t="shared" si="168"/>
        <v>0</v>
      </c>
      <c r="AW154" s="100">
        <f t="shared" si="169"/>
        <v>0</v>
      </c>
      <c r="AX154" s="100">
        <f t="shared" si="170"/>
        <v>0</v>
      </c>
      <c r="AY154" s="110" t="s">
        <v>1701</v>
      </c>
      <c r="AZ154" s="110" t="s">
        <v>1730</v>
      </c>
      <c r="BA154" s="109" t="s">
        <v>1737</v>
      </c>
      <c r="BC154" s="100">
        <f t="shared" si="171"/>
        <v>0</v>
      </c>
      <c r="BD154" s="100">
        <f t="shared" si="172"/>
        <v>0</v>
      </c>
      <c r="BE154" s="100">
        <v>0</v>
      </c>
      <c r="BF154" s="100">
        <f>154</f>
        <v>154</v>
      </c>
      <c r="BH154" s="108">
        <f t="shared" si="173"/>
        <v>0</v>
      </c>
      <c r="BI154" s="108">
        <f t="shared" si="174"/>
        <v>0</v>
      </c>
      <c r="BJ154" s="108">
        <f t="shared" si="175"/>
        <v>0</v>
      </c>
    </row>
    <row r="155" spans="1:62" x14ac:dyDescent="0.2">
      <c r="A155" s="117" t="s">
        <v>123</v>
      </c>
      <c r="B155" s="117" t="s">
        <v>2479</v>
      </c>
      <c r="C155" s="304" t="s">
        <v>2478</v>
      </c>
      <c r="D155" s="305"/>
      <c r="E155" s="305"/>
      <c r="F155" s="117" t="s">
        <v>1646</v>
      </c>
      <c r="G155" s="116">
        <v>2.25</v>
      </c>
      <c r="H155" s="159"/>
      <c r="I155" s="108">
        <f t="shared" si="154"/>
        <v>0</v>
      </c>
      <c r="J155" s="108">
        <f t="shared" si="155"/>
        <v>0</v>
      </c>
      <c r="K155" s="108">
        <f t="shared" si="156"/>
        <v>0</v>
      </c>
      <c r="L155" s="111" t="s">
        <v>1671</v>
      </c>
      <c r="Z155" s="100">
        <f t="shared" si="157"/>
        <v>0</v>
      </c>
      <c r="AB155" s="100">
        <f t="shared" si="158"/>
        <v>0</v>
      </c>
      <c r="AC155" s="100">
        <f t="shared" si="159"/>
        <v>0</v>
      </c>
      <c r="AD155" s="100">
        <f t="shared" si="160"/>
        <v>0</v>
      </c>
      <c r="AE155" s="100">
        <f t="shared" si="161"/>
        <v>0</v>
      </c>
      <c r="AF155" s="100">
        <f t="shared" si="162"/>
        <v>0</v>
      </c>
      <c r="AG155" s="100">
        <f t="shared" si="163"/>
        <v>0</v>
      </c>
      <c r="AH155" s="100">
        <f t="shared" si="164"/>
        <v>0</v>
      </c>
      <c r="AI155" s="109"/>
      <c r="AJ155" s="108">
        <f t="shared" si="165"/>
        <v>0</v>
      </c>
      <c r="AK155" s="108">
        <f t="shared" si="166"/>
        <v>0</v>
      </c>
      <c r="AL155" s="108">
        <f t="shared" si="167"/>
        <v>0</v>
      </c>
      <c r="AN155" s="100">
        <v>15</v>
      </c>
      <c r="AO155" s="100">
        <f>H155*0.328942398489141</f>
        <v>0</v>
      </c>
      <c r="AP155" s="100">
        <f>H155*(1-0.328942398489141)</f>
        <v>0</v>
      </c>
      <c r="AQ155" s="111" t="s">
        <v>7</v>
      </c>
      <c r="AV155" s="100">
        <f t="shared" si="168"/>
        <v>0</v>
      </c>
      <c r="AW155" s="100">
        <f t="shared" si="169"/>
        <v>0</v>
      </c>
      <c r="AX155" s="100">
        <f t="shared" si="170"/>
        <v>0</v>
      </c>
      <c r="AY155" s="110" t="s">
        <v>1701</v>
      </c>
      <c r="AZ155" s="110" t="s">
        <v>1730</v>
      </c>
      <c r="BA155" s="109" t="s">
        <v>1737</v>
      </c>
      <c r="BC155" s="100">
        <f t="shared" si="171"/>
        <v>0</v>
      </c>
      <c r="BD155" s="100">
        <f t="shared" si="172"/>
        <v>0</v>
      </c>
      <c r="BE155" s="100">
        <v>0</v>
      </c>
      <c r="BF155" s="100">
        <f>155</f>
        <v>155</v>
      </c>
      <c r="BH155" s="108">
        <f t="shared" si="173"/>
        <v>0</v>
      </c>
      <c r="BI155" s="108">
        <f t="shared" si="174"/>
        <v>0</v>
      </c>
      <c r="BJ155" s="108">
        <f t="shared" si="175"/>
        <v>0</v>
      </c>
    </row>
    <row r="156" spans="1:62" x14ac:dyDescent="0.2">
      <c r="A156" s="117" t="s">
        <v>124</v>
      </c>
      <c r="B156" s="117" t="s">
        <v>2477</v>
      </c>
      <c r="C156" s="304" t="s">
        <v>2476</v>
      </c>
      <c r="D156" s="305"/>
      <c r="E156" s="305"/>
      <c r="F156" s="117" t="s">
        <v>1646</v>
      </c>
      <c r="G156" s="116">
        <v>2.25</v>
      </c>
      <c r="H156" s="159"/>
      <c r="I156" s="108">
        <f t="shared" si="154"/>
        <v>0</v>
      </c>
      <c r="J156" s="108">
        <f t="shared" si="155"/>
        <v>0</v>
      </c>
      <c r="K156" s="108">
        <f t="shared" si="156"/>
        <v>0</v>
      </c>
      <c r="L156" s="111" t="s">
        <v>1671</v>
      </c>
      <c r="Z156" s="100">
        <f t="shared" si="157"/>
        <v>0</v>
      </c>
      <c r="AB156" s="100">
        <f t="shared" si="158"/>
        <v>0</v>
      </c>
      <c r="AC156" s="100">
        <f t="shared" si="159"/>
        <v>0</v>
      </c>
      <c r="AD156" s="100">
        <f t="shared" si="160"/>
        <v>0</v>
      </c>
      <c r="AE156" s="100">
        <f t="shared" si="161"/>
        <v>0</v>
      </c>
      <c r="AF156" s="100">
        <f t="shared" si="162"/>
        <v>0</v>
      </c>
      <c r="AG156" s="100">
        <f t="shared" si="163"/>
        <v>0</v>
      </c>
      <c r="AH156" s="100">
        <f t="shared" si="164"/>
        <v>0</v>
      </c>
      <c r="AI156" s="109"/>
      <c r="AJ156" s="108">
        <f t="shared" si="165"/>
        <v>0</v>
      </c>
      <c r="AK156" s="108">
        <f t="shared" si="166"/>
        <v>0</v>
      </c>
      <c r="AL156" s="108">
        <f t="shared" si="167"/>
        <v>0</v>
      </c>
      <c r="AN156" s="100">
        <v>15</v>
      </c>
      <c r="AO156" s="100">
        <f>H156*0.207792419996569</f>
        <v>0</v>
      </c>
      <c r="AP156" s="100">
        <f>H156*(1-0.207792419996569)</f>
        <v>0</v>
      </c>
      <c r="AQ156" s="111" t="s">
        <v>7</v>
      </c>
      <c r="AV156" s="100">
        <f t="shared" si="168"/>
        <v>0</v>
      </c>
      <c r="AW156" s="100">
        <f t="shared" si="169"/>
        <v>0</v>
      </c>
      <c r="AX156" s="100">
        <f t="shared" si="170"/>
        <v>0</v>
      </c>
      <c r="AY156" s="110" t="s">
        <v>1701</v>
      </c>
      <c r="AZ156" s="110" t="s">
        <v>1730</v>
      </c>
      <c r="BA156" s="109" t="s">
        <v>1737</v>
      </c>
      <c r="BC156" s="100">
        <f t="shared" si="171"/>
        <v>0</v>
      </c>
      <c r="BD156" s="100">
        <f t="shared" si="172"/>
        <v>0</v>
      </c>
      <c r="BE156" s="100">
        <v>0</v>
      </c>
      <c r="BF156" s="100">
        <f>156</f>
        <v>156</v>
      </c>
      <c r="BH156" s="108">
        <f t="shared" si="173"/>
        <v>0</v>
      </c>
      <c r="BI156" s="108">
        <f t="shared" si="174"/>
        <v>0</v>
      </c>
      <c r="BJ156" s="108">
        <f t="shared" si="175"/>
        <v>0</v>
      </c>
    </row>
    <row r="157" spans="1:62" x14ac:dyDescent="0.2">
      <c r="A157" s="117" t="s">
        <v>125</v>
      </c>
      <c r="B157" s="117" t="s">
        <v>3721</v>
      </c>
      <c r="C157" s="304" t="s">
        <v>3720</v>
      </c>
      <c r="D157" s="305"/>
      <c r="E157" s="305"/>
      <c r="F157" s="117" t="s">
        <v>1646</v>
      </c>
      <c r="G157" s="116">
        <v>2.25</v>
      </c>
      <c r="H157" s="159"/>
      <c r="I157" s="108">
        <f t="shared" si="154"/>
        <v>0</v>
      </c>
      <c r="J157" s="108">
        <f t="shared" si="155"/>
        <v>0</v>
      </c>
      <c r="K157" s="108">
        <f t="shared" si="156"/>
        <v>0</v>
      </c>
      <c r="L157" s="111" t="s">
        <v>1671</v>
      </c>
      <c r="Z157" s="100">
        <f t="shared" si="157"/>
        <v>0</v>
      </c>
      <c r="AB157" s="100">
        <f t="shared" si="158"/>
        <v>0</v>
      </c>
      <c r="AC157" s="100">
        <f t="shared" si="159"/>
        <v>0</v>
      </c>
      <c r="AD157" s="100">
        <f t="shared" si="160"/>
        <v>0</v>
      </c>
      <c r="AE157" s="100">
        <f t="shared" si="161"/>
        <v>0</v>
      </c>
      <c r="AF157" s="100">
        <f t="shared" si="162"/>
        <v>0</v>
      </c>
      <c r="AG157" s="100">
        <f t="shared" si="163"/>
        <v>0</v>
      </c>
      <c r="AH157" s="100">
        <f t="shared" si="164"/>
        <v>0</v>
      </c>
      <c r="AI157" s="109"/>
      <c r="AJ157" s="108">
        <f t="shared" si="165"/>
        <v>0</v>
      </c>
      <c r="AK157" s="108">
        <f t="shared" si="166"/>
        <v>0</v>
      </c>
      <c r="AL157" s="108">
        <f t="shared" si="167"/>
        <v>0</v>
      </c>
      <c r="AN157" s="100">
        <v>15</v>
      </c>
      <c r="AO157" s="100">
        <f>H157*0.0464712112781804</f>
        <v>0</v>
      </c>
      <c r="AP157" s="100">
        <f>H157*(1-0.0464712112781804)</f>
        <v>0</v>
      </c>
      <c r="AQ157" s="111" t="s">
        <v>7</v>
      </c>
      <c r="AV157" s="100">
        <f t="shared" si="168"/>
        <v>0</v>
      </c>
      <c r="AW157" s="100">
        <f t="shared" si="169"/>
        <v>0</v>
      </c>
      <c r="AX157" s="100">
        <f t="shared" si="170"/>
        <v>0</v>
      </c>
      <c r="AY157" s="110" t="s">
        <v>1701</v>
      </c>
      <c r="AZ157" s="110" t="s">
        <v>1730</v>
      </c>
      <c r="BA157" s="109" t="s">
        <v>1737</v>
      </c>
      <c r="BC157" s="100">
        <f t="shared" si="171"/>
        <v>0</v>
      </c>
      <c r="BD157" s="100">
        <f t="shared" si="172"/>
        <v>0</v>
      </c>
      <c r="BE157" s="100">
        <v>0</v>
      </c>
      <c r="BF157" s="100">
        <f>157</f>
        <v>157</v>
      </c>
      <c r="BH157" s="108">
        <f t="shared" si="173"/>
        <v>0</v>
      </c>
      <c r="BI157" s="108">
        <f t="shared" si="174"/>
        <v>0</v>
      </c>
      <c r="BJ157" s="108">
        <f t="shared" si="175"/>
        <v>0</v>
      </c>
    </row>
    <row r="158" spans="1:62" x14ac:dyDescent="0.2">
      <c r="A158" s="117" t="s">
        <v>126</v>
      </c>
      <c r="B158" s="117" t="s">
        <v>673</v>
      </c>
      <c r="C158" s="304" t="s">
        <v>1182</v>
      </c>
      <c r="D158" s="305"/>
      <c r="E158" s="305"/>
      <c r="F158" s="117" t="s">
        <v>1644</v>
      </c>
      <c r="G158" s="116">
        <v>10</v>
      </c>
      <c r="H158" s="159"/>
      <c r="I158" s="108">
        <f t="shared" si="154"/>
        <v>0</v>
      </c>
      <c r="J158" s="108">
        <f t="shared" si="155"/>
        <v>0</v>
      </c>
      <c r="K158" s="108">
        <f t="shared" si="156"/>
        <v>0</v>
      </c>
      <c r="L158" s="111" t="s">
        <v>1671</v>
      </c>
      <c r="Z158" s="100">
        <f t="shared" si="157"/>
        <v>0</v>
      </c>
      <c r="AB158" s="100">
        <f t="shared" si="158"/>
        <v>0</v>
      </c>
      <c r="AC158" s="100">
        <f t="shared" si="159"/>
        <v>0</v>
      </c>
      <c r="AD158" s="100">
        <f t="shared" si="160"/>
        <v>0</v>
      </c>
      <c r="AE158" s="100">
        <f t="shared" si="161"/>
        <v>0</v>
      </c>
      <c r="AF158" s="100">
        <f t="shared" si="162"/>
        <v>0</v>
      </c>
      <c r="AG158" s="100">
        <f t="shared" si="163"/>
        <v>0</v>
      </c>
      <c r="AH158" s="100">
        <f t="shared" si="164"/>
        <v>0</v>
      </c>
      <c r="AI158" s="109"/>
      <c r="AJ158" s="108">
        <f t="shared" si="165"/>
        <v>0</v>
      </c>
      <c r="AK158" s="108">
        <f t="shared" si="166"/>
        <v>0</v>
      </c>
      <c r="AL158" s="108">
        <f t="shared" si="167"/>
        <v>0</v>
      </c>
      <c r="AN158" s="100">
        <v>15</v>
      </c>
      <c r="AO158" s="100">
        <f>H158*0.0466942148760331</f>
        <v>0</v>
      </c>
      <c r="AP158" s="100">
        <f>H158*(1-0.0466942148760331)</f>
        <v>0</v>
      </c>
      <c r="AQ158" s="111" t="s">
        <v>7</v>
      </c>
      <c r="AV158" s="100">
        <f t="shared" si="168"/>
        <v>0</v>
      </c>
      <c r="AW158" s="100">
        <f t="shared" si="169"/>
        <v>0</v>
      </c>
      <c r="AX158" s="100">
        <f t="shared" si="170"/>
        <v>0</v>
      </c>
      <c r="AY158" s="110" t="s">
        <v>1701</v>
      </c>
      <c r="AZ158" s="110" t="s">
        <v>1730</v>
      </c>
      <c r="BA158" s="109" t="s">
        <v>1737</v>
      </c>
      <c r="BC158" s="100">
        <f t="shared" si="171"/>
        <v>0</v>
      </c>
      <c r="BD158" s="100">
        <f t="shared" si="172"/>
        <v>0</v>
      </c>
      <c r="BE158" s="100">
        <v>0</v>
      </c>
      <c r="BF158" s="100">
        <f>158</f>
        <v>158</v>
      </c>
      <c r="BH158" s="108">
        <f t="shared" si="173"/>
        <v>0</v>
      </c>
      <c r="BI158" s="108">
        <f t="shared" si="174"/>
        <v>0</v>
      </c>
      <c r="BJ158" s="108">
        <f t="shared" si="175"/>
        <v>0</v>
      </c>
    </row>
    <row r="159" spans="1:62" x14ac:dyDescent="0.2">
      <c r="A159" s="117" t="s">
        <v>127</v>
      </c>
      <c r="B159" s="117" t="s">
        <v>3719</v>
      </c>
      <c r="C159" s="304" t="s">
        <v>3718</v>
      </c>
      <c r="D159" s="305"/>
      <c r="E159" s="305"/>
      <c r="F159" s="117" t="s">
        <v>1646</v>
      </c>
      <c r="G159" s="116">
        <v>1.5</v>
      </c>
      <c r="H159" s="159"/>
      <c r="I159" s="108">
        <f t="shared" si="154"/>
        <v>0</v>
      </c>
      <c r="J159" s="108">
        <f t="shared" si="155"/>
        <v>0</v>
      </c>
      <c r="K159" s="108">
        <f t="shared" si="156"/>
        <v>0</v>
      </c>
      <c r="L159" s="111" t="s">
        <v>1671</v>
      </c>
      <c r="Z159" s="100">
        <f t="shared" si="157"/>
        <v>0</v>
      </c>
      <c r="AB159" s="100">
        <f t="shared" si="158"/>
        <v>0</v>
      </c>
      <c r="AC159" s="100">
        <f t="shared" si="159"/>
        <v>0</v>
      </c>
      <c r="AD159" s="100">
        <f t="shared" si="160"/>
        <v>0</v>
      </c>
      <c r="AE159" s="100">
        <f t="shared" si="161"/>
        <v>0</v>
      </c>
      <c r="AF159" s="100">
        <f t="shared" si="162"/>
        <v>0</v>
      </c>
      <c r="AG159" s="100">
        <f t="shared" si="163"/>
        <v>0</v>
      </c>
      <c r="AH159" s="100">
        <f t="shared" si="164"/>
        <v>0</v>
      </c>
      <c r="AI159" s="109"/>
      <c r="AJ159" s="108">
        <f t="shared" si="165"/>
        <v>0</v>
      </c>
      <c r="AK159" s="108">
        <f t="shared" si="166"/>
        <v>0</v>
      </c>
      <c r="AL159" s="108">
        <f t="shared" si="167"/>
        <v>0</v>
      </c>
      <c r="AN159" s="100">
        <v>15</v>
      </c>
      <c r="AO159" s="100">
        <f>H159*0.0787456445993032</f>
        <v>0</v>
      </c>
      <c r="AP159" s="100">
        <f>H159*(1-0.0787456445993032)</f>
        <v>0</v>
      </c>
      <c r="AQ159" s="111" t="s">
        <v>7</v>
      </c>
      <c r="AV159" s="100">
        <f t="shared" si="168"/>
        <v>0</v>
      </c>
      <c r="AW159" s="100">
        <f t="shared" si="169"/>
        <v>0</v>
      </c>
      <c r="AX159" s="100">
        <f t="shared" si="170"/>
        <v>0</v>
      </c>
      <c r="AY159" s="110" t="s">
        <v>1701</v>
      </c>
      <c r="AZ159" s="110" t="s">
        <v>1730</v>
      </c>
      <c r="BA159" s="109" t="s">
        <v>1737</v>
      </c>
      <c r="BC159" s="100">
        <f t="shared" si="171"/>
        <v>0</v>
      </c>
      <c r="BD159" s="100">
        <f t="shared" si="172"/>
        <v>0</v>
      </c>
      <c r="BE159" s="100">
        <v>0</v>
      </c>
      <c r="BF159" s="100">
        <f>159</f>
        <v>159</v>
      </c>
      <c r="BH159" s="108">
        <f t="shared" si="173"/>
        <v>0</v>
      </c>
      <c r="BI159" s="108">
        <f t="shared" si="174"/>
        <v>0</v>
      </c>
      <c r="BJ159" s="108">
        <f t="shared" si="175"/>
        <v>0</v>
      </c>
    </row>
    <row r="160" spans="1:62" x14ac:dyDescent="0.2">
      <c r="A160" s="117" t="s">
        <v>128</v>
      </c>
      <c r="B160" s="117" t="s">
        <v>676</v>
      </c>
      <c r="C160" s="304" t="s">
        <v>1185</v>
      </c>
      <c r="D160" s="305"/>
      <c r="E160" s="305"/>
      <c r="F160" s="117" t="s">
        <v>1645</v>
      </c>
      <c r="G160" s="116">
        <v>890.52099999999996</v>
      </c>
      <c r="H160" s="159"/>
      <c r="I160" s="108">
        <f t="shared" si="154"/>
        <v>0</v>
      </c>
      <c r="J160" s="108">
        <f t="shared" si="155"/>
        <v>0</v>
      </c>
      <c r="K160" s="108">
        <f t="shared" si="156"/>
        <v>0</v>
      </c>
      <c r="L160" s="111" t="s">
        <v>1671</v>
      </c>
      <c r="Z160" s="100">
        <f t="shared" si="157"/>
        <v>0</v>
      </c>
      <c r="AB160" s="100">
        <f t="shared" si="158"/>
        <v>0</v>
      </c>
      <c r="AC160" s="100">
        <f t="shared" si="159"/>
        <v>0</v>
      </c>
      <c r="AD160" s="100">
        <f t="shared" si="160"/>
        <v>0</v>
      </c>
      <c r="AE160" s="100">
        <f t="shared" si="161"/>
        <v>0</v>
      </c>
      <c r="AF160" s="100">
        <f t="shared" si="162"/>
        <v>0</v>
      </c>
      <c r="AG160" s="100">
        <f t="shared" si="163"/>
        <v>0</v>
      </c>
      <c r="AH160" s="100">
        <f t="shared" si="164"/>
        <v>0</v>
      </c>
      <c r="AI160" s="109"/>
      <c r="AJ160" s="108">
        <f t="shared" si="165"/>
        <v>0</v>
      </c>
      <c r="AK160" s="108">
        <f t="shared" si="166"/>
        <v>0</v>
      </c>
      <c r="AL160" s="108">
        <f t="shared" si="167"/>
        <v>0</v>
      </c>
      <c r="AN160" s="100">
        <v>15</v>
      </c>
      <c r="AO160" s="100">
        <f t="shared" ref="AO160:AO170" si="176">H160*0</f>
        <v>0</v>
      </c>
      <c r="AP160" s="100">
        <f t="shared" ref="AP160:AP170" si="177">H160*(1-0)</f>
        <v>0</v>
      </c>
      <c r="AQ160" s="111" t="s">
        <v>7</v>
      </c>
      <c r="AV160" s="100">
        <f t="shared" si="168"/>
        <v>0</v>
      </c>
      <c r="AW160" s="100">
        <f t="shared" si="169"/>
        <v>0</v>
      </c>
      <c r="AX160" s="100">
        <f t="shared" si="170"/>
        <v>0</v>
      </c>
      <c r="AY160" s="110" t="s">
        <v>1701</v>
      </c>
      <c r="AZ160" s="110" t="s">
        <v>1730</v>
      </c>
      <c r="BA160" s="109" t="s">
        <v>1737</v>
      </c>
      <c r="BC160" s="100">
        <f t="shared" si="171"/>
        <v>0</v>
      </c>
      <c r="BD160" s="100">
        <f t="shared" si="172"/>
        <v>0</v>
      </c>
      <c r="BE160" s="100">
        <v>0</v>
      </c>
      <c r="BF160" s="100">
        <f>160</f>
        <v>160</v>
      </c>
      <c r="BH160" s="108">
        <f t="shared" si="173"/>
        <v>0</v>
      </c>
      <c r="BI160" s="108">
        <f t="shared" si="174"/>
        <v>0</v>
      </c>
      <c r="BJ160" s="108">
        <f t="shared" si="175"/>
        <v>0</v>
      </c>
    </row>
    <row r="161" spans="1:62" x14ac:dyDescent="0.2">
      <c r="A161" s="117" t="s">
        <v>129</v>
      </c>
      <c r="B161" s="117" t="s">
        <v>677</v>
      </c>
      <c r="C161" s="304" t="s">
        <v>3175</v>
      </c>
      <c r="D161" s="305"/>
      <c r="E161" s="305"/>
      <c r="F161" s="117" t="s">
        <v>1645</v>
      </c>
      <c r="G161" s="116">
        <v>31.725999999999999</v>
      </c>
      <c r="H161" s="159"/>
      <c r="I161" s="108">
        <f t="shared" si="154"/>
        <v>0</v>
      </c>
      <c r="J161" s="108">
        <f t="shared" si="155"/>
        <v>0</v>
      </c>
      <c r="K161" s="108">
        <f t="shared" si="156"/>
        <v>0</v>
      </c>
      <c r="L161" s="111" t="s">
        <v>1671</v>
      </c>
      <c r="Z161" s="100">
        <f t="shared" si="157"/>
        <v>0</v>
      </c>
      <c r="AB161" s="100">
        <f t="shared" si="158"/>
        <v>0</v>
      </c>
      <c r="AC161" s="100">
        <f t="shared" si="159"/>
        <v>0</v>
      </c>
      <c r="AD161" s="100">
        <f t="shared" si="160"/>
        <v>0</v>
      </c>
      <c r="AE161" s="100">
        <f t="shared" si="161"/>
        <v>0</v>
      </c>
      <c r="AF161" s="100">
        <f t="shared" si="162"/>
        <v>0</v>
      </c>
      <c r="AG161" s="100">
        <f t="shared" si="163"/>
        <v>0</v>
      </c>
      <c r="AH161" s="100">
        <f t="shared" si="164"/>
        <v>0</v>
      </c>
      <c r="AI161" s="109"/>
      <c r="AJ161" s="108">
        <f t="shared" si="165"/>
        <v>0</v>
      </c>
      <c r="AK161" s="108">
        <f t="shared" si="166"/>
        <v>0</v>
      </c>
      <c r="AL161" s="108">
        <f t="shared" si="167"/>
        <v>0</v>
      </c>
      <c r="AN161" s="100">
        <v>15</v>
      </c>
      <c r="AO161" s="100">
        <f t="shared" si="176"/>
        <v>0</v>
      </c>
      <c r="AP161" s="100">
        <f t="shared" si="177"/>
        <v>0</v>
      </c>
      <c r="AQ161" s="111" t="s">
        <v>7</v>
      </c>
      <c r="AV161" s="100">
        <f t="shared" si="168"/>
        <v>0</v>
      </c>
      <c r="AW161" s="100">
        <f t="shared" si="169"/>
        <v>0</v>
      </c>
      <c r="AX161" s="100">
        <f t="shared" si="170"/>
        <v>0</v>
      </c>
      <c r="AY161" s="110" t="s">
        <v>1701</v>
      </c>
      <c r="AZ161" s="110" t="s">
        <v>1730</v>
      </c>
      <c r="BA161" s="109" t="s">
        <v>1737</v>
      </c>
      <c r="BC161" s="100">
        <f t="shared" si="171"/>
        <v>0</v>
      </c>
      <c r="BD161" s="100">
        <f t="shared" si="172"/>
        <v>0</v>
      </c>
      <c r="BE161" s="100">
        <v>0</v>
      </c>
      <c r="BF161" s="100">
        <f>161</f>
        <v>161</v>
      </c>
      <c r="BH161" s="108">
        <f t="shared" si="173"/>
        <v>0</v>
      </c>
      <c r="BI161" s="108">
        <f t="shared" si="174"/>
        <v>0</v>
      </c>
      <c r="BJ161" s="108">
        <f t="shared" si="175"/>
        <v>0</v>
      </c>
    </row>
    <row r="162" spans="1:62" x14ac:dyDescent="0.2">
      <c r="A162" s="117" t="s">
        <v>130</v>
      </c>
      <c r="B162" s="117" t="s">
        <v>678</v>
      </c>
      <c r="C162" s="304" t="s">
        <v>3174</v>
      </c>
      <c r="D162" s="305"/>
      <c r="E162" s="305"/>
      <c r="F162" s="117" t="s">
        <v>1645</v>
      </c>
      <c r="G162" s="116">
        <v>36.54</v>
      </c>
      <c r="H162" s="159"/>
      <c r="I162" s="108">
        <f t="shared" si="154"/>
        <v>0</v>
      </c>
      <c r="J162" s="108">
        <f t="shared" si="155"/>
        <v>0</v>
      </c>
      <c r="K162" s="108">
        <f t="shared" si="156"/>
        <v>0</v>
      </c>
      <c r="L162" s="111" t="s">
        <v>1671</v>
      </c>
      <c r="Z162" s="100">
        <f t="shared" si="157"/>
        <v>0</v>
      </c>
      <c r="AB162" s="100">
        <f t="shared" si="158"/>
        <v>0</v>
      </c>
      <c r="AC162" s="100">
        <f t="shared" si="159"/>
        <v>0</v>
      </c>
      <c r="AD162" s="100">
        <f t="shared" si="160"/>
        <v>0</v>
      </c>
      <c r="AE162" s="100">
        <f t="shared" si="161"/>
        <v>0</v>
      </c>
      <c r="AF162" s="100">
        <f t="shared" si="162"/>
        <v>0</v>
      </c>
      <c r="AG162" s="100">
        <f t="shared" si="163"/>
        <v>0</v>
      </c>
      <c r="AH162" s="100">
        <f t="shared" si="164"/>
        <v>0</v>
      </c>
      <c r="AI162" s="109"/>
      <c r="AJ162" s="108">
        <f t="shared" si="165"/>
        <v>0</v>
      </c>
      <c r="AK162" s="108">
        <f t="shared" si="166"/>
        <v>0</v>
      </c>
      <c r="AL162" s="108">
        <f t="shared" si="167"/>
        <v>0</v>
      </c>
      <c r="AN162" s="100">
        <v>15</v>
      </c>
      <c r="AO162" s="100">
        <f t="shared" si="176"/>
        <v>0</v>
      </c>
      <c r="AP162" s="100">
        <f t="shared" si="177"/>
        <v>0</v>
      </c>
      <c r="AQ162" s="111" t="s">
        <v>7</v>
      </c>
      <c r="AV162" s="100">
        <f t="shared" si="168"/>
        <v>0</v>
      </c>
      <c r="AW162" s="100">
        <f t="shared" si="169"/>
        <v>0</v>
      </c>
      <c r="AX162" s="100">
        <f t="shared" si="170"/>
        <v>0</v>
      </c>
      <c r="AY162" s="110" t="s">
        <v>1701</v>
      </c>
      <c r="AZ162" s="110" t="s">
        <v>1730</v>
      </c>
      <c r="BA162" s="109" t="s">
        <v>1737</v>
      </c>
      <c r="BC162" s="100">
        <f t="shared" si="171"/>
        <v>0</v>
      </c>
      <c r="BD162" s="100">
        <f t="shared" si="172"/>
        <v>0</v>
      </c>
      <c r="BE162" s="100">
        <v>0</v>
      </c>
      <c r="BF162" s="100">
        <f>162</f>
        <v>162</v>
      </c>
      <c r="BH162" s="108">
        <f t="shared" si="173"/>
        <v>0</v>
      </c>
      <c r="BI162" s="108">
        <f t="shared" si="174"/>
        <v>0</v>
      </c>
      <c r="BJ162" s="108">
        <f t="shared" si="175"/>
        <v>0</v>
      </c>
    </row>
    <row r="163" spans="1:62" x14ac:dyDescent="0.2">
      <c r="A163" s="117" t="s">
        <v>131</v>
      </c>
      <c r="B163" s="117" t="s">
        <v>679</v>
      </c>
      <c r="C163" s="304" t="s">
        <v>3173</v>
      </c>
      <c r="D163" s="305"/>
      <c r="E163" s="305"/>
      <c r="F163" s="117" t="s">
        <v>1645</v>
      </c>
      <c r="G163" s="116">
        <v>44.162999999999997</v>
      </c>
      <c r="H163" s="159"/>
      <c r="I163" s="108">
        <f t="shared" si="154"/>
        <v>0</v>
      </c>
      <c r="J163" s="108">
        <f t="shared" si="155"/>
        <v>0</v>
      </c>
      <c r="K163" s="108">
        <f t="shared" si="156"/>
        <v>0</v>
      </c>
      <c r="L163" s="111" t="s">
        <v>1671</v>
      </c>
      <c r="Z163" s="100">
        <f t="shared" si="157"/>
        <v>0</v>
      </c>
      <c r="AB163" s="100">
        <f t="shared" si="158"/>
        <v>0</v>
      </c>
      <c r="AC163" s="100">
        <f t="shared" si="159"/>
        <v>0</v>
      </c>
      <c r="AD163" s="100">
        <f t="shared" si="160"/>
        <v>0</v>
      </c>
      <c r="AE163" s="100">
        <f t="shared" si="161"/>
        <v>0</v>
      </c>
      <c r="AF163" s="100">
        <f t="shared" si="162"/>
        <v>0</v>
      </c>
      <c r="AG163" s="100">
        <f t="shared" si="163"/>
        <v>0</v>
      </c>
      <c r="AH163" s="100">
        <f t="shared" si="164"/>
        <v>0</v>
      </c>
      <c r="AI163" s="109"/>
      <c r="AJ163" s="108">
        <f t="shared" si="165"/>
        <v>0</v>
      </c>
      <c r="AK163" s="108">
        <f t="shared" si="166"/>
        <v>0</v>
      </c>
      <c r="AL163" s="108">
        <f t="shared" si="167"/>
        <v>0</v>
      </c>
      <c r="AN163" s="100">
        <v>15</v>
      </c>
      <c r="AO163" s="100">
        <f t="shared" si="176"/>
        <v>0</v>
      </c>
      <c r="AP163" s="100">
        <f t="shared" si="177"/>
        <v>0</v>
      </c>
      <c r="AQ163" s="111" t="s">
        <v>7</v>
      </c>
      <c r="AV163" s="100">
        <f t="shared" si="168"/>
        <v>0</v>
      </c>
      <c r="AW163" s="100">
        <f t="shared" si="169"/>
        <v>0</v>
      </c>
      <c r="AX163" s="100">
        <f t="shared" si="170"/>
        <v>0</v>
      </c>
      <c r="AY163" s="110" t="s">
        <v>1701</v>
      </c>
      <c r="AZ163" s="110" t="s">
        <v>1730</v>
      </c>
      <c r="BA163" s="109" t="s">
        <v>1737</v>
      </c>
      <c r="BC163" s="100">
        <f t="shared" si="171"/>
        <v>0</v>
      </c>
      <c r="BD163" s="100">
        <f t="shared" si="172"/>
        <v>0</v>
      </c>
      <c r="BE163" s="100">
        <v>0</v>
      </c>
      <c r="BF163" s="100">
        <f>163</f>
        <v>163</v>
      </c>
      <c r="BH163" s="108">
        <f t="shared" si="173"/>
        <v>0</v>
      </c>
      <c r="BI163" s="108">
        <f t="shared" si="174"/>
        <v>0</v>
      </c>
      <c r="BJ163" s="108">
        <f t="shared" si="175"/>
        <v>0</v>
      </c>
    </row>
    <row r="164" spans="1:62" x14ac:dyDescent="0.2">
      <c r="A164" s="117" t="s">
        <v>132</v>
      </c>
      <c r="B164" s="117" t="s">
        <v>680</v>
      </c>
      <c r="C164" s="304" t="s">
        <v>1189</v>
      </c>
      <c r="D164" s="305"/>
      <c r="E164" s="305"/>
      <c r="F164" s="117" t="s">
        <v>1645</v>
      </c>
      <c r="G164" s="116">
        <v>1198.499</v>
      </c>
      <c r="H164" s="159"/>
      <c r="I164" s="108">
        <f t="shared" si="154"/>
        <v>0</v>
      </c>
      <c r="J164" s="108">
        <f t="shared" si="155"/>
        <v>0</v>
      </c>
      <c r="K164" s="108">
        <f t="shared" si="156"/>
        <v>0</v>
      </c>
      <c r="L164" s="111" t="s">
        <v>1671</v>
      </c>
      <c r="Z164" s="100">
        <f t="shared" si="157"/>
        <v>0</v>
      </c>
      <c r="AB164" s="100">
        <f t="shared" si="158"/>
        <v>0</v>
      </c>
      <c r="AC164" s="100">
        <f t="shared" si="159"/>
        <v>0</v>
      </c>
      <c r="AD164" s="100">
        <f t="shared" si="160"/>
        <v>0</v>
      </c>
      <c r="AE164" s="100">
        <f t="shared" si="161"/>
        <v>0</v>
      </c>
      <c r="AF164" s="100">
        <f t="shared" si="162"/>
        <v>0</v>
      </c>
      <c r="AG164" s="100">
        <f t="shared" si="163"/>
        <v>0</v>
      </c>
      <c r="AH164" s="100">
        <f t="shared" si="164"/>
        <v>0</v>
      </c>
      <c r="AI164" s="109"/>
      <c r="AJ164" s="108">
        <f t="shared" si="165"/>
        <v>0</v>
      </c>
      <c r="AK164" s="108">
        <f t="shared" si="166"/>
        <v>0</v>
      </c>
      <c r="AL164" s="108">
        <f t="shared" si="167"/>
        <v>0</v>
      </c>
      <c r="AN164" s="100">
        <v>15</v>
      </c>
      <c r="AO164" s="100">
        <f t="shared" si="176"/>
        <v>0</v>
      </c>
      <c r="AP164" s="100">
        <f t="shared" si="177"/>
        <v>0</v>
      </c>
      <c r="AQ164" s="111" t="s">
        <v>7</v>
      </c>
      <c r="AV164" s="100">
        <f t="shared" si="168"/>
        <v>0</v>
      </c>
      <c r="AW164" s="100">
        <f t="shared" si="169"/>
        <v>0</v>
      </c>
      <c r="AX164" s="100">
        <f t="shared" si="170"/>
        <v>0</v>
      </c>
      <c r="AY164" s="110" t="s">
        <v>1701</v>
      </c>
      <c r="AZ164" s="110" t="s">
        <v>1730</v>
      </c>
      <c r="BA164" s="109" t="s">
        <v>1737</v>
      </c>
      <c r="BC164" s="100">
        <f t="shared" si="171"/>
        <v>0</v>
      </c>
      <c r="BD164" s="100">
        <f t="shared" si="172"/>
        <v>0</v>
      </c>
      <c r="BE164" s="100">
        <v>0</v>
      </c>
      <c r="BF164" s="100">
        <f>164</f>
        <v>164</v>
      </c>
      <c r="BH164" s="108">
        <f t="shared" si="173"/>
        <v>0</v>
      </c>
      <c r="BI164" s="108">
        <f t="shared" si="174"/>
        <v>0</v>
      </c>
      <c r="BJ164" s="108">
        <f t="shared" si="175"/>
        <v>0</v>
      </c>
    </row>
    <row r="165" spans="1:62" x14ac:dyDescent="0.2">
      <c r="A165" s="117" t="s">
        <v>133</v>
      </c>
      <c r="B165" s="117" t="s">
        <v>681</v>
      </c>
      <c r="C165" s="304" t="s">
        <v>1190</v>
      </c>
      <c r="D165" s="305"/>
      <c r="E165" s="305"/>
      <c r="F165" s="117" t="s">
        <v>1645</v>
      </c>
      <c r="G165" s="116">
        <v>1198.499</v>
      </c>
      <c r="H165" s="159"/>
      <c r="I165" s="108">
        <f t="shared" si="154"/>
        <v>0</v>
      </c>
      <c r="J165" s="108">
        <f t="shared" si="155"/>
        <v>0</v>
      </c>
      <c r="K165" s="108">
        <f t="shared" si="156"/>
        <v>0</v>
      </c>
      <c r="L165" s="111" t="s">
        <v>1671</v>
      </c>
      <c r="Z165" s="100">
        <f t="shared" si="157"/>
        <v>0</v>
      </c>
      <c r="AB165" s="100">
        <f t="shared" si="158"/>
        <v>0</v>
      </c>
      <c r="AC165" s="100">
        <f t="shared" si="159"/>
        <v>0</v>
      </c>
      <c r="AD165" s="100">
        <f t="shared" si="160"/>
        <v>0</v>
      </c>
      <c r="AE165" s="100">
        <f t="shared" si="161"/>
        <v>0</v>
      </c>
      <c r="AF165" s="100">
        <f t="shared" si="162"/>
        <v>0</v>
      </c>
      <c r="AG165" s="100">
        <f t="shared" si="163"/>
        <v>0</v>
      </c>
      <c r="AH165" s="100">
        <f t="shared" si="164"/>
        <v>0</v>
      </c>
      <c r="AI165" s="109"/>
      <c r="AJ165" s="108">
        <f t="shared" si="165"/>
        <v>0</v>
      </c>
      <c r="AK165" s="108">
        <f t="shared" si="166"/>
        <v>0</v>
      </c>
      <c r="AL165" s="108">
        <f t="shared" si="167"/>
        <v>0</v>
      </c>
      <c r="AN165" s="100">
        <v>15</v>
      </c>
      <c r="AO165" s="100">
        <f t="shared" si="176"/>
        <v>0</v>
      </c>
      <c r="AP165" s="100">
        <f t="shared" si="177"/>
        <v>0</v>
      </c>
      <c r="AQ165" s="111" t="s">
        <v>7</v>
      </c>
      <c r="AV165" s="100">
        <f t="shared" si="168"/>
        <v>0</v>
      </c>
      <c r="AW165" s="100">
        <f t="shared" si="169"/>
        <v>0</v>
      </c>
      <c r="AX165" s="100">
        <f t="shared" si="170"/>
        <v>0</v>
      </c>
      <c r="AY165" s="110" t="s">
        <v>1701</v>
      </c>
      <c r="AZ165" s="110" t="s">
        <v>1730</v>
      </c>
      <c r="BA165" s="109" t="s">
        <v>1737</v>
      </c>
      <c r="BC165" s="100">
        <f t="shared" si="171"/>
        <v>0</v>
      </c>
      <c r="BD165" s="100">
        <f t="shared" si="172"/>
        <v>0</v>
      </c>
      <c r="BE165" s="100">
        <v>0</v>
      </c>
      <c r="BF165" s="100">
        <f>165</f>
        <v>165</v>
      </c>
      <c r="BH165" s="108">
        <f t="shared" si="173"/>
        <v>0</v>
      </c>
      <c r="BI165" s="108">
        <f t="shared" si="174"/>
        <v>0</v>
      </c>
      <c r="BJ165" s="108">
        <f t="shared" si="175"/>
        <v>0</v>
      </c>
    </row>
    <row r="166" spans="1:62" x14ac:dyDescent="0.2">
      <c r="A166" s="117" t="s">
        <v>134</v>
      </c>
      <c r="B166" s="117" t="s">
        <v>682</v>
      </c>
      <c r="C166" s="304" t="s">
        <v>1191</v>
      </c>
      <c r="D166" s="305"/>
      <c r="E166" s="305"/>
      <c r="F166" s="117" t="s">
        <v>1645</v>
      </c>
      <c r="G166" s="116">
        <v>223.108</v>
      </c>
      <c r="H166" s="159"/>
      <c r="I166" s="108">
        <f t="shared" si="154"/>
        <v>0</v>
      </c>
      <c r="J166" s="108">
        <f t="shared" si="155"/>
        <v>0</v>
      </c>
      <c r="K166" s="108">
        <f t="shared" si="156"/>
        <v>0</v>
      </c>
      <c r="L166" s="111" t="s">
        <v>1671</v>
      </c>
      <c r="Z166" s="100">
        <f t="shared" si="157"/>
        <v>0</v>
      </c>
      <c r="AB166" s="100">
        <f t="shared" si="158"/>
        <v>0</v>
      </c>
      <c r="AC166" s="100">
        <f t="shared" si="159"/>
        <v>0</v>
      </c>
      <c r="AD166" s="100">
        <f t="shared" si="160"/>
        <v>0</v>
      </c>
      <c r="AE166" s="100">
        <f t="shared" si="161"/>
        <v>0</v>
      </c>
      <c r="AF166" s="100">
        <f t="shared" si="162"/>
        <v>0</v>
      </c>
      <c r="AG166" s="100">
        <f t="shared" si="163"/>
        <v>0</v>
      </c>
      <c r="AH166" s="100">
        <f t="shared" si="164"/>
        <v>0</v>
      </c>
      <c r="AI166" s="109"/>
      <c r="AJ166" s="108">
        <f t="shared" si="165"/>
        <v>0</v>
      </c>
      <c r="AK166" s="108">
        <f t="shared" si="166"/>
        <v>0</v>
      </c>
      <c r="AL166" s="108">
        <f t="shared" si="167"/>
        <v>0</v>
      </c>
      <c r="AN166" s="100">
        <v>15</v>
      </c>
      <c r="AO166" s="100">
        <f t="shared" si="176"/>
        <v>0</v>
      </c>
      <c r="AP166" s="100">
        <f t="shared" si="177"/>
        <v>0</v>
      </c>
      <c r="AQ166" s="111" t="s">
        <v>7</v>
      </c>
      <c r="AV166" s="100">
        <f t="shared" si="168"/>
        <v>0</v>
      </c>
      <c r="AW166" s="100">
        <f t="shared" si="169"/>
        <v>0</v>
      </c>
      <c r="AX166" s="100">
        <f t="shared" si="170"/>
        <v>0</v>
      </c>
      <c r="AY166" s="110" t="s">
        <v>1701</v>
      </c>
      <c r="AZ166" s="110" t="s">
        <v>1730</v>
      </c>
      <c r="BA166" s="109" t="s">
        <v>1737</v>
      </c>
      <c r="BC166" s="100">
        <f t="shared" si="171"/>
        <v>0</v>
      </c>
      <c r="BD166" s="100">
        <f t="shared" si="172"/>
        <v>0</v>
      </c>
      <c r="BE166" s="100">
        <v>0</v>
      </c>
      <c r="BF166" s="100">
        <f>166</f>
        <v>166</v>
      </c>
      <c r="BH166" s="108">
        <f t="shared" si="173"/>
        <v>0</v>
      </c>
      <c r="BI166" s="108">
        <f t="shared" si="174"/>
        <v>0</v>
      </c>
      <c r="BJ166" s="108">
        <f t="shared" si="175"/>
        <v>0</v>
      </c>
    </row>
    <row r="167" spans="1:62" x14ac:dyDescent="0.2">
      <c r="A167" s="117" t="s">
        <v>135</v>
      </c>
      <c r="B167" s="117" t="s">
        <v>682</v>
      </c>
      <c r="C167" s="304" t="s">
        <v>2837</v>
      </c>
      <c r="D167" s="305"/>
      <c r="E167" s="305"/>
      <c r="F167" s="117" t="s">
        <v>1645</v>
      </c>
      <c r="G167" s="116">
        <v>166.852</v>
      </c>
      <c r="H167" s="159"/>
      <c r="I167" s="108">
        <f t="shared" si="154"/>
        <v>0</v>
      </c>
      <c r="J167" s="108">
        <f t="shared" si="155"/>
        <v>0</v>
      </c>
      <c r="K167" s="108">
        <f t="shared" si="156"/>
        <v>0</v>
      </c>
      <c r="L167" s="111" t="s">
        <v>1671</v>
      </c>
      <c r="Z167" s="100">
        <f t="shared" si="157"/>
        <v>0</v>
      </c>
      <c r="AB167" s="100">
        <f t="shared" si="158"/>
        <v>0</v>
      </c>
      <c r="AC167" s="100">
        <f t="shared" si="159"/>
        <v>0</v>
      </c>
      <c r="AD167" s="100">
        <f t="shared" si="160"/>
        <v>0</v>
      </c>
      <c r="AE167" s="100">
        <f t="shared" si="161"/>
        <v>0</v>
      </c>
      <c r="AF167" s="100">
        <f t="shared" si="162"/>
        <v>0</v>
      </c>
      <c r="AG167" s="100">
        <f t="shared" si="163"/>
        <v>0</v>
      </c>
      <c r="AH167" s="100">
        <f t="shared" si="164"/>
        <v>0</v>
      </c>
      <c r="AI167" s="109"/>
      <c r="AJ167" s="108">
        <f t="shared" si="165"/>
        <v>0</v>
      </c>
      <c r="AK167" s="108">
        <f t="shared" si="166"/>
        <v>0</v>
      </c>
      <c r="AL167" s="108">
        <f t="shared" si="167"/>
        <v>0</v>
      </c>
      <c r="AN167" s="100">
        <v>15</v>
      </c>
      <c r="AO167" s="100">
        <f t="shared" si="176"/>
        <v>0</v>
      </c>
      <c r="AP167" s="100">
        <f t="shared" si="177"/>
        <v>0</v>
      </c>
      <c r="AQ167" s="111" t="s">
        <v>7</v>
      </c>
      <c r="AV167" s="100">
        <f t="shared" si="168"/>
        <v>0</v>
      </c>
      <c r="AW167" s="100">
        <f t="shared" si="169"/>
        <v>0</v>
      </c>
      <c r="AX167" s="100">
        <f t="shared" si="170"/>
        <v>0</v>
      </c>
      <c r="AY167" s="110" t="s">
        <v>1701</v>
      </c>
      <c r="AZ167" s="110" t="s">
        <v>1730</v>
      </c>
      <c r="BA167" s="109" t="s">
        <v>1737</v>
      </c>
      <c r="BC167" s="100">
        <f t="shared" si="171"/>
        <v>0</v>
      </c>
      <c r="BD167" s="100">
        <f t="shared" si="172"/>
        <v>0</v>
      </c>
      <c r="BE167" s="100">
        <v>0</v>
      </c>
      <c r="BF167" s="100">
        <f>167</f>
        <v>167</v>
      </c>
      <c r="BH167" s="108">
        <f t="shared" si="173"/>
        <v>0</v>
      </c>
      <c r="BI167" s="108">
        <f t="shared" si="174"/>
        <v>0</v>
      </c>
      <c r="BJ167" s="108">
        <f t="shared" si="175"/>
        <v>0</v>
      </c>
    </row>
    <row r="168" spans="1:62" x14ac:dyDescent="0.2">
      <c r="A168" s="117" t="s">
        <v>136</v>
      </c>
      <c r="B168" s="117" t="s">
        <v>683</v>
      </c>
      <c r="C168" s="304" t="s">
        <v>1194</v>
      </c>
      <c r="D168" s="305"/>
      <c r="E168" s="305"/>
      <c r="F168" s="117" t="s">
        <v>1645</v>
      </c>
      <c r="G168" s="116">
        <v>36.54</v>
      </c>
      <c r="H168" s="159"/>
      <c r="I168" s="108">
        <f t="shared" si="154"/>
        <v>0</v>
      </c>
      <c r="J168" s="108">
        <f t="shared" si="155"/>
        <v>0</v>
      </c>
      <c r="K168" s="108">
        <f t="shared" si="156"/>
        <v>0</v>
      </c>
      <c r="L168" s="111" t="s">
        <v>1671</v>
      </c>
      <c r="Z168" s="100">
        <f t="shared" si="157"/>
        <v>0</v>
      </c>
      <c r="AB168" s="100">
        <f t="shared" si="158"/>
        <v>0</v>
      </c>
      <c r="AC168" s="100">
        <f t="shared" si="159"/>
        <v>0</v>
      </c>
      <c r="AD168" s="100">
        <f t="shared" si="160"/>
        <v>0</v>
      </c>
      <c r="AE168" s="100">
        <f t="shared" si="161"/>
        <v>0</v>
      </c>
      <c r="AF168" s="100">
        <f t="shared" si="162"/>
        <v>0</v>
      </c>
      <c r="AG168" s="100">
        <f t="shared" si="163"/>
        <v>0</v>
      </c>
      <c r="AH168" s="100">
        <f t="shared" si="164"/>
        <v>0</v>
      </c>
      <c r="AI168" s="109"/>
      <c r="AJ168" s="108">
        <f t="shared" si="165"/>
        <v>0</v>
      </c>
      <c r="AK168" s="108">
        <f t="shared" si="166"/>
        <v>0</v>
      </c>
      <c r="AL168" s="108">
        <f t="shared" si="167"/>
        <v>0</v>
      </c>
      <c r="AN168" s="100">
        <v>15</v>
      </c>
      <c r="AO168" s="100">
        <f t="shared" si="176"/>
        <v>0</v>
      </c>
      <c r="AP168" s="100">
        <f t="shared" si="177"/>
        <v>0</v>
      </c>
      <c r="AQ168" s="111" t="s">
        <v>7</v>
      </c>
      <c r="AV168" s="100">
        <f t="shared" si="168"/>
        <v>0</v>
      </c>
      <c r="AW168" s="100">
        <f t="shared" si="169"/>
        <v>0</v>
      </c>
      <c r="AX168" s="100">
        <f t="shared" si="170"/>
        <v>0</v>
      </c>
      <c r="AY168" s="110" t="s">
        <v>1701</v>
      </c>
      <c r="AZ168" s="110" t="s">
        <v>1730</v>
      </c>
      <c r="BA168" s="109" t="s">
        <v>1737</v>
      </c>
      <c r="BC168" s="100">
        <f t="shared" si="171"/>
        <v>0</v>
      </c>
      <c r="BD168" s="100">
        <f t="shared" si="172"/>
        <v>0</v>
      </c>
      <c r="BE168" s="100">
        <v>0</v>
      </c>
      <c r="BF168" s="100">
        <f>168</f>
        <v>168</v>
      </c>
      <c r="BH168" s="108">
        <f t="shared" si="173"/>
        <v>0</v>
      </c>
      <c r="BI168" s="108">
        <f t="shared" si="174"/>
        <v>0</v>
      </c>
      <c r="BJ168" s="108">
        <f t="shared" si="175"/>
        <v>0</v>
      </c>
    </row>
    <row r="169" spans="1:62" x14ac:dyDescent="0.2">
      <c r="A169" s="117" t="s">
        <v>137</v>
      </c>
      <c r="B169" s="117" t="s">
        <v>2836</v>
      </c>
      <c r="C169" s="304" t="s">
        <v>3717</v>
      </c>
      <c r="D169" s="305"/>
      <c r="E169" s="305"/>
      <c r="F169" s="117" t="s">
        <v>1645</v>
      </c>
      <c r="G169" s="116">
        <v>28.2</v>
      </c>
      <c r="H169" s="159"/>
      <c r="I169" s="108">
        <f t="shared" si="154"/>
        <v>0</v>
      </c>
      <c r="J169" s="108">
        <f t="shared" si="155"/>
        <v>0</v>
      </c>
      <c r="K169" s="108">
        <f t="shared" si="156"/>
        <v>0</v>
      </c>
      <c r="L169" s="111" t="s">
        <v>1671</v>
      </c>
      <c r="Z169" s="100">
        <f t="shared" si="157"/>
        <v>0</v>
      </c>
      <c r="AB169" s="100">
        <f t="shared" si="158"/>
        <v>0</v>
      </c>
      <c r="AC169" s="100">
        <f t="shared" si="159"/>
        <v>0</v>
      </c>
      <c r="AD169" s="100">
        <f t="shared" si="160"/>
        <v>0</v>
      </c>
      <c r="AE169" s="100">
        <f t="shared" si="161"/>
        <v>0</v>
      </c>
      <c r="AF169" s="100">
        <f t="shared" si="162"/>
        <v>0</v>
      </c>
      <c r="AG169" s="100">
        <f t="shared" si="163"/>
        <v>0</v>
      </c>
      <c r="AH169" s="100">
        <f t="shared" si="164"/>
        <v>0</v>
      </c>
      <c r="AI169" s="109"/>
      <c r="AJ169" s="108">
        <f t="shared" si="165"/>
        <v>0</v>
      </c>
      <c r="AK169" s="108">
        <f t="shared" si="166"/>
        <v>0</v>
      </c>
      <c r="AL169" s="108">
        <f t="shared" si="167"/>
        <v>0</v>
      </c>
      <c r="AN169" s="100">
        <v>15</v>
      </c>
      <c r="AO169" s="100">
        <f t="shared" si="176"/>
        <v>0</v>
      </c>
      <c r="AP169" s="100">
        <f t="shared" si="177"/>
        <v>0</v>
      </c>
      <c r="AQ169" s="111" t="s">
        <v>7</v>
      </c>
      <c r="AV169" s="100">
        <f t="shared" si="168"/>
        <v>0</v>
      </c>
      <c r="AW169" s="100">
        <f t="shared" si="169"/>
        <v>0</v>
      </c>
      <c r="AX169" s="100">
        <f t="shared" si="170"/>
        <v>0</v>
      </c>
      <c r="AY169" s="110" t="s">
        <v>1701</v>
      </c>
      <c r="AZ169" s="110" t="s">
        <v>1730</v>
      </c>
      <c r="BA169" s="109" t="s">
        <v>1737</v>
      </c>
      <c r="BC169" s="100">
        <f t="shared" si="171"/>
        <v>0</v>
      </c>
      <c r="BD169" s="100">
        <f t="shared" si="172"/>
        <v>0</v>
      </c>
      <c r="BE169" s="100">
        <v>0</v>
      </c>
      <c r="BF169" s="100">
        <f>169</f>
        <v>169</v>
      </c>
      <c r="BH169" s="108">
        <f t="shared" si="173"/>
        <v>0</v>
      </c>
      <c r="BI169" s="108">
        <f t="shared" si="174"/>
        <v>0</v>
      </c>
      <c r="BJ169" s="108">
        <f t="shared" si="175"/>
        <v>0</v>
      </c>
    </row>
    <row r="170" spans="1:62" x14ac:dyDescent="0.2">
      <c r="A170" s="117" t="s">
        <v>138</v>
      </c>
      <c r="B170" s="117" t="s">
        <v>2834</v>
      </c>
      <c r="C170" s="304" t="s">
        <v>3716</v>
      </c>
      <c r="D170" s="305"/>
      <c r="E170" s="305"/>
      <c r="F170" s="117" t="s">
        <v>1645</v>
      </c>
      <c r="G170" s="116">
        <v>163.33699999999999</v>
      </c>
      <c r="H170" s="159"/>
      <c r="I170" s="108">
        <f t="shared" si="154"/>
        <v>0</v>
      </c>
      <c r="J170" s="108">
        <f t="shared" si="155"/>
        <v>0</v>
      </c>
      <c r="K170" s="108">
        <f t="shared" si="156"/>
        <v>0</v>
      </c>
      <c r="L170" s="111" t="s">
        <v>1671</v>
      </c>
      <c r="Z170" s="100">
        <f t="shared" si="157"/>
        <v>0</v>
      </c>
      <c r="AB170" s="100">
        <f t="shared" si="158"/>
        <v>0</v>
      </c>
      <c r="AC170" s="100">
        <f t="shared" si="159"/>
        <v>0</v>
      </c>
      <c r="AD170" s="100">
        <f t="shared" si="160"/>
        <v>0</v>
      </c>
      <c r="AE170" s="100">
        <f t="shared" si="161"/>
        <v>0</v>
      </c>
      <c r="AF170" s="100">
        <f t="shared" si="162"/>
        <v>0</v>
      </c>
      <c r="AG170" s="100">
        <f t="shared" si="163"/>
        <v>0</v>
      </c>
      <c r="AH170" s="100">
        <f t="shared" si="164"/>
        <v>0</v>
      </c>
      <c r="AI170" s="109"/>
      <c r="AJ170" s="108">
        <f t="shared" si="165"/>
        <v>0</v>
      </c>
      <c r="AK170" s="108">
        <f t="shared" si="166"/>
        <v>0</v>
      </c>
      <c r="AL170" s="108">
        <f t="shared" si="167"/>
        <v>0</v>
      </c>
      <c r="AN170" s="100">
        <v>15</v>
      </c>
      <c r="AO170" s="100">
        <f t="shared" si="176"/>
        <v>0</v>
      </c>
      <c r="AP170" s="100">
        <f t="shared" si="177"/>
        <v>0</v>
      </c>
      <c r="AQ170" s="111" t="s">
        <v>7</v>
      </c>
      <c r="AV170" s="100">
        <f t="shared" si="168"/>
        <v>0</v>
      </c>
      <c r="AW170" s="100">
        <f t="shared" si="169"/>
        <v>0</v>
      </c>
      <c r="AX170" s="100">
        <f t="shared" si="170"/>
        <v>0</v>
      </c>
      <c r="AY170" s="110" t="s">
        <v>1701</v>
      </c>
      <c r="AZ170" s="110" t="s">
        <v>1730</v>
      </c>
      <c r="BA170" s="109" t="s">
        <v>1737</v>
      </c>
      <c r="BC170" s="100">
        <f t="shared" si="171"/>
        <v>0</v>
      </c>
      <c r="BD170" s="100">
        <f t="shared" si="172"/>
        <v>0</v>
      </c>
      <c r="BE170" s="100">
        <v>0</v>
      </c>
      <c r="BF170" s="100">
        <f>170</f>
        <v>170</v>
      </c>
      <c r="BH170" s="108">
        <f t="shared" si="173"/>
        <v>0</v>
      </c>
      <c r="BI170" s="108">
        <f t="shared" si="174"/>
        <v>0</v>
      </c>
      <c r="BJ170" s="108">
        <f t="shared" si="175"/>
        <v>0</v>
      </c>
    </row>
    <row r="171" spans="1:62" x14ac:dyDescent="0.2">
      <c r="A171" s="119"/>
      <c r="B171" s="120" t="s">
        <v>686</v>
      </c>
      <c r="C171" s="306" t="s">
        <v>1198</v>
      </c>
      <c r="D171" s="307"/>
      <c r="E171" s="307"/>
      <c r="F171" s="119" t="s">
        <v>6</v>
      </c>
      <c r="G171" s="119" t="s">
        <v>6</v>
      </c>
      <c r="H171" s="119" t="s">
        <v>6</v>
      </c>
      <c r="I171" s="118">
        <f>SUM(I172:I187)</f>
        <v>0</v>
      </c>
      <c r="J171" s="118">
        <f>SUM(J172:J187)</f>
        <v>0</v>
      </c>
      <c r="K171" s="118">
        <f>SUM(K172:K187)</f>
        <v>0</v>
      </c>
      <c r="L171" s="109"/>
      <c r="AI171" s="109"/>
      <c r="AS171" s="118">
        <f>SUM(AJ172:AJ187)</f>
        <v>0</v>
      </c>
      <c r="AT171" s="118">
        <f>SUM(AK172:AK187)</f>
        <v>0</v>
      </c>
      <c r="AU171" s="118">
        <f>SUM(AL172:AL187)</f>
        <v>0</v>
      </c>
    </row>
    <row r="172" spans="1:62" x14ac:dyDescent="0.2">
      <c r="A172" s="117" t="s">
        <v>139</v>
      </c>
      <c r="B172" s="117" t="s">
        <v>687</v>
      </c>
      <c r="C172" s="304" t="s">
        <v>1199</v>
      </c>
      <c r="D172" s="305"/>
      <c r="E172" s="305"/>
      <c r="F172" s="117" t="s">
        <v>1648</v>
      </c>
      <c r="G172" s="116">
        <v>65.13</v>
      </c>
      <c r="H172" s="159"/>
      <c r="I172" s="108">
        <f t="shared" ref="I172:I187" si="178">G172*AO172</f>
        <v>0</v>
      </c>
      <c r="J172" s="108">
        <f t="shared" ref="J172:J187" si="179">G172*AP172</f>
        <v>0</v>
      </c>
      <c r="K172" s="108">
        <f t="shared" ref="K172:K187" si="180">G172*H172</f>
        <v>0</v>
      </c>
      <c r="L172" s="111" t="s">
        <v>1671</v>
      </c>
      <c r="Z172" s="100">
        <f t="shared" ref="Z172:Z187" si="181">IF(AQ172="5",BJ172,0)</f>
        <v>0</v>
      </c>
      <c r="AB172" s="100">
        <f t="shared" ref="AB172:AB187" si="182">IF(AQ172="1",BH172,0)</f>
        <v>0</v>
      </c>
      <c r="AC172" s="100">
        <f t="shared" ref="AC172:AC187" si="183">IF(AQ172="1",BI172,0)</f>
        <v>0</v>
      </c>
      <c r="AD172" s="100">
        <f t="shared" ref="AD172:AD187" si="184">IF(AQ172="7",BH172,0)</f>
        <v>0</v>
      </c>
      <c r="AE172" s="100">
        <f t="shared" ref="AE172:AE187" si="185">IF(AQ172="7",BI172,0)</f>
        <v>0</v>
      </c>
      <c r="AF172" s="100">
        <f t="shared" ref="AF172:AF187" si="186">IF(AQ172="2",BH172,0)</f>
        <v>0</v>
      </c>
      <c r="AG172" s="100">
        <f t="shared" ref="AG172:AG187" si="187">IF(AQ172="2",BI172,0)</f>
        <v>0</v>
      </c>
      <c r="AH172" s="100">
        <f t="shared" ref="AH172:AH187" si="188">IF(AQ172="0",BJ172,0)</f>
        <v>0</v>
      </c>
      <c r="AI172" s="109"/>
      <c r="AJ172" s="108">
        <f t="shared" ref="AJ172:AJ187" si="189">IF(AN172=0,K172,0)</f>
        <v>0</v>
      </c>
      <c r="AK172" s="108">
        <f t="shared" ref="AK172:AK187" si="190">IF(AN172=15,K172,0)</f>
        <v>0</v>
      </c>
      <c r="AL172" s="108">
        <f t="shared" ref="AL172:AL187" si="191">IF(AN172=21,K172,0)</f>
        <v>0</v>
      </c>
      <c r="AN172" s="100">
        <v>15</v>
      </c>
      <c r="AO172" s="100">
        <f t="shared" ref="AO172:AO187" si="192">H172*0</f>
        <v>0</v>
      </c>
      <c r="AP172" s="100">
        <f t="shared" ref="AP172:AP187" si="193">H172*(1-0)</f>
        <v>0</v>
      </c>
      <c r="AQ172" s="111" t="s">
        <v>11</v>
      </c>
      <c r="AV172" s="100">
        <f t="shared" ref="AV172:AV187" si="194">AW172+AX172</f>
        <v>0</v>
      </c>
      <c r="AW172" s="100">
        <f t="shared" ref="AW172:AW187" si="195">G172*AO172</f>
        <v>0</v>
      </c>
      <c r="AX172" s="100">
        <f t="shared" ref="AX172:AX187" si="196">G172*AP172</f>
        <v>0</v>
      </c>
      <c r="AY172" s="110" t="s">
        <v>1703</v>
      </c>
      <c r="AZ172" s="110" t="s">
        <v>1730</v>
      </c>
      <c r="BA172" s="109" t="s">
        <v>1737</v>
      </c>
      <c r="BC172" s="100">
        <f t="shared" ref="BC172:BC187" si="197">AW172+AX172</f>
        <v>0</v>
      </c>
      <c r="BD172" s="100">
        <f t="shared" ref="BD172:BD187" si="198">H172/(100-BE172)*100</f>
        <v>0</v>
      </c>
      <c r="BE172" s="100">
        <v>0</v>
      </c>
      <c r="BF172" s="100">
        <f>172</f>
        <v>172</v>
      </c>
      <c r="BH172" s="108">
        <f t="shared" ref="BH172:BH187" si="199">G172*AO172</f>
        <v>0</v>
      </c>
      <c r="BI172" s="108">
        <f t="shared" ref="BI172:BI187" si="200">G172*AP172</f>
        <v>0</v>
      </c>
      <c r="BJ172" s="108">
        <f t="shared" ref="BJ172:BJ187" si="201">G172*H172</f>
        <v>0</v>
      </c>
    </row>
    <row r="173" spans="1:62" x14ac:dyDescent="0.2">
      <c r="A173" s="117" t="s">
        <v>140</v>
      </c>
      <c r="B173" s="117" t="s">
        <v>688</v>
      </c>
      <c r="C173" s="304" t="s">
        <v>1200</v>
      </c>
      <c r="D173" s="305"/>
      <c r="E173" s="305"/>
      <c r="F173" s="117" t="s">
        <v>1648</v>
      </c>
      <c r="G173" s="116">
        <v>39.078000000000003</v>
      </c>
      <c r="H173" s="159"/>
      <c r="I173" s="108">
        <f t="shared" si="178"/>
        <v>0</v>
      </c>
      <c r="J173" s="108">
        <f t="shared" si="179"/>
        <v>0</v>
      </c>
      <c r="K173" s="108">
        <f t="shared" si="180"/>
        <v>0</v>
      </c>
      <c r="L173" s="111" t="s">
        <v>1671</v>
      </c>
      <c r="Z173" s="100">
        <f t="shared" si="181"/>
        <v>0</v>
      </c>
      <c r="AB173" s="100">
        <f t="shared" si="182"/>
        <v>0</v>
      </c>
      <c r="AC173" s="100">
        <f t="shared" si="183"/>
        <v>0</v>
      </c>
      <c r="AD173" s="100">
        <f t="shared" si="184"/>
        <v>0</v>
      </c>
      <c r="AE173" s="100">
        <f t="shared" si="185"/>
        <v>0</v>
      </c>
      <c r="AF173" s="100">
        <f t="shared" si="186"/>
        <v>0</v>
      </c>
      <c r="AG173" s="100">
        <f t="shared" si="187"/>
        <v>0</v>
      </c>
      <c r="AH173" s="100">
        <f t="shared" si="188"/>
        <v>0</v>
      </c>
      <c r="AI173" s="109"/>
      <c r="AJ173" s="108">
        <f t="shared" si="189"/>
        <v>0</v>
      </c>
      <c r="AK173" s="108">
        <f t="shared" si="190"/>
        <v>0</v>
      </c>
      <c r="AL173" s="108">
        <f t="shared" si="191"/>
        <v>0</v>
      </c>
      <c r="AN173" s="100">
        <v>15</v>
      </c>
      <c r="AO173" s="100">
        <f t="shared" si="192"/>
        <v>0</v>
      </c>
      <c r="AP173" s="100">
        <f t="shared" si="193"/>
        <v>0</v>
      </c>
      <c r="AQ173" s="111" t="s">
        <v>11</v>
      </c>
      <c r="AV173" s="100">
        <f t="shared" si="194"/>
        <v>0</v>
      </c>
      <c r="AW173" s="100">
        <f t="shared" si="195"/>
        <v>0</v>
      </c>
      <c r="AX173" s="100">
        <f t="shared" si="196"/>
        <v>0</v>
      </c>
      <c r="AY173" s="110" t="s">
        <v>1703</v>
      </c>
      <c r="AZ173" s="110" t="s">
        <v>1730</v>
      </c>
      <c r="BA173" s="109" t="s">
        <v>1737</v>
      </c>
      <c r="BC173" s="100">
        <f t="shared" si="197"/>
        <v>0</v>
      </c>
      <c r="BD173" s="100">
        <f t="shared" si="198"/>
        <v>0</v>
      </c>
      <c r="BE173" s="100">
        <v>0</v>
      </c>
      <c r="BF173" s="100">
        <f>173</f>
        <v>173</v>
      </c>
      <c r="BH173" s="108">
        <f t="shared" si="199"/>
        <v>0</v>
      </c>
      <c r="BI173" s="108">
        <f t="shared" si="200"/>
        <v>0</v>
      </c>
      <c r="BJ173" s="108">
        <f t="shared" si="201"/>
        <v>0</v>
      </c>
    </row>
    <row r="174" spans="1:62" x14ac:dyDescent="0.2">
      <c r="A174" s="117" t="s">
        <v>141</v>
      </c>
      <c r="B174" s="117" t="s">
        <v>689</v>
      </c>
      <c r="C174" s="304" t="s">
        <v>1201</v>
      </c>
      <c r="D174" s="305"/>
      <c r="E174" s="305"/>
      <c r="F174" s="117" t="s">
        <v>1648</v>
      </c>
      <c r="G174" s="116">
        <v>195.39099999999999</v>
      </c>
      <c r="H174" s="159"/>
      <c r="I174" s="108">
        <f t="shared" si="178"/>
        <v>0</v>
      </c>
      <c r="J174" s="108">
        <f t="shared" si="179"/>
        <v>0</v>
      </c>
      <c r="K174" s="108">
        <f t="shared" si="180"/>
        <v>0</v>
      </c>
      <c r="L174" s="111" t="s">
        <v>1671</v>
      </c>
      <c r="Z174" s="100">
        <f t="shared" si="181"/>
        <v>0</v>
      </c>
      <c r="AB174" s="100">
        <f t="shared" si="182"/>
        <v>0</v>
      </c>
      <c r="AC174" s="100">
        <f t="shared" si="183"/>
        <v>0</v>
      </c>
      <c r="AD174" s="100">
        <f t="shared" si="184"/>
        <v>0</v>
      </c>
      <c r="AE174" s="100">
        <f t="shared" si="185"/>
        <v>0</v>
      </c>
      <c r="AF174" s="100">
        <f t="shared" si="186"/>
        <v>0</v>
      </c>
      <c r="AG174" s="100">
        <f t="shared" si="187"/>
        <v>0</v>
      </c>
      <c r="AH174" s="100">
        <f t="shared" si="188"/>
        <v>0</v>
      </c>
      <c r="AI174" s="109"/>
      <c r="AJ174" s="108">
        <f t="shared" si="189"/>
        <v>0</v>
      </c>
      <c r="AK174" s="108">
        <f t="shared" si="190"/>
        <v>0</v>
      </c>
      <c r="AL174" s="108">
        <f t="shared" si="191"/>
        <v>0</v>
      </c>
      <c r="AN174" s="100">
        <v>15</v>
      </c>
      <c r="AO174" s="100">
        <f t="shared" si="192"/>
        <v>0</v>
      </c>
      <c r="AP174" s="100">
        <f t="shared" si="193"/>
        <v>0</v>
      </c>
      <c r="AQ174" s="111" t="s">
        <v>11</v>
      </c>
      <c r="AV174" s="100">
        <f t="shared" si="194"/>
        <v>0</v>
      </c>
      <c r="AW174" s="100">
        <f t="shared" si="195"/>
        <v>0</v>
      </c>
      <c r="AX174" s="100">
        <f t="shared" si="196"/>
        <v>0</v>
      </c>
      <c r="AY174" s="110" t="s">
        <v>1703</v>
      </c>
      <c r="AZ174" s="110" t="s">
        <v>1730</v>
      </c>
      <c r="BA174" s="109" t="s">
        <v>1737</v>
      </c>
      <c r="BC174" s="100">
        <f t="shared" si="197"/>
        <v>0</v>
      </c>
      <c r="BD174" s="100">
        <f t="shared" si="198"/>
        <v>0</v>
      </c>
      <c r="BE174" s="100">
        <v>0</v>
      </c>
      <c r="BF174" s="100">
        <f>174</f>
        <v>174</v>
      </c>
      <c r="BH174" s="108">
        <f t="shared" si="199"/>
        <v>0</v>
      </c>
      <c r="BI174" s="108">
        <f t="shared" si="200"/>
        <v>0</v>
      </c>
      <c r="BJ174" s="108">
        <f t="shared" si="201"/>
        <v>0</v>
      </c>
    </row>
    <row r="175" spans="1:62" x14ac:dyDescent="0.2">
      <c r="A175" s="117" t="s">
        <v>142</v>
      </c>
      <c r="B175" s="117" t="s">
        <v>690</v>
      </c>
      <c r="C175" s="304" t="s">
        <v>1202</v>
      </c>
      <c r="D175" s="305"/>
      <c r="E175" s="305"/>
      <c r="F175" s="117" t="s">
        <v>1648</v>
      </c>
      <c r="G175" s="116">
        <v>1758.519</v>
      </c>
      <c r="H175" s="159"/>
      <c r="I175" s="108">
        <f t="shared" si="178"/>
        <v>0</v>
      </c>
      <c r="J175" s="108">
        <f t="shared" si="179"/>
        <v>0</v>
      </c>
      <c r="K175" s="108">
        <f t="shared" si="180"/>
        <v>0</v>
      </c>
      <c r="L175" s="111" t="s">
        <v>1671</v>
      </c>
      <c r="Z175" s="100">
        <f t="shared" si="181"/>
        <v>0</v>
      </c>
      <c r="AB175" s="100">
        <f t="shared" si="182"/>
        <v>0</v>
      </c>
      <c r="AC175" s="100">
        <f t="shared" si="183"/>
        <v>0</v>
      </c>
      <c r="AD175" s="100">
        <f t="shared" si="184"/>
        <v>0</v>
      </c>
      <c r="AE175" s="100">
        <f t="shared" si="185"/>
        <v>0</v>
      </c>
      <c r="AF175" s="100">
        <f t="shared" si="186"/>
        <v>0</v>
      </c>
      <c r="AG175" s="100">
        <f t="shared" si="187"/>
        <v>0</v>
      </c>
      <c r="AH175" s="100">
        <f t="shared" si="188"/>
        <v>0</v>
      </c>
      <c r="AI175" s="109"/>
      <c r="AJ175" s="108">
        <f t="shared" si="189"/>
        <v>0</v>
      </c>
      <c r="AK175" s="108">
        <f t="shared" si="190"/>
        <v>0</v>
      </c>
      <c r="AL175" s="108">
        <f t="shared" si="191"/>
        <v>0</v>
      </c>
      <c r="AN175" s="100">
        <v>15</v>
      </c>
      <c r="AO175" s="100">
        <f t="shared" si="192"/>
        <v>0</v>
      </c>
      <c r="AP175" s="100">
        <f t="shared" si="193"/>
        <v>0</v>
      </c>
      <c r="AQ175" s="111" t="s">
        <v>11</v>
      </c>
      <c r="AV175" s="100">
        <f t="shared" si="194"/>
        <v>0</v>
      </c>
      <c r="AW175" s="100">
        <f t="shared" si="195"/>
        <v>0</v>
      </c>
      <c r="AX175" s="100">
        <f t="shared" si="196"/>
        <v>0</v>
      </c>
      <c r="AY175" s="110" t="s">
        <v>1703</v>
      </c>
      <c r="AZ175" s="110" t="s">
        <v>1730</v>
      </c>
      <c r="BA175" s="109" t="s">
        <v>1737</v>
      </c>
      <c r="BC175" s="100">
        <f t="shared" si="197"/>
        <v>0</v>
      </c>
      <c r="BD175" s="100">
        <f t="shared" si="198"/>
        <v>0</v>
      </c>
      <c r="BE175" s="100">
        <v>0</v>
      </c>
      <c r="BF175" s="100">
        <f>175</f>
        <v>175</v>
      </c>
      <c r="BH175" s="108">
        <f t="shared" si="199"/>
        <v>0</v>
      </c>
      <c r="BI175" s="108">
        <f t="shared" si="200"/>
        <v>0</v>
      </c>
      <c r="BJ175" s="108">
        <f t="shared" si="201"/>
        <v>0</v>
      </c>
    </row>
    <row r="176" spans="1:62" x14ac:dyDescent="0.2">
      <c r="A176" s="117" t="s">
        <v>143</v>
      </c>
      <c r="B176" s="117" t="s">
        <v>691</v>
      </c>
      <c r="C176" s="304" t="s">
        <v>1203</v>
      </c>
      <c r="D176" s="305"/>
      <c r="E176" s="305"/>
      <c r="F176" s="117" t="s">
        <v>1648</v>
      </c>
      <c r="G176" s="116">
        <v>195.39099999999999</v>
      </c>
      <c r="H176" s="159"/>
      <c r="I176" s="108">
        <f t="shared" si="178"/>
        <v>0</v>
      </c>
      <c r="J176" s="108">
        <f t="shared" si="179"/>
        <v>0</v>
      </c>
      <c r="K176" s="108">
        <f t="shared" si="180"/>
        <v>0</v>
      </c>
      <c r="L176" s="111" t="s">
        <v>1671</v>
      </c>
      <c r="Z176" s="100">
        <f t="shared" si="181"/>
        <v>0</v>
      </c>
      <c r="AB176" s="100">
        <f t="shared" si="182"/>
        <v>0</v>
      </c>
      <c r="AC176" s="100">
        <f t="shared" si="183"/>
        <v>0</v>
      </c>
      <c r="AD176" s="100">
        <f t="shared" si="184"/>
        <v>0</v>
      </c>
      <c r="AE176" s="100">
        <f t="shared" si="185"/>
        <v>0</v>
      </c>
      <c r="AF176" s="100">
        <f t="shared" si="186"/>
        <v>0</v>
      </c>
      <c r="AG176" s="100">
        <f t="shared" si="187"/>
        <v>0</v>
      </c>
      <c r="AH176" s="100">
        <f t="shared" si="188"/>
        <v>0</v>
      </c>
      <c r="AI176" s="109"/>
      <c r="AJ176" s="108">
        <f t="shared" si="189"/>
        <v>0</v>
      </c>
      <c r="AK176" s="108">
        <f t="shared" si="190"/>
        <v>0</v>
      </c>
      <c r="AL176" s="108">
        <f t="shared" si="191"/>
        <v>0</v>
      </c>
      <c r="AN176" s="100">
        <v>15</v>
      </c>
      <c r="AO176" s="100">
        <f t="shared" si="192"/>
        <v>0</v>
      </c>
      <c r="AP176" s="100">
        <f t="shared" si="193"/>
        <v>0</v>
      </c>
      <c r="AQ176" s="111" t="s">
        <v>11</v>
      </c>
      <c r="AV176" s="100">
        <f t="shared" si="194"/>
        <v>0</v>
      </c>
      <c r="AW176" s="100">
        <f t="shared" si="195"/>
        <v>0</v>
      </c>
      <c r="AX176" s="100">
        <f t="shared" si="196"/>
        <v>0</v>
      </c>
      <c r="AY176" s="110" t="s">
        <v>1703</v>
      </c>
      <c r="AZ176" s="110" t="s">
        <v>1730</v>
      </c>
      <c r="BA176" s="109" t="s">
        <v>1737</v>
      </c>
      <c r="BC176" s="100">
        <f t="shared" si="197"/>
        <v>0</v>
      </c>
      <c r="BD176" s="100">
        <f t="shared" si="198"/>
        <v>0</v>
      </c>
      <c r="BE176" s="100">
        <v>0</v>
      </c>
      <c r="BF176" s="100">
        <f>176</f>
        <v>176</v>
      </c>
      <c r="BH176" s="108">
        <f t="shared" si="199"/>
        <v>0</v>
      </c>
      <c r="BI176" s="108">
        <f t="shared" si="200"/>
        <v>0</v>
      </c>
      <c r="BJ176" s="108">
        <f t="shared" si="201"/>
        <v>0</v>
      </c>
    </row>
    <row r="177" spans="1:62" x14ac:dyDescent="0.2">
      <c r="A177" s="117" t="s">
        <v>144</v>
      </c>
      <c r="B177" s="117" t="s">
        <v>692</v>
      </c>
      <c r="C177" s="304" t="s">
        <v>1204</v>
      </c>
      <c r="D177" s="305"/>
      <c r="E177" s="305"/>
      <c r="F177" s="117" t="s">
        <v>1648</v>
      </c>
      <c r="G177" s="116">
        <v>1172.346</v>
      </c>
      <c r="H177" s="159"/>
      <c r="I177" s="108">
        <f t="shared" si="178"/>
        <v>0</v>
      </c>
      <c r="J177" s="108">
        <f t="shared" si="179"/>
        <v>0</v>
      </c>
      <c r="K177" s="108">
        <f t="shared" si="180"/>
        <v>0</v>
      </c>
      <c r="L177" s="111" t="s">
        <v>1671</v>
      </c>
      <c r="Z177" s="100">
        <f t="shared" si="181"/>
        <v>0</v>
      </c>
      <c r="AB177" s="100">
        <f t="shared" si="182"/>
        <v>0</v>
      </c>
      <c r="AC177" s="100">
        <f t="shared" si="183"/>
        <v>0</v>
      </c>
      <c r="AD177" s="100">
        <f t="shared" si="184"/>
        <v>0</v>
      </c>
      <c r="AE177" s="100">
        <f t="shared" si="185"/>
        <v>0</v>
      </c>
      <c r="AF177" s="100">
        <f t="shared" si="186"/>
        <v>0</v>
      </c>
      <c r="AG177" s="100">
        <f t="shared" si="187"/>
        <v>0</v>
      </c>
      <c r="AH177" s="100">
        <f t="shared" si="188"/>
        <v>0</v>
      </c>
      <c r="AI177" s="109"/>
      <c r="AJ177" s="108">
        <f t="shared" si="189"/>
        <v>0</v>
      </c>
      <c r="AK177" s="108">
        <f t="shared" si="190"/>
        <v>0</v>
      </c>
      <c r="AL177" s="108">
        <f t="shared" si="191"/>
        <v>0</v>
      </c>
      <c r="AN177" s="100">
        <v>15</v>
      </c>
      <c r="AO177" s="100">
        <f t="shared" si="192"/>
        <v>0</v>
      </c>
      <c r="AP177" s="100">
        <f t="shared" si="193"/>
        <v>0</v>
      </c>
      <c r="AQ177" s="111" t="s">
        <v>11</v>
      </c>
      <c r="AV177" s="100">
        <f t="shared" si="194"/>
        <v>0</v>
      </c>
      <c r="AW177" s="100">
        <f t="shared" si="195"/>
        <v>0</v>
      </c>
      <c r="AX177" s="100">
        <f t="shared" si="196"/>
        <v>0</v>
      </c>
      <c r="AY177" s="110" t="s">
        <v>1703</v>
      </c>
      <c r="AZ177" s="110" t="s">
        <v>1730</v>
      </c>
      <c r="BA177" s="109" t="s">
        <v>1737</v>
      </c>
      <c r="BC177" s="100">
        <f t="shared" si="197"/>
        <v>0</v>
      </c>
      <c r="BD177" s="100">
        <f t="shared" si="198"/>
        <v>0</v>
      </c>
      <c r="BE177" s="100">
        <v>0</v>
      </c>
      <c r="BF177" s="100">
        <f>177</f>
        <v>177</v>
      </c>
      <c r="BH177" s="108">
        <f t="shared" si="199"/>
        <v>0</v>
      </c>
      <c r="BI177" s="108">
        <f t="shared" si="200"/>
        <v>0</v>
      </c>
      <c r="BJ177" s="108">
        <f t="shared" si="201"/>
        <v>0</v>
      </c>
    </row>
    <row r="178" spans="1:62" x14ac:dyDescent="0.2">
      <c r="A178" s="117" t="s">
        <v>145</v>
      </c>
      <c r="B178" s="117" t="s">
        <v>693</v>
      </c>
      <c r="C178" s="304" t="s">
        <v>1205</v>
      </c>
      <c r="D178" s="305"/>
      <c r="E178" s="305"/>
      <c r="F178" s="117" t="s">
        <v>1648</v>
      </c>
      <c r="G178" s="116">
        <v>195.39099999999999</v>
      </c>
      <c r="H178" s="159"/>
      <c r="I178" s="108">
        <f t="shared" si="178"/>
        <v>0</v>
      </c>
      <c r="J178" s="108">
        <f t="shared" si="179"/>
        <v>0</v>
      </c>
      <c r="K178" s="108">
        <f t="shared" si="180"/>
        <v>0</v>
      </c>
      <c r="L178" s="111" t="s">
        <v>1671</v>
      </c>
      <c r="Z178" s="100">
        <f t="shared" si="181"/>
        <v>0</v>
      </c>
      <c r="AB178" s="100">
        <f t="shared" si="182"/>
        <v>0</v>
      </c>
      <c r="AC178" s="100">
        <f t="shared" si="183"/>
        <v>0</v>
      </c>
      <c r="AD178" s="100">
        <f t="shared" si="184"/>
        <v>0</v>
      </c>
      <c r="AE178" s="100">
        <f t="shared" si="185"/>
        <v>0</v>
      </c>
      <c r="AF178" s="100">
        <f t="shared" si="186"/>
        <v>0</v>
      </c>
      <c r="AG178" s="100">
        <f t="shared" si="187"/>
        <v>0</v>
      </c>
      <c r="AH178" s="100">
        <f t="shared" si="188"/>
        <v>0</v>
      </c>
      <c r="AI178" s="109"/>
      <c r="AJ178" s="108">
        <f t="shared" si="189"/>
        <v>0</v>
      </c>
      <c r="AK178" s="108">
        <f t="shared" si="190"/>
        <v>0</v>
      </c>
      <c r="AL178" s="108">
        <f t="shared" si="191"/>
        <v>0</v>
      </c>
      <c r="AN178" s="100">
        <v>15</v>
      </c>
      <c r="AO178" s="100">
        <f t="shared" si="192"/>
        <v>0</v>
      </c>
      <c r="AP178" s="100">
        <f t="shared" si="193"/>
        <v>0</v>
      </c>
      <c r="AQ178" s="111" t="s">
        <v>11</v>
      </c>
      <c r="AV178" s="100">
        <f t="shared" si="194"/>
        <v>0</v>
      </c>
      <c r="AW178" s="100">
        <f t="shared" si="195"/>
        <v>0</v>
      </c>
      <c r="AX178" s="100">
        <f t="shared" si="196"/>
        <v>0</v>
      </c>
      <c r="AY178" s="110" t="s">
        <v>1703</v>
      </c>
      <c r="AZ178" s="110" t="s">
        <v>1730</v>
      </c>
      <c r="BA178" s="109" t="s">
        <v>1737</v>
      </c>
      <c r="BC178" s="100">
        <f t="shared" si="197"/>
        <v>0</v>
      </c>
      <c r="BD178" s="100">
        <f t="shared" si="198"/>
        <v>0</v>
      </c>
      <c r="BE178" s="100">
        <v>0</v>
      </c>
      <c r="BF178" s="100">
        <f>178</f>
        <v>178</v>
      </c>
      <c r="BH178" s="108">
        <f t="shared" si="199"/>
        <v>0</v>
      </c>
      <c r="BI178" s="108">
        <f t="shared" si="200"/>
        <v>0</v>
      </c>
      <c r="BJ178" s="108">
        <f t="shared" si="201"/>
        <v>0</v>
      </c>
    </row>
    <row r="179" spans="1:62" x14ac:dyDescent="0.2">
      <c r="A179" s="117" t="s">
        <v>146</v>
      </c>
      <c r="B179" s="117" t="s">
        <v>694</v>
      </c>
      <c r="C179" s="304" t="s">
        <v>1206</v>
      </c>
      <c r="D179" s="305"/>
      <c r="E179" s="305"/>
      <c r="F179" s="117" t="s">
        <v>1648</v>
      </c>
      <c r="G179" s="116">
        <v>195.39099999999999</v>
      </c>
      <c r="H179" s="159"/>
      <c r="I179" s="108">
        <f t="shared" si="178"/>
        <v>0</v>
      </c>
      <c r="J179" s="108">
        <f t="shared" si="179"/>
        <v>0</v>
      </c>
      <c r="K179" s="108">
        <f t="shared" si="180"/>
        <v>0</v>
      </c>
      <c r="L179" s="111" t="s">
        <v>1671</v>
      </c>
      <c r="Z179" s="100">
        <f t="shared" si="181"/>
        <v>0</v>
      </c>
      <c r="AB179" s="100">
        <f t="shared" si="182"/>
        <v>0</v>
      </c>
      <c r="AC179" s="100">
        <f t="shared" si="183"/>
        <v>0</v>
      </c>
      <c r="AD179" s="100">
        <f t="shared" si="184"/>
        <v>0</v>
      </c>
      <c r="AE179" s="100">
        <f t="shared" si="185"/>
        <v>0</v>
      </c>
      <c r="AF179" s="100">
        <f t="shared" si="186"/>
        <v>0</v>
      </c>
      <c r="AG179" s="100">
        <f t="shared" si="187"/>
        <v>0</v>
      </c>
      <c r="AH179" s="100">
        <f t="shared" si="188"/>
        <v>0</v>
      </c>
      <c r="AI179" s="109"/>
      <c r="AJ179" s="108">
        <f t="shared" si="189"/>
        <v>0</v>
      </c>
      <c r="AK179" s="108">
        <f t="shared" si="190"/>
        <v>0</v>
      </c>
      <c r="AL179" s="108">
        <f t="shared" si="191"/>
        <v>0</v>
      </c>
      <c r="AN179" s="100">
        <v>15</v>
      </c>
      <c r="AO179" s="100">
        <f t="shared" si="192"/>
        <v>0</v>
      </c>
      <c r="AP179" s="100">
        <f t="shared" si="193"/>
        <v>0</v>
      </c>
      <c r="AQ179" s="111" t="s">
        <v>11</v>
      </c>
      <c r="AV179" s="100">
        <f t="shared" si="194"/>
        <v>0</v>
      </c>
      <c r="AW179" s="100">
        <f t="shared" si="195"/>
        <v>0</v>
      </c>
      <c r="AX179" s="100">
        <f t="shared" si="196"/>
        <v>0</v>
      </c>
      <c r="AY179" s="110" t="s">
        <v>1703</v>
      </c>
      <c r="AZ179" s="110" t="s">
        <v>1730</v>
      </c>
      <c r="BA179" s="109" t="s">
        <v>1737</v>
      </c>
      <c r="BC179" s="100">
        <f t="shared" si="197"/>
        <v>0</v>
      </c>
      <c r="BD179" s="100">
        <f t="shared" si="198"/>
        <v>0</v>
      </c>
      <c r="BE179" s="100">
        <v>0</v>
      </c>
      <c r="BF179" s="100">
        <f>179</f>
        <v>179</v>
      </c>
      <c r="BH179" s="108">
        <f t="shared" si="199"/>
        <v>0</v>
      </c>
      <c r="BI179" s="108">
        <f t="shared" si="200"/>
        <v>0</v>
      </c>
      <c r="BJ179" s="108">
        <f t="shared" si="201"/>
        <v>0</v>
      </c>
    </row>
    <row r="180" spans="1:62" x14ac:dyDescent="0.2">
      <c r="A180" s="117" t="s">
        <v>147</v>
      </c>
      <c r="B180" s="117" t="s">
        <v>695</v>
      </c>
      <c r="C180" s="304" t="s">
        <v>1207</v>
      </c>
      <c r="D180" s="305"/>
      <c r="E180" s="305"/>
      <c r="F180" s="117" t="s">
        <v>1648</v>
      </c>
      <c r="G180" s="116">
        <v>9.6430000000000007</v>
      </c>
      <c r="H180" s="159"/>
      <c r="I180" s="108">
        <f t="shared" si="178"/>
        <v>0</v>
      </c>
      <c r="J180" s="108">
        <f t="shared" si="179"/>
        <v>0</v>
      </c>
      <c r="K180" s="108">
        <f t="shared" si="180"/>
        <v>0</v>
      </c>
      <c r="L180" s="111" t="s">
        <v>1671</v>
      </c>
      <c r="Z180" s="100">
        <f t="shared" si="181"/>
        <v>0</v>
      </c>
      <c r="AB180" s="100">
        <f t="shared" si="182"/>
        <v>0</v>
      </c>
      <c r="AC180" s="100">
        <f t="shared" si="183"/>
        <v>0</v>
      </c>
      <c r="AD180" s="100">
        <f t="shared" si="184"/>
        <v>0</v>
      </c>
      <c r="AE180" s="100">
        <f t="shared" si="185"/>
        <v>0</v>
      </c>
      <c r="AF180" s="100">
        <f t="shared" si="186"/>
        <v>0</v>
      </c>
      <c r="AG180" s="100">
        <f t="shared" si="187"/>
        <v>0</v>
      </c>
      <c r="AH180" s="100">
        <f t="shared" si="188"/>
        <v>0</v>
      </c>
      <c r="AI180" s="109"/>
      <c r="AJ180" s="108">
        <f t="shared" si="189"/>
        <v>0</v>
      </c>
      <c r="AK180" s="108">
        <f t="shared" si="190"/>
        <v>0</v>
      </c>
      <c r="AL180" s="108">
        <f t="shared" si="191"/>
        <v>0</v>
      </c>
      <c r="AN180" s="100">
        <v>15</v>
      </c>
      <c r="AO180" s="100">
        <f t="shared" si="192"/>
        <v>0</v>
      </c>
      <c r="AP180" s="100">
        <f t="shared" si="193"/>
        <v>0</v>
      </c>
      <c r="AQ180" s="111" t="s">
        <v>11</v>
      </c>
      <c r="AV180" s="100">
        <f t="shared" si="194"/>
        <v>0</v>
      </c>
      <c r="AW180" s="100">
        <f t="shared" si="195"/>
        <v>0</v>
      </c>
      <c r="AX180" s="100">
        <f t="shared" si="196"/>
        <v>0</v>
      </c>
      <c r="AY180" s="110" t="s">
        <v>1703</v>
      </c>
      <c r="AZ180" s="110" t="s">
        <v>1730</v>
      </c>
      <c r="BA180" s="109" t="s">
        <v>1737</v>
      </c>
      <c r="BC180" s="100">
        <f t="shared" si="197"/>
        <v>0</v>
      </c>
      <c r="BD180" s="100">
        <f t="shared" si="198"/>
        <v>0</v>
      </c>
      <c r="BE180" s="100">
        <v>0</v>
      </c>
      <c r="BF180" s="100">
        <f>180</f>
        <v>180</v>
      </c>
      <c r="BH180" s="108">
        <f t="shared" si="199"/>
        <v>0</v>
      </c>
      <c r="BI180" s="108">
        <f t="shared" si="200"/>
        <v>0</v>
      </c>
      <c r="BJ180" s="108">
        <f t="shared" si="201"/>
        <v>0</v>
      </c>
    </row>
    <row r="181" spans="1:62" x14ac:dyDescent="0.2">
      <c r="A181" s="117" t="s">
        <v>148</v>
      </c>
      <c r="B181" s="117" t="s">
        <v>696</v>
      </c>
      <c r="C181" s="304" t="s">
        <v>1208</v>
      </c>
      <c r="D181" s="305"/>
      <c r="E181" s="305"/>
      <c r="F181" s="117" t="s">
        <v>1648</v>
      </c>
      <c r="G181" s="116">
        <v>19.081</v>
      </c>
      <c r="H181" s="159"/>
      <c r="I181" s="108">
        <f t="shared" si="178"/>
        <v>0</v>
      </c>
      <c r="J181" s="108">
        <f t="shared" si="179"/>
        <v>0</v>
      </c>
      <c r="K181" s="108">
        <f t="shared" si="180"/>
        <v>0</v>
      </c>
      <c r="L181" s="111" t="s">
        <v>1671</v>
      </c>
      <c r="Z181" s="100">
        <f t="shared" si="181"/>
        <v>0</v>
      </c>
      <c r="AB181" s="100">
        <f t="shared" si="182"/>
        <v>0</v>
      </c>
      <c r="AC181" s="100">
        <f t="shared" si="183"/>
        <v>0</v>
      </c>
      <c r="AD181" s="100">
        <f t="shared" si="184"/>
        <v>0</v>
      </c>
      <c r="AE181" s="100">
        <f t="shared" si="185"/>
        <v>0</v>
      </c>
      <c r="AF181" s="100">
        <f t="shared" si="186"/>
        <v>0</v>
      </c>
      <c r="AG181" s="100">
        <f t="shared" si="187"/>
        <v>0</v>
      </c>
      <c r="AH181" s="100">
        <f t="shared" si="188"/>
        <v>0</v>
      </c>
      <c r="AI181" s="109"/>
      <c r="AJ181" s="108">
        <f t="shared" si="189"/>
        <v>0</v>
      </c>
      <c r="AK181" s="108">
        <f t="shared" si="190"/>
        <v>0</v>
      </c>
      <c r="AL181" s="108">
        <f t="shared" si="191"/>
        <v>0</v>
      </c>
      <c r="AN181" s="100">
        <v>15</v>
      </c>
      <c r="AO181" s="100">
        <f t="shared" si="192"/>
        <v>0</v>
      </c>
      <c r="AP181" s="100">
        <f t="shared" si="193"/>
        <v>0</v>
      </c>
      <c r="AQ181" s="111" t="s">
        <v>11</v>
      </c>
      <c r="AV181" s="100">
        <f t="shared" si="194"/>
        <v>0</v>
      </c>
      <c r="AW181" s="100">
        <f t="shared" si="195"/>
        <v>0</v>
      </c>
      <c r="AX181" s="100">
        <f t="shared" si="196"/>
        <v>0</v>
      </c>
      <c r="AY181" s="110" t="s">
        <v>1703</v>
      </c>
      <c r="AZ181" s="110" t="s">
        <v>1730</v>
      </c>
      <c r="BA181" s="109" t="s">
        <v>1737</v>
      </c>
      <c r="BC181" s="100">
        <f t="shared" si="197"/>
        <v>0</v>
      </c>
      <c r="BD181" s="100">
        <f t="shared" si="198"/>
        <v>0</v>
      </c>
      <c r="BE181" s="100">
        <v>0</v>
      </c>
      <c r="BF181" s="100">
        <f>181</f>
        <v>181</v>
      </c>
      <c r="BH181" s="108">
        <f t="shared" si="199"/>
        <v>0</v>
      </c>
      <c r="BI181" s="108">
        <f t="shared" si="200"/>
        <v>0</v>
      </c>
      <c r="BJ181" s="108">
        <f t="shared" si="201"/>
        <v>0</v>
      </c>
    </row>
    <row r="182" spans="1:62" x14ac:dyDescent="0.2">
      <c r="A182" s="117" t="s">
        <v>149</v>
      </c>
      <c r="B182" s="117" t="s">
        <v>697</v>
      </c>
      <c r="C182" s="304" t="s">
        <v>1209</v>
      </c>
      <c r="D182" s="305"/>
      <c r="E182" s="305"/>
      <c r="F182" s="117" t="s">
        <v>1648</v>
      </c>
      <c r="G182" s="116">
        <v>62.027999999999999</v>
      </c>
      <c r="H182" s="159"/>
      <c r="I182" s="108">
        <f t="shared" si="178"/>
        <v>0</v>
      </c>
      <c r="J182" s="108">
        <f t="shared" si="179"/>
        <v>0</v>
      </c>
      <c r="K182" s="108">
        <f t="shared" si="180"/>
        <v>0</v>
      </c>
      <c r="L182" s="111" t="s">
        <v>1671</v>
      </c>
      <c r="Z182" s="100">
        <f t="shared" si="181"/>
        <v>0</v>
      </c>
      <c r="AB182" s="100">
        <f t="shared" si="182"/>
        <v>0</v>
      </c>
      <c r="AC182" s="100">
        <f t="shared" si="183"/>
        <v>0</v>
      </c>
      <c r="AD182" s="100">
        <f t="shared" si="184"/>
        <v>0</v>
      </c>
      <c r="AE182" s="100">
        <f t="shared" si="185"/>
        <v>0</v>
      </c>
      <c r="AF182" s="100">
        <f t="shared" si="186"/>
        <v>0</v>
      </c>
      <c r="AG182" s="100">
        <f t="shared" si="187"/>
        <v>0</v>
      </c>
      <c r="AH182" s="100">
        <f t="shared" si="188"/>
        <v>0</v>
      </c>
      <c r="AI182" s="109"/>
      <c r="AJ182" s="108">
        <f t="shared" si="189"/>
        <v>0</v>
      </c>
      <c r="AK182" s="108">
        <f t="shared" si="190"/>
        <v>0</v>
      </c>
      <c r="AL182" s="108">
        <f t="shared" si="191"/>
        <v>0</v>
      </c>
      <c r="AN182" s="100">
        <v>15</v>
      </c>
      <c r="AO182" s="100">
        <f t="shared" si="192"/>
        <v>0</v>
      </c>
      <c r="AP182" s="100">
        <f t="shared" si="193"/>
        <v>0</v>
      </c>
      <c r="AQ182" s="111" t="s">
        <v>11</v>
      </c>
      <c r="AV182" s="100">
        <f t="shared" si="194"/>
        <v>0</v>
      </c>
      <c r="AW182" s="100">
        <f t="shared" si="195"/>
        <v>0</v>
      </c>
      <c r="AX182" s="100">
        <f t="shared" si="196"/>
        <v>0</v>
      </c>
      <c r="AY182" s="110" t="s">
        <v>1703</v>
      </c>
      <c r="AZ182" s="110" t="s">
        <v>1730</v>
      </c>
      <c r="BA182" s="109" t="s">
        <v>1737</v>
      </c>
      <c r="BC182" s="100">
        <f t="shared" si="197"/>
        <v>0</v>
      </c>
      <c r="BD182" s="100">
        <f t="shared" si="198"/>
        <v>0</v>
      </c>
      <c r="BE182" s="100">
        <v>0</v>
      </c>
      <c r="BF182" s="100">
        <f>182</f>
        <v>182</v>
      </c>
      <c r="BH182" s="108">
        <f t="shared" si="199"/>
        <v>0</v>
      </c>
      <c r="BI182" s="108">
        <f t="shared" si="200"/>
        <v>0</v>
      </c>
      <c r="BJ182" s="108">
        <f t="shared" si="201"/>
        <v>0</v>
      </c>
    </row>
    <row r="183" spans="1:62" x14ac:dyDescent="0.2">
      <c r="A183" s="117" t="s">
        <v>150</v>
      </c>
      <c r="B183" s="117" t="s">
        <v>698</v>
      </c>
      <c r="C183" s="304" t="s">
        <v>3715</v>
      </c>
      <c r="D183" s="305"/>
      <c r="E183" s="305"/>
      <c r="F183" s="117" t="s">
        <v>1648</v>
      </c>
      <c r="G183" s="116">
        <v>46.497</v>
      </c>
      <c r="H183" s="159"/>
      <c r="I183" s="108">
        <f t="shared" si="178"/>
        <v>0</v>
      </c>
      <c r="J183" s="108">
        <f t="shared" si="179"/>
        <v>0</v>
      </c>
      <c r="K183" s="108">
        <f t="shared" si="180"/>
        <v>0</v>
      </c>
      <c r="L183" s="111" t="s">
        <v>1671</v>
      </c>
      <c r="Z183" s="100">
        <f t="shared" si="181"/>
        <v>0</v>
      </c>
      <c r="AB183" s="100">
        <f t="shared" si="182"/>
        <v>0</v>
      </c>
      <c r="AC183" s="100">
        <f t="shared" si="183"/>
        <v>0</v>
      </c>
      <c r="AD183" s="100">
        <f t="shared" si="184"/>
        <v>0</v>
      </c>
      <c r="AE183" s="100">
        <f t="shared" si="185"/>
        <v>0</v>
      </c>
      <c r="AF183" s="100">
        <f t="shared" si="186"/>
        <v>0</v>
      </c>
      <c r="AG183" s="100">
        <f t="shared" si="187"/>
        <v>0</v>
      </c>
      <c r="AH183" s="100">
        <f t="shared" si="188"/>
        <v>0</v>
      </c>
      <c r="AI183" s="109"/>
      <c r="AJ183" s="108">
        <f t="shared" si="189"/>
        <v>0</v>
      </c>
      <c r="AK183" s="108">
        <f t="shared" si="190"/>
        <v>0</v>
      </c>
      <c r="AL183" s="108">
        <f t="shared" si="191"/>
        <v>0</v>
      </c>
      <c r="AN183" s="100">
        <v>15</v>
      </c>
      <c r="AO183" s="100">
        <f t="shared" si="192"/>
        <v>0</v>
      </c>
      <c r="AP183" s="100">
        <f t="shared" si="193"/>
        <v>0</v>
      </c>
      <c r="AQ183" s="111" t="s">
        <v>11</v>
      </c>
      <c r="AV183" s="100">
        <f t="shared" si="194"/>
        <v>0</v>
      </c>
      <c r="AW183" s="100">
        <f t="shared" si="195"/>
        <v>0</v>
      </c>
      <c r="AX183" s="100">
        <f t="shared" si="196"/>
        <v>0</v>
      </c>
      <c r="AY183" s="110" t="s">
        <v>1703</v>
      </c>
      <c r="AZ183" s="110" t="s">
        <v>1730</v>
      </c>
      <c r="BA183" s="109" t="s">
        <v>1737</v>
      </c>
      <c r="BC183" s="100">
        <f t="shared" si="197"/>
        <v>0</v>
      </c>
      <c r="BD183" s="100">
        <f t="shared" si="198"/>
        <v>0</v>
      </c>
      <c r="BE183" s="100">
        <v>0</v>
      </c>
      <c r="BF183" s="100">
        <f>183</f>
        <v>183</v>
      </c>
      <c r="BH183" s="108">
        <f t="shared" si="199"/>
        <v>0</v>
      </c>
      <c r="BI183" s="108">
        <f t="shared" si="200"/>
        <v>0</v>
      </c>
      <c r="BJ183" s="108">
        <f t="shared" si="201"/>
        <v>0</v>
      </c>
    </row>
    <row r="184" spans="1:62" x14ac:dyDescent="0.2">
      <c r="A184" s="117" t="s">
        <v>151</v>
      </c>
      <c r="B184" s="117" t="s">
        <v>700</v>
      </c>
      <c r="C184" s="304" t="s">
        <v>1212</v>
      </c>
      <c r="D184" s="305"/>
      <c r="E184" s="305"/>
      <c r="F184" s="117" t="s">
        <v>1648</v>
      </c>
      <c r="G184" s="116">
        <v>17.7</v>
      </c>
      <c r="H184" s="159"/>
      <c r="I184" s="108">
        <f t="shared" si="178"/>
        <v>0</v>
      </c>
      <c r="J184" s="108">
        <f t="shared" si="179"/>
        <v>0</v>
      </c>
      <c r="K184" s="108">
        <f t="shared" si="180"/>
        <v>0</v>
      </c>
      <c r="L184" s="111" t="s">
        <v>1671</v>
      </c>
      <c r="Z184" s="100">
        <f t="shared" si="181"/>
        <v>0</v>
      </c>
      <c r="AB184" s="100">
        <f t="shared" si="182"/>
        <v>0</v>
      </c>
      <c r="AC184" s="100">
        <f t="shared" si="183"/>
        <v>0</v>
      </c>
      <c r="AD184" s="100">
        <f t="shared" si="184"/>
        <v>0</v>
      </c>
      <c r="AE184" s="100">
        <f t="shared" si="185"/>
        <v>0</v>
      </c>
      <c r="AF184" s="100">
        <f t="shared" si="186"/>
        <v>0</v>
      </c>
      <c r="AG184" s="100">
        <f t="shared" si="187"/>
        <v>0</v>
      </c>
      <c r="AH184" s="100">
        <f t="shared" si="188"/>
        <v>0</v>
      </c>
      <c r="AI184" s="109"/>
      <c r="AJ184" s="108">
        <f t="shared" si="189"/>
        <v>0</v>
      </c>
      <c r="AK184" s="108">
        <f t="shared" si="190"/>
        <v>0</v>
      </c>
      <c r="AL184" s="108">
        <f t="shared" si="191"/>
        <v>0</v>
      </c>
      <c r="AN184" s="100">
        <v>15</v>
      </c>
      <c r="AO184" s="100">
        <f t="shared" si="192"/>
        <v>0</v>
      </c>
      <c r="AP184" s="100">
        <f t="shared" si="193"/>
        <v>0</v>
      </c>
      <c r="AQ184" s="111" t="s">
        <v>11</v>
      </c>
      <c r="AV184" s="100">
        <f t="shared" si="194"/>
        <v>0</v>
      </c>
      <c r="AW184" s="100">
        <f t="shared" si="195"/>
        <v>0</v>
      </c>
      <c r="AX184" s="100">
        <f t="shared" si="196"/>
        <v>0</v>
      </c>
      <c r="AY184" s="110" t="s">
        <v>1703</v>
      </c>
      <c r="AZ184" s="110" t="s">
        <v>1730</v>
      </c>
      <c r="BA184" s="109" t="s">
        <v>1737</v>
      </c>
      <c r="BC184" s="100">
        <f t="shared" si="197"/>
        <v>0</v>
      </c>
      <c r="BD184" s="100">
        <f t="shared" si="198"/>
        <v>0</v>
      </c>
      <c r="BE184" s="100">
        <v>0</v>
      </c>
      <c r="BF184" s="100">
        <f>184</f>
        <v>184</v>
      </c>
      <c r="BH184" s="108">
        <f t="shared" si="199"/>
        <v>0</v>
      </c>
      <c r="BI184" s="108">
        <f t="shared" si="200"/>
        <v>0</v>
      </c>
      <c r="BJ184" s="108">
        <f t="shared" si="201"/>
        <v>0</v>
      </c>
    </row>
    <row r="185" spans="1:62" x14ac:dyDescent="0.2">
      <c r="A185" s="117" t="s">
        <v>152</v>
      </c>
      <c r="B185" s="117" t="s">
        <v>701</v>
      </c>
      <c r="C185" s="304" t="s">
        <v>1213</v>
      </c>
      <c r="D185" s="305"/>
      <c r="E185" s="305"/>
      <c r="F185" s="117" t="s">
        <v>1648</v>
      </c>
      <c r="G185" s="116">
        <v>13.849</v>
      </c>
      <c r="H185" s="159"/>
      <c r="I185" s="108">
        <f t="shared" si="178"/>
        <v>0</v>
      </c>
      <c r="J185" s="108">
        <f t="shared" si="179"/>
        <v>0</v>
      </c>
      <c r="K185" s="108">
        <f t="shared" si="180"/>
        <v>0</v>
      </c>
      <c r="L185" s="111" t="s">
        <v>1671</v>
      </c>
      <c r="Z185" s="100">
        <f t="shared" si="181"/>
        <v>0</v>
      </c>
      <c r="AB185" s="100">
        <f t="shared" si="182"/>
        <v>0</v>
      </c>
      <c r="AC185" s="100">
        <f t="shared" si="183"/>
        <v>0</v>
      </c>
      <c r="AD185" s="100">
        <f t="shared" si="184"/>
        <v>0</v>
      </c>
      <c r="AE185" s="100">
        <f t="shared" si="185"/>
        <v>0</v>
      </c>
      <c r="AF185" s="100">
        <f t="shared" si="186"/>
        <v>0</v>
      </c>
      <c r="AG185" s="100">
        <f t="shared" si="187"/>
        <v>0</v>
      </c>
      <c r="AH185" s="100">
        <f t="shared" si="188"/>
        <v>0</v>
      </c>
      <c r="AI185" s="109"/>
      <c r="AJ185" s="108">
        <f t="shared" si="189"/>
        <v>0</v>
      </c>
      <c r="AK185" s="108">
        <f t="shared" si="190"/>
        <v>0</v>
      </c>
      <c r="AL185" s="108">
        <f t="shared" si="191"/>
        <v>0</v>
      </c>
      <c r="AN185" s="100">
        <v>15</v>
      </c>
      <c r="AO185" s="100">
        <f t="shared" si="192"/>
        <v>0</v>
      </c>
      <c r="AP185" s="100">
        <f t="shared" si="193"/>
        <v>0</v>
      </c>
      <c r="AQ185" s="111" t="s">
        <v>11</v>
      </c>
      <c r="AV185" s="100">
        <f t="shared" si="194"/>
        <v>0</v>
      </c>
      <c r="AW185" s="100">
        <f t="shared" si="195"/>
        <v>0</v>
      </c>
      <c r="AX185" s="100">
        <f t="shared" si="196"/>
        <v>0</v>
      </c>
      <c r="AY185" s="110" t="s">
        <v>1703</v>
      </c>
      <c r="AZ185" s="110" t="s">
        <v>1730</v>
      </c>
      <c r="BA185" s="109" t="s">
        <v>1737</v>
      </c>
      <c r="BC185" s="100">
        <f t="shared" si="197"/>
        <v>0</v>
      </c>
      <c r="BD185" s="100">
        <f t="shared" si="198"/>
        <v>0</v>
      </c>
      <c r="BE185" s="100">
        <v>0</v>
      </c>
      <c r="BF185" s="100">
        <f>185</f>
        <v>185</v>
      </c>
      <c r="BH185" s="108">
        <f t="shared" si="199"/>
        <v>0</v>
      </c>
      <c r="BI185" s="108">
        <f t="shared" si="200"/>
        <v>0</v>
      </c>
      <c r="BJ185" s="108">
        <f t="shared" si="201"/>
        <v>0</v>
      </c>
    </row>
    <row r="186" spans="1:62" x14ac:dyDescent="0.2">
      <c r="A186" s="117" t="s">
        <v>153</v>
      </c>
      <c r="B186" s="117" t="s">
        <v>3714</v>
      </c>
      <c r="C186" s="304" t="s">
        <v>3713</v>
      </c>
      <c r="D186" s="305"/>
      <c r="E186" s="305"/>
      <c r="F186" s="117" t="s">
        <v>1648</v>
      </c>
      <c r="G186" s="116">
        <v>3.879</v>
      </c>
      <c r="H186" s="159"/>
      <c r="I186" s="108">
        <f t="shared" si="178"/>
        <v>0</v>
      </c>
      <c r="J186" s="108">
        <f t="shared" si="179"/>
        <v>0</v>
      </c>
      <c r="K186" s="108">
        <f t="shared" si="180"/>
        <v>0</v>
      </c>
      <c r="L186" s="111" t="s">
        <v>1671</v>
      </c>
      <c r="Z186" s="100">
        <f t="shared" si="181"/>
        <v>0</v>
      </c>
      <c r="AB186" s="100">
        <f t="shared" si="182"/>
        <v>0</v>
      </c>
      <c r="AC186" s="100">
        <f t="shared" si="183"/>
        <v>0</v>
      </c>
      <c r="AD186" s="100">
        <f t="shared" si="184"/>
        <v>0</v>
      </c>
      <c r="AE186" s="100">
        <f t="shared" si="185"/>
        <v>0</v>
      </c>
      <c r="AF186" s="100">
        <f t="shared" si="186"/>
        <v>0</v>
      </c>
      <c r="AG186" s="100">
        <f t="shared" si="187"/>
        <v>0</v>
      </c>
      <c r="AH186" s="100">
        <f t="shared" si="188"/>
        <v>0</v>
      </c>
      <c r="AI186" s="109"/>
      <c r="AJ186" s="108">
        <f t="shared" si="189"/>
        <v>0</v>
      </c>
      <c r="AK186" s="108">
        <f t="shared" si="190"/>
        <v>0</v>
      </c>
      <c r="AL186" s="108">
        <f t="shared" si="191"/>
        <v>0</v>
      </c>
      <c r="AN186" s="100">
        <v>15</v>
      </c>
      <c r="AO186" s="100">
        <f t="shared" si="192"/>
        <v>0</v>
      </c>
      <c r="AP186" s="100">
        <f t="shared" si="193"/>
        <v>0</v>
      </c>
      <c r="AQ186" s="111" t="s">
        <v>11</v>
      </c>
      <c r="AV186" s="100">
        <f t="shared" si="194"/>
        <v>0</v>
      </c>
      <c r="AW186" s="100">
        <f t="shared" si="195"/>
        <v>0</v>
      </c>
      <c r="AX186" s="100">
        <f t="shared" si="196"/>
        <v>0</v>
      </c>
      <c r="AY186" s="110" t="s">
        <v>1703</v>
      </c>
      <c r="AZ186" s="110" t="s">
        <v>1730</v>
      </c>
      <c r="BA186" s="109" t="s">
        <v>1737</v>
      </c>
      <c r="BC186" s="100">
        <f t="shared" si="197"/>
        <v>0</v>
      </c>
      <c r="BD186" s="100">
        <f t="shared" si="198"/>
        <v>0</v>
      </c>
      <c r="BE186" s="100">
        <v>0</v>
      </c>
      <c r="BF186" s="100">
        <f>186</f>
        <v>186</v>
      </c>
      <c r="BH186" s="108">
        <f t="shared" si="199"/>
        <v>0</v>
      </c>
      <c r="BI186" s="108">
        <f t="shared" si="200"/>
        <v>0</v>
      </c>
      <c r="BJ186" s="108">
        <f t="shared" si="201"/>
        <v>0</v>
      </c>
    </row>
    <row r="187" spans="1:62" x14ac:dyDescent="0.2">
      <c r="A187" s="117" t="s">
        <v>154</v>
      </c>
      <c r="B187" s="117" t="s">
        <v>702</v>
      </c>
      <c r="C187" s="304" t="s">
        <v>1214</v>
      </c>
      <c r="D187" s="305"/>
      <c r="E187" s="305"/>
      <c r="F187" s="117" t="s">
        <v>1648</v>
      </c>
      <c r="G187" s="116">
        <v>22.713999999999999</v>
      </c>
      <c r="H187" s="159"/>
      <c r="I187" s="108">
        <f t="shared" si="178"/>
        <v>0</v>
      </c>
      <c r="J187" s="108">
        <f t="shared" si="179"/>
        <v>0</v>
      </c>
      <c r="K187" s="108">
        <f t="shared" si="180"/>
        <v>0</v>
      </c>
      <c r="L187" s="111" t="s">
        <v>1671</v>
      </c>
      <c r="Z187" s="100">
        <f t="shared" si="181"/>
        <v>0</v>
      </c>
      <c r="AB187" s="100">
        <f t="shared" si="182"/>
        <v>0</v>
      </c>
      <c r="AC187" s="100">
        <f t="shared" si="183"/>
        <v>0</v>
      </c>
      <c r="AD187" s="100">
        <f t="shared" si="184"/>
        <v>0</v>
      </c>
      <c r="AE187" s="100">
        <f t="shared" si="185"/>
        <v>0</v>
      </c>
      <c r="AF187" s="100">
        <f t="shared" si="186"/>
        <v>0</v>
      </c>
      <c r="AG187" s="100">
        <f t="shared" si="187"/>
        <v>0</v>
      </c>
      <c r="AH187" s="100">
        <f t="shared" si="188"/>
        <v>0</v>
      </c>
      <c r="AI187" s="109"/>
      <c r="AJ187" s="108">
        <f t="shared" si="189"/>
        <v>0</v>
      </c>
      <c r="AK187" s="108">
        <f t="shared" si="190"/>
        <v>0</v>
      </c>
      <c r="AL187" s="108">
        <f t="shared" si="191"/>
        <v>0</v>
      </c>
      <c r="AN187" s="100">
        <v>15</v>
      </c>
      <c r="AO187" s="100">
        <f t="shared" si="192"/>
        <v>0</v>
      </c>
      <c r="AP187" s="100">
        <f t="shared" si="193"/>
        <v>0</v>
      </c>
      <c r="AQ187" s="111" t="s">
        <v>11</v>
      </c>
      <c r="AV187" s="100">
        <f t="shared" si="194"/>
        <v>0</v>
      </c>
      <c r="AW187" s="100">
        <f t="shared" si="195"/>
        <v>0</v>
      </c>
      <c r="AX187" s="100">
        <f t="shared" si="196"/>
        <v>0</v>
      </c>
      <c r="AY187" s="110" t="s">
        <v>1703</v>
      </c>
      <c r="AZ187" s="110" t="s">
        <v>1730</v>
      </c>
      <c r="BA187" s="109" t="s">
        <v>1737</v>
      </c>
      <c r="BC187" s="100">
        <f t="shared" si="197"/>
        <v>0</v>
      </c>
      <c r="BD187" s="100">
        <f t="shared" si="198"/>
        <v>0</v>
      </c>
      <c r="BE187" s="100">
        <v>0</v>
      </c>
      <c r="BF187" s="100">
        <f>187</f>
        <v>187</v>
      </c>
      <c r="BH187" s="108">
        <f t="shared" si="199"/>
        <v>0</v>
      </c>
      <c r="BI187" s="108">
        <f t="shared" si="200"/>
        <v>0</v>
      </c>
      <c r="BJ187" s="108">
        <f t="shared" si="201"/>
        <v>0</v>
      </c>
    </row>
    <row r="188" spans="1:62" x14ac:dyDescent="0.2">
      <c r="A188" s="119"/>
      <c r="B188" s="120" t="s">
        <v>703</v>
      </c>
      <c r="C188" s="306" t="s">
        <v>1215</v>
      </c>
      <c r="D188" s="307"/>
      <c r="E188" s="307"/>
      <c r="F188" s="119" t="s">
        <v>6</v>
      </c>
      <c r="G188" s="119" t="s">
        <v>6</v>
      </c>
      <c r="H188" s="119" t="s">
        <v>6</v>
      </c>
      <c r="I188" s="118">
        <f>SUM(I189:I189)</f>
        <v>0</v>
      </c>
      <c r="J188" s="118">
        <f>SUM(J189:J189)</f>
        <v>0</v>
      </c>
      <c r="K188" s="118">
        <f>SUM(K189:K189)</f>
        <v>0</v>
      </c>
      <c r="L188" s="109"/>
      <c r="AI188" s="109"/>
      <c r="AS188" s="118">
        <f>SUM(AJ189:AJ189)</f>
        <v>0</v>
      </c>
      <c r="AT188" s="118">
        <f>SUM(AK189:AK189)</f>
        <v>0</v>
      </c>
      <c r="AU188" s="118">
        <f>SUM(AL189:AL189)</f>
        <v>0</v>
      </c>
    </row>
    <row r="189" spans="1:62" x14ac:dyDescent="0.2">
      <c r="A189" s="117" t="s">
        <v>155</v>
      </c>
      <c r="B189" s="117" t="s">
        <v>704</v>
      </c>
      <c r="C189" s="304" t="s">
        <v>1216</v>
      </c>
      <c r="D189" s="305"/>
      <c r="E189" s="305"/>
      <c r="F189" s="117" t="s">
        <v>1648</v>
      </c>
      <c r="G189" s="116">
        <v>378.56900000000002</v>
      </c>
      <c r="H189" s="159"/>
      <c r="I189" s="108">
        <f>G189*AO189</f>
        <v>0</v>
      </c>
      <c r="J189" s="108">
        <f>G189*AP189</f>
        <v>0</v>
      </c>
      <c r="K189" s="108">
        <f>G189*H189</f>
        <v>0</v>
      </c>
      <c r="L189" s="111" t="s">
        <v>1671</v>
      </c>
      <c r="Z189" s="100">
        <f>IF(AQ189="5",BJ189,0)</f>
        <v>0</v>
      </c>
      <c r="AB189" s="100">
        <f>IF(AQ189="1",BH189,0)</f>
        <v>0</v>
      </c>
      <c r="AC189" s="100">
        <f>IF(AQ189="1",BI189,0)</f>
        <v>0</v>
      </c>
      <c r="AD189" s="100">
        <f>IF(AQ189="7",BH189,0)</f>
        <v>0</v>
      </c>
      <c r="AE189" s="100">
        <f>IF(AQ189="7",BI189,0)</f>
        <v>0</v>
      </c>
      <c r="AF189" s="100">
        <f>IF(AQ189="2",BH189,0)</f>
        <v>0</v>
      </c>
      <c r="AG189" s="100">
        <f>IF(AQ189="2",BI189,0)</f>
        <v>0</v>
      </c>
      <c r="AH189" s="100">
        <f>IF(AQ189="0",BJ189,0)</f>
        <v>0</v>
      </c>
      <c r="AI189" s="109"/>
      <c r="AJ189" s="108">
        <f>IF(AN189=0,K189,0)</f>
        <v>0</v>
      </c>
      <c r="AK189" s="108">
        <f>IF(AN189=15,K189,0)</f>
        <v>0</v>
      </c>
      <c r="AL189" s="108">
        <f>IF(AN189=21,K189,0)</f>
        <v>0</v>
      </c>
      <c r="AN189" s="100">
        <v>15</v>
      </c>
      <c r="AO189" s="100">
        <f>H189*0</f>
        <v>0</v>
      </c>
      <c r="AP189" s="100">
        <f>H189*(1-0)</f>
        <v>0</v>
      </c>
      <c r="AQ189" s="111" t="s">
        <v>11</v>
      </c>
      <c r="AV189" s="100">
        <f>AW189+AX189</f>
        <v>0</v>
      </c>
      <c r="AW189" s="100">
        <f>G189*AO189</f>
        <v>0</v>
      </c>
      <c r="AX189" s="100">
        <f>G189*AP189</f>
        <v>0</v>
      </c>
      <c r="AY189" s="110" t="s">
        <v>1704</v>
      </c>
      <c r="AZ189" s="110" t="s">
        <v>1730</v>
      </c>
      <c r="BA189" s="109" t="s">
        <v>1737</v>
      </c>
      <c r="BC189" s="100">
        <f>AW189+AX189</f>
        <v>0</v>
      </c>
      <c r="BD189" s="100">
        <f>H189/(100-BE189)*100</f>
        <v>0</v>
      </c>
      <c r="BE189" s="100">
        <v>0</v>
      </c>
      <c r="BF189" s="100">
        <f>189</f>
        <v>189</v>
      </c>
      <c r="BH189" s="108">
        <f>G189*AO189</f>
        <v>0</v>
      </c>
      <c r="BI189" s="108">
        <f>G189*AP189</f>
        <v>0</v>
      </c>
      <c r="BJ189" s="108">
        <f>G189*H189</f>
        <v>0</v>
      </c>
    </row>
    <row r="190" spans="1:62" x14ac:dyDescent="0.2">
      <c r="A190" s="119"/>
      <c r="B190" s="120" t="s">
        <v>705</v>
      </c>
      <c r="C190" s="306" t="s">
        <v>1217</v>
      </c>
      <c r="D190" s="307"/>
      <c r="E190" s="307"/>
      <c r="F190" s="119" t="s">
        <v>6</v>
      </c>
      <c r="G190" s="119" t="s">
        <v>6</v>
      </c>
      <c r="H190" s="119" t="s">
        <v>6</v>
      </c>
      <c r="I190" s="118">
        <f>SUM(I191:I195)</f>
        <v>0</v>
      </c>
      <c r="J190" s="118">
        <f>SUM(J191:J195)</f>
        <v>0</v>
      </c>
      <c r="K190" s="118">
        <f>SUM(K191:K195)</f>
        <v>0</v>
      </c>
      <c r="L190" s="109"/>
      <c r="AI190" s="109"/>
      <c r="AS190" s="118">
        <f>SUM(AJ191:AJ195)</f>
        <v>0</v>
      </c>
      <c r="AT190" s="118">
        <f>SUM(AK191:AK195)</f>
        <v>0</v>
      </c>
      <c r="AU190" s="118">
        <f>SUM(AL191:AL195)</f>
        <v>0</v>
      </c>
    </row>
    <row r="191" spans="1:62" x14ac:dyDescent="0.2">
      <c r="A191" s="117" t="s">
        <v>156</v>
      </c>
      <c r="B191" s="117" t="s">
        <v>706</v>
      </c>
      <c r="C191" s="304" t="s">
        <v>1218</v>
      </c>
      <c r="D191" s="305"/>
      <c r="E191" s="305"/>
      <c r="F191" s="117" t="s">
        <v>1645</v>
      </c>
      <c r="G191" s="116">
        <v>1155.05</v>
      </c>
      <c r="H191" s="159"/>
      <c r="I191" s="108">
        <f>G191*AO191</f>
        <v>0</v>
      </c>
      <c r="J191" s="108">
        <f>G191*AP191</f>
        <v>0</v>
      </c>
      <c r="K191" s="108">
        <f>G191*H191</f>
        <v>0</v>
      </c>
      <c r="L191" s="111" t="s">
        <v>1671</v>
      </c>
      <c r="Z191" s="100">
        <f>IF(AQ191="5",BJ191,0)</f>
        <v>0</v>
      </c>
      <c r="AB191" s="100">
        <f>IF(AQ191="1",BH191,0)</f>
        <v>0</v>
      </c>
      <c r="AC191" s="100">
        <f>IF(AQ191="1",BI191,0)</f>
        <v>0</v>
      </c>
      <c r="AD191" s="100">
        <f>IF(AQ191="7",BH191,0)</f>
        <v>0</v>
      </c>
      <c r="AE191" s="100">
        <f>IF(AQ191="7",BI191,0)</f>
        <v>0</v>
      </c>
      <c r="AF191" s="100">
        <f>IF(AQ191="2",BH191,0)</f>
        <v>0</v>
      </c>
      <c r="AG191" s="100">
        <f>IF(AQ191="2",BI191,0)</f>
        <v>0</v>
      </c>
      <c r="AH191" s="100">
        <f>IF(AQ191="0",BJ191,0)</f>
        <v>0</v>
      </c>
      <c r="AI191" s="109"/>
      <c r="AJ191" s="108">
        <f>IF(AN191=0,K191,0)</f>
        <v>0</v>
      </c>
      <c r="AK191" s="108">
        <f>IF(AN191=15,K191,0)</f>
        <v>0</v>
      </c>
      <c r="AL191" s="108">
        <f>IF(AN191=21,K191,0)</f>
        <v>0</v>
      </c>
      <c r="AN191" s="100">
        <v>15</v>
      </c>
      <c r="AO191" s="100">
        <f>H191*0</f>
        <v>0</v>
      </c>
      <c r="AP191" s="100">
        <f>H191*(1-0)</f>
        <v>0</v>
      </c>
      <c r="AQ191" s="111" t="s">
        <v>13</v>
      </c>
      <c r="AV191" s="100">
        <f>AW191+AX191</f>
        <v>0</v>
      </c>
      <c r="AW191" s="100">
        <f>G191*AO191</f>
        <v>0</v>
      </c>
      <c r="AX191" s="100">
        <f>G191*AP191</f>
        <v>0</v>
      </c>
      <c r="AY191" s="110" t="s">
        <v>1705</v>
      </c>
      <c r="AZ191" s="110" t="s">
        <v>1731</v>
      </c>
      <c r="BA191" s="109" t="s">
        <v>1737</v>
      </c>
      <c r="BC191" s="100">
        <f>AW191+AX191</f>
        <v>0</v>
      </c>
      <c r="BD191" s="100">
        <f>H191/(100-BE191)*100</f>
        <v>0</v>
      </c>
      <c r="BE191" s="100">
        <v>0</v>
      </c>
      <c r="BF191" s="100">
        <f>191</f>
        <v>191</v>
      </c>
      <c r="BH191" s="108">
        <f>G191*AO191</f>
        <v>0</v>
      </c>
      <c r="BI191" s="108">
        <f>G191*AP191</f>
        <v>0</v>
      </c>
      <c r="BJ191" s="108">
        <f>G191*H191</f>
        <v>0</v>
      </c>
    </row>
    <row r="192" spans="1:62" x14ac:dyDescent="0.2">
      <c r="A192" s="117" t="s">
        <v>157</v>
      </c>
      <c r="B192" s="117" t="s">
        <v>707</v>
      </c>
      <c r="C192" s="304" t="s">
        <v>1219</v>
      </c>
      <c r="D192" s="305"/>
      <c r="E192" s="305"/>
      <c r="F192" s="117" t="s">
        <v>1644</v>
      </c>
      <c r="G192" s="116">
        <v>12</v>
      </c>
      <c r="H192" s="159"/>
      <c r="I192" s="108">
        <f>G192*AO192</f>
        <v>0</v>
      </c>
      <c r="J192" s="108">
        <f>G192*AP192</f>
        <v>0</v>
      </c>
      <c r="K192" s="108">
        <f>G192*H192</f>
        <v>0</v>
      </c>
      <c r="L192" s="111" t="s">
        <v>1671</v>
      </c>
      <c r="Z192" s="100">
        <f>IF(AQ192="5",BJ192,0)</f>
        <v>0</v>
      </c>
      <c r="AB192" s="100">
        <f>IF(AQ192="1",BH192,0)</f>
        <v>0</v>
      </c>
      <c r="AC192" s="100">
        <f>IF(AQ192="1",BI192,0)</f>
        <v>0</v>
      </c>
      <c r="AD192" s="100">
        <f>IF(AQ192="7",BH192,0)</f>
        <v>0</v>
      </c>
      <c r="AE192" s="100">
        <f>IF(AQ192="7",BI192,0)</f>
        <v>0</v>
      </c>
      <c r="AF192" s="100">
        <f>IF(AQ192="2",BH192,0)</f>
        <v>0</v>
      </c>
      <c r="AG192" s="100">
        <f>IF(AQ192="2",BI192,0)</f>
        <v>0</v>
      </c>
      <c r="AH192" s="100">
        <f>IF(AQ192="0",BJ192,0)</f>
        <v>0</v>
      </c>
      <c r="AI192" s="109"/>
      <c r="AJ192" s="108">
        <f>IF(AN192=0,K192,0)</f>
        <v>0</v>
      </c>
      <c r="AK192" s="108">
        <f>IF(AN192=15,K192,0)</f>
        <v>0</v>
      </c>
      <c r="AL192" s="108">
        <f>IF(AN192=21,K192,0)</f>
        <v>0</v>
      </c>
      <c r="AN192" s="100">
        <v>15</v>
      </c>
      <c r="AO192" s="100">
        <f>H192*0.846349462365591</f>
        <v>0</v>
      </c>
      <c r="AP192" s="100">
        <f>H192*(1-0.846349462365591)</f>
        <v>0</v>
      </c>
      <c r="AQ192" s="111" t="s">
        <v>13</v>
      </c>
      <c r="AV192" s="100">
        <f>AW192+AX192</f>
        <v>0</v>
      </c>
      <c r="AW192" s="100">
        <f>G192*AO192</f>
        <v>0</v>
      </c>
      <c r="AX192" s="100">
        <f>G192*AP192</f>
        <v>0</v>
      </c>
      <c r="AY192" s="110" t="s">
        <v>1705</v>
      </c>
      <c r="AZ192" s="110" t="s">
        <v>1731</v>
      </c>
      <c r="BA192" s="109" t="s">
        <v>1737</v>
      </c>
      <c r="BC192" s="100">
        <f>AW192+AX192</f>
        <v>0</v>
      </c>
      <c r="BD192" s="100">
        <f>H192/(100-BE192)*100</f>
        <v>0</v>
      </c>
      <c r="BE192" s="100">
        <v>0</v>
      </c>
      <c r="BF192" s="100">
        <f>192</f>
        <v>192</v>
      </c>
      <c r="BH192" s="108">
        <f>G192*AO192</f>
        <v>0</v>
      </c>
      <c r="BI192" s="108">
        <f>G192*AP192</f>
        <v>0</v>
      </c>
      <c r="BJ192" s="108">
        <f>G192*H192</f>
        <v>0</v>
      </c>
    </row>
    <row r="193" spans="1:62" x14ac:dyDescent="0.2">
      <c r="A193" s="117" t="s">
        <v>158</v>
      </c>
      <c r="B193" s="117" t="s">
        <v>2467</v>
      </c>
      <c r="C193" s="304" t="s">
        <v>2468</v>
      </c>
      <c r="D193" s="305"/>
      <c r="E193" s="305"/>
      <c r="F193" s="117" t="s">
        <v>1645</v>
      </c>
      <c r="G193" s="116">
        <v>11.385</v>
      </c>
      <c r="H193" s="159"/>
      <c r="I193" s="108">
        <f>G193*AO193</f>
        <v>0</v>
      </c>
      <c r="J193" s="108">
        <f>G193*AP193</f>
        <v>0</v>
      </c>
      <c r="K193" s="108">
        <f>G193*H193</f>
        <v>0</v>
      </c>
      <c r="L193" s="111" t="s">
        <v>1671</v>
      </c>
      <c r="Z193" s="100">
        <f>IF(AQ193="5",BJ193,0)</f>
        <v>0</v>
      </c>
      <c r="AB193" s="100">
        <f>IF(AQ193="1",BH193,0)</f>
        <v>0</v>
      </c>
      <c r="AC193" s="100">
        <f>IF(AQ193="1",BI193,0)</f>
        <v>0</v>
      </c>
      <c r="AD193" s="100">
        <f>IF(AQ193="7",BH193,0)</f>
        <v>0</v>
      </c>
      <c r="AE193" s="100">
        <f>IF(AQ193="7",BI193,0)</f>
        <v>0</v>
      </c>
      <c r="AF193" s="100">
        <f>IF(AQ193="2",BH193,0)</f>
        <v>0</v>
      </c>
      <c r="AG193" s="100">
        <f>IF(AQ193="2",BI193,0)</f>
        <v>0</v>
      </c>
      <c r="AH193" s="100">
        <f>IF(AQ193="0",BJ193,0)</f>
        <v>0</v>
      </c>
      <c r="AI193" s="109"/>
      <c r="AJ193" s="108">
        <f>IF(AN193=0,K193,0)</f>
        <v>0</v>
      </c>
      <c r="AK193" s="108">
        <f>IF(AN193=15,K193,0)</f>
        <v>0</v>
      </c>
      <c r="AL193" s="108">
        <f>IF(AN193=21,K193,0)</f>
        <v>0</v>
      </c>
      <c r="AN193" s="100">
        <v>15</v>
      </c>
      <c r="AO193" s="100">
        <f>H193*0.403292480396897</f>
        <v>0</v>
      </c>
      <c r="AP193" s="100">
        <f>H193*(1-0.403292480396897)</f>
        <v>0</v>
      </c>
      <c r="AQ193" s="111" t="s">
        <v>13</v>
      </c>
      <c r="AV193" s="100">
        <f>AW193+AX193</f>
        <v>0</v>
      </c>
      <c r="AW193" s="100">
        <f>G193*AO193</f>
        <v>0</v>
      </c>
      <c r="AX193" s="100">
        <f>G193*AP193</f>
        <v>0</v>
      </c>
      <c r="AY193" s="110" t="s">
        <v>1705</v>
      </c>
      <c r="AZ193" s="110" t="s">
        <v>1731</v>
      </c>
      <c r="BA193" s="109" t="s">
        <v>1737</v>
      </c>
      <c r="BC193" s="100">
        <f>AW193+AX193</f>
        <v>0</v>
      </c>
      <c r="BD193" s="100">
        <f>H193/(100-BE193)*100</f>
        <v>0</v>
      </c>
      <c r="BE193" s="100">
        <v>0</v>
      </c>
      <c r="BF193" s="100">
        <f>193</f>
        <v>193</v>
      </c>
      <c r="BH193" s="108">
        <f>G193*AO193</f>
        <v>0</v>
      </c>
      <c r="BI193" s="108">
        <f>G193*AP193</f>
        <v>0</v>
      </c>
      <c r="BJ193" s="108">
        <f>G193*H193</f>
        <v>0</v>
      </c>
    </row>
    <row r="194" spans="1:62" x14ac:dyDescent="0.2">
      <c r="A194" s="117" t="s">
        <v>159</v>
      </c>
      <c r="B194" s="117" t="s">
        <v>708</v>
      </c>
      <c r="C194" s="304" t="s">
        <v>3712</v>
      </c>
      <c r="D194" s="305"/>
      <c r="E194" s="305"/>
      <c r="F194" s="117" t="s">
        <v>1645</v>
      </c>
      <c r="G194" s="116">
        <v>1155.05</v>
      </c>
      <c r="H194" s="159"/>
      <c r="I194" s="108">
        <f>G194*AO194</f>
        <v>0</v>
      </c>
      <c r="J194" s="108">
        <f>G194*AP194</f>
        <v>0</v>
      </c>
      <c r="K194" s="108">
        <f>G194*H194</f>
        <v>0</v>
      </c>
      <c r="L194" s="111" t="s">
        <v>1671</v>
      </c>
      <c r="Z194" s="100">
        <f>IF(AQ194="5",BJ194,0)</f>
        <v>0</v>
      </c>
      <c r="AB194" s="100">
        <f>IF(AQ194="1",BH194,0)</f>
        <v>0</v>
      </c>
      <c r="AC194" s="100">
        <f>IF(AQ194="1",BI194,0)</f>
        <v>0</v>
      </c>
      <c r="AD194" s="100">
        <f>IF(AQ194="7",BH194,0)</f>
        <v>0</v>
      </c>
      <c r="AE194" s="100">
        <f>IF(AQ194="7",BI194,0)</f>
        <v>0</v>
      </c>
      <c r="AF194" s="100">
        <f>IF(AQ194="2",BH194,0)</f>
        <v>0</v>
      </c>
      <c r="AG194" s="100">
        <f>IF(AQ194="2",BI194,0)</f>
        <v>0</v>
      </c>
      <c r="AH194" s="100">
        <f>IF(AQ194="0",BJ194,0)</f>
        <v>0</v>
      </c>
      <c r="AI194" s="109"/>
      <c r="AJ194" s="108">
        <f>IF(AN194=0,K194,0)</f>
        <v>0</v>
      </c>
      <c r="AK194" s="108">
        <f>IF(AN194=15,K194,0)</f>
        <v>0</v>
      </c>
      <c r="AL194" s="108">
        <f>IF(AN194=21,K194,0)</f>
        <v>0</v>
      </c>
      <c r="AN194" s="100">
        <v>15</v>
      </c>
      <c r="AO194" s="100">
        <f>H194*0.427372179746904</f>
        <v>0</v>
      </c>
      <c r="AP194" s="100">
        <f>H194*(1-0.427372179746904)</f>
        <v>0</v>
      </c>
      <c r="AQ194" s="111" t="s">
        <v>13</v>
      </c>
      <c r="AV194" s="100">
        <f>AW194+AX194</f>
        <v>0</v>
      </c>
      <c r="AW194" s="100">
        <f>G194*AO194</f>
        <v>0</v>
      </c>
      <c r="AX194" s="100">
        <f>G194*AP194</f>
        <v>0</v>
      </c>
      <c r="AY194" s="110" t="s">
        <v>1705</v>
      </c>
      <c r="AZ194" s="110" t="s">
        <v>1731</v>
      </c>
      <c r="BA194" s="109" t="s">
        <v>1737</v>
      </c>
      <c r="BC194" s="100">
        <f>AW194+AX194</f>
        <v>0</v>
      </c>
      <c r="BD194" s="100">
        <f>H194/(100-BE194)*100</f>
        <v>0</v>
      </c>
      <c r="BE194" s="100">
        <v>0</v>
      </c>
      <c r="BF194" s="100">
        <f>194</f>
        <v>194</v>
      </c>
      <c r="BH194" s="108">
        <f>G194*AO194</f>
        <v>0</v>
      </c>
      <c r="BI194" s="108">
        <f>G194*AP194</f>
        <v>0</v>
      </c>
      <c r="BJ194" s="108">
        <f>G194*H194</f>
        <v>0</v>
      </c>
    </row>
    <row r="195" spans="1:62" x14ac:dyDescent="0.2">
      <c r="A195" s="117" t="s">
        <v>160</v>
      </c>
      <c r="B195" s="117" t="s">
        <v>709</v>
      </c>
      <c r="C195" s="304" t="s">
        <v>1221</v>
      </c>
      <c r="D195" s="305"/>
      <c r="E195" s="305"/>
      <c r="F195" s="117" t="s">
        <v>1648</v>
      </c>
      <c r="G195" s="116">
        <v>14.177</v>
      </c>
      <c r="H195" s="159"/>
      <c r="I195" s="108">
        <f>G195*AO195</f>
        <v>0</v>
      </c>
      <c r="J195" s="108">
        <f>G195*AP195</f>
        <v>0</v>
      </c>
      <c r="K195" s="108">
        <f>G195*H195</f>
        <v>0</v>
      </c>
      <c r="L195" s="111" t="s">
        <v>1671</v>
      </c>
      <c r="Z195" s="100">
        <f>IF(AQ195="5",BJ195,0)</f>
        <v>0</v>
      </c>
      <c r="AB195" s="100">
        <f>IF(AQ195="1",BH195,0)</f>
        <v>0</v>
      </c>
      <c r="AC195" s="100">
        <f>IF(AQ195="1",BI195,0)</f>
        <v>0</v>
      </c>
      <c r="AD195" s="100">
        <f>IF(AQ195="7",BH195,0)</f>
        <v>0</v>
      </c>
      <c r="AE195" s="100">
        <f>IF(AQ195="7",BI195,0)</f>
        <v>0</v>
      </c>
      <c r="AF195" s="100">
        <f>IF(AQ195="2",BH195,0)</f>
        <v>0</v>
      </c>
      <c r="AG195" s="100">
        <f>IF(AQ195="2",BI195,0)</f>
        <v>0</v>
      </c>
      <c r="AH195" s="100">
        <f>IF(AQ195="0",BJ195,0)</f>
        <v>0</v>
      </c>
      <c r="AI195" s="109"/>
      <c r="AJ195" s="108">
        <f>IF(AN195=0,K195,0)</f>
        <v>0</v>
      </c>
      <c r="AK195" s="108">
        <f>IF(AN195=15,K195,0)</f>
        <v>0</v>
      </c>
      <c r="AL195" s="108">
        <f>IF(AN195=21,K195,0)</f>
        <v>0</v>
      </c>
      <c r="AN195" s="100">
        <v>15</v>
      </c>
      <c r="AO195" s="100">
        <f>H195*0</f>
        <v>0</v>
      </c>
      <c r="AP195" s="100">
        <f>H195*(1-0)</f>
        <v>0</v>
      </c>
      <c r="AQ195" s="111" t="s">
        <v>11</v>
      </c>
      <c r="AV195" s="100">
        <f>AW195+AX195</f>
        <v>0</v>
      </c>
      <c r="AW195" s="100">
        <f>G195*AO195</f>
        <v>0</v>
      </c>
      <c r="AX195" s="100">
        <f>G195*AP195</f>
        <v>0</v>
      </c>
      <c r="AY195" s="110" t="s">
        <v>1705</v>
      </c>
      <c r="AZ195" s="110" t="s">
        <v>1731</v>
      </c>
      <c r="BA195" s="109" t="s">
        <v>1737</v>
      </c>
      <c r="BC195" s="100">
        <f>AW195+AX195</f>
        <v>0</v>
      </c>
      <c r="BD195" s="100">
        <f>H195/(100-BE195)*100</f>
        <v>0</v>
      </c>
      <c r="BE195" s="100">
        <v>0</v>
      </c>
      <c r="BF195" s="100">
        <f>195</f>
        <v>195</v>
      </c>
      <c r="BH195" s="108">
        <f>G195*AO195</f>
        <v>0</v>
      </c>
      <c r="BI195" s="108">
        <f>G195*AP195</f>
        <v>0</v>
      </c>
      <c r="BJ195" s="108">
        <f>G195*H195</f>
        <v>0</v>
      </c>
    </row>
    <row r="196" spans="1:62" x14ac:dyDescent="0.2">
      <c r="A196" s="119"/>
      <c r="B196" s="120" t="s">
        <v>710</v>
      </c>
      <c r="C196" s="306" t="s">
        <v>1222</v>
      </c>
      <c r="D196" s="307"/>
      <c r="E196" s="307"/>
      <c r="F196" s="119" t="s">
        <v>6</v>
      </c>
      <c r="G196" s="119" t="s">
        <v>6</v>
      </c>
      <c r="H196" s="119" t="s">
        <v>6</v>
      </c>
      <c r="I196" s="118">
        <f>SUM(I197:I206)</f>
        <v>0</v>
      </c>
      <c r="J196" s="118">
        <f>SUM(J197:J206)</f>
        <v>0</v>
      </c>
      <c r="K196" s="118">
        <f>SUM(K197:K206)</f>
        <v>0</v>
      </c>
      <c r="L196" s="109"/>
      <c r="AI196" s="109"/>
      <c r="AS196" s="118">
        <f>SUM(AJ197:AJ206)</f>
        <v>0</v>
      </c>
      <c r="AT196" s="118">
        <f>SUM(AK197:AK206)</f>
        <v>0</v>
      </c>
      <c r="AU196" s="118">
        <f>SUM(AL197:AL206)</f>
        <v>0</v>
      </c>
    </row>
    <row r="197" spans="1:62" x14ac:dyDescent="0.2">
      <c r="A197" s="117" t="s">
        <v>161</v>
      </c>
      <c r="B197" s="117" t="s">
        <v>3711</v>
      </c>
      <c r="C197" s="304" t="s">
        <v>3710</v>
      </c>
      <c r="D197" s="305"/>
      <c r="E197" s="305"/>
      <c r="F197" s="117" t="s">
        <v>1645</v>
      </c>
      <c r="G197" s="116">
        <v>969.84</v>
      </c>
      <c r="H197" s="159"/>
      <c r="I197" s="108">
        <f t="shared" ref="I197:I206" si="202">G197*AO197</f>
        <v>0</v>
      </c>
      <c r="J197" s="108">
        <f t="shared" ref="J197:J206" si="203">G197*AP197</f>
        <v>0</v>
      </c>
      <c r="K197" s="108">
        <f t="shared" ref="K197:K206" si="204">G197*H197</f>
        <v>0</v>
      </c>
      <c r="L197" s="111" t="s">
        <v>1671</v>
      </c>
      <c r="Z197" s="100">
        <f t="shared" ref="Z197:Z206" si="205">IF(AQ197="5",BJ197,0)</f>
        <v>0</v>
      </c>
      <c r="AB197" s="100">
        <f t="shared" ref="AB197:AB206" si="206">IF(AQ197="1",BH197,0)</f>
        <v>0</v>
      </c>
      <c r="AC197" s="100">
        <f t="shared" ref="AC197:AC206" si="207">IF(AQ197="1",BI197,0)</f>
        <v>0</v>
      </c>
      <c r="AD197" s="100">
        <f t="shared" ref="AD197:AD206" si="208">IF(AQ197="7",BH197,0)</f>
        <v>0</v>
      </c>
      <c r="AE197" s="100">
        <f t="shared" ref="AE197:AE206" si="209">IF(AQ197="7",BI197,0)</f>
        <v>0</v>
      </c>
      <c r="AF197" s="100">
        <f t="shared" ref="AF197:AF206" si="210">IF(AQ197="2",BH197,0)</f>
        <v>0</v>
      </c>
      <c r="AG197" s="100">
        <f t="shared" ref="AG197:AG206" si="211">IF(AQ197="2",BI197,0)</f>
        <v>0</v>
      </c>
      <c r="AH197" s="100">
        <f t="shared" ref="AH197:AH206" si="212">IF(AQ197="0",BJ197,0)</f>
        <v>0</v>
      </c>
      <c r="AI197" s="109"/>
      <c r="AJ197" s="108">
        <f t="shared" ref="AJ197:AJ206" si="213">IF(AN197=0,K197,0)</f>
        <v>0</v>
      </c>
      <c r="AK197" s="108">
        <f t="shared" ref="AK197:AK206" si="214">IF(AN197=15,K197,0)</f>
        <v>0</v>
      </c>
      <c r="AL197" s="108">
        <f t="shared" ref="AL197:AL206" si="215">IF(AN197=21,K197,0)</f>
        <v>0</v>
      </c>
      <c r="AN197" s="100">
        <v>15</v>
      </c>
      <c r="AO197" s="100">
        <f>H197*0</f>
        <v>0</v>
      </c>
      <c r="AP197" s="100">
        <f>H197*(1-0)</f>
        <v>0</v>
      </c>
      <c r="AQ197" s="111" t="s">
        <v>13</v>
      </c>
      <c r="AV197" s="100">
        <f t="shared" ref="AV197:AV206" si="216">AW197+AX197</f>
        <v>0</v>
      </c>
      <c r="AW197" s="100">
        <f t="shared" ref="AW197:AW206" si="217">G197*AO197</f>
        <v>0</v>
      </c>
      <c r="AX197" s="100">
        <f t="shared" ref="AX197:AX206" si="218">G197*AP197</f>
        <v>0</v>
      </c>
      <c r="AY197" s="110" t="s">
        <v>1706</v>
      </c>
      <c r="AZ197" s="110" t="s">
        <v>1731</v>
      </c>
      <c r="BA197" s="109" t="s">
        <v>1737</v>
      </c>
      <c r="BC197" s="100">
        <f t="shared" ref="BC197:BC206" si="219">AW197+AX197</f>
        <v>0</v>
      </c>
      <c r="BD197" s="100">
        <f t="shared" ref="BD197:BD206" si="220">H197/(100-BE197)*100</f>
        <v>0</v>
      </c>
      <c r="BE197" s="100">
        <v>0</v>
      </c>
      <c r="BF197" s="100">
        <f>197</f>
        <v>197</v>
      </c>
      <c r="BH197" s="108">
        <f t="shared" ref="BH197:BH206" si="221">G197*AO197</f>
        <v>0</v>
      </c>
      <c r="BI197" s="108">
        <f t="shared" ref="BI197:BI206" si="222">G197*AP197</f>
        <v>0</v>
      </c>
      <c r="BJ197" s="108">
        <f t="shared" ref="BJ197:BJ206" si="223">G197*H197</f>
        <v>0</v>
      </c>
    </row>
    <row r="198" spans="1:62" x14ac:dyDescent="0.2">
      <c r="A198" s="117" t="s">
        <v>162</v>
      </c>
      <c r="B198" s="117" t="s">
        <v>711</v>
      </c>
      <c r="C198" s="304" t="s">
        <v>3709</v>
      </c>
      <c r="D198" s="305"/>
      <c r="E198" s="305"/>
      <c r="F198" s="117" t="s">
        <v>1645</v>
      </c>
      <c r="G198" s="116">
        <v>969.84</v>
      </c>
      <c r="H198" s="159"/>
      <c r="I198" s="108">
        <f t="shared" si="202"/>
        <v>0</v>
      </c>
      <c r="J198" s="108">
        <f t="shared" si="203"/>
        <v>0</v>
      </c>
      <c r="K198" s="108">
        <f t="shared" si="204"/>
        <v>0</v>
      </c>
      <c r="L198" s="111" t="s">
        <v>1671</v>
      </c>
      <c r="Z198" s="100">
        <f t="shared" si="205"/>
        <v>0</v>
      </c>
      <c r="AB198" s="100">
        <f t="shared" si="206"/>
        <v>0</v>
      </c>
      <c r="AC198" s="100">
        <f t="shared" si="207"/>
        <v>0</v>
      </c>
      <c r="AD198" s="100">
        <f t="shared" si="208"/>
        <v>0</v>
      </c>
      <c r="AE198" s="100">
        <f t="shared" si="209"/>
        <v>0</v>
      </c>
      <c r="AF198" s="100">
        <f t="shared" si="210"/>
        <v>0</v>
      </c>
      <c r="AG198" s="100">
        <f t="shared" si="211"/>
        <v>0</v>
      </c>
      <c r="AH198" s="100">
        <f t="shared" si="212"/>
        <v>0</v>
      </c>
      <c r="AI198" s="109"/>
      <c r="AJ198" s="108">
        <f t="shared" si="213"/>
        <v>0</v>
      </c>
      <c r="AK198" s="108">
        <f t="shared" si="214"/>
        <v>0</v>
      </c>
      <c r="AL198" s="108">
        <f t="shared" si="215"/>
        <v>0</v>
      </c>
      <c r="AN198" s="100">
        <v>15</v>
      </c>
      <c r="AO198" s="100">
        <f>H198*0</f>
        <v>0</v>
      </c>
      <c r="AP198" s="100">
        <f>H198*(1-0)</f>
        <v>0</v>
      </c>
      <c r="AQ198" s="111" t="s">
        <v>13</v>
      </c>
      <c r="AV198" s="100">
        <f t="shared" si="216"/>
        <v>0</v>
      </c>
      <c r="AW198" s="100">
        <f t="shared" si="217"/>
        <v>0</v>
      </c>
      <c r="AX198" s="100">
        <f t="shared" si="218"/>
        <v>0</v>
      </c>
      <c r="AY198" s="110" t="s">
        <v>1706</v>
      </c>
      <c r="AZ198" s="110" t="s">
        <v>1731</v>
      </c>
      <c r="BA198" s="109" t="s">
        <v>1737</v>
      </c>
      <c r="BC198" s="100">
        <f t="shared" si="219"/>
        <v>0</v>
      </c>
      <c r="BD198" s="100">
        <f t="shared" si="220"/>
        <v>0</v>
      </c>
      <c r="BE198" s="100">
        <v>0</v>
      </c>
      <c r="BF198" s="100">
        <f>198</f>
        <v>198</v>
      </c>
      <c r="BH198" s="108">
        <f t="shared" si="221"/>
        <v>0</v>
      </c>
      <c r="BI198" s="108">
        <f t="shared" si="222"/>
        <v>0</v>
      </c>
      <c r="BJ198" s="108">
        <f t="shared" si="223"/>
        <v>0</v>
      </c>
    </row>
    <row r="199" spans="1:62" x14ac:dyDescent="0.2">
      <c r="A199" s="124" t="s">
        <v>163</v>
      </c>
      <c r="B199" s="124" t="s">
        <v>712</v>
      </c>
      <c r="C199" s="311" t="s">
        <v>1224</v>
      </c>
      <c r="D199" s="312"/>
      <c r="E199" s="312"/>
      <c r="F199" s="124" t="s">
        <v>1645</v>
      </c>
      <c r="G199" s="123">
        <v>1066.8240000000001</v>
      </c>
      <c r="H199" s="160"/>
      <c r="I199" s="121">
        <f t="shared" si="202"/>
        <v>0</v>
      </c>
      <c r="J199" s="121">
        <f t="shared" si="203"/>
        <v>0</v>
      </c>
      <c r="K199" s="121">
        <f t="shared" si="204"/>
        <v>0</v>
      </c>
      <c r="L199" s="122" t="s">
        <v>1671</v>
      </c>
      <c r="Z199" s="100">
        <f t="shared" si="205"/>
        <v>0</v>
      </c>
      <c r="AB199" s="100">
        <f t="shared" si="206"/>
        <v>0</v>
      </c>
      <c r="AC199" s="100">
        <f t="shared" si="207"/>
        <v>0</v>
      </c>
      <c r="AD199" s="100">
        <f t="shared" si="208"/>
        <v>0</v>
      </c>
      <c r="AE199" s="100">
        <f t="shared" si="209"/>
        <v>0</v>
      </c>
      <c r="AF199" s="100">
        <f t="shared" si="210"/>
        <v>0</v>
      </c>
      <c r="AG199" s="100">
        <f t="shared" si="211"/>
        <v>0</v>
      </c>
      <c r="AH199" s="100">
        <f t="shared" si="212"/>
        <v>0</v>
      </c>
      <c r="AI199" s="109"/>
      <c r="AJ199" s="121">
        <f t="shared" si="213"/>
        <v>0</v>
      </c>
      <c r="AK199" s="121">
        <f t="shared" si="214"/>
        <v>0</v>
      </c>
      <c r="AL199" s="121">
        <f t="shared" si="215"/>
        <v>0</v>
      </c>
      <c r="AN199" s="100">
        <v>15</v>
      </c>
      <c r="AO199" s="100">
        <f>H199*1</f>
        <v>0</v>
      </c>
      <c r="AP199" s="100">
        <f>H199*(1-1)</f>
        <v>0</v>
      </c>
      <c r="AQ199" s="122" t="s">
        <v>13</v>
      </c>
      <c r="AV199" s="100">
        <f t="shared" si="216"/>
        <v>0</v>
      </c>
      <c r="AW199" s="100">
        <f t="shared" si="217"/>
        <v>0</v>
      </c>
      <c r="AX199" s="100">
        <f t="shared" si="218"/>
        <v>0</v>
      </c>
      <c r="AY199" s="110" t="s">
        <v>1706</v>
      </c>
      <c r="AZ199" s="110" t="s">
        <v>1731</v>
      </c>
      <c r="BA199" s="109" t="s">
        <v>1737</v>
      </c>
      <c r="BC199" s="100">
        <f t="shared" si="219"/>
        <v>0</v>
      </c>
      <c r="BD199" s="100">
        <f t="shared" si="220"/>
        <v>0</v>
      </c>
      <c r="BE199" s="100">
        <v>0</v>
      </c>
      <c r="BF199" s="100">
        <f>199</f>
        <v>199</v>
      </c>
      <c r="BH199" s="121">
        <f t="shared" si="221"/>
        <v>0</v>
      </c>
      <c r="BI199" s="121">
        <f t="shared" si="222"/>
        <v>0</v>
      </c>
      <c r="BJ199" s="121">
        <f t="shared" si="223"/>
        <v>0</v>
      </c>
    </row>
    <row r="200" spans="1:62" x14ac:dyDescent="0.2">
      <c r="A200" s="124" t="s">
        <v>164</v>
      </c>
      <c r="B200" s="124" t="s">
        <v>713</v>
      </c>
      <c r="C200" s="311" t="s">
        <v>1225</v>
      </c>
      <c r="D200" s="312"/>
      <c r="E200" s="312"/>
      <c r="F200" s="124" t="s">
        <v>1645</v>
      </c>
      <c r="G200" s="123">
        <v>1066.8240000000001</v>
      </c>
      <c r="H200" s="160"/>
      <c r="I200" s="121">
        <f t="shared" si="202"/>
        <v>0</v>
      </c>
      <c r="J200" s="121">
        <f t="shared" si="203"/>
        <v>0</v>
      </c>
      <c r="K200" s="121">
        <f t="shared" si="204"/>
        <v>0</v>
      </c>
      <c r="L200" s="122" t="s">
        <v>1671</v>
      </c>
      <c r="Z200" s="100">
        <f t="shared" si="205"/>
        <v>0</v>
      </c>
      <c r="AB200" s="100">
        <f t="shared" si="206"/>
        <v>0</v>
      </c>
      <c r="AC200" s="100">
        <f t="shared" si="207"/>
        <v>0</v>
      </c>
      <c r="AD200" s="100">
        <f t="shared" si="208"/>
        <v>0</v>
      </c>
      <c r="AE200" s="100">
        <f t="shared" si="209"/>
        <v>0</v>
      </c>
      <c r="AF200" s="100">
        <f t="shared" si="210"/>
        <v>0</v>
      </c>
      <c r="AG200" s="100">
        <f t="shared" si="211"/>
        <v>0</v>
      </c>
      <c r="AH200" s="100">
        <f t="shared" si="212"/>
        <v>0</v>
      </c>
      <c r="AI200" s="109"/>
      <c r="AJ200" s="121">
        <f t="shared" si="213"/>
        <v>0</v>
      </c>
      <c r="AK200" s="121">
        <f t="shared" si="214"/>
        <v>0</v>
      </c>
      <c r="AL200" s="121">
        <f t="shared" si="215"/>
        <v>0</v>
      </c>
      <c r="AN200" s="100">
        <v>15</v>
      </c>
      <c r="AO200" s="100">
        <f>H200*1</f>
        <v>0</v>
      </c>
      <c r="AP200" s="100">
        <f>H200*(1-1)</f>
        <v>0</v>
      </c>
      <c r="AQ200" s="122" t="s">
        <v>13</v>
      </c>
      <c r="AV200" s="100">
        <f t="shared" si="216"/>
        <v>0</v>
      </c>
      <c r="AW200" s="100">
        <f t="shared" si="217"/>
        <v>0</v>
      </c>
      <c r="AX200" s="100">
        <f t="shared" si="218"/>
        <v>0</v>
      </c>
      <c r="AY200" s="110" t="s">
        <v>1706</v>
      </c>
      <c r="AZ200" s="110" t="s">
        <v>1731</v>
      </c>
      <c r="BA200" s="109" t="s">
        <v>1737</v>
      </c>
      <c r="BC200" s="100">
        <f t="shared" si="219"/>
        <v>0</v>
      </c>
      <c r="BD200" s="100">
        <f t="shared" si="220"/>
        <v>0</v>
      </c>
      <c r="BE200" s="100">
        <v>0</v>
      </c>
      <c r="BF200" s="100">
        <f>200</f>
        <v>200</v>
      </c>
      <c r="BH200" s="121">
        <f t="shared" si="221"/>
        <v>0</v>
      </c>
      <c r="BI200" s="121">
        <f t="shared" si="222"/>
        <v>0</v>
      </c>
      <c r="BJ200" s="121">
        <f t="shared" si="223"/>
        <v>0</v>
      </c>
    </row>
    <row r="201" spans="1:62" x14ac:dyDescent="0.2">
      <c r="A201" s="117" t="s">
        <v>165</v>
      </c>
      <c r="B201" s="117" t="s">
        <v>714</v>
      </c>
      <c r="C201" s="304" t="s">
        <v>1226</v>
      </c>
      <c r="D201" s="305"/>
      <c r="E201" s="305"/>
      <c r="F201" s="117" t="s">
        <v>1646</v>
      </c>
      <c r="G201" s="116">
        <v>155</v>
      </c>
      <c r="H201" s="159"/>
      <c r="I201" s="108">
        <f t="shared" si="202"/>
        <v>0</v>
      </c>
      <c r="J201" s="108">
        <f t="shared" si="203"/>
        <v>0</v>
      </c>
      <c r="K201" s="108">
        <f t="shared" si="204"/>
        <v>0</v>
      </c>
      <c r="L201" s="111" t="s">
        <v>1671</v>
      </c>
      <c r="Z201" s="100">
        <f t="shared" si="205"/>
        <v>0</v>
      </c>
      <c r="AB201" s="100">
        <f t="shared" si="206"/>
        <v>0</v>
      </c>
      <c r="AC201" s="100">
        <f t="shared" si="207"/>
        <v>0</v>
      </c>
      <c r="AD201" s="100">
        <f t="shared" si="208"/>
        <v>0</v>
      </c>
      <c r="AE201" s="100">
        <f t="shared" si="209"/>
        <v>0</v>
      </c>
      <c r="AF201" s="100">
        <f t="shared" si="210"/>
        <v>0</v>
      </c>
      <c r="AG201" s="100">
        <f t="shared" si="211"/>
        <v>0</v>
      </c>
      <c r="AH201" s="100">
        <f t="shared" si="212"/>
        <v>0</v>
      </c>
      <c r="AI201" s="109"/>
      <c r="AJ201" s="108">
        <f t="shared" si="213"/>
        <v>0</v>
      </c>
      <c r="AK201" s="108">
        <f t="shared" si="214"/>
        <v>0</v>
      </c>
      <c r="AL201" s="108">
        <f t="shared" si="215"/>
        <v>0</v>
      </c>
      <c r="AN201" s="100">
        <v>15</v>
      </c>
      <c r="AO201" s="100">
        <f>H201*0</f>
        <v>0</v>
      </c>
      <c r="AP201" s="100">
        <f>H201*(1-0)</f>
        <v>0</v>
      </c>
      <c r="AQ201" s="111" t="s">
        <v>13</v>
      </c>
      <c r="AV201" s="100">
        <f t="shared" si="216"/>
        <v>0</v>
      </c>
      <c r="AW201" s="100">
        <f t="shared" si="217"/>
        <v>0</v>
      </c>
      <c r="AX201" s="100">
        <f t="shared" si="218"/>
        <v>0</v>
      </c>
      <c r="AY201" s="110" t="s">
        <v>1706</v>
      </c>
      <c r="AZ201" s="110" t="s">
        <v>1731</v>
      </c>
      <c r="BA201" s="109" t="s">
        <v>1737</v>
      </c>
      <c r="BC201" s="100">
        <f t="shared" si="219"/>
        <v>0</v>
      </c>
      <c r="BD201" s="100">
        <f t="shared" si="220"/>
        <v>0</v>
      </c>
      <c r="BE201" s="100">
        <v>0</v>
      </c>
      <c r="BF201" s="100">
        <f>201</f>
        <v>201</v>
      </c>
      <c r="BH201" s="108">
        <f t="shared" si="221"/>
        <v>0</v>
      </c>
      <c r="BI201" s="108">
        <f t="shared" si="222"/>
        <v>0</v>
      </c>
      <c r="BJ201" s="108">
        <f t="shared" si="223"/>
        <v>0</v>
      </c>
    </row>
    <row r="202" spans="1:62" x14ac:dyDescent="0.2">
      <c r="A202" s="117" t="s">
        <v>166</v>
      </c>
      <c r="B202" s="117" t="s">
        <v>3708</v>
      </c>
      <c r="C202" s="304" t="s">
        <v>3707</v>
      </c>
      <c r="D202" s="305"/>
      <c r="E202" s="305"/>
      <c r="F202" s="117" t="s">
        <v>1645</v>
      </c>
      <c r="G202" s="116">
        <v>969.84</v>
      </c>
      <c r="H202" s="159"/>
      <c r="I202" s="108">
        <f t="shared" si="202"/>
        <v>0</v>
      </c>
      <c r="J202" s="108">
        <f t="shared" si="203"/>
        <v>0</v>
      </c>
      <c r="K202" s="108">
        <f t="shared" si="204"/>
        <v>0</v>
      </c>
      <c r="L202" s="111" t="s">
        <v>1671</v>
      </c>
      <c r="Z202" s="100">
        <f t="shared" si="205"/>
        <v>0</v>
      </c>
      <c r="AB202" s="100">
        <f t="shared" si="206"/>
        <v>0</v>
      </c>
      <c r="AC202" s="100">
        <f t="shared" si="207"/>
        <v>0</v>
      </c>
      <c r="AD202" s="100">
        <f t="shared" si="208"/>
        <v>0</v>
      </c>
      <c r="AE202" s="100">
        <f t="shared" si="209"/>
        <v>0</v>
      </c>
      <c r="AF202" s="100">
        <f t="shared" si="210"/>
        <v>0</v>
      </c>
      <c r="AG202" s="100">
        <f t="shared" si="211"/>
        <v>0</v>
      </c>
      <c r="AH202" s="100">
        <f t="shared" si="212"/>
        <v>0</v>
      </c>
      <c r="AI202" s="109"/>
      <c r="AJ202" s="108">
        <f t="shared" si="213"/>
        <v>0</v>
      </c>
      <c r="AK202" s="108">
        <f t="shared" si="214"/>
        <v>0</v>
      </c>
      <c r="AL202" s="108">
        <f t="shared" si="215"/>
        <v>0</v>
      </c>
      <c r="AN202" s="100">
        <v>15</v>
      </c>
      <c r="AO202" s="100">
        <f>H202*0.101244830604703</f>
        <v>0</v>
      </c>
      <c r="AP202" s="100">
        <f>H202*(1-0.101244830604703)</f>
        <v>0</v>
      </c>
      <c r="AQ202" s="111" t="s">
        <v>13</v>
      </c>
      <c r="AV202" s="100">
        <f t="shared" si="216"/>
        <v>0</v>
      </c>
      <c r="AW202" s="100">
        <f t="shared" si="217"/>
        <v>0</v>
      </c>
      <c r="AX202" s="100">
        <f t="shared" si="218"/>
        <v>0</v>
      </c>
      <c r="AY202" s="110" t="s">
        <v>1706</v>
      </c>
      <c r="AZ202" s="110" t="s">
        <v>1731</v>
      </c>
      <c r="BA202" s="109" t="s">
        <v>1737</v>
      </c>
      <c r="BC202" s="100">
        <f t="shared" si="219"/>
        <v>0</v>
      </c>
      <c r="BD202" s="100">
        <f t="shared" si="220"/>
        <v>0</v>
      </c>
      <c r="BE202" s="100">
        <v>0</v>
      </c>
      <c r="BF202" s="100">
        <f>202</f>
        <v>202</v>
      </c>
      <c r="BH202" s="108">
        <f t="shared" si="221"/>
        <v>0</v>
      </c>
      <c r="BI202" s="108">
        <f t="shared" si="222"/>
        <v>0</v>
      </c>
      <c r="BJ202" s="108">
        <f t="shared" si="223"/>
        <v>0</v>
      </c>
    </row>
    <row r="203" spans="1:62" x14ac:dyDescent="0.2">
      <c r="A203" s="117" t="s">
        <v>167</v>
      </c>
      <c r="B203" s="117" t="s">
        <v>715</v>
      </c>
      <c r="C203" s="304" t="s">
        <v>3706</v>
      </c>
      <c r="D203" s="305"/>
      <c r="E203" s="305"/>
      <c r="F203" s="117" t="s">
        <v>1645</v>
      </c>
      <c r="G203" s="116">
        <v>969.84</v>
      </c>
      <c r="H203" s="159"/>
      <c r="I203" s="108">
        <f t="shared" si="202"/>
        <v>0</v>
      </c>
      <c r="J203" s="108">
        <f t="shared" si="203"/>
        <v>0</v>
      </c>
      <c r="K203" s="108">
        <f t="shared" si="204"/>
        <v>0</v>
      </c>
      <c r="L203" s="111" t="s">
        <v>1671</v>
      </c>
      <c r="Z203" s="100">
        <f t="shared" si="205"/>
        <v>0</v>
      </c>
      <c r="AB203" s="100">
        <f t="shared" si="206"/>
        <v>0</v>
      </c>
      <c r="AC203" s="100">
        <f t="shared" si="207"/>
        <v>0</v>
      </c>
      <c r="AD203" s="100">
        <f t="shared" si="208"/>
        <v>0</v>
      </c>
      <c r="AE203" s="100">
        <f t="shared" si="209"/>
        <v>0</v>
      </c>
      <c r="AF203" s="100">
        <f t="shared" si="210"/>
        <v>0</v>
      </c>
      <c r="AG203" s="100">
        <f t="shared" si="211"/>
        <v>0</v>
      </c>
      <c r="AH203" s="100">
        <f t="shared" si="212"/>
        <v>0</v>
      </c>
      <c r="AI203" s="109"/>
      <c r="AJ203" s="108">
        <f t="shared" si="213"/>
        <v>0</v>
      </c>
      <c r="AK203" s="108">
        <f t="shared" si="214"/>
        <v>0</v>
      </c>
      <c r="AL203" s="108">
        <f t="shared" si="215"/>
        <v>0</v>
      </c>
      <c r="AN203" s="100">
        <v>15</v>
      </c>
      <c r="AO203" s="100">
        <f>H203*0.155846501128668</f>
        <v>0</v>
      </c>
      <c r="AP203" s="100">
        <f>H203*(1-0.155846501128668)</f>
        <v>0</v>
      </c>
      <c r="AQ203" s="111" t="s">
        <v>13</v>
      </c>
      <c r="AV203" s="100">
        <f t="shared" si="216"/>
        <v>0</v>
      </c>
      <c r="AW203" s="100">
        <f t="shared" si="217"/>
        <v>0</v>
      </c>
      <c r="AX203" s="100">
        <f t="shared" si="218"/>
        <v>0</v>
      </c>
      <c r="AY203" s="110" t="s">
        <v>1706</v>
      </c>
      <c r="AZ203" s="110" t="s">
        <v>1731</v>
      </c>
      <c r="BA203" s="109" t="s">
        <v>1737</v>
      </c>
      <c r="BC203" s="100">
        <f t="shared" si="219"/>
        <v>0</v>
      </c>
      <c r="BD203" s="100">
        <f t="shared" si="220"/>
        <v>0</v>
      </c>
      <c r="BE203" s="100">
        <v>0</v>
      </c>
      <c r="BF203" s="100">
        <f>203</f>
        <v>203</v>
      </c>
      <c r="BH203" s="108">
        <f t="shared" si="221"/>
        <v>0</v>
      </c>
      <c r="BI203" s="108">
        <f t="shared" si="222"/>
        <v>0</v>
      </c>
      <c r="BJ203" s="108">
        <f t="shared" si="223"/>
        <v>0</v>
      </c>
    </row>
    <row r="204" spans="1:62" x14ac:dyDescent="0.2">
      <c r="A204" s="117" t="s">
        <v>168</v>
      </c>
      <c r="B204" s="117" t="s">
        <v>716</v>
      </c>
      <c r="C204" s="304" t="s">
        <v>3705</v>
      </c>
      <c r="D204" s="305"/>
      <c r="E204" s="305"/>
      <c r="F204" s="117" t="s">
        <v>1645</v>
      </c>
      <c r="G204" s="116">
        <v>969.84</v>
      </c>
      <c r="H204" s="159"/>
      <c r="I204" s="108">
        <f t="shared" si="202"/>
        <v>0</v>
      </c>
      <c r="J204" s="108">
        <f t="shared" si="203"/>
        <v>0</v>
      </c>
      <c r="K204" s="108">
        <f t="shared" si="204"/>
        <v>0</v>
      </c>
      <c r="L204" s="111" t="s">
        <v>1671</v>
      </c>
      <c r="Z204" s="100">
        <f t="shared" si="205"/>
        <v>0</v>
      </c>
      <c r="AB204" s="100">
        <f t="shared" si="206"/>
        <v>0</v>
      </c>
      <c r="AC204" s="100">
        <f t="shared" si="207"/>
        <v>0</v>
      </c>
      <c r="AD204" s="100">
        <f t="shared" si="208"/>
        <v>0</v>
      </c>
      <c r="AE204" s="100">
        <f t="shared" si="209"/>
        <v>0</v>
      </c>
      <c r="AF204" s="100">
        <f t="shared" si="210"/>
        <v>0</v>
      </c>
      <c r="AG204" s="100">
        <f t="shared" si="211"/>
        <v>0</v>
      </c>
      <c r="AH204" s="100">
        <f t="shared" si="212"/>
        <v>0</v>
      </c>
      <c r="AI204" s="109"/>
      <c r="AJ204" s="108">
        <f t="shared" si="213"/>
        <v>0</v>
      </c>
      <c r="AK204" s="108">
        <f t="shared" si="214"/>
        <v>0</v>
      </c>
      <c r="AL204" s="108">
        <f t="shared" si="215"/>
        <v>0</v>
      </c>
      <c r="AN204" s="100">
        <v>15</v>
      </c>
      <c r="AO204" s="100">
        <f>H204*0.160103092783505</f>
        <v>0</v>
      </c>
      <c r="AP204" s="100">
        <f>H204*(1-0.160103092783505)</f>
        <v>0</v>
      </c>
      <c r="AQ204" s="111" t="s">
        <v>13</v>
      </c>
      <c r="AV204" s="100">
        <f t="shared" si="216"/>
        <v>0</v>
      </c>
      <c r="AW204" s="100">
        <f t="shared" si="217"/>
        <v>0</v>
      </c>
      <c r="AX204" s="100">
        <f t="shared" si="218"/>
        <v>0</v>
      </c>
      <c r="AY204" s="110" t="s">
        <v>1706</v>
      </c>
      <c r="AZ204" s="110" t="s">
        <v>1731</v>
      </c>
      <c r="BA204" s="109" t="s">
        <v>1737</v>
      </c>
      <c r="BC204" s="100">
        <f t="shared" si="219"/>
        <v>0</v>
      </c>
      <c r="BD204" s="100">
        <f t="shared" si="220"/>
        <v>0</v>
      </c>
      <c r="BE204" s="100">
        <v>0</v>
      </c>
      <c r="BF204" s="100">
        <f>204</f>
        <v>204</v>
      </c>
      <c r="BH204" s="108">
        <f t="shared" si="221"/>
        <v>0</v>
      </c>
      <c r="BI204" s="108">
        <f t="shared" si="222"/>
        <v>0</v>
      </c>
      <c r="BJ204" s="108">
        <f t="shared" si="223"/>
        <v>0</v>
      </c>
    </row>
    <row r="205" spans="1:62" x14ac:dyDescent="0.2">
      <c r="A205" s="117" t="s">
        <v>169</v>
      </c>
      <c r="B205" s="117" t="s">
        <v>717</v>
      </c>
      <c r="C205" s="304" t="s">
        <v>3704</v>
      </c>
      <c r="D205" s="305"/>
      <c r="E205" s="305"/>
      <c r="F205" s="117" t="s">
        <v>1645</v>
      </c>
      <c r="G205" s="116">
        <v>1166.4349999999999</v>
      </c>
      <c r="H205" s="159"/>
      <c r="I205" s="108">
        <f t="shared" si="202"/>
        <v>0</v>
      </c>
      <c r="J205" s="108">
        <f t="shared" si="203"/>
        <v>0</v>
      </c>
      <c r="K205" s="108">
        <f t="shared" si="204"/>
        <v>0</v>
      </c>
      <c r="L205" s="111" t="s">
        <v>1671</v>
      </c>
      <c r="Z205" s="100">
        <f t="shared" si="205"/>
        <v>0</v>
      </c>
      <c r="AB205" s="100">
        <f t="shared" si="206"/>
        <v>0</v>
      </c>
      <c r="AC205" s="100">
        <f t="shared" si="207"/>
        <v>0</v>
      </c>
      <c r="AD205" s="100">
        <f t="shared" si="208"/>
        <v>0</v>
      </c>
      <c r="AE205" s="100">
        <f t="shared" si="209"/>
        <v>0</v>
      </c>
      <c r="AF205" s="100">
        <f t="shared" si="210"/>
        <v>0</v>
      </c>
      <c r="AG205" s="100">
        <f t="shared" si="211"/>
        <v>0</v>
      </c>
      <c r="AH205" s="100">
        <f t="shared" si="212"/>
        <v>0</v>
      </c>
      <c r="AI205" s="109"/>
      <c r="AJ205" s="108">
        <f t="shared" si="213"/>
        <v>0</v>
      </c>
      <c r="AK205" s="108">
        <f t="shared" si="214"/>
        <v>0</v>
      </c>
      <c r="AL205" s="108">
        <f t="shared" si="215"/>
        <v>0</v>
      </c>
      <c r="AN205" s="100">
        <v>15</v>
      </c>
      <c r="AO205" s="100">
        <f>H205*0.42119206493687</f>
        <v>0</v>
      </c>
      <c r="AP205" s="100">
        <f>H205*(1-0.42119206493687)</f>
        <v>0</v>
      </c>
      <c r="AQ205" s="111" t="s">
        <v>13</v>
      </c>
      <c r="AV205" s="100">
        <f t="shared" si="216"/>
        <v>0</v>
      </c>
      <c r="AW205" s="100">
        <f t="shared" si="217"/>
        <v>0</v>
      </c>
      <c r="AX205" s="100">
        <f t="shared" si="218"/>
        <v>0</v>
      </c>
      <c r="AY205" s="110" t="s">
        <v>1706</v>
      </c>
      <c r="AZ205" s="110" t="s">
        <v>1731</v>
      </c>
      <c r="BA205" s="109" t="s">
        <v>1737</v>
      </c>
      <c r="BC205" s="100">
        <f t="shared" si="219"/>
        <v>0</v>
      </c>
      <c r="BD205" s="100">
        <f t="shared" si="220"/>
        <v>0</v>
      </c>
      <c r="BE205" s="100">
        <v>0</v>
      </c>
      <c r="BF205" s="100">
        <f>205</f>
        <v>205</v>
      </c>
      <c r="BH205" s="108">
        <f t="shared" si="221"/>
        <v>0</v>
      </c>
      <c r="BI205" s="108">
        <f t="shared" si="222"/>
        <v>0</v>
      </c>
      <c r="BJ205" s="108">
        <f t="shared" si="223"/>
        <v>0</v>
      </c>
    </row>
    <row r="206" spans="1:62" x14ac:dyDescent="0.2">
      <c r="A206" s="117" t="s">
        <v>170</v>
      </c>
      <c r="B206" s="117" t="s">
        <v>718</v>
      </c>
      <c r="C206" s="304" t="s">
        <v>1230</v>
      </c>
      <c r="D206" s="305"/>
      <c r="E206" s="305"/>
      <c r="F206" s="117" t="s">
        <v>1648</v>
      </c>
      <c r="G206" s="116">
        <v>8.9049999999999994</v>
      </c>
      <c r="H206" s="159"/>
      <c r="I206" s="108">
        <f t="shared" si="202"/>
        <v>0</v>
      </c>
      <c r="J206" s="108">
        <f t="shared" si="203"/>
        <v>0</v>
      </c>
      <c r="K206" s="108">
        <f t="shared" si="204"/>
        <v>0</v>
      </c>
      <c r="L206" s="111" t="s">
        <v>1671</v>
      </c>
      <c r="Z206" s="100">
        <f t="shared" si="205"/>
        <v>0</v>
      </c>
      <c r="AB206" s="100">
        <f t="shared" si="206"/>
        <v>0</v>
      </c>
      <c r="AC206" s="100">
        <f t="shared" si="207"/>
        <v>0</v>
      </c>
      <c r="AD206" s="100">
        <f t="shared" si="208"/>
        <v>0</v>
      </c>
      <c r="AE206" s="100">
        <f t="shared" si="209"/>
        <v>0</v>
      </c>
      <c r="AF206" s="100">
        <f t="shared" si="210"/>
        <v>0</v>
      </c>
      <c r="AG206" s="100">
        <f t="shared" si="211"/>
        <v>0</v>
      </c>
      <c r="AH206" s="100">
        <f t="shared" si="212"/>
        <v>0</v>
      </c>
      <c r="AI206" s="109"/>
      <c r="AJ206" s="108">
        <f t="shared" si="213"/>
        <v>0</v>
      </c>
      <c r="AK206" s="108">
        <f t="shared" si="214"/>
        <v>0</v>
      </c>
      <c r="AL206" s="108">
        <f t="shared" si="215"/>
        <v>0</v>
      </c>
      <c r="AN206" s="100">
        <v>15</v>
      </c>
      <c r="AO206" s="100">
        <f>H206*0</f>
        <v>0</v>
      </c>
      <c r="AP206" s="100">
        <f>H206*(1-0)</f>
        <v>0</v>
      </c>
      <c r="AQ206" s="111" t="s">
        <v>11</v>
      </c>
      <c r="AV206" s="100">
        <f t="shared" si="216"/>
        <v>0</v>
      </c>
      <c r="AW206" s="100">
        <f t="shared" si="217"/>
        <v>0</v>
      </c>
      <c r="AX206" s="100">
        <f t="shared" si="218"/>
        <v>0</v>
      </c>
      <c r="AY206" s="110" t="s">
        <v>1706</v>
      </c>
      <c r="AZ206" s="110" t="s">
        <v>1731</v>
      </c>
      <c r="BA206" s="109" t="s">
        <v>1737</v>
      </c>
      <c r="BC206" s="100">
        <f t="shared" si="219"/>
        <v>0</v>
      </c>
      <c r="BD206" s="100">
        <f t="shared" si="220"/>
        <v>0</v>
      </c>
      <c r="BE206" s="100">
        <v>0</v>
      </c>
      <c r="BF206" s="100">
        <f>206</f>
        <v>206</v>
      </c>
      <c r="BH206" s="108">
        <f t="shared" si="221"/>
        <v>0</v>
      </c>
      <c r="BI206" s="108">
        <f t="shared" si="222"/>
        <v>0</v>
      </c>
      <c r="BJ206" s="108">
        <f t="shared" si="223"/>
        <v>0</v>
      </c>
    </row>
    <row r="207" spans="1:62" x14ac:dyDescent="0.2">
      <c r="A207" s="119"/>
      <c r="B207" s="120" t="s">
        <v>744</v>
      </c>
      <c r="C207" s="306" t="s">
        <v>1256</v>
      </c>
      <c r="D207" s="307"/>
      <c r="E207" s="307"/>
      <c r="F207" s="119" t="s">
        <v>6</v>
      </c>
      <c r="G207" s="119" t="s">
        <v>6</v>
      </c>
      <c r="H207" s="119" t="s">
        <v>6</v>
      </c>
      <c r="I207" s="118">
        <f>SUM(I208:I241)</f>
        <v>0</v>
      </c>
      <c r="J207" s="118">
        <f>SUM(J208:J241)</f>
        <v>0</v>
      </c>
      <c r="K207" s="118">
        <f>SUM(K208:K241)</f>
        <v>0</v>
      </c>
      <c r="L207" s="109"/>
      <c r="AI207" s="109"/>
      <c r="AS207" s="118">
        <f>SUM(AJ208:AJ241)</f>
        <v>0</v>
      </c>
      <c r="AT207" s="118">
        <f>SUM(AK208:AK241)</f>
        <v>0</v>
      </c>
      <c r="AU207" s="118">
        <f>SUM(AL208:AL241)</f>
        <v>0</v>
      </c>
    </row>
    <row r="208" spans="1:62" x14ac:dyDescent="0.2">
      <c r="A208" s="117" t="s">
        <v>171</v>
      </c>
      <c r="B208" s="117" t="s">
        <v>3703</v>
      </c>
      <c r="C208" s="304" t="s">
        <v>3702</v>
      </c>
      <c r="D208" s="305"/>
      <c r="E208" s="305"/>
      <c r="F208" s="117" t="s">
        <v>1646</v>
      </c>
      <c r="G208" s="116">
        <v>11</v>
      </c>
      <c r="H208" s="159"/>
      <c r="I208" s="108">
        <f t="shared" ref="I208:I241" si="224">G208*AO208</f>
        <v>0</v>
      </c>
      <c r="J208" s="108">
        <f t="shared" ref="J208:J241" si="225">G208*AP208</f>
        <v>0</v>
      </c>
      <c r="K208" s="108">
        <f t="shared" ref="K208:K241" si="226">G208*H208</f>
        <v>0</v>
      </c>
      <c r="L208" s="111"/>
      <c r="Z208" s="100">
        <f t="shared" ref="Z208:Z241" si="227">IF(AQ208="5",BJ208,0)</f>
        <v>0</v>
      </c>
      <c r="AB208" s="100">
        <f t="shared" ref="AB208:AB241" si="228">IF(AQ208="1",BH208,0)</f>
        <v>0</v>
      </c>
      <c r="AC208" s="100">
        <f t="shared" ref="AC208:AC241" si="229">IF(AQ208="1",BI208,0)</f>
        <v>0</v>
      </c>
      <c r="AD208" s="100">
        <f t="shared" ref="AD208:AD241" si="230">IF(AQ208="7",BH208,0)</f>
        <v>0</v>
      </c>
      <c r="AE208" s="100">
        <f t="shared" ref="AE208:AE241" si="231">IF(AQ208="7",BI208,0)</f>
        <v>0</v>
      </c>
      <c r="AF208" s="100">
        <f t="shared" ref="AF208:AF241" si="232">IF(AQ208="2",BH208,0)</f>
        <v>0</v>
      </c>
      <c r="AG208" s="100">
        <f t="shared" ref="AG208:AG241" si="233">IF(AQ208="2",BI208,0)</f>
        <v>0</v>
      </c>
      <c r="AH208" s="100">
        <f t="shared" ref="AH208:AH241" si="234">IF(AQ208="0",BJ208,0)</f>
        <v>0</v>
      </c>
      <c r="AI208" s="109"/>
      <c r="AJ208" s="108">
        <f t="shared" ref="AJ208:AJ241" si="235">IF(AN208=0,K208,0)</f>
        <v>0</v>
      </c>
      <c r="AK208" s="108">
        <f t="shared" ref="AK208:AK241" si="236">IF(AN208=15,K208,0)</f>
        <v>0</v>
      </c>
      <c r="AL208" s="108">
        <f t="shared" ref="AL208:AL241" si="237">IF(AN208=21,K208,0)</f>
        <v>0</v>
      </c>
      <c r="AN208" s="100">
        <v>15</v>
      </c>
      <c r="AO208" s="100">
        <f t="shared" ref="AO208:AO241" si="238">H208*0</f>
        <v>0</v>
      </c>
      <c r="AP208" s="100">
        <f t="shared" ref="AP208:AP241" si="239">H208*(1-0)</f>
        <v>0</v>
      </c>
      <c r="AQ208" s="111" t="s">
        <v>13</v>
      </c>
      <c r="AV208" s="100">
        <f t="shared" ref="AV208:AV241" si="240">AW208+AX208</f>
        <v>0</v>
      </c>
      <c r="AW208" s="100">
        <f t="shared" ref="AW208:AW241" si="241">G208*AO208</f>
        <v>0</v>
      </c>
      <c r="AX208" s="100">
        <f t="shared" ref="AX208:AX241" si="242">G208*AP208</f>
        <v>0</v>
      </c>
      <c r="AY208" s="110" t="s">
        <v>1708</v>
      </c>
      <c r="AZ208" s="110" t="s">
        <v>1732</v>
      </c>
      <c r="BA208" s="109" t="s">
        <v>1737</v>
      </c>
      <c r="BC208" s="100">
        <f t="shared" ref="BC208:BC241" si="243">AW208+AX208</f>
        <v>0</v>
      </c>
      <c r="BD208" s="100">
        <f t="shared" ref="BD208:BD241" si="244">H208/(100-BE208)*100</f>
        <v>0</v>
      </c>
      <c r="BE208" s="100">
        <v>0</v>
      </c>
      <c r="BF208" s="100">
        <f>208</f>
        <v>208</v>
      </c>
      <c r="BH208" s="108">
        <f t="shared" ref="BH208:BH241" si="245">G208*AO208</f>
        <v>0</v>
      </c>
      <c r="BI208" s="108">
        <f t="shared" ref="BI208:BI241" si="246">G208*AP208</f>
        <v>0</v>
      </c>
      <c r="BJ208" s="108">
        <f t="shared" ref="BJ208:BJ241" si="247">G208*H208</f>
        <v>0</v>
      </c>
    </row>
    <row r="209" spans="1:62" x14ac:dyDescent="0.2">
      <c r="A209" s="117" t="s">
        <v>172</v>
      </c>
      <c r="B209" s="117" t="s">
        <v>3701</v>
      </c>
      <c r="C209" s="304" t="s">
        <v>1257</v>
      </c>
      <c r="D209" s="305"/>
      <c r="E209" s="305"/>
      <c r="F209" s="117" t="s">
        <v>1646</v>
      </c>
      <c r="G209" s="116">
        <v>4</v>
      </c>
      <c r="H209" s="159"/>
      <c r="I209" s="108">
        <f t="shared" si="224"/>
        <v>0</v>
      </c>
      <c r="J209" s="108">
        <f t="shared" si="225"/>
        <v>0</v>
      </c>
      <c r="K209" s="108">
        <f t="shared" si="226"/>
        <v>0</v>
      </c>
      <c r="L209" s="111"/>
      <c r="Z209" s="100">
        <f t="shared" si="227"/>
        <v>0</v>
      </c>
      <c r="AB209" s="100">
        <f t="shared" si="228"/>
        <v>0</v>
      </c>
      <c r="AC209" s="100">
        <f t="shared" si="229"/>
        <v>0</v>
      </c>
      <c r="AD209" s="100">
        <f t="shared" si="230"/>
        <v>0</v>
      </c>
      <c r="AE209" s="100">
        <f t="shared" si="231"/>
        <v>0</v>
      </c>
      <c r="AF209" s="100">
        <f t="shared" si="232"/>
        <v>0</v>
      </c>
      <c r="AG209" s="100">
        <f t="shared" si="233"/>
        <v>0</v>
      </c>
      <c r="AH209" s="100">
        <f t="shared" si="234"/>
        <v>0</v>
      </c>
      <c r="AI209" s="109"/>
      <c r="AJ209" s="108">
        <f t="shared" si="235"/>
        <v>0</v>
      </c>
      <c r="AK209" s="108">
        <f t="shared" si="236"/>
        <v>0</v>
      </c>
      <c r="AL209" s="108">
        <f t="shared" si="237"/>
        <v>0</v>
      </c>
      <c r="AN209" s="100">
        <v>15</v>
      </c>
      <c r="AO209" s="100">
        <f t="shared" si="238"/>
        <v>0</v>
      </c>
      <c r="AP209" s="100">
        <f t="shared" si="239"/>
        <v>0</v>
      </c>
      <c r="AQ209" s="111" t="s">
        <v>13</v>
      </c>
      <c r="AV209" s="100">
        <f t="shared" si="240"/>
        <v>0</v>
      </c>
      <c r="AW209" s="100">
        <f t="shared" si="241"/>
        <v>0</v>
      </c>
      <c r="AX209" s="100">
        <f t="shared" si="242"/>
        <v>0</v>
      </c>
      <c r="AY209" s="110" t="s">
        <v>1708</v>
      </c>
      <c r="AZ209" s="110" t="s">
        <v>1732</v>
      </c>
      <c r="BA209" s="109" t="s">
        <v>1737</v>
      </c>
      <c r="BC209" s="100">
        <f t="shared" si="243"/>
        <v>0</v>
      </c>
      <c r="BD209" s="100">
        <f t="shared" si="244"/>
        <v>0</v>
      </c>
      <c r="BE209" s="100">
        <v>0</v>
      </c>
      <c r="BF209" s="100">
        <f>209</f>
        <v>209</v>
      </c>
      <c r="BH209" s="108">
        <f t="shared" si="245"/>
        <v>0</v>
      </c>
      <c r="BI209" s="108">
        <f t="shared" si="246"/>
        <v>0</v>
      </c>
      <c r="BJ209" s="108">
        <f t="shared" si="247"/>
        <v>0</v>
      </c>
    </row>
    <row r="210" spans="1:62" x14ac:dyDescent="0.2">
      <c r="A210" s="117" t="s">
        <v>173</v>
      </c>
      <c r="B210" s="117" t="s">
        <v>3700</v>
      </c>
      <c r="C210" s="304" t="s">
        <v>1258</v>
      </c>
      <c r="D210" s="305"/>
      <c r="E210" s="305"/>
      <c r="F210" s="117" t="s">
        <v>1646</v>
      </c>
      <c r="G210" s="116">
        <v>1</v>
      </c>
      <c r="H210" s="159"/>
      <c r="I210" s="108">
        <f t="shared" si="224"/>
        <v>0</v>
      </c>
      <c r="J210" s="108">
        <f t="shared" si="225"/>
        <v>0</v>
      </c>
      <c r="K210" s="108">
        <f t="shared" si="226"/>
        <v>0</v>
      </c>
      <c r="L210" s="111"/>
      <c r="Z210" s="100">
        <f t="shared" si="227"/>
        <v>0</v>
      </c>
      <c r="AB210" s="100">
        <f t="shared" si="228"/>
        <v>0</v>
      </c>
      <c r="AC210" s="100">
        <f t="shared" si="229"/>
        <v>0</v>
      </c>
      <c r="AD210" s="100">
        <f t="shared" si="230"/>
        <v>0</v>
      </c>
      <c r="AE210" s="100">
        <f t="shared" si="231"/>
        <v>0</v>
      </c>
      <c r="AF210" s="100">
        <f t="shared" si="232"/>
        <v>0</v>
      </c>
      <c r="AG210" s="100">
        <f t="shared" si="233"/>
        <v>0</v>
      </c>
      <c r="AH210" s="100">
        <f t="shared" si="234"/>
        <v>0</v>
      </c>
      <c r="AI210" s="109"/>
      <c r="AJ210" s="108">
        <f t="shared" si="235"/>
        <v>0</v>
      </c>
      <c r="AK210" s="108">
        <f t="shared" si="236"/>
        <v>0</v>
      </c>
      <c r="AL210" s="108">
        <f t="shared" si="237"/>
        <v>0</v>
      </c>
      <c r="AN210" s="100">
        <v>15</v>
      </c>
      <c r="AO210" s="100">
        <f t="shared" si="238"/>
        <v>0</v>
      </c>
      <c r="AP210" s="100">
        <f t="shared" si="239"/>
        <v>0</v>
      </c>
      <c r="AQ210" s="111" t="s">
        <v>13</v>
      </c>
      <c r="AV210" s="100">
        <f t="shared" si="240"/>
        <v>0</v>
      </c>
      <c r="AW210" s="100">
        <f t="shared" si="241"/>
        <v>0</v>
      </c>
      <c r="AX210" s="100">
        <f t="shared" si="242"/>
        <v>0</v>
      </c>
      <c r="AY210" s="110" t="s">
        <v>1708</v>
      </c>
      <c r="AZ210" s="110" t="s">
        <v>1732</v>
      </c>
      <c r="BA210" s="109" t="s">
        <v>1737</v>
      </c>
      <c r="BC210" s="100">
        <f t="shared" si="243"/>
        <v>0</v>
      </c>
      <c r="BD210" s="100">
        <f t="shared" si="244"/>
        <v>0</v>
      </c>
      <c r="BE210" s="100">
        <v>0</v>
      </c>
      <c r="BF210" s="100">
        <f>210</f>
        <v>210</v>
      </c>
      <c r="BH210" s="108">
        <f t="shared" si="245"/>
        <v>0</v>
      </c>
      <c r="BI210" s="108">
        <f t="shared" si="246"/>
        <v>0</v>
      </c>
      <c r="BJ210" s="108">
        <f t="shared" si="247"/>
        <v>0</v>
      </c>
    </row>
    <row r="211" spans="1:62" x14ac:dyDescent="0.2">
      <c r="A211" s="117" t="s">
        <v>174</v>
      </c>
      <c r="B211" s="117" t="s">
        <v>3699</v>
      </c>
      <c r="C211" s="304" t="s">
        <v>2133</v>
      </c>
      <c r="D211" s="305"/>
      <c r="E211" s="305"/>
      <c r="F211" s="117" t="s">
        <v>1646</v>
      </c>
      <c r="G211" s="116">
        <v>3</v>
      </c>
      <c r="H211" s="159"/>
      <c r="I211" s="108">
        <f t="shared" si="224"/>
        <v>0</v>
      </c>
      <c r="J211" s="108">
        <f t="shared" si="225"/>
        <v>0</v>
      </c>
      <c r="K211" s="108">
        <f t="shared" si="226"/>
        <v>0</v>
      </c>
      <c r="L211" s="111"/>
      <c r="Z211" s="100">
        <f t="shared" si="227"/>
        <v>0</v>
      </c>
      <c r="AB211" s="100">
        <f t="shared" si="228"/>
        <v>0</v>
      </c>
      <c r="AC211" s="100">
        <f t="shared" si="229"/>
        <v>0</v>
      </c>
      <c r="AD211" s="100">
        <f t="shared" si="230"/>
        <v>0</v>
      </c>
      <c r="AE211" s="100">
        <f t="shared" si="231"/>
        <v>0</v>
      </c>
      <c r="AF211" s="100">
        <f t="shared" si="232"/>
        <v>0</v>
      </c>
      <c r="AG211" s="100">
        <f t="shared" si="233"/>
        <v>0</v>
      </c>
      <c r="AH211" s="100">
        <f t="shared" si="234"/>
        <v>0</v>
      </c>
      <c r="AI211" s="109"/>
      <c r="AJ211" s="108">
        <f t="shared" si="235"/>
        <v>0</v>
      </c>
      <c r="AK211" s="108">
        <f t="shared" si="236"/>
        <v>0</v>
      </c>
      <c r="AL211" s="108">
        <f t="shared" si="237"/>
        <v>0</v>
      </c>
      <c r="AN211" s="100">
        <v>15</v>
      </c>
      <c r="AO211" s="100">
        <f t="shared" si="238"/>
        <v>0</v>
      </c>
      <c r="AP211" s="100">
        <f t="shared" si="239"/>
        <v>0</v>
      </c>
      <c r="AQ211" s="111" t="s">
        <v>13</v>
      </c>
      <c r="AV211" s="100">
        <f t="shared" si="240"/>
        <v>0</v>
      </c>
      <c r="AW211" s="100">
        <f t="shared" si="241"/>
        <v>0</v>
      </c>
      <c r="AX211" s="100">
        <f t="shared" si="242"/>
        <v>0</v>
      </c>
      <c r="AY211" s="110" t="s">
        <v>1708</v>
      </c>
      <c r="AZ211" s="110" t="s">
        <v>1732</v>
      </c>
      <c r="BA211" s="109" t="s">
        <v>1737</v>
      </c>
      <c r="BC211" s="100">
        <f t="shared" si="243"/>
        <v>0</v>
      </c>
      <c r="BD211" s="100">
        <f t="shared" si="244"/>
        <v>0</v>
      </c>
      <c r="BE211" s="100">
        <v>0</v>
      </c>
      <c r="BF211" s="100">
        <f>211</f>
        <v>211</v>
      </c>
      <c r="BH211" s="108">
        <f t="shared" si="245"/>
        <v>0</v>
      </c>
      <c r="BI211" s="108">
        <f t="shared" si="246"/>
        <v>0</v>
      </c>
      <c r="BJ211" s="108">
        <f t="shared" si="247"/>
        <v>0</v>
      </c>
    </row>
    <row r="212" spans="1:62" x14ac:dyDescent="0.2">
      <c r="A212" s="117" t="s">
        <v>175</v>
      </c>
      <c r="B212" s="117" t="s">
        <v>3698</v>
      </c>
      <c r="C212" s="304" t="s">
        <v>3697</v>
      </c>
      <c r="D212" s="305"/>
      <c r="E212" s="305"/>
      <c r="F212" s="117" t="s">
        <v>1646</v>
      </c>
      <c r="G212" s="116">
        <v>7</v>
      </c>
      <c r="H212" s="159"/>
      <c r="I212" s="108">
        <f t="shared" si="224"/>
        <v>0</v>
      </c>
      <c r="J212" s="108">
        <f t="shared" si="225"/>
        <v>0</v>
      </c>
      <c r="K212" s="108">
        <f t="shared" si="226"/>
        <v>0</v>
      </c>
      <c r="L212" s="111"/>
      <c r="Z212" s="100">
        <f t="shared" si="227"/>
        <v>0</v>
      </c>
      <c r="AB212" s="100">
        <f t="shared" si="228"/>
        <v>0</v>
      </c>
      <c r="AC212" s="100">
        <f t="shared" si="229"/>
        <v>0</v>
      </c>
      <c r="AD212" s="100">
        <f t="shared" si="230"/>
        <v>0</v>
      </c>
      <c r="AE212" s="100">
        <f t="shared" si="231"/>
        <v>0</v>
      </c>
      <c r="AF212" s="100">
        <f t="shared" si="232"/>
        <v>0</v>
      </c>
      <c r="AG212" s="100">
        <f t="shared" si="233"/>
        <v>0</v>
      </c>
      <c r="AH212" s="100">
        <f t="shared" si="234"/>
        <v>0</v>
      </c>
      <c r="AI212" s="109"/>
      <c r="AJ212" s="108">
        <f t="shared" si="235"/>
        <v>0</v>
      </c>
      <c r="AK212" s="108">
        <f t="shared" si="236"/>
        <v>0</v>
      </c>
      <c r="AL212" s="108">
        <f t="shared" si="237"/>
        <v>0</v>
      </c>
      <c r="AN212" s="100">
        <v>15</v>
      </c>
      <c r="AO212" s="100">
        <f t="shared" si="238"/>
        <v>0</v>
      </c>
      <c r="AP212" s="100">
        <f t="shared" si="239"/>
        <v>0</v>
      </c>
      <c r="AQ212" s="111" t="s">
        <v>13</v>
      </c>
      <c r="AV212" s="100">
        <f t="shared" si="240"/>
        <v>0</v>
      </c>
      <c r="AW212" s="100">
        <f t="shared" si="241"/>
        <v>0</v>
      </c>
      <c r="AX212" s="100">
        <f t="shared" si="242"/>
        <v>0</v>
      </c>
      <c r="AY212" s="110" t="s">
        <v>1708</v>
      </c>
      <c r="AZ212" s="110" t="s">
        <v>1732</v>
      </c>
      <c r="BA212" s="109" t="s">
        <v>1737</v>
      </c>
      <c r="BC212" s="100">
        <f t="shared" si="243"/>
        <v>0</v>
      </c>
      <c r="BD212" s="100">
        <f t="shared" si="244"/>
        <v>0</v>
      </c>
      <c r="BE212" s="100">
        <v>0</v>
      </c>
      <c r="BF212" s="100">
        <f>212</f>
        <v>212</v>
      </c>
      <c r="BH212" s="108">
        <f t="shared" si="245"/>
        <v>0</v>
      </c>
      <c r="BI212" s="108">
        <f t="shared" si="246"/>
        <v>0</v>
      </c>
      <c r="BJ212" s="108">
        <f t="shared" si="247"/>
        <v>0</v>
      </c>
    </row>
    <row r="213" spans="1:62" x14ac:dyDescent="0.2">
      <c r="A213" s="117" t="s">
        <v>176</v>
      </c>
      <c r="B213" s="117" t="s">
        <v>3696</v>
      </c>
      <c r="C213" s="304" t="s">
        <v>1259</v>
      </c>
      <c r="D213" s="305"/>
      <c r="E213" s="305"/>
      <c r="F213" s="117" t="s">
        <v>1646</v>
      </c>
      <c r="G213" s="116">
        <v>4</v>
      </c>
      <c r="H213" s="159"/>
      <c r="I213" s="108">
        <f t="shared" si="224"/>
        <v>0</v>
      </c>
      <c r="J213" s="108">
        <f t="shared" si="225"/>
        <v>0</v>
      </c>
      <c r="K213" s="108">
        <f t="shared" si="226"/>
        <v>0</v>
      </c>
      <c r="L213" s="111"/>
      <c r="Z213" s="100">
        <f t="shared" si="227"/>
        <v>0</v>
      </c>
      <c r="AB213" s="100">
        <f t="shared" si="228"/>
        <v>0</v>
      </c>
      <c r="AC213" s="100">
        <f t="shared" si="229"/>
        <v>0</v>
      </c>
      <c r="AD213" s="100">
        <f t="shared" si="230"/>
        <v>0</v>
      </c>
      <c r="AE213" s="100">
        <f t="shared" si="231"/>
        <v>0</v>
      </c>
      <c r="AF213" s="100">
        <f t="shared" si="232"/>
        <v>0</v>
      </c>
      <c r="AG213" s="100">
        <f t="shared" si="233"/>
        <v>0</v>
      </c>
      <c r="AH213" s="100">
        <f t="shared" si="234"/>
        <v>0</v>
      </c>
      <c r="AI213" s="109"/>
      <c r="AJ213" s="108">
        <f t="shared" si="235"/>
        <v>0</v>
      </c>
      <c r="AK213" s="108">
        <f t="shared" si="236"/>
        <v>0</v>
      </c>
      <c r="AL213" s="108">
        <f t="shared" si="237"/>
        <v>0</v>
      </c>
      <c r="AN213" s="100">
        <v>15</v>
      </c>
      <c r="AO213" s="100">
        <f t="shared" si="238"/>
        <v>0</v>
      </c>
      <c r="AP213" s="100">
        <f t="shared" si="239"/>
        <v>0</v>
      </c>
      <c r="AQ213" s="111" t="s">
        <v>13</v>
      </c>
      <c r="AV213" s="100">
        <f t="shared" si="240"/>
        <v>0</v>
      </c>
      <c r="AW213" s="100">
        <f t="shared" si="241"/>
        <v>0</v>
      </c>
      <c r="AX213" s="100">
        <f t="shared" si="242"/>
        <v>0</v>
      </c>
      <c r="AY213" s="110" t="s">
        <v>1708</v>
      </c>
      <c r="AZ213" s="110" t="s">
        <v>1732</v>
      </c>
      <c r="BA213" s="109" t="s">
        <v>1737</v>
      </c>
      <c r="BC213" s="100">
        <f t="shared" si="243"/>
        <v>0</v>
      </c>
      <c r="BD213" s="100">
        <f t="shared" si="244"/>
        <v>0</v>
      </c>
      <c r="BE213" s="100">
        <v>0</v>
      </c>
      <c r="BF213" s="100">
        <f>213</f>
        <v>213</v>
      </c>
      <c r="BH213" s="108">
        <f t="shared" si="245"/>
        <v>0</v>
      </c>
      <c r="BI213" s="108">
        <f t="shared" si="246"/>
        <v>0</v>
      </c>
      <c r="BJ213" s="108">
        <f t="shared" si="247"/>
        <v>0</v>
      </c>
    </row>
    <row r="214" spans="1:62" x14ac:dyDescent="0.2">
      <c r="A214" s="117" t="s">
        <v>177</v>
      </c>
      <c r="B214" s="117" t="s">
        <v>3695</v>
      </c>
      <c r="C214" s="304" t="s">
        <v>1262</v>
      </c>
      <c r="D214" s="305"/>
      <c r="E214" s="305"/>
      <c r="F214" s="117" t="s">
        <v>1644</v>
      </c>
      <c r="G214" s="116">
        <v>2</v>
      </c>
      <c r="H214" s="159"/>
      <c r="I214" s="108">
        <f t="shared" si="224"/>
        <v>0</v>
      </c>
      <c r="J214" s="108">
        <f t="shared" si="225"/>
        <v>0</v>
      </c>
      <c r="K214" s="108">
        <f t="shared" si="226"/>
        <v>0</v>
      </c>
      <c r="L214" s="111"/>
      <c r="Z214" s="100">
        <f t="shared" si="227"/>
        <v>0</v>
      </c>
      <c r="AB214" s="100">
        <f t="shared" si="228"/>
        <v>0</v>
      </c>
      <c r="AC214" s="100">
        <f t="shared" si="229"/>
        <v>0</v>
      </c>
      <c r="AD214" s="100">
        <f t="shared" si="230"/>
        <v>0</v>
      </c>
      <c r="AE214" s="100">
        <f t="shared" si="231"/>
        <v>0</v>
      </c>
      <c r="AF214" s="100">
        <f t="shared" si="232"/>
        <v>0</v>
      </c>
      <c r="AG214" s="100">
        <f t="shared" si="233"/>
        <v>0</v>
      </c>
      <c r="AH214" s="100">
        <f t="shared" si="234"/>
        <v>0</v>
      </c>
      <c r="AI214" s="109"/>
      <c r="AJ214" s="108">
        <f t="shared" si="235"/>
        <v>0</v>
      </c>
      <c r="AK214" s="108">
        <f t="shared" si="236"/>
        <v>0</v>
      </c>
      <c r="AL214" s="108">
        <f t="shared" si="237"/>
        <v>0</v>
      </c>
      <c r="AN214" s="100">
        <v>15</v>
      </c>
      <c r="AO214" s="100">
        <f t="shared" si="238"/>
        <v>0</v>
      </c>
      <c r="AP214" s="100">
        <f t="shared" si="239"/>
        <v>0</v>
      </c>
      <c r="AQ214" s="111" t="s">
        <v>13</v>
      </c>
      <c r="AV214" s="100">
        <f t="shared" si="240"/>
        <v>0</v>
      </c>
      <c r="AW214" s="100">
        <f t="shared" si="241"/>
        <v>0</v>
      </c>
      <c r="AX214" s="100">
        <f t="shared" si="242"/>
        <v>0</v>
      </c>
      <c r="AY214" s="110" t="s">
        <v>1708</v>
      </c>
      <c r="AZ214" s="110" t="s">
        <v>1732</v>
      </c>
      <c r="BA214" s="109" t="s">
        <v>1737</v>
      </c>
      <c r="BC214" s="100">
        <f t="shared" si="243"/>
        <v>0</v>
      </c>
      <c r="BD214" s="100">
        <f t="shared" si="244"/>
        <v>0</v>
      </c>
      <c r="BE214" s="100">
        <v>0</v>
      </c>
      <c r="BF214" s="100">
        <f>214</f>
        <v>214</v>
      </c>
      <c r="BH214" s="108">
        <f t="shared" si="245"/>
        <v>0</v>
      </c>
      <c r="BI214" s="108">
        <f t="shared" si="246"/>
        <v>0</v>
      </c>
      <c r="BJ214" s="108">
        <f t="shared" si="247"/>
        <v>0</v>
      </c>
    </row>
    <row r="215" spans="1:62" x14ac:dyDescent="0.2">
      <c r="A215" s="117" t="s">
        <v>178</v>
      </c>
      <c r="B215" s="117" t="s">
        <v>3694</v>
      </c>
      <c r="C215" s="304" t="s">
        <v>1263</v>
      </c>
      <c r="D215" s="305"/>
      <c r="E215" s="305"/>
      <c r="F215" s="117" t="s">
        <v>1644</v>
      </c>
      <c r="G215" s="116">
        <v>4</v>
      </c>
      <c r="H215" s="159"/>
      <c r="I215" s="108">
        <f t="shared" si="224"/>
        <v>0</v>
      </c>
      <c r="J215" s="108">
        <f t="shared" si="225"/>
        <v>0</v>
      </c>
      <c r="K215" s="108">
        <f t="shared" si="226"/>
        <v>0</v>
      </c>
      <c r="L215" s="111"/>
      <c r="Z215" s="100">
        <f t="shared" si="227"/>
        <v>0</v>
      </c>
      <c r="AB215" s="100">
        <f t="shared" si="228"/>
        <v>0</v>
      </c>
      <c r="AC215" s="100">
        <f t="shared" si="229"/>
        <v>0</v>
      </c>
      <c r="AD215" s="100">
        <f t="shared" si="230"/>
        <v>0</v>
      </c>
      <c r="AE215" s="100">
        <f t="shared" si="231"/>
        <v>0</v>
      </c>
      <c r="AF215" s="100">
        <f t="shared" si="232"/>
        <v>0</v>
      </c>
      <c r="AG215" s="100">
        <f t="shared" si="233"/>
        <v>0</v>
      </c>
      <c r="AH215" s="100">
        <f t="shared" si="234"/>
        <v>0</v>
      </c>
      <c r="AI215" s="109"/>
      <c r="AJ215" s="108">
        <f t="shared" si="235"/>
        <v>0</v>
      </c>
      <c r="AK215" s="108">
        <f t="shared" si="236"/>
        <v>0</v>
      </c>
      <c r="AL215" s="108">
        <f t="shared" si="237"/>
        <v>0</v>
      </c>
      <c r="AN215" s="100">
        <v>15</v>
      </c>
      <c r="AO215" s="100">
        <f t="shared" si="238"/>
        <v>0</v>
      </c>
      <c r="AP215" s="100">
        <f t="shared" si="239"/>
        <v>0</v>
      </c>
      <c r="AQ215" s="111" t="s">
        <v>13</v>
      </c>
      <c r="AV215" s="100">
        <f t="shared" si="240"/>
        <v>0</v>
      </c>
      <c r="AW215" s="100">
        <f t="shared" si="241"/>
        <v>0</v>
      </c>
      <c r="AX215" s="100">
        <f t="shared" si="242"/>
        <v>0</v>
      </c>
      <c r="AY215" s="110" t="s">
        <v>1708</v>
      </c>
      <c r="AZ215" s="110" t="s">
        <v>1732</v>
      </c>
      <c r="BA215" s="109" t="s">
        <v>1737</v>
      </c>
      <c r="BC215" s="100">
        <f t="shared" si="243"/>
        <v>0</v>
      </c>
      <c r="BD215" s="100">
        <f t="shared" si="244"/>
        <v>0</v>
      </c>
      <c r="BE215" s="100">
        <v>0</v>
      </c>
      <c r="BF215" s="100">
        <f>215</f>
        <v>215</v>
      </c>
      <c r="BH215" s="108">
        <f t="shared" si="245"/>
        <v>0</v>
      </c>
      <c r="BI215" s="108">
        <f t="shared" si="246"/>
        <v>0</v>
      </c>
      <c r="BJ215" s="108">
        <f t="shared" si="247"/>
        <v>0</v>
      </c>
    </row>
    <row r="216" spans="1:62" x14ac:dyDescent="0.2">
      <c r="A216" s="117" t="s">
        <v>179</v>
      </c>
      <c r="B216" s="117" t="s">
        <v>3693</v>
      </c>
      <c r="C216" s="304" t="s">
        <v>1264</v>
      </c>
      <c r="D216" s="305"/>
      <c r="E216" s="305"/>
      <c r="F216" s="117" t="s">
        <v>1644</v>
      </c>
      <c r="G216" s="116">
        <v>1</v>
      </c>
      <c r="H216" s="159"/>
      <c r="I216" s="108">
        <f t="shared" si="224"/>
        <v>0</v>
      </c>
      <c r="J216" s="108">
        <f t="shared" si="225"/>
        <v>0</v>
      </c>
      <c r="K216" s="108">
        <f t="shared" si="226"/>
        <v>0</v>
      </c>
      <c r="L216" s="111"/>
      <c r="Z216" s="100">
        <f t="shared" si="227"/>
        <v>0</v>
      </c>
      <c r="AB216" s="100">
        <f t="shared" si="228"/>
        <v>0</v>
      </c>
      <c r="AC216" s="100">
        <f t="shared" si="229"/>
        <v>0</v>
      </c>
      <c r="AD216" s="100">
        <f t="shared" si="230"/>
        <v>0</v>
      </c>
      <c r="AE216" s="100">
        <f t="shared" si="231"/>
        <v>0</v>
      </c>
      <c r="AF216" s="100">
        <f t="shared" si="232"/>
        <v>0</v>
      </c>
      <c r="AG216" s="100">
        <f t="shared" si="233"/>
        <v>0</v>
      </c>
      <c r="AH216" s="100">
        <f t="shared" si="234"/>
        <v>0</v>
      </c>
      <c r="AI216" s="109"/>
      <c r="AJ216" s="108">
        <f t="shared" si="235"/>
        <v>0</v>
      </c>
      <c r="AK216" s="108">
        <f t="shared" si="236"/>
        <v>0</v>
      </c>
      <c r="AL216" s="108">
        <f t="shared" si="237"/>
        <v>0</v>
      </c>
      <c r="AN216" s="100">
        <v>15</v>
      </c>
      <c r="AO216" s="100">
        <f t="shared" si="238"/>
        <v>0</v>
      </c>
      <c r="AP216" s="100">
        <f t="shared" si="239"/>
        <v>0</v>
      </c>
      <c r="AQ216" s="111" t="s">
        <v>13</v>
      </c>
      <c r="AV216" s="100">
        <f t="shared" si="240"/>
        <v>0</v>
      </c>
      <c r="AW216" s="100">
        <f t="shared" si="241"/>
        <v>0</v>
      </c>
      <c r="AX216" s="100">
        <f t="shared" si="242"/>
        <v>0</v>
      </c>
      <c r="AY216" s="110" t="s">
        <v>1708</v>
      </c>
      <c r="AZ216" s="110" t="s">
        <v>1732</v>
      </c>
      <c r="BA216" s="109" t="s">
        <v>1737</v>
      </c>
      <c r="BC216" s="100">
        <f t="shared" si="243"/>
        <v>0</v>
      </c>
      <c r="BD216" s="100">
        <f t="shared" si="244"/>
        <v>0</v>
      </c>
      <c r="BE216" s="100">
        <v>0</v>
      </c>
      <c r="BF216" s="100">
        <f>216</f>
        <v>216</v>
      </c>
      <c r="BH216" s="108">
        <f t="shared" si="245"/>
        <v>0</v>
      </c>
      <c r="BI216" s="108">
        <f t="shared" si="246"/>
        <v>0</v>
      </c>
      <c r="BJ216" s="108">
        <f t="shared" si="247"/>
        <v>0</v>
      </c>
    </row>
    <row r="217" spans="1:62" x14ac:dyDescent="0.2">
      <c r="A217" s="117" t="s">
        <v>180</v>
      </c>
      <c r="B217" s="117" t="s">
        <v>3692</v>
      </c>
      <c r="C217" s="304" t="s">
        <v>3691</v>
      </c>
      <c r="D217" s="305"/>
      <c r="E217" s="305"/>
      <c r="F217" s="117" t="s">
        <v>1644</v>
      </c>
      <c r="G217" s="116">
        <v>3</v>
      </c>
      <c r="H217" s="159"/>
      <c r="I217" s="108">
        <f t="shared" si="224"/>
        <v>0</v>
      </c>
      <c r="J217" s="108">
        <f t="shared" si="225"/>
        <v>0</v>
      </c>
      <c r="K217" s="108">
        <f t="shared" si="226"/>
        <v>0</v>
      </c>
      <c r="L217" s="111"/>
      <c r="Z217" s="100">
        <f t="shared" si="227"/>
        <v>0</v>
      </c>
      <c r="AB217" s="100">
        <f t="shared" si="228"/>
        <v>0</v>
      </c>
      <c r="AC217" s="100">
        <f t="shared" si="229"/>
        <v>0</v>
      </c>
      <c r="AD217" s="100">
        <f t="shared" si="230"/>
        <v>0</v>
      </c>
      <c r="AE217" s="100">
        <f t="shared" si="231"/>
        <v>0</v>
      </c>
      <c r="AF217" s="100">
        <f t="shared" si="232"/>
        <v>0</v>
      </c>
      <c r="AG217" s="100">
        <f t="shared" si="233"/>
        <v>0</v>
      </c>
      <c r="AH217" s="100">
        <f t="shared" si="234"/>
        <v>0</v>
      </c>
      <c r="AI217" s="109"/>
      <c r="AJ217" s="108">
        <f t="shared" si="235"/>
        <v>0</v>
      </c>
      <c r="AK217" s="108">
        <f t="shared" si="236"/>
        <v>0</v>
      </c>
      <c r="AL217" s="108">
        <f t="shared" si="237"/>
        <v>0</v>
      </c>
      <c r="AN217" s="100">
        <v>15</v>
      </c>
      <c r="AO217" s="100">
        <f t="shared" si="238"/>
        <v>0</v>
      </c>
      <c r="AP217" s="100">
        <f t="shared" si="239"/>
        <v>0</v>
      </c>
      <c r="AQ217" s="111" t="s">
        <v>13</v>
      </c>
      <c r="AV217" s="100">
        <f t="shared" si="240"/>
        <v>0</v>
      </c>
      <c r="AW217" s="100">
        <f t="shared" si="241"/>
        <v>0</v>
      </c>
      <c r="AX217" s="100">
        <f t="shared" si="242"/>
        <v>0</v>
      </c>
      <c r="AY217" s="110" t="s">
        <v>1708</v>
      </c>
      <c r="AZ217" s="110" t="s">
        <v>1732</v>
      </c>
      <c r="BA217" s="109" t="s">
        <v>1737</v>
      </c>
      <c r="BC217" s="100">
        <f t="shared" si="243"/>
        <v>0</v>
      </c>
      <c r="BD217" s="100">
        <f t="shared" si="244"/>
        <v>0</v>
      </c>
      <c r="BE217" s="100">
        <v>0</v>
      </c>
      <c r="BF217" s="100">
        <f>217</f>
        <v>217</v>
      </c>
      <c r="BH217" s="108">
        <f t="shared" si="245"/>
        <v>0</v>
      </c>
      <c r="BI217" s="108">
        <f t="shared" si="246"/>
        <v>0</v>
      </c>
      <c r="BJ217" s="108">
        <f t="shared" si="247"/>
        <v>0</v>
      </c>
    </row>
    <row r="218" spans="1:62" x14ac:dyDescent="0.2">
      <c r="A218" s="117" t="s">
        <v>181</v>
      </c>
      <c r="B218" s="117" t="s">
        <v>3690</v>
      </c>
      <c r="C218" s="304" t="s">
        <v>3689</v>
      </c>
      <c r="D218" s="305"/>
      <c r="E218" s="305"/>
      <c r="F218" s="117" t="s">
        <v>1644</v>
      </c>
      <c r="G218" s="116">
        <v>2</v>
      </c>
      <c r="H218" s="159"/>
      <c r="I218" s="108">
        <f t="shared" si="224"/>
        <v>0</v>
      </c>
      <c r="J218" s="108">
        <f t="shared" si="225"/>
        <v>0</v>
      </c>
      <c r="K218" s="108">
        <f t="shared" si="226"/>
        <v>0</v>
      </c>
      <c r="L218" s="111"/>
      <c r="Z218" s="100">
        <f t="shared" si="227"/>
        <v>0</v>
      </c>
      <c r="AB218" s="100">
        <f t="shared" si="228"/>
        <v>0</v>
      </c>
      <c r="AC218" s="100">
        <f t="shared" si="229"/>
        <v>0</v>
      </c>
      <c r="AD218" s="100">
        <f t="shared" si="230"/>
        <v>0</v>
      </c>
      <c r="AE218" s="100">
        <f t="shared" si="231"/>
        <v>0</v>
      </c>
      <c r="AF218" s="100">
        <f t="shared" si="232"/>
        <v>0</v>
      </c>
      <c r="AG218" s="100">
        <f t="shared" si="233"/>
        <v>0</v>
      </c>
      <c r="AH218" s="100">
        <f t="shared" si="234"/>
        <v>0</v>
      </c>
      <c r="AI218" s="109"/>
      <c r="AJ218" s="108">
        <f t="shared" si="235"/>
        <v>0</v>
      </c>
      <c r="AK218" s="108">
        <f t="shared" si="236"/>
        <v>0</v>
      </c>
      <c r="AL218" s="108">
        <f t="shared" si="237"/>
        <v>0</v>
      </c>
      <c r="AN218" s="100">
        <v>15</v>
      </c>
      <c r="AO218" s="100">
        <f t="shared" si="238"/>
        <v>0</v>
      </c>
      <c r="AP218" s="100">
        <f t="shared" si="239"/>
        <v>0</v>
      </c>
      <c r="AQ218" s="111" t="s">
        <v>13</v>
      </c>
      <c r="AV218" s="100">
        <f t="shared" si="240"/>
        <v>0</v>
      </c>
      <c r="AW218" s="100">
        <f t="shared" si="241"/>
        <v>0</v>
      </c>
      <c r="AX218" s="100">
        <f t="shared" si="242"/>
        <v>0</v>
      </c>
      <c r="AY218" s="110" t="s">
        <v>1708</v>
      </c>
      <c r="AZ218" s="110" t="s">
        <v>1732</v>
      </c>
      <c r="BA218" s="109" t="s">
        <v>1737</v>
      </c>
      <c r="BC218" s="100">
        <f t="shared" si="243"/>
        <v>0</v>
      </c>
      <c r="BD218" s="100">
        <f t="shared" si="244"/>
        <v>0</v>
      </c>
      <c r="BE218" s="100">
        <v>0</v>
      </c>
      <c r="BF218" s="100">
        <f>218</f>
        <v>218</v>
      </c>
      <c r="BH218" s="108">
        <f t="shared" si="245"/>
        <v>0</v>
      </c>
      <c r="BI218" s="108">
        <f t="shared" si="246"/>
        <v>0</v>
      </c>
      <c r="BJ218" s="108">
        <f t="shared" si="247"/>
        <v>0</v>
      </c>
    </row>
    <row r="219" spans="1:62" x14ac:dyDescent="0.2">
      <c r="A219" s="117" t="s">
        <v>182</v>
      </c>
      <c r="B219" s="117" t="s">
        <v>3688</v>
      </c>
      <c r="C219" s="304" t="s">
        <v>3687</v>
      </c>
      <c r="D219" s="305"/>
      <c r="E219" s="305"/>
      <c r="F219" s="117" t="s">
        <v>1644</v>
      </c>
      <c r="G219" s="116">
        <v>1</v>
      </c>
      <c r="H219" s="159"/>
      <c r="I219" s="108">
        <f t="shared" si="224"/>
        <v>0</v>
      </c>
      <c r="J219" s="108">
        <f t="shared" si="225"/>
        <v>0</v>
      </c>
      <c r="K219" s="108">
        <f t="shared" si="226"/>
        <v>0</v>
      </c>
      <c r="L219" s="111"/>
      <c r="Z219" s="100">
        <f t="shared" si="227"/>
        <v>0</v>
      </c>
      <c r="AB219" s="100">
        <f t="shared" si="228"/>
        <v>0</v>
      </c>
      <c r="AC219" s="100">
        <f t="shared" si="229"/>
        <v>0</v>
      </c>
      <c r="AD219" s="100">
        <f t="shared" si="230"/>
        <v>0</v>
      </c>
      <c r="AE219" s="100">
        <f t="shared" si="231"/>
        <v>0</v>
      </c>
      <c r="AF219" s="100">
        <f t="shared" si="232"/>
        <v>0</v>
      </c>
      <c r="AG219" s="100">
        <f t="shared" si="233"/>
        <v>0</v>
      </c>
      <c r="AH219" s="100">
        <f t="shared" si="234"/>
        <v>0</v>
      </c>
      <c r="AI219" s="109"/>
      <c r="AJ219" s="108">
        <f t="shared" si="235"/>
        <v>0</v>
      </c>
      <c r="AK219" s="108">
        <f t="shared" si="236"/>
        <v>0</v>
      </c>
      <c r="AL219" s="108">
        <f t="shared" si="237"/>
        <v>0</v>
      </c>
      <c r="AN219" s="100">
        <v>15</v>
      </c>
      <c r="AO219" s="100">
        <f t="shared" si="238"/>
        <v>0</v>
      </c>
      <c r="AP219" s="100">
        <f t="shared" si="239"/>
        <v>0</v>
      </c>
      <c r="AQ219" s="111" t="s">
        <v>13</v>
      </c>
      <c r="AV219" s="100">
        <f t="shared" si="240"/>
        <v>0</v>
      </c>
      <c r="AW219" s="100">
        <f t="shared" si="241"/>
        <v>0</v>
      </c>
      <c r="AX219" s="100">
        <f t="shared" si="242"/>
        <v>0</v>
      </c>
      <c r="AY219" s="110" t="s">
        <v>1708</v>
      </c>
      <c r="AZ219" s="110" t="s">
        <v>1732</v>
      </c>
      <c r="BA219" s="109" t="s">
        <v>1737</v>
      </c>
      <c r="BC219" s="100">
        <f t="shared" si="243"/>
        <v>0</v>
      </c>
      <c r="BD219" s="100">
        <f t="shared" si="244"/>
        <v>0</v>
      </c>
      <c r="BE219" s="100">
        <v>0</v>
      </c>
      <c r="BF219" s="100">
        <f>219</f>
        <v>219</v>
      </c>
      <c r="BH219" s="108">
        <f t="shared" si="245"/>
        <v>0</v>
      </c>
      <c r="BI219" s="108">
        <f t="shared" si="246"/>
        <v>0</v>
      </c>
      <c r="BJ219" s="108">
        <f t="shared" si="247"/>
        <v>0</v>
      </c>
    </row>
    <row r="220" spans="1:62" x14ac:dyDescent="0.2">
      <c r="A220" s="117" t="s">
        <v>183</v>
      </c>
      <c r="B220" s="117" t="s">
        <v>3686</v>
      </c>
      <c r="C220" s="304" t="s">
        <v>3685</v>
      </c>
      <c r="D220" s="305"/>
      <c r="E220" s="305"/>
      <c r="F220" s="117" t="s">
        <v>1644</v>
      </c>
      <c r="G220" s="116">
        <v>1</v>
      </c>
      <c r="H220" s="159"/>
      <c r="I220" s="108">
        <f t="shared" si="224"/>
        <v>0</v>
      </c>
      <c r="J220" s="108">
        <f t="shared" si="225"/>
        <v>0</v>
      </c>
      <c r="K220" s="108">
        <f t="shared" si="226"/>
        <v>0</v>
      </c>
      <c r="L220" s="111"/>
      <c r="Z220" s="100">
        <f t="shared" si="227"/>
        <v>0</v>
      </c>
      <c r="AB220" s="100">
        <f t="shared" si="228"/>
        <v>0</v>
      </c>
      <c r="AC220" s="100">
        <f t="shared" si="229"/>
        <v>0</v>
      </c>
      <c r="AD220" s="100">
        <f t="shared" si="230"/>
        <v>0</v>
      </c>
      <c r="AE220" s="100">
        <f t="shared" si="231"/>
        <v>0</v>
      </c>
      <c r="AF220" s="100">
        <f t="shared" si="232"/>
        <v>0</v>
      </c>
      <c r="AG220" s="100">
        <f t="shared" si="233"/>
        <v>0</v>
      </c>
      <c r="AH220" s="100">
        <f t="shared" si="234"/>
        <v>0</v>
      </c>
      <c r="AI220" s="109"/>
      <c r="AJ220" s="108">
        <f t="shared" si="235"/>
        <v>0</v>
      </c>
      <c r="AK220" s="108">
        <f t="shared" si="236"/>
        <v>0</v>
      </c>
      <c r="AL220" s="108">
        <f t="shared" si="237"/>
        <v>0</v>
      </c>
      <c r="AN220" s="100">
        <v>15</v>
      </c>
      <c r="AO220" s="100">
        <f t="shared" si="238"/>
        <v>0</v>
      </c>
      <c r="AP220" s="100">
        <f t="shared" si="239"/>
        <v>0</v>
      </c>
      <c r="AQ220" s="111" t="s">
        <v>13</v>
      </c>
      <c r="AV220" s="100">
        <f t="shared" si="240"/>
        <v>0</v>
      </c>
      <c r="AW220" s="100">
        <f t="shared" si="241"/>
        <v>0</v>
      </c>
      <c r="AX220" s="100">
        <f t="shared" si="242"/>
        <v>0</v>
      </c>
      <c r="AY220" s="110" t="s">
        <v>1708</v>
      </c>
      <c r="AZ220" s="110" t="s">
        <v>1732</v>
      </c>
      <c r="BA220" s="109" t="s">
        <v>1737</v>
      </c>
      <c r="BC220" s="100">
        <f t="shared" si="243"/>
        <v>0</v>
      </c>
      <c r="BD220" s="100">
        <f t="shared" si="244"/>
        <v>0</v>
      </c>
      <c r="BE220" s="100">
        <v>0</v>
      </c>
      <c r="BF220" s="100">
        <f>220</f>
        <v>220</v>
      </c>
      <c r="BH220" s="108">
        <f t="shared" si="245"/>
        <v>0</v>
      </c>
      <c r="BI220" s="108">
        <f t="shared" si="246"/>
        <v>0</v>
      </c>
      <c r="BJ220" s="108">
        <f t="shared" si="247"/>
        <v>0</v>
      </c>
    </row>
    <row r="221" spans="1:62" x14ac:dyDescent="0.2">
      <c r="A221" s="117" t="s">
        <v>184</v>
      </c>
      <c r="B221" s="117" t="s">
        <v>3684</v>
      </c>
      <c r="C221" s="304" t="s">
        <v>3683</v>
      </c>
      <c r="D221" s="305"/>
      <c r="E221" s="305"/>
      <c r="F221" s="117" t="s">
        <v>1644</v>
      </c>
      <c r="G221" s="116">
        <v>2</v>
      </c>
      <c r="H221" s="159"/>
      <c r="I221" s="108">
        <f t="shared" si="224"/>
        <v>0</v>
      </c>
      <c r="J221" s="108">
        <f t="shared" si="225"/>
        <v>0</v>
      </c>
      <c r="K221" s="108">
        <f t="shared" si="226"/>
        <v>0</v>
      </c>
      <c r="L221" s="111"/>
      <c r="Z221" s="100">
        <f t="shared" si="227"/>
        <v>0</v>
      </c>
      <c r="AB221" s="100">
        <f t="shared" si="228"/>
        <v>0</v>
      </c>
      <c r="AC221" s="100">
        <f t="shared" si="229"/>
        <v>0</v>
      </c>
      <c r="AD221" s="100">
        <f t="shared" si="230"/>
        <v>0</v>
      </c>
      <c r="AE221" s="100">
        <f t="shared" si="231"/>
        <v>0</v>
      </c>
      <c r="AF221" s="100">
        <f t="shared" si="232"/>
        <v>0</v>
      </c>
      <c r="AG221" s="100">
        <f t="shared" si="233"/>
        <v>0</v>
      </c>
      <c r="AH221" s="100">
        <f t="shared" si="234"/>
        <v>0</v>
      </c>
      <c r="AI221" s="109"/>
      <c r="AJ221" s="108">
        <f t="shared" si="235"/>
        <v>0</v>
      </c>
      <c r="AK221" s="108">
        <f t="shared" si="236"/>
        <v>0</v>
      </c>
      <c r="AL221" s="108">
        <f t="shared" si="237"/>
        <v>0</v>
      </c>
      <c r="AN221" s="100">
        <v>15</v>
      </c>
      <c r="AO221" s="100">
        <f t="shared" si="238"/>
        <v>0</v>
      </c>
      <c r="AP221" s="100">
        <f t="shared" si="239"/>
        <v>0</v>
      </c>
      <c r="AQ221" s="111" t="s">
        <v>13</v>
      </c>
      <c r="AV221" s="100">
        <f t="shared" si="240"/>
        <v>0</v>
      </c>
      <c r="AW221" s="100">
        <f t="shared" si="241"/>
        <v>0</v>
      </c>
      <c r="AX221" s="100">
        <f t="shared" si="242"/>
        <v>0</v>
      </c>
      <c r="AY221" s="110" t="s">
        <v>1708</v>
      </c>
      <c r="AZ221" s="110" t="s">
        <v>1732</v>
      </c>
      <c r="BA221" s="109" t="s">
        <v>1737</v>
      </c>
      <c r="BC221" s="100">
        <f t="shared" si="243"/>
        <v>0</v>
      </c>
      <c r="BD221" s="100">
        <f t="shared" si="244"/>
        <v>0</v>
      </c>
      <c r="BE221" s="100">
        <v>0</v>
      </c>
      <c r="BF221" s="100">
        <f>221</f>
        <v>221</v>
      </c>
      <c r="BH221" s="108">
        <f t="shared" si="245"/>
        <v>0</v>
      </c>
      <c r="BI221" s="108">
        <f t="shared" si="246"/>
        <v>0</v>
      </c>
      <c r="BJ221" s="108">
        <f t="shared" si="247"/>
        <v>0</v>
      </c>
    </row>
    <row r="222" spans="1:62" x14ac:dyDescent="0.2">
      <c r="A222" s="117" t="s">
        <v>185</v>
      </c>
      <c r="B222" s="117" t="s">
        <v>3682</v>
      </c>
      <c r="C222" s="304" t="s">
        <v>1269</v>
      </c>
      <c r="D222" s="305"/>
      <c r="E222" s="305"/>
      <c r="F222" s="117" t="s">
        <v>1644</v>
      </c>
      <c r="G222" s="116">
        <v>2</v>
      </c>
      <c r="H222" s="159"/>
      <c r="I222" s="108">
        <f t="shared" si="224"/>
        <v>0</v>
      </c>
      <c r="J222" s="108">
        <f t="shared" si="225"/>
        <v>0</v>
      </c>
      <c r="K222" s="108">
        <f t="shared" si="226"/>
        <v>0</v>
      </c>
      <c r="L222" s="111"/>
      <c r="Z222" s="100">
        <f t="shared" si="227"/>
        <v>0</v>
      </c>
      <c r="AB222" s="100">
        <f t="shared" si="228"/>
        <v>0</v>
      </c>
      <c r="AC222" s="100">
        <f t="shared" si="229"/>
        <v>0</v>
      </c>
      <c r="AD222" s="100">
        <f t="shared" si="230"/>
        <v>0</v>
      </c>
      <c r="AE222" s="100">
        <f t="shared" si="231"/>
        <v>0</v>
      </c>
      <c r="AF222" s="100">
        <f t="shared" si="232"/>
        <v>0</v>
      </c>
      <c r="AG222" s="100">
        <f t="shared" si="233"/>
        <v>0</v>
      </c>
      <c r="AH222" s="100">
        <f t="shared" si="234"/>
        <v>0</v>
      </c>
      <c r="AI222" s="109"/>
      <c r="AJ222" s="108">
        <f t="shared" si="235"/>
        <v>0</v>
      </c>
      <c r="AK222" s="108">
        <f t="shared" si="236"/>
        <v>0</v>
      </c>
      <c r="AL222" s="108">
        <f t="shared" si="237"/>
        <v>0</v>
      </c>
      <c r="AN222" s="100">
        <v>15</v>
      </c>
      <c r="AO222" s="100">
        <f t="shared" si="238"/>
        <v>0</v>
      </c>
      <c r="AP222" s="100">
        <f t="shared" si="239"/>
        <v>0</v>
      </c>
      <c r="AQ222" s="111" t="s">
        <v>13</v>
      </c>
      <c r="AV222" s="100">
        <f t="shared" si="240"/>
        <v>0</v>
      </c>
      <c r="AW222" s="100">
        <f t="shared" si="241"/>
        <v>0</v>
      </c>
      <c r="AX222" s="100">
        <f t="shared" si="242"/>
        <v>0</v>
      </c>
      <c r="AY222" s="110" t="s">
        <v>1708</v>
      </c>
      <c r="AZ222" s="110" t="s">
        <v>1732</v>
      </c>
      <c r="BA222" s="109" t="s">
        <v>1737</v>
      </c>
      <c r="BC222" s="100">
        <f t="shared" si="243"/>
        <v>0</v>
      </c>
      <c r="BD222" s="100">
        <f t="shared" si="244"/>
        <v>0</v>
      </c>
      <c r="BE222" s="100">
        <v>0</v>
      </c>
      <c r="BF222" s="100">
        <f>222</f>
        <v>222</v>
      </c>
      <c r="BH222" s="108">
        <f t="shared" si="245"/>
        <v>0</v>
      </c>
      <c r="BI222" s="108">
        <f t="shared" si="246"/>
        <v>0</v>
      </c>
      <c r="BJ222" s="108">
        <f t="shared" si="247"/>
        <v>0</v>
      </c>
    </row>
    <row r="223" spans="1:62" x14ac:dyDescent="0.2">
      <c r="A223" s="117" t="s">
        <v>186</v>
      </c>
      <c r="B223" s="117" t="s">
        <v>3681</v>
      </c>
      <c r="C223" s="304" t="s">
        <v>1270</v>
      </c>
      <c r="D223" s="305"/>
      <c r="E223" s="305"/>
      <c r="F223" s="117" t="s">
        <v>1644</v>
      </c>
      <c r="G223" s="116">
        <v>2</v>
      </c>
      <c r="H223" s="159"/>
      <c r="I223" s="108">
        <f t="shared" si="224"/>
        <v>0</v>
      </c>
      <c r="J223" s="108">
        <f t="shared" si="225"/>
        <v>0</v>
      </c>
      <c r="K223" s="108">
        <f t="shared" si="226"/>
        <v>0</v>
      </c>
      <c r="L223" s="111"/>
      <c r="Z223" s="100">
        <f t="shared" si="227"/>
        <v>0</v>
      </c>
      <c r="AB223" s="100">
        <f t="shared" si="228"/>
        <v>0</v>
      </c>
      <c r="AC223" s="100">
        <f t="shared" si="229"/>
        <v>0</v>
      </c>
      <c r="AD223" s="100">
        <f t="shared" si="230"/>
        <v>0</v>
      </c>
      <c r="AE223" s="100">
        <f t="shared" si="231"/>
        <v>0</v>
      </c>
      <c r="AF223" s="100">
        <f t="shared" si="232"/>
        <v>0</v>
      </c>
      <c r="AG223" s="100">
        <f t="shared" si="233"/>
        <v>0</v>
      </c>
      <c r="AH223" s="100">
        <f t="shared" si="234"/>
        <v>0</v>
      </c>
      <c r="AI223" s="109"/>
      <c r="AJ223" s="108">
        <f t="shared" si="235"/>
        <v>0</v>
      </c>
      <c r="AK223" s="108">
        <f t="shared" si="236"/>
        <v>0</v>
      </c>
      <c r="AL223" s="108">
        <f t="shared" si="237"/>
        <v>0</v>
      </c>
      <c r="AN223" s="100">
        <v>15</v>
      </c>
      <c r="AO223" s="100">
        <f t="shared" si="238"/>
        <v>0</v>
      </c>
      <c r="AP223" s="100">
        <f t="shared" si="239"/>
        <v>0</v>
      </c>
      <c r="AQ223" s="111" t="s">
        <v>13</v>
      </c>
      <c r="AV223" s="100">
        <f t="shared" si="240"/>
        <v>0</v>
      </c>
      <c r="AW223" s="100">
        <f t="shared" si="241"/>
        <v>0</v>
      </c>
      <c r="AX223" s="100">
        <f t="shared" si="242"/>
        <v>0</v>
      </c>
      <c r="AY223" s="110" t="s">
        <v>1708</v>
      </c>
      <c r="AZ223" s="110" t="s">
        <v>1732</v>
      </c>
      <c r="BA223" s="109" t="s">
        <v>1737</v>
      </c>
      <c r="BC223" s="100">
        <f t="shared" si="243"/>
        <v>0</v>
      </c>
      <c r="BD223" s="100">
        <f t="shared" si="244"/>
        <v>0</v>
      </c>
      <c r="BE223" s="100">
        <v>0</v>
      </c>
      <c r="BF223" s="100">
        <f>223</f>
        <v>223</v>
      </c>
      <c r="BH223" s="108">
        <f t="shared" si="245"/>
        <v>0</v>
      </c>
      <c r="BI223" s="108">
        <f t="shared" si="246"/>
        <v>0</v>
      </c>
      <c r="BJ223" s="108">
        <f t="shared" si="247"/>
        <v>0</v>
      </c>
    </row>
    <row r="224" spans="1:62" x14ac:dyDescent="0.2">
      <c r="A224" s="117" t="s">
        <v>187</v>
      </c>
      <c r="B224" s="117" t="s">
        <v>3680</v>
      </c>
      <c r="C224" s="304" t="s">
        <v>3679</v>
      </c>
      <c r="D224" s="305"/>
      <c r="E224" s="305"/>
      <c r="F224" s="117" t="s">
        <v>1644</v>
      </c>
      <c r="G224" s="116">
        <v>4</v>
      </c>
      <c r="H224" s="159"/>
      <c r="I224" s="108">
        <f t="shared" si="224"/>
        <v>0</v>
      </c>
      <c r="J224" s="108">
        <f t="shared" si="225"/>
        <v>0</v>
      </c>
      <c r="K224" s="108">
        <f t="shared" si="226"/>
        <v>0</v>
      </c>
      <c r="L224" s="111"/>
      <c r="Z224" s="100">
        <f t="shared" si="227"/>
        <v>0</v>
      </c>
      <c r="AB224" s="100">
        <f t="shared" si="228"/>
        <v>0</v>
      </c>
      <c r="AC224" s="100">
        <f t="shared" si="229"/>
        <v>0</v>
      </c>
      <c r="AD224" s="100">
        <f t="shared" si="230"/>
        <v>0</v>
      </c>
      <c r="AE224" s="100">
        <f t="shared" si="231"/>
        <v>0</v>
      </c>
      <c r="AF224" s="100">
        <f t="shared" si="232"/>
        <v>0</v>
      </c>
      <c r="AG224" s="100">
        <f t="shared" si="233"/>
        <v>0</v>
      </c>
      <c r="AH224" s="100">
        <f t="shared" si="234"/>
        <v>0</v>
      </c>
      <c r="AI224" s="109"/>
      <c r="AJ224" s="108">
        <f t="shared" si="235"/>
        <v>0</v>
      </c>
      <c r="AK224" s="108">
        <f t="shared" si="236"/>
        <v>0</v>
      </c>
      <c r="AL224" s="108">
        <f t="shared" si="237"/>
        <v>0</v>
      </c>
      <c r="AN224" s="100">
        <v>15</v>
      </c>
      <c r="AO224" s="100">
        <f t="shared" si="238"/>
        <v>0</v>
      </c>
      <c r="AP224" s="100">
        <f t="shared" si="239"/>
        <v>0</v>
      </c>
      <c r="AQ224" s="111" t="s">
        <v>13</v>
      </c>
      <c r="AV224" s="100">
        <f t="shared" si="240"/>
        <v>0</v>
      </c>
      <c r="AW224" s="100">
        <f t="shared" si="241"/>
        <v>0</v>
      </c>
      <c r="AX224" s="100">
        <f t="shared" si="242"/>
        <v>0</v>
      </c>
      <c r="AY224" s="110" t="s">
        <v>1708</v>
      </c>
      <c r="AZ224" s="110" t="s">
        <v>1732</v>
      </c>
      <c r="BA224" s="109" t="s">
        <v>1737</v>
      </c>
      <c r="BC224" s="100">
        <f t="shared" si="243"/>
        <v>0</v>
      </c>
      <c r="BD224" s="100">
        <f t="shared" si="244"/>
        <v>0</v>
      </c>
      <c r="BE224" s="100">
        <v>0</v>
      </c>
      <c r="BF224" s="100">
        <f>224</f>
        <v>224</v>
      </c>
      <c r="BH224" s="108">
        <f t="shared" si="245"/>
        <v>0</v>
      </c>
      <c r="BI224" s="108">
        <f t="shared" si="246"/>
        <v>0</v>
      </c>
      <c r="BJ224" s="108">
        <f t="shared" si="247"/>
        <v>0</v>
      </c>
    </row>
    <row r="225" spans="1:62" x14ac:dyDescent="0.2">
      <c r="A225" s="117" t="s">
        <v>188</v>
      </c>
      <c r="B225" s="117" t="s">
        <v>3678</v>
      </c>
      <c r="C225" s="304" t="s">
        <v>1271</v>
      </c>
      <c r="D225" s="305"/>
      <c r="E225" s="305"/>
      <c r="F225" s="117" t="s">
        <v>1644</v>
      </c>
      <c r="G225" s="116">
        <v>2</v>
      </c>
      <c r="H225" s="159"/>
      <c r="I225" s="108">
        <f t="shared" si="224"/>
        <v>0</v>
      </c>
      <c r="J225" s="108">
        <f t="shared" si="225"/>
        <v>0</v>
      </c>
      <c r="K225" s="108">
        <f t="shared" si="226"/>
        <v>0</v>
      </c>
      <c r="L225" s="111"/>
      <c r="Z225" s="100">
        <f t="shared" si="227"/>
        <v>0</v>
      </c>
      <c r="AB225" s="100">
        <f t="shared" si="228"/>
        <v>0</v>
      </c>
      <c r="AC225" s="100">
        <f t="shared" si="229"/>
        <v>0</v>
      </c>
      <c r="AD225" s="100">
        <f t="shared" si="230"/>
        <v>0</v>
      </c>
      <c r="AE225" s="100">
        <f t="shared" si="231"/>
        <v>0</v>
      </c>
      <c r="AF225" s="100">
        <f t="shared" si="232"/>
        <v>0</v>
      </c>
      <c r="AG225" s="100">
        <f t="shared" si="233"/>
        <v>0</v>
      </c>
      <c r="AH225" s="100">
        <f t="shared" si="234"/>
        <v>0</v>
      </c>
      <c r="AI225" s="109"/>
      <c r="AJ225" s="108">
        <f t="shared" si="235"/>
        <v>0</v>
      </c>
      <c r="AK225" s="108">
        <f t="shared" si="236"/>
        <v>0</v>
      </c>
      <c r="AL225" s="108">
        <f t="shared" si="237"/>
        <v>0</v>
      </c>
      <c r="AN225" s="100">
        <v>15</v>
      </c>
      <c r="AO225" s="100">
        <f t="shared" si="238"/>
        <v>0</v>
      </c>
      <c r="AP225" s="100">
        <f t="shared" si="239"/>
        <v>0</v>
      </c>
      <c r="AQ225" s="111" t="s">
        <v>13</v>
      </c>
      <c r="AV225" s="100">
        <f t="shared" si="240"/>
        <v>0</v>
      </c>
      <c r="AW225" s="100">
        <f t="shared" si="241"/>
        <v>0</v>
      </c>
      <c r="AX225" s="100">
        <f t="shared" si="242"/>
        <v>0</v>
      </c>
      <c r="AY225" s="110" t="s">
        <v>1708</v>
      </c>
      <c r="AZ225" s="110" t="s">
        <v>1732</v>
      </c>
      <c r="BA225" s="109" t="s">
        <v>1737</v>
      </c>
      <c r="BC225" s="100">
        <f t="shared" si="243"/>
        <v>0</v>
      </c>
      <c r="BD225" s="100">
        <f t="shared" si="244"/>
        <v>0</v>
      </c>
      <c r="BE225" s="100">
        <v>0</v>
      </c>
      <c r="BF225" s="100">
        <f>225</f>
        <v>225</v>
      </c>
      <c r="BH225" s="108">
        <f t="shared" si="245"/>
        <v>0</v>
      </c>
      <c r="BI225" s="108">
        <f t="shared" si="246"/>
        <v>0</v>
      </c>
      <c r="BJ225" s="108">
        <f t="shared" si="247"/>
        <v>0</v>
      </c>
    </row>
    <row r="226" spans="1:62" x14ac:dyDescent="0.2">
      <c r="A226" s="117" t="s">
        <v>189</v>
      </c>
      <c r="B226" s="117" t="s">
        <v>3677</v>
      </c>
      <c r="C226" s="304" t="s">
        <v>1272</v>
      </c>
      <c r="D226" s="305"/>
      <c r="E226" s="305"/>
      <c r="F226" s="117" t="s">
        <v>1644</v>
      </c>
      <c r="G226" s="116">
        <v>2</v>
      </c>
      <c r="H226" s="159"/>
      <c r="I226" s="108">
        <f t="shared" si="224"/>
        <v>0</v>
      </c>
      <c r="J226" s="108">
        <f t="shared" si="225"/>
        <v>0</v>
      </c>
      <c r="K226" s="108">
        <f t="shared" si="226"/>
        <v>0</v>
      </c>
      <c r="L226" s="111"/>
      <c r="Z226" s="100">
        <f t="shared" si="227"/>
        <v>0</v>
      </c>
      <c r="AB226" s="100">
        <f t="shared" si="228"/>
        <v>0</v>
      </c>
      <c r="AC226" s="100">
        <f t="shared" si="229"/>
        <v>0</v>
      </c>
      <c r="AD226" s="100">
        <f t="shared" si="230"/>
        <v>0</v>
      </c>
      <c r="AE226" s="100">
        <f t="shared" si="231"/>
        <v>0</v>
      </c>
      <c r="AF226" s="100">
        <f t="shared" si="232"/>
        <v>0</v>
      </c>
      <c r="AG226" s="100">
        <f t="shared" si="233"/>
        <v>0</v>
      </c>
      <c r="AH226" s="100">
        <f t="shared" si="234"/>
        <v>0</v>
      </c>
      <c r="AI226" s="109"/>
      <c r="AJ226" s="108">
        <f t="shared" si="235"/>
        <v>0</v>
      </c>
      <c r="AK226" s="108">
        <f t="shared" si="236"/>
        <v>0</v>
      </c>
      <c r="AL226" s="108">
        <f t="shared" si="237"/>
        <v>0</v>
      </c>
      <c r="AN226" s="100">
        <v>15</v>
      </c>
      <c r="AO226" s="100">
        <f t="shared" si="238"/>
        <v>0</v>
      </c>
      <c r="AP226" s="100">
        <f t="shared" si="239"/>
        <v>0</v>
      </c>
      <c r="AQ226" s="111" t="s">
        <v>13</v>
      </c>
      <c r="AV226" s="100">
        <f t="shared" si="240"/>
        <v>0</v>
      </c>
      <c r="AW226" s="100">
        <f t="shared" si="241"/>
        <v>0</v>
      </c>
      <c r="AX226" s="100">
        <f t="shared" si="242"/>
        <v>0</v>
      </c>
      <c r="AY226" s="110" t="s">
        <v>1708</v>
      </c>
      <c r="AZ226" s="110" t="s">
        <v>1732</v>
      </c>
      <c r="BA226" s="109" t="s">
        <v>1737</v>
      </c>
      <c r="BC226" s="100">
        <f t="shared" si="243"/>
        <v>0</v>
      </c>
      <c r="BD226" s="100">
        <f t="shared" si="244"/>
        <v>0</v>
      </c>
      <c r="BE226" s="100">
        <v>0</v>
      </c>
      <c r="BF226" s="100">
        <f>226</f>
        <v>226</v>
      </c>
      <c r="BH226" s="108">
        <f t="shared" si="245"/>
        <v>0</v>
      </c>
      <c r="BI226" s="108">
        <f t="shared" si="246"/>
        <v>0</v>
      </c>
      <c r="BJ226" s="108">
        <f t="shared" si="247"/>
        <v>0</v>
      </c>
    </row>
    <row r="227" spans="1:62" x14ac:dyDescent="0.2">
      <c r="A227" s="117" t="s">
        <v>190</v>
      </c>
      <c r="B227" s="117" t="s">
        <v>3676</v>
      </c>
      <c r="C227" s="304" t="s">
        <v>3675</v>
      </c>
      <c r="D227" s="305"/>
      <c r="E227" s="305"/>
      <c r="F227" s="117" t="s">
        <v>1644</v>
      </c>
      <c r="G227" s="116">
        <v>1</v>
      </c>
      <c r="H227" s="159"/>
      <c r="I227" s="108">
        <f t="shared" si="224"/>
        <v>0</v>
      </c>
      <c r="J227" s="108">
        <f t="shared" si="225"/>
        <v>0</v>
      </c>
      <c r="K227" s="108">
        <f t="shared" si="226"/>
        <v>0</v>
      </c>
      <c r="L227" s="111"/>
      <c r="Z227" s="100">
        <f t="shared" si="227"/>
        <v>0</v>
      </c>
      <c r="AB227" s="100">
        <f t="shared" si="228"/>
        <v>0</v>
      </c>
      <c r="AC227" s="100">
        <f t="shared" si="229"/>
        <v>0</v>
      </c>
      <c r="AD227" s="100">
        <f t="shared" si="230"/>
        <v>0</v>
      </c>
      <c r="AE227" s="100">
        <f t="shared" si="231"/>
        <v>0</v>
      </c>
      <c r="AF227" s="100">
        <f t="shared" si="232"/>
        <v>0</v>
      </c>
      <c r="AG227" s="100">
        <f t="shared" si="233"/>
        <v>0</v>
      </c>
      <c r="AH227" s="100">
        <f t="shared" si="234"/>
        <v>0</v>
      </c>
      <c r="AI227" s="109"/>
      <c r="AJ227" s="108">
        <f t="shared" si="235"/>
        <v>0</v>
      </c>
      <c r="AK227" s="108">
        <f t="shared" si="236"/>
        <v>0</v>
      </c>
      <c r="AL227" s="108">
        <f t="shared" si="237"/>
        <v>0</v>
      </c>
      <c r="AN227" s="100">
        <v>15</v>
      </c>
      <c r="AO227" s="100">
        <f t="shared" si="238"/>
        <v>0</v>
      </c>
      <c r="AP227" s="100">
        <f t="shared" si="239"/>
        <v>0</v>
      </c>
      <c r="AQ227" s="111" t="s">
        <v>13</v>
      </c>
      <c r="AV227" s="100">
        <f t="shared" si="240"/>
        <v>0</v>
      </c>
      <c r="AW227" s="100">
        <f t="shared" si="241"/>
        <v>0</v>
      </c>
      <c r="AX227" s="100">
        <f t="shared" si="242"/>
        <v>0</v>
      </c>
      <c r="AY227" s="110" t="s">
        <v>1708</v>
      </c>
      <c r="AZ227" s="110" t="s">
        <v>1732</v>
      </c>
      <c r="BA227" s="109" t="s">
        <v>1737</v>
      </c>
      <c r="BC227" s="100">
        <f t="shared" si="243"/>
        <v>0</v>
      </c>
      <c r="BD227" s="100">
        <f t="shared" si="244"/>
        <v>0</v>
      </c>
      <c r="BE227" s="100">
        <v>0</v>
      </c>
      <c r="BF227" s="100">
        <f>227</f>
        <v>227</v>
      </c>
      <c r="BH227" s="108">
        <f t="shared" si="245"/>
        <v>0</v>
      </c>
      <c r="BI227" s="108">
        <f t="shared" si="246"/>
        <v>0</v>
      </c>
      <c r="BJ227" s="108">
        <f t="shared" si="247"/>
        <v>0</v>
      </c>
    </row>
    <row r="228" spans="1:62" x14ac:dyDescent="0.2">
      <c r="A228" s="117" t="s">
        <v>191</v>
      </c>
      <c r="B228" s="117" t="s">
        <v>3674</v>
      </c>
      <c r="C228" s="304" t="s">
        <v>3673</v>
      </c>
      <c r="D228" s="305"/>
      <c r="E228" s="305"/>
      <c r="F228" s="117" t="s">
        <v>1644</v>
      </c>
      <c r="G228" s="116">
        <v>2</v>
      </c>
      <c r="H228" s="159"/>
      <c r="I228" s="108">
        <f t="shared" si="224"/>
        <v>0</v>
      </c>
      <c r="J228" s="108">
        <f t="shared" si="225"/>
        <v>0</v>
      </c>
      <c r="K228" s="108">
        <f t="shared" si="226"/>
        <v>0</v>
      </c>
      <c r="L228" s="111"/>
      <c r="Z228" s="100">
        <f t="shared" si="227"/>
        <v>0</v>
      </c>
      <c r="AB228" s="100">
        <f t="shared" si="228"/>
        <v>0</v>
      </c>
      <c r="AC228" s="100">
        <f t="shared" si="229"/>
        <v>0</v>
      </c>
      <c r="AD228" s="100">
        <f t="shared" si="230"/>
        <v>0</v>
      </c>
      <c r="AE228" s="100">
        <f t="shared" si="231"/>
        <v>0</v>
      </c>
      <c r="AF228" s="100">
        <f t="shared" si="232"/>
        <v>0</v>
      </c>
      <c r="AG228" s="100">
        <f t="shared" si="233"/>
        <v>0</v>
      </c>
      <c r="AH228" s="100">
        <f t="shared" si="234"/>
        <v>0</v>
      </c>
      <c r="AI228" s="109"/>
      <c r="AJ228" s="108">
        <f t="shared" si="235"/>
        <v>0</v>
      </c>
      <c r="AK228" s="108">
        <f t="shared" si="236"/>
        <v>0</v>
      </c>
      <c r="AL228" s="108">
        <f t="shared" si="237"/>
        <v>0</v>
      </c>
      <c r="AN228" s="100">
        <v>15</v>
      </c>
      <c r="AO228" s="100">
        <f t="shared" si="238"/>
        <v>0</v>
      </c>
      <c r="AP228" s="100">
        <f t="shared" si="239"/>
        <v>0</v>
      </c>
      <c r="AQ228" s="111" t="s">
        <v>13</v>
      </c>
      <c r="AV228" s="100">
        <f t="shared" si="240"/>
        <v>0</v>
      </c>
      <c r="AW228" s="100">
        <f t="shared" si="241"/>
        <v>0</v>
      </c>
      <c r="AX228" s="100">
        <f t="shared" si="242"/>
        <v>0</v>
      </c>
      <c r="AY228" s="110" t="s">
        <v>1708</v>
      </c>
      <c r="AZ228" s="110" t="s">
        <v>1732</v>
      </c>
      <c r="BA228" s="109" t="s">
        <v>1737</v>
      </c>
      <c r="BC228" s="100">
        <f t="shared" si="243"/>
        <v>0</v>
      </c>
      <c r="BD228" s="100">
        <f t="shared" si="244"/>
        <v>0</v>
      </c>
      <c r="BE228" s="100">
        <v>0</v>
      </c>
      <c r="BF228" s="100">
        <f>228</f>
        <v>228</v>
      </c>
      <c r="BH228" s="108">
        <f t="shared" si="245"/>
        <v>0</v>
      </c>
      <c r="BI228" s="108">
        <f t="shared" si="246"/>
        <v>0</v>
      </c>
      <c r="BJ228" s="108">
        <f t="shared" si="247"/>
        <v>0</v>
      </c>
    </row>
    <row r="229" spans="1:62" x14ac:dyDescent="0.2">
      <c r="A229" s="117" t="s">
        <v>192</v>
      </c>
      <c r="B229" s="117" t="s">
        <v>3672</v>
      </c>
      <c r="C229" s="304" t="s">
        <v>3671</v>
      </c>
      <c r="D229" s="305"/>
      <c r="E229" s="305"/>
      <c r="F229" s="117" t="s">
        <v>1644</v>
      </c>
      <c r="G229" s="116">
        <v>1</v>
      </c>
      <c r="H229" s="159"/>
      <c r="I229" s="108">
        <f t="shared" si="224"/>
        <v>0</v>
      </c>
      <c r="J229" s="108">
        <f t="shared" si="225"/>
        <v>0</v>
      </c>
      <c r="K229" s="108">
        <f t="shared" si="226"/>
        <v>0</v>
      </c>
      <c r="L229" s="111"/>
      <c r="Z229" s="100">
        <f t="shared" si="227"/>
        <v>0</v>
      </c>
      <c r="AB229" s="100">
        <f t="shared" si="228"/>
        <v>0</v>
      </c>
      <c r="AC229" s="100">
        <f t="shared" si="229"/>
        <v>0</v>
      </c>
      <c r="AD229" s="100">
        <f t="shared" si="230"/>
        <v>0</v>
      </c>
      <c r="AE229" s="100">
        <f t="shared" si="231"/>
        <v>0</v>
      </c>
      <c r="AF229" s="100">
        <f t="shared" si="232"/>
        <v>0</v>
      </c>
      <c r="AG229" s="100">
        <f t="shared" si="233"/>
        <v>0</v>
      </c>
      <c r="AH229" s="100">
        <f t="shared" si="234"/>
        <v>0</v>
      </c>
      <c r="AI229" s="109"/>
      <c r="AJ229" s="108">
        <f t="shared" si="235"/>
        <v>0</v>
      </c>
      <c r="AK229" s="108">
        <f t="shared" si="236"/>
        <v>0</v>
      </c>
      <c r="AL229" s="108">
        <f t="shared" si="237"/>
        <v>0</v>
      </c>
      <c r="AN229" s="100">
        <v>15</v>
      </c>
      <c r="AO229" s="100">
        <f t="shared" si="238"/>
        <v>0</v>
      </c>
      <c r="AP229" s="100">
        <f t="shared" si="239"/>
        <v>0</v>
      </c>
      <c r="AQ229" s="111" t="s">
        <v>13</v>
      </c>
      <c r="AV229" s="100">
        <f t="shared" si="240"/>
        <v>0</v>
      </c>
      <c r="AW229" s="100">
        <f t="shared" si="241"/>
        <v>0</v>
      </c>
      <c r="AX229" s="100">
        <f t="shared" si="242"/>
        <v>0</v>
      </c>
      <c r="AY229" s="110" t="s">
        <v>1708</v>
      </c>
      <c r="AZ229" s="110" t="s">
        <v>1732</v>
      </c>
      <c r="BA229" s="109" t="s">
        <v>1737</v>
      </c>
      <c r="BC229" s="100">
        <f t="shared" si="243"/>
        <v>0</v>
      </c>
      <c r="BD229" s="100">
        <f t="shared" si="244"/>
        <v>0</v>
      </c>
      <c r="BE229" s="100">
        <v>0</v>
      </c>
      <c r="BF229" s="100">
        <f>229</f>
        <v>229</v>
      </c>
      <c r="BH229" s="108">
        <f t="shared" si="245"/>
        <v>0</v>
      </c>
      <c r="BI229" s="108">
        <f t="shared" si="246"/>
        <v>0</v>
      </c>
      <c r="BJ229" s="108">
        <f t="shared" si="247"/>
        <v>0</v>
      </c>
    </row>
    <row r="230" spans="1:62" x14ac:dyDescent="0.2">
      <c r="A230" s="117" t="s">
        <v>193</v>
      </c>
      <c r="B230" s="117" t="s">
        <v>3670</v>
      </c>
      <c r="C230" s="304" t="s">
        <v>3669</v>
      </c>
      <c r="D230" s="305"/>
      <c r="E230" s="305"/>
      <c r="F230" s="117" t="s">
        <v>1644</v>
      </c>
      <c r="G230" s="116">
        <v>1</v>
      </c>
      <c r="H230" s="159"/>
      <c r="I230" s="108">
        <f t="shared" si="224"/>
        <v>0</v>
      </c>
      <c r="J230" s="108">
        <f t="shared" si="225"/>
        <v>0</v>
      </c>
      <c r="K230" s="108">
        <f t="shared" si="226"/>
        <v>0</v>
      </c>
      <c r="L230" s="111"/>
      <c r="Z230" s="100">
        <f t="shared" si="227"/>
        <v>0</v>
      </c>
      <c r="AB230" s="100">
        <f t="shared" si="228"/>
        <v>0</v>
      </c>
      <c r="AC230" s="100">
        <f t="shared" si="229"/>
        <v>0</v>
      </c>
      <c r="AD230" s="100">
        <f t="shared" si="230"/>
        <v>0</v>
      </c>
      <c r="AE230" s="100">
        <f t="shared" si="231"/>
        <v>0</v>
      </c>
      <c r="AF230" s="100">
        <f t="shared" si="232"/>
        <v>0</v>
      </c>
      <c r="AG230" s="100">
        <f t="shared" si="233"/>
        <v>0</v>
      </c>
      <c r="AH230" s="100">
        <f t="shared" si="234"/>
        <v>0</v>
      </c>
      <c r="AI230" s="109"/>
      <c r="AJ230" s="108">
        <f t="shared" si="235"/>
        <v>0</v>
      </c>
      <c r="AK230" s="108">
        <f t="shared" si="236"/>
        <v>0</v>
      </c>
      <c r="AL230" s="108">
        <f t="shared" si="237"/>
        <v>0</v>
      </c>
      <c r="AN230" s="100">
        <v>15</v>
      </c>
      <c r="AO230" s="100">
        <f t="shared" si="238"/>
        <v>0</v>
      </c>
      <c r="AP230" s="100">
        <f t="shared" si="239"/>
        <v>0</v>
      </c>
      <c r="AQ230" s="111" t="s">
        <v>13</v>
      </c>
      <c r="AV230" s="100">
        <f t="shared" si="240"/>
        <v>0</v>
      </c>
      <c r="AW230" s="100">
        <f t="shared" si="241"/>
        <v>0</v>
      </c>
      <c r="AX230" s="100">
        <f t="shared" si="242"/>
        <v>0</v>
      </c>
      <c r="AY230" s="110" t="s">
        <v>1708</v>
      </c>
      <c r="AZ230" s="110" t="s">
        <v>1732</v>
      </c>
      <c r="BA230" s="109" t="s">
        <v>1737</v>
      </c>
      <c r="BC230" s="100">
        <f t="shared" si="243"/>
        <v>0</v>
      </c>
      <c r="BD230" s="100">
        <f t="shared" si="244"/>
        <v>0</v>
      </c>
      <c r="BE230" s="100">
        <v>0</v>
      </c>
      <c r="BF230" s="100">
        <f>230</f>
        <v>230</v>
      </c>
      <c r="BH230" s="108">
        <f t="shared" si="245"/>
        <v>0</v>
      </c>
      <c r="BI230" s="108">
        <f t="shared" si="246"/>
        <v>0</v>
      </c>
      <c r="BJ230" s="108">
        <f t="shared" si="247"/>
        <v>0</v>
      </c>
    </row>
    <row r="231" spans="1:62" x14ac:dyDescent="0.2">
      <c r="A231" s="117" t="s">
        <v>194</v>
      </c>
      <c r="B231" s="117" t="s">
        <v>3668</v>
      </c>
      <c r="C231" s="304" t="s">
        <v>3667</v>
      </c>
      <c r="D231" s="305"/>
      <c r="E231" s="305"/>
      <c r="F231" s="117" t="s">
        <v>1644</v>
      </c>
      <c r="G231" s="116">
        <v>1</v>
      </c>
      <c r="H231" s="159"/>
      <c r="I231" s="108">
        <f t="shared" si="224"/>
        <v>0</v>
      </c>
      <c r="J231" s="108">
        <f t="shared" si="225"/>
        <v>0</v>
      </c>
      <c r="K231" s="108">
        <f t="shared" si="226"/>
        <v>0</v>
      </c>
      <c r="L231" s="111"/>
      <c r="Z231" s="100">
        <f t="shared" si="227"/>
        <v>0</v>
      </c>
      <c r="AB231" s="100">
        <f t="shared" si="228"/>
        <v>0</v>
      </c>
      <c r="AC231" s="100">
        <f t="shared" si="229"/>
        <v>0</v>
      </c>
      <c r="AD231" s="100">
        <f t="shared" si="230"/>
        <v>0</v>
      </c>
      <c r="AE231" s="100">
        <f t="shared" si="231"/>
        <v>0</v>
      </c>
      <c r="AF231" s="100">
        <f t="shared" si="232"/>
        <v>0</v>
      </c>
      <c r="AG231" s="100">
        <f t="shared" si="233"/>
        <v>0</v>
      </c>
      <c r="AH231" s="100">
        <f t="shared" si="234"/>
        <v>0</v>
      </c>
      <c r="AI231" s="109"/>
      <c r="AJ231" s="108">
        <f t="shared" si="235"/>
        <v>0</v>
      </c>
      <c r="AK231" s="108">
        <f t="shared" si="236"/>
        <v>0</v>
      </c>
      <c r="AL231" s="108">
        <f t="shared" si="237"/>
        <v>0</v>
      </c>
      <c r="AN231" s="100">
        <v>15</v>
      </c>
      <c r="AO231" s="100">
        <f t="shared" si="238"/>
        <v>0</v>
      </c>
      <c r="AP231" s="100">
        <f t="shared" si="239"/>
        <v>0</v>
      </c>
      <c r="AQ231" s="111" t="s">
        <v>13</v>
      </c>
      <c r="AV231" s="100">
        <f t="shared" si="240"/>
        <v>0</v>
      </c>
      <c r="AW231" s="100">
        <f t="shared" si="241"/>
        <v>0</v>
      </c>
      <c r="AX231" s="100">
        <f t="shared" si="242"/>
        <v>0</v>
      </c>
      <c r="AY231" s="110" t="s">
        <v>1708</v>
      </c>
      <c r="AZ231" s="110" t="s">
        <v>1732</v>
      </c>
      <c r="BA231" s="109" t="s">
        <v>1737</v>
      </c>
      <c r="BC231" s="100">
        <f t="shared" si="243"/>
        <v>0</v>
      </c>
      <c r="BD231" s="100">
        <f t="shared" si="244"/>
        <v>0</v>
      </c>
      <c r="BE231" s="100">
        <v>0</v>
      </c>
      <c r="BF231" s="100">
        <f>231</f>
        <v>231</v>
      </c>
      <c r="BH231" s="108">
        <f t="shared" si="245"/>
        <v>0</v>
      </c>
      <c r="BI231" s="108">
        <f t="shared" si="246"/>
        <v>0</v>
      </c>
      <c r="BJ231" s="108">
        <f t="shared" si="247"/>
        <v>0</v>
      </c>
    </row>
    <row r="232" spans="1:62" x14ac:dyDescent="0.2">
      <c r="A232" s="117" t="s">
        <v>195</v>
      </c>
      <c r="B232" s="117" t="s">
        <v>3666</v>
      </c>
      <c r="C232" s="304" t="s">
        <v>3665</v>
      </c>
      <c r="D232" s="305"/>
      <c r="E232" s="305"/>
      <c r="F232" s="117" t="s">
        <v>1644</v>
      </c>
      <c r="G232" s="116">
        <v>1</v>
      </c>
      <c r="H232" s="159"/>
      <c r="I232" s="108">
        <f t="shared" si="224"/>
        <v>0</v>
      </c>
      <c r="J232" s="108">
        <f t="shared" si="225"/>
        <v>0</v>
      </c>
      <c r="K232" s="108">
        <f t="shared" si="226"/>
        <v>0</v>
      </c>
      <c r="L232" s="111"/>
      <c r="Z232" s="100">
        <f t="shared" si="227"/>
        <v>0</v>
      </c>
      <c r="AB232" s="100">
        <f t="shared" si="228"/>
        <v>0</v>
      </c>
      <c r="AC232" s="100">
        <f t="shared" si="229"/>
        <v>0</v>
      </c>
      <c r="AD232" s="100">
        <f t="shared" si="230"/>
        <v>0</v>
      </c>
      <c r="AE232" s="100">
        <f t="shared" si="231"/>
        <v>0</v>
      </c>
      <c r="AF232" s="100">
        <f t="shared" si="232"/>
        <v>0</v>
      </c>
      <c r="AG232" s="100">
        <f t="shared" si="233"/>
        <v>0</v>
      </c>
      <c r="AH232" s="100">
        <f t="shared" si="234"/>
        <v>0</v>
      </c>
      <c r="AI232" s="109"/>
      <c r="AJ232" s="108">
        <f t="shared" si="235"/>
        <v>0</v>
      </c>
      <c r="AK232" s="108">
        <f t="shared" si="236"/>
        <v>0</v>
      </c>
      <c r="AL232" s="108">
        <f t="shared" si="237"/>
        <v>0</v>
      </c>
      <c r="AN232" s="100">
        <v>15</v>
      </c>
      <c r="AO232" s="100">
        <f t="shared" si="238"/>
        <v>0</v>
      </c>
      <c r="AP232" s="100">
        <f t="shared" si="239"/>
        <v>0</v>
      </c>
      <c r="AQ232" s="111" t="s">
        <v>13</v>
      </c>
      <c r="AV232" s="100">
        <f t="shared" si="240"/>
        <v>0</v>
      </c>
      <c r="AW232" s="100">
        <f t="shared" si="241"/>
        <v>0</v>
      </c>
      <c r="AX232" s="100">
        <f t="shared" si="242"/>
        <v>0</v>
      </c>
      <c r="AY232" s="110" t="s">
        <v>1708</v>
      </c>
      <c r="AZ232" s="110" t="s">
        <v>1732</v>
      </c>
      <c r="BA232" s="109" t="s">
        <v>1737</v>
      </c>
      <c r="BC232" s="100">
        <f t="shared" si="243"/>
        <v>0</v>
      </c>
      <c r="BD232" s="100">
        <f t="shared" si="244"/>
        <v>0</v>
      </c>
      <c r="BE232" s="100">
        <v>0</v>
      </c>
      <c r="BF232" s="100">
        <f>232</f>
        <v>232</v>
      </c>
      <c r="BH232" s="108">
        <f t="shared" si="245"/>
        <v>0</v>
      </c>
      <c r="BI232" s="108">
        <f t="shared" si="246"/>
        <v>0</v>
      </c>
      <c r="BJ232" s="108">
        <f t="shared" si="247"/>
        <v>0</v>
      </c>
    </row>
    <row r="233" spans="1:62" x14ac:dyDescent="0.2">
      <c r="A233" s="117" t="s">
        <v>196</v>
      </c>
      <c r="B233" s="117" t="s">
        <v>3664</v>
      </c>
      <c r="C233" s="304" t="s">
        <v>1276</v>
      </c>
      <c r="D233" s="305"/>
      <c r="E233" s="305"/>
      <c r="F233" s="117" t="s">
        <v>1644</v>
      </c>
      <c r="G233" s="116">
        <v>2</v>
      </c>
      <c r="H233" s="159"/>
      <c r="I233" s="108">
        <f t="shared" si="224"/>
        <v>0</v>
      </c>
      <c r="J233" s="108">
        <f t="shared" si="225"/>
        <v>0</v>
      </c>
      <c r="K233" s="108">
        <f t="shared" si="226"/>
        <v>0</v>
      </c>
      <c r="L233" s="111"/>
      <c r="Z233" s="100">
        <f t="shared" si="227"/>
        <v>0</v>
      </c>
      <c r="AB233" s="100">
        <f t="shared" si="228"/>
        <v>0</v>
      </c>
      <c r="AC233" s="100">
        <f t="shared" si="229"/>
        <v>0</v>
      </c>
      <c r="AD233" s="100">
        <f t="shared" si="230"/>
        <v>0</v>
      </c>
      <c r="AE233" s="100">
        <f t="shared" si="231"/>
        <v>0</v>
      </c>
      <c r="AF233" s="100">
        <f t="shared" si="232"/>
        <v>0</v>
      </c>
      <c r="AG233" s="100">
        <f t="shared" si="233"/>
        <v>0</v>
      </c>
      <c r="AH233" s="100">
        <f t="shared" si="234"/>
        <v>0</v>
      </c>
      <c r="AI233" s="109"/>
      <c r="AJ233" s="108">
        <f t="shared" si="235"/>
        <v>0</v>
      </c>
      <c r="AK233" s="108">
        <f t="shared" si="236"/>
        <v>0</v>
      </c>
      <c r="AL233" s="108">
        <f t="shared" si="237"/>
        <v>0</v>
      </c>
      <c r="AN233" s="100">
        <v>15</v>
      </c>
      <c r="AO233" s="100">
        <f t="shared" si="238"/>
        <v>0</v>
      </c>
      <c r="AP233" s="100">
        <f t="shared" si="239"/>
        <v>0</v>
      </c>
      <c r="AQ233" s="111" t="s">
        <v>13</v>
      </c>
      <c r="AV233" s="100">
        <f t="shared" si="240"/>
        <v>0</v>
      </c>
      <c r="AW233" s="100">
        <f t="shared" si="241"/>
        <v>0</v>
      </c>
      <c r="AX233" s="100">
        <f t="shared" si="242"/>
        <v>0</v>
      </c>
      <c r="AY233" s="110" t="s">
        <v>1708</v>
      </c>
      <c r="AZ233" s="110" t="s">
        <v>1732</v>
      </c>
      <c r="BA233" s="109" t="s">
        <v>1737</v>
      </c>
      <c r="BC233" s="100">
        <f t="shared" si="243"/>
        <v>0</v>
      </c>
      <c r="BD233" s="100">
        <f t="shared" si="244"/>
        <v>0</v>
      </c>
      <c r="BE233" s="100">
        <v>0</v>
      </c>
      <c r="BF233" s="100">
        <f>233</f>
        <v>233</v>
      </c>
      <c r="BH233" s="108">
        <f t="shared" si="245"/>
        <v>0</v>
      </c>
      <c r="BI233" s="108">
        <f t="shared" si="246"/>
        <v>0</v>
      </c>
      <c r="BJ233" s="108">
        <f t="shared" si="247"/>
        <v>0</v>
      </c>
    </row>
    <row r="234" spans="1:62" x14ac:dyDescent="0.2">
      <c r="A234" s="117" t="s">
        <v>197</v>
      </c>
      <c r="B234" s="117" t="s">
        <v>3663</v>
      </c>
      <c r="C234" s="304" t="s">
        <v>3662</v>
      </c>
      <c r="D234" s="305"/>
      <c r="E234" s="305"/>
      <c r="F234" s="117" t="s">
        <v>1644</v>
      </c>
      <c r="G234" s="116">
        <v>1</v>
      </c>
      <c r="H234" s="159"/>
      <c r="I234" s="108">
        <f t="shared" si="224"/>
        <v>0</v>
      </c>
      <c r="J234" s="108">
        <f t="shared" si="225"/>
        <v>0</v>
      </c>
      <c r="K234" s="108">
        <f t="shared" si="226"/>
        <v>0</v>
      </c>
      <c r="L234" s="111"/>
      <c r="Z234" s="100">
        <f t="shared" si="227"/>
        <v>0</v>
      </c>
      <c r="AB234" s="100">
        <f t="shared" si="228"/>
        <v>0</v>
      </c>
      <c r="AC234" s="100">
        <f t="shared" si="229"/>
        <v>0</v>
      </c>
      <c r="AD234" s="100">
        <f t="shared" si="230"/>
        <v>0</v>
      </c>
      <c r="AE234" s="100">
        <f t="shared" si="231"/>
        <v>0</v>
      </c>
      <c r="AF234" s="100">
        <f t="shared" si="232"/>
        <v>0</v>
      </c>
      <c r="AG234" s="100">
        <f t="shared" si="233"/>
        <v>0</v>
      </c>
      <c r="AH234" s="100">
        <f t="shared" si="234"/>
        <v>0</v>
      </c>
      <c r="AI234" s="109"/>
      <c r="AJ234" s="108">
        <f t="shared" si="235"/>
        <v>0</v>
      </c>
      <c r="AK234" s="108">
        <f t="shared" si="236"/>
        <v>0</v>
      </c>
      <c r="AL234" s="108">
        <f t="shared" si="237"/>
        <v>0</v>
      </c>
      <c r="AN234" s="100">
        <v>15</v>
      </c>
      <c r="AO234" s="100">
        <f t="shared" si="238"/>
        <v>0</v>
      </c>
      <c r="AP234" s="100">
        <f t="shared" si="239"/>
        <v>0</v>
      </c>
      <c r="AQ234" s="111" t="s">
        <v>13</v>
      </c>
      <c r="AV234" s="100">
        <f t="shared" si="240"/>
        <v>0</v>
      </c>
      <c r="AW234" s="100">
        <f t="shared" si="241"/>
        <v>0</v>
      </c>
      <c r="AX234" s="100">
        <f t="shared" si="242"/>
        <v>0</v>
      </c>
      <c r="AY234" s="110" t="s">
        <v>1708</v>
      </c>
      <c r="AZ234" s="110" t="s">
        <v>1732</v>
      </c>
      <c r="BA234" s="109" t="s">
        <v>1737</v>
      </c>
      <c r="BC234" s="100">
        <f t="shared" si="243"/>
        <v>0</v>
      </c>
      <c r="BD234" s="100">
        <f t="shared" si="244"/>
        <v>0</v>
      </c>
      <c r="BE234" s="100">
        <v>0</v>
      </c>
      <c r="BF234" s="100">
        <f>234</f>
        <v>234</v>
      </c>
      <c r="BH234" s="108">
        <f t="shared" si="245"/>
        <v>0</v>
      </c>
      <c r="BI234" s="108">
        <f t="shared" si="246"/>
        <v>0</v>
      </c>
      <c r="BJ234" s="108">
        <f t="shared" si="247"/>
        <v>0</v>
      </c>
    </row>
    <row r="235" spans="1:62" x14ac:dyDescent="0.2">
      <c r="A235" s="117" t="s">
        <v>198</v>
      </c>
      <c r="B235" s="117" t="s">
        <v>3661</v>
      </c>
      <c r="C235" s="304" t="s">
        <v>3660</v>
      </c>
      <c r="D235" s="305"/>
      <c r="E235" s="305"/>
      <c r="F235" s="117" t="s">
        <v>1644</v>
      </c>
      <c r="G235" s="116">
        <v>6</v>
      </c>
      <c r="H235" s="159"/>
      <c r="I235" s="108">
        <f t="shared" si="224"/>
        <v>0</v>
      </c>
      <c r="J235" s="108">
        <f t="shared" si="225"/>
        <v>0</v>
      </c>
      <c r="K235" s="108">
        <f t="shared" si="226"/>
        <v>0</v>
      </c>
      <c r="L235" s="111"/>
      <c r="Z235" s="100">
        <f t="shared" si="227"/>
        <v>0</v>
      </c>
      <c r="AB235" s="100">
        <f t="shared" si="228"/>
        <v>0</v>
      </c>
      <c r="AC235" s="100">
        <f t="shared" si="229"/>
        <v>0</v>
      </c>
      <c r="AD235" s="100">
        <f t="shared" si="230"/>
        <v>0</v>
      </c>
      <c r="AE235" s="100">
        <f t="shared" si="231"/>
        <v>0</v>
      </c>
      <c r="AF235" s="100">
        <f t="shared" si="232"/>
        <v>0</v>
      </c>
      <c r="AG235" s="100">
        <f t="shared" si="233"/>
        <v>0</v>
      </c>
      <c r="AH235" s="100">
        <f t="shared" si="234"/>
        <v>0</v>
      </c>
      <c r="AI235" s="109"/>
      <c r="AJ235" s="108">
        <f t="shared" si="235"/>
        <v>0</v>
      </c>
      <c r="AK235" s="108">
        <f t="shared" si="236"/>
        <v>0</v>
      </c>
      <c r="AL235" s="108">
        <f t="shared" si="237"/>
        <v>0</v>
      </c>
      <c r="AN235" s="100">
        <v>15</v>
      </c>
      <c r="AO235" s="100">
        <f t="shared" si="238"/>
        <v>0</v>
      </c>
      <c r="AP235" s="100">
        <f t="shared" si="239"/>
        <v>0</v>
      </c>
      <c r="AQ235" s="111" t="s">
        <v>13</v>
      </c>
      <c r="AV235" s="100">
        <f t="shared" si="240"/>
        <v>0</v>
      </c>
      <c r="AW235" s="100">
        <f t="shared" si="241"/>
        <v>0</v>
      </c>
      <c r="AX235" s="100">
        <f t="shared" si="242"/>
        <v>0</v>
      </c>
      <c r="AY235" s="110" t="s">
        <v>1708</v>
      </c>
      <c r="AZ235" s="110" t="s">
        <v>1732</v>
      </c>
      <c r="BA235" s="109" t="s">
        <v>1737</v>
      </c>
      <c r="BC235" s="100">
        <f t="shared" si="243"/>
        <v>0</v>
      </c>
      <c r="BD235" s="100">
        <f t="shared" si="244"/>
        <v>0</v>
      </c>
      <c r="BE235" s="100">
        <v>0</v>
      </c>
      <c r="BF235" s="100">
        <f>235</f>
        <v>235</v>
      </c>
      <c r="BH235" s="108">
        <f t="shared" si="245"/>
        <v>0</v>
      </c>
      <c r="BI235" s="108">
        <f t="shared" si="246"/>
        <v>0</v>
      </c>
      <c r="BJ235" s="108">
        <f t="shared" si="247"/>
        <v>0</v>
      </c>
    </row>
    <row r="236" spans="1:62" x14ac:dyDescent="0.2">
      <c r="A236" s="117" t="s">
        <v>199</v>
      </c>
      <c r="B236" s="117" t="s">
        <v>3659</v>
      </c>
      <c r="C236" s="304" t="s">
        <v>2123</v>
      </c>
      <c r="D236" s="305"/>
      <c r="E236" s="305"/>
      <c r="F236" s="117" t="s">
        <v>1644</v>
      </c>
      <c r="G236" s="116">
        <v>2</v>
      </c>
      <c r="H236" s="159"/>
      <c r="I236" s="108">
        <f t="shared" si="224"/>
        <v>0</v>
      </c>
      <c r="J236" s="108">
        <f t="shared" si="225"/>
        <v>0</v>
      </c>
      <c r="K236" s="108">
        <f t="shared" si="226"/>
        <v>0</v>
      </c>
      <c r="L236" s="111"/>
      <c r="Z236" s="100">
        <f t="shared" si="227"/>
        <v>0</v>
      </c>
      <c r="AB236" s="100">
        <f t="shared" si="228"/>
        <v>0</v>
      </c>
      <c r="AC236" s="100">
        <f t="shared" si="229"/>
        <v>0</v>
      </c>
      <c r="AD236" s="100">
        <f t="shared" si="230"/>
        <v>0</v>
      </c>
      <c r="AE236" s="100">
        <f t="shared" si="231"/>
        <v>0</v>
      </c>
      <c r="AF236" s="100">
        <f t="shared" si="232"/>
        <v>0</v>
      </c>
      <c r="AG236" s="100">
        <f t="shared" si="233"/>
        <v>0</v>
      </c>
      <c r="AH236" s="100">
        <f t="shared" si="234"/>
        <v>0</v>
      </c>
      <c r="AI236" s="109"/>
      <c r="AJ236" s="108">
        <f t="shared" si="235"/>
        <v>0</v>
      </c>
      <c r="AK236" s="108">
        <f t="shared" si="236"/>
        <v>0</v>
      </c>
      <c r="AL236" s="108">
        <f t="shared" si="237"/>
        <v>0</v>
      </c>
      <c r="AN236" s="100">
        <v>15</v>
      </c>
      <c r="AO236" s="100">
        <f t="shared" si="238"/>
        <v>0</v>
      </c>
      <c r="AP236" s="100">
        <f t="shared" si="239"/>
        <v>0</v>
      </c>
      <c r="AQ236" s="111" t="s">
        <v>13</v>
      </c>
      <c r="AV236" s="100">
        <f t="shared" si="240"/>
        <v>0</v>
      </c>
      <c r="AW236" s="100">
        <f t="shared" si="241"/>
        <v>0</v>
      </c>
      <c r="AX236" s="100">
        <f t="shared" si="242"/>
        <v>0</v>
      </c>
      <c r="AY236" s="110" t="s">
        <v>1708</v>
      </c>
      <c r="AZ236" s="110" t="s">
        <v>1732</v>
      </c>
      <c r="BA236" s="109" t="s">
        <v>1737</v>
      </c>
      <c r="BC236" s="100">
        <f t="shared" si="243"/>
        <v>0</v>
      </c>
      <c r="BD236" s="100">
        <f t="shared" si="244"/>
        <v>0</v>
      </c>
      <c r="BE236" s="100">
        <v>0</v>
      </c>
      <c r="BF236" s="100">
        <f>236</f>
        <v>236</v>
      </c>
      <c r="BH236" s="108">
        <f t="shared" si="245"/>
        <v>0</v>
      </c>
      <c r="BI236" s="108">
        <f t="shared" si="246"/>
        <v>0</v>
      </c>
      <c r="BJ236" s="108">
        <f t="shared" si="247"/>
        <v>0</v>
      </c>
    </row>
    <row r="237" spans="1:62" x14ac:dyDescent="0.2">
      <c r="A237" s="117" t="s">
        <v>200</v>
      </c>
      <c r="B237" s="117" t="s">
        <v>3658</v>
      </c>
      <c r="C237" s="304" t="s">
        <v>1279</v>
      </c>
      <c r="D237" s="305"/>
      <c r="E237" s="305"/>
      <c r="F237" s="117" t="s">
        <v>1644</v>
      </c>
      <c r="G237" s="116">
        <v>4</v>
      </c>
      <c r="H237" s="159"/>
      <c r="I237" s="108">
        <f t="shared" si="224"/>
        <v>0</v>
      </c>
      <c r="J237" s="108">
        <f t="shared" si="225"/>
        <v>0</v>
      </c>
      <c r="K237" s="108">
        <f t="shared" si="226"/>
        <v>0</v>
      </c>
      <c r="L237" s="111"/>
      <c r="Z237" s="100">
        <f t="shared" si="227"/>
        <v>0</v>
      </c>
      <c r="AB237" s="100">
        <f t="shared" si="228"/>
        <v>0</v>
      </c>
      <c r="AC237" s="100">
        <f t="shared" si="229"/>
        <v>0</v>
      </c>
      <c r="AD237" s="100">
        <f t="shared" si="230"/>
        <v>0</v>
      </c>
      <c r="AE237" s="100">
        <f t="shared" si="231"/>
        <v>0</v>
      </c>
      <c r="AF237" s="100">
        <f t="shared" si="232"/>
        <v>0</v>
      </c>
      <c r="AG237" s="100">
        <f t="shared" si="233"/>
        <v>0</v>
      </c>
      <c r="AH237" s="100">
        <f t="shared" si="234"/>
        <v>0</v>
      </c>
      <c r="AI237" s="109"/>
      <c r="AJ237" s="108">
        <f t="shared" si="235"/>
        <v>0</v>
      </c>
      <c r="AK237" s="108">
        <f t="shared" si="236"/>
        <v>0</v>
      </c>
      <c r="AL237" s="108">
        <f t="shared" si="237"/>
        <v>0</v>
      </c>
      <c r="AN237" s="100">
        <v>15</v>
      </c>
      <c r="AO237" s="100">
        <f t="shared" si="238"/>
        <v>0</v>
      </c>
      <c r="AP237" s="100">
        <f t="shared" si="239"/>
        <v>0</v>
      </c>
      <c r="AQ237" s="111" t="s">
        <v>13</v>
      </c>
      <c r="AV237" s="100">
        <f t="shared" si="240"/>
        <v>0</v>
      </c>
      <c r="AW237" s="100">
        <f t="shared" si="241"/>
        <v>0</v>
      </c>
      <c r="AX237" s="100">
        <f t="shared" si="242"/>
        <v>0</v>
      </c>
      <c r="AY237" s="110" t="s">
        <v>1708</v>
      </c>
      <c r="AZ237" s="110" t="s">
        <v>1732</v>
      </c>
      <c r="BA237" s="109" t="s">
        <v>1737</v>
      </c>
      <c r="BC237" s="100">
        <f t="shared" si="243"/>
        <v>0</v>
      </c>
      <c r="BD237" s="100">
        <f t="shared" si="244"/>
        <v>0</v>
      </c>
      <c r="BE237" s="100">
        <v>0</v>
      </c>
      <c r="BF237" s="100">
        <f>237</f>
        <v>237</v>
      </c>
      <c r="BH237" s="108">
        <f t="shared" si="245"/>
        <v>0</v>
      </c>
      <c r="BI237" s="108">
        <f t="shared" si="246"/>
        <v>0</v>
      </c>
      <c r="BJ237" s="108">
        <f t="shared" si="247"/>
        <v>0</v>
      </c>
    </row>
    <row r="238" spans="1:62" x14ac:dyDescent="0.2">
      <c r="A238" s="117" t="s">
        <v>201</v>
      </c>
      <c r="B238" s="117" t="s">
        <v>3657</v>
      </c>
      <c r="C238" s="304" t="s">
        <v>3656</v>
      </c>
      <c r="D238" s="305"/>
      <c r="E238" s="305"/>
      <c r="F238" s="117" t="s">
        <v>1644</v>
      </c>
      <c r="G238" s="116">
        <v>2</v>
      </c>
      <c r="H238" s="159"/>
      <c r="I238" s="108">
        <f t="shared" si="224"/>
        <v>0</v>
      </c>
      <c r="J238" s="108">
        <f t="shared" si="225"/>
        <v>0</v>
      </c>
      <c r="K238" s="108">
        <f t="shared" si="226"/>
        <v>0</v>
      </c>
      <c r="L238" s="111"/>
      <c r="Z238" s="100">
        <f t="shared" si="227"/>
        <v>0</v>
      </c>
      <c r="AB238" s="100">
        <f t="shared" si="228"/>
        <v>0</v>
      </c>
      <c r="AC238" s="100">
        <f t="shared" si="229"/>
        <v>0</v>
      </c>
      <c r="AD238" s="100">
        <f t="shared" si="230"/>
        <v>0</v>
      </c>
      <c r="AE238" s="100">
        <f t="shared" si="231"/>
        <v>0</v>
      </c>
      <c r="AF238" s="100">
        <f t="shared" si="232"/>
        <v>0</v>
      </c>
      <c r="AG238" s="100">
        <f t="shared" si="233"/>
        <v>0</v>
      </c>
      <c r="AH238" s="100">
        <f t="shared" si="234"/>
        <v>0</v>
      </c>
      <c r="AI238" s="109"/>
      <c r="AJ238" s="108">
        <f t="shared" si="235"/>
        <v>0</v>
      </c>
      <c r="AK238" s="108">
        <f t="shared" si="236"/>
        <v>0</v>
      </c>
      <c r="AL238" s="108">
        <f t="shared" si="237"/>
        <v>0</v>
      </c>
      <c r="AN238" s="100">
        <v>15</v>
      </c>
      <c r="AO238" s="100">
        <f t="shared" si="238"/>
        <v>0</v>
      </c>
      <c r="AP238" s="100">
        <f t="shared" si="239"/>
        <v>0</v>
      </c>
      <c r="AQ238" s="111" t="s">
        <v>13</v>
      </c>
      <c r="AV238" s="100">
        <f t="shared" si="240"/>
        <v>0</v>
      </c>
      <c r="AW238" s="100">
        <f t="shared" si="241"/>
        <v>0</v>
      </c>
      <c r="AX238" s="100">
        <f t="shared" si="242"/>
        <v>0</v>
      </c>
      <c r="AY238" s="110" t="s">
        <v>1708</v>
      </c>
      <c r="AZ238" s="110" t="s">
        <v>1732</v>
      </c>
      <c r="BA238" s="109" t="s">
        <v>1737</v>
      </c>
      <c r="BC238" s="100">
        <f t="shared" si="243"/>
        <v>0</v>
      </c>
      <c r="BD238" s="100">
        <f t="shared" si="244"/>
        <v>0</v>
      </c>
      <c r="BE238" s="100">
        <v>0</v>
      </c>
      <c r="BF238" s="100">
        <f>238</f>
        <v>238</v>
      </c>
      <c r="BH238" s="108">
        <f t="shared" si="245"/>
        <v>0</v>
      </c>
      <c r="BI238" s="108">
        <f t="shared" si="246"/>
        <v>0</v>
      </c>
      <c r="BJ238" s="108">
        <f t="shared" si="247"/>
        <v>0</v>
      </c>
    </row>
    <row r="239" spans="1:62" x14ac:dyDescent="0.2">
      <c r="A239" s="117" t="s">
        <v>202</v>
      </c>
      <c r="B239" s="117" t="s">
        <v>3655</v>
      </c>
      <c r="C239" s="304" t="s">
        <v>1280</v>
      </c>
      <c r="D239" s="305"/>
      <c r="E239" s="305"/>
      <c r="F239" s="117" t="s">
        <v>1646</v>
      </c>
      <c r="G239" s="116">
        <v>26</v>
      </c>
      <c r="H239" s="159"/>
      <c r="I239" s="108">
        <f t="shared" si="224"/>
        <v>0</v>
      </c>
      <c r="J239" s="108">
        <f t="shared" si="225"/>
        <v>0</v>
      </c>
      <c r="K239" s="108">
        <f t="shared" si="226"/>
        <v>0</v>
      </c>
      <c r="L239" s="111"/>
      <c r="Z239" s="100">
        <f t="shared" si="227"/>
        <v>0</v>
      </c>
      <c r="AB239" s="100">
        <f t="shared" si="228"/>
        <v>0</v>
      </c>
      <c r="AC239" s="100">
        <f t="shared" si="229"/>
        <v>0</v>
      </c>
      <c r="AD239" s="100">
        <f t="shared" si="230"/>
        <v>0</v>
      </c>
      <c r="AE239" s="100">
        <f t="shared" si="231"/>
        <v>0</v>
      </c>
      <c r="AF239" s="100">
        <f t="shared" si="232"/>
        <v>0</v>
      </c>
      <c r="AG239" s="100">
        <f t="shared" si="233"/>
        <v>0</v>
      </c>
      <c r="AH239" s="100">
        <f t="shared" si="234"/>
        <v>0</v>
      </c>
      <c r="AI239" s="109"/>
      <c r="AJ239" s="108">
        <f t="shared" si="235"/>
        <v>0</v>
      </c>
      <c r="AK239" s="108">
        <f t="shared" si="236"/>
        <v>0</v>
      </c>
      <c r="AL239" s="108">
        <f t="shared" si="237"/>
        <v>0</v>
      </c>
      <c r="AN239" s="100">
        <v>15</v>
      </c>
      <c r="AO239" s="100">
        <f t="shared" si="238"/>
        <v>0</v>
      </c>
      <c r="AP239" s="100">
        <f t="shared" si="239"/>
        <v>0</v>
      </c>
      <c r="AQ239" s="111" t="s">
        <v>13</v>
      </c>
      <c r="AV239" s="100">
        <f t="shared" si="240"/>
        <v>0</v>
      </c>
      <c r="AW239" s="100">
        <f t="shared" si="241"/>
        <v>0</v>
      </c>
      <c r="AX239" s="100">
        <f t="shared" si="242"/>
        <v>0</v>
      </c>
      <c r="AY239" s="110" t="s">
        <v>1708</v>
      </c>
      <c r="AZ239" s="110" t="s">
        <v>1732</v>
      </c>
      <c r="BA239" s="109" t="s">
        <v>1737</v>
      </c>
      <c r="BC239" s="100">
        <f t="shared" si="243"/>
        <v>0</v>
      </c>
      <c r="BD239" s="100">
        <f t="shared" si="244"/>
        <v>0</v>
      </c>
      <c r="BE239" s="100">
        <v>0</v>
      </c>
      <c r="BF239" s="100">
        <f>239</f>
        <v>239</v>
      </c>
      <c r="BH239" s="108">
        <f t="shared" si="245"/>
        <v>0</v>
      </c>
      <c r="BI239" s="108">
        <f t="shared" si="246"/>
        <v>0</v>
      </c>
      <c r="BJ239" s="108">
        <f t="shared" si="247"/>
        <v>0</v>
      </c>
    </row>
    <row r="240" spans="1:62" x14ac:dyDescent="0.2">
      <c r="A240" s="117" t="s">
        <v>203</v>
      </c>
      <c r="B240" s="117" t="s">
        <v>3654</v>
      </c>
      <c r="C240" s="304" t="s">
        <v>1281</v>
      </c>
      <c r="D240" s="305"/>
      <c r="E240" s="305"/>
      <c r="F240" s="117" t="s">
        <v>1646</v>
      </c>
      <c r="G240" s="116">
        <v>22</v>
      </c>
      <c r="H240" s="159"/>
      <c r="I240" s="108">
        <f t="shared" si="224"/>
        <v>0</v>
      </c>
      <c r="J240" s="108">
        <f t="shared" si="225"/>
        <v>0</v>
      </c>
      <c r="K240" s="108">
        <f t="shared" si="226"/>
        <v>0</v>
      </c>
      <c r="L240" s="111"/>
      <c r="Z240" s="100">
        <f t="shared" si="227"/>
        <v>0</v>
      </c>
      <c r="AB240" s="100">
        <f t="shared" si="228"/>
        <v>0</v>
      </c>
      <c r="AC240" s="100">
        <f t="shared" si="229"/>
        <v>0</v>
      </c>
      <c r="AD240" s="100">
        <f t="shared" si="230"/>
        <v>0</v>
      </c>
      <c r="AE240" s="100">
        <f t="shared" si="231"/>
        <v>0</v>
      </c>
      <c r="AF240" s="100">
        <f t="shared" si="232"/>
        <v>0</v>
      </c>
      <c r="AG240" s="100">
        <f t="shared" si="233"/>
        <v>0</v>
      </c>
      <c r="AH240" s="100">
        <f t="shared" si="234"/>
        <v>0</v>
      </c>
      <c r="AI240" s="109"/>
      <c r="AJ240" s="108">
        <f t="shared" si="235"/>
        <v>0</v>
      </c>
      <c r="AK240" s="108">
        <f t="shared" si="236"/>
        <v>0</v>
      </c>
      <c r="AL240" s="108">
        <f t="shared" si="237"/>
        <v>0</v>
      </c>
      <c r="AN240" s="100">
        <v>15</v>
      </c>
      <c r="AO240" s="100">
        <f t="shared" si="238"/>
        <v>0</v>
      </c>
      <c r="AP240" s="100">
        <f t="shared" si="239"/>
        <v>0</v>
      </c>
      <c r="AQ240" s="111" t="s">
        <v>13</v>
      </c>
      <c r="AV240" s="100">
        <f t="shared" si="240"/>
        <v>0</v>
      </c>
      <c r="AW240" s="100">
        <f t="shared" si="241"/>
        <v>0</v>
      </c>
      <c r="AX240" s="100">
        <f t="shared" si="242"/>
        <v>0</v>
      </c>
      <c r="AY240" s="110" t="s">
        <v>1708</v>
      </c>
      <c r="AZ240" s="110" t="s">
        <v>1732</v>
      </c>
      <c r="BA240" s="109" t="s">
        <v>1737</v>
      </c>
      <c r="BC240" s="100">
        <f t="shared" si="243"/>
        <v>0</v>
      </c>
      <c r="BD240" s="100">
        <f t="shared" si="244"/>
        <v>0</v>
      </c>
      <c r="BE240" s="100">
        <v>0</v>
      </c>
      <c r="BF240" s="100">
        <f>240</f>
        <v>240</v>
      </c>
      <c r="BH240" s="108">
        <f t="shared" si="245"/>
        <v>0</v>
      </c>
      <c r="BI240" s="108">
        <f t="shared" si="246"/>
        <v>0</v>
      </c>
      <c r="BJ240" s="108">
        <f t="shared" si="247"/>
        <v>0</v>
      </c>
    </row>
    <row r="241" spans="1:62" x14ac:dyDescent="0.2">
      <c r="A241" s="117" t="s">
        <v>204</v>
      </c>
      <c r="B241" s="117" t="s">
        <v>3653</v>
      </c>
      <c r="C241" s="304" t="s">
        <v>1282</v>
      </c>
      <c r="D241" s="305"/>
      <c r="E241" s="305"/>
      <c r="F241" s="117" t="s">
        <v>1644</v>
      </c>
      <c r="G241" s="116">
        <v>1</v>
      </c>
      <c r="H241" s="159"/>
      <c r="I241" s="108">
        <f t="shared" si="224"/>
        <v>0</v>
      </c>
      <c r="J241" s="108">
        <f t="shared" si="225"/>
        <v>0</v>
      </c>
      <c r="K241" s="108">
        <f t="shared" si="226"/>
        <v>0</v>
      </c>
      <c r="L241" s="111"/>
      <c r="Z241" s="100">
        <f t="shared" si="227"/>
        <v>0</v>
      </c>
      <c r="AB241" s="100">
        <f t="shared" si="228"/>
        <v>0</v>
      </c>
      <c r="AC241" s="100">
        <f t="shared" si="229"/>
        <v>0</v>
      </c>
      <c r="AD241" s="100">
        <f t="shared" si="230"/>
        <v>0</v>
      </c>
      <c r="AE241" s="100">
        <f t="shared" si="231"/>
        <v>0</v>
      </c>
      <c r="AF241" s="100">
        <f t="shared" si="232"/>
        <v>0</v>
      </c>
      <c r="AG241" s="100">
        <f t="shared" si="233"/>
        <v>0</v>
      </c>
      <c r="AH241" s="100">
        <f t="shared" si="234"/>
        <v>0</v>
      </c>
      <c r="AI241" s="109"/>
      <c r="AJ241" s="108">
        <f t="shared" si="235"/>
        <v>0</v>
      </c>
      <c r="AK241" s="108">
        <f t="shared" si="236"/>
        <v>0</v>
      </c>
      <c r="AL241" s="108">
        <f t="shared" si="237"/>
        <v>0</v>
      </c>
      <c r="AN241" s="100">
        <v>15</v>
      </c>
      <c r="AO241" s="100">
        <f t="shared" si="238"/>
        <v>0</v>
      </c>
      <c r="AP241" s="100">
        <f t="shared" si="239"/>
        <v>0</v>
      </c>
      <c r="AQ241" s="111" t="s">
        <v>13</v>
      </c>
      <c r="AV241" s="100">
        <f t="shared" si="240"/>
        <v>0</v>
      </c>
      <c r="AW241" s="100">
        <f t="shared" si="241"/>
        <v>0</v>
      </c>
      <c r="AX241" s="100">
        <f t="shared" si="242"/>
        <v>0</v>
      </c>
      <c r="AY241" s="110" t="s">
        <v>1708</v>
      </c>
      <c r="AZ241" s="110" t="s">
        <v>1732</v>
      </c>
      <c r="BA241" s="109" t="s">
        <v>1737</v>
      </c>
      <c r="BC241" s="100">
        <f t="shared" si="243"/>
        <v>0</v>
      </c>
      <c r="BD241" s="100">
        <f t="shared" si="244"/>
        <v>0</v>
      </c>
      <c r="BE241" s="100">
        <v>0</v>
      </c>
      <c r="BF241" s="100">
        <f>241</f>
        <v>241</v>
      </c>
      <c r="BH241" s="108">
        <f t="shared" si="245"/>
        <v>0</v>
      </c>
      <c r="BI241" s="108">
        <f t="shared" si="246"/>
        <v>0</v>
      </c>
      <c r="BJ241" s="108">
        <f t="shared" si="247"/>
        <v>0</v>
      </c>
    </row>
    <row r="242" spans="1:62" x14ac:dyDescent="0.2">
      <c r="A242" s="119"/>
      <c r="B242" s="120" t="s">
        <v>771</v>
      </c>
      <c r="C242" s="306" t="s">
        <v>1283</v>
      </c>
      <c r="D242" s="307"/>
      <c r="E242" s="307"/>
      <c r="F242" s="119" t="s">
        <v>6</v>
      </c>
      <c r="G242" s="119" t="s">
        <v>6</v>
      </c>
      <c r="H242" s="119" t="s">
        <v>6</v>
      </c>
      <c r="I242" s="118">
        <f>SUM(I243:I329)</f>
        <v>0</v>
      </c>
      <c r="J242" s="118">
        <f>SUM(J243:J329)</f>
        <v>0</v>
      </c>
      <c r="K242" s="118">
        <f>SUM(K243:K329)</f>
        <v>0</v>
      </c>
      <c r="L242" s="109"/>
      <c r="AI242" s="109"/>
      <c r="AS242" s="118">
        <f>SUM(AJ243:AJ329)</f>
        <v>0</v>
      </c>
      <c r="AT242" s="118">
        <f>SUM(AK243:AK329)</f>
        <v>0</v>
      </c>
      <c r="AU242" s="118">
        <f>SUM(AL243:AL329)</f>
        <v>0</v>
      </c>
    </row>
    <row r="243" spans="1:62" x14ac:dyDescent="0.2">
      <c r="A243" s="117" t="s">
        <v>205</v>
      </c>
      <c r="B243" s="117" t="s">
        <v>3652</v>
      </c>
      <c r="C243" s="304" t="s">
        <v>1284</v>
      </c>
      <c r="D243" s="305"/>
      <c r="E243" s="305"/>
      <c r="F243" s="117" t="s">
        <v>1644</v>
      </c>
      <c r="G243" s="116">
        <v>2</v>
      </c>
      <c r="H243" s="159"/>
      <c r="I243" s="108">
        <f t="shared" ref="I243:I274" si="248">G243*AO243</f>
        <v>0</v>
      </c>
      <c r="J243" s="108">
        <f t="shared" ref="J243:J274" si="249">G243*AP243</f>
        <v>0</v>
      </c>
      <c r="K243" s="108">
        <f t="shared" ref="K243:K274" si="250">G243*H243</f>
        <v>0</v>
      </c>
      <c r="L243" s="111"/>
      <c r="Z243" s="100">
        <f t="shared" ref="Z243:Z274" si="251">IF(AQ243="5",BJ243,0)</f>
        <v>0</v>
      </c>
      <c r="AB243" s="100">
        <f t="shared" ref="AB243:AB274" si="252">IF(AQ243="1",BH243,0)</f>
        <v>0</v>
      </c>
      <c r="AC243" s="100">
        <f t="shared" ref="AC243:AC274" si="253">IF(AQ243="1",BI243,0)</f>
        <v>0</v>
      </c>
      <c r="AD243" s="100">
        <f t="shared" ref="AD243:AD274" si="254">IF(AQ243="7",BH243,0)</f>
        <v>0</v>
      </c>
      <c r="AE243" s="100">
        <f t="shared" ref="AE243:AE274" si="255">IF(AQ243="7",BI243,0)</f>
        <v>0</v>
      </c>
      <c r="AF243" s="100">
        <f t="shared" ref="AF243:AF274" si="256">IF(AQ243="2",BH243,0)</f>
        <v>0</v>
      </c>
      <c r="AG243" s="100">
        <f t="shared" ref="AG243:AG274" si="257">IF(AQ243="2",BI243,0)</f>
        <v>0</v>
      </c>
      <c r="AH243" s="100">
        <f t="shared" ref="AH243:AH274" si="258">IF(AQ243="0",BJ243,0)</f>
        <v>0</v>
      </c>
      <c r="AI243" s="109"/>
      <c r="AJ243" s="108">
        <f t="shared" ref="AJ243:AJ274" si="259">IF(AN243=0,K243,0)</f>
        <v>0</v>
      </c>
      <c r="AK243" s="108">
        <f t="shared" ref="AK243:AK274" si="260">IF(AN243=15,K243,0)</f>
        <v>0</v>
      </c>
      <c r="AL243" s="108">
        <f t="shared" ref="AL243:AL274" si="261">IF(AN243=21,K243,0)</f>
        <v>0</v>
      </c>
      <c r="AN243" s="100">
        <v>15</v>
      </c>
      <c r="AO243" s="100">
        <f t="shared" ref="AO243:AO274" si="262">H243*0</f>
        <v>0</v>
      </c>
      <c r="AP243" s="100">
        <f t="shared" ref="AP243:AP274" si="263">H243*(1-0)</f>
        <v>0</v>
      </c>
      <c r="AQ243" s="111" t="s">
        <v>13</v>
      </c>
      <c r="AV243" s="100">
        <f t="shared" ref="AV243:AV274" si="264">AW243+AX243</f>
        <v>0</v>
      </c>
      <c r="AW243" s="100">
        <f t="shared" ref="AW243:AW274" si="265">G243*AO243</f>
        <v>0</v>
      </c>
      <c r="AX243" s="100">
        <f t="shared" ref="AX243:AX274" si="266">G243*AP243</f>
        <v>0</v>
      </c>
      <c r="AY243" s="110" t="s">
        <v>1709</v>
      </c>
      <c r="AZ243" s="110" t="s">
        <v>1733</v>
      </c>
      <c r="BA243" s="109" t="s">
        <v>1737</v>
      </c>
      <c r="BC243" s="100">
        <f t="shared" ref="BC243:BC274" si="267">AW243+AX243</f>
        <v>0</v>
      </c>
      <c r="BD243" s="100">
        <f t="shared" ref="BD243:BD274" si="268">H243/(100-BE243)*100</f>
        <v>0</v>
      </c>
      <c r="BE243" s="100">
        <v>0</v>
      </c>
      <c r="BF243" s="100">
        <f>243</f>
        <v>243</v>
      </c>
      <c r="BH243" s="108">
        <f t="shared" ref="BH243:BH274" si="269">G243*AO243</f>
        <v>0</v>
      </c>
      <c r="BI243" s="108">
        <f t="shared" ref="BI243:BI274" si="270">G243*AP243</f>
        <v>0</v>
      </c>
      <c r="BJ243" s="108">
        <f t="shared" ref="BJ243:BJ274" si="271">G243*H243</f>
        <v>0</v>
      </c>
    </row>
    <row r="244" spans="1:62" x14ac:dyDescent="0.2">
      <c r="A244" s="117" t="s">
        <v>206</v>
      </c>
      <c r="B244" s="117" t="s">
        <v>3651</v>
      </c>
      <c r="C244" s="304" t="s">
        <v>1285</v>
      </c>
      <c r="D244" s="305"/>
      <c r="E244" s="305"/>
      <c r="F244" s="117" t="s">
        <v>1644</v>
      </c>
      <c r="G244" s="116">
        <v>2</v>
      </c>
      <c r="H244" s="159"/>
      <c r="I244" s="108">
        <f t="shared" si="248"/>
        <v>0</v>
      </c>
      <c r="J244" s="108">
        <f t="shared" si="249"/>
        <v>0</v>
      </c>
      <c r="K244" s="108">
        <f t="shared" si="250"/>
        <v>0</v>
      </c>
      <c r="L244" s="111"/>
      <c r="Z244" s="100">
        <f t="shared" si="251"/>
        <v>0</v>
      </c>
      <c r="AB244" s="100">
        <f t="shared" si="252"/>
        <v>0</v>
      </c>
      <c r="AC244" s="100">
        <f t="shared" si="253"/>
        <v>0</v>
      </c>
      <c r="AD244" s="100">
        <f t="shared" si="254"/>
        <v>0</v>
      </c>
      <c r="AE244" s="100">
        <f t="shared" si="255"/>
        <v>0</v>
      </c>
      <c r="AF244" s="100">
        <f t="shared" si="256"/>
        <v>0</v>
      </c>
      <c r="AG244" s="100">
        <f t="shared" si="257"/>
        <v>0</v>
      </c>
      <c r="AH244" s="100">
        <f t="shared" si="258"/>
        <v>0</v>
      </c>
      <c r="AI244" s="109"/>
      <c r="AJ244" s="108">
        <f t="shared" si="259"/>
        <v>0</v>
      </c>
      <c r="AK244" s="108">
        <f t="shared" si="260"/>
        <v>0</v>
      </c>
      <c r="AL244" s="108">
        <f t="shared" si="261"/>
        <v>0</v>
      </c>
      <c r="AN244" s="100">
        <v>15</v>
      </c>
      <c r="AO244" s="100">
        <f t="shared" si="262"/>
        <v>0</v>
      </c>
      <c r="AP244" s="100">
        <f t="shared" si="263"/>
        <v>0</v>
      </c>
      <c r="AQ244" s="111" t="s">
        <v>13</v>
      </c>
      <c r="AV244" s="100">
        <f t="shared" si="264"/>
        <v>0</v>
      </c>
      <c r="AW244" s="100">
        <f t="shared" si="265"/>
        <v>0</v>
      </c>
      <c r="AX244" s="100">
        <f t="shared" si="266"/>
        <v>0</v>
      </c>
      <c r="AY244" s="110" t="s">
        <v>1709</v>
      </c>
      <c r="AZ244" s="110" t="s">
        <v>1733</v>
      </c>
      <c r="BA244" s="109" t="s">
        <v>1737</v>
      </c>
      <c r="BC244" s="100">
        <f t="shared" si="267"/>
        <v>0</v>
      </c>
      <c r="BD244" s="100">
        <f t="shared" si="268"/>
        <v>0</v>
      </c>
      <c r="BE244" s="100">
        <v>0</v>
      </c>
      <c r="BF244" s="100">
        <f>244</f>
        <v>244</v>
      </c>
      <c r="BH244" s="108">
        <f t="shared" si="269"/>
        <v>0</v>
      </c>
      <c r="BI244" s="108">
        <f t="shared" si="270"/>
        <v>0</v>
      </c>
      <c r="BJ244" s="108">
        <f t="shared" si="271"/>
        <v>0</v>
      </c>
    </row>
    <row r="245" spans="1:62" x14ac:dyDescent="0.2">
      <c r="A245" s="117" t="s">
        <v>207</v>
      </c>
      <c r="B245" s="117" t="s">
        <v>3650</v>
      </c>
      <c r="C245" s="304" t="s">
        <v>1286</v>
      </c>
      <c r="D245" s="305"/>
      <c r="E245" s="305"/>
      <c r="F245" s="117" t="s">
        <v>1644</v>
      </c>
      <c r="G245" s="116">
        <v>4</v>
      </c>
      <c r="H245" s="159"/>
      <c r="I245" s="108">
        <f t="shared" si="248"/>
        <v>0</v>
      </c>
      <c r="J245" s="108">
        <f t="shared" si="249"/>
        <v>0</v>
      </c>
      <c r="K245" s="108">
        <f t="shared" si="250"/>
        <v>0</v>
      </c>
      <c r="L245" s="111"/>
      <c r="Z245" s="100">
        <f t="shared" si="251"/>
        <v>0</v>
      </c>
      <c r="AB245" s="100">
        <f t="shared" si="252"/>
        <v>0</v>
      </c>
      <c r="AC245" s="100">
        <f t="shared" si="253"/>
        <v>0</v>
      </c>
      <c r="AD245" s="100">
        <f t="shared" si="254"/>
        <v>0</v>
      </c>
      <c r="AE245" s="100">
        <f t="shared" si="255"/>
        <v>0</v>
      </c>
      <c r="AF245" s="100">
        <f t="shared" si="256"/>
        <v>0</v>
      </c>
      <c r="AG245" s="100">
        <f t="shared" si="257"/>
        <v>0</v>
      </c>
      <c r="AH245" s="100">
        <f t="shared" si="258"/>
        <v>0</v>
      </c>
      <c r="AI245" s="109"/>
      <c r="AJ245" s="108">
        <f t="shared" si="259"/>
        <v>0</v>
      </c>
      <c r="AK245" s="108">
        <f t="shared" si="260"/>
        <v>0</v>
      </c>
      <c r="AL245" s="108">
        <f t="shared" si="261"/>
        <v>0</v>
      </c>
      <c r="AN245" s="100">
        <v>15</v>
      </c>
      <c r="AO245" s="100">
        <f t="shared" si="262"/>
        <v>0</v>
      </c>
      <c r="AP245" s="100">
        <f t="shared" si="263"/>
        <v>0</v>
      </c>
      <c r="AQ245" s="111" t="s">
        <v>13</v>
      </c>
      <c r="AV245" s="100">
        <f t="shared" si="264"/>
        <v>0</v>
      </c>
      <c r="AW245" s="100">
        <f t="shared" si="265"/>
        <v>0</v>
      </c>
      <c r="AX245" s="100">
        <f t="shared" si="266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267"/>
        <v>0</v>
      </c>
      <c r="BD245" s="100">
        <f t="shared" si="268"/>
        <v>0</v>
      </c>
      <c r="BE245" s="100">
        <v>0</v>
      </c>
      <c r="BF245" s="100">
        <f>245</f>
        <v>245</v>
      </c>
      <c r="BH245" s="108">
        <f t="shared" si="269"/>
        <v>0</v>
      </c>
      <c r="BI245" s="108">
        <f t="shared" si="270"/>
        <v>0</v>
      </c>
      <c r="BJ245" s="108">
        <f t="shared" si="271"/>
        <v>0</v>
      </c>
    </row>
    <row r="246" spans="1:62" x14ac:dyDescent="0.2">
      <c r="A246" s="117" t="s">
        <v>208</v>
      </c>
      <c r="B246" s="117" t="s">
        <v>3649</v>
      </c>
      <c r="C246" s="304" t="s">
        <v>1287</v>
      </c>
      <c r="D246" s="305"/>
      <c r="E246" s="305"/>
      <c r="F246" s="117" t="s">
        <v>1644</v>
      </c>
      <c r="G246" s="116">
        <v>2</v>
      </c>
      <c r="H246" s="159"/>
      <c r="I246" s="108">
        <f t="shared" si="248"/>
        <v>0</v>
      </c>
      <c r="J246" s="108">
        <f t="shared" si="249"/>
        <v>0</v>
      </c>
      <c r="K246" s="108">
        <f t="shared" si="250"/>
        <v>0</v>
      </c>
      <c r="L246" s="111"/>
      <c r="Z246" s="100">
        <f t="shared" si="251"/>
        <v>0</v>
      </c>
      <c r="AB246" s="100">
        <f t="shared" si="252"/>
        <v>0</v>
      </c>
      <c r="AC246" s="100">
        <f t="shared" si="253"/>
        <v>0</v>
      </c>
      <c r="AD246" s="100">
        <f t="shared" si="254"/>
        <v>0</v>
      </c>
      <c r="AE246" s="100">
        <f t="shared" si="255"/>
        <v>0</v>
      </c>
      <c r="AF246" s="100">
        <f t="shared" si="256"/>
        <v>0</v>
      </c>
      <c r="AG246" s="100">
        <f t="shared" si="257"/>
        <v>0</v>
      </c>
      <c r="AH246" s="100">
        <f t="shared" si="258"/>
        <v>0</v>
      </c>
      <c r="AI246" s="109"/>
      <c r="AJ246" s="108">
        <f t="shared" si="259"/>
        <v>0</v>
      </c>
      <c r="AK246" s="108">
        <f t="shared" si="260"/>
        <v>0</v>
      </c>
      <c r="AL246" s="108">
        <f t="shared" si="261"/>
        <v>0</v>
      </c>
      <c r="AN246" s="100">
        <v>15</v>
      </c>
      <c r="AO246" s="100">
        <f t="shared" si="262"/>
        <v>0</v>
      </c>
      <c r="AP246" s="100">
        <f t="shared" si="263"/>
        <v>0</v>
      </c>
      <c r="AQ246" s="111" t="s">
        <v>13</v>
      </c>
      <c r="AV246" s="100">
        <f t="shared" si="264"/>
        <v>0</v>
      </c>
      <c r="AW246" s="100">
        <f t="shared" si="265"/>
        <v>0</v>
      </c>
      <c r="AX246" s="100">
        <f t="shared" si="266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267"/>
        <v>0</v>
      </c>
      <c r="BD246" s="100">
        <f t="shared" si="268"/>
        <v>0</v>
      </c>
      <c r="BE246" s="100">
        <v>0</v>
      </c>
      <c r="BF246" s="100">
        <f>246</f>
        <v>246</v>
      </c>
      <c r="BH246" s="108">
        <f t="shared" si="269"/>
        <v>0</v>
      </c>
      <c r="BI246" s="108">
        <f t="shared" si="270"/>
        <v>0</v>
      </c>
      <c r="BJ246" s="108">
        <f t="shared" si="271"/>
        <v>0</v>
      </c>
    </row>
    <row r="247" spans="1:62" x14ac:dyDescent="0.2">
      <c r="A247" s="117" t="s">
        <v>209</v>
      </c>
      <c r="B247" s="117" t="s">
        <v>3648</v>
      </c>
      <c r="C247" s="304" t="s">
        <v>1288</v>
      </c>
      <c r="D247" s="305"/>
      <c r="E247" s="305"/>
      <c r="F247" s="117" t="s">
        <v>1644</v>
      </c>
      <c r="G247" s="116">
        <v>2</v>
      </c>
      <c r="H247" s="159"/>
      <c r="I247" s="108">
        <f t="shared" si="248"/>
        <v>0</v>
      </c>
      <c r="J247" s="108">
        <f t="shared" si="249"/>
        <v>0</v>
      </c>
      <c r="K247" s="108">
        <f t="shared" si="250"/>
        <v>0</v>
      </c>
      <c r="L247" s="111"/>
      <c r="Z247" s="100">
        <f t="shared" si="251"/>
        <v>0</v>
      </c>
      <c r="AB247" s="100">
        <f t="shared" si="252"/>
        <v>0</v>
      </c>
      <c r="AC247" s="100">
        <f t="shared" si="253"/>
        <v>0</v>
      </c>
      <c r="AD247" s="100">
        <f t="shared" si="254"/>
        <v>0</v>
      </c>
      <c r="AE247" s="100">
        <f t="shared" si="255"/>
        <v>0</v>
      </c>
      <c r="AF247" s="100">
        <f t="shared" si="256"/>
        <v>0</v>
      </c>
      <c r="AG247" s="100">
        <f t="shared" si="257"/>
        <v>0</v>
      </c>
      <c r="AH247" s="100">
        <f t="shared" si="258"/>
        <v>0</v>
      </c>
      <c r="AI247" s="109"/>
      <c r="AJ247" s="108">
        <f t="shared" si="259"/>
        <v>0</v>
      </c>
      <c r="AK247" s="108">
        <f t="shared" si="260"/>
        <v>0</v>
      </c>
      <c r="AL247" s="108">
        <f t="shared" si="261"/>
        <v>0</v>
      </c>
      <c r="AN247" s="100">
        <v>15</v>
      </c>
      <c r="AO247" s="100">
        <f t="shared" si="262"/>
        <v>0</v>
      </c>
      <c r="AP247" s="100">
        <f t="shared" si="263"/>
        <v>0</v>
      </c>
      <c r="AQ247" s="111" t="s">
        <v>13</v>
      </c>
      <c r="AV247" s="100">
        <f t="shared" si="264"/>
        <v>0</v>
      </c>
      <c r="AW247" s="100">
        <f t="shared" si="265"/>
        <v>0</v>
      </c>
      <c r="AX247" s="100">
        <f t="shared" si="266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267"/>
        <v>0</v>
      </c>
      <c r="BD247" s="100">
        <f t="shared" si="268"/>
        <v>0</v>
      </c>
      <c r="BE247" s="100">
        <v>0</v>
      </c>
      <c r="BF247" s="100">
        <f>247</f>
        <v>247</v>
      </c>
      <c r="BH247" s="108">
        <f t="shared" si="269"/>
        <v>0</v>
      </c>
      <c r="BI247" s="108">
        <f t="shared" si="270"/>
        <v>0</v>
      </c>
      <c r="BJ247" s="108">
        <f t="shared" si="271"/>
        <v>0</v>
      </c>
    </row>
    <row r="248" spans="1:62" x14ac:dyDescent="0.2">
      <c r="A248" s="117" t="s">
        <v>210</v>
      </c>
      <c r="B248" s="117" t="s">
        <v>3647</v>
      </c>
      <c r="C248" s="304" t="s">
        <v>1289</v>
      </c>
      <c r="D248" s="305"/>
      <c r="E248" s="305"/>
      <c r="F248" s="117" t="s">
        <v>1644</v>
      </c>
      <c r="G248" s="116">
        <v>7</v>
      </c>
      <c r="H248" s="159"/>
      <c r="I248" s="108">
        <f t="shared" si="248"/>
        <v>0</v>
      </c>
      <c r="J248" s="108">
        <f t="shared" si="249"/>
        <v>0</v>
      </c>
      <c r="K248" s="108">
        <f t="shared" si="250"/>
        <v>0</v>
      </c>
      <c r="L248" s="111"/>
      <c r="Z248" s="100">
        <f t="shared" si="251"/>
        <v>0</v>
      </c>
      <c r="AB248" s="100">
        <f t="shared" si="252"/>
        <v>0</v>
      </c>
      <c r="AC248" s="100">
        <f t="shared" si="253"/>
        <v>0</v>
      </c>
      <c r="AD248" s="100">
        <f t="shared" si="254"/>
        <v>0</v>
      </c>
      <c r="AE248" s="100">
        <f t="shared" si="255"/>
        <v>0</v>
      </c>
      <c r="AF248" s="100">
        <f t="shared" si="256"/>
        <v>0</v>
      </c>
      <c r="AG248" s="100">
        <f t="shared" si="257"/>
        <v>0</v>
      </c>
      <c r="AH248" s="100">
        <f t="shared" si="258"/>
        <v>0</v>
      </c>
      <c r="AI248" s="109"/>
      <c r="AJ248" s="108">
        <f t="shared" si="259"/>
        <v>0</v>
      </c>
      <c r="AK248" s="108">
        <f t="shared" si="260"/>
        <v>0</v>
      </c>
      <c r="AL248" s="108">
        <f t="shared" si="261"/>
        <v>0</v>
      </c>
      <c r="AN248" s="100">
        <v>15</v>
      </c>
      <c r="AO248" s="100">
        <f t="shared" si="262"/>
        <v>0</v>
      </c>
      <c r="AP248" s="100">
        <f t="shared" si="263"/>
        <v>0</v>
      </c>
      <c r="AQ248" s="111" t="s">
        <v>13</v>
      </c>
      <c r="AV248" s="100">
        <f t="shared" si="264"/>
        <v>0</v>
      </c>
      <c r="AW248" s="100">
        <f t="shared" si="265"/>
        <v>0</v>
      </c>
      <c r="AX248" s="100">
        <f t="shared" si="266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267"/>
        <v>0</v>
      </c>
      <c r="BD248" s="100">
        <f t="shared" si="268"/>
        <v>0</v>
      </c>
      <c r="BE248" s="100">
        <v>0</v>
      </c>
      <c r="BF248" s="100">
        <f>248</f>
        <v>248</v>
      </c>
      <c r="BH248" s="108">
        <f t="shared" si="269"/>
        <v>0</v>
      </c>
      <c r="BI248" s="108">
        <f t="shared" si="270"/>
        <v>0</v>
      </c>
      <c r="BJ248" s="108">
        <f t="shared" si="271"/>
        <v>0</v>
      </c>
    </row>
    <row r="249" spans="1:62" x14ac:dyDescent="0.2">
      <c r="A249" s="117" t="s">
        <v>211</v>
      </c>
      <c r="B249" s="117" t="s">
        <v>3646</v>
      </c>
      <c r="C249" s="304" t="s">
        <v>1290</v>
      </c>
      <c r="D249" s="305"/>
      <c r="E249" s="305"/>
      <c r="F249" s="117" t="s">
        <v>1644</v>
      </c>
      <c r="G249" s="116">
        <v>4</v>
      </c>
      <c r="H249" s="159"/>
      <c r="I249" s="108">
        <f t="shared" si="248"/>
        <v>0</v>
      </c>
      <c r="J249" s="108">
        <f t="shared" si="249"/>
        <v>0</v>
      </c>
      <c r="K249" s="108">
        <f t="shared" si="250"/>
        <v>0</v>
      </c>
      <c r="L249" s="111"/>
      <c r="Z249" s="100">
        <f t="shared" si="251"/>
        <v>0</v>
      </c>
      <c r="AB249" s="100">
        <f t="shared" si="252"/>
        <v>0</v>
      </c>
      <c r="AC249" s="100">
        <f t="shared" si="253"/>
        <v>0</v>
      </c>
      <c r="AD249" s="100">
        <f t="shared" si="254"/>
        <v>0</v>
      </c>
      <c r="AE249" s="100">
        <f t="shared" si="255"/>
        <v>0</v>
      </c>
      <c r="AF249" s="100">
        <f t="shared" si="256"/>
        <v>0</v>
      </c>
      <c r="AG249" s="100">
        <f t="shared" si="257"/>
        <v>0</v>
      </c>
      <c r="AH249" s="100">
        <f t="shared" si="258"/>
        <v>0</v>
      </c>
      <c r="AI249" s="109"/>
      <c r="AJ249" s="108">
        <f t="shared" si="259"/>
        <v>0</v>
      </c>
      <c r="AK249" s="108">
        <f t="shared" si="260"/>
        <v>0</v>
      </c>
      <c r="AL249" s="108">
        <f t="shared" si="261"/>
        <v>0</v>
      </c>
      <c r="AN249" s="100">
        <v>15</v>
      </c>
      <c r="AO249" s="100">
        <f t="shared" si="262"/>
        <v>0</v>
      </c>
      <c r="AP249" s="100">
        <f t="shared" si="263"/>
        <v>0</v>
      </c>
      <c r="AQ249" s="111" t="s">
        <v>13</v>
      </c>
      <c r="AV249" s="100">
        <f t="shared" si="264"/>
        <v>0</v>
      </c>
      <c r="AW249" s="100">
        <f t="shared" si="265"/>
        <v>0</v>
      </c>
      <c r="AX249" s="100">
        <f t="shared" si="266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267"/>
        <v>0</v>
      </c>
      <c r="BD249" s="100">
        <f t="shared" si="268"/>
        <v>0</v>
      </c>
      <c r="BE249" s="100">
        <v>0</v>
      </c>
      <c r="BF249" s="100">
        <f>249</f>
        <v>249</v>
      </c>
      <c r="BH249" s="108">
        <f t="shared" si="269"/>
        <v>0</v>
      </c>
      <c r="BI249" s="108">
        <f t="shared" si="270"/>
        <v>0</v>
      </c>
      <c r="BJ249" s="108">
        <f t="shared" si="271"/>
        <v>0</v>
      </c>
    </row>
    <row r="250" spans="1:62" x14ac:dyDescent="0.2">
      <c r="A250" s="117" t="s">
        <v>212</v>
      </c>
      <c r="B250" s="117" t="s">
        <v>3645</v>
      </c>
      <c r="C250" s="304" t="s">
        <v>1291</v>
      </c>
      <c r="D250" s="305"/>
      <c r="E250" s="305"/>
      <c r="F250" s="117" t="s">
        <v>1644</v>
      </c>
      <c r="G250" s="116">
        <v>2</v>
      </c>
      <c r="H250" s="159"/>
      <c r="I250" s="108">
        <f t="shared" si="248"/>
        <v>0</v>
      </c>
      <c r="J250" s="108">
        <f t="shared" si="249"/>
        <v>0</v>
      </c>
      <c r="K250" s="108">
        <f t="shared" si="250"/>
        <v>0</v>
      </c>
      <c r="L250" s="111"/>
      <c r="Z250" s="100">
        <f t="shared" si="251"/>
        <v>0</v>
      </c>
      <c r="AB250" s="100">
        <f t="shared" si="252"/>
        <v>0</v>
      </c>
      <c r="AC250" s="100">
        <f t="shared" si="253"/>
        <v>0</v>
      </c>
      <c r="AD250" s="100">
        <f t="shared" si="254"/>
        <v>0</v>
      </c>
      <c r="AE250" s="100">
        <f t="shared" si="255"/>
        <v>0</v>
      </c>
      <c r="AF250" s="100">
        <f t="shared" si="256"/>
        <v>0</v>
      </c>
      <c r="AG250" s="100">
        <f t="shared" si="257"/>
        <v>0</v>
      </c>
      <c r="AH250" s="100">
        <f t="shared" si="258"/>
        <v>0</v>
      </c>
      <c r="AI250" s="109"/>
      <c r="AJ250" s="108">
        <f t="shared" si="259"/>
        <v>0</v>
      </c>
      <c r="AK250" s="108">
        <f t="shared" si="260"/>
        <v>0</v>
      </c>
      <c r="AL250" s="108">
        <f t="shared" si="261"/>
        <v>0</v>
      </c>
      <c r="AN250" s="100">
        <v>15</v>
      </c>
      <c r="AO250" s="100">
        <f t="shared" si="262"/>
        <v>0</v>
      </c>
      <c r="AP250" s="100">
        <f t="shared" si="263"/>
        <v>0</v>
      </c>
      <c r="AQ250" s="111" t="s">
        <v>13</v>
      </c>
      <c r="AV250" s="100">
        <f t="shared" si="264"/>
        <v>0</v>
      </c>
      <c r="AW250" s="100">
        <f t="shared" si="265"/>
        <v>0</v>
      </c>
      <c r="AX250" s="100">
        <f t="shared" si="266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267"/>
        <v>0</v>
      </c>
      <c r="BD250" s="100">
        <f t="shared" si="268"/>
        <v>0</v>
      </c>
      <c r="BE250" s="100">
        <v>0</v>
      </c>
      <c r="BF250" s="100">
        <f>250</f>
        <v>250</v>
      </c>
      <c r="BH250" s="108">
        <f t="shared" si="269"/>
        <v>0</v>
      </c>
      <c r="BI250" s="108">
        <f t="shared" si="270"/>
        <v>0</v>
      </c>
      <c r="BJ250" s="108">
        <f t="shared" si="271"/>
        <v>0</v>
      </c>
    </row>
    <row r="251" spans="1:62" x14ac:dyDescent="0.2">
      <c r="A251" s="117" t="s">
        <v>213</v>
      </c>
      <c r="B251" s="117" t="s">
        <v>3644</v>
      </c>
      <c r="C251" s="304" t="s">
        <v>1292</v>
      </c>
      <c r="D251" s="305"/>
      <c r="E251" s="305"/>
      <c r="F251" s="117" t="s">
        <v>1644</v>
      </c>
      <c r="G251" s="116">
        <v>2</v>
      </c>
      <c r="H251" s="159"/>
      <c r="I251" s="108">
        <f t="shared" si="248"/>
        <v>0</v>
      </c>
      <c r="J251" s="108">
        <f t="shared" si="249"/>
        <v>0</v>
      </c>
      <c r="K251" s="108">
        <f t="shared" si="250"/>
        <v>0</v>
      </c>
      <c r="L251" s="111"/>
      <c r="Z251" s="100">
        <f t="shared" si="251"/>
        <v>0</v>
      </c>
      <c r="AB251" s="100">
        <f t="shared" si="252"/>
        <v>0</v>
      </c>
      <c r="AC251" s="100">
        <f t="shared" si="253"/>
        <v>0</v>
      </c>
      <c r="AD251" s="100">
        <f t="shared" si="254"/>
        <v>0</v>
      </c>
      <c r="AE251" s="100">
        <f t="shared" si="255"/>
        <v>0</v>
      </c>
      <c r="AF251" s="100">
        <f t="shared" si="256"/>
        <v>0</v>
      </c>
      <c r="AG251" s="100">
        <f t="shared" si="257"/>
        <v>0</v>
      </c>
      <c r="AH251" s="100">
        <f t="shared" si="258"/>
        <v>0</v>
      </c>
      <c r="AI251" s="109"/>
      <c r="AJ251" s="108">
        <f t="shared" si="259"/>
        <v>0</v>
      </c>
      <c r="AK251" s="108">
        <f t="shared" si="260"/>
        <v>0</v>
      </c>
      <c r="AL251" s="108">
        <f t="shared" si="261"/>
        <v>0</v>
      </c>
      <c r="AN251" s="100">
        <v>15</v>
      </c>
      <c r="AO251" s="100">
        <f t="shared" si="262"/>
        <v>0</v>
      </c>
      <c r="AP251" s="100">
        <f t="shared" si="263"/>
        <v>0</v>
      </c>
      <c r="AQ251" s="111" t="s">
        <v>13</v>
      </c>
      <c r="AV251" s="100">
        <f t="shared" si="264"/>
        <v>0</v>
      </c>
      <c r="AW251" s="100">
        <f t="shared" si="265"/>
        <v>0</v>
      </c>
      <c r="AX251" s="100">
        <f t="shared" si="266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267"/>
        <v>0</v>
      </c>
      <c r="BD251" s="100">
        <f t="shared" si="268"/>
        <v>0</v>
      </c>
      <c r="BE251" s="100">
        <v>0</v>
      </c>
      <c r="BF251" s="100">
        <f>251</f>
        <v>251</v>
      </c>
      <c r="BH251" s="108">
        <f t="shared" si="269"/>
        <v>0</v>
      </c>
      <c r="BI251" s="108">
        <f t="shared" si="270"/>
        <v>0</v>
      </c>
      <c r="BJ251" s="108">
        <f t="shared" si="271"/>
        <v>0</v>
      </c>
    </row>
    <row r="252" spans="1:62" x14ac:dyDescent="0.2">
      <c r="A252" s="117" t="s">
        <v>214</v>
      </c>
      <c r="B252" s="117" t="s">
        <v>3643</v>
      </c>
      <c r="C252" s="304" t="s">
        <v>1293</v>
      </c>
      <c r="D252" s="305"/>
      <c r="E252" s="305"/>
      <c r="F252" s="117" t="s">
        <v>1644</v>
      </c>
      <c r="G252" s="116">
        <v>2</v>
      </c>
      <c r="H252" s="159"/>
      <c r="I252" s="108">
        <f t="shared" si="248"/>
        <v>0</v>
      </c>
      <c r="J252" s="108">
        <f t="shared" si="249"/>
        <v>0</v>
      </c>
      <c r="K252" s="108">
        <f t="shared" si="250"/>
        <v>0</v>
      </c>
      <c r="L252" s="111"/>
      <c r="Z252" s="100">
        <f t="shared" si="251"/>
        <v>0</v>
      </c>
      <c r="AB252" s="100">
        <f t="shared" si="252"/>
        <v>0</v>
      </c>
      <c r="AC252" s="100">
        <f t="shared" si="253"/>
        <v>0</v>
      </c>
      <c r="AD252" s="100">
        <f t="shared" si="254"/>
        <v>0</v>
      </c>
      <c r="AE252" s="100">
        <f t="shared" si="255"/>
        <v>0</v>
      </c>
      <c r="AF252" s="100">
        <f t="shared" si="256"/>
        <v>0</v>
      </c>
      <c r="AG252" s="100">
        <f t="shared" si="257"/>
        <v>0</v>
      </c>
      <c r="AH252" s="100">
        <f t="shared" si="258"/>
        <v>0</v>
      </c>
      <c r="AI252" s="109"/>
      <c r="AJ252" s="108">
        <f t="shared" si="259"/>
        <v>0</v>
      </c>
      <c r="AK252" s="108">
        <f t="shared" si="260"/>
        <v>0</v>
      </c>
      <c r="AL252" s="108">
        <f t="shared" si="261"/>
        <v>0</v>
      </c>
      <c r="AN252" s="100">
        <v>15</v>
      </c>
      <c r="AO252" s="100">
        <f t="shared" si="262"/>
        <v>0</v>
      </c>
      <c r="AP252" s="100">
        <f t="shared" si="263"/>
        <v>0</v>
      </c>
      <c r="AQ252" s="111" t="s">
        <v>13</v>
      </c>
      <c r="AV252" s="100">
        <f t="shared" si="264"/>
        <v>0</v>
      </c>
      <c r="AW252" s="100">
        <f t="shared" si="265"/>
        <v>0</v>
      </c>
      <c r="AX252" s="100">
        <f t="shared" si="266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267"/>
        <v>0</v>
      </c>
      <c r="BD252" s="100">
        <f t="shared" si="268"/>
        <v>0</v>
      </c>
      <c r="BE252" s="100">
        <v>0</v>
      </c>
      <c r="BF252" s="100">
        <f>252</f>
        <v>252</v>
      </c>
      <c r="BH252" s="108">
        <f t="shared" si="269"/>
        <v>0</v>
      </c>
      <c r="BI252" s="108">
        <f t="shared" si="270"/>
        <v>0</v>
      </c>
      <c r="BJ252" s="108">
        <f t="shared" si="271"/>
        <v>0</v>
      </c>
    </row>
    <row r="253" spans="1:62" x14ac:dyDescent="0.2">
      <c r="A253" s="117" t="s">
        <v>215</v>
      </c>
      <c r="B253" s="117" t="s">
        <v>3642</v>
      </c>
      <c r="C253" s="304" t="s">
        <v>1294</v>
      </c>
      <c r="D253" s="305"/>
      <c r="E253" s="305"/>
      <c r="F253" s="117" t="s">
        <v>1644</v>
      </c>
      <c r="G253" s="116">
        <v>2</v>
      </c>
      <c r="H253" s="159"/>
      <c r="I253" s="108">
        <f t="shared" si="248"/>
        <v>0</v>
      </c>
      <c r="J253" s="108">
        <f t="shared" si="249"/>
        <v>0</v>
      </c>
      <c r="K253" s="108">
        <f t="shared" si="250"/>
        <v>0</v>
      </c>
      <c r="L253" s="111"/>
      <c r="Z253" s="100">
        <f t="shared" si="251"/>
        <v>0</v>
      </c>
      <c r="AB253" s="100">
        <f t="shared" si="252"/>
        <v>0</v>
      </c>
      <c r="AC253" s="100">
        <f t="shared" si="253"/>
        <v>0</v>
      </c>
      <c r="AD253" s="100">
        <f t="shared" si="254"/>
        <v>0</v>
      </c>
      <c r="AE253" s="100">
        <f t="shared" si="255"/>
        <v>0</v>
      </c>
      <c r="AF253" s="100">
        <f t="shared" si="256"/>
        <v>0</v>
      </c>
      <c r="AG253" s="100">
        <f t="shared" si="257"/>
        <v>0</v>
      </c>
      <c r="AH253" s="100">
        <f t="shared" si="258"/>
        <v>0</v>
      </c>
      <c r="AI253" s="109"/>
      <c r="AJ253" s="108">
        <f t="shared" si="259"/>
        <v>0</v>
      </c>
      <c r="AK253" s="108">
        <f t="shared" si="260"/>
        <v>0</v>
      </c>
      <c r="AL253" s="108">
        <f t="shared" si="261"/>
        <v>0</v>
      </c>
      <c r="AN253" s="100">
        <v>15</v>
      </c>
      <c r="AO253" s="100">
        <f t="shared" si="262"/>
        <v>0</v>
      </c>
      <c r="AP253" s="100">
        <f t="shared" si="263"/>
        <v>0</v>
      </c>
      <c r="AQ253" s="111" t="s">
        <v>13</v>
      </c>
      <c r="AV253" s="100">
        <f t="shared" si="264"/>
        <v>0</v>
      </c>
      <c r="AW253" s="100">
        <f t="shared" si="265"/>
        <v>0</v>
      </c>
      <c r="AX253" s="100">
        <f t="shared" si="266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267"/>
        <v>0</v>
      </c>
      <c r="BD253" s="100">
        <f t="shared" si="268"/>
        <v>0</v>
      </c>
      <c r="BE253" s="100">
        <v>0</v>
      </c>
      <c r="BF253" s="100">
        <f>253</f>
        <v>253</v>
      </c>
      <c r="BH253" s="108">
        <f t="shared" si="269"/>
        <v>0</v>
      </c>
      <c r="BI253" s="108">
        <f t="shared" si="270"/>
        <v>0</v>
      </c>
      <c r="BJ253" s="108">
        <f t="shared" si="271"/>
        <v>0</v>
      </c>
    </row>
    <row r="254" spans="1:62" x14ac:dyDescent="0.2">
      <c r="A254" s="117" t="s">
        <v>216</v>
      </c>
      <c r="B254" s="117" t="s">
        <v>3641</v>
      </c>
      <c r="C254" s="304" t="s">
        <v>1295</v>
      </c>
      <c r="D254" s="305"/>
      <c r="E254" s="305"/>
      <c r="F254" s="117" t="s">
        <v>1644</v>
      </c>
      <c r="G254" s="116">
        <v>2</v>
      </c>
      <c r="H254" s="159"/>
      <c r="I254" s="108">
        <f t="shared" si="248"/>
        <v>0</v>
      </c>
      <c r="J254" s="108">
        <f t="shared" si="249"/>
        <v>0</v>
      </c>
      <c r="K254" s="108">
        <f t="shared" si="250"/>
        <v>0</v>
      </c>
      <c r="L254" s="111"/>
      <c r="Z254" s="100">
        <f t="shared" si="251"/>
        <v>0</v>
      </c>
      <c r="AB254" s="100">
        <f t="shared" si="252"/>
        <v>0</v>
      </c>
      <c r="AC254" s="100">
        <f t="shared" si="253"/>
        <v>0</v>
      </c>
      <c r="AD254" s="100">
        <f t="shared" si="254"/>
        <v>0</v>
      </c>
      <c r="AE254" s="100">
        <f t="shared" si="255"/>
        <v>0</v>
      </c>
      <c r="AF254" s="100">
        <f t="shared" si="256"/>
        <v>0</v>
      </c>
      <c r="AG254" s="100">
        <f t="shared" si="257"/>
        <v>0</v>
      </c>
      <c r="AH254" s="100">
        <f t="shared" si="258"/>
        <v>0</v>
      </c>
      <c r="AI254" s="109"/>
      <c r="AJ254" s="108">
        <f t="shared" si="259"/>
        <v>0</v>
      </c>
      <c r="AK254" s="108">
        <f t="shared" si="260"/>
        <v>0</v>
      </c>
      <c r="AL254" s="108">
        <f t="shared" si="261"/>
        <v>0</v>
      </c>
      <c r="AN254" s="100">
        <v>15</v>
      </c>
      <c r="AO254" s="100">
        <f t="shared" si="262"/>
        <v>0</v>
      </c>
      <c r="AP254" s="100">
        <f t="shared" si="263"/>
        <v>0</v>
      </c>
      <c r="AQ254" s="111" t="s">
        <v>13</v>
      </c>
      <c r="AV254" s="100">
        <f t="shared" si="264"/>
        <v>0</v>
      </c>
      <c r="AW254" s="100">
        <f t="shared" si="265"/>
        <v>0</v>
      </c>
      <c r="AX254" s="100">
        <f t="shared" si="266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267"/>
        <v>0</v>
      </c>
      <c r="BD254" s="100">
        <f t="shared" si="268"/>
        <v>0</v>
      </c>
      <c r="BE254" s="100">
        <v>0</v>
      </c>
      <c r="BF254" s="100">
        <f>254</f>
        <v>254</v>
      </c>
      <c r="BH254" s="108">
        <f t="shared" si="269"/>
        <v>0</v>
      </c>
      <c r="BI254" s="108">
        <f t="shared" si="270"/>
        <v>0</v>
      </c>
      <c r="BJ254" s="108">
        <f t="shared" si="271"/>
        <v>0</v>
      </c>
    </row>
    <row r="255" spans="1:62" x14ac:dyDescent="0.2">
      <c r="A255" s="117" t="s">
        <v>217</v>
      </c>
      <c r="B255" s="117" t="s">
        <v>3640</v>
      </c>
      <c r="C255" s="304" t="s">
        <v>1296</v>
      </c>
      <c r="D255" s="305"/>
      <c r="E255" s="305"/>
      <c r="F255" s="117" t="s">
        <v>1644</v>
      </c>
      <c r="G255" s="116">
        <v>4</v>
      </c>
      <c r="H255" s="159"/>
      <c r="I255" s="108">
        <f t="shared" si="248"/>
        <v>0</v>
      </c>
      <c r="J255" s="108">
        <f t="shared" si="249"/>
        <v>0</v>
      </c>
      <c r="K255" s="108">
        <f t="shared" si="250"/>
        <v>0</v>
      </c>
      <c r="L255" s="111"/>
      <c r="Z255" s="100">
        <f t="shared" si="251"/>
        <v>0</v>
      </c>
      <c r="AB255" s="100">
        <f t="shared" si="252"/>
        <v>0</v>
      </c>
      <c r="AC255" s="100">
        <f t="shared" si="253"/>
        <v>0</v>
      </c>
      <c r="AD255" s="100">
        <f t="shared" si="254"/>
        <v>0</v>
      </c>
      <c r="AE255" s="100">
        <f t="shared" si="255"/>
        <v>0</v>
      </c>
      <c r="AF255" s="100">
        <f t="shared" si="256"/>
        <v>0</v>
      </c>
      <c r="AG255" s="100">
        <f t="shared" si="257"/>
        <v>0</v>
      </c>
      <c r="AH255" s="100">
        <f t="shared" si="258"/>
        <v>0</v>
      </c>
      <c r="AI255" s="109"/>
      <c r="AJ255" s="108">
        <f t="shared" si="259"/>
        <v>0</v>
      </c>
      <c r="AK255" s="108">
        <f t="shared" si="260"/>
        <v>0</v>
      </c>
      <c r="AL255" s="108">
        <f t="shared" si="261"/>
        <v>0</v>
      </c>
      <c r="AN255" s="100">
        <v>15</v>
      </c>
      <c r="AO255" s="100">
        <f t="shared" si="262"/>
        <v>0</v>
      </c>
      <c r="AP255" s="100">
        <f t="shared" si="263"/>
        <v>0</v>
      </c>
      <c r="AQ255" s="111" t="s">
        <v>13</v>
      </c>
      <c r="AV255" s="100">
        <f t="shared" si="264"/>
        <v>0</v>
      </c>
      <c r="AW255" s="100">
        <f t="shared" si="265"/>
        <v>0</v>
      </c>
      <c r="AX255" s="100">
        <f t="shared" si="266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267"/>
        <v>0</v>
      </c>
      <c r="BD255" s="100">
        <f t="shared" si="268"/>
        <v>0</v>
      </c>
      <c r="BE255" s="100">
        <v>0</v>
      </c>
      <c r="BF255" s="100">
        <f>255</f>
        <v>255</v>
      </c>
      <c r="BH255" s="108">
        <f t="shared" si="269"/>
        <v>0</v>
      </c>
      <c r="BI255" s="108">
        <f t="shared" si="270"/>
        <v>0</v>
      </c>
      <c r="BJ255" s="108">
        <f t="shared" si="271"/>
        <v>0</v>
      </c>
    </row>
    <row r="256" spans="1:62" x14ac:dyDescent="0.2">
      <c r="A256" s="117" t="s">
        <v>218</v>
      </c>
      <c r="B256" s="117" t="s">
        <v>3639</v>
      </c>
      <c r="C256" s="304" t="s">
        <v>1297</v>
      </c>
      <c r="D256" s="305"/>
      <c r="E256" s="305"/>
      <c r="F256" s="117" t="s">
        <v>1644</v>
      </c>
      <c r="G256" s="116">
        <v>4</v>
      </c>
      <c r="H256" s="159"/>
      <c r="I256" s="108">
        <f t="shared" si="248"/>
        <v>0</v>
      </c>
      <c r="J256" s="108">
        <f t="shared" si="249"/>
        <v>0</v>
      </c>
      <c r="K256" s="108">
        <f t="shared" si="250"/>
        <v>0</v>
      </c>
      <c r="L256" s="111"/>
      <c r="Z256" s="100">
        <f t="shared" si="251"/>
        <v>0</v>
      </c>
      <c r="AB256" s="100">
        <f t="shared" si="252"/>
        <v>0</v>
      </c>
      <c r="AC256" s="100">
        <f t="shared" si="253"/>
        <v>0</v>
      </c>
      <c r="AD256" s="100">
        <f t="shared" si="254"/>
        <v>0</v>
      </c>
      <c r="AE256" s="100">
        <f t="shared" si="255"/>
        <v>0</v>
      </c>
      <c r="AF256" s="100">
        <f t="shared" si="256"/>
        <v>0</v>
      </c>
      <c r="AG256" s="100">
        <f t="shared" si="257"/>
        <v>0</v>
      </c>
      <c r="AH256" s="100">
        <f t="shared" si="258"/>
        <v>0</v>
      </c>
      <c r="AI256" s="109"/>
      <c r="AJ256" s="108">
        <f t="shared" si="259"/>
        <v>0</v>
      </c>
      <c r="AK256" s="108">
        <f t="shared" si="260"/>
        <v>0</v>
      </c>
      <c r="AL256" s="108">
        <f t="shared" si="261"/>
        <v>0</v>
      </c>
      <c r="AN256" s="100">
        <v>15</v>
      </c>
      <c r="AO256" s="100">
        <f t="shared" si="262"/>
        <v>0</v>
      </c>
      <c r="AP256" s="100">
        <f t="shared" si="263"/>
        <v>0</v>
      </c>
      <c r="AQ256" s="111" t="s">
        <v>13</v>
      </c>
      <c r="AV256" s="100">
        <f t="shared" si="264"/>
        <v>0</v>
      </c>
      <c r="AW256" s="100">
        <f t="shared" si="265"/>
        <v>0</v>
      </c>
      <c r="AX256" s="100">
        <f t="shared" si="266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267"/>
        <v>0</v>
      </c>
      <c r="BD256" s="100">
        <f t="shared" si="268"/>
        <v>0</v>
      </c>
      <c r="BE256" s="100">
        <v>0</v>
      </c>
      <c r="BF256" s="100">
        <f>256</f>
        <v>256</v>
      </c>
      <c r="BH256" s="108">
        <f t="shared" si="269"/>
        <v>0</v>
      </c>
      <c r="BI256" s="108">
        <f t="shared" si="270"/>
        <v>0</v>
      </c>
      <c r="BJ256" s="108">
        <f t="shared" si="271"/>
        <v>0</v>
      </c>
    </row>
    <row r="257" spans="1:62" x14ac:dyDescent="0.2">
      <c r="A257" s="117" t="s">
        <v>219</v>
      </c>
      <c r="B257" s="117" t="s">
        <v>3638</v>
      </c>
      <c r="C257" s="304" t="s">
        <v>1298</v>
      </c>
      <c r="D257" s="305"/>
      <c r="E257" s="305"/>
      <c r="F257" s="117" t="s">
        <v>1644</v>
      </c>
      <c r="G257" s="116">
        <v>2</v>
      </c>
      <c r="H257" s="159"/>
      <c r="I257" s="108">
        <f t="shared" si="248"/>
        <v>0</v>
      </c>
      <c r="J257" s="108">
        <f t="shared" si="249"/>
        <v>0</v>
      </c>
      <c r="K257" s="108">
        <f t="shared" si="250"/>
        <v>0</v>
      </c>
      <c r="L257" s="111"/>
      <c r="Z257" s="100">
        <f t="shared" si="251"/>
        <v>0</v>
      </c>
      <c r="AB257" s="100">
        <f t="shared" si="252"/>
        <v>0</v>
      </c>
      <c r="AC257" s="100">
        <f t="shared" si="253"/>
        <v>0</v>
      </c>
      <c r="AD257" s="100">
        <f t="shared" si="254"/>
        <v>0</v>
      </c>
      <c r="AE257" s="100">
        <f t="shared" si="255"/>
        <v>0</v>
      </c>
      <c r="AF257" s="100">
        <f t="shared" si="256"/>
        <v>0</v>
      </c>
      <c r="AG257" s="100">
        <f t="shared" si="257"/>
        <v>0</v>
      </c>
      <c r="AH257" s="100">
        <f t="shared" si="258"/>
        <v>0</v>
      </c>
      <c r="AI257" s="109"/>
      <c r="AJ257" s="108">
        <f t="shared" si="259"/>
        <v>0</v>
      </c>
      <c r="AK257" s="108">
        <f t="shared" si="260"/>
        <v>0</v>
      </c>
      <c r="AL257" s="108">
        <f t="shared" si="261"/>
        <v>0</v>
      </c>
      <c r="AN257" s="100">
        <v>15</v>
      </c>
      <c r="AO257" s="100">
        <f t="shared" si="262"/>
        <v>0</v>
      </c>
      <c r="AP257" s="100">
        <f t="shared" si="263"/>
        <v>0</v>
      </c>
      <c r="AQ257" s="111" t="s">
        <v>13</v>
      </c>
      <c r="AV257" s="100">
        <f t="shared" si="264"/>
        <v>0</v>
      </c>
      <c r="AW257" s="100">
        <f t="shared" si="265"/>
        <v>0</v>
      </c>
      <c r="AX257" s="100">
        <f t="shared" si="266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267"/>
        <v>0</v>
      </c>
      <c r="BD257" s="100">
        <f t="shared" si="268"/>
        <v>0</v>
      </c>
      <c r="BE257" s="100">
        <v>0</v>
      </c>
      <c r="BF257" s="100">
        <f>257</f>
        <v>257</v>
      </c>
      <c r="BH257" s="108">
        <f t="shared" si="269"/>
        <v>0</v>
      </c>
      <c r="BI257" s="108">
        <f t="shared" si="270"/>
        <v>0</v>
      </c>
      <c r="BJ257" s="108">
        <f t="shared" si="271"/>
        <v>0</v>
      </c>
    </row>
    <row r="258" spans="1:62" x14ac:dyDescent="0.2">
      <c r="A258" s="117" t="s">
        <v>220</v>
      </c>
      <c r="B258" s="117" t="s">
        <v>3637</v>
      </c>
      <c r="C258" s="304" t="s">
        <v>1299</v>
      </c>
      <c r="D258" s="305"/>
      <c r="E258" s="305"/>
      <c r="F258" s="117" t="s">
        <v>1646</v>
      </c>
      <c r="G258" s="116">
        <v>16</v>
      </c>
      <c r="H258" s="159"/>
      <c r="I258" s="108">
        <f t="shared" si="248"/>
        <v>0</v>
      </c>
      <c r="J258" s="108">
        <f t="shared" si="249"/>
        <v>0</v>
      </c>
      <c r="K258" s="108">
        <f t="shared" si="250"/>
        <v>0</v>
      </c>
      <c r="L258" s="111"/>
      <c r="Z258" s="100">
        <f t="shared" si="251"/>
        <v>0</v>
      </c>
      <c r="AB258" s="100">
        <f t="shared" si="252"/>
        <v>0</v>
      </c>
      <c r="AC258" s="100">
        <f t="shared" si="253"/>
        <v>0</v>
      </c>
      <c r="AD258" s="100">
        <f t="shared" si="254"/>
        <v>0</v>
      </c>
      <c r="AE258" s="100">
        <f t="shared" si="255"/>
        <v>0</v>
      </c>
      <c r="AF258" s="100">
        <f t="shared" si="256"/>
        <v>0</v>
      </c>
      <c r="AG258" s="100">
        <f t="shared" si="257"/>
        <v>0</v>
      </c>
      <c r="AH258" s="100">
        <f t="shared" si="258"/>
        <v>0</v>
      </c>
      <c r="AI258" s="109"/>
      <c r="AJ258" s="108">
        <f t="shared" si="259"/>
        <v>0</v>
      </c>
      <c r="AK258" s="108">
        <f t="shared" si="260"/>
        <v>0</v>
      </c>
      <c r="AL258" s="108">
        <f t="shared" si="261"/>
        <v>0</v>
      </c>
      <c r="AN258" s="100">
        <v>15</v>
      </c>
      <c r="AO258" s="100">
        <f t="shared" si="262"/>
        <v>0</v>
      </c>
      <c r="AP258" s="100">
        <f t="shared" si="263"/>
        <v>0</v>
      </c>
      <c r="AQ258" s="111" t="s">
        <v>13</v>
      </c>
      <c r="AV258" s="100">
        <f t="shared" si="264"/>
        <v>0</v>
      </c>
      <c r="AW258" s="100">
        <f t="shared" si="265"/>
        <v>0</v>
      </c>
      <c r="AX258" s="100">
        <f t="shared" si="266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267"/>
        <v>0</v>
      </c>
      <c r="BD258" s="100">
        <f t="shared" si="268"/>
        <v>0</v>
      </c>
      <c r="BE258" s="100">
        <v>0</v>
      </c>
      <c r="BF258" s="100">
        <f>258</f>
        <v>258</v>
      </c>
      <c r="BH258" s="108">
        <f t="shared" si="269"/>
        <v>0</v>
      </c>
      <c r="BI258" s="108">
        <f t="shared" si="270"/>
        <v>0</v>
      </c>
      <c r="BJ258" s="108">
        <f t="shared" si="271"/>
        <v>0</v>
      </c>
    </row>
    <row r="259" spans="1:62" x14ac:dyDescent="0.2">
      <c r="A259" s="117" t="s">
        <v>221</v>
      </c>
      <c r="B259" s="117" t="s">
        <v>3636</v>
      </c>
      <c r="C259" s="304" t="s">
        <v>1300</v>
      </c>
      <c r="D259" s="305"/>
      <c r="E259" s="305"/>
      <c r="F259" s="117" t="s">
        <v>1646</v>
      </c>
      <c r="G259" s="116">
        <v>15</v>
      </c>
      <c r="H259" s="159"/>
      <c r="I259" s="108">
        <f t="shared" si="248"/>
        <v>0</v>
      </c>
      <c r="J259" s="108">
        <f t="shared" si="249"/>
        <v>0</v>
      </c>
      <c r="K259" s="108">
        <f t="shared" si="250"/>
        <v>0</v>
      </c>
      <c r="L259" s="111"/>
      <c r="Z259" s="100">
        <f t="shared" si="251"/>
        <v>0</v>
      </c>
      <c r="AB259" s="100">
        <f t="shared" si="252"/>
        <v>0</v>
      </c>
      <c r="AC259" s="100">
        <f t="shared" si="253"/>
        <v>0</v>
      </c>
      <c r="AD259" s="100">
        <f t="shared" si="254"/>
        <v>0</v>
      </c>
      <c r="AE259" s="100">
        <f t="shared" si="255"/>
        <v>0</v>
      </c>
      <c r="AF259" s="100">
        <f t="shared" si="256"/>
        <v>0</v>
      </c>
      <c r="AG259" s="100">
        <f t="shared" si="257"/>
        <v>0</v>
      </c>
      <c r="AH259" s="100">
        <f t="shared" si="258"/>
        <v>0</v>
      </c>
      <c r="AI259" s="109"/>
      <c r="AJ259" s="108">
        <f t="shared" si="259"/>
        <v>0</v>
      </c>
      <c r="AK259" s="108">
        <f t="shared" si="260"/>
        <v>0</v>
      </c>
      <c r="AL259" s="108">
        <f t="shared" si="261"/>
        <v>0</v>
      </c>
      <c r="AN259" s="100">
        <v>15</v>
      </c>
      <c r="AO259" s="100">
        <f t="shared" si="262"/>
        <v>0</v>
      </c>
      <c r="AP259" s="100">
        <f t="shared" si="263"/>
        <v>0</v>
      </c>
      <c r="AQ259" s="111" t="s">
        <v>13</v>
      </c>
      <c r="AV259" s="100">
        <f t="shared" si="264"/>
        <v>0</v>
      </c>
      <c r="AW259" s="100">
        <f t="shared" si="265"/>
        <v>0</v>
      </c>
      <c r="AX259" s="100">
        <f t="shared" si="266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267"/>
        <v>0</v>
      </c>
      <c r="BD259" s="100">
        <f t="shared" si="268"/>
        <v>0</v>
      </c>
      <c r="BE259" s="100">
        <v>0</v>
      </c>
      <c r="BF259" s="100">
        <f>259</f>
        <v>259</v>
      </c>
      <c r="BH259" s="108">
        <f t="shared" si="269"/>
        <v>0</v>
      </c>
      <c r="BI259" s="108">
        <f t="shared" si="270"/>
        <v>0</v>
      </c>
      <c r="BJ259" s="108">
        <f t="shared" si="271"/>
        <v>0</v>
      </c>
    </row>
    <row r="260" spans="1:62" x14ac:dyDescent="0.2">
      <c r="A260" s="117" t="s">
        <v>222</v>
      </c>
      <c r="B260" s="117" t="s">
        <v>3635</v>
      </c>
      <c r="C260" s="304" t="s">
        <v>1301</v>
      </c>
      <c r="D260" s="305"/>
      <c r="E260" s="305"/>
      <c r="F260" s="117" t="s">
        <v>1646</v>
      </c>
      <c r="G260" s="116">
        <v>8</v>
      </c>
      <c r="H260" s="159"/>
      <c r="I260" s="108">
        <f t="shared" si="248"/>
        <v>0</v>
      </c>
      <c r="J260" s="108">
        <f t="shared" si="249"/>
        <v>0</v>
      </c>
      <c r="K260" s="108">
        <f t="shared" si="250"/>
        <v>0</v>
      </c>
      <c r="L260" s="111"/>
      <c r="Z260" s="100">
        <f t="shared" si="251"/>
        <v>0</v>
      </c>
      <c r="AB260" s="100">
        <f t="shared" si="252"/>
        <v>0</v>
      </c>
      <c r="AC260" s="100">
        <f t="shared" si="253"/>
        <v>0</v>
      </c>
      <c r="AD260" s="100">
        <f t="shared" si="254"/>
        <v>0</v>
      </c>
      <c r="AE260" s="100">
        <f t="shared" si="255"/>
        <v>0</v>
      </c>
      <c r="AF260" s="100">
        <f t="shared" si="256"/>
        <v>0</v>
      </c>
      <c r="AG260" s="100">
        <f t="shared" si="257"/>
        <v>0</v>
      </c>
      <c r="AH260" s="100">
        <f t="shared" si="258"/>
        <v>0</v>
      </c>
      <c r="AI260" s="109"/>
      <c r="AJ260" s="108">
        <f t="shared" si="259"/>
        <v>0</v>
      </c>
      <c r="AK260" s="108">
        <f t="shared" si="260"/>
        <v>0</v>
      </c>
      <c r="AL260" s="108">
        <f t="shared" si="261"/>
        <v>0</v>
      </c>
      <c r="AN260" s="100">
        <v>15</v>
      </c>
      <c r="AO260" s="100">
        <f t="shared" si="262"/>
        <v>0</v>
      </c>
      <c r="AP260" s="100">
        <f t="shared" si="263"/>
        <v>0</v>
      </c>
      <c r="AQ260" s="111" t="s">
        <v>13</v>
      </c>
      <c r="AV260" s="100">
        <f t="shared" si="264"/>
        <v>0</v>
      </c>
      <c r="AW260" s="100">
        <f t="shared" si="265"/>
        <v>0</v>
      </c>
      <c r="AX260" s="100">
        <f t="shared" si="266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267"/>
        <v>0</v>
      </c>
      <c r="BD260" s="100">
        <f t="shared" si="268"/>
        <v>0</v>
      </c>
      <c r="BE260" s="100">
        <v>0</v>
      </c>
      <c r="BF260" s="100">
        <f>260</f>
        <v>260</v>
      </c>
      <c r="BH260" s="108">
        <f t="shared" si="269"/>
        <v>0</v>
      </c>
      <c r="BI260" s="108">
        <f t="shared" si="270"/>
        <v>0</v>
      </c>
      <c r="BJ260" s="108">
        <f t="shared" si="271"/>
        <v>0</v>
      </c>
    </row>
    <row r="261" spans="1:62" x14ac:dyDescent="0.2">
      <c r="A261" s="117" t="s">
        <v>223</v>
      </c>
      <c r="B261" s="117" t="s">
        <v>3634</v>
      </c>
      <c r="C261" s="304" t="s">
        <v>1302</v>
      </c>
      <c r="D261" s="305"/>
      <c r="E261" s="305"/>
      <c r="F261" s="117" t="s">
        <v>1644</v>
      </c>
      <c r="G261" s="116">
        <v>1</v>
      </c>
      <c r="H261" s="159"/>
      <c r="I261" s="108">
        <f t="shared" si="248"/>
        <v>0</v>
      </c>
      <c r="J261" s="108">
        <f t="shared" si="249"/>
        <v>0</v>
      </c>
      <c r="K261" s="108">
        <f t="shared" si="250"/>
        <v>0</v>
      </c>
      <c r="L261" s="111"/>
      <c r="Z261" s="100">
        <f t="shared" si="251"/>
        <v>0</v>
      </c>
      <c r="AB261" s="100">
        <f t="shared" si="252"/>
        <v>0</v>
      </c>
      <c r="AC261" s="100">
        <f t="shared" si="253"/>
        <v>0</v>
      </c>
      <c r="AD261" s="100">
        <f t="shared" si="254"/>
        <v>0</v>
      </c>
      <c r="AE261" s="100">
        <f t="shared" si="255"/>
        <v>0</v>
      </c>
      <c r="AF261" s="100">
        <f t="shared" si="256"/>
        <v>0</v>
      </c>
      <c r="AG261" s="100">
        <f t="shared" si="257"/>
        <v>0</v>
      </c>
      <c r="AH261" s="100">
        <f t="shared" si="258"/>
        <v>0</v>
      </c>
      <c r="AI261" s="109"/>
      <c r="AJ261" s="108">
        <f t="shared" si="259"/>
        <v>0</v>
      </c>
      <c r="AK261" s="108">
        <f t="shared" si="260"/>
        <v>0</v>
      </c>
      <c r="AL261" s="108">
        <f t="shared" si="261"/>
        <v>0</v>
      </c>
      <c r="AN261" s="100">
        <v>15</v>
      </c>
      <c r="AO261" s="100">
        <f t="shared" si="262"/>
        <v>0</v>
      </c>
      <c r="AP261" s="100">
        <f t="shared" si="263"/>
        <v>0</v>
      </c>
      <c r="AQ261" s="111" t="s">
        <v>13</v>
      </c>
      <c r="AV261" s="100">
        <f t="shared" si="264"/>
        <v>0</v>
      </c>
      <c r="AW261" s="100">
        <f t="shared" si="265"/>
        <v>0</v>
      </c>
      <c r="AX261" s="100">
        <f t="shared" si="266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267"/>
        <v>0</v>
      </c>
      <c r="BD261" s="100">
        <f t="shared" si="268"/>
        <v>0</v>
      </c>
      <c r="BE261" s="100">
        <v>0</v>
      </c>
      <c r="BF261" s="100">
        <f>261</f>
        <v>261</v>
      </c>
      <c r="BH261" s="108">
        <f t="shared" si="269"/>
        <v>0</v>
      </c>
      <c r="BI261" s="108">
        <f t="shared" si="270"/>
        <v>0</v>
      </c>
      <c r="BJ261" s="108">
        <f t="shared" si="271"/>
        <v>0</v>
      </c>
    </row>
    <row r="262" spans="1:62" x14ac:dyDescent="0.2">
      <c r="A262" s="117" t="s">
        <v>224</v>
      </c>
      <c r="B262" s="117" t="s">
        <v>3633</v>
      </c>
      <c r="C262" s="304" t="s">
        <v>1303</v>
      </c>
      <c r="D262" s="305"/>
      <c r="E262" s="305"/>
      <c r="F262" s="117" t="s">
        <v>1644</v>
      </c>
      <c r="G262" s="116">
        <v>2</v>
      </c>
      <c r="H262" s="159"/>
      <c r="I262" s="108">
        <f t="shared" si="248"/>
        <v>0</v>
      </c>
      <c r="J262" s="108">
        <f t="shared" si="249"/>
        <v>0</v>
      </c>
      <c r="K262" s="108">
        <f t="shared" si="250"/>
        <v>0</v>
      </c>
      <c r="L262" s="111"/>
      <c r="Z262" s="100">
        <f t="shared" si="251"/>
        <v>0</v>
      </c>
      <c r="AB262" s="100">
        <f t="shared" si="252"/>
        <v>0</v>
      </c>
      <c r="AC262" s="100">
        <f t="shared" si="253"/>
        <v>0</v>
      </c>
      <c r="AD262" s="100">
        <f t="shared" si="254"/>
        <v>0</v>
      </c>
      <c r="AE262" s="100">
        <f t="shared" si="255"/>
        <v>0</v>
      </c>
      <c r="AF262" s="100">
        <f t="shared" si="256"/>
        <v>0</v>
      </c>
      <c r="AG262" s="100">
        <f t="shared" si="257"/>
        <v>0</v>
      </c>
      <c r="AH262" s="100">
        <f t="shared" si="258"/>
        <v>0</v>
      </c>
      <c r="AI262" s="109"/>
      <c r="AJ262" s="108">
        <f t="shared" si="259"/>
        <v>0</v>
      </c>
      <c r="AK262" s="108">
        <f t="shared" si="260"/>
        <v>0</v>
      </c>
      <c r="AL262" s="108">
        <f t="shared" si="261"/>
        <v>0</v>
      </c>
      <c r="AN262" s="100">
        <v>15</v>
      </c>
      <c r="AO262" s="100">
        <f t="shared" si="262"/>
        <v>0</v>
      </c>
      <c r="AP262" s="100">
        <f t="shared" si="263"/>
        <v>0</v>
      </c>
      <c r="AQ262" s="111" t="s">
        <v>13</v>
      </c>
      <c r="AV262" s="100">
        <f t="shared" si="264"/>
        <v>0</v>
      </c>
      <c r="AW262" s="100">
        <f t="shared" si="265"/>
        <v>0</v>
      </c>
      <c r="AX262" s="100">
        <f t="shared" si="266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267"/>
        <v>0</v>
      </c>
      <c r="BD262" s="100">
        <f t="shared" si="268"/>
        <v>0</v>
      </c>
      <c r="BE262" s="100">
        <v>0</v>
      </c>
      <c r="BF262" s="100">
        <f>262</f>
        <v>262</v>
      </c>
      <c r="BH262" s="108">
        <f t="shared" si="269"/>
        <v>0</v>
      </c>
      <c r="BI262" s="108">
        <f t="shared" si="270"/>
        <v>0</v>
      </c>
      <c r="BJ262" s="108">
        <f t="shared" si="271"/>
        <v>0</v>
      </c>
    </row>
    <row r="263" spans="1:62" x14ac:dyDescent="0.2">
      <c r="A263" s="117" t="s">
        <v>225</v>
      </c>
      <c r="B263" s="117" t="s">
        <v>3632</v>
      </c>
      <c r="C263" s="304" t="s">
        <v>1304</v>
      </c>
      <c r="D263" s="305"/>
      <c r="E263" s="305"/>
      <c r="F263" s="117" t="s">
        <v>1644</v>
      </c>
      <c r="G263" s="116">
        <v>1</v>
      </c>
      <c r="H263" s="159"/>
      <c r="I263" s="108">
        <f t="shared" si="248"/>
        <v>0</v>
      </c>
      <c r="J263" s="108">
        <f t="shared" si="249"/>
        <v>0</v>
      </c>
      <c r="K263" s="108">
        <f t="shared" si="250"/>
        <v>0</v>
      </c>
      <c r="L263" s="111"/>
      <c r="Z263" s="100">
        <f t="shared" si="251"/>
        <v>0</v>
      </c>
      <c r="AB263" s="100">
        <f t="shared" si="252"/>
        <v>0</v>
      </c>
      <c r="AC263" s="100">
        <f t="shared" si="253"/>
        <v>0</v>
      </c>
      <c r="AD263" s="100">
        <f t="shared" si="254"/>
        <v>0</v>
      </c>
      <c r="AE263" s="100">
        <f t="shared" si="255"/>
        <v>0</v>
      </c>
      <c r="AF263" s="100">
        <f t="shared" si="256"/>
        <v>0</v>
      </c>
      <c r="AG263" s="100">
        <f t="shared" si="257"/>
        <v>0</v>
      </c>
      <c r="AH263" s="100">
        <f t="shared" si="258"/>
        <v>0</v>
      </c>
      <c r="AI263" s="109"/>
      <c r="AJ263" s="108">
        <f t="shared" si="259"/>
        <v>0</v>
      </c>
      <c r="AK263" s="108">
        <f t="shared" si="260"/>
        <v>0</v>
      </c>
      <c r="AL263" s="108">
        <f t="shared" si="261"/>
        <v>0</v>
      </c>
      <c r="AN263" s="100">
        <v>15</v>
      </c>
      <c r="AO263" s="100">
        <f t="shared" si="262"/>
        <v>0</v>
      </c>
      <c r="AP263" s="100">
        <f t="shared" si="263"/>
        <v>0</v>
      </c>
      <c r="AQ263" s="111" t="s">
        <v>13</v>
      </c>
      <c r="AV263" s="100">
        <f t="shared" si="264"/>
        <v>0</v>
      </c>
      <c r="AW263" s="100">
        <f t="shared" si="265"/>
        <v>0</v>
      </c>
      <c r="AX263" s="100">
        <f t="shared" si="266"/>
        <v>0</v>
      </c>
      <c r="AY263" s="110" t="s">
        <v>1709</v>
      </c>
      <c r="AZ263" s="110" t="s">
        <v>1733</v>
      </c>
      <c r="BA263" s="109" t="s">
        <v>1737</v>
      </c>
      <c r="BC263" s="100">
        <f t="shared" si="267"/>
        <v>0</v>
      </c>
      <c r="BD263" s="100">
        <f t="shared" si="268"/>
        <v>0</v>
      </c>
      <c r="BE263" s="100">
        <v>0</v>
      </c>
      <c r="BF263" s="100">
        <f>263</f>
        <v>263</v>
      </c>
      <c r="BH263" s="108">
        <f t="shared" si="269"/>
        <v>0</v>
      </c>
      <c r="BI263" s="108">
        <f t="shared" si="270"/>
        <v>0</v>
      </c>
      <c r="BJ263" s="108">
        <f t="shared" si="271"/>
        <v>0</v>
      </c>
    </row>
    <row r="264" spans="1:62" x14ac:dyDescent="0.2">
      <c r="A264" s="117" t="s">
        <v>226</v>
      </c>
      <c r="B264" s="117" t="s">
        <v>3631</v>
      </c>
      <c r="C264" s="304" t="s">
        <v>1305</v>
      </c>
      <c r="D264" s="305"/>
      <c r="E264" s="305"/>
      <c r="F264" s="117" t="s">
        <v>1644</v>
      </c>
      <c r="G264" s="116">
        <v>1</v>
      </c>
      <c r="H264" s="159"/>
      <c r="I264" s="108">
        <f t="shared" si="248"/>
        <v>0</v>
      </c>
      <c r="J264" s="108">
        <f t="shared" si="249"/>
        <v>0</v>
      </c>
      <c r="K264" s="108">
        <f t="shared" si="250"/>
        <v>0</v>
      </c>
      <c r="L264" s="111"/>
      <c r="Z264" s="100">
        <f t="shared" si="251"/>
        <v>0</v>
      </c>
      <c r="AB264" s="100">
        <f t="shared" si="252"/>
        <v>0</v>
      </c>
      <c r="AC264" s="100">
        <f t="shared" si="253"/>
        <v>0</v>
      </c>
      <c r="AD264" s="100">
        <f t="shared" si="254"/>
        <v>0</v>
      </c>
      <c r="AE264" s="100">
        <f t="shared" si="255"/>
        <v>0</v>
      </c>
      <c r="AF264" s="100">
        <f t="shared" si="256"/>
        <v>0</v>
      </c>
      <c r="AG264" s="100">
        <f t="shared" si="257"/>
        <v>0</v>
      </c>
      <c r="AH264" s="100">
        <f t="shared" si="258"/>
        <v>0</v>
      </c>
      <c r="AI264" s="109"/>
      <c r="AJ264" s="108">
        <f t="shared" si="259"/>
        <v>0</v>
      </c>
      <c r="AK264" s="108">
        <f t="shared" si="260"/>
        <v>0</v>
      </c>
      <c r="AL264" s="108">
        <f t="shared" si="261"/>
        <v>0</v>
      </c>
      <c r="AN264" s="100">
        <v>15</v>
      </c>
      <c r="AO264" s="100">
        <f t="shared" si="262"/>
        <v>0</v>
      </c>
      <c r="AP264" s="100">
        <f t="shared" si="263"/>
        <v>0</v>
      </c>
      <c r="AQ264" s="111" t="s">
        <v>13</v>
      </c>
      <c r="AV264" s="100">
        <f t="shared" si="264"/>
        <v>0</v>
      </c>
      <c r="AW264" s="100">
        <f t="shared" si="265"/>
        <v>0</v>
      </c>
      <c r="AX264" s="100">
        <f t="shared" si="266"/>
        <v>0</v>
      </c>
      <c r="AY264" s="110" t="s">
        <v>1709</v>
      </c>
      <c r="AZ264" s="110" t="s">
        <v>1733</v>
      </c>
      <c r="BA264" s="109" t="s">
        <v>1737</v>
      </c>
      <c r="BC264" s="100">
        <f t="shared" si="267"/>
        <v>0</v>
      </c>
      <c r="BD264" s="100">
        <f t="shared" si="268"/>
        <v>0</v>
      </c>
      <c r="BE264" s="100">
        <v>0</v>
      </c>
      <c r="BF264" s="100">
        <f>264</f>
        <v>264</v>
      </c>
      <c r="BH264" s="108">
        <f t="shared" si="269"/>
        <v>0</v>
      </c>
      <c r="BI264" s="108">
        <f t="shared" si="270"/>
        <v>0</v>
      </c>
      <c r="BJ264" s="108">
        <f t="shared" si="271"/>
        <v>0</v>
      </c>
    </row>
    <row r="265" spans="1:62" x14ac:dyDescent="0.2">
      <c r="A265" s="117" t="s">
        <v>227</v>
      </c>
      <c r="B265" s="117" t="s">
        <v>3630</v>
      </c>
      <c r="C265" s="304" t="s">
        <v>1306</v>
      </c>
      <c r="D265" s="305"/>
      <c r="E265" s="305"/>
      <c r="F265" s="117" t="s">
        <v>1646</v>
      </c>
      <c r="G265" s="116">
        <v>20</v>
      </c>
      <c r="H265" s="159"/>
      <c r="I265" s="108">
        <f t="shared" si="248"/>
        <v>0</v>
      </c>
      <c r="J265" s="108">
        <f t="shared" si="249"/>
        <v>0</v>
      </c>
      <c r="K265" s="108">
        <f t="shared" si="250"/>
        <v>0</v>
      </c>
      <c r="L265" s="111"/>
      <c r="Z265" s="100">
        <f t="shared" si="251"/>
        <v>0</v>
      </c>
      <c r="AB265" s="100">
        <f t="shared" si="252"/>
        <v>0</v>
      </c>
      <c r="AC265" s="100">
        <f t="shared" si="253"/>
        <v>0</v>
      </c>
      <c r="AD265" s="100">
        <f t="shared" si="254"/>
        <v>0</v>
      </c>
      <c r="AE265" s="100">
        <f t="shared" si="255"/>
        <v>0</v>
      </c>
      <c r="AF265" s="100">
        <f t="shared" si="256"/>
        <v>0</v>
      </c>
      <c r="AG265" s="100">
        <f t="shared" si="257"/>
        <v>0</v>
      </c>
      <c r="AH265" s="100">
        <f t="shared" si="258"/>
        <v>0</v>
      </c>
      <c r="AI265" s="109"/>
      <c r="AJ265" s="108">
        <f t="shared" si="259"/>
        <v>0</v>
      </c>
      <c r="AK265" s="108">
        <f t="shared" si="260"/>
        <v>0</v>
      </c>
      <c r="AL265" s="108">
        <f t="shared" si="261"/>
        <v>0</v>
      </c>
      <c r="AN265" s="100">
        <v>15</v>
      </c>
      <c r="AO265" s="100">
        <f t="shared" si="262"/>
        <v>0</v>
      </c>
      <c r="AP265" s="100">
        <f t="shared" si="263"/>
        <v>0</v>
      </c>
      <c r="AQ265" s="111" t="s">
        <v>13</v>
      </c>
      <c r="AV265" s="100">
        <f t="shared" si="264"/>
        <v>0</v>
      </c>
      <c r="AW265" s="100">
        <f t="shared" si="265"/>
        <v>0</v>
      </c>
      <c r="AX265" s="100">
        <f t="shared" si="266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267"/>
        <v>0</v>
      </c>
      <c r="BD265" s="100">
        <f t="shared" si="268"/>
        <v>0</v>
      </c>
      <c r="BE265" s="100">
        <v>0</v>
      </c>
      <c r="BF265" s="100">
        <f>265</f>
        <v>265</v>
      </c>
      <c r="BH265" s="108">
        <f t="shared" si="269"/>
        <v>0</v>
      </c>
      <c r="BI265" s="108">
        <f t="shared" si="270"/>
        <v>0</v>
      </c>
      <c r="BJ265" s="108">
        <f t="shared" si="271"/>
        <v>0</v>
      </c>
    </row>
    <row r="266" spans="1:62" x14ac:dyDescent="0.2">
      <c r="A266" s="117" t="s">
        <v>228</v>
      </c>
      <c r="B266" s="117" t="s">
        <v>3629</v>
      </c>
      <c r="C266" s="304" t="s">
        <v>1286</v>
      </c>
      <c r="D266" s="305"/>
      <c r="E266" s="305"/>
      <c r="F266" s="117" t="s">
        <v>1644</v>
      </c>
      <c r="G266" s="116">
        <v>4</v>
      </c>
      <c r="H266" s="159"/>
      <c r="I266" s="108">
        <f t="shared" si="248"/>
        <v>0</v>
      </c>
      <c r="J266" s="108">
        <f t="shared" si="249"/>
        <v>0</v>
      </c>
      <c r="K266" s="108">
        <f t="shared" si="250"/>
        <v>0</v>
      </c>
      <c r="L266" s="111"/>
      <c r="Z266" s="100">
        <f t="shared" si="251"/>
        <v>0</v>
      </c>
      <c r="AB266" s="100">
        <f t="shared" si="252"/>
        <v>0</v>
      </c>
      <c r="AC266" s="100">
        <f t="shared" si="253"/>
        <v>0</v>
      </c>
      <c r="AD266" s="100">
        <f t="shared" si="254"/>
        <v>0</v>
      </c>
      <c r="AE266" s="100">
        <f t="shared" si="255"/>
        <v>0</v>
      </c>
      <c r="AF266" s="100">
        <f t="shared" si="256"/>
        <v>0</v>
      </c>
      <c r="AG266" s="100">
        <f t="shared" si="257"/>
        <v>0</v>
      </c>
      <c r="AH266" s="100">
        <f t="shared" si="258"/>
        <v>0</v>
      </c>
      <c r="AI266" s="109"/>
      <c r="AJ266" s="108">
        <f t="shared" si="259"/>
        <v>0</v>
      </c>
      <c r="AK266" s="108">
        <f t="shared" si="260"/>
        <v>0</v>
      </c>
      <c r="AL266" s="108">
        <f t="shared" si="261"/>
        <v>0</v>
      </c>
      <c r="AN266" s="100">
        <v>15</v>
      </c>
      <c r="AO266" s="100">
        <f t="shared" si="262"/>
        <v>0</v>
      </c>
      <c r="AP266" s="100">
        <f t="shared" si="263"/>
        <v>0</v>
      </c>
      <c r="AQ266" s="111" t="s">
        <v>13</v>
      </c>
      <c r="AV266" s="100">
        <f t="shared" si="264"/>
        <v>0</v>
      </c>
      <c r="AW266" s="100">
        <f t="shared" si="265"/>
        <v>0</v>
      </c>
      <c r="AX266" s="100">
        <f t="shared" si="266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267"/>
        <v>0</v>
      </c>
      <c r="BD266" s="100">
        <f t="shared" si="268"/>
        <v>0</v>
      </c>
      <c r="BE266" s="100">
        <v>0</v>
      </c>
      <c r="BF266" s="100">
        <f>266</f>
        <v>266</v>
      </c>
      <c r="BH266" s="108">
        <f t="shared" si="269"/>
        <v>0</v>
      </c>
      <c r="BI266" s="108">
        <f t="shared" si="270"/>
        <v>0</v>
      </c>
      <c r="BJ266" s="108">
        <f t="shared" si="271"/>
        <v>0</v>
      </c>
    </row>
    <row r="267" spans="1:62" x14ac:dyDescent="0.2">
      <c r="A267" s="117" t="s">
        <v>229</v>
      </c>
      <c r="B267" s="117" t="s">
        <v>3628</v>
      </c>
      <c r="C267" s="304" t="s">
        <v>1307</v>
      </c>
      <c r="D267" s="305"/>
      <c r="E267" s="305"/>
      <c r="F267" s="117" t="s">
        <v>1644</v>
      </c>
      <c r="G267" s="116">
        <v>2</v>
      </c>
      <c r="H267" s="159"/>
      <c r="I267" s="108">
        <f t="shared" si="248"/>
        <v>0</v>
      </c>
      <c r="J267" s="108">
        <f t="shared" si="249"/>
        <v>0</v>
      </c>
      <c r="K267" s="108">
        <f t="shared" si="250"/>
        <v>0</v>
      </c>
      <c r="L267" s="111"/>
      <c r="Z267" s="100">
        <f t="shared" si="251"/>
        <v>0</v>
      </c>
      <c r="AB267" s="100">
        <f t="shared" si="252"/>
        <v>0</v>
      </c>
      <c r="AC267" s="100">
        <f t="shared" si="253"/>
        <v>0</v>
      </c>
      <c r="AD267" s="100">
        <f t="shared" si="254"/>
        <v>0</v>
      </c>
      <c r="AE267" s="100">
        <f t="shared" si="255"/>
        <v>0</v>
      </c>
      <c r="AF267" s="100">
        <f t="shared" si="256"/>
        <v>0</v>
      </c>
      <c r="AG267" s="100">
        <f t="shared" si="257"/>
        <v>0</v>
      </c>
      <c r="AH267" s="100">
        <f t="shared" si="258"/>
        <v>0</v>
      </c>
      <c r="AI267" s="109"/>
      <c r="AJ267" s="108">
        <f t="shared" si="259"/>
        <v>0</v>
      </c>
      <c r="AK267" s="108">
        <f t="shared" si="260"/>
        <v>0</v>
      </c>
      <c r="AL267" s="108">
        <f t="shared" si="261"/>
        <v>0</v>
      </c>
      <c r="AN267" s="100">
        <v>15</v>
      </c>
      <c r="AO267" s="100">
        <f t="shared" si="262"/>
        <v>0</v>
      </c>
      <c r="AP267" s="100">
        <f t="shared" si="263"/>
        <v>0</v>
      </c>
      <c r="AQ267" s="111" t="s">
        <v>13</v>
      </c>
      <c r="AV267" s="100">
        <f t="shared" si="264"/>
        <v>0</v>
      </c>
      <c r="AW267" s="100">
        <f t="shared" si="265"/>
        <v>0</v>
      </c>
      <c r="AX267" s="100">
        <f t="shared" si="266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267"/>
        <v>0</v>
      </c>
      <c r="BD267" s="100">
        <f t="shared" si="268"/>
        <v>0</v>
      </c>
      <c r="BE267" s="100">
        <v>0</v>
      </c>
      <c r="BF267" s="100">
        <f>267</f>
        <v>267</v>
      </c>
      <c r="BH267" s="108">
        <f t="shared" si="269"/>
        <v>0</v>
      </c>
      <c r="BI267" s="108">
        <f t="shared" si="270"/>
        <v>0</v>
      </c>
      <c r="BJ267" s="108">
        <f t="shared" si="271"/>
        <v>0</v>
      </c>
    </row>
    <row r="268" spans="1:62" x14ac:dyDescent="0.2">
      <c r="A268" s="117" t="s">
        <v>230</v>
      </c>
      <c r="B268" s="117" t="s">
        <v>3627</v>
      </c>
      <c r="C268" s="304" t="s">
        <v>1308</v>
      </c>
      <c r="D268" s="305"/>
      <c r="E268" s="305"/>
      <c r="F268" s="117" t="s">
        <v>1644</v>
      </c>
      <c r="G268" s="116">
        <v>2</v>
      </c>
      <c r="H268" s="159"/>
      <c r="I268" s="108">
        <f t="shared" si="248"/>
        <v>0</v>
      </c>
      <c r="J268" s="108">
        <f t="shared" si="249"/>
        <v>0</v>
      </c>
      <c r="K268" s="108">
        <f t="shared" si="250"/>
        <v>0</v>
      </c>
      <c r="L268" s="111"/>
      <c r="Z268" s="100">
        <f t="shared" si="251"/>
        <v>0</v>
      </c>
      <c r="AB268" s="100">
        <f t="shared" si="252"/>
        <v>0</v>
      </c>
      <c r="AC268" s="100">
        <f t="shared" si="253"/>
        <v>0</v>
      </c>
      <c r="AD268" s="100">
        <f t="shared" si="254"/>
        <v>0</v>
      </c>
      <c r="AE268" s="100">
        <f t="shared" si="255"/>
        <v>0</v>
      </c>
      <c r="AF268" s="100">
        <f t="shared" si="256"/>
        <v>0</v>
      </c>
      <c r="AG268" s="100">
        <f t="shared" si="257"/>
        <v>0</v>
      </c>
      <c r="AH268" s="100">
        <f t="shared" si="258"/>
        <v>0</v>
      </c>
      <c r="AI268" s="109"/>
      <c r="AJ268" s="108">
        <f t="shared" si="259"/>
        <v>0</v>
      </c>
      <c r="AK268" s="108">
        <f t="shared" si="260"/>
        <v>0</v>
      </c>
      <c r="AL268" s="108">
        <f t="shared" si="261"/>
        <v>0</v>
      </c>
      <c r="AN268" s="100">
        <v>15</v>
      </c>
      <c r="AO268" s="100">
        <f t="shared" si="262"/>
        <v>0</v>
      </c>
      <c r="AP268" s="100">
        <f t="shared" si="263"/>
        <v>0</v>
      </c>
      <c r="AQ268" s="111" t="s">
        <v>13</v>
      </c>
      <c r="AV268" s="100">
        <f t="shared" si="264"/>
        <v>0</v>
      </c>
      <c r="AW268" s="100">
        <f t="shared" si="265"/>
        <v>0</v>
      </c>
      <c r="AX268" s="100">
        <f t="shared" si="266"/>
        <v>0</v>
      </c>
      <c r="AY268" s="110" t="s">
        <v>1709</v>
      </c>
      <c r="AZ268" s="110" t="s">
        <v>1733</v>
      </c>
      <c r="BA268" s="109" t="s">
        <v>1737</v>
      </c>
      <c r="BC268" s="100">
        <f t="shared" si="267"/>
        <v>0</v>
      </c>
      <c r="BD268" s="100">
        <f t="shared" si="268"/>
        <v>0</v>
      </c>
      <c r="BE268" s="100">
        <v>0</v>
      </c>
      <c r="BF268" s="100">
        <f>268</f>
        <v>268</v>
      </c>
      <c r="BH268" s="108">
        <f t="shared" si="269"/>
        <v>0</v>
      </c>
      <c r="BI268" s="108">
        <f t="shared" si="270"/>
        <v>0</v>
      </c>
      <c r="BJ268" s="108">
        <f t="shared" si="271"/>
        <v>0</v>
      </c>
    </row>
    <row r="269" spans="1:62" x14ac:dyDescent="0.2">
      <c r="A269" s="117" t="s">
        <v>231</v>
      </c>
      <c r="B269" s="117" t="s">
        <v>3626</v>
      </c>
      <c r="C269" s="304" t="s">
        <v>3625</v>
      </c>
      <c r="D269" s="305"/>
      <c r="E269" s="305"/>
      <c r="F269" s="117" t="s">
        <v>1644</v>
      </c>
      <c r="G269" s="116">
        <v>2</v>
      </c>
      <c r="H269" s="159"/>
      <c r="I269" s="108">
        <f t="shared" si="248"/>
        <v>0</v>
      </c>
      <c r="J269" s="108">
        <f t="shared" si="249"/>
        <v>0</v>
      </c>
      <c r="K269" s="108">
        <f t="shared" si="250"/>
        <v>0</v>
      </c>
      <c r="L269" s="111"/>
      <c r="Z269" s="100">
        <f t="shared" si="251"/>
        <v>0</v>
      </c>
      <c r="AB269" s="100">
        <f t="shared" si="252"/>
        <v>0</v>
      </c>
      <c r="AC269" s="100">
        <f t="shared" si="253"/>
        <v>0</v>
      </c>
      <c r="AD269" s="100">
        <f t="shared" si="254"/>
        <v>0</v>
      </c>
      <c r="AE269" s="100">
        <f t="shared" si="255"/>
        <v>0</v>
      </c>
      <c r="AF269" s="100">
        <f t="shared" si="256"/>
        <v>0</v>
      </c>
      <c r="AG269" s="100">
        <f t="shared" si="257"/>
        <v>0</v>
      </c>
      <c r="AH269" s="100">
        <f t="shared" si="258"/>
        <v>0</v>
      </c>
      <c r="AI269" s="109"/>
      <c r="AJ269" s="108">
        <f t="shared" si="259"/>
        <v>0</v>
      </c>
      <c r="AK269" s="108">
        <f t="shared" si="260"/>
        <v>0</v>
      </c>
      <c r="AL269" s="108">
        <f t="shared" si="261"/>
        <v>0</v>
      </c>
      <c r="AN269" s="100">
        <v>15</v>
      </c>
      <c r="AO269" s="100">
        <f t="shared" si="262"/>
        <v>0</v>
      </c>
      <c r="AP269" s="100">
        <f t="shared" si="263"/>
        <v>0</v>
      </c>
      <c r="AQ269" s="111" t="s">
        <v>13</v>
      </c>
      <c r="AV269" s="100">
        <f t="shared" si="264"/>
        <v>0</v>
      </c>
      <c r="AW269" s="100">
        <f t="shared" si="265"/>
        <v>0</v>
      </c>
      <c r="AX269" s="100">
        <f t="shared" si="266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267"/>
        <v>0</v>
      </c>
      <c r="BD269" s="100">
        <f t="shared" si="268"/>
        <v>0</v>
      </c>
      <c r="BE269" s="100">
        <v>0</v>
      </c>
      <c r="BF269" s="100">
        <f>269</f>
        <v>269</v>
      </c>
      <c r="BH269" s="108">
        <f t="shared" si="269"/>
        <v>0</v>
      </c>
      <c r="BI269" s="108">
        <f t="shared" si="270"/>
        <v>0</v>
      </c>
      <c r="BJ269" s="108">
        <f t="shared" si="271"/>
        <v>0</v>
      </c>
    </row>
    <row r="270" spans="1:62" x14ac:dyDescent="0.2">
      <c r="A270" s="117" t="s">
        <v>232</v>
      </c>
      <c r="B270" s="117" t="s">
        <v>3624</v>
      </c>
      <c r="C270" s="304" t="s">
        <v>1310</v>
      </c>
      <c r="D270" s="305"/>
      <c r="E270" s="305"/>
      <c r="F270" s="117" t="s">
        <v>1644</v>
      </c>
      <c r="G270" s="116">
        <v>2</v>
      </c>
      <c r="H270" s="159"/>
      <c r="I270" s="108">
        <f t="shared" si="248"/>
        <v>0</v>
      </c>
      <c r="J270" s="108">
        <f t="shared" si="249"/>
        <v>0</v>
      </c>
      <c r="K270" s="108">
        <f t="shared" si="250"/>
        <v>0</v>
      </c>
      <c r="L270" s="111"/>
      <c r="Z270" s="100">
        <f t="shared" si="251"/>
        <v>0</v>
      </c>
      <c r="AB270" s="100">
        <f t="shared" si="252"/>
        <v>0</v>
      </c>
      <c r="AC270" s="100">
        <f t="shared" si="253"/>
        <v>0</v>
      </c>
      <c r="AD270" s="100">
        <f t="shared" si="254"/>
        <v>0</v>
      </c>
      <c r="AE270" s="100">
        <f t="shared" si="255"/>
        <v>0</v>
      </c>
      <c r="AF270" s="100">
        <f t="shared" si="256"/>
        <v>0</v>
      </c>
      <c r="AG270" s="100">
        <f t="shared" si="257"/>
        <v>0</v>
      </c>
      <c r="AH270" s="100">
        <f t="shared" si="258"/>
        <v>0</v>
      </c>
      <c r="AI270" s="109"/>
      <c r="AJ270" s="108">
        <f t="shared" si="259"/>
        <v>0</v>
      </c>
      <c r="AK270" s="108">
        <f t="shared" si="260"/>
        <v>0</v>
      </c>
      <c r="AL270" s="108">
        <f t="shared" si="261"/>
        <v>0</v>
      </c>
      <c r="AN270" s="100">
        <v>15</v>
      </c>
      <c r="AO270" s="100">
        <f t="shared" si="262"/>
        <v>0</v>
      </c>
      <c r="AP270" s="100">
        <f t="shared" si="263"/>
        <v>0</v>
      </c>
      <c r="AQ270" s="111" t="s">
        <v>13</v>
      </c>
      <c r="AV270" s="100">
        <f t="shared" si="264"/>
        <v>0</v>
      </c>
      <c r="AW270" s="100">
        <f t="shared" si="265"/>
        <v>0</v>
      </c>
      <c r="AX270" s="100">
        <f t="shared" si="266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267"/>
        <v>0</v>
      </c>
      <c r="BD270" s="100">
        <f t="shared" si="268"/>
        <v>0</v>
      </c>
      <c r="BE270" s="100">
        <v>0</v>
      </c>
      <c r="BF270" s="100">
        <f>270</f>
        <v>270</v>
      </c>
      <c r="BH270" s="108">
        <f t="shared" si="269"/>
        <v>0</v>
      </c>
      <c r="BI270" s="108">
        <f t="shared" si="270"/>
        <v>0</v>
      </c>
      <c r="BJ270" s="108">
        <f t="shared" si="271"/>
        <v>0</v>
      </c>
    </row>
    <row r="271" spans="1:62" x14ac:dyDescent="0.2">
      <c r="A271" s="117" t="s">
        <v>233</v>
      </c>
      <c r="B271" s="117" t="s">
        <v>3623</v>
      </c>
      <c r="C271" s="304" t="s">
        <v>1311</v>
      </c>
      <c r="D271" s="305"/>
      <c r="E271" s="305"/>
      <c r="F271" s="117" t="s">
        <v>1644</v>
      </c>
      <c r="G271" s="116">
        <v>2</v>
      </c>
      <c r="H271" s="159"/>
      <c r="I271" s="108">
        <f t="shared" si="248"/>
        <v>0</v>
      </c>
      <c r="J271" s="108">
        <f t="shared" si="249"/>
        <v>0</v>
      </c>
      <c r="K271" s="108">
        <f t="shared" si="250"/>
        <v>0</v>
      </c>
      <c r="L271" s="111"/>
      <c r="Z271" s="100">
        <f t="shared" si="251"/>
        <v>0</v>
      </c>
      <c r="AB271" s="100">
        <f t="shared" si="252"/>
        <v>0</v>
      </c>
      <c r="AC271" s="100">
        <f t="shared" si="253"/>
        <v>0</v>
      </c>
      <c r="AD271" s="100">
        <f t="shared" si="254"/>
        <v>0</v>
      </c>
      <c r="AE271" s="100">
        <f t="shared" si="255"/>
        <v>0</v>
      </c>
      <c r="AF271" s="100">
        <f t="shared" si="256"/>
        <v>0</v>
      </c>
      <c r="AG271" s="100">
        <f t="shared" si="257"/>
        <v>0</v>
      </c>
      <c r="AH271" s="100">
        <f t="shared" si="258"/>
        <v>0</v>
      </c>
      <c r="AI271" s="109"/>
      <c r="AJ271" s="108">
        <f t="shared" si="259"/>
        <v>0</v>
      </c>
      <c r="AK271" s="108">
        <f t="shared" si="260"/>
        <v>0</v>
      </c>
      <c r="AL271" s="108">
        <f t="shared" si="261"/>
        <v>0</v>
      </c>
      <c r="AN271" s="100">
        <v>15</v>
      </c>
      <c r="AO271" s="100">
        <f t="shared" si="262"/>
        <v>0</v>
      </c>
      <c r="AP271" s="100">
        <f t="shared" si="263"/>
        <v>0</v>
      </c>
      <c r="AQ271" s="111" t="s">
        <v>13</v>
      </c>
      <c r="AV271" s="100">
        <f t="shared" si="264"/>
        <v>0</v>
      </c>
      <c r="AW271" s="100">
        <f t="shared" si="265"/>
        <v>0</v>
      </c>
      <c r="AX271" s="100">
        <f t="shared" si="266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267"/>
        <v>0</v>
      </c>
      <c r="BD271" s="100">
        <f t="shared" si="268"/>
        <v>0</v>
      </c>
      <c r="BE271" s="100">
        <v>0</v>
      </c>
      <c r="BF271" s="100">
        <f>271</f>
        <v>271</v>
      </c>
      <c r="BH271" s="108">
        <f t="shared" si="269"/>
        <v>0</v>
      </c>
      <c r="BI271" s="108">
        <f t="shared" si="270"/>
        <v>0</v>
      </c>
      <c r="BJ271" s="108">
        <f t="shared" si="271"/>
        <v>0</v>
      </c>
    </row>
    <row r="272" spans="1:62" x14ac:dyDescent="0.2">
      <c r="A272" s="117" t="s">
        <v>234</v>
      </c>
      <c r="B272" s="117" t="s">
        <v>3622</v>
      </c>
      <c r="C272" s="304" t="s">
        <v>1312</v>
      </c>
      <c r="D272" s="305"/>
      <c r="E272" s="305"/>
      <c r="F272" s="117" t="s">
        <v>1644</v>
      </c>
      <c r="G272" s="116">
        <v>2</v>
      </c>
      <c r="H272" s="159"/>
      <c r="I272" s="108">
        <f t="shared" si="248"/>
        <v>0</v>
      </c>
      <c r="J272" s="108">
        <f t="shared" si="249"/>
        <v>0</v>
      </c>
      <c r="K272" s="108">
        <f t="shared" si="250"/>
        <v>0</v>
      </c>
      <c r="L272" s="111"/>
      <c r="Z272" s="100">
        <f t="shared" si="251"/>
        <v>0</v>
      </c>
      <c r="AB272" s="100">
        <f t="shared" si="252"/>
        <v>0</v>
      </c>
      <c r="AC272" s="100">
        <f t="shared" si="253"/>
        <v>0</v>
      </c>
      <c r="AD272" s="100">
        <f t="shared" si="254"/>
        <v>0</v>
      </c>
      <c r="AE272" s="100">
        <f t="shared" si="255"/>
        <v>0</v>
      </c>
      <c r="AF272" s="100">
        <f t="shared" si="256"/>
        <v>0</v>
      </c>
      <c r="AG272" s="100">
        <f t="shared" si="257"/>
        <v>0</v>
      </c>
      <c r="AH272" s="100">
        <f t="shared" si="258"/>
        <v>0</v>
      </c>
      <c r="AI272" s="109"/>
      <c r="AJ272" s="108">
        <f t="shared" si="259"/>
        <v>0</v>
      </c>
      <c r="AK272" s="108">
        <f t="shared" si="260"/>
        <v>0</v>
      </c>
      <c r="AL272" s="108">
        <f t="shared" si="261"/>
        <v>0</v>
      </c>
      <c r="AN272" s="100">
        <v>15</v>
      </c>
      <c r="AO272" s="100">
        <f t="shared" si="262"/>
        <v>0</v>
      </c>
      <c r="AP272" s="100">
        <f t="shared" si="263"/>
        <v>0</v>
      </c>
      <c r="AQ272" s="111" t="s">
        <v>13</v>
      </c>
      <c r="AV272" s="100">
        <f t="shared" si="264"/>
        <v>0</v>
      </c>
      <c r="AW272" s="100">
        <f t="shared" si="265"/>
        <v>0</v>
      </c>
      <c r="AX272" s="100">
        <f t="shared" si="266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267"/>
        <v>0</v>
      </c>
      <c r="BD272" s="100">
        <f t="shared" si="268"/>
        <v>0</v>
      </c>
      <c r="BE272" s="100">
        <v>0</v>
      </c>
      <c r="BF272" s="100">
        <f>272</f>
        <v>272</v>
      </c>
      <c r="BH272" s="108">
        <f t="shared" si="269"/>
        <v>0</v>
      </c>
      <c r="BI272" s="108">
        <f t="shared" si="270"/>
        <v>0</v>
      </c>
      <c r="BJ272" s="108">
        <f t="shared" si="271"/>
        <v>0</v>
      </c>
    </row>
    <row r="273" spans="1:62" x14ac:dyDescent="0.2">
      <c r="A273" s="117" t="s">
        <v>235</v>
      </c>
      <c r="B273" s="117" t="s">
        <v>3621</v>
      </c>
      <c r="C273" s="304" t="s">
        <v>1313</v>
      </c>
      <c r="D273" s="305"/>
      <c r="E273" s="305"/>
      <c r="F273" s="117" t="s">
        <v>1644</v>
      </c>
      <c r="G273" s="116">
        <v>2</v>
      </c>
      <c r="H273" s="159"/>
      <c r="I273" s="108">
        <f t="shared" si="248"/>
        <v>0</v>
      </c>
      <c r="J273" s="108">
        <f t="shared" si="249"/>
        <v>0</v>
      </c>
      <c r="K273" s="108">
        <f t="shared" si="250"/>
        <v>0</v>
      </c>
      <c r="L273" s="111"/>
      <c r="Z273" s="100">
        <f t="shared" si="251"/>
        <v>0</v>
      </c>
      <c r="AB273" s="100">
        <f t="shared" si="252"/>
        <v>0</v>
      </c>
      <c r="AC273" s="100">
        <f t="shared" si="253"/>
        <v>0</v>
      </c>
      <c r="AD273" s="100">
        <f t="shared" si="254"/>
        <v>0</v>
      </c>
      <c r="AE273" s="100">
        <f t="shared" si="255"/>
        <v>0</v>
      </c>
      <c r="AF273" s="100">
        <f t="shared" si="256"/>
        <v>0</v>
      </c>
      <c r="AG273" s="100">
        <f t="shared" si="257"/>
        <v>0</v>
      </c>
      <c r="AH273" s="100">
        <f t="shared" si="258"/>
        <v>0</v>
      </c>
      <c r="AI273" s="109"/>
      <c r="AJ273" s="108">
        <f t="shared" si="259"/>
        <v>0</v>
      </c>
      <c r="AK273" s="108">
        <f t="shared" si="260"/>
        <v>0</v>
      </c>
      <c r="AL273" s="108">
        <f t="shared" si="261"/>
        <v>0</v>
      </c>
      <c r="AN273" s="100">
        <v>15</v>
      </c>
      <c r="AO273" s="100">
        <f t="shared" si="262"/>
        <v>0</v>
      </c>
      <c r="AP273" s="100">
        <f t="shared" si="263"/>
        <v>0</v>
      </c>
      <c r="AQ273" s="111" t="s">
        <v>13</v>
      </c>
      <c r="AV273" s="100">
        <f t="shared" si="264"/>
        <v>0</v>
      </c>
      <c r="AW273" s="100">
        <f t="shared" si="265"/>
        <v>0</v>
      </c>
      <c r="AX273" s="100">
        <f t="shared" si="266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267"/>
        <v>0</v>
      </c>
      <c r="BD273" s="100">
        <f t="shared" si="268"/>
        <v>0</v>
      </c>
      <c r="BE273" s="100">
        <v>0</v>
      </c>
      <c r="BF273" s="100">
        <f>273</f>
        <v>273</v>
      </c>
      <c r="BH273" s="108">
        <f t="shared" si="269"/>
        <v>0</v>
      </c>
      <c r="BI273" s="108">
        <f t="shared" si="270"/>
        <v>0</v>
      </c>
      <c r="BJ273" s="108">
        <f t="shared" si="271"/>
        <v>0</v>
      </c>
    </row>
    <row r="274" spans="1:62" x14ac:dyDescent="0.2">
      <c r="A274" s="117" t="s">
        <v>236</v>
      </c>
      <c r="B274" s="117" t="s">
        <v>3620</v>
      </c>
      <c r="C274" s="304" t="s">
        <v>3619</v>
      </c>
      <c r="D274" s="305"/>
      <c r="E274" s="305"/>
      <c r="F274" s="117" t="s">
        <v>1644</v>
      </c>
      <c r="G274" s="116">
        <v>1</v>
      </c>
      <c r="H274" s="159"/>
      <c r="I274" s="108">
        <f t="shared" si="248"/>
        <v>0</v>
      </c>
      <c r="J274" s="108">
        <f t="shared" si="249"/>
        <v>0</v>
      </c>
      <c r="K274" s="108">
        <f t="shared" si="250"/>
        <v>0</v>
      </c>
      <c r="L274" s="111"/>
      <c r="Z274" s="100">
        <f t="shared" si="251"/>
        <v>0</v>
      </c>
      <c r="AB274" s="100">
        <f t="shared" si="252"/>
        <v>0</v>
      </c>
      <c r="AC274" s="100">
        <f t="shared" si="253"/>
        <v>0</v>
      </c>
      <c r="AD274" s="100">
        <f t="shared" si="254"/>
        <v>0</v>
      </c>
      <c r="AE274" s="100">
        <f t="shared" si="255"/>
        <v>0</v>
      </c>
      <c r="AF274" s="100">
        <f t="shared" si="256"/>
        <v>0</v>
      </c>
      <c r="AG274" s="100">
        <f t="shared" si="257"/>
        <v>0</v>
      </c>
      <c r="AH274" s="100">
        <f t="shared" si="258"/>
        <v>0</v>
      </c>
      <c r="AI274" s="109"/>
      <c r="AJ274" s="108">
        <f t="shared" si="259"/>
        <v>0</v>
      </c>
      <c r="AK274" s="108">
        <f t="shared" si="260"/>
        <v>0</v>
      </c>
      <c r="AL274" s="108">
        <f t="shared" si="261"/>
        <v>0</v>
      </c>
      <c r="AN274" s="100">
        <v>15</v>
      </c>
      <c r="AO274" s="100">
        <f t="shared" si="262"/>
        <v>0</v>
      </c>
      <c r="AP274" s="100">
        <f t="shared" si="263"/>
        <v>0</v>
      </c>
      <c r="AQ274" s="111" t="s">
        <v>13</v>
      </c>
      <c r="AV274" s="100">
        <f t="shared" si="264"/>
        <v>0</v>
      </c>
      <c r="AW274" s="100">
        <f t="shared" si="265"/>
        <v>0</v>
      </c>
      <c r="AX274" s="100">
        <f t="shared" si="266"/>
        <v>0</v>
      </c>
      <c r="AY274" s="110" t="s">
        <v>1709</v>
      </c>
      <c r="AZ274" s="110" t="s">
        <v>1733</v>
      </c>
      <c r="BA274" s="109" t="s">
        <v>1737</v>
      </c>
      <c r="BC274" s="100">
        <f t="shared" si="267"/>
        <v>0</v>
      </c>
      <c r="BD274" s="100">
        <f t="shared" si="268"/>
        <v>0</v>
      </c>
      <c r="BE274" s="100">
        <v>0</v>
      </c>
      <c r="BF274" s="100">
        <f>274</f>
        <v>274</v>
      </c>
      <c r="BH274" s="108">
        <f t="shared" si="269"/>
        <v>0</v>
      </c>
      <c r="BI274" s="108">
        <f t="shared" si="270"/>
        <v>0</v>
      </c>
      <c r="BJ274" s="108">
        <f t="shared" si="271"/>
        <v>0</v>
      </c>
    </row>
    <row r="275" spans="1:62" x14ac:dyDescent="0.2">
      <c r="A275" s="117" t="s">
        <v>237</v>
      </c>
      <c r="B275" s="117" t="s">
        <v>3618</v>
      </c>
      <c r="C275" s="304" t="s">
        <v>3617</v>
      </c>
      <c r="D275" s="305"/>
      <c r="E275" s="305"/>
      <c r="F275" s="117" t="s">
        <v>1644</v>
      </c>
      <c r="G275" s="116">
        <v>1</v>
      </c>
      <c r="H275" s="159"/>
      <c r="I275" s="108">
        <f t="shared" ref="I275:I306" si="272">G275*AO275</f>
        <v>0</v>
      </c>
      <c r="J275" s="108">
        <f t="shared" ref="J275:J306" si="273">G275*AP275</f>
        <v>0</v>
      </c>
      <c r="K275" s="108">
        <f t="shared" ref="K275:K306" si="274">G275*H275</f>
        <v>0</v>
      </c>
      <c r="L275" s="111"/>
      <c r="Z275" s="100">
        <f t="shared" ref="Z275:Z306" si="275">IF(AQ275="5",BJ275,0)</f>
        <v>0</v>
      </c>
      <c r="AB275" s="100">
        <f t="shared" ref="AB275:AB306" si="276">IF(AQ275="1",BH275,0)</f>
        <v>0</v>
      </c>
      <c r="AC275" s="100">
        <f t="shared" ref="AC275:AC306" si="277">IF(AQ275="1",BI275,0)</f>
        <v>0</v>
      </c>
      <c r="AD275" s="100">
        <f t="shared" ref="AD275:AD306" si="278">IF(AQ275="7",BH275,0)</f>
        <v>0</v>
      </c>
      <c r="AE275" s="100">
        <f t="shared" ref="AE275:AE306" si="279">IF(AQ275="7",BI275,0)</f>
        <v>0</v>
      </c>
      <c r="AF275" s="100">
        <f t="shared" ref="AF275:AF306" si="280">IF(AQ275="2",BH275,0)</f>
        <v>0</v>
      </c>
      <c r="AG275" s="100">
        <f t="shared" ref="AG275:AG306" si="281">IF(AQ275="2",BI275,0)</f>
        <v>0</v>
      </c>
      <c r="AH275" s="100">
        <f t="shared" ref="AH275:AH306" si="282">IF(AQ275="0",BJ275,0)</f>
        <v>0</v>
      </c>
      <c r="AI275" s="109"/>
      <c r="AJ275" s="108">
        <f t="shared" ref="AJ275:AJ306" si="283">IF(AN275=0,K275,0)</f>
        <v>0</v>
      </c>
      <c r="AK275" s="108">
        <f t="shared" ref="AK275:AK306" si="284">IF(AN275=15,K275,0)</f>
        <v>0</v>
      </c>
      <c r="AL275" s="108">
        <f t="shared" ref="AL275:AL306" si="285">IF(AN275=21,K275,0)</f>
        <v>0</v>
      </c>
      <c r="AN275" s="100">
        <v>15</v>
      </c>
      <c r="AO275" s="100">
        <f t="shared" ref="AO275:AO306" si="286">H275*0</f>
        <v>0</v>
      </c>
      <c r="AP275" s="100">
        <f t="shared" ref="AP275:AP306" si="287">H275*(1-0)</f>
        <v>0</v>
      </c>
      <c r="AQ275" s="111" t="s">
        <v>13</v>
      </c>
      <c r="AV275" s="100">
        <f t="shared" ref="AV275:AV306" si="288">AW275+AX275</f>
        <v>0</v>
      </c>
      <c r="AW275" s="100">
        <f t="shared" ref="AW275:AW306" si="289">G275*AO275</f>
        <v>0</v>
      </c>
      <c r="AX275" s="100">
        <f t="shared" ref="AX275:AX306" si="290">G275*AP275</f>
        <v>0</v>
      </c>
      <c r="AY275" s="110" t="s">
        <v>1709</v>
      </c>
      <c r="AZ275" s="110" t="s">
        <v>1733</v>
      </c>
      <c r="BA275" s="109" t="s">
        <v>1737</v>
      </c>
      <c r="BC275" s="100">
        <f t="shared" ref="BC275:BC306" si="291">AW275+AX275</f>
        <v>0</v>
      </c>
      <c r="BD275" s="100">
        <f t="shared" ref="BD275:BD306" si="292">H275/(100-BE275)*100</f>
        <v>0</v>
      </c>
      <c r="BE275" s="100">
        <v>0</v>
      </c>
      <c r="BF275" s="100">
        <f>275</f>
        <v>275</v>
      </c>
      <c r="BH275" s="108">
        <f t="shared" ref="BH275:BH306" si="293">G275*AO275</f>
        <v>0</v>
      </c>
      <c r="BI275" s="108">
        <f t="shared" ref="BI275:BI306" si="294">G275*AP275</f>
        <v>0</v>
      </c>
      <c r="BJ275" s="108">
        <f t="shared" ref="BJ275:BJ306" si="295">G275*H275</f>
        <v>0</v>
      </c>
    </row>
    <row r="276" spans="1:62" x14ac:dyDescent="0.2">
      <c r="A276" s="117" t="s">
        <v>238</v>
      </c>
      <c r="B276" s="117" t="s">
        <v>3616</v>
      </c>
      <c r="C276" s="304" t="s">
        <v>3615</v>
      </c>
      <c r="D276" s="305"/>
      <c r="E276" s="305"/>
      <c r="F276" s="117" t="s">
        <v>1644</v>
      </c>
      <c r="G276" s="116">
        <v>1</v>
      </c>
      <c r="H276" s="159"/>
      <c r="I276" s="108">
        <f t="shared" si="272"/>
        <v>0</v>
      </c>
      <c r="J276" s="108">
        <f t="shared" si="273"/>
        <v>0</v>
      </c>
      <c r="K276" s="108">
        <f t="shared" si="274"/>
        <v>0</v>
      </c>
      <c r="L276" s="111"/>
      <c r="Z276" s="100">
        <f t="shared" si="275"/>
        <v>0</v>
      </c>
      <c r="AB276" s="100">
        <f t="shared" si="276"/>
        <v>0</v>
      </c>
      <c r="AC276" s="100">
        <f t="shared" si="277"/>
        <v>0</v>
      </c>
      <c r="AD276" s="100">
        <f t="shared" si="278"/>
        <v>0</v>
      </c>
      <c r="AE276" s="100">
        <f t="shared" si="279"/>
        <v>0</v>
      </c>
      <c r="AF276" s="100">
        <f t="shared" si="280"/>
        <v>0</v>
      </c>
      <c r="AG276" s="100">
        <f t="shared" si="281"/>
        <v>0</v>
      </c>
      <c r="AH276" s="100">
        <f t="shared" si="282"/>
        <v>0</v>
      </c>
      <c r="AI276" s="109"/>
      <c r="AJ276" s="108">
        <f t="shared" si="283"/>
        <v>0</v>
      </c>
      <c r="AK276" s="108">
        <f t="shared" si="284"/>
        <v>0</v>
      </c>
      <c r="AL276" s="108">
        <f t="shared" si="285"/>
        <v>0</v>
      </c>
      <c r="AN276" s="100">
        <v>15</v>
      </c>
      <c r="AO276" s="100">
        <f t="shared" si="286"/>
        <v>0</v>
      </c>
      <c r="AP276" s="100">
        <f t="shared" si="287"/>
        <v>0</v>
      </c>
      <c r="AQ276" s="111" t="s">
        <v>13</v>
      </c>
      <c r="AV276" s="100">
        <f t="shared" si="288"/>
        <v>0</v>
      </c>
      <c r="AW276" s="100">
        <f t="shared" si="289"/>
        <v>0</v>
      </c>
      <c r="AX276" s="100">
        <f t="shared" si="290"/>
        <v>0</v>
      </c>
      <c r="AY276" s="110" t="s">
        <v>1709</v>
      </c>
      <c r="AZ276" s="110" t="s">
        <v>1733</v>
      </c>
      <c r="BA276" s="109" t="s">
        <v>1737</v>
      </c>
      <c r="BC276" s="100">
        <f t="shared" si="291"/>
        <v>0</v>
      </c>
      <c r="BD276" s="100">
        <f t="shared" si="292"/>
        <v>0</v>
      </c>
      <c r="BE276" s="100">
        <v>0</v>
      </c>
      <c r="BF276" s="100">
        <f>276</f>
        <v>276</v>
      </c>
      <c r="BH276" s="108">
        <f t="shared" si="293"/>
        <v>0</v>
      </c>
      <c r="BI276" s="108">
        <f t="shared" si="294"/>
        <v>0</v>
      </c>
      <c r="BJ276" s="108">
        <f t="shared" si="295"/>
        <v>0</v>
      </c>
    </row>
    <row r="277" spans="1:62" x14ac:dyDescent="0.2">
      <c r="A277" s="117" t="s">
        <v>239</v>
      </c>
      <c r="B277" s="117" t="s">
        <v>3614</v>
      </c>
      <c r="C277" s="304" t="s">
        <v>3613</v>
      </c>
      <c r="D277" s="305"/>
      <c r="E277" s="305"/>
      <c r="F277" s="117" t="s">
        <v>1644</v>
      </c>
      <c r="G277" s="116">
        <v>1</v>
      </c>
      <c r="H277" s="159"/>
      <c r="I277" s="108">
        <f t="shared" si="272"/>
        <v>0</v>
      </c>
      <c r="J277" s="108">
        <f t="shared" si="273"/>
        <v>0</v>
      </c>
      <c r="K277" s="108">
        <f t="shared" si="274"/>
        <v>0</v>
      </c>
      <c r="L277" s="111"/>
      <c r="Z277" s="100">
        <f t="shared" si="275"/>
        <v>0</v>
      </c>
      <c r="AB277" s="100">
        <f t="shared" si="276"/>
        <v>0</v>
      </c>
      <c r="AC277" s="100">
        <f t="shared" si="277"/>
        <v>0</v>
      </c>
      <c r="AD277" s="100">
        <f t="shared" si="278"/>
        <v>0</v>
      </c>
      <c r="AE277" s="100">
        <f t="shared" si="279"/>
        <v>0</v>
      </c>
      <c r="AF277" s="100">
        <f t="shared" si="280"/>
        <v>0</v>
      </c>
      <c r="AG277" s="100">
        <f t="shared" si="281"/>
        <v>0</v>
      </c>
      <c r="AH277" s="100">
        <f t="shared" si="282"/>
        <v>0</v>
      </c>
      <c r="AI277" s="109"/>
      <c r="AJ277" s="108">
        <f t="shared" si="283"/>
        <v>0</v>
      </c>
      <c r="AK277" s="108">
        <f t="shared" si="284"/>
        <v>0</v>
      </c>
      <c r="AL277" s="108">
        <f t="shared" si="285"/>
        <v>0</v>
      </c>
      <c r="AN277" s="100">
        <v>15</v>
      </c>
      <c r="AO277" s="100">
        <f t="shared" si="286"/>
        <v>0</v>
      </c>
      <c r="AP277" s="100">
        <f t="shared" si="287"/>
        <v>0</v>
      </c>
      <c r="AQ277" s="111" t="s">
        <v>13</v>
      </c>
      <c r="AV277" s="100">
        <f t="shared" si="288"/>
        <v>0</v>
      </c>
      <c r="AW277" s="100">
        <f t="shared" si="289"/>
        <v>0</v>
      </c>
      <c r="AX277" s="100">
        <f t="shared" si="290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291"/>
        <v>0</v>
      </c>
      <c r="BD277" s="100">
        <f t="shared" si="292"/>
        <v>0</v>
      </c>
      <c r="BE277" s="100">
        <v>0</v>
      </c>
      <c r="BF277" s="100">
        <f>277</f>
        <v>277</v>
      </c>
      <c r="BH277" s="108">
        <f t="shared" si="293"/>
        <v>0</v>
      </c>
      <c r="BI277" s="108">
        <f t="shared" si="294"/>
        <v>0</v>
      </c>
      <c r="BJ277" s="108">
        <f t="shared" si="295"/>
        <v>0</v>
      </c>
    </row>
    <row r="278" spans="1:62" x14ac:dyDescent="0.2">
      <c r="A278" s="117" t="s">
        <v>240</v>
      </c>
      <c r="B278" s="117" t="s">
        <v>3612</v>
      </c>
      <c r="C278" s="304" t="s">
        <v>3611</v>
      </c>
      <c r="D278" s="305"/>
      <c r="E278" s="305"/>
      <c r="F278" s="117" t="s">
        <v>1644</v>
      </c>
      <c r="G278" s="116">
        <v>2</v>
      </c>
      <c r="H278" s="159"/>
      <c r="I278" s="108">
        <f t="shared" si="272"/>
        <v>0</v>
      </c>
      <c r="J278" s="108">
        <f t="shared" si="273"/>
        <v>0</v>
      </c>
      <c r="K278" s="108">
        <f t="shared" si="274"/>
        <v>0</v>
      </c>
      <c r="L278" s="111"/>
      <c r="Z278" s="100">
        <f t="shared" si="275"/>
        <v>0</v>
      </c>
      <c r="AB278" s="100">
        <f t="shared" si="276"/>
        <v>0</v>
      </c>
      <c r="AC278" s="100">
        <f t="shared" si="277"/>
        <v>0</v>
      </c>
      <c r="AD278" s="100">
        <f t="shared" si="278"/>
        <v>0</v>
      </c>
      <c r="AE278" s="100">
        <f t="shared" si="279"/>
        <v>0</v>
      </c>
      <c r="AF278" s="100">
        <f t="shared" si="280"/>
        <v>0</v>
      </c>
      <c r="AG278" s="100">
        <f t="shared" si="281"/>
        <v>0</v>
      </c>
      <c r="AH278" s="100">
        <f t="shared" si="282"/>
        <v>0</v>
      </c>
      <c r="AI278" s="109"/>
      <c r="AJ278" s="108">
        <f t="shared" si="283"/>
        <v>0</v>
      </c>
      <c r="AK278" s="108">
        <f t="shared" si="284"/>
        <v>0</v>
      </c>
      <c r="AL278" s="108">
        <f t="shared" si="285"/>
        <v>0</v>
      </c>
      <c r="AN278" s="100">
        <v>15</v>
      </c>
      <c r="AO278" s="100">
        <f t="shared" si="286"/>
        <v>0</v>
      </c>
      <c r="AP278" s="100">
        <f t="shared" si="287"/>
        <v>0</v>
      </c>
      <c r="AQ278" s="111" t="s">
        <v>13</v>
      </c>
      <c r="AV278" s="100">
        <f t="shared" si="288"/>
        <v>0</v>
      </c>
      <c r="AW278" s="100">
        <f t="shared" si="289"/>
        <v>0</v>
      </c>
      <c r="AX278" s="100">
        <f t="shared" si="290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291"/>
        <v>0</v>
      </c>
      <c r="BD278" s="100">
        <f t="shared" si="292"/>
        <v>0</v>
      </c>
      <c r="BE278" s="100">
        <v>0</v>
      </c>
      <c r="BF278" s="100">
        <f>278</f>
        <v>278</v>
      </c>
      <c r="BH278" s="108">
        <f t="shared" si="293"/>
        <v>0</v>
      </c>
      <c r="BI278" s="108">
        <f t="shared" si="294"/>
        <v>0</v>
      </c>
      <c r="BJ278" s="108">
        <f t="shared" si="295"/>
        <v>0</v>
      </c>
    </row>
    <row r="279" spans="1:62" x14ac:dyDescent="0.2">
      <c r="A279" s="117" t="s">
        <v>241</v>
      </c>
      <c r="B279" s="117" t="s">
        <v>3610</v>
      </c>
      <c r="C279" s="304" t="s">
        <v>3609</v>
      </c>
      <c r="D279" s="305"/>
      <c r="E279" s="305"/>
      <c r="F279" s="117" t="s">
        <v>1644</v>
      </c>
      <c r="G279" s="116">
        <v>1</v>
      </c>
      <c r="H279" s="159"/>
      <c r="I279" s="108">
        <f t="shared" si="272"/>
        <v>0</v>
      </c>
      <c r="J279" s="108">
        <f t="shared" si="273"/>
        <v>0</v>
      </c>
      <c r="K279" s="108">
        <f t="shared" si="274"/>
        <v>0</v>
      </c>
      <c r="L279" s="111"/>
      <c r="Z279" s="100">
        <f t="shared" si="275"/>
        <v>0</v>
      </c>
      <c r="AB279" s="100">
        <f t="shared" si="276"/>
        <v>0</v>
      </c>
      <c r="AC279" s="100">
        <f t="shared" si="277"/>
        <v>0</v>
      </c>
      <c r="AD279" s="100">
        <f t="shared" si="278"/>
        <v>0</v>
      </c>
      <c r="AE279" s="100">
        <f t="shared" si="279"/>
        <v>0</v>
      </c>
      <c r="AF279" s="100">
        <f t="shared" si="280"/>
        <v>0</v>
      </c>
      <c r="AG279" s="100">
        <f t="shared" si="281"/>
        <v>0</v>
      </c>
      <c r="AH279" s="100">
        <f t="shared" si="282"/>
        <v>0</v>
      </c>
      <c r="AI279" s="109"/>
      <c r="AJ279" s="108">
        <f t="shared" si="283"/>
        <v>0</v>
      </c>
      <c r="AK279" s="108">
        <f t="shared" si="284"/>
        <v>0</v>
      </c>
      <c r="AL279" s="108">
        <f t="shared" si="285"/>
        <v>0</v>
      </c>
      <c r="AN279" s="100">
        <v>15</v>
      </c>
      <c r="AO279" s="100">
        <f t="shared" si="286"/>
        <v>0</v>
      </c>
      <c r="AP279" s="100">
        <f t="shared" si="287"/>
        <v>0</v>
      </c>
      <c r="AQ279" s="111" t="s">
        <v>13</v>
      </c>
      <c r="AV279" s="100">
        <f t="shared" si="288"/>
        <v>0</v>
      </c>
      <c r="AW279" s="100">
        <f t="shared" si="289"/>
        <v>0</v>
      </c>
      <c r="AX279" s="100">
        <f t="shared" si="290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291"/>
        <v>0</v>
      </c>
      <c r="BD279" s="100">
        <f t="shared" si="292"/>
        <v>0</v>
      </c>
      <c r="BE279" s="100">
        <v>0</v>
      </c>
      <c r="BF279" s="100">
        <f>279</f>
        <v>279</v>
      </c>
      <c r="BH279" s="108">
        <f t="shared" si="293"/>
        <v>0</v>
      </c>
      <c r="BI279" s="108">
        <f t="shared" si="294"/>
        <v>0</v>
      </c>
      <c r="BJ279" s="108">
        <f t="shared" si="295"/>
        <v>0</v>
      </c>
    </row>
    <row r="280" spans="1:62" x14ac:dyDescent="0.2">
      <c r="A280" s="117" t="s">
        <v>242</v>
      </c>
      <c r="B280" s="117" t="s">
        <v>3608</v>
      </c>
      <c r="C280" s="304" t="s">
        <v>1316</v>
      </c>
      <c r="D280" s="305"/>
      <c r="E280" s="305"/>
      <c r="F280" s="117" t="s">
        <v>1644</v>
      </c>
      <c r="G280" s="116">
        <v>5</v>
      </c>
      <c r="H280" s="159"/>
      <c r="I280" s="108">
        <f t="shared" si="272"/>
        <v>0</v>
      </c>
      <c r="J280" s="108">
        <f t="shared" si="273"/>
        <v>0</v>
      </c>
      <c r="K280" s="108">
        <f t="shared" si="274"/>
        <v>0</v>
      </c>
      <c r="L280" s="111"/>
      <c r="Z280" s="100">
        <f t="shared" si="275"/>
        <v>0</v>
      </c>
      <c r="AB280" s="100">
        <f t="shared" si="276"/>
        <v>0</v>
      </c>
      <c r="AC280" s="100">
        <f t="shared" si="277"/>
        <v>0</v>
      </c>
      <c r="AD280" s="100">
        <f t="shared" si="278"/>
        <v>0</v>
      </c>
      <c r="AE280" s="100">
        <f t="shared" si="279"/>
        <v>0</v>
      </c>
      <c r="AF280" s="100">
        <f t="shared" si="280"/>
        <v>0</v>
      </c>
      <c r="AG280" s="100">
        <f t="shared" si="281"/>
        <v>0</v>
      </c>
      <c r="AH280" s="100">
        <f t="shared" si="282"/>
        <v>0</v>
      </c>
      <c r="AI280" s="109"/>
      <c r="AJ280" s="108">
        <f t="shared" si="283"/>
        <v>0</v>
      </c>
      <c r="AK280" s="108">
        <f t="shared" si="284"/>
        <v>0</v>
      </c>
      <c r="AL280" s="108">
        <f t="shared" si="285"/>
        <v>0</v>
      </c>
      <c r="AN280" s="100">
        <v>15</v>
      </c>
      <c r="AO280" s="100">
        <f t="shared" si="286"/>
        <v>0</v>
      </c>
      <c r="AP280" s="100">
        <f t="shared" si="287"/>
        <v>0</v>
      </c>
      <c r="AQ280" s="111" t="s">
        <v>13</v>
      </c>
      <c r="AV280" s="100">
        <f t="shared" si="288"/>
        <v>0</v>
      </c>
      <c r="AW280" s="100">
        <f t="shared" si="289"/>
        <v>0</v>
      </c>
      <c r="AX280" s="100">
        <f t="shared" si="290"/>
        <v>0</v>
      </c>
      <c r="AY280" s="110" t="s">
        <v>1709</v>
      </c>
      <c r="AZ280" s="110" t="s">
        <v>1733</v>
      </c>
      <c r="BA280" s="109" t="s">
        <v>1737</v>
      </c>
      <c r="BC280" s="100">
        <f t="shared" si="291"/>
        <v>0</v>
      </c>
      <c r="BD280" s="100">
        <f t="shared" si="292"/>
        <v>0</v>
      </c>
      <c r="BE280" s="100">
        <v>0</v>
      </c>
      <c r="BF280" s="100">
        <f>280</f>
        <v>280</v>
      </c>
      <c r="BH280" s="108">
        <f t="shared" si="293"/>
        <v>0</v>
      </c>
      <c r="BI280" s="108">
        <f t="shared" si="294"/>
        <v>0</v>
      </c>
      <c r="BJ280" s="108">
        <f t="shared" si="295"/>
        <v>0</v>
      </c>
    </row>
    <row r="281" spans="1:62" x14ac:dyDescent="0.2">
      <c r="A281" s="117" t="s">
        <v>243</v>
      </c>
      <c r="B281" s="117" t="s">
        <v>3607</v>
      </c>
      <c r="C281" s="304" t="s">
        <v>3606</v>
      </c>
      <c r="D281" s="305"/>
      <c r="E281" s="305"/>
      <c r="F281" s="117" t="s">
        <v>1644</v>
      </c>
      <c r="G281" s="116">
        <v>2</v>
      </c>
      <c r="H281" s="159"/>
      <c r="I281" s="108">
        <f t="shared" si="272"/>
        <v>0</v>
      </c>
      <c r="J281" s="108">
        <f t="shared" si="273"/>
        <v>0</v>
      </c>
      <c r="K281" s="108">
        <f t="shared" si="274"/>
        <v>0</v>
      </c>
      <c r="L281" s="111"/>
      <c r="Z281" s="100">
        <f t="shared" si="275"/>
        <v>0</v>
      </c>
      <c r="AB281" s="100">
        <f t="shared" si="276"/>
        <v>0</v>
      </c>
      <c r="AC281" s="100">
        <f t="shared" si="277"/>
        <v>0</v>
      </c>
      <c r="AD281" s="100">
        <f t="shared" si="278"/>
        <v>0</v>
      </c>
      <c r="AE281" s="100">
        <f t="shared" si="279"/>
        <v>0</v>
      </c>
      <c r="AF281" s="100">
        <f t="shared" si="280"/>
        <v>0</v>
      </c>
      <c r="AG281" s="100">
        <f t="shared" si="281"/>
        <v>0</v>
      </c>
      <c r="AH281" s="100">
        <f t="shared" si="282"/>
        <v>0</v>
      </c>
      <c r="AI281" s="109"/>
      <c r="AJ281" s="108">
        <f t="shared" si="283"/>
        <v>0</v>
      </c>
      <c r="AK281" s="108">
        <f t="shared" si="284"/>
        <v>0</v>
      </c>
      <c r="AL281" s="108">
        <f t="shared" si="285"/>
        <v>0</v>
      </c>
      <c r="AN281" s="100">
        <v>15</v>
      </c>
      <c r="AO281" s="100">
        <f t="shared" si="286"/>
        <v>0</v>
      </c>
      <c r="AP281" s="100">
        <f t="shared" si="287"/>
        <v>0</v>
      </c>
      <c r="AQ281" s="111" t="s">
        <v>13</v>
      </c>
      <c r="AV281" s="100">
        <f t="shared" si="288"/>
        <v>0</v>
      </c>
      <c r="AW281" s="100">
        <f t="shared" si="289"/>
        <v>0</v>
      </c>
      <c r="AX281" s="100">
        <f t="shared" si="290"/>
        <v>0</v>
      </c>
      <c r="AY281" s="110" t="s">
        <v>1709</v>
      </c>
      <c r="AZ281" s="110" t="s">
        <v>1733</v>
      </c>
      <c r="BA281" s="109" t="s">
        <v>1737</v>
      </c>
      <c r="BC281" s="100">
        <f t="shared" si="291"/>
        <v>0</v>
      </c>
      <c r="BD281" s="100">
        <f t="shared" si="292"/>
        <v>0</v>
      </c>
      <c r="BE281" s="100">
        <v>0</v>
      </c>
      <c r="BF281" s="100">
        <f>281</f>
        <v>281</v>
      </c>
      <c r="BH281" s="108">
        <f t="shared" si="293"/>
        <v>0</v>
      </c>
      <c r="BI281" s="108">
        <f t="shared" si="294"/>
        <v>0</v>
      </c>
      <c r="BJ281" s="108">
        <f t="shared" si="295"/>
        <v>0</v>
      </c>
    </row>
    <row r="282" spans="1:62" x14ac:dyDescent="0.2">
      <c r="A282" s="117" t="s">
        <v>244</v>
      </c>
      <c r="B282" s="117" t="s">
        <v>3605</v>
      </c>
      <c r="C282" s="304" t="s">
        <v>3604</v>
      </c>
      <c r="D282" s="305"/>
      <c r="E282" s="305"/>
      <c r="F282" s="117" t="s">
        <v>1644</v>
      </c>
      <c r="G282" s="116">
        <v>3</v>
      </c>
      <c r="H282" s="159"/>
      <c r="I282" s="108">
        <f t="shared" si="272"/>
        <v>0</v>
      </c>
      <c r="J282" s="108">
        <f t="shared" si="273"/>
        <v>0</v>
      </c>
      <c r="K282" s="108">
        <f t="shared" si="274"/>
        <v>0</v>
      </c>
      <c r="L282" s="111"/>
      <c r="Z282" s="100">
        <f t="shared" si="275"/>
        <v>0</v>
      </c>
      <c r="AB282" s="100">
        <f t="shared" si="276"/>
        <v>0</v>
      </c>
      <c r="AC282" s="100">
        <f t="shared" si="277"/>
        <v>0</v>
      </c>
      <c r="AD282" s="100">
        <f t="shared" si="278"/>
        <v>0</v>
      </c>
      <c r="AE282" s="100">
        <f t="shared" si="279"/>
        <v>0</v>
      </c>
      <c r="AF282" s="100">
        <f t="shared" si="280"/>
        <v>0</v>
      </c>
      <c r="AG282" s="100">
        <f t="shared" si="281"/>
        <v>0</v>
      </c>
      <c r="AH282" s="100">
        <f t="shared" si="282"/>
        <v>0</v>
      </c>
      <c r="AI282" s="109"/>
      <c r="AJ282" s="108">
        <f t="shared" si="283"/>
        <v>0</v>
      </c>
      <c r="AK282" s="108">
        <f t="shared" si="284"/>
        <v>0</v>
      </c>
      <c r="AL282" s="108">
        <f t="shared" si="285"/>
        <v>0</v>
      </c>
      <c r="AN282" s="100">
        <v>15</v>
      </c>
      <c r="AO282" s="100">
        <f t="shared" si="286"/>
        <v>0</v>
      </c>
      <c r="AP282" s="100">
        <f t="shared" si="287"/>
        <v>0</v>
      </c>
      <c r="AQ282" s="111" t="s">
        <v>13</v>
      </c>
      <c r="AV282" s="100">
        <f t="shared" si="288"/>
        <v>0</v>
      </c>
      <c r="AW282" s="100">
        <f t="shared" si="289"/>
        <v>0</v>
      </c>
      <c r="AX282" s="100">
        <f t="shared" si="290"/>
        <v>0</v>
      </c>
      <c r="AY282" s="110" t="s">
        <v>1709</v>
      </c>
      <c r="AZ282" s="110" t="s">
        <v>1733</v>
      </c>
      <c r="BA282" s="109" t="s">
        <v>1737</v>
      </c>
      <c r="BC282" s="100">
        <f t="shared" si="291"/>
        <v>0</v>
      </c>
      <c r="BD282" s="100">
        <f t="shared" si="292"/>
        <v>0</v>
      </c>
      <c r="BE282" s="100">
        <v>0</v>
      </c>
      <c r="BF282" s="100">
        <f>282</f>
        <v>282</v>
      </c>
      <c r="BH282" s="108">
        <f t="shared" si="293"/>
        <v>0</v>
      </c>
      <c r="BI282" s="108">
        <f t="shared" si="294"/>
        <v>0</v>
      </c>
      <c r="BJ282" s="108">
        <f t="shared" si="295"/>
        <v>0</v>
      </c>
    </row>
    <row r="283" spans="1:62" x14ac:dyDescent="0.2">
      <c r="A283" s="117" t="s">
        <v>245</v>
      </c>
      <c r="B283" s="117" t="s">
        <v>3603</v>
      </c>
      <c r="C283" s="304" t="s">
        <v>1317</v>
      </c>
      <c r="D283" s="305"/>
      <c r="E283" s="305"/>
      <c r="F283" s="117" t="s">
        <v>1644</v>
      </c>
      <c r="G283" s="116">
        <v>2</v>
      </c>
      <c r="H283" s="159"/>
      <c r="I283" s="108">
        <f t="shared" si="272"/>
        <v>0</v>
      </c>
      <c r="J283" s="108">
        <f t="shared" si="273"/>
        <v>0</v>
      </c>
      <c r="K283" s="108">
        <f t="shared" si="274"/>
        <v>0</v>
      </c>
      <c r="L283" s="111"/>
      <c r="Z283" s="100">
        <f t="shared" si="275"/>
        <v>0</v>
      </c>
      <c r="AB283" s="100">
        <f t="shared" si="276"/>
        <v>0</v>
      </c>
      <c r="AC283" s="100">
        <f t="shared" si="277"/>
        <v>0</v>
      </c>
      <c r="AD283" s="100">
        <f t="shared" si="278"/>
        <v>0</v>
      </c>
      <c r="AE283" s="100">
        <f t="shared" si="279"/>
        <v>0</v>
      </c>
      <c r="AF283" s="100">
        <f t="shared" si="280"/>
        <v>0</v>
      </c>
      <c r="AG283" s="100">
        <f t="shared" si="281"/>
        <v>0</v>
      </c>
      <c r="AH283" s="100">
        <f t="shared" si="282"/>
        <v>0</v>
      </c>
      <c r="AI283" s="109"/>
      <c r="AJ283" s="108">
        <f t="shared" si="283"/>
        <v>0</v>
      </c>
      <c r="AK283" s="108">
        <f t="shared" si="284"/>
        <v>0</v>
      </c>
      <c r="AL283" s="108">
        <f t="shared" si="285"/>
        <v>0</v>
      </c>
      <c r="AN283" s="100">
        <v>15</v>
      </c>
      <c r="AO283" s="100">
        <f t="shared" si="286"/>
        <v>0</v>
      </c>
      <c r="AP283" s="100">
        <f t="shared" si="287"/>
        <v>0</v>
      </c>
      <c r="AQ283" s="111" t="s">
        <v>13</v>
      </c>
      <c r="AV283" s="100">
        <f t="shared" si="288"/>
        <v>0</v>
      </c>
      <c r="AW283" s="100">
        <f t="shared" si="289"/>
        <v>0</v>
      </c>
      <c r="AX283" s="100">
        <f t="shared" si="290"/>
        <v>0</v>
      </c>
      <c r="AY283" s="110" t="s">
        <v>1709</v>
      </c>
      <c r="AZ283" s="110" t="s">
        <v>1733</v>
      </c>
      <c r="BA283" s="109" t="s">
        <v>1737</v>
      </c>
      <c r="BC283" s="100">
        <f t="shared" si="291"/>
        <v>0</v>
      </c>
      <c r="BD283" s="100">
        <f t="shared" si="292"/>
        <v>0</v>
      </c>
      <c r="BE283" s="100">
        <v>0</v>
      </c>
      <c r="BF283" s="100">
        <f>283</f>
        <v>283</v>
      </c>
      <c r="BH283" s="108">
        <f t="shared" si="293"/>
        <v>0</v>
      </c>
      <c r="BI283" s="108">
        <f t="shared" si="294"/>
        <v>0</v>
      </c>
      <c r="BJ283" s="108">
        <f t="shared" si="295"/>
        <v>0</v>
      </c>
    </row>
    <row r="284" spans="1:62" x14ac:dyDescent="0.2">
      <c r="A284" s="117" t="s">
        <v>246</v>
      </c>
      <c r="B284" s="117" t="s">
        <v>3602</v>
      </c>
      <c r="C284" s="304" t="s">
        <v>1319</v>
      </c>
      <c r="D284" s="305"/>
      <c r="E284" s="305"/>
      <c r="F284" s="117" t="s">
        <v>1644</v>
      </c>
      <c r="G284" s="116">
        <v>26</v>
      </c>
      <c r="H284" s="159"/>
      <c r="I284" s="108">
        <f t="shared" si="272"/>
        <v>0</v>
      </c>
      <c r="J284" s="108">
        <f t="shared" si="273"/>
        <v>0</v>
      </c>
      <c r="K284" s="108">
        <f t="shared" si="274"/>
        <v>0</v>
      </c>
      <c r="L284" s="111"/>
      <c r="Z284" s="100">
        <f t="shared" si="275"/>
        <v>0</v>
      </c>
      <c r="AB284" s="100">
        <f t="shared" si="276"/>
        <v>0</v>
      </c>
      <c r="AC284" s="100">
        <f t="shared" si="277"/>
        <v>0</v>
      </c>
      <c r="AD284" s="100">
        <f t="shared" si="278"/>
        <v>0</v>
      </c>
      <c r="AE284" s="100">
        <f t="shared" si="279"/>
        <v>0</v>
      </c>
      <c r="AF284" s="100">
        <f t="shared" si="280"/>
        <v>0</v>
      </c>
      <c r="AG284" s="100">
        <f t="shared" si="281"/>
        <v>0</v>
      </c>
      <c r="AH284" s="100">
        <f t="shared" si="282"/>
        <v>0</v>
      </c>
      <c r="AI284" s="109"/>
      <c r="AJ284" s="108">
        <f t="shared" si="283"/>
        <v>0</v>
      </c>
      <c r="AK284" s="108">
        <f t="shared" si="284"/>
        <v>0</v>
      </c>
      <c r="AL284" s="108">
        <f t="shared" si="285"/>
        <v>0</v>
      </c>
      <c r="AN284" s="100">
        <v>15</v>
      </c>
      <c r="AO284" s="100">
        <f t="shared" si="286"/>
        <v>0</v>
      </c>
      <c r="AP284" s="100">
        <f t="shared" si="287"/>
        <v>0</v>
      </c>
      <c r="AQ284" s="111" t="s">
        <v>13</v>
      </c>
      <c r="AV284" s="100">
        <f t="shared" si="288"/>
        <v>0</v>
      </c>
      <c r="AW284" s="100">
        <f t="shared" si="289"/>
        <v>0</v>
      </c>
      <c r="AX284" s="100">
        <f t="shared" si="290"/>
        <v>0</v>
      </c>
      <c r="AY284" s="110" t="s">
        <v>1709</v>
      </c>
      <c r="AZ284" s="110" t="s">
        <v>1733</v>
      </c>
      <c r="BA284" s="109" t="s">
        <v>1737</v>
      </c>
      <c r="BC284" s="100">
        <f t="shared" si="291"/>
        <v>0</v>
      </c>
      <c r="BD284" s="100">
        <f t="shared" si="292"/>
        <v>0</v>
      </c>
      <c r="BE284" s="100">
        <v>0</v>
      </c>
      <c r="BF284" s="100">
        <f>284</f>
        <v>284</v>
      </c>
      <c r="BH284" s="108">
        <f t="shared" si="293"/>
        <v>0</v>
      </c>
      <c r="BI284" s="108">
        <f t="shared" si="294"/>
        <v>0</v>
      </c>
      <c r="BJ284" s="108">
        <f t="shared" si="295"/>
        <v>0</v>
      </c>
    </row>
    <row r="285" spans="1:62" x14ac:dyDescent="0.2">
      <c r="A285" s="117" t="s">
        <v>247</v>
      </c>
      <c r="B285" s="117" t="s">
        <v>3601</v>
      </c>
      <c r="C285" s="304" t="s">
        <v>3600</v>
      </c>
      <c r="D285" s="305"/>
      <c r="E285" s="305"/>
      <c r="F285" s="117" t="s">
        <v>1644</v>
      </c>
      <c r="G285" s="116">
        <v>6</v>
      </c>
      <c r="H285" s="159"/>
      <c r="I285" s="108">
        <f t="shared" si="272"/>
        <v>0</v>
      </c>
      <c r="J285" s="108">
        <f t="shared" si="273"/>
        <v>0</v>
      </c>
      <c r="K285" s="108">
        <f t="shared" si="274"/>
        <v>0</v>
      </c>
      <c r="L285" s="111"/>
      <c r="Z285" s="100">
        <f t="shared" si="275"/>
        <v>0</v>
      </c>
      <c r="AB285" s="100">
        <f t="shared" si="276"/>
        <v>0</v>
      </c>
      <c r="AC285" s="100">
        <f t="shared" si="277"/>
        <v>0</v>
      </c>
      <c r="AD285" s="100">
        <f t="shared" si="278"/>
        <v>0</v>
      </c>
      <c r="AE285" s="100">
        <f t="shared" si="279"/>
        <v>0</v>
      </c>
      <c r="AF285" s="100">
        <f t="shared" si="280"/>
        <v>0</v>
      </c>
      <c r="AG285" s="100">
        <f t="shared" si="281"/>
        <v>0</v>
      </c>
      <c r="AH285" s="100">
        <f t="shared" si="282"/>
        <v>0</v>
      </c>
      <c r="AI285" s="109"/>
      <c r="AJ285" s="108">
        <f t="shared" si="283"/>
        <v>0</v>
      </c>
      <c r="AK285" s="108">
        <f t="shared" si="284"/>
        <v>0</v>
      </c>
      <c r="AL285" s="108">
        <f t="shared" si="285"/>
        <v>0</v>
      </c>
      <c r="AN285" s="100">
        <v>15</v>
      </c>
      <c r="AO285" s="100">
        <f t="shared" si="286"/>
        <v>0</v>
      </c>
      <c r="AP285" s="100">
        <f t="shared" si="287"/>
        <v>0</v>
      </c>
      <c r="AQ285" s="111" t="s">
        <v>13</v>
      </c>
      <c r="AV285" s="100">
        <f t="shared" si="288"/>
        <v>0</v>
      </c>
      <c r="AW285" s="100">
        <f t="shared" si="289"/>
        <v>0</v>
      </c>
      <c r="AX285" s="100">
        <f t="shared" si="290"/>
        <v>0</v>
      </c>
      <c r="AY285" s="110" t="s">
        <v>1709</v>
      </c>
      <c r="AZ285" s="110" t="s">
        <v>1733</v>
      </c>
      <c r="BA285" s="109" t="s">
        <v>1737</v>
      </c>
      <c r="BC285" s="100">
        <f t="shared" si="291"/>
        <v>0</v>
      </c>
      <c r="BD285" s="100">
        <f t="shared" si="292"/>
        <v>0</v>
      </c>
      <c r="BE285" s="100">
        <v>0</v>
      </c>
      <c r="BF285" s="100">
        <f>285</f>
        <v>285</v>
      </c>
      <c r="BH285" s="108">
        <f t="shared" si="293"/>
        <v>0</v>
      </c>
      <c r="BI285" s="108">
        <f t="shared" si="294"/>
        <v>0</v>
      </c>
      <c r="BJ285" s="108">
        <f t="shared" si="295"/>
        <v>0</v>
      </c>
    </row>
    <row r="286" spans="1:62" x14ac:dyDescent="0.2">
      <c r="A286" s="117" t="s">
        <v>248</v>
      </c>
      <c r="B286" s="117" t="s">
        <v>3599</v>
      </c>
      <c r="C286" s="304" t="s">
        <v>1320</v>
      </c>
      <c r="D286" s="305"/>
      <c r="E286" s="305"/>
      <c r="F286" s="117" t="s">
        <v>1644</v>
      </c>
      <c r="G286" s="116">
        <v>18</v>
      </c>
      <c r="H286" s="159"/>
      <c r="I286" s="108">
        <f t="shared" si="272"/>
        <v>0</v>
      </c>
      <c r="J286" s="108">
        <f t="shared" si="273"/>
        <v>0</v>
      </c>
      <c r="K286" s="108">
        <f t="shared" si="274"/>
        <v>0</v>
      </c>
      <c r="L286" s="111"/>
      <c r="Z286" s="100">
        <f t="shared" si="275"/>
        <v>0</v>
      </c>
      <c r="AB286" s="100">
        <f t="shared" si="276"/>
        <v>0</v>
      </c>
      <c r="AC286" s="100">
        <f t="shared" si="277"/>
        <v>0</v>
      </c>
      <c r="AD286" s="100">
        <f t="shared" si="278"/>
        <v>0</v>
      </c>
      <c r="AE286" s="100">
        <f t="shared" si="279"/>
        <v>0</v>
      </c>
      <c r="AF286" s="100">
        <f t="shared" si="280"/>
        <v>0</v>
      </c>
      <c r="AG286" s="100">
        <f t="shared" si="281"/>
        <v>0</v>
      </c>
      <c r="AH286" s="100">
        <f t="shared" si="282"/>
        <v>0</v>
      </c>
      <c r="AI286" s="109"/>
      <c r="AJ286" s="108">
        <f t="shared" si="283"/>
        <v>0</v>
      </c>
      <c r="AK286" s="108">
        <f t="shared" si="284"/>
        <v>0</v>
      </c>
      <c r="AL286" s="108">
        <f t="shared" si="285"/>
        <v>0</v>
      </c>
      <c r="AN286" s="100">
        <v>15</v>
      </c>
      <c r="AO286" s="100">
        <f t="shared" si="286"/>
        <v>0</v>
      </c>
      <c r="AP286" s="100">
        <f t="shared" si="287"/>
        <v>0</v>
      </c>
      <c r="AQ286" s="111" t="s">
        <v>13</v>
      </c>
      <c r="AV286" s="100">
        <f t="shared" si="288"/>
        <v>0</v>
      </c>
      <c r="AW286" s="100">
        <f t="shared" si="289"/>
        <v>0</v>
      </c>
      <c r="AX286" s="100">
        <f t="shared" si="290"/>
        <v>0</v>
      </c>
      <c r="AY286" s="110" t="s">
        <v>1709</v>
      </c>
      <c r="AZ286" s="110" t="s">
        <v>1733</v>
      </c>
      <c r="BA286" s="109" t="s">
        <v>1737</v>
      </c>
      <c r="BC286" s="100">
        <f t="shared" si="291"/>
        <v>0</v>
      </c>
      <c r="BD286" s="100">
        <f t="shared" si="292"/>
        <v>0</v>
      </c>
      <c r="BE286" s="100">
        <v>0</v>
      </c>
      <c r="BF286" s="100">
        <f>286</f>
        <v>286</v>
      </c>
      <c r="BH286" s="108">
        <f t="shared" si="293"/>
        <v>0</v>
      </c>
      <c r="BI286" s="108">
        <f t="shared" si="294"/>
        <v>0</v>
      </c>
      <c r="BJ286" s="108">
        <f t="shared" si="295"/>
        <v>0</v>
      </c>
    </row>
    <row r="287" spans="1:62" x14ac:dyDescent="0.2">
      <c r="A287" s="117" t="s">
        <v>249</v>
      </c>
      <c r="B287" s="117" t="s">
        <v>3598</v>
      </c>
      <c r="C287" s="304" t="s">
        <v>1321</v>
      </c>
      <c r="D287" s="305"/>
      <c r="E287" s="305"/>
      <c r="F287" s="117" t="s">
        <v>1644</v>
      </c>
      <c r="G287" s="116">
        <v>1</v>
      </c>
      <c r="H287" s="159"/>
      <c r="I287" s="108">
        <f t="shared" si="272"/>
        <v>0</v>
      </c>
      <c r="J287" s="108">
        <f t="shared" si="273"/>
        <v>0</v>
      </c>
      <c r="K287" s="108">
        <f t="shared" si="274"/>
        <v>0</v>
      </c>
      <c r="L287" s="111"/>
      <c r="Z287" s="100">
        <f t="shared" si="275"/>
        <v>0</v>
      </c>
      <c r="AB287" s="100">
        <f t="shared" si="276"/>
        <v>0</v>
      </c>
      <c r="AC287" s="100">
        <f t="shared" si="277"/>
        <v>0</v>
      </c>
      <c r="AD287" s="100">
        <f t="shared" si="278"/>
        <v>0</v>
      </c>
      <c r="AE287" s="100">
        <f t="shared" si="279"/>
        <v>0</v>
      </c>
      <c r="AF287" s="100">
        <f t="shared" si="280"/>
        <v>0</v>
      </c>
      <c r="AG287" s="100">
        <f t="shared" si="281"/>
        <v>0</v>
      </c>
      <c r="AH287" s="100">
        <f t="shared" si="282"/>
        <v>0</v>
      </c>
      <c r="AI287" s="109"/>
      <c r="AJ287" s="108">
        <f t="shared" si="283"/>
        <v>0</v>
      </c>
      <c r="AK287" s="108">
        <f t="shared" si="284"/>
        <v>0</v>
      </c>
      <c r="AL287" s="108">
        <f t="shared" si="285"/>
        <v>0</v>
      </c>
      <c r="AN287" s="100">
        <v>15</v>
      </c>
      <c r="AO287" s="100">
        <f t="shared" si="286"/>
        <v>0</v>
      </c>
      <c r="AP287" s="100">
        <f t="shared" si="287"/>
        <v>0</v>
      </c>
      <c r="AQ287" s="111" t="s">
        <v>13</v>
      </c>
      <c r="AV287" s="100">
        <f t="shared" si="288"/>
        <v>0</v>
      </c>
      <c r="AW287" s="100">
        <f t="shared" si="289"/>
        <v>0</v>
      </c>
      <c r="AX287" s="100">
        <f t="shared" si="290"/>
        <v>0</v>
      </c>
      <c r="AY287" s="110" t="s">
        <v>1709</v>
      </c>
      <c r="AZ287" s="110" t="s">
        <v>1733</v>
      </c>
      <c r="BA287" s="109" t="s">
        <v>1737</v>
      </c>
      <c r="BC287" s="100">
        <f t="shared" si="291"/>
        <v>0</v>
      </c>
      <c r="BD287" s="100">
        <f t="shared" si="292"/>
        <v>0</v>
      </c>
      <c r="BE287" s="100">
        <v>0</v>
      </c>
      <c r="BF287" s="100">
        <f>287</f>
        <v>287</v>
      </c>
      <c r="BH287" s="108">
        <f t="shared" si="293"/>
        <v>0</v>
      </c>
      <c r="BI287" s="108">
        <f t="shared" si="294"/>
        <v>0</v>
      </c>
      <c r="BJ287" s="108">
        <f t="shared" si="295"/>
        <v>0</v>
      </c>
    </row>
    <row r="288" spans="1:62" x14ac:dyDescent="0.2">
      <c r="A288" s="117" t="s">
        <v>250</v>
      </c>
      <c r="B288" s="117" t="s">
        <v>3597</v>
      </c>
      <c r="C288" s="304" t="s">
        <v>1322</v>
      </c>
      <c r="D288" s="305"/>
      <c r="E288" s="305"/>
      <c r="F288" s="117" t="s">
        <v>1644</v>
      </c>
      <c r="G288" s="116">
        <v>5</v>
      </c>
      <c r="H288" s="159"/>
      <c r="I288" s="108">
        <f t="shared" si="272"/>
        <v>0</v>
      </c>
      <c r="J288" s="108">
        <f t="shared" si="273"/>
        <v>0</v>
      </c>
      <c r="K288" s="108">
        <f t="shared" si="274"/>
        <v>0</v>
      </c>
      <c r="L288" s="111"/>
      <c r="Z288" s="100">
        <f t="shared" si="275"/>
        <v>0</v>
      </c>
      <c r="AB288" s="100">
        <f t="shared" si="276"/>
        <v>0</v>
      </c>
      <c r="AC288" s="100">
        <f t="shared" si="277"/>
        <v>0</v>
      </c>
      <c r="AD288" s="100">
        <f t="shared" si="278"/>
        <v>0</v>
      </c>
      <c r="AE288" s="100">
        <f t="shared" si="279"/>
        <v>0</v>
      </c>
      <c r="AF288" s="100">
        <f t="shared" si="280"/>
        <v>0</v>
      </c>
      <c r="AG288" s="100">
        <f t="shared" si="281"/>
        <v>0</v>
      </c>
      <c r="AH288" s="100">
        <f t="shared" si="282"/>
        <v>0</v>
      </c>
      <c r="AI288" s="109"/>
      <c r="AJ288" s="108">
        <f t="shared" si="283"/>
        <v>0</v>
      </c>
      <c r="AK288" s="108">
        <f t="shared" si="284"/>
        <v>0</v>
      </c>
      <c r="AL288" s="108">
        <f t="shared" si="285"/>
        <v>0</v>
      </c>
      <c r="AN288" s="100">
        <v>15</v>
      </c>
      <c r="AO288" s="100">
        <f t="shared" si="286"/>
        <v>0</v>
      </c>
      <c r="AP288" s="100">
        <f t="shared" si="287"/>
        <v>0</v>
      </c>
      <c r="AQ288" s="111" t="s">
        <v>13</v>
      </c>
      <c r="AV288" s="100">
        <f t="shared" si="288"/>
        <v>0</v>
      </c>
      <c r="AW288" s="100">
        <f t="shared" si="289"/>
        <v>0</v>
      </c>
      <c r="AX288" s="100">
        <f t="shared" si="290"/>
        <v>0</v>
      </c>
      <c r="AY288" s="110" t="s">
        <v>1709</v>
      </c>
      <c r="AZ288" s="110" t="s">
        <v>1733</v>
      </c>
      <c r="BA288" s="109" t="s">
        <v>1737</v>
      </c>
      <c r="BC288" s="100">
        <f t="shared" si="291"/>
        <v>0</v>
      </c>
      <c r="BD288" s="100">
        <f t="shared" si="292"/>
        <v>0</v>
      </c>
      <c r="BE288" s="100">
        <v>0</v>
      </c>
      <c r="BF288" s="100">
        <f>288</f>
        <v>288</v>
      </c>
      <c r="BH288" s="108">
        <f t="shared" si="293"/>
        <v>0</v>
      </c>
      <c r="BI288" s="108">
        <f t="shared" si="294"/>
        <v>0</v>
      </c>
      <c r="BJ288" s="108">
        <f t="shared" si="295"/>
        <v>0</v>
      </c>
    </row>
    <row r="289" spans="1:62" x14ac:dyDescent="0.2">
      <c r="A289" s="117" t="s">
        <v>251</v>
      </c>
      <c r="B289" s="117" t="s">
        <v>3596</v>
      </c>
      <c r="C289" s="304" t="s">
        <v>3595</v>
      </c>
      <c r="D289" s="305"/>
      <c r="E289" s="305"/>
      <c r="F289" s="117" t="s">
        <v>1644</v>
      </c>
      <c r="G289" s="116">
        <v>2</v>
      </c>
      <c r="H289" s="159"/>
      <c r="I289" s="108">
        <f t="shared" si="272"/>
        <v>0</v>
      </c>
      <c r="J289" s="108">
        <f t="shared" si="273"/>
        <v>0</v>
      </c>
      <c r="K289" s="108">
        <f t="shared" si="274"/>
        <v>0</v>
      </c>
      <c r="L289" s="111"/>
      <c r="Z289" s="100">
        <f t="shared" si="275"/>
        <v>0</v>
      </c>
      <c r="AB289" s="100">
        <f t="shared" si="276"/>
        <v>0</v>
      </c>
      <c r="AC289" s="100">
        <f t="shared" si="277"/>
        <v>0</v>
      </c>
      <c r="AD289" s="100">
        <f t="shared" si="278"/>
        <v>0</v>
      </c>
      <c r="AE289" s="100">
        <f t="shared" si="279"/>
        <v>0</v>
      </c>
      <c r="AF289" s="100">
        <f t="shared" si="280"/>
        <v>0</v>
      </c>
      <c r="AG289" s="100">
        <f t="shared" si="281"/>
        <v>0</v>
      </c>
      <c r="AH289" s="100">
        <f t="shared" si="282"/>
        <v>0</v>
      </c>
      <c r="AI289" s="109"/>
      <c r="AJ289" s="108">
        <f t="shared" si="283"/>
        <v>0</v>
      </c>
      <c r="AK289" s="108">
        <f t="shared" si="284"/>
        <v>0</v>
      </c>
      <c r="AL289" s="108">
        <f t="shared" si="285"/>
        <v>0</v>
      </c>
      <c r="AN289" s="100">
        <v>15</v>
      </c>
      <c r="AO289" s="100">
        <f t="shared" si="286"/>
        <v>0</v>
      </c>
      <c r="AP289" s="100">
        <f t="shared" si="287"/>
        <v>0</v>
      </c>
      <c r="AQ289" s="111" t="s">
        <v>13</v>
      </c>
      <c r="AV289" s="100">
        <f t="shared" si="288"/>
        <v>0</v>
      </c>
      <c r="AW289" s="100">
        <f t="shared" si="289"/>
        <v>0</v>
      </c>
      <c r="AX289" s="100">
        <f t="shared" si="290"/>
        <v>0</v>
      </c>
      <c r="AY289" s="110" t="s">
        <v>1709</v>
      </c>
      <c r="AZ289" s="110" t="s">
        <v>1733</v>
      </c>
      <c r="BA289" s="109" t="s">
        <v>1737</v>
      </c>
      <c r="BC289" s="100">
        <f t="shared" si="291"/>
        <v>0</v>
      </c>
      <c r="BD289" s="100">
        <f t="shared" si="292"/>
        <v>0</v>
      </c>
      <c r="BE289" s="100">
        <v>0</v>
      </c>
      <c r="BF289" s="100">
        <f>289</f>
        <v>289</v>
      </c>
      <c r="BH289" s="108">
        <f t="shared" si="293"/>
        <v>0</v>
      </c>
      <c r="BI289" s="108">
        <f t="shared" si="294"/>
        <v>0</v>
      </c>
      <c r="BJ289" s="108">
        <f t="shared" si="295"/>
        <v>0</v>
      </c>
    </row>
    <row r="290" spans="1:62" x14ac:dyDescent="0.2">
      <c r="A290" s="117" t="s">
        <v>252</v>
      </c>
      <c r="B290" s="117" t="s">
        <v>3594</v>
      </c>
      <c r="C290" s="304" t="s">
        <v>3593</v>
      </c>
      <c r="D290" s="305"/>
      <c r="E290" s="305"/>
      <c r="F290" s="117" t="s">
        <v>1644</v>
      </c>
      <c r="G290" s="116">
        <v>1</v>
      </c>
      <c r="H290" s="159"/>
      <c r="I290" s="108">
        <f t="shared" si="272"/>
        <v>0</v>
      </c>
      <c r="J290" s="108">
        <f t="shared" si="273"/>
        <v>0</v>
      </c>
      <c r="K290" s="108">
        <f t="shared" si="274"/>
        <v>0</v>
      </c>
      <c r="L290" s="111"/>
      <c r="Z290" s="100">
        <f t="shared" si="275"/>
        <v>0</v>
      </c>
      <c r="AB290" s="100">
        <f t="shared" si="276"/>
        <v>0</v>
      </c>
      <c r="AC290" s="100">
        <f t="shared" si="277"/>
        <v>0</v>
      </c>
      <c r="AD290" s="100">
        <f t="shared" si="278"/>
        <v>0</v>
      </c>
      <c r="AE290" s="100">
        <f t="shared" si="279"/>
        <v>0</v>
      </c>
      <c r="AF290" s="100">
        <f t="shared" si="280"/>
        <v>0</v>
      </c>
      <c r="AG290" s="100">
        <f t="shared" si="281"/>
        <v>0</v>
      </c>
      <c r="AH290" s="100">
        <f t="shared" si="282"/>
        <v>0</v>
      </c>
      <c r="AI290" s="109"/>
      <c r="AJ290" s="108">
        <f t="shared" si="283"/>
        <v>0</v>
      </c>
      <c r="AK290" s="108">
        <f t="shared" si="284"/>
        <v>0</v>
      </c>
      <c r="AL290" s="108">
        <f t="shared" si="285"/>
        <v>0</v>
      </c>
      <c r="AN290" s="100">
        <v>15</v>
      </c>
      <c r="AO290" s="100">
        <f t="shared" si="286"/>
        <v>0</v>
      </c>
      <c r="AP290" s="100">
        <f t="shared" si="287"/>
        <v>0</v>
      </c>
      <c r="AQ290" s="111" t="s">
        <v>13</v>
      </c>
      <c r="AV290" s="100">
        <f t="shared" si="288"/>
        <v>0</v>
      </c>
      <c r="AW290" s="100">
        <f t="shared" si="289"/>
        <v>0</v>
      </c>
      <c r="AX290" s="100">
        <f t="shared" si="290"/>
        <v>0</v>
      </c>
      <c r="AY290" s="110" t="s">
        <v>1709</v>
      </c>
      <c r="AZ290" s="110" t="s">
        <v>1733</v>
      </c>
      <c r="BA290" s="109" t="s">
        <v>1737</v>
      </c>
      <c r="BC290" s="100">
        <f t="shared" si="291"/>
        <v>0</v>
      </c>
      <c r="BD290" s="100">
        <f t="shared" si="292"/>
        <v>0</v>
      </c>
      <c r="BE290" s="100">
        <v>0</v>
      </c>
      <c r="BF290" s="100">
        <f>290</f>
        <v>290</v>
      </c>
      <c r="BH290" s="108">
        <f t="shared" si="293"/>
        <v>0</v>
      </c>
      <c r="BI290" s="108">
        <f t="shared" si="294"/>
        <v>0</v>
      </c>
      <c r="BJ290" s="108">
        <f t="shared" si="295"/>
        <v>0</v>
      </c>
    </row>
    <row r="291" spans="1:62" x14ac:dyDescent="0.2">
      <c r="A291" s="117" t="s">
        <v>253</v>
      </c>
      <c r="B291" s="117" t="s">
        <v>3592</v>
      </c>
      <c r="C291" s="304" t="s">
        <v>1324</v>
      </c>
      <c r="D291" s="305"/>
      <c r="E291" s="305"/>
      <c r="F291" s="117" t="s">
        <v>1644</v>
      </c>
      <c r="G291" s="116">
        <v>5</v>
      </c>
      <c r="H291" s="159"/>
      <c r="I291" s="108">
        <f t="shared" si="272"/>
        <v>0</v>
      </c>
      <c r="J291" s="108">
        <f t="shared" si="273"/>
        <v>0</v>
      </c>
      <c r="K291" s="108">
        <f t="shared" si="274"/>
        <v>0</v>
      </c>
      <c r="L291" s="111"/>
      <c r="Z291" s="100">
        <f t="shared" si="275"/>
        <v>0</v>
      </c>
      <c r="AB291" s="100">
        <f t="shared" si="276"/>
        <v>0</v>
      </c>
      <c r="AC291" s="100">
        <f t="shared" si="277"/>
        <v>0</v>
      </c>
      <c r="AD291" s="100">
        <f t="shared" si="278"/>
        <v>0</v>
      </c>
      <c r="AE291" s="100">
        <f t="shared" si="279"/>
        <v>0</v>
      </c>
      <c r="AF291" s="100">
        <f t="shared" si="280"/>
        <v>0</v>
      </c>
      <c r="AG291" s="100">
        <f t="shared" si="281"/>
        <v>0</v>
      </c>
      <c r="AH291" s="100">
        <f t="shared" si="282"/>
        <v>0</v>
      </c>
      <c r="AI291" s="109"/>
      <c r="AJ291" s="108">
        <f t="shared" si="283"/>
        <v>0</v>
      </c>
      <c r="AK291" s="108">
        <f t="shared" si="284"/>
        <v>0</v>
      </c>
      <c r="AL291" s="108">
        <f t="shared" si="285"/>
        <v>0</v>
      </c>
      <c r="AN291" s="100">
        <v>15</v>
      </c>
      <c r="AO291" s="100">
        <f t="shared" si="286"/>
        <v>0</v>
      </c>
      <c r="AP291" s="100">
        <f t="shared" si="287"/>
        <v>0</v>
      </c>
      <c r="AQ291" s="111" t="s">
        <v>13</v>
      </c>
      <c r="AV291" s="100">
        <f t="shared" si="288"/>
        <v>0</v>
      </c>
      <c r="AW291" s="100">
        <f t="shared" si="289"/>
        <v>0</v>
      </c>
      <c r="AX291" s="100">
        <f t="shared" si="290"/>
        <v>0</v>
      </c>
      <c r="AY291" s="110" t="s">
        <v>1709</v>
      </c>
      <c r="AZ291" s="110" t="s">
        <v>1733</v>
      </c>
      <c r="BA291" s="109" t="s">
        <v>1737</v>
      </c>
      <c r="BC291" s="100">
        <f t="shared" si="291"/>
        <v>0</v>
      </c>
      <c r="BD291" s="100">
        <f t="shared" si="292"/>
        <v>0</v>
      </c>
      <c r="BE291" s="100">
        <v>0</v>
      </c>
      <c r="BF291" s="100">
        <f>291</f>
        <v>291</v>
      </c>
      <c r="BH291" s="108">
        <f t="shared" si="293"/>
        <v>0</v>
      </c>
      <c r="BI291" s="108">
        <f t="shared" si="294"/>
        <v>0</v>
      </c>
      <c r="BJ291" s="108">
        <f t="shared" si="295"/>
        <v>0</v>
      </c>
    </row>
    <row r="292" spans="1:62" x14ac:dyDescent="0.2">
      <c r="A292" s="117" t="s">
        <v>254</v>
      </c>
      <c r="B292" s="117" t="s">
        <v>3591</v>
      </c>
      <c r="C292" s="304" t="s">
        <v>3590</v>
      </c>
      <c r="D292" s="305"/>
      <c r="E292" s="305"/>
      <c r="F292" s="117" t="s">
        <v>1644</v>
      </c>
      <c r="G292" s="116">
        <v>2</v>
      </c>
      <c r="H292" s="159"/>
      <c r="I292" s="108">
        <f t="shared" si="272"/>
        <v>0</v>
      </c>
      <c r="J292" s="108">
        <f t="shared" si="273"/>
        <v>0</v>
      </c>
      <c r="K292" s="108">
        <f t="shared" si="274"/>
        <v>0</v>
      </c>
      <c r="L292" s="111"/>
      <c r="Z292" s="100">
        <f t="shared" si="275"/>
        <v>0</v>
      </c>
      <c r="AB292" s="100">
        <f t="shared" si="276"/>
        <v>0</v>
      </c>
      <c r="AC292" s="100">
        <f t="shared" si="277"/>
        <v>0</v>
      </c>
      <c r="AD292" s="100">
        <f t="shared" si="278"/>
        <v>0</v>
      </c>
      <c r="AE292" s="100">
        <f t="shared" si="279"/>
        <v>0</v>
      </c>
      <c r="AF292" s="100">
        <f t="shared" si="280"/>
        <v>0</v>
      </c>
      <c r="AG292" s="100">
        <f t="shared" si="281"/>
        <v>0</v>
      </c>
      <c r="AH292" s="100">
        <f t="shared" si="282"/>
        <v>0</v>
      </c>
      <c r="AI292" s="109"/>
      <c r="AJ292" s="108">
        <f t="shared" si="283"/>
        <v>0</v>
      </c>
      <c r="AK292" s="108">
        <f t="shared" si="284"/>
        <v>0</v>
      </c>
      <c r="AL292" s="108">
        <f t="shared" si="285"/>
        <v>0</v>
      </c>
      <c r="AN292" s="100">
        <v>15</v>
      </c>
      <c r="AO292" s="100">
        <f t="shared" si="286"/>
        <v>0</v>
      </c>
      <c r="AP292" s="100">
        <f t="shared" si="287"/>
        <v>0</v>
      </c>
      <c r="AQ292" s="111" t="s">
        <v>13</v>
      </c>
      <c r="AV292" s="100">
        <f t="shared" si="288"/>
        <v>0</v>
      </c>
      <c r="AW292" s="100">
        <f t="shared" si="289"/>
        <v>0</v>
      </c>
      <c r="AX292" s="100">
        <f t="shared" si="290"/>
        <v>0</v>
      </c>
      <c r="AY292" s="110" t="s">
        <v>1709</v>
      </c>
      <c r="AZ292" s="110" t="s">
        <v>1733</v>
      </c>
      <c r="BA292" s="109" t="s">
        <v>1737</v>
      </c>
      <c r="BC292" s="100">
        <f t="shared" si="291"/>
        <v>0</v>
      </c>
      <c r="BD292" s="100">
        <f t="shared" si="292"/>
        <v>0</v>
      </c>
      <c r="BE292" s="100">
        <v>0</v>
      </c>
      <c r="BF292" s="100">
        <f>292</f>
        <v>292</v>
      </c>
      <c r="BH292" s="108">
        <f t="shared" si="293"/>
        <v>0</v>
      </c>
      <c r="BI292" s="108">
        <f t="shared" si="294"/>
        <v>0</v>
      </c>
      <c r="BJ292" s="108">
        <f t="shared" si="295"/>
        <v>0</v>
      </c>
    </row>
    <row r="293" spans="1:62" x14ac:dyDescent="0.2">
      <c r="A293" s="117" t="s">
        <v>255</v>
      </c>
      <c r="B293" s="117" t="s">
        <v>3589</v>
      </c>
      <c r="C293" s="304" t="s">
        <v>1325</v>
      </c>
      <c r="D293" s="305"/>
      <c r="E293" s="305"/>
      <c r="F293" s="117" t="s">
        <v>1644</v>
      </c>
      <c r="G293" s="116">
        <v>2</v>
      </c>
      <c r="H293" s="159"/>
      <c r="I293" s="108">
        <f t="shared" si="272"/>
        <v>0</v>
      </c>
      <c r="J293" s="108">
        <f t="shared" si="273"/>
        <v>0</v>
      </c>
      <c r="K293" s="108">
        <f t="shared" si="274"/>
        <v>0</v>
      </c>
      <c r="L293" s="111"/>
      <c r="Z293" s="100">
        <f t="shared" si="275"/>
        <v>0</v>
      </c>
      <c r="AB293" s="100">
        <f t="shared" si="276"/>
        <v>0</v>
      </c>
      <c r="AC293" s="100">
        <f t="shared" si="277"/>
        <v>0</v>
      </c>
      <c r="AD293" s="100">
        <f t="shared" si="278"/>
        <v>0</v>
      </c>
      <c r="AE293" s="100">
        <f t="shared" si="279"/>
        <v>0</v>
      </c>
      <c r="AF293" s="100">
        <f t="shared" si="280"/>
        <v>0</v>
      </c>
      <c r="AG293" s="100">
        <f t="shared" si="281"/>
        <v>0</v>
      </c>
      <c r="AH293" s="100">
        <f t="shared" si="282"/>
        <v>0</v>
      </c>
      <c r="AI293" s="109"/>
      <c r="AJ293" s="108">
        <f t="shared" si="283"/>
        <v>0</v>
      </c>
      <c r="AK293" s="108">
        <f t="shared" si="284"/>
        <v>0</v>
      </c>
      <c r="AL293" s="108">
        <f t="shared" si="285"/>
        <v>0</v>
      </c>
      <c r="AN293" s="100">
        <v>15</v>
      </c>
      <c r="AO293" s="100">
        <f t="shared" si="286"/>
        <v>0</v>
      </c>
      <c r="AP293" s="100">
        <f t="shared" si="287"/>
        <v>0</v>
      </c>
      <c r="AQ293" s="111" t="s">
        <v>13</v>
      </c>
      <c r="AV293" s="100">
        <f t="shared" si="288"/>
        <v>0</v>
      </c>
      <c r="AW293" s="100">
        <f t="shared" si="289"/>
        <v>0</v>
      </c>
      <c r="AX293" s="100">
        <f t="shared" si="290"/>
        <v>0</v>
      </c>
      <c r="AY293" s="110" t="s">
        <v>1709</v>
      </c>
      <c r="AZ293" s="110" t="s">
        <v>1733</v>
      </c>
      <c r="BA293" s="109" t="s">
        <v>1737</v>
      </c>
      <c r="BC293" s="100">
        <f t="shared" si="291"/>
        <v>0</v>
      </c>
      <c r="BD293" s="100">
        <f t="shared" si="292"/>
        <v>0</v>
      </c>
      <c r="BE293" s="100">
        <v>0</v>
      </c>
      <c r="BF293" s="100">
        <f>293</f>
        <v>293</v>
      </c>
      <c r="BH293" s="108">
        <f t="shared" si="293"/>
        <v>0</v>
      </c>
      <c r="BI293" s="108">
        <f t="shared" si="294"/>
        <v>0</v>
      </c>
      <c r="BJ293" s="108">
        <f t="shared" si="295"/>
        <v>0</v>
      </c>
    </row>
    <row r="294" spans="1:62" x14ac:dyDescent="0.2">
      <c r="A294" s="117" t="s">
        <v>256</v>
      </c>
      <c r="B294" s="117" t="s">
        <v>3588</v>
      </c>
      <c r="C294" s="304" t="s">
        <v>1297</v>
      </c>
      <c r="D294" s="305"/>
      <c r="E294" s="305"/>
      <c r="F294" s="117" t="s">
        <v>1644</v>
      </c>
      <c r="G294" s="116">
        <v>11</v>
      </c>
      <c r="H294" s="159"/>
      <c r="I294" s="108">
        <f t="shared" si="272"/>
        <v>0</v>
      </c>
      <c r="J294" s="108">
        <f t="shared" si="273"/>
        <v>0</v>
      </c>
      <c r="K294" s="108">
        <f t="shared" si="274"/>
        <v>0</v>
      </c>
      <c r="L294" s="111"/>
      <c r="Z294" s="100">
        <f t="shared" si="275"/>
        <v>0</v>
      </c>
      <c r="AB294" s="100">
        <f t="shared" si="276"/>
        <v>0</v>
      </c>
      <c r="AC294" s="100">
        <f t="shared" si="277"/>
        <v>0</v>
      </c>
      <c r="AD294" s="100">
        <f t="shared" si="278"/>
        <v>0</v>
      </c>
      <c r="AE294" s="100">
        <f t="shared" si="279"/>
        <v>0</v>
      </c>
      <c r="AF294" s="100">
        <f t="shared" si="280"/>
        <v>0</v>
      </c>
      <c r="AG294" s="100">
        <f t="shared" si="281"/>
        <v>0</v>
      </c>
      <c r="AH294" s="100">
        <f t="shared" si="282"/>
        <v>0</v>
      </c>
      <c r="AI294" s="109"/>
      <c r="AJ294" s="108">
        <f t="shared" si="283"/>
        <v>0</v>
      </c>
      <c r="AK294" s="108">
        <f t="shared" si="284"/>
        <v>0</v>
      </c>
      <c r="AL294" s="108">
        <f t="shared" si="285"/>
        <v>0</v>
      </c>
      <c r="AN294" s="100">
        <v>15</v>
      </c>
      <c r="AO294" s="100">
        <f t="shared" si="286"/>
        <v>0</v>
      </c>
      <c r="AP294" s="100">
        <f t="shared" si="287"/>
        <v>0</v>
      </c>
      <c r="AQ294" s="111" t="s">
        <v>13</v>
      </c>
      <c r="AV294" s="100">
        <f t="shared" si="288"/>
        <v>0</v>
      </c>
      <c r="AW294" s="100">
        <f t="shared" si="289"/>
        <v>0</v>
      </c>
      <c r="AX294" s="100">
        <f t="shared" si="290"/>
        <v>0</v>
      </c>
      <c r="AY294" s="110" t="s">
        <v>1709</v>
      </c>
      <c r="AZ294" s="110" t="s">
        <v>1733</v>
      </c>
      <c r="BA294" s="109" t="s">
        <v>1737</v>
      </c>
      <c r="BC294" s="100">
        <f t="shared" si="291"/>
        <v>0</v>
      </c>
      <c r="BD294" s="100">
        <f t="shared" si="292"/>
        <v>0</v>
      </c>
      <c r="BE294" s="100">
        <v>0</v>
      </c>
      <c r="BF294" s="100">
        <f>294</f>
        <v>294</v>
      </c>
      <c r="BH294" s="108">
        <f t="shared" si="293"/>
        <v>0</v>
      </c>
      <c r="BI294" s="108">
        <f t="shared" si="294"/>
        <v>0</v>
      </c>
      <c r="BJ294" s="108">
        <f t="shared" si="295"/>
        <v>0</v>
      </c>
    </row>
    <row r="295" spans="1:62" x14ac:dyDescent="0.2">
      <c r="A295" s="117" t="s">
        <v>257</v>
      </c>
      <c r="B295" s="117" t="s">
        <v>3587</v>
      </c>
      <c r="C295" s="304" t="s">
        <v>1326</v>
      </c>
      <c r="D295" s="305"/>
      <c r="E295" s="305"/>
      <c r="F295" s="117" t="s">
        <v>1644</v>
      </c>
      <c r="G295" s="116">
        <v>12</v>
      </c>
      <c r="H295" s="159"/>
      <c r="I295" s="108">
        <f t="shared" si="272"/>
        <v>0</v>
      </c>
      <c r="J295" s="108">
        <f t="shared" si="273"/>
        <v>0</v>
      </c>
      <c r="K295" s="108">
        <f t="shared" si="274"/>
        <v>0</v>
      </c>
      <c r="L295" s="111"/>
      <c r="Z295" s="100">
        <f t="shared" si="275"/>
        <v>0</v>
      </c>
      <c r="AB295" s="100">
        <f t="shared" si="276"/>
        <v>0</v>
      </c>
      <c r="AC295" s="100">
        <f t="shared" si="277"/>
        <v>0</v>
      </c>
      <c r="AD295" s="100">
        <f t="shared" si="278"/>
        <v>0</v>
      </c>
      <c r="AE295" s="100">
        <f t="shared" si="279"/>
        <v>0</v>
      </c>
      <c r="AF295" s="100">
        <f t="shared" si="280"/>
        <v>0</v>
      </c>
      <c r="AG295" s="100">
        <f t="shared" si="281"/>
        <v>0</v>
      </c>
      <c r="AH295" s="100">
        <f t="shared" si="282"/>
        <v>0</v>
      </c>
      <c r="AI295" s="109"/>
      <c r="AJ295" s="108">
        <f t="shared" si="283"/>
        <v>0</v>
      </c>
      <c r="AK295" s="108">
        <f t="shared" si="284"/>
        <v>0</v>
      </c>
      <c r="AL295" s="108">
        <f t="shared" si="285"/>
        <v>0</v>
      </c>
      <c r="AN295" s="100">
        <v>15</v>
      </c>
      <c r="AO295" s="100">
        <f t="shared" si="286"/>
        <v>0</v>
      </c>
      <c r="AP295" s="100">
        <f t="shared" si="287"/>
        <v>0</v>
      </c>
      <c r="AQ295" s="111" t="s">
        <v>13</v>
      </c>
      <c r="AV295" s="100">
        <f t="shared" si="288"/>
        <v>0</v>
      </c>
      <c r="AW295" s="100">
        <f t="shared" si="289"/>
        <v>0</v>
      </c>
      <c r="AX295" s="100">
        <f t="shared" si="290"/>
        <v>0</v>
      </c>
      <c r="AY295" s="110" t="s">
        <v>1709</v>
      </c>
      <c r="AZ295" s="110" t="s">
        <v>1733</v>
      </c>
      <c r="BA295" s="109" t="s">
        <v>1737</v>
      </c>
      <c r="BC295" s="100">
        <f t="shared" si="291"/>
        <v>0</v>
      </c>
      <c r="BD295" s="100">
        <f t="shared" si="292"/>
        <v>0</v>
      </c>
      <c r="BE295" s="100">
        <v>0</v>
      </c>
      <c r="BF295" s="100">
        <f>295</f>
        <v>295</v>
      </c>
      <c r="BH295" s="108">
        <f t="shared" si="293"/>
        <v>0</v>
      </c>
      <c r="BI295" s="108">
        <f t="shared" si="294"/>
        <v>0</v>
      </c>
      <c r="BJ295" s="108">
        <f t="shared" si="295"/>
        <v>0</v>
      </c>
    </row>
    <row r="296" spans="1:62" x14ac:dyDescent="0.2">
      <c r="A296" s="117" t="s">
        <v>258</v>
      </c>
      <c r="B296" s="117" t="s">
        <v>3586</v>
      </c>
      <c r="C296" s="304" t="s">
        <v>1327</v>
      </c>
      <c r="D296" s="305"/>
      <c r="E296" s="305"/>
      <c r="F296" s="117" t="s">
        <v>1644</v>
      </c>
      <c r="G296" s="116">
        <v>22</v>
      </c>
      <c r="H296" s="159"/>
      <c r="I296" s="108">
        <f t="shared" si="272"/>
        <v>0</v>
      </c>
      <c r="J296" s="108">
        <f t="shared" si="273"/>
        <v>0</v>
      </c>
      <c r="K296" s="108">
        <f t="shared" si="274"/>
        <v>0</v>
      </c>
      <c r="L296" s="111"/>
      <c r="Z296" s="100">
        <f t="shared" si="275"/>
        <v>0</v>
      </c>
      <c r="AB296" s="100">
        <f t="shared" si="276"/>
        <v>0</v>
      </c>
      <c r="AC296" s="100">
        <f t="shared" si="277"/>
        <v>0</v>
      </c>
      <c r="AD296" s="100">
        <f t="shared" si="278"/>
        <v>0</v>
      </c>
      <c r="AE296" s="100">
        <f t="shared" si="279"/>
        <v>0</v>
      </c>
      <c r="AF296" s="100">
        <f t="shared" si="280"/>
        <v>0</v>
      </c>
      <c r="AG296" s="100">
        <f t="shared" si="281"/>
        <v>0</v>
      </c>
      <c r="AH296" s="100">
        <f t="shared" si="282"/>
        <v>0</v>
      </c>
      <c r="AI296" s="109"/>
      <c r="AJ296" s="108">
        <f t="shared" si="283"/>
        <v>0</v>
      </c>
      <c r="AK296" s="108">
        <f t="shared" si="284"/>
        <v>0</v>
      </c>
      <c r="AL296" s="108">
        <f t="shared" si="285"/>
        <v>0</v>
      </c>
      <c r="AN296" s="100">
        <v>15</v>
      </c>
      <c r="AO296" s="100">
        <f t="shared" si="286"/>
        <v>0</v>
      </c>
      <c r="AP296" s="100">
        <f t="shared" si="287"/>
        <v>0</v>
      </c>
      <c r="AQ296" s="111" t="s">
        <v>13</v>
      </c>
      <c r="AV296" s="100">
        <f t="shared" si="288"/>
        <v>0</v>
      </c>
      <c r="AW296" s="100">
        <f t="shared" si="289"/>
        <v>0</v>
      </c>
      <c r="AX296" s="100">
        <f t="shared" si="290"/>
        <v>0</v>
      </c>
      <c r="AY296" s="110" t="s">
        <v>1709</v>
      </c>
      <c r="AZ296" s="110" t="s">
        <v>1733</v>
      </c>
      <c r="BA296" s="109" t="s">
        <v>1737</v>
      </c>
      <c r="BC296" s="100">
        <f t="shared" si="291"/>
        <v>0</v>
      </c>
      <c r="BD296" s="100">
        <f t="shared" si="292"/>
        <v>0</v>
      </c>
      <c r="BE296" s="100">
        <v>0</v>
      </c>
      <c r="BF296" s="100">
        <f>296</f>
        <v>296</v>
      </c>
      <c r="BH296" s="108">
        <f t="shared" si="293"/>
        <v>0</v>
      </c>
      <c r="BI296" s="108">
        <f t="shared" si="294"/>
        <v>0</v>
      </c>
      <c r="BJ296" s="108">
        <f t="shared" si="295"/>
        <v>0</v>
      </c>
    </row>
    <row r="297" spans="1:62" x14ac:dyDescent="0.2">
      <c r="A297" s="117" t="s">
        <v>259</v>
      </c>
      <c r="B297" s="117" t="s">
        <v>3585</v>
      </c>
      <c r="C297" s="304" t="s">
        <v>1294</v>
      </c>
      <c r="D297" s="305"/>
      <c r="E297" s="305"/>
      <c r="F297" s="117" t="s">
        <v>1644</v>
      </c>
      <c r="G297" s="116">
        <v>3</v>
      </c>
      <c r="H297" s="159"/>
      <c r="I297" s="108">
        <f t="shared" si="272"/>
        <v>0</v>
      </c>
      <c r="J297" s="108">
        <f t="shared" si="273"/>
        <v>0</v>
      </c>
      <c r="K297" s="108">
        <f t="shared" si="274"/>
        <v>0</v>
      </c>
      <c r="L297" s="111"/>
      <c r="Z297" s="100">
        <f t="shared" si="275"/>
        <v>0</v>
      </c>
      <c r="AB297" s="100">
        <f t="shared" si="276"/>
        <v>0</v>
      </c>
      <c r="AC297" s="100">
        <f t="shared" si="277"/>
        <v>0</v>
      </c>
      <c r="AD297" s="100">
        <f t="shared" si="278"/>
        <v>0</v>
      </c>
      <c r="AE297" s="100">
        <f t="shared" si="279"/>
        <v>0</v>
      </c>
      <c r="AF297" s="100">
        <f t="shared" si="280"/>
        <v>0</v>
      </c>
      <c r="AG297" s="100">
        <f t="shared" si="281"/>
        <v>0</v>
      </c>
      <c r="AH297" s="100">
        <f t="shared" si="282"/>
        <v>0</v>
      </c>
      <c r="AI297" s="109"/>
      <c r="AJ297" s="108">
        <f t="shared" si="283"/>
        <v>0</v>
      </c>
      <c r="AK297" s="108">
        <f t="shared" si="284"/>
        <v>0</v>
      </c>
      <c r="AL297" s="108">
        <f t="shared" si="285"/>
        <v>0</v>
      </c>
      <c r="AN297" s="100">
        <v>15</v>
      </c>
      <c r="AO297" s="100">
        <f t="shared" si="286"/>
        <v>0</v>
      </c>
      <c r="AP297" s="100">
        <f t="shared" si="287"/>
        <v>0</v>
      </c>
      <c r="AQ297" s="111" t="s">
        <v>13</v>
      </c>
      <c r="AV297" s="100">
        <f t="shared" si="288"/>
        <v>0</v>
      </c>
      <c r="AW297" s="100">
        <f t="shared" si="289"/>
        <v>0</v>
      </c>
      <c r="AX297" s="100">
        <f t="shared" si="290"/>
        <v>0</v>
      </c>
      <c r="AY297" s="110" t="s">
        <v>1709</v>
      </c>
      <c r="AZ297" s="110" t="s">
        <v>1733</v>
      </c>
      <c r="BA297" s="109" t="s">
        <v>1737</v>
      </c>
      <c r="BC297" s="100">
        <f t="shared" si="291"/>
        <v>0</v>
      </c>
      <c r="BD297" s="100">
        <f t="shared" si="292"/>
        <v>0</v>
      </c>
      <c r="BE297" s="100">
        <v>0</v>
      </c>
      <c r="BF297" s="100">
        <f>297</f>
        <v>297</v>
      </c>
      <c r="BH297" s="108">
        <f t="shared" si="293"/>
        <v>0</v>
      </c>
      <c r="BI297" s="108">
        <f t="shared" si="294"/>
        <v>0</v>
      </c>
      <c r="BJ297" s="108">
        <f t="shared" si="295"/>
        <v>0</v>
      </c>
    </row>
    <row r="298" spans="1:62" x14ac:dyDescent="0.2">
      <c r="A298" s="117" t="s">
        <v>260</v>
      </c>
      <c r="B298" s="117" t="s">
        <v>3584</v>
      </c>
      <c r="C298" s="304" t="s">
        <v>1295</v>
      </c>
      <c r="D298" s="305"/>
      <c r="E298" s="305"/>
      <c r="F298" s="117" t="s">
        <v>1644</v>
      </c>
      <c r="G298" s="116">
        <v>3</v>
      </c>
      <c r="H298" s="159"/>
      <c r="I298" s="108">
        <f t="shared" si="272"/>
        <v>0</v>
      </c>
      <c r="J298" s="108">
        <f t="shared" si="273"/>
        <v>0</v>
      </c>
      <c r="K298" s="108">
        <f t="shared" si="274"/>
        <v>0</v>
      </c>
      <c r="L298" s="111"/>
      <c r="Z298" s="100">
        <f t="shared" si="275"/>
        <v>0</v>
      </c>
      <c r="AB298" s="100">
        <f t="shared" si="276"/>
        <v>0</v>
      </c>
      <c r="AC298" s="100">
        <f t="shared" si="277"/>
        <v>0</v>
      </c>
      <c r="AD298" s="100">
        <f t="shared" si="278"/>
        <v>0</v>
      </c>
      <c r="AE298" s="100">
        <f t="shared" si="279"/>
        <v>0</v>
      </c>
      <c r="AF298" s="100">
        <f t="shared" si="280"/>
        <v>0</v>
      </c>
      <c r="AG298" s="100">
        <f t="shared" si="281"/>
        <v>0</v>
      </c>
      <c r="AH298" s="100">
        <f t="shared" si="282"/>
        <v>0</v>
      </c>
      <c r="AI298" s="109"/>
      <c r="AJ298" s="108">
        <f t="shared" si="283"/>
        <v>0</v>
      </c>
      <c r="AK298" s="108">
        <f t="shared" si="284"/>
        <v>0</v>
      </c>
      <c r="AL298" s="108">
        <f t="shared" si="285"/>
        <v>0</v>
      </c>
      <c r="AN298" s="100">
        <v>15</v>
      </c>
      <c r="AO298" s="100">
        <f t="shared" si="286"/>
        <v>0</v>
      </c>
      <c r="AP298" s="100">
        <f t="shared" si="287"/>
        <v>0</v>
      </c>
      <c r="AQ298" s="111" t="s">
        <v>13</v>
      </c>
      <c r="AV298" s="100">
        <f t="shared" si="288"/>
        <v>0</v>
      </c>
      <c r="AW298" s="100">
        <f t="shared" si="289"/>
        <v>0</v>
      </c>
      <c r="AX298" s="100">
        <f t="shared" si="290"/>
        <v>0</v>
      </c>
      <c r="AY298" s="110" t="s">
        <v>1709</v>
      </c>
      <c r="AZ298" s="110" t="s">
        <v>1733</v>
      </c>
      <c r="BA298" s="109" t="s">
        <v>1737</v>
      </c>
      <c r="BC298" s="100">
        <f t="shared" si="291"/>
        <v>0</v>
      </c>
      <c r="BD298" s="100">
        <f t="shared" si="292"/>
        <v>0</v>
      </c>
      <c r="BE298" s="100">
        <v>0</v>
      </c>
      <c r="BF298" s="100">
        <f>298</f>
        <v>298</v>
      </c>
      <c r="BH298" s="108">
        <f t="shared" si="293"/>
        <v>0</v>
      </c>
      <c r="BI298" s="108">
        <f t="shared" si="294"/>
        <v>0</v>
      </c>
      <c r="BJ298" s="108">
        <f t="shared" si="295"/>
        <v>0</v>
      </c>
    </row>
    <row r="299" spans="1:62" x14ac:dyDescent="0.2">
      <c r="A299" s="117" t="s">
        <v>261</v>
      </c>
      <c r="B299" s="117" t="s">
        <v>3583</v>
      </c>
      <c r="C299" s="304" t="s">
        <v>1328</v>
      </c>
      <c r="D299" s="305"/>
      <c r="E299" s="305"/>
      <c r="F299" s="117" t="s">
        <v>1644</v>
      </c>
      <c r="G299" s="116">
        <v>26</v>
      </c>
      <c r="H299" s="159"/>
      <c r="I299" s="108">
        <f t="shared" si="272"/>
        <v>0</v>
      </c>
      <c r="J299" s="108">
        <f t="shared" si="273"/>
        <v>0</v>
      </c>
      <c r="K299" s="108">
        <f t="shared" si="274"/>
        <v>0</v>
      </c>
      <c r="L299" s="111"/>
      <c r="Z299" s="100">
        <f t="shared" si="275"/>
        <v>0</v>
      </c>
      <c r="AB299" s="100">
        <f t="shared" si="276"/>
        <v>0</v>
      </c>
      <c r="AC299" s="100">
        <f t="shared" si="277"/>
        <v>0</v>
      </c>
      <c r="AD299" s="100">
        <f t="shared" si="278"/>
        <v>0</v>
      </c>
      <c r="AE299" s="100">
        <f t="shared" si="279"/>
        <v>0</v>
      </c>
      <c r="AF299" s="100">
        <f t="shared" si="280"/>
        <v>0</v>
      </c>
      <c r="AG299" s="100">
        <f t="shared" si="281"/>
        <v>0</v>
      </c>
      <c r="AH299" s="100">
        <f t="shared" si="282"/>
        <v>0</v>
      </c>
      <c r="AI299" s="109"/>
      <c r="AJ299" s="108">
        <f t="shared" si="283"/>
        <v>0</v>
      </c>
      <c r="AK299" s="108">
        <f t="shared" si="284"/>
        <v>0</v>
      </c>
      <c r="AL299" s="108">
        <f t="shared" si="285"/>
        <v>0</v>
      </c>
      <c r="AN299" s="100">
        <v>15</v>
      </c>
      <c r="AO299" s="100">
        <f t="shared" si="286"/>
        <v>0</v>
      </c>
      <c r="AP299" s="100">
        <f t="shared" si="287"/>
        <v>0</v>
      </c>
      <c r="AQ299" s="111" t="s">
        <v>13</v>
      </c>
      <c r="AV299" s="100">
        <f t="shared" si="288"/>
        <v>0</v>
      </c>
      <c r="AW299" s="100">
        <f t="shared" si="289"/>
        <v>0</v>
      </c>
      <c r="AX299" s="100">
        <f t="shared" si="290"/>
        <v>0</v>
      </c>
      <c r="AY299" s="110" t="s">
        <v>1709</v>
      </c>
      <c r="AZ299" s="110" t="s">
        <v>1733</v>
      </c>
      <c r="BA299" s="109" t="s">
        <v>1737</v>
      </c>
      <c r="BC299" s="100">
        <f t="shared" si="291"/>
        <v>0</v>
      </c>
      <c r="BD299" s="100">
        <f t="shared" si="292"/>
        <v>0</v>
      </c>
      <c r="BE299" s="100">
        <v>0</v>
      </c>
      <c r="BF299" s="100">
        <f>299</f>
        <v>299</v>
      </c>
      <c r="BH299" s="108">
        <f t="shared" si="293"/>
        <v>0</v>
      </c>
      <c r="BI299" s="108">
        <f t="shared" si="294"/>
        <v>0</v>
      </c>
      <c r="BJ299" s="108">
        <f t="shared" si="295"/>
        <v>0</v>
      </c>
    </row>
    <row r="300" spans="1:62" x14ac:dyDescent="0.2">
      <c r="A300" s="117" t="s">
        <v>262</v>
      </c>
      <c r="B300" s="117" t="s">
        <v>3582</v>
      </c>
      <c r="C300" s="304" t="s">
        <v>1329</v>
      </c>
      <c r="D300" s="305"/>
      <c r="E300" s="305"/>
      <c r="F300" s="117" t="s">
        <v>1644</v>
      </c>
      <c r="G300" s="116">
        <v>1</v>
      </c>
      <c r="H300" s="159"/>
      <c r="I300" s="108">
        <f t="shared" si="272"/>
        <v>0</v>
      </c>
      <c r="J300" s="108">
        <f t="shared" si="273"/>
        <v>0</v>
      </c>
      <c r="K300" s="108">
        <f t="shared" si="274"/>
        <v>0</v>
      </c>
      <c r="L300" s="111"/>
      <c r="Z300" s="100">
        <f t="shared" si="275"/>
        <v>0</v>
      </c>
      <c r="AB300" s="100">
        <f t="shared" si="276"/>
        <v>0</v>
      </c>
      <c r="AC300" s="100">
        <f t="shared" si="277"/>
        <v>0</v>
      </c>
      <c r="AD300" s="100">
        <f t="shared" si="278"/>
        <v>0</v>
      </c>
      <c r="AE300" s="100">
        <f t="shared" si="279"/>
        <v>0</v>
      </c>
      <c r="AF300" s="100">
        <f t="shared" si="280"/>
        <v>0</v>
      </c>
      <c r="AG300" s="100">
        <f t="shared" si="281"/>
        <v>0</v>
      </c>
      <c r="AH300" s="100">
        <f t="shared" si="282"/>
        <v>0</v>
      </c>
      <c r="AI300" s="109"/>
      <c r="AJ300" s="108">
        <f t="shared" si="283"/>
        <v>0</v>
      </c>
      <c r="AK300" s="108">
        <f t="shared" si="284"/>
        <v>0</v>
      </c>
      <c r="AL300" s="108">
        <f t="shared" si="285"/>
        <v>0</v>
      </c>
      <c r="AN300" s="100">
        <v>15</v>
      </c>
      <c r="AO300" s="100">
        <f t="shared" si="286"/>
        <v>0</v>
      </c>
      <c r="AP300" s="100">
        <f t="shared" si="287"/>
        <v>0</v>
      </c>
      <c r="AQ300" s="111" t="s">
        <v>13</v>
      </c>
      <c r="AV300" s="100">
        <f t="shared" si="288"/>
        <v>0</v>
      </c>
      <c r="AW300" s="100">
        <f t="shared" si="289"/>
        <v>0</v>
      </c>
      <c r="AX300" s="100">
        <f t="shared" si="290"/>
        <v>0</v>
      </c>
      <c r="AY300" s="110" t="s">
        <v>1709</v>
      </c>
      <c r="AZ300" s="110" t="s">
        <v>1733</v>
      </c>
      <c r="BA300" s="109" t="s">
        <v>1737</v>
      </c>
      <c r="BC300" s="100">
        <f t="shared" si="291"/>
        <v>0</v>
      </c>
      <c r="BD300" s="100">
        <f t="shared" si="292"/>
        <v>0</v>
      </c>
      <c r="BE300" s="100">
        <v>0</v>
      </c>
      <c r="BF300" s="100">
        <f>300</f>
        <v>300</v>
      </c>
      <c r="BH300" s="108">
        <f t="shared" si="293"/>
        <v>0</v>
      </c>
      <c r="BI300" s="108">
        <f t="shared" si="294"/>
        <v>0</v>
      </c>
      <c r="BJ300" s="108">
        <f t="shared" si="295"/>
        <v>0</v>
      </c>
    </row>
    <row r="301" spans="1:62" x14ac:dyDescent="0.2">
      <c r="A301" s="117" t="s">
        <v>263</v>
      </c>
      <c r="B301" s="117" t="s">
        <v>3581</v>
      </c>
      <c r="C301" s="304" t="s">
        <v>1330</v>
      </c>
      <c r="D301" s="305"/>
      <c r="E301" s="305"/>
      <c r="F301" s="117" t="s">
        <v>1646</v>
      </c>
      <c r="G301" s="116">
        <v>110</v>
      </c>
      <c r="H301" s="159"/>
      <c r="I301" s="108">
        <f t="shared" si="272"/>
        <v>0</v>
      </c>
      <c r="J301" s="108">
        <f t="shared" si="273"/>
        <v>0</v>
      </c>
      <c r="K301" s="108">
        <f t="shared" si="274"/>
        <v>0</v>
      </c>
      <c r="L301" s="111"/>
      <c r="Z301" s="100">
        <f t="shared" si="275"/>
        <v>0</v>
      </c>
      <c r="AB301" s="100">
        <f t="shared" si="276"/>
        <v>0</v>
      </c>
      <c r="AC301" s="100">
        <f t="shared" si="277"/>
        <v>0</v>
      </c>
      <c r="AD301" s="100">
        <f t="shared" si="278"/>
        <v>0</v>
      </c>
      <c r="AE301" s="100">
        <f t="shared" si="279"/>
        <v>0</v>
      </c>
      <c r="AF301" s="100">
        <f t="shared" si="280"/>
        <v>0</v>
      </c>
      <c r="AG301" s="100">
        <f t="shared" si="281"/>
        <v>0</v>
      </c>
      <c r="AH301" s="100">
        <f t="shared" si="282"/>
        <v>0</v>
      </c>
      <c r="AI301" s="109"/>
      <c r="AJ301" s="108">
        <f t="shared" si="283"/>
        <v>0</v>
      </c>
      <c r="AK301" s="108">
        <f t="shared" si="284"/>
        <v>0</v>
      </c>
      <c r="AL301" s="108">
        <f t="shared" si="285"/>
        <v>0</v>
      </c>
      <c r="AN301" s="100">
        <v>15</v>
      </c>
      <c r="AO301" s="100">
        <f t="shared" si="286"/>
        <v>0</v>
      </c>
      <c r="AP301" s="100">
        <f t="shared" si="287"/>
        <v>0</v>
      </c>
      <c r="AQ301" s="111" t="s">
        <v>13</v>
      </c>
      <c r="AV301" s="100">
        <f t="shared" si="288"/>
        <v>0</v>
      </c>
      <c r="AW301" s="100">
        <f t="shared" si="289"/>
        <v>0</v>
      </c>
      <c r="AX301" s="100">
        <f t="shared" si="290"/>
        <v>0</v>
      </c>
      <c r="AY301" s="110" t="s">
        <v>1709</v>
      </c>
      <c r="AZ301" s="110" t="s">
        <v>1733</v>
      </c>
      <c r="BA301" s="109" t="s">
        <v>1737</v>
      </c>
      <c r="BC301" s="100">
        <f t="shared" si="291"/>
        <v>0</v>
      </c>
      <c r="BD301" s="100">
        <f t="shared" si="292"/>
        <v>0</v>
      </c>
      <c r="BE301" s="100">
        <v>0</v>
      </c>
      <c r="BF301" s="100">
        <f>301</f>
        <v>301</v>
      </c>
      <c r="BH301" s="108">
        <f t="shared" si="293"/>
        <v>0</v>
      </c>
      <c r="BI301" s="108">
        <f t="shared" si="294"/>
        <v>0</v>
      </c>
      <c r="BJ301" s="108">
        <f t="shared" si="295"/>
        <v>0</v>
      </c>
    </row>
    <row r="302" spans="1:62" x14ac:dyDescent="0.2">
      <c r="A302" s="117" t="s">
        <v>264</v>
      </c>
      <c r="B302" s="117" t="s">
        <v>3580</v>
      </c>
      <c r="C302" s="304" t="s">
        <v>3579</v>
      </c>
      <c r="D302" s="305"/>
      <c r="E302" s="305"/>
      <c r="F302" s="117" t="s">
        <v>1646</v>
      </c>
      <c r="G302" s="116">
        <v>2</v>
      </c>
      <c r="H302" s="159"/>
      <c r="I302" s="108">
        <f t="shared" si="272"/>
        <v>0</v>
      </c>
      <c r="J302" s="108">
        <f t="shared" si="273"/>
        <v>0</v>
      </c>
      <c r="K302" s="108">
        <f t="shared" si="274"/>
        <v>0</v>
      </c>
      <c r="L302" s="111"/>
      <c r="Z302" s="100">
        <f t="shared" si="275"/>
        <v>0</v>
      </c>
      <c r="AB302" s="100">
        <f t="shared" si="276"/>
        <v>0</v>
      </c>
      <c r="AC302" s="100">
        <f t="shared" si="277"/>
        <v>0</v>
      </c>
      <c r="AD302" s="100">
        <f t="shared" si="278"/>
        <v>0</v>
      </c>
      <c r="AE302" s="100">
        <f t="shared" si="279"/>
        <v>0</v>
      </c>
      <c r="AF302" s="100">
        <f t="shared" si="280"/>
        <v>0</v>
      </c>
      <c r="AG302" s="100">
        <f t="shared" si="281"/>
        <v>0</v>
      </c>
      <c r="AH302" s="100">
        <f t="shared" si="282"/>
        <v>0</v>
      </c>
      <c r="AI302" s="109"/>
      <c r="AJ302" s="108">
        <f t="shared" si="283"/>
        <v>0</v>
      </c>
      <c r="AK302" s="108">
        <f t="shared" si="284"/>
        <v>0</v>
      </c>
      <c r="AL302" s="108">
        <f t="shared" si="285"/>
        <v>0</v>
      </c>
      <c r="AN302" s="100">
        <v>15</v>
      </c>
      <c r="AO302" s="100">
        <f t="shared" si="286"/>
        <v>0</v>
      </c>
      <c r="AP302" s="100">
        <f t="shared" si="287"/>
        <v>0</v>
      </c>
      <c r="AQ302" s="111" t="s">
        <v>13</v>
      </c>
      <c r="AV302" s="100">
        <f t="shared" si="288"/>
        <v>0</v>
      </c>
      <c r="AW302" s="100">
        <f t="shared" si="289"/>
        <v>0</v>
      </c>
      <c r="AX302" s="100">
        <f t="shared" si="290"/>
        <v>0</v>
      </c>
      <c r="AY302" s="110" t="s">
        <v>1709</v>
      </c>
      <c r="AZ302" s="110" t="s">
        <v>1733</v>
      </c>
      <c r="BA302" s="109" t="s">
        <v>1737</v>
      </c>
      <c r="BC302" s="100">
        <f t="shared" si="291"/>
        <v>0</v>
      </c>
      <c r="BD302" s="100">
        <f t="shared" si="292"/>
        <v>0</v>
      </c>
      <c r="BE302" s="100">
        <v>0</v>
      </c>
      <c r="BF302" s="100">
        <f>302</f>
        <v>302</v>
      </c>
      <c r="BH302" s="108">
        <f t="shared" si="293"/>
        <v>0</v>
      </c>
      <c r="BI302" s="108">
        <f t="shared" si="294"/>
        <v>0</v>
      </c>
      <c r="BJ302" s="108">
        <f t="shared" si="295"/>
        <v>0</v>
      </c>
    </row>
    <row r="303" spans="1:62" x14ac:dyDescent="0.2">
      <c r="A303" s="117" t="s">
        <v>265</v>
      </c>
      <c r="B303" s="117" t="s">
        <v>3578</v>
      </c>
      <c r="C303" s="304" t="s">
        <v>1331</v>
      </c>
      <c r="D303" s="305"/>
      <c r="E303" s="305"/>
      <c r="F303" s="117" t="s">
        <v>1646</v>
      </c>
      <c r="G303" s="116">
        <v>50</v>
      </c>
      <c r="H303" s="159"/>
      <c r="I303" s="108">
        <f t="shared" si="272"/>
        <v>0</v>
      </c>
      <c r="J303" s="108">
        <f t="shared" si="273"/>
        <v>0</v>
      </c>
      <c r="K303" s="108">
        <f t="shared" si="274"/>
        <v>0</v>
      </c>
      <c r="L303" s="111"/>
      <c r="Z303" s="100">
        <f t="shared" si="275"/>
        <v>0</v>
      </c>
      <c r="AB303" s="100">
        <f t="shared" si="276"/>
        <v>0</v>
      </c>
      <c r="AC303" s="100">
        <f t="shared" si="277"/>
        <v>0</v>
      </c>
      <c r="AD303" s="100">
        <f t="shared" si="278"/>
        <v>0</v>
      </c>
      <c r="AE303" s="100">
        <f t="shared" si="279"/>
        <v>0</v>
      </c>
      <c r="AF303" s="100">
        <f t="shared" si="280"/>
        <v>0</v>
      </c>
      <c r="AG303" s="100">
        <f t="shared" si="281"/>
        <v>0</v>
      </c>
      <c r="AH303" s="100">
        <f t="shared" si="282"/>
        <v>0</v>
      </c>
      <c r="AI303" s="109"/>
      <c r="AJ303" s="108">
        <f t="shared" si="283"/>
        <v>0</v>
      </c>
      <c r="AK303" s="108">
        <f t="shared" si="284"/>
        <v>0</v>
      </c>
      <c r="AL303" s="108">
        <f t="shared" si="285"/>
        <v>0</v>
      </c>
      <c r="AN303" s="100">
        <v>15</v>
      </c>
      <c r="AO303" s="100">
        <f t="shared" si="286"/>
        <v>0</v>
      </c>
      <c r="AP303" s="100">
        <f t="shared" si="287"/>
        <v>0</v>
      </c>
      <c r="AQ303" s="111" t="s">
        <v>13</v>
      </c>
      <c r="AV303" s="100">
        <f t="shared" si="288"/>
        <v>0</v>
      </c>
      <c r="AW303" s="100">
        <f t="shared" si="289"/>
        <v>0</v>
      </c>
      <c r="AX303" s="100">
        <f t="shared" si="290"/>
        <v>0</v>
      </c>
      <c r="AY303" s="110" t="s">
        <v>1709</v>
      </c>
      <c r="AZ303" s="110" t="s">
        <v>1733</v>
      </c>
      <c r="BA303" s="109" t="s">
        <v>1737</v>
      </c>
      <c r="BC303" s="100">
        <f t="shared" si="291"/>
        <v>0</v>
      </c>
      <c r="BD303" s="100">
        <f t="shared" si="292"/>
        <v>0</v>
      </c>
      <c r="BE303" s="100">
        <v>0</v>
      </c>
      <c r="BF303" s="100">
        <f>303</f>
        <v>303</v>
      </c>
      <c r="BH303" s="108">
        <f t="shared" si="293"/>
        <v>0</v>
      </c>
      <c r="BI303" s="108">
        <f t="shared" si="294"/>
        <v>0</v>
      </c>
      <c r="BJ303" s="108">
        <f t="shared" si="295"/>
        <v>0</v>
      </c>
    </row>
    <row r="304" spans="1:62" x14ac:dyDescent="0.2">
      <c r="A304" s="117" t="s">
        <v>266</v>
      </c>
      <c r="B304" s="117" t="s">
        <v>3577</v>
      </c>
      <c r="C304" s="304" t="s">
        <v>1332</v>
      </c>
      <c r="D304" s="305"/>
      <c r="E304" s="305"/>
      <c r="F304" s="117" t="s">
        <v>1646</v>
      </c>
      <c r="G304" s="116">
        <v>5</v>
      </c>
      <c r="H304" s="159"/>
      <c r="I304" s="108">
        <f t="shared" si="272"/>
        <v>0</v>
      </c>
      <c r="J304" s="108">
        <f t="shared" si="273"/>
        <v>0</v>
      </c>
      <c r="K304" s="108">
        <f t="shared" si="274"/>
        <v>0</v>
      </c>
      <c r="L304" s="111"/>
      <c r="Z304" s="100">
        <f t="shared" si="275"/>
        <v>0</v>
      </c>
      <c r="AB304" s="100">
        <f t="shared" si="276"/>
        <v>0</v>
      </c>
      <c r="AC304" s="100">
        <f t="shared" si="277"/>
        <v>0</v>
      </c>
      <c r="AD304" s="100">
        <f t="shared" si="278"/>
        <v>0</v>
      </c>
      <c r="AE304" s="100">
        <f t="shared" si="279"/>
        <v>0</v>
      </c>
      <c r="AF304" s="100">
        <f t="shared" si="280"/>
        <v>0</v>
      </c>
      <c r="AG304" s="100">
        <f t="shared" si="281"/>
        <v>0</v>
      </c>
      <c r="AH304" s="100">
        <f t="shared" si="282"/>
        <v>0</v>
      </c>
      <c r="AI304" s="109"/>
      <c r="AJ304" s="108">
        <f t="shared" si="283"/>
        <v>0</v>
      </c>
      <c r="AK304" s="108">
        <f t="shared" si="284"/>
        <v>0</v>
      </c>
      <c r="AL304" s="108">
        <f t="shared" si="285"/>
        <v>0</v>
      </c>
      <c r="AN304" s="100">
        <v>15</v>
      </c>
      <c r="AO304" s="100">
        <f t="shared" si="286"/>
        <v>0</v>
      </c>
      <c r="AP304" s="100">
        <f t="shared" si="287"/>
        <v>0</v>
      </c>
      <c r="AQ304" s="111" t="s">
        <v>13</v>
      </c>
      <c r="AV304" s="100">
        <f t="shared" si="288"/>
        <v>0</v>
      </c>
      <c r="AW304" s="100">
        <f t="shared" si="289"/>
        <v>0</v>
      </c>
      <c r="AX304" s="100">
        <f t="shared" si="290"/>
        <v>0</v>
      </c>
      <c r="AY304" s="110" t="s">
        <v>1709</v>
      </c>
      <c r="AZ304" s="110" t="s">
        <v>1733</v>
      </c>
      <c r="BA304" s="109" t="s">
        <v>1737</v>
      </c>
      <c r="BC304" s="100">
        <f t="shared" si="291"/>
        <v>0</v>
      </c>
      <c r="BD304" s="100">
        <f t="shared" si="292"/>
        <v>0</v>
      </c>
      <c r="BE304" s="100">
        <v>0</v>
      </c>
      <c r="BF304" s="100">
        <f>304</f>
        <v>304</v>
      </c>
      <c r="BH304" s="108">
        <f t="shared" si="293"/>
        <v>0</v>
      </c>
      <c r="BI304" s="108">
        <f t="shared" si="294"/>
        <v>0</v>
      </c>
      <c r="BJ304" s="108">
        <f t="shared" si="295"/>
        <v>0</v>
      </c>
    </row>
    <row r="305" spans="1:62" x14ac:dyDescent="0.2">
      <c r="A305" s="117" t="s">
        <v>267</v>
      </c>
      <c r="B305" s="117" t="s">
        <v>3576</v>
      </c>
      <c r="C305" s="304" t="s">
        <v>1333</v>
      </c>
      <c r="D305" s="305"/>
      <c r="E305" s="305"/>
      <c r="F305" s="117" t="s">
        <v>1646</v>
      </c>
      <c r="G305" s="116">
        <v>110</v>
      </c>
      <c r="H305" s="159"/>
      <c r="I305" s="108">
        <f t="shared" si="272"/>
        <v>0</v>
      </c>
      <c r="J305" s="108">
        <f t="shared" si="273"/>
        <v>0</v>
      </c>
      <c r="K305" s="108">
        <f t="shared" si="274"/>
        <v>0</v>
      </c>
      <c r="L305" s="111"/>
      <c r="Z305" s="100">
        <f t="shared" si="275"/>
        <v>0</v>
      </c>
      <c r="AB305" s="100">
        <f t="shared" si="276"/>
        <v>0</v>
      </c>
      <c r="AC305" s="100">
        <f t="shared" si="277"/>
        <v>0</v>
      </c>
      <c r="AD305" s="100">
        <f t="shared" si="278"/>
        <v>0</v>
      </c>
      <c r="AE305" s="100">
        <f t="shared" si="279"/>
        <v>0</v>
      </c>
      <c r="AF305" s="100">
        <f t="shared" si="280"/>
        <v>0</v>
      </c>
      <c r="AG305" s="100">
        <f t="shared" si="281"/>
        <v>0</v>
      </c>
      <c r="AH305" s="100">
        <f t="shared" si="282"/>
        <v>0</v>
      </c>
      <c r="AI305" s="109"/>
      <c r="AJ305" s="108">
        <f t="shared" si="283"/>
        <v>0</v>
      </c>
      <c r="AK305" s="108">
        <f t="shared" si="284"/>
        <v>0</v>
      </c>
      <c r="AL305" s="108">
        <f t="shared" si="285"/>
        <v>0</v>
      </c>
      <c r="AN305" s="100">
        <v>15</v>
      </c>
      <c r="AO305" s="100">
        <f t="shared" si="286"/>
        <v>0</v>
      </c>
      <c r="AP305" s="100">
        <f t="shared" si="287"/>
        <v>0</v>
      </c>
      <c r="AQ305" s="111" t="s">
        <v>13</v>
      </c>
      <c r="AV305" s="100">
        <f t="shared" si="288"/>
        <v>0</v>
      </c>
      <c r="AW305" s="100">
        <f t="shared" si="289"/>
        <v>0</v>
      </c>
      <c r="AX305" s="100">
        <f t="shared" si="290"/>
        <v>0</v>
      </c>
      <c r="AY305" s="110" t="s">
        <v>1709</v>
      </c>
      <c r="AZ305" s="110" t="s">
        <v>1733</v>
      </c>
      <c r="BA305" s="109" t="s">
        <v>1737</v>
      </c>
      <c r="BC305" s="100">
        <f t="shared" si="291"/>
        <v>0</v>
      </c>
      <c r="BD305" s="100">
        <f t="shared" si="292"/>
        <v>0</v>
      </c>
      <c r="BE305" s="100">
        <v>0</v>
      </c>
      <c r="BF305" s="100">
        <f>305</f>
        <v>305</v>
      </c>
      <c r="BH305" s="108">
        <f t="shared" si="293"/>
        <v>0</v>
      </c>
      <c r="BI305" s="108">
        <f t="shared" si="294"/>
        <v>0</v>
      </c>
      <c r="BJ305" s="108">
        <f t="shared" si="295"/>
        <v>0</v>
      </c>
    </row>
    <row r="306" spans="1:62" x14ac:dyDescent="0.2">
      <c r="A306" s="117" t="s">
        <v>268</v>
      </c>
      <c r="B306" s="117" t="s">
        <v>3575</v>
      </c>
      <c r="C306" s="304" t="s">
        <v>3574</v>
      </c>
      <c r="D306" s="305"/>
      <c r="E306" s="305"/>
      <c r="F306" s="117" t="s">
        <v>1646</v>
      </c>
      <c r="G306" s="116">
        <v>2</v>
      </c>
      <c r="H306" s="159"/>
      <c r="I306" s="108">
        <f t="shared" si="272"/>
        <v>0</v>
      </c>
      <c r="J306" s="108">
        <f t="shared" si="273"/>
        <v>0</v>
      </c>
      <c r="K306" s="108">
        <f t="shared" si="274"/>
        <v>0</v>
      </c>
      <c r="L306" s="111"/>
      <c r="Z306" s="100">
        <f t="shared" si="275"/>
        <v>0</v>
      </c>
      <c r="AB306" s="100">
        <f t="shared" si="276"/>
        <v>0</v>
      </c>
      <c r="AC306" s="100">
        <f t="shared" si="277"/>
        <v>0</v>
      </c>
      <c r="AD306" s="100">
        <f t="shared" si="278"/>
        <v>0</v>
      </c>
      <c r="AE306" s="100">
        <f t="shared" si="279"/>
        <v>0</v>
      </c>
      <c r="AF306" s="100">
        <f t="shared" si="280"/>
        <v>0</v>
      </c>
      <c r="AG306" s="100">
        <f t="shared" si="281"/>
        <v>0</v>
      </c>
      <c r="AH306" s="100">
        <f t="shared" si="282"/>
        <v>0</v>
      </c>
      <c r="AI306" s="109"/>
      <c r="AJ306" s="108">
        <f t="shared" si="283"/>
        <v>0</v>
      </c>
      <c r="AK306" s="108">
        <f t="shared" si="284"/>
        <v>0</v>
      </c>
      <c r="AL306" s="108">
        <f t="shared" si="285"/>
        <v>0</v>
      </c>
      <c r="AN306" s="100">
        <v>15</v>
      </c>
      <c r="AO306" s="100">
        <f t="shared" si="286"/>
        <v>0</v>
      </c>
      <c r="AP306" s="100">
        <f t="shared" si="287"/>
        <v>0</v>
      </c>
      <c r="AQ306" s="111" t="s">
        <v>13</v>
      </c>
      <c r="AV306" s="100">
        <f t="shared" si="288"/>
        <v>0</v>
      </c>
      <c r="AW306" s="100">
        <f t="shared" si="289"/>
        <v>0</v>
      </c>
      <c r="AX306" s="100">
        <f t="shared" si="290"/>
        <v>0</v>
      </c>
      <c r="AY306" s="110" t="s">
        <v>1709</v>
      </c>
      <c r="AZ306" s="110" t="s">
        <v>1733</v>
      </c>
      <c r="BA306" s="109" t="s">
        <v>1737</v>
      </c>
      <c r="BC306" s="100">
        <f t="shared" si="291"/>
        <v>0</v>
      </c>
      <c r="BD306" s="100">
        <f t="shared" si="292"/>
        <v>0</v>
      </c>
      <c r="BE306" s="100">
        <v>0</v>
      </c>
      <c r="BF306" s="100">
        <f>306</f>
        <v>306</v>
      </c>
      <c r="BH306" s="108">
        <f t="shared" si="293"/>
        <v>0</v>
      </c>
      <c r="BI306" s="108">
        <f t="shared" si="294"/>
        <v>0</v>
      </c>
      <c r="BJ306" s="108">
        <f t="shared" si="295"/>
        <v>0</v>
      </c>
    </row>
    <row r="307" spans="1:62" x14ac:dyDescent="0.2">
      <c r="A307" s="117" t="s">
        <v>269</v>
      </c>
      <c r="B307" s="117" t="s">
        <v>3573</v>
      </c>
      <c r="C307" s="304" t="s">
        <v>1334</v>
      </c>
      <c r="D307" s="305"/>
      <c r="E307" s="305"/>
      <c r="F307" s="117" t="s">
        <v>1646</v>
      </c>
      <c r="G307" s="116">
        <v>50</v>
      </c>
      <c r="H307" s="159"/>
      <c r="I307" s="108">
        <f t="shared" ref="I307:I329" si="296">G307*AO307</f>
        <v>0</v>
      </c>
      <c r="J307" s="108">
        <f t="shared" ref="J307:J329" si="297">G307*AP307</f>
        <v>0</v>
      </c>
      <c r="K307" s="108">
        <f t="shared" ref="K307:K329" si="298">G307*H307</f>
        <v>0</v>
      </c>
      <c r="L307" s="111"/>
      <c r="Z307" s="100">
        <f t="shared" ref="Z307:Z329" si="299">IF(AQ307="5",BJ307,0)</f>
        <v>0</v>
      </c>
      <c r="AB307" s="100">
        <f t="shared" ref="AB307:AB329" si="300">IF(AQ307="1",BH307,0)</f>
        <v>0</v>
      </c>
      <c r="AC307" s="100">
        <f t="shared" ref="AC307:AC329" si="301">IF(AQ307="1",BI307,0)</f>
        <v>0</v>
      </c>
      <c r="AD307" s="100">
        <f t="shared" ref="AD307:AD329" si="302">IF(AQ307="7",BH307,0)</f>
        <v>0</v>
      </c>
      <c r="AE307" s="100">
        <f t="shared" ref="AE307:AE329" si="303">IF(AQ307="7",BI307,0)</f>
        <v>0</v>
      </c>
      <c r="AF307" s="100">
        <f t="shared" ref="AF307:AF329" si="304">IF(AQ307="2",BH307,0)</f>
        <v>0</v>
      </c>
      <c r="AG307" s="100">
        <f t="shared" ref="AG307:AG329" si="305">IF(AQ307="2",BI307,0)</f>
        <v>0</v>
      </c>
      <c r="AH307" s="100">
        <f t="shared" ref="AH307:AH329" si="306">IF(AQ307="0",BJ307,0)</f>
        <v>0</v>
      </c>
      <c r="AI307" s="109"/>
      <c r="AJ307" s="108">
        <f t="shared" ref="AJ307:AJ329" si="307">IF(AN307=0,K307,0)</f>
        <v>0</v>
      </c>
      <c r="AK307" s="108">
        <f t="shared" ref="AK307:AK329" si="308">IF(AN307=15,K307,0)</f>
        <v>0</v>
      </c>
      <c r="AL307" s="108">
        <f t="shared" ref="AL307:AL329" si="309">IF(AN307=21,K307,0)</f>
        <v>0</v>
      </c>
      <c r="AN307" s="100">
        <v>15</v>
      </c>
      <c r="AO307" s="100">
        <f t="shared" ref="AO307:AO329" si="310">H307*0</f>
        <v>0</v>
      </c>
      <c r="AP307" s="100">
        <f t="shared" ref="AP307:AP329" si="311">H307*(1-0)</f>
        <v>0</v>
      </c>
      <c r="AQ307" s="111" t="s">
        <v>13</v>
      </c>
      <c r="AV307" s="100">
        <f t="shared" ref="AV307:AV329" si="312">AW307+AX307</f>
        <v>0</v>
      </c>
      <c r="AW307" s="100">
        <f t="shared" ref="AW307:AW329" si="313">G307*AO307</f>
        <v>0</v>
      </c>
      <c r="AX307" s="100">
        <f t="shared" ref="AX307:AX329" si="314">G307*AP307</f>
        <v>0</v>
      </c>
      <c r="AY307" s="110" t="s">
        <v>1709</v>
      </c>
      <c r="AZ307" s="110" t="s">
        <v>1733</v>
      </c>
      <c r="BA307" s="109" t="s">
        <v>1737</v>
      </c>
      <c r="BC307" s="100">
        <f t="shared" ref="BC307:BC329" si="315">AW307+AX307</f>
        <v>0</v>
      </c>
      <c r="BD307" s="100">
        <f t="shared" ref="BD307:BD329" si="316">H307/(100-BE307)*100</f>
        <v>0</v>
      </c>
      <c r="BE307" s="100">
        <v>0</v>
      </c>
      <c r="BF307" s="100">
        <f>307</f>
        <v>307</v>
      </c>
      <c r="BH307" s="108">
        <f t="shared" ref="BH307:BH329" si="317">G307*AO307</f>
        <v>0</v>
      </c>
      <c r="BI307" s="108">
        <f t="shared" ref="BI307:BI329" si="318">G307*AP307</f>
        <v>0</v>
      </c>
      <c r="BJ307" s="108">
        <f t="shared" ref="BJ307:BJ329" si="319">G307*H307</f>
        <v>0</v>
      </c>
    </row>
    <row r="308" spans="1:62" x14ac:dyDescent="0.2">
      <c r="A308" s="117" t="s">
        <v>270</v>
      </c>
      <c r="B308" s="117" t="s">
        <v>3572</v>
      </c>
      <c r="C308" s="304" t="s">
        <v>1335</v>
      </c>
      <c r="D308" s="305"/>
      <c r="E308" s="305"/>
      <c r="F308" s="117" t="s">
        <v>1645</v>
      </c>
      <c r="G308" s="116">
        <v>3.5</v>
      </c>
      <c r="H308" s="159"/>
      <c r="I308" s="108">
        <f t="shared" si="296"/>
        <v>0</v>
      </c>
      <c r="J308" s="108">
        <f t="shared" si="297"/>
        <v>0</v>
      </c>
      <c r="K308" s="108">
        <f t="shared" si="298"/>
        <v>0</v>
      </c>
      <c r="L308" s="111"/>
      <c r="Z308" s="100">
        <f t="shared" si="299"/>
        <v>0</v>
      </c>
      <c r="AB308" s="100">
        <f t="shared" si="300"/>
        <v>0</v>
      </c>
      <c r="AC308" s="100">
        <f t="shared" si="301"/>
        <v>0</v>
      </c>
      <c r="AD308" s="100">
        <f t="shared" si="302"/>
        <v>0</v>
      </c>
      <c r="AE308" s="100">
        <f t="shared" si="303"/>
        <v>0</v>
      </c>
      <c r="AF308" s="100">
        <f t="shared" si="304"/>
        <v>0</v>
      </c>
      <c r="AG308" s="100">
        <f t="shared" si="305"/>
        <v>0</v>
      </c>
      <c r="AH308" s="100">
        <f t="shared" si="306"/>
        <v>0</v>
      </c>
      <c r="AI308" s="109"/>
      <c r="AJ308" s="108">
        <f t="shared" si="307"/>
        <v>0</v>
      </c>
      <c r="AK308" s="108">
        <f t="shared" si="308"/>
        <v>0</v>
      </c>
      <c r="AL308" s="108">
        <f t="shared" si="309"/>
        <v>0</v>
      </c>
      <c r="AN308" s="100">
        <v>15</v>
      </c>
      <c r="AO308" s="100">
        <f t="shared" si="310"/>
        <v>0</v>
      </c>
      <c r="AP308" s="100">
        <f t="shared" si="311"/>
        <v>0</v>
      </c>
      <c r="AQ308" s="111" t="s">
        <v>13</v>
      </c>
      <c r="AV308" s="100">
        <f t="shared" si="312"/>
        <v>0</v>
      </c>
      <c r="AW308" s="100">
        <f t="shared" si="313"/>
        <v>0</v>
      </c>
      <c r="AX308" s="100">
        <f t="shared" si="314"/>
        <v>0</v>
      </c>
      <c r="AY308" s="110" t="s">
        <v>1709</v>
      </c>
      <c r="AZ308" s="110" t="s">
        <v>1733</v>
      </c>
      <c r="BA308" s="109" t="s">
        <v>1737</v>
      </c>
      <c r="BC308" s="100">
        <f t="shared" si="315"/>
        <v>0</v>
      </c>
      <c r="BD308" s="100">
        <f t="shared" si="316"/>
        <v>0</v>
      </c>
      <c r="BE308" s="100">
        <v>0</v>
      </c>
      <c r="BF308" s="100">
        <f>308</f>
        <v>308</v>
      </c>
      <c r="BH308" s="108">
        <f t="shared" si="317"/>
        <v>0</v>
      </c>
      <c r="BI308" s="108">
        <f t="shared" si="318"/>
        <v>0</v>
      </c>
      <c r="BJ308" s="108">
        <f t="shared" si="319"/>
        <v>0</v>
      </c>
    </row>
    <row r="309" spans="1:62" x14ac:dyDescent="0.2">
      <c r="A309" s="117" t="s">
        <v>271</v>
      </c>
      <c r="B309" s="117" t="s">
        <v>3571</v>
      </c>
      <c r="C309" s="304" t="s">
        <v>3099</v>
      </c>
      <c r="D309" s="305"/>
      <c r="E309" s="305"/>
      <c r="F309" s="117" t="s">
        <v>1644</v>
      </c>
      <c r="G309" s="116">
        <v>1</v>
      </c>
      <c r="H309" s="159"/>
      <c r="I309" s="108">
        <f t="shared" si="296"/>
        <v>0</v>
      </c>
      <c r="J309" s="108">
        <f t="shared" si="297"/>
        <v>0</v>
      </c>
      <c r="K309" s="108">
        <f t="shared" si="298"/>
        <v>0</v>
      </c>
      <c r="L309" s="111"/>
      <c r="Z309" s="100">
        <f t="shared" si="299"/>
        <v>0</v>
      </c>
      <c r="AB309" s="100">
        <f t="shared" si="300"/>
        <v>0</v>
      </c>
      <c r="AC309" s="100">
        <f t="shared" si="301"/>
        <v>0</v>
      </c>
      <c r="AD309" s="100">
        <f t="shared" si="302"/>
        <v>0</v>
      </c>
      <c r="AE309" s="100">
        <f t="shared" si="303"/>
        <v>0</v>
      </c>
      <c r="AF309" s="100">
        <f t="shared" si="304"/>
        <v>0</v>
      </c>
      <c r="AG309" s="100">
        <f t="shared" si="305"/>
        <v>0</v>
      </c>
      <c r="AH309" s="100">
        <f t="shared" si="306"/>
        <v>0</v>
      </c>
      <c r="AI309" s="109"/>
      <c r="AJ309" s="108">
        <f t="shared" si="307"/>
        <v>0</v>
      </c>
      <c r="AK309" s="108">
        <f t="shared" si="308"/>
        <v>0</v>
      </c>
      <c r="AL309" s="108">
        <f t="shared" si="309"/>
        <v>0</v>
      </c>
      <c r="AN309" s="100">
        <v>15</v>
      </c>
      <c r="AO309" s="100">
        <f t="shared" si="310"/>
        <v>0</v>
      </c>
      <c r="AP309" s="100">
        <f t="shared" si="311"/>
        <v>0</v>
      </c>
      <c r="AQ309" s="111" t="s">
        <v>13</v>
      </c>
      <c r="AV309" s="100">
        <f t="shared" si="312"/>
        <v>0</v>
      </c>
      <c r="AW309" s="100">
        <f t="shared" si="313"/>
        <v>0</v>
      </c>
      <c r="AX309" s="100">
        <f t="shared" si="314"/>
        <v>0</v>
      </c>
      <c r="AY309" s="110" t="s">
        <v>1709</v>
      </c>
      <c r="AZ309" s="110" t="s">
        <v>1733</v>
      </c>
      <c r="BA309" s="109" t="s">
        <v>1737</v>
      </c>
      <c r="BC309" s="100">
        <f t="shared" si="315"/>
        <v>0</v>
      </c>
      <c r="BD309" s="100">
        <f t="shared" si="316"/>
        <v>0</v>
      </c>
      <c r="BE309" s="100">
        <v>0</v>
      </c>
      <c r="BF309" s="100">
        <f>309</f>
        <v>309</v>
      </c>
      <c r="BH309" s="108">
        <f t="shared" si="317"/>
        <v>0</v>
      </c>
      <c r="BI309" s="108">
        <f t="shared" si="318"/>
        <v>0</v>
      </c>
      <c r="BJ309" s="108">
        <f t="shared" si="319"/>
        <v>0</v>
      </c>
    </row>
    <row r="310" spans="1:62" x14ac:dyDescent="0.2">
      <c r="A310" s="117" t="s">
        <v>272</v>
      </c>
      <c r="B310" s="117" t="s">
        <v>3570</v>
      </c>
      <c r="C310" s="304" t="s">
        <v>1336</v>
      </c>
      <c r="D310" s="305"/>
      <c r="E310" s="305"/>
      <c r="F310" s="117" t="s">
        <v>1644</v>
      </c>
      <c r="G310" s="116">
        <v>2</v>
      </c>
      <c r="H310" s="159"/>
      <c r="I310" s="108">
        <f t="shared" si="296"/>
        <v>0</v>
      </c>
      <c r="J310" s="108">
        <f t="shared" si="297"/>
        <v>0</v>
      </c>
      <c r="K310" s="108">
        <f t="shared" si="298"/>
        <v>0</v>
      </c>
      <c r="L310" s="111"/>
      <c r="Z310" s="100">
        <f t="shared" si="299"/>
        <v>0</v>
      </c>
      <c r="AB310" s="100">
        <f t="shared" si="300"/>
        <v>0</v>
      </c>
      <c r="AC310" s="100">
        <f t="shared" si="301"/>
        <v>0</v>
      </c>
      <c r="AD310" s="100">
        <f t="shared" si="302"/>
        <v>0</v>
      </c>
      <c r="AE310" s="100">
        <f t="shared" si="303"/>
        <v>0</v>
      </c>
      <c r="AF310" s="100">
        <f t="shared" si="304"/>
        <v>0</v>
      </c>
      <c r="AG310" s="100">
        <f t="shared" si="305"/>
        <v>0</v>
      </c>
      <c r="AH310" s="100">
        <f t="shared" si="306"/>
        <v>0</v>
      </c>
      <c r="AI310" s="109"/>
      <c r="AJ310" s="108">
        <f t="shared" si="307"/>
        <v>0</v>
      </c>
      <c r="AK310" s="108">
        <f t="shared" si="308"/>
        <v>0</v>
      </c>
      <c r="AL310" s="108">
        <f t="shared" si="309"/>
        <v>0</v>
      </c>
      <c r="AN310" s="100">
        <v>15</v>
      </c>
      <c r="AO310" s="100">
        <f t="shared" si="310"/>
        <v>0</v>
      </c>
      <c r="AP310" s="100">
        <f t="shared" si="311"/>
        <v>0</v>
      </c>
      <c r="AQ310" s="111" t="s">
        <v>13</v>
      </c>
      <c r="AV310" s="100">
        <f t="shared" si="312"/>
        <v>0</v>
      </c>
      <c r="AW310" s="100">
        <f t="shared" si="313"/>
        <v>0</v>
      </c>
      <c r="AX310" s="100">
        <f t="shared" si="314"/>
        <v>0</v>
      </c>
      <c r="AY310" s="110" t="s">
        <v>1709</v>
      </c>
      <c r="AZ310" s="110" t="s">
        <v>1733</v>
      </c>
      <c r="BA310" s="109" t="s">
        <v>1737</v>
      </c>
      <c r="BC310" s="100">
        <f t="shared" si="315"/>
        <v>0</v>
      </c>
      <c r="BD310" s="100">
        <f t="shared" si="316"/>
        <v>0</v>
      </c>
      <c r="BE310" s="100">
        <v>0</v>
      </c>
      <c r="BF310" s="100">
        <f>310</f>
        <v>310</v>
      </c>
      <c r="BH310" s="108">
        <f t="shared" si="317"/>
        <v>0</v>
      </c>
      <c r="BI310" s="108">
        <f t="shared" si="318"/>
        <v>0</v>
      </c>
      <c r="BJ310" s="108">
        <f t="shared" si="319"/>
        <v>0</v>
      </c>
    </row>
    <row r="311" spans="1:62" x14ac:dyDescent="0.2">
      <c r="A311" s="117" t="s">
        <v>273</v>
      </c>
      <c r="B311" s="117" t="s">
        <v>3569</v>
      </c>
      <c r="C311" s="304" t="s">
        <v>1337</v>
      </c>
      <c r="D311" s="305"/>
      <c r="E311" s="305"/>
      <c r="F311" s="117" t="s">
        <v>1644</v>
      </c>
      <c r="G311" s="116">
        <v>1</v>
      </c>
      <c r="H311" s="159"/>
      <c r="I311" s="108">
        <f t="shared" si="296"/>
        <v>0</v>
      </c>
      <c r="J311" s="108">
        <f t="shared" si="297"/>
        <v>0</v>
      </c>
      <c r="K311" s="108">
        <f t="shared" si="298"/>
        <v>0</v>
      </c>
      <c r="L311" s="111"/>
      <c r="Z311" s="100">
        <f t="shared" si="299"/>
        <v>0</v>
      </c>
      <c r="AB311" s="100">
        <f t="shared" si="300"/>
        <v>0</v>
      </c>
      <c r="AC311" s="100">
        <f t="shared" si="301"/>
        <v>0</v>
      </c>
      <c r="AD311" s="100">
        <f t="shared" si="302"/>
        <v>0</v>
      </c>
      <c r="AE311" s="100">
        <f t="shared" si="303"/>
        <v>0</v>
      </c>
      <c r="AF311" s="100">
        <f t="shared" si="304"/>
        <v>0</v>
      </c>
      <c r="AG311" s="100">
        <f t="shared" si="305"/>
        <v>0</v>
      </c>
      <c r="AH311" s="100">
        <f t="shared" si="306"/>
        <v>0</v>
      </c>
      <c r="AI311" s="109"/>
      <c r="AJ311" s="108">
        <f t="shared" si="307"/>
        <v>0</v>
      </c>
      <c r="AK311" s="108">
        <f t="shared" si="308"/>
        <v>0</v>
      </c>
      <c r="AL311" s="108">
        <f t="shared" si="309"/>
        <v>0</v>
      </c>
      <c r="AN311" s="100">
        <v>15</v>
      </c>
      <c r="AO311" s="100">
        <f t="shared" si="310"/>
        <v>0</v>
      </c>
      <c r="AP311" s="100">
        <f t="shared" si="311"/>
        <v>0</v>
      </c>
      <c r="AQ311" s="111" t="s">
        <v>13</v>
      </c>
      <c r="AV311" s="100">
        <f t="shared" si="312"/>
        <v>0</v>
      </c>
      <c r="AW311" s="100">
        <f t="shared" si="313"/>
        <v>0</v>
      </c>
      <c r="AX311" s="100">
        <f t="shared" si="314"/>
        <v>0</v>
      </c>
      <c r="AY311" s="110" t="s">
        <v>1709</v>
      </c>
      <c r="AZ311" s="110" t="s">
        <v>1733</v>
      </c>
      <c r="BA311" s="109" t="s">
        <v>1737</v>
      </c>
      <c r="BC311" s="100">
        <f t="shared" si="315"/>
        <v>0</v>
      </c>
      <c r="BD311" s="100">
        <f t="shared" si="316"/>
        <v>0</v>
      </c>
      <c r="BE311" s="100">
        <v>0</v>
      </c>
      <c r="BF311" s="100">
        <f>311</f>
        <v>311</v>
      </c>
      <c r="BH311" s="108">
        <f t="shared" si="317"/>
        <v>0</v>
      </c>
      <c r="BI311" s="108">
        <f t="shared" si="318"/>
        <v>0</v>
      </c>
      <c r="BJ311" s="108">
        <f t="shared" si="319"/>
        <v>0</v>
      </c>
    </row>
    <row r="312" spans="1:62" x14ac:dyDescent="0.2">
      <c r="A312" s="117" t="s">
        <v>274</v>
      </c>
      <c r="B312" s="117" t="s">
        <v>3568</v>
      </c>
      <c r="C312" s="304" t="s">
        <v>1338</v>
      </c>
      <c r="D312" s="305"/>
      <c r="E312" s="305"/>
      <c r="F312" s="117" t="s">
        <v>1644</v>
      </c>
      <c r="G312" s="116">
        <v>2</v>
      </c>
      <c r="H312" s="159"/>
      <c r="I312" s="108">
        <f t="shared" si="296"/>
        <v>0</v>
      </c>
      <c r="J312" s="108">
        <f t="shared" si="297"/>
        <v>0</v>
      </c>
      <c r="K312" s="108">
        <f t="shared" si="298"/>
        <v>0</v>
      </c>
      <c r="L312" s="111"/>
      <c r="Z312" s="100">
        <f t="shared" si="299"/>
        <v>0</v>
      </c>
      <c r="AB312" s="100">
        <f t="shared" si="300"/>
        <v>0</v>
      </c>
      <c r="AC312" s="100">
        <f t="shared" si="301"/>
        <v>0</v>
      </c>
      <c r="AD312" s="100">
        <f t="shared" si="302"/>
        <v>0</v>
      </c>
      <c r="AE312" s="100">
        <f t="shared" si="303"/>
        <v>0</v>
      </c>
      <c r="AF312" s="100">
        <f t="shared" si="304"/>
        <v>0</v>
      </c>
      <c r="AG312" s="100">
        <f t="shared" si="305"/>
        <v>0</v>
      </c>
      <c r="AH312" s="100">
        <f t="shared" si="306"/>
        <v>0</v>
      </c>
      <c r="AI312" s="109"/>
      <c r="AJ312" s="108">
        <f t="shared" si="307"/>
        <v>0</v>
      </c>
      <c r="AK312" s="108">
        <f t="shared" si="308"/>
        <v>0</v>
      </c>
      <c r="AL312" s="108">
        <f t="shared" si="309"/>
        <v>0</v>
      </c>
      <c r="AN312" s="100">
        <v>15</v>
      </c>
      <c r="AO312" s="100">
        <f t="shared" si="310"/>
        <v>0</v>
      </c>
      <c r="AP312" s="100">
        <f t="shared" si="311"/>
        <v>0</v>
      </c>
      <c r="AQ312" s="111" t="s">
        <v>13</v>
      </c>
      <c r="AV312" s="100">
        <f t="shared" si="312"/>
        <v>0</v>
      </c>
      <c r="AW312" s="100">
        <f t="shared" si="313"/>
        <v>0</v>
      </c>
      <c r="AX312" s="100">
        <f t="shared" si="314"/>
        <v>0</v>
      </c>
      <c r="AY312" s="110" t="s">
        <v>1709</v>
      </c>
      <c r="AZ312" s="110" t="s">
        <v>1733</v>
      </c>
      <c r="BA312" s="109" t="s">
        <v>1737</v>
      </c>
      <c r="BC312" s="100">
        <f t="shared" si="315"/>
        <v>0</v>
      </c>
      <c r="BD312" s="100">
        <f t="shared" si="316"/>
        <v>0</v>
      </c>
      <c r="BE312" s="100">
        <v>0</v>
      </c>
      <c r="BF312" s="100">
        <f>312</f>
        <v>312</v>
      </c>
      <c r="BH312" s="108">
        <f t="shared" si="317"/>
        <v>0</v>
      </c>
      <c r="BI312" s="108">
        <f t="shared" si="318"/>
        <v>0</v>
      </c>
      <c r="BJ312" s="108">
        <f t="shared" si="319"/>
        <v>0</v>
      </c>
    </row>
    <row r="313" spans="1:62" x14ac:dyDescent="0.2">
      <c r="A313" s="117" t="s">
        <v>275</v>
      </c>
      <c r="B313" s="117" t="s">
        <v>3567</v>
      </c>
      <c r="C313" s="304" t="s">
        <v>1339</v>
      </c>
      <c r="D313" s="305"/>
      <c r="E313" s="305"/>
      <c r="F313" s="117" t="s">
        <v>1644</v>
      </c>
      <c r="G313" s="116">
        <v>1</v>
      </c>
      <c r="H313" s="159"/>
      <c r="I313" s="108">
        <f t="shared" si="296"/>
        <v>0</v>
      </c>
      <c r="J313" s="108">
        <f t="shared" si="297"/>
        <v>0</v>
      </c>
      <c r="K313" s="108">
        <f t="shared" si="298"/>
        <v>0</v>
      </c>
      <c r="L313" s="111"/>
      <c r="Z313" s="100">
        <f t="shared" si="299"/>
        <v>0</v>
      </c>
      <c r="AB313" s="100">
        <f t="shared" si="300"/>
        <v>0</v>
      </c>
      <c r="AC313" s="100">
        <f t="shared" si="301"/>
        <v>0</v>
      </c>
      <c r="AD313" s="100">
        <f t="shared" si="302"/>
        <v>0</v>
      </c>
      <c r="AE313" s="100">
        <f t="shared" si="303"/>
        <v>0</v>
      </c>
      <c r="AF313" s="100">
        <f t="shared" si="304"/>
        <v>0</v>
      </c>
      <c r="AG313" s="100">
        <f t="shared" si="305"/>
        <v>0</v>
      </c>
      <c r="AH313" s="100">
        <f t="shared" si="306"/>
        <v>0</v>
      </c>
      <c r="AI313" s="109"/>
      <c r="AJ313" s="108">
        <f t="shared" si="307"/>
        <v>0</v>
      </c>
      <c r="AK313" s="108">
        <f t="shared" si="308"/>
        <v>0</v>
      </c>
      <c r="AL313" s="108">
        <f t="shared" si="309"/>
        <v>0</v>
      </c>
      <c r="AN313" s="100">
        <v>15</v>
      </c>
      <c r="AO313" s="100">
        <f t="shared" si="310"/>
        <v>0</v>
      </c>
      <c r="AP313" s="100">
        <f t="shared" si="311"/>
        <v>0</v>
      </c>
      <c r="AQ313" s="111" t="s">
        <v>13</v>
      </c>
      <c r="AV313" s="100">
        <f t="shared" si="312"/>
        <v>0</v>
      </c>
      <c r="AW313" s="100">
        <f t="shared" si="313"/>
        <v>0</v>
      </c>
      <c r="AX313" s="100">
        <f t="shared" si="314"/>
        <v>0</v>
      </c>
      <c r="AY313" s="110" t="s">
        <v>1709</v>
      </c>
      <c r="AZ313" s="110" t="s">
        <v>1733</v>
      </c>
      <c r="BA313" s="109" t="s">
        <v>1737</v>
      </c>
      <c r="BC313" s="100">
        <f t="shared" si="315"/>
        <v>0</v>
      </c>
      <c r="BD313" s="100">
        <f t="shared" si="316"/>
        <v>0</v>
      </c>
      <c r="BE313" s="100">
        <v>0</v>
      </c>
      <c r="BF313" s="100">
        <f>313</f>
        <v>313</v>
      </c>
      <c r="BH313" s="108">
        <f t="shared" si="317"/>
        <v>0</v>
      </c>
      <c r="BI313" s="108">
        <f t="shared" si="318"/>
        <v>0</v>
      </c>
      <c r="BJ313" s="108">
        <f t="shared" si="319"/>
        <v>0</v>
      </c>
    </row>
    <row r="314" spans="1:62" x14ac:dyDescent="0.2">
      <c r="A314" s="117" t="s">
        <v>276</v>
      </c>
      <c r="B314" s="117" t="s">
        <v>3566</v>
      </c>
      <c r="C314" s="304" t="s">
        <v>1341</v>
      </c>
      <c r="D314" s="305"/>
      <c r="E314" s="305"/>
      <c r="F314" s="117" t="s">
        <v>1644</v>
      </c>
      <c r="G314" s="116">
        <v>2</v>
      </c>
      <c r="H314" s="159"/>
      <c r="I314" s="108">
        <f t="shared" si="296"/>
        <v>0</v>
      </c>
      <c r="J314" s="108">
        <f t="shared" si="297"/>
        <v>0</v>
      </c>
      <c r="K314" s="108">
        <f t="shared" si="298"/>
        <v>0</v>
      </c>
      <c r="L314" s="111"/>
      <c r="Z314" s="100">
        <f t="shared" si="299"/>
        <v>0</v>
      </c>
      <c r="AB314" s="100">
        <f t="shared" si="300"/>
        <v>0</v>
      </c>
      <c r="AC314" s="100">
        <f t="shared" si="301"/>
        <v>0</v>
      </c>
      <c r="AD314" s="100">
        <f t="shared" si="302"/>
        <v>0</v>
      </c>
      <c r="AE314" s="100">
        <f t="shared" si="303"/>
        <v>0</v>
      </c>
      <c r="AF314" s="100">
        <f t="shared" si="304"/>
        <v>0</v>
      </c>
      <c r="AG314" s="100">
        <f t="shared" si="305"/>
        <v>0</v>
      </c>
      <c r="AH314" s="100">
        <f t="shared" si="306"/>
        <v>0</v>
      </c>
      <c r="AI314" s="109"/>
      <c r="AJ314" s="108">
        <f t="shared" si="307"/>
        <v>0</v>
      </c>
      <c r="AK314" s="108">
        <f t="shared" si="308"/>
        <v>0</v>
      </c>
      <c r="AL314" s="108">
        <f t="shared" si="309"/>
        <v>0</v>
      </c>
      <c r="AN314" s="100">
        <v>15</v>
      </c>
      <c r="AO314" s="100">
        <f t="shared" si="310"/>
        <v>0</v>
      </c>
      <c r="AP314" s="100">
        <f t="shared" si="311"/>
        <v>0</v>
      </c>
      <c r="AQ314" s="111" t="s">
        <v>13</v>
      </c>
      <c r="AV314" s="100">
        <f t="shared" si="312"/>
        <v>0</v>
      </c>
      <c r="AW314" s="100">
        <f t="shared" si="313"/>
        <v>0</v>
      </c>
      <c r="AX314" s="100">
        <f t="shared" si="314"/>
        <v>0</v>
      </c>
      <c r="AY314" s="110" t="s">
        <v>1709</v>
      </c>
      <c r="AZ314" s="110" t="s">
        <v>1733</v>
      </c>
      <c r="BA314" s="109" t="s">
        <v>1737</v>
      </c>
      <c r="BC314" s="100">
        <f t="shared" si="315"/>
        <v>0</v>
      </c>
      <c r="BD314" s="100">
        <f t="shared" si="316"/>
        <v>0</v>
      </c>
      <c r="BE314" s="100">
        <v>0</v>
      </c>
      <c r="BF314" s="100">
        <f>314</f>
        <v>314</v>
      </c>
      <c r="BH314" s="108">
        <f t="shared" si="317"/>
        <v>0</v>
      </c>
      <c r="BI314" s="108">
        <f t="shared" si="318"/>
        <v>0</v>
      </c>
      <c r="BJ314" s="108">
        <f t="shared" si="319"/>
        <v>0</v>
      </c>
    </row>
    <row r="315" spans="1:62" x14ac:dyDescent="0.2">
      <c r="A315" s="117" t="s">
        <v>277</v>
      </c>
      <c r="B315" s="117" t="s">
        <v>3565</v>
      </c>
      <c r="C315" s="304" t="s">
        <v>3564</v>
      </c>
      <c r="D315" s="305"/>
      <c r="E315" s="305"/>
      <c r="F315" s="117" t="s">
        <v>1646</v>
      </c>
      <c r="G315" s="116">
        <v>10</v>
      </c>
      <c r="H315" s="159"/>
      <c r="I315" s="108">
        <f t="shared" si="296"/>
        <v>0</v>
      </c>
      <c r="J315" s="108">
        <f t="shared" si="297"/>
        <v>0</v>
      </c>
      <c r="K315" s="108">
        <f t="shared" si="298"/>
        <v>0</v>
      </c>
      <c r="L315" s="111"/>
      <c r="Z315" s="100">
        <f t="shared" si="299"/>
        <v>0</v>
      </c>
      <c r="AB315" s="100">
        <f t="shared" si="300"/>
        <v>0</v>
      </c>
      <c r="AC315" s="100">
        <f t="shared" si="301"/>
        <v>0</v>
      </c>
      <c r="AD315" s="100">
        <f t="shared" si="302"/>
        <v>0</v>
      </c>
      <c r="AE315" s="100">
        <f t="shared" si="303"/>
        <v>0</v>
      </c>
      <c r="AF315" s="100">
        <f t="shared" si="304"/>
        <v>0</v>
      </c>
      <c r="AG315" s="100">
        <f t="shared" si="305"/>
        <v>0</v>
      </c>
      <c r="AH315" s="100">
        <f t="shared" si="306"/>
        <v>0</v>
      </c>
      <c r="AI315" s="109"/>
      <c r="AJ315" s="108">
        <f t="shared" si="307"/>
        <v>0</v>
      </c>
      <c r="AK315" s="108">
        <f t="shared" si="308"/>
        <v>0</v>
      </c>
      <c r="AL315" s="108">
        <f t="shared" si="309"/>
        <v>0</v>
      </c>
      <c r="AN315" s="100">
        <v>15</v>
      </c>
      <c r="AO315" s="100">
        <f t="shared" si="310"/>
        <v>0</v>
      </c>
      <c r="AP315" s="100">
        <f t="shared" si="311"/>
        <v>0</v>
      </c>
      <c r="AQ315" s="111" t="s">
        <v>13</v>
      </c>
      <c r="AV315" s="100">
        <f t="shared" si="312"/>
        <v>0</v>
      </c>
      <c r="AW315" s="100">
        <f t="shared" si="313"/>
        <v>0</v>
      </c>
      <c r="AX315" s="100">
        <f t="shared" si="314"/>
        <v>0</v>
      </c>
      <c r="AY315" s="110" t="s">
        <v>1709</v>
      </c>
      <c r="AZ315" s="110" t="s">
        <v>1733</v>
      </c>
      <c r="BA315" s="109" t="s">
        <v>1737</v>
      </c>
      <c r="BC315" s="100">
        <f t="shared" si="315"/>
        <v>0</v>
      </c>
      <c r="BD315" s="100">
        <f t="shared" si="316"/>
        <v>0</v>
      </c>
      <c r="BE315" s="100">
        <v>0</v>
      </c>
      <c r="BF315" s="100">
        <f>315</f>
        <v>315</v>
      </c>
      <c r="BH315" s="108">
        <f t="shared" si="317"/>
        <v>0</v>
      </c>
      <c r="BI315" s="108">
        <f t="shared" si="318"/>
        <v>0</v>
      </c>
      <c r="BJ315" s="108">
        <f t="shared" si="319"/>
        <v>0</v>
      </c>
    </row>
    <row r="316" spans="1:62" x14ac:dyDescent="0.2">
      <c r="A316" s="117" t="s">
        <v>278</v>
      </c>
      <c r="B316" s="117" t="s">
        <v>3563</v>
      </c>
      <c r="C316" s="304" t="s">
        <v>1343</v>
      </c>
      <c r="D316" s="305"/>
      <c r="E316" s="305"/>
      <c r="F316" s="117" t="s">
        <v>1646</v>
      </c>
      <c r="G316" s="116">
        <v>9</v>
      </c>
      <c r="H316" s="159"/>
      <c r="I316" s="108">
        <f t="shared" si="296"/>
        <v>0</v>
      </c>
      <c r="J316" s="108">
        <f t="shared" si="297"/>
        <v>0</v>
      </c>
      <c r="K316" s="108">
        <f t="shared" si="298"/>
        <v>0</v>
      </c>
      <c r="L316" s="111"/>
      <c r="Z316" s="100">
        <f t="shared" si="299"/>
        <v>0</v>
      </c>
      <c r="AB316" s="100">
        <f t="shared" si="300"/>
        <v>0</v>
      </c>
      <c r="AC316" s="100">
        <f t="shared" si="301"/>
        <v>0</v>
      </c>
      <c r="AD316" s="100">
        <f t="shared" si="302"/>
        <v>0</v>
      </c>
      <c r="AE316" s="100">
        <f t="shared" si="303"/>
        <v>0</v>
      </c>
      <c r="AF316" s="100">
        <f t="shared" si="304"/>
        <v>0</v>
      </c>
      <c r="AG316" s="100">
        <f t="shared" si="305"/>
        <v>0</v>
      </c>
      <c r="AH316" s="100">
        <f t="shared" si="306"/>
        <v>0</v>
      </c>
      <c r="AI316" s="109"/>
      <c r="AJ316" s="108">
        <f t="shared" si="307"/>
        <v>0</v>
      </c>
      <c r="AK316" s="108">
        <f t="shared" si="308"/>
        <v>0</v>
      </c>
      <c r="AL316" s="108">
        <f t="shared" si="309"/>
        <v>0</v>
      </c>
      <c r="AN316" s="100">
        <v>15</v>
      </c>
      <c r="AO316" s="100">
        <f t="shared" si="310"/>
        <v>0</v>
      </c>
      <c r="AP316" s="100">
        <f t="shared" si="311"/>
        <v>0</v>
      </c>
      <c r="AQ316" s="111" t="s">
        <v>13</v>
      </c>
      <c r="AV316" s="100">
        <f t="shared" si="312"/>
        <v>0</v>
      </c>
      <c r="AW316" s="100">
        <f t="shared" si="313"/>
        <v>0</v>
      </c>
      <c r="AX316" s="100">
        <f t="shared" si="314"/>
        <v>0</v>
      </c>
      <c r="AY316" s="110" t="s">
        <v>1709</v>
      </c>
      <c r="AZ316" s="110" t="s">
        <v>1733</v>
      </c>
      <c r="BA316" s="109" t="s">
        <v>1737</v>
      </c>
      <c r="BC316" s="100">
        <f t="shared" si="315"/>
        <v>0</v>
      </c>
      <c r="BD316" s="100">
        <f t="shared" si="316"/>
        <v>0</v>
      </c>
      <c r="BE316" s="100">
        <v>0</v>
      </c>
      <c r="BF316" s="100">
        <f>316</f>
        <v>316</v>
      </c>
      <c r="BH316" s="108">
        <f t="shared" si="317"/>
        <v>0</v>
      </c>
      <c r="BI316" s="108">
        <f t="shared" si="318"/>
        <v>0</v>
      </c>
      <c r="BJ316" s="108">
        <f t="shared" si="319"/>
        <v>0</v>
      </c>
    </row>
    <row r="317" spans="1:62" x14ac:dyDescent="0.2">
      <c r="A317" s="117" t="s">
        <v>279</v>
      </c>
      <c r="B317" s="117" t="s">
        <v>3562</v>
      </c>
      <c r="C317" s="304" t="s">
        <v>1344</v>
      </c>
      <c r="D317" s="305"/>
      <c r="E317" s="305"/>
      <c r="F317" s="117" t="s">
        <v>1646</v>
      </c>
      <c r="G317" s="116">
        <v>80</v>
      </c>
      <c r="H317" s="159"/>
      <c r="I317" s="108">
        <f t="shared" si="296"/>
        <v>0</v>
      </c>
      <c r="J317" s="108">
        <f t="shared" si="297"/>
        <v>0</v>
      </c>
      <c r="K317" s="108">
        <f t="shared" si="298"/>
        <v>0</v>
      </c>
      <c r="L317" s="111"/>
      <c r="Z317" s="100">
        <f t="shared" si="299"/>
        <v>0</v>
      </c>
      <c r="AB317" s="100">
        <f t="shared" si="300"/>
        <v>0</v>
      </c>
      <c r="AC317" s="100">
        <f t="shared" si="301"/>
        <v>0</v>
      </c>
      <c r="AD317" s="100">
        <f t="shared" si="302"/>
        <v>0</v>
      </c>
      <c r="AE317" s="100">
        <f t="shared" si="303"/>
        <v>0</v>
      </c>
      <c r="AF317" s="100">
        <f t="shared" si="304"/>
        <v>0</v>
      </c>
      <c r="AG317" s="100">
        <f t="shared" si="305"/>
        <v>0</v>
      </c>
      <c r="AH317" s="100">
        <f t="shared" si="306"/>
        <v>0</v>
      </c>
      <c r="AI317" s="109"/>
      <c r="AJ317" s="108">
        <f t="shared" si="307"/>
        <v>0</v>
      </c>
      <c r="AK317" s="108">
        <f t="shared" si="308"/>
        <v>0</v>
      </c>
      <c r="AL317" s="108">
        <f t="shared" si="309"/>
        <v>0</v>
      </c>
      <c r="AN317" s="100">
        <v>15</v>
      </c>
      <c r="AO317" s="100">
        <f t="shared" si="310"/>
        <v>0</v>
      </c>
      <c r="AP317" s="100">
        <f t="shared" si="311"/>
        <v>0</v>
      </c>
      <c r="AQ317" s="111" t="s">
        <v>13</v>
      </c>
      <c r="AV317" s="100">
        <f t="shared" si="312"/>
        <v>0</v>
      </c>
      <c r="AW317" s="100">
        <f t="shared" si="313"/>
        <v>0</v>
      </c>
      <c r="AX317" s="100">
        <f t="shared" si="314"/>
        <v>0</v>
      </c>
      <c r="AY317" s="110" t="s">
        <v>1709</v>
      </c>
      <c r="AZ317" s="110" t="s">
        <v>1733</v>
      </c>
      <c r="BA317" s="109" t="s">
        <v>1737</v>
      </c>
      <c r="BC317" s="100">
        <f t="shared" si="315"/>
        <v>0</v>
      </c>
      <c r="BD317" s="100">
        <f t="shared" si="316"/>
        <v>0</v>
      </c>
      <c r="BE317" s="100">
        <v>0</v>
      </c>
      <c r="BF317" s="100">
        <f>317</f>
        <v>317</v>
      </c>
      <c r="BH317" s="108">
        <f t="shared" si="317"/>
        <v>0</v>
      </c>
      <c r="BI317" s="108">
        <f t="shared" si="318"/>
        <v>0</v>
      </c>
      <c r="BJ317" s="108">
        <f t="shared" si="319"/>
        <v>0</v>
      </c>
    </row>
    <row r="318" spans="1:62" x14ac:dyDescent="0.2">
      <c r="A318" s="117" t="s">
        <v>280</v>
      </c>
      <c r="B318" s="117" t="s">
        <v>3561</v>
      </c>
      <c r="C318" s="304" t="s">
        <v>3560</v>
      </c>
      <c r="D318" s="305"/>
      <c r="E318" s="305"/>
      <c r="F318" s="117" t="s">
        <v>1644</v>
      </c>
      <c r="G318" s="116">
        <v>1</v>
      </c>
      <c r="H318" s="159"/>
      <c r="I318" s="108">
        <f t="shared" si="296"/>
        <v>0</v>
      </c>
      <c r="J318" s="108">
        <f t="shared" si="297"/>
        <v>0</v>
      </c>
      <c r="K318" s="108">
        <f t="shared" si="298"/>
        <v>0</v>
      </c>
      <c r="L318" s="111"/>
      <c r="Z318" s="100">
        <f t="shared" si="299"/>
        <v>0</v>
      </c>
      <c r="AB318" s="100">
        <f t="shared" si="300"/>
        <v>0</v>
      </c>
      <c r="AC318" s="100">
        <f t="shared" si="301"/>
        <v>0</v>
      </c>
      <c r="AD318" s="100">
        <f t="shared" si="302"/>
        <v>0</v>
      </c>
      <c r="AE318" s="100">
        <f t="shared" si="303"/>
        <v>0</v>
      </c>
      <c r="AF318" s="100">
        <f t="shared" si="304"/>
        <v>0</v>
      </c>
      <c r="AG318" s="100">
        <f t="shared" si="305"/>
        <v>0</v>
      </c>
      <c r="AH318" s="100">
        <f t="shared" si="306"/>
        <v>0</v>
      </c>
      <c r="AI318" s="109"/>
      <c r="AJ318" s="108">
        <f t="shared" si="307"/>
        <v>0</v>
      </c>
      <c r="AK318" s="108">
        <f t="shared" si="308"/>
        <v>0</v>
      </c>
      <c r="AL318" s="108">
        <f t="shared" si="309"/>
        <v>0</v>
      </c>
      <c r="AN318" s="100">
        <v>15</v>
      </c>
      <c r="AO318" s="100">
        <f t="shared" si="310"/>
        <v>0</v>
      </c>
      <c r="AP318" s="100">
        <f t="shared" si="311"/>
        <v>0</v>
      </c>
      <c r="AQ318" s="111" t="s">
        <v>13</v>
      </c>
      <c r="AV318" s="100">
        <f t="shared" si="312"/>
        <v>0</v>
      </c>
      <c r="AW318" s="100">
        <f t="shared" si="313"/>
        <v>0</v>
      </c>
      <c r="AX318" s="100">
        <f t="shared" si="314"/>
        <v>0</v>
      </c>
      <c r="AY318" s="110" t="s">
        <v>1709</v>
      </c>
      <c r="AZ318" s="110" t="s">
        <v>1733</v>
      </c>
      <c r="BA318" s="109" t="s">
        <v>1737</v>
      </c>
      <c r="BC318" s="100">
        <f t="shared" si="315"/>
        <v>0</v>
      </c>
      <c r="BD318" s="100">
        <f t="shared" si="316"/>
        <v>0</v>
      </c>
      <c r="BE318" s="100">
        <v>0</v>
      </c>
      <c r="BF318" s="100">
        <f>318</f>
        <v>318</v>
      </c>
      <c r="BH318" s="108">
        <f t="shared" si="317"/>
        <v>0</v>
      </c>
      <c r="BI318" s="108">
        <f t="shared" si="318"/>
        <v>0</v>
      </c>
      <c r="BJ318" s="108">
        <f t="shared" si="319"/>
        <v>0</v>
      </c>
    </row>
    <row r="319" spans="1:62" x14ac:dyDescent="0.2">
      <c r="A319" s="117" t="s">
        <v>281</v>
      </c>
      <c r="B319" s="117" t="s">
        <v>3559</v>
      </c>
      <c r="C319" s="304" t="s">
        <v>1346</v>
      </c>
      <c r="D319" s="305"/>
      <c r="E319" s="305"/>
      <c r="F319" s="117" t="s">
        <v>1644</v>
      </c>
      <c r="G319" s="116">
        <v>1</v>
      </c>
      <c r="H319" s="159"/>
      <c r="I319" s="108">
        <f t="shared" si="296"/>
        <v>0</v>
      </c>
      <c r="J319" s="108">
        <f t="shared" si="297"/>
        <v>0</v>
      </c>
      <c r="K319" s="108">
        <f t="shared" si="298"/>
        <v>0</v>
      </c>
      <c r="L319" s="111"/>
      <c r="Z319" s="100">
        <f t="shared" si="299"/>
        <v>0</v>
      </c>
      <c r="AB319" s="100">
        <f t="shared" si="300"/>
        <v>0</v>
      </c>
      <c r="AC319" s="100">
        <f t="shared" si="301"/>
        <v>0</v>
      </c>
      <c r="AD319" s="100">
        <f t="shared" si="302"/>
        <v>0</v>
      </c>
      <c r="AE319" s="100">
        <f t="shared" si="303"/>
        <v>0</v>
      </c>
      <c r="AF319" s="100">
        <f t="shared" si="304"/>
        <v>0</v>
      </c>
      <c r="AG319" s="100">
        <f t="shared" si="305"/>
        <v>0</v>
      </c>
      <c r="AH319" s="100">
        <f t="shared" si="306"/>
        <v>0</v>
      </c>
      <c r="AI319" s="109"/>
      <c r="AJ319" s="108">
        <f t="shared" si="307"/>
        <v>0</v>
      </c>
      <c r="AK319" s="108">
        <f t="shared" si="308"/>
        <v>0</v>
      </c>
      <c r="AL319" s="108">
        <f t="shared" si="309"/>
        <v>0</v>
      </c>
      <c r="AN319" s="100">
        <v>15</v>
      </c>
      <c r="AO319" s="100">
        <f t="shared" si="310"/>
        <v>0</v>
      </c>
      <c r="AP319" s="100">
        <f t="shared" si="311"/>
        <v>0</v>
      </c>
      <c r="AQ319" s="111" t="s">
        <v>13</v>
      </c>
      <c r="AV319" s="100">
        <f t="shared" si="312"/>
        <v>0</v>
      </c>
      <c r="AW319" s="100">
        <f t="shared" si="313"/>
        <v>0</v>
      </c>
      <c r="AX319" s="100">
        <f t="shared" si="314"/>
        <v>0</v>
      </c>
      <c r="AY319" s="110" t="s">
        <v>1709</v>
      </c>
      <c r="AZ319" s="110" t="s">
        <v>1733</v>
      </c>
      <c r="BA319" s="109" t="s">
        <v>1737</v>
      </c>
      <c r="BC319" s="100">
        <f t="shared" si="315"/>
        <v>0</v>
      </c>
      <c r="BD319" s="100">
        <f t="shared" si="316"/>
        <v>0</v>
      </c>
      <c r="BE319" s="100">
        <v>0</v>
      </c>
      <c r="BF319" s="100">
        <f>319</f>
        <v>319</v>
      </c>
      <c r="BH319" s="108">
        <f t="shared" si="317"/>
        <v>0</v>
      </c>
      <c r="BI319" s="108">
        <f t="shared" si="318"/>
        <v>0</v>
      </c>
      <c r="BJ319" s="108">
        <f t="shared" si="319"/>
        <v>0</v>
      </c>
    </row>
    <row r="320" spans="1:62" x14ac:dyDescent="0.2">
      <c r="A320" s="117" t="s">
        <v>282</v>
      </c>
      <c r="B320" s="117" t="s">
        <v>3558</v>
      </c>
      <c r="C320" s="304" t="s">
        <v>3557</v>
      </c>
      <c r="D320" s="305"/>
      <c r="E320" s="305"/>
      <c r="F320" s="117" t="s">
        <v>1644</v>
      </c>
      <c r="G320" s="116">
        <v>1</v>
      </c>
      <c r="H320" s="159"/>
      <c r="I320" s="108">
        <f t="shared" si="296"/>
        <v>0</v>
      </c>
      <c r="J320" s="108">
        <f t="shared" si="297"/>
        <v>0</v>
      </c>
      <c r="K320" s="108">
        <f t="shared" si="298"/>
        <v>0</v>
      </c>
      <c r="L320" s="111"/>
      <c r="Z320" s="100">
        <f t="shared" si="299"/>
        <v>0</v>
      </c>
      <c r="AB320" s="100">
        <f t="shared" si="300"/>
        <v>0</v>
      </c>
      <c r="AC320" s="100">
        <f t="shared" si="301"/>
        <v>0</v>
      </c>
      <c r="AD320" s="100">
        <f t="shared" si="302"/>
        <v>0</v>
      </c>
      <c r="AE320" s="100">
        <f t="shared" si="303"/>
        <v>0</v>
      </c>
      <c r="AF320" s="100">
        <f t="shared" si="304"/>
        <v>0</v>
      </c>
      <c r="AG320" s="100">
        <f t="shared" si="305"/>
        <v>0</v>
      </c>
      <c r="AH320" s="100">
        <f t="shared" si="306"/>
        <v>0</v>
      </c>
      <c r="AI320" s="109"/>
      <c r="AJ320" s="108">
        <f t="shared" si="307"/>
        <v>0</v>
      </c>
      <c r="AK320" s="108">
        <f t="shared" si="308"/>
        <v>0</v>
      </c>
      <c r="AL320" s="108">
        <f t="shared" si="309"/>
        <v>0</v>
      </c>
      <c r="AN320" s="100">
        <v>15</v>
      </c>
      <c r="AO320" s="100">
        <f t="shared" si="310"/>
        <v>0</v>
      </c>
      <c r="AP320" s="100">
        <f t="shared" si="311"/>
        <v>0</v>
      </c>
      <c r="AQ320" s="111" t="s">
        <v>13</v>
      </c>
      <c r="AV320" s="100">
        <f t="shared" si="312"/>
        <v>0</v>
      </c>
      <c r="AW320" s="100">
        <f t="shared" si="313"/>
        <v>0</v>
      </c>
      <c r="AX320" s="100">
        <f t="shared" si="314"/>
        <v>0</v>
      </c>
      <c r="AY320" s="110" t="s">
        <v>1709</v>
      </c>
      <c r="AZ320" s="110" t="s">
        <v>1733</v>
      </c>
      <c r="BA320" s="109" t="s">
        <v>1737</v>
      </c>
      <c r="BC320" s="100">
        <f t="shared" si="315"/>
        <v>0</v>
      </c>
      <c r="BD320" s="100">
        <f t="shared" si="316"/>
        <v>0</v>
      </c>
      <c r="BE320" s="100">
        <v>0</v>
      </c>
      <c r="BF320" s="100">
        <f>320</f>
        <v>320</v>
      </c>
      <c r="BH320" s="108">
        <f t="shared" si="317"/>
        <v>0</v>
      </c>
      <c r="BI320" s="108">
        <f t="shared" si="318"/>
        <v>0</v>
      </c>
      <c r="BJ320" s="108">
        <f t="shared" si="319"/>
        <v>0</v>
      </c>
    </row>
    <row r="321" spans="1:62" x14ac:dyDescent="0.2">
      <c r="A321" s="117" t="s">
        <v>283</v>
      </c>
      <c r="B321" s="117" t="s">
        <v>3556</v>
      </c>
      <c r="C321" s="304" t="s">
        <v>1253</v>
      </c>
      <c r="D321" s="305"/>
      <c r="E321" s="305"/>
      <c r="F321" s="117" t="s">
        <v>1644</v>
      </c>
      <c r="G321" s="116">
        <v>1</v>
      </c>
      <c r="H321" s="159"/>
      <c r="I321" s="108">
        <f t="shared" si="296"/>
        <v>0</v>
      </c>
      <c r="J321" s="108">
        <f t="shared" si="297"/>
        <v>0</v>
      </c>
      <c r="K321" s="108">
        <f t="shared" si="298"/>
        <v>0</v>
      </c>
      <c r="L321" s="111"/>
      <c r="Z321" s="100">
        <f t="shared" si="299"/>
        <v>0</v>
      </c>
      <c r="AB321" s="100">
        <f t="shared" si="300"/>
        <v>0</v>
      </c>
      <c r="AC321" s="100">
        <f t="shared" si="301"/>
        <v>0</v>
      </c>
      <c r="AD321" s="100">
        <f t="shared" si="302"/>
        <v>0</v>
      </c>
      <c r="AE321" s="100">
        <f t="shared" si="303"/>
        <v>0</v>
      </c>
      <c r="AF321" s="100">
        <f t="shared" si="304"/>
        <v>0</v>
      </c>
      <c r="AG321" s="100">
        <f t="shared" si="305"/>
        <v>0</v>
      </c>
      <c r="AH321" s="100">
        <f t="shared" si="306"/>
        <v>0</v>
      </c>
      <c r="AI321" s="109"/>
      <c r="AJ321" s="108">
        <f t="shared" si="307"/>
        <v>0</v>
      </c>
      <c r="AK321" s="108">
        <f t="shared" si="308"/>
        <v>0</v>
      </c>
      <c r="AL321" s="108">
        <f t="shared" si="309"/>
        <v>0</v>
      </c>
      <c r="AN321" s="100">
        <v>15</v>
      </c>
      <c r="AO321" s="100">
        <f t="shared" si="310"/>
        <v>0</v>
      </c>
      <c r="AP321" s="100">
        <f t="shared" si="311"/>
        <v>0</v>
      </c>
      <c r="AQ321" s="111" t="s">
        <v>13</v>
      </c>
      <c r="AV321" s="100">
        <f t="shared" si="312"/>
        <v>0</v>
      </c>
      <c r="AW321" s="100">
        <f t="shared" si="313"/>
        <v>0</v>
      </c>
      <c r="AX321" s="100">
        <f t="shared" si="314"/>
        <v>0</v>
      </c>
      <c r="AY321" s="110" t="s">
        <v>1709</v>
      </c>
      <c r="AZ321" s="110" t="s">
        <v>1733</v>
      </c>
      <c r="BA321" s="109" t="s">
        <v>1737</v>
      </c>
      <c r="BC321" s="100">
        <f t="shared" si="315"/>
        <v>0</v>
      </c>
      <c r="BD321" s="100">
        <f t="shared" si="316"/>
        <v>0</v>
      </c>
      <c r="BE321" s="100">
        <v>0</v>
      </c>
      <c r="BF321" s="100">
        <f>321</f>
        <v>321</v>
      </c>
      <c r="BH321" s="108">
        <f t="shared" si="317"/>
        <v>0</v>
      </c>
      <c r="BI321" s="108">
        <f t="shared" si="318"/>
        <v>0</v>
      </c>
      <c r="BJ321" s="108">
        <f t="shared" si="319"/>
        <v>0</v>
      </c>
    </row>
    <row r="322" spans="1:62" x14ac:dyDescent="0.2">
      <c r="A322" s="117" t="s">
        <v>284</v>
      </c>
      <c r="B322" s="117" t="s">
        <v>3555</v>
      </c>
      <c r="C322" s="304" t="s">
        <v>1347</v>
      </c>
      <c r="D322" s="305"/>
      <c r="E322" s="305"/>
      <c r="F322" s="117" t="s">
        <v>1646</v>
      </c>
      <c r="G322" s="116">
        <v>182</v>
      </c>
      <c r="H322" s="159"/>
      <c r="I322" s="108">
        <f t="shared" si="296"/>
        <v>0</v>
      </c>
      <c r="J322" s="108">
        <f t="shared" si="297"/>
        <v>0</v>
      </c>
      <c r="K322" s="108">
        <f t="shared" si="298"/>
        <v>0</v>
      </c>
      <c r="L322" s="111"/>
      <c r="Z322" s="100">
        <f t="shared" si="299"/>
        <v>0</v>
      </c>
      <c r="AB322" s="100">
        <f t="shared" si="300"/>
        <v>0</v>
      </c>
      <c r="AC322" s="100">
        <f t="shared" si="301"/>
        <v>0</v>
      </c>
      <c r="AD322" s="100">
        <f t="shared" si="302"/>
        <v>0</v>
      </c>
      <c r="AE322" s="100">
        <f t="shared" si="303"/>
        <v>0</v>
      </c>
      <c r="AF322" s="100">
        <f t="shared" si="304"/>
        <v>0</v>
      </c>
      <c r="AG322" s="100">
        <f t="shared" si="305"/>
        <v>0</v>
      </c>
      <c r="AH322" s="100">
        <f t="shared" si="306"/>
        <v>0</v>
      </c>
      <c r="AI322" s="109"/>
      <c r="AJ322" s="108">
        <f t="shared" si="307"/>
        <v>0</v>
      </c>
      <c r="AK322" s="108">
        <f t="shared" si="308"/>
        <v>0</v>
      </c>
      <c r="AL322" s="108">
        <f t="shared" si="309"/>
        <v>0</v>
      </c>
      <c r="AN322" s="100">
        <v>15</v>
      </c>
      <c r="AO322" s="100">
        <f t="shared" si="310"/>
        <v>0</v>
      </c>
      <c r="AP322" s="100">
        <f t="shared" si="311"/>
        <v>0</v>
      </c>
      <c r="AQ322" s="111" t="s">
        <v>13</v>
      </c>
      <c r="AV322" s="100">
        <f t="shared" si="312"/>
        <v>0</v>
      </c>
      <c r="AW322" s="100">
        <f t="shared" si="313"/>
        <v>0</v>
      </c>
      <c r="AX322" s="100">
        <f t="shared" si="314"/>
        <v>0</v>
      </c>
      <c r="AY322" s="110" t="s">
        <v>1709</v>
      </c>
      <c r="AZ322" s="110" t="s">
        <v>1733</v>
      </c>
      <c r="BA322" s="109" t="s">
        <v>1737</v>
      </c>
      <c r="BC322" s="100">
        <f t="shared" si="315"/>
        <v>0</v>
      </c>
      <c r="BD322" s="100">
        <f t="shared" si="316"/>
        <v>0</v>
      </c>
      <c r="BE322" s="100">
        <v>0</v>
      </c>
      <c r="BF322" s="100">
        <f>322</f>
        <v>322</v>
      </c>
      <c r="BH322" s="108">
        <f t="shared" si="317"/>
        <v>0</v>
      </c>
      <c r="BI322" s="108">
        <f t="shared" si="318"/>
        <v>0</v>
      </c>
      <c r="BJ322" s="108">
        <f t="shared" si="319"/>
        <v>0</v>
      </c>
    </row>
    <row r="323" spans="1:62" x14ac:dyDescent="0.2">
      <c r="A323" s="117" t="s">
        <v>285</v>
      </c>
      <c r="B323" s="117" t="s">
        <v>3554</v>
      </c>
      <c r="C323" s="304" t="s">
        <v>1348</v>
      </c>
      <c r="D323" s="305"/>
      <c r="E323" s="305"/>
      <c r="F323" s="117" t="s">
        <v>1644</v>
      </c>
      <c r="G323" s="116">
        <v>1</v>
      </c>
      <c r="H323" s="159"/>
      <c r="I323" s="108">
        <f t="shared" si="296"/>
        <v>0</v>
      </c>
      <c r="J323" s="108">
        <f t="shared" si="297"/>
        <v>0</v>
      </c>
      <c r="K323" s="108">
        <f t="shared" si="298"/>
        <v>0</v>
      </c>
      <c r="L323" s="111"/>
      <c r="Z323" s="100">
        <f t="shared" si="299"/>
        <v>0</v>
      </c>
      <c r="AB323" s="100">
        <f t="shared" si="300"/>
        <v>0</v>
      </c>
      <c r="AC323" s="100">
        <f t="shared" si="301"/>
        <v>0</v>
      </c>
      <c r="AD323" s="100">
        <f t="shared" si="302"/>
        <v>0</v>
      </c>
      <c r="AE323" s="100">
        <f t="shared" si="303"/>
        <v>0</v>
      </c>
      <c r="AF323" s="100">
        <f t="shared" si="304"/>
        <v>0</v>
      </c>
      <c r="AG323" s="100">
        <f t="shared" si="305"/>
        <v>0</v>
      </c>
      <c r="AH323" s="100">
        <f t="shared" si="306"/>
        <v>0</v>
      </c>
      <c r="AI323" s="109"/>
      <c r="AJ323" s="108">
        <f t="shared" si="307"/>
        <v>0</v>
      </c>
      <c r="AK323" s="108">
        <f t="shared" si="308"/>
        <v>0</v>
      </c>
      <c r="AL323" s="108">
        <f t="shared" si="309"/>
        <v>0</v>
      </c>
      <c r="AN323" s="100">
        <v>15</v>
      </c>
      <c r="AO323" s="100">
        <f t="shared" si="310"/>
        <v>0</v>
      </c>
      <c r="AP323" s="100">
        <f t="shared" si="311"/>
        <v>0</v>
      </c>
      <c r="AQ323" s="111" t="s">
        <v>13</v>
      </c>
      <c r="AV323" s="100">
        <f t="shared" si="312"/>
        <v>0</v>
      </c>
      <c r="AW323" s="100">
        <f t="shared" si="313"/>
        <v>0</v>
      </c>
      <c r="AX323" s="100">
        <f t="shared" si="314"/>
        <v>0</v>
      </c>
      <c r="AY323" s="110" t="s">
        <v>1709</v>
      </c>
      <c r="AZ323" s="110" t="s">
        <v>1733</v>
      </c>
      <c r="BA323" s="109" t="s">
        <v>1737</v>
      </c>
      <c r="BC323" s="100">
        <f t="shared" si="315"/>
        <v>0</v>
      </c>
      <c r="BD323" s="100">
        <f t="shared" si="316"/>
        <v>0</v>
      </c>
      <c r="BE323" s="100">
        <v>0</v>
      </c>
      <c r="BF323" s="100">
        <f>323</f>
        <v>323</v>
      </c>
      <c r="BH323" s="108">
        <f t="shared" si="317"/>
        <v>0</v>
      </c>
      <c r="BI323" s="108">
        <f t="shared" si="318"/>
        <v>0</v>
      </c>
      <c r="BJ323" s="108">
        <f t="shared" si="319"/>
        <v>0</v>
      </c>
    </row>
    <row r="324" spans="1:62" x14ac:dyDescent="0.2">
      <c r="A324" s="117" t="s">
        <v>286</v>
      </c>
      <c r="B324" s="117" t="s">
        <v>3553</v>
      </c>
      <c r="C324" s="304" t="s">
        <v>1349</v>
      </c>
      <c r="D324" s="305"/>
      <c r="E324" s="305"/>
      <c r="F324" s="117" t="s">
        <v>1644</v>
      </c>
      <c r="G324" s="116">
        <v>2</v>
      </c>
      <c r="H324" s="159"/>
      <c r="I324" s="108">
        <f t="shared" si="296"/>
        <v>0</v>
      </c>
      <c r="J324" s="108">
        <f t="shared" si="297"/>
        <v>0</v>
      </c>
      <c r="K324" s="108">
        <f t="shared" si="298"/>
        <v>0</v>
      </c>
      <c r="L324" s="111"/>
      <c r="Z324" s="100">
        <f t="shared" si="299"/>
        <v>0</v>
      </c>
      <c r="AB324" s="100">
        <f t="shared" si="300"/>
        <v>0</v>
      </c>
      <c r="AC324" s="100">
        <f t="shared" si="301"/>
        <v>0</v>
      </c>
      <c r="AD324" s="100">
        <f t="shared" si="302"/>
        <v>0</v>
      </c>
      <c r="AE324" s="100">
        <f t="shared" si="303"/>
        <v>0</v>
      </c>
      <c r="AF324" s="100">
        <f t="shared" si="304"/>
        <v>0</v>
      </c>
      <c r="AG324" s="100">
        <f t="shared" si="305"/>
        <v>0</v>
      </c>
      <c r="AH324" s="100">
        <f t="shared" si="306"/>
        <v>0</v>
      </c>
      <c r="AI324" s="109"/>
      <c r="AJ324" s="108">
        <f t="shared" si="307"/>
        <v>0</v>
      </c>
      <c r="AK324" s="108">
        <f t="shared" si="308"/>
        <v>0</v>
      </c>
      <c r="AL324" s="108">
        <f t="shared" si="309"/>
        <v>0</v>
      </c>
      <c r="AN324" s="100">
        <v>15</v>
      </c>
      <c r="AO324" s="100">
        <f t="shared" si="310"/>
        <v>0</v>
      </c>
      <c r="AP324" s="100">
        <f t="shared" si="311"/>
        <v>0</v>
      </c>
      <c r="AQ324" s="111" t="s">
        <v>13</v>
      </c>
      <c r="AV324" s="100">
        <f t="shared" si="312"/>
        <v>0</v>
      </c>
      <c r="AW324" s="100">
        <f t="shared" si="313"/>
        <v>0</v>
      </c>
      <c r="AX324" s="100">
        <f t="shared" si="314"/>
        <v>0</v>
      </c>
      <c r="AY324" s="110" t="s">
        <v>1709</v>
      </c>
      <c r="AZ324" s="110" t="s">
        <v>1733</v>
      </c>
      <c r="BA324" s="109" t="s">
        <v>1737</v>
      </c>
      <c r="BC324" s="100">
        <f t="shared" si="315"/>
        <v>0</v>
      </c>
      <c r="BD324" s="100">
        <f t="shared" si="316"/>
        <v>0</v>
      </c>
      <c r="BE324" s="100">
        <v>0</v>
      </c>
      <c r="BF324" s="100">
        <f>324</f>
        <v>324</v>
      </c>
      <c r="BH324" s="108">
        <f t="shared" si="317"/>
        <v>0</v>
      </c>
      <c r="BI324" s="108">
        <f t="shared" si="318"/>
        <v>0</v>
      </c>
      <c r="BJ324" s="108">
        <f t="shared" si="319"/>
        <v>0</v>
      </c>
    </row>
    <row r="325" spans="1:62" x14ac:dyDescent="0.2">
      <c r="A325" s="117" t="s">
        <v>287</v>
      </c>
      <c r="B325" s="117" t="s">
        <v>3552</v>
      </c>
      <c r="C325" s="304" t="s">
        <v>1350</v>
      </c>
      <c r="D325" s="305"/>
      <c r="E325" s="305"/>
      <c r="F325" s="117" t="s">
        <v>1644</v>
      </c>
      <c r="G325" s="116">
        <v>1</v>
      </c>
      <c r="H325" s="159"/>
      <c r="I325" s="108">
        <f t="shared" si="296"/>
        <v>0</v>
      </c>
      <c r="J325" s="108">
        <f t="shared" si="297"/>
        <v>0</v>
      </c>
      <c r="K325" s="108">
        <f t="shared" si="298"/>
        <v>0</v>
      </c>
      <c r="L325" s="111"/>
      <c r="Z325" s="100">
        <f t="shared" si="299"/>
        <v>0</v>
      </c>
      <c r="AB325" s="100">
        <f t="shared" si="300"/>
        <v>0</v>
      </c>
      <c r="AC325" s="100">
        <f t="shared" si="301"/>
        <v>0</v>
      </c>
      <c r="AD325" s="100">
        <f t="shared" si="302"/>
        <v>0</v>
      </c>
      <c r="AE325" s="100">
        <f t="shared" si="303"/>
        <v>0</v>
      </c>
      <c r="AF325" s="100">
        <f t="shared" si="304"/>
        <v>0</v>
      </c>
      <c r="AG325" s="100">
        <f t="shared" si="305"/>
        <v>0</v>
      </c>
      <c r="AH325" s="100">
        <f t="shared" si="306"/>
        <v>0</v>
      </c>
      <c r="AI325" s="109"/>
      <c r="AJ325" s="108">
        <f t="shared" si="307"/>
        <v>0</v>
      </c>
      <c r="AK325" s="108">
        <f t="shared" si="308"/>
        <v>0</v>
      </c>
      <c r="AL325" s="108">
        <f t="shared" si="309"/>
        <v>0</v>
      </c>
      <c r="AN325" s="100">
        <v>15</v>
      </c>
      <c r="AO325" s="100">
        <f t="shared" si="310"/>
        <v>0</v>
      </c>
      <c r="AP325" s="100">
        <f t="shared" si="311"/>
        <v>0</v>
      </c>
      <c r="AQ325" s="111" t="s">
        <v>13</v>
      </c>
      <c r="AV325" s="100">
        <f t="shared" si="312"/>
        <v>0</v>
      </c>
      <c r="AW325" s="100">
        <f t="shared" si="313"/>
        <v>0</v>
      </c>
      <c r="AX325" s="100">
        <f t="shared" si="314"/>
        <v>0</v>
      </c>
      <c r="AY325" s="110" t="s">
        <v>1709</v>
      </c>
      <c r="AZ325" s="110" t="s">
        <v>1733</v>
      </c>
      <c r="BA325" s="109" t="s">
        <v>1737</v>
      </c>
      <c r="BC325" s="100">
        <f t="shared" si="315"/>
        <v>0</v>
      </c>
      <c r="BD325" s="100">
        <f t="shared" si="316"/>
        <v>0</v>
      </c>
      <c r="BE325" s="100">
        <v>0</v>
      </c>
      <c r="BF325" s="100">
        <f>325</f>
        <v>325</v>
      </c>
      <c r="BH325" s="108">
        <f t="shared" si="317"/>
        <v>0</v>
      </c>
      <c r="BI325" s="108">
        <f t="shared" si="318"/>
        <v>0</v>
      </c>
      <c r="BJ325" s="108">
        <f t="shared" si="319"/>
        <v>0</v>
      </c>
    </row>
    <row r="326" spans="1:62" x14ac:dyDescent="0.2">
      <c r="A326" s="117" t="s">
        <v>288</v>
      </c>
      <c r="B326" s="117" t="s">
        <v>3551</v>
      </c>
      <c r="C326" s="304" t="s">
        <v>1351</v>
      </c>
      <c r="D326" s="305"/>
      <c r="E326" s="305"/>
      <c r="F326" s="117" t="s">
        <v>1644</v>
      </c>
      <c r="G326" s="116">
        <v>1</v>
      </c>
      <c r="H326" s="159"/>
      <c r="I326" s="108">
        <f t="shared" si="296"/>
        <v>0</v>
      </c>
      <c r="J326" s="108">
        <f t="shared" si="297"/>
        <v>0</v>
      </c>
      <c r="K326" s="108">
        <f t="shared" si="298"/>
        <v>0</v>
      </c>
      <c r="L326" s="111"/>
      <c r="Z326" s="100">
        <f t="shared" si="299"/>
        <v>0</v>
      </c>
      <c r="AB326" s="100">
        <f t="shared" si="300"/>
        <v>0</v>
      </c>
      <c r="AC326" s="100">
        <f t="shared" si="301"/>
        <v>0</v>
      </c>
      <c r="AD326" s="100">
        <f t="shared" si="302"/>
        <v>0</v>
      </c>
      <c r="AE326" s="100">
        <f t="shared" si="303"/>
        <v>0</v>
      </c>
      <c r="AF326" s="100">
        <f t="shared" si="304"/>
        <v>0</v>
      </c>
      <c r="AG326" s="100">
        <f t="shared" si="305"/>
        <v>0</v>
      </c>
      <c r="AH326" s="100">
        <f t="shared" si="306"/>
        <v>0</v>
      </c>
      <c r="AI326" s="109"/>
      <c r="AJ326" s="108">
        <f t="shared" si="307"/>
        <v>0</v>
      </c>
      <c r="AK326" s="108">
        <f t="shared" si="308"/>
        <v>0</v>
      </c>
      <c r="AL326" s="108">
        <f t="shared" si="309"/>
        <v>0</v>
      </c>
      <c r="AN326" s="100">
        <v>15</v>
      </c>
      <c r="AO326" s="100">
        <f t="shared" si="310"/>
        <v>0</v>
      </c>
      <c r="AP326" s="100">
        <f t="shared" si="311"/>
        <v>0</v>
      </c>
      <c r="AQ326" s="111" t="s">
        <v>13</v>
      </c>
      <c r="AV326" s="100">
        <f t="shared" si="312"/>
        <v>0</v>
      </c>
      <c r="AW326" s="100">
        <f t="shared" si="313"/>
        <v>0</v>
      </c>
      <c r="AX326" s="100">
        <f t="shared" si="314"/>
        <v>0</v>
      </c>
      <c r="AY326" s="110" t="s">
        <v>1709</v>
      </c>
      <c r="AZ326" s="110" t="s">
        <v>1733</v>
      </c>
      <c r="BA326" s="109" t="s">
        <v>1737</v>
      </c>
      <c r="BC326" s="100">
        <f t="shared" si="315"/>
        <v>0</v>
      </c>
      <c r="BD326" s="100">
        <f t="shared" si="316"/>
        <v>0</v>
      </c>
      <c r="BE326" s="100">
        <v>0</v>
      </c>
      <c r="BF326" s="100">
        <f>326</f>
        <v>326</v>
      </c>
      <c r="BH326" s="108">
        <f t="shared" si="317"/>
        <v>0</v>
      </c>
      <c r="BI326" s="108">
        <f t="shared" si="318"/>
        <v>0</v>
      </c>
      <c r="BJ326" s="108">
        <f t="shared" si="319"/>
        <v>0</v>
      </c>
    </row>
    <row r="327" spans="1:62" x14ac:dyDescent="0.2">
      <c r="A327" s="117" t="s">
        <v>289</v>
      </c>
      <c r="B327" s="117" t="s">
        <v>3550</v>
      </c>
      <c r="C327" s="304" t="s">
        <v>1352</v>
      </c>
      <c r="D327" s="305"/>
      <c r="E327" s="305"/>
      <c r="F327" s="117" t="s">
        <v>1644</v>
      </c>
      <c r="G327" s="116">
        <v>16</v>
      </c>
      <c r="H327" s="159"/>
      <c r="I327" s="108">
        <f t="shared" si="296"/>
        <v>0</v>
      </c>
      <c r="J327" s="108">
        <f t="shared" si="297"/>
        <v>0</v>
      </c>
      <c r="K327" s="108">
        <f t="shared" si="298"/>
        <v>0</v>
      </c>
      <c r="L327" s="111"/>
      <c r="Z327" s="100">
        <f t="shared" si="299"/>
        <v>0</v>
      </c>
      <c r="AB327" s="100">
        <f t="shared" si="300"/>
        <v>0</v>
      </c>
      <c r="AC327" s="100">
        <f t="shared" si="301"/>
        <v>0</v>
      </c>
      <c r="AD327" s="100">
        <f t="shared" si="302"/>
        <v>0</v>
      </c>
      <c r="AE327" s="100">
        <f t="shared" si="303"/>
        <v>0</v>
      </c>
      <c r="AF327" s="100">
        <f t="shared" si="304"/>
        <v>0</v>
      </c>
      <c r="AG327" s="100">
        <f t="shared" si="305"/>
        <v>0</v>
      </c>
      <c r="AH327" s="100">
        <f t="shared" si="306"/>
        <v>0</v>
      </c>
      <c r="AI327" s="109"/>
      <c r="AJ327" s="108">
        <f t="shared" si="307"/>
        <v>0</v>
      </c>
      <c r="AK327" s="108">
        <f t="shared" si="308"/>
        <v>0</v>
      </c>
      <c r="AL327" s="108">
        <f t="shared" si="309"/>
        <v>0</v>
      </c>
      <c r="AN327" s="100">
        <v>15</v>
      </c>
      <c r="AO327" s="100">
        <f t="shared" si="310"/>
        <v>0</v>
      </c>
      <c r="AP327" s="100">
        <f t="shared" si="311"/>
        <v>0</v>
      </c>
      <c r="AQ327" s="111" t="s">
        <v>13</v>
      </c>
      <c r="AV327" s="100">
        <f t="shared" si="312"/>
        <v>0</v>
      </c>
      <c r="AW327" s="100">
        <f t="shared" si="313"/>
        <v>0</v>
      </c>
      <c r="AX327" s="100">
        <f t="shared" si="314"/>
        <v>0</v>
      </c>
      <c r="AY327" s="110" t="s">
        <v>1709</v>
      </c>
      <c r="AZ327" s="110" t="s">
        <v>1733</v>
      </c>
      <c r="BA327" s="109" t="s">
        <v>1737</v>
      </c>
      <c r="BC327" s="100">
        <f t="shared" si="315"/>
        <v>0</v>
      </c>
      <c r="BD327" s="100">
        <f t="shared" si="316"/>
        <v>0</v>
      </c>
      <c r="BE327" s="100">
        <v>0</v>
      </c>
      <c r="BF327" s="100">
        <f>327</f>
        <v>327</v>
      </c>
      <c r="BH327" s="108">
        <f t="shared" si="317"/>
        <v>0</v>
      </c>
      <c r="BI327" s="108">
        <f t="shared" si="318"/>
        <v>0</v>
      </c>
      <c r="BJ327" s="108">
        <f t="shared" si="319"/>
        <v>0</v>
      </c>
    </row>
    <row r="328" spans="1:62" x14ac:dyDescent="0.2">
      <c r="A328" s="117" t="s">
        <v>290</v>
      </c>
      <c r="B328" s="117" t="s">
        <v>3549</v>
      </c>
      <c r="C328" s="304" t="s">
        <v>1353</v>
      </c>
      <c r="D328" s="305"/>
      <c r="E328" s="305"/>
      <c r="F328" s="117" t="s">
        <v>1644</v>
      </c>
      <c r="G328" s="116">
        <v>1</v>
      </c>
      <c r="H328" s="159"/>
      <c r="I328" s="108">
        <f t="shared" si="296"/>
        <v>0</v>
      </c>
      <c r="J328" s="108">
        <f t="shared" si="297"/>
        <v>0</v>
      </c>
      <c r="K328" s="108">
        <f t="shared" si="298"/>
        <v>0</v>
      </c>
      <c r="L328" s="111"/>
      <c r="Z328" s="100">
        <f t="shared" si="299"/>
        <v>0</v>
      </c>
      <c r="AB328" s="100">
        <f t="shared" si="300"/>
        <v>0</v>
      </c>
      <c r="AC328" s="100">
        <f t="shared" si="301"/>
        <v>0</v>
      </c>
      <c r="AD328" s="100">
        <f t="shared" si="302"/>
        <v>0</v>
      </c>
      <c r="AE328" s="100">
        <f t="shared" si="303"/>
        <v>0</v>
      </c>
      <c r="AF328" s="100">
        <f t="shared" si="304"/>
        <v>0</v>
      </c>
      <c r="AG328" s="100">
        <f t="shared" si="305"/>
        <v>0</v>
      </c>
      <c r="AH328" s="100">
        <f t="shared" si="306"/>
        <v>0</v>
      </c>
      <c r="AI328" s="109"/>
      <c r="AJ328" s="108">
        <f t="shared" si="307"/>
        <v>0</v>
      </c>
      <c r="AK328" s="108">
        <f t="shared" si="308"/>
        <v>0</v>
      </c>
      <c r="AL328" s="108">
        <f t="shared" si="309"/>
        <v>0</v>
      </c>
      <c r="AN328" s="100">
        <v>15</v>
      </c>
      <c r="AO328" s="100">
        <f t="shared" si="310"/>
        <v>0</v>
      </c>
      <c r="AP328" s="100">
        <f t="shared" si="311"/>
        <v>0</v>
      </c>
      <c r="AQ328" s="111" t="s">
        <v>13</v>
      </c>
      <c r="AV328" s="100">
        <f t="shared" si="312"/>
        <v>0</v>
      </c>
      <c r="AW328" s="100">
        <f t="shared" si="313"/>
        <v>0</v>
      </c>
      <c r="AX328" s="100">
        <f t="shared" si="314"/>
        <v>0</v>
      </c>
      <c r="AY328" s="110" t="s">
        <v>1709</v>
      </c>
      <c r="AZ328" s="110" t="s">
        <v>1733</v>
      </c>
      <c r="BA328" s="109" t="s">
        <v>1737</v>
      </c>
      <c r="BC328" s="100">
        <f t="shared" si="315"/>
        <v>0</v>
      </c>
      <c r="BD328" s="100">
        <f t="shared" si="316"/>
        <v>0</v>
      </c>
      <c r="BE328" s="100">
        <v>0</v>
      </c>
      <c r="BF328" s="100">
        <f>328</f>
        <v>328</v>
      </c>
      <c r="BH328" s="108">
        <f t="shared" si="317"/>
        <v>0</v>
      </c>
      <c r="BI328" s="108">
        <f t="shared" si="318"/>
        <v>0</v>
      </c>
      <c r="BJ328" s="108">
        <f t="shared" si="319"/>
        <v>0</v>
      </c>
    </row>
    <row r="329" spans="1:62" x14ac:dyDescent="0.2">
      <c r="A329" s="117" t="s">
        <v>291</v>
      </c>
      <c r="B329" s="117" t="s">
        <v>3548</v>
      </c>
      <c r="C329" s="304" t="s">
        <v>1354</v>
      </c>
      <c r="D329" s="305"/>
      <c r="E329" s="305"/>
      <c r="F329" s="117" t="s">
        <v>1644</v>
      </c>
      <c r="G329" s="116">
        <v>1</v>
      </c>
      <c r="H329" s="159"/>
      <c r="I329" s="108">
        <f t="shared" si="296"/>
        <v>0</v>
      </c>
      <c r="J329" s="108">
        <f t="shared" si="297"/>
        <v>0</v>
      </c>
      <c r="K329" s="108">
        <f t="shared" si="298"/>
        <v>0</v>
      </c>
      <c r="L329" s="111"/>
      <c r="Z329" s="100">
        <f t="shared" si="299"/>
        <v>0</v>
      </c>
      <c r="AB329" s="100">
        <f t="shared" si="300"/>
        <v>0</v>
      </c>
      <c r="AC329" s="100">
        <f t="shared" si="301"/>
        <v>0</v>
      </c>
      <c r="AD329" s="100">
        <f t="shared" si="302"/>
        <v>0</v>
      </c>
      <c r="AE329" s="100">
        <f t="shared" si="303"/>
        <v>0</v>
      </c>
      <c r="AF329" s="100">
        <f t="shared" si="304"/>
        <v>0</v>
      </c>
      <c r="AG329" s="100">
        <f t="shared" si="305"/>
        <v>0</v>
      </c>
      <c r="AH329" s="100">
        <f t="shared" si="306"/>
        <v>0</v>
      </c>
      <c r="AI329" s="109"/>
      <c r="AJ329" s="108">
        <f t="shared" si="307"/>
        <v>0</v>
      </c>
      <c r="AK329" s="108">
        <f t="shared" si="308"/>
        <v>0</v>
      </c>
      <c r="AL329" s="108">
        <f t="shared" si="309"/>
        <v>0</v>
      </c>
      <c r="AN329" s="100">
        <v>15</v>
      </c>
      <c r="AO329" s="100">
        <f t="shared" si="310"/>
        <v>0</v>
      </c>
      <c r="AP329" s="100">
        <f t="shared" si="311"/>
        <v>0</v>
      </c>
      <c r="AQ329" s="111" t="s">
        <v>13</v>
      </c>
      <c r="AV329" s="100">
        <f t="shared" si="312"/>
        <v>0</v>
      </c>
      <c r="AW329" s="100">
        <f t="shared" si="313"/>
        <v>0</v>
      </c>
      <c r="AX329" s="100">
        <f t="shared" si="314"/>
        <v>0</v>
      </c>
      <c r="AY329" s="110" t="s">
        <v>1709</v>
      </c>
      <c r="AZ329" s="110" t="s">
        <v>1733</v>
      </c>
      <c r="BA329" s="109" t="s">
        <v>1737</v>
      </c>
      <c r="BC329" s="100">
        <f t="shared" si="315"/>
        <v>0</v>
      </c>
      <c r="BD329" s="100">
        <f t="shared" si="316"/>
        <v>0</v>
      </c>
      <c r="BE329" s="100">
        <v>0</v>
      </c>
      <c r="BF329" s="100">
        <f>329</f>
        <v>329</v>
      </c>
      <c r="BH329" s="108">
        <f t="shared" si="317"/>
        <v>0</v>
      </c>
      <c r="BI329" s="108">
        <f t="shared" si="318"/>
        <v>0</v>
      </c>
      <c r="BJ329" s="108">
        <f t="shared" si="319"/>
        <v>0</v>
      </c>
    </row>
    <row r="330" spans="1:62" x14ac:dyDescent="0.2">
      <c r="A330" s="119"/>
      <c r="B330" s="120" t="s">
        <v>772</v>
      </c>
      <c r="C330" s="306" t="s">
        <v>1355</v>
      </c>
      <c r="D330" s="307"/>
      <c r="E330" s="307"/>
      <c r="F330" s="119" t="s">
        <v>6</v>
      </c>
      <c r="G330" s="119" t="s">
        <v>6</v>
      </c>
      <c r="H330" s="119" t="s">
        <v>6</v>
      </c>
      <c r="I330" s="118">
        <f>SUM(I331:I352)</f>
        <v>0</v>
      </c>
      <c r="J330" s="118">
        <f>SUM(J331:J352)</f>
        <v>0</v>
      </c>
      <c r="K330" s="118">
        <f>SUM(K331:K352)</f>
        <v>0</v>
      </c>
      <c r="L330" s="109"/>
      <c r="AI330" s="109"/>
      <c r="AS330" s="118">
        <f>SUM(AJ331:AJ352)</f>
        <v>0</v>
      </c>
      <c r="AT330" s="118">
        <f>SUM(AK331:AK352)</f>
        <v>0</v>
      </c>
      <c r="AU330" s="118">
        <f>SUM(AL331:AL352)</f>
        <v>0</v>
      </c>
    </row>
    <row r="331" spans="1:62" x14ac:dyDescent="0.2">
      <c r="A331" s="117" t="s">
        <v>292</v>
      </c>
      <c r="B331" s="117" t="s">
        <v>3547</v>
      </c>
      <c r="C331" s="304" t="s">
        <v>1356</v>
      </c>
      <c r="D331" s="305"/>
      <c r="E331" s="305"/>
      <c r="F331" s="117" t="s">
        <v>1644</v>
      </c>
      <c r="G331" s="116">
        <v>1</v>
      </c>
      <c r="H331" s="159"/>
      <c r="I331" s="108">
        <f t="shared" ref="I331:I352" si="320">G331*AO331</f>
        <v>0</v>
      </c>
      <c r="J331" s="108">
        <f t="shared" ref="J331:J352" si="321">G331*AP331</f>
        <v>0</v>
      </c>
      <c r="K331" s="108">
        <f t="shared" ref="K331:K352" si="322">G331*H331</f>
        <v>0</v>
      </c>
      <c r="L331" s="111"/>
      <c r="Z331" s="100">
        <f t="shared" ref="Z331:Z352" si="323">IF(AQ331="5",BJ331,0)</f>
        <v>0</v>
      </c>
      <c r="AB331" s="100">
        <f t="shared" ref="AB331:AB352" si="324">IF(AQ331="1",BH331,0)</f>
        <v>0</v>
      </c>
      <c r="AC331" s="100">
        <f t="shared" ref="AC331:AC352" si="325">IF(AQ331="1",BI331,0)</f>
        <v>0</v>
      </c>
      <c r="AD331" s="100">
        <f t="shared" ref="AD331:AD352" si="326">IF(AQ331="7",BH331,0)</f>
        <v>0</v>
      </c>
      <c r="AE331" s="100">
        <f t="shared" ref="AE331:AE352" si="327">IF(AQ331="7",BI331,0)</f>
        <v>0</v>
      </c>
      <c r="AF331" s="100">
        <f t="shared" ref="AF331:AF352" si="328">IF(AQ331="2",BH331,0)</f>
        <v>0</v>
      </c>
      <c r="AG331" s="100">
        <f t="shared" ref="AG331:AG352" si="329">IF(AQ331="2",BI331,0)</f>
        <v>0</v>
      </c>
      <c r="AH331" s="100">
        <f t="shared" ref="AH331:AH352" si="330">IF(AQ331="0",BJ331,0)</f>
        <v>0</v>
      </c>
      <c r="AI331" s="109"/>
      <c r="AJ331" s="108">
        <f t="shared" ref="AJ331:AJ352" si="331">IF(AN331=0,K331,0)</f>
        <v>0</v>
      </c>
      <c r="AK331" s="108">
        <f t="shared" ref="AK331:AK352" si="332">IF(AN331=15,K331,0)</f>
        <v>0</v>
      </c>
      <c r="AL331" s="108">
        <f t="shared" ref="AL331:AL352" si="333">IF(AN331=21,K331,0)</f>
        <v>0</v>
      </c>
      <c r="AN331" s="100">
        <v>15</v>
      </c>
      <c r="AO331" s="100">
        <f t="shared" ref="AO331:AO352" si="334">H331*0</f>
        <v>0</v>
      </c>
      <c r="AP331" s="100">
        <f t="shared" ref="AP331:AP352" si="335">H331*(1-0)</f>
        <v>0</v>
      </c>
      <c r="AQ331" s="111" t="s">
        <v>13</v>
      </c>
      <c r="AV331" s="100">
        <f t="shared" ref="AV331:AV352" si="336">AW331+AX331</f>
        <v>0</v>
      </c>
      <c r="AW331" s="100">
        <f t="shared" ref="AW331:AW352" si="337">G331*AO331</f>
        <v>0</v>
      </c>
      <c r="AX331" s="100">
        <f t="shared" ref="AX331:AX352" si="338">G331*AP331</f>
        <v>0</v>
      </c>
      <c r="AY331" s="110" t="s">
        <v>1710</v>
      </c>
      <c r="AZ331" s="110" t="s">
        <v>1733</v>
      </c>
      <c r="BA331" s="109" t="s">
        <v>1737</v>
      </c>
      <c r="BC331" s="100">
        <f t="shared" ref="BC331:BC352" si="339">AW331+AX331</f>
        <v>0</v>
      </c>
      <c r="BD331" s="100">
        <f t="shared" ref="BD331:BD352" si="340">H331/(100-BE331)*100</f>
        <v>0</v>
      </c>
      <c r="BE331" s="100">
        <v>0</v>
      </c>
      <c r="BF331" s="100">
        <f>331</f>
        <v>331</v>
      </c>
      <c r="BH331" s="108">
        <f t="shared" ref="BH331:BH352" si="341">G331*AO331</f>
        <v>0</v>
      </c>
      <c r="BI331" s="108">
        <f t="shared" ref="BI331:BI352" si="342">G331*AP331</f>
        <v>0</v>
      </c>
      <c r="BJ331" s="108">
        <f t="shared" ref="BJ331:BJ352" si="343">G331*H331</f>
        <v>0</v>
      </c>
    </row>
    <row r="332" spans="1:62" x14ac:dyDescent="0.2">
      <c r="A332" s="117" t="s">
        <v>293</v>
      </c>
      <c r="B332" s="117" t="s">
        <v>3546</v>
      </c>
      <c r="C332" s="304" t="s">
        <v>1357</v>
      </c>
      <c r="D332" s="305"/>
      <c r="E332" s="305"/>
      <c r="F332" s="117" t="s">
        <v>1644</v>
      </c>
      <c r="G332" s="116">
        <v>1</v>
      </c>
      <c r="H332" s="159"/>
      <c r="I332" s="108">
        <f t="shared" si="320"/>
        <v>0</v>
      </c>
      <c r="J332" s="108">
        <f t="shared" si="321"/>
        <v>0</v>
      </c>
      <c r="K332" s="108">
        <f t="shared" si="322"/>
        <v>0</v>
      </c>
      <c r="L332" s="111"/>
      <c r="Z332" s="100">
        <f t="shared" si="323"/>
        <v>0</v>
      </c>
      <c r="AB332" s="100">
        <f t="shared" si="324"/>
        <v>0</v>
      </c>
      <c r="AC332" s="100">
        <f t="shared" si="325"/>
        <v>0</v>
      </c>
      <c r="AD332" s="100">
        <f t="shared" si="326"/>
        <v>0</v>
      </c>
      <c r="AE332" s="100">
        <f t="shared" si="327"/>
        <v>0</v>
      </c>
      <c r="AF332" s="100">
        <f t="shared" si="328"/>
        <v>0</v>
      </c>
      <c r="AG332" s="100">
        <f t="shared" si="329"/>
        <v>0</v>
      </c>
      <c r="AH332" s="100">
        <f t="shared" si="330"/>
        <v>0</v>
      </c>
      <c r="AI332" s="109"/>
      <c r="AJ332" s="108">
        <f t="shared" si="331"/>
        <v>0</v>
      </c>
      <c r="AK332" s="108">
        <f t="shared" si="332"/>
        <v>0</v>
      </c>
      <c r="AL332" s="108">
        <f t="shared" si="333"/>
        <v>0</v>
      </c>
      <c r="AN332" s="100">
        <v>15</v>
      </c>
      <c r="AO332" s="100">
        <f t="shared" si="334"/>
        <v>0</v>
      </c>
      <c r="AP332" s="100">
        <f t="shared" si="335"/>
        <v>0</v>
      </c>
      <c r="AQ332" s="111" t="s">
        <v>13</v>
      </c>
      <c r="AV332" s="100">
        <f t="shared" si="336"/>
        <v>0</v>
      </c>
      <c r="AW332" s="100">
        <f t="shared" si="337"/>
        <v>0</v>
      </c>
      <c r="AX332" s="100">
        <f t="shared" si="338"/>
        <v>0</v>
      </c>
      <c r="AY332" s="110" t="s">
        <v>1710</v>
      </c>
      <c r="AZ332" s="110" t="s">
        <v>1733</v>
      </c>
      <c r="BA332" s="109" t="s">
        <v>1737</v>
      </c>
      <c r="BC332" s="100">
        <f t="shared" si="339"/>
        <v>0</v>
      </c>
      <c r="BD332" s="100">
        <f t="shared" si="340"/>
        <v>0</v>
      </c>
      <c r="BE332" s="100">
        <v>0</v>
      </c>
      <c r="BF332" s="100">
        <f>332</f>
        <v>332</v>
      </c>
      <c r="BH332" s="108">
        <f t="shared" si="341"/>
        <v>0</v>
      </c>
      <c r="BI332" s="108">
        <f t="shared" si="342"/>
        <v>0</v>
      </c>
      <c r="BJ332" s="108">
        <f t="shared" si="343"/>
        <v>0</v>
      </c>
    </row>
    <row r="333" spans="1:62" x14ac:dyDescent="0.2">
      <c r="A333" s="117" t="s">
        <v>294</v>
      </c>
      <c r="B333" s="117" t="s">
        <v>3545</v>
      </c>
      <c r="C333" s="304" t="s">
        <v>1358</v>
      </c>
      <c r="D333" s="305"/>
      <c r="E333" s="305"/>
      <c r="F333" s="117" t="s">
        <v>1644</v>
      </c>
      <c r="G333" s="116">
        <v>1</v>
      </c>
      <c r="H333" s="159"/>
      <c r="I333" s="108">
        <f t="shared" si="320"/>
        <v>0</v>
      </c>
      <c r="J333" s="108">
        <f t="shared" si="321"/>
        <v>0</v>
      </c>
      <c r="K333" s="108">
        <f t="shared" si="322"/>
        <v>0</v>
      </c>
      <c r="L333" s="111"/>
      <c r="Z333" s="100">
        <f t="shared" si="323"/>
        <v>0</v>
      </c>
      <c r="AB333" s="100">
        <f t="shared" si="324"/>
        <v>0</v>
      </c>
      <c r="AC333" s="100">
        <f t="shared" si="325"/>
        <v>0</v>
      </c>
      <c r="AD333" s="100">
        <f t="shared" si="326"/>
        <v>0</v>
      </c>
      <c r="AE333" s="100">
        <f t="shared" si="327"/>
        <v>0</v>
      </c>
      <c r="AF333" s="100">
        <f t="shared" si="328"/>
        <v>0</v>
      </c>
      <c r="AG333" s="100">
        <f t="shared" si="329"/>
        <v>0</v>
      </c>
      <c r="AH333" s="100">
        <f t="shared" si="330"/>
        <v>0</v>
      </c>
      <c r="AI333" s="109"/>
      <c r="AJ333" s="108">
        <f t="shared" si="331"/>
        <v>0</v>
      </c>
      <c r="AK333" s="108">
        <f t="shared" si="332"/>
        <v>0</v>
      </c>
      <c r="AL333" s="108">
        <f t="shared" si="333"/>
        <v>0</v>
      </c>
      <c r="AN333" s="100">
        <v>15</v>
      </c>
      <c r="AO333" s="100">
        <f t="shared" si="334"/>
        <v>0</v>
      </c>
      <c r="AP333" s="100">
        <f t="shared" si="335"/>
        <v>0</v>
      </c>
      <c r="AQ333" s="111" t="s">
        <v>13</v>
      </c>
      <c r="AV333" s="100">
        <f t="shared" si="336"/>
        <v>0</v>
      </c>
      <c r="AW333" s="100">
        <f t="shared" si="337"/>
        <v>0</v>
      </c>
      <c r="AX333" s="100">
        <f t="shared" si="338"/>
        <v>0</v>
      </c>
      <c r="AY333" s="110" t="s">
        <v>1710</v>
      </c>
      <c r="AZ333" s="110" t="s">
        <v>1733</v>
      </c>
      <c r="BA333" s="109" t="s">
        <v>1737</v>
      </c>
      <c r="BC333" s="100">
        <f t="shared" si="339"/>
        <v>0</v>
      </c>
      <c r="BD333" s="100">
        <f t="shared" si="340"/>
        <v>0</v>
      </c>
      <c r="BE333" s="100">
        <v>0</v>
      </c>
      <c r="BF333" s="100">
        <f>333</f>
        <v>333</v>
      </c>
      <c r="BH333" s="108">
        <f t="shared" si="341"/>
        <v>0</v>
      </c>
      <c r="BI333" s="108">
        <f t="shared" si="342"/>
        <v>0</v>
      </c>
      <c r="BJ333" s="108">
        <f t="shared" si="343"/>
        <v>0</v>
      </c>
    </row>
    <row r="334" spans="1:62" x14ac:dyDescent="0.2">
      <c r="A334" s="117" t="s">
        <v>295</v>
      </c>
      <c r="B334" s="117" t="s">
        <v>3544</v>
      </c>
      <c r="C334" s="304" t="s">
        <v>1359</v>
      </c>
      <c r="D334" s="305"/>
      <c r="E334" s="305"/>
      <c r="F334" s="117" t="s">
        <v>1644</v>
      </c>
      <c r="G334" s="116">
        <v>1</v>
      </c>
      <c r="H334" s="159"/>
      <c r="I334" s="108">
        <f t="shared" si="320"/>
        <v>0</v>
      </c>
      <c r="J334" s="108">
        <f t="shared" si="321"/>
        <v>0</v>
      </c>
      <c r="K334" s="108">
        <f t="shared" si="322"/>
        <v>0</v>
      </c>
      <c r="L334" s="111"/>
      <c r="Z334" s="100">
        <f t="shared" si="323"/>
        <v>0</v>
      </c>
      <c r="AB334" s="100">
        <f t="shared" si="324"/>
        <v>0</v>
      </c>
      <c r="AC334" s="100">
        <f t="shared" si="325"/>
        <v>0</v>
      </c>
      <c r="AD334" s="100">
        <f t="shared" si="326"/>
        <v>0</v>
      </c>
      <c r="AE334" s="100">
        <f t="shared" si="327"/>
        <v>0</v>
      </c>
      <c r="AF334" s="100">
        <f t="shared" si="328"/>
        <v>0</v>
      </c>
      <c r="AG334" s="100">
        <f t="shared" si="329"/>
        <v>0</v>
      </c>
      <c r="AH334" s="100">
        <f t="shared" si="330"/>
        <v>0</v>
      </c>
      <c r="AI334" s="109"/>
      <c r="AJ334" s="108">
        <f t="shared" si="331"/>
        <v>0</v>
      </c>
      <c r="AK334" s="108">
        <f t="shared" si="332"/>
        <v>0</v>
      </c>
      <c r="AL334" s="108">
        <f t="shared" si="333"/>
        <v>0</v>
      </c>
      <c r="AN334" s="100">
        <v>15</v>
      </c>
      <c r="AO334" s="100">
        <f t="shared" si="334"/>
        <v>0</v>
      </c>
      <c r="AP334" s="100">
        <f t="shared" si="335"/>
        <v>0</v>
      </c>
      <c r="AQ334" s="111" t="s">
        <v>13</v>
      </c>
      <c r="AV334" s="100">
        <f t="shared" si="336"/>
        <v>0</v>
      </c>
      <c r="AW334" s="100">
        <f t="shared" si="337"/>
        <v>0</v>
      </c>
      <c r="AX334" s="100">
        <f t="shared" si="338"/>
        <v>0</v>
      </c>
      <c r="AY334" s="110" t="s">
        <v>1710</v>
      </c>
      <c r="AZ334" s="110" t="s">
        <v>1733</v>
      </c>
      <c r="BA334" s="109" t="s">
        <v>1737</v>
      </c>
      <c r="BC334" s="100">
        <f t="shared" si="339"/>
        <v>0</v>
      </c>
      <c r="BD334" s="100">
        <f t="shared" si="340"/>
        <v>0</v>
      </c>
      <c r="BE334" s="100">
        <v>0</v>
      </c>
      <c r="BF334" s="100">
        <f>334</f>
        <v>334</v>
      </c>
      <c r="BH334" s="108">
        <f t="shared" si="341"/>
        <v>0</v>
      </c>
      <c r="BI334" s="108">
        <f t="shared" si="342"/>
        <v>0</v>
      </c>
      <c r="BJ334" s="108">
        <f t="shared" si="343"/>
        <v>0</v>
      </c>
    </row>
    <row r="335" spans="1:62" x14ac:dyDescent="0.2">
      <c r="A335" s="117" t="s">
        <v>296</v>
      </c>
      <c r="B335" s="117" t="s">
        <v>3543</v>
      </c>
      <c r="C335" s="304" t="s">
        <v>3542</v>
      </c>
      <c r="D335" s="305"/>
      <c r="E335" s="305"/>
      <c r="F335" s="117" t="s">
        <v>1644</v>
      </c>
      <c r="G335" s="116">
        <v>1</v>
      </c>
      <c r="H335" s="159"/>
      <c r="I335" s="108">
        <f t="shared" si="320"/>
        <v>0</v>
      </c>
      <c r="J335" s="108">
        <f t="shared" si="321"/>
        <v>0</v>
      </c>
      <c r="K335" s="108">
        <f t="shared" si="322"/>
        <v>0</v>
      </c>
      <c r="L335" s="111"/>
      <c r="Z335" s="100">
        <f t="shared" si="323"/>
        <v>0</v>
      </c>
      <c r="AB335" s="100">
        <f t="shared" si="324"/>
        <v>0</v>
      </c>
      <c r="AC335" s="100">
        <f t="shared" si="325"/>
        <v>0</v>
      </c>
      <c r="AD335" s="100">
        <f t="shared" si="326"/>
        <v>0</v>
      </c>
      <c r="AE335" s="100">
        <f t="shared" si="327"/>
        <v>0</v>
      </c>
      <c r="AF335" s="100">
        <f t="shared" si="328"/>
        <v>0</v>
      </c>
      <c r="AG335" s="100">
        <f t="shared" si="329"/>
        <v>0</v>
      </c>
      <c r="AH335" s="100">
        <f t="shared" si="330"/>
        <v>0</v>
      </c>
      <c r="AI335" s="109"/>
      <c r="AJ335" s="108">
        <f t="shared" si="331"/>
        <v>0</v>
      </c>
      <c r="AK335" s="108">
        <f t="shared" si="332"/>
        <v>0</v>
      </c>
      <c r="AL335" s="108">
        <f t="shared" si="333"/>
        <v>0</v>
      </c>
      <c r="AN335" s="100">
        <v>15</v>
      </c>
      <c r="AO335" s="100">
        <f t="shared" si="334"/>
        <v>0</v>
      </c>
      <c r="AP335" s="100">
        <f t="shared" si="335"/>
        <v>0</v>
      </c>
      <c r="AQ335" s="111" t="s">
        <v>13</v>
      </c>
      <c r="AV335" s="100">
        <f t="shared" si="336"/>
        <v>0</v>
      </c>
      <c r="AW335" s="100">
        <f t="shared" si="337"/>
        <v>0</v>
      </c>
      <c r="AX335" s="100">
        <f t="shared" si="338"/>
        <v>0</v>
      </c>
      <c r="AY335" s="110" t="s">
        <v>1710</v>
      </c>
      <c r="AZ335" s="110" t="s">
        <v>1733</v>
      </c>
      <c r="BA335" s="109" t="s">
        <v>1737</v>
      </c>
      <c r="BC335" s="100">
        <f t="shared" si="339"/>
        <v>0</v>
      </c>
      <c r="BD335" s="100">
        <f t="shared" si="340"/>
        <v>0</v>
      </c>
      <c r="BE335" s="100">
        <v>0</v>
      </c>
      <c r="BF335" s="100">
        <f>335</f>
        <v>335</v>
      </c>
      <c r="BH335" s="108">
        <f t="shared" si="341"/>
        <v>0</v>
      </c>
      <c r="BI335" s="108">
        <f t="shared" si="342"/>
        <v>0</v>
      </c>
      <c r="BJ335" s="108">
        <f t="shared" si="343"/>
        <v>0</v>
      </c>
    </row>
    <row r="336" spans="1:62" x14ac:dyDescent="0.2">
      <c r="A336" s="117" t="s">
        <v>297</v>
      </c>
      <c r="B336" s="117" t="s">
        <v>3541</v>
      </c>
      <c r="C336" s="304" t="s">
        <v>1361</v>
      </c>
      <c r="D336" s="305"/>
      <c r="E336" s="305"/>
      <c r="F336" s="117" t="s">
        <v>1644</v>
      </c>
      <c r="G336" s="116">
        <v>1</v>
      </c>
      <c r="H336" s="159"/>
      <c r="I336" s="108">
        <f t="shared" si="320"/>
        <v>0</v>
      </c>
      <c r="J336" s="108">
        <f t="shared" si="321"/>
        <v>0</v>
      </c>
      <c r="K336" s="108">
        <f t="shared" si="322"/>
        <v>0</v>
      </c>
      <c r="L336" s="111"/>
      <c r="Z336" s="100">
        <f t="shared" si="323"/>
        <v>0</v>
      </c>
      <c r="AB336" s="100">
        <f t="shared" si="324"/>
        <v>0</v>
      </c>
      <c r="AC336" s="100">
        <f t="shared" si="325"/>
        <v>0</v>
      </c>
      <c r="AD336" s="100">
        <f t="shared" si="326"/>
        <v>0</v>
      </c>
      <c r="AE336" s="100">
        <f t="shared" si="327"/>
        <v>0</v>
      </c>
      <c r="AF336" s="100">
        <f t="shared" si="328"/>
        <v>0</v>
      </c>
      <c r="AG336" s="100">
        <f t="shared" si="329"/>
        <v>0</v>
      </c>
      <c r="AH336" s="100">
        <f t="shared" si="330"/>
        <v>0</v>
      </c>
      <c r="AI336" s="109"/>
      <c r="AJ336" s="108">
        <f t="shared" si="331"/>
        <v>0</v>
      </c>
      <c r="AK336" s="108">
        <f t="shared" si="332"/>
        <v>0</v>
      </c>
      <c r="AL336" s="108">
        <f t="shared" si="333"/>
        <v>0</v>
      </c>
      <c r="AN336" s="100">
        <v>15</v>
      </c>
      <c r="AO336" s="100">
        <f t="shared" si="334"/>
        <v>0</v>
      </c>
      <c r="AP336" s="100">
        <f t="shared" si="335"/>
        <v>0</v>
      </c>
      <c r="AQ336" s="111" t="s">
        <v>13</v>
      </c>
      <c r="AV336" s="100">
        <f t="shared" si="336"/>
        <v>0</v>
      </c>
      <c r="AW336" s="100">
        <f t="shared" si="337"/>
        <v>0</v>
      </c>
      <c r="AX336" s="100">
        <f t="shared" si="338"/>
        <v>0</v>
      </c>
      <c r="AY336" s="110" t="s">
        <v>1710</v>
      </c>
      <c r="AZ336" s="110" t="s">
        <v>1733</v>
      </c>
      <c r="BA336" s="109" t="s">
        <v>1737</v>
      </c>
      <c r="BC336" s="100">
        <f t="shared" si="339"/>
        <v>0</v>
      </c>
      <c r="BD336" s="100">
        <f t="shared" si="340"/>
        <v>0</v>
      </c>
      <c r="BE336" s="100">
        <v>0</v>
      </c>
      <c r="BF336" s="100">
        <f>336</f>
        <v>336</v>
      </c>
      <c r="BH336" s="108">
        <f t="shared" si="341"/>
        <v>0</v>
      </c>
      <c r="BI336" s="108">
        <f t="shared" si="342"/>
        <v>0</v>
      </c>
      <c r="BJ336" s="108">
        <f t="shared" si="343"/>
        <v>0</v>
      </c>
    </row>
    <row r="337" spans="1:62" x14ac:dyDescent="0.2">
      <c r="A337" s="117" t="s">
        <v>298</v>
      </c>
      <c r="B337" s="117" t="s">
        <v>3540</v>
      </c>
      <c r="C337" s="304" t="s">
        <v>3539</v>
      </c>
      <c r="D337" s="305"/>
      <c r="E337" s="305"/>
      <c r="F337" s="117" t="s">
        <v>1644</v>
      </c>
      <c r="G337" s="116">
        <v>1</v>
      </c>
      <c r="H337" s="159"/>
      <c r="I337" s="108">
        <f t="shared" si="320"/>
        <v>0</v>
      </c>
      <c r="J337" s="108">
        <f t="shared" si="321"/>
        <v>0</v>
      </c>
      <c r="K337" s="108">
        <f t="shared" si="322"/>
        <v>0</v>
      </c>
      <c r="L337" s="111"/>
      <c r="Z337" s="100">
        <f t="shared" si="323"/>
        <v>0</v>
      </c>
      <c r="AB337" s="100">
        <f t="shared" si="324"/>
        <v>0</v>
      </c>
      <c r="AC337" s="100">
        <f t="shared" si="325"/>
        <v>0</v>
      </c>
      <c r="AD337" s="100">
        <f t="shared" si="326"/>
        <v>0</v>
      </c>
      <c r="AE337" s="100">
        <f t="shared" si="327"/>
        <v>0</v>
      </c>
      <c r="AF337" s="100">
        <f t="shared" si="328"/>
        <v>0</v>
      </c>
      <c r="AG337" s="100">
        <f t="shared" si="329"/>
        <v>0</v>
      </c>
      <c r="AH337" s="100">
        <f t="shared" si="330"/>
        <v>0</v>
      </c>
      <c r="AI337" s="109"/>
      <c r="AJ337" s="108">
        <f t="shared" si="331"/>
        <v>0</v>
      </c>
      <c r="AK337" s="108">
        <f t="shared" si="332"/>
        <v>0</v>
      </c>
      <c r="AL337" s="108">
        <f t="shared" si="333"/>
        <v>0</v>
      </c>
      <c r="AN337" s="100">
        <v>15</v>
      </c>
      <c r="AO337" s="100">
        <f t="shared" si="334"/>
        <v>0</v>
      </c>
      <c r="AP337" s="100">
        <f t="shared" si="335"/>
        <v>0</v>
      </c>
      <c r="AQ337" s="111" t="s">
        <v>13</v>
      </c>
      <c r="AV337" s="100">
        <f t="shared" si="336"/>
        <v>0</v>
      </c>
      <c r="AW337" s="100">
        <f t="shared" si="337"/>
        <v>0</v>
      </c>
      <c r="AX337" s="100">
        <f t="shared" si="338"/>
        <v>0</v>
      </c>
      <c r="AY337" s="110" t="s">
        <v>1710</v>
      </c>
      <c r="AZ337" s="110" t="s">
        <v>1733</v>
      </c>
      <c r="BA337" s="109" t="s">
        <v>1737</v>
      </c>
      <c r="BC337" s="100">
        <f t="shared" si="339"/>
        <v>0</v>
      </c>
      <c r="BD337" s="100">
        <f t="shared" si="340"/>
        <v>0</v>
      </c>
      <c r="BE337" s="100">
        <v>0</v>
      </c>
      <c r="BF337" s="100">
        <f>337</f>
        <v>337</v>
      </c>
      <c r="BH337" s="108">
        <f t="shared" si="341"/>
        <v>0</v>
      </c>
      <c r="BI337" s="108">
        <f t="shared" si="342"/>
        <v>0</v>
      </c>
      <c r="BJ337" s="108">
        <f t="shared" si="343"/>
        <v>0</v>
      </c>
    </row>
    <row r="338" spans="1:62" x14ac:dyDescent="0.2">
      <c r="A338" s="117" t="s">
        <v>299</v>
      </c>
      <c r="B338" s="117" t="s">
        <v>3538</v>
      </c>
      <c r="C338" s="304" t="s">
        <v>1363</v>
      </c>
      <c r="D338" s="305"/>
      <c r="E338" s="305"/>
      <c r="F338" s="117" t="s">
        <v>1644</v>
      </c>
      <c r="G338" s="116">
        <v>1</v>
      </c>
      <c r="H338" s="159"/>
      <c r="I338" s="108">
        <f t="shared" si="320"/>
        <v>0</v>
      </c>
      <c r="J338" s="108">
        <f t="shared" si="321"/>
        <v>0</v>
      </c>
      <c r="K338" s="108">
        <f t="shared" si="322"/>
        <v>0</v>
      </c>
      <c r="L338" s="111"/>
      <c r="Z338" s="100">
        <f t="shared" si="323"/>
        <v>0</v>
      </c>
      <c r="AB338" s="100">
        <f t="shared" si="324"/>
        <v>0</v>
      </c>
      <c r="AC338" s="100">
        <f t="shared" si="325"/>
        <v>0</v>
      </c>
      <c r="AD338" s="100">
        <f t="shared" si="326"/>
        <v>0</v>
      </c>
      <c r="AE338" s="100">
        <f t="shared" si="327"/>
        <v>0</v>
      </c>
      <c r="AF338" s="100">
        <f t="shared" si="328"/>
        <v>0</v>
      </c>
      <c r="AG338" s="100">
        <f t="shared" si="329"/>
        <v>0</v>
      </c>
      <c r="AH338" s="100">
        <f t="shared" si="330"/>
        <v>0</v>
      </c>
      <c r="AI338" s="109"/>
      <c r="AJ338" s="108">
        <f t="shared" si="331"/>
        <v>0</v>
      </c>
      <c r="AK338" s="108">
        <f t="shared" si="332"/>
        <v>0</v>
      </c>
      <c r="AL338" s="108">
        <f t="shared" si="333"/>
        <v>0</v>
      </c>
      <c r="AN338" s="100">
        <v>15</v>
      </c>
      <c r="AO338" s="100">
        <f t="shared" si="334"/>
        <v>0</v>
      </c>
      <c r="AP338" s="100">
        <f t="shared" si="335"/>
        <v>0</v>
      </c>
      <c r="AQ338" s="111" t="s">
        <v>13</v>
      </c>
      <c r="AV338" s="100">
        <f t="shared" si="336"/>
        <v>0</v>
      </c>
      <c r="AW338" s="100">
        <f t="shared" si="337"/>
        <v>0</v>
      </c>
      <c r="AX338" s="100">
        <f t="shared" si="338"/>
        <v>0</v>
      </c>
      <c r="AY338" s="110" t="s">
        <v>1710</v>
      </c>
      <c r="AZ338" s="110" t="s">
        <v>1733</v>
      </c>
      <c r="BA338" s="109" t="s">
        <v>1737</v>
      </c>
      <c r="BC338" s="100">
        <f t="shared" si="339"/>
        <v>0</v>
      </c>
      <c r="BD338" s="100">
        <f t="shared" si="340"/>
        <v>0</v>
      </c>
      <c r="BE338" s="100">
        <v>0</v>
      </c>
      <c r="BF338" s="100">
        <f>338</f>
        <v>338</v>
      </c>
      <c r="BH338" s="108">
        <f t="shared" si="341"/>
        <v>0</v>
      </c>
      <c r="BI338" s="108">
        <f t="shared" si="342"/>
        <v>0</v>
      </c>
      <c r="BJ338" s="108">
        <f t="shared" si="343"/>
        <v>0</v>
      </c>
    </row>
    <row r="339" spans="1:62" x14ac:dyDescent="0.2">
      <c r="A339" s="117" t="s">
        <v>300</v>
      </c>
      <c r="B339" s="117" t="s">
        <v>3537</v>
      </c>
      <c r="C339" s="304" t="s">
        <v>1364</v>
      </c>
      <c r="D339" s="305"/>
      <c r="E339" s="305"/>
      <c r="F339" s="117" t="s">
        <v>1644</v>
      </c>
      <c r="G339" s="116">
        <v>2</v>
      </c>
      <c r="H339" s="159"/>
      <c r="I339" s="108">
        <f t="shared" si="320"/>
        <v>0</v>
      </c>
      <c r="J339" s="108">
        <f t="shared" si="321"/>
        <v>0</v>
      </c>
      <c r="K339" s="108">
        <f t="shared" si="322"/>
        <v>0</v>
      </c>
      <c r="L339" s="111"/>
      <c r="Z339" s="100">
        <f t="shared" si="323"/>
        <v>0</v>
      </c>
      <c r="AB339" s="100">
        <f t="shared" si="324"/>
        <v>0</v>
      </c>
      <c r="AC339" s="100">
        <f t="shared" si="325"/>
        <v>0</v>
      </c>
      <c r="AD339" s="100">
        <f t="shared" si="326"/>
        <v>0</v>
      </c>
      <c r="AE339" s="100">
        <f t="shared" si="327"/>
        <v>0</v>
      </c>
      <c r="AF339" s="100">
        <f t="shared" si="328"/>
        <v>0</v>
      </c>
      <c r="AG339" s="100">
        <f t="shared" si="329"/>
        <v>0</v>
      </c>
      <c r="AH339" s="100">
        <f t="shared" si="330"/>
        <v>0</v>
      </c>
      <c r="AI339" s="109"/>
      <c r="AJ339" s="108">
        <f t="shared" si="331"/>
        <v>0</v>
      </c>
      <c r="AK339" s="108">
        <f t="shared" si="332"/>
        <v>0</v>
      </c>
      <c r="AL339" s="108">
        <f t="shared" si="333"/>
        <v>0</v>
      </c>
      <c r="AN339" s="100">
        <v>15</v>
      </c>
      <c r="AO339" s="100">
        <f t="shared" si="334"/>
        <v>0</v>
      </c>
      <c r="AP339" s="100">
        <f t="shared" si="335"/>
        <v>0</v>
      </c>
      <c r="AQ339" s="111" t="s">
        <v>13</v>
      </c>
      <c r="AV339" s="100">
        <f t="shared" si="336"/>
        <v>0</v>
      </c>
      <c r="AW339" s="100">
        <f t="shared" si="337"/>
        <v>0</v>
      </c>
      <c r="AX339" s="100">
        <f t="shared" si="338"/>
        <v>0</v>
      </c>
      <c r="AY339" s="110" t="s">
        <v>1710</v>
      </c>
      <c r="AZ339" s="110" t="s">
        <v>1733</v>
      </c>
      <c r="BA339" s="109" t="s">
        <v>1737</v>
      </c>
      <c r="BC339" s="100">
        <f t="shared" si="339"/>
        <v>0</v>
      </c>
      <c r="BD339" s="100">
        <f t="shared" si="340"/>
        <v>0</v>
      </c>
      <c r="BE339" s="100">
        <v>0</v>
      </c>
      <c r="BF339" s="100">
        <f>339</f>
        <v>339</v>
      </c>
      <c r="BH339" s="108">
        <f t="shared" si="341"/>
        <v>0</v>
      </c>
      <c r="BI339" s="108">
        <f t="shared" si="342"/>
        <v>0</v>
      </c>
      <c r="BJ339" s="108">
        <f t="shared" si="343"/>
        <v>0</v>
      </c>
    </row>
    <row r="340" spans="1:62" x14ac:dyDescent="0.2">
      <c r="A340" s="117" t="s">
        <v>301</v>
      </c>
      <c r="B340" s="117" t="s">
        <v>3536</v>
      </c>
      <c r="C340" s="304" t="s">
        <v>1365</v>
      </c>
      <c r="D340" s="305"/>
      <c r="E340" s="305"/>
      <c r="F340" s="117" t="s">
        <v>1644</v>
      </c>
      <c r="G340" s="116">
        <v>1</v>
      </c>
      <c r="H340" s="159"/>
      <c r="I340" s="108">
        <f t="shared" si="320"/>
        <v>0</v>
      </c>
      <c r="J340" s="108">
        <f t="shared" si="321"/>
        <v>0</v>
      </c>
      <c r="K340" s="108">
        <f t="shared" si="322"/>
        <v>0</v>
      </c>
      <c r="L340" s="111"/>
      <c r="Z340" s="100">
        <f t="shared" si="323"/>
        <v>0</v>
      </c>
      <c r="AB340" s="100">
        <f t="shared" si="324"/>
        <v>0</v>
      </c>
      <c r="AC340" s="100">
        <f t="shared" si="325"/>
        <v>0</v>
      </c>
      <c r="AD340" s="100">
        <f t="shared" si="326"/>
        <v>0</v>
      </c>
      <c r="AE340" s="100">
        <f t="shared" si="327"/>
        <v>0</v>
      </c>
      <c r="AF340" s="100">
        <f t="shared" si="328"/>
        <v>0</v>
      </c>
      <c r="AG340" s="100">
        <f t="shared" si="329"/>
        <v>0</v>
      </c>
      <c r="AH340" s="100">
        <f t="shared" si="330"/>
        <v>0</v>
      </c>
      <c r="AI340" s="109"/>
      <c r="AJ340" s="108">
        <f t="shared" si="331"/>
        <v>0</v>
      </c>
      <c r="AK340" s="108">
        <f t="shared" si="332"/>
        <v>0</v>
      </c>
      <c r="AL340" s="108">
        <f t="shared" si="333"/>
        <v>0</v>
      </c>
      <c r="AN340" s="100">
        <v>15</v>
      </c>
      <c r="AO340" s="100">
        <f t="shared" si="334"/>
        <v>0</v>
      </c>
      <c r="AP340" s="100">
        <f t="shared" si="335"/>
        <v>0</v>
      </c>
      <c r="AQ340" s="111" t="s">
        <v>13</v>
      </c>
      <c r="AV340" s="100">
        <f t="shared" si="336"/>
        <v>0</v>
      </c>
      <c r="AW340" s="100">
        <f t="shared" si="337"/>
        <v>0</v>
      </c>
      <c r="AX340" s="100">
        <f t="shared" si="338"/>
        <v>0</v>
      </c>
      <c r="AY340" s="110" t="s">
        <v>1710</v>
      </c>
      <c r="AZ340" s="110" t="s">
        <v>1733</v>
      </c>
      <c r="BA340" s="109" t="s">
        <v>1737</v>
      </c>
      <c r="BC340" s="100">
        <f t="shared" si="339"/>
        <v>0</v>
      </c>
      <c r="BD340" s="100">
        <f t="shared" si="340"/>
        <v>0</v>
      </c>
      <c r="BE340" s="100">
        <v>0</v>
      </c>
      <c r="BF340" s="100">
        <f>340</f>
        <v>340</v>
      </c>
      <c r="BH340" s="108">
        <f t="shared" si="341"/>
        <v>0</v>
      </c>
      <c r="BI340" s="108">
        <f t="shared" si="342"/>
        <v>0</v>
      </c>
      <c r="BJ340" s="108">
        <f t="shared" si="343"/>
        <v>0</v>
      </c>
    </row>
    <row r="341" spans="1:62" x14ac:dyDescent="0.2">
      <c r="A341" s="117" t="s">
        <v>302</v>
      </c>
      <c r="B341" s="117" t="s">
        <v>3535</v>
      </c>
      <c r="C341" s="304" t="s">
        <v>1366</v>
      </c>
      <c r="D341" s="305"/>
      <c r="E341" s="305"/>
      <c r="F341" s="117" t="s">
        <v>1644</v>
      </c>
      <c r="G341" s="116">
        <v>1</v>
      </c>
      <c r="H341" s="159"/>
      <c r="I341" s="108">
        <f t="shared" si="320"/>
        <v>0</v>
      </c>
      <c r="J341" s="108">
        <f t="shared" si="321"/>
        <v>0</v>
      </c>
      <c r="K341" s="108">
        <f t="shared" si="322"/>
        <v>0</v>
      </c>
      <c r="L341" s="111"/>
      <c r="Z341" s="100">
        <f t="shared" si="323"/>
        <v>0</v>
      </c>
      <c r="AB341" s="100">
        <f t="shared" si="324"/>
        <v>0</v>
      </c>
      <c r="AC341" s="100">
        <f t="shared" si="325"/>
        <v>0</v>
      </c>
      <c r="AD341" s="100">
        <f t="shared" si="326"/>
        <v>0</v>
      </c>
      <c r="AE341" s="100">
        <f t="shared" si="327"/>
        <v>0</v>
      </c>
      <c r="AF341" s="100">
        <f t="shared" si="328"/>
        <v>0</v>
      </c>
      <c r="AG341" s="100">
        <f t="shared" si="329"/>
        <v>0</v>
      </c>
      <c r="AH341" s="100">
        <f t="shared" si="330"/>
        <v>0</v>
      </c>
      <c r="AI341" s="109"/>
      <c r="AJ341" s="108">
        <f t="shared" si="331"/>
        <v>0</v>
      </c>
      <c r="AK341" s="108">
        <f t="shared" si="332"/>
        <v>0</v>
      </c>
      <c r="AL341" s="108">
        <f t="shared" si="333"/>
        <v>0</v>
      </c>
      <c r="AN341" s="100">
        <v>15</v>
      </c>
      <c r="AO341" s="100">
        <f t="shared" si="334"/>
        <v>0</v>
      </c>
      <c r="AP341" s="100">
        <f t="shared" si="335"/>
        <v>0</v>
      </c>
      <c r="AQ341" s="111" t="s">
        <v>13</v>
      </c>
      <c r="AV341" s="100">
        <f t="shared" si="336"/>
        <v>0</v>
      </c>
      <c r="AW341" s="100">
        <f t="shared" si="337"/>
        <v>0</v>
      </c>
      <c r="AX341" s="100">
        <f t="shared" si="338"/>
        <v>0</v>
      </c>
      <c r="AY341" s="110" t="s">
        <v>1710</v>
      </c>
      <c r="AZ341" s="110" t="s">
        <v>1733</v>
      </c>
      <c r="BA341" s="109" t="s">
        <v>1737</v>
      </c>
      <c r="BC341" s="100">
        <f t="shared" si="339"/>
        <v>0</v>
      </c>
      <c r="BD341" s="100">
        <f t="shared" si="340"/>
        <v>0</v>
      </c>
      <c r="BE341" s="100">
        <v>0</v>
      </c>
      <c r="BF341" s="100">
        <f>341</f>
        <v>341</v>
      </c>
      <c r="BH341" s="108">
        <f t="shared" si="341"/>
        <v>0</v>
      </c>
      <c r="BI341" s="108">
        <f t="shared" si="342"/>
        <v>0</v>
      </c>
      <c r="BJ341" s="108">
        <f t="shared" si="343"/>
        <v>0</v>
      </c>
    </row>
    <row r="342" spans="1:62" x14ac:dyDescent="0.2">
      <c r="A342" s="117" t="s">
        <v>303</v>
      </c>
      <c r="B342" s="117" t="s">
        <v>3534</v>
      </c>
      <c r="C342" s="304" t="s">
        <v>1367</v>
      </c>
      <c r="D342" s="305"/>
      <c r="E342" s="305"/>
      <c r="F342" s="117" t="s">
        <v>1644</v>
      </c>
      <c r="G342" s="116">
        <v>1</v>
      </c>
      <c r="H342" s="159"/>
      <c r="I342" s="108">
        <f t="shared" si="320"/>
        <v>0</v>
      </c>
      <c r="J342" s="108">
        <f t="shared" si="321"/>
        <v>0</v>
      </c>
      <c r="K342" s="108">
        <f t="shared" si="322"/>
        <v>0</v>
      </c>
      <c r="L342" s="111"/>
      <c r="Z342" s="100">
        <f t="shared" si="323"/>
        <v>0</v>
      </c>
      <c r="AB342" s="100">
        <f t="shared" si="324"/>
        <v>0</v>
      </c>
      <c r="AC342" s="100">
        <f t="shared" si="325"/>
        <v>0</v>
      </c>
      <c r="AD342" s="100">
        <f t="shared" si="326"/>
        <v>0</v>
      </c>
      <c r="AE342" s="100">
        <f t="shared" si="327"/>
        <v>0</v>
      </c>
      <c r="AF342" s="100">
        <f t="shared" si="328"/>
        <v>0</v>
      </c>
      <c r="AG342" s="100">
        <f t="shared" si="329"/>
        <v>0</v>
      </c>
      <c r="AH342" s="100">
        <f t="shared" si="330"/>
        <v>0</v>
      </c>
      <c r="AI342" s="109"/>
      <c r="AJ342" s="108">
        <f t="shared" si="331"/>
        <v>0</v>
      </c>
      <c r="AK342" s="108">
        <f t="shared" si="332"/>
        <v>0</v>
      </c>
      <c r="AL342" s="108">
        <f t="shared" si="333"/>
        <v>0</v>
      </c>
      <c r="AN342" s="100">
        <v>15</v>
      </c>
      <c r="AO342" s="100">
        <f t="shared" si="334"/>
        <v>0</v>
      </c>
      <c r="AP342" s="100">
        <f t="shared" si="335"/>
        <v>0</v>
      </c>
      <c r="AQ342" s="111" t="s">
        <v>13</v>
      </c>
      <c r="AV342" s="100">
        <f t="shared" si="336"/>
        <v>0</v>
      </c>
      <c r="AW342" s="100">
        <f t="shared" si="337"/>
        <v>0</v>
      </c>
      <c r="AX342" s="100">
        <f t="shared" si="338"/>
        <v>0</v>
      </c>
      <c r="AY342" s="110" t="s">
        <v>1710</v>
      </c>
      <c r="AZ342" s="110" t="s">
        <v>1733</v>
      </c>
      <c r="BA342" s="109" t="s">
        <v>1737</v>
      </c>
      <c r="BC342" s="100">
        <f t="shared" si="339"/>
        <v>0</v>
      </c>
      <c r="BD342" s="100">
        <f t="shared" si="340"/>
        <v>0</v>
      </c>
      <c r="BE342" s="100">
        <v>0</v>
      </c>
      <c r="BF342" s="100">
        <f>342</f>
        <v>342</v>
      </c>
      <c r="BH342" s="108">
        <f t="shared" si="341"/>
        <v>0</v>
      </c>
      <c r="BI342" s="108">
        <f t="shared" si="342"/>
        <v>0</v>
      </c>
      <c r="BJ342" s="108">
        <f t="shared" si="343"/>
        <v>0</v>
      </c>
    </row>
    <row r="343" spans="1:62" x14ac:dyDescent="0.2">
      <c r="A343" s="117" t="s">
        <v>304</v>
      </c>
      <c r="B343" s="117" t="s">
        <v>3533</v>
      </c>
      <c r="C343" s="304" t="s">
        <v>1368</v>
      </c>
      <c r="D343" s="305"/>
      <c r="E343" s="305"/>
      <c r="F343" s="117" t="s">
        <v>1644</v>
      </c>
      <c r="G343" s="116">
        <v>5</v>
      </c>
      <c r="H343" s="159"/>
      <c r="I343" s="108">
        <f t="shared" si="320"/>
        <v>0</v>
      </c>
      <c r="J343" s="108">
        <f t="shared" si="321"/>
        <v>0</v>
      </c>
      <c r="K343" s="108">
        <f t="shared" si="322"/>
        <v>0</v>
      </c>
      <c r="L343" s="111"/>
      <c r="Z343" s="100">
        <f t="shared" si="323"/>
        <v>0</v>
      </c>
      <c r="AB343" s="100">
        <f t="shared" si="324"/>
        <v>0</v>
      </c>
      <c r="AC343" s="100">
        <f t="shared" si="325"/>
        <v>0</v>
      </c>
      <c r="AD343" s="100">
        <f t="shared" si="326"/>
        <v>0</v>
      </c>
      <c r="AE343" s="100">
        <f t="shared" si="327"/>
        <v>0</v>
      </c>
      <c r="AF343" s="100">
        <f t="shared" si="328"/>
        <v>0</v>
      </c>
      <c r="AG343" s="100">
        <f t="shared" si="329"/>
        <v>0</v>
      </c>
      <c r="AH343" s="100">
        <f t="shared" si="330"/>
        <v>0</v>
      </c>
      <c r="AI343" s="109"/>
      <c r="AJ343" s="108">
        <f t="shared" si="331"/>
        <v>0</v>
      </c>
      <c r="AK343" s="108">
        <f t="shared" si="332"/>
        <v>0</v>
      </c>
      <c r="AL343" s="108">
        <f t="shared" si="333"/>
        <v>0</v>
      </c>
      <c r="AN343" s="100">
        <v>15</v>
      </c>
      <c r="AO343" s="100">
        <f t="shared" si="334"/>
        <v>0</v>
      </c>
      <c r="AP343" s="100">
        <f t="shared" si="335"/>
        <v>0</v>
      </c>
      <c r="AQ343" s="111" t="s">
        <v>13</v>
      </c>
      <c r="AV343" s="100">
        <f t="shared" si="336"/>
        <v>0</v>
      </c>
      <c r="AW343" s="100">
        <f t="shared" si="337"/>
        <v>0</v>
      </c>
      <c r="AX343" s="100">
        <f t="shared" si="338"/>
        <v>0</v>
      </c>
      <c r="AY343" s="110" t="s">
        <v>1710</v>
      </c>
      <c r="AZ343" s="110" t="s">
        <v>1733</v>
      </c>
      <c r="BA343" s="109" t="s">
        <v>1737</v>
      </c>
      <c r="BC343" s="100">
        <f t="shared" si="339"/>
        <v>0</v>
      </c>
      <c r="BD343" s="100">
        <f t="shared" si="340"/>
        <v>0</v>
      </c>
      <c r="BE343" s="100">
        <v>0</v>
      </c>
      <c r="BF343" s="100">
        <f>343</f>
        <v>343</v>
      </c>
      <c r="BH343" s="108">
        <f t="shared" si="341"/>
        <v>0</v>
      </c>
      <c r="BI343" s="108">
        <f t="shared" si="342"/>
        <v>0</v>
      </c>
      <c r="BJ343" s="108">
        <f t="shared" si="343"/>
        <v>0</v>
      </c>
    </row>
    <row r="344" spans="1:62" x14ac:dyDescent="0.2">
      <c r="A344" s="117" t="s">
        <v>305</v>
      </c>
      <c r="B344" s="117" t="s">
        <v>3532</v>
      </c>
      <c r="C344" s="304" t="s">
        <v>1369</v>
      </c>
      <c r="D344" s="305"/>
      <c r="E344" s="305"/>
      <c r="F344" s="117" t="s">
        <v>1644</v>
      </c>
      <c r="G344" s="116">
        <v>2</v>
      </c>
      <c r="H344" s="159"/>
      <c r="I344" s="108">
        <f t="shared" si="320"/>
        <v>0</v>
      </c>
      <c r="J344" s="108">
        <f t="shared" si="321"/>
        <v>0</v>
      </c>
      <c r="K344" s="108">
        <f t="shared" si="322"/>
        <v>0</v>
      </c>
      <c r="L344" s="111"/>
      <c r="Z344" s="100">
        <f t="shared" si="323"/>
        <v>0</v>
      </c>
      <c r="AB344" s="100">
        <f t="shared" si="324"/>
        <v>0</v>
      </c>
      <c r="AC344" s="100">
        <f t="shared" si="325"/>
        <v>0</v>
      </c>
      <c r="AD344" s="100">
        <f t="shared" si="326"/>
        <v>0</v>
      </c>
      <c r="AE344" s="100">
        <f t="shared" si="327"/>
        <v>0</v>
      </c>
      <c r="AF344" s="100">
        <f t="shared" si="328"/>
        <v>0</v>
      </c>
      <c r="AG344" s="100">
        <f t="shared" si="329"/>
        <v>0</v>
      </c>
      <c r="AH344" s="100">
        <f t="shared" si="330"/>
        <v>0</v>
      </c>
      <c r="AI344" s="109"/>
      <c r="AJ344" s="108">
        <f t="shared" si="331"/>
        <v>0</v>
      </c>
      <c r="AK344" s="108">
        <f t="shared" si="332"/>
        <v>0</v>
      </c>
      <c r="AL344" s="108">
        <f t="shared" si="333"/>
        <v>0</v>
      </c>
      <c r="AN344" s="100">
        <v>15</v>
      </c>
      <c r="AO344" s="100">
        <f t="shared" si="334"/>
        <v>0</v>
      </c>
      <c r="AP344" s="100">
        <f t="shared" si="335"/>
        <v>0</v>
      </c>
      <c r="AQ344" s="111" t="s">
        <v>13</v>
      </c>
      <c r="AV344" s="100">
        <f t="shared" si="336"/>
        <v>0</v>
      </c>
      <c r="AW344" s="100">
        <f t="shared" si="337"/>
        <v>0</v>
      </c>
      <c r="AX344" s="100">
        <f t="shared" si="338"/>
        <v>0</v>
      </c>
      <c r="AY344" s="110" t="s">
        <v>1710</v>
      </c>
      <c r="AZ344" s="110" t="s">
        <v>1733</v>
      </c>
      <c r="BA344" s="109" t="s">
        <v>1737</v>
      </c>
      <c r="BC344" s="100">
        <f t="shared" si="339"/>
        <v>0</v>
      </c>
      <c r="BD344" s="100">
        <f t="shared" si="340"/>
        <v>0</v>
      </c>
      <c r="BE344" s="100">
        <v>0</v>
      </c>
      <c r="BF344" s="100">
        <f>344</f>
        <v>344</v>
      </c>
      <c r="BH344" s="108">
        <f t="shared" si="341"/>
        <v>0</v>
      </c>
      <c r="BI344" s="108">
        <f t="shared" si="342"/>
        <v>0</v>
      </c>
      <c r="BJ344" s="108">
        <f t="shared" si="343"/>
        <v>0</v>
      </c>
    </row>
    <row r="345" spans="1:62" x14ac:dyDescent="0.2">
      <c r="A345" s="117" t="s">
        <v>306</v>
      </c>
      <c r="B345" s="117" t="s">
        <v>3531</v>
      </c>
      <c r="C345" s="304" t="s">
        <v>1327</v>
      </c>
      <c r="D345" s="305"/>
      <c r="E345" s="305"/>
      <c r="F345" s="117" t="s">
        <v>1644</v>
      </c>
      <c r="G345" s="116">
        <v>1</v>
      </c>
      <c r="H345" s="159"/>
      <c r="I345" s="108">
        <f t="shared" si="320"/>
        <v>0</v>
      </c>
      <c r="J345" s="108">
        <f t="shared" si="321"/>
        <v>0</v>
      </c>
      <c r="K345" s="108">
        <f t="shared" si="322"/>
        <v>0</v>
      </c>
      <c r="L345" s="111"/>
      <c r="Z345" s="100">
        <f t="shared" si="323"/>
        <v>0</v>
      </c>
      <c r="AB345" s="100">
        <f t="shared" si="324"/>
        <v>0</v>
      </c>
      <c r="AC345" s="100">
        <f t="shared" si="325"/>
        <v>0</v>
      </c>
      <c r="AD345" s="100">
        <f t="shared" si="326"/>
        <v>0</v>
      </c>
      <c r="AE345" s="100">
        <f t="shared" si="327"/>
        <v>0</v>
      </c>
      <c r="AF345" s="100">
        <f t="shared" si="328"/>
        <v>0</v>
      </c>
      <c r="AG345" s="100">
        <f t="shared" si="329"/>
        <v>0</v>
      </c>
      <c r="AH345" s="100">
        <f t="shared" si="330"/>
        <v>0</v>
      </c>
      <c r="AI345" s="109"/>
      <c r="AJ345" s="108">
        <f t="shared" si="331"/>
        <v>0</v>
      </c>
      <c r="AK345" s="108">
        <f t="shared" si="332"/>
        <v>0</v>
      </c>
      <c r="AL345" s="108">
        <f t="shared" si="333"/>
        <v>0</v>
      </c>
      <c r="AN345" s="100">
        <v>15</v>
      </c>
      <c r="AO345" s="100">
        <f t="shared" si="334"/>
        <v>0</v>
      </c>
      <c r="AP345" s="100">
        <f t="shared" si="335"/>
        <v>0</v>
      </c>
      <c r="AQ345" s="111" t="s">
        <v>13</v>
      </c>
      <c r="AV345" s="100">
        <f t="shared" si="336"/>
        <v>0</v>
      </c>
      <c r="AW345" s="100">
        <f t="shared" si="337"/>
        <v>0</v>
      </c>
      <c r="AX345" s="100">
        <f t="shared" si="338"/>
        <v>0</v>
      </c>
      <c r="AY345" s="110" t="s">
        <v>1710</v>
      </c>
      <c r="AZ345" s="110" t="s">
        <v>1733</v>
      </c>
      <c r="BA345" s="109" t="s">
        <v>1737</v>
      </c>
      <c r="BC345" s="100">
        <f t="shared" si="339"/>
        <v>0</v>
      </c>
      <c r="BD345" s="100">
        <f t="shared" si="340"/>
        <v>0</v>
      </c>
      <c r="BE345" s="100">
        <v>0</v>
      </c>
      <c r="BF345" s="100">
        <f>345</f>
        <v>345</v>
      </c>
      <c r="BH345" s="108">
        <f t="shared" si="341"/>
        <v>0</v>
      </c>
      <c r="BI345" s="108">
        <f t="shared" si="342"/>
        <v>0</v>
      </c>
      <c r="BJ345" s="108">
        <f t="shared" si="343"/>
        <v>0</v>
      </c>
    </row>
    <row r="346" spans="1:62" x14ac:dyDescent="0.2">
      <c r="A346" s="117" t="s">
        <v>307</v>
      </c>
      <c r="B346" s="117" t="s">
        <v>3530</v>
      </c>
      <c r="C346" s="304" t="s">
        <v>1372</v>
      </c>
      <c r="D346" s="305"/>
      <c r="E346" s="305"/>
      <c r="F346" s="117" t="s">
        <v>1646</v>
      </c>
      <c r="G346" s="116">
        <v>2</v>
      </c>
      <c r="H346" s="159"/>
      <c r="I346" s="108">
        <f t="shared" si="320"/>
        <v>0</v>
      </c>
      <c r="J346" s="108">
        <f t="shared" si="321"/>
        <v>0</v>
      </c>
      <c r="K346" s="108">
        <f t="shared" si="322"/>
        <v>0</v>
      </c>
      <c r="L346" s="111"/>
      <c r="Z346" s="100">
        <f t="shared" si="323"/>
        <v>0</v>
      </c>
      <c r="AB346" s="100">
        <f t="shared" si="324"/>
        <v>0</v>
      </c>
      <c r="AC346" s="100">
        <f t="shared" si="325"/>
        <v>0</v>
      </c>
      <c r="AD346" s="100">
        <f t="shared" si="326"/>
        <v>0</v>
      </c>
      <c r="AE346" s="100">
        <f t="shared" si="327"/>
        <v>0</v>
      </c>
      <c r="AF346" s="100">
        <f t="shared" si="328"/>
        <v>0</v>
      </c>
      <c r="AG346" s="100">
        <f t="shared" si="329"/>
        <v>0</v>
      </c>
      <c r="AH346" s="100">
        <f t="shared" si="330"/>
        <v>0</v>
      </c>
      <c r="AI346" s="109"/>
      <c r="AJ346" s="108">
        <f t="shared" si="331"/>
        <v>0</v>
      </c>
      <c r="AK346" s="108">
        <f t="shared" si="332"/>
        <v>0</v>
      </c>
      <c r="AL346" s="108">
        <f t="shared" si="333"/>
        <v>0</v>
      </c>
      <c r="AN346" s="100">
        <v>15</v>
      </c>
      <c r="AO346" s="100">
        <f t="shared" si="334"/>
        <v>0</v>
      </c>
      <c r="AP346" s="100">
        <f t="shared" si="335"/>
        <v>0</v>
      </c>
      <c r="AQ346" s="111" t="s">
        <v>13</v>
      </c>
      <c r="AV346" s="100">
        <f t="shared" si="336"/>
        <v>0</v>
      </c>
      <c r="AW346" s="100">
        <f t="shared" si="337"/>
        <v>0</v>
      </c>
      <c r="AX346" s="100">
        <f t="shared" si="338"/>
        <v>0</v>
      </c>
      <c r="AY346" s="110" t="s">
        <v>1710</v>
      </c>
      <c r="AZ346" s="110" t="s">
        <v>1733</v>
      </c>
      <c r="BA346" s="109" t="s">
        <v>1737</v>
      </c>
      <c r="BC346" s="100">
        <f t="shared" si="339"/>
        <v>0</v>
      </c>
      <c r="BD346" s="100">
        <f t="shared" si="340"/>
        <v>0</v>
      </c>
      <c r="BE346" s="100">
        <v>0</v>
      </c>
      <c r="BF346" s="100">
        <f>346</f>
        <v>346</v>
      </c>
      <c r="BH346" s="108">
        <f t="shared" si="341"/>
        <v>0</v>
      </c>
      <c r="BI346" s="108">
        <f t="shared" si="342"/>
        <v>0</v>
      </c>
      <c r="BJ346" s="108">
        <f t="shared" si="343"/>
        <v>0</v>
      </c>
    </row>
    <row r="347" spans="1:62" x14ac:dyDescent="0.2">
      <c r="A347" s="117" t="s">
        <v>308</v>
      </c>
      <c r="B347" s="117" t="s">
        <v>3529</v>
      </c>
      <c r="C347" s="304" t="s">
        <v>1373</v>
      </c>
      <c r="D347" s="305"/>
      <c r="E347" s="305"/>
      <c r="F347" s="117" t="s">
        <v>1646</v>
      </c>
      <c r="G347" s="116">
        <v>6</v>
      </c>
      <c r="H347" s="159"/>
      <c r="I347" s="108">
        <f t="shared" si="320"/>
        <v>0</v>
      </c>
      <c r="J347" s="108">
        <f t="shared" si="321"/>
        <v>0</v>
      </c>
      <c r="K347" s="108">
        <f t="shared" si="322"/>
        <v>0</v>
      </c>
      <c r="L347" s="111"/>
      <c r="Z347" s="100">
        <f t="shared" si="323"/>
        <v>0</v>
      </c>
      <c r="AB347" s="100">
        <f t="shared" si="324"/>
        <v>0</v>
      </c>
      <c r="AC347" s="100">
        <f t="shared" si="325"/>
        <v>0</v>
      </c>
      <c r="AD347" s="100">
        <f t="shared" si="326"/>
        <v>0</v>
      </c>
      <c r="AE347" s="100">
        <f t="shared" si="327"/>
        <v>0</v>
      </c>
      <c r="AF347" s="100">
        <f t="shared" si="328"/>
        <v>0</v>
      </c>
      <c r="AG347" s="100">
        <f t="shared" si="329"/>
        <v>0</v>
      </c>
      <c r="AH347" s="100">
        <f t="shared" si="330"/>
        <v>0</v>
      </c>
      <c r="AI347" s="109"/>
      <c r="AJ347" s="108">
        <f t="shared" si="331"/>
        <v>0</v>
      </c>
      <c r="AK347" s="108">
        <f t="shared" si="332"/>
        <v>0</v>
      </c>
      <c r="AL347" s="108">
        <f t="shared" si="333"/>
        <v>0</v>
      </c>
      <c r="AN347" s="100">
        <v>15</v>
      </c>
      <c r="AO347" s="100">
        <f t="shared" si="334"/>
        <v>0</v>
      </c>
      <c r="AP347" s="100">
        <f t="shared" si="335"/>
        <v>0</v>
      </c>
      <c r="AQ347" s="111" t="s">
        <v>13</v>
      </c>
      <c r="AV347" s="100">
        <f t="shared" si="336"/>
        <v>0</v>
      </c>
      <c r="AW347" s="100">
        <f t="shared" si="337"/>
        <v>0</v>
      </c>
      <c r="AX347" s="100">
        <f t="shared" si="338"/>
        <v>0</v>
      </c>
      <c r="AY347" s="110" t="s">
        <v>1710</v>
      </c>
      <c r="AZ347" s="110" t="s">
        <v>1733</v>
      </c>
      <c r="BA347" s="109" t="s">
        <v>1737</v>
      </c>
      <c r="BC347" s="100">
        <f t="shared" si="339"/>
        <v>0</v>
      </c>
      <c r="BD347" s="100">
        <f t="shared" si="340"/>
        <v>0</v>
      </c>
      <c r="BE347" s="100">
        <v>0</v>
      </c>
      <c r="BF347" s="100">
        <f>347</f>
        <v>347</v>
      </c>
      <c r="BH347" s="108">
        <f t="shared" si="341"/>
        <v>0</v>
      </c>
      <c r="BI347" s="108">
        <f t="shared" si="342"/>
        <v>0</v>
      </c>
      <c r="BJ347" s="108">
        <f t="shared" si="343"/>
        <v>0</v>
      </c>
    </row>
    <row r="348" spans="1:62" x14ac:dyDescent="0.2">
      <c r="A348" s="117" t="s">
        <v>309</v>
      </c>
      <c r="B348" s="117" t="s">
        <v>3528</v>
      </c>
      <c r="C348" s="304" t="s">
        <v>1374</v>
      </c>
      <c r="D348" s="305"/>
      <c r="E348" s="305"/>
      <c r="F348" s="117" t="s">
        <v>1646</v>
      </c>
      <c r="G348" s="116">
        <v>2</v>
      </c>
      <c r="H348" s="159"/>
      <c r="I348" s="108">
        <f t="shared" si="320"/>
        <v>0</v>
      </c>
      <c r="J348" s="108">
        <f t="shared" si="321"/>
        <v>0</v>
      </c>
      <c r="K348" s="108">
        <f t="shared" si="322"/>
        <v>0</v>
      </c>
      <c r="L348" s="111"/>
      <c r="Z348" s="100">
        <f t="shared" si="323"/>
        <v>0</v>
      </c>
      <c r="AB348" s="100">
        <f t="shared" si="324"/>
        <v>0</v>
      </c>
      <c r="AC348" s="100">
        <f t="shared" si="325"/>
        <v>0</v>
      </c>
      <c r="AD348" s="100">
        <f t="shared" si="326"/>
        <v>0</v>
      </c>
      <c r="AE348" s="100">
        <f t="shared" si="327"/>
        <v>0</v>
      </c>
      <c r="AF348" s="100">
        <f t="shared" si="328"/>
        <v>0</v>
      </c>
      <c r="AG348" s="100">
        <f t="shared" si="329"/>
        <v>0</v>
      </c>
      <c r="AH348" s="100">
        <f t="shared" si="330"/>
        <v>0</v>
      </c>
      <c r="AI348" s="109"/>
      <c r="AJ348" s="108">
        <f t="shared" si="331"/>
        <v>0</v>
      </c>
      <c r="AK348" s="108">
        <f t="shared" si="332"/>
        <v>0</v>
      </c>
      <c r="AL348" s="108">
        <f t="shared" si="333"/>
        <v>0</v>
      </c>
      <c r="AN348" s="100">
        <v>15</v>
      </c>
      <c r="AO348" s="100">
        <f t="shared" si="334"/>
        <v>0</v>
      </c>
      <c r="AP348" s="100">
        <f t="shared" si="335"/>
        <v>0</v>
      </c>
      <c r="AQ348" s="111" t="s">
        <v>13</v>
      </c>
      <c r="AV348" s="100">
        <f t="shared" si="336"/>
        <v>0</v>
      </c>
      <c r="AW348" s="100">
        <f t="shared" si="337"/>
        <v>0</v>
      </c>
      <c r="AX348" s="100">
        <f t="shared" si="338"/>
        <v>0</v>
      </c>
      <c r="AY348" s="110" t="s">
        <v>1710</v>
      </c>
      <c r="AZ348" s="110" t="s">
        <v>1733</v>
      </c>
      <c r="BA348" s="109" t="s">
        <v>1737</v>
      </c>
      <c r="BC348" s="100">
        <f t="shared" si="339"/>
        <v>0</v>
      </c>
      <c r="BD348" s="100">
        <f t="shared" si="340"/>
        <v>0</v>
      </c>
      <c r="BE348" s="100">
        <v>0</v>
      </c>
      <c r="BF348" s="100">
        <f>348</f>
        <v>348</v>
      </c>
      <c r="BH348" s="108">
        <f t="shared" si="341"/>
        <v>0</v>
      </c>
      <c r="BI348" s="108">
        <f t="shared" si="342"/>
        <v>0</v>
      </c>
      <c r="BJ348" s="108">
        <f t="shared" si="343"/>
        <v>0</v>
      </c>
    </row>
    <row r="349" spans="1:62" x14ac:dyDescent="0.2">
      <c r="A349" s="117" t="s">
        <v>310</v>
      </c>
      <c r="B349" s="117" t="s">
        <v>3527</v>
      </c>
      <c r="C349" s="304" t="s">
        <v>1375</v>
      </c>
      <c r="D349" s="305"/>
      <c r="E349" s="305"/>
      <c r="F349" s="117" t="s">
        <v>1646</v>
      </c>
      <c r="G349" s="116">
        <v>2</v>
      </c>
      <c r="H349" s="159"/>
      <c r="I349" s="108">
        <f t="shared" si="320"/>
        <v>0</v>
      </c>
      <c r="J349" s="108">
        <f t="shared" si="321"/>
        <v>0</v>
      </c>
      <c r="K349" s="108">
        <f t="shared" si="322"/>
        <v>0</v>
      </c>
      <c r="L349" s="111"/>
      <c r="Z349" s="100">
        <f t="shared" si="323"/>
        <v>0</v>
      </c>
      <c r="AB349" s="100">
        <f t="shared" si="324"/>
        <v>0</v>
      </c>
      <c r="AC349" s="100">
        <f t="shared" si="325"/>
        <v>0</v>
      </c>
      <c r="AD349" s="100">
        <f t="shared" si="326"/>
        <v>0</v>
      </c>
      <c r="AE349" s="100">
        <f t="shared" si="327"/>
        <v>0</v>
      </c>
      <c r="AF349" s="100">
        <f t="shared" si="328"/>
        <v>0</v>
      </c>
      <c r="AG349" s="100">
        <f t="shared" si="329"/>
        <v>0</v>
      </c>
      <c r="AH349" s="100">
        <f t="shared" si="330"/>
        <v>0</v>
      </c>
      <c r="AI349" s="109"/>
      <c r="AJ349" s="108">
        <f t="shared" si="331"/>
        <v>0</v>
      </c>
      <c r="AK349" s="108">
        <f t="shared" si="332"/>
        <v>0</v>
      </c>
      <c r="AL349" s="108">
        <f t="shared" si="333"/>
        <v>0</v>
      </c>
      <c r="AN349" s="100">
        <v>15</v>
      </c>
      <c r="AO349" s="100">
        <f t="shared" si="334"/>
        <v>0</v>
      </c>
      <c r="AP349" s="100">
        <f t="shared" si="335"/>
        <v>0</v>
      </c>
      <c r="AQ349" s="111" t="s">
        <v>13</v>
      </c>
      <c r="AV349" s="100">
        <f t="shared" si="336"/>
        <v>0</v>
      </c>
      <c r="AW349" s="100">
        <f t="shared" si="337"/>
        <v>0</v>
      </c>
      <c r="AX349" s="100">
        <f t="shared" si="338"/>
        <v>0</v>
      </c>
      <c r="AY349" s="110" t="s">
        <v>1710</v>
      </c>
      <c r="AZ349" s="110" t="s">
        <v>1733</v>
      </c>
      <c r="BA349" s="109" t="s">
        <v>1737</v>
      </c>
      <c r="BC349" s="100">
        <f t="shared" si="339"/>
        <v>0</v>
      </c>
      <c r="BD349" s="100">
        <f t="shared" si="340"/>
        <v>0</v>
      </c>
      <c r="BE349" s="100">
        <v>0</v>
      </c>
      <c r="BF349" s="100">
        <f>349</f>
        <v>349</v>
      </c>
      <c r="BH349" s="108">
        <f t="shared" si="341"/>
        <v>0</v>
      </c>
      <c r="BI349" s="108">
        <f t="shared" si="342"/>
        <v>0</v>
      </c>
      <c r="BJ349" s="108">
        <f t="shared" si="343"/>
        <v>0</v>
      </c>
    </row>
    <row r="350" spans="1:62" x14ac:dyDescent="0.2">
      <c r="A350" s="117" t="s">
        <v>311</v>
      </c>
      <c r="B350" s="117" t="s">
        <v>3526</v>
      </c>
      <c r="C350" s="304" t="s">
        <v>1376</v>
      </c>
      <c r="D350" s="305"/>
      <c r="E350" s="305"/>
      <c r="F350" s="117" t="s">
        <v>1646</v>
      </c>
      <c r="G350" s="116">
        <v>12</v>
      </c>
      <c r="H350" s="159"/>
      <c r="I350" s="108">
        <f t="shared" si="320"/>
        <v>0</v>
      </c>
      <c r="J350" s="108">
        <f t="shared" si="321"/>
        <v>0</v>
      </c>
      <c r="K350" s="108">
        <f t="shared" si="322"/>
        <v>0</v>
      </c>
      <c r="L350" s="111"/>
      <c r="Z350" s="100">
        <f t="shared" si="323"/>
        <v>0</v>
      </c>
      <c r="AB350" s="100">
        <f t="shared" si="324"/>
        <v>0</v>
      </c>
      <c r="AC350" s="100">
        <f t="shared" si="325"/>
        <v>0</v>
      </c>
      <c r="AD350" s="100">
        <f t="shared" si="326"/>
        <v>0</v>
      </c>
      <c r="AE350" s="100">
        <f t="shared" si="327"/>
        <v>0</v>
      </c>
      <c r="AF350" s="100">
        <f t="shared" si="328"/>
        <v>0</v>
      </c>
      <c r="AG350" s="100">
        <f t="shared" si="329"/>
        <v>0</v>
      </c>
      <c r="AH350" s="100">
        <f t="shared" si="330"/>
        <v>0</v>
      </c>
      <c r="AI350" s="109"/>
      <c r="AJ350" s="108">
        <f t="shared" si="331"/>
        <v>0</v>
      </c>
      <c r="AK350" s="108">
        <f t="shared" si="332"/>
        <v>0</v>
      </c>
      <c r="AL350" s="108">
        <f t="shared" si="333"/>
        <v>0</v>
      </c>
      <c r="AN350" s="100">
        <v>15</v>
      </c>
      <c r="AO350" s="100">
        <f t="shared" si="334"/>
        <v>0</v>
      </c>
      <c r="AP350" s="100">
        <f t="shared" si="335"/>
        <v>0</v>
      </c>
      <c r="AQ350" s="111" t="s">
        <v>13</v>
      </c>
      <c r="AV350" s="100">
        <f t="shared" si="336"/>
        <v>0</v>
      </c>
      <c r="AW350" s="100">
        <f t="shared" si="337"/>
        <v>0</v>
      </c>
      <c r="AX350" s="100">
        <f t="shared" si="338"/>
        <v>0</v>
      </c>
      <c r="AY350" s="110" t="s">
        <v>1710</v>
      </c>
      <c r="AZ350" s="110" t="s">
        <v>1733</v>
      </c>
      <c r="BA350" s="109" t="s">
        <v>1737</v>
      </c>
      <c r="BC350" s="100">
        <f t="shared" si="339"/>
        <v>0</v>
      </c>
      <c r="BD350" s="100">
        <f t="shared" si="340"/>
        <v>0</v>
      </c>
      <c r="BE350" s="100">
        <v>0</v>
      </c>
      <c r="BF350" s="100">
        <f>350</f>
        <v>350</v>
      </c>
      <c r="BH350" s="108">
        <f t="shared" si="341"/>
        <v>0</v>
      </c>
      <c r="BI350" s="108">
        <f t="shared" si="342"/>
        <v>0</v>
      </c>
      <c r="BJ350" s="108">
        <f t="shared" si="343"/>
        <v>0</v>
      </c>
    </row>
    <row r="351" spans="1:62" x14ac:dyDescent="0.2">
      <c r="A351" s="117" t="s">
        <v>312</v>
      </c>
      <c r="B351" s="117" t="s">
        <v>3525</v>
      </c>
      <c r="C351" s="304" t="s">
        <v>1377</v>
      </c>
      <c r="D351" s="305"/>
      <c r="E351" s="305"/>
      <c r="F351" s="117" t="s">
        <v>1646</v>
      </c>
      <c r="G351" s="116">
        <v>4</v>
      </c>
      <c r="H351" s="159"/>
      <c r="I351" s="108">
        <f t="shared" si="320"/>
        <v>0</v>
      </c>
      <c r="J351" s="108">
        <f t="shared" si="321"/>
        <v>0</v>
      </c>
      <c r="K351" s="108">
        <f t="shared" si="322"/>
        <v>0</v>
      </c>
      <c r="L351" s="111"/>
      <c r="Z351" s="100">
        <f t="shared" si="323"/>
        <v>0</v>
      </c>
      <c r="AB351" s="100">
        <f t="shared" si="324"/>
        <v>0</v>
      </c>
      <c r="AC351" s="100">
        <f t="shared" si="325"/>
        <v>0</v>
      </c>
      <c r="AD351" s="100">
        <f t="shared" si="326"/>
        <v>0</v>
      </c>
      <c r="AE351" s="100">
        <f t="shared" si="327"/>
        <v>0</v>
      </c>
      <c r="AF351" s="100">
        <f t="shared" si="328"/>
        <v>0</v>
      </c>
      <c r="AG351" s="100">
        <f t="shared" si="329"/>
        <v>0</v>
      </c>
      <c r="AH351" s="100">
        <f t="shared" si="330"/>
        <v>0</v>
      </c>
      <c r="AI351" s="109"/>
      <c r="AJ351" s="108">
        <f t="shared" si="331"/>
        <v>0</v>
      </c>
      <c r="AK351" s="108">
        <f t="shared" si="332"/>
        <v>0</v>
      </c>
      <c r="AL351" s="108">
        <f t="shared" si="333"/>
        <v>0</v>
      </c>
      <c r="AN351" s="100">
        <v>15</v>
      </c>
      <c r="AO351" s="100">
        <f t="shared" si="334"/>
        <v>0</v>
      </c>
      <c r="AP351" s="100">
        <f t="shared" si="335"/>
        <v>0</v>
      </c>
      <c r="AQ351" s="111" t="s">
        <v>13</v>
      </c>
      <c r="AV351" s="100">
        <f t="shared" si="336"/>
        <v>0</v>
      </c>
      <c r="AW351" s="100">
        <f t="shared" si="337"/>
        <v>0</v>
      </c>
      <c r="AX351" s="100">
        <f t="shared" si="338"/>
        <v>0</v>
      </c>
      <c r="AY351" s="110" t="s">
        <v>1710</v>
      </c>
      <c r="AZ351" s="110" t="s">
        <v>1733</v>
      </c>
      <c r="BA351" s="109" t="s">
        <v>1737</v>
      </c>
      <c r="BC351" s="100">
        <f t="shared" si="339"/>
        <v>0</v>
      </c>
      <c r="BD351" s="100">
        <f t="shared" si="340"/>
        <v>0</v>
      </c>
      <c r="BE351" s="100">
        <v>0</v>
      </c>
      <c r="BF351" s="100">
        <f>351</f>
        <v>351</v>
      </c>
      <c r="BH351" s="108">
        <f t="shared" si="341"/>
        <v>0</v>
      </c>
      <c r="BI351" s="108">
        <f t="shared" si="342"/>
        <v>0</v>
      </c>
      <c r="BJ351" s="108">
        <f t="shared" si="343"/>
        <v>0</v>
      </c>
    </row>
    <row r="352" spans="1:62" x14ac:dyDescent="0.2">
      <c r="A352" s="117" t="s">
        <v>313</v>
      </c>
      <c r="B352" s="117" t="s">
        <v>3524</v>
      </c>
      <c r="C352" s="304" t="s">
        <v>1378</v>
      </c>
      <c r="D352" s="305"/>
      <c r="E352" s="305"/>
      <c r="F352" s="117" t="s">
        <v>1646</v>
      </c>
      <c r="G352" s="116">
        <v>2</v>
      </c>
      <c r="H352" s="159"/>
      <c r="I352" s="108">
        <f t="shared" si="320"/>
        <v>0</v>
      </c>
      <c r="J352" s="108">
        <f t="shared" si="321"/>
        <v>0</v>
      </c>
      <c r="K352" s="108">
        <f t="shared" si="322"/>
        <v>0</v>
      </c>
      <c r="L352" s="111"/>
      <c r="Z352" s="100">
        <f t="shared" si="323"/>
        <v>0</v>
      </c>
      <c r="AB352" s="100">
        <f t="shared" si="324"/>
        <v>0</v>
      </c>
      <c r="AC352" s="100">
        <f t="shared" si="325"/>
        <v>0</v>
      </c>
      <c r="AD352" s="100">
        <f t="shared" si="326"/>
        <v>0</v>
      </c>
      <c r="AE352" s="100">
        <f t="shared" si="327"/>
        <v>0</v>
      </c>
      <c r="AF352" s="100">
        <f t="shared" si="328"/>
        <v>0</v>
      </c>
      <c r="AG352" s="100">
        <f t="shared" si="329"/>
        <v>0</v>
      </c>
      <c r="AH352" s="100">
        <f t="shared" si="330"/>
        <v>0</v>
      </c>
      <c r="AI352" s="109"/>
      <c r="AJ352" s="108">
        <f t="shared" si="331"/>
        <v>0</v>
      </c>
      <c r="AK352" s="108">
        <f t="shared" si="332"/>
        <v>0</v>
      </c>
      <c r="AL352" s="108">
        <f t="shared" si="333"/>
        <v>0</v>
      </c>
      <c r="AN352" s="100">
        <v>15</v>
      </c>
      <c r="AO352" s="100">
        <f t="shared" si="334"/>
        <v>0</v>
      </c>
      <c r="AP352" s="100">
        <f t="shared" si="335"/>
        <v>0</v>
      </c>
      <c r="AQ352" s="111" t="s">
        <v>13</v>
      </c>
      <c r="AV352" s="100">
        <f t="shared" si="336"/>
        <v>0</v>
      </c>
      <c r="AW352" s="100">
        <f t="shared" si="337"/>
        <v>0</v>
      </c>
      <c r="AX352" s="100">
        <f t="shared" si="338"/>
        <v>0</v>
      </c>
      <c r="AY352" s="110" t="s">
        <v>1710</v>
      </c>
      <c r="AZ352" s="110" t="s">
        <v>1733</v>
      </c>
      <c r="BA352" s="109" t="s">
        <v>1737</v>
      </c>
      <c r="BC352" s="100">
        <f t="shared" si="339"/>
        <v>0</v>
      </c>
      <c r="BD352" s="100">
        <f t="shared" si="340"/>
        <v>0</v>
      </c>
      <c r="BE352" s="100">
        <v>0</v>
      </c>
      <c r="BF352" s="100">
        <f>352</f>
        <v>352</v>
      </c>
      <c r="BH352" s="108">
        <f t="shared" si="341"/>
        <v>0</v>
      </c>
      <c r="BI352" s="108">
        <f t="shared" si="342"/>
        <v>0</v>
      </c>
      <c r="BJ352" s="108">
        <f t="shared" si="343"/>
        <v>0</v>
      </c>
    </row>
    <row r="353" spans="1:62" x14ac:dyDescent="0.2">
      <c r="A353" s="119"/>
      <c r="B353" s="120" t="s">
        <v>798</v>
      </c>
      <c r="C353" s="306" t="s">
        <v>1379</v>
      </c>
      <c r="D353" s="307"/>
      <c r="E353" s="307"/>
      <c r="F353" s="119" t="s">
        <v>6</v>
      </c>
      <c r="G353" s="119" t="s">
        <v>6</v>
      </c>
      <c r="H353" s="119" t="s">
        <v>6</v>
      </c>
      <c r="I353" s="118">
        <f>SUM(I354:I390)</f>
        <v>0</v>
      </c>
      <c r="J353" s="118">
        <f>SUM(J354:J390)</f>
        <v>0</v>
      </c>
      <c r="K353" s="118">
        <f>SUM(K354:K390)</f>
        <v>0</v>
      </c>
      <c r="L353" s="109"/>
      <c r="AI353" s="109"/>
      <c r="AS353" s="118">
        <f>SUM(AJ354:AJ390)</f>
        <v>0</v>
      </c>
      <c r="AT353" s="118">
        <f>SUM(AK354:AK390)</f>
        <v>0</v>
      </c>
      <c r="AU353" s="118">
        <f>SUM(AL354:AL390)</f>
        <v>0</v>
      </c>
    </row>
    <row r="354" spans="1:62" x14ac:dyDescent="0.2">
      <c r="A354" s="117" t="s">
        <v>314</v>
      </c>
      <c r="B354" s="117" t="s">
        <v>3523</v>
      </c>
      <c r="C354" s="304" t="s">
        <v>1380</v>
      </c>
      <c r="D354" s="305"/>
      <c r="E354" s="305"/>
      <c r="F354" s="117" t="s">
        <v>1646</v>
      </c>
      <c r="G354" s="116">
        <v>1</v>
      </c>
      <c r="H354" s="159"/>
      <c r="I354" s="108">
        <f t="shared" ref="I354:I390" si="344">G354*AO354</f>
        <v>0</v>
      </c>
      <c r="J354" s="108">
        <f t="shared" ref="J354:J390" si="345">G354*AP354</f>
        <v>0</v>
      </c>
      <c r="K354" s="108">
        <f t="shared" ref="K354:K390" si="346">G354*H354</f>
        <v>0</v>
      </c>
      <c r="L354" s="111"/>
      <c r="Z354" s="100">
        <f t="shared" ref="Z354:Z390" si="347">IF(AQ354="5",BJ354,0)</f>
        <v>0</v>
      </c>
      <c r="AB354" s="100">
        <f t="shared" ref="AB354:AB390" si="348">IF(AQ354="1",BH354,0)</f>
        <v>0</v>
      </c>
      <c r="AC354" s="100">
        <f t="shared" ref="AC354:AC390" si="349">IF(AQ354="1",BI354,0)</f>
        <v>0</v>
      </c>
      <c r="AD354" s="100">
        <f t="shared" ref="AD354:AD390" si="350">IF(AQ354="7",BH354,0)</f>
        <v>0</v>
      </c>
      <c r="AE354" s="100">
        <f t="shared" ref="AE354:AE390" si="351">IF(AQ354="7",BI354,0)</f>
        <v>0</v>
      </c>
      <c r="AF354" s="100">
        <f t="shared" ref="AF354:AF390" si="352">IF(AQ354="2",BH354,0)</f>
        <v>0</v>
      </c>
      <c r="AG354" s="100">
        <f t="shared" ref="AG354:AG390" si="353">IF(AQ354="2",BI354,0)</f>
        <v>0</v>
      </c>
      <c r="AH354" s="100">
        <f t="shared" ref="AH354:AH390" si="354">IF(AQ354="0",BJ354,0)</f>
        <v>0</v>
      </c>
      <c r="AI354" s="109"/>
      <c r="AJ354" s="108">
        <f t="shared" ref="AJ354:AJ390" si="355">IF(AN354=0,K354,0)</f>
        <v>0</v>
      </c>
      <c r="AK354" s="108">
        <f t="shared" ref="AK354:AK390" si="356">IF(AN354=15,K354,0)</f>
        <v>0</v>
      </c>
      <c r="AL354" s="108">
        <f t="shared" ref="AL354:AL390" si="357">IF(AN354=21,K354,0)</f>
        <v>0</v>
      </c>
      <c r="AN354" s="100">
        <v>15</v>
      </c>
      <c r="AO354" s="100">
        <f t="shared" ref="AO354:AO390" si="358">H354*0</f>
        <v>0</v>
      </c>
      <c r="AP354" s="100">
        <f t="shared" ref="AP354:AP390" si="359">H354*(1-0)</f>
        <v>0</v>
      </c>
      <c r="AQ354" s="111" t="s">
        <v>13</v>
      </c>
      <c r="AV354" s="100">
        <f t="shared" ref="AV354:AV390" si="360">AW354+AX354</f>
        <v>0</v>
      </c>
      <c r="AW354" s="100">
        <f t="shared" ref="AW354:AW390" si="361">G354*AO354</f>
        <v>0</v>
      </c>
      <c r="AX354" s="100">
        <f t="shared" ref="AX354:AX390" si="362">G354*AP354</f>
        <v>0</v>
      </c>
      <c r="AY354" s="110" t="s">
        <v>1711</v>
      </c>
      <c r="AZ354" s="110" t="s">
        <v>1733</v>
      </c>
      <c r="BA354" s="109" t="s">
        <v>1737</v>
      </c>
      <c r="BC354" s="100">
        <f t="shared" ref="BC354:BC390" si="363">AW354+AX354</f>
        <v>0</v>
      </c>
      <c r="BD354" s="100">
        <f t="shared" ref="BD354:BD390" si="364">H354/(100-BE354)*100</f>
        <v>0</v>
      </c>
      <c r="BE354" s="100">
        <v>0</v>
      </c>
      <c r="BF354" s="100">
        <f>354</f>
        <v>354</v>
      </c>
      <c r="BH354" s="108">
        <f t="shared" ref="BH354:BH390" si="365">G354*AO354</f>
        <v>0</v>
      </c>
      <c r="BI354" s="108">
        <f t="shared" ref="BI354:BI390" si="366">G354*AP354</f>
        <v>0</v>
      </c>
      <c r="BJ354" s="108">
        <f t="shared" ref="BJ354:BJ390" si="367">G354*H354</f>
        <v>0</v>
      </c>
    </row>
    <row r="355" spans="1:62" x14ac:dyDescent="0.2">
      <c r="A355" s="117" t="s">
        <v>315</v>
      </c>
      <c r="B355" s="117" t="s">
        <v>3522</v>
      </c>
      <c r="C355" s="304" t="s">
        <v>3521</v>
      </c>
      <c r="D355" s="305"/>
      <c r="E355" s="305"/>
      <c r="F355" s="117" t="s">
        <v>1646</v>
      </c>
      <c r="G355" s="116">
        <v>2</v>
      </c>
      <c r="H355" s="159"/>
      <c r="I355" s="108">
        <f t="shared" si="344"/>
        <v>0</v>
      </c>
      <c r="J355" s="108">
        <f t="shared" si="345"/>
        <v>0</v>
      </c>
      <c r="K355" s="108">
        <f t="shared" si="346"/>
        <v>0</v>
      </c>
      <c r="L355" s="111"/>
      <c r="Z355" s="100">
        <f t="shared" si="347"/>
        <v>0</v>
      </c>
      <c r="AB355" s="100">
        <f t="shared" si="348"/>
        <v>0</v>
      </c>
      <c r="AC355" s="100">
        <f t="shared" si="349"/>
        <v>0</v>
      </c>
      <c r="AD355" s="100">
        <f t="shared" si="350"/>
        <v>0</v>
      </c>
      <c r="AE355" s="100">
        <f t="shared" si="351"/>
        <v>0</v>
      </c>
      <c r="AF355" s="100">
        <f t="shared" si="352"/>
        <v>0</v>
      </c>
      <c r="AG355" s="100">
        <f t="shared" si="353"/>
        <v>0</v>
      </c>
      <c r="AH355" s="100">
        <f t="shared" si="354"/>
        <v>0</v>
      </c>
      <c r="AI355" s="109"/>
      <c r="AJ355" s="108">
        <f t="shared" si="355"/>
        <v>0</v>
      </c>
      <c r="AK355" s="108">
        <f t="shared" si="356"/>
        <v>0</v>
      </c>
      <c r="AL355" s="108">
        <f t="shared" si="357"/>
        <v>0</v>
      </c>
      <c r="AN355" s="100">
        <v>15</v>
      </c>
      <c r="AO355" s="100">
        <f t="shared" si="358"/>
        <v>0</v>
      </c>
      <c r="AP355" s="100">
        <f t="shared" si="359"/>
        <v>0</v>
      </c>
      <c r="AQ355" s="111" t="s">
        <v>13</v>
      </c>
      <c r="AV355" s="100">
        <f t="shared" si="360"/>
        <v>0</v>
      </c>
      <c r="AW355" s="100">
        <f t="shared" si="361"/>
        <v>0</v>
      </c>
      <c r="AX355" s="100">
        <f t="shared" si="362"/>
        <v>0</v>
      </c>
      <c r="AY355" s="110" t="s">
        <v>1711</v>
      </c>
      <c r="AZ355" s="110" t="s">
        <v>1733</v>
      </c>
      <c r="BA355" s="109" t="s">
        <v>1737</v>
      </c>
      <c r="BC355" s="100">
        <f t="shared" si="363"/>
        <v>0</v>
      </c>
      <c r="BD355" s="100">
        <f t="shared" si="364"/>
        <v>0</v>
      </c>
      <c r="BE355" s="100">
        <v>0</v>
      </c>
      <c r="BF355" s="100">
        <f>355</f>
        <v>355</v>
      </c>
      <c r="BH355" s="108">
        <f t="shared" si="365"/>
        <v>0</v>
      </c>
      <c r="BI355" s="108">
        <f t="shared" si="366"/>
        <v>0</v>
      </c>
      <c r="BJ355" s="108">
        <f t="shared" si="367"/>
        <v>0</v>
      </c>
    </row>
    <row r="356" spans="1:62" x14ac:dyDescent="0.2">
      <c r="A356" s="117" t="s">
        <v>316</v>
      </c>
      <c r="B356" s="117" t="s">
        <v>3520</v>
      </c>
      <c r="C356" s="304" t="s">
        <v>1381</v>
      </c>
      <c r="D356" s="305"/>
      <c r="E356" s="305"/>
      <c r="F356" s="117" t="s">
        <v>1644</v>
      </c>
      <c r="G356" s="116">
        <v>2</v>
      </c>
      <c r="H356" s="159"/>
      <c r="I356" s="108">
        <f t="shared" si="344"/>
        <v>0</v>
      </c>
      <c r="J356" s="108">
        <f t="shared" si="345"/>
        <v>0</v>
      </c>
      <c r="K356" s="108">
        <f t="shared" si="346"/>
        <v>0</v>
      </c>
      <c r="L356" s="111"/>
      <c r="Z356" s="100">
        <f t="shared" si="347"/>
        <v>0</v>
      </c>
      <c r="AB356" s="100">
        <f t="shared" si="348"/>
        <v>0</v>
      </c>
      <c r="AC356" s="100">
        <f t="shared" si="349"/>
        <v>0</v>
      </c>
      <c r="AD356" s="100">
        <f t="shared" si="350"/>
        <v>0</v>
      </c>
      <c r="AE356" s="100">
        <f t="shared" si="351"/>
        <v>0</v>
      </c>
      <c r="AF356" s="100">
        <f t="shared" si="352"/>
        <v>0</v>
      </c>
      <c r="AG356" s="100">
        <f t="shared" si="353"/>
        <v>0</v>
      </c>
      <c r="AH356" s="100">
        <f t="shared" si="354"/>
        <v>0</v>
      </c>
      <c r="AI356" s="109"/>
      <c r="AJ356" s="108">
        <f t="shared" si="355"/>
        <v>0</v>
      </c>
      <c r="AK356" s="108">
        <f t="shared" si="356"/>
        <v>0</v>
      </c>
      <c r="AL356" s="108">
        <f t="shared" si="357"/>
        <v>0</v>
      </c>
      <c r="AN356" s="100">
        <v>15</v>
      </c>
      <c r="AO356" s="100">
        <f t="shared" si="358"/>
        <v>0</v>
      </c>
      <c r="AP356" s="100">
        <f t="shared" si="359"/>
        <v>0</v>
      </c>
      <c r="AQ356" s="111" t="s">
        <v>13</v>
      </c>
      <c r="AV356" s="100">
        <f t="shared" si="360"/>
        <v>0</v>
      </c>
      <c r="AW356" s="100">
        <f t="shared" si="361"/>
        <v>0</v>
      </c>
      <c r="AX356" s="100">
        <f t="shared" si="362"/>
        <v>0</v>
      </c>
      <c r="AY356" s="110" t="s">
        <v>1711</v>
      </c>
      <c r="AZ356" s="110" t="s">
        <v>1733</v>
      </c>
      <c r="BA356" s="109" t="s">
        <v>1737</v>
      </c>
      <c r="BC356" s="100">
        <f t="shared" si="363"/>
        <v>0</v>
      </c>
      <c r="BD356" s="100">
        <f t="shared" si="364"/>
        <v>0</v>
      </c>
      <c r="BE356" s="100">
        <v>0</v>
      </c>
      <c r="BF356" s="100">
        <f>356</f>
        <v>356</v>
      </c>
      <c r="BH356" s="108">
        <f t="shared" si="365"/>
        <v>0</v>
      </c>
      <c r="BI356" s="108">
        <f t="shared" si="366"/>
        <v>0</v>
      </c>
      <c r="BJ356" s="108">
        <f t="shared" si="367"/>
        <v>0</v>
      </c>
    </row>
    <row r="357" spans="1:62" x14ac:dyDescent="0.2">
      <c r="A357" s="117" t="s">
        <v>317</v>
      </c>
      <c r="B357" s="117" t="s">
        <v>3519</v>
      </c>
      <c r="C357" s="304" t="s">
        <v>3518</v>
      </c>
      <c r="D357" s="305"/>
      <c r="E357" s="305"/>
      <c r="F357" s="117" t="s">
        <v>1644</v>
      </c>
      <c r="G357" s="116">
        <v>1</v>
      </c>
      <c r="H357" s="159"/>
      <c r="I357" s="108">
        <f t="shared" si="344"/>
        <v>0</v>
      </c>
      <c r="J357" s="108">
        <f t="shared" si="345"/>
        <v>0</v>
      </c>
      <c r="K357" s="108">
        <f t="shared" si="346"/>
        <v>0</v>
      </c>
      <c r="L357" s="111"/>
      <c r="Z357" s="100">
        <f t="shared" si="347"/>
        <v>0</v>
      </c>
      <c r="AB357" s="100">
        <f t="shared" si="348"/>
        <v>0</v>
      </c>
      <c r="AC357" s="100">
        <f t="shared" si="349"/>
        <v>0</v>
      </c>
      <c r="AD357" s="100">
        <f t="shared" si="350"/>
        <v>0</v>
      </c>
      <c r="AE357" s="100">
        <f t="shared" si="351"/>
        <v>0</v>
      </c>
      <c r="AF357" s="100">
        <f t="shared" si="352"/>
        <v>0</v>
      </c>
      <c r="AG357" s="100">
        <f t="shared" si="353"/>
        <v>0</v>
      </c>
      <c r="AH357" s="100">
        <f t="shared" si="354"/>
        <v>0</v>
      </c>
      <c r="AI357" s="109"/>
      <c r="AJ357" s="108">
        <f t="shared" si="355"/>
        <v>0</v>
      </c>
      <c r="AK357" s="108">
        <f t="shared" si="356"/>
        <v>0</v>
      </c>
      <c r="AL357" s="108">
        <f t="shared" si="357"/>
        <v>0</v>
      </c>
      <c r="AN357" s="100">
        <v>15</v>
      </c>
      <c r="AO357" s="100">
        <f t="shared" si="358"/>
        <v>0</v>
      </c>
      <c r="AP357" s="100">
        <f t="shared" si="359"/>
        <v>0</v>
      </c>
      <c r="AQ357" s="111" t="s">
        <v>13</v>
      </c>
      <c r="AV357" s="100">
        <f t="shared" si="360"/>
        <v>0</v>
      </c>
      <c r="AW357" s="100">
        <f t="shared" si="361"/>
        <v>0</v>
      </c>
      <c r="AX357" s="100">
        <f t="shared" si="362"/>
        <v>0</v>
      </c>
      <c r="AY357" s="110" t="s">
        <v>1711</v>
      </c>
      <c r="AZ357" s="110" t="s">
        <v>1733</v>
      </c>
      <c r="BA357" s="109" t="s">
        <v>1737</v>
      </c>
      <c r="BC357" s="100">
        <f t="shared" si="363"/>
        <v>0</v>
      </c>
      <c r="BD357" s="100">
        <f t="shared" si="364"/>
        <v>0</v>
      </c>
      <c r="BE357" s="100">
        <v>0</v>
      </c>
      <c r="BF357" s="100">
        <f>357</f>
        <v>357</v>
      </c>
      <c r="BH357" s="108">
        <f t="shared" si="365"/>
        <v>0</v>
      </c>
      <c r="BI357" s="108">
        <f t="shared" si="366"/>
        <v>0</v>
      </c>
      <c r="BJ357" s="108">
        <f t="shared" si="367"/>
        <v>0</v>
      </c>
    </row>
    <row r="358" spans="1:62" x14ac:dyDescent="0.2">
      <c r="A358" s="117" t="s">
        <v>318</v>
      </c>
      <c r="B358" s="117" t="s">
        <v>3517</v>
      </c>
      <c r="C358" s="304" t="s">
        <v>3516</v>
      </c>
      <c r="D358" s="305"/>
      <c r="E358" s="305"/>
      <c r="F358" s="117" t="s">
        <v>1644</v>
      </c>
      <c r="G358" s="116">
        <v>1</v>
      </c>
      <c r="H358" s="159"/>
      <c r="I358" s="108">
        <f t="shared" si="344"/>
        <v>0</v>
      </c>
      <c r="J358" s="108">
        <f t="shared" si="345"/>
        <v>0</v>
      </c>
      <c r="K358" s="108">
        <f t="shared" si="346"/>
        <v>0</v>
      </c>
      <c r="L358" s="111"/>
      <c r="Z358" s="100">
        <f t="shared" si="347"/>
        <v>0</v>
      </c>
      <c r="AB358" s="100">
        <f t="shared" si="348"/>
        <v>0</v>
      </c>
      <c r="AC358" s="100">
        <f t="shared" si="349"/>
        <v>0</v>
      </c>
      <c r="AD358" s="100">
        <f t="shared" si="350"/>
        <v>0</v>
      </c>
      <c r="AE358" s="100">
        <f t="shared" si="351"/>
        <v>0</v>
      </c>
      <c r="AF358" s="100">
        <f t="shared" si="352"/>
        <v>0</v>
      </c>
      <c r="AG358" s="100">
        <f t="shared" si="353"/>
        <v>0</v>
      </c>
      <c r="AH358" s="100">
        <f t="shared" si="354"/>
        <v>0</v>
      </c>
      <c r="AI358" s="109"/>
      <c r="AJ358" s="108">
        <f t="shared" si="355"/>
        <v>0</v>
      </c>
      <c r="AK358" s="108">
        <f t="shared" si="356"/>
        <v>0</v>
      </c>
      <c r="AL358" s="108">
        <f t="shared" si="357"/>
        <v>0</v>
      </c>
      <c r="AN358" s="100">
        <v>15</v>
      </c>
      <c r="AO358" s="100">
        <f t="shared" si="358"/>
        <v>0</v>
      </c>
      <c r="AP358" s="100">
        <f t="shared" si="359"/>
        <v>0</v>
      </c>
      <c r="AQ358" s="111" t="s">
        <v>13</v>
      </c>
      <c r="AV358" s="100">
        <f t="shared" si="360"/>
        <v>0</v>
      </c>
      <c r="AW358" s="100">
        <f t="shared" si="361"/>
        <v>0</v>
      </c>
      <c r="AX358" s="100">
        <f t="shared" si="362"/>
        <v>0</v>
      </c>
      <c r="AY358" s="110" t="s">
        <v>1711</v>
      </c>
      <c r="AZ358" s="110" t="s">
        <v>1733</v>
      </c>
      <c r="BA358" s="109" t="s">
        <v>1737</v>
      </c>
      <c r="BC358" s="100">
        <f t="shared" si="363"/>
        <v>0</v>
      </c>
      <c r="BD358" s="100">
        <f t="shared" si="364"/>
        <v>0</v>
      </c>
      <c r="BE358" s="100">
        <v>0</v>
      </c>
      <c r="BF358" s="100">
        <f>358</f>
        <v>358</v>
      </c>
      <c r="BH358" s="108">
        <f t="shared" si="365"/>
        <v>0</v>
      </c>
      <c r="BI358" s="108">
        <f t="shared" si="366"/>
        <v>0</v>
      </c>
      <c r="BJ358" s="108">
        <f t="shared" si="367"/>
        <v>0</v>
      </c>
    </row>
    <row r="359" spans="1:62" x14ac:dyDescent="0.2">
      <c r="A359" s="117" t="s">
        <v>319</v>
      </c>
      <c r="B359" s="117" t="s">
        <v>3515</v>
      </c>
      <c r="C359" s="304" t="s">
        <v>3514</v>
      </c>
      <c r="D359" s="305"/>
      <c r="E359" s="305"/>
      <c r="F359" s="117" t="s">
        <v>1644</v>
      </c>
      <c r="G359" s="116">
        <v>1</v>
      </c>
      <c r="H359" s="159"/>
      <c r="I359" s="108">
        <f t="shared" si="344"/>
        <v>0</v>
      </c>
      <c r="J359" s="108">
        <f t="shared" si="345"/>
        <v>0</v>
      </c>
      <c r="K359" s="108">
        <f t="shared" si="346"/>
        <v>0</v>
      </c>
      <c r="L359" s="111"/>
      <c r="Z359" s="100">
        <f t="shared" si="347"/>
        <v>0</v>
      </c>
      <c r="AB359" s="100">
        <f t="shared" si="348"/>
        <v>0</v>
      </c>
      <c r="AC359" s="100">
        <f t="shared" si="349"/>
        <v>0</v>
      </c>
      <c r="AD359" s="100">
        <f t="shared" si="350"/>
        <v>0</v>
      </c>
      <c r="AE359" s="100">
        <f t="shared" si="351"/>
        <v>0</v>
      </c>
      <c r="AF359" s="100">
        <f t="shared" si="352"/>
        <v>0</v>
      </c>
      <c r="AG359" s="100">
        <f t="shared" si="353"/>
        <v>0</v>
      </c>
      <c r="AH359" s="100">
        <f t="shared" si="354"/>
        <v>0</v>
      </c>
      <c r="AI359" s="109"/>
      <c r="AJ359" s="108">
        <f t="shared" si="355"/>
        <v>0</v>
      </c>
      <c r="AK359" s="108">
        <f t="shared" si="356"/>
        <v>0</v>
      </c>
      <c r="AL359" s="108">
        <f t="shared" si="357"/>
        <v>0</v>
      </c>
      <c r="AN359" s="100">
        <v>15</v>
      </c>
      <c r="AO359" s="100">
        <f t="shared" si="358"/>
        <v>0</v>
      </c>
      <c r="AP359" s="100">
        <f t="shared" si="359"/>
        <v>0</v>
      </c>
      <c r="AQ359" s="111" t="s">
        <v>13</v>
      </c>
      <c r="AV359" s="100">
        <f t="shared" si="360"/>
        <v>0</v>
      </c>
      <c r="AW359" s="100">
        <f t="shared" si="361"/>
        <v>0</v>
      </c>
      <c r="AX359" s="100">
        <f t="shared" si="362"/>
        <v>0</v>
      </c>
      <c r="AY359" s="110" t="s">
        <v>1711</v>
      </c>
      <c r="AZ359" s="110" t="s">
        <v>1733</v>
      </c>
      <c r="BA359" s="109" t="s">
        <v>1737</v>
      </c>
      <c r="BC359" s="100">
        <f t="shared" si="363"/>
        <v>0</v>
      </c>
      <c r="BD359" s="100">
        <f t="shared" si="364"/>
        <v>0</v>
      </c>
      <c r="BE359" s="100">
        <v>0</v>
      </c>
      <c r="BF359" s="100">
        <f>359</f>
        <v>359</v>
      </c>
      <c r="BH359" s="108">
        <f t="shared" si="365"/>
        <v>0</v>
      </c>
      <c r="BI359" s="108">
        <f t="shared" si="366"/>
        <v>0</v>
      </c>
      <c r="BJ359" s="108">
        <f t="shared" si="367"/>
        <v>0</v>
      </c>
    </row>
    <row r="360" spans="1:62" x14ac:dyDescent="0.2">
      <c r="A360" s="117" t="s">
        <v>320</v>
      </c>
      <c r="B360" s="117" t="s">
        <v>3513</v>
      </c>
      <c r="C360" s="304" t="s">
        <v>1383</v>
      </c>
      <c r="D360" s="305"/>
      <c r="E360" s="305"/>
      <c r="F360" s="117" t="s">
        <v>1644</v>
      </c>
      <c r="G360" s="116">
        <v>1</v>
      </c>
      <c r="H360" s="159"/>
      <c r="I360" s="108">
        <f t="shared" si="344"/>
        <v>0</v>
      </c>
      <c r="J360" s="108">
        <f t="shared" si="345"/>
        <v>0</v>
      </c>
      <c r="K360" s="108">
        <f t="shared" si="346"/>
        <v>0</v>
      </c>
      <c r="L360" s="111"/>
      <c r="Z360" s="100">
        <f t="shared" si="347"/>
        <v>0</v>
      </c>
      <c r="AB360" s="100">
        <f t="shared" si="348"/>
        <v>0</v>
      </c>
      <c r="AC360" s="100">
        <f t="shared" si="349"/>
        <v>0</v>
      </c>
      <c r="AD360" s="100">
        <f t="shared" si="350"/>
        <v>0</v>
      </c>
      <c r="AE360" s="100">
        <f t="shared" si="351"/>
        <v>0</v>
      </c>
      <c r="AF360" s="100">
        <f t="shared" si="352"/>
        <v>0</v>
      </c>
      <c r="AG360" s="100">
        <f t="shared" si="353"/>
        <v>0</v>
      </c>
      <c r="AH360" s="100">
        <f t="shared" si="354"/>
        <v>0</v>
      </c>
      <c r="AI360" s="109"/>
      <c r="AJ360" s="108">
        <f t="shared" si="355"/>
        <v>0</v>
      </c>
      <c r="AK360" s="108">
        <f t="shared" si="356"/>
        <v>0</v>
      </c>
      <c r="AL360" s="108">
        <f t="shared" si="357"/>
        <v>0</v>
      </c>
      <c r="AN360" s="100">
        <v>15</v>
      </c>
      <c r="AO360" s="100">
        <f t="shared" si="358"/>
        <v>0</v>
      </c>
      <c r="AP360" s="100">
        <f t="shared" si="359"/>
        <v>0</v>
      </c>
      <c r="AQ360" s="111" t="s">
        <v>13</v>
      </c>
      <c r="AV360" s="100">
        <f t="shared" si="360"/>
        <v>0</v>
      </c>
      <c r="AW360" s="100">
        <f t="shared" si="361"/>
        <v>0</v>
      </c>
      <c r="AX360" s="100">
        <f t="shared" si="362"/>
        <v>0</v>
      </c>
      <c r="AY360" s="110" t="s">
        <v>1711</v>
      </c>
      <c r="AZ360" s="110" t="s">
        <v>1733</v>
      </c>
      <c r="BA360" s="109" t="s">
        <v>1737</v>
      </c>
      <c r="BC360" s="100">
        <f t="shared" si="363"/>
        <v>0</v>
      </c>
      <c r="BD360" s="100">
        <f t="shared" si="364"/>
        <v>0</v>
      </c>
      <c r="BE360" s="100">
        <v>0</v>
      </c>
      <c r="BF360" s="100">
        <f>360</f>
        <v>360</v>
      </c>
      <c r="BH360" s="108">
        <f t="shared" si="365"/>
        <v>0</v>
      </c>
      <c r="BI360" s="108">
        <f t="shared" si="366"/>
        <v>0</v>
      </c>
      <c r="BJ360" s="108">
        <f t="shared" si="367"/>
        <v>0</v>
      </c>
    </row>
    <row r="361" spans="1:62" x14ac:dyDescent="0.2">
      <c r="A361" s="117" t="s">
        <v>321</v>
      </c>
      <c r="B361" s="117" t="s">
        <v>3512</v>
      </c>
      <c r="C361" s="304" t="s">
        <v>3511</v>
      </c>
      <c r="D361" s="305"/>
      <c r="E361" s="305"/>
      <c r="F361" s="117" t="s">
        <v>1644</v>
      </c>
      <c r="G361" s="116">
        <v>1</v>
      </c>
      <c r="H361" s="159"/>
      <c r="I361" s="108">
        <f t="shared" si="344"/>
        <v>0</v>
      </c>
      <c r="J361" s="108">
        <f t="shared" si="345"/>
        <v>0</v>
      </c>
      <c r="K361" s="108">
        <f t="shared" si="346"/>
        <v>0</v>
      </c>
      <c r="L361" s="111"/>
      <c r="Z361" s="100">
        <f t="shared" si="347"/>
        <v>0</v>
      </c>
      <c r="AB361" s="100">
        <f t="shared" si="348"/>
        <v>0</v>
      </c>
      <c r="AC361" s="100">
        <f t="shared" si="349"/>
        <v>0</v>
      </c>
      <c r="AD361" s="100">
        <f t="shared" si="350"/>
        <v>0</v>
      </c>
      <c r="AE361" s="100">
        <f t="shared" si="351"/>
        <v>0</v>
      </c>
      <c r="AF361" s="100">
        <f t="shared" si="352"/>
        <v>0</v>
      </c>
      <c r="AG361" s="100">
        <f t="shared" si="353"/>
        <v>0</v>
      </c>
      <c r="AH361" s="100">
        <f t="shared" si="354"/>
        <v>0</v>
      </c>
      <c r="AI361" s="109"/>
      <c r="AJ361" s="108">
        <f t="shared" si="355"/>
        <v>0</v>
      </c>
      <c r="AK361" s="108">
        <f t="shared" si="356"/>
        <v>0</v>
      </c>
      <c r="AL361" s="108">
        <f t="shared" si="357"/>
        <v>0</v>
      </c>
      <c r="AN361" s="100">
        <v>15</v>
      </c>
      <c r="AO361" s="100">
        <f t="shared" si="358"/>
        <v>0</v>
      </c>
      <c r="AP361" s="100">
        <f t="shared" si="359"/>
        <v>0</v>
      </c>
      <c r="AQ361" s="111" t="s">
        <v>13</v>
      </c>
      <c r="AV361" s="100">
        <f t="shared" si="360"/>
        <v>0</v>
      </c>
      <c r="AW361" s="100">
        <f t="shared" si="361"/>
        <v>0</v>
      </c>
      <c r="AX361" s="100">
        <f t="shared" si="362"/>
        <v>0</v>
      </c>
      <c r="AY361" s="110" t="s">
        <v>1711</v>
      </c>
      <c r="AZ361" s="110" t="s">
        <v>1733</v>
      </c>
      <c r="BA361" s="109" t="s">
        <v>1737</v>
      </c>
      <c r="BC361" s="100">
        <f t="shared" si="363"/>
        <v>0</v>
      </c>
      <c r="BD361" s="100">
        <f t="shared" si="364"/>
        <v>0</v>
      </c>
      <c r="BE361" s="100">
        <v>0</v>
      </c>
      <c r="BF361" s="100">
        <f>361</f>
        <v>361</v>
      </c>
      <c r="BH361" s="108">
        <f t="shared" si="365"/>
        <v>0</v>
      </c>
      <c r="BI361" s="108">
        <f t="shared" si="366"/>
        <v>0</v>
      </c>
      <c r="BJ361" s="108">
        <f t="shared" si="367"/>
        <v>0</v>
      </c>
    </row>
    <row r="362" spans="1:62" x14ac:dyDescent="0.2">
      <c r="A362" s="117" t="s">
        <v>322</v>
      </c>
      <c r="B362" s="117" t="s">
        <v>3510</v>
      </c>
      <c r="C362" s="304" t="s">
        <v>3509</v>
      </c>
      <c r="D362" s="305"/>
      <c r="E362" s="305"/>
      <c r="F362" s="117" t="s">
        <v>1644</v>
      </c>
      <c r="G362" s="116">
        <v>1</v>
      </c>
      <c r="H362" s="159"/>
      <c r="I362" s="108">
        <f t="shared" si="344"/>
        <v>0</v>
      </c>
      <c r="J362" s="108">
        <f t="shared" si="345"/>
        <v>0</v>
      </c>
      <c r="K362" s="108">
        <f t="shared" si="346"/>
        <v>0</v>
      </c>
      <c r="L362" s="111"/>
      <c r="Z362" s="100">
        <f t="shared" si="347"/>
        <v>0</v>
      </c>
      <c r="AB362" s="100">
        <f t="shared" si="348"/>
        <v>0</v>
      </c>
      <c r="AC362" s="100">
        <f t="shared" si="349"/>
        <v>0</v>
      </c>
      <c r="AD362" s="100">
        <f t="shared" si="350"/>
        <v>0</v>
      </c>
      <c r="AE362" s="100">
        <f t="shared" si="351"/>
        <v>0</v>
      </c>
      <c r="AF362" s="100">
        <f t="shared" si="352"/>
        <v>0</v>
      </c>
      <c r="AG362" s="100">
        <f t="shared" si="353"/>
        <v>0</v>
      </c>
      <c r="AH362" s="100">
        <f t="shared" si="354"/>
        <v>0</v>
      </c>
      <c r="AI362" s="109"/>
      <c r="AJ362" s="108">
        <f t="shared" si="355"/>
        <v>0</v>
      </c>
      <c r="AK362" s="108">
        <f t="shared" si="356"/>
        <v>0</v>
      </c>
      <c r="AL362" s="108">
        <f t="shared" si="357"/>
        <v>0</v>
      </c>
      <c r="AN362" s="100">
        <v>15</v>
      </c>
      <c r="AO362" s="100">
        <f t="shared" si="358"/>
        <v>0</v>
      </c>
      <c r="AP362" s="100">
        <f t="shared" si="359"/>
        <v>0</v>
      </c>
      <c r="AQ362" s="111" t="s">
        <v>13</v>
      </c>
      <c r="AV362" s="100">
        <f t="shared" si="360"/>
        <v>0</v>
      </c>
      <c r="AW362" s="100">
        <f t="shared" si="361"/>
        <v>0</v>
      </c>
      <c r="AX362" s="100">
        <f t="shared" si="362"/>
        <v>0</v>
      </c>
      <c r="AY362" s="110" t="s">
        <v>1711</v>
      </c>
      <c r="AZ362" s="110" t="s">
        <v>1733</v>
      </c>
      <c r="BA362" s="109" t="s">
        <v>1737</v>
      </c>
      <c r="BC362" s="100">
        <f t="shared" si="363"/>
        <v>0</v>
      </c>
      <c r="BD362" s="100">
        <f t="shared" si="364"/>
        <v>0</v>
      </c>
      <c r="BE362" s="100">
        <v>0</v>
      </c>
      <c r="BF362" s="100">
        <f>362</f>
        <v>362</v>
      </c>
      <c r="BH362" s="108">
        <f t="shared" si="365"/>
        <v>0</v>
      </c>
      <c r="BI362" s="108">
        <f t="shared" si="366"/>
        <v>0</v>
      </c>
      <c r="BJ362" s="108">
        <f t="shared" si="367"/>
        <v>0</v>
      </c>
    </row>
    <row r="363" spans="1:62" x14ac:dyDescent="0.2">
      <c r="A363" s="117" t="s">
        <v>323</v>
      </c>
      <c r="B363" s="117" t="s">
        <v>3508</v>
      </c>
      <c r="C363" s="304" t="s">
        <v>3507</v>
      </c>
      <c r="D363" s="305"/>
      <c r="E363" s="305"/>
      <c r="F363" s="117" t="s">
        <v>1646</v>
      </c>
      <c r="G363" s="116">
        <v>9</v>
      </c>
      <c r="H363" s="159"/>
      <c r="I363" s="108">
        <f t="shared" si="344"/>
        <v>0</v>
      </c>
      <c r="J363" s="108">
        <f t="shared" si="345"/>
        <v>0</v>
      </c>
      <c r="K363" s="108">
        <f t="shared" si="346"/>
        <v>0</v>
      </c>
      <c r="L363" s="111"/>
      <c r="Z363" s="100">
        <f t="shared" si="347"/>
        <v>0</v>
      </c>
      <c r="AB363" s="100">
        <f t="shared" si="348"/>
        <v>0</v>
      </c>
      <c r="AC363" s="100">
        <f t="shared" si="349"/>
        <v>0</v>
      </c>
      <c r="AD363" s="100">
        <f t="shared" si="350"/>
        <v>0</v>
      </c>
      <c r="AE363" s="100">
        <f t="shared" si="351"/>
        <v>0</v>
      </c>
      <c r="AF363" s="100">
        <f t="shared" si="352"/>
        <v>0</v>
      </c>
      <c r="AG363" s="100">
        <f t="shared" si="353"/>
        <v>0</v>
      </c>
      <c r="AH363" s="100">
        <f t="shared" si="354"/>
        <v>0</v>
      </c>
      <c r="AI363" s="109"/>
      <c r="AJ363" s="108">
        <f t="shared" si="355"/>
        <v>0</v>
      </c>
      <c r="AK363" s="108">
        <f t="shared" si="356"/>
        <v>0</v>
      </c>
      <c r="AL363" s="108">
        <f t="shared" si="357"/>
        <v>0</v>
      </c>
      <c r="AN363" s="100">
        <v>15</v>
      </c>
      <c r="AO363" s="100">
        <f t="shared" si="358"/>
        <v>0</v>
      </c>
      <c r="AP363" s="100">
        <f t="shared" si="359"/>
        <v>0</v>
      </c>
      <c r="AQ363" s="111" t="s">
        <v>13</v>
      </c>
      <c r="AV363" s="100">
        <f t="shared" si="360"/>
        <v>0</v>
      </c>
      <c r="AW363" s="100">
        <f t="shared" si="361"/>
        <v>0</v>
      </c>
      <c r="AX363" s="100">
        <f t="shared" si="362"/>
        <v>0</v>
      </c>
      <c r="AY363" s="110" t="s">
        <v>1711</v>
      </c>
      <c r="AZ363" s="110" t="s">
        <v>1733</v>
      </c>
      <c r="BA363" s="109" t="s">
        <v>1737</v>
      </c>
      <c r="BC363" s="100">
        <f t="shared" si="363"/>
        <v>0</v>
      </c>
      <c r="BD363" s="100">
        <f t="shared" si="364"/>
        <v>0</v>
      </c>
      <c r="BE363" s="100">
        <v>0</v>
      </c>
      <c r="BF363" s="100">
        <f>363</f>
        <v>363</v>
      </c>
      <c r="BH363" s="108">
        <f t="shared" si="365"/>
        <v>0</v>
      </c>
      <c r="BI363" s="108">
        <f t="shared" si="366"/>
        <v>0</v>
      </c>
      <c r="BJ363" s="108">
        <f t="shared" si="367"/>
        <v>0</v>
      </c>
    </row>
    <row r="364" spans="1:62" x14ac:dyDescent="0.2">
      <c r="A364" s="117" t="s">
        <v>324</v>
      </c>
      <c r="B364" s="117" t="s">
        <v>3506</v>
      </c>
      <c r="C364" s="304" t="s">
        <v>3505</v>
      </c>
      <c r="D364" s="305"/>
      <c r="E364" s="305"/>
      <c r="F364" s="117" t="s">
        <v>1644</v>
      </c>
      <c r="G364" s="116">
        <v>1</v>
      </c>
      <c r="H364" s="159"/>
      <c r="I364" s="108">
        <f t="shared" si="344"/>
        <v>0</v>
      </c>
      <c r="J364" s="108">
        <f t="shared" si="345"/>
        <v>0</v>
      </c>
      <c r="K364" s="108">
        <f t="shared" si="346"/>
        <v>0</v>
      </c>
      <c r="L364" s="111"/>
      <c r="Z364" s="100">
        <f t="shared" si="347"/>
        <v>0</v>
      </c>
      <c r="AB364" s="100">
        <f t="shared" si="348"/>
        <v>0</v>
      </c>
      <c r="AC364" s="100">
        <f t="shared" si="349"/>
        <v>0</v>
      </c>
      <c r="AD364" s="100">
        <f t="shared" si="350"/>
        <v>0</v>
      </c>
      <c r="AE364" s="100">
        <f t="shared" si="351"/>
        <v>0</v>
      </c>
      <c r="AF364" s="100">
        <f t="shared" si="352"/>
        <v>0</v>
      </c>
      <c r="AG364" s="100">
        <f t="shared" si="353"/>
        <v>0</v>
      </c>
      <c r="AH364" s="100">
        <f t="shared" si="354"/>
        <v>0</v>
      </c>
      <c r="AI364" s="109"/>
      <c r="AJ364" s="108">
        <f t="shared" si="355"/>
        <v>0</v>
      </c>
      <c r="AK364" s="108">
        <f t="shared" si="356"/>
        <v>0</v>
      </c>
      <c r="AL364" s="108">
        <f t="shared" si="357"/>
        <v>0</v>
      </c>
      <c r="AN364" s="100">
        <v>15</v>
      </c>
      <c r="AO364" s="100">
        <f t="shared" si="358"/>
        <v>0</v>
      </c>
      <c r="AP364" s="100">
        <f t="shared" si="359"/>
        <v>0</v>
      </c>
      <c r="AQ364" s="111" t="s">
        <v>13</v>
      </c>
      <c r="AV364" s="100">
        <f t="shared" si="360"/>
        <v>0</v>
      </c>
      <c r="AW364" s="100">
        <f t="shared" si="361"/>
        <v>0</v>
      </c>
      <c r="AX364" s="100">
        <f t="shared" si="362"/>
        <v>0</v>
      </c>
      <c r="AY364" s="110" t="s">
        <v>1711</v>
      </c>
      <c r="AZ364" s="110" t="s">
        <v>1733</v>
      </c>
      <c r="BA364" s="109" t="s">
        <v>1737</v>
      </c>
      <c r="BC364" s="100">
        <f t="shared" si="363"/>
        <v>0</v>
      </c>
      <c r="BD364" s="100">
        <f t="shared" si="364"/>
        <v>0</v>
      </c>
      <c r="BE364" s="100">
        <v>0</v>
      </c>
      <c r="BF364" s="100">
        <f>364</f>
        <v>364</v>
      </c>
      <c r="BH364" s="108">
        <f t="shared" si="365"/>
        <v>0</v>
      </c>
      <c r="BI364" s="108">
        <f t="shared" si="366"/>
        <v>0</v>
      </c>
      <c r="BJ364" s="108">
        <f t="shared" si="367"/>
        <v>0</v>
      </c>
    </row>
    <row r="365" spans="1:62" x14ac:dyDescent="0.2">
      <c r="A365" s="117" t="s">
        <v>325</v>
      </c>
      <c r="B365" s="117" t="s">
        <v>3504</v>
      </c>
      <c r="C365" s="304" t="s">
        <v>3503</v>
      </c>
      <c r="D365" s="305"/>
      <c r="E365" s="305"/>
      <c r="F365" s="117" t="s">
        <v>1644</v>
      </c>
      <c r="G365" s="116">
        <v>1</v>
      </c>
      <c r="H365" s="159"/>
      <c r="I365" s="108">
        <f t="shared" si="344"/>
        <v>0</v>
      </c>
      <c r="J365" s="108">
        <f t="shared" si="345"/>
        <v>0</v>
      </c>
      <c r="K365" s="108">
        <f t="shared" si="346"/>
        <v>0</v>
      </c>
      <c r="L365" s="111"/>
      <c r="Z365" s="100">
        <f t="shared" si="347"/>
        <v>0</v>
      </c>
      <c r="AB365" s="100">
        <f t="shared" si="348"/>
        <v>0</v>
      </c>
      <c r="AC365" s="100">
        <f t="shared" si="349"/>
        <v>0</v>
      </c>
      <c r="AD365" s="100">
        <f t="shared" si="350"/>
        <v>0</v>
      </c>
      <c r="AE365" s="100">
        <f t="shared" si="351"/>
        <v>0</v>
      </c>
      <c r="AF365" s="100">
        <f t="shared" si="352"/>
        <v>0</v>
      </c>
      <c r="AG365" s="100">
        <f t="shared" si="353"/>
        <v>0</v>
      </c>
      <c r="AH365" s="100">
        <f t="shared" si="354"/>
        <v>0</v>
      </c>
      <c r="AI365" s="109"/>
      <c r="AJ365" s="108">
        <f t="shared" si="355"/>
        <v>0</v>
      </c>
      <c r="AK365" s="108">
        <f t="shared" si="356"/>
        <v>0</v>
      </c>
      <c r="AL365" s="108">
        <f t="shared" si="357"/>
        <v>0</v>
      </c>
      <c r="AN365" s="100">
        <v>15</v>
      </c>
      <c r="AO365" s="100">
        <f t="shared" si="358"/>
        <v>0</v>
      </c>
      <c r="AP365" s="100">
        <f t="shared" si="359"/>
        <v>0</v>
      </c>
      <c r="AQ365" s="111" t="s">
        <v>13</v>
      </c>
      <c r="AV365" s="100">
        <f t="shared" si="360"/>
        <v>0</v>
      </c>
      <c r="AW365" s="100">
        <f t="shared" si="361"/>
        <v>0</v>
      </c>
      <c r="AX365" s="100">
        <f t="shared" si="362"/>
        <v>0</v>
      </c>
      <c r="AY365" s="110" t="s">
        <v>1711</v>
      </c>
      <c r="AZ365" s="110" t="s">
        <v>1733</v>
      </c>
      <c r="BA365" s="109" t="s">
        <v>1737</v>
      </c>
      <c r="BC365" s="100">
        <f t="shared" si="363"/>
        <v>0</v>
      </c>
      <c r="BD365" s="100">
        <f t="shared" si="364"/>
        <v>0</v>
      </c>
      <c r="BE365" s="100">
        <v>0</v>
      </c>
      <c r="BF365" s="100">
        <f>365</f>
        <v>365</v>
      </c>
      <c r="BH365" s="108">
        <f t="shared" si="365"/>
        <v>0</v>
      </c>
      <c r="BI365" s="108">
        <f t="shared" si="366"/>
        <v>0</v>
      </c>
      <c r="BJ365" s="108">
        <f t="shared" si="367"/>
        <v>0</v>
      </c>
    </row>
    <row r="366" spans="1:62" x14ac:dyDescent="0.2">
      <c r="A366" s="117" t="s">
        <v>326</v>
      </c>
      <c r="B366" s="117" t="s">
        <v>3502</v>
      </c>
      <c r="C366" s="304" t="s">
        <v>3501</v>
      </c>
      <c r="D366" s="305"/>
      <c r="E366" s="305"/>
      <c r="F366" s="117" t="s">
        <v>1644</v>
      </c>
      <c r="G366" s="116">
        <v>1</v>
      </c>
      <c r="H366" s="159"/>
      <c r="I366" s="108">
        <f t="shared" si="344"/>
        <v>0</v>
      </c>
      <c r="J366" s="108">
        <f t="shared" si="345"/>
        <v>0</v>
      </c>
      <c r="K366" s="108">
        <f t="shared" si="346"/>
        <v>0</v>
      </c>
      <c r="L366" s="111"/>
      <c r="Z366" s="100">
        <f t="shared" si="347"/>
        <v>0</v>
      </c>
      <c r="AB366" s="100">
        <f t="shared" si="348"/>
        <v>0</v>
      </c>
      <c r="AC366" s="100">
        <f t="shared" si="349"/>
        <v>0</v>
      </c>
      <c r="AD366" s="100">
        <f t="shared" si="350"/>
        <v>0</v>
      </c>
      <c r="AE366" s="100">
        <f t="shared" si="351"/>
        <v>0</v>
      </c>
      <c r="AF366" s="100">
        <f t="shared" si="352"/>
        <v>0</v>
      </c>
      <c r="AG366" s="100">
        <f t="shared" si="353"/>
        <v>0</v>
      </c>
      <c r="AH366" s="100">
        <f t="shared" si="354"/>
        <v>0</v>
      </c>
      <c r="AI366" s="109"/>
      <c r="AJ366" s="108">
        <f t="shared" si="355"/>
        <v>0</v>
      </c>
      <c r="AK366" s="108">
        <f t="shared" si="356"/>
        <v>0</v>
      </c>
      <c r="AL366" s="108">
        <f t="shared" si="357"/>
        <v>0</v>
      </c>
      <c r="AN366" s="100">
        <v>15</v>
      </c>
      <c r="AO366" s="100">
        <f t="shared" si="358"/>
        <v>0</v>
      </c>
      <c r="AP366" s="100">
        <f t="shared" si="359"/>
        <v>0</v>
      </c>
      <c r="AQ366" s="111" t="s">
        <v>13</v>
      </c>
      <c r="AV366" s="100">
        <f t="shared" si="360"/>
        <v>0</v>
      </c>
      <c r="AW366" s="100">
        <f t="shared" si="361"/>
        <v>0</v>
      </c>
      <c r="AX366" s="100">
        <f t="shared" si="362"/>
        <v>0</v>
      </c>
      <c r="AY366" s="110" t="s">
        <v>1711</v>
      </c>
      <c r="AZ366" s="110" t="s">
        <v>1733</v>
      </c>
      <c r="BA366" s="109" t="s">
        <v>1737</v>
      </c>
      <c r="BC366" s="100">
        <f t="shared" si="363"/>
        <v>0</v>
      </c>
      <c r="BD366" s="100">
        <f t="shared" si="364"/>
        <v>0</v>
      </c>
      <c r="BE366" s="100">
        <v>0</v>
      </c>
      <c r="BF366" s="100">
        <f>366</f>
        <v>366</v>
      </c>
      <c r="BH366" s="108">
        <f t="shared" si="365"/>
        <v>0</v>
      </c>
      <c r="BI366" s="108">
        <f t="shared" si="366"/>
        <v>0</v>
      </c>
      <c r="BJ366" s="108">
        <f t="shared" si="367"/>
        <v>0</v>
      </c>
    </row>
    <row r="367" spans="1:62" x14ac:dyDescent="0.2">
      <c r="A367" s="117" t="s">
        <v>327</v>
      </c>
      <c r="B367" s="117" t="s">
        <v>3500</v>
      </c>
      <c r="C367" s="304" t="s">
        <v>3499</v>
      </c>
      <c r="D367" s="305"/>
      <c r="E367" s="305"/>
      <c r="F367" s="117" t="s">
        <v>1644</v>
      </c>
      <c r="G367" s="116">
        <v>1</v>
      </c>
      <c r="H367" s="159"/>
      <c r="I367" s="108">
        <f t="shared" si="344"/>
        <v>0</v>
      </c>
      <c r="J367" s="108">
        <f t="shared" si="345"/>
        <v>0</v>
      </c>
      <c r="K367" s="108">
        <f t="shared" si="346"/>
        <v>0</v>
      </c>
      <c r="L367" s="111"/>
      <c r="Z367" s="100">
        <f t="shared" si="347"/>
        <v>0</v>
      </c>
      <c r="AB367" s="100">
        <f t="shared" si="348"/>
        <v>0</v>
      </c>
      <c r="AC367" s="100">
        <f t="shared" si="349"/>
        <v>0</v>
      </c>
      <c r="AD367" s="100">
        <f t="shared" si="350"/>
        <v>0</v>
      </c>
      <c r="AE367" s="100">
        <f t="shared" si="351"/>
        <v>0</v>
      </c>
      <c r="AF367" s="100">
        <f t="shared" si="352"/>
        <v>0</v>
      </c>
      <c r="AG367" s="100">
        <f t="shared" si="353"/>
        <v>0</v>
      </c>
      <c r="AH367" s="100">
        <f t="shared" si="354"/>
        <v>0</v>
      </c>
      <c r="AI367" s="109"/>
      <c r="AJ367" s="108">
        <f t="shared" si="355"/>
        <v>0</v>
      </c>
      <c r="AK367" s="108">
        <f t="shared" si="356"/>
        <v>0</v>
      </c>
      <c r="AL367" s="108">
        <f t="shared" si="357"/>
        <v>0</v>
      </c>
      <c r="AN367" s="100">
        <v>15</v>
      </c>
      <c r="AO367" s="100">
        <f t="shared" si="358"/>
        <v>0</v>
      </c>
      <c r="AP367" s="100">
        <f t="shared" si="359"/>
        <v>0</v>
      </c>
      <c r="AQ367" s="111" t="s">
        <v>13</v>
      </c>
      <c r="AV367" s="100">
        <f t="shared" si="360"/>
        <v>0</v>
      </c>
      <c r="AW367" s="100">
        <f t="shared" si="361"/>
        <v>0</v>
      </c>
      <c r="AX367" s="100">
        <f t="shared" si="362"/>
        <v>0</v>
      </c>
      <c r="AY367" s="110" t="s">
        <v>1711</v>
      </c>
      <c r="AZ367" s="110" t="s">
        <v>1733</v>
      </c>
      <c r="BA367" s="109" t="s">
        <v>1737</v>
      </c>
      <c r="BC367" s="100">
        <f t="shared" si="363"/>
        <v>0</v>
      </c>
      <c r="BD367" s="100">
        <f t="shared" si="364"/>
        <v>0</v>
      </c>
      <c r="BE367" s="100">
        <v>0</v>
      </c>
      <c r="BF367" s="100">
        <f>367</f>
        <v>367</v>
      </c>
      <c r="BH367" s="108">
        <f t="shared" si="365"/>
        <v>0</v>
      </c>
      <c r="BI367" s="108">
        <f t="shared" si="366"/>
        <v>0</v>
      </c>
      <c r="BJ367" s="108">
        <f t="shared" si="367"/>
        <v>0</v>
      </c>
    </row>
    <row r="368" spans="1:62" x14ac:dyDescent="0.2">
      <c r="A368" s="117" t="s">
        <v>328</v>
      </c>
      <c r="B368" s="117" t="s">
        <v>3498</v>
      </c>
      <c r="C368" s="304" t="s">
        <v>3474</v>
      </c>
      <c r="D368" s="305"/>
      <c r="E368" s="305"/>
      <c r="F368" s="117" t="s">
        <v>1646</v>
      </c>
      <c r="G368" s="116">
        <v>2</v>
      </c>
      <c r="H368" s="159"/>
      <c r="I368" s="108">
        <f t="shared" si="344"/>
        <v>0</v>
      </c>
      <c r="J368" s="108">
        <f t="shared" si="345"/>
        <v>0</v>
      </c>
      <c r="K368" s="108">
        <f t="shared" si="346"/>
        <v>0</v>
      </c>
      <c r="L368" s="111"/>
      <c r="Z368" s="100">
        <f t="shared" si="347"/>
        <v>0</v>
      </c>
      <c r="AB368" s="100">
        <f t="shared" si="348"/>
        <v>0</v>
      </c>
      <c r="AC368" s="100">
        <f t="shared" si="349"/>
        <v>0</v>
      </c>
      <c r="AD368" s="100">
        <f t="shared" si="350"/>
        <v>0</v>
      </c>
      <c r="AE368" s="100">
        <f t="shared" si="351"/>
        <v>0</v>
      </c>
      <c r="AF368" s="100">
        <f t="shared" si="352"/>
        <v>0</v>
      </c>
      <c r="AG368" s="100">
        <f t="shared" si="353"/>
        <v>0</v>
      </c>
      <c r="AH368" s="100">
        <f t="shared" si="354"/>
        <v>0</v>
      </c>
      <c r="AI368" s="109"/>
      <c r="AJ368" s="108">
        <f t="shared" si="355"/>
        <v>0</v>
      </c>
      <c r="AK368" s="108">
        <f t="shared" si="356"/>
        <v>0</v>
      </c>
      <c r="AL368" s="108">
        <f t="shared" si="357"/>
        <v>0</v>
      </c>
      <c r="AN368" s="100">
        <v>15</v>
      </c>
      <c r="AO368" s="100">
        <f t="shared" si="358"/>
        <v>0</v>
      </c>
      <c r="AP368" s="100">
        <f t="shared" si="359"/>
        <v>0</v>
      </c>
      <c r="AQ368" s="111" t="s">
        <v>13</v>
      </c>
      <c r="AV368" s="100">
        <f t="shared" si="360"/>
        <v>0</v>
      </c>
      <c r="AW368" s="100">
        <f t="shared" si="361"/>
        <v>0</v>
      </c>
      <c r="AX368" s="100">
        <f t="shared" si="362"/>
        <v>0</v>
      </c>
      <c r="AY368" s="110" t="s">
        <v>1711</v>
      </c>
      <c r="AZ368" s="110" t="s">
        <v>1733</v>
      </c>
      <c r="BA368" s="109" t="s">
        <v>1737</v>
      </c>
      <c r="BC368" s="100">
        <f t="shared" si="363"/>
        <v>0</v>
      </c>
      <c r="BD368" s="100">
        <f t="shared" si="364"/>
        <v>0</v>
      </c>
      <c r="BE368" s="100">
        <v>0</v>
      </c>
      <c r="BF368" s="100">
        <f>368</f>
        <v>368</v>
      </c>
      <c r="BH368" s="108">
        <f t="shared" si="365"/>
        <v>0</v>
      </c>
      <c r="BI368" s="108">
        <f t="shared" si="366"/>
        <v>0</v>
      </c>
      <c r="BJ368" s="108">
        <f t="shared" si="367"/>
        <v>0</v>
      </c>
    </row>
    <row r="369" spans="1:62" x14ac:dyDescent="0.2">
      <c r="A369" s="117" t="s">
        <v>329</v>
      </c>
      <c r="B369" s="117" t="s">
        <v>3497</v>
      </c>
      <c r="C369" s="304" t="s">
        <v>3472</v>
      </c>
      <c r="D369" s="305"/>
      <c r="E369" s="305"/>
      <c r="F369" s="117" t="s">
        <v>1646</v>
      </c>
      <c r="G369" s="116">
        <v>6</v>
      </c>
      <c r="H369" s="159"/>
      <c r="I369" s="108">
        <f t="shared" si="344"/>
        <v>0</v>
      </c>
      <c r="J369" s="108">
        <f t="shared" si="345"/>
        <v>0</v>
      </c>
      <c r="K369" s="108">
        <f t="shared" si="346"/>
        <v>0</v>
      </c>
      <c r="L369" s="111"/>
      <c r="Z369" s="100">
        <f t="shared" si="347"/>
        <v>0</v>
      </c>
      <c r="AB369" s="100">
        <f t="shared" si="348"/>
        <v>0</v>
      </c>
      <c r="AC369" s="100">
        <f t="shared" si="349"/>
        <v>0</v>
      </c>
      <c r="AD369" s="100">
        <f t="shared" si="350"/>
        <v>0</v>
      </c>
      <c r="AE369" s="100">
        <f t="shared" si="351"/>
        <v>0</v>
      </c>
      <c r="AF369" s="100">
        <f t="shared" si="352"/>
        <v>0</v>
      </c>
      <c r="AG369" s="100">
        <f t="shared" si="353"/>
        <v>0</v>
      </c>
      <c r="AH369" s="100">
        <f t="shared" si="354"/>
        <v>0</v>
      </c>
      <c r="AI369" s="109"/>
      <c r="AJ369" s="108">
        <f t="shared" si="355"/>
        <v>0</v>
      </c>
      <c r="AK369" s="108">
        <f t="shared" si="356"/>
        <v>0</v>
      </c>
      <c r="AL369" s="108">
        <f t="shared" si="357"/>
        <v>0</v>
      </c>
      <c r="AN369" s="100">
        <v>15</v>
      </c>
      <c r="AO369" s="100">
        <f t="shared" si="358"/>
        <v>0</v>
      </c>
      <c r="AP369" s="100">
        <f t="shared" si="359"/>
        <v>0</v>
      </c>
      <c r="AQ369" s="111" t="s">
        <v>13</v>
      </c>
      <c r="AV369" s="100">
        <f t="shared" si="360"/>
        <v>0</v>
      </c>
      <c r="AW369" s="100">
        <f t="shared" si="361"/>
        <v>0</v>
      </c>
      <c r="AX369" s="100">
        <f t="shared" si="362"/>
        <v>0</v>
      </c>
      <c r="AY369" s="110" t="s">
        <v>1711</v>
      </c>
      <c r="AZ369" s="110" t="s">
        <v>1733</v>
      </c>
      <c r="BA369" s="109" t="s">
        <v>1737</v>
      </c>
      <c r="BC369" s="100">
        <f t="shared" si="363"/>
        <v>0</v>
      </c>
      <c r="BD369" s="100">
        <f t="shared" si="364"/>
        <v>0</v>
      </c>
      <c r="BE369" s="100">
        <v>0</v>
      </c>
      <c r="BF369" s="100">
        <f>369</f>
        <v>369</v>
      </c>
      <c r="BH369" s="108">
        <f t="shared" si="365"/>
        <v>0</v>
      </c>
      <c r="BI369" s="108">
        <f t="shared" si="366"/>
        <v>0</v>
      </c>
      <c r="BJ369" s="108">
        <f t="shared" si="367"/>
        <v>0</v>
      </c>
    </row>
    <row r="370" spans="1:62" x14ac:dyDescent="0.2">
      <c r="A370" s="117" t="s">
        <v>330</v>
      </c>
      <c r="B370" s="117" t="s">
        <v>3496</v>
      </c>
      <c r="C370" s="304" t="s">
        <v>3470</v>
      </c>
      <c r="D370" s="305"/>
      <c r="E370" s="305"/>
      <c r="F370" s="117" t="s">
        <v>1644</v>
      </c>
      <c r="G370" s="116">
        <v>2</v>
      </c>
      <c r="H370" s="159"/>
      <c r="I370" s="108">
        <f t="shared" si="344"/>
        <v>0</v>
      </c>
      <c r="J370" s="108">
        <f t="shared" si="345"/>
        <v>0</v>
      </c>
      <c r="K370" s="108">
        <f t="shared" si="346"/>
        <v>0</v>
      </c>
      <c r="L370" s="111"/>
      <c r="Z370" s="100">
        <f t="shared" si="347"/>
        <v>0</v>
      </c>
      <c r="AB370" s="100">
        <f t="shared" si="348"/>
        <v>0</v>
      </c>
      <c r="AC370" s="100">
        <f t="shared" si="349"/>
        <v>0</v>
      </c>
      <c r="AD370" s="100">
        <f t="shared" si="350"/>
        <v>0</v>
      </c>
      <c r="AE370" s="100">
        <f t="shared" si="351"/>
        <v>0</v>
      </c>
      <c r="AF370" s="100">
        <f t="shared" si="352"/>
        <v>0</v>
      </c>
      <c r="AG370" s="100">
        <f t="shared" si="353"/>
        <v>0</v>
      </c>
      <c r="AH370" s="100">
        <f t="shared" si="354"/>
        <v>0</v>
      </c>
      <c r="AI370" s="109"/>
      <c r="AJ370" s="108">
        <f t="shared" si="355"/>
        <v>0</v>
      </c>
      <c r="AK370" s="108">
        <f t="shared" si="356"/>
        <v>0</v>
      </c>
      <c r="AL370" s="108">
        <f t="shared" si="357"/>
        <v>0</v>
      </c>
      <c r="AN370" s="100">
        <v>15</v>
      </c>
      <c r="AO370" s="100">
        <f t="shared" si="358"/>
        <v>0</v>
      </c>
      <c r="AP370" s="100">
        <f t="shared" si="359"/>
        <v>0</v>
      </c>
      <c r="AQ370" s="111" t="s">
        <v>13</v>
      </c>
      <c r="AV370" s="100">
        <f t="shared" si="360"/>
        <v>0</v>
      </c>
      <c r="AW370" s="100">
        <f t="shared" si="361"/>
        <v>0</v>
      </c>
      <c r="AX370" s="100">
        <f t="shared" si="362"/>
        <v>0</v>
      </c>
      <c r="AY370" s="110" t="s">
        <v>1711</v>
      </c>
      <c r="AZ370" s="110" t="s">
        <v>1733</v>
      </c>
      <c r="BA370" s="109" t="s">
        <v>1737</v>
      </c>
      <c r="BC370" s="100">
        <f t="shared" si="363"/>
        <v>0</v>
      </c>
      <c r="BD370" s="100">
        <f t="shared" si="364"/>
        <v>0</v>
      </c>
      <c r="BE370" s="100">
        <v>0</v>
      </c>
      <c r="BF370" s="100">
        <f>370</f>
        <v>370</v>
      </c>
      <c r="BH370" s="108">
        <f t="shared" si="365"/>
        <v>0</v>
      </c>
      <c r="BI370" s="108">
        <f t="shared" si="366"/>
        <v>0</v>
      </c>
      <c r="BJ370" s="108">
        <f t="shared" si="367"/>
        <v>0</v>
      </c>
    </row>
    <row r="371" spans="1:62" x14ac:dyDescent="0.2">
      <c r="A371" s="117" t="s">
        <v>331</v>
      </c>
      <c r="B371" s="117" t="s">
        <v>3495</v>
      </c>
      <c r="C371" s="304" t="s">
        <v>3494</v>
      </c>
      <c r="D371" s="305"/>
      <c r="E371" s="305"/>
      <c r="F371" s="117" t="s">
        <v>1644</v>
      </c>
      <c r="G371" s="116">
        <v>1</v>
      </c>
      <c r="H371" s="159"/>
      <c r="I371" s="108">
        <f t="shared" si="344"/>
        <v>0</v>
      </c>
      <c r="J371" s="108">
        <f t="shared" si="345"/>
        <v>0</v>
      </c>
      <c r="K371" s="108">
        <f t="shared" si="346"/>
        <v>0</v>
      </c>
      <c r="L371" s="111"/>
      <c r="Z371" s="100">
        <f t="shared" si="347"/>
        <v>0</v>
      </c>
      <c r="AB371" s="100">
        <f t="shared" si="348"/>
        <v>0</v>
      </c>
      <c r="AC371" s="100">
        <f t="shared" si="349"/>
        <v>0</v>
      </c>
      <c r="AD371" s="100">
        <f t="shared" si="350"/>
        <v>0</v>
      </c>
      <c r="AE371" s="100">
        <f t="shared" si="351"/>
        <v>0</v>
      </c>
      <c r="AF371" s="100">
        <f t="shared" si="352"/>
        <v>0</v>
      </c>
      <c r="AG371" s="100">
        <f t="shared" si="353"/>
        <v>0</v>
      </c>
      <c r="AH371" s="100">
        <f t="shared" si="354"/>
        <v>0</v>
      </c>
      <c r="AI371" s="109"/>
      <c r="AJ371" s="108">
        <f t="shared" si="355"/>
        <v>0</v>
      </c>
      <c r="AK371" s="108">
        <f t="shared" si="356"/>
        <v>0</v>
      </c>
      <c r="AL371" s="108">
        <f t="shared" si="357"/>
        <v>0</v>
      </c>
      <c r="AN371" s="100">
        <v>15</v>
      </c>
      <c r="AO371" s="100">
        <f t="shared" si="358"/>
        <v>0</v>
      </c>
      <c r="AP371" s="100">
        <f t="shared" si="359"/>
        <v>0</v>
      </c>
      <c r="AQ371" s="111" t="s">
        <v>13</v>
      </c>
      <c r="AV371" s="100">
        <f t="shared" si="360"/>
        <v>0</v>
      </c>
      <c r="AW371" s="100">
        <f t="shared" si="361"/>
        <v>0</v>
      </c>
      <c r="AX371" s="100">
        <f t="shared" si="362"/>
        <v>0</v>
      </c>
      <c r="AY371" s="110" t="s">
        <v>1711</v>
      </c>
      <c r="AZ371" s="110" t="s">
        <v>1733</v>
      </c>
      <c r="BA371" s="109" t="s">
        <v>1737</v>
      </c>
      <c r="BC371" s="100">
        <f t="shared" si="363"/>
        <v>0</v>
      </c>
      <c r="BD371" s="100">
        <f t="shared" si="364"/>
        <v>0</v>
      </c>
      <c r="BE371" s="100">
        <v>0</v>
      </c>
      <c r="BF371" s="100">
        <f>371</f>
        <v>371</v>
      </c>
      <c r="BH371" s="108">
        <f t="shared" si="365"/>
        <v>0</v>
      </c>
      <c r="BI371" s="108">
        <f t="shared" si="366"/>
        <v>0</v>
      </c>
      <c r="BJ371" s="108">
        <f t="shared" si="367"/>
        <v>0</v>
      </c>
    </row>
    <row r="372" spans="1:62" x14ac:dyDescent="0.2">
      <c r="A372" s="117" t="s">
        <v>332</v>
      </c>
      <c r="B372" s="117" t="s">
        <v>3493</v>
      </c>
      <c r="C372" s="304" t="s">
        <v>3492</v>
      </c>
      <c r="D372" s="305"/>
      <c r="E372" s="305"/>
      <c r="F372" s="117" t="s">
        <v>1644</v>
      </c>
      <c r="G372" s="116">
        <v>1</v>
      </c>
      <c r="H372" s="159"/>
      <c r="I372" s="108">
        <f t="shared" si="344"/>
        <v>0</v>
      </c>
      <c r="J372" s="108">
        <f t="shared" si="345"/>
        <v>0</v>
      </c>
      <c r="K372" s="108">
        <f t="shared" si="346"/>
        <v>0</v>
      </c>
      <c r="L372" s="111"/>
      <c r="Z372" s="100">
        <f t="shared" si="347"/>
        <v>0</v>
      </c>
      <c r="AB372" s="100">
        <f t="shared" si="348"/>
        <v>0</v>
      </c>
      <c r="AC372" s="100">
        <f t="shared" si="349"/>
        <v>0</v>
      </c>
      <c r="AD372" s="100">
        <f t="shared" si="350"/>
        <v>0</v>
      </c>
      <c r="AE372" s="100">
        <f t="shared" si="351"/>
        <v>0</v>
      </c>
      <c r="AF372" s="100">
        <f t="shared" si="352"/>
        <v>0</v>
      </c>
      <c r="AG372" s="100">
        <f t="shared" si="353"/>
        <v>0</v>
      </c>
      <c r="AH372" s="100">
        <f t="shared" si="354"/>
        <v>0</v>
      </c>
      <c r="AI372" s="109"/>
      <c r="AJ372" s="108">
        <f t="shared" si="355"/>
        <v>0</v>
      </c>
      <c r="AK372" s="108">
        <f t="shared" si="356"/>
        <v>0</v>
      </c>
      <c r="AL372" s="108">
        <f t="shared" si="357"/>
        <v>0</v>
      </c>
      <c r="AN372" s="100">
        <v>15</v>
      </c>
      <c r="AO372" s="100">
        <f t="shared" si="358"/>
        <v>0</v>
      </c>
      <c r="AP372" s="100">
        <f t="shared" si="359"/>
        <v>0</v>
      </c>
      <c r="AQ372" s="111" t="s">
        <v>13</v>
      </c>
      <c r="AV372" s="100">
        <f t="shared" si="360"/>
        <v>0</v>
      </c>
      <c r="AW372" s="100">
        <f t="shared" si="361"/>
        <v>0</v>
      </c>
      <c r="AX372" s="100">
        <f t="shared" si="362"/>
        <v>0</v>
      </c>
      <c r="AY372" s="110" t="s">
        <v>1711</v>
      </c>
      <c r="AZ372" s="110" t="s">
        <v>1733</v>
      </c>
      <c r="BA372" s="109" t="s">
        <v>1737</v>
      </c>
      <c r="BC372" s="100">
        <f t="shared" si="363"/>
        <v>0</v>
      </c>
      <c r="BD372" s="100">
        <f t="shared" si="364"/>
        <v>0</v>
      </c>
      <c r="BE372" s="100">
        <v>0</v>
      </c>
      <c r="BF372" s="100">
        <f>372</f>
        <v>372</v>
      </c>
      <c r="BH372" s="108">
        <f t="shared" si="365"/>
        <v>0</v>
      </c>
      <c r="BI372" s="108">
        <f t="shared" si="366"/>
        <v>0</v>
      </c>
      <c r="BJ372" s="108">
        <f t="shared" si="367"/>
        <v>0</v>
      </c>
    </row>
    <row r="373" spans="1:62" x14ac:dyDescent="0.2">
      <c r="A373" s="117" t="s">
        <v>333</v>
      </c>
      <c r="B373" s="117" t="s">
        <v>3491</v>
      </c>
      <c r="C373" s="304" t="s">
        <v>3490</v>
      </c>
      <c r="D373" s="305"/>
      <c r="E373" s="305"/>
      <c r="F373" s="117" t="s">
        <v>1644</v>
      </c>
      <c r="G373" s="116">
        <v>1</v>
      </c>
      <c r="H373" s="159"/>
      <c r="I373" s="108">
        <f t="shared" si="344"/>
        <v>0</v>
      </c>
      <c r="J373" s="108">
        <f t="shared" si="345"/>
        <v>0</v>
      </c>
      <c r="K373" s="108">
        <f t="shared" si="346"/>
        <v>0</v>
      </c>
      <c r="L373" s="111"/>
      <c r="Z373" s="100">
        <f t="shared" si="347"/>
        <v>0</v>
      </c>
      <c r="AB373" s="100">
        <f t="shared" si="348"/>
        <v>0</v>
      </c>
      <c r="AC373" s="100">
        <f t="shared" si="349"/>
        <v>0</v>
      </c>
      <c r="AD373" s="100">
        <f t="shared" si="350"/>
        <v>0</v>
      </c>
      <c r="AE373" s="100">
        <f t="shared" si="351"/>
        <v>0</v>
      </c>
      <c r="AF373" s="100">
        <f t="shared" si="352"/>
        <v>0</v>
      </c>
      <c r="AG373" s="100">
        <f t="shared" si="353"/>
        <v>0</v>
      </c>
      <c r="AH373" s="100">
        <f t="shared" si="354"/>
        <v>0</v>
      </c>
      <c r="AI373" s="109"/>
      <c r="AJ373" s="108">
        <f t="shared" si="355"/>
        <v>0</v>
      </c>
      <c r="AK373" s="108">
        <f t="shared" si="356"/>
        <v>0</v>
      </c>
      <c r="AL373" s="108">
        <f t="shared" si="357"/>
        <v>0</v>
      </c>
      <c r="AN373" s="100">
        <v>15</v>
      </c>
      <c r="AO373" s="100">
        <f t="shared" si="358"/>
        <v>0</v>
      </c>
      <c r="AP373" s="100">
        <f t="shared" si="359"/>
        <v>0</v>
      </c>
      <c r="AQ373" s="111" t="s">
        <v>13</v>
      </c>
      <c r="AV373" s="100">
        <f t="shared" si="360"/>
        <v>0</v>
      </c>
      <c r="AW373" s="100">
        <f t="shared" si="361"/>
        <v>0</v>
      </c>
      <c r="AX373" s="100">
        <f t="shared" si="362"/>
        <v>0</v>
      </c>
      <c r="AY373" s="110" t="s">
        <v>1711</v>
      </c>
      <c r="AZ373" s="110" t="s">
        <v>1733</v>
      </c>
      <c r="BA373" s="109" t="s">
        <v>1737</v>
      </c>
      <c r="BC373" s="100">
        <f t="shared" si="363"/>
        <v>0</v>
      </c>
      <c r="BD373" s="100">
        <f t="shared" si="364"/>
        <v>0</v>
      </c>
      <c r="BE373" s="100">
        <v>0</v>
      </c>
      <c r="BF373" s="100">
        <f>373</f>
        <v>373</v>
      </c>
      <c r="BH373" s="108">
        <f t="shared" si="365"/>
        <v>0</v>
      </c>
      <c r="BI373" s="108">
        <f t="shared" si="366"/>
        <v>0</v>
      </c>
      <c r="BJ373" s="108">
        <f t="shared" si="367"/>
        <v>0</v>
      </c>
    </row>
    <row r="374" spans="1:62" x14ac:dyDescent="0.2">
      <c r="A374" s="117" t="s">
        <v>334</v>
      </c>
      <c r="B374" s="117" t="s">
        <v>3489</v>
      </c>
      <c r="C374" s="304" t="s">
        <v>3488</v>
      </c>
      <c r="D374" s="305"/>
      <c r="E374" s="305"/>
      <c r="F374" s="117" t="s">
        <v>1644</v>
      </c>
      <c r="G374" s="116">
        <v>1</v>
      </c>
      <c r="H374" s="159"/>
      <c r="I374" s="108">
        <f t="shared" si="344"/>
        <v>0</v>
      </c>
      <c r="J374" s="108">
        <f t="shared" si="345"/>
        <v>0</v>
      </c>
      <c r="K374" s="108">
        <f t="shared" si="346"/>
        <v>0</v>
      </c>
      <c r="L374" s="111"/>
      <c r="Z374" s="100">
        <f t="shared" si="347"/>
        <v>0</v>
      </c>
      <c r="AB374" s="100">
        <f t="shared" si="348"/>
        <v>0</v>
      </c>
      <c r="AC374" s="100">
        <f t="shared" si="349"/>
        <v>0</v>
      </c>
      <c r="AD374" s="100">
        <f t="shared" si="350"/>
        <v>0</v>
      </c>
      <c r="AE374" s="100">
        <f t="shared" si="351"/>
        <v>0</v>
      </c>
      <c r="AF374" s="100">
        <f t="shared" si="352"/>
        <v>0</v>
      </c>
      <c r="AG374" s="100">
        <f t="shared" si="353"/>
        <v>0</v>
      </c>
      <c r="AH374" s="100">
        <f t="shared" si="354"/>
        <v>0</v>
      </c>
      <c r="AI374" s="109"/>
      <c r="AJ374" s="108">
        <f t="shared" si="355"/>
        <v>0</v>
      </c>
      <c r="AK374" s="108">
        <f t="shared" si="356"/>
        <v>0</v>
      </c>
      <c r="AL374" s="108">
        <f t="shared" si="357"/>
        <v>0</v>
      </c>
      <c r="AN374" s="100">
        <v>15</v>
      </c>
      <c r="AO374" s="100">
        <f t="shared" si="358"/>
        <v>0</v>
      </c>
      <c r="AP374" s="100">
        <f t="shared" si="359"/>
        <v>0</v>
      </c>
      <c r="AQ374" s="111" t="s">
        <v>13</v>
      </c>
      <c r="AV374" s="100">
        <f t="shared" si="360"/>
        <v>0</v>
      </c>
      <c r="AW374" s="100">
        <f t="shared" si="361"/>
        <v>0</v>
      </c>
      <c r="AX374" s="100">
        <f t="shared" si="362"/>
        <v>0</v>
      </c>
      <c r="AY374" s="110" t="s">
        <v>1711</v>
      </c>
      <c r="AZ374" s="110" t="s">
        <v>1733</v>
      </c>
      <c r="BA374" s="109" t="s">
        <v>1737</v>
      </c>
      <c r="BC374" s="100">
        <f t="shared" si="363"/>
        <v>0</v>
      </c>
      <c r="BD374" s="100">
        <f t="shared" si="364"/>
        <v>0</v>
      </c>
      <c r="BE374" s="100">
        <v>0</v>
      </c>
      <c r="BF374" s="100">
        <f>374</f>
        <v>374</v>
      </c>
      <c r="BH374" s="108">
        <f t="shared" si="365"/>
        <v>0</v>
      </c>
      <c r="BI374" s="108">
        <f t="shared" si="366"/>
        <v>0</v>
      </c>
      <c r="BJ374" s="108">
        <f t="shared" si="367"/>
        <v>0</v>
      </c>
    </row>
    <row r="375" spans="1:62" x14ac:dyDescent="0.2">
      <c r="A375" s="117" t="s">
        <v>335</v>
      </c>
      <c r="B375" s="117" t="s">
        <v>3487</v>
      </c>
      <c r="C375" s="304" t="s">
        <v>3486</v>
      </c>
      <c r="D375" s="305"/>
      <c r="E375" s="305"/>
      <c r="F375" s="117" t="s">
        <v>1644</v>
      </c>
      <c r="G375" s="116">
        <v>1</v>
      </c>
      <c r="H375" s="159"/>
      <c r="I375" s="108">
        <f t="shared" si="344"/>
        <v>0</v>
      </c>
      <c r="J375" s="108">
        <f t="shared" si="345"/>
        <v>0</v>
      </c>
      <c r="K375" s="108">
        <f t="shared" si="346"/>
        <v>0</v>
      </c>
      <c r="L375" s="111"/>
      <c r="Z375" s="100">
        <f t="shared" si="347"/>
        <v>0</v>
      </c>
      <c r="AB375" s="100">
        <f t="shared" si="348"/>
        <v>0</v>
      </c>
      <c r="AC375" s="100">
        <f t="shared" si="349"/>
        <v>0</v>
      </c>
      <c r="AD375" s="100">
        <f t="shared" si="350"/>
        <v>0</v>
      </c>
      <c r="AE375" s="100">
        <f t="shared" si="351"/>
        <v>0</v>
      </c>
      <c r="AF375" s="100">
        <f t="shared" si="352"/>
        <v>0</v>
      </c>
      <c r="AG375" s="100">
        <f t="shared" si="353"/>
        <v>0</v>
      </c>
      <c r="AH375" s="100">
        <f t="shared" si="354"/>
        <v>0</v>
      </c>
      <c r="AI375" s="109"/>
      <c r="AJ375" s="108">
        <f t="shared" si="355"/>
        <v>0</v>
      </c>
      <c r="AK375" s="108">
        <f t="shared" si="356"/>
        <v>0</v>
      </c>
      <c r="AL375" s="108">
        <f t="shared" si="357"/>
        <v>0</v>
      </c>
      <c r="AN375" s="100">
        <v>15</v>
      </c>
      <c r="AO375" s="100">
        <f t="shared" si="358"/>
        <v>0</v>
      </c>
      <c r="AP375" s="100">
        <f t="shared" si="359"/>
        <v>0</v>
      </c>
      <c r="AQ375" s="111" t="s">
        <v>13</v>
      </c>
      <c r="AV375" s="100">
        <f t="shared" si="360"/>
        <v>0</v>
      </c>
      <c r="AW375" s="100">
        <f t="shared" si="361"/>
        <v>0</v>
      </c>
      <c r="AX375" s="100">
        <f t="shared" si="362"/>
        <v>0</v>
      </c>
      <c r="AY375" s="110" t="s">
        <v>1711</v>
      </c>
      <c r="AZ375" s="110" t="s">
        <v>1733</v>
      </c>
      <c r="BA375" s="109" t="s">
        <v>1737</v>
      </c>
      <c r="BC375" s="100">
        <f t="shared" si="363"/>
        <v>0</v>
      </c>
      <c r="BD375" s="100">
        <f t="shared" si="364"/>
        <v>0</v>
      </c>
      <c r="BE375" s="100">
        <v>0</v>
      </c>
      <c r="BF375" s="100">
        <f>375</f>
        <v>375</v>
      </c>
      <c r="BH375" s="108">
        <f t="shared" si="365"/>
        <v>0</v>
      </c>
      <c r="BI375" s="108">
        <f t="shared" si="366"/>
        <v>0</v>
      </c>
      <c r="BJ375" s="108">
        <f t="shared" si="367"/>
        <v>0</v>
      </c>
    </row>
    <row r="376" spans="1:62" x14ac:dyDescent="0.2">
      <c r="A376" s="117" t="s">
        <v>336</v>
      </c>
      <c r="B376" s="117" t="s">
        <v>3485</v>
      </c>
      <c r="C376" s="304" t="s">
        <v>3484</v>
      </c>
      <c r="D376" s="305"/>
      <c r="E376" s="305"/>
      <c r="F376" s="117" t="s">
        <v>1646</v>
      </c>
      <c r="G376" s="116">
        <v>9</v>
      </c>
      <c r="H376" s="159"/>
      <c r="I376" s="108">
        <f t="shared" si="344"/>
        <v>0</v>
      </c>
      <c r="J376" s="108">
        <f t="shared" si="345"/>
        <v>0</v>
      </c>
      <c r="K376" s="108">
        <f t="shared" si="346"/>
        <v>0</v>
      </c>
      <c r="L376" s="111"/>
      <c r="Z376" s="100">
        <f t="shared" si="347"/>
        <v>0</v>
      </c>
      <c r="AB376" s="100">
        <f t="shared" si="348"/>
        <v>0</v>
      </c>
      <c r="AC376" s="100">
        <f t="shared" si="349"/>
        <v>0</v>
      </c>
      <c r="AD376" s="100">
        <f t="shared" si="350"/>
        <v>0</v>
      </c>
      <c r="AE376" s="100">
        <f t="shared" si="351"/>
        <v>0</v>
      </c>
      <c r="AF376" s="100">
        <f t="shared" si="352"/>
        <v>0</v>
      </c>
      <c r="AG376" s="100">
        <f t="shared" si="353"/>
        <v>0</v>
      </c>
      <c r="AH376" s="100">
        <f t="shared" si="354"/>
        <v>0</v>
      </c>
      <c r="AI376" s="109"/>
      <c r="AJ376" s="108">
        <f t="shared" si="355"/>
        <v>0</v>
      </c>
      <c r="AK376" s="108">
        <f t="shared" si="356"/>
        <v>0</v>
      </c>
      <c r="AL376" s="108">
        <f t="shared" si="357"/>
        <v>0</v>
      </c>
      <c r="AN376" s="100">
        <v>15</v>
      </c>
      <c r="AO376" s="100">
        <f t="shared" si="358"/>
        <v>0</v>
      </c>
      <c r="AP376" s="100">
        <f t="shared" si="359"/>
        <v>0</v>
      </c>
      <c r="AQ376" s="111" t="s">
        <v>13</v>
      </c>
      <c r="AV376" s="100">
        <f t="shared" si="360"/>
        <v>0</v>
      </c>
      <c r="AW376" s="100">
        <f t="shared" si="361"/>
        <v>0</v>
      </c>
      <c r="AX376" s="100">
        <f t="shared" si="362"/>
        <v>0</v>
      </c>
      <c r="AY376" s="110" t="s">
        <v>1711</v>
      </c>
      <c r="AZ376" s="110" t="s">
        <v>1733</v>
      </c>
      <c r="BA376" s="109" t="s">
        <v>1737</v>
      </c>
      <c r="BC376" s="100">
        <f t="shared" si="363"/>
        <v>0</v>
      </c>
      <c r="BD376" s="100">
        <f t="shared" si="364"/>
        <v>0</v>
      </c>
      <c r="BE376" s="100">
        <v>0</v>
      </c>
      <c r="BF376" s="100">
        <f>376</f>
        <v>376</v>
      </c>
      <c r="BH376" s="108">
        <f t="shared" si="365"/>
        <v>0</v>
      </c>
      <c r="BI376" s="108">
        <f t="shared" si="366"/>
        <v>0</v>
      </c>
      <c r="BJ376" s="108">
        <f t="shared" si="367"/>
        <v>0</v>
      </c>
    </row>
    <row r="377" spans="1:62" x14ac:dyDescent="0.2">
      <c r="A377" s="117" t="s">
        <v>337</v>
      </c>
      <c r="B377" s="117" t="s">
        <v>3483</v>
      </c>
      <c r="C377" s="304" t="s">
        <v>3482</v>
      </c>
      <c r="D377" s="305"/>
      <c r="E377" s="305"/>
      <c r="F377" s="117" t="s">
        <v>1644</v>
      </c>
      <c r="G377" s="116">
        <v>1</v>
      </c>
      <c r="H377" s="159"/>
      <c r="I377" s="108">
        <f t="shared" si="344"/>
        <v>0</v>
      </c>
      <c r="J377" s="108">
        <f t="shared" si="345"/>
        <v>0</v>
      </c>
      <c r="K377" s="108">
        <f t="shared" si="346"/>
        <v>0</v>
      </c>
      <c r="L377" s="111"/>
      <c r="Z377" s="100">
        <f t="shared" si="347"/>
        <v>0</v>
      </c>
      <c r="AB377" s="100">
        <f t="shared" si="348"/>
        <v>0</v>
      </c>
      <c r="AC377" s="100">
        <f t="shared" si="349"/>
        <v>0</v>
      </c>
      <c r="AD377" s="100">
        <f t="shared" si="350"/>
        <v>0</v>
      </c>
      <c r="AE377" s="100">
        <f t="shared" si="351"/>
        <v>0</v>
      </c>
      <c r="AF377" s="100">
        <f t="shared" si="352"/>
        <v>0</v>
      </c>
      <c r="AG377" s="100">
        <f t="shared" si="353"/>
        <v>0</v>
      </c>
      <c r="AH377" s="100">
        <f t="shared" si="354"/>
        <v>0</v>
      </c>
      <c r="AI377" s="109"/>
      <c r="AJ377" s="108">
        <f t="shared" si="355"/>
        <v>0</v>
      </c>
      <c r="AK377" s="108">
        <f t="shared" si="356"/>
        <v>0</v>
      </c>
      <c r="AL377" s="108">
        <f t="shared" si="357"/>
        <v>0</v>
      </c>
      <c r="AN377" s="100">
        <v>15</v>
      </c>
      <c r="AO377" s="100">
        <f t="shared" si="358"/>
        <v>0</v>
      </c>
      <c r="AP377" s="100">
        <f t="shared" si="359"/>
        <v>0</v>
      </c>
      <c r="AQ377" s="111" t="s">
        <v>13</v>
      </c>
      <c r="AV377" s="100">
        <f t="shared" si="360"/>
        <v>0</v>
      </c>
      <c r="AW377" s="100">
        <f t="shared" si="361"/>
        <v>0</v>
      </c>
      <c r="AX377" s="100">
        <f t="shared" si="362"/>
        <v>0</v>
      </c>
      <c r="AY377" s="110" t="s">
        <v>1711</v>
      </c>
      <c r="AZ377" s="110" t="s">
        <v>1733</v>
      </c>
      <c r="BA377" s="109" t="s">
        <v>1737</v>
      </c>
      <c r="BC377" s="100">
        <f t="shared" si="363"/>
        <v>0</v>
      </c>
      <c r="BD377" s="100">
        <f t="shared" si="364"/>
        <v>0</v>
      </c>
      <c r="BE377" s="100">
        <v>0</v>
      </c>
      <c r="BF377" s="100">
        <f>377</f>
        <v>377</v>
      </c>
      <c r="BH377" s="108">
        <f t="shared" si="365"/>
        <v>0</v>
      </c>
      <c r="BI377" s="108">
        <f t="shared" si="366"/>
        <v>0</v>
      </c>
      <c r="BJ377" s="108">
        <f t="shared" si="367"/>
        <v>0</v>
      </c>
    </row>
    <row r="378" spans="1:62" x14ac:dyDescent="0.2">
      <c r="A378" s="117" t="s">
        <v>338</v>
      </c>
      <c r="B378" s="117" t="s">
        <v>3481</v>
      </c>
      <c r="C378" s="304" t="s">
        <v>3480</v>
      </c>
      <c r="D378" s="305"/>
      <c r="E378" s="305"/>
      <c r="F378" s="117" t="s">
        <v>1644</v>
      </c>
      <c r="G378" s="116">
        <v>1</v>
      </c>
      <c r="H378" s="159"/>
      <c r="I378" s="108">
        <f t="shared" si="344"/>
        <v>0</v>
      </c>
      <c r="J378" s="108">
        <f t="shared" si="345"/>
        <v>0</v>
      </c>
      <c r="K378" s="108">
        <f t="shared" si="346"/>
        <v>0</v>
      </c>
      <c r="L378" s="111"/>
      <c r="Z378" s="100">
        <f t="shared" si="347"/>
        <v>0</v>
      </c>
      <c r="AB378" s="100">
        <f t="shared" si="348"/>
        <v>0</v>
      </c>
      <c r="AC378" s="100">
        <f t="shared" si="349"/>
        <v>0</v>
      </c>
      <c r="AD378" s="100">
        <f t="shared" si="350"/>
        <v>0</v>
      </c>
      <c r="AE378" s="100">
        <f t="shared" si="351"/>
        <v>0</v>
      </c>
      <c r="AF378" s="100">
        <f t="shared" si="352"/>
        <v>0</v>
      </c>
      <c r="AG378" s="100">
        <f t="shared" si="353"/>
        <v>0</v>
      </c>
      <c r="AH378" s="100">
        <f t="shared" si="354"/>
        <v>0</v>
      </c>
      <c r="AI378" s="109"/>
      <c r="AJ378" s="108">
        <f t="shared" si="355"/>
        <v>0</v>
      </c>
      <c r="AK378" s="108">
        <f t="shared" si="356"/>
        <v>0</v>
      </c>
      <c r="AL378" s="108">
        <f t="shared" si="357"/>
        <v>0</v>
      </c>
      <c r="AN378" s="100">
        <v>15</v>
      </c>
      <c r="AO378" s="100">
        <f t="shared" si="358"/>
        <v>0</v>
      </c>
      <c r="AP378" s="100">
        <f t="shared" si="359"/>
        <v>0</v>
      </c>
      <c r="AQ378" s="111" t="s">
        <v>13</v>
      </c>
      <c r="AV378" s="100">
        <f t="shared" si="360"/>
        <v>0</v>
      </c>
      <c r="AW378" s="100">
        <f t="shared" si="361"/>
        <v>0</v>
      </c>
      <c r="AX378" s="100">
        <f t="shared" si="362"/>
        <v>0</v>
      </c>
      <c r="AY378" s="110" t="s">
        <v>1711</v>
      </c>
      <c r="AZ378" s="110" t="s">
        <v>1733</v>
      </c>
      <c r="BA378" s="109" t="s">
        <v>1737</v>
      </c>
      <c r="BC378" s="100">
        <f t="shared" si="363"/>
        <v>0</v>
      </c>
      <c r="BD378" s="100">
        <f t="shared" si="364"/>
        <v>0</v>
      </c>
      <c r="BE378" s="100">
        <v>0</v>
      </c>
      <c r="BF378" s="100">
        <f>378</f>
        <v>378</v>
      </c>
      <c r="BH378" s="108">
        <f t="shared" si="365"/>
        <v>0</v>
      </c>
      <c r="BI378" s="108">
        <f t="shared" si="366"/>
        <v>0</v>
      </c>
      <c r="BJ378" s="108">
        <f t="shared" si="367"/>
        <v>0</v>
      </c>
    </row>
    <row r="379" spans="1:62" x14ac:dyDescent="0.2">
      <c r="A379" s="117" t="s">
        <v>339</v>
      </c>
      <c r="B379" s="117" t="s">
        <v>3479</v>
      </c>
      <c r="C379" s="304" t="s">
        <v>3478</v>
      </c>
      <c r="D379" s="305"/>
      <c r="E379" s="305"/>
      <c r="F379" s="117" t="s">
        <v>1644</v>
      </c>
      <c r="G379" s="116">
        <v>1</v>
      </c>
      <c r="H379" s="159"/>
      <c r="I379" s="108">
        <f t="shared" si="344"/>
        <v>0</v>
      </c>
      <c r="J379" s="108">
        <f t="shared" si="345"/>
        <v>0</v>
      </c>
      <c r="K379" s="108">
        <f t="shared" si="346"/>
        <v>0</v>
      </c>
      <c r="L379" s="111"/>
      <c r="Z379" s="100">
        <f t="shared" si="347"/>
        <v>0</v>
      </c>
      <c r="AB379" s="100">
        <f t="shared" si="348"/>
        <v>0</v>
      </c>
      <c r="AC379" s="100">
        <f t="shared" si="349"/>
        <v>0</v>
      </c>
      <c r="AD379" s="100">
        <f t="shared" si="350"/>
        <v>0</v>
      </c>
      <c r="AE379" s="100">
        <f t="shared" si="351"/>
        <v>0</v>
      </c>
      <c r="AF379" s="100">
        <f t="shared" si="352"/>
        <v>0</v>
      </c>
      <c r="AG379" s="100">
        <f t="shared" si="353"/>
        <v>0</v>
      </c>
      <c r="AH379" s="100">
        <f t="shared" si="354"/>
        <v>0</v>
      </c>
      <c r="AI379" s="109"/>
      <c r="AJ379" s="108">
        <f t="shared" si="355"/>
        <v>0</v>
      </c>
      <c r="AK379" s="108">
        <f t="shared" si="356"/>
        <v>0</v>
      </c>
      <c r="AL379" s="108">
        <f t="shared" si="357"/>
        <v>0</v>
      </c>
      <c r="AN379" s="100">
        <v>15</v>
      </c>
      <c r="AO379" s="100">
        <f t="shared" si="358"/>
        <v>0</v>
      </c>
      <c r="AP379" s="100">
        <f t="shared" si="359"/>
        <v>0</v>
      </c>
      <c r="AQ379" s="111" t="s">
        <v>13</v>
      </c>
      <c r="AV379" s="100">
        <f t="shared" si="360"/>
        <v>0</v>
      </c>
      <c r="AW379" s="100">
        <f t="shared" si="361"/>
        <v>0</v>
      </c>
      <c r="AX379" s="100">
        <f t="shared" si="362"/>
        <v>0</v>
      </c>
      <c r="AY379" s="110" t="s">
        <v>1711</v>
      </c>
      <c r="AZ379" s="110" t="s">
        <v>1733</v>
      </c>
      <c r="BA379" s="109" t="s">
        <v>1737</v>
      </c>
      <c r="BC379" s="100">
        <f t="shared" si="363"/>
        <v>0</v>
      </c>
      <c r="BD379" s="100">
        <f t="shared" si="364"/>
        <v>0</v>
      </c>
      <c r="BE379" s="100">
        <v>0</v>
      </c>
      <c r="BF379" s="100">
        <f>379</f>
        <v>379</v>
      </c>
      <c r="BH379" s="108">
        <f t="shared" si="365"/>
        <v>0</v>
      </c>
      <c r="BI379" s="108">
        <f t="shared" si="366"/>
        <v>0</v>
      </c>
      <c r="BJ379" s="108">
        <f t="shared" si="367"/>
        <v>0</v>
      </c>
    </row>
    <row r="380" spans="1:62" x14ac:dyDescent="0.2">
      <c r="A380" s="117" t="s">
        <v>340</v>
      </c>
      <c r="B380" s="117" t="s">
        <v>3477</v>
      </c>
      <c r="C380" s="304" t="s">
        <v>3476</v>
      </c>
      <c r="D380" s="305"/>
      <c r="E380" s="305"/>
      <c r="F380" s="117" t="s">
        <v>1644</v>
      </c>
      <c r="G380" s="116">
        <v>1</v>
      </c>
      <c r="H380" s="159"/>
      <c r="I380" s="108">
        <f t="shared" si="344"/>
        <v>0</v>
      </c>
      <c r="J380" s="108">
        <f t="shared" si="345"/>
        <v>0</v>
      </c>
      <c r="K380" s="108">
        <f t="shared" si="346"/>
        <v>0</v>
      </c>
      <c r="L380" s="111"/>
      <c r="Z380" s="100">
        <f t="shared" si="347"/>
        <v>0</v>
      </c>
      <c r="AB380" s="100">
        <f t="shared" si="348"/>
        <v>0</v>
      </c>
      <c r="AC380" s="100">
        <f t="shared" si="349"/>
        <v>0</v>
      </c>
      <c r="AD380" s="100">
        <f t="shared" si="350"/>
        <v>0</v>
      </c>
      <c r="AE380" s="100">
        <f t="shared" si="351"/>
        <v>0</v>
      </c>
      <c r="AF380" s="100">
        <f t="shared" si="352"/>
        <v>0</v>
      </c>
      <c r="AG380" s="100">
        <f t="shared" si="353"/>
        <v>0</v>
      </c>
      <c r="AH380" s="100">
        <f t="shared" si="354"/>
        <v>0</v>
      </c>
      <c r="AI380" s="109"/>
      <c r="AJ380" s="108">
        <f t="shared" si="355"/>
        <v>0</v>
      </c>
      <c r="AK380" s="108">
        <f t="shared" si="356"/>
        <v>0</v>
      </c>
      <c r="AL380" s="108">
        <f t="shared" si="357"/>
        <v>0</v>
      </c>
      <c r="AN380" s="100">
        <v>15</v>
      </c>
      <c r="AO380" s="100">
        <f t="shared" si="358"/>
        <v>0</v>
      </c>
      <c r="AP380" s="100">
        <f t="shared" si="359"/>
        <v>0</v>
      </c>
      <c r="AQ380" s="111" t="s">
        <v>13</v>
      </c>
      <c r="AV380" s="100">
        <f t="shared" si="360"/>
        <v>0</v>
      </c>
      <c r="AW380" s="100">
        <f t="shared" si="361"/>
        <v>0</v>
      </c>
      <c r="AX380" s="100">
        <f t="shared" si="362"/>
        <v>0</v>
      </c>
      <c r="AY380" s="110" t="s">
        <v>1711</v>
      </c>
      <c r="AZ380" s="110" t="s">
        <v>1733</v>
      </c>
      <c r="BA380" s="109" t="s">
        <v>1737</v>
      </c>
      <c r="BC380" s="100">
        <f t="shared" si="363"/>
        <v>0</v>
      </c>
      <c r="BD380" s="100">
        <f t="shared" si="364"/>
        <v>0</v>
      </c>
      <c r="BE380" s="100">
        <v>0</v>
      </c>
      <c r="BF380" s="100">
        <f>380</f>
        <v>380</v>
      </c>
      <c r="BH380" s="108">
        <f t="shared" si="365"/>
        <v>0</v>
      </c>
      <c r="BI380" s="108">
        <f t="shared" si="366"/>
        <v>0</v>
      </c>
      <c r="BJ380" s="108">
        <f t="shared" si="367"/>
        <v>0</v>
      </c>
    </row>
    <row r="381" spans="1:62" x14ac:dyDescent="0.2">
      <c r="A381" s="117" t="s">
        <v>341</v>
      </c>
      <c r="B381" s="117" t="s">
        <v>3475</v>
      </c>
      <c r="C381" s="304" t="s">
        <v>3474</v>
      </c>
      <c r="D381" s="305"/>
      <c r="E381" s="305"/>
      <c r="F381" s="117" t="s">
        <v>1646</v>
      </c>
      <c r="G381" s="116">
        <v>2.5</v>
      </c>
      <c r="H381" s="159"/>
      <c r="I381" s="108">
        <f t="shared" si="344"/>
        <v>0</v>
      </c>
      <c r="J381" s="108">
        <f t="shared" si="345"/>
        <v>0</v>
      </c>
      <c r="K381" s="108">
        <f t="shared" si="346"/>
        <v>0</v>
      </c>
      <c r="L381" s="111"/>
      <c r="Z381" s="100">
        <f t="shared" si="347"/>
        <v>0</v>
      </c>
      <c r="AB381" s="100">
        <f t="shared" si="348"/>
        <v>0</v>
      </c>
      <c r="AC381" s="100">
        <f t="shared" si="349"/>
        <v>0</v>
      </c>
      <c r="AD381" s="100">
        <f t="shared" si="350"/>
        <v>0</v>
      </c>
      <c r="AE381" s="100">
        <f t="shared" si="351"/>
        <v>0</v>
      </c>
      <c r="AF381" s="100">
        <f t="shared" si="352"/>
        <v>0</v>
      </c>
      <c r="AG381" s="100">
        <f t="shared" si="353"/>
        <v>0</v>
      </c>
      <c r="AH381" s="100">
        <f t="shared" si="354"/>
        <v>0</v>
      </c>
      <c r="AI381" s="109"/>
      <c r="AJ381" s="108">
        <f t="shared" si="355"/>
        <v>0</v>
      </c>
      <c r="AK381" s="108">
        <f t="shared" si="356"/>
        <v>0</v>
      </c>
      <c r="AL381" s="108">
        <f t="shared" si="357"/>
        <v>0</v>
      </c>
      <c r="AN381" s="100">
        <v>15</v>
      </c>
      <c r="AO381" s="100">
        <f t="shared" si="358"/>
        <v>0</v>
      </c>
      <c r="AP381" s="100">
        <f t="shared" si="359"/>
        <v>0</v>
      </c>
      <c r="AQ381" s="111" t="s">
        <v>13</v>
      </c>
      <c r="AV381" s="100">
        <f t="shared" si="360"/>
        <v>0</v>
      </c>
      <c r="AW381" s="100">
        <f t="shared" si="361"/>
        <v>0</v>
      </c>
      <c r="AX381" s="100">
        <f t="shared" si="362"/>
        <v>0</v>
      </c>
      <c r="AY381" s="110" t="s">
        <v>1711</v>
      </c>
      <c r="AZ381" s="110" t="s">
        <v>1733</v>
      </c>
      <c r="BA381" s="109" t="s">
        <v>1737</v>
      </c>
      <c r="BC381" s="100">
        <f t="shared" si="363"/>
        <v>0</v>
      </c>
      <c r="BD381" s="100">
        <f t="shared" si="364"/>
        <v>0</v>
      </c>
      <c r="BE381" s="100">
        <v>0</v>
      </c>
      <c r="BF381" s="100">
        <f>381</f>
        <v>381</v>
      </c>
      <c r="BH381" s="108">
        <f t="shared" si="365"/>
        <v>0</v>
      </c>
      <c r="BI381" s="108">
        <f t="shared" si="366"/>
        <v>0</v>
      </c>
      <c r="BJ381" s="108">
        <f t="shared" si="367"/>
        <v>0</v>
      </c>
    </row>
    <row r="382" spans="1:62" x14ac:dyDescent="0.2">
      <c r="A382" s="117" t="s">
        <v>342</v>
      </c>
      <c r="B382" s="117" t="s">
        <v>3473</v>
      </c>
      <c r="C382" s="304" t="s">
        <v>3472</v>
      </c>
      <c r="D382" s="305"/>
      <c r="E382" s="305"/>
      <c r="F382" s="117" t="s">
        <v>1646</v>
      </c>
      <c r="G382" s="116">
        <v>3</v>
      </c>
      <c r="H382" s="159"/>
      <c r="I382" s="108">
        <f t="shared" si="344"/>
        <v>0</v>
      </c>
      <c r="J382" s="108">
        <f t="shared" si="345"/>
        <v>0</v>
      </c>
      <c r="K382" s="108">
        <f t="shared" si="346"/>
        <v>0</v>
      </c>
      <c r="L382" s="111"/>
      <c r="Z382" s="100">
        <f t="shared" si="347"/>
        <v>0</v>
      </c>
      <c r="AB382" s="100">
        <f t="shared" si="348"/>
        <v>0</v>
      </c>
      <c r="AC382" s="100">
        <f t="shared" si="349"/>
        <v>0</v>
      </c>
      <c r="AD382" s="100">
        <f t="shared" si="350"/>
        <v>0</v>
      </c>
      <c r="AE382" s="100">
        <f t="shared" si="351"/>
        <v>0</v>
      </c>
      <c r="AF382" s="100">
        <f t="shared" si="352"/>
        <v>0</v>
      </c>
      <c r="AG382" s="100">
        <f t="shared" si="353"/>
        <v>0</v>
      </c>
      <c r="AH382" s="100">
        <f t="shared" si="354"/>
        <v>0</v>
      </c>
      <c r="AI382" s="109"/>
      <c r="AJ382" s="108">
        <f t="shared" si="355"/>
        <v>0</v>
      </c>
      <c r="AK382" s="108">
        <f t="shared" si="356"/>
        <v>0</v>
      </c>
      <c r="AL382" s="108">
        <f t="shared" si="357"/>
        <v>0</v>
      </c>
      <c r="AN382" s="100">
        <v>15</v>
      </c>
      <c r="AO382" s="100">
        <f t="shared" si="358"/>
        <v>0</v>
      </c>
      <c r="AP382" s="100">
        <f t="shared" si="359"/>
        <v>0</v>
      </c>
      <c r="AQ382" s="111" t="s">
        <v>13</v>
      </c>
      <c r="AV382" s="100">
        <f t="shared" si="360"/>
        <v>0</v>
      </c>
      <c r="AW382" s="100">
        <f t="shared" si="361"/>
        <v>0</v>
      </c>
      <c r="AX382" s="100">
        <f t="shared" si="362"/>
        <v>0</v>
      </c>
      <c r="AY382" s="110" t="s">
        <v>1711</v>
      </c>
      <c r="AZ382" s="110" t="s">
        <v>1733</v>
      </c>
      <c r="BA382" s="109" t="s">
        <v>1737</v>
      </c>
      <c r="BC382" s="100">
        <f t="shared" si="363"/>
        <v>0</v>
      </c>
      <c r="BD382" s="100">
        <f t="shared" si="364"/>
        <v>0</v>
      </c>
      <c r="BE382" s="100">
        <v>0</v>
      </c>
      <c r="BF382" s="100">
        <f>382</f>
        <v>382</v>
      </c>
      <c r="BH382" s="108">
        <f t="shared" si="365"/>
        <v>0</v>
      </c>
      <c r="BI382" s="108">
        <f t="shared" si="366"/>
        <v>0</v>
      </c>
      <c r="BJ382" s="108">
        <f t="shared" si="367"/>
        <v>0</v>
      </c>
    </row>
    <row r="383" spans="1:62" x14ac:dyDescent="0.2">
      <c r="A383" s="117" t="s">
        <v>343</v>
      </c>
      <c r="B383" s="117" t="s">
        <v>3471</v>
      </c>
      <c r="C383" s="304" t="s">
        <v>3470</v>
      </c>
      <c r="D383" s="305"/>
      <c r="E383" s="305"/>
      <c r="F383" s="117" t="s">
        <v>1644</v>
      </c>
      <c r="G383" s="116">
        <v>2</v>
      </c>
      <c r="H383" s="159"/>
      <c r="I383" s="108">
        <f t="shared" si="344"/>
        <v>0</v>
      </c>
      <c r="J383" s="108">
        <f t="shared" si="345"/>
        <v>0</v>
      </c>
      <c r="K383" s="108">
        <f t="shared" si="346"/>
        <v>0</v>
      </c>
      <c r="L383" s="111"/>
      <c r="Z383" s="100">
        <f t="shared" si="347"/>
        <v>0</v>
      </c>
      <c r="AB383" s="100">
        <f t="shared" si="348"/>
        <v>0</v>
      </c>
      <c r="AC383" s="100">
        <f t="shared" si="349"/>
        <v>0</v>
      </c>
      <c r="AD383" s="100">
        <f t="shared" si="350"/>
        <v>0</v>
      </c>
      <c r="AE383" s="100">
        <f t="shared" si="351"/>
        <v>0</v>
      </c>
      <c r="AF383" s="100">
        <f t="shared" si="352"/>
        <v>0</v>
      </c>
      <c r="AG383" s="100">
        <f t="shared" si="353"/>
        <v>0</v>
      </c>
      <c r="AH383" s="100">
        <f t="shared" si="354"/>
        <v>0</v>
      </c>
      <c r="AI383" s="109"/>
      <c r="AJ383" s="108">
        <f t="shared" si="355"/>
        <v>0</v>
      </c>
      <c r="AK383" s="108">
        <f t="shared" si="356"/>
        <v>0</v>
      </c>
      <c r="AL383" s="108">
        <f t="shared" si="357"/>
        <v>0</v>
      </c>
      <c r="AN383" s="100">
        <v>15</v>
      </c>
      <c r="AO383" s="100">
        <f t="shared" si="358"/>
        <v>0</v>
      </c>
      <c r="AP383" s="100">
        <f t="shared" si="359"/>
        <v>0</v>
      </c>
      <c r="AQ383" s="111" t="s">
        <v>13</v>
      </c>
      <c r="AV383" s="100">
        <f t="shared" si="360"/>
        <v>0</v>
      </c>
      <c r="AW383" s="100">
        <f t="shared" si="361"/>
        <v>0</v>
      </c>
      <c r="AX383" s="100">
        <f t="shared" si="362"/>
        <v>0</v>
      </c>
      <c r="AY383" s="110" t="s">
        <v>1711</v>
      </c>
      <c r="AZ383" s="110" t="s">
        <v>1733</v>
      </c>
      <c r="BA383" s="109" t="s">
        <v>1737</v>
      </c>
      <c r="BC383" s="100">
        <f t="shared" si="363"/>
        <v>0</v>
      </c>
      <c r="BD383" s="100">
        <f t="shared" si="364"/>
        <v>0</v>
      </c>
      <c r="BE383" s="100">
        <v>0</v>
      </c>
      <c r="BF383" s="100">
        <f>383</f>
        <v>383</v>
      </c>
      <c r="BH383" s="108">
        <f t="shared" si="365"/>
        <v>0</v>
      </c>
      <c r="BI383" s="108">
        <f t="shared" si="366"/>
        <v>0</v>
      </c>
      <c r="BJ383" s="108">
        <f t="shared" si="367"/>
        <v>0</v>
      </c>
    </row>
    <row r="384" spans="1:62" x14ac:dyDescent="0.2">
      <c r="A384" s="117" t="s">
        <v>344</v>
      </c>
      <c r="B384" s="117" t="s">
        <v>3469</v>
      </c>
      <c r="C384" s="304" t="s">
        <v>3468</v>
      </c>
      <c r="D384" s="305"/>
      <c r="E384" s="305"/>
      <c r="F384" s="117" t="s">
        <v>1644</v>
      </c>
      <c r="G384" s="116">
        <v>1</v>
      </c>
      <c r="H384" s="159"/>
      <c r="I384" s="108">
        <f t="shared" si="344"/>
        <v>0</v>
      </c>
      <c r="J384" s="108">
        <f t="shared" si="345"/>
        <v>0</v>
      </c>
      <c r="K384" s="108">
        <f t="shared" si="346"/>
        <v>0</v>
      </c>
      <c r="L384" s="111"/>
      <c r="Z384" s="100">
        <f t="shared" si="347"/>
        <v>0</v>
      </c>
      <c r="AB384" s="100">
        <f t="shared" si="348"/>
        <v>0</v>
      </c>
      <c r="AC384" s="100">
        <f t="shared" si="349"/>
        <v>0</v>
      </c>
      <c r="AD384" s="100">
        <f t="shared" si="350"/>
        <v>0</v>
      </c>
      <c r="AE384" s="100">
        <f t="shared" si="351"/>
        <v>0</v>
      </c>
      <c r="AF384" s="100">
        <f t="shared" si="352"/>
        <v>0</v>
      </c>
      <c r="AG384" s="100">
        <f t="shared" si="353"/>
        <v>0</v>
      </c>
      <c r="AH384" s="100">
        <f t="shared" si="354"/>
        <v>0</v>
      </c>
      <c r="AI384" s="109"/>
      <c r="AJ384" s="108">
        <f t="shared" si="355"/>
        <v>0</v>
      </c>
      <c r="AK384" s="108">
        <f t="shared" si="356"/>
        <v>0</v>
      </c>
      <c r="AL384" s="108">
        <f t="shared" si="357"/>
        <v>0</v>
      </c>
      <c r="AN384" s="100">
        <v>15</v>
      </c>
      <c r="AO384" s="100">
        <f t="shared" si="358"/>
        <v>0</v>
      </c>
      <c r="AP384" s="100">
        <f t="shared" si="359"/>
        <v>0</v>
      </c>
      <c r="AQ384" s="111" t="s">
        <v>13</v>
      </c>
      <c r="AV384" s="100">
        <f t="shared" si="360"/>
        <v>0</v>
      </c>
      <c r="AW384" s="100">
        <f t="shared" si="361"/>
        <v>0</v>
      </c>
      <c r="AX384" s="100">
        <f t="shared" si="362"/>
        <v>0</v>
      </c>
      <c r="AY384" s="110" t="s">
        <v>1711</v>
      </c>
      <c r="AZ384" s="110" t="s">
        <v>1733</v>
      </c>
      <c r="BA384" s="109" t="s">
        <v>1737</v>
      </c>
      <c r="BC384" s="100">
        <f t="shared" si="363"/>
        <v>0</v>
      </c>
      <c r="BD384" s="100">
        <f t="shared" si="364"/>
        <v>0</v>
      </c>
      <c r="BE384" s="100">
        <v>0</v>
      </c>
      <c r="BF384" s="100">
        <f>384</f>
        <v>384</v>
      </c>
      <c r="BH384" s="108">
        <f t="shared" si="365"/>
        <v>0</v>
      </c>
      <c r="BI384" s="108">
        <f t="shared" si="366"/>
        <v>0</v>
      </c>
      <c r="BJ384" s="108">
        <f t="shared" si="367"/>
        <v>0</v>
      </c>
    </row>
    <row r="385" spans="1:62" x14ac:dyDescent="0.2">
      <c r="A385" s="117" t="s">
        <v>345</v>
      </c>
      <c r="B385" s="117" t="s">
        <v>3467</v>
      </c>
      <c r="C385" s="304" t="s">
        <v>3466</v>
      </c>
      <c r="D385" s="305"/>
      <c r="E385" s="305"/>
      <c r="F385" s="117" t="s">
        <v>1644</v>
      </c>
      <c r="G385" s="116">
        <v>1</v>
      </c>
      <c r="H385" s="159"/>
      <c r="I385" s="108">
        <f t="shared" si="344"/>
        <v>0</v>
      </c>
      <c r="J385" s="108">
        <f t="shared" si="345"/>
        <v>0</v>
      </c>
      <c r="K385" s="108">
        <f t="shared" si="346"/>
        <v>0</v>
      </c>
      <c r="L385" s="111"/>
      <c r="Z385" s="100">
        <f t="shared" si="347"/>
        <v>0</v>
      </c>
      <c r="AB385" s="100">
        <f t="shared" si="348"/>
        <v>0</v>
      </c>
      <c r="AC385" s="100">
        <f t="shared" si="349"/>
        <v>0</v>
      </c>
      <c r="AD385" s="100">
        <f t="shared" si="350"/>
        <v>0</v>
      </c>
      <c r="AE385" s="100">
        <f t="shared" si="351"/>
        <v>0</v>
      </c>
      <c r="AF385" s="100">
        <f t="shared" si="352"/>
        <v>0</v>
      </c>
      <c r="AG385" s="100">
        <f t="shared" si="353"/>
        <v>0</v>
      </c>
      <c r="AH385" s="100">
        <f t="shared" si="354"/>
        <v>0</v>
      </c>
      <c r="AI385" s="109"/>
      <c r="AJ385" s="108">
        <f t="shared" si="355"/>
        <v>0</v>
      </c>
      <c r="AK385" s="108">
        <f t="shared" si="356"/>
        <v>0</v>
      </c>
      <c r="AL385" s="108">
        <f t="shared" si="357"/>
        <v>0</v>
      </c>
      <c r="AN385" s="100">
        <v>15</v>
      </c>
      <c r="AO385" s="100">
        <f t="shared" si="358"/>
        <v>0</v>
      </c>
      <c r="AP385" s="100">
        <f t="shared" si="359"/>
        <v>0</v>
      </c>
      <c r="AQ385" s="111" t="s">
        <v>13</v>
      </c>
      <c r="AV385" s="100">
        <f t="shared" si="360"/>
        <v>0</v>
      </c>
      <c r="AW385" s="100">
        <f t="shared" si="361"/>
        <v>0</v>
      </c>
      <c r="AX385" s="100">
        <f t="shared" si="362"/>
        <v>0</v>
      </c>
      <c r="AY385" s="110" t="s">
        <v>1711</v>
      </c>
      <c r="AZ385" s="110" t="s">
        <v>1733</v>
      </c>
      <c r="BA385" s="109" t="s">
        <v>1737</v>
      </c>
      <c r="BC385" s="100">
        <f t="shared" si="363"/>
        <v>0</v>
      </c>
      <c r="BD385" s="100">
        <f t="shared" si="364"/>
        <v>0</v>
      </c>
      <c r="BE385" s="100">
        <v>0</v>
      </c>
      <c r="BF385" s="100">
        <f>385</f>
        <v>385</v>
      </c>
      <c r="BH385" s="108">
        <f t="shared" si="365"/>
        <v>0</v>
      </c>
      <c r="BI385" s="108">
        <f t="shared" si="366"/>
        <v>0</v>
      </c>
      <c r="BJ385" s="108">
        <f t="shared" si="367"/>
        <v>0</v>
      </c>
    </row>
    <row r="386" spans="1:62" x14ac:dyDescent="0.2">
      <c r="A386" s="117" t="s">
        <v>346</v>
      </c>
      <c r="B386" s="117" t="s">
        <v>3465</v>
      </c>
      <c r="C386" s="304" t="s">
        <v>3464</v>
      </c>
      <c r="D386" s="305"/>
      <c r="E386" s="305"/>
      <c r="F386" s="117" t="s">
        <v>1644</v>
      </c>
      <c r="G386" s="116">
        <v>1</v>
      </c>
      <c r="H386" s="159"/>
      <c r="I386" s="108">
        <f t="shared" si="344"/>
        <v>0</v>
      </c>
      <c r="J386" s="108">
        <f t="shared" si="345"/>
        <v>0</v>
      </c>
      <c r="K386" s="108">
        <f t="shared" si="346"/>
        <v>0</v>
      </c>
      <c r="L386" s="111"/>
      <c r="Z386" s="100">
        <f t="shared" si="347"/>
        <v>0</v>
      </c>
      <c r="AB386" s="100">
        <f t="shared" si="348"/>
        <v>0</v>
      </c>
      <c r="AC386" s="100">
        <f t="shared" si="349"/>
        <v>0</v>
      </c>
      <c r="AD386" s="100">
        <f t="shared" si="350"/>
        <v>0</v>
      </c>
      <c r="AE386" s="100">
        <f t="shared" si="351"/>
        <v>0</v>
      </c>
      <c r="AF386" s="100">
        <f t="shared" si="352"/>
        <v>0</v>
      </c>
      <c r="AG386" s="100">
        <f t="shared" si="353"/>
        <v>0</v>
      </c>
      <c r="AH386" s="100">
        <f t="shared" si="354"/>
        <v>0</v>
      </c>
      <c r="AI386" s="109"/>
      <c r="AJ386" s="108">
        <f t="shared" si="355"/>
        <v>0</v>
      </c>
      <c r="AK386" s="108">
        <f t="shared" si="356"/>
        <v>0</v>
      </c>
      <c r="AL386" s="108">
        <f t="shared" si="357"/>
        <v>0</v>
      </c>
      <c r="AN386" s="100">
        <v>15</v>
      </c>
      <c r="AO386" s="100">
        <f t="shared" si="358"/>
        <v>0</v>
      </c>
      <c r="AP386" s="100">
        <f t="shared" si="359"/>
        <v>0</v>
      </c>
      <c r="AQ386" s="111" t="s">
        <v>13</v>
      </c>
      <c r="AV386" s="100">
        <f t="shared" si="360"/>
        <v>0</v>
      </c>
      <c r="AW386" s="100">
        <f t="shared" si="361"/>
        <v>0</v>
      </c>
      <c r="AX386" s="100">
        <f t="shared" si="362"/>
        <v>0</v>
      </c>
      <c r="AY386" s="110" t="s">
        <v>1711</v>
      </c>
      <c r="AZ386" s="110" t="s">
        <v>1733</v>
      </c>
      <c r="BA386" s="109" t="s">
        <v>1737</v>
      </c>
      <c r="BC386" s="100">
        <f t="shared" si="363"/>
        <v>0</v>
      </c>
      <c r="BD386" s="100">
        <f t="shared" si="364"/>
        <v>0</v>
      </c>
      <c r="BE386" s="100">
        <v>0</v>
      </c>
      <c r="BF386" s="100">
        <f>386</f>
        <v>386</v>
      </c>
      <c r="BH386" s="108">
        <f t="shared" si="365"/>
        <v>0</v>
      </c>
      <c r="BI386" s="108">
        <f t="shared" si="366"/>
        <v>0</v>
      </c>
      <c r="BJ386" s="108">
        <f t="shared" si="367"/>
        <v>0</v>
      </c>
    </row>
    <row r="387" spans="1:62" x14ac:dyDescent="0.2">
      <c r="A387" s="117" t="s">
        <v>347</v>
      </c>
      <c r="B387" s="117" t="s">
        <v>3463</v>
      </c>
      <c r="C387" s="304" t="s">
        <v>3462</v>
      </c>
      <c r="D387" s="305"/>
      <c r="E387" s="305"/>
      <c r="F387" s="117" t="s">
        <v>1644</v>
      </c>
      <c r="G387" s="116">
        <v>1</v>
      </c>
      <c r="H387" s="159"/>
      <c r="I387" s="108">
        <f t="shared" si="344"/>
        <v>0</v>
      </c>
      <c r="J387" s="108">
        <f t="shared" si="345"/>
        <v>0</v>
      </c>
      <c r="K387" s="108">
        <f t="shared" si="346"/>
        <v>0</v>
      </c>
      <c r="L387" s="111"/>
      <c r="Z387" s="100">
        <f t="shared" si="347"/>
        <v>0</v>
      </c>
      <c r="AB387" s="100">
        <f t="shared" si="348"/>
        <v>0</v>
      </c>
      <c r="AC387" s="100">
        <f t="shared" si="349"/>
        <v>0</v>
      </c>
      <c r="AD387" s="100">
        <f t="shared" si="350"/>
        <v>0</v>
      </c>
      <c r="AE387" s="100">
        <f t="shared" si="351"/>
        <v>0</v>
      </c>
      <c r="AF387" s="100">
        <f t="shared" si="352"/>
        <v>0</v>
      </c>
      <c r="AG387" s="100">
        <f t="shared" si="353"/>
        <v>0</v>
      </c>
      <c r="AH387" s="100">
        <f t="shared" si="354"/>
        <v>0</v>
      </c>
      <c r="AI387" s="109"/>
      <c r="AJ387" s="108">
        <f t="shared" si="355"/>
        <v>0</v>
      </c>
      <c r="AK387" s="108">
        <f t="shared" si="356"/>
        <v>0</v>
      </c>
      <c r="AL387" s="108">
        <f t="shared" si="357"/>
        <v>0</v>
      </c>
      <c r="AN387" s="100">
        <v>15</v>
      </c>
      <c r="AO387" s="100">
        <f t="shared" si="358"/>
        <v>0</v>
      </c>
      <c r="AP387" s="100">
        <f t="shared" si="359"/>
        <v>0</v>
      </c>
      <c r="AQ387" s="111" t="s">
        <v>13</v>
      </c>
      <c r="AV387" s="100">
        <f t="shared" si="360"/>
        <v>0</v>
      </c>
      <c r="AW387" s="100">
        <f t="shared" si="361"/>
        <v>0</v>
      </c>
      <c r="AX387" s="100">
        <f t="shared" si="362"/>
        <v>0</v>
      </c>
      <c r="AY387" s="110" t="s">
        <v>1711</v>
      </c>
      <c r="AZ387" s="110" t="s">
        <v>1733</v>
      </c>
      <c r="BA387" s="109" t="s">
        <v>1737</v>
      </c>
      <c r="BC387" s="100">
        <f t="shared" si="363"/>
        <v>0</v>
      </c>
      <c r="BD387" s="100">
        <f t="shared" si="364"/>
        <v>0</v>
      </c>
      <c r="BE387" s="100">
        <v>0</v>
      </c>
      <c r="BF387" s="100">
        <f>387</f>
        <v>387</v>
      </c>
      <c r="BH387" s="108">
        <f t="shared" si="365"/>
        <v>0</v>
      </c>
      <c r="BI387" s="108">
        <f t="shared" si="366"/>
        <v>0</v>
      </c>
      <c r="BJ387" s="108">
        <f t="shared" si="367"/>
        <v>0</v>
      </c>
    </row>
    <row r="388" spans="1:62" x14ac:dyDescent="0.2">
      <c r="A388" s="117" t="s">
        <v>348</v>
      </c>
      <c r="B388" s="117" t="s">
        <v>3461</v>
      </c>
      <c r="C388" s="304" t="s">
        <v>1392</v>
      </c>
      <c r="D388" s="305"/>
      <c r="E388" s="305"/>
      <c r="F388" s="117" t="s">
        <v>1644</v>
      </c>
      <c r="G388" s="116">
        <v>2</v>
      </c>
      <c r="H388" s="159"/>
      <c r="I388" s="108">
        <f t="shared" si="344"/>
        <v>0</v>
      </c>
      <c r="J388" s="108">
        <f t="shared" si="345"/>
        <v>0</v>
      </c>
      <c r="K388" s="108">
        <f t="shared" si="346"/>
        <v>0</v>
      </c>
      <c r="L388" s="111"/>
      <c r="Z388" s="100">
        <f t="shared" si="347"/>
        <v>0</v>
      </c>
      <c r="AB388" s="100">
        <f t="shared" si="348"/>
        <v>0</v>
      </c>
      <c r="AC388" s="100">
        <f t="shared" si="349"/>
        <v>0</v>
      </c>
      <c r="AD388" s="100">
        <f t="shared" si="350"/>
        <v>0</v>
      </c>
      <c r="AE388" s="100">
        <f t="shared" si="351"/>
        <v>0</v>
      </c>
      <c r="AF388" s="100">
        <f t="shared" si="352"/>
        <v>0</v>
      </c>
      <c r="AG388" s="100">
        <f t="shared" si="353"/>
        <v>0</v>
      </c>
      <c r="AH388" s="100">
        <f t="shared" si="354"/>
        <v>0</v>
      </c>
      <c r="AI388" s="109"/>
      <c r="AJ388" s="108">
        <f t="shared" si="355"/>
        <v>0</v>
      </c>
      <c r="AK388" s="108">
        <f t="shared" si="356"/>
        <v>0</v>
      </c>
      <c r="AL388" s="108">
        <f t="shared" si="357"/>
        <v>0</v>
      </c>
      <c r="AN388" s="100">
        <v>15</v>
      </c>
      <c r="AO388" s="100">
        <f t="shared" si="358"/>
        <v>0</v>
      </c>
      <c r="AP388" s="100">
        <f t="shared" si="359"/>
        <v>0</v>
      </c>
      <c r="AQ388" s="111" t="s">
        <v>13</v>
      </c>
      <c r="AV388" s="100">
        <f t="shared" si="360"/>
        <v>0</v>
      </c>
      <c r="AW388" s="100">
        <f t="shared" si="361"/>
        <v>0</v>
      </c>
      <c r="AX388" s="100">
        <f t="shared" si="362"/>
        <v>0</v>
      </c>
      <c r="AY388" s="110" t="s">
        <v>1711</v>
      </c>
      <c r="AZ388" s="110" t="s">
        <v>1733</v>
      </c>
      <c r="BA388" s="109" t="s">
        <v>1737</v>
      </c>
      <c r="BC388" s="100">
        <f t="shared" si="363"/>
        <v>0</v>
      </c>
      <c r="BD388" s="100">
        <f t="shared" si="364"/>
        <v>0</v>
      </c>
      <c r="BE388" s="100">
        <v>0</v>
      </c>
      <c r="BF388" s="100">
        <f>388</f>
        <v>388</v>
      </c>
      <c r="BH388" s="108">
        <f t="shared" si="365"/>
        <v>0</v>
      </c>
      <c r="BI388" s="108">
        <f t="shared" si="366"/>
        <v>0</v>
      </c>
      <c r="BJ388" s="108">
        <f t="shared" si="367"/>
        <v>0</v>
      </c>
    </row>
    <row r="389" spans="1:62" x14ac:dyDescent="0.2">
      <c r="A389" s="117" t="s">
        <v>349</v>
      </c>
      <c r="B389" s="117" t="s">
        <v>3460</v>
      </c>
      <c r="C389" s="304" t="s">
        <v>1393</v>
      </c>
      <c r="D389" s="305"/>
      <c r="E389" s="305"/>
      <c r="F389" s="117" t="s">
        <v>1644</v>
      </c>
      <c r="G389" s="116">
        <v>1</v>
      </c>
      <c r="H389" s="159"/>
      <c r="I389" s="108">
        <f t="shared" si="344"/>
        <v>0</v>
      </c>
      <c r="J389" s="108">
        <f t="shared" si="345"/>
        <v>0</v>
      </c>
      <c r="K389" s="108">
        <f t="shared" si="346"/>
        <v>0</v>
      </c>
      <c r="L389" s="111"/>
      <c r="Z389" s="100">
        <f t="shared" si="347"/>
        <v>0</v>
      </c>
      <c r="AB389" s="100">
        <f t="shared" si="348"/>
        <v>0</v>
      </c>
      <c r="AC389" s="100">
        <f t="shared" si="349"/>
        <v>0</v>
      </c>
      <c r="AD389" s="100">
        <f t="shared" si="350"/>
        <v>0</v>
      </c>
      <c r="AE389" s="100">
        <f t="shared" si="351"/>
        <v>0</v>
      </c>
      <c r="AF389" s="100">
        <f t="shared" si="352"/>
        <v>0</v>
      </c>
      <c r="AG389" s="100">
        <f t="shared" si="353"/>
        <v>0</v>
      </c>
      <c r="AH389" s="100">
        <f t="shared" si="354"/>
        <v>0</v>
      </c>
      <c r="AI389" s="109"/>
      <c r="AJ389" s="108">
        <f t="shared" si="355"/>
        <v>0</v>
      </c>
      <c r="AK389" s="108">
        <f t="shared" si="356"/>
        <v>0</v>
      </c>
      <c r="AL389" s="108">
        <f t="shared" si="357"/>
        <v>0</v>
      </c>
      <c r="AN389" s="100">
        <v>15</v>
      </c>
      <c r="AO389" s="100">
        <f t="shared" si="358"/>
        <v>0</v>
      </c>
      <c r="AP389" s="100">
        <f t="shared" si="359"/>
        <v>0</v>
      </c>
      <c r="AQ389" s="111" t="s">
        <v>13</v>
      </c>
      <c r="AV389" s="100">
        <f t="shared" si="360"/>
        <v>0</v>
      </c>
      <c r="AW389" s="100">
        <f t="shared" si="361"/>
        <v>0</v>
      </c>
      <c r="AX389" s="100">
        <f t="shared" si="362"/>
        <v>0</v>
      </c>
      <c r="AY389" s="110" t="s">
        <v>1711</v>
      </c>
      <c r="AZ389" s="110" t="s">
        <v>1733</v>
      </c>
      <c r="BA389" s="109" t="s">
        <v>1737</v>
      </c>
      <c r="BC389" s="100">
        <f t="shared" si="363"/>
        <v>0</v>
      </c>
      <c r="BD389" s="100">
        <f t="shared" si="364"/>
        <v>0</v>
      </c>
      <c r="BE389" s="100">
        <v>0</v>
      </c>
      <c r="BF389" s="100">
        <f>389</f>
        <v>389</v>
      </c>
      <c r="BH389" s="108">
        <f t="shared" si="365"/>
        <v>0</v>
      </c>
      <c r="BI389" s="108">
        <f t="shared" si="366"/>
        <v>0</v>
      </c>
      <c r="BJ389" s="108">
        <f t="shared" si="367"/>
        <v>0</v>
      </c>
    </row>
    <row r="390" spans="1:62" x14ac:dyDescent="0.2">
      <c r="A390" s="117" t="s">
        <v>350</v>
      </c>
      <c r="B390" s="117" t="s">
        <v>3459</v>
      </c>
      <c r="C390" s="304" t="s">
        <v>1394</v>
      </c>
      <c r="D390" s="305"/>
      <c r="E390" s="305"/>
      <c r="F390" s="117" t="s">
        <v>1644</v>
      </c>
      <c r="G390" s="116">
        <v>1</v>
      </c>
      <c r="H390" s="159"/>
      <c r="I390" s="108">
        <f t="shared" si="344"/>
        <v>0</v>
      </c>
      <c r="J390" s="108">
        <f t="shared" si="345"/>
        <v>0</v>
      </c>
      <c r="K390" s="108">
        <f t="shared" si="346"/>
        <v>0</v>
      </c>
      <c r="L390" s="111"/>
      <c r="Z390" s="100">
        <f t="shared" si="347"/>
        <v>0</v>
      </c>
      <c r="AB390" s="100">
        <f t="shared" si="348"/>
        <v>0</v>
      </c>
      <c r="AC390" s="100">
        <f t="shared" si="349"/>
        <v>0</v>
      </c>
      <c r="AD390" s="100">
        <f t="shared" si="350"/>
        <v>0</v>
      </c>
      <c r="AE390" s="100">
        <f t="shared" si="351"/>
        <v>0</v>
      </c>
      <c r="AF390" s="100">
        <f t="shared" si="352"/>
        <v>0</v>
      </c>
      <c r="AG390" s="100">
        <f t="shared" si="353"/>
        <v>0</v>
      </c>
      <c r="AH390" s="100">
        <f t="shared" si="354"/>
        <v>0</v>
      </c>
      <c r="AI390" s="109"/>
      <c r="AJ390" s="108">
        <f t="shared" si="355"/>
        <v>0</v>
      </c>
      <c r="AK390" s="108">
        <f t="shared" si="356"/>
        <v>0</v>
      </c>
      <c r="AL390" s="108">
        <f t="shared" si="357"/>
        <v>0</v>
      </c>
      <c r="AN390" s="100">
        <v>15</v>
      </c>
      <c r="AO390" s="100">
        <f t="shared" si="358"/>
        <v>0</v>
      </c>
      <c r="AP390" s="100">
        <f t="shared" si="359"/>
        <v>0</v>
      </c>
      <c r="AQ390" s="111" t="s">
        <v>13</v>
      </c>
      <c r="AV390" s="100">
        <f t="shared" si="360"/>
        <v>0</v>
      </c>
      <c r="AW390" s="100">
        <f t="shared" si="361"/>
        <v>0</v>
      </c>
      <c r="AX390" s="100">
        <f t="shared" si="362"/>
        <v>0</v>
      </c>
      <c r="AY390" s="110" t="s">
        <v>1711</v>
      </c>
      <c r="AZ390" s="110" t="s">
        <v>1733</v>
      </c>
      <c r="BA390" s="109" t="s">
        <v>1737</v>
      </c>
      <c r="BC390" s="100">
        <f t="shared" si="363"/>
        <v>0</v>
      </c>
      <c r="BD390" s="100">
        <f t="shared" si="364"/>
        <v>0</v>
      </c>
      <c r="BE390" s="100">
        <v>0</v>
      </c>
      <c r="BF390" s="100">
        <f>390</f>
        <v>390</v>
      </c>
      <c r="BH390" s="108">
        <f t="shared" si="365"/>
        <v>0</v>
      </c>
      <c r="BI390" s="108">
        <f t="shared" si="366"/>
        <v>0</v>
      </c>
      <c r="BJ390" s="108">
        <f t="shared" si="367"/>
        <v>0</v>
      </c>
    </row>
    <row r="391" spans="1:62" x14ac:dyDescent="0.2">
      <c r="A391" s="119"/>
      <c r="B391" s="120" t="s">
        <v>822</v>
      </c>
      <c r="C391" s="306" t="s">
        <v>3239</v>
      </c>
      <c r="D391" s="307"/>
      <c r="E391" s="307"/>
      <c r="F391" s="119" t="s">
        <v>6</v>
      </c>
      <c r="G391" s="119" t="s">
        <v>6</v>
      </c>
      <c r="H391" s="119" t="s">
        <v>6</v>
      </c>
      <c r="I391" s="118">
        <f>SUM(I392:I419)</f>
        <v>0</v>
      </c>
      <c r="J391" s="118">
        <f>SUM(J392:J419)</f>
        <v>0</v>
      </c>
      <c r="K391" s="118">
        <f>SUM(K392:K419)</f>
        <v>0</v>
      </c>
      <c r="L391" s="109"/>
      <c r="AI391" s="109"/>
      <c r="AS391" s="118">
        <f>SUM(AJ392:AJ419)</f>
        <v>0</v>
      </c>
      <c r="AT391" s="118">
        <f>SUM(AK392:AK419)</f>
        <v>0</v>
      </c>
      <c r="AU391" s="118">
        <f>SUM(AL392:AL419)</f>
        <v>0</v>
      </c>
    </row>
    <row r="392" spans="1:62" x14ac:dyDescent="0.2">
      <c r="A392" s="117" t="s">
        <v>351</v>
      </c>
      <c r="B392" s="117" t="s">
        <v>117</v>
      </c>
      <c r="C392" s="304" t="s">
        <v>1396</v>
      </c>
      <c r="D392" s="305"/>
      <c r="E392" s="305"/>
      <c r="F392" s="117" t="s">
        <v>1652</v>
      </c>
      <c r="G392" s="116">
        <v>1</v>
      </c>
      <c r="H392" s="159"/>
      <c r="I392" s="108">
        <f t="shared" ref="I392:I419" si="368">G392*AO392</f>
        <v>0</v>
      </c>
      <c r="J392" s="108">
        <f t="shared" ref="J392:J419" si="369">G392*AP392</f>
        <v>0</v>
      </c>
      <c r="K392" s="108">
        <f t="shared" ref="K392:K419" si="370">G392*H392</f>
        <v>0</v>
      </c>
      <c r="L392" s="111"/>
      <c r="Z392" s="100">
        <f t="shared" ref="Z392:Z419" si="371">IF(AQ392="5",BJ392,0)</f>
        <v>0</v>
      </c>
      <c r="AB392" s="100">
        <f t="shared" ref="AB392:AB419" si="372">IF(AQ392="1",BH392,0)</f>
        <v>0</v>
      </c>
      <c r="AC392" s="100">
        <f t="shared" ref="AC392:AC419" si="373">IF(AQ392="1",BI392,0)</f>
        <v>0</v>
      </c>
      <c r="AD392" s="100">
        <f t="shared" ref="AD392:AD419" si="374">IF(AQ392="7",BH392,0)</f>
        <v>0</v>
      </c>
      <c r="AE392" s="100">
        <f t="shared" ref="AE392:AE419" si="375">IF(AQ392="7",BI392,0)</f>
        <v>0</v>
      </c>
      <c r="AF392" s="100">
        <f t="shared" ref="AF392:AF419" si="376">IF(AQ392="2",BH392,0)</f>
        <v>0</v>
      </c>
      <c r="AG392" s="100">
        <f t="shared" ref="AG392:AG419" si="377">IF(AQ392="2",BI392,0)</f>
        <v>0</v>
      </c>
      <c r="AH392" s="100">
        <f t="shared" ref="AH392:AH419" si="378">IF(AQ392="0",BJ392,0)</f>
        <v>0</v>
      </c>
      <c r="AI392" s="109"/>
      <c r="AJ392" s="108">
        <f t="shared" ref="AJ392:AJ419" si="379">IF(AN392=0,K392,0)</f>
        <v>0</v>
      </c>
      <c r="AK392" s="108">
        <f t="shared" ref="AK392:AK419" si="380">IF(AN392=15,K392,0)</f>
        <v>0</v>
      </c>
      <c r="AL392" s="108">
        <f t="shared" ref="AL392:AL419" si="381">IF(AN392=21,K392,0)</f>
        <v>0</v>
      </c>
      <c r="AN392" s="100">
        <v>15</v>
      </c>
      <c r="AO392" s="100">
        <f t="shared" ref="AO392:AO419" si="382">H392*0</f>
        <v>0</v>
      </c>
      <c r="AP392" s="100">
        <f t="shared" ref="AP392:AP419" si="383">H392*(1-0)</f>
        <v>0</v>
      </c>
      <c r="AQ392" s="111" t="s">
        <v>13</v>
      </c>
      <c r="AV392" s="100">
        <f t="shared" ref="AV392:AV419" si="384">AW392+AX392</f>
        <v>0</v>
      </c>
      <c r="AW392" s="100">
        <f t="shared" ref="AW392:AW419" si="385">G392*AO392</f>
        <v>0</v>
      </c>
      <c r="AX392" s="100">
        <f t="shared" ref="AX392:AX419" si="386">G392*AP392</f>
        <v>0</v>
      </c>
      <c r="AY392" s="110" t="s">
        <v>1712</v>
      </c>
      <c r="AZ392" s="110" t="s">
        <v>1733</v>
      </c>
      <c r="BA392" s="109" t="s">
        <v>1737</v>
      </c>
      <c r="BC392" s="100">
        <f t="shared" ref="BC392:BC419" si="387">AW392+AX392</f>
        <v>0</v>
      </c>
      <c r="BD392" s="100">
        <f t="shared" ref="BD392:BD419" si="388">H392/(100-BE392)*100</f>
        <v>0</v>
      </c>
      <c r="BE392" s="100">
        <v>0</v>
      </c>
      <c r="BF392" s="100">
        <f>392</f>
        <v>392</v>
      </c>
      <c r="BH392" s="108">
        <f t="shared" ref="BH392:BH419" si="389">G392*AO392</f>
        <v>0</v>
      </c>
      <c r="BI392" s="108">
        <f t="shared" ref="BI392:BI419" si="390">G392*AP392</f>
        <v>0</v>
      </c>
      <c r="BJ392" s="108">
        <f t="shared" ref="BJ392:BJ419" si="391">G392*H392</f>
        <v>0</v>
      </c>
    </row>
    <row r="393" spans="1:62" x14ac:dyDescent="0.2">
      <c r="A393" s="117" t="s">
        <v>352</v>
      </c>
      <c r="B393" s="117" t="s">
        <v>118</v>
      </c>
      <c r="C393" s="304" t="s">
        <v>1397</v>
      </c>
      <c r="D393" s="305"/>
      <c r="E393" s="305"/>
      <c r="F393" s="117" t="s">
        <v>1652</v>
      </c>
      <c r="G393" s="116">
        <v>1</v>
      </c>
      <c r="H393" s="159"/>
      <c r="I393" s="108">
        <f t="shared" si="368"/>
        <v>0</v>
      </c>
      <c r="J393" s="108">
        <f t="shared" si="369"/>
        <v>0</v>
      </c>
      <c r="K393" s="108">
        <f t="shared" si="370"/>
        <v>0</v>
      </c>
      <c r="L393" s="111"/>
      <c r="Z393" s="100">
        <f t="shared" si="371"/>
        <v>0</v>
      </c>
      <c r="AB393" s="100">
        <f t="shared" si="372"/>
        <v>0</v>
      </c>
      <c r="AC393" s="100">
        <f t="shared" si="373"/>
        <v>0</v>
      </c>
      <c r="AD393" s="100">
        <f t="shared" si="374"/>
        <v>0</v>
      </c>
      <c r="AE393" s="100">
        <f t="shared" si="375"/>
        <v>0</v>
      </c>
      <c r="AF393" s="100">
        <f t="shared" si="376"/>
        <v>0</v>
      </c>
      <c r="AG393" s="100">
        <f t="shared" si="377"/>
        <v>0</v>
      </c>
      <c r="AH393" s="100">
        <f t="shared" si="378"/>
        <v>0</v>
      </c>
      <c r="AI393" s="109"/>
      <c r="AJ393" s="108">
        <f t="shared" si="379"/>
        <v>0</v>
      </c>
      <c r="AK393" s="108">
        <f t="shared" si="380"/>
        <v>0</v>
      </c>
      <c r="AL393" s="108">
        <f t="shared" si="381"/>
        <v>0</v>
      </c>
      <c r="AN393" s="100">
        <v>15</v>
      </c>
      <c r="AO393" s="100">
        <f t="shared" si="382"/>
        <v>0</v>
      </c>
      <c r="AP393" s="100">
        <f t="shared" si="383"/>
        <v>0</v>
      </c>
      <c r="AQ393" s="111" t="s">
        <v>13</v>
      </c>
      <c r="AV393" s="100">
        <f t="shared" si="384"/>
        <v>0</v>
      </c>
      <c r="AW393" s="100">
        <f t="shared" si="385"/>
        <v>0</v>
      </c>
      <c r="AX393" s="100">
        <f t="shared" si="386"/>
        <v>0</v>
      </c>
      <c r="AY393" s="110" t="s">
        <v>1712</v>
      </c>
      <c r="AZ393" s="110" t="s">
        <v>1733</v>
      </c>
      <c r="BA393" s="109" t="s">
        <v>1737</v>
      </c>
      <c r="BC393" s="100">
        <f t="shared" si="387"/>
        <v>0</v>
      </c>
      <c r="BD393" s="100">
        <f t="shared" si="388"/>
        <v>0</v>
      </c>
      <c r="BE393" s="100">
        <v>0</v>
      </c>
      <c r="BF393" s="100">
        <f>393</f>
        <v>393</v>
      </c>
      <c r="BH393" s="108">
        <f t="shared" si="389"/>
        <v>0</v>
      </c>
      <c r="BI393" s="108">
        <f t="shared" si="390"/>
        <v>0</v>
      </c>
      <c r="BJ393" s="108">
        <f t="shared" si="391"/>
        <v>0</v>
      </c>
    </row>
    <row r="394" spans="1:62" x14ac:dyDescent="0.2">
      <c r="A394" s="117" t="s">
        <v>353</v>
      </c>
      <c r="B394" s="117" t="s">
        <v>119</v>
      </c>
      <c r="C394" s="304" t="s">
        <v>1398</v>
      </c>
      <c r="D394" s="305"/>
      <c r="E394" s="305"/>
      <c r="F394" s="117" t="s">
        <v>1652</v>
      </c>
      <c r="G394" s="116">
        <v>1</v>
      </c>
      <c r="H394" s="159"/>
      <c r="I394" s="108">
        <f t="shared" si="368"/>
        <v>0</v>
      </c>
      <c r="J394" s="108">
        <f t="shared" si="369"/>
        <v>0</v>
      </c>
      <c r="K394" s="108">
        <f t="shared" si="370"/>
        <v>0</v>
      </c>
      <c r="L394" s="111"/>
      <c r="Z394" s="100">
        <f t="shared" si="371"/>
        <v>0</v>
      </c>
      <c r="AB394" s="100">
        <f t="shared" si="372"/>
        <v>0</v>
      </c>
      <c r="AC394" s="100">
        <f t="shared" si="373"/>
        <v>0</v>
      </c>
      <c r="AD394" s="100">
        <f t="shared" si="374"/>
        <v>0</v>
      </c>
      <c r="AE394" s="100">
        <f t="shared" si="375"/>
        <v>0</v>
      </c>
      <c r="AF394" s="100">
        <f t="shared" si="376"/>
        <v>0</v>
      </c>
      <c r="AG394" s="100">
        <f t="shared" si="377"/>
        <v>0</v>
      </c>
      <c r="AH394" s="100">
        <f t="shared" si="378"/>
        <v>0</v>
      </c>
      <c r="AI394" s="109"/>
      <c r="AJ394" s="108">
        <f t="shared" si="379"/>
        <v>0</v>
      </c>
      <c r="AK394" s="108">
        <f t="shared" si="380"/>
        <v>0</v>
      </c>
      <c r="AL394" s="108">
        <f t="shared" si="381"/>
        <v>0</v>
      </c>
      <c r="AN394" s="100">
        <v>15</v>
      </c>
      <c r="AO394" s="100">
        <f t="shared" si="382"/>
        <v>0</v>
      </c>
      <c r="AP394" s="100">
        <f t="shared" si="383"/>
        <v>0</v>
      </c>
      <c r="AQ394" s="111" t="s">
        <v>13</v>
      </c>
      <c r="AV394" s="100">
        <f t="shared" si="384"/>
        <v>0</v>
      </c>
      <c r="AW394" s="100">
        <f t="shared" si="385"/>
        <v>0</v>
      </c>
      <c r="AX394" s="100">
        <f t="shared" si="386"/>
        <v>0</v>
      </c>
      <c r="AY394" s="110" t="s">
        <v>1712</v>
      </c>
      <c r="AZ394" s="110" t="s">
        <v>1733</v>
      </c>
      <c r="BA394" s="109" t="s">
        <v>1737</v>
      </c>
      <c r="BC394" s="100">
        <f t="shared" si="387"/>
        <v>0</v>
      </c>
      <c r="BD394" s="100">
        <f t="shared" si="388"/>
        <v>0</v>
      </c>
      <c r="BE394" s="100">
        <v>0</v>
      </c>
      <c r="BF394" s="100">
        <f>394</f>
        <v>394</v>
      </c>
      <c r="BH394" s="108">
        <f t="shared" si="389"/>
        <v>0</v>
      </c>
      <c r="BI394" s="108">
        <f t="shared" si="390"/>
        <v>0</v>
      </c>
      <c r="BJ394" s="108">
        <f t="shared" si="391"/>
        <v>0</v>
      </c>
    </row>
    <row r="395" spans="1:62" x14ac:dyDescent="0.2">
      <c r="A395" s="117" t="s">
        <v>354</v>
      </c>
      <c r="B395" s="117" t="s">
        <v>120</v>
      </c>
      <c r="C395" s="304" t="s">
        <v>1399</v>
      </c>
      <c r="D395" s="305"/>
      <c r="E395" s="305"/>
      <c r="F395" s="117" t="s">
        <v>1652</v>
      </c>
      <c r="G395" s="116">
        <v>1</v>
      </c>
      <c r="H395" s="159"/>
      <c r="I395" s="108">
        <f t="shared" si="368"/>
        <v>0</v>
      </c>
      <c r="J395" s="108">
        <f t="shared" si="369"/>
        <v>0</v>
      </c>
      <c r="K395" s="108">
        <f t="shared" si="370"/>
        <v>0</v>
      </c>
      <c r="L395" s="111"/>
      <c r="Z395" s="100">
        <f t="shared" si="371"/>
        <v>0</v>
      </c>
      <c r="AB395" s="100">
        <f t="shared" si="372"/>
        <v>0</v>
      </c>
      <c r="AC395" s="100">
        <f t="shared" si="373"/>
        <v>0</v>
      </c>
      <c r="AD395" s="100">
        <f t="shared" si="374"/>
        <v>0</v>
      </c>
      <c r="AE395" s="100">
        <f t="shared" si="375"/>
        <v>0</v>
      </c>
      <c r="AF395" s="100">
        <f t="shared" si="376"/>
        <v>0</v>
      </c>
      <c r="AG395" s="100">
        <f t="shared" si="377"/>
        <v>0</v>
      </c>
      <c r="AH395" s="100">
        <f t="shared" si="378"/>
        <v>0</v>
      </c>
      <c r="AI395" s="109"/>
      <c r="AJ395" s="108">
        <f t="shared" si="379"/>
        <v>0</v>
      </c>
      <c r="AK395" s="108">
        <f t="shared" si="380"/>
        <v>0</v>
      </c>
      <c r="AL395" s="108">
        <f t="shared" si="381"/>
        <v>0</v>
      </c>
      <c r="AN395" s="100">
        <v>15</v>
      </c>
      <c r="AO395" s="100">
        <f t="shared" si="382"/>
        <v>0</v>
      </c>
      <c r="AP395" s="100">
        <f t="shared" si="383"/>
        <v>0</v>
      </c>
      <c r="AQ395" s="111" t="s">
        <v>13</v>
      </c>
      <c r="AV395" s="100">
        <f t="shared" si="384"/>
        <v>0</v>
      </c>
      <c r="AW395" s="100">
        <f t="shared" si="385"/>
        <v>0</v>
      </c>
      <c r="AX395" s="100">
        <f t="shared" si="386"/>
        <v>0</v>
      </c>
      <c r="AY395" s="110" t="s">
        <v>1712</v>
      </c>
      <c r="AZ395" s="110" t="s">
        <v>1733</v>
      </c>
      <c r="BA395" s="109" t="s">
        <v>1737</v>
      </c>
      <c r="BC395" s="100">
        <f t="shared" si="387"/>
        <v>0</v>
      </c>
      <c r="BD395" s="100">
        <f t="shared" si="388"/>
        <v>0</v>
      </c>
      <c r="BE395" s="100">
        <v>0</v>
      </c>
      <c r="BF395" s="100">
        <f>395</f>
        <v>395</v>
      </c>
      <c r="BH395" s="108">
        <f t="shared" si="389"/>
        <v>0</v>
      </c>
      <c r="BI395" s="108">
        <f t="shared" si="390"/>
        <v>0</v>
      </c>
      <c r="BJ395" s="108">
        <f t="shared" si="391"/>
        <v>0</v>
      </c>
    </row>
    <row r="396" spans="1:62" x14ac:dyDescent="0.2">
      <c r="A396" s="117" t="s">
        <v>355</v>
      </c>
      <c r="B396" s="117" t="s">
        <v>121</v>
      </c>
      <c r="C396" s="304" t="s">
        <v>1400</v>
      </c>
      <c r="D396" s="305"/>
      <c r="E396" s="305"/>
      <c r="F396" s="117" t="s">
        <v>1652</v>
      </c>
      <c r="G396" s="116">
        <v>1</v>
      </c>
      <c r="H396" s="159"/>
      <c r="I396" s="108">
        <f t="shared" si="368"/>
        <v>0</v>
      </c>
      <c r="J396" s="108">
        <f t="shared" si="369"/>
        <v>0</v>
      </c>
      <c r="K396" s="108">
        <f t="shared" si="370"/>
        <v>0</v>
      </c>
      <c r="L396" s="111"/>
      <c r="Z396" s="100">
        <f t="shared" si="371"/>
        <v>0</v>
      </c>
      <c r="AB396" s="100">
        <f t="shared" si="372"/>
        <v>0</v>
      </c>
      <c r="AC396" s="100">
        <f t="shared" si="373"/>
        <v>0</v>
      </c>
      <c r="AD396" s="100">
        <f t="shared" si="374"/>
        <v>0</v>
      </c>
      <c r="AE396" s="100">
        <f t="shared" si="375"/>
        <v>0</v>
      </c>
      <c r="AF396" s="100">
        <f t="shared" si="376"/>
        <v>0</v>
      </c>
      <c r="AG396" s="100">
        <f t="shared" si="377"/>
        <v>0</v>
      </c>
      <c r="AH396" s="100">
        <f t="shared" si="378"/>
        <v>0</v>
      </c>
      <c r="AI396" s="109"/>
      <c r="AJ396" s="108">
        <f t="shared" si="379"/>
        <v>0</v>
      </c>
      <c r="AK396" s="108">
        <f t="shared" si="380"/>
        <v>0</v>
      </c>
      <c r="AL396" s="108">
        <f t="shared" si="381"/>
        <v>0</v>
      </c>
      <c r="AN396" s="100">
        <v>15</v>
      </c>
      <c r="AO396" s="100">
        <f t="shared" si="382"/>
        <v>0</v>
      </c>
      <c r="AP396" s="100">
        <f t="shared" si="383"/>
        <v>0</v>
      </c>
      <c r="AQ396" s="111" t="s">
        <v>13</v>
      </c>
      <c r="AV396" s="100">
        <f t="shared" si="384"/>
        <v>0</v>
      </c>
      <c r="AW396" s="100">
        <f t="shared" si="385"/>
        <v>0</v>
      </c>
      <c r="AX396" s="100">
        <f t="shared" si="386"/>
        <v>0</v>
      </c>
      <c r="AY396" s="110" t="s">
        <v>1712</v>
      </c>
      <c r="AZ396" s="110" t="s">
        <v>1733</v>
      </c>
      <c r="BA396" s="109" t="s">
        <v>1737</v>
      </c>
      <c r="BC396" s="100">
        <f t="shared" si="387"/>
        <v>0</v>
      </c>
      <c r="BD396" s="100">
        <f t="shared" si="388"/>
        <v>0</v>
      </c>
      <c r="BE396" s="100">
        <v>0</v>
      </c>
      <c r="BF396" s="100">
        <f>396</f>
        <v>396</v>
      </c>
      <c r="BH396" s="108">
        <f t="shared" si="389"/>
        <v>0</v>
      </c>
      <c r="BI396" s="108">
        <f t="shared" si="390"/>
        <v>0</v>
      </c>
      <c r="BJ396" s="108">
        <f t="shared" si="391"/>
        <v>0</v>
      </c>
    </row>
    <row r="397" spans="1:62" x14ac:dyDescent="0.2">
      <c r="A397" s="117" t="s">
        <v>356</v>
      </c>
      <c r="B397" s="117" t="s">
        <v>122</v>
      </c>
      <c r="C397" s="304" t="s">
        <v>1401</v>
      </c>
      <c r="D397" s="305"/>
      <c r="E397" s="305"/>
      <c r="F397" s="117" t="s">
        <v>1652</v>
      </c>
      <c r="G397" s="116">
        <v>1</v>
      </c>
      <c r="H397" s="159"/>
      <c r="I397" s="108">
        <f t="shared" si="368"/>
        <v>0</v>
      </c>
      <c r="J397" s="108">
        <f t="shared" si="369"/>
        <v>0</v>
      </c>
      <c r="K397" s="108">
        <f t="shared" si="370"/>
        <v>0</v>
      </c>
      <c r="L397" s="111"/>
      <c r="Z397" s="100">
        <f t="shared" si="371"/>
        <v>0</v>
      </c>
      <c r="AB397" s="100">
        <f t="shared" si="372"/>
        <v>0</v>
      </c>
      <c r="AC397" s="100">
        <f t="shared" si="373"/>
        <v>0</v>
      </c>
      <c r="AD397" s="100">
        <f t="shared" si="374"/>
        <v>0</v>
      </c>
      <c r="AE397" s="100">
        <f t="shared" si="375"/>
        <v>0</v>
      </c>
      <c r="AF397" s="100">
        <f t="shared" si="376"/>
        <v>0</v>
      </c>
      <c r="AG397" s="100">
        <f t="shared" si="377"/>
        <v>0</v>
      </c>
      <c r="AH397" s="100">
        <f t="shared" si="378"/>
        <v>0</v>
      </c>
      <c r="AI397" s="109"/>
      <c r="AJ397" s="108">
        <f t="shared" si="379"/>
        <v>0</v>
      </c>
      <c r="AK397" s="108">
        <f t="shared" si="380"/>
        <v>0</v>
      </c>
      <c r="AL397" s="108">
        <f t="shared" si="381"/>
        <v>0</v>
      </c>
      <c r="AN397" s="100">
        <v>15</v>
      </c>
      <c r="AO397" s="100">
        <f t="shared" si="382"/>
        <v>0</v>
      </c>
      <c r="AP397" s="100">
        <f t="shared" si="383"/>
        <v>0</v>
      </c>
      <c r="AQ397" s="111" t="s">
        <v>13</v>
      </c>
      <c r="AV397" s="100">
        <f t="shared" si="384"/>
        <v>0</v>
      </c>
      <c r="AW397" s="100">
        <f t="shared" si="385"/>
        <v>0</v>
      </c>
      <c r="AX397" s="100">
        <f t="shared" si="386"/>
        <v>0</v>
      </c>
      <c r="AY397" s="110" t="s">
        <v>1712</v>
      </c>
      <c r="AZ397" s="110" t="s">
        <v>1733</v>
      </c>
      <c r="BA397" s="109" t="s">
        <v>1737</v>
      </c>
      <c r="BC397" s="100">
        <f t="shared" si="387"/>
        <v>0</v>
      </c>
      <c r="BD397" s="100">
        <f t="shared" si="388"/>
        <v>0</v>
      </c>
      <c r="BE397" s="100">
        <v>0</v>
      </c>
      <c r="BF397" s="100">
        <f>397</f>
        <v>397</v>
      </c>
      <c r="BH397" s="108">
        <f t="shared" si="389"/>
        <v>0</v>
      </c>
      <c r="BI397" s="108">
        <f t="shared" si="390"/>
        <v>0</v>
      </c>
      <c r="BJ397" s="108">
        <f t="shared" si="391"/>
        <v>0</v>
      </c>
    </row>
    <row r="398" spans="1:62" x14ac:dyDescent="0.2">
      <c r="A398" s="117" t="s">
        <v>357</v>
      </c>
      <c r="B398" s="117" t="s">
        <v>123</v>
      </c>
      <c r="C398" s="304" t="s">
        <v>1402</v>
      </c>
      <c r="D398" s="305"/>
      <c r="E398" s="305"/>
      <c r="F398" s="117" t="s">
        <v>1652</v>
      </c>
      <c r="G398" s="116">
        <v>1</v>
      </c>
      <c r="H398" s="159"/>
      <c r="I398" s="108">
        <f t="shared" si="368"/>
        <v>0</v>
      </c>
      <c r="J398" s="108">
        <f t="shared" si="369"/>
        <v>0</v>
      </c>
      <c r="K398" s="108">
        <f t="shared" si="370"/>
        <v>0</v>
      </c>
      <c r="L398" s="111"/>
      <c r="Z398" s="100">
        <f t="shared" si="371"/>
        <v>0</v>
      </c>
      <c r="AB398" s="100">
        <f t="shared" si="372"/>
        <v>0</v>
      </c>
      <c r="AC398" s="100">
        <f t="shared" si="373"/>
        <v>0</v>
      </c>
      <c r="AD398" s="100">
        <f t="shared" si="374"/>
        <v>0</v>
      </c>
      <c r="AE398" s="100">
        <f t="shared" si="375"/>
        <v>0</v>
      </c>
      <c r="AF398" s="100">
        <f t="shared" si="376"/>
        <v>0</v>
      </c>
      <c r="AG398" s="100">
        <f t="shared" si="377"/>
        <v>0</v>
      </c>
      <c r="AH398" s="100">
        <f t="shared" si="378"/>
        <v>0</v>
      </c>
      <c r="AI398" s="109"/>
      <c r="AJ398" s="108">
        <f t="shared" si="379"/>
        <v>0</v>
      </c>
      <c r="AK398" s="108">
        <f t="shared" si="380"/>
        <v>0</v>
      </c>
      <c r="AL398" s="108">
        <f t="shared" si="381"/>
        <v>0</v>
      </c>
      <c r="AN398" s="100">
        <v>15</v>
      </c>
      <c r="AO398" s="100">
        <f t="shared" si="382"/>
        <v>0</v>
      </c>
      <c r="AP398" s="100">
        <f t="shared" si="383"/>
        <v>0</v>
      </c>
      <c r="AQ398" s="111" t="s">
        <v>13</v>
      </c>
      <c r="AV398" s="100">
        <f t="shared" si="384"/>
        <v>0</v>
      </c>
      <c r="AW398" s="100">
        <f t="shared" si="385"/>
        <v>0</v>
      </c>
      <c r="AX398" s="100">
        <f t="shared" si="386"/>
        <v>0</v>
      </c>
      <c r="AY398" s="110" t="s">
        <v>1712</v>
      </c>
      <c r="AZ398" s="110" t="s">
        <v>1733</v>
      </c>
      <c r="BA398" s="109" t="s">
        <v>1737</v>
      </c>
      <c r="BC398" s="100">
        <f t="shared" si="387"/>
        <v>0</v>
      </c>
      <c r="BD398" s="100">
        <f t="shared" si="388"/>
        <v>0</v>
      </c>
      <c r="BE398" s="100">
        <v>0</v>
      </c>
      <c r="BF398" s="100">
        <f>398</f>
        <v>398</v>
      </c>
      <c r="BH398" s="108">
        <f t="shared" si="389"/>
        <v>0</v>
      </c>
      <c r="BI398" s="108">
        <f t="shared" si="390"/>
        <v>0</v>
      </c>
      <c r="BJ398" s="108">
        <f t="shared" si="391"/>
        <v>0</v>
      </c>
    </row>
    <row r="399" spans="1:62" x14ac:dyDescent="0.2">
      <c r="A399" s="117" t="s">
        <v>358</v>
      </c>
      <c r="B399" s="117" t="s">
        <v>124</v>
      </c>
      <c r="C399" s="304" t="s">
        <v>1403</v>
      </c>
      <c r="D399" s="305"/>
      <c r="E399" s="305"/>
      <c r="F399" s="117" t="s">
        <v>1652</v>
      </c>
      <c r="G399" s="116">
        <v>1</v>
      </c>
      <c r="H399" s="159"/>
      <c r="I399" s="108">
        <f t="shared" si="368"/>
        <v>0</v>
      </c>
      <c r="J399" s="108">
        <f t="shared" si="369"/>
        <v>0</v>
      </c>
      <c r="K399" s="108">
        <f t="shared" si="370"/>
        <v>0</v>
      </c>
      <c r="L399" s="111"/>
      <c r="Z399" s="100">
        <f t="shared" si="371"/>
        <v>0</v>
      </c>
      <c r="AB399" s="100">
        <f t="shared" si="372"/>
        <v>0</v>
      </c>
      <c r="AC399" s="100">
        <f t="shared" si="373"/>
        <v>0</v>
      </c>
      <c r="AD399" s="100">
        <f t="shared" si="374"/>
        <v>0</v>
      </c>
      <c r="AE399" s="100">
        <f t="shared" si="375"/>
        <v>0</v>
      </c>
      <c r="AF399" s="100">
        <f t="shared" si="376"/>
        <v>0</v>
      </c>
      <c r="AG399" s="100">
        <f t="shared" si="377"/>
        <v>0</v>
      </c>
      <c r="AH399" s="100">
        <f t="shared" si="378"/>
        <v>0</v>
      </c>
      <c r="AI399" s="109"/>
      <c r="AJ399" s="108">
        <f t="shared" si="379"/>
        <v>0</v>
      </c>
      <c r="AK399" s="108">
        <f t="shared" si="380"/>
        <v>0</v>
      </c>
      <c r="AL399" s="108">
        <f t="shared" si="381"/>
        <v>0</v>
      </c>
      <c r="AN399" s="100">
        <v>15</v>
      </c>
      <c r="AO399" s="100">
        <f t="shared" si="382"/>
        <v>0</v>
      </c>
      <c r="AP399" s="100">
        <f t="shared" si="383"/>
        <v>0</v>
      </c>
      <c r="AQ399" s="111" t="s">
        <v>13</v>
      </c>
      <c r="AV399" s="100">
        <f t="shared" si="384"/>
        <v>0</v>
      </c>
      <c r="AW399" s="100">
        <f t="shared" si="385"/>
        <v>0</v>
      </c>
      <c r="AX399" s="100">
        <f t="shared" si="386"/>
        <v>0</v>
      </c>
      <c r="AY399" s="110" t="s">
        <v>1712</v>
      </c>
      <c r="AZ399" s="110" t="s">
        <v>1733</v>
      </c>
      <c r="BA399" s="109" t="s">
        <v>1737</v>
      </c>
      <c r="BC399" s="100">
        <f t="shared" si="387"/>
        <v>0</v>
      </c>
      <c r="BD399" s="100">
        <f t="shared" si="388"/>
        <v>0</v>
      </c>
      <c r="BE399" s="100">
        <v>0</v>
      </c>
      <c r="BF399" s="100">
        <f>399</f>
        <v>399</v>
      </c>
      <c r="BH399" s="108">
        <f t="shared" si="389"/>
        <v>0</v>
      </c>
      <c r="BI399" s="108">
        <f t="shared" si="390"/>
        <v>0</v>
      </c>
      <c r="BJ399" s="108">
        <f t="shared" si="391"/>
        <v>0</v>
      </c>
    </row>
    <row r="400" spans="1:62" x14ac:dyDescent="0.2">
      <c r="A400" s="117" t="s">
        <v>359</v>
      </c>
      <c r="B400" s="117" t="s">
        <v>125</v>
      </c>
      <c r="C400" s="304" t="s">
        <v>1404</v>
      </c>
      <c r="D400" s="305"/>
      <c r="E400" s="305"/>
      <c r="F400" s="117" t="s">
        <v>1646</v>
      </c>
      <c r="G400" s="116">
        <v>900</v>
      </c>
      <c r="H400" s="159"/>
      <c r="I400" s="108">
        <f t="shared" si="368"/>
        <v>0</v>
      </c>
      <c r="J400" s="108">
        <f t="shared" si="369"/>
        <v>0</v>
      </c>
      <c r="K400" s="108">
        <f t="shared" si="370"/>
        <v>0</v>
      </c>
      <c r="L400" s="111"/>
      <c r="Z400" s="100">
        <f t="shared" si="371"/>
        <v>0</v>
      </c>
      <c r="AB400" s="100">
        <f t="shared" si="372"/>
        <v>0</v>
      </c>
      <c r="AC400" s="100">
        <f t="shared" si="373"/>
        <v>0</v>
      </c>
      <c r="AD400" s="100">
        <f t="shared" si="374"/>
        <v>0</v>
      </c>
      <c r="AE400" s="100">
        <f t="shared" si="375"/>
        <v>0</v>
      </c>
      <c r="AF400" s="100">
        <f t="shared" si="376"/>
        <v>0</v>
      </c>
      <c r="AG400" s="100">
        <f t="shared" si="377"/>
        <v>0</v>
      </c>
      <c r="AH400" s="100">
        <f t="shared" si="378"/>
        <v>0</v>
      </c>
      <c r="AI400" s="109"/>
      <c r="AJ400" s="108">
        <f t="shared" si="379"/>
        <v>0</v>
      </c>
      <c r="AK400" s="108">
        <f t="shared" si="380"/>
        <v>0</v>
      </c>
      <c r="AL400" s="108">
        <f t="shared" si="381"/>
        <v>0</v>
      </c>
      <c r="AN400" s="100">
        <v>15</v>
      </c>
      <c r="AO400" s="100">
        <f t="shared" si="382"/>
        <v>0</v>
      </c>
      <c r="AP400" s="100">
        <f t="shared" si="383"/>
        <v>0</v>
      </c>
      <c r="AQ400" s="111" t="s">
        <v>13</v>
      </c>
      <c r="AV400" s="100">
        <f t="shared" si="384"/>
        <v>0</v>
      </c>
      <c r="AW400" s="100">
        <f t="shared" si="385"/>
        <v>0</v>
      </c>
      <c r="AX400" s="100">
        <f t="shared" si="386"/>
        <v>0</v>
      </c>
      <c r="AY400" s="110" t="s">
        <v>1712</v>
      </c>
      <c r="AZ400" s="110" t="s">
        <v>1733</v>
      </c>
      <c r="BA400" s="109" t="s">
        <v>1737</v>
      </c>
      <c r="BC400" s="100">
        <f t="shared" si="387"/>
        <v>0</v>
      </c>
      <c r="BD400" s="100">
        <f t="shared" si="388"/>
        <v>0</v>
      </c>
      <c r="BE400" s="100">
        <v>0</v>
      </c>
      <c r="BF400" s="100">
        <f>400</f>
        <v>400</v>
      </c>
      <c r="BH400" s="108">
        <f t="shared" si="389"/>
        <v>0</v>
      </c>
      <c r="BI400" s="108">
        <f t="shared" si="390"/>
        <v>0</v>
      </c>
      <c r="BJ400" s="108">
        <f t="shared" si="391"/>
        <v>0</v>
      </c>
    </row>
    <row r="401" spans="1:62" x14ac:dyDescent="0.2">
      <c r="A401" s="117" t="s">
        <v>360</v>
      </c>
      <c r="B401" s="117" t="s">
        <v>823</v>
      </c>
      <c r="C401" s="304" t="s">
        <v>1405</v>
      </c>
      <c r="D401" s="305"/>
      <c r="E401" s="305"/>
      <c r="F401" s="117" t="s">
        <v>1646</v>
      </c>
      <c r="G401" s="116">
        <v>360</v>
      </c>
      <c r="H401" s="159"/>
      <c r="I401" s="108">
        <f t="shared" si="368"/>
        <v>0</v>
      </c>
      <c r="J401" s="108">
        <f t="shared" si="369"/>
        <v>0</v>
      </c>
      <c r="K401" s="108">
        <f t="shared" si="370"/>
        <v>0</v>
      </c>
      <c r="L401" s="111"/>
      <c r="Z401" s="100">
        <f t="shared" si="371"/>
        <v>0</v>
      </c>
      <c r="AB401" s="100">
        <f t="shared" si="372"/>
        <v>0</v>
      </c>
      <c r="AC401" s="100">
        <f t="shared" si="373"/>
        <v>0</v>
      </c>
      <c r="AD401" s="100">
        <f t="shared" si="374"/>
        <v>0</v>
      </c>
      <c r="AE401" s="100">
        <f t="shared" si="375"/>
        <v>0</v>
      </c>
      <c r="AF401" s="100">
        <f t="shared" si="376"/>
        <v>0</v>
      </c>
      <c r="AG401" s="100">
        <f t="shared" si="377"/>
        <v>0</v>
      </c>
      <c r="AH401" s="100">
        <f t="shared" si="378"/>
        <v>0</v>
      </c>
      <c r="AI401" s="109"/>
      <c r="AJ401" s="108">
        <f t="shared" si="379"/>
        <v>0</v>
      </c>
      <c r="AK401" s="108">
        <f t="shared" si="380"/>
        <v>0</v>
      </c>
      <c r="AL401" s="108">
        <f t="shared" si="381"/>
        <v>0</v>
      </c>
      <c r="AN401" s="100">
        <v>15</v>
      </c>
      <c r="AO401" s="100">
        <f t="shared" si="382"/>
        <v>0</v>
      </c>
      <c r="AP401" s="100">
        <f t="shared" si="383"/>
        <v>0</v>
      </c>
      <c r="AQ401" s="111" t="s">
        <v>13</v>
      </c>
      <c r="AV401" s="100">
        <f t="shared" si="384"/>
        <v>0</v>
      </c>
      <c r="AW401" s="100">
        <f t="shared" si="385"/>
        <v>0</v>
      </c>
      <c r="AX401" s="100">
        <f t="shared" si="386"/>
        <v>0</v>
      </c>
      <c r="AY401" s="110" t="s">
        <v>1712</v>
      </c>
      <c r="AZ401" s="110" t="s">
        <v>1733</v>
      </c>
      <c r="BA401" s="109" t="s">
        <v>1737</v>
      </c>
      <c r="BC401" s="100">
        <f t="shared" si="387"/>
        <v>0</v>
      </c>
      <c r="BD401" s="100">
        <f t="shared" si="388"/>
        <v>0</v>
      </c>
      <c r="BE401" s="100">
        <v>0</v>
      </c>
      <c r="BF401" s="100">
        <f>401</f>
        <v>401</v>
      </c>
      <c r="BH401" s="108">
        <f t="shared" si="389"/>
        <v>0</v>
      </c>
      <c r="BI401" s="108">
        <f t="shared" si="390"/>
        <v>0</v>
      </c>
      <c r="BJ401" s="108">
        <f t="shared" si="391"/>
        <v>0</v>
      </c>
    </row>
    <row r="402" spans="1:62" x14ac:dyDescent="0.2">
      <c r="A402" s="117" t="s">
        <v>361</v>
      </c>
      <c r="B402" s="117" t="s">
        <v>824</v>
      </c>
      <c r="C402" s="304" t="s">
        <v>1406</v>
      </c>
      <c r="D402" s="305"/>
      <c r="E402" s="305"/>
      <c r="F402" s="117" t="s">
        <v>1652</v>
      </c>
      <c r="G402" s="116">
        <v>6</v>
      </c>
      <c r="H402" s="159"/>
      <c r="I402" s="108">
        <f t="shared" si="368"/>
        <v>0</v>
      </c>
      <c r="J402" s="108">
        <f t="shared" si="369"/>
        <v>0</v>
      </c>
      <c r="K402" s="108">
        <f t="shared" si="370"/>
        <v>0</v>
      </c>
      <c r="L402" s="111"/>
      <c r="Z402" s="100">
        <f t="shared" si="371"/>
        <v>0</v>
      </c>
      <c r="AB402" s="100">
        <f t="shared" si="372"/>
        <v>0</v>
      </c>
      <c r="AC402" s="100">
        <f t="shared" si="373"/>
        <v>0</v>
      </c>
      <c r="AD402" s="100">
        <f t="shared" si="374"/>
        <v>0</v>
      </c>
      <c r="AE402" s="100">
        <f t="shared" si="375"/>
        <v>0</v>
      </c>
      <c r="AF402" s="100">
        <f t="shared" si="376"/>
        <v>0</v>
      </c>
      <c r="AG402" s="100">
        <f t="shared" si="377"/>
        <v>0</v>
      </c>
      <c r="AH402" s="100">
        <f t="shared" si="378"/>
        <v>0</v>
      </c>
      <c r="AI402" s="109"/>
      <c r="AJ402" s="108">
        <f t="shared" si="379"/>
        <v>0</v>
      </c>
      <c r="AK402" s="108">
        <f t="shared" si="380"/>
        <v>0</v>
      </c>
      <c r="AL402" s="108">
        <f t="shared" si="381"/>
        <v>0</v>
      </c>
      <c r="AN402" s="100">
        <v>15</v>
      </c>
      <c r="AO402" s="100">
        <f t="shared" si="382"/>
        <v>0</v>
      </c>
      <c r="AP402" s="100">
        <f t="shared" si="383"/>
        <v>0</v>
      </c>
      <c r="AQ402" s="111" t="s">
        <v>13</v>
      </c>
      <c r="AV402" s="100">
        <f t="shared" si="384"/>
        <v>0</v>
      </c>
      <c r="AW402" s="100">
        <f t="shared" si="385"/>
        <v>0</v>
      </c>
      <c r="AX402" s="100">
        <f t="shared" si="386"/>
        <v>0</v>
      </c>
      <c r="AY402" s="110" t="s">
        <v>1712</v>
      </c>
      <c r="AZ402" s="110" t="s">
        <v>1733</v>
      </c>
      <c r="BA402" s="109" t="s">
        <v>1737</v>
      </c>
      <c r="BC402" s="100">
        <f t="shared" si="387"/>
        <v>0</v>
      </c>
      <c r="BD402" s="100">
        <f t="shared" si="388"/>
        <v>0</v>
      </c>
      <c r="BE402" s="100">
        <v>0</v>
      </c>
      <c r="BF402" s="100">
        <f>402</f>
        <v>402</v>
      </c>
      <c r="BH402" s="108">
        <f t="shared" si="389"/>
        <v>0</v>
      </c>
      <c r="BI402" s="108">
        <f t="shared" si="390"/>
        <v>0</v>
      </c>
      <c r="BJ402" s="108">
        <f t="shared" si="391"/>
        <v>0</v>
      </c>
    </row>
    <row r="403" spans="1:62" x14ac:dyDescent="0.2">
      <c r="A403" s="117" t="s">
        <v>362</v>
      </c>
      <c r="B403" s="117" t="s">
        <v>825</v>
      </c>
      <c r="C403" s="304" t="s">
        <v>1407</v>
      </c>
      <c r="D403" s="305"/>
      <c r="E403" s="305"/>
      <c r="F403" s="117" t="s">
        <v>1644</v>
      </c>
      <c r="G403" s="116">
        <v>6</v>
      </c>
      <c r="H403" s="159"/>
      <c r="I403" s="108">
        <f t="shared" si="368"/>
        <v>0</v>
      </c>
      <c r="J403" s="108">
        <f t="shared" si="369"/>
        <v>0</v>
      </c>
      <c r="K403" s="108">
        <f t="shared" si="370"/>
        <v>0</v>
      </c>
      <c r="L403" s="111"/>
      <c r="Z403" s="100">
        <f t="shared" si="371"/>
        <v>0</v>
      </c>
      <c r="AB403" s="100">
        <f t="shared" si="372"/>
        <v>0</v>
      </c>
      <c r="AC403" s="100">
        <f t="shared" si="373"/>
        <v>0</v>
      </c>
      <c r="AD403" s="100">
        <f t="shared" si="374"/>
        <v>0</v>
      </c>
      <c r="AE403" s="100">
        <f t="shared" si="375"/>
        <v>0</v>
      </c>
      <c r="AF403" s="100">
        <f t="shared" si="376"/>
        <v>0</v>
      </c>
      <c r="AG403" s="100">
        <f t="shared" si="377"/>
        <v>0</v>
      </c>
      <c r="AH403" s="100">
        <f t="shared" si="378"/>
        <v>0</v>
      </c>
      <c r="AI403" s="109"/>
      <c r="AJ403" s="108">
        <f t="shared" si="379"/>
        <v>0</v>
      </c>
      <c r="AK403" s="108">
        <f t="shared" si="380"/>
        <v>0</v>
      </c>
      <c r="AL403" s="108">
        <f t="shared" si="381"/>
        <v>0</v>
      </c>
      <c r="AN403" s="100">
        <v>15</v>
      </c>
      <c r="AO403" s="100">
        <f t="shared" si="382"/>
        <v>0</v>
      </c>
      <c r="AP403" s="100">
        <f t="shared" si="383"/>
        <v>0</v>
      </c>
      <c r="AQ403" s="111" t="s">
        <v>13</v>
      </c>
      <c r="AV403" s="100">
        <f t="shared" si="384"/>
        <v>0</v>
      </c>
      <c r="AW403" s="100">
        <f t="shared" si="385"/>
        <v>0</v>
      </c>
      <c r="AX403" s="100">
        <f t="shared" si="386"/>
        <v>0</v>
      </c>
      <c r="AY403" s="110" t="s">
        <v>1712</v>
      </c>
      <c r="AZ403" s="110" t="s">
        <v>1733</v>
      </c>
      <c r="BA403" s="109" t="s">
        <v>1737</v>
      </c>
      <c r="BC403" s="100">
        <f t="shared" si="387"/>
        <v>0</v>
      </c>
      <c r="BD403" s="100">
        <f t="shared" si="388"/>
        <v>0</v>
      </c>
      <c r="BE403" s="100">
        <v>0</v>
      </c>
      <c r="BF403" s="100">
        <f>403</f>
        <v>403</v>
      </c>
      <c r="BH403" s="108">
        <f t="shared" si="389"/>
        <v>0</v>
      </c>
      <c r="BI403" s="108">
        <f t="shared" si="390"/>
        <v>0</v>
      </c>
      <c r="BJ403" s="108">
        <f t="shared" si="391"/>
        <v>0</v>
      </c>
    </row>
    <row r="404" spans="1:62" x14ac:dyDescent="0.2">
      <c r="A404" s="117" t="s">
        <v>363</v>
      </c>
      <c r="B404" s="117" t="s">
        <v>826</v>
      </c>
      <c r="C404" s="304" t="s">
        <v>1408</v>
      </c>
      <c r="D404" s="305"/>
      <c r="E404" s="305"/>
      <c r="F404" s="117" t="s">
        <v>1644</v>
      </c>
      <c r="G404" s="116">
        <v>6</v>
      </c>
      <c r="H404" s="159"/>
      <c r="I404" s="108">
        <f t="shared" si="368"/>
        <v>0</v>
      </c>
      <c r="J404" s="108">
        <f t="shared" si="369"/>
        <v>0</v>
      </c>
      <c r="K404" s="108">
        <f t="shared" si="370"/>
        <v>0</v>
      </c>
      <c r="L404" s="111"/>
      <c r="Z404" s="100">
        <f t="shared" si="371"/>
        <v>0</v>
      </c>
      <c r="AB404" s="100">
        <f t="shared" si="372"/>
        <v>0</v>
      </c>
      <c r="AC404" s="100">
        <f t="shared" si="373"/>
        <v>0</v>
      </c>
      <c r="AD404" s="100">
        <f t="shared" si="374"/>
        <v>0</v>
      </c>
      <c r="AE404" s="100">
        <f t="shared" si="375"/>
        <v>0</v>
      </c>
      <c r="AF404" s="100">
        <f t="shared" si="376"/>
        <v>0</v>
      </c>
      <c r="AG404" s="100">
        <f t="shared" si="377"/>
        <v>0</v>
      </c>
      <c r="AH404" s="100">
        <f t="shared" si="378"/>
        <v>0</v>
      </c>
      <c r="AI404" s="109"/>
      <c r="AJ404" s="108">
        <f t="shared" si="379"/>
        <v>0</v>
      </c>
      <c r="AK404" s="108">
        <f t="shared" si="380"/>
        <v>0</v>
      </c>
      <c r="AL404" s="108">
        <f t="shared" si="381"/>
        <v>0</v>
      </c>
      <c r="AN404" s="100">
        <v>15</v>
      </c>
      <c r="AO404" s="100">
        <f t="shared" si="382"/>
        <v>0</v>
      </c>
      <c r="AP404" s="100">
        <f t="shared" si="383"/>
        <v>0</v>
      </c>
      <c r="AQ404" s="111" t="s">
        <v>13</v>
      </c>
      <c r="AV404" s="100">
        <f t="shared" si="384"/>
        <v>0</v>
      </c>
      <c r="AW404" s="100">
        <f t="shared" si="385"/>
        <v>0</v>
      </c>
      <c r="AX404" s="100">
        <f t="shared" si="386"/>
        <v>0</v>
      </c>
      <c r="AY404" s="110" t="s">
        <v>1712</v>
      </c>
      <c r="AZ404" s="110" t="s">
        <v>1733</v>
      </c>
      <c r="BA404" s="109" t="s">
        <v>1737</v>
      </c>
      <c r="BC404" s="100">
        <f t="shared" si="387"/>
        <v>0</v>
      </c>
      <c r="BD404" s="100">
        <f t="shared" si="388"/>
        <v>0</v>
      </c>
      <c r="BE404" s="100">
        <v>0</v>
      </c>
      <c r="BF404" s="100">
        <f>404</f>
        <v>404</v>
      </c>
      <c r="BH404" s="108">
        <f t="shared" si="389"/>
        <v>0</v>
      </c>
      <c r="BI404" s="108">
        <f t="shared" si="390"/>
        <v>0</v>
      </c>
      <c r="BJ404" s="108">
        <f t="shared" si="391"/>
        <v>0</v>
      </c>
    </row>
    <row r="405" spans="1:62" x14ac:dyDescent="0.2">
      <c r="A405" s="117" t="s">
        <v>364</v>
      </c>
      <c r="B405" s="117" t="s">
        <v>827</v>
      </c>
      <c r="C405" s="304" t="s">
        <v>1409</v>
      </c>
      <c r="D405" s="305"/>
      <c r="E405" s="305"/>
      <c r="F405" s="117" t="s">
        <v>1644</v>
      </c>
      <c r="G405" s="116">
        <v>6</v>
      </c>
      <c r="H405" s="159"/>
      <c r="I405" s="108">
        <f t="shared" si="368"/>
        <v>0</v>
      </c>
      <c r="J405" s="108">
        <f t="shared" si="369"/>
        <v>0</v>
      </c>
      <c r="K405" s="108">
        <f t="shared" si="370"/>
        <v>0</v>
      </c>
      <c r="L405" s="111"/>
      <c r="Z405" s="100">
        <f t="shared" si="371"/>
        <v>0</v>
      </c>
      <c r="AB405" s="100">
        <f t="shared" si="372"/>
        <v>0</v>
      </c>
      <c r="AC405" s="100">
        <f t="shared" si="373"/>
        <v>0</v>
      </c>
      <c r="AD405" s="100">
        <f t="shared" si="374"/>
        <v>0</v>
      </c>
      <c r="AE405" s="100">
        <f t="shared" si="375"/>
        <v>0</v>
      </c>
      <c r="AF405" s="100">
        <f t="shared" si="376"/>
        <v>0</v>
      </c>
      <c r="AG405" s="100">
        <f t="shared" si="377"/>
        <v>0</v>
      </c>
      <c r="AH405" s="100">
        <f t="shared" si="378"/>
        <v>0</v>
      </c>
      <c r="AI405" s="109"/>
      <c r="AJ405" s="108">
        <f t="shared" si="379"/>
        <v>0</v>
      </c>
      <c r="AK405" s="108">
        <f t="shared" si="380"/>
        <v>0</v>
      </c>
      <c r="AL405" s="108">
        <f t="shared" si="381"/>
        <v>0</v>
      </c>
      <c r="AN405" s="100">
        <v>15</v>
      </c>
      <c r="AO405" s="100">
        <f t="shared" si="382"/>
        <v>0</v>
      </c>
      <c r="AP405" s="100">
        <f t="shared" si="383"/>
        <v>0</v>
      </c>
      <c r="AQ405" s="111" t="s">
        <v>13</v>
      </c>
      <c r="AV405" s="100">
        <f t="shared" si="384"/>
        <v>0</v>
      </c>
      <c r="AW405" s="100">
        <f t="shared" si="385"/>
        <v>0</v>
      </c>
      <c r="AX405" s="100">
        <f t="shared" si="386"/>
        <v>0</v>
      </c>
      <c r="AY405" s="110" t="s">
        <v>1712</v>
      </c>
      <c r="AZ405" s="110" t="s">
        <v>1733</v>
      </c>
      <c r="BA405" s="109" t="s">
        <v>1737</v>
      </c>
      <c r="BC405" s="100">
        <f t="shared" si="387"/>
        <v>0</v>
      </c>
      <c r="BD405" s="100">
        <f t="shared" si="388"/>
        <v>0</v>
      </c>
      <c r="BE405" s="100">
        <v>0</v>
      </c>
      <c r="BF405" s="100">
        <f>405</f>
        <v>405</v>
      </c>
      <c r="BH405" s="108">
        <f t="shared" si="389"/>
        <v>0</v>
      </c>
      <c r="BI405" s="108">
        <f t="shared" si="390"/>
        <v>0</v>
      </c>
      <c r="BJ405" s="108">
        <f t="shared" si="391"/>
        <v>0</v>
      </c>
    </row>
    <row r="406" spans="1:62" x14ac:dyDescent="0.2">
      <c r="A406" s="117" t="s">
        <v>365</v>
      </c>
      <c r="B406" s="117" t="s">
        <v>828</v>
      </c>
      <c r="C406" s="304" t="s">
        <v>1410</v>
      </c>
      <c r="D406" s="305"/>
      <c r="E406" s="305"/>
      <c r="F406" s="117" t="s">
        <v>1652</v>
      </c>
      <c r="G406" s="116">
        <v>6</v>
      </c>
      <c r="H406" s="159"/>
      <c r="I406" s="108">
        <f t="shared" si="368"/>
        <v>0</v>
      </c>
      <c r="J406" s="108">
        <f t="shared" si="369"/>
        <v>0</v>
      </c>
      <c r="K406" s="108">
        <f t="shared" si="370"/>
        <v>0</v>
      </c>
      <c r="L406" s="111"/>
      <c r="Z406" s="100">
        <f t="shared" si="371"/>
        <v>0</v>
      </c>
      <c r="AB406" s="100">
        <f t="shared" si="372"/>
        <v>0</v>
      </c>
      <c r="AC406" s="100">
        <f t="shared" si="373"/>
        <v>0</v>
      </c>
      <c r="AD406" s="100">
        <f t="shared" si="374"/>
        <v>0</v>
      </c>
      <c r="AE406" s="100">
        <f t="shared" si="375"/>
        <v>0</v>
      </c>
      <c r="AF406" s="100">
        <f t="shared" si="376"/>
        <v>0</v>
      </c>
      <c r="AG406" s="100">
        <f t="shared" si="377"/>
        <v>0</v>
      </c>
      <c r="AH406" s="100">
        <f t="shared" si="378"/>
        <v>0</v>
      </c>
      <c r="AI406" s="109"/>
      <c r="AJ406" s="108">
        <f t="shared" si="379"/>
        <v>0</v>
      </c>
      <c r="AK406" s="108">
        <f t="shared" si="380"/>
        <v>0</v>
      </c>
      <c r="AL406" s="108">
        <f t="shared" si="381"/>
        <v>0</v>
      </c>
      <c r="AN406" s="100">
        <v>15</v>
      </c>
      <c r="AO406" s="100">
        <f t="shared" si="382"/>
        <v>0</v>
      </c>
      <c r="AP406" s="100">
        <f t="shared" si="383"/>
        <v>0</v>
      </c>
      <c r="AQ406" s="111" t="s">
        <v>13</v>
      </c>
      <c r="AV406" s="100">
        <f t="shared" si="384"/>
        <v>0</v>
      </c>
      <c r="AW406" s="100">
        <f t="shared" si="385"/>
        <v>0</v>
      </c>
      <c r="AX406" s="100">
        <f t="shared" si="386"/>
        <v>0</v>
      </c>
      <c r="AY406" s="110" t="s">
        <v>1712</v>
      </c>
      <c r="AZ406" s="110" t="s">
        <v>1733</v>
      </c>
      <c r="BA406" s="109" t="s">
        <v>1737</v>
      </c>
      <c r="BC406" s="100">
        <f t="shared" si="387"/>
        <v>0</v>
      </c>
      <c r="BD406" s="100">
        <f t="shared" si="388"/>
        <v>0</v>
      </c>
      <c r="BE406" s="100">
        <v>0</v>
      </c>
      <c r="BF406" s="100">
        <f>406</f>
        <v>406</v>
      </c>
      <c r="BH406" s="108">
        <f t="shared" si="389"/>
        <v>0</v>
      </c>
      <c r="BI406" s="108">
        <f t="shared" si="390"/>
        <v>0</v>
      </c>
      <c r="BJ406" s="108">
        <f t="shared" si="391"/>
        <v>0</v>
      </c>
    </row>
    <row r="407" spans="1:62" x14ac:dyDescent="0.2">
      <c r="A407" s="117" t="s">
        <v>366</v>
      </c>
      <c r="B407" s="117" t="s">
        <v>829</v>
      </c>
      <c r="C407" s="304" t="s">
        <v>1411</v>
      </c>
      <c r="D407" s="305"/>
      <c r="E407" s="305"/>
      <c r="F407" s="117" t="s">
        <v>1652</v>
      </c>
      <c r="G407" s="116">
        <v>6</v>
      </c>
      <c r="H407" s="159"/>
      <c r="I407" s="108">
        <f t="shared" si="368"/>
        <v>0</v>
      </c>
      <c r="J407" s="108">
        <f t="shared" si="369"/>
        <v>0</v>
      </c>
      <c r="K407" s="108">
        <f t="shared" si="370"/>
        <v>0</v>
      </c>
      <c r="L407" s="111"/>
      <c r="Z407" s="100">
        <f t="shared" si="371"/>
        <v>0</v>
      </c>
      <c r="AB407" s="100">
        <f t="shared" si="372"/>
        <v>0</v>
      </c>
      <c r="AC407" s="100">
        <f t="shared" si="373"/>
        <v>0</v>
      </c>
      <c r="AD407" s="100">
        <f t="shared" si="374"/>
        <v>0</v>
      </c>
      <c r="AE407" s="100">
        <f t="shared" si="375"/>
        <v>0</v>
      </c>
      <c r="AF407" s="100">
        <f t="shared" si="376"/>
        <v>0</v>
      </c>
      <c r="AG407" s="100">
        <f t="shared" si="377"/>
        <v>0</v>
      </c>
      <c r="AH407" s="100">
        <f t="shared" si="378"/>
        <v>0</v>
      </c>
      <c r="AI407" s="109"/>
      <c r="AJ407" s="108">
        <f t="shared" si="379"/>
        <v>0</v>
      </c>
      <c r="AK407" s="108">
        <f t="shared" si="380"/>
        <v>0</v>
      </c>
      <c r="AL407" s="108">
        <f t="shared" si="381"/>
        <v>0</v>
      </c>
      <c r="AN407" s="100">
        <v>15</v>
      </c>
      <c r="AO407" s="100">
        <f t="shared" si="382"/>
        <v>0</v>
      </c>
      <c r="AP407" s="100">
        <f t="shared" si="383"/>
        <v>0</v>
      </c>
      <c r="AQ407" s="111" t="s">
        <v>13</v>
      </c>
      <c r="AV407" s="100">
        <f t="shared" si="384"/>
        <v>0</v>
      </c>
      <c r="AW407" s="100">
        <f t="shared" si="385"/>
        <v>0</v>
      </c>
      <c r="AX407" s="100">
        <f t="shared" si="386"/>
        <v>0</v>
      </c>
      <c r="AY407" s="110" t="s">
        <v>1712</v>
      </c>
      <c r="AZ407" s="110" t="s">
        <v>1733</v>
      </c>
      <c r="BA407" s="109" t="s">
        <v>1737</v>
      </c>
      <c r="BC407" s="100">
        <f t="shared" si="387"/>
        <v>0</v>
      </c>
      <c r="BD407" s="100">
        <f t="shared" si="388"/>
        <v>0</v>
      </c>
      <c r="BE407" s="100">
        <v>0</v>
      </c>
      <c r="BF407" s="100">
        <f>407</f>
        <v>407</v>
      </c>
      <c r="BH407" s="108">
        <f t="shared" si="389"/>
        <v>0</v>
      </c>
      <c r="BI407" s="108">
        <f t="shared" si="390"/>
        <v>0</v>
      </c>
      <c r="BJ407" s="108">
        <f t="shared" si="391"/>
        <v>0</v>
      </c>
    </row>
    <row r="408" spans="1:62" x14ac:dyDescent="0.2">
      <c r="A408" s="117" t="s">
        <v>367</v>
      </c>
      <c r="B408" s="117" t="s">
        <v>830</v>
      </c>
      <c r="C408" s="304" t="s">
        <v>1412</v>
      </c>
      <c r="D408" s="305"/>
      <c r="E408" s="305"/>
      <c r="F408" s="117" t="s">
        <v>1647</v>
      </c>
      <c r="G408" s="116">
        <v>14</v>
      </c>
      <c r="H408" s="159"/>
      <c r="I408" s="108">
        <f t="shared" si="368"/>
        <v>0</v>
      </c>
      <c r="J408" s="108">
        <f t="shared" si="369"/>
        <v>0</v>
      </c>
      <c r="K408" s="108">
        <f t="shared" si="370"/>
        <v>0</v>
      </c>
      <c r="L408" s="111"/>
      <c r="Z408" s="100">
        <f t="shared" si="371"/>
        <v>0</v>
      </c>
      <c r="AB408" s="100">
        <f t="shared" si="372"/>
        <v>0</v>
      </c>
      <c r="AC408" s="100">
        <f t="shared" si="373"/>
        <v>0</v>
      </c>
      <c r="AD408" s="100">
        <f t="shared" si="374"/>
        <v>0</v>
      </c>
      <c r="AE408" s="100">
        <f t="shared" si="375"/>
        <v>0</v>
      </c>
      <c r="AF408" s="100">
        <f t="shared" si="376"/>
        <v>0</v>
      </c>
      <c r="AG408" s="100">
        <f t="shared" si="377"/>
        <v>0</v>
      </c>
      <c r="AH408" s="100">
        <f t="shared" si="378"/>
        <v>0</v>
      </c>
      <c r="AI408" s="109"/>
      <c r="AJ408" s="108">
        <f t="shared" si="379"/>
        <v>0</v>
      </c>
      <c r="AK408" s="108">
        <f t="shared" si="380"/>
        <v>0</v>
      </c>
      <c r="AL408" s="108">
        <f t="shared" si="381"/>
        <v>0</v>
      </c>
      <c r="AN408" s="100">
        <v>15</v>
      </c>
      <c r="AO408" s="100">
        <f t="shared" si="382"/>
        <v>0</v>
      </c>
      <c r="AP408" s="100">
        <f t="shared" si="383"/>
        <v>0</v>
      </c>
      <c r="AQ408" s="111" t="s">
        <v>13</v>
      </c>
      <c r="AV408" s="100">
        <f t="shared" si="384"/>
        <v>0</v>
      </c>
      <c r="AW408" s="100">
        <f t="shared" si="385"/>
        <v>0</v>
      </c>
      <c r="AX408" s="100">
        <f t="shared" si="386"/>
        <v>0</v>
      </c>
      <c r="AY408" s="110" t="s">
        <v>1712</v>
      </c>
      <c r="AZ408" s="110" t="s">
        <v>1733</v>
      </c>
      <c r="BA408" s="109" t="s">
        <v>1737</v>
      </c>
      <c r="BC408" s="100">
        <f t="shared" si="387"/>
        <v>0</v>
      </c>
      <c r="BD408" s="100">
        <f t="shared" si="388"/>
        <v>0</v>
      </c>
      <c r="BE408" s="100">
        <v>0</v>
      </c>
      <c r="BF408" s="100">
        <f>408</f>
        <v>408</v>
      </c>
      <c r="BH408" s="108">
        <f t="shared" si="389"/>
        <v>0</v>
      </c>
      <c r="BI408" s="108">
        <f t="shared" si="390"/>
        <v>0</v>
      </c>
      <c r="BJ408" s="108">
        <f t="shared" si="391"/>
        <v>0</v>
      </c>
    </row>
    <row r="409" spans="1:62" x14ac:dyDescent="0.2">
      <c r="A409" s="117" t="s">
        <v>368</v>
      </c>
      <c r="B409" s="117" t="s">
        <v>831</v>
      </c>
      <c r="C409" s="304" t="s">
        <v>1413</v>
      </c>
      <c r="D409" s="305"/>
      <c r="E409" s="305"/>
      <c r="F409" s="117" t="s">
        <v>1652</v>
      </c>
      <c r="G409" s="116">
        <v>1</v>
      </c>
      <c r="H409" s="159"/>
      <c r="I409" s="108">
        <f t="shared" si="368"/>
        <v>0</v>
      </c>
      <c r="J409" s="108">
        <f t="shared" si="369"/>
        <v>0</v>
      </c>
      <c r="K409" s="108">
        <f t="shared" si="370"/>
        <v>0</v>
      </c>
      <c r="L409" s="111"/>
      <c r="Z409" s="100">
        <f t="shared" si="371"/>
        <v>0</v>
      </c>
      <c r="AB409" s="100">
        <f t="shared" si="372"/>
        <v>0</v>
      </c>
      <c r="AC409" s="100">
        <f t="shared" si="373"/>
        <v>0</v>
      </c>
      <c r="AD409" s="100">
        <f t="shared" si="374"/>
        <v>0</v>
      </c>
      <c r="AE409" s="100">
        <f t="shared" si="375"/>
        <v>0</v>
      </c>
      <c r="AF409" s="100">
        <f t="shared" si="376"/>
        <v>0</v>
      </c>
      <c r="AG409" s="100">
        <f t="shared" si="377"/>
        <v>0</v>
      </c>
      <c r="AH409" s="100">
        <f t="shared" si="378"/>
        <v>0</v>
      </c>
      <c r="AI409" s="109"/>
      <c r="AJ409" s="108">
        <f t="shared" si="379"/>
        <v>0</v>
      </c>
      <c r="AK409" s="108">
        <f t="shared" si="380"/>
        <v>0</v>
      </c>
      <c r="AL409" s="108">
        <f t="shared" si="381"/>
        <v>0</v>
      </c>
      <c r="AN409" s="100">
        <v>15</v>
      </c>
      <c r="AO409" s="100">
        <f t="shared" si="382"/>
        <v>0</v>
      </c>
      <c r="AP409" s="100">
        <f t="shared" si="383"/>
        <v>0</v>
      </c>
      <c r="AQ409" s="111" t="s">
        <v>13</v>
      </c>
      <c r="AV409" s="100">
        <f t="shared" si="384"/>
        <v>0</v>
      </c>
      <c r="AW409" s="100">
        <f t="shared" si="385"/>
        <v>0</v>
      </c>
      <c r="AX409" s="100">
        <f t="shared" si="386"/>
        <v>0</v>
      </c>
      <c r="AY409" s="110" t="s">
        <v>1712</v>
      </c>
      <c r="AZ409" s="110" t="s">
        <v>1733</v>
      </c>
      <c r="BA409" s="109" t="s">
        <v>1737</v>
      </c>
      <c r="BC409" s="100">
        <f t="shared" si="387"/>
        <v>0</v>
      </c>
      <c r="BD409" s="100">
        <f t="shared" si="388"/>
        <v>0</v>
      </c>
      <c r="BE409" s="100">
        <v>0</v>
      </c>
      <c r="BF409" s="100">
        <f>409</f>
        <v>409</v>
      </c>
      <c r="BH409" s="108">
        <f t="shared" si="389"/>
        <v>0</v>
      </c>
      <c r="BI409" s="108">
        <f t="shared" si="390"/>
        <v>0</v>
      </c>
      <c r="BJ409" s="108">
        <f t="shared" si="391"/>
        <v>0</v>
      </c>
    </row>
    <row r="410" spans="1:62" x14ac:dyDescent="0.2">
      <c r="A410" s="117" t="s">
        <v>369</v>
      </c>
      <c r="B410" s="117" t="s">
        <v>832</v>
      </c>
      <c r="C410" s="304" t="s">
        <v>1414</v>
      </c>
      <c r="D410" s="305"/>
      <c r="E410" s="305"/>
      <c r="F410" s="117" t="s">
        <v>1652</v>
      </c>
      <c r="G410" s="116">
        <v>1</v>
      </c>
      <c r="H410" s="159"/>
      <c r="I410" s="108">
        <f t="shared" si="368"/>
        <v>0</v>
      </c>
      <c r="J410" s="108">
        <f t="shared" si="369"/>
        <v>0</v>
      </c>
      <c r="K410" s="108">
        <f t="shared" si="370"/>
        <v>0</v>
      </c>
      <c r="L410" s="111"/>
      <c r="Z410" s="100">
        <f t="shared" si="371"/>
        <v>0</v>
      </c>
      <c r="AB410" s="100">
        <f t="shared" si="372"/>
        <v>0</v>
      </c>
      <c r="AC410" s="100">
        <f t="shared" si="373"/>
        <v>0</v>
      </c>
      <c r="AD410" s="100">
        <f t="shared" si="374"/>
        <v>0</v>
      </c>
      <c r="AE410" s="100">
        <f t="shared" si="375"/>
        <v>0</v>
      </c>
      <c r="AF410" s="100">
        <f t="shared" si="376"/>
        <v>0</v>
      </c>
      <c r="AG410" s="100">
        <f t="shared" si="377"/>
        <v>0</v>
      </c>
      <c r="AH410" s="100">
        <f t="shared" si="378"/>
        <v>0</v>
      </c>
      <c r="AI410" s="109"/>
      <c r="AJ410" s="108">
        <f t="shared" si="379"/>
        <v>0</v>
      </c>
      <c r="AK410" s="108">
        <f t="shared" si="380"/>
        <v>0</v>
      </c>
      <c r="AL410" s="108">
        <f t="shared" si="381"/>
        <v>0</v>
      </c>
      <c r="AN410" s="100">
        <v>15</v>
      </c>
      <c r="AO410" s="100">
        <f t="shared" si="382"/>
        <v>0</v>
      </c>
      <c r="AP410" s="100">
        <f t="shared" si="383"/>
        <v>0</v>
      </c>
      <c r="AQ410" s="111" t="s">
        <v>13</v>
      </c>
      <c r="AV410" s="100">
        <f t="shared" si="384"/>
        <v>0</v>
      </c>
      <c r="AW410" s="100">
        <f t="shared" si="385"/>
        <v>0</v>
      </c>
      <c r="AX410" s="100">
        <f t="shared" si="386"/>
        <v>0</v>
      </c>
      <c r="AY410" s="110" t="s">
        <v>1712</v>
      </c>
      <c r="AZ410" s="110" t="s">
        <v>1733</v>
      </c>
      <c r="BA410" s="109" t="s">
        <v>1737</v>
      </c>
      <c r="BC410" s="100">
        <f t="shared" si="387"/>
        <v>0</v>
      </c>
      <c r="BD410" s="100">
        <f t="shared" si="388"/>
        <v>0</v>
      </c>
      <c r="BE410" s="100">
        <v>0</v>
      </c>
      <c r="BF410" s="100">
        <f>410</f>
        <v>410</v>
      </c>
      <c r="BH410" s="108">
        <f t="shared" si="389"/>
        <v>0</v>
      </c>
      <c r="BI410" s="108">
        <f t="shared" si="390"/>
        <v>0</v>
      </c>
      <c r="BJ410" s="108">
        <f t="shared" si="391"/>
        <v>0</v>
      </c>
    </row>
    <row r="411" spans="1:62" x14ac:dyDescent="0.2">
      <c r="A411" s="117" t="s">
        <v>370</v>
      </c>
      <c r="B411" s="117" t="s">
        <v>833</v>
      </c>
      <c r="C411" s="304" t="s">
        <v>1415</v>
      </c>
      <c r="D411" s="305"/>
      <c r="E411" s="305"/>
      <c r="F411" s="117" t="s">
        <v>1652</v>
      </c>
      <c r="G411" s="116">
        <v>1</v>
      </c>
      <c r="H411" s="159"/>
      <c r="I411" s="108">
        <f t="shared" si="368"/>
        <v>0</v>
      </c>
      <c r="J411" s="108">
        <f t="shared" si="369"/>
        <v>0</v>
      </c>
      <c r="K411" s="108">
        <f t="shared" si="370"/>
        <v>0</v>
      </c>
      <c r="L411" s="111"/>
      <c r="Z411" s="100">
        <f t="shared" si="371"/>
        <v>0</v>
      </c>
      <c r="AB411" s="100">
        <f t="shared" si="372"/>
        <v>0</v>
      </c>
      <c r="AC411" s="100">
        <f t="shared" si="373"/>
        <v>0</v>
      </c>
      <c r="AD411" s="100">
        <f t="shared" si="374"/>
        <v>0</v>
      </c>
      <c r="AE411" s="100">
        <f t="shared" si="375"/>
        <v>0</v>
      </c>
      <c r="AF411" s="100">
        <f t="shared" si="376"/>
        <v>0</v>
      </c>
      <c r="AG411" s="100">
        <f t="shared" si="377"/>
        <v>0</v>
      </c>
      <c r="AH411" s="100">
        <f t="shared" si="378"/>
        <v>0</v>
      </c>
      <c r="AI411" s="109"/>
      <c r="AJ411" s="108">
        <f t="shared" si="379"/>
        <v>0</v>
      </c>
      <c r="AK411" s="108">
        <f t="shared" si="380"/>
        <v>0</v>
      </c>
      <c r="AL411" s="108">
        <f t="shared" si="381"/>
        <v>0</v>
      </c>
      <c r="AN411" s="100">
        <v>15</v>
      </c>
      <c r="AO411" s="100">
        <f t="shared" si="382"/>
        <v>0</v>
      </c>
      <c r="AP411" s="100">
        <f t="shared" si="383"/>
        <v>0</v>
      </c>
      <c r="AQ411" s="111" t="s">
        <v>13</v>
      </c>
      <c r="AV411" s="100">
        <f t="shared" si="384"/>
        <v>0</v>
      </c>
      <c r="AW411" s="100">
        <f t="shared" si="385"/>
        <v>0</v>
      </c>
      <c r="AX411" s="100">
        <f t="shared" si="386"/>
        <v>0</v>
      </c>
      <c r="AY411" s="110" t="s">
        <v>1712</v>
      </c>
      <c r="AZ411" s="110" t="s">
        <v>1733</v>
      </c>
      <c r="BA411" s="109" t="s">
        <v>1737</v>
      </c>
      <c r="BC411" s="100">
        <f t="shared" si="387"/>
        <v>0</v>
      </c>
      <c r="BD411" s="100">
        <f t="shared" si="388"/>
        <v>0</v>
      </c>
      <c r="BE411" s="100">
        <v>0</v>
      </c>
      <c r="BF411" s="100">
        <f>411</f>
        <v>411</v>
      </c>
      <c r="BH411" s="108">
        <f t="shared" si="389"/>
        <v>0</v>
      </c>
      <c r="BI411" s="108">
        <f t="shared" si="390"/>
        <v>0</v>
      </c>
      <c r="BJ411" s="108">
        <f t="shared" si="391"/>
        <v>0</v>
      </c>
    </row>
    <row r="412" spans="1:62" x14ac:dyDescent="0.2">
      <c r="A412" s="117" t="s">
        <v>371</v>
      </c>
      <c r="B412" s="117" t="s">
        <v>834</v>
      </c>
      <c r="C412" s="304" t="s">
        <v>1416</v>
      </c>
      <c r="D412" s="305"/>
      <c r="E412" s="305"/>
      <c r="F412" s="117" t="s">
        <v>1652</v>
      </c>
      <c r="G412" s="116">
        <v>12</v>
      </c>
      <c r="H412" s="159"/>
      <c r="I412" s="108">
        <f t="shared" si="368"/>
        <v>0</v>
      </c>
      <c r="J412" s="108">
        <f t="shared" si="369"/>
        <v>0</v>
      </c>
      <c r="K412" s="108">
        <f t="shared" si="370"/>
        <v>0</v>
      </c>
      <c r="L412" s="111"/>
      <c r="Z412" s="100">
        <f t="shared" si="371"/>
        <v>0</v>
      </c>
      <c r="AB412" s="100">
        <f t="shared" si="372"/>
        <v>0</v>
      </c>
      <c r="AC412" s="100">
        <f t="shared" si="373"/>
        <v>0</v>
      </c>
      <c r="AD412" s="100">
        <f t="shared" si="374"/>
        <v>0</v>
      </c>
      <c r="AE412" s="100">
        <f t="shared" si="375"/>
        <v>0</v>
      </c>
      <c r="AF412" s="100">
        <f t="shared" si="376"/>
        <v>0</v>
      </c>
      <c r="AG412" s="100">
        <f t="shared" si="377"/>
        <v>0</v>
      </c>
      <c r="AH412" s="100">
        <f t="shared" si="378"/>
        <v>0</v>
      </c>
      <c r="AI412" s="109"/>
      <c r="AJ412" s="108">
        <f t="shared" si="379"/>
        <v>0</v>
      </c>
      <c r="AK412" s="108">
        <f t="shared" si="380"/>
        <v>0</v>
      </c>
      <c r="AL412" s="108">
        <f t="shared" si="381"/>
        <v>0</v>
      </c>
      <c r="AN412" s="100">
        <v>15</v>
      </c>
      <c r="AO412" s="100">
        <f t="shared" si="382"/>
        <v>0</v>
      </c>
      <c r="AP412" s="100">
        <f t="shared" si="383"/>
        <v>0</v>
      </c>
      <c r="AQ412" s="111" t="s">
        <v>13</v>
      </c>
      <c r="AV412" s="100">
        <f t="shared" si="384"/>
        <v>0</v>
      </c>
      <c r="AW412" s="100">
        <f t="shared" si="385"/>
        <v>0</v>
      </c>
      <c r="AX412" s="100">
        <f t="shared" si="386"/>
        <v>0</v>
      </c>
      <c r="AY412" s="110" t="s">
        <v>1712</v>
      </c>
      <c r="AZ412" s="110" t="s">
        <v>1733</v>
      </c>
      <c r="BA412" s="109" t="s">
        <v>1737</v>
      </c>
      <c r="BC412" s="100">
        <f t="shared" si="387"/>
        <v>0</v>
      </c>
      <c r="BD412" s="100">
        <f t="shared" si="388"/>
        <v>0</v>
      </c>
      <c r="BE412" s="100">
        <v>0</v>
      </c>
      <c r="BF412" s="100">
        <f>412</f>
        <v>412</v>
      </c>
      <c r="BH412" s="108">
        <f t="shared" si="389"/>
        <v>0</v>
      </c>
      <c r="BI412" s="108">
        <f t="shared" si="390"/>
        <v>0</v>
      </c>
      <c r="BJ412" s="108">
        <f t="shared" si="391"/>
        <v>0</v>
      </c>
    </row>
    <row r="413" spans="1:62" x14ac:dyDescent="0.2">
      <c r="A413" s="117" t="s">
        <v>372</v>
      </c>
      <c r="B413" s="117" t="s">
        <v>835</v>
      </c>
      <c r="C413" s="304" t="s">
        <v>1417</v>
      </c>
      <c r="D413" s="305"/>
      <c r="E413" s="305"/>
      <c r="F413" s="117" t="s">
        <v>1653</v>
      </c>
      <c r="G413" s="116">
        <v>12</v>
      </c>
      <c r="H413" s="159"/>
      <c r="I413" s="108">
        <f t="shared" si="368"/>
        <v>0</v>
      </c>
      <c r="J413" s="108">
        <f t="shared" si="369"/>
        <v>0</v>
      </c>
      <c r="K413" s="108">
        <f t="shared" si="370"/>
        <v>0</v>
      </c>
      <c r="L413" s="111"/>
      <c r="Z413" s="100">
        <f t="shared" si="371"/>
        <v>0</v>
      </c>
      <c r="AB413" s="100">
        <f t="shared" si="372"/>
        <v>0</v>
      </c>
      <c r="AC413" s="100">
        <f t="shared" si="373"/>
        <v>0</v>
      </c>
      <c r="AD413" s="100">
        <f t="shared" si="374"/>
        <v>0</v>
      </c>
      <c r="AE413" s="100">
        <f t="shared" si="375"/>
        <v>0</v>
      </c>
      <c r="AF413" s="100">
        <f t="shared" si="376"/>
        <v>0</v>
      </c>
      <c r="AG413" s="100">
        <f t="shared" si="377"/>
        <v>0</v>
      </c>
      <c r="AH413" s="100">
        <f t="shared" si="378"/>
        <v>0</v>
      </c>
      <c r="AI413" s="109"/>
      <c r="AJ413" s="108">
        <f t="shared" si="379"/>
        <v>0</v>
      </c>
      <c r="AK413" s="108">
        <f t="shared" si="380"/>
        <v>0</v>
      </c>
      <c r="AL413" s="108">
        <f t="shared" si="381"/>
        <v>0</v>
      </c>
      <c r="AN413" s="100">
        <v>15</v>
      </c>
      <c r="AO413" s="100">
        <f t="shared" si="382"/>
        <v>0</v>
      </c>
      <c r="AP413" s="100">
        <f t="shared" si="383"/>
        <v>0</v>
      </c>
      <c r="AQ413" s="111" t="s">
        <v>13</v>
      </c>
      <c r="AV413" s="100">
        <f t="shared" si="384"/>
        <v>0</v>
      </c>
      <c r="AW413" s="100">
        <f t="shared" si="385"/>
        <v>0</v>
      </c>
      <c r="AX413" s="100">
        <f t="shared" si="386"/>
        <v>0</v>
      </c>
      <c r="AY413" s="110" t="s">
        <v>1712</v>
      </c>
      <c r="AZ413" s="110" t="s">
        <v>1733</v>
      </c>
      <c r="BA413" s="109" t="s">
        <v>1737</v>
      </c>
      <c r="BC413" s="100">
        <f t="shared" si="387"/>
        <v>0</v>
      </c>
      <c r="BD413" s="100">
        <f t="shared" si="388"/>
        <v>0</v>
      </c>
      <c r="BE413" s="100">
        <v>0</v>
      </c>
      <c r="BF413" s="100">
        <f>413</f>
        <v>413</v>
      </c>
      <c r="BH413" s="108">
        <f t="shared" si="389"/>
        <v>0</v>
      </c>
      <c r="BI413" s="108">
        <f t="shared" si="390"/>
        <v>0</v>
      </c>
      <c r="BJ413" s="108">
        <f t="shared" si="391"/>
        <v>0</v>
      </c>
    </row>
    <row r="414" spans="1:62" x14ac:dyDescent="0.2">
      <c r="A414" s="117" t="s">
        <v>373</v>
      </c>
      <c r="B414" s="117" t="s">
        <v>836</v>
      </c>
      <c r="C414" s="304" t="s">
        <v>1418</v>
      </c>
      <c r="D414" s="305"/>
      <c r="E414" s="305"/>
      <c r="F414" s="117" t="s">
        <v>1652</v>
      </c>
      <c r="G414" s="116">
        <v>1</v>
      </c>
      <c r="H414" s="159"/>
      <c r="I414" s="108">
        <f t="shared" si="368"/>
        <v>0</v>
      </c>
      <c r="J414" s="108">
        <f t="shared" si="369"/>
        <v>0</v>
      </c>
      <c r="K414" s="108">
        <f t="shared" si="370"/>
        <v>0</v>
      </c>
      <c r="L414" s="111"/>
      <c r="Z414" s="100">
        <f t="shared" si="371"/>
        <v>0</v>
      </c>
      <c r="AB414" s="100">
        <f t="shared" si="372"/>
        <v>0</v>
      </c>
      <c r="AC414" s="100">
        <f t="shared" si="373"/>
        <v>0</v>
      </c>
      <c r="AD414" s="100">
        <f t="shared" si="374"/>
        <v>0</v>
      </c>
      <c r="AE414" s="100">
        <f t="shared" si="375"/>
        <v>0</v>
      </c>
      <c r="AF414" s="100">
        <f t="shared" si="376"/>
        <v>0</v>
      </c>
      <c r="AG414" s="100">
        <f t="shared" si="377"/>
        <v>0</v>
      </c>
      <c r="AH414" s="100">
        <f t="shared" si="378"/>
        <v>0</v>
      </c>
      <c r="AI414" s="109"/>
      <c r="AJ414" s="108">
        <f t="shared" si="379"/>
        <v>0</v>
      </c>
      <c r="AK414" s="108">
        <f t="shared" si="380"/>
        <v>0</v>
      </c>
      <c r="AL414" s="108">
        <f t="shared" si="381"/>
        <v>0</v>
      </c>
      <c r="AN414" s="100">
        <v>15</v>
      </c>
      <c r="AO414" s="100">
        <f t="shared" si="382"/>
        <v>0</v>
      </c>
      <c r="AP414" s="100">
        <f t="shared" si="383"/>
        <v>0</v>
      </c>
      <c r="AQ414" s="111" t="s">
        <v>13</v>
      </c>
      <c r="AV414" s="100">
        <f t="shared" si="384"/>
        <v>0</v>
      </c>
      <c r="AW414" s="100">
        <f t="shared" si="385"/>
        <v>0</v>
      </c>
      <c r="AX414" s="100">
        <f t="shared" si="386"/>
        <v>0</v>
      </c>
      <c r="AY414" s="110" t="s">
        <v>1712</v>
      </c>
      <c r="AZ414" s="110" t="s">
        <v>1733</v>
      </c>
      <c r="BA414" s="109" t="s">
        <v>1737</v>
      </c>
      <c r="BC414" s="100">
        <f t="shared" si="387"/>
        <v>0</v>
      </c>
      <c r="BD414" s="100">
        <f t="shared" si="388"/>
        <v>0</v>
      </c>
      <c r="BE414" s="100">
        <v>0</v>
      </c>
      <c r="BF414" s="100">
        <f>414</f>
        <v>414</v>
      </c>
      <c r="BH414" s="108">
        <f t="shared" si="389"/>
        <v>0</v>
      </c>
      <c r="BI414" s="108">
        <f t="shared" si="390"/>
        <v>0</v>
      </c>
      <c r="BJ414" s="108">
        <f t="shared" si="391"/>
        <v>0</v>
      </c>
    </row>
    <row r="415" spans="1:62" x14ac:dyDescent="0.2">
      <c r="A415" s="117" t="s">
        <v>374</v>
      </c>
      <c r="B415" s="117" t="s">
        <v>837</v>
      </c>
      <c r="C415" s="304" t="s">
        <v>1419</v>
      </c>
      <c r="D415" s="305"/>
      <c r="E415" s="305"/>
      <c r="F415" s="117" t="s">
        <v>1652</v>
      </c>
      <c r="G415" s="116">
        <v>1</v>
      </c>
      <c r="H415" s="159"/>
      <c r="I415" s="108">
        <f t="shared" si="368"/>
        <v>0</v>
      </c>
      <c r="J415" s="108">
        <f t="shared" si="369"/>
        <v>0</v>
      </c>
      <c r="K415" s="108">
        <f t="shared" si="370"/>
        <v>0</v>
      </c>
      <c r="L415" s="111"/>
      <c r="Z415" s="100">
        <f t="shared" si="371"/>
        <v>0</v>
      </c>
      <c r="AB415" s="100">
        <f t="shared" si="372"/>
        <v>0</v>
      </c>
      <c r="AC415" s="100">
        <f t="shared" si="373"/>
        <v>0</v>
      </c>
      <c r="AD415" s="100">
        <f t="shared" si="374"/>
        <v>0</v>
      </c>
      <c r="AE415" s="100">
        <f t="shared" si="375"/>
        <v>0</v>
      </c>
      <c r="AF415" s="100">
        <f t="shared" si="376"/>
        <v>0</v>
      </c>
      <c r="AG415" s="100">
        <f t="shared" si="377"/>
        <v>0</v>
      </c>
      <c r="AH415" s="100">
        <f t="shared" si="378"/>
        <v>0</v>
      </c>
      <c r="AI415" s="109"/>
      <c r="AJ415" s="108">
        <f t="shared" si="379"/>
        <v>0</v>
      </c>
      <c r="AK415" s="108">
        <f t="shared" si="380"/>
        <v>0</v>
      </c>
      <c r="AL415" s="108">
        <f t="shared" si="381"/>
        <v>0</v>
      </c>
      <c r="AN415" s="100">
        <v>15</v>
      </c>
      <c r="AO415" s="100">
        <f t="shared" si="382"/>
        <v>0</v>
      </c>
      <c r="AP415" s="100">
        <f t="shared" si="383"/>
        <v>0</v>
      </c>
      <c r="AQ415" s="111" t="s">
        <v>13</v>
      </c>
      <c r="AV415" s="100">
        <f t="shared" si="384"/>
        <v>0</v>
      </c>
      <c r="AW415" s="100">
        <f t="shared" si="385"/>
        <v>0</v>
      </c>
      <c r="AX415" s="100">
        <f t="shared" si="386"/>
        <v>0</v>
      </c>
      <c r="AY415" s="110" t="s">
        <v>1712</v>
      </c>
      <c r="AZ415" s="110" t="s">
        <v>1733</v>
      </c>
      <c r="BA415" s="109" t="s">
        <v>1737</v>
      </c>
      <c r="BC415" s="100">
        <f t="shared" si="387"/>
        <v>0</v>
      </c>
      <c r="BD415" s="100">
        <f t="shared" si="388"/>
        <v>0</v>
      </c>
      <c r="BE415" s="100">
        <v>0</v>
      </c>
      <c r="BF415" s="100">
        <f>415</f>
        <v>415</v>
      </c>
      <c r="BH415" s="108">
        <f t="shared" si="389"/>
        <v>0</v>
      </c>
      <c r="BI415" s="108">
        <f t="shared" si="390"/>
        <v>0</v>
      </c>
      <c r="BJ415" s="108">
        <f t="shared" si="391"/>
        <v>0</v>
      </c>
    </row>
    <row r="416" spans="1:62" x14ac:dyDescent="0.2">
      <c r="A416" s="117" t="s">
        <v>375</v>
      </c>
      <c r="B416" s="117" t="s">
        <v>838</v>
      </c>
      <c r="C416" s="304" t="s">
        <v>1420</v>
      </c>
      <c r="D416" s="305"/>
      <c r="E416" s="305"/>
      <c r="F416" s="117" t="s">
        <v>1652</v>
      </c>
      <c r="G416" s="116">
        <v>1</v>
      </c>
      <c r="H416" s="159"/>
      <c r="I416" s="108">
        <f t="shared" si="368"/>
        <v>0</v>
      </c>
      <c r="J416" s="108">
        <f t="shared" si="369"/>
        <v>0</v>
      </c>
      <c r="K416" s="108">
        <f t="shared" si="370"/>
        <v>0</v>
      </c>
      <c r="L416" s="111"/>
      <c r="Z416" s="100">
        <f t="shared" si="371"/>
        <v>0</v>
      </c>
      <c r="AB416" s="100">
        <f t="shared" si="372"/>
        <v>0</v>
      </c>
      <c r="AC416" s="100">
        <f t="shared" si="373"/>
        <v>0</v>
      </c>
      <c r="AD416" s="100">
        <f t="shared" si="374"/>
        <v>0</v>
      </c>
      <c r="AE416" s="100">
        <f t="shared" si="375"/>
        <v>0</v>
      </c>
      <c r="AF416" s="100">
        <f t="shared" si="376"/>
        <v>0</v>
      </c>
      <c r="AG416" s="100">
        <f t="shared" si="377"/>
        <v>0</v>
      </c>
      <c r="AH416" s="100">
        <f t="shared" si="378"/>
        <v>0</v>
      </c>
      <c r="AI416" s="109"/>
      <c r="AJ416" s="108">
        <f t="shared" si="379"/>
        <v>0</v>
      </c>
      <c r="AK416" s="108">
        <f t="shared" si="380"/>
        <v>0</v>
      </c>
      <c r="AL416" s="108">
        <f t="shared" si="381"/>
        <v>0</v>
      </c>
      <c r="AN416" s="100">
        <v>15</v>
      </c>
      <c r="AO416" s="100">
        <f t="shared" si="382"/>
        <v>0</v>
      </c>
      <c r="AP416" s="100">
        <f t="shared" si="383"/>
        <v>0</v>
      </c>
      <c r="AQ416" s="111" t="s">
        <v>13</v>
      </c>
      <c r="AV416" s="100">
        <f t="shared" si="384"/>
        <v>0</v>
      </c>
      <c r="AW416" s="100">
        <f t="shared" si="385"/>
        <v>0</v>
      </c>
      <c r="AX416" s="100">
        <f t="shared" si="386"/>
        <v>0</v>
      </c>
      <c r="AY416" s="110" t="s">
        <v>1712</v>
      </c>
      <c r="AZ416" s="110" t="s">
        <v>1733</v>
      </c>
      <c r="BA416" s="109" t="s">
        <v>1737</v>
      </c>
      <c r="BC416" s="100">
        <f t="shared" si="387"/>
        <v>0</v>
      </c>
      <c r="BD416" s="100">
        <f t="shared" si="388"/>
        <v>0</v>
      </c>
      <c r="BE416" s="100">
        <v>0</v>
      </c>
      <c r="BF416" s="100">
        <f>416</f>
        <v>416</v>
      </c>
      <c r="BH416" s="108">
        <f t="shared" si="389"/>
        <v>0</v>
      </c>
      <c r="BI416" s="108">
        <f t="shared" si="390"/>
        <v>0</v>
      </c>
      <c r="BJ416" s="108">
        <f t="shared" si="391"/>
        <v>0</v>
      </c>
    </row>
    <row r="417" spans="1:62" x14ac:dyDescent="0.2">
      <c r="A417" s="117" t="s">
        <v>376</v>
      </c>
      <c r="B417" s="117" t="s">
        <v>839</v>
      </c>
      <c r="C417" s="304" t="s">
        <v>1421</v>
      </c>
      <c r="D417" s="305"/>
      <c r="E417" s="305"/>
      <c r="F417" s="117" t="s">
        <v>1652</v>
      </c>
      <c r="G417" s="116">
        <v>1</v>
      </c>
      <c r="H417" s="159"/>
      <c r="I417" s="108">
        <f t="shared" si="368"/>
        <v>0</v>
      </c>
      <c r="J417" s="108">
        <f t="shared" si="369"/>
        <v>0</v>
      </c>
      <c r="K417" s="108">
        <f t="shared" si="370"/>
        <v>0</v>
      </c>
      <c r="L417" s="111"/>
      <c r="Z417" s="100">
        <f t="shared" si="371"/>
        <v>0</v>
      </c>
      <c r="AB417" s="100">
        <f t="shared" si="372"/>
        <v>0</v>
      </c>
      <c r="AC417" s="100">
        <f t="shared" si="373"/>
        <v>0</v>
      </c>
      <c r="AD417" s="100">
        <f t="shared" si="374"/>
        <v>0</v>
      </c>
      <c r="AE417" s="100">
        <f t="shared" si="375"/>
        <v>0</v>
      </c>
      <c r="AF417" s="100">
        <f t="shared" si="376"/>
        <v>0</v>
      </c>
      <c r="AG417" s="100">
        <f t="shared" si="377"/>
        <v>0</v>
      </c>
      <c r="AH417" s="100">
        <f t="shared" si="378"/>
        <v>0</v>
      </c>
      <c r="AI417" s="109"/>
      <c r="AJ417" s="108">
        <f t="shared" si="379"/>
        <v>0</v>
      </c>
      <c r="AK417" s="108">
        <f t="shared" si="380"/>
        <v>0</v>
      </c>
      <c r="AL417" s="108">
        <f t="shared" si="381"/>
        <v>0</v>
      </c>
      <c r="AN417" s="100">
        <v>15</v>
      </c>
      <c r="AO417" s="100">
        <f t="shared" si="382"/>
        <v>0</v>
      </c>
      <c r="AP417" s="100">
        <f t="shared" si="383"/>
        <v>0</v>
      </c>
      <c r="AQ417" s="111" t="s">
        <v>13</v>
      </c>
      <c r="AV417" s="100">
        <f t="shared" si="384"/>
        <v>0</v>
      </c>
      <c r="AW417" s="100">
        <f t="shared" si="385"/>
        <v>0</v>
      </c>
      <c r="AX417" s="100">
        <f t="shared" si="386"/>
        <v>0</v>
      </c>
      <c r="AY417" s="110" t="s">
        <v>1712</v>
      </c>
      <c r="AZ417" s="110" t="s">
        <v>1733</v>
      </c>
      <c r="BA417" s="109" t="s">
        <v>1737</v>
      </c>
      <c r="BC417" s="100">
        <f t="shared" si="387"/>
        <v>0</v>
      </c>
      <c r="BD417" s="100">
        <f t="shared" si="388"/>
        <v>0</v>
      </c>
      <c r="BE417" s="100">
        <v>0</v>
      </c>
      <c r="BF417" s="100">
        <f>417</f>
        <v>417</v>
      </c>
      <c r="BH417" s="108">
        <f t="shared" si="389"/>
        <v>0</v>
      </c>
      <c r="BI417" s="108">
        <f t="shared" si="390"/>
        <v>0</v>
      </c>
      <c r="BJ417" s="108">
        <f t="shared" si="391"/>
        <v>0</v>
      </c>
    </row>
    <row r="418" spans="1:62" x14ac:dyDescent="0.2">
      <c r="A418" s="117" t="s">
        <v>377</v>
      </c>
      <c r="B418" s="117" t="s">
        <v>840</v>
      </c>
      <c r="C418" s="304" t="s">
        <v>1422</v>
      </c>
      <c r="D418" s="305"/>
      <c r="E418" s="305"/>
      <c r="F418" s="117" t="s">
        <v>1652</v>
      </c>
      <c r="G418" s="116">
        <v>1</v>
      </c>
      <c r="H418" s="159"/>
      <c r="I418" s="108">
        <f t="shared" si="368"/>
        <v>0</v>
      </c>
      <c r="J418" s="108">
        <f t="shared" si="369"/>
        <v>0</v>
      </c>
      <c r="K418" s="108">
        <f t="shared" si="370"/>
        <v>0</v>
      </c>
      <c r="L418" s="111"/>
      <c r="Z418" s="100">
        <f t="shared" si="371"/>
        <v>0</v>
      </c>
      <c r="AB418" s="100">
        <f t="shared" si="372"/>
        <v>0</v>
      </c>
      <c r="AC418" s="100">
        <f t="shared" si="373"/>
        <v>0</v>
      </c>
      <c r="AD418" s="100">
        <f t="shared" si="374"/>
        <v>0</v>
      </c>
      <c r="AE418" s="100">
        <f t="shared" si="375"/>
        <v>0</v>
      </c>
      <c r="AF418" s="100">
        <f t="shared" si="376"/>
        <v>0</v>
      </c>
      <c r="AG418" s="100">
        <f t="shared" si="377"/>
        <v>0</v>
      </c>
      <c r="AH418" s="100">
        <f t="shared" si="378"/>
        <v>0</v>
      </c>
      <c r="AI418" s="109"/>
      <c r="AJ418" s="108">
        <f t="shared" si="379"/>
        <v>0</v>
      </c>
      <c r="AK418" s="108">
        <f t="shared" si="380"/>
        <v>0</v>
      </c>
      <c r="AL418" s="108">
        <f t="shared" si="381"/>
        <v>0</v>
      </c>
      <c r="AN418" s="100">
        <v>15</v>
      </c>
      <c r="AO418" s="100">
        <f t="shared" si="382"/>
        <v>0</v>
      </c>
      <c r="AP418" s="100">
        <f t="shared" si="383"/>
        <v>0</v>
      </c>
      <c r="AQ418" s="111" t="s">
        <v>13</v>
      </c>
      <c r="AV418" s="100">
        <f t="shared" si="384"/>
        <v>0</v>
      </c>
      <c r="AW418" s="100">
        <f t="shared" si="385"/>
        <v>0</v>
      </c>
      <c r="AX418" s="100">
        <f t="shared" si="386"/>
        <v>0</v>
      </c>
      <c r="AY418" s="110" t="s">
        <v>1712</v>
      </c>
      <c r="AZ418" s="110" t="s">
        <v>1733</v>
      </c>
      <c r="BA418" s="109" t="s">
        <v>1737</v>
      </c>
      <c r="BC418" s="100">
        <f t="shared" si="387"/>
        <v>0</v>
      </c>
      <c r="BD418" s="100">
        <f t="shared" si="388"/>
        <v>0</v>
      </c>
      <c r="BE418" s="100">
        <v>0</v>
      </c>
      <c r="BF418" s="100">
        <f>418</f>
        <v>418</v>
      </c>
      <c r="BH418" s="108">
        <f t="shared" si="389"/>
        <v>0</v>
      </c>
      <c r="BI418" s="108">
        <f t="shared" si="390"/>
        <v>0</v>
      </c>
      <c r="BJ418" s="108">
        <f t="shared" si="391"/>
        <v>0</v>
      </c>
    </row>
    <row r="419" spans="1:62" x14ac:dyDescent="0.2">
      <c r="A419" s="117" t="s">
        <v>378</v>
      </c>
      <c r="B419" s="117" t="s">
        <v>841</v>
      </c>
      <c r="C419" s="304" t="s">
        <v>1423</v>
      </c>
      <c r="D419" s="305"/>
      <c r="E419" s="305"/>
      <c r="F419" s="117" t="s">
        <v>1652</v>
      </c>
      <c r="G419" s="116">
        <v>1</v>
      </c>
      <c r="H419" s="159"/>
      <c r="I419" s="108">
        <f t="shared" si="368"/>
        <v>0</v>
      </c>
      <c r="J419" s="108">
        <f t="shared" si="369"/>
        <v>0</v>
      </c>
      <c r="K419" s="108">
        <f t="shared" si="370"/>
        <v>0</v>
      </c>
      <c r="L419" s="111"/>
      <c r="Z419" s="100">
        <f t="shared" si="371"/>
        <v>0</v>
      </c>
      <c r="AB419" s="100">
        <f t="shared" si="372"/>
        <v>0</v>
      </c>
      <c r="AC419" s="100">
        <f t="shared" si="373"/>
        <v>0</v>
      </c>
      <c r="AD419" s="100">
        <f t="shared" si="374"/>
        <v>0</v>
      </c>
      <c r="AE419" s="100">
        <f t="shared" si="375"/>
        <v>0</v>
      </c>
      <c r="AF419" s="100">
        <f t="shared" si="376"/>
        <v>0</v>
      </c>
      <c r="AG419" s="100">
        <f t="shared" si="377"/>
        <v>0</v>
      </c>
      <c r="AH419" s="100">
        <f t="shared" si="378"/>
        <v>0</v>
      </c>
      <c r="AI419" s="109"/>
      <c r="AJ419" s="108">
        <f t="shared" si="379"/>
        <v>0</v>
      </c>
      <c r="AK419" s="108">
        <f t="shared" si="380"/>
        <v>0</v>
      </c>
      <c r="AL419" s="108">
        <f t="shared" si="381"/>
        <v>0</v>
      </c>
      <c r="AN419" s="100">
        <v>15</v>
      </c>
      <c r="AO419" s="100">
        <f t="shared" si="382"/>
        <v>0</v>
      </c>
      <c r="AP419" s="100">
        <f t="shared" si="383"/>
        <v>0</v>
      </c>
      <c r="AQ419" s="111" t="s">
        <v>13</v>
      </c>
      <c r="AV419" s="100">
        <f t="shared" si="384"/>
        <v>0</v>
      </c>
      <c r="AW419" s="100">
        <f t="shared" si="385"/>
        <v>0</v>
      </c>
      <c r="AX419" s="100">
        <f t="shared" si="386"/>
        <v>0</v>
      </c>
      <c r="AY419" s="110" t="s">
        <v>1712</v>
      </c>
      <c r="AZ419" s="110" t="s">
        <v>1733</v>
      </c>
      <c r="BA419" s="109" t="s">
        <v>1737</v>
      </c>
      <c r="BC419" s="100">
        <f t="shared" si="387"/>
        <v>0</v>
      </c>
      <c r="BD419" s="100">
        <f t="shared" si="388"/>
        <v>0</v>
      </c>
      <c r="BE419" s="100">
        <v>0</v>
      </c>
      <c r="BF419" s="100">
        <f>419</f>
        <v>419</v>
      </c>
      <c r="BH419" s="108">
        <f t="shared" si="389"/>
        <v>0</v>
      </c>
      <c r="BI419" s="108">
        <f t="shared" si="390"/>
        <v>0</v>
      </c>
      <c r="BJ419" s="108">
        <f t="shared" si="391"/>
        <v>0</v>
      </c>
    </row>
    <row r="420" spans="1:62" x14ac:dyDescent="0.2">
      <c r="A420" s="119"/>
      <c r="B420" s="120" t="s">
        <v>842</v>
      </c>
      <c r="C420" s="306" t="s">
        <v>1424</v>
      </c>
      <c r="D420" s="307"/>
      <c r="E420" s="307"/>
      <c r="F420" s="119" t="s">
        <v>6</v>
      </c>
      <c r="G420" s="119" t="s">
        <v>6</v>
      </c>
      <c r="H420" s="119" t="s">
        <v>6</v>
      </c>
      <c r="I420" s="118">
        <f>SUM(I421:I456)</f>
        <v>0</v>
      </c>
      <c r="J420" s="118">
        <f>SUM(J421:J456)</f>
        <v>0</v>
      </c>
      <c r="K420" s="118">
        <f>SUM(K421:K456)</f>
        <v>0</v>
      </c>
      <c r="L420" s="109"/>
      <c r="AI420" s="109"/>
      <c r="AS420" s="118">
        <f>SUM(AJ421:AJ456)</f>
        <v>0</v>
      </c>
      <c r="AT420" s="118">
        <f>SUM(AK421:AK456)</f>
        <v>0</v>
      </c>
      <c r="AU420" s="118">
        <f>SUM(AL421:AL456)</f>
        <v>0</v>
      </c>
    </row>
    <row r="421" spans="1:62" x14ac:dyDescent="0.2">
      <c r="A421" s="117" t="s">
        <v>379</v>
      </c>
      <c r="B421" s="117" t="s">
        <v>127</v>
      </c>
      <c r="C421" s="304" t="s">
        <v>1425</v>
      </c>
      <c r="D421" s="305"/>
      <c r="E421" s="305"/>
      <c r="F421" s="117" t="s">
        <v>1644</v>
      </c>
      <c r="G421" s="116">
        <v>12</v>
      </c>
      <c r="H421" s="159"/>
      <c r="I421" s="108">
        <f t="shared" ref="I421:I456" si="392">G421*AO421</f>
        <v>0</v>
      </c>
      <c r="J421" s="108">
        <f t="shared" ref="J421:J456" si="393">G421*AP421</f>
        <v>0</v>
      </c>
      <c r="K421" s="108">
        <f t="shared" ref="K421:K456" si="394">G421*H421</f>
        <v>0</v>
      </c>
      <c r="L421" s="111"/>
      <c r="Z421" s="100">
        <f t="shared" ref="Z421:Z456" si="395">IF(AQ421="5",BJ421,0)</f>
        <v>0</v>
      </c>
      <c r="AB421" s="100">
        <f t="shared" ref="AB421:AB456" si="396">IF(AQ421="1",BH421,0)</f>
        <v>0</v>
      </c>
      <c r="AC421" s="100">
        <f t="shared" ref="AC421:AC456" si="397">IF(AQ421="1",BI421,0)</f>
        <v>0</v>
      </c>
      <c r="AD421" s="100">
        <f t="shared" ref="AD421:AD456" si="398">IF(AQ421="7",BH421,0)</f>
        <v>0</v>
      </c>
      <c r="AE421" s="100">
        <f t="shared" ref="AE421:AE456" si="399">IF(AQ421="7",BI421,0)</f>
        <v>0</v>
      </c>
      <c r="AF421" s="100">
        <f t="shared" ref="AF421:AF456" si="400">IF(AQ421="2",BH421,0)</f>
        <v>0</v>
      </c>
      <c r="AG421" s="100">
        <f t="shared" ref="AG421:AG456" si="401">IF(AQ421="2",BI421,0)</f>
        <v>0</v>
      </c>
      <c r="AH421" s="100">
        <f t="shared" ref="AH421:AH456" si="402">IF(AQ421="0",BJ421,0)</f>
        <v>0</v>
      </c>
      <c r="AI421" s="109"/>
      <c r="AJ421" s="108">
        <f t="shared" ref="AJ421:AJ456" si="403">IF(AN421=0,K421,0)</f>
        <v>0</v>
      </c>
      <c r="AK421" s="108">
        <f t="shared" ref="AK421:AK456" si="404">IF(AN421=15,K421,0)</f>
        <v>0</v>
      </c>
      <c r="AL421" s="108">
        <f t="shared" ref="AL421:AL456" si="405">IF(AN421=21,K421,0)</f>
        <v>0</v>
      </c>
      <c r="AN421" s="100">
        <v>15</v>
      </c>
      <c r="AO421" s="100">
        <f t="shared" ref="AO421:AO456" si="406">H421*0</f>
        <v>0</v>
      </c>
      <c r="AP421" s="100">
        <f t="shared" ref="AP421:AP456" si="407">H421*(1-0)</f>
        <v>0</v>
      </c>
      <c r="AQ421" s="111" t="s">
        <v>13</v>
      </c>
      <c r="AV421" s="100">
        <f t="shared" ref="AV421:AV456" si="408">AW421+AX421</f>
        <v>0</v>
      </c>
      <c r="AW421" s="100">
        <f t="shared" ref="AW421:AW456" si="409">G421*AO421</f>
        <v>0</v>
      </c>
      <c r="AX421" s="100">
        <f t="shared" ref="AX421:AX456" si="410">G421*AP421</f>
        <v>0</v>
      </c>
      <c r="AY421" s="110" t="s">
        <v>1713</v>
      </c>
      <c r="AZ421" s="110" t="s">
        <v>1733</v>
      </c>
      <c r="BA421" s="109" t="s">
        <v>1737</v>
      </c>
      <c r="BC421" s="100">
        <f t="shared" ref="BC421:BC456" si="411">AW421+AX421</f>
        <v>0</v>
      </c>
      <c r="BD421" s="100">
        <f t="shared" ref="BD421:BD456" si="412">H421/(100-BE421)*100</f>
        <v>0</v>
      </c>
      <c r="BE421" s="100">
        <v>0</v>
      </c>
      <c r="BF421" s="100">
        <f>421</f>
        <v>421</v>
      </c>
      <c r="BH421" s="108">
        <f t="shared" ref="BH421:BH456" si="413">G421*AO421</f>
        <v>0</v>
      </c>
      <c r="BI421" s="108">
        <f t="shared" ref="BI421:BI456" si="414">G421*AP421</f>
        <v>0</v>
      </c>
      <c r="BJ421" s="108">
        <f t="shared" ref="BJ421:BJ456" si="415">G421*H421</f>
        <v>0</v>
      </c>
    </row>
    <row r="422" spans="1:62" x14ac:dyDescent="0.2">
      <c r="A422" s="117" t="s">
        <v>380</v>
      </c>
      <c r="B422" s="117" t="s">
        <v>128</v>
      </c>
      <c r="C422" s="304" t="s">
        <v>1426</v>
      </c>
      <c r="D422" s="305"/>
      <c r="E422" s="305"/>
      <c r="F422" s="117" t="s">
        <v>1646</v>
      </c>
      <c r="G422" s="116">
        <v>220</v>
      </c>
      <c r="H422" s="159"/>
      <c r="I422" s="108">
        <f t="shared" si="392"/>
        <v>0</v>
      </c>
      <c r="J422" s="108">
        <f t="shared" si="393"/>
        <v>0</v>
      </c>
      <c r="K422" s="108">
        <f t="shared" si="394"/>
        <v>0</v>
      </c>
      <c r="L422" s="111"/>
      <c r="Z422" s="100">
        <f t="shared" si="395"/>
        <v>0</v>
      </c>
      <c r="AB422" s="100">
        <f t="shared" si="396"/>
        <v>0</v>
      </c>
      <c r="AC422" s="100">
        <f t="shared" si="397"/>
        <v>0</v>
      </c>
      <c r="AD422" s="100">
        <f t="shared" si="398"/>
        <v>0</v>
      </c>
      <c r="AE422" s="100">
        <f t="shared" si="399"/>
        <v>0</v>
      </c>
      <c r="AF422" s="100">
        <f t="shared" si="400"/>
        <v>0</v>
      </c>
      <c r="AG422" s="100">
        <f t="shared" si="401"/>
        <v>0</v>
      </c>
      <c r="AH422" s="100">
        <f t="shared" si="402"/>
        <v>0</v>
      </c>
      <c r="AI422" s="109"/>
      <c r="AJ422" s="108">
        <f t="shared" si="403"/>
        <v>0</v>
      </c>
      <c r="AK422" s="108">
        <f t="shared" si="404"/>
        <v>0</v>
      </c>
      <c r="AL422" s="108">
        <f t="shared" si="405"/>
        <v>0</v>
      </c>
      <c r="AN422" s="100">
        <v>15</v>
      </c>
      <c r="AO422" s="100">
        <f t="shared" si="406"/>
        <v>0</v>
      </c>
      <c r="AP422" s="100">
        <f t="shared" si="407"/>
        <v>0</v>
      </c>
      <c r="AQ422" s="111" t="s">
        <v>13</v>
      </c>
      <c r="AV422" s="100">
        <f t="shared" si="408"/>
        <v>0</v>
      </c>
      <c r="AW422" s="100">
        <f t="shared" si="409"/>
        <v>0</v>
      </c>
      <c r="AX422" s="100">
        <f t="shared" si="410"/>
        <v>0</v>
      </c>
      <c r="AY422" s="110" t="s">
        <v>1713</v>
      </c>
      <c r="AZ422" s="110" t="s">
        <v>1733</v>
      </c>
      <c r="BA422" s="109" t="s">
        <v>1737</v>
      </c>
      <c r="BC422" s="100">
        <f t="shared" si="411"/>
        <v>0</v>
      </c>
      <c r="BD422" s="100">
        <f t="shared" si="412"/>
        <v>0</v>
      </c>
      <c r="BE422" s="100">
        <v>0</v>
      </c>
      <c r="BF422" s="100">
        <f>422</f>
        <v>422</v>
      </c>
      <c r="BH422" s="108">
        <f t="shared" si="413"/>
        <v>0</v>
      </c>
      <c r="BI422" s="108">
        <f t="shared" si="414"/>
        <v>0</v>
      </c>
      <c r="BJ422" s="108">
        <f t="shared" si="415"/>
        <v>0</v>
      </c>
    </row>
    <row r="423" spans="1:62" x14ac:dyDescent="0.2">
      <c r="A423" s="117" t="s">
        <v>381</v>
      </c>
      <c r="B423" s="117" t="s">
        <v>129</v>
      </c>
      <c r="C423" s="304" t="s">
        <v>1427</v>
      </c>
      <c r="D423" s="305"/>
      <c r="E423" s="305"/>
      <c r="F423" s="117" t="s">
        <v>1644</v>
      </c>
      <c r="G423" s="116">
        <v>12</v>
      </c>
      <c r="H423" s="159"/>
      <c r="I423" s="108">
        <f t="shared" si="392"/>
        <v>0</v>
      </c>
      <c r="J423" s="108">
        <f t="shared" si="393"/>
        <v>0</v>
      </c>
      <c r="K423" s="108">
        <f t="shared" si="394"/>
        <v>0</v>
      </c>
      <c r="L423" s="111"/>
      <c r="Z423" s="100">
        <f t="shared" si="395"/>
        <v>0</v>
      </c>
      <c r="AB423" s="100">
        <f t="shared" si="396"/>
        <v>0</v>
      </c>
      <c r="AC423" s="100">
        <f t="shared" si="397"/>
        <v>0</v>
      </c>
      <c r="AD423" s="100">
        <f t="shared" si="398"/>
        <v>0</v>
      </c>
      <c r="AE423" s="100">
        <f t="shared" si="399"/>
        <v>0</v>
      </c>
      <c r="AF423" s="100">
        <f t="shared" si="400"/>
        <v>0</v>
      </c>
      <c r="AG423" s="100">
        <f t="shared" si="401"/>
        <v>0</v>
      </c>
      <c r="AH423" s="100">
        <f t="shared" si="402"/>
        <v>0</v>
      </c>
      <c r="AI423" s="109"/>
      <c r="AJ423" s="108">
        <f t="shared" si="403"/>
        <v>0</v>
      </c>
      <c r="AK423" s="108">
        <f t="shared" si="404"/>
        <v>0</v>
      </c>
      <c r="AL423" s="108">
        <f t="shared" si="405"/>
        <v>0</v>
      </c>
      <c r="AN423" s="100">
        <v>15</v>
      </c>
      <c r="AO423" s="100">
        <f t="shared" si="406"/>
        <v>0</v>
      </c>
      <c r="AP423" s="100">
        <f t="shared" si="407"/>
        <v>0</v>
      </c>
      <c r="AQ423" s="111" t="s">
        <v>13</v>
      </c>
      <c r="AV423" s="100">
        <f t="shared" si="408"/>
        <v>0</v>
      </c>
      <c r="AW423" s="100">
        <f t="shared" si="409"/>
        <v>0</v>
      </c>
      <c r="AX423" s="100">
        <f t="shared" si="410"/>
        <v>0</v>
      </c>
      <c r="AY423" s="110" t="s">
        <v>1713</v>
      </c>
      <c r="AZ423" s="110" t="s">
        <v>1733</v>
      </c>
      <c r="BA423" s="109" t="s">
        <v>1737</v>
      </c>
      <c r="BC423" s="100">
        <f t="shared" si="411"/>
        <v>0</v>
      </c>
      <c r="BD423" s="100">
        <f t="shared" si="412"/>
        <v>0</v>
      </c>
      <c r="BE423" s="100">
        <v>0</v>
      </c>
      <c r="BF423" s="100">
        <f>423</f>
        <v>423</v>
      </c>
      <c r="BH423" s="108">
        <f t="shared" si="413"/>
        <v>0</v>
      </c>
      <c r="BI423" s="108">
        <f t="shared" si="414"/>
        <v>0</v>
      </c>
      <c r="BJ423" s="108">
        <f t="shared" si="415"/>
        <v>0</v>
      </c>
    </row>
    <row r="424" spans="1:62" x14ac:dyDescent="0.2">
      <c r="A424" s="117" t="s">
        <v>382</v>
      </c>
      <c r="B424" s="117" t="s">
        <v>130</v>
      </c>
      <c r="C424" s="304" t="s">
        <v>1428</v>
      </c>
      <c r="D424" s="305"/>
      <c r="E424" s="305"/>
      <c r="F424" s="117" t="s">
        <v>1646</v>
      </c>
      <c r="G424" s="116">
        <v>25</v>
      </c>
      <c r="H424" s="159"/>
      <c r="I424" s="108">
        <f t="shared" si="392"/>
        <v>0</v>
      </c>
      <c r="J424" s="108">
        <f t="shared" si="393"/>
        <v>0</v>
      </c>
      <c r="K424" s="108">
        <f t="shared" si="394"/>
        <v>0</v>
      </c>
      <c r="L424" s="111"/>
      <c r="Z424" s="100">
        <f t="shared" si="395"/>
        <v>0</v>
      </c>
      <c r="AB424" s="100">
        <f t="shared" si="396"/>
        <v>0</v>
      </c>
      <c r="AC424" s="100">
        <f t="shared" si="397"/>
        <v>0</v>
      </c>
      <c r="AD424" s="100">
        <f t="shared" si="398"/>
        <v>0</v>
      </c>
      <c r="AE424" s="100">
        <f t="shared" si="399"/>
        <v>0</v>
      </c>
      <c r="AF424" s="100">
        <f t="shared" si="400"/>
        <v>0</v>
      </c>
      <c r="AG424" s="100">
        <f t="shared" si="401"/>
        <v>0</v>
      </c>
      <c r="AH424" s="100">
        <f t="shared" si="402"/>
        <v>0</v>
      </c>
      <c r="AI424" s="109"/>
      <c r="AJ424" s="108">
        <f t="shared" si="403"/>
        <v>0</v>
      </c>
      <c r="AK424" s="108">
        <f t="shared" si="404"/>
        <v>0</v>
      </c>
      <c r="AL424" s="108">
        <f t="shared" si="405"/>
        <v>0</v>
      </c>
      <c r="AN424" s="100">
        <v>15</v>
      </c>
      <c r="AO424" s="100">
        <f t="shared" si="406"/>
        <v>0</v>
      </c>
      <c r="AP424" s="100">
        <f t="shared" si="407"/>
        <v>0</v>
      </c>
      <c r="AQ424" s="111" t="s">
        <v>13</v>
      </c>
      <c r="AV424" s="100">
        <f t="shared" si="408"/>
        <v>0</v>
      </c>
      <c r="AW424" s="100">
        <f t="shared" si="409"/>
        <v>0</v>
      </c>
      <c r="AX424" s="100">
        <f t="shared" si="410"/>
        <v>0</v>
      </c>
      <c r="AY424" s="110" t="s">
        <v>1713</v>
      </c>
      <c r="AZ424" s="110" t="s">
        <v>1733</v>
      </c>
      <c r="BA424" s="109" t="s">
        <v>1737</v>
      </c>
      <c r="BC424" s="100">
        <f t="shared" si="411"/>
        <v>0</v>
      </c>
      <c r="BD424" s="100">
        <f t="shared" si="412"/>
        <v>0</v>
      </c>
      <c r="BE424" s="100">
        <v>0</v>
      </c>
      <c r="BF424" s="100">
        <f>424</f>
        <v>424</v>
      </c>
      <c r="BH424" s="108">
        <f t="shared" si="413"/>
        <v>0</v>
      </c>
      <c r="BI424" s="108">
        <f t="shared" si="414"/>
        <v>0</v>
      </c>
      <c r="BJ424" s="108">
        <f t="shared" si="415"/>
        <v>0</v>
      </c>
    </row>
    <row r="425" spans="1:62" x14ac:dyDescent="0.2">
      <c r="A425" s="117" t="s">
        <v>383</v>
      </c>
      <c r="B425" s="117" t="s">
        <v>131</v>
      </c>
      <c r="C425" s="304" t="s">
        <v>1429</v>
      </c>
      <c r="D425" s="305"/>
      <c r="E425" s="305"/>
      <c r="F425" s="117" t="s">
        <v>1646</v>
      </c>
      <c r="G425" s="116">
        <v>25</v>
      </c>
      <c r="H425" s="159"/>
      <c r="I425" s="108">
        <f t="shared" si="392"/>
        <v>0</v>
      </c>
      <c r="J425" s="108">
        <f t="shared" si="393"/>
        <v>0</v>
      </c>
      <c r="K425" s="108">
        <f t="shared" si="394"/>
        <v>0</v>
      </c>
      <c r="L425" s="111"/>
      <c r="Z425" s="100">
        <f t="shared" si="395"/>
        <v>0</v>
      </c>
      <c r="AB425" s="100">
        <f t="shared" si="396"/>
        <v>0</v>
      </c>
      <c r="AC425" s="100">
        <f t="shared" si="397"/>
        <v>0</v>
      </c>
      <c r="AD425" s="100">
        <f t="shared" si="398"/>
        <v>0</v>
      </c>
      <c r="AE425" s="100">
        <f t="shared" si="399"/>
        <v>0</v>
      </c>
      <c r="AF425" s="100">
        <f t="shared" si="400"/>
        <v>0</v>
      </c>
      <c r="AG425" s="100">
        <f t="shared" si="401"/>
        <v>0</v>
      </c>
      <c r="AH425" s="100">
        <f t="shared" si="402"/>
        <v>0</v>
      </c>
      <c r="AI425" s="109"/>
      <c r="AJ425" s="108">
        <f t="shared" si="403"/>
        <v>0</v>
      </c>
      <c r="AK425" s="108">
        <f t="shared" si="404"/>
        <v>0</v>
      </c>
      <c r="AL425" s="108">
        <f t="shared" si="405"/>
        <v>0</v>
      </c>
      <c r="AN425" s="100">
        <v>15</v>
      </c>
      <c r="AO425" s="100">
        <f t="shared" si="406"/>
        <v>0</v>
      </c>
      <c r="AP425" s="100">
        <f t="shared" si="407"/>
        <v>0</v>
      </c>
      <c r="AQ425" s="111" t="s">
        <v>13</v>
      </c>
      <c r="AV425" s="100">
        <f t="shared" si="408"/>
        <v>0</v>
      </c>
      <c r="AW425" s="100">
        <f t="shared" si="409"/>
        <v>0</v>
      </c>
      <c r="AX425" s="100">
        <f t="shared" si="410"/>
        <v>0</v>
      </c>
      <c r="AY425" s="110" t="s">
        <v>1713</v>
      </c>
      <c r="AZ425" s="110" t="s">
        <v>1733</v>
      </c>
      <c r="BA425" s="109" t="s">
        <v>1737</v>
      </c>
      <c r="BC425" s="100">
        <f t="shared" si="411"/>
        <v>0</v>
      </c>
      <c r="BD425" s="100">
        <f t="shared" si="412"/>
        <v>0</v>
      </c>
      <c r="BE425" s="100">
        <v>0</v>
      </c>
      <c r="BF425" s="100">
        <f>425</f>
        <v>425</v>
      </c>
      <c r="BH425" s="108">
        <f t="shared" si="413"/>
        <v>0</v>
      </c>
      <c r="BI425" s="108">
        <f t="shared" si="414"/>
        <v>0</v>
      </c>
      <c r="BJ425" s="108">
        <f t="shared" si="415"/>
        <v>0</v>
      </c>
    </row>
    <row r="426" spans="1:62" x14ac:dyDescent="0.2">
      <c r="A426" s="117" t="s">
        <v>384</v>
      </c>
      <c r="B426" s="117" t="s">
        <v>132</v>
      </c>
      <c r="C426" s="304" t="s">
        <v>3458</v>
      </c>
      <c r="D426" s="305"/>
      <c r="E426" s="305"/>
      <c r="F426" s="117" t="s">
        <v>1644</v>
      </c>
      <c r="G426" s="116">
        <v>1</v>
      </c>
      <c r="H426" s="159"/>
      <c r="I426" s="108">
        <f t="shared" si="392"/>
        <v>0</v>
      </c>
      <c r="J426" s="108">
        <f t="shared" si="393"/>
        <v>0</v>
      </c>
      <c r="K426" s="108">
        <f t="shared" si="394"/>
        <v>0</v>
      </c>
      <c r="L426" s="111"/>
      <c r="Z426" s="100">
        <f t="shared" si="395"/>
        <v>0</v>
      </c>
      <c r="AB426" s="100">
        <f t="shared" si="396"/>
        <v>0</v>
      </c>
      <c r="AC426" s="100">
        <f t="shared" si="397"/>
        <v>0</v>
      </c>
      <c r="AD426" s="100">
        <f t="shared" si="398"/>
        <v>0</v>
      </c>
      <c r="AE426" s="100">
        <f t="shared" si="399"/>
        <v>0</v>
      </c>
      <c r="AF426" s="100">
        <f t="shared" si="400"/>
        <v>0</v>
      </c>
      <c r="AG426" s="100">
        <f t="shared" si="401"/>
        <v>0</v>
      </c>
      <c r="AH426" s="100">
        <f t="shared" si="402"/>
        <v>0</v>
      </c>
      <c r="AI426" s="109"/>
      <c r="AJ426" s="108">
        <f t="shared" si="403"/>
        <v>0</v>
      </c>
      <c r="AK426" s="108">
        <f t="shared" si="404"/>
        <v>0</v>
      </c>
      <c r="AL426" s="108">
        <f t="shared" si="405"/>
        <v>0</v>
      </c>
      <c r="AN426" s="100">
        <v>15</v>
      </c>
      <c r="AO426" s="100">
        <f t="shared" si="406"/>
        <v>0</v>
      </c>
      <c r="AP426" s="100">
        <f t="shared" si="407"/>
        <v>0</v>
      </c>
      <c r="AQ426" s="111" t="s">
        <v>13</v>
      </c>
      <c r="AV426" s="100">
        <f t="shared" si="408"/>
        <v>0</v>
      </c>
      <c r="AW426" s="100">
        <f t="shared" si="409"/>
        <v>0</v>
      </c>
      <c r="AX426" s="100">
        <f t="shared" si="410"/>
        <v>0</v>
      </c>
      <c r="AY426" s="110" t="s">
        <v>1713</v>
      </c>
      <c r="AZ426" s="110" t="s">
        <v>1733</v>
      </c>
      <c r="BA426" s="109" t="s">
        <v>1737</v>
      </c>
      <c r="BC426" s="100">
        <f t="shared" si="411"/>
        <v>0</v>
      </c>
      <c r="BD426" s="100">
        <f t="shared" si="412"/>
        <v>0</v>
      </c>
      <c r="BE426" s="100">
        <v>0</v>
      </c>
      <c r="BF426" s="100">
        <f>426</f>
        <v>426</v>
      </c>
      <c r="BH426" s="108">
        <f t="shared" si="413"/>
        <v>0</v>
      </c>
      <c r="BI426" s="108">
        <f t="shared" si="414"/>
        <v>0</v>
      </c>
      <c r="BJ426" s="108">
        <f t="shared" si="415"/>
        <v>0</v>
      </c>
    </row>
    <row r="427" spans="1:62" x14ac:dyDescent="0.2">
      <c r="A427" s="117" t="s">
        <v>385</v>
      </c>
      <c r="B427" s="117" t="s">
        <v>133</v>
      </c>
      <c r="C427" s="304" t="s">
        <v>1431</v>
      </c>
      <c r="D427" s="305"/>
      <c r="E427" s="305"/>
      <c r="F427" s="117" t="s">
        <v>1646</v>
      </c>
      <c r="G427" s="116">
        <v>55</v>
      </c>
      <c r="H427" s="159"/>
      <c r="I427" s="108">
        <f t="shared" si="392"/>
        <v>0</v>
      </c>
      <c r="J427" s="108">
        <f t="shared" si="393"/>
        <v>0</v>
      </c>
      <c r="K427" s="108">
        <f t="shared" si="394"/>
        <v>0</v>
      </c>
      <c r="L427" s="111"/>
      <c r="Z427" s="100">
        <f t="shared" si="395"/>
        <v>0</v>
      </c>
      <c r="AB427" s="100">
        <f t="shared" si="396"/>
        <v>0</v>
      </c>
      <c r="AC427" s="100">
        <f t="shared" si="397"/>
        <v>0</v>
      </c>
      <c r="AD427" s="100">
        <f t="shared" si="398"/>
        <v>0</v>
      </c>
      <c r="AE427" s="100">
        <f t="shared" si="399"/>
        <v>0</v>
      </c>
      <c r="AF427" s="100">
        <f t="shared" si="400"/>
        <v>0</v>
      </c>
      <c r="AG427" s="100">
        <f t="shared" si="401"/>
        <v>0</v>
      </c>
      <c r="AH427" s="100">
        <f t="shared" si="402"/>
        <v>0</v>
      </c>
      <c r="AI427" s="109"/>
      <c r="AJ427" s="108">
        <f t="shared" si="403"/>
        <v>0</v>
      </c>
      <c r="AK427" s="108">
        <f t="shared" si="404"/>
        <v>0</v>
      </c>
      <c r="AL427" s="108">
        <f t="shared" si="405"/>
        <v>0</v>
      </c>
      <c r="AN427" s="100">
        <v>15</v>
      </c>
      <c r="AO427" s="100">
        <f t="shared" si="406"/>
        <v>0</v>
      </c>
      <c r="AP427" s="100">
        <f t="shared" si="407"/>
        <v>0</v>
      </c>
      <c r="AQ427" s="111" t="s">
        <v>13</v>
      </c>
      <c r="AV427" s="100">
        <f t="shared" si="408"/>
        <v>0</v>
      </c>
      <c r="AW427" s="100">
        <f t="shared" si="409"/>
        <v>0</v>
      </c>
      <c r="AX427" s="100">
        <f t="shared" si="410"/>
        <v>0</v>
      </c>
      <c r="AY427" s="110" t="s">
        <v>1713</v>
      </c>
      <c r="AZ427" s="110" t="s">
        <v>1733</v>
      </c>
      <c r="BA427" s="109" t="s">
        <v>1737</v>
      </c>
      <c r="BC427" s="100">
        <f t="shared" si="411"/>
        <v>0</v>
      </c>
      <c r="BD427" s="100">
        <f t="shared" si="412"/>
        <v>0</v>
      </c>
      <c r="BE427" s="100">
        <v>0</v>
      </c>
      <c r="BF427" s="100">
        <f>427</f>
        <v>427</v>
      </c>
      <c r="BH427" s="108">
        <f t="shared" si="413"/>
        <v>0</v>
      </c>
      <c r="BI427" s="108">
        <f t="shared" si="414"/>
        <v>0</v>
      </c>
      <c r="BJ427" s="108">
        <f t="shared" si="415"/>
        <v>0</v>
      </c>
    </row>
    <row r="428" spans="1:62" x14ac:dyDescent="0.2">
      <c r="A428" s="117" t="s">
        <v>386</v>
      </c>
      <c r="B428" s="117" t="s">
        <v>134</v>
      </c>
      <c r="C428" s="304" t="s">
        <v>1432</v>
      </c>
      <c r="D428" s="305"/>
      <c r="E428" s="305"/>
      <c r="F428" s="117" t="s">
        <v>1644</v>
      </c>
      <c r="G428" s="116">
        <v>4</v>
      </c>
      <c r="H428" s="159"/>
      <c r="I428" s="108">
        <f t="shared" si="392"/>
        <v>0</v>
      </c>
      <c r="J428" s="108">
        <f t="shared" si="393"/>
        <v>0</v>
      </c>
      <c r="K428" s="108">
        <f t="shared" si="394"/>
        <v>0</v>
      </c>
      <c r="L428" s="111"/>
      <c r="Z428" s="100">
        <f t="shared" si="395"/>
        <v>0</v>
      </c>
      <c r="AB428" s="100">
        <f t="shared" si="396"/>
        <v>0</v>
      </c>
      <c r="AC428" s="100">
        <f t="shared" si="397"/>
        <v>0</v>
      </c>
      <c r="AD428" s="100">
        <f t="shared" si="398"/>
        <v>0</v>
      </c>
      <c r="AE428" s="100">
        <f t="shared" si="399"/>
        <v>0</v>
      </c>
      <c r="AF428" s="100">
        <f t="shared" si="400"/>
        <v>0</v>
      </c>
      <c r="AG428" s="100">
        <f t="shared" si="401"/>
        <v>0</v>
      </c>
      <c r="AH428" s="100">
        <f t="shared" si="402"/>
        <v>0</v>
      </c>
      <c r="AI428" s="109"/>
      <c r="AJ428" s="108">
        <f t="shared" si="403"/>
        <v>0</v>
      </c>
      <c r="AK428" s="108">
        <f t="shared" si="404"/>
        <v>0</v>
      </c>
      <c r="AL428" s="108">
        <f t="shared" si="405"/>
        <v>0</v>
      </c>
      <c r="AN428" s="100">
        <v>15</v>
      </c>
      <c r="AO428" s="100">
        <f t="shared" si="406"/>
        <v>0</v>
      </c>
      <c r="AP428" s="100">
        <f t="shared" si="407"/>
        <v>0</v>
      </c>
      <c r="AQ428" s="111" t="s">
        <v>13</v>
      </c>
      <c r="AV428" s="100">
        <f t="shared" si="408"/>
        <v>0</v>
      </c>
      <c r="AW428" s="100">
        <f t="shared" si="409"/>
        <v>0</v>
      </c>
      <c r="AX428" s="100">
        <f t="shared" si="410"/>
        <v>0</v>
      </c>
      <c r="AY428" s="110" t="s">
        <v>1713</v>
      </c>
      <c r="AZ428" s="110" t="s">
        <v>1733</v>
      </c>
      <c r="BA428" s="109" t="s">
        <v>1737</v>
      </c>
      <c r="BC428" s="100">
        <f t="shared" si="411"/>
        <v>0</v>
      </c>
      <c r="BD428" s="100">
        <f t="shared" si="412"/>
        <v>0</v>
      </c>
      <c r="BE428" s="100">
        <v>0</v>
      </c>
      <c r="BF428" s="100">
        <f>428</f>
        <v>428</v>
      </c>
      <c r="BH428" s="108">
        <f t="shared" si="413"/>
        <v>0</v>
      </c>
      <c r="BI428" s="108">
        <f t="shared" si="414"/>
        <v>0</v>
      </c>
      <c r="BJ428" s="108">
        <f t="shared" si="415"/>
        <v>0</v>
      </c>
    </row>
    <row r="429" spans="1:62" x14ac:dyDescent="0.2">
      <c r="A429" s="117" t="s">
        <v>387</v>
      </c>
      <c r="B429" s="117" t="s">
        <v>135</v>
      </c>
      <c r="C429" s="304" t="s">
        <v>1996</v>
      </c>
      <c r="D429" s="305"/>
      <c r="E429" s="305"/>
      <c r="F429" s="117" t="s">
        <v>1644</v>
      </c>
      <c r="G429" s="116">
        <v>6</v>
      </c>
      <c r="H429" s="159"/>
      <c r="I429" s="108">
        <f t="shared" si="392"/>
        <v>0</v>
      </c>
      <c r="J429" s="108">
        <f t="shared" si="393"/>
        <v>0</v>
      </c>
      <c r="K429" s="108">
        <f t="shared" si="394"/>
        <v>0</v>
      </c>
      <c r="L429" s="111"/>
      <c r="Z429" s="100">
        <f t="shared" si="395"/>
        <v>0</v>
      </c>
      <c r="AB429" s="100">
        <f t="shared" si="396"/>
        <v>0</v>
      </c>
      <c r="AC429" s="100">
        <f t="shared" si="397"/>
        <v>0</v>
      </c>
      <c r="AD429" s="100">
        <f t="shared" si="398"/>
        <v>0</v>
      </c>
      <c r="AE429" s="100">
        <f t="shared" si="399"/>
        <v>0</v>
      </c>
      <c r="AF429" s="100">
        <f t="shared" si="400"/>
        <v>0</v>
      </c>
      <c r="AG429" s="100">
        <f t="shared" si="401"/>
        <v>0</v>
      </c>
      <c r="AH429" s="100">
        <f t="shared" si="402"/>
        <v>0</v>
      </c>
      <c r="AI429" s="109"/>
      <c r="AJ429" s="108">
        <f t="shared" si="403"/>
        <v>0</v>
      </c>
      <c r="AK429" s="108">
        <f t="shared" si="404"/>
        <v>0</v>
      </c>
      <c r="AL429" s="108">
        <f t="shared" si="405"/>
        <v>0</v>
      </c>
      <c r="AN429" s="100">
        <v>15</v>
      </c>
      <c r="AO429" s="100">
        <f t="shared" si="406"/>
        <v>0</v>
      </c>
      <c r="AP429" s="100">
        <f t="shared" si="407"/>
        <v>0</v>
      </c>
      <c r="AQ429" s="111" t="s">
        <v>13</v>
      </c>
      <c r="AV429" s="100">
        <f t="shared" si="408"/>
        <v>0</v>
      </c>
      <c r="AW429" s="100">
        <f t="shared" si="409"/>
        <v>0</v>
      </c>
      <c r="AX429" s="100">
        <f t="shared" si="410"/>
        <v>0</v>
      </c>
      <c r="AY429" s="110" t="s">
        <v>1713</v>
      </c>
      <c r="AZ429" s="110" t="s">
        <v>1733</v>
      </c>
      <c r="BA429" s="109" t="s">
        <v>1737</v>
      </c>
      <c r="BC429" s="100">
        <f t="shared" si="411"/>
        <v>0</v>
      </c>
      <c r="BD429" s="100">
        <f t="shared" si="412"/>
        <v>0</v>
      </c>
      <c r="BE429" s="100">
        <v>0</v>
      </c>
      <c r="BF429" s="100">
        <f>429</f>
        <v>429</v>
      </c>
      <c r="BH429" s="108">
        <f t="shared" si="413"/>
        <v>0</v>
      </c>
      <c r="BI429" s="108">
        <f t="shared" si="414"/>
        <v>0</v>
      </c>
      <c r="BJ429" s="108">
        <f t="shared" si="415"/>
        <v>0</v>
      </c>
    </row>
    <row r="430" spans="1:62" x14ac:dyDescent="0.2">
      <c r="A430" s="117" t="s">
        <v>388</v>
      </c>
      <c r="B430" s="117" t="s">
        <v>843</v>
      </c>
      <c r="C430" s="304" t="s">
        <v>1433</v>
      </c>
      <c r="D430" s="305"/>
      <c r="E430" s="305"/>
      <c r="F430" s="117" t="s">
        <v>1646</v>
      </c>
      <c r="G430" s="116">
        <v>55</v>
      </c>
      <c r="H430" s="159"/>
      <c r="I430" s="108">
        <f t="shared" si="392"/>
        <v>0</v>
      </c>
      <c r="J430" s="108">
        <f t="shared" si="393"/>
        <v>0</v>
      </c>
      <c r="K430" s="108">
        <f t="shared" si="394"/>
        <v>0</v>
      </c>
      <c r="L430" s="111"/>
      <c r="Z430" s="100">
        <f t="shared" si="395"/>
        <v>0</v>
      </c>
      <c r="AB430" s="100">
        <f t="shared" si="396"/>
        <v>0</v>
      </c>
      <c r="AC430" s="100">
        <f t="shared" si="397"/>
        <v>0</v>
      </c>
      <c r="AD430" s="100">
        <f t="shared" si="398"/>
        <v>0</v>
      </c>
      <c r="AE430" s="100">
        <f t="shared" si="399"/>
        <v>0</v>
      </c>
      <c r="AF430" s="100">
        <f t="shared" si="400"/>
        <v>0</v>
      </c>
      <c r="AG430" s="100">
        <f t="shared" si="401"/>
        <v>0</v>
      </c>
      <c r="AH430" s="100">
        <f t="shared" si="402"/>
        <v>0</v>
      </c>
      <c r="AI430" s="109"/>
      <c r="AJ430" s="108">
        <f t="shared" si="403"/>
        <v>0</v>
      </c>
      <c r="AK430" s="108">
        <f t="shared" si="404"/>
        <v>0</v>
      </c>
      <c r="AL430" s="108">
        <f t="shared" si="405"/>
        <v>0</v>
      </c>
      <c r="AN430" s="100">
        <v>15</v>
      </c>
      <c r="AO430" s="100">
        <f t="shared" si="406"/>
        <v>0</v>
      </c>
      <c r="AP430" s="100">
        <f t="shared" si="407"/>
        <v>0</v>
      </c>
      <c r="AQ430" s="111" t="s">
        <v>13</v>
      </c>
      <c r="AV430" s="100">
        <f t="shared" si="408"/>
        <v>0</v>
      </c>
      <c r="AW430" s="100">
        <f t="shared" si="409"/>
        <v>0</v>
      </c>
      <c r="AX430" s="100">
        <f t="shared" si="410"/>
        <v>0</v>
      </c>
      <c r="AY430" s="110" t="s">
        <v>1713</v>
      </c>
      <c r="AZ430" s="110" t="s">
        <v>1733</v>
      </c>
      <c r="BA430" s="109" t="s">
        <v>1737</v>
      </c>
      <c r="BC430" s="100">
        <f t="shared" si="411"/>
        <v>0</v>
      </c>
      <c r="BD430" s="100">
        <f t="shared" si="412"/>
        <v>0</v>
      </c>
      <c r="BE430" s="100">
        <v>0</v>
      </c>
      <c r="BF430" s="100">
        <f>430</f>
        <v>430</v>
      </c>
      <c r="BH430" s="108">
        <f t="shared" si="413"/>
        <v>0</v>
      </c>
      <c r="BI430" s="108">
        <f t="shared" si="414"/>
        <v>0</v>
      </c>
      <c r="BJ430" s="108">
        <f t="shared" si="415"/>
        <v>0</v>
      </c>
    </row>
    <row r="431" spans="1:62" x14ac:dyDescent="0.2">
      <c r="A431" s="117" t="s">
        <v>389</v>
      </c>
      <c r="B431" s="117" t="s">
        <v>844</v>
      </c>
      <c r="C431" s="304" t="s">
        <v>1434</v>
      </c>
      <c r="D431" s="305"/>
      <c r="E431" s="305"/>
      <c r="F431" s="117" t="s">
        <v>1646</v>
      </c>
      <c r="G431" s="116">
        <v>55</v>
      </c>
      <c r="H431" s="159"/>
      <c r="I431" s="108">
        <f t="shared" si="392"/>
        <v>0</v>
      </c>
      <c r="J431" s="108">
        <f t="shared" si="393"/>
        <v>0</v>
      </c>
      <c r="K431" s="108">
        <f t="shared" si="394"/>
        <v>0</v>
      </c>
      <c r="L431" s="111"/>
      <c r="Z431" s="100">
        <f t="shared" si="395"/>
        <v>0</v>
      </c>
      <c r="AB431" s="100">
        <f t="shared" si="396"/>
        <v>0</v>
      </c>
      <c r="AC431" s="100">
        <f t="shared" si="397"/>
        <v>0</v>
      </c>
      <c r="AD431" s="100">
        <f t="shared" si="398"/>
        <v>0</v>
      </c>
      <c r="AE431" s="100">
        <f t="shared" si="399"/>
        <v>0</v>
      </c>
      <c r="AF431" s="100">
        <f t="shared" si="400"/>
        <v>0</v>
      </c>
      <c r="AG431" s="100">
        <f t="shared" si="401"/>
        <v>0</v>
      </c>
      <c r="AH431" s="100">
        <f t="shared" si="402"/>
        <v>0</v>
      </c>
      <c r="AI431" s="109"/>
      <c r="AJ431" s="108">
        <f t="shared" si="403"/>
        <v>0</v>
      </c>
      <c r="AK431" s="108">
        <f t="shared" si="404"/>
        <v>0</v>
      </c>
      <c r="AL431" s="108">
        <f t="shared" si="405"/>
        <v>0</v>
      </c>
      <c r="AN431" s="100">
        <v>15</v>
      </c>
      <c r="AO431" s="100">
        <f t="shared" si="406"/>
        <v>0</v>
      </c>
      <c r="AP431" s="100">
        <f t="shared" si="407"/>
        <v>0</v>
      </c>
      <c r="AQ431" s="111" t="s">
        <v>13</v>
      </c>
      <c r="AV431" s="100">
        <f t="shared" si="408"/>
        <v>0</v>
      </c>
      <c r="AW431" s="100">
        <f t="shared" si="409"/>
        <v>0</v>
      </c>
      <c r="AX431" s="100">
        <f t="shared" si="410"/>
        <v>0</v>
      </c>
      <c r="AY431" s="110" t="s">
        <v>1713</v>
      </c>
      <c r="AZ431" s="110" t="s">
        <v>1733</v>
      </c>
      <c r="BA431" s="109" t="s">
        <v>1737</v>
      </c>
      <c r="BC431" s="100">
        <f t="shared" si="411"/>
        <v>0</v>
      </c>
      <c r="BD431" s="100">
        <f t="shared" si="412"/>
        <v>0</v>
      </c>
      <c r="BE431" s="100">
        <v>0</v>
      </c>
      <c r="BF431" s="100">
        <f>431</f>
        <v>431</v>
      </c>
      <c r="BH431" s="108">
        <f t="shared" si="413"/>
        <v>0</v>
      </c>
      <c r="BI431" s="108">
        <f t="shared" si="414"/>
        <v>0</v>
      </c>
      <c r="BJ431" s="108">
        <f t="shared" si="415"/>
        <v>0</v>
      </c>
    </row>
    <row r="432" spans="1:62" x14ac:dyDescent="0.2">
      <c r="A432" s="117" t="s">
        <v>390</v>
      </c>
      <c r="B432" s="117" t="s">
        <v>845</v>
      </c>
      <c r="C432" s="304" t="s">
        <v>1435</v>
      </c>
      <c r="D432" s="305"/>
      <c r="E432" s="305"/>
      <c r="F432" s="117" t="s">
        <v>1652</v>
      </c>
      <c r="G432" s="116">
        <v>1</v>
      </c>
      <c r="H432" s="159"/>
      <c r="I432" s="108">
        <f t="shared" si="392"/>
        <v>0</v>
      </c>
      <c r="J432" s="108">
        <f t="shared" si="393"/>
        <v>0</v>
      </c>
      <c r="K432" s="108">
        <f t="shared" si="394"/>
        <v>0</v>
      </c>
      <c r="L432" s="111"/>
      <c r="Z432" s="100">
        <f t="shared" si="395"/>
        <v>0</v>
      </c>
      <c r="AB432" s="100">
        <f t="shared" si="396"/>
        <v>0</v>
      </c>
      <c r="AC432" s="100">
        <f t="shared" si="397"/>
        <v>0</v>
      </c>
      <c r="AD432" s="100">
        <f t="shared" si="398"/>
        <v>0</v>
      </c>
      <c r="AE432" s="100">
        <f t="shared" si="399"/>
        <v>0</v>
      </c>
      <c r="AF432" s="100">
        <f t="shared" si="400"/>
        <v>0</v>
      </c>
      <c r="AG432" s="100">
        <f t="shared" si="401"/>
        <v>0</v>
      </c>
      <c r="AH432" s="100">
        <f t="shared" si="402"/>
        <v>0</v>
      </c>
      <c r="AI432" s="109"/>
      <c r="AJ432" s="108">
        <f t="shared" si="403"/>
        <v>0</v>
      </c>
      <c r="AK432" s="108">
        <f t="shared" si="404"/>
        <v>0</v>
      </c>
      <c r="AL432" s="108">
        <f t="shared" si="405"/>
        <v>0</v>
      </c>
      <c r="AN432" s="100">
        <v>15</v>
      </c>
      <c r="AO432" s="100">
        <f t="shared" si="406"/>
        <v>0</v>
      </c>
      <c r="AP432" s="100">
        <f t="shared" si="407"/>
        <v>0</v>
      </c>
      <c r="AQ432" s="111" t="s">
        <v>13</v>
      </c>
      <c r="AV432" s="100">
        <f t="shared" si="408"/>
        <v>0</v>
      </c>
      <c r="AW432" s="100">
        <f t="shared" si="409"/>
        <v>0</v>
      </c>
      <c r="AX432" s="100">
        <f t="shared" si="410"/>
        <v>0</v>
      </c>
      <c r="AY432" s="110" t="s">
        <v>1713</v>
      </c>
      <c r="AZ432" s="110" t="s">
        <v>1733</v>
      </c>
      <c r="BA432" s="109" t="s">
        <v>1737</v>
      </c>
      <c r="BC432" s="100">
        <f t="shared" si="411"/>
        <v>0</v>
      </c>
      <c r="BD432" s="100">
        <f t="shared" si="412"/>
        <v>0</v>
      </c>
      <c r="BE432" s="100">
        <v>0</v>
      </c>
      <c r="BF432" s="100">
        <f>432</f>
        <v>432</v>
      </c>
      <c r="BH432" s="108">
        <f t="shared" si="413"/>
        <v>0</v>
      </c>
      <c r="BI432" s="108">
        <f t="shared" si="414"/>
        <v>0</v>
      </c>
      <c r="BJ432" s="108">
        <f t="shared" si="415"/>
        <v>0</v>
      </c>
    </row>
    <row r="433" spans="1:62" x14ac:dyDescent="0.2">
      <c r="A433" s="117" t="s">
        <v>391</v>
      </c>
      <c r="B433" s="117" t="s">
        <v>846</v>
      </c>
      <c r="C433" s="304" t="s">
        <v>2327</v>
      </c>
      <c r="D433" s="305"/>
      <c r="E433" s="305"/>
      <c r="F433" s="117" t="s">
        <v>1652</v>
      </c>
      <c r="G433" s="116">
        <v>1</v>
      </c>
      <c r="H433" s="159"/>
      <c r="I433" s="108">
        <f t="shared" si="392"/>
        <v>0</v>
      </c>
      <c r="J433" s="108">
        <f t="shared" si="393"/>
        <v>0</v>
      </c>
      <c r="K433" s="108">
        <f t="shared" si="394"/>
        <v>0</v>
      </c>
      <c r="L433" s="111"/>
      <c r="Z433" s="100">
        <f t="shared" si="395"/>
        <v>0</v>
      </c>
      <c r="AB433" s="100">
        <f t="shared" si="396"/>
        <v>0</v>
      </c>
      <c r="AC433" s="100">
        <f t="shared" si="397"/>
        <v>0</v>
      </c>
      <c r="AD433" s="100">
        <f t="shared" si="398"/>
        <v>0</v>
      </c>
      <c r="AE433" s="100">
        <f t="shared" si="399"/>
        <v>0</v>
      </c>
      <c r="AF433" s="100">
        <f t="shared" si="400"/>
        <v>0</v>
      </c>
      <c r="AG433" s="100">
        <f t="shared" si="401"/>
        <v>0</v>
      </c>
      <c r="AH433" s="100">
        <f t="shared" si="402"/>
        <v>0</v>
      </c>
      <c r="AI433" s="109"/>
      <c r="AJ433" s="108">
        <f t="shared" si="403"/>
        <v>0</v>
      </c>
      <c r="AK433" s="108">
        <f t="shared" si="404"/>
        <v>0</v>
      </c>
      <c r="AL433" s="108">
        <f t="shared" si="405"/>
        <v>0</v>
      </c>
      <c r="AN433" s="100">
        <v>15</v>
      </c>
      <c r="AO433" s="100">
        <f t="shared" si="406"/>
        <v>0</v>
      </c>
      <c r="AP433" s="100">
        <f t="shared" si="407"/>
        <v>0</v>
      </c>
      <c r="AQ433" s="111" t="s">
        <v>13</v>
      </c>
      <c r="AV433" s="100">
        <f t="shared" si="408"/>
        <v>0</v>
      </c>
      <c r="AW433" s="100">
        <f t="shared" si="409"/>
        <v>0</v>
      </c>
      <c r="AX433" s="100">
        <f t="shared" si="410"/>
        <v>0</v>
      </c>
      <c r="AY433" s="110" t="s">
        <v>1713</v>
      </c>
      <c r="AZ433" s="110" t="s">
        <v>1733</v>
      </c>
      <c r="BA433" s="109" t="s">
        <v>1737</v>
      </c>
      <c r="BC433" s="100">
        <f t="shared" si="411"/>
        <v>0</v>
      </c>
      <c r="BD433" s="100">
        <f t="shared" si="412"/>
        <v>0</v>
      </c>
      <c r="BE433" s="100">
        <v>0</v>
      </c>
      <c r="BF433" s="100">
        <f>433</f>
        <v>433</v>
      </c>
      <c r="BH433" s="108">
        <f t="shared" si="413"/>
        <v>0</v>
      </c>
      <c r="BI433" s="108">
        <f t="shared" si="414"/>
        <v>0</v>
      </c>
      <c r="BJ433" s="108">
        <f t="shared" si="415"/>
        <v>0</v>
      </c>
    </row>
    <row r="434" spans="1:62" x14ac:dyDescent="0.2">
      <c r="A434" s="117" t="s">
        <v>392</v>
      </c>
      <c r="B434" s="117" t="s">
        <v>847</v>
      </c>
      <c r="C434" s="304" t="s">
        <v>1437</v>
      </c>
      <c r="D434" s="305"/>
      <c r="E434" s="305"/>
      <c r="F434" s="117" t="s">
        <v>1654</v>
      </c>
      <c r="G434" s="116">
        <v>720</v>
      </c>
      <c r="H434" s="159"/>
      <c r="I434" s="108">
        <f t="shared" si="392"/>
        <v>0</v>
      </c>
      <c r="J434" s="108">
        <f t="shared" si="393"/>
        <v>0</v>
      </c>
      <c r="K434" s="108">
        <f t="shared" si="394"/>
        <v>0</v>
      </c>
      <c r="L434" s="111"/>
      <c r="Z434" s="100">
        <f t="shared" si="395"/>
        <v>0</v>
      </c>
      <c r="AB434" s="100">
        <f t="shared" si="396"/>
        <v>0</v>
      </c>
      <c r="AC434" s="100">
        <f t="shared" si="397"/>
        <v>0</v>
      </c>
      <c r="AD434" s="100">
        <f t="shared" si="398"/>
        <v>0</v>
      </c>
      <c r="AE434" s="100">
        <f t="shared" si="399"/>
        <v>0</v>
      </c>
      <c r="AF434" s="100">
        <f t="shared" si="400"/>
        <v>0</v>
      </c>
      <c r="AG434" s="100">
        <f t="shared" si="401"/>
        <v>0</v>
      </c>
      <c r="AH434" s="100">
        <f t="shared" si="402"/>
        <v>0</v>
      </c>
      <c r="AI434" s="109"/>
      <c r="AJ434" s="108">
        <f t="shared" si="403"/>
        <v>0</v>
      </c>
      <c r="AK434" s="108">
        <f t="shared" si="404"/>
        <v>0</v>
      </c>
      <c r="AL434" s="108">
        <f t="shared" si="405"/>
        <v>0</v>
      </c>
      <c r="AN434" s="100">
        <v>15</v>
      </c>
      <c r="AO434" s="100">
        <f t="shared" si="406"/>
        <v>0</v>
      </c>
      <c r="AP434" s="100">
        <f t="shared" si="407"/>
        <v>0</v>
      </c>
      <c r="AQ434" s="111" t="s">
        <v>13</v>
      </c>
      <c r="AV434" s="100">
        <f t="shared" si="408"/>
        <v>0</v>
      </c>
      <c r="AW434" s="100">
        <f t="shared" si="409"/>
        <v>0</v>
      </c>
      <c r="AX434" s="100">
        <f t="shared" si="410"/>
        <v>0</v>
      </c>
      <c r="AY434" s="110" t="s">
        <v>1713</v>
      </c>
      <c r="AZ434" s="110" t="s">
        <v>1733</v>
      </c>
      <c r="BA434" s="109" t="s">
        <v>1737</v>
      </c>
      <c r="BC434" s="100">
        <f t="shared" si="411"/>
        <v>0</v>
      </c>
      <c r="BD434" s="100">
        <f t="shared" si="412"/>
        <v>0</v>
      </c>
      <c r="BE434" s="100">
        <v>0</v>
      </c>
      <c r="BF434" s="100">
        <f>434</f>
        <v>434</v>
      </c>
      <c r="BH434" s="108">
        <f t="shared" si="413"/>
        <v>0</v>
      </c>
      <c r="BI434" s="108">
        <f t="shared" si="414"/>
        <v>0</v>
      </c>
      <c r="BJ434" s="108">
        <f t="shared" si="415"/>
        <v>0</v>
      </c>
    </row>
    <row r="435" spans="1:62" x14ac:dyDescent="0.2">
      <c r="A435" s="117" t="s">
        <v>393</v>
      </c>
      <c r="B435" s="117" t="s">
        <v>848</v>
      </c>
      <c r="C435" s="304" t="s">
        <v>1438</v>
      </c>
      <c r="D435" s="305"/>
      <c r="E435" s="305"/>
      <c r="F435" s="117" t="s">
        <v>1652</v>
      </c>
      <c r="G435" s="116">
        <v>1</v>
      </c>
      <c r="H435" s="159"/>
      <c r="I435" s="108">
        <f t="shared" si="392"/>
        <v>0</v>
      </c>
      <c r="J435" s="108">
        <f t="shared" si="393"/>
        <v>0</v>
      </c>
      <c r="K435" s="108">
        <f t="shared" si="394"/>
        <v>0</v>
      </c>
      <c r="L435" s="111"/>
      <c r="Z435" s="100">
        <f t="shared" si="395"/>
        <v>0</v>
      </c>
      <c r="AB435" s="100">
        <f t="shared" si="396"/>
        <v>0</v>
      </c>
      <c r="AC435" s="100">
        <f t="shared" si="397"/>
        <v>0</v>
      </c>
      <c r="AD435" s="100">
        <f t="shared" si="398"/>
        <v>0</v>
      </c>
      <c r="AE435" s="100">
        <f t="shared" si="399"/>
        <v>0</v>
      </c>
      <c r="AF435" s="100">
        <f t="shared" si="400"/>
        <v>0</v>
      </c>
      <c r="AG435" s="100">
        <f t="shared" si="401"/>
        <v>0</v>
      </c>
      <c r="AH435" s="100">
        <f t="shared" si="402"/>
        <v>0</v>
      </c>
      <c r="AI435" s="109"/>
      <c r="AJ435" s="108">
        <f t="shared" si="403"/>
        <v>0</v>
      </c>
      <c r="AK435" s="108">
        <f t="shared" si="404"/>
        <v>0</v>
      </c>
      <c r="AL435" s="108">
        <f t="shared" si="405"/>
        <v>0</v>
      </c>
      <c r="AN435" s="100">
        <v>15</v>
      </c>
      <c r="AO435" s="100">
        <f t="shared" si="406"/>
        <v>0</v>
      </c>
      <c r="AP435" s="100">
        <f t="shared" si="407"/>
        <v>0</v>
      </c>
      <c r="AQ435" s="111" t="s">
        <v>13</v>
      </c>
      <c r="AV435" s="100">
        <f t="shared" si="408"/>
        <v>0</v>
      </c>
      <c r="AW435" s="100">
        <f t="shared" si="409"/>
        <v>0</v>
      </c>
      <c r="AX435" s="100">
        <f t="shared" si="410"/>
        <v>0</v>
      </c>
      <c r="AY435" s="110" t="s">
        <v>1713</v>
      </c>
      <c r="AZ435" s="110" t="s">
        <v>1733</v>
      </c>
      <c r="BA435" s="109" t="s">
        <v>1737</v>
      </c>
      <c r="BC435" s="100">
        <f t="shared" si="411"/>
        <v>0</v>
      </c>
      <c r="BD435" s="100">
        <f t="shared" si="412"/>
        <v>0</v>
      </c>
      <c r="BE435" s="100">
        <v>0</v>
      </c>
      <c r="BF435" s="100">
        <f>435</f>
        <v>435</v>
      </c>
      <c r="BH435" s="108">
        <f t="shared" si="413"/>
        <v>0</v>
      </c>
      <c r="BI435" s="108">
        <f t="shared" si="414"/>
        <v>0</v>
      </c>
      <c r="BJ435" s="108">
        <f t="shared" si="415"/>
        <v>0</v>
      </c>
    </row>
    <row r="436" spans="1:62" x14ac:dyDescent="0.2">
      <c r="A436" s="117" t="s">
        <v>394</v>
      </c>
      <c r="B436" s="117" t="s">
        <v>849</v>
      </c>
      <c r="C436" s="304" t="s">
        <v>1439</v>
      </c>
      <c r="D436" s="305"/>
      <c r="E436" s="305"/>
      <c r="F436" s="117" t="s">
        <v>1652</v>
      </c>
      <c r="G436" s="116">
        <v>1</v>
      </c>
      <c r="H436" s="159"/>
      <c r="I436" s="108">
        <f t="shared" si="392"/>
        <v>0</v>
      </c>
      <c r="J436" s="108">
        <f t="shared" si="393"/>
        <v>0</v>
      </c>
      <c r="K436" s="108">
        <f t="shared" si="394"/>
        <v>0</v>
      </c>
      <c r="L436" s="111"/>
      <c r="Z436" s="100">
        <f t="shared" si="395"/>
        <v>0</v>
      </c>
      <c r="AB436" s="100">
        <f t="shared" si="396"/>
        <v>0</v>
      </c>
      <c r="AC436" s="100">
        <f t="shared" si="397"/>
        <v>0</v>
      </c>
      <c r="AD436" s="100">
        <f t="shared" si="398"/>
        <v>0</v>
      </c>
      <c r="AE436" s="100">
        <f t="shared" si="399"/>
        <v>0</v>
      </c>
      <c r="AF436" s="100">
        <f t="shared" si="400"/>
        <v>0</v>
      </c>
      <c r="AG436" s="100">
        <f t="shared" si="401"/>
        <v>0</v>
      </c>
      <c r="AH436" s="100">
        <f t="shared" si="402"/>
        <v>0</v>
      </c>
      <c r="AI436" s="109"/>
      <c r="AJ436" s="108">
        <f t="shared" si="403"/>
        <v>0</v>
      </c>
      <c r="AK436" s="108">
        <f t="shared" si="404"/>
        <v>0</v>
      </c>
      <c r="AL436" s="108">
        <f t="shared" si="405"/>
        <v>0</v>
      </c>
      <c r="AN436" s="100">
        <v>15</v>
      </c>
      <c r="AO436" s="100">
        <f t="shared" si="406"/>
        <v>0</v>
      </c>
      <c r="AP436" s="100">
        <f t="shared" si="407"/>
        <v>0</v>
      </c>
      <c r="AQ436" s="111" t="s">
        <v>13</v>
      </c>
      <c r="AV436" s="100">
        <f t="shared" si="408"/>
        <v>0</v>
      </c>
      <c r="AW436" s="100">
        <f t="shared" si="409"/>
        <v>0</v>
      </c>
      <c r="AX436" s="100">
        <f t="shared" si="410"/>
        <v>0</v>
      </c>
      <c r="AY436" s="110" t="s">
        <v>1713</v>
      </c>
      <c r="AZ436" s="110" t="s">
        <v>1733</v>
      </c>
      <c r="BA436" s="109" t="s">
        <v>1737</v>
      </c>
      <c r="BC436" s="100">
        <f t="shared" si="411"/>
        <v>0</v>
      </c>
      <c r="BD436" s="100">
        <f t="shared" si="412"/>
        <v>0</v>
      </c>
      <c r="BE436" s="100">
        <v>0</v>
      </c>
      <c r="BF436" s="100">
        <f>436</f>
        <v>436</v>
      </c>
      <c r="BH436" s="108">
        <f t="shared" si="413"/>
        <v>0</v>
      </c>
      <c r="BI436" s="108">
        <f t="shared" si="414"/>
        <v>0</v>
      </c>
      <c r="BJ436" s="108">
        <f t="shared" si="415"/>
        <v>0</v>
      </c>
    </row>
    <row r="437" spans="1:62" x14ac:dyDescent="0.2">
      <c r="A437" s="117" t="s">
        <v>395</v>
      </c>
      <c r="B437" s="117" t="s">
        <v>850</v>
      </c>
      <c r="C437" s="304" t="s">
        <v>1440</v>
      </c>
      <c r="D437" s="305"/>
      <c r="E437" s="305"/>
      <c r="F437" s="117" t="s">
        <v>1652</v>
      </c>
      <c r="G437" s="116">
        <v>1</v>
      </c>
      <c r="H437" s="159"/>
      <c r="I437" s="108">
        <f t="shared" si="392"/>
        <v>0</v>
      </c>
      <c r="J437" s="108">
        <f t="shared" si="393"/>
        <v>0</v>
      </c>
      <c r="K437" s="108">
        <f t="shared" si="394"/>
        <v>0</v>
      </c>
      <c r="L437" s="111"/>
      <c r="Z437" s="100">
        <f t="shared" si="395"/>
        <v>0</v>
      </c>
      <c r="AB437" s="100">
        <f t="shared" si="396"/>
        <v>0</v>
      </c>
      <c r="AC437" s="100">
        <f t="shared" si="397"/>
        <v>0</v>
      </c>
      <c r="AD437" s="100">
        <f t="shared" si="398"/>
        <v>0</v>
      </c>
      <c r="AE437" s="100">
        <f t="shared" si="399"/>
        <v>0</v>
      </c>
      <c r="AF437" s="100">
        <f t="shared" si="400"/>
        <v>0</v>
      </c>
      <c r="AG437" s="100">
        <f t="shared" si="401"/>
        <v>0</v>
      </c>
      <c r="AH437" s="100">
        <f t="shared" si="402"/>
        <v>0</v>
      </c>
      <c r="AI437" s="109"/>
      <c r="AJ437" s="108">
        <f t="shared" si="403"/>
        <v>0</v>
      </c>
      <c r="AK437" s="108">
        <f t="shared" si="404"/>
        <v>0</v>
      </c>
      <c r="AL437" s="108">
        <f t="shared" si="405"/>
        <v>0</v>
      </c>
      <c r="AN437" s="100">
        <v>15</v>
      </c>
      <c r="AO437" s="100">
        <f t="shared" si="406"/>
        <v>0</v>
      </c>
      <c r="AP437" s="100">
        <f t="shared" si="407"/>
        <v>0</v>
      </c>
      <c r="AQ437" s="111" t="s">
        <v>13</v>
      </c>
      <c r="AV437" s="100">
        <f t="shared" si="408"/>
        <v>0</v>
      </c>
      <c r="AW437" s="100">
        <f t="shared" si="409"/>
        <v>0</v>
      </c>
      <c r="AX437" s="100">
        <f t="shared" si="410"/>
        <v>0</v>
      </c>
      <c r="AY437" s="110" t="s">
        <v>1713</v>
      </c>
      <c r="AZ437" s="110" t="s">
        <v>1733</v>
      </c>
      <c r="BA437" s="109" t="s">
        <v>1737</v>
      </c>
      <c r="BC437" s="100">
        <f t="shared" si="411"/>
        <v>0</v>
      </c>
      <c r="BD437" s="100">
        <f t="shared" si="412"/>
        <v>0</v>
      </c>
      <c r="BE437" s="100">
        <v>0</v>
      </c>
      <c r="BF437" s="100">
        <f>437</f>
        <v>437</v>
      </c>
      <c r="BH437" s="108">
        <f t="shared" si="413"/>
        <v>0</v>
      </c>
      <c r="BI437" s="108">
        <f t="shared" si="414"/>
        <v>0</v>
      </c>
      <c r="BJ437" s="108">
        <f t="shared" si="415"/>
        <v>0</v>
      </c>
    </row>
    <row r="438" spans="1:62" x14ac:dyDescent="0.2">
      <c r="A438" s="117" t="s">
        <v>396</v>
      </c>
      <c r="B438" s="117" t="s">
        <v>851</v>
      </c>
      <c r="C438" s="304" t="s">
        <v>1441</v>
      </c>
      <c r="D438" s="305"/>
      <c r="E438" s="305"/>
      <c r="F438" s="117" t="s">
        <v>1652</v>
      </c>
      <c r="G438" s="116">
        <v>1</v>
      </c>
      <c r="H438" s="159"/>
      <c r="I438" s="108">
        <f t="shared" si="392"/>
        <v>0</v>
      </c>
      <c r="J438" s="108">
        <f t="shared" si="393"/>
        <v>0</v>
      </c>
      <c r="K438" s="108">
        <f t="shared" si="394"/>
        <v>0</v>
      </c>
      <c r="L438" s="111"/>
      <c r="Z438" s="100">
        <f t="shared" si="395"/>
        <v>0</v>
      </c>
      <c r="AB438" s="100">
        <f t="shared" si="396"/>
        <v>0</v>
      </c>
      <c r="AC438" s="100">
        <f t="shared" si="397"/>
        <v>0</v>
      </c>
      <c r="AD438" s="100">
        <f t="shared" si="398"/>
        <v>0</v>
      </c>
      <c r="AE438" s="100">
        <f t="shared" si="399"/>
        <v>0</v>
      </c>
      <c r="AF438" s="100">
        <f t="shared" si="400"/>
        <v>0</v>
      </c>
      <c r="AG438" s="100">
        <f t="shared" si="401"/>
        <v>0</v>
      </c>
      <c r="AH438" s="100">
        <f t="shared" si="402"/>
        <v>0</v>
      </c>
      <c r="AI438" s="109"/>
      <c r="AJ438" s="108">
        <f t="shared" si="403"/>
        <v>0</v>
      </c>
      <c r="AK438" s="108">
        <f t="shared" si="404"/>
        <v>0</v>
      </c>
      <c r="AL438" s="108">
        <f t="shared" si="405"/>
        <v>0</v>
      </c>
      <c r="AN438" s="100">
        <v>15</v>
      </c>
      <c r="AO438" s="100">
        <f t="shared" si="406"/>
        <v>0</v>
      </c>
      <c r="AP438" s="100">
        <f t="shared" si="407"/>
        <v>0</v>
      </c>
      <c r="AQ438" s="111" t="s">
        <v>13</v>
      </c>
      <c r="AV438" s="100">
        <f t="shared" si="408"/>
        <v>0</v>
      </c>
      <c r="AW438" s="100">
        <f t="shared" si="409"/>
        <v>0</v>
      </c>
      <c r="AX438" s="100">
        <f t="shared" si="410"/>
        <v>0</v>
      </c>
      <c r="AY438" s="110" t="s">
        <v>1713</v>
      </c>
      <c r="AZ438" s="110" t="s">
        <v>1733</v>
      </c>
      <c r="BA438" s="109" t="s">
        <v>1737</v>
      </c>
      <c r="BC438" s="100">
        <f t="shared" si="411"/>
        <v>0</v>
      </c>
      <c r="BD438" s="100">
        <f t="shared" si="412"/>
        <v>0</v>
      </c>
      <c r="BE438" s="100">
        <v>0</v>
      </c>
      <c r="BF438" s="100">
        <f>438</f>
        <v>438</v>
      </c>
      <c r="BH438" s="108">
        <f t="shared" si="413"/>
        <v>0</v>
      </c>
      <c r="BI438" s="108">
        <f t="shared" si="414"/>
        <v>0</v>
      </c>
      <c r="BJ438" s="108">
        <f t="shared" si="415"/>
        <v>0</v>
      </c>
    </row>
    <row r="439" spans="1:62" x14ac:dyDescent="0.2">
      <c r="A439" s="117" t="s">
        <v>397</v>
      </c>
      <c r="B439" s="117" t="s">
        <v>852</v>
      </c>
      <c r="C439" s="304" t="s">
        <v>1442</v>
      </c>
      <c r="D439" s="305"/>
      <c r="E439" s="305"/>
      <c r="F439" s="117" t="s">
        <v>1652</v>
      </c>
      <c r="G439" s="116">
        <v>1</v>
      </c>
      <c r="H439" s="159"/>
      <c r="I439" s="108">
        <f t="shared" si="392"/>
        <v>0</v>
      </c>
      <c r="J439" s="108">
        <f t="shared" si="393"/>
        <v>0</v>
      </c>
      <c r="K439" s="108">
        <f t="shared" si="394"/>
        <v>0</v>
      </c>
      <c r="L439" s="111"/>
      <c r="Z439" s="100">
        <f t="shared" si="395"/>
        <v>0</v>
      </c>
      <c r="AB439" s="100">
        <f t="shared" si="396"/>
        <v>0</v>
      </c>
      <c r="AC439" s="100">
        <f t="shared" si="397"/>
        <v>0</v>
      </c>
      <c r="AD439" s="100">
        <f t="shared" si="398"/>
        <v>0</v>
      </c>
      <c r="AE439" s="100">
        <f t="shared" si="399"/>
        <v>0</v>
      </c>
      <c r="AF439" s="100">
        <f t="shared" si="400"/>
        <v>0</v>
      </c>
      <c r="AG439" s="100">
        <f t="shared" si="401"/>
        <v>0</v>
      </c>
      <c r="AH439" s="100">
        <f t="shared" si="402"/>
        <v>0</v>
      </c>
      <c r="AI439" s="109"/>
      <c r="AJ439" s="108">
        <f t="shared" si="403"/>
        <v>0</v>
      </c>
      <c r="AK439" s="108">
        <f t="shared" si="404"/>
        <v>0</v>
      </c>
      <c r="AL439" s="108">
        <f t="shared" si="405"/>
        <v>0</v>
      </c>
      <c r="AN439" s="100">
        <v>15</v>
      </c>
      <c r="AO439" s="100">
        <f t="shared" si="406"/>
        <v>0</v>
      </c>
      <c r="AP439" s="100">
        <f t="shared" si="407"/>
        <v>0</v>
      </c>
      <c r="AQ439" s="111" t="s">
        <v>13</v>
      </c>
      <c r="AV439" s="100">
        <f t="shared" si="408"/>
        <v>0</v>
      </c>
      <c r="AW439" s="100">
        <f t="shared" si="409"/>
        <v>0</v>
      </c>
      <c r="AX439" s="100">
        <f t="shared" si="410"/>
        <v>0</v>
      </c>
      <c r="AY439" s="110" t="s">
        <v>1713</v>
      </c>
      <c r="AZ439" s="110" t="s">
        <v>1733</v>
      </c>
      <c r="BA439" s="109" t="s">
        <v>1737</v>
      </c>
      <c r="BC439" s="100">
        <f t="shared" si="411"/>
        <v>0</v>
      </c>
      <c r="BD439" s="100">
        <f t="shared" si="412"/>
        <v>0</v>
      </c>
      <c r="BE439" s="100">
        <v>0</v>
      </c>
      <c r="BF439" s="100">
        <f>439</f>
        <v>439</v>
      </c>
      <c r="BH439" s="108">
        <f t="shared" si="413"/>
        <v>0</v>
      </c>
      <c r="BI439" s="108">
        <f t="shared" si="414"/>
        <v>0</v>
      </c>
      <c r="BJ439" s="108">
        <f t="shared" si="415"/>
        <v>0</v>
      </c>
    </row>
    <row r="440" spans="1:62" x14ac:dyDescent="0.2">
      <c r="A440" s="117" t="s">
        <v>398</v>
      </c>
      <c r="B440" s="117" t="s">
        <v>853</v>
      </c>
      <c r="C440" s="304" t="s">
        <v>1443</v>
      </c>
      <c r="D440" s="305"/>
      <c r="E440" s="305"/>
      <c r="F440" s="117" t="s">
        <v>1645</v>
      </c>
      <c r="G440" s="116">
        <v>27</v>
      </c>
      <c r="H440" s="159"/>
      <c r="I440" s="108">
        <f t="shared" si="392"/>
        <v>0</v>
      </c>
      <c r="J440" s="108">
        <f t="shared" si="393"/>
        <v>0</v>
      </c>
      <c r="K440" s="108">
        <f t="shared" si="394"/>
        <v>0</v>
      </c>
      <c r="L440" s="111"/>
      <c r="Z440" s="100">
        <f t="shared" si="395"/>
        <v>0</v>
      </c>
      <c r="AB440" s="100">
        <f t="shared" si="396"/>
        <v>0</v>
      </c>
      <c r="AC440" s="100">
        <f t="shared" si="397"/>
        <v>0</v>
      </c>
      <c r="AD440" s="100">
        <f t="shared" si="398"/>
        <v>0</v>
      </c>
      <c r="AE440" s="100">
        <f t="shared" si="399"/>
        <v>0</v>
      </c>
      <c r="AF440" s="100">
        <f t="shared" si="400"/>
        <v>0</v>
      </c>
      <c r="AG440" s="100">
        <f t="shared" si="401"/>
        <v>0</v>
      </c>
      <c r="AH440" s="100">
        <f t="shared" si="402"/>
        <v>0</v>
      </c>
      <c r="AI440" s="109"/>
      <c r="AJ440" s="108">
        <f t="shared" si="403"/>
        <v>0</v>
      </c>
      <c r="AK440" s="108">
        <f t="shared" si="404"/>
        <v>0</v>
      </c>
      <c r="AL440" s="108">
        <f t="shared" si="405"/>
        <v>0</v>
      </c>
      <c r="AN440" s="100">
        <v>15</v>
      </c>
      <c r="AO440" s="100">
        <f t="shared" si="406"/>
        <v>0</v>
      </c>
      <c r="AP440" s="100">
        <f t="shared" si="407"/>
        <v>0</v>
      </c>
      <c r="AQ440" s="111" t="s">
        <v>13</v>
      </c>
      <c r="AV440" s="100">
        <f t="shared" si="408"/>
        <v>0</v>
      </c>
      <c r="AW440" s="100">
        <f t="shared" si="409"/>
        <v>0</v>
      </c>
      <c r="AX440" s="100">
        <f t="shared" si="410"/>
        <v>0</v>
      </c>
      <c r="AY440" s="110" t="s">
        <v>1713</v>
      </c>
      <c r="AZ440" s="110" t="s">
        <v>1733</v>
      </c>
      <c r="BA440" s="109" t="s">
        <v>1737</v>
      </c>
      <c r="BC440" s="100">
        <f t="shared" si="411"/>
        <v>0</v>
      </c>
      <c r="BD440" s="100">
        <f t="shared" si="412"/>
        <v>0</v>
      </c>
      <c r="BE440" s="100">
        <v>0</v>
      </c>
      <c r="BF440" s="100">
        <f>440</f>
        <v>440</v>
      </c>
      <c r="BH440" s="108">
        <f t="shared" si="413"/>
        <v>0</v>
      </c>
      <c r="BI440" s="108">
        <f t="shared" si="414"/>
        <v>0</v>
      </c>
      <c r="BJ440" s="108">
        <f t="shared" si="415"/>
        <v>0</v>
      </c>
    </row>
    <row r="441" spans="1:62" x14ac:dyDescent="0.2">
      <c r="A441" s="117" t="s">
        <v>399</v>
      </c>
      <c r="B441" s="117" t="s">
        <v>854</v>
      </c>
      <c r="C441" s="304" t="s">
        <v>1444</v>
      </c>
      <c r="D441" s="305"/>
      <c r="E441" s="305"/>
      <c r="F441" s="117" t="s">
        <v>1647</v>
      </c>
      <c r="G441" s="116">
        <v>27</v>
      </c>
      <c r="H441" s="159"/>
      <c r="I441" s="108">
        <f t="shared" si="392"/>
        <v>0</v>
      </c>
      <c r="J441" s="108">
        <f t="shared" si="393"/>
        <v>0</v>
      </c>
      <c r="K441" s="108">
        <f t="shared" si="394"/>
        <v>0</v>
      </c>
      <c r="L441" s="111"/>
      <c r="Z441" s="100">
        <f t="shared" si="395"/>
        <v>0</v>
      </c>
      <c r="AB441" s="100">
        <f t="shared" si="396"/>
        <v>0</v>
      </c>
      <c r="AC441" s="100">
        <f t="shared" si="397"/>
        <v>0</v>
      </c>
      <c r="AD441" s="100">
        <f t="shared" si="398"/>
        <v>0</v>
      </c>
      <c r="AE441" s="100">
        <f t="shared" si="399"/>
        <v>0</v>
      </c>
      <c r="AF441" s="100">
        <f t="shared" si="400"/>
        <v>0</v>
      </c>
      <c r="AG441" s="100">
        <f t="shared" si="401"/>
        <v>0</v>
      </c>
      <c r="AH441" s="100">
        <f t="shared" si="402"/>
        <v>0</v>
      </c>
      <c r="AI441" s="109"/>
      <c r="AJ441" s="108">
        <f t="shared" si="403"/>
        <v>0</v>
      </c>
      <c r="AK441" s="108">
        <f t="shared" si="404"/>
        <v>0</v>
      </c>
      <c r="AL441" s="108">
        <f t="shared" si="405"/>
        <v>0</v>
      </c>
      <c r="AN441" s="100">
        <v>15</v>
      </c>
      <c r="AO441" s="100">
        <f t="shared" si="406"/>
        <v>0</v>
      </c>
      <c r="AP441" s="100">
        <f t="shared" si="407"/>
        <v>0</v>
      </c>
      <c r="AQ441" s="111" t="s">
        <v>13</v>
      </c>
      <c r="AV441" s="100">
        <f t="shared" si="408"/>
        <v>0</v>
      </c>
      <c r="AW441" s="100">
        <f t="shared" si="409"/>
        <v>0</v>
      </c>
      <c r="AX441" s="100">
        <f t="shared" si="410"/>
        <v>0</v>
      </c>
      <c r="AY441" s="110" t="s">
        <v>1713</v>
      </c>
      <c r="AZ441" s="110" t="s">
        <v>1733</v>
      </c>
      <c r="BA441" s="109" t="s">
        <v>1737</v>
      </c>
      <c r="BC441" s="100">
        <f t="shared" si="411"/>
        <v>0</v>
      </c>
      <c r="BD441" s="100">
        <f t="shared" si="412"/>
        <v>0</v>
      </c>
      <c r="BE441" s="100">
        <v>0</v>
      </c>
      <c r="BF441" s="100">
        <f>441</f>
        <v>441</v>
      </c>
      <c r="BH441" s="108">
        <f t="shared" si="413"/>
        <v>0</v>
      </c>
      <c r="BI441" s="108">
        <f t="shared" si="414"/>
        <v>0</v>
      </c>
      <c r="BJ441" s="108">
        <f t="shared" si="415"/>
        <v>0</v>
      </c>
    </row>
    <row r="442" spans="1:62" x14ac:dyDescent="0.2">
      <c r="A442" s="117" t="s">
        <v>400</v>
      </c>
      <c r="B442" s="117" t="s">
        <v>855</v>
      </c>
      <c r="C442" s="304" t="s">
        <v>1445</v>
      </c>
      <c r="D442" s="305"/>
      <c r="E442" s="305"/>
      <c r="F442" s="117" t="s">
        <v>1647</v>
      </c>
      <c r="G442" s="116">
        <v>1</v>
      </c>
      <c r="H442" s="159"/>
      <c r="I442" s="108">
        <f t="shared" si="392"/>
        <v>0</v>
      </c>
      <c r="J442" s="108">
        <f t="shared" si="393"/>
        <v>0</v>
      </c>
      <c r="K442" s="108">
        <f t="shared" si="394"/>
        <v>0</v>
      </c>
      <c r="L442" s="111"/>
      <c r="Z442" s="100">
        <f t="shared" si="395"/>
        <v>0</v>
      </c>
      <c r="AB442" s="100">
        <f t="shared" si="396"/>
        <v>0</v>
      </c>
      <c r="AC442" s="100">
        <f t="shared" si="397"/>
        <v>0</v>
      </c>
      <c r="AD442" s="100">
        <f t="shared" si="398"/>
        <v>0</v>
      </c>
      <c r="AE442" s="100">
        <f t="shared" si="399"/>
        <v>0</v>
      </c>
      <c r="AF442" s="100">
        <f t="shared" si="400"/>
        <v>0</v>
      </c>
      <c r="AG442" s="100">
        <f t="shared" si="401"/>
        <v>0</v>
      </c>
      <c r="AH442" s="100">
        <f t="shared" si="402"/>
        <v>0</v>
      </c>
      <c r="AI442" s="109"/>
      <c r="AJ442" s="108">
        <f t="shared" si="403"/>
        <v>0</v>
      </c>
      <c r="AK442" s="108">
        <f t="shared" si="404"/>
        <v>0</v>
      </c>
      <c r="AL442" s="108">
        <f t="shared" si="405"/>
        <v>0</v>
      </c>
      <c r="AN442" s="100">
        <v>15</v>
      </c>
      <c r="AO442" s="100">
        <f t="shared" si="406"/>
        <v>0</v>
      </c>
      <c r="AP442" s="100">
        <f t="shared" si="407"/>
        <v>0</v>
      </c>
      <c r="AQ442" s="111" t="s">
        <v>13</v>
      </c>
      <c r="AV442" s="100">
        <f t="shared" si="408"/>
        <v>0</v>
      </c>
      <c r="AW442" s="100">
        <f t="shared" si="409"/>
        <v>0</v>
      </c>
      <c r="AX442" s="100">
        <f t="shared" si="410"/>
        <v>0</v>
      </c>
      <c r="AY442" s="110" t="s">
        <v>1713</v>
      </c>
      <c r="AZ442" s="110" t="s">
        <v>1733</v>
      </c>
      <c r="BA442" s="109" t="s">
        <v>1737</v>
      </c>
      <c r="BC442" s="100">
        <f t="shared" si="411"/>
        <v>0</v>
      </c>
      <c r="BD442" s="100">
        <f t="shared" si="412"/>
        <v>0</v>
      </c>
      <c r="BE442" s="100">
        <v>0</v>
      </c>
      <c r="BF442" s="100">
        <f>442</f>
        <v>442</v>
      </c>
      <c r="BH442" s="108">
        <f t="shared" si="413"/>
        <v>0</v>
      </c>
      <c r="BI442" s="108">
        <f t="shared" si="414"/>
        <v>0</v>
      </c>
      <c r="BJ442" s="108">
        <f t="shared" si="415"/>
        <v>0</v>
      </c>
    </row>
    <row r="443" spans="1:62" x14ac:dyDescent="0.2">
      <c r="A443" s="117" t="s">
        <v>401</v>
      </c>
      <c r="B443" s="117" t="s">
        <v>856</v>
      </c>
      <c r="C443" s="304" t="s">
        <v>1446</v>
      </c>
      <c r="D443" s="305"/>
      <c r="E443" s="305"/>
      <c r="F443" s="117" t="s">
        <v>1647</v>
      </c>
      <c r="G443" s="116">
        <v>28</v>
      </c>
      <c r="H443" s="159"/>
      <c r="I443" s="108">
        <f t="shared" si="392"/>
        <v>0</v>
      </c>
      <c r="J443" s="108">
        <f t="shared" si="393"/>
        <v>0</v>
      </c>
      <c r="K443" s="108">
        <f t="shared" si="394"/>
        <v>0</v>
      </c>
      <c r="L443" s="111"/>
      <c r="Z443" s="100">
        <f t="shared" si="395"/>
        <v>0</v>
      </c>
      <c r="AB443" s="100">
        <f t="shared" si="396"/>
        <v>0</v>
      </c>
      <c r="AC443" s="100">
        <f t="shared" si="397"/>
        <v>0</v>
      </c>
      <c r="AD443" s="100">
        <f t="shared" si="398"/>
        <v>0</v>
      </c>
      <c r="AE443" s="100">
        <f t="shared" si="399"/>
        <v>0</v>
      </c>
      <c r="AF443" s="100">
        <f t="shared" si="400"/>
        <v>0</v>
      </c>
      <c r="AG443" s="100">
        <f t="shared" si="401"/>
        <v>0</v>
      </c>
      <c r="AH443" s="100">
        <f t="shared" si="402"/>
        <v>0</v>
      </c>
      <c r="AI443" s="109"/>
      <c r="AJ443" s="108">
        <f t="shared" si="403"/>
        <v>0</v>
      </c>
      <c r="AK443" s="108">
        <f t="shared" si="404"/>
        <v>0</v>
      </c>
      <c r="AL443" s="108">
        <f t="shared" si="405"/>
        <v>0</v>
      </c>
      <c r="AN443" s="100">
        <v>15</v>
      </c>
      <c r="AO443" s="100">
        <f t="shared" si="406"/>
        <v>0</v>
      </c>
      <c r="AP443" s="100">
        <f t="shared" si="407"/>
        <v>0</v>
      </c>
      <c r="AQ443" s="111" t="s">
        <v>13</v>
      </c>
      <c r="AV443" s="100">
        <f t="shared" si="408"/>
        <v>0</v>
      </c>
      <c r="AW443" s="100">
        <f t="shared" si="409"/>
        <v>0</v>
      </c>
      <c r="AX443" s="100">
        <f t="shared" si="410"/>
        <v>0</v>
      </c>
      <c r="AY443" s="110" t="s">
        <v>1713</v>
      </c>
      <c r="AZ443" s="110" t="s">
        <v>1733</v>
      </c>
      <c r="BA443" s="109" t="s">
        <v>1737</v>
      </c>
      <c r="BC443" s="100">
        <f t="shared" si="411"/>
        <v>0</v>
      </c>
      <c r="BD443" s="100">
        <f t="shared" si="412"/>
        <v>0</v>
      </c>
      <c r="BE443" s="100">
        <v>0</v>
      </c>
      <c r="BF443" s="100">
        <f>443</f>
        <v>443</v>
      </c>
      <c r="BH443" s="108">
        <f t="shared" si="413"/>
        <v>0</v>
      </c>
      <c r="BI443" s="108">
        <f t="shared" si="414"/>
        <v>0</v>
      </c>
      <c r="BJ443" s="108">
        <f t="shared" si="415"/>
        <v>0</v>
      </c>
    </row>
    <row r="444" spans="1:62" x14ac:dyDescent="0.2">
      <c r="A444" s="117" t="s">
        <v>402</v>
      </c>
      <c r="B444" s="117" t="s">
        <v>857</v>
      </c>
      <c r="C444" s="304" t="s">
        <v>1447</v>
      </c>
      <c r="D444" s="305"/>
      <c r="E444" s="305"/>
      <c r="F444" s="117" t="s">
        <v>1647</v>
      </c>
      <c r="G444" s="116">
        <v>28</v>
      </c>
      <c r="H444" s="159"/>
      <c r="I444" s="108">
        <f t="shared" si="392"/>
        <v>0</v>
      </c>
      <c r="J444" s="108">
        <f t="shared" si="393"/>
        <v>0</v>
      </c>
      <c r="K444" s="108">
        <f t="shared" si="394"/>
        <v>0</v>
      </c>
      <c r="L444" s="111"/>
      <c r="Z444" s="100">
        <f t="shared" si="395"/>
        <v>0</v>
      </c>
      <c r="AB444" s="100">
        <f t="shared" si="396"/>
        <v>0</v>
      </c>
      <c r="AC444" s="100">
        <f t="shared" si="397"/>
        <v>0</v>
      </c>
      <c r="AD444" s="100">
        <f t="shared" si="398"/>
        <v>0</v>
      </c>
      <c r="AE444" s="100">
        <f t="shared" si="399"/>
        <v>0</v>
      </c>
      <c r="AF444" s="100">
        <f t="shared" si="400"/>
        <v>0</v>
      </c>
      <c r="AG444" s="100">
        <f t="shared" si="401"/>
        <v>0</v>
      </c>
      <c r="AH444" s="100">
        <f t="shared" si="402"/>
        <v>0</v>
      </c>
      <c r="AI444" s="109"/>
      <c r="AJ444" s="108">
        <f t="shared" si="403"/>
        <v>0</v>
      </c>
      <c r="AK444" s="108">
        <f t="shared" si="404"/>
        <v>0</v>
      </c>
      <c r="AL444" s="108">
        <f t="shared" si="405"/>
        <v>0</v>
      </c>
      <c r="AN444" s="100">
        <v>15</v>
      </c>
      <c r="AO444" s="100">
        <f t="shared" si="406"/>
        <v>0</v>
      </c>
      <c r="AP444" s="100">
        <f t="shared" si="407"/>
        <v>0</v>
      </c>
      <c r="AQ444" s="111" t="s">
        <v>13</v>
      </c>
      <c r="AV444" s="100">
        <f t="shared" si="408"/>
        <v>0</v>
      </c>
      <c r="AW444" s="100">
        <f t="shared" si="409"/>
        <v>0</v>
      </c>
      <c r="AX444" s="100">
        <f t="shared" si="410"/>
        <v>0</v>
      </c>
      <c r="AY444" s="110" t="s">
        <v>1713</v>
      </c>
      <c r="AZ444" s="110" t="s">
        <v>1733</v>
      </c>
      <c r="BA444" s="109" t="s">
        <v>1737</v>
      </c>
      <c r="BC444" s="100">
        <f t="shared" si="411"/>
        <v>0</v>
      </c>
      <c r="BD444" s="100">
        <f t="shared" si="412"/>
        <v>0</v>
      </c>
      <c r="BE444" s="100">
        <v>0</v>
      </c>
      <c r="BF444" s="100">
        <f>444</f>
        <v>444</v>
      </c>
      <c r="BH444" s="108">
        <f t="shared" si="413"/>
        <v>0</v>
      </c>
      <c r="BI444" s="108">
        <f t="shared" si="414"/>
        <v>0</v>
      </c>
      <c r="BJ444" s="108">
        <f t="shared" si="415"/>
        <v>0</v>
      </c>
    </row>
    <row r="445" spans="1:62" x14ac:dyDescent="0.2">
      <c r="A445" s="117" t="s">
        <v>403</v>
      </c>
      <c r="B445" s="117" t="s">
        <v>858</v>
      </c>
      <c r="C445" s="304" t="s">
        <v>1448</v>
      </c>
      <c r="D445" s="305"/>
      <c r="E445" s="305"/>
      <c r="F445" s="117" t="s">
        <v>1647</v>
      </c>
      <c r="G445" s="116">
        <v>5</v>
      </c>
      <c r="H445" s="159"/>
      <c r="I445" s="108">
        <f t="shared" si="392"/>
        <v>0</v>
      </c>
      <c r="J445" s="108">
        <f t="shared" si="393"/>
        <v>0</v>
      </c>
      <c r="K445" s="108">
        <f t="shared" si="394"/>
        <v>0</v>
      </c>
      <c r="L445" s="111"/>
      <c r="Z445" s="100">
        <f t="shared" si="395"/>
        <v>0</v>
      </c>
      <c r="AB445" s="100">
        <f t="shared" si="396"/>
        <v>0</v>
      </c>
      <c r="AC445" s="100">
        <f t="shared" si="397"/>
        <v>0</v>
      </c>
      <c r="AD445" s="100">
        <f t="shared" si="398"/>
        <v>0</v>
      </c>
      <c r="AE445" s="100">
        <f t="shared" si="399"/>
        <v>0</v>
      </c>
      <c r="AF445" s="100">
        <f t="shared" si="400"/>
        <v>0</v>
      </c>
      <c r="AG445" s="100">
        <f t="shared" si="401"/>
        <v>0</v>
      </c>
      <c r="AH445" s="100">
        <f t="shared" si="402"/>
        <v>0</v>
      </c>
      <c r="AI445" s="109"/>
      <c r="AJ445" s="108">
        <f t="shared" si="403"/>
        <v>0</v>
      </c>
      <c r="AK445" s="108">
        <f t="shared" si="404"/>
        <v>0</v>
      </c>
      <c r="AL445" s="108">
        <f t="shared" si="405"/>
        <v>0</v>
      </c>
      <c r="AN445" s="100">
        <v>15</v>
      </c>
      <c r="AO445" s="100">
        <f t="shared" si="406"/>
        <v>0</v>
      </c>
      <c r="AP445" s="100">
        <f t="shared" si="407"/>
        <v>0</v>
      </c>
      <c r="AQ445" s="111" t="s">
        <v>13</v>
      </c>
      <c r="AV445" s="100">
        <f t="shared" si="408"/>
        <v>0</v>
      </c>
      <c r="AW445" s="100">
        <f t="shared" si="409"/>
        <v>0</v>
      </c>
      <c r="AX445" s="100">
        <f t="shared" si="410"/>
        <v>0</v>
      </c>
      <c r="AY445" s="110" t="s">
        <v>1713</v>
      </c>
      <c r="AZ445" s="110" t="s">
        <v>1733</v>
      </c>
      <c r="BA445" s="109" t="s">
        <v>1737</v>
      </c>
      <c r="BC445" s="100">
        <f t="shared" si="411"/>
        <v>0</v>
      </c>
      <c r="BD445" s="100">
        <f t="shared" si="412"/>
        <v>0</v>
      </c>
      <c r="BE445" s="100">
        <v>0</v>
      </c>
      <c r="BF445" s="100">
        <f>445</f>
        <v>445</v>
      </c>
      <c r="BH445" s="108">
        <f t="shared" si="413"/>
        <v>0</v>
      </c>
      <c r="BI445" s="108">
        <f t="shared" si="414"/>
        <v>0</v>
      </c>
      <c r="BJ445" s="108">
        <f t="shared" si="415"/>
        <v>0</v>
      </c>
    </row>
    <row r="446" spans="1:62" x14ac:dyDescent="0.2">
      <c r="A446" s="117" t="s">
        <v>404</v>
      </c>
      <c r="B446" s="117" t="s">
        <v>859</v>
      </c>
      <c r="C446" s="304" t="s">
        <v>1449</v>
      </c>
      <c r="D446" s="305"/>
      <c r="E446" s="305"/>
      <c r="F446" s="117" t="s">
        <v>1647</v>
      </c>
      <c r="G446" s="116">
        <v>5</v>
      </c>
      <c r="H446" s="159"/>
      <c r="I446" s="108">
        <f t="shared" si="392"/>
        <v>0</v>
      </c>
      <c r="J446" s="108">
        <f t="shared" si="393"/>
        <v>0</v>
      </c>
      <c r="K446" s="108">
        <f t="shared" si="394"/>
        <v>0</v>
      </c>
      <c r="L446" s="111"/>
      <c r="Z446" s="100">
        <f t="shared" si="395"/>
        <v>0</v>
      </c>
      <c r="AB446" s="100">
        <f t="shared" si="396"/>
        <v>0</v>
      </c>
      <c r="AC446" s="100">
        <f t="shared" si="397"/>
        <v>0</v>
      </c>
      <c r="AD446" s="100">
        <f t="shared" si="398"/>
        <v>0</v>
      </c>
      <c r="AE446" s="100">
        <f t="shared" si="399"/>
        <v>0</v>
      </c>
      <c r="AF446" s="100">
        <f t="shared" si="400"/>
        <v>0</v>
      </c>
      <c r="AG446" s="100">
        <f t="shared" si="401"/>
        <v>0</v>
      </c>
      <c r="AH446" s="100">
        <f t="shared" si="402"/>
        <v>0</v>
      </c>
      <c r="AI446" s="109"/>
      <c r="AJ446" s="108">
        <f t="shared" si="403"/>
        <v>0</v>
      </c>
      <c r="AK446" s="108">
        <f t="shared" si="404"/>
        <v>0</v>
      </c>
      <c r="AL446" s="108">
        <f t="shared" si="405"/>
        <v>0</v>
      </c>
      <c r="AN446" s="100">
        <v>15</v>
      </c>
      <c r="AO446" s="100">
        <f t="shared" si="406"/>
        <v>0</v>
      </c>
      <c r="AP446" s="100">
        <f t="shared" si="407"/>
        <v>0</v>
      </c>
      <c r="AQ446" s="111" t="s">
        <v>13</v>
      </c>
      <c r="AV446" s="100">
        <f t="shared" si="408"/>
        <v>0</v>
      </c>
      <c r="AW446" s="100">
        <f t="shared" si="409"/>
        <v>0</v>
      </c>
      <c r="AX446" s="100">
        <f t="shared" si="410"/>
        <v>0</v>
      </c>
      <c r="AY446" s="110" t="s">
        <v>1713</v>
      </c>
      <c r="AZ446" s="110" t="s">
        <v>1733</v>
      </c>
      <c r="BA446" s="109" t="s">
        <v>1737</v>
      </c>
      <c r="BC446" s="100">
        <f t="shared" si="411"/>
        <v>0</v>
      </c>
      <c r="BD446" s="100">
        <f t="shared" si="412"/>
        <v>0</v>
      </c>
      <c r="BE446" s="100">
        <v>0</v>
      </c>
      <c r="BF446" s="100">
        <f>446</f>
        <v>446</v>
      </c>
      <c r="BH446" s="108">
        <f t="shared" si="413"/>
        <v>0</v>
      </c>
      <c r="BI446" s="108">
        <f t="shared" si="414"/>
        <v>0</v>
      </c>
      <c r="BJ446" s="108">
        <f t="shared" si="415"/>
        <v>0</v>
      </c>
    </row>
    <row r="447" spans="1:62" x14ac:dyDescent="0.2">
      <c r="A447" s="117" t="s">
        <v>405</v>
      </c>
      <c r="B447" s="117" t="s">
        <v>860</v>
      </c>
      <c r="C447" s="304" t="s">
        <v>1450</v>
      </c>
      <c r="D447" s="305"/>
      <c r="E447" s="305"/>
      <c r="F447" s="117" t="s">
        <v>1647</v>
      </c>
      <c r="G447" s="116">
        <v>5</v>
      </c>
      <c r="H447" s="159"/>
      <c r="I447" s="108">
        <f t="shared" si="392"/>
        <v>0</v>
      </c>
      <c r="J447" s="108">
        <f t="shared" si="393"/>
        <v>0</v>
      </c>
      <c r="K447" s="108">
        <f t="shared" si="394"/>
        <v>0</v>
      </c>
      <c r="L447" s="111"/>
      <c r="Z447" s="100">
        <f t="shared" si="395"/>
        <v>0</v>
      </c>
      <c r="AB447" s="100">
        <f t="shared" si="396"/>
        <v>0</v>
      </c>
      <c r="AC447" s="100">
        <f t="shared" si="397"/>
        <v>0</v>
      </c>
      <c r="AD447" s="100">
        <f t="shared" si="398"/>
        <v>0</v>
      </c>
      <c r="AE447" s="100">
        <f t="shared" si="399"/>
        <v>0</v>
      </c>
      <c r="AF447" s="100">
        <f t="shared" si="400"/>
        <v>0</v>
      </c>
      <c r="AG447" s="100">
        <f t="shared" si="401"/>
        <v>0</v>
      </c>
      <c r="AH447" s="100">
        <f t="shared" si="402"/>
        <v>0</v>
      </c>
      <c r="AI447" s="109"/>
      <c r="AJ447" s="108">
        <f t="shared" si="403"/>
        <v>0</v>
      </c>
      <c r="AK447" s="108">
        <f t="shared" si="404"/>
        <v>0</v>
      </c>
      <c r="AL447" s="108">
        <f t="shared" si="405"/>
        <v>0</v>
      </c>
      <c r="AN447" s="100">
        <v>15</v>
      </c>
      <c r="AO447" s="100">
        <f t="shared" si="406"/>
        <v>0</v>
      </c>
      <c r="AP447" s="100">
        <f t="shared" si="407"/>
        <v>0</v>
      </c>
      <c r="AQ447" s="111" t="s">
        <v>13</v>
      </c>
      <c r="AV447" s="100">
        <f t="shared" si="408"/>
        <v>0</v>
      </c>
      <c r="AW447" s="100">
        <f t="shared" si="409"/>
        <v>0</v>
      </c>
      <c r="AX447" s="100">
        <f t="shared" si="410"/>
        <v>0</v>
      </c>
      <c r="AY447" s="110" t="s">
        <v>1713</v>
      </c>
      <c r="AZ447" s="110" t="s">
        <v>1733</v>
      </c>
      <c r="BA447" s="109" t="s">
        <v>1737</v>
      </c>
      <c r="BC447" s="100">
        <f t="shared" si="411"/>
        <v>0</v>
      </c>
      <c r="BD447" s="100">
        <f t="shared" si="412"/>
        <v>0</v>
      </c>
      <c r="BE447" s="100">
        <v>0</v>
      </c>
      <c r="BF447" s="100">
        <f>447</f>
        <v>447</v>
      </c>
      <c r="BH447" s="108">
        <f t="shared" si="413"/>
        <v>0</v>
      </c>
      <c r="BI447" s="108">
        <f t="shared" si="414"/>
        <v>0</v>
      </c>
      <c r="BJ447" s="108">
        <f t="shared" si="415"/>
        <v>0</v>
      </c>
    </row>
    <row r="448" spans="1:62" x14ac:dyDescent="0.2">
      <c r="A448" s="117" t="s">
        <v>406</v>
      </c>
      <c r="B448" s="117" t="s">
        <v>861</v>
      </c>
      <c r="C448" s="304" t="s">
        <v>1451</v>
      </c>
      <c r="D448" s="305"/>
      <c r="E448" s="305"/>
      <c r="F448" s="117" t="s">
        <v>1647</v>
      </c>
      <c r="G448" s="116">
        <v>28</v>
      </c>
      <c r="H448" s="159"/>
      <c r="I448" s="108">
        <f t="shared" si="392"/>
        <v>0</v>
      </c>
      <c r="J448" s="108">
        <f t="shared" si="393"/>
        <v>0</v>
      </c>
      <c r="K448" s="108">
        <f t="shared" si="394"/>
        <v>0</v>
      </c>
      <c r="L448" s="111"/>
      <c r="Z448" s="100">
        <f t="shared" si="395"/>
        <v>0</v>
      </c>
      <c r="AB448" s="100">
        <f t="shared" si="396"/>
        <v>0</v>
      </c>
      <c r="AC448" s="100">
        <f t="shared" si="397"/>
        <v>0</v>
      </c>
      <c r="AD448" s="100">
        <f t="shared" si="398"/>
        <v>0</v>
      </c>
      <c r="AE448" s="100">
        <f t="shared" si="399"/>
        <v>0</v>
      </c>
      <c r="AF448" s="100">
        <f t="shared" si="400"/>
        <v>0</v>
      </c>
      <c r="AG448" s="100">
        <f t="shared" si="401"/>
        <v>0</v>
      </c>
      <c r="AH448" s="100">
        <f t="shared" si="402"/>
        <v>0</v>
      </c>
      <c r="AI448" s="109"/>
      <c r="AJ448" s="108">
        <f t="shared" si="403"/>
        <v>0</v>
      </c>
      <c r="AK448" s="108">
        <f t="shared" si="404"/>
        <v>0</v>
      </c>
      <c r="AL448" s="108">
        <f t="shared" si="405"/>
        <v>0</v>
      </c>
      <c r="AN448" s="100">
        <v>15</v>
      </c>
      <c r="AO448" s="100">
        <f t="shared" si="406"/>
        <v>0</v>
      </c>
      <c r="AP448" s="100">
        <f t="shared" si="407"/>
        <v>0</v>
      </c>
      <c r="AQ448" s="111" t="s">
        <v>13</v>
      </c>
      <c r="AV448" s="100">
        <f t="shared" si="408"/>
        <v>0</v>
      </c>
      <c r="AW448" s="100">
        <f t="shared" si="409"/>
        <v>0</v>
      </c>
      <c r="AX448" s="100">
        <f t="shared" si="410"/>
        <v>0</v>
      </c>
      <c r="AY448" s="110" t="s">
        <v>1713</v>
      </c>
      <c r="AZ448" s="110" t="s">
        <v>1733</v>
      </c>
      <c r="BA448" s="109" t="s">
        <v>1737</v>
      </c>
      <c r="BC448" s="100">
        <f t="shared" si="411"/>
        <v>0</v>
      </c>
      <c r="BD448" s="100">
        <f t="shared" si="412"/>
        <v>0</v>
      </c>
      <c r="BE448" s="100">
        <v>0</v>
      </c>
      <c r="BF448" s="100">
        <f>448</f>
        <v>448</v>
      </c>
      <c r="BH448" s="108">
        <f t="shared" si="413"/>
        <v>0</v>
      </c>
      <c r="BI448" s="108">
        <f t="shared" si="414"/>
        <v>0</v>
      </c>
      <c r="BJ448" s="108">
        <f t="shared" si="415"/>
        <v>0</v>
      </c>
    </row>
    <row r="449" spans="1:62" x14ac:dyDescent="0.2">
      <c r="A449" s="117" t="s">
        <v>407</v>
      </c>
      <c r="B449" s="117" t="s">
        <v>862</v>
      </c>
      <c r="C449" s="304" t="s">
        <v>1452</v>
      </c>
      <c r="D449" s="305"/>
      <c r="E449" s="305"/>
      <c r="F449" s="117" t="s">
        <v>1644</v>
      </c>
      <c r="G449" s="116">
        <v>1</v>
      </c>
      <c r="H449" s="159"/>
      <c r="I449" s="108">
        <f t="shared" si="392"/>
        <v>0</v>
      </c>
      <c r="J449" s="108">
        <f t="shared" si="393"/>
        <v>0</v>
      </c>
      <c r="K449" s="108">
        <f t="shared" si="394"/>
        <v>0</v>
      </c>
      <c r="L449" s="111"/>
      <c r="Z449" s="100">
        <f t="shared" si="395"/>
        <v>0</v>
      </c>
      <c r="AB449" s="100">
        <f t="shared" si="396"/>
        <v>0</v>
      </c>
      <c r="AC449" s="100">
        <f t="shared" si="397"/>
        <v>0</v>
      </c>
      <c r="AD449" s="100">
        <f t="shared" si="398"/>
        <v>0</v>
      </c>
      <c r="AE449" s="100">
        <f t="shared" si="399"/>
        <v>0</v>
      </c>
      <c r="AF449" s="100">
        <f t="shared" si="400"/>
        <v>0</v>
      </c>
      <c r="AG449" s="100">
        <f t="shared" si="401"/>
        <v>0</v>
      </c>
      <c r="AH449" s="100">
        <f t="shared" si="402"/>
        <v>0</v>
      </c>
      <c r="AI449" s="109"/>
      <c r="AJ449" s="108">
        <f t="shared" si="403"/>
        <v>0</v>
      </c>
      <c r="AK449" s="108">
        <f t="shared" si="404"/>
        <v>0</v>
      </c>
      <c r="AL449" s="108">
        <f t="shared" si="405"/>
        <v>0</v>
      </c>
      <c r="AN449" s="100">
        <v>15</v>
      </c>
      <c r="AO449" s="100">
        <f t="shared" si="406"/>
        <v>0</v>
      </c>
      <c r="AP449" s="100">
        <f t="shared" si="407"/>
        <v>0</v>
      </c>
      <c r="AQ449" s="111" t="s">
        <v>13</v>
      </c>
      <c r="AV449" s="100">
        <f t="shared" si="408"/>
        <v>0</v>
      </c>
      <c r="AW449" s="100">
        <f t="shared" si="409"/>
        <v>0</v>
      </c>
      <c r="AX449" s="100">
        <f t="shared" si="410"/>
        <v>0</v>
      </c>
      <c r="AY449" s="110" t="s">
        <v>1713</v>
      </c>
      <c r="AZ449" s="110" t="s">
        <v>1733</v>
      </c>
      <c r="BA449" s="109" t="s">
        <v>1737</v>
      </c>
      <c r="BC449" s="100">
        <f t="shared" si="411"/>
        <v>0</v>
      </c>
      <c r="BD449" s="100">
        <f t="shared" si="412"/>
        <v>0</v>
      </c>
      <c r="BE449" s="100">
        <v>0</v>
      </c>
      <c r="BF449" s="100">
        <f>449</f>
        <v>449</v>
      </c>
      <c r="BH449" s="108">
        <f t="shared" si="413"/>
        <v>0</v>
      </c>
      <c r="BI449" s="108">
        <f t="shared" si="414"/>
        <v>0</v>
      </c>
      <c r="BJ449" s="108">
        <f t="shared" si="415"/>
        <v>0</v>
      </c>
    </row>
    <row r="450" spans="1:62" x14ac:dyDescent="0.2">
      <c r="A450" s="117" t="s">
        <v>408</v>
      </c>
      <c r="B450" s="117" t="s">
        <v>863</v>
      </c>
      <c r="C450" s="304" t="s">
        <v>1453</v>
      </c>
      <c r="D450" s="305"/>
      <c r="E450" s="305"/>
      <c r="F450" s="117" t="s">
        <v>1645</v>
      </c>
      <c r="G450" s="116">
        <v>27</v>
      </c>
      <c r="H450" s="159"/>
      <c r="I450" s="108">
        <f t="shared" si="392"/>
        <v>0</v>
      </c>
      <c r="J450" s="108">
        <f t="shared" si="393"/>
        <v>0</v>
      </c>
      <c r="K450" s="108">
        <f t="shared" si="394"/>
        <v>0</v>
      </c>
      <c r="L450" s="111"/>
      <c r="Z450" s="100">
        <f t="shared" si="395"/>
        <v>0</v>
      </c>
      <c r="AB450" s="100">
        <f t="shared" si="396"/>
        <v>0</v>
      </c>
      <c r="AC450" s="100">
        <f t="shared" si="397"/>
        <v>0</v>
      </c>
      <c r="AD450" s="100">
        <f t="shared" si="398"/>
        <v>0</v>
      </c>
      <c r="AE450" s="100">
        <f t="shared" si="399"/>
        <v>0</v>
      </c>
      <c r="AF450" s="100">
        <f t="shared" si="400"/>
        <v>0</v>
      </c>
      <c r="AG450" s="100">
        <f t="shared" si="401"/>
        <v>0</v>
      </c>
      <c r="AH450" s="100">
        <f t="shared" si="402"/>
        <v>0</v>
      </c>
      <c r="AI450" s="109"/>
      <c r="AJ450" s="108">
        <f t="shared" si="403"/>
        <v>0</v>
      </c>
      <c r="AK450" s="108">
        <f t="shared" si="404"/>
        <v>0</v>
      </c>
      <c r="AL450" s="108">
        <f t="shared" si="405"/>
        <v>0</v>
      </c>
      <c r="AN450" s="100">
        <v>15</v>
      </c>
      <c r="AO450" s="100">
        <f t="shared" si="406"/>
        <v>0</v>
      </c>
      <c r="AP450" s="100">
        <f t="shared" si="407"/>
        <v>0</v>
      </c>
      <c r="AQ450" s="111" t="s">
        <v>13</v>
      </c>
      <c r="AV450" s="100">
        <f t="shared" si="408"/>
        <v>0</v>
      </c>
      <c r="AW450" s="100">
        <f t="shared" si="409"/>
        <v>0</v>
      </c>
      <c r="AX450" s="100">
        <f t="shared" si="410"/>
        <v>0</v>
      </c>
      <c r="AY450" s="110" t="s">
        <v>1713</v>
      </c>
      <c r="AZ450" s="110" t="s">
        <v>1733</v>
      </c>
      <c r="BA450" s="109" t="s">
        <v>1737</v>
      </c>
      <c r="BC450" s="100">
        <f t="shared" si="411"/>
        <v>0</v>
      </c>
      <c r="BD450" s="100">
        <f t="shared" si="412"/>
        <v>0</v>
      </c>
      <c r="BE450" s="100">
        <v>0</v>
      </c>
      <c r="BF450" s="100">
        <f>450</f>
        <v>450</v>
      </c>
      <c r="BH450" s="108">
        <f t="shared" si="413"/>
        <v>0</v>
      </c>
      <c r="BI450" s="108">
        <f t="shared" si="414"/>
        <v>0</v>
      </c>
      <c r="BJ450" s="108">
        <f t="shared" si="415"/>
        <v>0</v>
      </c>
    </row>
    <row r="451" spans="1:62" x14ac:dyDescent="0.2">
      <c r="A451" s="117" t="s">
        <v>409</v>
      </c>
      <c r="B451" s="117" t="s">
        <v>864</v>
      </c>
      <c r="C451" s="304" t="s">
        <v>1454</v>
      </c>
      <c r="D451" s="305"/>
      <c r="E451" s="305"/>
      <c r="F451" s="117" t="s">
        <v>1652</v>
      </c>
      <c r="G451" s="116">
        <v>1</v>
      </c>
      <c r="H451" s="159"/>
      <c r="I451" s="108">
        <f t="shared" si="392"/>
        <v>0</v>
      </c>
      <c r="J451" s="108">
        <f t="shared" si="393"/>
        <v>0</v>
      </c>
      <c r="K451" s="108">
        <f t="shared" si="394"/>
        <v>0</v>
      </c>
      <c r="L451" s="111"/>
      <c r="Z451" s="100">
        <f t="shared" si="395"/>
        <v>0</v>
      </c>
      <c r="AB451" s="100">
        <f t="shared" si="396"/>
        <v>0</v>
      </c>
      <c r="AC451" s="100">
        <f t="shared" si="397"/>
        <v>0</v>
      </c>
      <c r="AD451" s="100">
        <f t="shared" si="398"/>
        <v>0</v>
      </c>
      <c r="AE451" s="100">
        <f t="shared" si="399"/>
        <v>0</v>
      </c>
      <c r="AF451" s="100">
        <f t="shared" si="400"/>
        <v>0</v>
      </c>
      <c r="AG451" s="100">
        <f t="shared" si="401"/>
        <v>0</v>
      </c>
      <c r="AH451" s="100">
        <f t="shared" si="402"/>
        <v>0</v>
      </c>
      <c r="AI451" s="109"/>
      <c r="AJ451" s="108">
        <f t="shared" si="403"/>
        <v>0</v>
      </c>
      <c r="AK451" s="108">
        <f t="shared" si="404"/>
        <v>0</v>
      </c>
      <c r="AL451" s="108">
        <f t="shared" si="405"/>
        <v>0</v>
      </c>
      <c r="AN451" s="100">
        <v>15</v>
      </c>
      <c r="AO451" s="100">
        <f t="shared" si="406"/>
        <v>0</v>
      </c>
      <c r="AP451" s="100">
        <f t="shared" si="407"/>
        <v>0</v>
      </c>
      <c r="AQ451" s="111" t="s">
        <v>13</v>
      </c>
      <c r="AV451" s="100">
        <f t="shared" si="408"/>
        <v>0</v>
      </c>
      <c r="AW451" s="100">
        <f t="shared" si="409"/>
        <v>0</v>
      </c>
      <c r="AX451" s="100">
        <f t="shared" si="410"/>
        <v>0</v>
      </c>
      <c r="AY451" s="110" t="s">
        <v>1713</v>
      </c>
      <c r="AZ451" s="110" t="s">
        <v>1733</v>
      </c>
      <c r="BA451" s="109" t="s">
        <v>1737</v>
      </c>
      <c r="BC451" s="100">
        <f t="shared" si="411"/>
        <v>0</v>
      </c>
      <c r="BD451" s="100">
        <f t="shared" si="412"/>
        <v>0</v>
      </c>
      <c r="BE451" s="100">
        <v>0</v>
      </c>
      <c r="BF451" s="100">
        <f>451</f>
        <v>451</v>
      </c>
      <c r="BH451" s="108">
        <f t="shared" si="413"/>
        <v>0</v>
      </c>
      <c r="BI451" s="108">
        <f t="shared" si="414"/>
        <v>0</v>
      </c>
      <c r="BJ451" s="108">
        <f t="shared" si="415"/>
        <v>0</v>
      </c>
    </row>
    <row r="452" spans="1:62" x14ac:dyDescent="0.2">
      <c r="A452" s="117" t="s">
        <v>410</v>
      </c>
      <c r="B452" s="117" t="s">
        <v>865</v>
      </c>
      <c r="C452" s="304" t="s">
        <v>1455</v>
      </c>
      <c r="D452" s="305"/>
      <c r="E452" s="305"/>
      <c r="F452" s="117" t="s">
        <v>1652</v>
      </c>
      <c r="G452" s="116">
        <v>1</v>
      </c>
      <c r="H452" s="159"/>
      <c r="I452" s="108">
        <f t="shared" si="392"/>
        <v>0</v>
      </c>
      <c r="J452" s="108">
        <f t="shared" si="393"/>
        <v>0</v>
      </c>
      <c r="K452" s="108">
        <f t="shared" si="394"/>
        <v>0</v>
      </c>
      <c r="L452" s="111"/>
      <c r="Z452" s="100">
        <f t="shared" si="395"/>
        <v>0</v>
      </c>
      <c r="AB452" s="100">
        <f t="shared" si="396"/>
        <v>0</v>
      </c>
      <c r="AC452" s="100">
        <f t="shared" si="397"/>
        <v>0</v>
      </c>
      <c r="AD452" s="100">
        <f t="shared" si="398"/>
        <v>0</v>
      </c>
      <c r="AE452" s="100">
        <f t="shared" si="399"/>
        <v>0</v>
      </c>
      <c r="AF452" s="100">
        <f t="shared" si="400"/>
        <v>0</v>
      </c>
      <c r="AG452" s="100">
        <f t="shared" si="401"/>
        <v>0</v>
      </c>
      <c r="AH452" s="100">
        <f t="shared" si="402"/>
        <v>0</v>
      </c>
      <c r="AI452" s="109"/>
      <c r="AJ452" s="108">
        <f t="shared" si="403"/>
        <v>0</v>
      </c>
      <c r="AK452" s="108">
        <f t="shared" si="404"/>
        <v>0</v>
      </c>
      <c r="AL452" s="108">
        <f t="shared" si="405"/>
        <v>0</v>
      </c>
      <c r="AN452" s="100">
        <v>15</v>
      </c>
      <c r="AO452" s="100">
        <f t="shared" si="406"/>
        <v>0</v>
      </c>
      <c r="AP452" s="100">
        <f t="shared" si="407"/>
        <v>0</v>
      </c>
      <c r="AQ452" s="111" t="s">
        <v>13</v>
      </c>
      <c r="AV452" s="100">
        <f t="shared" si="408"/>
        <v>0</v>
      </c>
      <c r="AW452" s="100">
        <f t="shared" si="409"/>
        <v>0</v>
      </c>
      <c r="AX452" s="100">
        <f t="shared" si="410"/>
        <v>0</v>
      </c>
      <c r="AY452" s="110" t="s">
        <v>1713</v>
      </c>
      <c r="AZ452" s="110" t="s">
        <v>1733</v>
      </c>
      <c r="BA452" s="109" t="s">
        <v>1737</v>
      </c>
      <c r="BC452" s="100">
        <f t="shared" si="411"/>
        <v>0</v>
      </c>
      <c r="BD452" s="100">
        <f t="shared" si="412"/>
        <v>0</v>
      </c>
      <c r="BE452" s="100">
        <v>0</v>
      </c>
      <c r="BF452" s="100">
        <f>452</f>
        <v>452</v>
      </c>
      <c r="BH452" s="108">
        <f t="shared" si="413"/>
        <v>0</v>
      </c>
      <c r="BI452" s="108">
        <f t="shared" si="414"/>
        <v>0</v>
      </c>
      <c r="BJ452" s="108">
        <f t="shared" si="415"/>
        <v>0</v>
      </c>
    </row>
    <row r="453" spans="1:62" x14ac:dyDescent="0.2">
      <c r="A453" s="117" t="s">
        <v>411</v>
      </c>
      <c r="B453" s="117" t="s">
        <v>866</v>
      </c>
      <c r="C453" s="304" t="s">
        <v>1456</v>
      </c>
      <c r="D453" s="305"/>
      <c r="E453" s="305"/>
      <c r="F453" s="117" t="s">
        <v>1652</v>
      </c>
      <c r="G453" s="116">
        <v>1</v>
      </c>
      <c r="H453" s="159"/>
      <c r="I453" s="108">
        <f t="shared" si="392"/>
        <v>0</v>
      </c>
      <c r="J453" s="108">
        <f t="shared" si="393"/>
        <v>0</v>
      </c>
      <c r="K453" s="108">
        <f t="shared" si="394"/>
        <v>0</v>
      </c>
      <c r="L453" s="111"/>
      <c r="Z453" s="100">
        <f t="shared" si="395"/>
        <v>0</v>
      </c>
      <c r="AB453" s="100">
        <f t="shared" si="396"/>
        <v>0</v>
      </c>
      <c r="AC453" s="100">
        <f t="shared" si="397"/>
        <v>0</v>
      </c>
      <c r="AD453" s="100">
        <f t="shared" si="398"/>
        <v>0</v>
      </c>
      <c r="AE453" s="100">
        <f t="shared" si="399"/>
        <v>0</v>
      </c>
      <c r="AF453" s="100">
        <f t="shared" si="400"/>
        <v>0</v>
      </c>
      <c r="AG453" s="100">
        <f t="shared" si="401"/>
        <v>0</v>
      </c>
      <c r="AH453" s="100">
        <f t="shared" si="402"/>
        <v>0</v>
      </c>
      <c r="AI453" s="109"/>
      <c r="AJ453" s="108">
        <f t="shared" si="403"/>
        <v>0</v>
      </c>
      <c r="AK453" s="108">
        <f t="shared" si="404"/>
        <v>0</v>
      </c>
      <c r="AL453" s="108">
        <f t="shared" si="405"/>
        <v>0</v>
      </c>
      <c r="AN453" s="100">
        <v>15</v>
      </c>
      <c r="AO453" s="100">
        <f t="shared" si="406"/>
        <v>0</v>
      </c>
      <c r="AP453" s="100">
        <f t="shared" si="407"/>
        <v>0</v>
      </c>
      <c r="AQ453" s="111" t="s">
        <v>13</v>
      </c>
      <c r="AV453" s="100">
        <f t="shared" si="408"/>
        <v>0</v>
      </c>
      <c r="AW453" s="100">
        <f t="shared" si="409"/>
        <v>0</v>
      </c>
      <c r="AX453" s="100">
        <f t="shared" si="410"/>
        <v>0</v>
      </c>
      <c r="AY453" s="110" t="s">
        <v>1713</v>
      </c>
      <c r="AZ453" s="110" t="s">
        <v>1733</v>
      </c>
      <c r="BA453" s="109" t="s">
        <v>1737</v>
      </c>
      <c r="BC453" s="100">
        <f t="shared" si="411"/>
        <v>0</v>
      </c>
      <c r="BD453" s="100">
        <f t="shared" si="412"/>
        <v>0</v>
      </c>
      <c r="BE453" s="100">
        <v>0</v>
      </c>
      <c r="BF453" s="100">
        <f>453</f>
        <v>453</v>
      </c>
      <c r="BH453" s="108">
        <f t="shared" si="413"/>
        <v>0</v>
      </c>
      <c r="BI453" s="108">
        <f t="shared" si="414"/>
        <v>0</v>
      </c>
      <c r="BJ453" s="108">
        <f t="shared" si="415"/>
        <v>0</v>
      </c>
    </row>
    <row r="454" spans="1:62" x14ac:dyDescent="0.2">
      <c r="A454" s="117" t="s">
        <v>412</v>
      </c>
      <c r="B454" s="117" t="s">
        <v>867</v>
      </c>
      <c r="C454" s="304" t="s">
        <v>1420</v>
      </c>
      <c r="D454" s="305"/>
      <c r="E454" s="305"/>
      <c r="F454" s="117" t="s">
        <v>1652</v>
      </c>
      <c r="G454" s="116">
        <v>1</v>
      </c>
      <c r="H454" s="159"/>
      <c r="I454" s="108">
        <f t="shared" si="392"/>
        <v>0</v>
      </c>
      <c r="J454" s="108">
        <f t="shared" si="393"/>
        <v>0</v>
      </c>
      <c r="K454" s="108">
        <f t="shared" si="394"/>
        <v>0</v>
      </c>
      <c r="L454" s="111"/>
      <c r="Z454" s="100">
        <f t="shared" si="395"/>
        <v>0</v>
      </c>
      <c r="AB454" s="100">
        <f t="shared" si="396"/>
        <v>0</v>
      </c>
      <c r="AC454" s="100">
        <f t="shared" si="397"/>
        <v>0</v>
      </c>
      <c r="AD454" s="100">
        <f t="shared" si="398"/>
        <v>0</v>
      </c>
      <c r="AE454" s="100">
        <f t="shared" si="399"/>
        <v>0</v>
      </c>
      <c r="AF454" s="100">
        <f t="shared" si="400"/>
        <v>0</v>
      </c>
      <c r="AG454" s="100">
        <f t="shared" si="401"/>
        <v>0</v>
      </c>
      <c r="AH454" s="100">
        <f t="shared" si="402"/>
        <v>0</v>
      </c>
      <c r="AI454" s="109"/>
      <c r="AJ454" s="108">
        <f t="shared" si="403"/>
        <v>0</v>
      </c>
      <c r="AK454" s="108">
        <f t="shared" si="404"/>
        <v>0</v>
      </c>
      <c r="AL454" s="108">
        <f t="shared" si="405"/>
        <v>0</v>
      </c>
      <c r="AN454" s="100">
        <v>15</v>
      </c>
      <c r="AO454" s="100">
        <f t="shared" si="406"/>
        <v>0</v>
      </c>
      <c r="AP454" s="100">
        <f t="shared" si="407"/>
        <v>0</v>
      </c>
      <c r="AQ454" s="111" t="s">
        <v>13</v>
      </c>
      <c r="AV454" s="100">
        <f t="shared" si="408"/>
        <v>0</v>
      </c>
      <c r="AW454" s="100">
        <f t="shared" si="409"/>
        <v>0</v>
      </c>
      <c r="AX454" s="100">
        <f t="shared" si="410"/>
        <v>0</v>
      </c>
      <c r="AY454" s="110" t="s">
        <v>1713</v>
      </c>
      <c r="AZ454" s="110" t="s">
        <v>1733</v>
      </c>
      <c r="BA454" s="109" t="s">
        <v>1737</v>
      </c>
      <c r="BC454" s="100">
        <f t="shared" si="411"/>
        <v>0</v>
      </c>
      <c r="BD454" s="100">
        <f t="shared" si="412"/>
        <v>0</v>
      </c>
      <c r="BE454" s="100">
        <v>0</v>
      </c>
      <c r="BF454" s="100">
        <f>454</f>
        <v>454</v>
      </c>
      <c r="BH454" s="108">
        <f t="shared" si="413"/>
        <v>0</v>
      </c>
      <c r="BI454" s="108">
        <f t="shared" si="414"/>
        <v>0</v>
      </c>
      <c r="BJ454" s="108">
        <f t="shared" si="415"/>
        <v>0</v>
      </c>
    </row>
    <row r="455" spans="1:62" x14ac:dyDescent="0.2">
      <c r="A455" s="117" t="s">
        <v>413</v>
      </c>
      <c r="B455" s="117" t="s">
        <v>868</v>
      </c>
      <c r="C455" s="304" t="s">
        <v>1421</v>
      </c>
      <c r="D455" s="305"/>
      <c r="E455" s="305"/>
      <c r="F455" s="117" t="s">
        <v>1652</v>
      </c>
      <c r="G455" s="116">
        <v>1</v>
      </c>
      <c r="H455" s="159"/>
      <c r="I455" s="108">
        <f t="shared" si="392"/>
        <v>0</v>
      </c>
      <c r="J455" s="108">
        <f t="shared" si="393"/>
        <v>0</v>
      </c>
      <c r="K455" s="108">
        <f t="shared" si="394"/>
        <v>0</v>
      </c>
      <c r="L455" s="111"/>
      <c r="Z455" s="100">
        <f t="shared" si="395"/>
        <v>0</v>
      </c>
      <c r="AB455" s="100">
        <f t="shared" si="396"/>
        <v>0</v>
      </c>
      <c r="AC455" s="100">
        <f t="shared" si="397"/>
        <v>0</v>
      </c>
      <c r="AD455" s="100">
        <f t="shared" si="398"/>
        <v>0</v>
      </c>
      <c r="AE455" s="100">
        <f t="shared" si="399"/>
        <v>0</v>
      </c>
      <c r="AF455" s="100">
        <f t="shared" si="400"/>
        <v>0</v>
      </c>
      <c r="AG455" s="100">
        <f t="shared" si="401"/>
        <v>0</v>
      </c>
      <c r="AH455" s="100">
        <f t="shared" si="402"/>
        <v>0</v>
      </c>
      <c r="AI455" s="109"/>
      <c r="AJ455" s="108">
        <f t="shared" si="403"/>
        <v>0</v>
      </c>
      <c r="AK455" s="108">
        <f t="shared" si="404"/>
        <v>0</v>
      </c>
      <c r="AL455" s="108">
        <f t="shared" si="405"/>
        <v>0</v>
      </c>
      <c r="AN455" s="100">
        <v>15</v>
      </c>
      <c r="AO455" s="100">
        <f t="shared" si="406"/>
        <v>0</v>
      </c>
      <c r="AP455" s="100">
        <f t="shared" si="407"/>
        <v>0</v>
      </c>
      <c r="AQ455" s="111" t="s">
        <v>13</v>
      </c>
      <c r="AV455" s="100">
        <f t="shared" si="408"/>
        <v>0</v>
      </c>
      <c r="AW455" s="100">
        <f t="shared" si="409"/>
        <v>0</v>
      </c>
      <c r="AX455" s="100">
        <f t="shared" si="410"/>
        <v>0</v>
      </c>
      <c r="AY455" s="110" t="s">
        <v>1713</v>
      </c>
      <c r="AZ455" s="110" t="s">
        <v>1733</v>
      </c>
      <c r="BA455" s="109" t="s">
        <v>1737</v>
      </c>
      <c r="BC455" s="100">
        <f t="shared" si="411"/>
        <v>0</v>
      </c>
      <c r="BD455" s="100">
        <f t="shared" si="412"/>
        <v>0</v>
      </c>
      <c r="BE455" s="100">
        <v>0</v>
      </c>
      <c r="BF455" s="100">
        <f>455</f>
        <v>455</v>
      </c>
      <c r="BH455" s="108">
        <f t="shared" si="413"/>
        <v>0</v>
      </c>
      <c r="BI455" s="108">
        <f t="shared" si="414"/>
        <v>0</v>
      </c>
      <c r="BJ455" s="108">
        <f t="shared" si="415"/>
        <v>0</v>
      </c>
    </row>
    <row r="456" spans="1:62" x14ac:dyDescent="0.2">
      <c r="A456" s="117" t="s">
        <v>414</v>
      </c>
      <c r="B456" s="117" t="s">
        <v>1992</v>
      </c>
      <c r="C456" s="304" t="s">
        <v>1457</v>
      </c>
      <c r="D456" s="305"/>
      <c r="E456" s="305"/>
      <c r="F456" s="117" t="s">
        <v>1652</v>
      </c>
      <c r="G456" s="116">
        <v>1</v>
      </c>
      <c r="H456" s="159"/>
      <c r="I456" s="108">
        <f t="shared" si="392"/>
        <v>0</v>
      </c>
      <c r="J456" s="108">
        <f t="shared" si="393"/>
        <v>0</v>
      </c>
      <c r="K456" s="108">
        <f t="shared" si="394"/>
        <v>0</v>
      </c>
      <c r="L456" s="111"/>
      <c r="Z456" s="100">
        <f t="shared" si="395"/>
        <v>0</v>
      </c>
      <c r="AB456" s="100">
        <f t="shared" si="396"/>
        <v>0</v>
      </c>
      <c r="AC456" s="100">
        <f t="shared" si="397"/>
        <v>0</v>
      </c>
      <c r="AD456" s="100">
        <f t="shared" si="398"/>
        <v>0</v>
      </c>
      <c r="AE456" s="100">
        <f t="shared" si="399"/>
        <v>0</v>
      </c>
      <c r="AF456" s="100">
        <f t="shared" si="400"/>
        <v>0</v>
      </c>
      <c r="AG456" s="100">
        <f t="shared" si="401"/>
        <v>0</v>
      </c>
      <c r="AH456" s="100">
        <f t="shared" si="402"/>
        <v>0</v>
      </c>
      <c r="AI456" s="109"/>
      <c r="AJ456" s="108">
        <f t="shared" si="403"/>
        <v>0</v>
      </c>
      <c r="AK456" s="108">
        <f t="shared" si="404"/>
        <v>0</v>
      </c>
      <c r="AL456" s="108">
        <f t="shared" si="405"/>
        <v>0</v>
      </c>
      <c r="AN456" s="100">
        <v>15</v>
      </c>
      <c r="AO456" s="100">
        <f t="shared" si="406"/>
        <v>0</v>
      </c>
      <c r="AP456" s="100">
        <f t="shared" si="407"/>
        <v>0</v>
      </c>
      <c r="AQ456" s="111" t="s">
        <v>13</v>
      </c>
      <c r="AV456" s="100">
        <f t="shared" si="408"/>
        <v>0</v>
      </c>
      <c r="AW456" s="100">
        <f t="shared" si="409"/>
        <v>0</v>
      </c>
      <c r="AX456" s="100">
        <f t="shared" si="410"/>
        <v>0</v>
      </c>
      <c r="AY456" s="110" t="s">
        <v>1713</v>
      </c>
      <c r="AZ456" s="110" t="s">
        <v>1733</v>
      </c>
      <c r="BA456" s="109" t="s">
        <v>1737</v>
      </c>
      <c r="BC456" s="100">
        <f t="shared" si="411"/>
        <v>0</v>
      </c>
      <c r="BD456" s="100">
        <f t="shared" si="412"/>
        <v>0</v>
      </c>
      <c r="BE456" s="100">
        <v>0</v>
      </c>
      <c r="BF456" s="100">
        <f>456</f>
        <v>456</v>
      </c>
      <c r="BH456" s="108">
        <f t="shared" si="413"/>
        <v>0</v>
      </c>
      <c r="BI456" s="108">
        <f t="shared" si="414"/>
        <v>0</v>
      </c>
      <c r="BJ456" s="108">
        <f t="shared" si="415"/>
        <v>0</v>
      </c>
    </row>
    <row r="457" spans="1:62" x14ac:dyDescent="0.2">
      <c r="A457" s="119"/>
      <c r="B457" s="120" t="s">
        <v>869</v>
      </c>
      <c r="C457" s="306" t="s">
        <v>1458</v>
      </c>
      <c r="D457" s="307"/>
      <c r="E457" s="307"/>
      <c r="F457" s="119" t="s">
        <v>6</v>
      </c>
      <c r="G457" s="119" t="s">
        <v>6</v>
      </c>
      <c r="H457" s="119" t="s">
        <v>6</v>
      </c>
      <c r="I457" s="118">
        <f>SUM(I458:I473)</f>
        <v>0</v>
      </c>
      <c r="J457" s="118">
        <f>SUM(J458:J473)</f>
        <v>0</v>
      </c>
      <c r="K457" s="118">
        <f>SUM(K458:K473)</f>
        <v>0</v>
      </c>
      <c r="L457" s="109"/>
      <c r="AI457" s="109"/>
      <c r="AS457" s="118">
        <f>SUM(AJ458:AJ473)</f>
        <v>0</v>
      </c>
      <c r="AT457" s="118">
        <f>SUM(AK458:AK473)</f>
        <v>0</v>
      </c>
      <c r="AU457" s="118">
        <f>SUM(AL458:AL473)</f>
        <v>0</v>
      </c>
    </row>
    <row r="458" spans="1:62" x14ac:dyDescent="0.2">
      <c r="A458" s="117" t="s">
        <v>415</v>
      </c>
      <c r="B458" s="117" t="s">
        <v>870</v>
      </c>
      <c r="C458" s="304" t="s">
        <v>1459</v>
      </c>
      <c r="D458" s="305"/>
      <c r="E458" s="305"/>
      <c r="F458" s="117" t="s">
        <v>1644</v>
      </c>
      <c r="G458" s="116">
        <v>6</v>
      </c>
      <c r="H458" s="159"/>
      <c r="I458" s="108">
        <f t="shared" ref="I458:I473" si="416">G458*AO458</f>
        <v>0</v>
      </c>
      <c r="J458" s="108">
        <f t="shared" ref="J458:J473" si="417">G458*AP458</f>
        <v>0</v>
      </c>
      <c r="K458" s="108">
        <f t="shared" ref="K458:K473" si="418">G458*H458</f>
        <v>0</v>
      </c>
      <c r="L458" s="111" t="s">
        <v>1671</v>
      </c>
      <c r="Z458" s="100">
        <f t="shared" ref="Z458:Z473" si="419">IF(AQ458="5",BJ458,0)</f>
        <v>0</v>
      </c>
      <c r="AB458" s="100">
        <f t="shared" ref="AB458:AB473" si="420">IF(AQ458="1",BH458,0)</f>
        <v>0</v>
      </c>
      <c r="AC458" s="100">
        <f t="shared" ref="AC458:AC473" si="421">IF(AQ458="1",BI458,0)</f>
        <v>0</v>
      </c>
      <c r="AD458" s="100">
        <f t="shared" ref="AD458:AD473" si="422">IF(AQ458="7",BH458,0)</f>
        <v>0</v>
      </c>
      <c r="AE458" s="100">
        <f t="shared" ref="AE458:AE473" si="423">IF(AQ458="7",BI458,0)</f>
        <v>0</v>
      </c>
      <c r="AF458" s="100">
        <f t="shared" ref="AF458:AF473" si="424">IF(AQ458="2",BH458,0)</f>
        <v>0</v>
      </c>
      <c r="AG458" s="100">
        <f t="shared" ref="AG458:AG473" si="425">IF(AQ458="2",BI458,0)</f>
        <v>0</v>
      </c>
      <c r="AH458" s="100">
        <f t="shared" ref="AH458:AH473" si="426">IF(AQ458="0",BJ458,0)</f>
        <v>0</v>
      </c>
      <c r="AI458" s="109"/>
      <c r="AJ458" s="108">
        <f t="shared" ref="AJ458:AJ473" si="427">IF(AN458=0,K458,0)</f>
        <v>0</v>
      </c>
      <c r="AK458" s="108">
        <f t="shared" ref="AK458:AK473" si="428">IF(AN458=15,K458,0)</f>
        <v>0</v>
      </c>
      <c r="AL458" s="108">
        <f t="shared" ref="AL458:AL473" si="429">IF(AN458=21,K458,0)</f>
        <v>0</v>
      </c>
      <c r="AN458" s="100">
        <v>15</v>
      </c>
      <c r="AO458" s="100">
        <f>H458*0.0692044609665427</f>
        <v>0</v>
      </c>
      <c r="AP458" s="100">
        <f>H458*(1-0.0692044609665427)</f>
        <v>0</v>
      </c>
      <c r="AQ458" s="111" t="s">
        <v>13</v>
      </c>
      <c r="AV458" s="100">
        <f t="shared" ref="AV458:AV473" si="430">AW458+AX458</f>
        <v>0</v>
      </c>
      <c r="AW458" s="100">
        <f t="shared" ref="AW458:AW473" si="431">G458*AO458</f>
        <v>0</v>
      </c>
      <c r="AX458" s="100">
        <f t="shared" ref="AX458:AX473" si="432">G458*AP458</f>
        <v>0</v>
      </c>
      <c r="AY458" s="110" t="s">
        <v>1714</v>
      </c>
      <c r="AZ458" s="110" t="s">
        <v>1734</v>
      </c>
      <c r="BA458" s="109" t="s">
        <v>1737</v>
      </c>
      <c r="BC458" s="100">
        <f t="shared" ref="BC458:BC473" si="433">AW458+AX458</f>
        <v>0</v>
      </c>
      <c r="BD458" s="100">
        <f t="shared" ref="BD458:BD473" si="434">H458/(100-BE458)*100</f>
        <v>0</v>
      </c>
      <c r="BE458" s="100">
        <v>0</v>
      </c>
      <c r="BF458" s="100">
        <f>458</f>
        <v>458</v>
      </c>
      <c r="BH458" s="108">
        <f t="shared" ref="BH458:BH473" si="435">G458*AO458</f>
        <v>0</v>
      </c>
      <c r="BI458" s="108">
        <f t="shared" ref="BI458:BI473" si="436">G458*AP458</f>
        <v>0</v>
      </c>
      <c r="BJ458" s="108">
        <f t="shared" ref="BJ458:BJ473" si="437">G458*H458</f>
        <v>0</v>
      </c>
    </row>
    <row r="459" spans="1:62" x14ac:dyDescent="0.2">
      <c r="A459" s="117" t="s">
        <v>416</v>
      </c>
      <c r="B459" s="117" t="s">
        <v>3457</v>
      </c>
      <c r="C459" s="304" t="s">
        <v>3456</v>
      </c>
      <c r="D459" s="305"/>
      <c r="E459" s="305"/>
      <c r="F459" s="117" t="s">
        <v>1644</v>
      </c>
      <c r="G459" s="116">
        <v>1</v>
      </c>
      <c r="H459" s="159"/>
      <c r="I459" s="108">
        <f t="shared" si="416"/>
        <v>0</v>
      </c>
      <c r="J459" s="108">
        <f t="shared" si="417"/>
        <v>0</v>
      </c>
      <c r="K459" s="108">
        <f t="shared" si="418"/>
        <v>0</v>
      </c>
      <c r="L459" s="111" t="s">
        <v>1671</v>
      </c>
      <c r="Z459" s="100">
        <f t="shared" si="419"/>
        <v>0</v>
      </c>
      <c r="AB459" s="100">
        <f t="shared" si="420"/>
        <v>0</v>
      </c>
      <c r="AC459" s="100">
        <f t="shared" si="421"/>
        <v>0</v>
      </c>
      <c r="AD459" s="100">
        <f t="shared" si="422"/>
        <v>0</v>
      </c>
      <c r="AE459" s="100">
        <f t="shared" si="423"/>
        <v>0</v>
      </c>
      <c r="AF459" s="100">
        <f t="shared" si="424"/>
        <v>0</v>
      </c>
      <c r="AG459" s="100">
        <f t="shared" si="425"/>
        <v>0</v>
      </c>
      <c r="AH459" s="100">
        <f t="shared" si="426"/>
        <v>0</v>
      </c>
      <c r="AI459" s="109"/>
      <c r="AJ459" s="108">
        <f t="shared" si="427"/>
        <v>0</v>
      </c>
      <c r="AK459" s="108">
        <f t="shared" si="428"/>
        <v>0</v>
      </c>
      <c r="AL459" s="108">
        <f t="shared" si="429"/>
        <v>0</v>
      </c>
      <c r="AN459" s="100">
        <v>15</v>
      </c>
      <c r="AO459" s="100">
        <f>H459*0.0981810850069195</f>
        <v>0</v>
      </c>
      <c r="AP459" s="100">
        <f>H459*(1-0.0981810850069195)</f>
        <v>0</v>
      </c>
      <c r="AQ459" s="111" t="s">
        <v>13</v>
      </c>
      <c r="AV459" s="100">
        <f t="shared" si="430"/>
        <v>0</v>
      </c>
      <c r="AW459" s="100">
        <f t="shared" si="431"/>
        <v>0</v>
      </c>
      <c r="AX459" s="100">
        <f t="shared" si="432"/>
        <v>0</v>
      </c>
      <c r="AY459" s="110" t="s">
        <v>1714</v>
      </c>
      <c r="AZ459" s="110" t="s">
        <v>1734</v>
      </c>
      <c r="BA459" s="109" t="s">
        <v>1737</v>
      </c>
      <c r="BC459" s="100">
        <f t="shared" si="433"/>
        <v>0</v>
      </c>
      <c r="BD459" s="100">
        <f t="shared" si="434"/>
        <v>0</v>
      </c>
      <c r="BE459" s="100">
        <v>0</v>
      </c>
      <c r="BF459" s="100">
        <f>459</f>
        <v>459</v>
      </c>
      <c r="BH459" s="108">
        <f t="shared" si="435"/>
        <v>0</v>
      </c>
      <c r="BI459" s="108">
        <f t="shared" si="436"/>
        <v>0</v>
      </c>
      <c r="BJ459" s="108">
        <f t="shared" si="437"/>
        <v>0</v>
      </c>
    </row>
    <row r="460" spans="1:62" x14ac:dyDescent="0.2">
      <c r="A460" s="117" t="s">
        <v>417</v>
      </c>
      <c r="B460" s="117" t="s">
        <v>871</v>
      </c>
      <c r="C460" s="304" t="s">
        <v>3455</v>
      </c>
      <c r="D460" s="305"/>
      <c r="E460" s="305"/>
      <c r="F460" s="117" t="s">
        <v>1645</v>
      </c>
      <c r="G460" s="116">
        <v>969.84</v>
      </c>
      <c r="H460" s="159"/>
      <c r="I460" s="108">
        <f t="shared" si="416"/>
        <v>0</v>
      </c>
      <c r="J460" s="108">
        <f t="shared" si="417"/>
        <v>0</v>
      </c>
      <c r="K460" s="108">
        <f t="shared" si="418"/>
        <v>0</v>
      </c>
      <c r="L460" s="111" t="s">
        <v>1671</v>
      </c>
      <c r="Z460" s="100">
        <f t="shared" si="419"/>
        <v>0</v>
      </c>
      <c r="AB460" s="100">
        <f t="shared" si="420"/>
        <v>0</v>
      </c>
      <c r="AC460" s="100">
        <f t="shared" si="421"/>
        <v>0</v>
      </c>
      <c r="AD460" s="100">
        <f t="shared" si="422"/>
        <v>0</v>
      </c>
      <c r="AE460" s="100">
        <f t="shared" si="423"/>
        <v>0</v>
      </c>
      <c r="AF460" s="100">
        <f t="shared" si="424"/>
        <v>0</v>
      </c>
      <c r="AG460" s="100">
        <f t="shared" si="425"/>
        <v>0</v>
      </c>
      <c r="AH460" s="100">
        <f t="shared" si="426"/>
        <v>0</v>
      </c>
      <c r="AI460" s="109"/>
      <c r="AJ460" s="108">
        <f t="shared" si="427"/>
        <v>0</v>
      </c>
      <c r="AK460" s="108">
        <f t="shared" si="428"/>
        <v>0</v>
      </c>
      <c r="AL460" s="108">
        <f t="shared" si="429"/>
        <v>0</v>
      </c>
      <c r="AN460" s="100">
        <v>15</v>
      </c>
      <c r="AO460" s="100">
        <f>H460*0.493473684210526</f>
        <v>0</v>
      </c>
      <c r="AP460" s="100">
        <f>H460*(1-0.493473684210526)</f>
        <v>0</v>
      </c>
      <c r="AQ460" s="111" t="s">
        <v>13</v>
      </c>
      <c r="AV460" s="100">
        <f t="shared" si="430"/>
        <v>0</v>
      </c>
      <c r="AW460" s="100">
        <f t="shared" si="431"/>
        <v>0</v>
      </c>
      <c r="AX460" s="100">
        <f t="shared" si="432"/>
        <v>0</v>
      </c>
      <c r="AY460" s="110" t="s">
        <v>1714</v>
      </c>
      <c r="AZ460" s="110" t="s">
        <v>1734</v>
      </c>
      <c r="BA460" s="109" t="s">
        <v>1737</v>
      </c>
      <c r="BC460" s="100">
        <f t="shared" si="433"/>
        <v>0</v>
      </c>
      <c r="BD460" s="100">
        <f t="shared" si="434"/>
        <v>0</v>
      </c>
      <c r="BE460" s="100">
        <v>0</v>
      </c>
      <c r="BF460" s="100">
        <f>460</f>
        <v>460</v>
      </c>
      <c r="BH460" s="108">
        <f t="shared" si="435"/>
        <v>0</v>
      </c>
      <c r="BI460" s="108">
        <f t="shared" si="436"/>
        <v>0</v>
      </c>
      <c r="BJ460" s="108">
        <f t="shared" si="437"/>
        <v>0</v>
      </c>
    </row>
    <row r="461" spans="1:62" x14ac:dyDescent="0.2">
      <c r="A461" s="117" t="s">
        <v>418</v>
      </c>
      <c r="B461" s="117" t="s">
        <v>872</v>
      </c>
      <c r="C461" s="304" t="s">
        <v>1461</v>
      </c>
      <c r="D461" s="305"/>
      <c r="E461" s="305"/>
      <c r="F461" s="117" t="s">
        <v>1645</v>
      </c>
      <c r="G461" s="116">
        <v>1155.05</v>
      </c>
      <c r="H461" s="159"/>
      <c r="I461" s="108">
        <f t="shared" si="416"/>
        <v>0</v>
      </c>
      <c r="J461" s="108">
        <f t="shared" si="417"/>
        <v>0</v>
      </c>
      <c r="K461" s="108">
        <f t="shared" si="418"/>
        <v>0</v>
      </c>
      <c r="L461" s="111" t="s">
        <v>1671</v>
      </c>
      <c r="Z461" s="100">
        <f t="shared" si="419"/>
        <v>0</v>
      </c>
      <c r="AB461" s="100">
        <f t="shared" si="420"/>
        <v>0</v>
      </c>
      <c r="AC461" s="100">
        <f t="shared" si="421"/>
        <v>0</v>
      </c>
      <c r="AD461" s="100">
        <f t="shared" si="422"/>
        <v>0</v>
      </c>
      <c r="AE461" s="100">
        <f t="shared" si="423"/>
        <v>0</v>
      </c>
      <c r="AF461" s="100">
        <f t="shared" si="424"/>
        <v>0</v>
      </c>
      <c r="AG461" s="100">
        <f t="shared" si="425"/>
        <v>0</v>
      </c>
      <c r="AH461" s="100">
        <f t="shared" si="426"/>
        <v>0</v>
      </c>
      <c r="AI461" s="109"/>
      <c r="AJ461" s="108">
        <f t="shared" si="427"/>
        <v>0</v>
      </c>
      <c r="AK461" s="108">
        <f t="shared" si="428"/>
        <v>0</v>
      </c>
      <c r="AL461" s="108">
        <f t="shared" si="429"/>
        <v>0</v>
      </c>
      <c r="AN461" s="100">
        <v>15</v>
      </c>
      <c r="AO461" s="100">
        <f>H461*0.493506493506494</f>
        <v>0</v>
      </c>
      <c r="AP461" s="100">
        <f>H461*(1-0.493506493506494)</f>
        <v>0</v>
      </c>
      <c r="AQ461" s="111" t="s">
        <v>13</v>
      </c>
      <c r="AV461" s="100">
        <f t="shared" si="430"/>
        <v>0</v>
      </c>
      <c r="AW461" s="100">
        <f t="shared" si="431"/>
        <v>0</v>
      </c>
      <c r="AX461" s="100">
        <f t="shared" si="432"/>
        <v>0</v>
      </c>
      <c r="AY461" s="110" t="s">
        <v>1714</v>
      </c>
      <c r="AZ461" s="110" t="s">
        <v>1734</v>
      </c>
      <c r="BA461" s="109" t="s">
        <v>1737</v>
      </c>
      <c r="BC461" s="100">
        <f t="shared" si="433"/>
        <v>0</v>
      </c>
      <c r="BD461" s="100">
        <f t="shared" si="434"/>
        <v>0</v>
      </c>
      <c r="BE461" s="100">
        <v>0</v>
      </c>
      <c r="BF461" s="100">
        <f>461</f>
        <v>461</v>
      </c>
      <c r="BH461" s="108">
        <f t="shared" si="435"/>
        <v>0</v>
      </c>
      <c r="BI461" s="108">
        <f t="shared" si="436"/>
        <v>0</v>
      </c>
      <c r="BJ461" s="108">
        <f t="shared" si="437"/>
        <v>0</v>
      </c>
    </row>
    <row r="462" spans="1:62" x14ac:dyDescent="0.2">
      <c r="A462" s="117" t="s">
        <v>419</v>
      </c>
      <c r="B462" s="117" t="s">
        <v>873</v>
      </c>
      <c r="C462" s="304" t="s">
        <v>1462</v>
      </c>
      <c r="D462" s="305"/>
      <c r="E462" s="305"/>
      <c r="F462" s="117" t="s">
        <v>1645</v>
      </c>
      <c r="G462" s="116">
        <v>1155.05</v>
      </c>
      <c r="H462" s="159"/>
      <c r="I462" s="108">
        <f t="shared" si="416"/>
        <v>0</v>
      </c>
      <c r="J462" s="108">
        <f t="shared" si="417"/>
        <v>0</v>
      </c>
      <c r="K462" s="108">
        <f t="shared" si="418"/>
        <v>0</v>
      </c>
      <c r="L462" s="111" t="s">
        <v>1671</v>
      </c>
      <c r="Z462" s="100">
        <f t="shared" si="419"/>
        <v>0</v>
      </c>
      <c r="AB462" s="100">
        <f t="shared" si="420"/>
        <v>0</v>
      </c>
      <c r="AC462" s="100">
        <f t="shared" si="421"/>
        <v>0</v>
      </c>
      <c r="AD462" s="100">
        <f t="shared" si="422"/>
        <v>0</v>
      </c>
      <c r="AE462" s="100">
        <f t="shared" si="423"/>
        <v>0</v>
      </c>
      <c r="AF462" s="100">
        <f t="shared" si="424"/>
        <v>0</v>
      </c>
      <c r="AG462" s="100">
        <f t="shared" si="425"/>
        <v>0</v>
      </c>
      <c r="AH462" s="100">
        <f t="shared" si="426"/>
        <v>0</v>
      </c>
      <c r="AI462" s="109"/>
      <c r="AJ462" s="108">
        <f t="shared" si="427"/>
        <v>0</v>
      </c>
      <c r="AK462" s="108">
        <f t="shared" si="428"/>
        <v>0</v>
      </c>
      <c r="AL462" s="108">
        <f t="shared" si="429"/>
        <v>0</v>
      </c>
      <c r="AN462" s="100">
        <v>15</v>
      </c>
      <c r="AO462" s="100">
        <f>H462*0.493489096573209</f>
        <v>0</v>
      </c>
      <c r="AP462" s="100">
        <f>H462*(1-0.493489096573209)</f>
        <v>0</v>
      </c>
      <c r="AQ462" s="111" t="s">
        <v>13</v>
      </c>
      <c r="AV462" s="100">
        <f t="shared" si="430"/>
        <v>0</v>
      </c>
      <c r="AW462" s="100">
        <f t="shared" si="431"/>
        <v>0</v>
      </c>
      <c r="AX462" s="100">
        <f t="shared" si="432"/>
        <v>0</v>
      </c>
      <c r="AY462" s="110" t="s">
        <v>1714</v>
      </c>
      <c r="AZ462" s="110" t="s">
        <v>1734</v>
      </c>
      <c r="BA462" s="109" t="s">
        <v>1737</v>
      </c>
      <c r="BC462" s="100">
        <f t="shared" si="433"/>
        <v>0</v>
      </c>
      <c r="BD462" s="100">
        <f t="shared" si="434"/>
        <v>0</v>
      </c>
      <c r="BE462" s="100">
        <v>0</v>
      </c>
      <c r="BF462" s="100">
        <f>462</f>
        <v>462</v>
      </c>
      <c r="BH462" s="108">
        <f t="shared" si="435"/>
        <v>0</v>
      </c>
      <c r="BI462" s="108">
        <f t="shared" si="436"/>
        <v>0</v>
      </c>
      <c r="BJ462" s="108">
        <f t="shared" si="437"/>
        <v>0</v>
      </c>
    </row>
    <row r="463" spans="1:62" x14ac:dyDescent="0.2">
      <c r="A463" s="117" t="s">
        <v>420</v>
      </c>
      <c r="B463" s="117" t="s">
        <v>2324</v>
      </c>
      <c r="C463" s="304" t="s">
        <v>2323</v>
      </c>
      <c r="D463" s="305"/>
      <c r="E463" s="305"/>
      <c r="F463" s="117" t="s">
        <v>1645</v>
      </c>
      <c r="G463" s="116">
        <v>11.385</v>
      </c>
      <c r="H463" s="159"/>
      <c r="I463" s="108">
        <f t="shared" si="416"/>
        <v>0</v>
      </c>
      <c r="J463" s="108">
        <f t="shared" si="417"/>
        <v>0</v>
      </c>
      <c r="K463" s="108">
        <f t="shared" si="418"/>
        <v>0</v>
      </c>
      <c r="L463" s="111" t="s">
        <v>1671</v>
      </c>
      <c r="Z463" s="100">
        <f t="shared" si="419"/>
        <v>0</v>
      </c>
      <c r="AB463" s="100">
        <f t="shared" si="420"/>
        <v>0</v>
      </c>
      <c r="AC463" s="100">
        <f t="shared" si="421"/>
        <v>0</v>
      </c>
      <c r="AD463" s="100">
        <f t="shared" si="422"/>
        <v>0</v>
      </c>
      <c r="AE463" s="100">
        <f t="shared" si="423"/>
        <v>0</v>
      </c>
      <c r="AF463" s="100">
        <f t="shared" si="424"/>
        <v>0</v>
      </c>
      <c r="AG463" s="100">
        <f t="shared" si="425"/>
        <v>0</v>
      </c>
      <c r="AH463" s="100">
        <f t="shared" si="426"/>
        <v>0</v>
      </c>
      <c r="AI463" s="109"/>
      <c r="AJ463" s="108">
        <f t="shared" si="427"/>
        <v>0</v>
      </c>
      <c r="AK463" s="108">
        <f t="shared" si="428"/>
        <v>0</v>
      </c>
      <c r="AL463" s="108">
        <f t="shared" si="429"/>
        <v>0</v>
      </c>
      <c r="AN463" s="100">
        <v>15</v>
      </c>
      <c r="AO463" s="100">
        <f>H463*0</f>
        <v>0</v>
      </c>
      <c r="AP463" s="100">
        <f>H463*(1-0)</f>
        <v>0</v>
      </c>
      <c r="AQ463" s="111" t="s">
        <v>13</v>
      </c>
      <c r="AV463" s="100">
        <f t="shared" si="430"/>
        <v>0</v>
      </c>
      <c r="AW463" s="100">
        <f t="shared" si="431"/>
        <v>0</v>
      </c>
      <c r="AX463" s="100">
        <f t="shared" si="432"/>
        <v>0</v>
      </c>
      <c r="AY463" s="110" t="s">
        <v>1714</v>
      </c>
      <c r="AZ463" s="110" t="s">
        <v>1734</v>
      </c>
      <c r="BA463" s="109" t="s">
        <v>1737</v>
      </c>
      <c r="BC463" s="100">
        <f t="shared" si="433"/>
        <v>0</v>
      </c>
      <c r="BD463" s="100">
        <f t="shared" si="434"/>
        <v>0</v>
      </c>
      <c r="BE463" s="100">
        <v>0</v>
      </c>
      <c r="BF463" s="100">
        <f>463</f>
        <v>463</v>
      </c>
      <c r="BH463" s="108">
        <f t="shared" si="435"/>
        <v>0</v>
      </c>
      <c r="BI463" s="108">
        <f t="shared" si="436"/>
        <v>0</v>
      </c>
      <c r="BJ463" s="108">
        <f t="shared" si="437"/>
        <v>0</v>
      </c>
    </row>
    <row r="464" spans="1:62" x14ac:dyDescent="0.2">
      <c r="A464" s="117" t="s">
        <v>421</v>
      </c>
      <c r="B464" s="117" t="s">
        <v>874</v>
      </c>
      <c r="C464" s="304" t="s">
        <v>3454</v>
      </c>
      <c r="D464" s="305"/>
      <c r="E464" s="305"/>
      <c r="F464" s="117" t="s">
        <v>1645</v>
      </c>
      <c r="G464" s="116">
        <v>1155.05</v>
      </c>
      <c r="H464" s="159"/>
      <c r="I464" s="108">
        <f t="shared" si="416"/>
        <v>0</v>
      </c>
      <c r="J464" s="108">
        <f t="shared" si="417"/>
        <v>0</v>
      </c>
      <c r="K464" s="108">
        <f t="shared" si="418"/>
        <v>0</v>
      </c>
      <c r="L464" s="111" t="s">
        <v>1671</v>
      </c>
      <c r="Z464" s="100">
        <f t="shared" si="419"/>
        <v>0</v>
      </c>
      <c r="AB464" s="100">
        <f t="shared" si="420"/>
        <v>0</v>
      </c>
      <c r="AC464" s="100">
        <f t="shared" si="421"/>
        <v>0</v>
      </c>
      <c r="AD464" s="100">
        <f t="shared" si="422"/>
        <v>0</v>
      </c>
      <c r="AE464" s="100">
        <f t="shared" si="423"/>
        <v>0</v>
      </c>
      <c r="AF464" s="100">
        <f t="shared" si="424"/>
        <v>0</v>
      </c>
      <c r="AG464" s="100">
        <f t="shared" si="425"/>
        <v>0</v>
      </c>
      <c r="AH464" s="100">
        <f t="shared" si="426"/>
        <v>0</v>
      </c>
      <c r="AI464" s="109"/>
      <c r="AJ464" s="108">
        <f t="shared" si="427"/>
        <v>0</v>
      </c>
      <c r="AK464" s="108">
        <f t="shared" si="428"/>
        <v>0</v>
      </c>
      <c r="AL464" s="108">
        <f t="shared" si="429"/>
        <v>0</v>
      </c>
      <c r="AN464" s="100">
        <v>15</v>
      </c>
      <c r="AO464" s="100">
        <f>H464*0</f>
        <v>0</v>
      </c>
      <c r="AP464" s="100">
        <f>H464*(1-0)</f>
        <v>0</v>
      </c>
      <c r="AQ464" s="111" t="s">
        <v>13</v>
      </c>
      <c r="AV464" s="100">
        <f t="shared" si="430"/>
        <v>0</v>
      </c>
      <c r="AW464" s="100">
        <f t="shared" si="431"/>
        <v>0</v>
      </c>
      <c r="AX464" s="100">
        <f t="shared" si="432"/>
        <v>0</v>
      </c>
      <c r="AY464" s="110" t="s">
        <v>1714</v>
      </c>
      <c r="AZ464" s="110" t="s">
        <v>1734</v>
      </c>
      <c r="BA464" s="109" t="s">
        <v>1737</v>
      </c>
      <c r="BC464" s="100">
        <f t="shared" si="433"/>
        <v>0</v>
      </c>
      <c r="BD464" s="100">
        <f t="shared" si="434"/>
        <v>0</v>
      </c>
      <c r="BE464" s="100">
        <v>0</v>
      </c>
      <c r="BF464" s="100">
        <f>464</f>
        <v>464</v>
      </c>
      <c r="BH464" s="108">
        <f t="shared" si="435"/>
        <v>0</v>
      </c>
      <c r="BI464" s="108">
        <f t="shared" si="436"/>
        <v>0</v>
      </c>
      <c r="BJ464" s="108">
        <f t="shared" si="437"/>
        <v>0</v>
      </c>
    </row>
    <row r="465" spans="1:62" x14ac:dyDescent="0.2">
      <c r="A465" s="124" t="s">
        <v>422</v>
      </c>
      <c r="B465" s="124" t="s">
        <v>875</v>
      </c>
      <c r="C465" s="311" t="s">
        <v>1464</v>
      </c>
      <c r="D465" s="312"/>
      <c r="E465" s="312"/>
      <c r="F465" s="124" t="s">
        <v>1645</v>
      </c>
      <c r="G465" s="123">
        <v>1212.8030000000001</v>
      </c>
      <c r="H465" s="160"/>
      <c r="I465" s="121">
        <f t="shared" si="416"/>
        <v>0</v>
      </c>
      <c r="J465" s="121">
        <f t="shared" si="417"/>
        <v>0</v>
      </c>
      <c r="K465" s="121">
        <f t="shared" si="418"/>
        <v>0</v>
      </c>
      <c r="L465" s="122" t="s">
        <v>1671</v>
      </c>
      <c r="Z465" s="100">
        <f t="shared" si="419"/>
        <v>0</v>
      </c>
      <c r="AB465" s="100">
        <f t="shared" si="420"/>
        <v>0</v>
      </c>
      <c r="AC465" s="100">
        <f t="shared" si="421"/>
        <v>0</v>
      </c>
      <c r="AD465" s="100">
        <f t="shared" si="422"/>
        <v>0</v>
      </c>
      <c r="AE465" s="100">
        <f t="shared" si="423"/>
        <v>0</v>
      </c>
      <c r="AF465" s="100">
        <f t="shared" si="424"/>
        <v>0</v>
      </c>
      <c r="AG465" s="100">
        <f t="shared" si="425"/>
        <v>0</v>
      </c>
      <c r="AH465" s="100">
        <f t="shared" si="426"/>
        <v>0</v>
      </c>
      <c r="AI465" s="109"/>
      <c r="AJ465" s="121">
        <f t="shared" si="427"/>
        <v>0</v>
      </c>
      <c r="AK465" s="121">
        <f t="shared" si="428"/>
        <v>0</v>
      </c>
      <c r="AL465" s="121">
        <f t="shared" si="429"/>
        <v>0</v>
      </c>
      <c r="AN465" s="100">
        <v>15</v>
      </c>
      <c r="AO465" s="100">
        <f>H465*1</f>
        <v>0</v>
      </c>
      <c r="AP465" s="100">
        <f>H465*(1-1)</f>
        <v>0</v>
      </c>
      <c r="AQ465" s="122" t="s">
        <v>13</v>
      </c>
      <c r="AV465" s="100">
        <f t="shared" si="430"/>
        <v>0</v>
      </c>
      <c r="AW465" s="100">
        <f t="shared" si="431"/>
        <v>0</v>
      </c>
      <c r="AX465" s="100">
        <f t="shared" si="432"/>
        <v>0</v>
      </c>
      <c r="AY465" s="110" t="s">
        <v>1714</v>
      </c>
      <c r="AZ465" s="110" t="s">
        <v>1734</v>
      </c>
      <c r="BA465" s="109" t="s">
        <v>1737</v>
      </c>
      <c r="BC465" s="100">
        <f t="shared" si="433"/>
        <v>0</v>
      </c>
      <c r="BD465" s="100">
        <f t="shared" si="434"/>
        <v>0</v>
      </c>
      <c r="BE465" s="100">
        <v>0</v>
      </c>
      <c r="BF465" s="100">
        <f>465</f>
        <v>465</v>
      </c>
      <c r="BH465" s="121">
        <f t="shared" si="435"/>
        <v>0</v>
      </c>
      <c r="BI465" s="121">
        <f t="shared" si="436"/>
        <v>0</v>
      </c>
      <c r="BJ465" s="121">
        <f t="shared" si="437"/>
        <v>0</v>
      </c>
    </row>
    <row r="466" spans="1:62" x14ac:dyDescent="0.2">
      <c r="A466" s="117" t="s">
        <v>423</v>
      </c>
      <c r="B466" s="117" t="s">
        <v>2322</v>
      </c>
      <c r="C466" s="304" t="s">
        <v>2321</v>
      </c>
      <c r="D466" s="305"/>
      <c r="E466" s="305"/>
      <c r="F466" s="117" t="s">
        <v>1645</v>
      </c>
      <c r="G466" s="116">
        <v>11.385</v>
      </c>
      <c r="H466" s="159"/>
      <c r="I466" s="108">
        <f t="shared" si="416"/>
        <v>0</v>
      </c>
      <c r="J466" s="108">
        <f t="shared" si="417"/>
        <v>0</v>
      </c>
      <c r="K466" s="108">
        <f t="shared" si="418"/>
        <v>0</v>
      </c>
      <c r="L466" s="111" t="s">
        <v>1671</v>
      </c>
      <c r="Z466" s="100">
        <f t="shared" si="419"/>
        <v>0</v>
      </c>
      <c r="AB466" s="100">
        <f t="shared" si="420"/>
        <v>0</v>
      </c>
      <c r="AC466" s="100">
        <f t="shared" si="421"/>
        <v>0</v>
      </c>
      <c r="AD466" s="100">
        <f t="shared" si="422"/>
        <v>0</v>
      </c>
      <c r="AE466" s="100">
        <f t="shared" si="423"/>
        <v>0</v>
      </c>
      <c r="AF466" s="100">
        <f t="shared" si="424"/>
        <v>0</v>
      </c>
      <c r="AG466" s="100">
        <f t="shared" si="425"/>
        <v>0</v>
      </c>
      <c r="AH466" s="100">
        <f t="shared" si="426"/>
        <v>0</v>
      </c>
      <c r="AI466" s="109"/>
      <c r="AJ466" s="108">
        <f t="shared" si="427"/>
        <v>0</v>
      </c>
      <c r="AK466" s="108">
        <f t="shared" si="428"/>
        <v>0</v>
      </c>
      <c r="AL466" s="108">
        <f t="shared" si="429"/>
        <v>0</v>
      </c>
      <c r="AN466" s="100">
        <v>15</v>
      </c>
      <c r="AO466" s="100">
        <f>H466*0</f>
        <v>0</v>
      </c>
      <c r="AP466" s="100">
        <f>H466*(1-0)</f>
        <v>0</v>
      </c>
      <c r="AQ466" s="111" t="s">
        <v>13</v>
      </c>
      <c r="AV466" s="100">
        <f t="shared" si="430"/>
        <v>0</v>
      </c>
      <c r="AW466" s="100">
        <f t="shared" si="431"/>
        <v>0</v>
      </c>
      <c r="AX466" s="100">
        <f t="shared" si="432"/>
        <v>0</v>
      </c>
      <c r="AY466" s="110" t="s">
        <v>1714</v>
      </c>
      <c r="AZ466" s="110" t="s">
        <v>1734</v>
      </c>
      <c r="BA466" s="109" t="s">
        <v>1737</v>
      </c>
      <c r="BC466" s="100">
        <f t="shared" si="433"/>
        <v>0</v>
      </c>
      <c r="BD466" s="100">
        <f t="shared" si="434"/>
        <v>0</v>
      </c>
      <c r="BE466" s="100">
        <v>0</v>
      </c>
      <c r="BF466" s="100">
        <f>466</f>
        <v>466</v>
      </c>
      <c r="BH466" s="108">
        <f t="shared" si="435"/>
        <v>0</v>
      </c>
      <c r="BI466" s="108">
        <f t="shared" si="436"/>
        <v>0</v>
      </c>
      <c r="BJ466" s="108">
        <f t="shared" si="437"/>
        <v>0</v>
      </c>
    </row>
    <row r="467" spans="1:62" x14ac:dyDescent="0.2">
      <c r="A467" s="124" t="s">
        <v>424</v>
      </c>
      <c r="B467" s="124" t="s">
        <v>2320</v>
      </c>
      <c r="C467" s="311" t="s">
        <v>2319</v>
      </c>
      <c r="D467" s="312"/>
      <c r="E467" s="312"/>
      <c r="F467" s="124" t="s">
        <v>1645</v>
      </c>
      <c r="G467" s="123">
        <v>11.954000000000001</v>
      </c>
      <c r="H467" s="160"/>
      <c r="I467" s="121">
        <f t="shared" si="416"/>
        <v>0</v>
      </c>
      <c r="J467" s="121">
        <f t="shared" si="417"/>
        <v>0</v>
      </c>
      <c r="K467" s="121">
        <f t="shared" si="418"/>
        <v>0</v>
      </c>
      <c r="L467" s="122" t="s">
        <v>1671</v>
      </c>
      <c r="Z467" s="100">
        <f t="shared" si="419"/>
        <v>0</v>
      </c>
      <c r="AB467" s="100">
        <f t="shared" si="420"/>
        <v>0</v>
      </c>
      <c r="AC467" s="100">
        <f t="shared" si="421"/>
        <v>0</v>
      </c>
      <c r="AD467" s="100">
        <f t="shared" si="422"/>
        <v>0</v>
      </c>
      <c r="AE467" s="100">
        <f t="shared" si="423"/>
        <v>0</v>
      </c>
      <c r="AF467" s="100">
        <f t="shared" si="424"/>
        <v>0</v>
      </c>
      <c r="AG467" s="100">
        <f t="shared" si="425"/>
        <v>0</v>
      </c>
      <c r="AH467" s="100">
        <f t="shared" si="426"/>
        <v>0</v>
      </c>
      <c r="AI467" s="109"/>
      <c r="AJ467" s="121">
        <f t="shared" si="427"/>
        <v>0</v>
      </c>
      <c r="AK467" s="121">
        <f t="shared" si="428"/>
        <v>0</v>
      </c>
      <c r="AL467" s="121">
        <f t="shared" si="429"/>
        <v>0</v>
      </c>
      <c r="AN467" s="100">
        <v>15</v>
      </c>
      <c r="AO467" s="100">
        <f>H467*1</f>
        <v>0</v>
      </c>
      <c r="AP467" s="100">
        <f>H467*(1-1)</f>
        <v>0</v>
      </c>
      <c r="AQ467" s="122" t="s">
        <v>13</v>
      </c>
      <c r="AV467" s="100">
        <f t="shared" si="430"/>
        <v>0</v>
      </c>
      <c r="AW467" s="100">
        <f t="shared" si="431"/>
        <v>0</v>
      </c>
      <c r="AX467" s="100">
        <f t="shared" si="432"/>
        <v>0</v>
      </c>
      <c r="AY467" s="110" t="s">
        <v>1714</v>
      </c>
      <c r="AZ467" s="110" t="s">
        <v>1734</v>
      </c>
      <c r="BA467" s="109" t="s">
        <v>1737</v>
      </c>
      <c r="BC467" s="100">
        <f t="shared" si="433"/>
        <v>0</v>
      </c>
      <c r="BD467" s="100">
        <f t="shared" si="434"/>
        <v>0</v>
      </c>
      <c r="BE467" s="100">
        <v>0</v>
      </c>
      <c r="BF467" s="100">
        <f>467</f>
        <v>467</v>
      </c>
      <c r="BH467" s="121">
        <f t="shared" si="435"/>
        <v>0</v>
      </c>
      <c r="BI467" s="121">
        <f t="shared" si="436"/>
        <v>0</v>
      </c>
      <c r="BJ467" s="121">
        <f t="shared" si="437"/>
        <v>0</v>
      </c>
    </row>
    <row r="468" spans="1:62" x14ac:dyDescent="0.2">
      <c r="A468" s="117" t="s">
        <v>425</v>
      </c>
      <c r="B468" s="117" t="s">
        <v>876</v>
      </c>
      <c r="C468" s="304" t="s">
        <v>1465</v>
      </c>
      <c r="D468" s="305"/>
      <c r="E468" s="305"/>
      <c r="F468" s="117" t="s">
        <v>1645</v>
      </c>
      <c r="G468" s="116">
        <v>1155.05</v>
      </c>
      <c r="H468" s="159"/>
      <c r="I468" s="108">
        <f t="shared" si="416"/>
        <v>0</v>
      </c>
      <c r="J468" s="108">
        <f t="shared" si="417"/>
        <v>0</v>
      </c>
      <c r="K468" s="108">
        <f t="shared" si="418"/>
        <v>0</v>
      </c>
      <c r="L468" s="111" t="s">
        <v>1671</v>
      </c>
      <c r="Z468" s="100">
        <f t="shared" si="419"/>
        <v>0</v>
      </c>
      <c r="AB468" s="100">
        <f t="shared" si="420"/>
        <v>0</v>
      </c>
      <c r="AC468" s="100">
        <f t="shared" si="421"/>
        <v>0</v>
      </c>
      <c r="AD468" s="100">
        <f t="shared" si="422"/>
        <v>0</v>
      </c>
      <c r="AE468" s="100">
        <f t="shared" si="423"/>
        <v>0</v>
      </c>
      <c r="AF468" s="100">
        <f t="shared" si="424"/>
        <v>0</v>
      </c>
      <c r="AG468" s="100">
        <f t="shared" si="425"/>
        <v>0</v>
      </c>
      <c r="AH468" s="100">
        <f t="shared" si="426"/>
        <v>0</v>
      </c>
      <c r="AI468" s="109"/>
      <c r="AJ468" s="108">
        <f t="shared" si="427"/>
        <v>0</v>
      </c>
      <c r="AK468" s="108">
        <f t="shared" si="428"/>
        <v>0</v>
      </c>
      <c r="AL468" s="108">
        <f t="shared" si="429"/>
        <v>0</v>
      </c>
      <c r="AN468" s="100">
        <v>15</v>
      </c>
      <c r="AO468" s="100">
        <f>H468*0</f>
        <v>0</v>
      </c>
      <c r="AP468" s="100">
        <f>H468*(1-0)</f>
        <v>0</v>
      </c>
      <c r="AQ468" s="111" t="s">
        <v>13</v>
      </c>
      <c r="AV468" s="100">
        <f t="shared" si="430"/>
        <v>0</v>
      </c>
      <c r="AW468" s="100">
        <f t="shared" si="431"/>
        <v>0</v>
      </c>
      <c r="AX468" s="100">
        <f t="shared" si="432"/>
        <v>0</v>
      </c>
      <c r="AY468" s="110" t="s">
        <v>1714</v>
      </c>
      <c r="AZ468" s="110" t="s">
        <v>1734</v>
      </c>
      <c r="BA468" s="109" t="s">
        <v>1737</v>
      </c>
      <c r="BC468" s="100">
        <f t="shared" si="433"/>
        <v>0</v>
      </c>
      <c r="BD468" s="100">
        <f t="shared" si="434"/>
        <v>0</v>
      </c>
      <c r="BE468" s="100">
        <v>0</v>
      </c>
      <c r="BF468" s="100">
        <f>468</f>
        <v>468</v>
      </c>
      <c r="BH468" s="108">
        <f t="shared" si="435"/>
        <v>0</v>
      </c>
      <c r="BI468" s="108">
        <f t="shared" si="436"/>
        <v>0</v>
      </c>
      <c r="BJ468" s="108">
        <f t="shared" si="437"/>
        <v>0</v>
      </c>
    </row>
    <row r="469" spans="1:62" x14ac:dyDescent="0.2">
      <c r="A469" s="117" t="s">
        <v>426</v>
      </c>
      <c r="B469" s="117" t="s">
        <v>877</v>
      </c>
      <c r="C469" s="304" t="s">
        <v>1466</v>
      </c>
      <c r="D469" s="305"/>
      <c r="E469" s="305"/>
      <c r="F469" s="117" t="s">
        <v>1647</v>
      </c>
      <c r="G469" s="116">
        <v>25.684000000000001</v>
      </c>
      <c r="H469" s="159"/>
      <c r="I469" s="108">
        <f t="shared" si="416"/>
        <v>0</v>
      </c>
      <c r="J469" s="108">
        <f t="shared" si="417"/>
        <v>0</v>
      </c>
      <c r="K469" s="108">
        <f t="shared" si="418"/>
        <v>0</v>
      </c>
      <c r="L469" s="111" t="s">
        <v>1671</v>
      </c>
      <c r="Z469" s="100">
        <f t="shared" si="419"/>
        <v>0</v>
      </c>
      <c r="AB469" s="100">
        <f t="shared" si="420"/>
        <v>0</v>
      </c>
      <c r="AC469" s="100">
        <f t="shared" si="421"/>
        <v>0</v>
      </c>
      <c r="AD469" s="100">
        <f t="shared" si="422"/>
        <v>0</v>
      </c>
      <c r="AE469" s="100">
        <f t="shared" si="423"/>
        <v>0</v>
      </c>
      <c r="AF469" s="100">
        <f t="shared" si="424"/>
        <v>0</v>
      </c>
      <c r="AG469" s="100">
        <f t="shared" si="425"/>
        <v>0</v>
      </c>
      <c r="AH469" s="100">
        <f t="shared" si="426"/>
        <v>0</v>
      </c>
      <c r="AI469" s="109"/>
      <c r="AJ469" s="108">
        <f t="shared" si="427"/>
        <v>0</v>
      </c>
      <c r="AK469" s="108">
        <f t="shared" si="428"/>
        <v>0</v>
      </c>
      <c r="AL469" s="108">
        <f t="shared" si="429"/>
        <v>0</v>
      </c>
      <c r="AN469" s="100">
        <v>15</v>
      </c>
      <c r="AO469" s="100">
        <f>H469*1.00000005798175</f>
        <v>0</v>
      </c>
      <c r="AP469" s="100">
        <f>H469*(1-1.00000005798175)</f>
        <v>0</v>
      </c>
      <c r="AQ469" s="111" t="s">
        <v>13</v>
      </c>
      <c r="AV469" s="100">
        <f t="shared" si="430"/>
        <v>0</v>
      </c>
      <c r="AW469" s="100">
        <f t="shared" si="431"/>
        <v>0</v>
      </c>
      <c r="AX469" s="100">
        <f t="shared" si="432"/>
        <v>0</v>
      </c>
      <c r="AY469" s="110" t="s">
        <v>1714</v>
      </c>
      <c r="AZ469" s="110" t="s">
        <v>1734</v>
      </c>
      <c r="BA469" s="109" t="s">
        <v>1737</v>
      </c>
      <c r="BC469" s="100">
        <f t="shared" si="433"/>
        <v>0</v>
      </c>
      <c r="BD469" s="100">
        <f t="shared" si="434"/>
        <v>0</v>
      </c>
      <c r="BE469" s="100">
        <v>0</v>
      </c>
      <c r="BF469" s="100">
        <f>469</f>
        <v>469</v>
      </c>
      <c r="BH469" s="108">
        <f t="shared" si="435"/>
        <v>0</v>
      </c>
      <c r="BI469" s="108">
        <f t="shared" si="436"/>
        <v>0</v>
      </c>
      <c r="BJ469" s="108">
        <f t="shared" si="437"/>
        <v>0</v>
      </c>
    </row>
    <row r="470" spans="1:62" x14ac:dyDescent="0.2">
      <c r="A470" s="117" t="s">
        <v>427</v>
      </c>
      <c r="B470" s="117" t="s">
        <v>878</v>
      </c>
      <c r="C470" s="304" t="s">
        <v>1467</v>
      </c>
      <c r="D470" s="305"/>
      <c r="E470" s="305"/>
      <c r="F470" s="117" t="s">
        <v>1645</v>
      </c>
      <c r="G470" s="116">
        <v>114.7</v>
      </c>
      <c r="H470" s="159"/>
      <c r="I470" s="108">
        <f t="shared" si="416"/>
        <v>0</v>
      </c>
      <c r="J470" s="108">
        <f t="shared" si="417"/>
        <v>0</v>
      </c>
      <c r="K470" s="108">
        <f t="shared" si="418"/>
        <v>0</v>
      </c>
      <c r="L470" s="111" t="s">
        <v>1671</v>
      </c>
      <c r="Z470" s="100">
        <f t="shared" si="419"/>
        <v>0</v>
      </c>
      <c r="AB470" s="100">
        <f t="shared" si="420"/>
        <v>0</v>
      </c>
      <c r="AC470" s="100">
        <f t="shared" si="421"/>
        <v>0</v>
      </c>
      <c r="AD470" s="100">
        <f t="shared" si="422"/>
        <v>0</v>
      </c>
      <c r="AE470" s="100">
        <f t="shared" si="423"/>
        <v>0</v>
      </c>
      <c r="AF470" s="100">
        <f t="shared" si="424"/>
        <v>0</v>
      </c>
      <c r="AG470" s="100">
        <f t="shared" si="425"/>
        <v>0</v>
      </c>
      <c r="AH470" s="100">
        <f t="shared" si="426"/>
        <v>0</v>
      </c>
      <c r="AI470" s="109"/>
      <c r="AJ470" s="108">
        <f t="shared" si="427"/>
        <v>0</v>
      </c>
      <c r="AK470" s="108">
        <f t="shared" si="428"/>
        <v>0</v>
      </c>
      <c r="AL470" s="108">
        <f t="shared" si="429"/>
        <v>0</v>
      </c>
      <c r="AN470" s="100">
        <v>15</v>
      </c>
      <c r="AO470" s="100">
        <f>H470*0.650037878787879</f>
        <v>0</v>
      </c>
      <c r="AP470" s="100">
        <f>H470*(1-0.650037878787879)</f>
        <v>0</v>
      </c>
      <c r="AQ470" s="111" t="s">
        <v>13</v>
      </c>
      <c r="AV470" s="100">
        <f t="shared" si="430"/>
        <v>0</v>
      </c>
      <c r="AW470" s="100">
        <f t="shared" si="431"/>
        <v>0</v>
      </c>
      <c r="AX470" s="100">
        <f t="shared" si="432"/>
        <v>0</v>
      </c>
      <c r="AY470" s="110" t="s">
        <v>1714</v>
      </c>
      <c r="AZ470" s="110" t="s">
        <v>1734</v>
      </c>
      <c r="BA470" s="109" t="s">
        <v>1737</v>
      </c>
      <c r="BC470" s="100">
        <f t="shared" si="433"/>
        <v>0</v>
      </c>
      <c r="BD470" s="100">
        <f t="shared" si="434"/>
        <v>0</v>
      </c>
      <c r="BE470" s="100">
        <v>0</v>
      </c>
      <c r="BF470" s="100">
        <f>470</f>
        <v>470</v>
      </c>
      <c r="BH470" s="108">
        <f t="shared" si="435"/>
        <v>0</v>
      </c>
      <c r="BI470" s="108">
        <f t="shared" si="436"/>
        <v>0</v>
      </c>
      <c r="BJ470" s="108">
        <f t="shared" si="437"/>
        <v>0</v>
      </c>
    </row>
    <row r="471" spans="1:62" x14ac:dyDescent="0.2">
      <c r="A471" s="117" t="s">
        <v>428</v>
      </c>
      <c r="B471" s="117" t="s">
        <v>879</v>
      </c>
      <c r="C471" s="304" t="s">
        <v>1468</v>
      </c>
      <c r="D471" s="305"/>
      <c r="E471" s="305"/>
      <c r="F471" s="117" t="s">
        <v>1645</v>
      </c>
      <c r="G471" s="116">
        <v>114.7</v>
      </c>
      <c r="H471" s="159"/>
      <c r="I471" s="108">
        <f t="shared" si="416"/>
        <v>0</v>
      </c>
      <c r="J471" s="108">
        <f t="shared" si="417"/>
        <v>0</v>
      </c>
      <c r="K471" s="108">
        <f t="shared" si="418"/>
        <v>0</v>
      </c>
      <c r="L471" s="111" t="s">
        <v>1671</v>
      </c>
      <c r="Z471" s="100">
        <f t="shared" si="419"/>
        <v>0</v>
      </c>
      <c r="AB471" s="100">
        <f t="shared" si="420"/>
        <v>0</v>
      </c>
      <c r="AC471" s="100">
        <f t="shared" si="421"/>
        <v>0</v>
      </c>
      <c r="AD471" s="100">
        <f t="shared" si="422"/>
        <v>0</v>
      </c>
      <c r="AE471" s="100">
        <f t="shared" si="423"/>
        <v>0</v>
      </c>
      <c r="AF471" s="100">
        <f t="shared" si="424"/>
        <v>0</v>
      </c>
      <c r="AG471" s="100">
        <f t="shared" si="425"/>
        <v>0</v>
      </c>
      <c r="AH471" s="100">
        <f t="shared" si="426"/>
        <v>0</v>
      </c>
      <c r="AI471" s="109"/>
      <c r="AJ471" s="108">
        <f t="shared" si="427"/>
        <v>0</v>
      </c>
      <c r="AK471" s="108">
        <f t="shared" si="428"/>
        <v>0</v>
      </c>
      <c r="AL471" s="108">
        <f t="shared" si="429"/>
        <v>0</v>
      </c>
      <c r="AN471" s="100">
        <v>15</v>
      </c>
      <c r="AO471" s="100">
        <f>H471*0.0505464480874317</f>
        <v>0</v>
      </c>
      <c r="AP471" s="100">
        <f>H471*(1-0.0505464480874317)</f>
        <v>0</v>
      </c>
      <c r="AQ471" s="111" t="s">
        <v>13</v>
      </c>
      <c r="AV471" s="100">
        <f t="shared" si="430"/>
        <v>0</v>
      </c>
      <c r="AW471" s="100">
        <f t="shared" si="431"/>
        <v>0</v>
      </c>
      <c r="AX471" s="100">
        <f t="shared" si="432"/>
        <v>0</v>
      </c>
      <c r="AY471" s="110" t="s">
        <v>1714</v>
      </c>
      <c r="AZ471" s="110" t="s">
        <v>1734</v>
      </c>
      <c r="BA471" s="109" t="s">
        <v>1737</v>
      </c>
      <c r="BC471" s="100">
        <f t="shared" si="433"/>
        <v>0</v>
      </c>
      <c r="BD471" s="100">
        <f t="shared" si="434"/>
        <v>0</v>
      </c>
      <c r="BE471" s="100">
        <v>0</v>
      </c>
      <c r="BF471" s="100">
        <f>471</f>
        <v>471</v>
      </c>
      <c r="BH471" s="108">
        <f t="shared" si="435"/>
        <v>0</v>
      </c>
      <c r="BI471" s="108">
        <f t="shared" si="436"/>
        <v>0</v>
      </c>
      <c r="BJ471" s="108">
        <f t="shared" si="437"/>
        <v>0</v>
      </c>
    </row>
    <row r="472" spans="1:62" x14ac:dyDescent="0.2">
      <c r="A472" s="117" t="s">
        <v>429</v>
      </c>
      <c r="B472" s="117" t="s">
        <v>880</v>
      </c>
      <c r="C472" s="304" t="s">
        <v>1469</v>
      </c>
      <c r="D472" s="305"/>
      <c r="E472" s="305"/>
      <c r="F472" s="117" t="s">
        <v>1647</v>
      </c>
      <c r="G472" s="116">
        <v>2.1789999999999998</v>
      </c>
      <c r="H472" s="159"/>
      <c r="I472" s="108">
        <f t="shared" si="416"/>
        <v>0</v>
      </c>
      <c r="J472" s="108">
        <f t="shared" si="417"/>
        <v>0</v>
      </c>
      <c r="K472" s="108">
        <f t="shared" si="418"/>
        <v>0</v>
      </c>
      <c r="L472" s="111" t="s">
        <v>1671</v>
      </c>
      <c r="Z472" s="100">
        <f t="shared" si="419"/>
        <v>0</v>
      </c>
      <c r="AB472" s="100">
        <f t="shared" si="420"/>
        <v>0</v>
      </c>
      <c r="AC472" s="100">
        <f t="shared" si="421"/>
        <v>0</v>
      </c>
      <c r="AD472" s="100">
        <f t="shared" si="422"/>
        <v>0</v>
      </c>
      <c r="AE472" s="100">
        <f t="shared" si="423"/>
        <v>0</v>
      </c>
      <c r="AF472" s="100">
        <f t="shared" si="424"/>
        <v>0</v>
      </c>
      <c r="AG472" s="100">
        <f t="shared" si="425"/>
        <v>0</v>
      </c>
      <c r="AH472" s="100">
        <f t="shared" si="426"/>
        <v>0</v>
      </c>
      <c r="AI472" s="109"/>
      <c r="AJ472" s="108">
        <f t="shared" si="427"/>
        <v>0</v>
      </c>
      <c r="AK472" s="108">
        <f t="shared" si="428"/>
        <v>0</v>
      </c>
      <c r="AL472" s="108">
        <f t="shared" si="429"/>
        <v>0</v>
      </c>
      <c r="AN472" s="100">
        <v>15</v>
      </c>
      <c r="AO472" s="100">
        <f>H472*1.0000077784692</f>
        <v>0</v>
      </c>
      <c r="AP472" s="100">
        <f>H472*(1-1.0000077784692)</f>
        <v>0</v>
      </c>
      <c r="AQ472" s="111" t="s">
        <v>13</v>
      </c>
      <c r="AV472" s="100">
        <f t="shared" si="430"/>
        <v>0</v>
      </c>
      <c r="AW472" s="100">
        <f t="shared" si="431"/>
        <v>0</v>
      </c>
      <c r="AX472" s="100">
        <f t="shared" si="432"/>
        <v>0</v>
      </c>
      <c r="AY472" s="110" t="s">
        <v>1714</v>
      </c>
      <c r="AZ472" s="110" t="s">
        <v>1734</v>
      </c>
      <c r="BA472" s="109" t="s">
        <v>1737</v>
      </c>
      <c r="BC472" s="100">
        <f t="shared" si="433"/>
        <v>0</v>
      </c>
      <c r="BD472" s="100">
        <f t="shared" si="434"/>
        <v>0</v>
      </c>
      <c r="BE472" s="100">
        <v>0</v>
      </c>
      <c r="BF472" s="100">
        <f>472</f>
        <v>472</v>
      </c>
      <c r="BH472" s="108">
        <f t="shared" si="435"/>
        <v>0</v>
      </c>
      <c r="BI472" s="108">
        <f t="shared" si="436"/>
        <v>0</v>
      </c>
      <c r="BJ472" s="108">
        <f t="shared" si="437"/>
        <v>0</v>
      </c>
    </row>
    <row r="473" spans="1:62" x14ac:dyDescent="0.2">
      <c r="A473" s="117" t="s">
        <v>430</v>
      </c>
      <c r="B473" s="117" t="s">
        <v>881</v>
      </c>
      <c r="C473" s="304" t="s">
        <v>1470</v>
      </c>
      <c r="D473" s="305"/>
      <c r="E473" s="305"/>
      <c r="F473" s="117" t="s">
        <v>1648</v>
      </c>
      <c r="G473" s="116">
        <v>101.224</v>
      </c>
      <c r="H473" s="159"/>
      <c r="I473" s="108">
        <f t="shared" si="416"/>
        <v>0</v>
      </c>
      <c r="J473" s="108">
        <f t="shared" si="417"/>
        <v>0</v>
      </c>
      <c r="K473" s="108">
        <f t="shared" si="418"/>
        <v>0</v>
      </c>
      <c r="L473" s="111" t="s">
        <v>1671</v>
      </c>
      <c r="Z473" s="100">
        <f t="shared" si="419"/>
        <v>0</v>
      </c>
      <c r="AB473" s="100">
        <f t="shared" si="420"/>
        <v>0</v>
      </c>
      <c r="AC473" s="100">
        <f t="shared" si="421"/>
        <v>0</v>
      </c>
      <c r="AD473" s="100">
        <f t="shared" si="422"/>
        <v>0</v>
      </c>
      <c r="AE473" s="100">
        <f t="shared" si="423"/>
        <v>0</v>
      </c>
      <c r="AF473" s="100">
        <f t="shared" si="424"/>
        <v>0</v>
      </c>
      <c r="AG473" s="100">
        <f t="shared" si="425"/>
        <v>0</v>
      </c>
      <c r="AH473" s="100">
        <f t="shared" si="426"/>
        <v>0</v>
      </c>
      <c r="AI473" s="109"/>
      <c r="AJ473" s="108">
        <f t="shared" si="427"/>
        <v>0</v>
      </c>
      <c r="AK473" s="108">
        <f t="shared" si="428"/>
        <v>0</v>
      </c>
      <c r="AL473" s="108">
        <f t="shared" si="429"/>
        <v>0</v>
      </c>
      <c r="AN473" s="100">
        <v>15</v>
      </c>
      <c r="AO473" s="100">
        <f>H473*0</f>
        <v>0</v>
      </c>
      <c r="AP473" s="100">
        <f>H473*(1-0)</f>
        <v>0</v>
      </c>
      <c r="AQ473" s="111" t="s">
        <v>11</v>
      </c>
      <c r="AV473" s="100">
        <f t="shared" si="430"/>
        <v>0</v>
      </c>
      <c r="AW473" s="100">
        <f t="shared" si="431"/>
        <v>0</v>
      </c>
      <c r="AX473" s="100">
        <f t="shared" si="432"/>
        <v>0</v>
      </c>
      <c r="AY473" s="110" t="s">
        <v>1714</v>
      </c>
      <c r="AZ473" s="110" t="s">
        <v>1734</v>
      </c>
      <c r="BA473" s="109" t="s">
        <v>1737</v>
      </c>
      <c r="BC473" s="100">
        <f t="shared" si="433"/>
        <v>0</v>
      </c>
      <c r="BD473" s="100">
        <f t="shared" si="434"/>
        <v>0</v>
      </c>
      <c r="BE473" s="100">
        <v>0</v>
      </c>
      <c r="BF473" s="100">
        <f>473</f>
        <v>473</v>
      </c>
      <c r="BH473" s="108">
        <f t="shared" si="435"/>
        <v>0</v>
      </c>
      <c r="BI473" s="108">
        <f t="shared" si="436"/>
        <v>0</v>
      </c>
      <c r="BJ473" s="108">
        <f t="shared" si="437"/>
        <v>0</v>
      </c>
    </row>
    <row r="474" spans="1:62" x14ac:dyDescent="0.2">
      <c r="A474" s="119"/>
      <c r="B474" s="120" t="s">
        <v>882</v>
      </c>
      <c r="C474" s="306" t="s">
        <v>1471</v>
      </c>
      <c r="D474" s="307"/>
      <c r="E474" s="307"/>
      <c r="F474" s="119" t="s">
        <v>6</v>
      </c>
      <c r="G474" s="119" t="s">
        <v>6</v>
      </c>
      <c r="H474" s="119" t="s">
        <v>6</v>
      </c>
      <c r="I474" s="118">
        <f>SUM(I475:I499)</f>
        <v>0</v>
      </c>
      <c r="J474" s="118">
        <f>SUM(J475:J499)</f>
        <v>0</v>
      </c>
      <c r="K474" s="118">
        <f>SUM(K475:K499)</f>
        <v>0</v>
      </c>
      <c r="L474" s="109"/>
      <c r="AI474" s="109"/>
      <c r="AS474" s="118">
        <f>SUM(AJ475:AJ499)</f>
        <v>0</v>
      </c>
      <c r="AT474" s="118">
        <f>SUM(AK475:AK499)</f>
        <v>0</v>
      </c>
      <c r="AU474" s="118">
        <f>SUM(AL475:AL499)</f>
        <v>0</v>
      </c>
    </row>
    <row r="475" spans="1:62" x14ac:dyDescent="0.2">
      <c r="A475" s="117" t="s">
        <v>431</v>
      </c>
      <c r="B475" s="117" t="s">
        <v>883</v>
      </c>
      <c r="C475" s="304" t="s">
        <v>3453</v>
      </c>
      <c r="D475" s="305"/>
      <c r="E475" s="305"/>
      <c r="F475" s="117" t="s">
        <v>1645</v>
      </c>
      <c r="G475" s="116">
        <v>1155.05</v>
      </c>
      <c r="H475" s="159"/>
      <c r="I475" s="108">
        <f t="shared" ref="I475:I499" si="438">G475*AO475</f>
        <v>0</v>
      </c>
      <c r="J475" s="108">
        <f t="shared" ref="J475:J499" si="439">G475*AP475</f>
        <v>0</v>
      </c>
      <c r="K475" s="108">
        <f t="shared" ref="K475:K499" si="440">G475*H475</f>
        <v>0</v>
      </c>
      <c r="L475" s="111" t="s">
        <v>1671</v>
      </c>
      <c r="Z475" s="100">
        <f t="shared" ref="Z475:Z499" si="441">IF(AQ475="5",BJ475,0)</f>
        <v>0</v>
      </c>
      <c r="AB475" s="100">
        <f t="shared" ref="AB475:AB499" si="442">IF(AQ475="1",BH475,0)</f>
        <v>0</v>
      </c>
      <c r="AC475" s="100">
        <f t="shared" ref="AC475:AC499" si="443">IF(AQ475="1",BI475,0)</f>
        <v>0</v>
      </c>
      <c r="AD475" s="100">
        <f t="shared" ref="AD475:AD499" si="444">IF(AQ475="7",BH475,0)</f>
        <v>0</v>
      </c>
      <c r="AE475" s="100">
        <f t="shared" ref="AE475:AE499" si="445">IF(AQ475="7",BI475,0)</f>
        <v>0</v>
      </c>
      <c r="AF475" s="100">
        <f t="shared" ref="AF475:AF499" si="446">IF(AQ475="2",BH475,0)</f>
        <v>0</v>
      </c>
      <c r="AG475" s="100">
        <f t="shared" ref="AG475:AG499" si="447">IF(AQ475="2",BI475,0)</f>
        <v>0</v>
      </c>
      <c r="AH475" s="100">
        <f t="shared" ref="AH475:AH499" si="448">IF(AQ475="0",BJ475,0)</f>
        <v>0</v>
      </c>
      <c r="AI475" s="109"/>
      <c r="AJ475" s="108">
        <f t="shared" ref="AJ475:AJ499" si="449">IF(AN475=0,K475,0)</f>
        <v>0</v>
      </c>
      <c r="AK475" s="108">
        <f t="shared" ref="AK475:AK499" si="450">IF(AN475=15,K475,0)</f>
        <v>0</v>
      </c>
      <c r="AL475" s="108">
        <f t="shared" ref="AL475:AL499" si="451">IF(AN475=21,K475,0)</f>
        <v>0</v>
      </c>
      <c r="AN475" s="100">
        <v>15</v>
      </c>
      <c r="AO475" s="100">
        <f>H475*0</f>
        <v>0</v>
      </c>
      <c r="AP475" s="100">
        <f>H475*(1-0)</f>
        <v>0</v>
      </c>
      <c r="AQ475" s="111" t="s">
        <v>13</v>
      </c>
      <c r="AV475" s="100">
        <f t="shared" ref="AV475:AV499" si="452">AW475+AX475</f>
        <v>0</v>
      </c>
      <c r="AW475" s="100">
        <f t="shared" ref="AW475:AW499" si="453">G475*AO475</f>
        <v>0</v>
      </c>
      <c r="AX475" s="100">
        <f t="shared" ref="AX475:AX499" si="454">G475*AP475</f>
        <v>0</v>
      </c>
      <c r="AY475" s="110" t="s">
        <v>1715</v>
      </c>
      <c r="AZ475" s="110" t="s">
        <v>1734</v>
      </c>
      <c r="BA475" s="109" t="s">
        <v>1737</v>
      </c>
      <c r="BC475" s="100">
        <f t="shared" ref="BC475:BC499" si="455">AW475+AX475</f>
        <v>0</v>
      </c>
      <c r="BD475" s="100">
        <f t="shared" ref="BD475:BD499" si="456">H475/(100-BE475)*100</f>
        <v>0</v>
      </c>
      <c r="BE475" s="100">
        <v>0</v>
      </c>
      <c r="BF475" s="100">
        <f>475</f>
        <v>475</v>
      </c>
      <c r="BH475" s="108">
        <f t="shared" ref="BH475:BH499" si="457">G475*AO475</f>
        <v>0</v>
      </c>
      <c r="BI475" s="108">
        <f t="shared" ref="BI475:BI499" si="458">G475*AP475</f>
        <v>0</v>
      </c>
      <c r="BJ475" s="108">
        <f t="shared" ref="BJ475:BJ499" si="459">G475*H475</f>
        <v>0</v>
      </c>
    </row>
    <row r="476" spans="1:62" x14ac:dyDescent="0.2">
      <c r="A476" s="117" t="s">
        <v>432</v>
      </c>
      <c r="B476" s="117" t="s">
        <v>884</v>
      </c>
      <c r="C476" s="304" t="s">
        <v>3452</v>
      </c>
      <c r="D476" s="305"/>
      <c r="E476" s="305"/>
      <c r="F476" s="117" t="s">
        <v>1646</v>
      </c>
      <c r="G476" s="116">
        <v>28</v>
      </c>
      <c r="H476" s="159"/>
      <c r="I476" s="108">
        <f t="shared" si="438"/>
        <v>0</v>
      </c>
      <c r="J476" s="108">
        <f t="shared" si="439"/>
        <v>0</v>
      </c>
      <c r="K476" s="108">
        <f t="shared" si="440"/>
        <v>0</v>
      </c>
      <c r="L476" s="111" t="s">
        <v>1671</v>
      </c>
      <c r="Z476" s="100">
        <f t="shared" si="441"/>
        <v>0</v>
      </c>
      <c r="AB476" s="100">
        <f t="shared" si="442"/>
        <v>0</v>
      </c>
      <c r="AC476" s="100">
        <f t="shared" si="443"/>
        <v>0</v>
      </c>
      <c r="AD476" s="100">
        <f t="shared" si="444"/>
        <v>0</v>
      </c>
      <c r="AE476" s="100">
        <f t="shared" si="445"/>
        <v>0</v>
      </c>
      <c r="AF476" s="100">
        <f t="shared" si="446"/>
        <v>0</v>
      </c>
      <c r="AG476" s="100">
        <f t="shared" si="447"/>
        <v>0</v>
      </c>
      <c r="AH476" s="100">
        <f t="shared" si="448"/>
        <v>0</v>
      </c>
      <c r="AI476" s="109"/>
      <c r="AJ476" s="108">
        <f t="shared" si="449"/>
        <v>0</v>
      </c>
      <c r="AK476" s="108">
        <f t="shared" si="450"/>
        <v>0</v>
      </c>
      <c r="AL476" s="108">
        <f t="shared" si="451"/>
        <v>0</v>
      </c>
      <c r="AN476" s="100">
        <v>15</v>
      </c>
      <c r="AO476" s="100">
        <f>H476*0</f>
        <v>0</v>
      </c>
      <c r="AP476" s="100">
        <f>H476*(1-0)</f>
        <v>0</v>
      </c>
      <c r="AQ476" s="111" t="s">
        <v>13</v>
      </c>
      <c r="AV476" s="100">
        <f t="shared" si="452"/>
        <v>0</v>
      </c>
      <c r="AW476" s="100">
        <f t="shared" si="453"/>
        <v>0</v>
      </c>
      <c r="AX476" s="100">
        <f t="shared" si="454"/>
        <v>0</v>
      </c>
      <c r="AY476" s="110" t="s">
        <v>1715</v>
      </c>
      <c r="AZ476" s="110" t="s">
        <v>1734</v>
      </c>
      <c r="BA476" s="109" t="s">
        <v>1737</v>
      </c>
      <c r="BC476" s="100">
        <f t="shared" si="455"/>
        <v>0</v>
      </c>
      <c r="BD476" s="100">
        <f t="shared" si="456"/>
        <v>0</v>
      </c>
      <c r="BE476" s="100">
        <v>0</v>
      </c>
      <c r="BF476" s="100">
        <f>476</f>
        <v>476</v>
      </c>
      <c r="BH476" s="108">
        <f t="shared" si="457"/>
        <v>0</v>
      </c>
      <c r="BI476" s="108">
        <f t="shared" si="458"/>
        <v>0</v>
      </c>
      <c r="BJ476" s="108">
        <f t="shared" si="459"/>
        <v>0</v>
      </c>
    </row>
    <row r="477" spans="1:62" x14ac:dyDescent="0.2">
      <c r="A477" s="117" t="s">
        <v>433</v>
      </c>
      <c r="B477" s="117" t="s">
        <v>885</v>
      </c>
      <c r="C477" s="304" t="s">
        <v>3451</v>
      </c>
      <c r="D477" s="305"/>
      <c r="E477" s="305"/>
      <c r="F477" s="117" t="s">
        <v>1645</v>
      </c>
      <c r="G477" s="116">
        <v>6.84</v>
      </c>
      <c r="H477" s="159"/>
      <c r="I477" s="108">
        <f t="shared" si="438"/>
        <v>0</v>
      </c>
      <c r="J477" s="108">
        <f t="shared" si="439"/>
        <v>0</v>
      </c>
      <c r="K477" s="108">
        <f t="shared" si="440"/>
        <v>0</v>
      </c>
      <c r="L477" s="111" t="s">
        <v>1671</v>
      </c>
      <c r="Z477" s="100">
        <f t="shared" si="441"/>
        <v>0</v>
      </c>
      <c r="AB477" s="100">
        <f t="shared" si="442"/>
        <v>0</v>
      </c>
      <c r="AC477" s="100">
        <f t="shared" si="443"/>
        <v>0</v>
      </c>
      <c r="AD477" s="100">
        <f t="shared" si="444"/>
        <v>0</v>
      </c>
      <c r="AE477" s="100">
        <f t="shared" si="445"/>
        <v>0</v>
      </c>
      <c r="AF477" s="100">
        <f t="shared" si="446"/>
        <v>0</v>
      </c>
      <c r="AG477" s="100">
        <f t="shared" si="447"/>
        <v>0</v>
      </c>
      <c r="AH477" s="100">
        <f t="shared" si="448"/>
        <v>0</v>
      </c>
      <c r="AI477" s="109"/>
      <c r="AJ477" s="108">
        <f t="shared" si="449"/>
        <v>0</v>
      </c>
      <c r="AK477" s="108">
        <f t="shared" si="450"/>
        <v>0</v>
      </c>
      <c r="AL477" s="108">
        <f t="shared" si="451"/>
        <v>0</v>
      </c>
      <c r="AN477" s="100">
        <v>15</v>
      </c>
      <c r="AO477" s="100">
        <f>H477*0</f>
        <v>0</v>
      </c>
      <c r="AP477" s="100">
        <f>H477*(1-0)</f>
        <v>0</v>
      </c>
      <c r="AQ477" s="111" t="s">
        <v>13</v>
      </c>
      <c r="AV477" s="100">
        <f t="shared" si="452"/>
        <v>0</v>
      </c>
      <c r="AW477" s="100">
        <f t="shared" si="453"/>
        <v>0</v>
      </c>
      <c r="AX477" s="100">
        <f t="shared" si="454"/>
        <v>0</v>
      </c>
      <c r="AY477" s="110" t="s">
        <v>1715</v>
      </c>
      <c r="AZ477" s="110" t="s">
        <v>1734</v>
      </c>
      <c r="BA477" s="109" t="s">
        <v>1737</v>
      </c>
      <c r="BC477" s="100">
        <f t="shared" si="455"/>
        <v>0</v>
      </c>
      <c r="BD477" s="100">
        <f t="shared" si="456"/>
        <v>0</v>
      </c>
      <c r="BE477" s="100">
        <v>0</v>
      </c>
      <c r="BF477" s="100">
        <f>477</f>
        <v>477</v>
      </c>
      <c r="BH477" s="108">
        <f t="shared" si="457"/>
        <v>0</v>
      </c>
      <c r="BI477" s="108">
        <f t="shared" si="458"/>
        <v>0</v>
      </c>
      <c r="BJ477" s="108">
        <f t="shared" si="459"/>
        <v>0</v>
      </c>
    </row>
    <row r="478" spans="1:62" x14ac:dyDescent="0.2">
      <c r="A478" s="117" t="s">
        <v>434</v>
      </c>
      <c r="B478" s="117" t="s">
        <v>886</v>
      </c>
      <c r="C478" s="304" t="s">
        <v>3034</v>
      </c>
      <c r="D478" s="305"/>
      <c r="E478" s="305"/>
      <c r="F478" s="117" t="s">
        <v>1646</v>
      </c>
      <c r="G478" s="116">
        <v>155</v>
      </c>
      <c r="H478" s="159"/>
      <c r="I478" s="108">
        <f t="shared" si="438"/>
        <v>0</v>
      </c>
      <c r="J478" s="108">
        <f t="shared" si="439"/>
        <v>0</v>
      </c>
      <c r="K478" s="108">
        <f t="shared" si="440"/>
        <v>0</v>
      </c>
      <c r="L478" s="111" t="s">
        <v>1671</v>
      </c>
      <c r="Z478" s="100">
        <f t="shared" si="441"/>
        <v>0</v>
      </c>
      <c r="AB478" s="100">
        <f t="shared" si="442"/>
        <v>0</v>
      </c>
      <c r="AC478" s="100">
        <f t="shared" si="443"/>
        <v>0</v>
      </c>
      <c r="AD478" s="100">
        <f t="shared" si="444"/>
        <v>0</v>
      </c>
      <c r="AE478" s="100">
        <f t="shared" si="445"/>
        <v>0</v>
      </c>
      <c r="AF478" s="100">
        <f t="shared" si="446"/>
        <v>0</v>
      </c>
      <c r="AG478" s="100">
        <f t="shared" si="447"/>
        <v>0</v>
      </c>
      <c r="AH478" s="100">
        <f t="shared" si="448"/>
        <v>0</v>
      </c>
      <c r="AI478" s="109"/>
      <c r="AJ478" s="108">
        <f t="shared" si="449"/>
        <v>0</v>
      </c>
      <c r="AK478" s="108">
        <f t="shared" si="450"/>
        <v>0</v>
      </c>
      <c r="AL478" s="108">
        <f t="shared" si="451"/>
        <v>0</v>
      </c>
      <c r="AN478" s="100">
        <v>15</v>
      </c>
      <c r="AO478" s="100">
        <f>H478*0</f>
        <v>0</v>
      </c>
      <c r="AP478" s="100">
        <f>H478*(1-0)</f>
        <v>0</v>
      </c>
      <c r="AQ478" s="111" t="s">
        <v>13</v>
      </c>
      <c r="AV478" s="100">
        <f t="shared" si="452"/>
        <v>0</v>
      </c>
      <c r="AW478" s="100">
        <f t="shared" si="453"/>
        <v>0</v>
      </c>
      <c r="AX478" s="100">
        <f t="shared" si="454"/>
        <v>0</v>
      </c>
      <c r="AY478" s="110" t="s">
        <v>1715</v>
      </c>
      <c r="AZ478" s="110" t="s">
        <v>1734</v>
      </c>
      <c r="BA478" s="109" t="s">
        <v>1737</v>
      </c>
      <c r="BC478" s="100">
        <f t="shared" si="455"/>
        <v>0</v>
      </c>
      <c r="BD478" s="100">
        <f t="shared" si="456"/>
        <v>0</v>
      </c>
      <c r="BE478" s="100">
        <v>0</v>
      </c>
      <c r="BF478" s="100">
        <f>478</f>
        <v>478</v>
      </c>
      <c r="BH478" s="108">
        <f t="shared" si="457"/>
        <v>0</v>
      </c>
      <c r="BI478" s="108">
        <f t="shared" si="458"/>
        <v>0</v>
      </c>
      <c r="BJ478" s="108">
        <f t="shared" si="459"/>
        <v>0</v>
      </c>
    </row>
    <row r="479" spans="1:62" x14ac:dyDescent="0.2">
      <c r="A479" s="117" t="s">
        <v>435</v>
      </c>
      <c r="B479" s="117" t="s">
        <v>887</v>
      </c>
      <c r="C479" s="304" t="s">
        <v>3033</v>
      </c>
      <c r="D479" s="305"/>
      <c r="E479" s="305"/>
      <c r="F479" s="117" t="s">
        <v>1644</v>
      </c>
      <c r="G479" s="116">
        <v>14</v>
      </c>
      <c r="H479" s="159"/>
      <c r="I479" s="108">
        <f t="shared" si="438"/>
        <v>0</v>
      </c>
      <c r="J479" s="108">
        <f t="shared" si="439"/>
        <v>0</v>
      </c>
      <c r="K479" s="108">
        <f t="shared" si="440"/>
        <v>0</v>
      </c>
      <c r="L479" s="111" t="s">
        <v>1671</v>
      </c>
      <c r="Z479" s="100">
        <f t="shared" si="441"/>
        <v>0</v>
      </c>
      <c r="AB479" s="100">
        <f t="shared" si="442"/>
        <v>0</v>
      </c>
      <c r="AC479" s="100">
        <f t="shared" si="443"/>
        <v>0</v>
      </c>
      <c r="AD479" s="100">
        <f t="shared" si="444"/>
        <v>0</v>
      </c>
      <c r="AE479" s="100">
        <f t="shared" si="445"/>
        <v>0</v>
      </c>
      <c r="AF479" s="100">
        <f t="shared" si="446"/>
        <v>0</v>
      </c>
      <c r="AG479" s="100">
        <f t="shared" si="447"/>
        <v>0</v>
      </c>
      <c r="AH479" s="100">
        <f t="shared" si="448"/>
        <v>0</v>
      </c>
      <c r="AI479" s="109"/>
      <c r="AJ479" s="108">
        <f t="shared" si="449"/>
        <v>0</v>
      </c>
      <c r="AK479" s="108">
        <f t="shared" si="450"/>
        <v>0</v>
      </c>
      <c r="AL479" s="108">
        <f t="shared" si="451"/>
        <v>0</v>
      </c>
      <c r="AN479" s="100">
        <v>15</v>
      </c>
      <c r="AO479" s="100">
        <f>H479*0</f>
        <v>0</v>
      </c>
      <c r="AP479" s="100">
        <f>H479*(1-0)</f>
        <v>0</v>
      </c>
      <c r="AQ479" s="111" t="s">
        <v>13</v>
      </c>
      <c r="AV479" s="100">
        <f t="shared" si="452"/>
        <v>0</v>
      </c>
      <c r="AW479" s="100">
        <f t="shared" si="453"/>
        <v>0</v>
      </c>
      <c r="AX479" s="100">
        <f t="shared" si="454"/>
        <v>0</v>
      </c>
      <c r="AY479" s="110" t="s">
        <v>1715</v>
      </c>
      <c r="AZ479" s="110" t="s">
        <v>1734</v>
      </c>
      <c r="BA479" s="109" t="s">
        <v>1737</v>
      </c>
      <c r="BC479" s="100">
        <f t="shared" si="455"/>
        <v>0</v>
      </c>
      <c r="BD479" s="100">
        <f t="shared" si="456"/>
        <v>0</v>
      </c>
      <c r="BE479" s="100">
        <v>0</v>
      </c>
      <c r="BF479" s="100">
        <f>479</f>
        <v>479</v>
      </c>
      <c r="BH479" s="108">
        <f t="shared" si="457"/>
        <v>0</v>
      </c>
      <c r="BI479" s="108">
        <f t="shared" si="458"/>
        <v>0</v>
      </c>
      <c r="BJ479" s="108">
        <f t="shared" si="459"/>
        <v>0</v>
      </c>
    </row>
    <row r="480" spans="1:62" x14ac:dyDescent="0.2">
      <c r="A480" s="117" t="s">
        <v>436</v>
      </c>
      <c r="B480" s="117" t="s">
        <v>888</v>
      </c>
      <c r="C480" s="304" t="s">
        <v>3032</v>
      </c>
      <c r="D480" s="305"/>
      <c r="E480" s="305"/>
      <c r="F480" s="117" t="s">
        <v>1644</v>
      </c>
      <c r="G480" s="116">
        <v>3</v>
      </c>
      <c r="H480" s="159"/>
      <c r="I480" s="108">
        <f t="shared" si="438"/>
        <v>0</v>
      </c>
      <c r="J480" s="108">
        <f t="shared" si="439"/>
        <v>0</v>
      </c>
      <c r="K480" s="108">
        <f t="shared" si="440"/>
        <v>0</v>
      </c>
      <c r="L480" s="111" t="s">
        <v>1671</v>
      </c>
      <c r="Z480" s="100">
        <f t="shared" si="441"/>
        <v>0</v>
      </c>
      <c r="AB480" s="100">
        <f t="shared" si="442"/>
        <v>0</v>
      </c>
      <c r="AC480" s="100">
        <f t="shared" si="443"/>
        <v>0</v>
      </c>
      <c r="AD480" s="100">
        <f t="shared" si="444"/>
        <v>0</v>
      </c>
      <c r="AE480" s="100">
        <f t="shared" si="445"/>
        <v>0</v>
      </c>
      <c r="AF480" s="100">
        <f t="shared" si="446"/>
        <v>0</v>
      </c>
      <c r="AG480" s="100">
        <f t="shared" si="447"/>
        <v>0</v>
      </c>
      <c r="AH480" s="100">
        <f t="shared" si="448"/>
        <v>0</v>
      </c>
      <c r="AI480" s="109"/>
      <c r="AJ480" s="108">
        <f t="shared" si="449"/>
        <v>0</v>
      </c>
      <c r="AK480" s="108">
        <f t="shared" si="450"/>
        <v>0</v>
      </c>
      <c r="AL480" s="108">
        <f t="shared" si="451"/>
        <v>0</v>
      </c>
      <c r="AN480" s="100">
        <v>15</v>
      </c>
      <c r="AO480" s="100">
        <f>H480*0.270879136690648</f>
        <v>0</v>
      </c>
      <c r="AP480" s="100">
        <f>H480*(1-0.270879136690648)</f>
        <v>0</v>
      </c>
      <c r="AQ480" s="111" t="s">
        <v>13</v>
      </c>
      <c r="AV480" s="100">
        <f t="shared" si="452"/>
        <v>0</v>
      </c>
      <c r="AW480" s="100">
        <f t="shared" si="453"/>
        <v>0</v>
      </c>
      <c r="AX480" s="100">
        <f t="shared" si="454"/>
        <v>0</v>
      </c>
      <c r="AY480" s="110" t="s">
        <v>1715</v>
      </c>
      <c r="AZ480" s="110" t="s">
        <v>1734</v>
      </c>
      <c r="BA480" s="109" t="s">
        <v>1737</v>
      </c>
      <c r="BC480" s="100">
        <f t="shared" si="455"/>
        <v>0</v>
      </c>
      <c r="BD480" s="100">
        <f t="shared" si="456"/>
        <v>0</v>
      </c>
      <c r="BE480" s="100">
        <v>0</v>
      </c>
      <c r="BF480" s="100">
        <f>480</f>
        <v>480</v>
      </c>
      <c r="BH480" s="108">
        <f t="shared" si="457"/>
        <v>0</v>
      </c>
      <c r="BI480" s="108">
        <f t="shared" si="458"/>
        <v>0</v>
      </c>
      <c r="BJ480" s="108">
        <f t="shared" si="459"/>
        <v>0</v>
      </c>
    </row>
    <row r="481" spans="1:62" x14ac:dyDescent="0.2">
      <c r="A481" s="117" t="s">
        <v>437</v>
      </c>
      <c r="B481" s="117" t="s">
        <v>3450</v>
      </c>
      <c r="C481" s="304" t="s">
        <v>3449</v>
      </c>
      <c r="D481" s="305"/>
      <c r="E481" s="305"/>
      <c r="F481" s="117" t="s">
        <v>1646</v>
      </c>
      <c r="G481" s="116">
        <v>0.6</v>
      </c>
      <c r="H481" s="159"/>
      <c r="I481" s="108">
        <f t="shared" si="438"/>
        <v>0</v>
      </c>
      <c r="J481" s="108">
        <f t="shared" si="439"/>
        <v>0</v>
      </c>
      <c r="K481" s="108">
        <f t="shared" si="440"/>
        <v>0</v>
      </c>
      <c r="L481" s="111" t="s">
        <v>1671</v>
      </c>
      <c r="Z481" s="100">
        <f t="shared" si="441"/>
        <v>0</v>
      </c>
      <c r="AB481" s="100">
        <f t="shared" si="442"/>
        <v>0</v>
      </c>
      <c r="AC481" s="100">
        <f t="shared" si="443"/>
        <v>0</v>
      </c>
      <c r="AD481" s="100">
        <f t="shared" si="444"/>
        <v>0</v>
      </c>
      <c r="AE481" s="100">
        <f t="shared" si="445"/>
        <v>0</v>
      </c>
      <c r="AF481" s="100">
        <f t="shared" si="446"/>
        <v>0</v>
      </c>
      <c r="AG481" s="100">
        <f t="shared" si="447"/>
        <v>0</v>
      </c>
      <c r="AH481" s="100">
        <f t="shared" si="448"/>
        <v>0</v>
      </c>
      <c r="AI481" s="109"/>
      <c r="AJ481" s="108">
        <f t="shared" si="449"/>
        <v>0</v>
      </c>
      <c r="AK481" s="108">
        <f t="shared" si="450"/>
        <v>0</v>
      </c>
      <c r="AL481" s="108">
        <f t="shared" si="451"/>
        <v>0</v>
      </c>
      <c r="AN481" s="100">
        <v>15</v>
      </c>
      <c r="AO481" s="100">
        <f>H481*0.201226486079759</f>
        <v>0</v>
      </c>
      <c r="AP481" s="100">
        <f>H481*(1-0.201226486079759)</f>
        <v>0</v>
      </c>
      <c r="AQ481" s="111" t="s">
        <v>13</v>
      </c>
      <c r="AV481" s="100">
        <f t="shared" si="452"/>
        <v>0</v>
      </c>
      <c r="AW481" s="100">
        <f t="shared" si="453"/>
        <v>0</v>
      </c>
      <c r="AX481" s="100">
        <f t="shared" si="454"/>
        <v>0</v>
      </c>
      <c r="AY481" s="110" t="s">
        <v>1715</v>
      </c>
      <c r="AZ481" s="110" t="s">
        <v>1734</v>
      </c>
      <c r="BA481" s="109" t="s">
        <v>1737</v>
      </c>
      <c r="BC481" s="100">
        <f t="shared" si="455"/>
        <v>0</v>
      </c>
      <c r="BD481" s="100">
        <f t="shared" si="456"/>
        <v>0</v>
      </c>
      <c r="BE481" s="100">
        <v>0</v>
      </c>
      <c r="BF481" s="100">
        <f>481</f>
        <v>481</v>
      </c>
      <c r="BH481" s="108">
        <f t="shared" si="457"/>
        <v>0</v>
      </c>
      <c r="BI481" s="108">
        <f t="shared" si="458"/>
        <v>0</v>
      </c>
      <c r="BJ481" s="108">
        <f t="shared" si="459"/>
        <v>0</v>
      </c>
    </row>
    <row r="482" spans="1:62" x14ac:dyDescent="0.2">
      <c r="A482" s="117" t="s">
        <v>438</v>
      </c>
      <c r="B482" s="117" t="s">
        <v>889</v>
      </c>
      <c r="C482" s="304" t="s">
        <v>1478</v>
      </c>
      <c r="D482" s="305"/>
      <c r="E482" s="305"/>
      <c r="F482" s="117" t="s">
        <v>1646</v>
      </c>
      <c r="G482" s="116">
        <v>126.75</v>
      </c>
      <c r="H482" s="159"/>
      <c r="I482" s="108">
        <f t="shared" si="438"/>
        <v>0</v>
      </c>
      <c r="J482" s="108">
        <f t="shared" si="439"/>
        <v>0</v>
      </c>
      <c r="K482" s="108">
        <f t="shared" si="440"/>
        <v>0</v>
      </c>
      <c r="L482" s="111" t="s">
        <v>1671</v>
      </c>
      <c r="Z482" s="100">
        <f t="shared" si="441"/>
        <v>0</v>
      </c>
      <c r="AB482" s="100">
        <f t="shared" si="442"/>
        <v>0</v>
      </c>
      <c r="AC482" s="100">
        <f t="shared" si="443"/>
        <v>0</v>
      </c>
      <c r="AD482" s="100">
        <f t="shared" si="444"/>
        <v>0</v>
      </c>
      <c r="AE482" s="100">
        <f t="shared" si="445"/>
        <v>0</v>
      </c>
      <c r="AF482" s="100">
        <f t="shared" si="446"/>
        <v>0</v>
      </c>
      <c r="AG482" s="100">
        <f t="shared" si="447"/>
        <v>0</v>
      </c>
      <c r="AH482" s="100">
        <f t="shared" si="448"/>
        <v>0</v>
      </c>
      <c r="AI482" s="109"/>
      <c r="AJ482" s="108">
        <f t="shared" si="449"/>
        <v>0</v>
      </c>
      <c r="AK482" s="108">
        <f t="shared" si="450"/>
        <v>0</v>
      </c>
      <c r="AL482" s="108">
        <f t="shared" si="451"/>
        <v>0</v>
      </c>
      <c r="AN482" s="100">
        <v>15</v>
      </c>
      <c r="AO482" s="100">
        <f>H482*0.281701358125123</f>
        <v>0</v>
      </c>
      <c r="AP482" s="100">
        <f>H482*(1-0.281701358125123)</f>
        <v>0</v>
      </c>
      <c r="AQ482" s="111" t="s">
        <v>13</v>
      </c>
      <c r="AV482" s="100">
        <f t="shared" si="452"/>
        <v>0</v>
      </c>
      <c r="AW482" s="100">
        <f t="shared" si="453"/>
        <v>0</v>
      </c>
      <c r="AX482" s="100">
        <f t="shared" si="454"/>
        <v>0</v>
      </c>
      <c r="AY482" s="110" t="s">
        <v>1715</v>
      </c>
      <c r="AZ482" s="110" t="s">
        <v>1734</v>
      </c>
      <c r="BA482" s="109" t="s">
        <v>1737</v>
      </c>
      <c r="BC482" s="100">
        <f t="shared" si="455"/>
        <v>0</v>
      </c>
      <c r="BD482" s="100">
        <f t="shared" si="456"/>
        <v>0</v>
      </c>
      <c r="BE482" s="100">
        <v>0</v>
      </c>
      <c r="BF482" s="100">
        <f>482</f>
        <v>482</v>
      </c>
      <c r="BH482" s="108">
        <f t="shared" si="457"/>
        <v>0</v>
      </c>
      <c r="BI482" s="108">
        <f t="shared" si="458"/>
        <v>0</v>
      </c>
      <c r="BJ482" s="108">
        <f t="shared" si="459"/>
        <v>0</v>
      </c>
    </row>
    <row r="483" spans="1:62" x14ac:dyDescent="0.2">
      <c r="A483" s="117" t="s">
        <v>439</v>
      </c>
      <c r="B483" s="117" t="s">
        <v>890</v>
      </c>
      <c r="C483" s="304" t="s">
        <v>1479</v>
      </c>
      <c r="D483" s="305"/>
      <c r="E483" s="305"/>
      <c r="F483" s="117" t="s">
        <v>1646</v>
      </c>
      <c r="G483" s="116">
        <v>57.15</v>
      </c>
      <c r="H483" s="159"/>
      <c r="I483" s="108">
        <f t="shared" si="438"/>
        <v>0</v>
      </c>
      <c r="J483" s="108">
        <f t="shared" si="439"/>
        <v>0</v>
      </c>
      <c r="K483" s="108">
        <f t="shared" si="440"/>
        <v>0</v>
      </c>
      <c r="L483" s="111" t="s">
        <v>1671</v>
      </c>
      <c r="Z483" s="100">
        <f t="shared" si="441"/>
        <v>0</v>
      </c>
      <c r="AB483" s="100">
        <f t="shared" si="442"/>
        <v>0</v>
      </c>
      <c r="AC483" s="100">
        <f t="shared" si="443"/>
        <v>0</v>
      </c>
      <c r="AD483" s="100">
        <f t="shared" si="444"/>
        <v>0</v>
      </c>
      <c r="AE483" s="100">
        <f t="shared" si="445"/>
        <v>0</v>
      </c>
      <c r="AF483" s="100">
        <f t="shared" si="446"/>
        <v>0</v>
      </c>
      <c r="AG483" s="100">
        <f t="shared" si="447"/>
        <v>0</v>
      </c>
      <c r="AH483" s="100">
        <f t="shared" si="448"/>
        <v>0</v>
      </c>
      <c r="AI483" s="109"/>
      <c r="AJ483" s="108">
        <f t="shared" si="449"/>
        <v>0</v>
      </c>
      <c r="AK483" s="108">
        <f t="shared" si="450"/>
        <v>0</v>
      </c>
      <c r="AL483" s="108">
        <f t="shared" si="451"/>
        <v>0</v>
      </c>
      <c r="AN483" s="100">
        <v>15</v>
      </c>
      <c r="AO483" s="100">
        <f>H483*0.31016318537859</f>
        <v>0</v>
      </c>
      <c r="AP483" s="100">
        <f>H483*(1-0.31016318537859)</f>
        <v>0</v>
      </c>
      <c r="AQ483" s="111" t="s">
        <v>13</v>
      </c>
      <c r="AV483" s="100">
        <f t="shared" si="452"/>
        <v>0</v>
      </c>
      <c r="AW483" s="100">
        <f t="shared" si="453"/>
        <v>0</v>
      </c>
      <c r="AX483" s="100">
        <f t="shared" si="454"/>
        <v>0</v>
      </c>
      <c r="AY483" s="110" t="s">
        <v>1715</v>
      </c>
      <c r="AZ483" s="110" t="s">
        <v>1734</v>
      </c>
      <c r="BA483" s="109" t="s">
        <v>1737</v>
      </c>
      <c r="BC483" s="100">
        <f t="shared" si="455"/>
        <v>0</v>
      </c>
      <c r="BD483" s="100">
        <f t="shared" si="456"/>
        <v>0</v>
      </c>
      <c r="BE483" s="100">
        <v>0</v>
      </c>
      <c r="BF483" s="100">
        <f>483</f>
        <v>483</v>
      </c>
      <c r="BH483" s="108">
        <f t="shared" si="457"/>
        <v>0</v>
      </c>
      <c r="BI483" s="108">
        <f t="shared" si="458"/>
        <v>0</v>
      </c>
      <c r="BJ483" s="108">
        <f t="shared" si="459"/>
        <v>0</v>
      </c>
    </row>
    <row r="484" spans="1:62" x14ac:dyDescent="0.2">
      <c r="A484" s="117" t="s">
        <v>440</v>
      </c>
      <c r="B484" s="117" t="s">
        <v>891</v>
      </c>
      <c r="C484" s="304" t="s">
        <v>1480</v>
      </c>
      <c r="D484" s="305"/>
      <c r="E484" s="305"/>
      <c r="F484" s="117" t="s">
        <v>1646</v>
      </c>
      <c r="G484" s="116">
        <v>184.5</v>
      </c>
      <c r="H484" s="159"/>
      <c r="I484" s="108">
        <f t="shared" si="438"/>
        <v>0</v>
      </c>
      <c r="J484" s="108">
        <f t="shared" si="439"/>
        <v>0</v>
      </c>
      <c r="K484" s="108">
        <f t="shared" si="440"/>
        <v>0</v>
      </c>
      <c r="L484" s="111" t="s">
        <v>1671</v>
      </c>
      <c r="Z484" s="100">
        <f t="shared" si="441"/>
        <v>0</v>
      </c>
      <c r="AB484" s="100">
        <f t="shared" si="442"/>
        <v>0</v>
      </c>
      <c r="AC484" s="100">
        <f t="shared" si="443"/>
        <v>0</v>
      </c>
      <c r="AD484" s="100">
        <f t="shared" si="444"/>
        <v>0</v>
      </c>
      <c r="AE484" s="100">
        <f t="shared" si="445"/>
        <v>0</v>
      </c>
      <c r="AF484" s="100">
        <f t="shared" si="446"/>
        <v>0</v>
      </c>
      <c r="AG484" s="100">
        <f t="shared" si="447"/>
        <v>0</v>
      </c>
      <c r="AH484" s="100">
        <f t="shared" si="448"/>
        <v>0</v>
      </c>
      <c r="AI484" s="109"/>
      <c r="AJ484" s="108">
        <f t="shared" si="449"/>
        <v>0</v>
      </c>
      <c r="AK484" s="108">
        <f t="shared" si="450"/>
        <v>0</v>
      </c>
      <c r="AL484" s="108">
        <f t="shared" si="451"/>
        <v>0</v>
      </c>
      <c r="AN484" s="100">
        <v>15</v>
      </c>
      <c r="AO484" s="100">
        <f>H484*0</f>
        <v>0</v>
      </c>
      <c r="AP484" s="100">
        <f>H484*(1-0)</f>
        <v>0</v>
      </c>
      <c r="AQ484" s="111" t="s">
        <v>13</v>
      </c>
      <c r="AV484" s="100">
        <f t="shared" si="452"/>
        <v>0</v>
      </c>
      <c r="AW484" s="100">
        <f t="shared" si="453"/>
        <v>0</v>
      </c>
      <c r="AX484" s="100">
        <f t="shared" si="454"/>
        <v>0</v>
      </c>
      <c r="AY484" s="110" t="s">
        <v>1715</v>
      </c>
      <c r="AZ484" s="110" t="s">
        <v>1734</v>
      </c>
      <c r="BA484" s="109" t="s">
        <v>1737</v>
      </c>
      <c r="BC484" s="100">
        <f t="shared" si="455"/>
        <v>0</v>
      </c>
      <c r="BD484" s="100">
        <f t="shared" si="456"/>
        <v>0</v>
      </c>
      <c r="BE484" s="100">
        <v>0</v>
      </c>
      <c r="BF484" s="100">
        <f>484</f>
        <v>484</v>
      </c>
      <c r="BH484" s="108">
        <f t="shared" si="457"/>
        <v>0</v>
      </c>
      <c r="BI484" s="108">
        <f t="shared" si="458"/>
        <v>0</v>
      </c>
      <c r="BJ484" s="108">
        <f t="shared" si="459"/>
        <v>0</v>
      </c>
    </row>
    <row r="485" spans="1:62" x14ac:dyDescent="0.2">
      <c r="A485" s="117" t="s">
        <v>441</v>
      </c>
      <c r="B485" s="117" t="s">
        <v>892</v>
      </c>
      <c r="C485" s="304" t="s">
        <v>1481</v>
      </c>
      <c r="D485" s="305"/>
      <c r="E485" s="305"/>
      <c r="F485" s="117" t="s">
        <v>1646</v>
      </c>
      <c r="G485" s="116">
        <v>70</v>
      </c>
      <c r="H485" s="159"/>
      <c r="I485" s="108">
        <f t="shared" si="438"/>
        <v>0</v>
      </c>
      <c r="J485" s="108">
        <f t="shared" si="439"/>
        <v>0</v>
      </c>
      <c r="K485" s="108">
        <f t="shared" si="440"/>
        <v>0</v>
      </c>
      <c r="L485" s="111" t="s">
        <v>1671</v>
      </c>
      <c r="Z485" s="100">
        <f t="shared" si="441"/>
        <v>0</v>
      </c>
      <c r="AB485" s="100">
        <f t="shared" si="442"/>
        <v>0</v>
      </c>
      <c r="AC485" s="100">
        <f t="shared" si="443"/>
        <v>0</v>
      </c>
      <c r="AD485" s="100">
        <f t="shared" si="444"/>
        <v>0</v>
      </c>
      <c r="AE485" s="100">
        <f t="shared" si="445"/>
        <v>0</v>
      </c>
      <c r="AF485" s="100">
        <f t="shared" si="446"/>
        <v>0</v>
      </c>
      <c r="AG485" s="100">
        <f t="shared" si="447"/>
        <v>0</v>
      </c>
      <c r="AH485" s="100">
        <f t="shared" si="448"/>
        <v>0</v>
      </c>
      <c r="AI485" s="109"/>
      <c r="AJ485" s="108">
        <f t="shared" si="449"/>
        <v>0</v>
      </c>
      <c r="AK485" s="108">
        <f t="shared" si="450"/>
        <v>0</v>
      </c>
      <c r="AL485" s="108">
        <f t="shared" si="451"/>
        <v>0</v>
      </c>
      <c r="AN485" s="100">
        <v>15</v>
      </c>
      <c r="AO485" s="100">
        <f>H485*0</f>
        <v>0</v>
      </c>
      <c r="AP485" s="100">
        <f>H485*(1-0)</f>
        <v>0</v>
      </c>
      <c r="AQ485" s="111" t="s">
        <v>13</v>
      </c>
      <c r="AV485" s="100">
        <f t="shared" si="452"/>
        <v>0</v>
      </c>
      <c r="AW485" s="100">
        <f t="shared" si="453"/>
        <v>0</v>
      </c>
      <c r="AX485" s="100">
        <f t="shared" si="454"/>
        <v>0</v>
      </c>
      <c r="AY485" s="110" t="s">
        <v>1715</v>
      </c>
      <c r="AZ485" s="110" t="s">
        <v>1734</v>
      </c>
      <c r="BA485" s="109" t="s">
        <v>1737</v>
      </c>
      <c r="BC485" s="100">
        <f t="shared" si="455"/>
        <v>0</v>
      </c>
      <c r="BD485" s="100">
        <f t="shared" si="456"/>
        <v>0</v>
      </c>
      <c r="BE485" s="100">
        <v>0</v>
      </c>
      <c r="BF485" s="100">
        <f>485</f>
        <v>485</v>
      </c>
      <c r="BH485" s="108">
        <f t="shared" si="457"/>
        <v>0</v>
      </c>
      <c r="BI485" s="108">
        <f t="shared" si="458"/>
        <v>0</v>
      </c>
      <c r="BJ485" s="108">
        <f t="shared" si="459"/>
        <v>0</v>
      </c>
    </row>
    <row r="486" spans="1:62" x14ac:dyDescent="0.2">
      <c r="A486" s="117" t="s">
        <v>442</v>
      </c>
      <c r="B486" s="117" t="s">
        <v>2316</v>
      </c>
      <c r="C486" s="304" t="s">
        <v>3448</v>
      </c>
      <c r="D486" s="305"/>
      <c r="E486" s="305"/>
      <c r="F486" s="117" t="s">
        <v>1646</v>
      </c>
      <c r="G486" s="116">
        <v>22</v>
      </c>
      <c r="H486" s="159"/>
      <c r="I486" s="108">
        <f t="shared" si="438"/>
        <v>0</v>
      </c>
      <c r="J486" s="108">
        <f t="shared" si="439"/>
        <v>0</v>
      </c>
      <c r="K486" s="108">
        <f t="shared" si="440"/>
        <v>0</v>
      </c>
      <c r="L486" s="111" t="s">
        <v>1671</v>
      </c>
      <c r="Z486" s="100">
        <f t="shared" si="441"/>
        <v>0</v>
      </c>
      <c r="AB486" s="100">
        <f t="shared" si="442"/>
        <v>0</v>
      </c>
      <c r="AC486" s="100">
        <f t="shared" si="443"/>
        <v>0</v>
      </c>
      <c r="AD486" s="100">
        <f t="shared" si="444"/>
        <v>0</v>
      </c>
      <c r="AE486" s="100">
        <f t="shared" si="445"/>
        <v>0</v>
      </c>
      <c r="AF486" s="100">
        <f t="shared" si="446"/>
        <v>0</v>
      </c>
      <c r="AG486" s="100">
        <f t="shared" si="447"/>
        <v>0</v>
      </c>
      <c r="AH486" s="100">
        <f t="shared" si="448"/>
        <v>0</v>
      </c>
      <c r="AI486" s="109"/>
      <c r="AJ486" s="108">
        <f t="shared" si="449"/>
        <v>0</v>
      </c>
      <c r="AK486" s="108">
        <f t="shared" si="450"/>
        <v>0</v>
      </c>
      <c r="AL486" s="108">
        <f t="shared" si="451"/>
        <v>0</v>
      </c>
      <c r="AN486" s="100">
        <v>15</v>
      </c>
      <c r="AO486" s="100">
        <f>H486*0.574751131221719</f>
        <v>0</v>
      </c>
      <c r="AP486" s="100">
        <f>H486*(1-0.574751131221719)</f>
        <v>0</v>
      </c>
      <c r="AQ486" s="111" t="s">
        <v>13</v>
      </c>
      <c r="AV486" s="100">
        <f t="shared" si="452"/>
        <v>0</v>
      </c>
      <c r="AW486" s="100">
        <f t="shared" si="453"/>
        <v>0</v>
      </c>
      <c r="AX486" s="100">
        <f t="shared" si="454"/>
        <v>0</v>
      </c>
      <c r="AY486" s="110" t="s">
        <v>1715</v>
      </c>
      <c r="AZ486" s="110" t="s">
        <v>1734</v>
      </c>
      <c r="BA486" s="109" t="s">
        <v>1737</v>
      </c>
      <c r="BC486" s="100">
        <f t="shared" si="455"/>
        <v>0</v>
      </c>
      <c r="BD486" s="100">
        <f t="shared" si="456"/>
        <v>0</v>
      </c>
      <c r="BE486" s="100">
        <v>0</v>
      </c>
      <c r="BF486" s="100">
        <f>486</f>
        <v>486</v>
      </c>
      <c r="BH486" s="108">
        <f t="shared" si="457"/>
        <v>0</v>
      </c>
      <c r="BI486" s="108">
        <f t="shared" si="458"/>
        <v>0</v>
      </c>
      <c r="BJ486" s="108">
        <f t="shared" si="459"/>
        <v>0</v>
      </c>
    </row>
    <row r="487" spans="1:62" x14ac:dyDescent="0.2">
      <c r="A487" s="117" t="s">
        <v>443</v>
      </c>
      <c r="B487" s="117" t="s">
        <v>893</v>
      </c>
      <c r="C487" s="304" t="s">
        <v>3447</v>
      </c>
      <c r="D487" s="305"/>
      <c r="E487" s="305"/>
      <c r="F487" s="117" t="s">
        <v>1646</v>
      </c>
      <c r="G487" s="116">
        <v>133</v>
      </c>
      <c r="H487" s="159"/>
      <c r="I487" s="108">
        <f t="shared" si="438"/>
        <v>0</v>
      </c>
      <c r="J487" s="108">
        <f t="shared" si="439"/>
        <v>0</v>
      </c>
      <c r="K487" s="108">
        <f t="shared" si="440"/>
        <v>0</v>
      </c>
      <c r="L487" s="111" t="s">
        <v>1671</v>
      </c>
      <c r="Z487" s="100">
        <f t="shared" si="441"/>
        <v>0</v>
      </c>
      <c r="AB487" s="100">
        <f t="shared" si="442"/>
        <v>0</v>
      </c>
      <c r="AC487" s="100">
        <f t="shared" si="443"/>
        <v>0</v>
      </c>
      <c r="AD487" s="100">
        <f t="shared" si="444"/>
        <v>0</v>
      </c>
      <c r="AE487" s="100">
        <f t="shared" si="445"/>
        <v>0</v>
      </c>
      <c r="AF487" s="100">
        <f t="shared" si="446"/>
        <v>0</v>
      </c>
      <c r="AG487" s="100">
        <f t="shared" si="447"/>
        <v>0</v>
      </c>
      <c r="AH487" s="100">
        <f t="shared" si="448"/>
        <v>0</v>
      </c>
      <c r="AI487" s="109"/>
      <c r="AJ487" s="108">
        <f t="shared" si="449"/>
        <v>0</v>
      </c>
      <c r="AK487" s="108">
        <f t="shared" si="450"/>
        <v>0</v>
      </c>
      <c r="AL487" s="108">
        <f t="shared" si="451"/>
        <v>0</v>
      </c>
      <c r="AN487" s="100">
        <v>15</v>
      </c>
      <c r="AO487" s="100">
        <f>H487*0.603371428571429</f>
        <v>0</v>
      </c>
      <c r="AP487" s="100">
        <f>H487*(1-0.603371428571429)</f>
        <v>0</v>
      </c>
      <c r="AQ487" s="111" t="s">
        <v>13</v>
      </c>
      <c r="AV487" s="100">
        <f t="shared" si="452"/>
        <v>0</v>
      </c>
      <c r="AW487" s="100">
        <f t="shared" si="453"/>
        <v>0</v>
      </c>
      <c r="AX487" s="100">
        <f t="shared" si="454"/>
        <v>0</v>
      </c>
      <c r="AY487" s="110" t="s">
        <v>1715</v>
      </c>
      <c r="AZ487" s="110" t="s">
        <v>1734</v>
      </c>
      <c r="BA487" s="109" t="s">
        <v>1737</v>
      </c>
      <c r="BC487" s="100">
        <f t="shared" si="455"/>
        <v>0</v>
      </c>
      <c r="BD487" s="100">
        <f t="shared" si="456"/>
        <v>0</v>
      </c>
      <c r="BE487" s="100">
        <v>0</v>
      </c>
      <c r="BF487" s="100">
        <f>487</f>
        <v>487</v>
      </c>
      <c r="BH487" s="108">
        <f t="shared" si="457"/>
        <v>0</v>
      </c>
      <c r="BI487" s="108">
        <f t="shared" si="458"/>
        <v>0</v>
      </c>
      <c r="BJ487" s="108">
        <f t="shared" si="459"/>
        <v>0</v>
      </c>
    </row>
    <row r="488" spans="1:62" x14ac:dyDescent="0.2">
      <c r="A488" s="117" t="s">
        <v>444</v>
      </c>
      <c r="B488" s="117" t="s">
        <v>2314</v>
      </c>
      <c r="C488" s="304" t="s">
        <v>3446</v>
      </c>
      <c r="D488" s="305"/>
      <c r="E488" s="305"/>
      <c r="F488" s="117" t="s">
        <v>1644</v>
      </c>
      <c r="G488" s="116">
        <v>2</v>
      </c>
      <c r="H488" s="159"/>
      <c r="I488" s="108">
        <f t="shared" si="438"/>
        <v>0</v>
      </c>
      <c r="J488" s="108">
        <f t="shared" si="439"/>
        <v>0</v>
      </c>
      <c r="K488" s="108">
        <f t="shared" si="440"/>
        <v>0</v>
      </c>
      <c r="L488" s="111" t="s">
        <v>1671</v>
      </c>
      <c r="Z488" s="100">
        <f t="shared" si="441"/>
        <v>0</v>
      </c>
      <c r="AB488" s="100">
        <f t="shared" si="442"/>
        <v>0</v>
      </c>
      <c r="AC488" s="100">
        <f t="shared" si="443"/>
        <v>0</v>
      </c>
      <c r="AD488" s="100">
        <f t="shared" si="444"/>
        <v>0</v>
      </c>
      <c r="AE488" s="100">
        <f t="shared" si="445"/>
        <v>0</v>
      </c>
      <c r="AF488" s="100">
        <f t="shared" si="446"/>
        <v>0</v>
      </c>
      <c r="AG488" s="100">
        <f t="shared" si="447"/>
        <v>0</v>
      </c>
      <c r="AH488" s="100">
        <f t="shared" si="448"/>
        <v>0</v>
      </c>
      <c r="AI488" s="109"/>
      <c r="AJ488" s="108">
        <f t="shared" si="449"/>
        <v>0</v>
      </c>
      <c r="AK488" s="108">
        <f t="shared" si="450"/>
        <v>0</v>
      </c>
      <c r="AL488" s="108">
        <f t="shared" si="451"/>
        <v>0</v>
      </c>
      <c r="AN488" s="100">
        <v>15</v>
      </c>
      <c r="AO488" s="100">
        <f>H488*0.464767726161369</f>
        <v>0</v>
      </c>
      <c r="AP488" s="100">
        <f>H488*(1-0.464767726161369)</f>
        <v>0</v>
      </c>
      <c r="AQ488" s="111" t="s">
        <v>13</v>
      </c>
      <c r="AV488" s="100">
        <f t="shared" si="452"/>
        <v>0</v>
      </c>
      <c r="AW488" s="100">
        <f t="shared" si="453"/>
        <v>0</v>
      </c>
      <c r="AX488" s="100">
        <f t="shared" si="454"/>
        <v>0</v>
      </c>
      <c r="AY488" s="110" t="s">
        <v>1715</v>
      </c>
      <c r="AZ488" s="110" t="s">
        <v>1734</v>
      </c>
      <c r="BA488" s="109" t="s">
        <v>1737</v>
      </c>
      <c r="BC488" s="100">
        <f t="shared" si="455"/>
        <v>0</v>
      </c>
      <c r="BD488" s="100">
        <f t="shared" si="456"/>
        <v>0</v>
      </c>
      <c r="BE488" s="100">
        <v>0</v>
      </c>
      <c r="BF488" s="100">
        <f>488</f>
        <v>488</v>
      </c>
      <c r="BH488" s="108">
        <f t="shared" si="457"/>
        <v>0</v>
      </c>
      <c r="BI488" s="108">
        <f t="shared" si="458"/>
        <v>0</v>
      </c>
      <c r="BJ488" s="108">
        <f t="shared" si="459"/>
        <v>0</v>
      </c>
    </row>
    <row r="489" spans="1:62" x14ac:dyDescent="0.2">
      <c r="A489" s="117" t="s">
        <v>445</v>
      </c>
      <c r="B489" s="117" t="s">
        <v>894</v>
      </c>
      <c r="C489" s="304" t="s">
        <v>1483</v>
      </c>
      <c r="D489" s="305"/>
      <c r="E489" s="305"/>
      <c r="F489" s="117" t="s">
        <v>1644</v>
      </c>
      <c r="G489" s="116">
        <v>12</v>
      </c>
      <c r="H489" s="159"/>
      <c r="I489" s="108">
        <f t="shared" si="438"/>
        <v>0</v>
      </c>
      <c r="J489" s="108">
        <f t="shared" si="439"/>
        <v>0</v>
      </c>
      <c r="K489" s="108">
        <f t="shared" si="440"/>
        <v>0</v>
      </c>
      <c r="L489" s="111" t="s">
        <v>1671</v>
      </c>
      <c r="Z489" s="100">
        <f t="shared" si="441"/>
        <v>0</v>
      </c>
      <c r="AB489" s="100">
        <f t="shared" si="442"/>
        <v>0</v>
      </c>
      <c r="AC489" s="100">
        <f t="shared" si="443"/>
        <v>0</v>
      </c>
      <c r="AD489" s="100">
        <f t="shared" si="444"/>
        <v>0</v>
      </c>
      <c r="AE489" s="100">
        <f t="shared" si="445"/>
        <v>0</v>
      </c>
      <c r="AF489" s="100">
        <f t="shared" si="446"/>
        <v>0</v>
      </c>
      <c r="AG489" s="100">
        <f t="shared" si="447"/>
        <v>0</v>
      </c>
      <c r="AH489" s="100">
        <f t="shared" si="448"/>
        <v>0</v>
      </c>
      <c r="AI489" s="109"/>
      <c r="AJ489" s="108">
        <f t="shared" si="449"/>
        <v>0</v>
      </c>
      <c r="AK489" s="108">
        <f t="shared" si="450"/>
        <v>0</v>
      </c>
      <c r="AL489" s="108">
        <f t="shared" si="451"/>
        <v>0</v>
      </c>
      <c r="AN489" s="100">
        <v>15</v>
      </c>
      <c r="AO489" s="100">
        <f>H489*0.568224852071006</f>
        <v>0</v>
      </c>
      <c r="AP489" s="100">
        <f>H489*(1-0.568224852071006)</f>
        <v>0</v>
      </c>
      <c r="AQ489" s="111" t="s">
        <v>13</v>
      </c>
      <c r="AV489" s="100">
        <f t="shared" si="452"/>
        <v>0</v>
      </c>
      <c r="AW489" s="100">
        <f t="shared" si="453"/>
        <v>0</v>
      </c>
      <c r="AX489" s="100">
        <f t="shared" si="454"/>
        <v>0</v>
      </c>
      <c r="AY489" s="110" t="s">
        <v>1715</v>
      </c>
      <c r="AZ489" s="110" t="s">
        <v>1734</v>
      </c>
      <c r="BA489" s="109" t="s">
        <v>1737</v>
      </c>
      <c r="BC489" s="100">
        <f t="shared" si="455"/>
        <v>0</v>
      </c>
      <c r="BD489" s="100">
        <f t="shared" si="456"/>
        <v>0</v>
      </c>
      <c r="BE489" s="100">
        <v>0</v>
      </c>
      <c r="BF489" s="100">
        <f>489</f>
        <v>489</v>
      </c>
      <c r="BH489" s="108">
        <f t="shared" si="457"/>
        <v>0</v>
      </c>
      <c r="BI489" s="108">
        <f t="shared" si="458"/>
        <v>0</v>
      </c>
      <c r="BJ489" s="108">
        <f t="shared" si="459"/>
        <v>0</v>
      </c>
    </row>
    <row r="490" spans="1:62" x14ac:dyDescent="0.2">
      <c r="A490" s="117" t="s">
        <v>446</v>
      </c>
      <c r="B490" s="117" t="s">
        <v>2312</v>
      </c>
      <c r="C490" s="304" t="s">
        <v>3445</v>
      </c>
      <c r="D490" s="305"/>
      <c r="E490" s="305"/>
      <c r="F490" s="117" t="s">
        <v>1646</v>
      </c>
      <c r="G490" s="116">
        <v>10</v>
      </c>
      <c r="H490" s="159"/>
      <c r="I490" s="108">
        <f t="shared" si="438"/>
        <v>0</v>
      </c>
      <c r="J490" s="108">
        <f t="shared" si="439"/>
        <v>0</v>
      </c>
      <c r="K490" s="108">
        <f t="shared" si="440"/>
        <v>0</v>
      </c>
      <c r="L490" s="111" t="s">
        <v>1671</v>
      </c>
      <c r="Z490" s="100">
        <f t="shared" si="441"/>
        <v>0</v>
      </c>
      <c r="AB490" s="100">
        <f t="shared" si="442"/>
        <v>0</v>
      </c>
      <c r="AC490" s="100">
        <f t="shared" si="443"/>
        <v>0</v>
      </c>
      <c r="AD490" s="100">
        <f t="shared" si="444"/>
        <v>0</v>
      </c>
      <c r="AE490" s="100">
        <f t="shared" si="445"/>
        <v>0</v>
      </c>
      <c r="AF490" s="100">
        <f t="shared" si="446"/>
        <v>0</v>
      </c>
      <c r="AG490" s="100">
        <f t="shared" si="447"/>
        <v>0</v>
      </c>
      <c r="AH490" s="100">
        <f t="shared" si="448"/>
        <v>0</v>
      </c>
      <c r="AI490" s="109"/>
      <c r="AJ490" s="108">
        <f t="shared" si="449"/>
        <v>0</v>
      </c>
      <c r="AK490" s="108">
        <f t="shared" si="450"/>
        <v>0</v>
      </c>
      <c r="AL490" s="108">
        <f t="shared" si="451"/>
        <v>0</v>
      </c>
      <c r="AN490" s="100">
        <v>15</v>
      </c>
      <c r="AO490" s="100">
        <f>H490*0.664928366762178</f>
        <v>0</v>
      </c>
      <c r="AP490" s="100">
        <f>H490*(1-0.664928366762178)</f>
        <v>0</v>
      </c>
      <c r="AQ490" s="111" t="s">
        <v>13</v>
      </c>
      <c r="AV490" s="100">
        <f t="shared" si="452"/>
        <v>0</v>
      </c>
      <c r="AW490" s="100">
        <f t="shared" si="453"/>
        <v>0</v>
      </c>
      <c r="AX490" s="100">
        <f t="shared" si="454"/>
        <v>0</v>
      </c>
      <c r="AY490" s="110" t="s">
        <v>1715</v>
      </c>
      <c r="AZ490" s="110" t="s">
        <v>1734</v>
      </c>
      <c r="BA490" s="109" t="s">
        <v>1737</v>
      </c>
      <c r="BC490" s="100">
        <f t="shared" si="455"/>
        <v>0</v>
      </c>
      <c r="BD490" s="100">
        <f t="shared" si="456"/>
        <v>0</v>
      </c>
      <c r="BE490" s="100">
        <v>0</v>
      </c>
      <c r="BF490" s="100">
        <f>490</f>
        <v>490</v>
      </c>
      <c r="BH490" s="108">
        <f t="shared" si="457"/>
        <v>0</v>
      </c>
      <c r="BI490" s="108">
        <f t="shared" si="458"/>
        <v>0</v>
      </c>
      <c r="BJ490" s="108">
        <f t="shared" si="459"/>
        <v>0</v>
      </c>
    </row>
    <row r="491" spans="1:62" x14ac:dyDescent="0.2">
      <c r="A491" s="117" t="s">
        <v>447</v>
      </c>
      <c r="B491" s="117" t="s">
        <v>895</v>
      </c>
      <c r="C491" s="304" t="s">
        <v>3444</v>
      </c>
      <c r="D491" s="305"/>
      <c r="E491" s="305"/>
      <c r="F491" s="117" t="s">
        <v>1646</v>
      </c>
      <c r="G491" s="116">
        <v>60</v>
      </c>
      <c r="H491" s="159"/>
      <c r="I491" s="108">
        <f t="shared" si="438"/>
        <v>0</v>
      </c>
      <c r="J491" s="108">
        <f t="shared" si="439"/>
        <v>0</v>
      </c>
      <c r="K491" s="108">
        <f t="shared" si="440"/>
        <v>0</v>
      </c>
      <c r="L491" s="111" t="s">
        <v>1671</v>
      </c>
      <c r="Z491" s="100">
        <f t="shared" si="441"/>
        <v>0</v>
      </c>
      <c r="AB491" s="100">
        <f t="shared" si="442"/>
        <v>0</v>
      </c>
      <c r="AC491" s="100">
        <f t="shared" si="443"/>
        <v>0</v>
      </c>
      <c r="AD491" s="100">
        <f t="shared" si="444"/>
        <v>0</v>
      </c>
      <c r="AE491" s="100">
        <f t="shared" si="445"/>
        <v>0</v>
      </c>
      <c r="AF491" s="100">
        <f t="shared" si="446"/>
        <v>0</v>
      </c>
      <c r="AG491" s="100">
        <f t="shared" si="447"/>
        <v>0</v>
      </c>
      <c r="AH491" s="100">
        <f t="shared" si="448"/>
        <v>0</v>
      </c>
      <c r="AI491" s="109"/>
      <c r="AJ491" s="108">
        <f t="shared" si="449"/>
        <v>0</v>
      </c>
      <c r="AK491" s="108">
        <f t="shared" si="450"/>
        <v>0</v>
      </c>
      <c r="AL491" s="108">
        <f t="shared" si="451"/>
        <v>0</v>
      </c>
      <c r="AN491" s="100">
        <v>15</v>
      </c>
      <c r="AO491" s="100">
        <f>H491*0.772046783625731</f>
        <v>0</v>
      </c>
      <c r="AP491" s="100">
        <f>H491*(1-0.772046783625731)</f>
        <v>0</v>
      </c>
      <c r="AQ491" s="111" t="s">
        <v>13</v>
      </c>
      <c r="AV491" s="100">
        <f t="shared" si="452"/>
        <v>0</v>
      </c>
      <c r="AW491" s="100">
        <f t="shared" si="453"/>
        <v>0</v>
      </c>
      <c r="AX491" s="100">
        <f t="shared" si="454"/>
        <v>0</v>
      </c>
      <c r="AY491" s="110" t="s">
        <v>1715</v>
      </c>
      <c r="AZ491" s="110" t="s">
        <v>1734</v>
      </c>
      <c r="BA491" s="109" t="s">
        <v>1737</v>
      </c>
      <c r="BC491" s="100">
        <f t="shared" si="455"/>
        <v>0</v>
      </c>
      <c r="BD491" s="100">
        <f t="shared" si="456"/>
        <v>0</v>
      </c>
      <c r="BE491" s="100">
        <v>0</v>
      </c>
      <c r="BF491" s="100">
        <f>491</f>
        <v>491</v>
      </c>
      <c r="BH491" s="108">
        <f t="shared" si="457"/>
        <v>0</v>
      </c>
      <c r="BI491" s="108">
        <f t="shared" si="458"/>
        <v>0</v>
      </c>
      <c r="BJ491" s="108">
        <f t="shared" si="459"/>
        <v>0</v>
      </c>
    </row>
    <row r="492" spans="1:62" x14ac:dyDescent="0.2">
      <c r="A492" s="117" t="s">
        <v>448</v>
      </c>
      <c r="B492" s="117" t="s">
        <v>3443</v>
      </c>
      <c r="C492" s="304" t="s">
        <v>3442</v>
      </c>
      <c r="D492" s="305"/>
      <c r="E492" s="305"/>
      <c r="F492" s="117" t="s">
        <v>1646</v>
      </c>
      <c r="G492" s="116">
        <v>6</v>
      </c>
      <c r="H492" s="159"/>
      <c r="I492" s="108">
        <f t="shared" si="438"/>
        <v>0</v>
      </c>
      <c r="J492" s="108">
        <f t="shared" si="439"/>
        <v>0</v>
      </c>
      <c r="K492" s="108">
        <f t="shared" si="440"/>
        <v>0</v>
      </c>
      <c r="L492" s="111" t="s">
        <v>1671</v>
      </c>
      <c r="Z492" s="100">
        <f t="shared" si="441"/>
        <v>0</v>
      </c>
      <c r="AB492" s="100">
        <f t="shared" si="442"/>
        <v>0</v>
      </c>
      <c r="AC492" s="100">
        <f t="shared" si="443"/>
        <v>0</v>
      </c>
      <c r="AD492" s="100">
        <f t="shared" si="444"/>
        <v>0</v>
      </c>
      <c r="AE492" s="100">
        <f t="shared" si="445"/>
        <v>0</v>
      </c>
      <c r="AF492" s="100">
        <f t="shared" si="446"/>
        <v>0</v>
      </c>
      <c r="AG492" s="100">
        <f t="shared" si="447"/>
        <v>0</v>
      </c>
      <c r="AH492" s="100">
        <f t="shared" si="448"/>
        <v>0</v>
      </c>
      <c r="AI492" s="109"/>
      <c r="AJ492" s="108">
        <f t="shared" si="449"/>
        <v>0</v>
      </c>
      <c r="AK492" s="108">
        <f t="shared" si="450"/>
        <v>0</v>
      </c>
      <c r="AL492" s="108">
        <f t="shared" si="451"/>
        <v>0</v>
      </c>
      <c r="AN492" s="100">
        <v>15</v>
      </c>
      <c r="AO492" s="100">
        <f>H492*0.816371308016878</f>
        <v>0</v>
      </c>
      <c r="AP492" s="100">
        <f>H492*(1-0.816371308016878)</f>
        <v>0</v>
      </c>
      <c r="AQ492" s="111" t="s">
        <v>13</v>
      </c>
      <c r="AV492" s="100">
        <f t="shared" si="452"/>
        <v>0</v>
      </c>
      <c r="AW492" s="100">
        <f t="shared" si="453"/>
        <v>0</v>
      </c>
      <c r="AX492" s="100">
        <f t="shared" si="454"/>
        <v>0</v>
      </c>
      <c r="AY492" s="110" t="s">
        <v>1715</v>
      </c>
      <c r="AZ492" s="110" t="s">
        <v>1734</v>
      </c>
      <c r="BA492" s="109" t="s">
        <v>1737</v>
      </c>
      <c r="BC492" s="100">
        <f t="shared" si="455"/>
        <v>0</v>
      </c>
      <c r="BD492" s="100">
        <f t="shared" si="456"/>
        <v>0</v>
      </c>
      <c r="BE492" s="100">
        <v>0</v>
      </c>
      <c r="BF492" s="100">
        <f>492</f>
        <v>492</v>
      </c>
      <c r="BH492" s="108">
        <f t="shared" si="457"/>
        <v>0</v>
      </c>
      <c r="BI492" s="108">
        <f t="shared" si="458"/>
        <v>0</v>
      </c>
      <c r="BJ492" s="108">
        <f t="shared" si="459"/>
        <v>0</v>
      </c>
    </row>
    <row r="493" spans="1:62" x14ac:dyDescent="0.2">
      <c r="A493" s="117" t="s">
        <v>449</v>
      </c>
      <c r="B493" s="117" t="s">
        <v>3441</v>
      </c>
      <c r="C493" s="304" t="s">
        <v>3440</v>
      </c>
      <c r="D493" s="305"/>
      <c r="E493" s="305"/>
      <c r="F493" s="117" t="s">
        <v>1646</v>
      </c>
      <c r="G493" s="116">
        <v>22</v>
      </c>
      <c r="H493" s="159"/>
      <c r="I493" s="108">
        <f t="shared" si="438"/>
        <v>0</v>
      </c>
      <c r="J493" s="108">
        <f t="shared" si="439"/>
        <v>0</v>
      </c>
      <c r="K493" s="108">
        <f t="shared" si="440"/>
        <v>0</v>
      </c>
      <c r="L493" s="111" t="s">
        <v>1671</v>
      </c>
      <c r="Z493" s="100">
        <f t="shared" si="441"/>
        <v>0</v>
      </c>
      <c r="AB493" s="100">
        <f t="shared" si="442"/>
        <v>0</v>
      </c>
      <c r="AC493" s="100">
        <f t="shared" si="443"/>
        <v>0</v>
      </c>
      <c r="AD493" s="100">
        <f t="shared" si="444"/>
        <v>0</v>
      </c>
      <c r="AE493" s="100">
        <f t="shared" si="445"/>
        <v>0</v>
      </c>
      <c r="AF493" s="100">
        <f t="shared" si="446"/>
        <v>0</v>
      </c>
      <c r="AG493" s="100">
        <f t="shared" si="447"/>
        <v>0</v>
      </c>
      <c r="AH493" s="100">
        <f t="shared" si="448"/>
        <v>0</v>
      </c>
      <c r="AI493" s="109"/>
      <c r="AJ493" s="108">
        <f t="shared" si="449"/>
        <v>0</v>
      </c>
      <c r="AK493" s="108">
        <f t="shared" si="450"/>
        <v>0</v>
      </c>
      <c r="AL493" s="108">
        <f t="shared" si="451"/>
        <v>0</v>
      </c>
      <c r="AN493" s="100">
        <v>15</v>
      </c>
      <c r="AO493" s="100">
        <f>H493*0.81631679389313</f>
        <v>0</v>
      </c>
      <c r="AP493" s="100">
        <f>H493*(1-0.81631679389313)</f>
        <v>0</v>
      </c>
      <c r="AQ493" s="111" t="s">
        <v>13</v>
      </c>
      <c r="AV493" s="100">
        <f t="shared" si="452"/>
        <v>0</v>
      </c>
      <c r="AW493" s="100">
        <f t="shared" si="453"/>
        <v>0</v>
      </c>
      <c r="AX493" s="100">
        <f t="shared" si="454"/>
        <v>0</v>
      </c>
      <c r="AY493" s="110" t="s">
        <v>1715</v>
      </c>
      <c r="AZ493" s="110" t="s">
        <v>1734</v>
      </c>
      <c r="BA493" s="109" t="s">
        <v>1737</v>
      </c>
      <c r="BC493" s="100">
        <f t="shared" si="455"/>
        <v>0</v>
      </c>
      <c r="BD493" s="100">
        <f t="shared" si="456"/>
        <v>0</v>
      </c>
      <c r="BE493" s="100">
        <v>0</v>
      </c>
      <c r="BF493" s="100">
        <f>493</f>
        <v>493</v>
      </c>
      <c r="BH493" s="108">
        <f t="shared" si="457"/>
        <v>0</v>
      </c>
      <c r="BI493" s="108">
        <f t="shared" si="458"/>
        <v>0</v>
      </c>
      <c r="BJ493" s="108">
        <f t="shared" si="459"/>
        <v>0</v>
      </c>
    </row>
    <row r="494" spans="1:62" x14ac:dyDescent="0.2">
      <c r="A494" s="117" t="s">
        <v>450</v>
      </c>
      <c r="B494" s="117" t="s">
        <v>896</v>
      </c>
      <c r="C494" s="304" t="s">
        <v>3439</v>
      </c>
      <c r="D494" s="305"/>
      <c r="E494" s="305"/>
      <c r="F494" s="117" t="s">
        <v>1646</v>
      </c>
      <c r="G494" s="116">
        <v>6</v>
      </c>
      <c r="H494" s="159"/>
      <c r="I494" s="108">
        <f t="shared" si="438"/>
        <v>0</v>
      </c>
      <c r="J494" s="108">
        <f t="shared" si="439"/>
        <v>0</v>
      </c>
      <c r="K494" s="108">
        <f t="shared" si="440"/>
        <v>0</v>
      </c>
      <c r="L494" s="111" t="s">
        <v>1671</v>
      </c>
      <c r="Z494" s="100">
        <f t="shared" si="441"/>
        <v>0</v>
      </c>
      <c r="AB494" s="100">
        <f t="shared" si="442"/>
        <v>0</v>
      </c>
      <c r="AC494" s="100">
        <f t="shared" si="443"/>
        <v>0</v>
      </c>
      <c r="AD494" s="100">
        <f t="shared" si="444"/>
        <v>0</v>
      </c>
      <c r="AE494" s="100">
        <f t="shared" si="445"/>
        <v>0</v>
      </c>
      <c r="AF494" s="100">
        <f t="shared" si="446"/>
        <v>0</v>
      </c>
      <c r="AG494" s="100">
        <f t="shared" si="447"/>
        <v>0</v>
      </c>
      <c r="AH494" s="100">
        <f t="shared" si="448"/>
        <v>0</v>
      </c>
      <c r="AI494" s="109"/>
      <c r="AJ494" s="108">
        <f t="shared" si="449"/>
        <v>0</v>
      </c>
      <c r="AK494" s="108">
        <f t="shared" si="450"/>
        <v>0</v>
      </c>
      <c r="AL494" s="108">
        <f t="shared" si="451"/>
        <v>0</v>
      </c>
      <c r="AN494" s="100">
        <v>15</v>
      </c>
      <c r="AO494" s="100">
        <f>H494*0.816326164874552</f>
        <v>0</v>
      </c>
      <c r="AP494" s="100">
        <f>H494*(1-0.816326164874552)</f>
        <v>0</v>
      </c>
      <c r="AQ494" s="111" t="s">
        <v>13</v>
      </c>
      <c r="AV494" s="100">
        <f t="shared" si="452"/>
        <v>0</v>
      </c>
      <c r="AW494" s="100">
        <f t="shared" si="453"/>
        <v>0</v>
      </c>
      <c r="AX494" s="100">
        <f t="shared" si="454"/>
        <v>0</v>
      </c>
      <c r="AY494" s="110" t="s">
        <v>1715</v>
      </c>
      <c r="AZ494" s="110" t="s">
        <v>1734</v>
      </c>
      <c r="BA494" s="109" t="s">
        <v>1737</v>
      </c>
      <c r="BC494" s="100">
        <f t="shared" si="455"/>
        <v>0</v>
      </c>
      <c r="BD494" s="100">
        <f t="shared" si="456"/>
        <v>0</v>
      </c>
      <c r="BE494" s="100">
        <v>0</v>
      </c>
      <c r="BF494" s="100">
        <f>494</f>
        <v>494</v>
      </c>
      <c r="BH494" s="108">
        <f t="shared" si="457"/>
        <v>0</v>
      </c>
      <c r="BI494" s="108">
        <f t="shared" si="458"/>
        <v>0</v>
      </c>
      <c r="BJ494" s="108">
        <f t="shared" si="459"/>
        <v>0</v>
      </c>
    </row>
    <row r="495" spans="1:62" x14ac:dyDescent="0.2">
      <c r="A495" s="117" t="s">
        <v>451</v>
      </c>
      <c r="B495" s="117" t="s">
        <v>898</v>
      </c>
      <c r="C495" s="304" t="s">
        <v>3438</v>
      </c>
      <c r="D495" s="305"/>
      <c r="E495" s="305"/>
      <c r="F495" s="117" t="s">
        <v>1646</v>
      </c>
      <c r="G495" s="116">
        <v>6</v>
      </c>
      <c r="H495" s="159"/>
      <c r="I495" s="108">
        <f t="shared" si="438"/>
        <v>0</v>
      </c>
      <c r="J495" s="108">
        <f t="shared" si="439"/>
        <v>0</v>
      </c>
      <c r="K495" s="108">
        <f t="shared" si="440"/>
        <v>0</v>
      </c>
      <c r="L495" s="111" t="s">
        <v>1671</v>
      </c>
      <c r="Z495" s="100">
        <f t="shared" si="441"/>
        <v>0</v>
      </c>
      <c r="AB495" s="100">
        <f t="shared" si="442"/>
        <v>0</v>
      </c>
      <c r="AC495" s="100">
        <f t="shared" si="443"/>
        <v>0</v>
      </c>
      <c r="AD495" s="100">
        <f t="shared" si="444"/>
        <v>0</v>
      </c>
      <c r="AE495" s="100">
        <f t="shared" si="445"/>
        <v>0</v>
      </c>
      <c r="AF495" s="100">
        <f t="shared" si="446"/>
        <v>0</v>
      </c>
      <c r="AG495" s="100">
        <f t="shared" si="447"/>
        <v>0</v>
      </c>
      <c r="AH495" s="100">
        <f t="shared" si="448"/>
        <v>0</v>
      </c>
      <c r="AI495" s="109"/>
      <c r="AJ495" s="108">
        <f t="shared" si="449"/>
        <v>0</v>
      </c>
      <c r="AK495" s="108">
        <f t="shared" si="450"/>
        <v>0</v>
      </c>
      <c r="AL495" s="108">
        <f t="shared" si="451"/>
        <v>0</v>
      </c>
      <c r="AN495" s="100">
        <v>15</v>
      </c>
      <c r="AO495" s="100">
        <f>H495*0.816330128205128</f>
        <v>0</v>
      </c>
      <c r="AP495" s="100">
        <f>H495*(1-0.816330128205128)</f>
        <v>0</v>
      </c>
      <c r="AQ495" s="111" t="s">
        <v>13</v>
      </c>
      <c r="AV495" s="100">
        <f t="shared" si="452"/>
        <v>0</v>
      </c>
      <c r="AW495" s="100">
        <f t="shared" si="453"/>
        <v>0</v>
      </c>
      <c r="AX495" s="100">
        <f t="shared" si="454"/>
        <v>0</v>
      </c>
      <c r="AY495" s="110" t="s">
        <v>1715</v>
      </c>
      <c r="AZ495" s="110" t="s">
        <v>1734</v>
      </c>
      <c r="BA495" s="109" t="s">
        <v>1737</v>
      </c>
      <c r="BC495" s="100">
        <f t="shared" si="455"/>
        <v>0</v>
      </c>
      <c r="BD495" s="100">
        <f t="shared" si="456"/>
        <v>0</v>
      </c>
      <c r="BE495" s="100">
        <v>0</v>
      </c>
      <c r="BF495" s="100">
        <f>495</f>
        <v>495</v>
      </c>
      <c r="BH495" s="108">
        <f t="shared" si="457"/>
        <v>0</v>
      </c>
      <c r="BI495" s="108">
        <f t="shared" si="458"/>
        <v>0</v>
      </c>
      <c r="BJ495" s="108">
        <f t="shared" si="459"/>
        <v>0</v>
      </c>
    </row>
    <row r="496" spans="1:62" x14ac:dyDescent="0.2">
      <c r="A496" s="117" t="s">
        <v>452</v>
      </c>
      <c r="B496" s="117" t="s">
        <v>899</v>
      </c>
      <c r="C496" s="304" t="s">
        <v>3437</v>
      </c>
      <c r="D496" s="305"/>
      <c r="E496" s="305"/>
      <c r="F496" s="117" t="s">
        <v>1646</v>
      </c>
      <c r="G496" s="116">
        <v>75</v>
      </c>
      <c r="H496" s="159"/>
      <c r="I496" s="108">
        <f t="shared" si="438"/>
        <v>0</v>
      </c>
      <c r="J496" s="108">
        <f t="shared" si="439"/>
        <v>0</v>
      </c>
      <c r="K496" s="108">
        <f t="shared" si="440"/>
        <v>0</v>
      </c>
      <c r="L496" s="111" t="s">
        <v>1671</v>
      </c>
      <c r="Z496" s="100">
        <f t="shared" si="441"/>
        <v>0</v>
      </c>
      <c r="AB496" s="100">
        <f t="shared" si="442"/>
        <v>0</v>
      </c>
      <c r="AC496" s="100">
        <f t="shared" si="443"/>
        <v>0</v>
      </c>
      <c r="AD496" s="100">
        <f t="shared" si="444"/>
        <v>0</v>
      </c>
      <c r="AE496" s="100">
        <f t="shared" si="445"/>
        <v>0</v>
      </c>
      <c r="AF496" s="100">
        <f t="shared" si="446"/>
        <v>0</v>
      </c>
      <c r="AG496" s="100">
        <f t="shared" si="447"/>
        <v>0</v>
      </c>
      <c r="AH496" s="100">
        <f t="shared" si="448"/>
        <v>0</v>
      </c>
      <c r="AI496" s="109"/>
      <c r="AJ496" s="108">
        <f t="shared" si="449"/>
        <v>0</v>
      </c>
      <c r="AK496" s="108">
        <f t="shared" si="450"/>
        <v>0</v>
      </c>
      <c r="AL496" s="108">
        <f t="shared" si="451"/>
        <v>0</v>
      </c>
      <c r="AN496" s="100">
        <v>15</v>
      </c>
      <c r="AO496" s="100">
        <f>H496*0.857614814814815</f>
        <v>0</v>
      </c>
      <c r="AP496" s="100">
        <f>H496*(1-0.857614814814815)</f>
        <v>0</v>
      </c>
      <c r="AQ496" s="111" t="s">
        <v>13</v>
      </c>
      <c r="AV496" s="100">
        <f t="shared" si="452"/>
        <v>0</v>
      </c>
      <c r="AW496" s="100">
        <f t="shared" si="453"/>
        <v>0</v>
      </c>
      <c r="AX496" s="100">
        <f t="shared" si="454"/>
        <v>0</v>
      </c>
      <c r="AY496" s="110" t="s">
        <v>1715</v>
      </c>
      <c r="AZ496" s="110" t="s">
        <v>1734</v>
      </c>
      <c r="BA496" s="109" t="s">
        <v>1737</v>
      </c>
      <c r="BC496" s="100">
        <f t="shared" si="455"/>
        <v>0</v>
      </c>
      <c r="BD496" s="100">
        <f t="shared" si="456"/>
        <v>0</v>
      </c>
      <c r="BE496" s="100">
        <v>0</v>
      </c>
      <c r="BF496" s="100">
        <f>496</f>
        <v>496</v>
      </c>
      <c r="BH496" s="108">
        <f t="shared" si="457"/>
        <v>0</v>
      </c>
      <c r="BI496" s="108">
        <f t="shared" si="458"/>
        <v>0</v>
      </c>
      <c r="BJ496" s="108">
        <f t="shared" si="459"/>
        <v>0</v>
      </c>
    </row>
    <row r="497" spans="1:62" x14ac:dyDescent="0.2">
      <c r="A497" s="117" t="s">
        <v>453</v>
      </c>
      <c r="B497" s="117" t="s">
        <v>900</v>
      </c>
      <c r="C497" s="304" t="s">
        <v>1489</v>
      </c>
      <c r="D497" s="305"/>
      <c r="E497" s="305"/>
      <c r="F497" s="117" t="s">
        <v>1646</v>
      </c>
      <c r="G497" s="116">
        <v>75</v>
      </c>
      <c r="H497" s="159"/>
      <c r="I497" s="108">
        <f t="shared" si="438"/>
        <v>0</v>
      </c>
      <c r="J497" s="108">
        <f t="shared" si="439"/>
        <v>0</v>
      </c>
      <c r="K497" s="108">
        <f t="shared" si="440"/>
        <v>0</v>
      </c>
      <c r="L497" s="111" t="s">
        <v>1671</v>
      </c>
      <c r="Z497" s="100">
        <f t="shared" si="441"/>
        <v>0</v>
      </c>
      <c r="AB497" s="100">
        <f t="shared" si="442"/>
        <v>0</v>
      </c>
      <c r="AC497" s="100">
        <f t="shared" si="443"/>
        <v>0</v>
      </c>
      <c r="AD497" s="100">
        <f t="shared" si="444"/>
        <v>0</v>
      </c>
      <c r="AE497" s="100">
        <f t="shared" si="445"/>
        <v>0</v>
      </c>
      <c r="AF497" s="100">
        <f t="shared" si="446"/>
        <v>0</v>
      </c>
      <c r="AG497" s="100">
        <f t="shared" si="447"/>
        <v>0</v>
      </c>
      <c r="AH497" s="100">
        <f t="shared" si="448"/>
        <v>0</v>
      </c>
      <c r="AI497" s="109"/>
      <c r="AJ497" s="108">
        <f t="shared" si="449"/>
        <v>0</v>
      </c>
      <c r="AK497" s="108">
        <f t="shared" si="450"/>
        <v>0</v>
      </c>
      <c r="AL497" s="108">
        <f t="shared" si="451"/>
        <v>0</v>
      </c>
      <c r="AN497" s="100">
        <v>15</v>
      </c>
      <c r="AO497" s="100">
        <f>H497*0.417402597402597</f>
        <v>0</v>
      </c>
      <c r="AP497" s="100">
        <f>H497*(1-0.417402597402597)</f>
        <v>0</v>
      </c>
      <c r="AQ497" s="111" t="s">
        <v>13</v>
      </c>
      <c r="AV497" s="100">
        <f t="shared" si="452"/>
        <v>0</v>
      </c>
      <c r="AW497" s="100">
        <f t="shared" si="453"/>
        <v>0</v>
      </c>
      <c r="AX497" s="100">
        <f t="shared" si="454"/>
        <v>0</v>
      </c>
      <c r="AY497" s="110" t="s">
        <v>1715</v>
      </c>
      <c r="AZ497" s="110" t="s">
        <v>1734</v>
      </c>
      <c r="BA497" s="109" t="s">
        <v>1737</v>
      </c>
      <c r="BC497" s="100">
        <f t="shared" si="455"/>
        <v>0</v>
      </c>
      <c r="BD497" s="100">
        <f t="shared" si="456"/>
        <v>0</v>
      </c>
      <c r="BE497" s="100">
        <v>0</v>
      </c>
      <c r="BF497" s="100">
        <f>497</f>
        <v>497</v>
      </c>
      <c r="BH497" s="108">
        <f t="shared" si="457"/>
        <v>0</v>
      </c>
      <c r="BI497" s="108">
        <f t="shared" si="458"/>
        <v>0</v>
      </c>
      <c r="BJ497" s="108">
        <f t="shared" si="459"/>
        <v>0</v>
      </c>
    </row>
    <row r="498" spans="1:62" x14ac:dyDescent="0.2">
      <c r="A498" s="117" t="s">
        <v>454</v>
      </c>
      <c r="B498" s="117" t="s">
        <v>901</v>
      </c>
      <c r="C498" s="304" t="s">
        <v>1490</v>
      </c>
      <c r="D498" s="305"/>
      <c r="E498" s="305"/>
      <c r="F498" s="117" t="s">
        <v>1646</v>
      </c>
      <c r="G498" s="116">
        <v>155</v>
      </c>
      <c r="H498" s="159"/>
      <c r="I498" s="108">
        <f t="shared" si="438"/>
        <v>0</v>
      </c>
      <c r="J498" s="108">
        <f t="shared" si="439"/>
        <v>0</v>
      </c>
      <c r="K498" s="108">
        <f t="shared" si="440"/>
        <v>0</v>
      </c>
      <c r="L498" s="111" t="s">
        <v>1671</v>
      </c>
      <c r="Z498" s="100">
        <f t="shared" si="441"/>
        <v>0</v>
      </c>
      <c r="AB498" s="100">
        <f t="shared" si="442"/>
        <v>0</v>
      </c>
      <c r="AC498" s="100">
        <f t="shared" si="443"/>
        <v>0</v>
      </c>
      <c r="AD498" s="100">
        <f t="shared" si="444"/>
        <v>0</v>
      </c>
      <c r="AE498" s="100">
        <f t="shared" si="445"/>
        <v>0</v>
      </c>
      <c r="AF498" s="100">
        <f t="shared" si="446"/>
        <v>0</v>
      </c>
      <c r="AG498" s="100">
        <f t="shared" si="447"/>
        <v>0</v>
      </c>
      <c r="AH498" s="100">
        <f t="shared" si="448"/>
        <v>0</v>
      </c>
      <c r="AI498" s="109"/>
      <c r="AJ498" s="108">
        <f t="shared" si="449"/>
        <v>0</v>
      </c>
      <c r="AK498" s="108">
        <f t="shared" si="450"/>
        <v>0</v>
      </c>
      <c r="AL498" s="108">
        <f t="shared" si="451"/>
        <v>0</v>
      </c>
      <c r="AN498" s="100">
        <v>15</v>
      </c>
      <c r="AO498" s="100">
        <f>H498*0.41738255033557</f>
        <v>0</v>
      </c>
      <c r="AP498" s="100">
        <f>H498*(1-0.41738255033557)</f>
        <v>0</v>
      </c>
      <c r="AQ498" s="111" t="s">
        <v>13</v>
      </c>
      <c r="AV498" s="100">
        <f t="shared" si="452"/>
        <v>0</v>
      </c>
      <c r="AW498" s="100">
        <f t="shared" si="453"/>
        <v>0</v>
      </c>
      <c r="AX498" s="100">
        <f t="shared" si="454"/>
        <v>0</v>
      </c>
      <c r="AY498" s="110" t="s">
        <v>1715</v>
      </c>
      <c r="AZ498" s="110" t="s">
        <v>1734</v>
      </c>
      <c r="BA498" s="109" t="s">
        <v>1737</v>
      </c>
      <c r="BC498" s="100">
        <f t="shared" si="455"/>
        <v>0</v>
      </c>
      <c r="BD498" s="100">
        <f t="shared" si="456"/>
        <v>0</v>
      </c>
      <c r="BE498" s="100">
        <v>0</v>
      </c>
      <c r="BF498" s="100">
        <f>498</f>
        <v>498</v>
      </c>
      <c r="BH498" s="108">
        <f t="shared" si="457"/>
        <v>0</v>
      </c>
      <c r="BI498" s="108">
        <f t="shared" si="458"/>
        <v>0</v>
      </c>
      <c r="BJ498" s="108">
        <f t="shared" si="459"/>
        <v>0</v>
      </c>
    </row>
    <row r="499" spans="1:62" x14ac:dyDescent="0.2">
      <c r="A499" s="117" t="s">
        <v>455</v>
      </c>
      <c r="B499" s="117" t="s">
        <v>902</v>
      </c>
      <c r="C499" s="304" t="s">
        <v>1491</v>
      </c>
      <c r="D499" s="305"/>
      <c r="E499" s="305"/>
      <c r="F499" s="117" t="s">
        <v>1648</v>
      </c>
      <c r="G499" s="116">
        <v>11.91</v>
      </c>
      <c r="H499" s="159"/>
      <c r="I499" s="108">
        <f t="shared" si="438"/>
        <v>0</v>
      </c>
      <c r="J499" s="108">
        <f t="shared" si="439"/>
        <v>0</v>
      </c>
      <c r="K499" s="108">
        <f t="shared" si="440"/>
        <v>0</v>
      </c>
      <c r="L499" s="111" t="s">
        <v>1671</v>
      </c>
      <c r="Z499" s="100">
        <f t="shared" si="441"/>
        <v>0</v>
      </c>
      <c r="AB499" s="100">
        <f t="shared" si="442"/>
        <v>0</v>
      </c>
      <c r="AC499" s="100">
        <f t="shared" si="443"/>
        <v>0</v>
      </c>
      <c r="AD499" s="100">
        <f t="shared" si="444"/>
        <v>0</v>
      </c>
      <c r="AE499" s="100">
        <f t="shared" si="445"/>
        <v>0</v>
      </c>
      <c r="AF499" s="100">
        <f t="shared" si="446"/>
        <v>0</v>
      </c>
      <c r="AG499" s="100">
        <f t="shared" si="447"/>
        <v>0</v>
      </c>
      <c r="AH499" s="100">
        <f t="shared" si="448"/>
        <v>0</v>
      </c>
      <c r="AI499" s="109"/>
      <c r="AJ499" s="108">
        <f t="shared" si="449"/>
        <v>0</v>
      </c>
      <c r="AK499" s="108">
        <f t="shared" si="450"/>
        <v>0</v>
      </c>
      <c r="AL499" s="108">
        <f t="shared" si="451"/>
        <v>0</v>
      </c>
      <c r="AN499" s="100">
        <v>15</v>
      </c>
      <c r="AO499" s="100">
        <f>H499*0</f>
        <v>0</v>
      </c>
      <c r="AP499" s="100">
        <f>H499*(1-0)</f>
        <v>0</v>
      </c>
      <c r="AQ499" s="111" t="s">
        <v>11</v>
      </c>
      <c r="AV499" s="100">
        <f t="shared" si="452"/>
        <v>0</v>
      </c>
      <c r="AW499" s="100">
        <f t="shared" si="453"/>
        <v>0</v>
      </c>
      <c r="AX499" s="100">
        <f t="shared" si="454"/>
        <v>0</v>
      </c>
      <c r="AY499" s="110" t="s">
        <v>1715</v>
      </c>
      <c r="AZ499" s="110" t="s">
        <v>1734</v>
      </c>
      <c r="BA499" s="109" t="s">
        <v>1737</v>
      </c>
      <c r="BC499" s="100">
        <f t="shared" si="455"/>
        <v>0</v>
      </c>
      <c r="BD499" s="100">
        <f t="shared" si="456"/>
        <v>0</v>
      </c>
      <c r="BE499" s="100">
        <v>0</v>
      </c>
      <c r="BF499" s="100">
        <f>499</f>
        <v>499</v>
      </c>
      <c r="BH499" s="108">
        <f t="shared" si="457"/>
        <v>0</v>
      </c>
      <c r="BI499" s="108">
        <f t="shared" si="458"/>
        <v>0</v>
      </c>
      <c r="BJ499" s="108">
        <f t="shared" si="459"/>
        <v>0</v>
      </c>
    </row>
    <row r="500" spans="1:62" x14ac:dyDescent="0.2">
      <c r="A500" s="119"/>
      <c r="B500" s="120" t="s">
        <v>903</v>
      </c>
      <c r="C500" s="306" t="s">
        <v>1492</v>
      </c>
      <c r="D500" s="307"/>
      <c r="E500" s="307"/>
      <c r="F500" s="119" t="s">
        <v>6</v>
      </c>
      <c r="G500" s="119" t="s">
        <v>6</v>
      </c>
      <c r="H500" s="119" t="s">
        <v>6</v>
      </c>
      <c r="I500" s="118">
        <f>SUM(I501:I511)</f>
        <v>0</v>
      </c>
      <c r="J500" s="118">
        <f>SUM(J501:J511)</f>
        <v>0</v>
      </c>
      <c r="K500" s="118">
        <f>SUM(K501:K511)</f>
        <v>0</v>
      </c>
      <c r="L500" s="109"/>
      <c r="AI500" s="109"/>
      <c r="AS500" s="118">
        <f>SUM(AJ501:AJ511)</f>
        <v>0</v>
      </c>
      <c r="AT500" s="118">
        <f>SUM(AK501:AK511)</f>
        <v>0</v>
      </c>
      <c r="AU500" s="118">
        <f>SUM(AL501:AL511)</f>
        <v>0</v>
      </c>
    </row>
    <row r="501" spans="1:62" x14ac:dyDescent="0.2">
      <c r="A501" s="117" t="s">
        <v>456</v>
      </c>
      <c r="B501" s="117" t="s">
        <v>2306</v>
      </c>
      <c r="C501" s="304" t="s">
        <v>2305</v>
      </c>
      <c r="D501" s="305"/>
      <c r="E501" s="305"/>
      <c r="F501" s="117" t="s">
        <v>1645</v>
      </c>
      <c r="G501" s="116">
        <v>11.385</v>
      </c>
      <c r="H501" s="159"/>
      <c r="I501" s="108">
        <f t="shared" ref="I501:I511" si="460">G501*AO501</f>
        <v>0</v>
      </c>
      <c r="J501" s="108">
        <f t="shared" ref="J501:J511" si="461">G501*AP501</f>
        <v>0</v>
      </c>
      <c r="K501" s="108">
        <f t="shared" ref="K501:K511" si="462">G501*H501</f>
        <v>0</v>
      </c>
      <c r="L501" s="111" t="s">
        <v>1671</v>
      </c>
      <c r="Z501" s="100">
        <f t="shared" ref="Z501:Z511" si="463">IF(AQ501="5",BJ501,0)</f>
        <v>0</v>
      </c>
      <c r="AB501" s="100">
        <f t="shared" ref="AB501:AB511" si="464">IF(AQ501="1",BH501,0)</f>
        <v>0</v>
      </c>
      <c r="AC501" s="100">
        <f t="shared" ref="AC501:AC511" si="465">IF(AQ501="1",BI501,0)</f>
        <v>0</v>
      </c>
      <c r="AD501" s="100">
        <f t="shared" ref="AD501:AD511" si="466">IF(AQ501="7",BH501,0)</f>
        <v>0</v>
      </c>
      <c r="AE501" s="100">
        <f t="shared" ref="AE501:AE511" si="467">IF(AQ501="7",BI501,0)</f>
        <v>0</v>
      </c>
      <c r="AF501" s="100">
        <f t="shared" ref="AF501:AF511" si="468">IF(AQ501="2",BH501,0)</f>
        <v>0</v>
      </c>
      <c r="AG501" s="100">
        <f t="shared" ref="AG501:AG511" si="469">IF(AQ501="2",BI501,0)</f>
        <v>0</v>
      </c>
      <c r="AH501" s="100">
        <f t="shared" ref="AH501:AH511" si="470">IF(AQ501="0",BJ501,0)</f>
        <v>0</v>
      </c>
      <c r="AI501" s="109"/>
      <c r="AJ501" s="108">
        <f t="shared" ref="AJ501:AJ511" si="471">IF(AN501=0,K501,0)</f>
        <v>0</v>
      </c>
      <c r="AK501" s="108">
        <f t="shared" ref="AK501:AK511" si="472">IF(AN501=15,K501,0)</f>
        <v>0</v>
      </c>
      <c r="AL501" s="108">
        <f t="shared" ref="AL501:AL511" si="473">IF(AN501=21,K501,0)</f>
        <v>0</v>
      </c>
      <c r="AN501" s="100">
        <v>15</v>
      </c>
      <c r="AO501" s="100">
        <f>H501*0.02889645882755</f>
        <v>0</v>
      </c>
      <c r="AP501" s="100">
        <f>H501*(1-0.02889645882755)</f>
        <v>0</v>
      </c>
      <c r="AQ501" s="111" t="s">
        <v>13</v>
      </c>
      <c r="AV501" s="100">
        <f t="shared" ref="AV501:AV511" si="474">AW501+AX501</f>
        <v>0</v>
      </c>
      <c r="AW501" s="100">
        <f t="shared" ref="AW501:AW511" si="475">G501*AO501</f>
        <v>0</v>
      </c>
      <c r="AX501" s="100">
        <f t="shared" ref="AX501:AX511" si="476">G501*AP501</f>
        <v>0</v>
      </c>
      <c r="AY501" s="110" t="s">
        <v>1716</v>
      </c>
      <c r="AZ501" s="110" t="s">
        <v>1734</v>
      </c>
      <c r="BA501" s="109" t="s">
        <v>1737</v>
      </c>
      <c r="BC501" s="100">
        <f t="shared" ref="BC501:BC511" si="477">AW501+AX501</f>
        <v>0</v>
      </c>
      <c r="BD501" s="100">
        <f t="shared" ref="BD501:BD511" si="478">H501/(100-BE501)*100</f>
        <v>0</v>
      </c>
      <c r="BE501" s="100">
        <v>0</v>
      </c>
      <c r="BF501" s="100">
        <f>501</f>
        <v>501</v>
      </c>
      <c r="BH501" s="108">
        <f t="shared" ref="BH501:BH511" si="479">G501*AO501</f>
        <v>0</v>
      </c>
      <c r="BI501" s="108">
        <f t="shared" ref="BI501:BI511" si="480">G501*AP501</f>
        <v>0</v>
      </c>
      <c r="BJ501" s="108">
        <f t="shared" ref="BJ501:BJ511" si="481">G501*H501</f>
        <v>0</v>
      </c>
    </row>
    <row r="502" spans="1:62" x14ac:dyDescent="0.2">
      <c r="A502" s="124" t="s">
        <v>457</v>
      </c>
      <c r="B502" s="124" t="s">
        <v>2304</v>
      </c>
      <c r="C502" s="311" t="s">
        <v>2303</v>
      </c>
      <c r="D502" s="312"/>
      <c r="E502" s="312"/>
      <c r="F502" s="124" t="s">
        <v>1645</v>
      </c>
      <c r="G502" s="123">
        <v>11.385</v>
      </c>
      <c r="H502" s="160"/>
      <c r="I502" s="121">
        <f t="shared" si="460"/>
        <v>0</v>
      </c>
      <c r="J502" s="121">
        <f t="shared" si="461"/>
        <v>0</v>
      </c>
      <c r="K502" s="121">
        <f t="shared" si="462"/>
        <v>0</v>
      </c>
      <c r="L502" s="122" t="s">
        <v>1671</v>
      </c>
      <c r="Z502" s="100">
        <f t="shared" si="463"/>
        <v>0</v>
      </c>
      <c r="AB502" s="100">
        <f t="shared" si="464"/>
        <v>0</v>
      </c>
      <c r="AC502" s="100">
        <f t="shared" si="465"/>
        <v>0</v>
      </c>
      <c r="AD502" s="100">
        <f t="shared" si="466"/>
        <v>0</v>
      </c>
      <c r="AE502" s="100">
        <f t="shared" si="467"/>
        <v>0</v>
      </c>
      <c r="AF502" s="100">
        <f t="shared" si="468"/>
        <v>0</v>
      </c>
      <c r="AG502" s="100">
        <f t="shared" si="469"/>
        <v>0</v>
      </c>
      <c r="AH502" s="100">
        <f t="shared" si="470"/>
        <v>0</v>
      </c>
      <c r="AI502" s="109"/>
      <c r="AJ502" s="121">
        <f t="shared" si="471"/>
        <v>0</v>
      </c>
      <c r="AK502" s="121">
        <f t="shared" si="472"/>
        <v>0</v>
      </c>
      <c r="AL502" s="121">
        <f t="shared" si="473"/>
        <v>0</v>
      </c>
      <c r="AN502" s="100">
        <v>15</v>
      </c>
      <c r="AO502" s="100">
        <f>H502*1</f>
        <v>0</v>
      </c>
      <c r="AP502" s="100">
        <f>H502*(1-1)</f>
        <v>0</v>
      </c>
      <c r="AQ502" s="122" t="s">
        <v>13</v>
      </c>
      <c r="AV502" s="100">
        <f t="shared" si="474"/>
        <v>0</v>
      </c>
      <c r="AW502" s="100">
        <f t="shared" si="475"/>
        <v>0</v>
      </c>
      <c r="AX502" s="100">
        <f t="shared" si="476"/>
        <v>0</v>
      </c>
      <c r="AY502" s="110" t="s">
        <v>1716</v>
      </c>
      <c r="AZ502" s="110" t="s">
        <v>1734</v>
      </c>
      <c r="BA502" s="109" t="s">
        <v>1737</v>
      </c>
      <c r="BC502" s="100">
        <f t="shared" si="477"/>
        <v>0</v>
      </c>
      <c r="BD502" s="100">
        <f t="shared" si="478"/>
        <v>0</v>
      </c>
      <c r="BE502" s="100">
        <v>0</v>
      </c>
      <c r="BF502" s="100">
        <f>502</f>
        <v>502</v>
      </c>
      <c r="BH502" s="121">
        <f t="shared" si="479"/>
        <v>0</v>
      </c>
      <c r="BI502" s="121">
        <f t="shared" si="480"/>
        <v>0</v>
      </c>
      <c r="BJ502" s="121">
        <f t="shared" si="481"/>
        <v>0</v>
      </c>
    </row>
    <row r="503" spans="1:62" x14ac:dyDescent="0.2">
      <c r="A503" s="117" t="s">
        <v>458</v>
      </c>
      <c r="B503" s="117" t="s">
        <v>2689</v>
      </c>
      <c r="C503" s="304" t="s">
        <v>2688</v>
      </c>
      <c r="D503" s="305"/>
      <c r="E503" s="305"/>
      <c r="F503" s="117" t="s">
        <v>1646</v>
      </c>
      <c r="G503" s="116">
        <v>8.5500000000000007</v>
      </c>
      <c r="H503" s="159"/>
      <c r="I503" s="108">
        <f t="shared" si="460"/>
        <v>0</v>
      </c>
      <c r="J503" s="108">
        <f t="shared" si="461"/>
        <v>0</v>
      </c>
      <c r="K503" s="108">
        <f t="shared" si="462"/>
        <v>0</v>
      </c>
      <c r="L503" s="111" t="s">
        <v>1671</v>
      </c>
      <c r="Z503" s="100">
        <f t="shared" si="463"/>
        <v>0</v>
      </c>
      <c r="AB503" s="100">
        <f t="shared" si="464"/>
        <v>0</v>
      </c>
      <c r="AC503" s="100">
        <f t="shared" si="465"/>
        <v>0</v>
      </c>
      <c r="AD503" s="100">
        <f t="shared" si="466"/>
        <v>0</v>
      </c>
      <c r="AE503" s="100">
        <f t="shared" si="467"/>
        <v>0</v>
      </c>
      <c r="AF503" s="100">
        <f t="shared" si="468"/>
        <v>0</v>
      </c>
      <c r="AG503" s="100">
        <f t="shared" si="469"/>
        <v>0</v>
      </c>
      <c r="AH503" s="100">
        <f t="shared" si="470"/>
        <v>0</v>
      </c>
      <c r="AI503" s="109"/>
      <c r="AJ503" s="108">
        <f t="shared" si="471"/>
        <v>0</v>
      </c>
      <c r="AK503" s="108">
        <f t="shared" si="472"/>
        <v>0</v>
      </c>
      <c r="AL503" s="108">
        <f t="shared" si="473"/>
        <v>0</v>
      </c>
      <c r="AN503" s="100">
        <v>15</v>
      </c>
      <c r="AO503" s="100">
        <f>H503*0.461014618851012</f>
        <v>0</v>
      </c>
      <c r="AP503" s="100">
        <f>H503*(1-0.461014618851012)</f>
        <v>0</v>
      </c>
      <c r="AQ503" s="111" t="s">
        <v>13</v>
      </c>
      <c r="AV503" s="100">
        <f t="shared" si="474"/>
        <v>0</v>
      </c>
      <c r="AW503" s="100">
        <f t="shared" si="475"/>
        <v>0</v>
      </c>
      <c r="AX503" s="100">
        <f t="shared" si="476"/>
        <v>0</v>
      </c>
      <c r="AY503" s="110" t="s">
        <v>1716</v>
      </c>
      <c r="AZ503" s="110" t="s">
        <v>1734</v>
      </c>
      <c r="BA503" s="109" t="s">
        <v>1737</v>
      </c>
      <c r="BC503" s="100">
        <f t="shared" si="477"/>
        <v>0</v>
      </c>
      <c r="BD503" s="100">
        <f t="shared" si="478"/>
        <v>0</v>
      </c>
      <c r="BE503" s="100">
        <v>0</v>
      </c>
      <c r="BF503" s="100">
        <f>503</f>
        <v>503</v>
      </c>
      <c r="BH503" s="108">
        <f t="shared" si="479"/>
        <v>0</v>
      </c>
      <c r="BI503" s="108">
        <f t="shared" si="480"/>
        <v>0</v>
      </c>
      <c r="BJ503" s="108">
        <f t="shared" si="481"/>
        <v>0</v>
      </c>
    </row>
    <row r="504" spans="1:62" x14ac:dyDescent="0.2">
      <c r="A504" s="117" t="s">
        <v>459</v>
      </c>
      <c r="B504" s="117" t="s">
        <v>2687</v>
      </c>
      <c r="C504" s="304" t="s">
        <v>2686</v>
      </c>
      <c r="D504" s="305"/>
      <c r="E504" s="305"/>
      <c r="F504" s="117" t="s">
        <v>1646</v>
      </c>
      <c r="G504" s="116">
        <v>2.5499999999999998</v>
      </c>
      <c r="H504" s="159"/>
      <c r="I504" s="108">
        <f t="shared" si="460"/>
        <v>0</v>
      </c>
      <c r="J504" s="108">
        <f t="shared" si="461"/>
        <v>0</v>
      </c>
      <c r="K504" s="108">
        <f t="shared" si="462"/>
        <v>0</v>
      </c>
      <c r="L504" s="111" t="s">
        <v>1671</v>
      </c>
      <c r="Z504" s="100">
        <f t="shared" si="463"/>
        <v>0</v>
      </c>
      <c r="AB504" s="100">
        <f t="shared" si="464"/>
        <v>0</v>
      </c>
      <c r="AC504" s="100">
        <f t="shared" si="465"/>
        <v>0</v>
      </c>
      <c r="AD504" s="100">
        <f t="shared" si="466"/>
        <v>0</v>
      </c>
      <c r="AE504" s="100">
        <f t="shared" si="467"/>
        <v>0</v>
      </c>
      <c r="AF504" s="100">
        <f t="shared" si="468"/>
        <v>0</v>
      </c>
      <c r="AG504" s="100">
        <f t="shared" si="469"/>
        <v>0</v>
      </c>
      <c r="AH504" s="100">
        <f t="shared" si="470"/>
        <v>0</v>
      </c>
      <c r="AI504" s="109"/>
      <c r="AJ504" s="108">
        <f t="shared" si="471"/>
        <v>0</v>
      </c>
      <c r="AK504" s="108">
        <f t="shared" si="472"/>
        <v>0</v>
      </c>
      <c r="AL504" s="108">
        <f t="shared" si="473"/>
        <v>0</v>
      </c>
      <c r="AN504" s="100">
        <v>15</v>
      </c>
      <c r="AO504" s="100">
        <f>H504*0.40109649122807</f>
        <v>0</v>
      </c>
      <c r="AP504" s="100">
        <f>H504*(1-0.40109649122807)</f>
        <v>0</v>
      </c>
      <c r="AQ504" s="111" t="s">
        <v>13</v>
      </c>
      <c r="AV504" s="100">
        <f t="shared" si="474"/>
        <v>0</v>
      </c>
      <c r="AW504" s="100">
        <f t="shared" si="475"/>
        <v>0</v>
      </c>
      <c r="AX504" s="100">
        <f t="shared" si="476"/>
        <v>0</v>
      </c>
      <c r="AY504" s="110" t="s">
        <v>1716</v>
      </c>
      <c r="AZ504" s="110" t="s">
        <v>1734</v>
      </c>
      <c r="BA504" s="109" t="s">
        <v>1737</v>
      </c>
      <c r="BC504" s="100">
        <f t="shared" si="477"/>
        <v>0</v>
      </c>
      <c r="BD504" s="100">
        <f t="shared" si="478"/>
        <v>0</v>
      </c>
      <c r="BE504" s="100">
        <v>0</v>
      </c>
      <c r="BF504" s="100">
        <f>504</f>
        <v>504</v>
      </c>
      <c r="BH504" s="108">
        <f t="shared" si="479"/>
        <v>0</v>
      </c>
      <c r="BI504" s="108">
        <f t="shared" si="480"/>
        <v>0</v>
      </c>
      <c r="BJ504" s="108">
        <f t="shared" si="481"/>
        <v>0</v>
      </c>
    </row>
    <row r="505" spans="1:62" x14ac:dyDescent="0.2">
      <c r="A505" s="117" t="s">
        <v>460</v>
      </c>
      <c r="B505" s="117" t="s">
        <v>904</v>
      </c>
      <c r="C505" s="304" t="s">
        <v>1493</v>
      </c>
      <c r="D505" s="305"/>
      <c r="E505" s="305"/>
      <c r="F505" s="117" t="s">
        <v>1644</v>
      </c>
      <c r="G505" s="116">
        <v>2</v>
      </c>
      <c r="H505" s="159"/>
      <c r="I505" s="108">
        <f t="shared" si="460"/>
        <v>0</v>
      </c>
      <c r="J505" s="108">
        <f t="shared" si="461"/>
        <v>0</v>
      </c>
      <c r="K505" s="108">
        <f t="shared" si="462"/>
        <v>0</v>
      </c>
      <c r="L505" s="111" t="s">
        <v>1671</v>
      </c>
      <c r="Z505" s="100">
        <f t="shared" si="463"/>
        <v>0</v>
      </c>
      <c r="AB505" s="100">
        <f t="shared" si="464"/>
        <v>0</v>
      </c>
      <c r="AC505" s="100">
        <f t="shared" si="465"/>
        <v>0</v>
      </c>
      <c r="AD505" s="100">
        <f t="shared" si="466"/>
        <v>0</v>
      </c>
      <c r="AE505" s="100">
        <f t="shared" si="467"/>
        <v>0</v>
      </c>
      <c r="AF505" s="100">
        <f t="shared" si="468"/>
        <v>0</v>
      </c>
      <c r="AG505" s="100">
        <f t="shared" si="469"/>
        <v>0</v>
      </c>
      <c r="AH505" s="100">
        <f t="shared" si="470"/>
        <v>0</v>
      </c>
      <c r="AI505" s="109"/>
      <c r="AJ505" s="108">
        <f t="shared" si="471"/>
        <v>0</v>
      </c>
      <c r="AK505" s="108">
        <f t="shared" si="472"/>
        <v>0</v>
      </c>
      <c r="AL505" s="108">
        <f t="shared" si="473"/>
        <v>0</v>
      </c>
      <c r="AN505" s="100">
        <v>15</v>
      </c>
      <c r="AO505" s="100">
        <f>H505*0.007425</f>
        <v>0</v>
      </c>
      <c r="AP505" s="100">
        <f>H505*(1-0.007425)</f>
        <v>0</v>
      </c>
      <c r="AQ505" s="111" t="s">
        <v>13</v>
      </c>
      <c r="AV505" s="100">
        <f t="shared" si="474"/>
        <v>0</v>
      </c>
      <c r="AW505" s="100">
        <f t="shared" si="475"/>
        <v>0</v>
      </c>
      <c r="AX505" s="100">
        <f t="shared" si="476"/>
        <v>0</v>
      </c>
      <c r="AY505" s="110" t="s">
        <v>1716</v>
      </c>
      <c r="AZ505" s="110" t="s">
        <v>1734</v>
      </c>
      <c r="BA505" s="109" t="s">
        <v>1737</v>
      </c>
      <c r="BC505" s="100">
        <f t="shared" si="477"/>
        <v>0</v>
      </c>
      <c r="BD505" s="100">
        <f t="shared" si="478"/>
        <v>0</v>
      </c>
      <c r="BE505" s="100">
        <v>0</v>
      </c>
      <c r="BF505" s="100">
        <f>505</f>
        <v>505</v>
      </c>
      <c r="BH505" s="108">
        <f t="shared" si="479"/>
        <v>0</v>
      </c>
      <c r="BI505" s="108">
        <f t="shared" si="480"/>
        <v>0</v>
      </c>
      <c r="BJ505" s="108">
        <f t="shared" si="481"/>
        <v>0</v>
      </c>
    </row>
    <row r="506" spans="1:62" x14ac:dyDescent="0.2">
      <c r="A506" s="117" t="s">
        <v>461</v>
      </c>
      <c r="B506" s="117" t="s">
        <v>905</v>
      </c>
      <c r="C506" s="304" t="s">
        <v>3436</v>
      </c>
      <c r="D506" s="305"/>
      <c r="E506" s="305"/>
      <c r="F506" s="117" t="s">
        <v>1644</v>
      </c>
      <c r="G506" s="116">
        <v>2</v>
      </c>
      <c r="H506" s="159"/>
      <c r="I506" s="108">
        <f t="shared" si="460"/>
        <v>0</v>
      </c>
      <c r="J506" s="108">
        <f t="shared" si="461"/>
        <v>0</v>
      </c>
      <c r="K506" s="108">
        <f t="shared" si="462"/>
        <v>0</v>
      </c>
      <c r="L506" s="111" t="s">
        <v>1671</v>
      </c>
      <c r="Z506" s="100">
        <f t="shared" si="463"/>
        <v>0</v>
      </c>
      <c r="AB506" s="100">
        <f t="shared" si="464"/>
        <v>0</v>
      </c>
      <c r="AC506" s="100">
        <f t="shared" si="465"/>
        <v>0</v>
      </c>
      <c r="AD506" s="100">
        <f t="shared" si="466"/>
        <v>0</v>
      </c>
      <c r="AE506" s="100">
        <f t="shared" si="467"/>
        <v>0</v>
      </c>
      <c r="AF506" s="100">
        <f t="shared" si="468"/>
        <v>0</v>
      </c>
      <c r="AG506" s="100">
        <f t="shared" si="469"/>
        <v>0</v>
      </c>
      <c r="AH506" s="100">
        <f t="shared" si="470"/>
        <v>0</v>
      </c>
      <c r="AI506" s="109"/>
      <c r="AJ506" s="108">
        <f t="shared" si="471"/>
        <v>0</v>
      </c>
      <c r="AK506" s="108">
        <f t="shared" si="472"/>
        <v>0</v>
      </c>
      <c r="AL506" s="108">
        <f t="shared" si="473"/>
        <v>0</v>
      </c>
      <c r="AN506" s="100">
        <v>15</v>
      </c>
      <c r="AO506" s="100">
        <f>H506*0.0040695652173913</f>
        <v>0</v>
      </c>
      <c r="AP506" s="100">
        <f>H506*(1-0.0040695652173913)</f>
        <v>0</v>
      </c>
      <c r="AQ506" s="111" t="s">
        <v>13</v>
      </c>
      <c r="AV506" s="100">
        <f t="shared" si="474"/>
        <v>0</v>
      </c>
      <c r="AW506" s="100">
        <f t="shared" si="475"/>
        <v>0</v>
      </c>
      <c r="AX506" s="100">
        <f t="shared" si="476"/>
        <v>0</v>
      </c>
      <c r="AY506" s="110" t="s">
        <v>1716</v>
      </c>
      <c r="AZ506" s="110" t="s">
        <v>1734</v>
      </c>
      <c r="BA506" s="109" t="s">
        <v>1737</v>
      </c>
      <c r="BC506" s="100">
        <f t="shared" si="477"/>
        <v>0</v>
      </c>
      <c r="BD506" s="100">
        <f t="shared" si="478"/>
        <v>0</v>
      </c>
      <c r="BE506" s="100">
        <v>0</v>
      </c>
      <c r="BF506" s="100">
        <f>506</f>
        <v>506</v>
      </c>
      <c r="BH506" s="108">
        <f t="shared" si="479"/>
        <v>0</v>
      </c>
      <c r="BI506" s="108">
        <f t="shared" si="480"/>
        <v>0</v>
      </c>
      <c r="BJ506" s="108">
        <f t="shared" si="481"/>
        <v>0</v>
      </c>
    </row>
    <row r="507" spans="1:62" x14ac:dyDescent="0.2">
      <c r="A507" s="117" t="s">
        <v>462</v>
      </c>
      <c r="B507" s="117" t="s">
        <v>2685</v>
      </c>
      <c r="C507" s="304" t="s">
        <v>2684</v>
      </c>
      <c r="D507" s="305"/>
      <c r="E507" s="305"/>
      <c r="F507" s="117" t="s">
        <v>1644</v>
      </c>
      <c r="G507" s="116">
        <v>3</v>
      </c>
      <c r="H507" s="159"/>
      <c r="I507" s="108">
        <f t="shared" si="460"/>
        <v>0</v>
      </c>
      <c r="J507" s="108">
        <f t="shared" si="461"/>
        <v>0</v>
      </c>
      <c r="K507" s="108">
        <f t="shared" si="462"/>
        <v>0</v>
      </c>
      <c r="L507" s="111" t="s">
        <v>1671</v>
      </c>
      <c r="Z507" s="100">
        <f t="shared" si="463"/>
        <v>0</v>
      </c>
      <c r="AB507" s="100">
        <f t="shared" si="464"/>
        <v>0</v>
      </c>
      <c r="AC507" s="100">
        <f t="shared" si="465"/>
        <v>0</v>
      </c>
      <c r="AD507" s="100">
        <f t="shared" si="466"/>
        <v>0</v>
      </c>
      <c r="AE507" s="100">
        <f t="shared" si="467"/>
        <v>0</v>
      </c>
      <c r="AF507" s="100">
        <f t="shared" si="468"/>
        <v>0</v>
      </c>
      <c r="AG507" s="100">
        <f t="shared" si="469"/>
        <v>0</v>
      </c>
      <c r="AH507" s="100">
        <f t="shared" si="470"/>
        <v>0</v>
      </c>
      <c r="AI507" s="109"/>
      <c r="AJ507" s="108">
        <f t="shared" si="471"/>
        <v>0</v>
      </c>
      <c r="AK507" s="108">
        <f t="shared" si="472"/>
        <v>0</v>
      </c>
      <c r="AL507" s="108">
        <f t="shared" si="473"/>
        <v>0</v>
      </c>
      <c r="AN507" s="100">
        <v>15</v>
      </c>
      <c r="AO507" s="100">
        <f>H507*0.0607105719237435</f>
        <v>0</v>
      </c>
      <c r="AP507" s="100">
        <f>H507*(1-0.0607105719237435)</f>
        <v>0</v>
      </c>
      <c r="AQ507" s="111" t="s">
        <v>13</v>
      </c>
      <c r="AV507" s="100">
        <f t="shared" si="474"/>
        <v>0</v>
      </c>
      <c r="AW507" s="100">
        <f t="shared" si="475"/>
        <v>0</v>
      </c>
      <c r="AX507" s="100">
        <f t="shared" si="476"/>
        <v>0</v>
      </c>
      <c r="AY507" s="110" t="s">
        <v>1716</v>
      </c>
      <c r="AZ507" s="110" t="s">
        <v>1734</v>
      </c>
      <c r="BA507" s="109" t="s">
        <v>1737</v>
      </c>
      <c r="BC507" s="100">
        <f t="shared" si="477"/>
        <v>0</v>
      </c>
      <c r="BD507" s="100">
        <f t="shared" si="478"/>
        <v>0</v>
      </c>
      <c r="BE507" s="100">
        <v>0</v>
      </c>
      <c r="BF507" s="100">
        <f>507</f>
        <v>507</v>
      </c>
      <c r="BH507" s="108">
        <f t="shared" si="479"/>
        <v>0</v>
      </c>
      <c r="BI507" s="108">
        <f t="shared" si="480"/>
        <v>0</v>
      </c>
      <c r="BJ507" s="108">
        <f t="shared" si="481"/>
        <v>0</v>
      </c>
    </row>
    <row r="508" spans="1:62" x14ac:dyDescent="0.2">
      <c r="A508" s="124" t="s">
        <v>463</v>
      </c>
      <c r="B508" s="124" t="s">
        <v>3435</v>
      </c>
      <c r="C508" s="311" t="s">
        <v>3434</v>
      </c>
      <c r="D508" s="312"/>
      <c r="E508" s="312"/>
      <c r="F508" s="124" t="s">
        <v>1644</v>
      </c>
      <c r="G508" s="123">
        <v>1</v>
      </c>
      <c r="H508" s="160"/>
      <c r="I508" s="121">
        <f t="shared" si="460"/>
        <v>0</v>
      </c>
      <c r="J508" s="121">
        <f t="shared" si="461"/>
        <v>0</v>
      </c>
      <c r="K508" s="121">
        <f t="shared" si="462"/>
        <v>0</v>
      </c>
      <c r="L508" s="122" t="s">
        <v>1671</v>
      </c>
      <c r="Z508" s="100">
        <f t="shared" si="463"/>
        <v>0</v>
      </c>
      <c r="AB508" s="100">
        <f t="shared" si="464"/>
        <v>0</v>
      </c>
      <c r="AC508" s="100">
        <f t="shared" si="465"/>
        <v>0</v>
      </c>
      <c r="AD508" s="100">
        <f t="shared" si="466"/>
        <v>0</v>
      </c>
      <c r="AE508" s="100">
        <f t="shared" si="467"/>
        <v>0</v>
      </c>
      <c r="AF508" s="100">
        <f t="shared" si="468"/>
        <v>0</v>
      </c>
      <c r="AG508" s="100">
        <f t="shared" si="469"/>
        <v>0</v>
      </c>
      <c r="AH508" s="100">
        <f t="shared" si="470"/>
        <v>0</v>
      </c>
      <c r="AI508" s="109"/>
      <c r="AJ508" s="121">
        <f t="shared" si="471"/>
        <v>0</v>
      </c>
      <c r="AK508" s="121">
        <f t="shared" si="472"/>
        <v>0</v>
      </c>
      <c r="AL508" s="121">
        <f t="shared" si="473"/>
        <v>0</v>
      </c>
      <c r="AN508" s="100">
        <v>15</v>
      </c>
      <c r="AO508" s="100">
        <f>H508*1</f>
        <v>0</v>
      </c>
      <c r="AP508" s="100">
        <f>H508*(1-1)</f>
        <v>0</v>
      </c>
      <c r="AQ508" s="122" t="s">
        <v>13</v>
      </c>
      <c r="AV508" s="100">
        <f t="shared" si="474"/>
        <v>0</v>
      </c>
      <c r="AW508" s="100">
        <f t="shared" si="475"/>
        <v>0</v>
      </c>
      <c r="AX508" s="100">
        <f t="shared" si="476"/>
        <v>0</v>
      </c>
      <c r="AY508" s="110" t="s">
        <v>1716</v>
      </c>
      <c r="AZ508" s="110" t="s">
        <v>1734</v>
      </c>
      <c r="BA508" s="109" t="s">
        <v>1737</v>
      </c>
      <c r="BC508" s="100">
        <f t="shared" si="477"/>
        <v>0</v>
      </c>
      <c r="BD508" s="100">
        <f t="shared" si="478"/>
        <v>0</v>
      </c>
      <c r="BE508" s="100">
        <v>0</v>
      </c>
      <c r="BF508" s="100">
        <f>508</f>
        <v>508</v>
      </c>
      <c r="BH508" s="121">
        <f t="shared" si="479"/>
        <v>0</v>
      </c>
      <c r="BI508" s="121">
        <f t="shared" si="480"/>
        <v>0</v>
      </c>
      <c r="BJ508" s="121">
        <f t="shared" si="481"/>
        <v>0</v>
      </c>
    </row>
    <row r="509" spans="1:62" x14ac:dyDescent="0.2">
      <c r="A509" s="124" t="s">
        <v>464</v>
      </c>
      <c r="B509" s="124" t="s">
        <v>3433</v>
      </c>
      <c r="C509" s="311" t="s">
        <v>3432</v>
      </c>
      <c r="D509" s="312"/>
      <c r="E509" s="312"/>
      <c r="F509" s="124" t="s">
        <v>1644</v>
      </c>
      <c r="G509" s="123">
        <v>1</v>
      </c>
      <c r="H509" s="160"/>
      <c r="I509" s="121">
        <f t="shared" si="460"/>
        <v>0</v>
      </c>
      <c r="J509" s="121">
        <f t="shared" si="461"/>
        <v>0</v>
      </c>
      <c r="K509" s="121">
        <f t="shared" si="462"/>
        <v>0</v>
      </c>
      <c r="L509" s="122" t="s">
        <v>1671</v>
      </c>
      <c r="Z509" s="100">
        <f t="shared" si="463"/>
        <v>0</v>
      </c>
      <c r="AB509" s="100">
        <f t="shared" si="464"/>
        <v>0</v>
      </c>
      <c r="AC509" s="100">
        <f t="shared" si="465"/>
        <v>0</v>
      </c>
      <c r="AD509" s="100">
        <f t="shared" si="466"/>
        <v>0</v>
      </c>
      <c r="AE509" s="100">
        <f t="shared" si="467"/>
        <v>0</v>
      </c>
      <c r="AF509" s="100">
        <f t="shared" si="468"/>
        <v>0</v>
      </c>
      <c r="AG509" s="100">
        <f t="shared" si="469"/>
        <v>0</v>
      </c>
      <c r="AH509" s="100">
        <f t="shared" si="470"/>
        <v>0</v>
      </c>
      <c r="AI509" s="109"/>
      <c r="AJ509" s="121">
        <f t="shared" si="471"/>
        <v>0</v>
      </c>
      <c r="AK509" s="121">
        <f t="shared" si="472"/>
        <v>0</v>
      </c>
      <c r="AL509" s="121">
        <f t="shared" si="473"/>
        <v>0</v>
      </c>
      <c r="AN509" s="100">
        <v>15</v>
      </c>
      <c r="AO509" s="100">
        <f>H509*1</f>
        <v>0</v>
      </c>
      <c r="AP509" s="100">
        <f>H509*(1-1)</f>
        <v>0</v>
      </c>
      <c r="AQ509" s="122" t="s">
        <v>13</v>
      </c>
      <c r="AV509" s="100">
        <f t="shared" si="474"/>
        <v>0</v>
      </c>
      <c r="AW509" s="100">
        <f t="shared" si="475"/>
        <v>0</v>
      </c>
      <c r="AX509" s="100">
        <f t="shared" si="476"/>
        <v>0</v>
      </c>
      <c r="AY509" s="110" t="s">
        <v>1716</v>
      </c>
      <c r="AZ509" s="110" t="s">
        <v>1734</v>
      </c>
      <c r="BA509" s="109" t="s">
        <v>1737</v>
      </c>
      <c r="BC509" s="100">
        <f t="shared" si="477"/>
        <v>0</v>
      </c>
      <c r="BD509" s="100">
        <f t="shared" si="478"/>
        <v>0</v>
      </c>
      <c r="BE509" s="100">
        <v>0</v>
      </c>
      <c r="BF509" s="100">
        <f>509</f>
        <v>509</v>
      </c>
      <c r="BH509" s="121">
        <f t="shared" si="479"/>
        <v>0</v>
      </c>
      <c r="BI509" s="121">
        <f t="shared" si="480"/>
        <v>0</v>
      </c>
      <c r="BJ509" s="121">
        <f t="shared" si="481"/>
        <v>0</v>
      </c>
    </row>
    <row r="510" spans="1:62" x14ac:dyDescent="0.2">
      <c r="A510" s="124" t="s">
        <v>465</v>
      </c>
      <c r="B510" s="124" t="s">
        <v>3431</v>
      </c>
      <c r="C510" s="311" t="s">
        <v>3430</v>
      </c>
      <c r="D510" s="312"/>
      <c r="E510" s="312"/>
      <c r="F510" s="124" t="s">
        <v>1644</v>
      </c>
      <c r="G510" s="123">
        <v>1</v>
      </c>
      <c r="H510" s="160"/>
      <c r="I510" s="121">
        <f t="shared" si="460"/>
        <v>0</v>
      </c>
      <c r="J510" s="121">
        <f t="shared" si="461"/>
        <v>0</v>
      </c>
      <c r="K510" s="121">
        <f t="shared" si="462"/>
        <v>0</v>
      </c>
      <c r="L510" s="122" t="s">
        <v>1671</v>
      </c>
      <c r="Z510" s="100">
        <f t="shared" si="463"/>
        <v>0</v>
      </c>
      <c r="AB510" s="100">
        <f t="shared" si="464"/>
        <v>0</v>
      </c>
      <c r="AC510" s="100">
        <f t="shared" si="465"/>
        <v>0</v>
      </c>
      <c r="AD510" s="100">
        <f t="shared" si="466"/>
        <v>0</v>
      </c>
      <c r="AE510" s="100">
        <f t="shared" si="467"/>
        <v>0</v>
      </c>
      <c r="AF510" s="100">
        <f t="shared" si="468"/>
        <v>0</v>
      </c>
      <c r="AG510" s="100">
        <f t="shared" si="469"/>
        <v>0</v>
      </c>
      <c r="AH510" s="100">
        <f t="shared" si="470"/>
        <v>0</v>
      </c>
      <c r="AI510" s="109"/>
      <c r="AJ510" s="121">
        <f t="shared" si="471"/>
        <v>0</v>
      </c>
      <c r="AK510" s="121">
        <f t="shared" si="472"/>
        <v>0</v>
      </c>
      <c r="AL510" s="121">
        <f t="shared" si="473"/>
        <v>0</v>
      </c>
      <c r="AN510" s="100">
        <v>15</v>
      </c>
      <c r="AO510" s="100">
        <f>H510*1</f>
        <v>0</v>
      </c>
      <c r="AP510" s="100">
        <f>H510*(1-1)</f>
        <v>0</v>
      </c>
      <c r="AQ510" s="122" t="s">
        <v>13</v>
      </c>
      <c r="AV510" s="100">
        <f t="shared" si="474"/>
        <v>0</v>
      </c>
      <c r="AW510" s="100">
        <f t="shared" si="475"/>
        <v>0</v>
      </c>
      <c r="AX510" s="100">
        <f t="shared" si="476"/>
        <v>0</v>
      </c>
      <c r="AY510" s="110" t="s">
        <v>1716</v>
      </c>
      <c r="AZ510" s="110" t="s">
        <v>1734</v>
      </c>
      <c r="BA510" s="109" t="s">
        <v>1737</v>
      </c>
      <c r="BC510" s="100">
        <f t="shared" si="477"/>
        <v>0</v>
      </c>
      <c r="BD510" s="100">
        <f t="shared" si="478"/>
        <v>0</v>
      </c>
      <c r="BE510" s="100">
        <v>0</v>
      </c>
      <c r="BF510" s="100">
        <f>510</f>
        <v>510</v>
      </c>
      <c r="BH510" s="121">
        <f t="shared" si="479"/>
        <v>0</v>
      </c>
      <c r="BI510" s="121">
        <f t="shared" si="480"/>
        <v>0</v>
      </c>
      <c r="BJ510" s="121">
        <f t="shared" si="481"/>
        <v>0</v>
      </c>
    </row>
    <row r="511" spans="1:62" x14ac:dyDescent="0.2">
      <c r="A511" s="117" t="s">
        <v>466</v>
      </c>
      <c r="B511" s="117" t="s">
        <v>906</v>
      </c>
      <c r="C511" s="304" t="s">
        <v>1495</v>
      </c>
      <c r="D511" s="305"/>
      <c r="E511" s="305"/>
      <c r="F511" s="117" t="s">
        <v>1648</v>
      </c>
      <c r="G511" s="116">
        <v>0.36799999999999999</v>
      </c>
      <c r="H511" s="159"/>
      <c r="I511" s="108">
        <f t="shared" si="460"/>
        <v>0</v>
      </c>
      <c r="J511" s="108">
        <f t="shared" si="461"/>
        <v>0</v>
      </c>
      <c r="K511" s="108">
        <f t="shared" si="462"/>
        <v>0</v>
      </c>
      <c r="L511" s="111" t="s">
        <v>1671</v>
      </c>
      <c r="Z511" s="100">
        <f t="shared" si="463"/>
        <v>0</v>
      </c>
      <c r="AB511" s="100">
        <f t="shared" si="464"/>
        <v>0</v>
      </c>
      <c r="AC511" s="100">
        <f t="shared" si="465"/>
        <v>0</v>
      </c>
      <c r="AD511" s="100">
        <f t="shared" si="466"/>
        <v>0</v>
      </c>
      <c r="AE511" s="100">
        <f t="shared" si="467"/>
        <v>0</v>
      </c>
      <c r="AF511" s="100">
        <f t="shared" si="468"/>
        <v>0</v>
      </c>
      <c r="AG511" s="100">
        <f t="shared" si="469"/>
        <v>0</v>
      </c>
      <c r="AH511" s="100">
        <f t="shared" si="470"/>
        <v>0</v>
      </c>
      <c r="AI511" s="109"/>
      <c r="AJ511" s="108">
        <f t="shared" si="471"/>
        <v>0</v>
      </c>
      <c r="AK511" s="108">
        <f t="shared" si="472"/>
        <v>0</v>
      </c>
      <c r="AL511" s="108">
        <f t="shared" si="473"/>
        <v>0</v>
      </c>
      <c r="AN511" s="100">
        <v>15</v>
      </c>
      <c r="AO511" s="100">
        <f>H511*0</f>
        <v>0</v>
      </c>
      <c r="AP511" s="100">
        <f>H511*(1-0)</f>
        <v>0</v>
      </c>
      <c r="AQ511" s="111" t="s">
        <v>11</v>
      </c>
      <c r="AV511" s="100">
        <f t="shared" si="474"/>
        <v>0</v>
      </c>
      <c r="AW511" s="100">
        <f t="shared" si="475"/>
        <v>0</v>
      </c>
      <c r="AX511" s="100">
        <f t="shared" si="476"/>
        <v>0</v>
      </c>
      <c r="AY511" s="110" t="s">
        <v>1716</v>
      </c>
      <c r="AZ511" s="110" t="s">
        <v>1734</v>
      </c>
      <c r="BA511" s="109" t="s">
        <v>1737</v>
      </c>
      <c r="BC511" s="100">
        <f t="shared" si="477"/>
        <v>0</v>
      </c>
      <c r="BD511" s="100">
        <f t="shared" si="478"/>
        <v>0</v>
      </c>
      <c r="BE511" s="100">
        <v>0</v>
      </c>
      <c r="BF511" s="100">
        <f>511</f>
        <v>511</v>
      </c>
      <c r="BH511" s="108">
        <f t="shared" si="479"/>
        <v>0</v>
      </c>
      <c r="BI511" s="108">
        <f t="shared" si="480"/>
        <v>0</v>
      </c>
      <c r="BJ511" s="108">
        <f t="shared" si="481"/>
        <v>0</v>
      </c>
    </row>
    <row r="512" spans="1:62" x14ac:dyDescent="0.2">
      <c r="A512" s="119"/>
      <c r="B512" s="120" t="s">
        <v>907</v>
      </c>
      <c r="C512" s="306" t="s">
        <v>1496</v>
      </c>
      <c r="D512" s="307"/>
      <c r="E512" s="307"/>
      <c r="F512" s="119" t="s">
        <v>6</v>
      </c>
      <c r="G512" s="119" t="s">
        <v>6</v>
      </c>
      <c r="H512" s="119" t="s">
        <v>6</v>
      </c>
      <c r="I512" s="118">
        <f>SUM(I513:I538)</f>
        <v>0</v>
      </c>
      <c r="J512" s="118">
        <f>SUM(J513:J538)</f>
        <v>0</v>
      </c>
      <c r="K512" s="118">
        <f>SUM(K513:K538)</f>
        <v>0</v>
      </c>
      <c r="L512" s="109"/>
      <c r="AI512" s="109"/>
      <c r="AS512" s="118">
        <f>SUM(AJ513:AJ538)</f>
        <v>0</v>
      </c>
      <c r="AT512" s="118">
        <f>SUM(AK513:AK538)</f>
        <v>0</v>
      </c>
      <c r="AU512" s="118">
        <f>SUM(AL513:AL538)</f>
        <v>0</v>
      </c>
    </row>
    <row r="513" spans="1:62" x14ac:dyDescent="0.2">
      <c r="A513" s="117" t="s">
        <v>467</v>
      </c>
      <c r="B513" s="117" t="s">
        <v>3429</v>
      </c>
      <c r="C513" s="304" t="s">
        <v>3428</v>
      </c>
      <c r="D513" s="305"/>
      <c r="E513" s="305"/>
      <c r="F513" s="117" t="s">
        <v>1644</v>
      </c>
      <c r="G513" s="116">
        <v>1</v>
      </c>
      <c r="H513" s="159"/>
      <c r="I513" s="108">
        <f t="shared" ref="I513:I538" si="482">G513*AO513</f>
        <v>0</v>
      </c>
      <c r="J513" s="108">
        <f t="shared" ref="J513:J538" si="483">G513*AP513</f>
        <v>0</v>
      </c>
      <c r="K513" s="108">
        <f t="shared" ref="K513:K538" si="484">G513*H513</f>
        <v>0</v>
      </c>
      <c r="L513" s="111" t="s">
        <v>1671</v>
      </c>
      <c r="Z513" s="100">
        <f t="shared" ref="Z513:Z538" si="485">IF(AQ513="5",BJ513,0)</f>
        <v>0</v>
      </c>
      <c r="AB513" s="100">
        <f t="shared" ref="AB513:AB538" si="486">IF(AQ513="1",BH513,0)</f>
        <v>0</v>
      </c>
      <c r="AC513" s="100">
        <f t="shared" ref="AC513:AC538" si="487">IF(AQ513="1",BI513,0)</f>
        <v>0</v>
      </c>
      <c r="AD513" s="100">
        <f t="shared" ref="AD513:AD538" si="488">IF(AQ513="7",BH513,0)</f>
        <v>0</v>
      </c>
      <c r="AE513" s="100">
        <f t="shared" ref="AE513:AE538" si="489">IF(AQ513="7",BI513,0)</f>
        <v>0</v>
      </c>
      <c r="AF513" s="100">
        <f t="shared" ref="AF513:AF538" si="490">IF(AQ513="2",BH513,0)</f>
        <v>0</v>
      </c>
      <c r="AG513" s="100">
        <f t="shared" ref="AG513:AG538" si="491">IF(AQ513="2",BI513,0)</f>
        <v>0</v>
      </c>
      <c r="AH513" s="100">
        <f t="shared" ref="AH513:AH538" si="492">IF(AQ513="0",BJ513,0)</f>
        <v>0</v>
      </c>
      <c r="AI513" s="109"/>
      <c r="AJ513" s="108">
        <f t="shared" ref="AJ513:AJ538" si="493">IF(AN513=0,K513,0)</f>
        <v>0</v>
      </c>
      <c r="AK513" s="108">
        <f t="shared" ref="AK513:AK538" si="494">IF(AN513=15,K513,0)</f>
        <v>0</v>
      </c>
      <c r="AL513" s="108">
        <f t="shared" ref="AL513:AL538" si="495">IF(AN513=21,K513,0)</f>
        <v>0</v>
      </c>
      <c r="AN513" s="100">
        <v>15</v>
      </c>
      <c r="AO513" s="100">
        <f>H513*0</f>
        <v>0</v>
      </c>
      <c r="AP513" s="100">
        <f>H513*(1-0)</f>
        <v>0</v>
      </c>
      <c r="AQ513" s="111" t="s">
        <v>13</v>
      </c>
      <c r="AV513" s="100">
        <f t="shared" ref="AV513:AV538" si="496">AW513+AX513</f>
        <v>0</v>
      </c>
      <c r="AW513" s="100">
        <f t="shared" ref="AW513:AW538" si="497">G513*AO513</f>
        <v>0</v>
      </c>
      <c r="AX513" s="100">
        <f t="shared" ref="AX513:AX538" si="498">G513*AP513</f>
        <v>0</v>
      </c>
      <c r="AY513" s="110" t="s">
        <v>1717</v>
      </c>
      <c r="AZ513" s="110" t="s">
        <v>1734</v>
      </c>
      <c r="BA513" s="109" t="s">
        <v>1737</v>
      </c>
      <c r="BC513" s="100">
        <f t="shared" ref="BC513:BC538" si="499">AW513+AX513</f>
        <v>0</v>
      </c>
      <c r="BD513" s="100">
        <f t="shared" ref="BD513:BD538" si="500">H513/(100-BE513)*100</f>
        <v>0</v>
      </c>
      <c r="BE513" s="100">
        <v>0</v>
      </c>
      <c r="BF513" s="100">
        <f>513</f>
        <v>513</v>
      </c>
      <c r="BH513" s="108">
        <f t="shared" ref="BH513:BH538" si="501">G513*AO513</f>
        <v>0</v>
      </c>
      <c r="BI513" s="108">
        <f t="shared" ref="BI513:BI538" si="502">G513*AP513</f>
        <v>0</v>
      </c>
      <c r="BJ513" s="108">
        <f t="shared" ref="BJ513:BJ538" si="503">G513*H513</f>
        <v>0</v>
      </c>
    </row>
    <row r="514" spans="1:62" x14ac:dyDescent="0.2">
      <c r="A514" s="117" t="s">
        <v>468</v>
      </c>
      <c r="B514" s="117" t="s">
        <v>3427</v>
      </c>
      <c r="C514" s="304" t="s">
        <v>3426</v>
      </c>
      <c r="D514" s="305"/>
      <c r="E514" s="305"/>
      <c r="F514" s="117" t="s">
        <v>1644</v>
      </c>
      <c r="G514" s="116">
        <v>1</v>
      </c>
      <c r="H514" s="159"/>
      <c r="I514" s="108">
        <f t="shared" si="482"/>
        <v>0</v>
      </c>
      <c r="J514" s="108">
        <f t="shared" si="483"/>
        <v>0</v>
      </c>
      <c r="K514" s="108">
        <f t="shared" si="484"/>
        <v>0</v>
      </c>
      <c r="L514" s="111" t="s">
        <v>1671</v>
      </c>
      <c r="Z514" s="100">
        <f t="shared" si="485"/>
        <v>0</v>
      </c>
      <c r="AB514" s="100">
        <f t="shared" si="486"/>
        <v>0</v>
      </c>
      <c r="AC514" s="100">
        <f t="shared" si="487"/>
        <v>0</v>
      </c>
      <c r="AD514" s="100">
        <f t="shared" si="488"/>
        <v>0</v>
      </c>
      <c r="AE514" s="100">
        <f t="shared" si="489"/>
        <v>0</v>
      </c>
      <c r="AF514" s="100">
        <f t="shared" si="490"/>
        <v>0</v>
      </c>
      <c r="AG514" s="100">
        <f t="shared" si="491"/>
        <v>0</v>
      </c>
      <c r="AH514" s="100">
        <f t="shared" si="492"/>
        <v>0</v>
      </c>
      <c r="AI514" s="109"/>
      <c r="AJ514" s="108">
        <f t="shared" si="493"/>
        <v>0</v>
      </c>
      <c r="AK514" s="108">
        <f t="shared" si="494"/>
        <v>0</v>
      </c>
      <c r="AL514" s="108">
        <f t="shared" si="495"/>
        <v>0</v>
      </c>
      <c r="AN514" s="100">
        <v>15</v>
      </c>
      <c r="AO514" s="100">
        <f>H514*0</f>
        <v>0</v>
      </c>
      <c r="AP514" s="100">
        <f>H514*(1-0)</f>
        <v>0</v>
      </c>
      <c r="AQ514" s="111" t="s">
        <v>13</v>
      </c>
      <c r="AV514" s="100">
        <f t="shared" si="496"/>
        <v>0</v>
      </c>
      <c r="AW514" s="100">
        <f t="shared" si="497"/>
        <v>0</v>
      </c>
      <c r="AX514" s="100">
        <f t="shared" si="498"/>
        <v>0</v>
      </c>
      <c r="AY514" s="110" t="s">
        <v>1717</v>
      </c>
      <c r="AZ514" s="110" t="s">
        <v>1734</v>
      </c>
      <c r="BA514" s="109" t="s">
        <v>1737</v>
      </c>
      <c r="BC514" s="100">
        <f t="shared" si="499"/>
        <v>0</v>
      </c>
      <c r="BD514" s="100">
        <f t="shared" si="500"/>
        <v>0</v>
      </c>
      <c r="BE514" s="100">
        <v>0</v>
      </c>
      <c r="BF514" s="100">
        <f>514</f>
        <v>514</v>
      </c>
      <c r="BH514" s="108">
        <f t="shared" si="501"/>
        <v>0</v>
      </c>
      <c r="BI514" s="108">
        <f t="shared" si="502"/>
        <v>0</v>
      </c>
      <c r="BJ514" s="108">
        <f t="shared" si="503"/>
        <v>0</v>
      </c>
    </row>
    <row r="515" spans="1:62" x14ac:dyDescent="0.2">
      <c r="A515" s="117" t="s">
        <v>469</v>
      </c>
      <c r="B515" s="117" t="s">
        <v>3425</v>
      </c>
      <c r="C515" s="304" t="s">
        <v>3424</v>
      </c>
      <c r="D515" s="305"/>
      <c r="E515" s="305"/>
      <c r="F515" s="117" t="s">
        <v>1646</v>
      </c>
      <c r="G515" s="116">
        <v>10</v>
      </c>
      <c r="H515" s="159"/>
      <c r="I515" s="108">
        <f t="shared" si="482"/>
        <v>0</v>
      </c>
      <c r="J515" s="108">
        <f t="shared" si="483"/>
        <v>0</v>
      </c>
      <c r="K515" s="108">
        <f t="shared" si="484"/>
        <v>0</v>
      </c>
      <c r="L515" s="111" t="s">
        <v>1671</v>
      </c>
      <c r="Z515" s="100">
        <f t="shared" si="485"/>
        <v>0</v>
      </c>
      <c r="AB515" s="100">
        <f t="shared" si="486"/>
        <v>0</v>
      </c>
      <c r="AC515" s="100">
        <f t="shared" si="487"/>
        <v>0</v>
      </c>
      <c r="AD515" s="100">
        <f t="shared" si="488"/>
        <v>0</v>
      </c>
      <c r="AE515" s="100">
        <f t="shared" si="489"/>
        <v>0</v>
      </c>
      <c r="AF515" s="100">
        <f t="shared" si="490"/>
        <v>0</v>
      </c>
      <c r="AG515" s="100">
        <f t="shared" si="491"/>
        <v>0</v>
      </c>
      <c r="AH515" s="100">
        <f t="shared" si="492"/>
        <v>0</v>
      </c>
      <c r="AI515" s="109"/>
      <c r="AJ515" s="108">
        <f t="shared" si="493"/>
        <v>0</v>
      </c>
      <c r="AK515" s="108">
        <f t="shared" si="494"/>
        <v>0</v>
      </c>
      <c r="AL515" s="108">
        <f t="shared" si="495"/>
        <v>0</v>
      </c>
      <c r="AN515" s="100">
        <v>15</v>
      </c>
      <c r="AO515" s="100">
        <f>H515*0</f>
        <v>0</v>
      </c>
      <c r="AP515" s="100">
        <f>H515*(1-0)</f>
        <v>0</v>
      </c>
      <c r="AQ515" s="111" t="s">
        <v>13</v>
      </c>
      <c r="AV515" s="100">
        <f t="shared" si="496"/>
        <v>0</v>
      </c>
      <c r="AW515" s="100">
        <f t="shared" si="497"/>
        <v>0</v>
      </c>
      <c r="AX515" s="100">
        <f t="shared" si="498"/>
        <v>0</v>
      </c>
      <c r="AY515" s="110" t="s">
        <v>1717</v>
      </c>
      <c r="AZ515" s="110" t="s">
        <v>1734</v>
      </c>
      <c r="BA515" s="109" t="s">
        <v>1737</v>
      </c>
      <c r="BC515" s="100">
        <f t="shared" si="499"/>
        <v>0</v>
      </c>
      <c r="BD515" s="100">
        <f t="shared" si="500"/>
        <v>0</v>
      </c>
      <c r="BE515" s="100">
        <v>0</v>
      </c>
      <c r="BF515" s="100">
        <f>515</f>
        <v>515</v>
      </c>
      <c r="BH515" s="108">
        <f t="shared" si="501"/>
        <v>0</v>
      </c>
      <c r="BI515" s="108">
        <f t="shared" si="502"/>
        <v>0</v>
      </c>
      <c r="BJ515" s="108">
        <f t="shared" si="503"/>
        <v>0</v>
      </c>
    </row>
    <row r="516" spans="1:62" x14ac:dyDescent="0.2">
      <c r="A516" s="117" t="s">
        <v>470</v>
      </c>
      <c r="B516" s="117" t="s">
        <v>3423</v>
      </c>
      <c r="C516" s="304" t="s">
        <v>3422</v>
      </c>
      <c r="D516" s="305"/>
      <c r="E516" s="305"/>
      <c r="F516" s="117" t="s">
        <v>1644</v>
      </c>
      <c r="G516" s="116">
        <v>1</v>
      </c>
      <c r="H516" s="159"/>
      <c r="I516" s="108">
        <f t="shared" si="482"/>
        <v>0</v>
      </c>
      <c r="J516" s="108">
        <f t="shared" si="483"/>
        <v>0</v>
      </c>
      <c r="K516" s="108">
        <f t="shared" si="484"/>
        <v>0</v>
      </c>
      <c r="L516" s="111" t="s">
        <v>1671</v>
      </c>
      <c r="Z516" s="100">
        <f t="shared" si="485"/>
        <v>0</v>
      </c>
      <c r="AB516" s="100">
        <f t="shared" si="486"/>
        <v>0</v>
      </c>
      <c r="AC516" s="100">
        <f t="shared" si="487"/>
        <v>0</v>
      </c>
      <c r="AD516" s="100">
        <f t="shared" si="488"/>
        <v>0</v>
      </c>
      <c r="AE516" s="100">
        <f t="shared" si="489"/>
        <v>0</v>
      </c>
      <c r="AF516" s="100">
        <f t="shared" si="490"/>
        <v>0</v>
      </c>
      <c r="AG516" s="100">
        <f t="shared" si="491"/>
        <v>0</v>
      </c>
      <c r="AH516" s="100">
        <f t="shared" si="492"/>
        <v>0</v>
      </c>
      <c r="AI516" s="109"/>
      <c r="AJ516" s="108">
        <f t="shared" si="493"/>
        <v>0</v>
      </c>
      <c r="AK516" s="108">
        <f t="shared" si="494"/>
        <v>0</v>
      </c>
      <c r="AL516" s="108">
        <f t="shared" si="495"/>
        <v>0</v>
      </c>
      <c r="AN516" s="100">
        <v>15</v>
      </c>
      <c r="AO516" s="100">
        <f>H516*0</f>
        <v>0</v>
      </c>
      <c r="AP516" s="100">
        <f>H516*(1-0)</f>
        <v>0</v>
      </c>
      <c r="AQ516" s="111" t="s">
        <v>13</v>
      </c>
      <c r="AV516" s="100">
        <f t="shared" si="496"/>
        <v>0</v>
      </c>
      <c r="AW516" s="100">
        <f t="shared" si="497"/>
        <v>0</v>
      </c>
      <c r="AX516" s="100">
        <f t="shared" si="498"/>
        <v>0</v>
      </c>
      <c r="AY516" s="110" t="s">
        <v>1717</v>
      </c>
      <c r="AZ516" s="110" t="s">
        <v>1734</v>
      </c>
      <c r="BA516" s="109" t="s">
        <v>1737</v>
      </c>
      <c r="BC516" s="100">
        <f t="shared" si="499"/>
        <v>0</v>
      </c>
      <c r="BD516" s="100">
        <f t="shared" si="500"/>
        <v>0</v>
      </c>
      <c r="BE516" s="100">
        <v>0</v>
      </c>
      <c r="BF516" s="100">
        <f>516</f>
        <v>516</v>
      </c>
      <c r="BH516" s="108">
        <f t="shared" si="501"/>
        <v>0</v>
      </c>
      <c r="BI516" s="108">
        <f t="shared" si="502"/>
        <v>0</v>
      </c>
      <c r="BJ516" s="108">
        <f t="shared" si="503"/>
        <v>0</v>
      </c>
    </row>
    <row r="517" spans="1:62" x14ac:dyDescent="0.2">
      <c r="A517" s="117" t="s">
        <v>471</v>
      </c>
      <c r="B517" s="117" t="s">
        <v>3421</v>
      </c>
      <c r="C517" s="304" t="s">
        <v>3420</v>
      </c>
      <c r="D517" s="305"/>
      <c r="E517" s="305"/>
      <c r="F517" s="117" t="s">
        <v>1644</v>
      </c>
      <c r="G517" s="116">
        <v>1</v>
      </c>
      <c r="H517" s="159"/>
      <c r="I517" s="108">
        <f t="shared" si="482"/>
        <v>0</v>
      </c>
      <c r="J517" s="108">
        <f t="shared" si="483"/>
        <v>0</v>
      </c>
      <c r="K517" s="108">
        <f t="shared" si="484"/>
        <v>0</v>
      </c>
      <c r="L517" s="111" t="s">
        <v>1671</v>
      </c>
      <c r="Z517" s="100">
        <f t="shared" si="485"/>
        <v>0</v>
      </c>
      <c r="AB517" s="100">
        <f t="shared" si="486"/>
        <v>0</v>
      </c>
      <c r="AC517" s="100">
        <f t="shared" si="487"/>
        <v>0</v>
      </c>
      <c r="AD517" s="100">
        <f t="shared" si="488"/>
        <v>0</v>
      </c>
      <c r="AE517" s="100">
        <f t="shared" si="489"/>
        <v>0</v>
      </c>
      <c r="AF517" s="100">
        <f t="shared" si="490"/>
        <v>0</v>
      </c>
      <c r="AG517" s="100">
        <f t="shared" si="491"/>
        <v>0</v>
      </c>
      <c r="AH517" s="100">
        <f t="shared" si="492"/>
        <v>0</v>
      </c>
      <c r="AI517" s="109"/>
      <c r="AJ517" s="108">
        <f t="shared" si="493"/>
        <v>0</v>
      </c>
      <c r="AK517" s="108">
        <f t="shared" si="494"/>
        <v>0</v>
      </c>
      <c r="AL517" s="108">
        <f t="shared" si="495"/>
        <v>0</v>
      </c>
      <c r="AN517" s="100">
        <v>15</v>
      </c>
      <c r="AO517" s="100">
        <f>H517*0.1341</f>
        <v>0</v>
      </c>
      <c r="AP517" s="100">
        <f>H517*(1-0.1341)</f>
        <v>0</v>
      </c>
      <c r="AQ517" s="111" t="s">
        <v>13</v>
      </c>
      <c r="AV517" s="100">
        <f t="shared" si="496"/>
        <v>0</v>
      </c>
      <c r="AW517" s="100">
        <f t="shared" si="497"/>
        <v>0</v>
      </c>
      <c r="AX517" s="100">
        <f t="shared" si="498"/>
        <v>0</v>
      </c>
      <c r="AY517" s="110" t="s">
        <v>1717</v>
      </c>
      <c r="AZ517" s="110" t="s">
        <v>1734</v>
      </c>
      <c r="BA517" s="109" t="s">
        <v>1737</v>
      </c>
      <c r="BC517" s="100">
        <f t="shared" si="499"/>
        <v>0</v>
      </c>
      <c r="BD517" s="100">
        <f t="shared" si="500"/>
        <v>0</v>
      </c>
      <c r="BE517" s="100">
        <v>0</v>
      </c>
      <c r="BF517" s="100">
        <f>517</f>
        <v>517</v>
      </c>
      <c r="BH517" s="108">
        <f t="shared" si="501"/>
        <v>0</v>
      </c>
      <c r="BI517" s="108">
        <f t="shared" si="502"/>
        <v>0</v>
      </c>
      <c r="BJ517" s="108">
        <f t="shared" si="503"/>
        <v>0</v>
      </c>
    </row>
    <row r="518" spans="1:62" x14ac:dyDescent="0.2">
      <c r="A518" s="117" t="s">
        <v>472</v>
      </c>
      <c r="B518" s="117" t="s">
        <v>908</v>
      </c>
      <c r="C518" s="304" t="s">
        <v>3419</v>
      </c>
      <c r="D518" s="305"/>
      <c r="E518" s="305"/>
      <c r="F518" s="117" t="s">
        <v>1644</v>
      </c>
      <c r="G518" s="116">
        <v>2</v>
      </c>
      <c r="H518" s="159"/>
      <c r="I518" s="108">
        <f t="shared" si="482"/>
        <v>0</v>
      </c>
      <c r="J518" s="108">
        <f t="shared" si="483"/>
        <v>0</v>
      </c>
      <c r="K518" s="108">
        <f t="shared" si="484"/>
        <v>0</v>
      </c>
      <c r="L518" s="111" t="s">
        <v>1671</v>
      </c>
      <c r="Z518" s="100">
        <f t="shared" si="485"/>
        <v>0</v>
      </c>
      <c r="AB518" s="100">
        <f t="shared" si="486"/>
        <v>0</v>
      </c>
      <c r="AC518" s="100">
        <f t="shared" si="487"/>
        <v>0</v>
      </c>
      <c r="AD518" s="100">
        <f t="shared" si="488"/>
        <v>0</v>
      </c>
      <c r="AE518" s="100">
        <f t="shared" si="489"/>
        <v>0</v>
      </c>
      <c r="AF518" s="100">
        <f t="shared" si="490"/>
        <v>0</v>
      </c>
      <c r="AG518" s="100">
        <f t="shared" si="491"/>
        <v>0</v>
      </c>
      <c r="AH518" s="100">
        <f t="shared" si="492"/>
        <v>0</v>
      </c>
      <c r="AI518" s="109"/>
      <c r="AJ518" s="108">
        <f t="shared" si="493"/>
        <v>0</v>
      </c>
      <c r="AK518" s="108">
        <f t="shared" si="494"/>
        <v>0</v>
      </c>
      <c r="AL518" s="108">
        <f t="shared" si="495"/>
        <v>0</v>
      </c>
      <c r="AN518" s="100">
        <v>15</v>
      </c>
      <c r="AO518" s="100">
        <f>H518*0.0305007936507936</f>
        <v>0</v>
      </c>
      <c r="AP518" s="100">
        <f>H518*(1-0.0305007936507936)</f>
        <v>0</v>
      </c>
      <c r="AQ518" s="111" t="s">
        <v>13</v>
      </c>
      <c r="AV518" s="100">
        <f t="shared" si="496"/>
        <v>0</v>
      </c>
      <c r="AW518" s="100">
        <f t="shared" si="497"/>
        <v>0</v>
      </c>
      <c r="AX518" s="100">
        <f t="shared" si="498"/>
        <v>0</v>
      </c>
      <c r="AY518" s="110" t="s">
        <v>1717</v>
      </c>
      <c r="AZ518" s="110" t="s">
        <v>1734</v>
      </c>
      <c r="BA518" s="109" t="s">
        <v>1737</v>
      </c>
      <c r="BC518" s="100">
        <f t="shared" si="499"/>
        <v>0</v>
      </c>
      <c r="BD518" s="100">
        <f t="shared" si="500"/>
        <v>0</v>
      </c>
      <c r="BE518" s="100">
        <v>0</v>
      </c>
      <c r="BF518" s="100">
        <f>518</f>
        <v>518</v>
      </c>
      <c r="BH518" s="108">
        <f t="shared" si="501"/>
        <v>0</v>
      </c>
      <c r="BI518" s="108">
        <f t="shared" si="502"/>
        <v>0</v>
      </c>
      <c r="BJ518" s="108">
        <f t="shared" si="503"/>
        <v>0</v>
      </c>
    </row>
    <row r="519" spans="1:62" x14ac:dyDescent="0.2">
      <c r="A519" s="117" t="s">
        <v>473</v>
      </c>
      <c r="B519" s="117" t="s">
        <v>913</v>
      </c>
      <c r="C519" s="304" t="s">
        <v>3418</v>
      </c>
      <c r="D519" s="305"/>
      <c r="E519" s="305"/>
      <c r="F519" s="117" t="s">
        <v>1644</v>
      </c>
      <c r="G519" s="116">
        <v>19</v>
      </c>
      <c r="H519" s="159"/>
      <c r="I519" s="108">
        <f t="shared" si="482"/>
        <v>0</v>
      </c>
      <c r="J519" s="108">
        <f t="shared" si="483"/>
        <v>0</v>
      </c>
      <c r="K519" s="108">
        <f t="shared" si="484"/>
        <v>0</v>
      </c>
      <c r="L519" s="111" t="s">
        <v>1671</v>
      </c>
      <c r="Z519" s="100">
        <f t="shared" si="485"/>
        <v>0</v>
      </c>
      <c r="AB519" s="100">
        <f t="shared" si="486"/>
        <v>0</v>
      </c>
      <c r="AC519" s="100">
        <f t="shared" si="487"/>
        <v>0</v>
      </c>
      <c r="AD519" s="100">
        <f t="shared" si="488"/>
        <v>0</v>
      </c>
      <c r="AE519" s="100">
        <f t="shared" si="489"/>
        <v>0</v>
      </c>
      <c r="AF519" s="100">
        <f t="shared" si="490"/>
        <v>0</v>
      </c>
      <c r="AG519" s="100">
        <f t="shared" si="491"/>
        <v>0</v>
      </c>
      <c r="AH519" s="100">
        <f t="shared" si="492"/>
        <v>0</v>
      </c>
      <c r="AI519" s="109"/>
      <c r="AJ519" s="108">
        <f t="shared" si="493"/>
        <v>0</v>
      </c>
      <c r="AK519" s="108">
        <f t="shared" si="494"/>
        <v>0</v>
      </c>
      <c r="AL519" s="108">
        <f t="shared" si="495"/>
        <v>0</v>
      </c>
      <c r="AN519" s="100">
        <v>15</v>
      </c>
      <c r="AO519" s="100">
        <f t="shared" ref="AO519:AO529" si="504">H519*0</f>
        <v>0</v>
      </c>
      <c r="AP519" s="100">
        <f t="shared" ref="AP519:AP529" si="505">H519*(1-0)</f>
        <v>0</v>
      </c>
      <c r="AQ519" s="111" t="s">
        <v>13</v>
      </c>
      <c r="AV519" s="100">
        <f t="shared" si="496"/>
        <v>0</v>
      </c>
      <c r="AW519" s="100">
        <f t="shared" si="497"/>
        <v>0</v>
      </c>
      <c r="AX519" s="100">
        <f t="shared" si="498"/>
        <v>0</v>
      </c>
      <c r="AY519" s="110" t="s">
        <v>1717</v>
      </c>
      <c r="AZ519" s="110" t="s">
        <v>1734</v>
      </c>
      <c r="BA519" s="109" t="s">
        <v>1737</v>
      </c>
      <c r="BC519" s="100">
        <f t="shared" si="499"/>
        <v>0</v>
      </c>
      <c r="BD519" s="100">
        <f t="shared" si="500"/>
        <v>0</v>
      </c>
      <c r="BE519" s="100">
        <v>0</v>
      </c>
      <c r="BF519" s="100">
        <f>519</f>
        <v>519</v>
      </c>
      <c r="BH519" s="108">
        <f t="shared" si="501"/>
        <v>0</v>
      </c>
      <c r="BI519" s="108">
        <f t="shared" si="502"/>
        <v>0</v>
      </c>
      <c r="BJ519" s="108">
        <f t="shared" si="503"/>
        <v>0</v>
      </c>
    </row>
    <row r="520" spans="1:62" x14ac:dyDescent="0.2">
      <c r="A520" s="117" t="s">
        <v>474</v>
      </c>
      <c r="B520" s="117" t="s">
        <v>3417</v>
      </c>
      <c r="C520" s="304" t="s">
        <v>3416</v>
      </c>
      <c r="D520" s="305"/>
      <c r="E520" s="305"/>
      <c r="F520" s="117" t="s">
        <v>1644</v>
      </c>
      <c r="G520" s="116">
        <v>1</v>
      </c>
      <c r="H520" s="159"/>
      <c r="I520" s="108">
        <f t="shared" si="482"/>
        <v>0</v>
      </c>
      <c r="J520" s="108">
        <f t="shared" si="483"/>
        <v>0</v>
      </c>
      <c r="K520" s="108">
        <f t="shared" si="484"/>
        <v>0</v>
      </c>
      <c r="L520" s="111" t="s">
        <v>1671</v>
      </c>
      <c r="Z520" s="100">
        <f t="shared" si="485"/>
        <v>0</v>
      </c>
      <c r="AB520" s="100">
        <f t="shared" si="486"/>
        <v>0</v>
      </c>
      <c r="AC520" s="100">
        <f t="shared" si="487"/>
        <v>0</v>
      </c>
      <c r="AD520" s="100">
        <f t="shared" si="488"/>
        <v>0</v>
      </c>
      <c r="AE520" s="100">
        <f t="shared" si="489"/>
        <v>0</v>
      </c>
      <c r="AF520" s="100">
        <f t="shared" si="490"/>
        <v>0</v>
      </c>
      <c r="AG520" s="100">
        <f t="shared" si="491"/>
        <v>0</v>
      </c>
      <c r="AH520" s="100">
        <f t="shared" si="492"/>
        <v>0</v>
      </c>
      <c r="AI520" s="109"/>
      <c r="AJ520" s="108">
        <f t="shared" si="493"/>
        <v>0</v>
      </c>
      <c r="AK520" s="108">
        <f t="shared" si="494"/>
        <v>0</v>
      </c>
      <c r="AL520" s="108">
        <f t="shared" si="495"/>
        <v>0</v>
      </c>
      <c r="AN520" s="100">
        <v>15</v>
      </c>
      <c r="AO520" s="100">
        <f t="shared" si="504"/>
        <v>0</v>
      </c>
      <c r="AP520" s="100">
        <f t="shared" si="505"/>
        <v>0</v>
      </c>
      <c r="AQ520" s="111" t="s">
        <v>13</v>
      </c>
      <c r="AV520" s="100">
        <f t="shared" si="496"/>
        <v>0</v>
      </c>
      <c r="AW520" s="100">
        <f t="shared" si="497"/>
        <v>0</v>
      </c>
      <c r="AX520" s="100">
        <f t="shared" si="498"/>
        <v>0</v>
      </c>
      <c r="AY520" s="110" t="s">
        <v>1717</v>
      </c>
      <c r="AZ520" s="110" t="s">
        <v>1734</v>
      </c>
      <c r="BA520" s="109" t="s">
        <v>1737</v>
      </c>
      <c r="BC520" s="100">
        <f t="shared" si="499"/>
        <v>0</v>
      </c>
      <c r="BD520" s="100">
        <f t="shared" si="500"/>
        <v>0</v>
      </c>
      <c r="BE520" s="100">
        <v>0</v>
      </c>
      <c r="BF520" s="100">
        <f>520</f>
        <v>520</v>
      </c>
      <c r="BH520" s="108">
        <f t="shared" si="501"/>
        <v>0</v>
      </c>
      <c r="BI520" s="108">
        <f t="shared" si="502"/>
        <v>0</v>
      </c>
      <c r="BJ520" s="108">
        <f t="shared" si="503"/>
        <v>0</v>
      </c>
    </row>
    <row r="521" spans="1:62" x14ac:dyDescent="0.2">
      <c r="A521" s="117" t="s">
        <v>475</v>
      </c>
      <c r="B521" s="117" t="s">
        <v>3415</v>
      </c>
      <c r="C521" s="304" t="s">
        <v>3414</v>
      </c>
      <c r="D521" s="305"/>
      <c r="E521" s="305"/>
      <c r="F521" s="117" t="s">
        <v>1644</v>
      </c>
      <c r="G521" s="116">
        <v>10</v>
      </c>
      <c r="H521" s="159"/>
      <c r="I521" s="108">
        <f t="shared" si="482"/>
        <v>0</v>
      </c>
      <c r="J521" s="108">
        <f t="shared" si="483"/>
        <v>0</v>
      </c>
      <c r="K521" s="108">
        <f t="shared" si="484"/>
        <v>0</v>
      </c>
      <c r="L521" s="111" t="s">
        <v>1671</v>
      </c>
      <c r="Z521" s="100">
        <f t="shared" si="485"/>
        <v>0</v>
      </c>
      <c r="AB521" s="100">
        <f t="shared" si="486"/>
        <v>0</v>
      </c>
      <c r="AC521" s="100">
        <f t="shared" si="487"/>
        <v>0</v>
      </c>
      <c r="AD521" s="100">
        <f t="shared" si="488"/>
        <v>0</v>
      </c>
      <c r="AE521" s="100">
        <f t="shared" si="489"/>
        <v>0</v>
      </c>
      <c r="AF521" s="100">
        <f t="shared" si="490"/>
        <v>0</v>
      </c>
      <c r="AG521" s="100">
        <f t="shared" si="491"/>
        <v>0</v>
      </c>
      <c r="AH521" s="100">
        <f t="shared" si="492"/>
        <v>0</v>
      </c>
      <c r="AI521" s="109"/>
      <c r="AJ521" s="108">
        <f t="shared" si="493"/>
        <v>0</v>
      </c>
      <c r="AK521" s="108">
        <f t="shared" si="494"/>
        <v>0</v>
      </c>
      <c r="AL521" s="108">
        <f t="shared" si="495"/>
        <v>0</v>
      </c>
      <c r="AN521" s="100">
        <v>15</v>
      </c>
      <c r="AO521" s="100">
        <f t="shared" si="504"/>
        <v>0</v>
      </c>
      <c r="AP521" s="100">
        <f t="shared" si="505"/>
        <v>0</v>
      </c>
      <c r="AQ521" s="111" t="s">
        <v>13</v>
      </c>
      <c r="AV521" s="100">
        <f t="shared" si="496"/>
        <v>0</v>
      </c>
      <c r="AW521" s="100">
        <f t="shared" si="497"/>
        <v>0</v>
      </c>
      <c r="AX521" s="100">
        <f t="shared" si="498"/>
        <v>0</v>
      </c>
      <c r="AY521" s="110" t="s">
        <v>1717</v>
      </c>
      <c r="AZ521" s="110" t="s">
        <v>1734</v>
      </c>
      <c r="BA521" s="109" t="s">
        <v>1737</v>
      </c>
      <c r="BC521" s="100">
        <f t="shared" si="499"/>
        <v>0</v>
      </c>
      <c r="BD521" s="100">
        <f t="shared" si="500"/>
        <v>0</v>
      </c>
      <c r="BE521" s="100">
        <v>0</v>
      </c>
      <c r="BF521" s="100">
        <f>521</f>
        <v>521</v>
      </c>
      <c r="BH521" s="108">
        <f t="shared" si="501"/>
        <v>0</v>
      </c>
      <c r="BI521" s="108">
        <f t="shared" si="502"/>
        <v>0</v>
      </c>
      <c r="BJ521" s="108">
        <f t="shared" si="503"/>
        <v>0</v>
      </c>
    </row>
    <row r="522" spans="1:62" x14ac:dyDescent="0.2">
      <c r="A522" s="117" t="s">
        <v>476</v>
      </c>
      <c r="B522" s="117" t="s">
        <v>3413</v>
      </c>
      <c r="C522" s="304" t="s">
        <v>3412</v>
      </c>
      <c r="D522" s="305"/>
      <c r="E522" s="305"/>
      <c r="F522" s="117" t="s">
        <v>1644</v>
      </c>
      <c r="G522" s="116">
        <v>1</v>
      </c>
      <c r="H522" s="159"/>
      <c r="I522" s="108">
        <f t="shared" si="482"/>
        <v>0</v>
      </c>
      <c r="J522" s="108">
        <f t="shared" si="483"/>
        <v>0</v>
      </c>
      <c r="K522" s="108">
        <f t="shared" si="484"/>
        <v>0</v>
      </c>
      <c r="L522" s="111" t="s">
        <v>1671</v>
      </c>
      <c r="Z522" s="100">
        <f t="shared" si="485"/>
        <v>0</v>
      </c>
      <c r="AB522" s="100">
        <f t="shared" si="486"/>
        <v>0</v>
      </c>
      <c r="AC522" s="100">
        <f t="shared" si="487"/>
        <v>0</v>
      </c>
      <c r="AD522" s="100">
        <f t="shared" si="488"/>
        <v>0</v>
      </c>
      <c r="AE522" s="100">
        <f t="shared" si="489"/>
        <v>0</v>
      </c>
      <c r="AF522" s="100">
        <f t="shared" si="490"/>
        <v>0</v>
      </c>
      <c r="AG522" s="100">
        <f t="shared" si="491"/>
        <v>0</v>
      </c>
      <c r="AH522" s="100">
        <f t="shared" si="492"/>
        <v>0</v>
      </c>
      <c r="AI522" s="109"/>
      <c r="AJ522" s="108">
        <f t="shared" si="493"/>
        <v>0</v>
      </c>
      <c r="AK522" s="108">
        <f t="shared" si="494"/>
        <v>0</v>
      </c>
      <c r="AL522" s="108">
        <f t="shared" si="495"/>
        <v>0</v>
      </c>
      <c r="AN522" s="100">
        <v>15</v>
      </c>
      <c r="AO522" s="100">
        <f t="shared" si="504"/>
        <v>0</v>
      </c>
      <c r="AP522" s="100">
        <f t="shared" si="505"/>
        <v>0</v>
      </c>
      <c r="AQ522" s="111" t="s">
        <v>13</v>
      </c>
      <c r="AV522" s="100">
        <f t="shared" si="496"/>
        <v>0</v>
      </c>
      <c r="AW522" s="100">
        <f t="shared" si="497"/>
        <v>0</v>
      </c>
      <c r="AX522" s="100">
        <f t="shared" si="498"/>
        <v>0</v>
      </c>
      <c r="AY522" s="110" t="s">
        <v>1717</v>
      </c>
      <c r="AZ522" s="110" t="s">
        <v>1734</v>
      </c>
      <c r="BA522" s="109" t="s">
        <v>1737</v>
      </c>
      <c r="BC522" s="100">
        <f t="shared" si="499"/>
        <v>0</v>
      </c>
      <c r="BD522" s="100">
        <f t="shared" si="500"/>
        <v>0</v>
      </c>
      <c r="BE522" s="100">
        <v>0</v>
      </c>
      <c r="BF522" s="100">
        <f>522</f>
        <v>522</v>
      </c>
      <c r="BH522" s="108">
        <f t="shared" si="501"/>
        <v>0</v>
      </c>
      <c r="BI522" s="108">
        <f t="shared" si="502"/>
        <v>0</v>
      </c>
      <c r="BJ522" s="108">
        <f t="shared" si="503"/>
        <v>0</v>
      </c>
    </row>
    <row r="523" spans="1:62" x14ac:dyDescent="0.2">
      <c r="A523" s="117" t="s">
        <v>477</v>
      </c>
      <c r="B523" s="117" t="s">
        <v>3411</v>
      </c>
      <c r="C523" s="304" t="s">
        <v>3410</v>
      </c>
      <c r="D523" s="305"/>
      <c r="E523" s="305"/>
      <c r="F523" s="117" t="s">
        <v>1644</v>
      </c>
      <c r="G523" s="116">
        <v>4</v>
      </c>
      <c r="H523" s="159"/>
      <c r="I523" s="108">
        <f t="shared" si="482"/>
        <v>0</v>
      </c>
      <c r="J523" s="108">
        <f t="shared" si="483"/>
        <v>0</v>
      </c>
      <c r="K523" s="108">
        <f t="shared" si="484"/>
        <v>0</v>
      </c>
      <c r="L523" s="111" t="s">
        <v>1671</v>
      </c>
      <c r="Z523" s="100">
        <f t="shared" si="485"/>
        <v>0</v>
      </c>
      <c r="AB523" s="100">
        <f t="shared" si="486"/>
        <v>0</v>
      </c>
      <c r="AC523" s="100">
        <f t="shared" si="487"/>
        <v>0</v>
      </c>
      <c r="AD523" s="100">
        <f t="shared" si="488"/>
        <v>0</v>
      </c>
      <c r="AE523" s="100">
        <f t="shared" si="489"/>
        <v>0</v>
      </c>
      <c r="AF523" s="100">
        <f t="shared" si="490"/>
        <v>0</v>
      </c>
      <c r="AG523" s="100">
        <f t="shared" si="491"/>
        <v>0</v>
      </c>
      <c r="AH523" s="100">
        <f t="shared" si="492"/>
        <v>0</v>
      </c>
      <c r="AI523" s="109"/>
      <c r="AJ523" s="108">
        <f t="shared" si="493"/>
        <v>0</v>
      </c>
      <c r="AK523" s="108">
        <f t="shared" si="494"/>
        <v>0</v>
      </c>
      <c r="AL523" s="108">
        <f t="shared" si="495"/>
        <v>0</v>
      </c>
      <c r="AN523" s="100">
        <v>15</v>
      </c>
      <c r="AO523" s="100">
        <f t="shared" si="504"/>
        <v>0</v>
      </c>
      <c r="AP523" s="100">
        <f t="shared" si="505"/>
        <v>0</v>
      </c>
      <c r="AQ523" s="111" t="s">
        <v>13</v>
      </c>
      <c r="AV523" s="100">
        <f t="shared" si="496"/>
        <v>0</v>
      </c>
      <c r="AW523" s="100">
        <f t="shared" si="497"/>
        <v>0</v>
      </c>
      <c r="AX523" s="100">
        <f t="shared" si="498"/>
        <v>0</v>
      </c>
      <c r="AY523" s="110" t="s">
        <v>1717</v>
      </c>
      <c r="AZ523" s="110" t="s">
        <v>1734</v>
      </c>
      <c r="BA523" s="109" t="s">
        <v>1737</v>
      </c>
      <c r="BC523" s="100">
        <f t="shared" si="499"/>
        <v>0</v>
      </c>
      <c r="BD523" s="100">
        <f t="shared" si="500"/>
        <v>0</v>
      </c>
      <c r="BE523" s="100">
        <v>0</v>
      </c>
      <c r="BF523" s="100">
        <f>523</f>
        <v>523</v>
      </c>
      <c r="BH523" s="108">
        <f t="shared" si="501"/>
        <v>0</v>
      </c>
      <c r="BI523" s="108">
        <f t="shared" si="502"/>
        <v>0</v>
      </c>
      <c r="BJ523" s="108">
        <f t="shared" si="503"/>
        <v>0</v>
      </c>
    </row>
    <row r="524" spans="1:62" x14ac:dyDescent="0.2">
      <c r="A524" s="117" t="s">
        <v>478</v>
      </c>
      <c r="B524" s="117" t="s">
        <v>3409</v>
      </c>
      <c r="C524" s="304" t="s">
        <v>3408</v>
      </c>
      <c r="D524" s="305"/>
      <c r="E524" s="305"/>
      <c r="F524" s="117" t="s">
        <v>1644</v>
      </c>
      <c r="G524" s="116">
        <v>1</v>
      </c>
      <c r="H524" s="159"/>
      <c r="I524" s="108">
        <f t="shared" si="482"/>
        <v>0</v>
      </c>
      <c r="J524" s="108">
        <f t="shared" si="483"/>
        <v>0</v>
      </c>
      <c r="K524" s="108">
        <f t="shared" si="484"/>
        <v>0</v>
      </c>
      <c r="L524" s="111" t="s">
        <v>1671</v>
      </c>
      <c r="Z524" s="100">
        <f t="shared" si="485"/>
        <v>0</v>
      </c>
      <c r="AB524" s="100">
        <f t="shared" si="486"/>
        <v>0</v>
      </c>
      <c r="AC524" s="100">
        <f t="shared" si="487"/>
        <v>0</v>
      </c>
      <c r="AD524" s="100">
        <f t="shared" si="488"/>
        <v>0</v>
      </c>
      <c r="AE524" s="100">
        <f t="shared" si="489"/>
        <v>0</v>
      </c>
      <c r="AF524" s="100">
        <f t="shared" si="490"/>
        <v>0</v>
      </c>
      <c r="AG524" s="100">
        <f t="shared" si="491"/>
        <v>0</v>
      </c>
      <c r="AH524" s="100">
        <f t="shared" si="492"/>
        <v>0</v>
      </c>
      <c r="AI524" s="109"/>
      <c r="AJ524" s="108">
        <f t="shared" si="493"/>
        <v>0</v>
      </c>
      <c r="AK524" s="108">
        <f t="shared" si="494"/>
        <v>0</v>
      </c>
      <c r="AL524" s="108">
        <f t="shared" si="495"/>
        <v>0</v>
      </c>
      <c r="AN524" s="100">
        <v>15</v>
      </c>
      <c r="AO524" s="100">
        <f t="shared" si="504"/>
        <v>0</v>
      </c>
      <c r="AP524" s="100">
        <f t="shared" si="505"/>
        <v>0</v>
      </c>
      <c r="AQ524" s="111" t="s">
        <v>13</v>
      </c>
      <c r="AV524" s="100">
        <f t="shared" si="496"/>
        <v>0</v>
      </c>
      <c r="AW524" s="100">
        <f t="shared" si="497"/>
        <v>0</v>
      </c>
      <c r="AX524" s="100">
        <f t="shared" si="498"/>
        <v>0</v>
      </c>
      <c r="AY524" s="110" t="s">
        <v>1717</v>
      </c>
      <c r="AZ524" s="110" t="s">
        <v>1734</v>
      </c>
      <c r="BA524" s="109" t="s">
        <v>1737</v>
      </c>
      <c r="BC524" s="100">
        <f t="shared" si="499"/>
        <v>0</v>
      </c>
      <c r="BD524" s="100">
        <f t="shared" si="500"/>
        <v>0</v>
      </c>
      <c r="BE524" s="100">
        <v>0</v>
      </c>
      <c r="BF524" s="100">
        <f>524</f>
        <v>524</v>
      </c>
      <c r="BH524" s="108">
        <f t="shared" si="501"/>
        <v>0</v>
      </c>
      <c r="BI524" s="108">
        <f t="shared" si="502"/>
        <v>0</v>
      </c>
      <c r="BJ524" s="108">
        <f t="shared" si="503"/>
        <v>0</v>
      </c>
    </row>
    <row r="525" spans="1:62" x14ac:dyDescent="0.2">
      <c r="A525" s="117" t="s">
        <v>479</v>
      </c>
      <c r="B525" s="117" t="s">
        <v>3407</v>
      </c>
      <c r="C525" s="304" t="s">
        <v>3406</v>
      </c>
      <c r="D525" s="305"/>
      <c r="E525" s="305"/>
      <c r="F525" s="117" t="s">
        <v>1644</v>
      </c>
      <c r="G525" s="116">
        <v>1</v>
      </c>
      <c r="H525" s="159"/>
      <c r="I525" s="108">
        <f t="shared" si="482"/>
        <v>0</v>
      </c>
      <c r="J525" s="108">
        <f t="shared" si="483"/>
        <v>0</v>
      </c>
      <c r="K525" s="108">
        <f t="shared" si="484"/>
        <v>0</v>
      </c>
      <c r="L525" s="111" t="s">
        <v>1671</v>
      </c>
      <c r="Z525" s="100">
        <f t="shared" si="485"/>
        <v>0</v>
      </c>
      <c r="AB525" s="100">
        <f t="shared" si="486"/>
        <v>0</v>
      </c>
      <c r="AC525" s="100">
        <f t="shared" si="487"/>
        <v>0</v>
      </c>
      <c r="AD525" s="100">
        <f t="shared" si="488"/>
        <v>0</v>
      </c>
      <c r="AE525" s="100">
        <f t="shared" si="489"/>
        <v>0</v>
      </c>
      <c r="AF525" s="100">
        <f t="shared" si="490"/>
        <v>0</v>
      </c>
      <c r="AG525" s="100">
        <f t="shared" si="491"/>
        <v>0</v>
      </c>
      <c r="AH525" s="100">
        <f t="shared" si="492"/>
        <v>0</v>
      </c>
      <c r="AI525" s="109"/>
      <c r="AJ525" s="108">
        <f t="shared" si="493"/>
        <v>0</v>
      </c>
      <c r="AK525" s="108">
        <f t="shared" si="494"/>
        <v>0</v>
      </c>
      <c r="AL525" s="108">
        <f t="shared" si="495"/>
        <v>0</v>
      </c>
      <c r="AN525" s="100">
        <v>15</v>
      </c>
      <c r="AO525" s="100">
        <f t="shared" si="504"/>
        <v>0</v>
      </c>
      <c r="AP525" s="100">
        <f t="shared" si="505"/>
        <v>0</v>
      </c>
      <c r="AQ525" s="111" t="s">
        <v>13</v>
      </c>
      <c r="AV525" s="100">
        <f t="shared" si="496"/>
        <v>0</v>
      </c>
      <c r="AW525" s="100">
        <f t="shared" si="497"/>
        <v>0</v>
      </c>
      <c r="AX525" s="100">
        <f t="shared" si="498"/>
        <v>0</v>
      </c>
      <c r="AY525" s="110" t="s">
        <v>1717</v>
      </c>
      <c r="AZ525" s="110" t="s">
        <v>1734</v>
      </c>
      <c r="BA525" s="109" t="s">
        <v>1737</v>
      </c>
      <c r="BC525" s="100">
        <f t="shared" si="499"/>
        <v>0</v>
      </c>
      <c r="BD525" s="100">
        <f t="shared" si="500"/>
        <v>0</v>
      </c>
      <c r="BE525" s="100">
        <v>0</v>
      </c>
      <c r="BF525" s="100">
        <f>525</f>
        <v>525</v>
      </c>
      <c r="BH525" s="108">
        <f t="shared" si="501"/>
        <v>0</v>
      </c>
      <c r="BI525" s="108">
        <f t="shared" si="502"/>
        <v>0</v>
      </c>
      <c r="BJ525" s="108">
        <f t="shared" si="503"/>
        <v>0</v>
      </c>
    </row>
    <row r="526" spans="1:62" x14ac:dyDescent="0.2">
      <c r="A526" s="117" t="s">
        <v>480</v>
      </c>
      <c r="B526" s="117" t="s">
        <v>3405</v>
      </c>
      <c r="C526" s="304" t="s">
        <v>3404</v>
      </c>
      <c r="D526" s="305"/>
      <c r="E526" s="305"/>
      <c r="F526" s="117" t="s">
        <v>1644</v>
      </c>
      <c r="G526" s="116">
        <v>1</v>
      </c>
      <c r="H526" s="159"/>
      <c r="I526" s="108">
        <f t="shared" si="482"/>
        <v>0</v>
      </c>
      <c r="J526" s="108">
        <f t="shared" si="483"/>
        <v>0</v>
      </c>
      <c r="K526" s="108">
        <f t="shared" si="484"/>
        <v>0</v>
      </c>
      <c r="L526" s="111" t="s">
        <v>1671</v>
      </c>
      <c r="Z526" s="100">
        <f t="shared" si="485"/>
        <v>0</v>
      </c>
      <c r="AB526" s="100">
        <f t="shared" si="486"/>
        <v>0</v>
      </c>
      <c r="AC526" s="100">
        <f t="shared" si="487"/>
        <v>0</v>
      </c>
      <c r="AD526" s="100">
        <f t="shared" si="488"/>
        <v>0</v>
      </c>
      <c r="AE526" s="100">
        <f t="shared" si="489"/>
        <v>0</v>
      </c>
      <c r="AF526" s="100">
        <f t="shared" si="490"/>
        <v>0</v>
      </c>
      <c r="AG526" s="100">
        <f t="shared" si="491"/>
        <v>0</v>
      </c>
      <c r="AH526" s="100">
        <f t="shared" si="492"/>
        <v>0</v>
      </c>
      <c r="AI526" s="109"/>
      <c r="AJ526" s="108">
        <f t="shared" si="493"/>
        <v>0</v>
      </c>
      <c r="AK526" s="108">
        <f t="shared" si="494"/>
        <v>0</v>
      </c>
      <c r="AL526" s="108">
        <f t="shared" si="495"/>
        <v>0</v>
      </c>
      <c r="AN526" s="100">
        <v>15</v>
      </c>
      <c r="AO526" s="100">
        <f t="shared" si="504"/>
        <v>0</v>
      </c>
      <c r="AP526" s="100">
        <f t="shared" si="505"/>
        <v>0</v>
      </c>
      <c r="AQ526" s="111" t="s">
        <v>13</v>
      </c>
      <c r="AV526" s="100">
        <f t="shared" si="496"/>
        <v>0</v>
      </c>
      <c r="AW526" s="100">
        <f t="shared" si="497"/>
        <v>0</v>
      </c>
      <c r="AX526" s="100">
        <f t="shared" si="498"/>
        <v>0</v>
      </c>
      <c r="AY526" s="110" t="s">
        <v>1717</v>
      </c>
      <c r="AZ526" s="110" t="s">
        <v>1734</v>
      </c>
      <c r="BA526" s="109" t="s">
        <v>1737</v>
      </c>
      <c r="BC526" s="100">
        <f t="shared" si="499"/>
        <v>0</v>
      </c>
      <c r="BD526" s="100">
        <f t="shared" si="500"/>
        <v>0</v>
      </c>
      <c r="BE526" s="100">
        <v>0</v>
      </c>
      <c r="BF526" s="100">
        <f>526</f>
        <v>526</v>
      </c>
      <c r="BH526" s="108">
        <f t="shared" si="501"/>
        <v>0</v>
      </c>
      <c r="BI526" s="108">
        <f t="shared" si="502"/>
        <v>0</v>
      </c>
      <c r="BJ526" s="108">
        <f t="shared" si="503"/>
        <v>0</v>
      </c>
    </row>
    <row r="527" spans="1:62" x14ac:dyDescent="0.2">
      <c r="A527" s="117" t="s">
        <v>481</v>
      </c>
      <c r="B527" s="117" t="s">
        <v>914</v>
      </c>
      <c r="C527" s="304" t="s">
        <v>3403</v>
      </c>
      <c r="D527" s="305"/>
      <c r="E527" s="305"/>
      <c r="F527" s="117" t="s">
        <v>1644</v>
      </c>
      <c r="G527" s="116">
        <v>3</v>
      </c>
      <c r="H527" s="159"/>
      <c r="I527" s="108">
        <f t="shared" si="482"/>
        <v>0</v>
      </c>
      <c r="J527" s="108">
        <f t="shared" si="483"/>
        <v>0</v>
      </c>
      <c r="K527" s="108">
        <f t="shared" si="484"/>
        <v>0</v>
      </c>
      <c r="L527" s="111" t="s">
        <v>1671</v>
      </c>
      <c r="Z527" s="100">
        <f t="shared" si="485"/>
        <v>0</v>
      </c>
      <c r="AB527" s="100">
        <f t="shared" si="486"/>
        <v>0</v>
      </c>
      <c r="AC527" s="100">
        <f t="shared" si="487"/>
        <v>0</v>
      </c>
      <c r="AD527" s="100">
        <f t="shared" si="488"/>
        <v>0</v>
      </c>
      <c r="AE527" s="100">
        <f t="shared" si="489"/>
        <v>0</v>
      </c>
      <c r="AF527" s="100">
        <f t="shared" si="490"/>
        <v>0</v>
      </c>
      <c r="AG527" s="100">
        <f t="shared" si="491"/>
        <v>0</v>
      </c>
      <c r="AH527" s="100">
        <f t="shared" si="492"/>
        <v>0</v>
      </c>
      <c r="AI527" s="109"/>
      <c r="AJ527" s="108">
        <f t="shared" si="493"/>
        <v>0</v>
      </c>
      <c r="AK527" s="108">
        <f t="shared" si="494"/>
        <v>0</v>
      </c>
      <c r="AL527" s="108">
        <f t="shared" si="495"/>
        <v>0</v>
      </c>
      <c r="AN527" s="100">
        <v>15</v>
      </c>
      <c r="AO527" s="100">
        <f t="shared" si="504"/>
        <v>0</v>
      </c>
      <c r="AP527" s="100">
        <f t="shared" si="505"/>
        <v>0</v>
      </c>
      <c r="AQ527" s="111" t="s">
        <v>13</v>
      </c>
      <c r="AV527" s="100">
        <f t="shared" si="496"/>
        <v>0</v>
      </c>
      <c r="AW527" s="100">
        <f t="shared" si="497"/>
        <v>0</v>
      </c>
      <c r="AX527" s="100">
        <f t="shared" si="498"/>
        <v>0</v>
      </c>
      <c r="AY527" s="110" t="s">
        <v>1717</v>
      </c>
      <c r="AZ527" s="110" t="s">
        <v>1734</v>
      </c>
      <c r="BA527" s="109" t="s">
        <v>1737</v>
      </c>
      <c r="BC527" s="100">
        <f t="shared" si="499"/>
        <v>0</v>
      </c>
      <c r="BD527" s="100">
        <f t="shared" si="500"/>
        <v>0</v>
      </c>
      <c r="BE527" s="100">
        <v>0</v>
      </c>
      <c r="BF527" s="100">
        <f>527</f>
        <v>527</v>
      </c>
      <c r="BH527" s="108">
        <f t="shared" si="501"/>
        <v>0</v>
      </c>
      <c r="BI527" s="108">
        <f t="shared" si="502"/>
        <v>0</v>
      </c>
      <c r="BJ527" s="108">
        <f t="shared" si="503"/>
        <v>0</v>
      </c>
    </row>
    <row r="528" spans="1:62" x14ac:dyDescent="0.2">
      <c r="A528" s="117" t="s">
        <v>482</v>
      </c>
      <c r="B528" s="117" t="s">
        <v>915</v>
      </c>
      <c r="C528" s="304" t="s">
        <v>1504</v>
      </c>
      <c r="D528" s="305"/>
      <c r="E528" s="305"/>
      <c r="F528" s="117" t="s">
        <v>1644</v>
      </c>
      <c r="G528" s="116">
        <v>4</v>
      </c>
      <c r="H528" s="159"/>
      <c r="I528" s="108">
        <f t="shared" si="482"/>
        <v>0</v>
      </c>
      <c r="J528" s="108">
        <f t="shared" si="483"/>
        <v>0</v>
      </c>
      <c r="K528" s="108">
        <f t="shared" si="484"/>
        <v>0</v>
      </c>
      <c r="L528" s="111" t="s">
        <v>1671</v>
      </c>
      <c r="Z528" s="100">
        <f t="shared" si="485"/>
        <v>0</v>
      </c>
      <c r="AB528" s="100">
        <f t="shared" si="486"/>
        <v>0</v>
      </c>
      <c r="AC528" s="100">
        <f t="shared" si="487"/>
        <v>0</v>
      </c>
      <c r="AD528" s="100">
        <f t="shared" si="488"/>
        <v>0</v>
      </c>
      <c r="AE528" s="100">
        <f t="shared" si="489"/>
        <v>0</v>
      </c>
      <c r="AF528" s="100">
        <f t="shared" si="490"/>
        <v>0</v>
      </c>
      <c r="AG528" s="100">
        <f t="shared" si="491"/>
        <v>0</v>
      </c>
      <c r="AH528" s="100">
        <f t="shared" si="492"/>
        <v>0</v>
      </c>
      <c r="AI528" s="109"/>
      <c r="AJ528" s="108">
        <f t="shared" si="493"/>
        <v>0</v>
      </c>
      <c r="AK528" s="108">
        <f t="shared" si="494"/>
        <v>0</v>
      </c>
      <c r="AL528" s="108">
        <f t="shared" si="495"/>
        <v>0</v>
      </c>
      <c r="AN528" s="100">
        <v>15</v>
      </c>
      <c r="AO528" s="100">
        <f t="shared" si="504"/>
        <v>0</v>
      </c>
      <c r="AP528" s="100">
        <f t="shared" si="505"/>
        <v>0</v>
      </c>
      <c r="AQ528" s="111" t="s">
        <v>13</v>
      </c>
      <c r="AV528" s="100">
        <f t="shared" si="496"/>
        <v>0</v>
      </c>
      <c r="AW528" s="100">
        <f t="shared" si="497"/>
        <v>0</v>
      </c>
      <c r="AX528" s="100">
        <f t="shared" si="498"/>
        <v>0</v>
      </c>
      <c r="AY528" s="110" t="s">
        <v>1717</v>
      </c>
      <c r="AZ528" s="110" t="s">
        <v>1734</v>
      </c>
      <c r="BA528" s="109" t="s">
        <v>1737</v>
      </c>
      <c r="BC528" s="100">
        <f t="shared" si="499"/>
        <v>0</v>
      </c>
      <c r="BD528" s="100">
        <f t="shared" si="500"/>
        <v>0</v>
      </c>
      <c r="BE528" s="100">
        <v>0</v>
      </c>
      <c r="BF528" s="100">
        <f>528</f>
        <v>528</v>
      </c>
      <c r="BH528" s="108">
        <f t="shared" si="501"/>
        <v>0</v>
      </c>
      <c r="BI528" s="108">
        <f t="shared" si="502"/>
        <v>0</v>
      </c>
      <c r="BJ528" s="108">
        <f t="shared" si="503"/>
        <v>0</v>
      </c>
    </row>
    <row r="529" spans="1:62" x14ac:dyDescent="0.2">
      <c r="A529" s="117" t="s">
        <v>483</v>
      </c>
      <c r="B529" s="117" t="s">
        <v>3402</v>
      </c>
      <c r="C529" s="304" t="s">
        <v>3401</v>
      </c>
      <c r="D529" s="305"/>
      <c r="E529" s="305"/>
      <c r="F529" s="117" t="s">
        <v>1644</v>
      </c>
      <c r="G529" s="116">
        <v>1</v>
      </c>
      <c r="H529" s="159"/>
      <c r="I529" s="108">
        <f t="shared" si="482"/>
        <v>0</v>
      </c>
      <c r="J529" s="108">
        <f t="shared" si="483"/>
        <v>0</v>
      </c>
      <c r="K529" s="108">
        <f t="shared" si="484"/>
        <v>0</v>
      </c>
      <c r="L529" s="111" t="s">
        <v>1671</v>
      </c>
      <c r="Z529" s="100">
        <f t="shared" si="485"/>
        <v>0</v>
      </c>
      <c r="AB529" s="100">
        <f t="shared" si="486"/>
        <v>0</v>
      </c>
      <c r="AC529" s="100">
        <f t="shared" si="487"/>
        <v>0</v>
      </c>
      <c r="AD529" s="100">
        <f t="shared" si="488"/>
        <v>0</v>
      </c>
      <c r="AE529" s="100">
        <f t="shared" si="489"/>
        <v>0</v>
      </c>
      <c r="AF529" s="100">
        <f t="shared" si="490"/>
        <v>0</v>
      </c>
      <c r="AG529" s="100">
        <f t="shared" si="491"/>
        <v>0</v>
      </c>
      <c r="AH529" s="100">
        <f t="shared" si="492"/>
        <v>0</v>
      </c>
      <c r="AI529" s="109"/>
      <c r="AJ529" s="108">
        <f t="shared" si="493"/>
        <v>0</v>
      </c>
      <c r="AK529" s="108">
        <f t="shared" si="494"/>
        <v>0</v>
      </c>
      <c r="AL529" s="108">
        <f t="shared" si="495"/>
        <v>0</v>
      </c>
      <c r="AN529" s="100">
        <v>15</v>
      </c>
      <c r="AO529" s="100">
        <f t="shared" si="504"/>
        <v>0</v>
      </c>
      <c r="AP529" s="100">
        <f t="shared" si="505"/>
        <v>0</v>
      </c>
      <c r="AQ529" s="111" t="s">
        <v>13</v>
      </c>
      <c r="AV529" s="100">
        <f t="shared" si="496"/>
        <v>0</v>
      </c>
      <c r="AW529" s="100">
        <f t="shared" si="497"/>
        <v>0</v>
      </c>
      <c r="AX529" s="100">
        <f t="shared" si="498"/>
        <v>0</v>
      </c>
      <c r="AY529" s="110" t="s">
        <v>1717</v>
      </c>
      <c r="AZ529" s="110" t="s">
        <v>1734</v>
      </c>
      <c r="BA529" s="109" t="s">
        <v>1737</v>
      </c>
      <c r="BC529" s="100">
        <f t="shared" si="499"/>
        <v>0</v>
      </c>
      <c r="BD529" s="100">
        <f t="shared" si="500"/>
        <v>0</v>
      </c>
      <c r="BE529" s="100">
        <v>0</v>
      </c>
      <c r="BF529" s="100">
        <f>529</f>
        <v>529</v>
      </c>
      <c r="BH529" s="108">
        <f t="shared" si="501"/>
        <v>0</v>
      </c>
      <c r="BI529" s="108">
        <f t="shared" si="502"/>
        <v>0</v>
      </c>
      <c r="BJ529" s="108">
        <f t="shared" si="503"/>
        <v>0</v>
      </c>
    </row>
    <row r="530" spans="1:62" x14ac:dyDescent="0.2">
      <c r="A530" s="117" t="s">
        <v>484</v>
      </c>
      <c r="B530" s="117" t="s">
        <v>3400</v>
      </c>
      <c r="C530" s="304" t="s">
        <v>3399</v>
      </c>
      <c r="D530" s="305"/>
      <c r="E530" s="305"/>
      <c r="F530" s="117" t="s">
        <v>1644</v>
      </c>
      <c r="G530" s="116">
        <v>1</v>
      </c>
      <c r="H530" s="159"/>
      <c r="I530" s="108">
        <f t="shared" si="482"/>
        <v>0</v>
      </c>
      <c r="J530" s="108">
        <f t="shared" si="483"/>
        <v>0</v>
      </c>
      <c r="K530" s="108">
        <f t="shared" si="484"/>
        <v>0</v>
      </c>
      <c r="L530" s="111" t="s">
        <v>1671</v>
      </c>
      <c r="Z530" s="100">
        <f t="shared" si="485"/>
        <v>0</v>
      </c>
      <c r="AB530" s="100">
        <f t="shared" si="486"/>
        <v>0</v>
      </c>
      <c r="AC530" s="100">
        <f t="shared" si="487"/>
        <v>0</v>
      </c>
      <c r="AD530" s="100">
        <f t="shared" si="488"/>
        <v>0</v>
      </c>
      <c r="AE530" s="100">
        <f t="shared" si="489"/>
        <v>0</v>
      </c>
      <c r="AF530" s="100">
        <f t="shared" si="490"/>
        <v>0</v>
      </c>
      <c r="AG530" s="100">
        <f t="shared" si="491"/>
        <v>0</v>
      </c>
      <c r="AH530" s="100">
        <f t="shared" si="492"/>
        <v>0</v>
      </c>
      <c r="AI530" s="109"/>
      <c r="AJ530" s="108">
        <f t="shared" si="493"/>
        <v>0</v>
      </c>
      <c r="AK530" s="108">
        <f t="shared" si="494"/>
        <v>0</v>
      </c>
      <c r="AL530" s="108">
        <f t="shared" si="495"/>
        <v>0</v>
      </c>
      <c r="AN530" s="100">
        <v>15</v>
      </c>
      <c r="AO530" s="100">
        <f>H530*0.0282375478927203</f>
        <v>0</v>
      </c>
      <c r="AP530" s="100">
        <f>H530*(1-0.0282375478927203)</f>
        <v>0</v>
      </c>
      <c r="AQ530" s="111" t="s">
        <v>13</v>
      </c>
      <c r="AV530" s="100">
        <f t="shared" si="496"/>
        <v>0</v>
      </c>
      <c r="AW530" s="100">
        <f t="shared" si="497"/>
        <v>0</v>
      </c>
      <c r="AX530" s="100">
        <f t="shared" si="498"/>
        <v>0</v>
      </c>
      <c r="AY530" s="110" t="s">
        <v>1717</v>
      </c>
      <c r="AZ530" s="110" t="s">
        <v>1734</v>
      </c>
      <c r="BA530" s="109" t="s">
        <v>1737</v>
      </c>
      <c r="BC530" s="100">
        <f t="shared" si="499"/>
        <v>0</v>
      </c>
      <c r="BD530" s="100">
        <f t="shared" si="500"/>
        <v>0</v>
      </c>
      <c r="BE530" s="100">
        <v>0</v>
      </c>
      <c r="BF530" s="100">
        <f>530</f>
        <v>530</v>
      </c>
      <c r="BH530" s="108">
        <f t="shared" si="501"/>
        <v>0</v>
      </c>
      <c r="BI530" s="108">
        <f t="shared" si="502"/>
        <v>0</v>
      </c>
      <c r="BJ530" s="108">
        <f t="shared" si="503"/>
        <v>0</v>
      </c>
    </row>
    <row r="531" spans="1:62" x14ac:dyDescent="0.2">
      <c r="A531" s="117" t="s">
        <v>485</v>
      </c>
      <c r="B531" s="117" t="s">
        <v>916</v>
      </c>
      <c r="C531" s="304" t="s">
        <v>3398</v>
      </c>
      <c r="D531" s="305"/>
      <c r="E531" s="305"/>
      <c r="F531" s="117" t="s">
        <v>1644</v>
      </c>
      <c r="G531" s="116">
        <v>1</v>
      </c>
      <c r="H531" s="159"/>
      <c r="I531" s="108">
        <f t="shared" si="482"/>
        <v>0</v>
      </c>
      <c r="J531" s="108">
        <f t="shared" si="483"/>
        <v>0</v>
      </c>
      <c r="K531" s="108">
        <f t="shared" si="484"/>
        <v>0</v>
      </c>
      <c r="L531" s="111" t="s">
        <v>1671</v>
      </c>
      <c r="Z531" s="100">
        <f t="shared" si="485"/>
        <v>0</v>
      </c>
      <c r="AB531" s="100">
        <f t="shared" si="486"/>
        <v>0</v>
      </c>
      <c r="AC531" s="100">
        <f t="shared" si="487"/>
        <v>0</v>
      </c>
      <c r="AD531" s="100">
        <f t="shared" si="488"/>
        <v>0</v>
      </c>
      <c r="AE531" s="100">
        <f t="shared" si="489"/>
        <v>0</v>
      </c>
      <c r="AF531" s="100">
        <f t="shared" si="490"/>
        <v>0</v>
      </c>
      <c r="AG531" s="100">
        <f t="shared" si="491"/>
        <v>0</v>
      </c>
      <c r="AH531" s="100">
        <f t="shared" si="492"/>
        <v>0</v>
      </c>
      <c r="AI531" s="109"/>
      <c r="AJ531" s="108">
        <f t="shared" si="493"/>
        <v>0</v>
      </c>
      <c r="AK531" s="108">
        <f t="shared" si="494"/>
        <v>0</v>
      </c>
      <c r="AL531" s="108">
        <f t="shared" si="495"/>
        <v>0</v>
      </c>
      <c r="AN531" s="100">
        <v>15</v>
      </c>
      <c r="AO531" s="100">
        <f>H531*0.0282374100719424</f>
        <v>0</v>
      </c>
      <c r="AP531" s="100">
        <f>H531*(1-0.0282374100719424)</f>
        <v>0</v>
      </c>
      <c r="AQ531" s="111" t="s">
        <v>13</v>
      </c>
      <c r="AV531" s="100">
        <f t="shared" si="496"/>
        <v>0</v>
      </c>
      <c r="AW531" s="100">
        <f t="shared" si="497"/>
        <v>0</v>
      </c>
      <c r="AX531" s="100">
        <f t="shared" si="498"/>
        <v>0</v>
      </c>
      <c r="AY531" s="110" t="s">
        <v>1717</v>
      </c>
      <c r="AZ531" s="110" t="s">
        <v>1734</v>
      </c>
      <c r="BA531" s="109" t="s">
        <v>1737</v>
      </c>
      <c r="BC531" s="100">
        <f t="shared" si="499"/>
        <v>0</v>
      </c>
      <c r="BD531" s="100">
        <f t="shared" si="500"/>
        <v>0</v>
      </c>
      <c r="BE531" s="100">
        <v>0</v>
      </c>
      <c r="BF531" s="100">
        <f>531</f>
        <v>531</v>
      </c>
      <c r="BH531" s="108">
        <f t="shared" si="501"/>
        <v>0</v>
      </c>
      <c r="BI531" s="108">
        <f t="shared" si="502"/>
        <v>0</v>
      </c>
      <c r="BJ531" s="108">
        <f t="shared" si="503"/>
        <v>0</v>
      </c>
    </row>
    <row r="532" spans="1:62" x14ac:dyDescent="0.2">
      <c r="A532" s="117" t="s">
        <v>486</v>
      </c>
      <c r="B532" s="117" t="s">
        <v>918</v>
      </c>
      <c r="C532" s="304" t="s">
        <v>1986</v>
      </c>
      <c r="D532" s="305"/>
      <c r="E532" s="305"/>
      <c r="F532" s="117" t="s">
        <v>1644</v>
      </c>
      <c r="G532" s="116">
        <v>2</v>
      </c>
      <c r="H532" s="159"/>
      <c r="I532" s="108">
        <f t="shared" si="482"/>
        <v>0</v>
      </c>
      <c r="J532" s="108">
        <f t="shared" si="483"/>
        <v>0</v>
      </c>
      <c r="K532" s="108">
        <f t="shared" si="484"/>
        <v>0</v>
      </c>
      <c r="L532" s="111" t="s">
        <v>1671</v>
      </c>
      <c r="Z532" s="100">
        <f t="shared" si="485"/>
        <v>0</v>
      </c>
      <c r="AB532" s="100">
        <f t="shared" si="486"/>
        <v>0</v>
      </c>
      <c r="AC532" s="100">
        <f t="shared" si="487"/>
        <v>0</v>
      </c>
      <c r="AD532" s="100">
        <f t="shared" si="488"/>
        <v>0</v>
      </c>
      <c r="AE532" s="100">
        <f t="shared" si="489"/>
        <v>0</v>
      </c>
      <c r="AF532" s="100">
        <f t="shared" si="490"/>
        <v>0</v>
      </c>
      <c r="AG532" s="100">
        <f t="shared" si="491"/>
        <v>0</v>
      </c>
      <c r="AH532" s="100">
        <f t="shared" si="492"/>
        <v>0</v>
      </c>
      <c r="AI532" s="109"/>
      <c r="AJ532" s="108">
        <f t="shared" si="493"/>
        <v>0</v>
      </c>
      <c r="AK532" s="108">
        <f t="shared" si="494"/>
        <v>0</v>
      </c>
      <c r="AL532" s="108">
        <f t="shared" si="495"/>
        <v>0</v>
      </c>
      <c r="AN532" s="100">
        <v>15</v>
      </c>
      <c r="AO532" s="100">
        <f>H532*0.719816666666667</f>
        <v>0</v>
      </c>
      <c r="AP532" s="100">
        <f>H532*(1-0.719816666666667)</f>
        <v>0</v>
      </c>
      <c r="AQ532" s="111" t="s">
        <v>13</v>
      </c>
      <c r="AV532" s="100">
        <f t="shared" si="496"/>
        <v>0</v>
      </c>
      <c r="AW532" s="100">
        <f t="shared" si="497"/>
        <v>0</v>
      </c>
      <c r="AX532" s="100">
        <f t="shared" si="498"/>
        <v>0</v>
      </c>
      <c r="AY532" s="110" t="s">
        <v>1717</v>
      </c>
      <c r="AZ532" s="110" t="s">
        <v>1734</v>
      </c>
      <c r="BA532" s="109" t="s">
        <v>1737</v>
      </c>
      <c r="BC532" s="100">
        <f t="shared" si="499"/>
        <v>0</v>
      </c>
      <c r="BD532" s="100">
        <f t="shared" si="500"/>
        <v>0</v>
      </c>
      <c r="BE532" s="100">
        <v>0</v>
      </c>
      <c r="BF532" s="100">
        <f>532</f>
        <v>532</v>
      </c>
      <c r="BH532" s="108">
        <f t="shared" si="501"/>
        <v>0</v>
      </c>
      <c r="BI532" s="108">
        <f t="shared" si="502"/>
        <v>0</v>
      </c>
      <c r="BJ532" s="108">
        <f t="shared" si="503"/>
        <v>0</v>
      </c>
    </row>
    <row r="533" spans="1:62" x14ac:dyDescent="0.2">
      <c r="A533" s="117" t="s">
        <v>487</v>
      </c>
      <c r="B533" s="117" t="s">
        <v>919</v>
      </c>
      <c r="C533" s="304" t="s">
        <v>1508</v>
      </c>
      <c r="D533" s="305"/>
      <c r="E533" s="305"/>
      <c r="F533" s="117" t="s">
        <v>1644</v>
      </c>
      <c r="G533" s="116">
        <v>3</v>
      </c>
      <c r="H533" s="159"/>
      <c r="I533" s="108">
        <f t="shared" si="482"/>
        <v>0</v>
      </c>
      <c r="J533" s="108">
        <f t="shared" si="483"/>
        <v>0</v>
      </c>
      <c r="K533" s="108">
        <f t="shared" si="484"/>
        <v>0</v>
      </c>
      <c r="L533" s="111" t="s">
        <v>1671</v>
      </c>
      <c r="Z533" s="100">
        <f t="shared" si="485"/>
        <v>0</v>
      </c>
      <c r="AB533" s="100">
        <f t="shared" si="486"/>
        <v>0</v>
      </c>
      <c r="AC533" s="100">
        <f t="shared" si="487"/>
        <v>0</v>
      </c>
      <c r="AD533" s="100">
        <f t="shared" si="488"/>
        <v>0</v>
      </c>
      <c r="AE533" s="100">
        <f t="shared" si="489"/>
        <v>0</v>
      </c>
      <c r="AF533" s="100">
        <f t="shared" si="490"/>
        <v>0</v>
      </c>
      <c r="AG533" s="100">
        <f t="shared" si="491"/>
        <v>0</v>
      </c>
      <c r="AH533" s="100">
        <f t="shared" si="492"/>
        <v>0</v>
      </c>
      <c r="AI533" s="109"/>
      <c r="AJ533" s="108">
        <f t="shared" si="493"/>
        <v>0</v>
      </c>
      <c r="AK533" s="108">
        <f t="shared" si="494"/>
        <v>0</v>
      </c>
      <c r="AL533" s="108">
        <f t="shared" si="495"/>
        <v>0</v>
      </c>
      <c r="AN533" s="100">
        <v>15</v>
      </c>
      <c r="AO533" s="100">
        <f>H533*0.71976</f>
        <v>0</v>
      </c>
      <c r="AP533" s="100">
        <f>H533*(1-0.71976)</f>
        <v>0</v>
      </c>
      <c r="AQ533" s="111" t="s">
        <v>13</v>
      </c>
      <c r="AV533" s="100">
        <f t="shared" si="496"/>
        <v>0</v>
      </c>
      <c r="AW533" s="100">
        <f t="shared" si="497"/>
        <v>0</v>
      </c>
      <c r="AX533" s="100">
        <f t="shared" si="498"/>
        <v>0</v>
      </c>
      <c r="AY533" s="110" t="s">
        <v>1717</v>
      </c>
      <c r="AZ533" s="110" t="s">
        <v>1734</v>
      </c>
      <c r="BA533" s="109" t="s">
        <v>1737</v>
      </c>
      <c r="BC533" s="100">
        <f t="shared" si="499"/>
        <v>0</v>
      </c>
      <c r="BD533" s="100">
        <f t="shared" si="500"/>
        <v>0</v>
      </c>
      <c r="BE533" s="100">
        <v>0</v>
      </c>
      <c r="BF533" s="100">
        <f>533</f>
        <v>533</v>
      </c>
      <c r="BH533" s="108">
        <f t="shared" si="501"/>
        <v>0</v>
      </c>
      <c r="BI533" s="108">
        <f t="shared" si="502"/>
        <v>0</v>
      </c>
      <c r="BJ533" s="108">
        <f t="shared" si="503"/>
        <v>0</v>
      </c>
    </row>
    <row r="534" spans="1:62" x14ac:dyDescent="0.2">
      <c r="A534" s="117" t="s">
        <v>488</v>
      </c>
      <c r="B534" s="117" t="s">
        <v>917</v>
      </c>
      <c r="C534" s="304" t="s">
        <v>1506</v>
      </c>
      <c r="D534" s="305"/>
      <c r="E534" s="305"/>
      <c r="F534" s="117" t="s">
        <v>1644</v>
      </c>
      <c r="G534" s="116">
        <v>1</v>
      </c>
      <c r="H534" s="159"/>
      <c r="I534" s="108">
        <f t="shared" si="482"/>
        <v>0</v>
      </c>
      <c r="J534" s="108">
        <f t="shared" si="483"/>
        <v>0</v>
      </c>
      <c r="K534" s="108">
        <f t="shared" si="484"/>
        <v>0</v>
      </c>
      <c r="L534" s="111" t="s">
        <v>1671</v>
      </c>
      <c r="Z534" s="100">
        <f t="shared" si="485"/>
        <v>0</v>
      </c>
      <c r="AB534" s="100">
        <f t="shared" si="486"/>
        <v>0</v>
      </c>
      <c r="AC534" s="100">
        <f t="shared" si="487"/>
        <v>0</v>
      </c>
      <c r="AD534" s="100">
        <f t="shared" si="488"/>
        <v>0</v>
      </c>
      <c r="AE534" s="100">
        <f t="shared" si="489"/>
        <v>0</v>
      </c>
      <c r="AF534" s="100">
        <f t="shared" si="490"/>
        <v>0</v>
      </c>
      <c r="AG534" s="100">
        <f t="shared" si="491"/>
        <v>0</v>
      </c>
      <c r="AH534" s="100">
        <f t="shared" si="492"/>
        <v>0</v>
      </c>
      <c r="AI534" s="109"/>
      <c r="AJ534" s="108">
        <f t="shared" si="493"/>
        <v>0</v>
      </c>
      <c r="AK534" s="108">
        <f t="shared" si="494"/>
        <v>0</v>
      </c>
      <c r="AL534" s="108">
        <f t="shared" si="495"/>
        <v>0</v>
      </c>
      <c r="AN534" s="100">
        <v>15</v>
      </c>
      <c r="AO534" s="100">
        <f>H534*0.781246282051282</f>
        <v>0</v>
      </c>
      <c r="AP534" s="100">
        <f>H534*(1-0.781246282051282)</f>
        <v>0</v>
      </c>
      <c r="AQ534" s="111" t="s">
        <v>13</v>
      </c>
      <c r="AV534" s="100">
        <f t="shared" si="496"/>
        <v>0</v>
      </c>
      <c r="AW534" s="100">
        <f t="shared" si="497"/>
        <v>0</v>
      </c>
      <c r="AX534" s="100">
        <f t="shared" si="498"/>
        <v>0</v>
      </c>
      <c r="AY534" s="110" t="s">
        <v>1717</v>
      </c>
      <c r="AZ534" s="110" t="s">
        <v>1734</v>
      </c>
      <c r="BA534" s="109" t="s">
        <v>1737</v>
      </c>
      <c r="BC534" s="100">
        <f t="shared" si="499"/>
        <v>0</v>
      </c>
      <c r="BD534" s="100">
        <f t="shared" si="500"/>
        <v>0</v>
      </c>
      <c r="BE534" s="100">
        <v>0</v>
      </c>
      <c r="BF534" s="100">
        <f>534</f>
        <v>534</v>
      </c>
      <c r="BH534" s="108">
        <f t="shared" si="501"/>
        <v>0</v>
      </c>
      <c r="BI534" s="108">
        <f t="shared" si="502"/>
        <v>0</v>
      </c>
      <c r="BJ534" s="108">
        <f t="shared" si="503"/>
        <v>0</v>
      </c>
    </row>
    <row r="535" spans="1:62" x14ac:dyDescent="0.2">
      <c r="A535" s="117" t="s">
        <v>489</v>
      </c>
      <c r="B535" s="117" t="s">
        <v>3397</v>
      </c>
      <c r="C535" s="304" t="s">
        <v>3396</v>
      </c>
      <c r="D535" s="305"/>
      <c r="E535" s="305"/>
      <c r="F535" s="117" t="s">
        <v>1644</v>
      </c>
      <c r="G535" s="116">
        <v>1</v>
      </c>
      <c r="H535" s="159"/>
      <c r="I535" s="108">
        <f t="shared" si="482"/>
        <v>0</v>
      </c>
      <c r="J535" s="108">
        <f t="shared" si="483"/>
        <v>0</v>
      </c>
      <c r="K535" s="108">
        <f t="shared" si="484"/>
        <v>0</v>
      </c>
      <c r="L535" s="111" t="s">
        <v>1671</v>
      </c>
      <c r="Z535" s="100">
        <f t="shared" si="485"/>
        <v>0</v>
      </c>
      <c r="AB535" s="100">
        <f t="shared" si="486"/>
        <v>0</v>
      </c>
      <c r="AC535" s="100">
        <f t="shared" si="487"/>
        <v>0</v>
      </c>
      <c r="AD535" s="100">
        <f t="shared" si="488"/>
        <v>0</v>
      </c>
      <c r="AE535" s="100">
        <f t="shared" si="489"/>
        <v>0</v>
      </c>
      <c r="AF535" s="100">
        <f t="shared" si="490"/>
        <v>0</v>
      </c>
      <c r="AG535" s="100">
        <f t="shared" si="491"/>
        <v>0</v>
      </c>
      <c r="AH535" s="100">
        <f t="shared" si="492"/>
        <v>0</v>
      </c>
      <c r="AI535" s="109"/>
      <c r="AJ535" s="108">
        <f t="shared" si="493"/>
        <v>0</v>
      </c>
      <c r="AK535" s="108">
        <f t="shared" si="494"/>
        <v>0</v>
      </c>
      <c r="AL535" s="108">
        <f t="shared" si="495"/>
        <v>0</v>
      </c>
      <c r="AN535" s="100">
        <v>15</v>
      </c>
      <c r="AO535" s="100">
        <f>H535*0.867062857142857</f>
        <v>0</v>
      </c>
      <c r="AP535" s="100">
        <f>H535*(1-0.867062857142857)</f>
        <v>0</v>
      </c>
      <c r="AQ535" s="111" t="s">
        <v>13</v>
      </c>
      <c r="AV535" s="100">
        <f t="shared" si="496"/>
        <v>0</v>
      </c>
      <c r="AW535" s="100">
        <f t="shared" si="497"/>
        <v>0</v>
      </c>
      <c r="AX535" s="100">
        <f t="shared" si="498"/>
        <v>0</v>
      </c>
      <c r="AY535" s="110" t="s">
        <v>1717</v>
      </c>
      <c r="AZ535" s="110" t="s">
        <v>1734</v>
      </c>
      <c r="BA535" s="109" t="s">
        <v>1737</v>
      </c>
      <c r="BC535" s="100">
        <f t="shared" si="499"/>
        <v>0</v>
      </c>
      <c r="BD535" s="100">
        <f t="shared" si="500"/>
        <v>0</v>
      </c>
      <c r="BE535" s="100">
        <v>0</v>
      </c>
      <c r="BF535" s="100">
        <f>535</f>
        <v>535</v>
      </c>
      <c r="BH535" s="108">
        <f t="shared" si="501"/>
        <v>0</v>
      </c>
      <c r="BI535" s="108">
        <f t="shared" si="502"/>
        <v>0</v>
      </c>
      <c r="BJ535" s="108">
        <f t="shared" si="503"/>
        <v>0</v>
      </c>
    </row>
    <row r="536" spans="1:62" x14ac:dyDescent="0.2">
      <c r="A536" s="117" t="s">
        <v>490</v>
      </c>
      <c r="B536" s="117" t="s">
        <v>2675</v>
      </c>
      <c r="C536" s="304" t="s">
        <v>3395</v>
      </c>
      <c r="D536" s="305"/>
      <c r="E536" s="305"/>
      <c r="F536" s="117" t="s">
        <v>1644</v>
      </c>
      <c r="G536" s="116">
        <v>2</v>
      </c>
      <c r="H536" s="159"/>
      <c r="I536" s="108">
        <f t="shared" si="482"/>
        <v>0</v>
      </c>
      <c r="J536" s="108">
        <f t="shared" si="483"/>
        <v>0</v>
      </c>
      <c r="K536" s="108">
        <f t="shared" si="484"/>
        <v>0</v>
      </c>
      <c r="L536" s="111" t="s">
        <v>1671</v>
      </c>
      <c r="Z536" s="100">
        <f t="shared" si="485"/>
        <v>0</v>
      </c>
      <c r="AB536" s="100">
        <f t="shared" si="486"/>
        <v>0</v>
      </c>
      <c r="AC536" s="100">
        <f t="shared" si="487"/>
        <v>0</v>
      </c>
      <c r="AD536" s="100">
        <f t="shared" si="488"/>
        <v>0</v>
      </c>
      <c r="AE536" s="100">
        <f t="shared" si="489"/>
        <v>0</v>
      </c>
      <c r="AF536" s="100">
        <f t="shared" si="490"/>
        <v>0</v>
      </c>
      <c r="AG536" s="100">
        <f t="shared" si="491"/>
        <v>0</v>
      </c>
      <c r="AH536" s="100">
        <f t="shared" si="492"/>
        <v>0</v>
      </c>
      <c r="AI536" s="109"/>
      <c r="AJ536" s="108">
        <f t="shared" si="493"/>
        <v>0</v>
      </c>
      <c r="AK536" s="108">
        <f t="shared" si="494"/>
        <v>0</v>
      </c>
      <c r="AL536" s="108">
        <f t="shared" si="495"/>
        <v>0</v>
      </c>
      <c r="AN536" s="100">
        <v>15</v>
      </c>
      <c r="AO536" s="100">
        <f>H536*0.0915933333333333</f>
        <v>0</v>
      </c>
      <c r="AP536" s="100">
        <f>H536*(1-0.0915933333333333)</f>
        <v>0</v>
      </c>
      <c r="AQ536" s="111" t="s">
        <v>13</v>
      </c>
      <c r="AV536" s="100">
        <f t="shared" si="496"/>
        <v>0</v>
      </c>
      <c r="AW536" s="100">
        <f t="shared" si="497"/>
        <v>0</v>
      </c>
      <c r="AX536" s="100">
        <f t="shared" si="498"/>
        <v>0</v>
      </c>
      <c r="AY536" s="110" t="s">
        <v>1717</v>
      </c>
      <c r="AZ536" s="110" t="s">
        <v>1734</v>
      </c>
      <c r="BA536" s="109" t="s">
        <v>1737</v>
      </c>
      <c r="BC536" s="100">
        <f t="shared" si="499"/>
        <v>0</v>
      </c>
      <c r="BD536" s="100">
        <f t="shared" si="500"/>
        <v>0</v>
      </c>
      <c r="BE536" s="100">
        <v>0</v>
      </c>
      <c r="BF536" s="100">
        <f>536</f>
        <v>536</v>
      </c>
      <c r="BH536" s="108">
        <f t="shared" si="501"/>
        <v>0</v>
      </c>
      <c r="BI536" s="108">
        <f t="shared" si="502"/>
        <v>0</v>
      </c>
      <c r="BJ536" s="108">
        <f t="shared" si="503"/>
        <v>0</v>
      </c>
    </row>
    <row r="537" spans="1:62" x14ac:dyDescent="0.2">
      <c r="A537" s="117" t="s">
        <v>491</v>
      </c>
      <c r="B537" s="117" t="s">
        <v>3394</v>
      </c>
      <c r="C537" s="304" t="s">
        <v>3393</v>
      </c>
      <c r="D537" s="305"/>
      <c r="E537" s="305"/>
      <c r="F537" s="117" t="s">
        <v>1644</v>
      </c>
      <c r="G537" s="116">
        <v>1</v>
      </c>
      <c r="H537" s="159"/>
      <c r="I537" s="108">
        <f t="shared" si="482"/>
        <v>0</v>
      </c>
      <c r="J537" s="108">
        <f t="shared" si="483"/>
        <v>0</v>
      </c>
      <c r="K537" s="108">
        <f t="shared" si="484"/>
        <v>0</v>
      </c>
      <c r="L537" s="111" t="s">
        <v>1671</v>
      </c>
      <c r="Z537" s="100">
        <f t="shared" si="485"/>
        <v>0</v>
      </c>
      <c r="AB537" s="100">
        <f t="shared" si="486"/>
        <v>0</v>
      </c>
      <c r="AC537" s="100">
        <f t="shared" si="487"/>
        <v>0</v>
      </c>
      <c r="AD537" s="100">
        <f t="shared" si="488"/>
        <v>0</v>
      </c>
      <c r="AE537" s="100">
        <f t="shared" si="489"/>
        <v>0</v>
      </c>
      <c r="AF537" s="100">
        <f t="shared" si="490"/>
        <v>0</v>
      </c>
      <c r="AG537" s="100">
        <f t="shared" si="491"/>
        <v>0</v>
      </c>
      <c r="AH537" s="100">
        <f t="shared" si="492"/>
        <v>0</v>
      </c>
      <c r="AI537" s="109"/>
      <c r="AJ537" s="108">
        <f t="shared" si="493"/>
        <v>0</v>
      </c>
      <c r="AK537" s="108">
        <f t="shared" si="494"/>
        <v>0</v>
      </c>
      <c r="AL537" s="108">
        <f t="shared" si="495"/>
        <v>0</v>
      </c>
      <c r="AN537" s="100">
        <v>15</v>
      </c>
      <c r="AO537" s="100">
        <f>H537*0.091592</f>
        <v>0</v>
      </c>
      <c r="AP537" s="100">
        <f>H537*(1-0.091592)</f>
        <v>0</v>
      </c>
      <c r="AQ537" s="111" t="s">
        <v>13</v>
      </c>
      <c r="AV537" s="100">
        <f t="shared" si="496"/>
        <v>0</v>
      </c>
      <c r="AW537" s="100">
        <f t="shared" si="497"/>
        <v>0</v>
      </c>
      <c r="AX537" s="100">
        <f t="shared" si="498"/>
        <v>0</v>
      </c>
      <c r="AY537" s="110" t="s">
        <v>1717</v>
      </c>
      <c r="AZ537" s="110" t="s">
        <v>1734</v>
      </c>
      <c r="BA537" s="109" t="s">
        <v>1737</v>
      </c>
      <c r="BC537" s="100">
        <f t="shared" si="499"/>
        <v>0</v>
      </c>
      <c r="BD537" s="100">
        <f t="shared" si="500"/>
        <v>0</v>
      </c>
      <c r="BE537" s="100">
        <v>0</v>
      </c>
      <c r="BF537" s="100">
        <f>537</f>
        <v>537</v>
      </c>
      <c r="BH537" s="108">
        <f t="shared" si="501"/>
        <v>0</v>
      </c>
      <c r="BI537" s="108">
        <f t="shared" si="502"/>
        <v>0</v>
      </c>
      <c r="BJ537" s="108">
        <f t="shared" si="503"/>
        <v>0</v>
      </c>
    </row>
    <row r="538" spans="1:62" x14ac:dyDescent="0.2">
      <c r="A538" s="117" t="s">
        <v>492</v>
      </c>
      <c r="B538" s="117" t="s">
        <v>921</v>
      </c>
      <c r="C538" s="304" t="s">
        <v>1510</v>
      </c>
      <c r="D538" s="305"/>
      <c r="E538" s="305"/>
      <c r="F538" s="117" t="s">
        <v>1648</v>
      </c>
      <c r="G538" s="116">
        <v>3.5840000000000001</v>
      </c>
      <c r="H538" s="159"/>
      <c r="I538" s="108">
        <f t="shared" si="482"/>
        <v>0</v>
      </c>
      <c r="J538" s="108">
        <f t="shared" si="483"/>
        <v>0</v>
      </c>
      <c r="K538" s="108">
        <f t="shared" si="484"/>
        <v>0</v>
      </c>
      <c r="L538" s="111" t="s">
        <v>1671</v>
      </c>
      <c r="Z538" s="100">
        <f t="shared" si="485"/>
        <v>0</v>
      </c>
      <c r="AB538" s="100">
        <f t="shared" si="486"/>
        <v>0</v>
      </c>
      <c r="AC538" s="100">
        <f t="shared" si="487"/>
        <v>0</v>
      </c>
      <c r="AD538" s="100">
        <f t="shared" si="488"/>
        <v>0</v>
      </c>
      <c r="AE538" s="100">
        <f t="shared" si="489"/>
        <v>0</v>
      </c>
      <c r="AF538" s="100">
        <f t="shared" si="490"/>
        <v>0</v>
      </c>
      <c r="AG538" s="100">
        <f t="shared" si="491"/>
        <v>0</v>
      </c>
      <c r="AH538" s="100">
        <f t="shared" si="492"/>
        <v>0</v>
      </c>
      <c r="AI538" s="109"/>
      <c r="AJ538" s="108">
        <f t="shared" si="493"/>
        <v>0</v>
      </c>
      <c r="AK538" s="108">
        <f t="shared" si="494"/>
        <v>0</v>
      </c>
      <c r="AL538" s="108">
        <f t="shared" si="495"/>
        <v>0</v>
      </c>
      <c r="AN538" s="100">
        <v>15</v>
      </c>
      <c r="AO538" s="100">
        <f>H538*0</f>
        <v>0</v>
      </c>
      <c r="AP538" s="100">
        <f>H538*(1-0)</f>
        <v>0</v>
      </c>
      <c r="AQ538" s="111" t="s">
        <v>11</v>
      </c>
      <c r="AV538" s="100">
        <f t="shared" si="496"/>
        <v>0</v>
      </c>
      <c r="AW538" s="100">
        <f t="shared" si="497"/>
        <v>0</v>
      </c>
      <c r="AX538" s="100">
        <f t="shared" si="498"/>
        <v>0</v>
      </c>
      <c r="AY538" s="110" t="s">
        <v>1717</v>
      </c>
      <c r="AZ538" s="110" t="s">
        <v>1734</v>
      </c>
      <c r="BA538" s="109" t="s">
        <v>1737</v>
      </c>
      <c r="BC538" s="100">
        <f t="shared" si="499"/>
        <v>0</v>
      </c>
      <c r="BD538" s="100">
        <f t="shared" si="500"/>
        <v>0</v>
      </c>
      <c r="BE538" s="100">
        <v>0</v>
      </c>
      <c r="BF538" s="100">
        <f>538</f>
        <v>538</v>
      </c>
      <c r="BH538" s="108">
        <f t="shared" si="501"/>
        <v>0</v>
      </c>
      <c r="BI538" s="108">
        <f t="shared" si="502"/>
        <v>0</v>
      </c>
      <c r="BJ538" s="108">
        <f t="shared" si="503"/>
        <v>0</v>
      </c>
    </row>
    <row r="539" spans="1:62" x14ac:dyDescent="0.2">
      <c r="A539" s="119"/>
      <c r="B539" s="120" t="s">
        <v>922</v>
      </c>
      <c r="C539" s="306" t="s">
        <v>1511</v>
      </c>
      <c r="D539" s="307"/>
      <c r="E539" s="307"/>
      <c r="F539" s="119" t="s">
        <v>6</v>
      </c>
      <c r="G539" s="119" t="s">
        <v>6</v>
      </c>
      <c r="H539" s="119" t="s">
        <v>6</v>
      </c>
      <c r="I539" s="118">
        <f>SUM(I540:I547)</f>
        <v>0</v>
      </c>
      <c r="J539" s="118">
        <f>SUM(J540:J547)</f>
        <v>0</v>
      </c>
      <c r="K539" s="118">
        <f>SUM(K540:K547)</f>
        <v>0</v>
      </c>
      <c r="L539" s="109"/>
      <c r="AI539" s="109"/>
      <c r="AS539" s="118">
        <f>SUM(AJ540:AJ547)</f>
        <v>0</v>
      </c>
      <c r="AT539" s="118">
        <f>SUM(AK540:AK547)</f>
        <v>0</v>
      </c>
      <c r="AU539" s="118">
        <f>SUM(AL540:AL547)</f>
        <v>0</v>
      </c>
    </row>
    <row r="540" spans="1:62" x14ac:dyDescent="0.2">
      <c r="A540" s="117" t="s">
        <v>493</v>
      </c>
      <c r="B540" s="117" t="s">
        <v>923</v>
      </c>
      <c r="C540" s="304" t="s">
        <v>1512</v>
      </c>
      <c r="D540" s="305"/>
      <c r="E540" s="305"/>
      <c r="F540" s="117" t="s">
        <v>1645</v>
      </c>
      <c r="G540" s="116">
        <v>32.076000000000001</v>
      </c>
      <c r="H540" s="159"/>
      <c r="I540" s="108">
        <f t="shared" ref="I540:I547" si="506">G540*AO540</f>
        <v>0</v>
      </c>
      <c r="J540" s="108">
        <f t="shared" ref="J540:J547" si="507">G540*AP540</f>
        <v>0</v>
      </c>
      <c r="K540" s="108">
        <f t="shared" ref="K540:K547" si="508">G540*H540</f>
        <v>0</v>
      </c>
      <c r="L540" s="111" t="s">
        <v>1671</v>
      </c>
      <c r="Z540" s="100">
        <f t="shared" ref="Z540:Z547" si="509">IF(AQ540="5",BJ540,0)</f>
        <v>0</v>
      </c>
      <c r="AB540" s="100">
        <f t="shared" ref="AB540:AB547" si="510">IF(AQ540="1",BH540,0)</f>
        <v>0</v>
      </c>
      <c r="AC540" s="100">
        <f t="shared" ref="AC540:AC547" si="511">IF(AQ540="1",BI540,0)</f>
        <v>0</v>
      </c>
      <c r="AD540" s="100">
        <f t="shared" ref="AD540:AD547" si="512">IF(AQ540="7",BH540,0)</f>
        <v>0</v>
      </c>
      <c r="AE540" s="100">
        <f t="shared" ref="AE540:AE547" si="513">IF(AQ540="7",BI540,0)</f>
        <v>0</v>
      </c>
      <c r="AF540" s="100">
        <f t="shared" ref="AF540:AF547" si="514">IF(AQ540="2",BH540,0)</f>
        <v>0</v>
      </c>
      <c r="AG540" s="100">
        <f t="shared" ref="AG540:AG547" si="515">IF(AQ540="2",BI540,0)</f>
        <v>0</v>
      </c>
      <c r="AH540" s="100">
        <f t="shared" ref="AH540:AH547" si="516">IF(AQ540="0",BJ540,0)</f>
        <v>0</v>
      </c>
      <c r="AI540" s="109"/>
      <c r="AJ540" s="108">
        <f t="shared" ref="AJ540:AJ547" si="517">IF(AN540=0,K540,0)</f>
        <v>0</v>
      </c>
      <c r="AK540" s="108">
        <f t="shared" ref="AK540:AK547" si="518">IF(AN540=15,K540,0)</f>
        <v>0</v>
      </c>
      <c r="AL540" s="108">
        <f t="shared" ref="AL540:AL547" si="519">IF(AN540=21,K540,0)</f>
        <v>0</v>
      </c>
      <c r="AN540" s="100">
        <v>15</v>
      </c>
      <c r="AO540" s="100">
        <f>H540*0</f>
        <v>0</v>
      </c>
      <c r="AP540" s="100">
        <f>H540*(1-0)</f>
        <v>0</v>
      </c>
      <c r="AQ540" s="111" t="s">
        <v>13</v>
      </c>
      <c r="AV540" s="100">
        <f t="shared" ref="AV540:AV547" si="520">AW540+AX540</f>
        <v>0</v>
      </c>
      <c r="AW540" s="100">
        <f t="shared" ref="AW540:AW547" si="521">G540*AO540</f>
        <v>0</v>
      </c>
      <c r="AX540" s="100">
        <f t="shared" ref="AX540:AX547" si="522">G540*AP540</f>
        <v>0</v>
      </c>
      <c r="AY540" s="110" t="s">
        <v>1718</v>
      </c>
      <c r="AZ540" s="110" t="s">
        <v>1735</v>
      </c>
      <c r="BA540" s="109" t="s">
        <v>1737</v>
      </c>
      <c r="BC540" s="100">
        <f t="shared" ref="BC540:BC547" si="523">AW540+AX540</f>
        <v>0</v>
      </c>
      <c r="BD540" s="100">
        <f t="shared" ref="BD540:BD547" si="524">H540/(100-BE540)*100</f>
        <v>0</v>
      </c>
      <c r="BE540" s="100">
        <v>0</v>
      </c>
      <c r="BF540" s="100">
        <f>540</f>
        <v>540</v>
      </c>
      <c r="BH540" s="108">
        <f t="shared" ref="BH540:BH547" si="525">G540*AO540</f>
        <v>0</v>
      </c>
      <c r="BI540" s="108">
        <f t="shared" ref="BI540:BI547" si="526">G540*AP540</f>
        <v>0</v>
      </c>
      <c r="BJ540" s="108">
        <f t="shared" ref="BJ540:BJ547" si="527">G540*H540</f>
        <v>0</v>
      </c>
    </row>
    <row r="541" spans="1:62" x14ac:dyDescent="0.2">
      <c r="A541" s="117" t="s">
        <v>494</v>
      </c>
      <c r="B541" s="117" t="s">
        <v>924</v>
      </c>
      <c r="C541" s="304" t="s">
        <v>1513</v>
      </c>
      <c r="D541" s="305"/>
      <c r="E541" s="305"/>
      <c r="F541" s="117" t="s">
        <v>1645</v>
      </c>
      <c r="G541" s="116">
        <v>32.076000000000001</v>
      </c>
      <c r="H541" s="159"/>
      <c r="I541" s="108">
        <f t="shared" si="506"/>
        <v>0</v>
      </c>
      <c r="J541" s="108">
        <f t="shared" si="507"/>
        <v>0</v>
      </c>
      <c r="K541" s="108">
        <f t="shared" si="508"/>
        <v>0</v>
      </c>
      <c r="L541" s="111" t="s">
        <v>1671</v>
      </c>
      <c r="Z541" s="100">
        <f t="shared" si="509"/>
        <v>0</v>
      </c>
      <c r="AB541" s="100">
        <f t="shared" si="510"/>
        <v>0</v>
      </c>
      <c r="AC541" s="100">
        <f t="shared" si="511"/>
        <v>0</v>
      </c>
      <c r="AD541" s="100">
        <f t="shared" si="512"/>
        <v>0</v>
      </c>
      <c r="AE541" s="100">
        <f t="shared" si="513"/>
        <v>0</v>
      </c>
      <c r="AF541" s="100">
        <f t="shared" si="514"/>
        <v>0</v>
      </c>
      <c r="AG541" s="100">
        <f t="shared" si="515"/>
        <v>0</v>
      </c>
      <c r="AH541" s="100">
        <f t="shared" si="516"/>
        <v>0</v>
      </c>
      <c r="AI541" s="109"/>
      <c r="AJ541" s="108">
        <f t="shared" si="517"/>
        <v>0</v>
      </c>
      <c r="AK541" s="108">
        <f t="shared" si="518"/>
        <v>0</v>
      </c>
      <c r="AL541" s="108">
        <f t="shared" si="519"/>
        <v>0</v>
      </c>
      <c r="AN541" s="100">
        <v>15</v>
      </c>
      <c r="AO541" s="100">
        <f>H541*0.476937707103782</f>
        <v>0</v>
      </c>
      <c r="AP541" s="100">
        <f>H541*(1-0.476937707103782)</f>
        <v>0</v>
      </c>
      <c r="AQ541" s="111" t="s">
        <v>13</v>
      </c>
      <c r="AV541" s="100">
        <f t="shared" si="520"/>
        <v>0</v>
      </c>
      <c r="AW541" s="100">
        <f t="shared" si="521"/>
        <v>0</v>
      </c>
      <c r="AX541" s="100">
        <f t="shared" si="522"/>
        <v>0</v>
      </c>
      <c r="AY541" s="110" t="s">
        <v>1718</v>
      </c>
      <c r="AZ541" s="110" t="s">
        <v>1735</v>
      </c>
      <c r="BA541" s="109" t="s">
        <v>1737</v>
      </c>
      <c r="BC541" s="100">
        <f t="shared" si="523"/>
        <v>0</v>
      </c>
      <c r="BD541" s="100">
        <f t="shared" si="524"/>
        <v>0</v>
      </c>
      <c r="BE541" s="100">
        <v>0</v>
      </c>
      <c r="BF541" s="100">
        <f>541</f>
        <v>541</v>
      </c>
      <c r="BH541" s="108">
        <f t="shared" si="525"/>
        <v>0</v>
      </c>
      <c r="BI541" s="108">
        <f t="shared" si="526"/>
        <v>0</v>
      </c>
      <c r="BJ541" s="108">
        <f t="shared" si="527"/>
        <v>0</v>
      </c>
    </row>
    <row r="542" spans="1:62" x14ac:dyDescent="0.2">
      <c r="A542" s="117" t="s">
        <v>495</v>
      </c>
      <c r="B542" s="117" t="s">
        <v>925</v>
      </c>
      <c r="C542" s="304" t="s">
        <v>1514</v>
      </c>
      <c r="D542" s="305"/>
      <c r="E542" s="305"/>
      <c r="F542" s="117" t="s">
        <v>1645</v>
      </c>
      <c r="G542" s="116">
        <v>32.076000000000001</v>
      </c>
      <c r="H542" s="159"/>
      <c r="I542" s="108">
        <f t="shared" si="506"/>
        <v>0</v>
      </c>
      <c r="J542" s="108">
        <f t="shared" si="507"/>
        <v>0</v>
      </c>
      <c r="K542" s="108">
        <f t="shared" si="508"/>
        <v>0</v>
      </c>
      <c r="L542" s="111" t="s">
        <v>1671</v>
      </c>
      <c r="Z542" s="100">
        <f t="shared" si="509"/>
        <v>0</v>
      </c>
      <c r="AB542" s="100">
        <f t="shared" si="510"/>
        <v>0</v>
      </c>
      <c r="AC542" s="100">
        <f t="shared" si="511"/>
        <v>0</v>
      </c>
      <c r="AD542" s="100">
        <f t="shared" si="512"/>
        <v>0</v>
      </c>
      <c r="AE542" s="100">
        <f t="shared" si="513"/>
        <v>0</v>
      </c>
      <c r="AF542" s="100">
        <f t="shared" si="514"/>
        <v>0</v>
      </c>
      <c r="AG542" s="100">
        <f t="shared" si="515"/>
        <v>0</v>
      </c>
      <c r="AH542" s="100">
        <f t="shared" si="516"/>
        <v>0</v>
      </c>
      <c r="AI542" s="109"/>
      <c r="AJ542" s="108">
        <f t="shared" si="517"/>
        <v>0</v>
      </c>
      <c r="AK542" s="108">
        <f t="shared" si="518"/>
        <v>0</v>
      </c>
      <c r="AL542" s="108">
        <f t="shared" si="519"/>
        <v>0</v>
      </c>
      <c r="AN542" s="100">
        <v>15</v>
      </c>
      <c r="AO542" s="100">
        <f>H542*0</f>
        <v>0</v>
      </c>
      <c r="AP542" s="100">
        <f>H542*(1-0)</f>
        <v>0</v>
      </c>
      <c r="AQ542" s="111" t="s">
        <v>13</v>
      </c>
      <c r="AV542" s="100">
        <f t="shared" si="520"/>
        <v>0</v>
      </c>
      <c r="AW542" s="100">
        <f t="shared" si="521"/>
        <v>0</v>
      </c>
      <c r="AX542" s="100">
        <f t="shared" si="522"/>
        <v>0</v>
      </c>
      <c r="AY542" s="110" t="s">
        <v>1718</v>
      </c>
      <c r="AZ542" s="110" t="s">
        <v>1735</v>
      </c>
      <c r="BA542" s="109" t="s">
        <v>1737</v>
      </c>
      <c r="BC542" s="100">
        <f t="shared" si="523"/>
        <v>0</v>
      </c>
      <c r="BD542" s="100">
        <f t="shared" si="524"/>
        <v>0</v>
      </c>
      <c r="BE542" s="100">
        <v>0</v>
      </c>
      <c r="BF542" s="100">
        <f>542</f>
        <v>542</v>
      </c>
      <c r="BH542" s="108">
        <f t="shared" si="525"/>
        <v>0</v>
      </c>
      <c r="BI542" s="108">
        <f t="shared" si="526"/>
        <v>0</v>
      </c>
      <c r="BJ542" s="108">
        <f t="shared" si="527"/>
        <v>0</v>
      </c>
    </row>
    <row r="543" spans="1:62" x14ac:dyDescent="0.2">
      <c r="A543" s="124" t="s">
        <v>496</v>
      </c>
      <c r="B543" s="124" t="s">
        <v>926</v>
      </c>
      <c r="C543" s="311" t="s">
        <v>1515</v>
      </c>
      <c r="D543" s="312"/>
      <c r="E543" s="312"/>
      <c r="F543" s="124" t="s">
        <v>1645</v>
      </c>
      <c r="G543" s="123">
        <v>33.68</v>
      </c>
      <c r="H543" s="160"/>
      <c r="I543" s="121">
        <f t="shared" si="506"/>
        <v>0</v>
      </c>
      <c r="J543" s="121">
        <f t="shared" si="507"/>
        <v>0</v>
      </c>
      <c r="K543" s="121">
        <f t="shared" si="508"/>
        <v>0</v>
      </c>
      <c r="L543" s="122" t="s">
        <v>1671</v>
      </c>
      <c r="Z543" s="100">
        <f t="shared" si="509"/>
        <v>0</v>
      </c>
      <c r="AB543" s="100">
        <f t="shared" si="510"/>
        <v>0</v>
      </c>
      <c r="AC543" s="100">
        <f t="shared" si="511"/>
        <v>0</v>
      </c>
      <c r="AD543" s="100">
        <f t="shared" si="512"/>
        <v>0</v>
      </c>
      <c r="AE543" s="100">
        <f t="shared" si="513"/>
        <v>0</v>
      </c>
      <c r="AF543" s="100">
        <f t="shared" si="514"/>
        <v>0</v>
      </c>
      <c r="AG543" s="100">
        <f t="shared" si="515"/>
        <v>0</v>
      </c>
      <c r="AH543" s="100">
        <f t="shared" si="516"/>
        <v>0</v>
      </c>
      <c r="AI543" s="109"/>
      <c r="AJ543" s="121">
        <f t="shared" si="517"/>
        <v>0</v>
      </c>
      <c r="AK543" s="121">
        <f t="shared" si="518"/>
        <v>0</v>
      </c>
      <c r="AL543" s="121">
        <f t="shared" si="519"/>
        <v>0</v>
      </c>
      <c r="AN543" s="100">
        <v>15</v>
      </c>
      <c r="AO543" s="100">
        <f>H543*1</f>
        <v>0</v>
      </c>
      <c r="AP543" s="100">
        <f>H543*(1-1)</f>
        <v>0</v>
      </c>
      <c r="AQ543" s="122" t="s">
        <v>13</v>
      </c>
      <c r="AV543" s="100">
        <f t="shared" si="520"/>
        <v>0</v>
      </c>
      <c r="AW543" s="100">
        <f t="shared" si="521"/>
        <v>0</v>
      </c>
      <c r="AX543" s="100">
        <f t="shared" si="522"/>
        <v>0</v>
      </c>
      <c r="AY543" s="110" t="s">
        <v>1718</v>
      </c>
      <c r="AZ543" s="110" t="s">
        <v>1735</v>
      </c>
      <c r="BA543" s="109" t="s">
        <v>1737</v>
      </c>
      <c r="BC543" s="100">
        <f t="shared" si="523"/>
        <v>0</v>
      </c>
      <c r="BD543" s="100">
        <f t="shared" si="524"/>
        <v>0</v>
      </c>
      <c r="BE543" s="100">
        <v>0</v>
      </c>
      <c r="BF543" s="100">
        <f>543</f>
        <v>543</v>
      </c>
      <c r="BH543" s="121">
        <f t="shared" si="525"/>
        <v>0</v>
      </c>
      <c r="BI543" s="121">
        <f t="shared" si="526"/>
        <v>0</v>
      </c>
      <c r="BJ543" s="121">
        <f t="shared" si="527"/>
        <v>0</v>
      </c>
    </row>
    <row r="544" spans="1:62" x14ac:dyDescent="0.2">
      <c r="A544" s="117" t="s">
        <v>497</v>
      </c>
      <c r="B544" s="117" t="s">
        <v>927</v>
      </c>
      <c r="C544" s="304" t="s">
        <v>1516</v>
      </c>
      <c r="D544" s="305"/>
      <c r="E544" s="305"/>
      <c r="F544" s="117" t="s">
        <v>1646</v>
      </c>
      <c r="G544" s="116">
        <v>28.71</v>
      </c>
      <c r="H544" s="159"/>
      <c r="I544" s="108">
        <f t="shared" si="506"/>
        <v>0</v>
      </c>
      <c r="J544" s="108">
        <f t="shared" si="507"/>
        <v>0</v>
      </c>
      <c r="K544" s="108">
        <f t="shared" si="508"/>
        <v>0</v>
      </c>
      <c r="L544" s="111" t="s">
        <v>1671</v>
      </c>
      <c r="Z544" s="100">
        <f t="shared" si="509"/>
        <v>0</v>
      </c>
      <c r="AB544" s="100">
        <f t="shared" si="510"/>
        <v>0</v>
      </c>
      <c r="AC544" s="100">
        <f t="shared" si="511"/>
        <v>0</v>
      </c>
      <c r="AD544" s="100">
        <f t="shared" si="512"/>
        <v>0</v>
      </c>
      <c r="AE544" s="100">
        <f t="shared" si="513"/>
        <v>0</v>
      </c>
      <c r="AF544" s="100">
        <f t="shared" si="514"/>
        <v>0</v>
      </c>
      <c r="AG544" s="100">
        <f t="shared" si="515"/>
        <v>0</v>
      </c>
      <c r="AH544" s="100">
        <f t="shared" si="516"/>
        <v>0</v>
      </c>
      <c r="AI544" s="109"/>
      <c r="AJ544" s="108">
        <f t="shared" si="517"/>
        <v>0</v>
      </c>
      <c r="AK544" s="108">
        <f t="shared" si="518"/>
        <v>0</v>
      </c>
      <c r="AL544" s="108">
        <f t="shared" si="519"/>
        <v>0</v>
      </c>
      <c r="AN544" s="100">
        <v>15</v>
      </c>
      <c r="AO544" s="100">
        <f>H544*0.0774900902328351</f>
        <v>0</v>
      </c>
      <c r="AP544" s="100">
        <f>H544*(1-0.0774900902328351)</f>
        <v>0</v>
      </c>
      <c r="AQ544" s="111" t="s">
        <v>13</v>
      </c>
      <c r="AV544" s="100">
        <f t="shared" si="520"/>
        <v>0</v>
      </c>
      <c r="AW544" s="100">
        <f t="shared" si="521"/>
        <v>0</v>
      </c>
      <c r="AX544" s="100">
        <f t="shared" si="522"/>
        <v>0</v>
      </c>
      <c r="AY544" s="110" t="s">
        <v>1718</v>
      </c>
      <c r="AZ544" s="110" t="s">
        <v>1735</v>
      </c>
      <c r="BA544" s="109" t="s">
        <v>1737</v>
      </c>
      <c r="BC544" s="100">
        <f t="shared" si="523"/>
        <v>0</v>
      </c>
      <c r="BD544" s="100">
        <f t="shared" si="524"/>
        <v>0</v>
      </c>
      <c r="BE544" s="100">
        <v>0</v>
      </c>
      <c r="BF544" s="100">
        <f>544</f>
        <v>544</v>
      </c>
      <c r="BH544" s="108">
        <f t="shared" si="525"/>
        <v>0</v>
      </c>
      <c r="BI544" s="108">
        <f t="shared" si="526"/>
        <v>0</v>
      </c>
      <c r="BJ544" s="108">
        <f t="shared" si="527"/>
        <v>0</v>
      </c>
    </row>
    <row r="545" spans="1:62" x14ac:dyDescent="0.2">
      <c r="A545" s="124" t="s">
        <v>498</v>
      </c>
      <c r="B545" s="124" t="s">
        <v>928</v>
      </c>
      <c r="C545" s="311" t="s">
        <v>1517</v>
      </c>
      <c r="D545" s="312"/>
      <c r="E545" s="312"/>
      <c r="F545" s="124" t="s">
        <v>1645</v>
      </c>
      <c r="G545" s="123">
        <v>3.589</v>
      </c>
      <c r="H545" s="160"/>
      <c r="I545" s="121">
        <f t="shared" si="506"/>
        <v>0</v>
      </c>
      <c r="J545" s="121">
        <f t="shared" si="507"/>
        <v>0</v>
      </c>
      <c r="K545" s="121">
        <f t="shared" si="508"/>
        <v>0</v>
      </c>
      <c r="L545" s="122" t="s">
        <v>1671</v>
      </c>
      <c r="Z545" s="100">
        <f t="shared" si="509"/>
        <v>0</v>
      </c>
      <c r="AB545" s="100">
        <f t="shared" si="510"/>
        <v>0</v>
      </c>
      <c r="AC545" s="100">
        <f t="shared" si="511"/>
        <v>0</v>
      </c>
      <c r="AD545" s="100">
        <f t="shared" si="512"/>
        <v>0</v>
      </c>
      <c r="AE545" s="100">
        <f t="shared" si="513"/>
        <v>0</v>
      </c>
      <c r="AF545" s="100">
        <f t="shared" si="514"/>
        <v>0</v>
      </c>
      <c r="AG545" s="100">
        <f t="shared" si="515"/>
        <v>0</v>
      </c>
      <c r="AH545" s="100">
        <f t="shared" si="516"/>
        <v>0</v>
      </c>
      <c r="AI545" s="109"/>
      <c r="AJ545" s="121">
        <f t="shared" si="517"/>
        <v>0</v>
      </c>
      <c r="AK545" s="121">
        <f t="shared" si="518"/>
        <v>0</v>
      </c>
      <c r="AL545" s="121">
        <f t="shared" si="519"/>
        <v>0</v>
      </c>
      <c r="AN545" s="100">
        <v>15</v>
      </c>
      <c r="AO545" s="100">
        <f>H545*1</f>
        <v>0</v>
      </c>
      <c r="AP545" s="100">
        <f>H545*(1-1)</f>
        <v>0</v>
      </c>
      <c r="AQ545" s="122" t="s">
        <v>13</v>
      </c>
      <c r="AV545" s="100">
        <f t="shared" si="520"/>
        <v>0</v>
      </c>
      <c r="AW545" s="100">
        <f t="shared" si="521"/>
        <v>0</v>
      </c>
      <c r="AX545" s="100">
        <f t="shared" si="522"/>
        <v>0</v>
      </c>
      <c r="AY545" s="110" t="s">
        <v>1718</v>
      </c>
      <c r="AZ545" s="110" t="s">
        <v>1735</v>
      </c>
      <c r="BA545" s="109" t="s">
        <v>1737</v>
      </c>
      <c r="BC545" s="100">
        <f t="shared" si="523"/>
        <v>0</v>
      </c>
      <c r="BD545" s="100">
        <f t="shared" si="524"/>
        <v>0</v>
      </c>
      <c r="BE545" s="100">
        <v>0</v>
      </c>
      <c r="BF545" s="100">
        <f>545</f>
        <v>545</v>
      </c>
      <c r="BH545" s="121">
        <f t="shared" si="525"/>
        <v>0</v>
      </c>
      <c r="BI545" s="121">
        <f t="shared" si="526"/>
        <v>0</v>
      </c>
      <c r="BJ545" s="121">
        <f t="shared" si="527"/>
        <v>0</v>
      </c>
    </row>
    <row r="546" spans="1:62" x14ac:dyDescent="0.2">
      <c r="A546" s="117" t="s">
        <v>499</v>
      </c>
      <c r="B546" s="117" t="s">
        <v>3392</v>
      </c>
      <c r="C546" s="304" t="s">
        <v>3391</v>
      </c>
      <c r="D546" s="305"/>
      <c r="E546" s="305"/>
      <c r="F546" s="117" t="s">
        <v>1646</v>
      </c>
      <c r="G546" s="116">
        <v>10</v>
      </c>
      <c r="H546" s="159"/>
      <c r="I546" s="108">
        <f t="shared" si="506"/>
        <v>0</v>
      </c>
      <c r="J546" s="108">
        <f t="shared" si="507"/>
        <v>0</v>
      </c>
      <c r="K546" s="108">
        <f t="shared" si="508"/>
        <v>0</v>
      </c>
      <c r="L546" s="111" t="s">
        <v>1671</v>
      </c>
      <c r="Z546" s="100">
        <f t="shared" si="509"/>
        <v>0</v>
      </c>
      <c r="AB546" s="100">
        <f t="shared" si="510"/>
        <v>0</v>
      </c>
      <c r="AC546" s="100">
        <f t="shared" si="511"/>
        <v>0</v>
      </c>
      <c r="AD546" s="100">
        <f t="shared" si="512"/>
        <v>0</v>
      </c>
      <c r="AE546" s="100">
        <f t="shared" si="513"/>
        <v>0</v>
      </c>
      <c r="AF546" s="100">
        <f t="shared" si="514"/>
        <v>0</v>
      </c>
      <c r="AG546" s="100">
        <f t="shared" si="515"/>
        <v>0</v>
      </c>
      <c r="AH546" s="100">
        <f t="shared" si="516"/>
        <v>0</v>
      </c>
      <c r="AI546" s="109"/>
      <c r="AJ546" s="108">
        <f t="shared" si="517"/>
        <v>0</v>
      </c>
      <c r="AK546" s="108">
        <f t="shared" si="518"/>
        <v>0</v>
      </c>
      <c r="AL546" s="108">
        <f t="shared" si="519"/>
        <v>0</v>
      </c>
      <c r="AN546" s="100">
        <v>15</v>
      </c>
      <c r="AO546" s="100">
        <f>H546*0.792973720608576</f>
        <v>0</v>
      </c>
      <c r="AP546" s="100">
        <f>H546*(1-0.792973720608576)</f>
        <v>0</v>
      </c>
      <c r="AQ546" s="111" t="s">
        <v>13</v>
      </c>
      <c r="AV546" s="100">
        <f t="shared" si="520"/>
        <v>0</v>
      </c>
      <c r="AW546" s="100">
        <f t="shared" si="521"/>
        <v>0</v>
      </c>
      <c r="AX546" s="100">
        <f t="shared" si="522"/>
        <v>0</v>
      </c>
      <c r="AY546" s="110" t="s">
        <v>1718</v>
      </c>
      <c r="AZ546" s="110" t="s">
        <v>1735</v>
      </c>
      <c r="BA546" s="109" t="s">
        <v>1737</v>
      </c>
      <c r="BC546" s="100">
        <f t="shared" si="523"/>
        <v>0</v>
      </c>
      <c r="BD546" s="100">
        <f t="shared" si="524"/>
        <v>0</v>
      </c>
      <c r="BE546" s="100">
        <v>0</v>
      </c>
      <c r="BF546" s="100">
        <f>546</f>
        <v>546</v>
      </c>
      <c r="BH546" s="108">
        <f t="shared" si="525"/>
        <v>0</v>
      </c>
      <c r="BI546" s="108">
        <f t="shared" si="526"/>
        <v>0</v>
      </c>
      <c r="BJ546" s="108">
        <f t="shared" si="527"/>
        <v>0</v>
      </c>
    </row>
    <row r="547" spans="1:62" x14ac:dyDescent="0.2">
      <c r="A547" s="117" t="s">
        <v>500</v>
      </c>
      <c r="B547" s="117" t="s">
        <v>929</v>
      </c>
      <c r="C547" s="304" t="s">
        <v>1518</v>
      </c>
      <c r="D547" s="305"/>
      <c r="E547" s="305"/>
      <c r="F547" s="117" t="s">
        <v>1648</v>
      </c>
      <c r="G547" s="116">
        <v>0.89500000000000002</v>
      </c>
      <c r="H547" s="159"/>
      <c r="I547" s="108">
        <f t="shared" si="506"/>
        <v>0</v>
      </c>
      <c r="J547" s="108">
        <f t="shared" si="507"/>
        <v>0</v>
      </c>
      <c r="K547" s="108">
        <f t="shared" si="508"/>
        <v>0</v>
      </c>
      <c r="L547" s="111" t="s">
        <v>1671</v>
      </c>
      <c r="Z547" s="100">
        <f t="shared" si="509"/>
        <v>0</v>
      </c>
      <c r="AB547" s="100">
        <f t="shared" si="510"/>
        <v>0</v>
      </c>
      <c r="AC547" s="100">
        <f t="shared" si="511"/>
        <v>0</v>
      </c>
      <c r="AD547" s="100">
        <f t="shared" si="512"/>
        <v>0</v>
      </c>
      <c r="AE547" s="100">
        <f t="shared" si="513"/>
        <v>0</v>
      </c>
      <c r="AF547" s="100">
        <f t="shared" si="514"/>
        <v>0</v>
      </c>
      <c r="AG547" s="100">
        <f t="shared" si="515"/>
        <v>0</v>
      </c>
      <c r="AH547" s="100">
        <f t="shared" si="516"/>
        <v>0</v>
      </c>
      <c r="AI547" s="109"/>
      <c r="AJ547" s="108">
        <f t="shared" si="517"/>
        <v>0</v>
      </c>
      <c r="AK547" s="108">
        <f t="shared" si="518"/>
        <v>0</v>
      </c>
      <c r="AL547" s="108">
        <f t="shared" si="519"/>
        <v>0</v>
      </c>
      <c r="AN547" s="100">
        <v>15</v>
      </c>
      <c r="AO547" s="100">
        <f>H547*0</f>
        <v>0</v>
      </c>
      <c r="AP547" s="100">
        <f>H547*(1-0)</f>
        <v>0</v>
      </c>
      <c r="AQ547" s="111" t="s">
        <v>11</v>
      </c>
      <c r="AV547" s="100">
        <f t="shared" si="520"/>
        <v>0</v>
      </c>
      <c r="AW547" s="100">
        <f t="shared" si="521"/>
        <v>0</v>
      </c>
      <c r="AX547" s="100">
        <f t="shared" si="522"/>
        <v>0</v>
      </c>
      <c r="AY547" s="110" t="s">
        <v>1718</v>
      </c>
      <c r="AZ547" s="110" t="s">
        <v>1735</v>
      </c>
      <c r="BA547" s="109" t="s">
        <v>1737</v>
      </c>
      <c r="BC547" s="100">
        <f t="shared" si="523"/>
        <v>0</v>
      </c>
      <c r="BD547" s="100">
        <f t="shared" si="524"/>
        <v>0</v>
      </c>
      <c r="BE547" s="100">
        <v>0</v>
      </c>
      <c r="BF547" s="100">
        <f>547</f>
        <v>547</v>
      </c>
      <c r="BH547" s="108">
        <f t="shared" si="525"/>
        <v>0</v>
      </c>
      <c r="BI547" s="108">
        <f t="shared" si="526"/>
        <v>0</v>
      </c>
      <c r="BJ547" s="108">
        <f t="shared" si="527"/>
        <v>0</v>
      </c>
    </row>
    <row r="548" spans="1:62" x14ac:dyDescent="0.2">
      <c r="A548" s="119"/>
      <c r="B548" s="120" t="s">
        <v>930</v>
      </c>
      <c r="C548" s="306" t="s">
        <v>1519</v>
      </c>
      <c r="D548" s="307"/>
      <c r="E548" s="307"/>
      <c r="F548" s="119" t="s">
        <v>6</v>
      </c>
      <c r="G548" s="119" t="s">
        <v>6</v>
      </c>
      <c r="H548" s="119" t="s">
        <v>6</v>
      </c>
      <c r="I548" s="118">
        <f>SUM(I549:I553)</f>
        <v>0</v>
      </c>
      <c r="J548" s="118">
        <f>SUM(J549:J553)</f>
        <v>0</v>
      </c>
      <c r="K548" s="118">
        <f>SUM(K549:K553)</f>
        <v>0</v>
      </c>
      <c r="L548" s="109"/>
      <c r="AI548" s="109"/>
      <c r="AS548" s="118">
        <f>SUM(AJ549:AJ553)</f>
        <v>0</v>
      </c>
      <c r="AT548" s="118">
        <f>SUM(AK549:AK553)</f>
        <v>0</v>
      </c>
      <c r="AU548" s="118">
        <f>SUM(AL549:AL553)</f>
        <v>0</v>
      </c>
    </row>
    <row r="549" spans="1:62" x14ac:dyDescent="0.2">
      <c r="A549" s="117" t="s">
        <v>501</v>
      </c>
      <c r="B549" s="117" t="s">
        <v>931</v>
      </c>
      <c r="C549" s="304" t="s">
        <v>1520</v>
      </c>
      <c r="D549" s="305"/>
      <c r="E549" s="305"/>
      <c r="F549" s="117" t="s">
        <v>1645</v>
      </c>
      <c r="G549" s="116">
        <v>2140.9029999999998</v>
      </c>
      <c r="H549" s="159"/>
      <c r="I549" s="108">
        <f>G549*AO549</f>
        <v>0</v>
      </c>
      <c r="J549" s="108">
        <f>G549*AP549</f>
        <v>0</v>
      </c>
      <c r="K549" s="108">
        <f>G549*H549</f>
        <v>0</v>
      </c>
      <c r="L549" s="111" t="s">
        <v>1671</v>
      </c>
      <c r="Z549" s="100">
        <f>IF(AQ549="5",BJ549,0)</f>
        <v>0</v>
      </c>
      <c r="AB549" s="100">
        <f>IF(AQ549="1",BH549,0)</f>
        <v>0</v>
      </c>
      <c r="AC549" s="100">
        <f>IF(AQ549="1",BI549,0)</f>
        <v>0</v>
      </c>
      <c r="AD549" s="100">
        <f>IF(AQ549="7",BH549,0)</f>
        <v>0</v>
      </c>
      <c r="AE549" s="100">
        <f>IF(AQ549="7",BI549,0)</f>
        <v>0</v>
      </c>
      <c r="AF549" s="100">
        <f>IF(AQ549="2",BH549,0)</f>
        <v>0</v>
      </c>
      <c r="AG549" s="100">
        <f>IF(AQ549="2",BI549,0)</f>
        <v>0</v>
      </c>
      <c r="AH549" s="100">
        <f>IF(AQ549="0",BJ549,0)</f>
        <v>0</v>
      </c>
      <c r="AI549" s="109"/>
      <c r="AJ549" s="108">
        <f>IF(AN549=0,K549,0)</f>
        <v>0</v>
      </c>
      <c r="AK549" s="108">
        <f>IF(AN549=15,K549,0)</f>
        <v>0</v>
      </c>
      <c r="AL549" s="108">
        <f>IF(AN549=21,K549,0)</f>
        <v>0</v>
      </c>
      <c r="AN549" s="100">
        <v>15</v>
      </c>
      <c r="AO549" s="100">
        <f>H549*0</f>
        <v>0</v>
      </c>
      <c r="AP549" s="100">
        <f>H549*(1-0)</f>
        <v>0</v>
      </c>
      <c r="AQ549" s="111" t="s">
        <v>13</v>
      </c>
      <c r="AV549" s="100">
        <f>AW549+AX549</f>
        <v>0</v>
      </c>
      <c r="AW549" s="100">
        <f>G549*AO549</f>
        <v>0</v>
      </c>
      <c r="AX549" s="100">
        <f>G549*AP549</f>
        <v>0</v>
      </c>
      <c r="AY549" s="110" t="s">
        <v>1719</v>
      </c>
      <c r="AZ549" s="110" t="s">
        <v>1736</v>
      </c>
      <c r="BA549" s="109" t="s">
        <v>1737</v>
      </c>
      <c r="BC549" s="100">
        <f>AW549+AX549</f>
        <v>0</v>
      </c>
      <c r="BD549" s="100">
        <f>H549/(100-BE549)*100</f>
        <v>0</v>
      </c>
      <c r="BE549" s="100">
        <v>0</v>
      </c>
      <c r="BF549" s="100">
        <f>549</f>
        <v>549</v>
      </c>
      <c r="BH549" s="108">
        <f>G549*AO549</f>
        <v>0</v>
      </c>
      <c r="BI549" s="108">
        <f>G549*AP549</f>
        <v>0</v>
      </c>
      <c r="BJ549" s="108">
        <f>G549*H549</f>
        <v>0</v>
      </c>
    </row>
    <row r="550" spans="1:62" x14ac:dyDescent="0.2">
      <c r="A550" s="117" t="s">
        <v>502</v>
      </c>
      <c r="B550" s="117" t="s">
        <v>932</v>
      </c>
      <c r="C550" s="304" t="s">
        <v>1521</v>
      </c>
      <c r="D550" s="305"/>
      <c r="E550" s="305"/>
      <c r="F550" s="117" t="s">
        <v>1645</v>
      </c>
      <c r="G550" s="116">
        <v>1484.6010000000001</v>
      </c>
      <c r="H550" s="159"/>
      <c r="I550" s="108">
        <f>G550*AO550</f>
        <v>0</v>
      </c>
      <c r="J550" s="108">
        <f>G550*AP550</f>
        <v>0</v>
      </c>
      <c r="K550" s="108">
        <f>G550*H550</f>
        <v>0</v>
      </c>
      <c r="L550" s="111" t="s">
        <v>1671</v>
      </c>
      <c r="Z550" s="100">
        <f>IF(AQ550="5",BJ550,0)</f>
        <v>0</v>
      </c>
      <c r="AB550" s="100">
        <f>IF(AQ550="1",BH550,0)</f>
        <v>0</v>
      </c>
      <c r="AC550" s="100">
        <f>IF(AQ550="1",BI550,0)</f>
        <v>0</v>
      </c>
      <c r="AD550" s="100">
        <f>IF(AQ550="7",BH550,0)</f>
        <v>0</v>
      </c>
      <c r="AE550" s="100">
        <f>IF(AQ550="7",BI550,0)</f>
        <v>0</v>
      </c>
      <c r="AF550" s="100">
        <f>IF(AQ550="2",BH550,0)</f>
        <v>0</v>
      </c>
      <c r="AG550" s="100">
        <f>IF(AQ550="2",BI550,0)</f>
        <v>0</v>
      </c>
      <c r="AH550" s="100">
        <f>IF(AQ550="0",BJ550,0)</f>
        <v>0</v>
      </c>
      <c r="AI550" s="109"/>
      <c r="AJ550" s="108">
        <f>IF(AN550=0,K550,0)</f>
        <v>0</v>
      </c>
      <c r="AK550" s="108">
        <f>IF(AN550=15,K550,0)</f>
        <v>0</v>
      </c>
      <c r="AL550" s="108">
        <f>IF(AN550=21,K550,0)</f>
        <v>0</v>
      </c>
      <c r="AN550" s="100">
        <v>15</v>
      </c>
      <c r="AO550" s="100">
        <f>H550*0.590822171869359</f>
        <v>0</v>
      </c>
      <c r="AP550" s="100">
        <f>H550*(1-0.590822171869359)</f>
        <v>0</v>
      </c>
      <c r="AQ550" s="111" t="s">
        <v>13</v>
      </c>
      <c r="AV550" s="100">
        <f>AW550+AX550</f>
        <v>0</v>
      </c>
      <c r="AW550" s="100">
        <f>G550*AO550</f>
        <v>0</v>
      </c>
      <c r="AX550" s="100">
        <f>G550*AP550</f>
        <v>0</v>
      </c>
      <c r="AY550" s="110" t="s">
        <v>1719</v>
      </c>
      <c r="AZ550" s="110" t="s">
        <v>1736</v>
      </c>
      <c r="BA550" s="109" t="s">
        <v>1737</v>
      </c>
      <c r="BC550" s="100">
        <f>AW550+AX550</f>
        <v>0</v>
      </c>
      <c r="BD550" s="100">
        <f>H550/(100-BE550)*100</f>
        <v>0</v>
      </c>
      <c r="BE550" s="100">
        <v>0</v>
      </c>
      <c r="BF550" s="100">
        <f>550</f>
        <v>550</v>
      </c>
      <c r="BH550" s="108">
        <f>G550*AO550</f>
        <v>0</v>
      </c>
      <c r="BI550" s="108">
        <f>G550*AP550</f>
        <v>0</v>
      </c>
      <c r="BJ550" s="108">
        <f>G550*H550</f>
        <v>0</v>
      </c>
    </row>
    <row r="551" spans="1:62" x14ac:dyDescent="0.2">
      <c r="A551" s="117" t="s">
        <v>503</v>
      </c>
      <c r="B551" s="117" t="s">
        <v>933</v>
      </c>
      <c r="C551" s="304" t="s">
        <v>1522</v>
      </c>
      <c r="D551" s="305"/>
      <c r="E551" s="305"/>
      <c r="F551" s="117" t="s">
        <v>1645</v>
      </c>
      <c r="G551" s="116">
        <v>2140.9029999999998</v>
      </c>
      <c r="H551" s="159"/>
      <c r="I551" s="108">
        <f>G551*AO551</f>
        <v>0</v>
      </c>
      <c r="J551" s="108">
        <f>G551*AP551</f>
        <v>0</v>
      </c>
      <c r="K551" s="108">
        <f>G551*H551</f>
        <v>0</v>
      </c>
      <c r="L551" s="111" t="s">
        <v>1671</v>
      </c>
      <c r="Z551" s="100">
        <f>IF(AQ551="5",BJ551,0)</f>
        <v>0</v>
      </c>
      <c r="AB551" s="100">
        <f>IF(AQ551="1",BH551,0)</f>
        <v>0</v>
      </c>
      <c r="AC551" s="100">
        <f>IF(AQ551="1",BI551,0)</f>
        <v>0</v>
      </c>
      <c r="AD551" s="100">
        <f>IF(AQ551="7",BH551,0)</f>
        <v>0</v>
      </c>
      <c r="AE551" s="100">
        <f>IF(AQ551="7",BI551,0)</f>
        <v>0</v>
      </c>
      <c r="AF551" s="100">
        <f>IF(AQ551="2",BH551,0)</f>
        <v>0</v>
      </c>
      <c r="AG551" s="100">
        <f>IF(AQ551="2",BI551,0)</f>
        <v>0</v>
      </c>
      <c r="AH551" s="100">
        <f>IF(AQ551="0",BJ551,0)</f>
        <v>0</v>
      </c>
      <c r="AI551" s="109"/>
      <c r="AJ551" s="108">
        <f>IF(AN551=0,K551,0)</f>
        <v>0</v>
      </c>
      <c r="AK551" s="108">
        <f>IF(AN551=15,K551,0)</f>
        <v>0</v>
      </c>
      <c r="AL551" s="108">
        <f>IF(AN551=21,K551,0)</f>
        <v>0</v>
      </c>
      <c r="AN551" s="100">
        <v>15</v>
      </c>
      <c r="AO551" s="100">
        <f>H551*0.400704226670183</f>
        <v>0</v>
      </c>
      <c r="AP551" s="100">
        <f>H551*(1-0.400704226670183)</f>
        <v>0</v>
      </c>
      <c r="AQ551" s="111" t="s">
        <v>13</v>
      </c>
      <c r="AV551" s="100">
        <f>AW551+AX551</f>
        <v>0</v>
      </c>
      <c r="AW551" s="100">
        <f>G551*AO551</f>
        <v>0</v>
      </c>
      <c r="AX551" s="100">
        <f>G551*AP551</f>
        <v>0</v>
      </c>
      <c r="AY551" s="110" t="s">
        <v>1719</v>
      </c>
      <c r="AZ551" s="110" t="s">
        <v>1736</v>
      </c>
      <c r="BA551" s="109" t="s">
        <v>1737</v>
      </c>
      <c r="BC551" s="100">
        <f>AW551+AX551</f>
        <v>0</v>
      </c>
      <c r="BD551" s="100">
        <f>H551/(100-BE551)*100</f>
        <v>0</v>
      </c>
      <c r="BE551" s="100">
        <v>0</v>
      </c>
      <c r="BF551" s="100">
        <f>551</f>
        <v>551</v>
      </c>
      <c r="BH551" s="108">
        <f>G551*AO551</f>
        <v>0</v>
      </c>
      <c r="BI551" s="108">
        <f>G551*AP551</f>
        <v>0</v>
      </c>
      <c r="BJ551" s="108">
        <f>G551*H551</f>
        <v>0</v>
      </c>
    </row>
    <row r="552" spans="1:62" x14ac:dyDescent="0.2">
      <c r="A552" s="117" t="s">
        <v>504</v>
      </c>
      <c r="B552" s="117" t="s">
        <v>934</v>
      </c>
      <c r="C552" s="304" t="s">
        <v>1523</v>
      </c>
      <c r="D552" s="305"/>
      <c r="E552" s="305"/>
      <c r="F552" s="117" t="s">
        <v>1645</v>
      </c>
      <c r="G552" s="116">
        <v>486.226</v>
      </c>
      <c r="H552" s="159"/>
      <c r="I552" s="108">
        <f>G552*AO552</f>
        <v>0</v>
      </c>
      <c r="J552" s="108">
        <f>G552*AP552</f>
        <v>0</v>
      </c>
      <c r="K552" s="108">
        <f>G552*H552</f>
        <v>0</v>
      </c>
      <c r="L552" s="111" t="s">
        <v>1671</v>
      </c>
      <c r="Z552" s="100">
        <f>IF(AQ552="5",BJ552,0)</f>
        <v>0</v>
      </c>
      <c r="AB552" s="100">
        <f>IF(AQ552="1",BH552,0)</f>
        <v>0</v>
      </c>
      <c r="AC552" s="100">
        <f>IF(AQ552="1",BI552,0)</f>
        <v>0</v>
      </c>
      <c r="AD552" s="100">
        <f>IF(AQ552="7",BH552,0)</f>
        <v>0</v>
      </c>
      <c r="AE552" s="100">
        <f>IF(AQ552="7",BI552,0)</f>
        <v>0</v>
      </c>
      <c r="AF552" s="100">
        <f>IF(AQ552="2",BH552,0)</f>
        <v>0</v>
      </c>
      <c r="AG552" s="100">
        <f>IF(AQ552="2",BI552,0)</f>
        <v>0</v>
      </c>
      <c r="AH552" s="100">
        <f>IF(AQ552="0",BJ552,0)</f>
        <v>0</v>
      </c>
      <c r="AI552" s="109"/>
      <c r="AJ552" s="108">
        <f>IF(AN552=0,K552,0)</f>
        <v>0</v>
      </c>
      <c r="AK552" s="108">
        <f>IF(AN552=15,K552,0)</f>
        <v>0</v>
      </c>
      <c r="AL552" s="108">
        <f>IF(AN552=21,K552,0)</f>
        <v>0</v>
      </c>
      <c r="AN552" s="100">
        <v>15</v>
      </c>
      <c r="AO552" s="100">
        <f>H552*0.122818181818182</f>
        <v>0</v>
      </c>
      <c r="AP552" s="100">
        <f>H552*(1-0.122818181818182)</f>
        <v>0</v>
      </c>
      <c r="AQ552" s="111" t="s">
        <v>13</v>
      </c>
      <c r="AV552" s="100">
        <f>AW552+AX552</f>
        <v>0</v>
      </c>
      <c r="AW552" s="100">
        <f>G552*AO552</f>
        <v>0</v>
      </c>
      <c r="AX552" s="100">
        <f>G552*AP552</f>
        <v>0</v>
      </c>
      <c r="AY552" s="110" t="s">
        <v>1719</v>
      </c>
      <c r="AZ552" s="110" t="s">
        <v>1736</v>
      </c>
      <c r="BA552" s="109" t="s">
        <v>1737</v>
      </c>
      <c r="BC552" s="100">
        <f>AW552+AX552</f>
        <v>0</v>
      </c>
      <c r="BD552" s="100">
        <f>H552/(100-BE552)*100</f>
        <v>0</v>
      </c>
      <c r="BE552" s="100">
        <v>0</v>
      </c>
      <c r="BF552" s="100">
        <f>552</f>
        <v>552</v>
      </c>
      <c r="BH552" s="108">
        <f>G552*AO552</f>
        <v>0</v>
      </c>
      <c r="BI552" s="108">
        <f>G552*AP552</f>
        <v>0</v>
      </c>
      <c r="BJ552" s="108">
        <f>G552*H552</f>
        <v>0</v>
      </c>
    </row>
    <row r="553" spans="1:62" x14ac:dyDescent="0.2">
      <c r="A553" s="117" t="s">
        <v>505</v>
      </c>
      <c r="B553" s="117" t="s">
        <v>935</v>
      </c>
      <c r="C553" s="304" t="s">
        <v>1524</v>
      </c>
      <c r="D553" s="305"/>
      <c r="E553" s="305"/>
      <c r="F553" s="117" t="s">
        <v>1645</v>
      </c>
      <c r="G553" s="116">
        <v>1654.6769999999999</v>
      </c>
      <c r="H553" s="159"/>
      <c r="I553" s="108">
        <f>G553*AO553</f>
        <v>0</v>
      </c>
      <c r="J553" s="108">
        <f>G553*AP553</f>
        <v>0</v>
      </c>
      <c r="K553" s="108">
        <f>G553*H553</f>
        <v>0</v>
      </c>
      <c r="L553" s="111" t="s">
        <v>1671</v>
      </c>
      <c r="Z553" s="100">
        <f>IF(AQ553="5",BJ553,0)</f>
        <v>0</v>
      </c>
      <c r="AB553" s="100">
        <f>IF(AQ553="1",BH553,0)</f>
        <v>0</v>
      </c>
      <c r="AC553" s="100">
        <f>IF(AQ553="1",BI553,0)</f>
        <v>0</v>
      </c>
      <c r="AD553" s="100">
        <f>IF(AQ553="7",BH553,0)</f>
        <v>0</v>
      </c>
      <c r="AE553" s="100">
        <f>IF(AQ553="7",BI553,0)</f>
        <v>0</v>
      </c>
      <c r="AF553" s="100">
        <f>IF(AQ553="2",BH553,0)</f>
        <v>0</v>
      </c>
      <c r="AG553" s="100">
        <f>IF(AQ553="2",BI553,0)</f>
        <v>0</v>
      </c>
      <c r="AH553" s="100">
        <f>IF(AQ553="0",BJ553,0)</f>
        <v>0</v>
      </c>
      <c r="AI553" s="109"/>
      <c r="AJ553" s="108">
        <f>IF(AN553=0,K553,0)</f>
        <v>0</v>
      </c>
      <c r="AK553" s="108">
        <f>IF(AN553=15,K553,0)</f>
        <v>0</v>
      </c>
      <c r="AL553" s="108">
        <f>IF(AN553=21,K553,0)</f>
        <v>0</v>
      </c>
      <c r="AN553" s="100">
        <v>15</v>
      </c>
      <c r="AO553" s="100">
        <f>H553*0.0909911526748407</f>
        <v>0</v>
      </c>
      <c r="AP553" s="100">
        <f>H553*(1-0.0909911526748407)</f>
        <v>0</v>
      </c>
      <c r="AQ553" s="111" t="s">
        <v>13</v>
      </c>
      <c r="AV553" s="100">
        <f>AW553+AX553</f>
        <v>0</v>
      </c>
      <c r="AW553" s="100">
        <f>G553*AO553</f>
        <v>0</v>
      </c>
      <c r="AX553" s="100">
        <f>G553*AP553</f>
        <v>0</v>
      </c>
      <c r="AY553" s="110" t="s">
        <v>1719</v>
      </c>
      <c r="AZ553" s="110" t="s">
        <v>1736</v>
      </c>
      <c r="BA553" s="109" t="s">
        <v>1737</v>
      </c>
      <c r="BC553" s="100">
        <f>AW553+AX553</f>
        <v>0</v>
      </c>
      <c r="BD553" s="100">
        <f>H553/(100-BE553)*100</f>
        <v>0</v>
      </c>
      <c r="BE553" s="100">
        <v>0</v>
      </c>
      <c r="BF553" s="100">
        <f>553</f>
        <v>553</v>
      </c>
      <c r="BH553" s="108">
        <f>G553*AO553</f>
        <v>0</v>
      </c>
      <c r="BI553" s="108">
        <f>G553*AP553</f>
        <v>0</v>
      </c>
      <c r="BJ553" s="108">
        <f>G553*H553</f>
        <v>0</v>
      </c>
    </row>
    <row r="554" spans="1:62" x14ac:dyDescent="0.2">
      <c r="A554" s="119"/>
      <c r="B554" s="120" t="s">
        <v>936</v>
      </c>
      <c r="C554" s="306" t="s">
        <v>1525</v>
      </c>
      <c r="D554" s="307"/>
      <c r="E554" s="307"/>
      <c r="F554" s="119" t="s">
        <v>6</v>
      </c>
      <c r="G554" s="119" t="s">
        <v>6</v>
      </c>
      <c r="H554" s="119" t="s">
        <v>6</v>
      </c>
      <c r="I554" s="118">
        <f>SUM(I555:I583)</f>
        <v>0</v>
      </c>
      <c r="J554" s="118">
        <f>SUM(J555:J583)</f>
        <v>0</v>
      </c>
      <c r="K554" s="118">
        <f>SUM(K555:K583)</f>
        <v>0</v>
      </c>
      <c r="L554" s="109"/>
      <c r="AI554" s="109"/>
      <c r="AS554" s="118">
        <f>SUM(AJ555:AJ583)</f>
        <v>0</v>
      </c>
      <c r="AT554" s="118">
        <f>SUM(AK555:AK583)</f>
        <v>0</v>
      </c>
      <c r="AU554" s="118">
        <f>SUM(AL555:AL583)</f>
        <v>0</v>
      </c>
    </row>
    <row r="555" spans="1:62" x14ac:dyDescent="0.2">
      <c r="A555" s="117" t="s">
        <v>506</v>
      </c>
      <c r="B555" s="117" t="s">
        <v>937</v>
      </c>
      <c r="C555" s="304" t="s">
        <v>1526</v>
      </c>
      <c r="D555" s="305"/>
      <c r="E555" s="305"/>
      <c r="F555" s="117" t="s">
        <v>1644</v>
      </c>
      <c r="G555" s="116">
        <v>4</v>
      </c>
      <c r="H555" s="159"/>
      <c r="I555" s="108">
        <f t="shared" ref="I555:I583" si="528">G555*AO555</f>
        <v>0</v>
      </c>
      <c r="J555" s="108">
        <f t="shared" ref="J555:J583" si="529">G555*AP555</f>
        <v>0</v>
      </c>
      <c r="K555" s="108">
        <f t="shared" ref="K555:K583" si="530">G555*H555</f>
        <v>0</v>
      </c>
      <c r="L555" s="111" t="s">
        <v>1671</v>
      </c>
      <c r="Z555" s="100">
        <f t="shared" ref="Z555:Z583" si="531">IF(AQ555="5",BJ555,0)</f>
        <v>0</v>
      </c>
      <c r="AB555" s="100">
        <f t="shared" ref="AB555:AB583" si="532">IF(AQ555="1",BH555,0)</f>
        <v>0</v>
      </c>
      <c r="AC555" s="100">
        <f t="shared" ref="AC555:AC583" si="533">IF(AQ555="1",BI555,0)</f>
        <v>0</v>
      </c>
      <c r="AD555" s="100">
        <f t="shared" ref="AD555:AD583" si="534">IF(AQ555="7",BH555,0)</f>
        <v>0</v>
      </c>
      <c r="AE555" s="100">
        <f t="shared" ref="AE555:AE583" si="535">IF(AQ555="7",BI555,0)</f>
        <v>0</v>
      </c>
      <c r="AF555" s="100">
        <f t="shared" ref="AF555:AF583" si="536">IF(AQ555="2",BH555,0)</f>
        <v>0</v>
      </c>
      <c r="AG555" s="100">
        <f t="shared" ref="AG555:AG583" si="537">IF(AQ555="2",BI555,0)</f>
        <v>0</v>
      </c>
      <c r="AH555" s="100">
        <f t="shared" ref="AH555:AH583" si="538">IF(AQ555="0",BJ555,0)</f>
        <v>0</v>
      </c>
      <c r="AI555" s="109"/>
      <c r="AJ555" s="108">
        <f t="shared" ref="AJ555:AJ583" si="539">IF(AN555=0,K555,0)</f>
        <v>0</v>
      </c>
      <c r="AK555" s="108">
        <f t="shared" ref="AK555:AK583" si="540">IF(AN555=15,K555,0)</f>
        <v>0</v>
      </c>
      <c r="AL555" s="108">
        <f t="shared" ref="AL555:AL583" si="541">IF(AN555=21,K555,0)</f>
        <v>0</v>
      </c>
      <c r="AN555" s="100">
        <v>15</v>
      </c>
      <c r="AO555" s="100">
        <f t="shared" ref="AO555:AO583" si="542">H555*0</f>
        <v>0</v>
      </c>
      <c r="AP555" s="100">
        <f t="shared" ref="AP555:AP583" si="543">H555*(1-0)</f>
        <v>0</v>
      </c>
      <c r="AQ555" s="111" t="s">
        <v>8</v>
      </c>
      <c r="AV555" s="100">
        <f t="shared" ref="AV555:AV583" si="544">AW555+AX555</f>
        <v>0</v>
      </c>
      <c r="AW555" s="100">
        <f t="shared" ref="AW555:AW583" si="545">G555*AO555</f>
        <v>0</v>
      </c>
      <c r="AX555" s="100">
        <f t="shared" ref="AX555:AX583" si="546">G555*AP555</f>
        <v>0</v>
      </c>
      <c r="AY555" s="110" t="s">
        <v>1720</v>
      </c>
      <c r="AZ555" s="110" t="s">
        <v>1730</v>
      </c>
      <c r="BA555" s="109" t="s">
        <v>1737</v>
      </c>
      <c r="BC555" s="100">
        <f t="shared" ref="BC555:BC583" si="547">AW555+AX555</f>
        <v>0</v>
      </c>
      <c r="BD555" s="100">
        <f t="shared" ref="BD555:BD583" si="548">H555/(100-BE555)*100</f>
        <v>0</v>
      </c>
      <c r="BE555" s="100">
        <v>0</v>
      </c>
      <c r="BF555" s="100">
        <f>555</f>
        <v>555</v>
      </c>
      <c r="BH555" s="108">
        <f t="shared" ref="BH555:BH583" si="549">G555*AO555</f>
        <v>0</v>
      </c>
      <c r="BI555" s="108">
        <f t="shared" ref="BI555:BI583" si="550">G555*AP555</f>
        <v>0</v>
      </c>
      <c r="BJ555" s="108">
        <f t="shared" ref="BJ555:BJ583" si="551">G555*H555</f>
        <v>0</v>
      </c>
    </row>
    <row r="556" spans="1:62" x14ac:dyDescent="0.2">
      <c r="A556" s="117" t="s">
        <v>507</v>
      </c>
      <c r="B556" s="117" t="s">
        <v>939</v>
      </c>
      <c r="C556" s="304" t="s">
        <v>3026</v>
      </c>
      <c r="D556" s="305"/>
      <c r="E556" s="305"/>
      <c r="F556" s="117" t="s">
        <v>1644</v>
      </c>
      <c r="G556" s="116">
        <v>1</v>
      </c>
      <c r="H556" s="159"/>
      <c r="I556" s="108">
        <f t="shared" si="528"/>
        <v>0</v>
      </c>
      <c r="J556" s="108">
        <f t="shared" si="529"/>
        <v>0</v>
      </c>
      <c r="K556" s="108">
        <f t="shared" si="530"/>
        <v>0</v>
      </c>
      <c r="L556" s="111" t="s">
        <v>1671</v>
      </c>
      <c r="Z556" s="100">
        <f t="shared" si="531"/>
        <v>0</v>
      </c>
      <c r="AB556" s="100">
        <f t="shared" si="532"/>
        <v>0</v>
      </c>
      <c r="AC556" s="100">
        <f t="shared" si="533"/>
        <v>0</v>
      </c>
      <c r="AD556" s="100">
        <f t="shared" si="534"/>
        <v>0</v>
      </c>
      <c r="AE556" s="100">
        <f t="shared" si="535"/>
        <v>0</v>
      </c>
      <c r="AF556" s="100">
        <f t="shared" si="536"/>
        <v>0</v>
      </c>
      <c r="AG556" s="100">
        <f t="shared" si="537"/>
        <v>0</v>
      </c>
      <c r="AH556" s="100">
        <f t="shared" si="538"/>
        <v>0</v>
      </c>
      <c r="AI556" s="109"/>
      <c r="AJ556" s="108">
        <f t="shared" si="539"/>
        <v>0</v>
      </c>
      <c r="AK556" s="108">
        <f t="shared" si="540"/>
        <v>0</v>
      </c>
      <c r="AL556" s="108">
        <f t="shared" si="541"/>
        <v>0</v>
      </c>
      <c r="AN556" s="100">
        <v>15</v>
      </c>
      <c r="AO556" s="100">
        <f t="shared" si="542"/>
        <v>0</v>
      </c>
      <c r="AP556" s="100">
        <f t="shared" si="543"/>
        <v>0</v>
      </c>
      <c r="AQ556" s="111" t="s">
        <v>8</v>
      </c>
      <c r="AV556" s="100">
        <f t="shared" si="544"/>
        <v>0</v>
      </c>
      <c r="AW556" s="100">
        <f t="shared" si="545"/>
        <v>0</v>
      </c>
      <c r="AX556" s="100">
        <f t="shared" si="546"/>
        <v>0</v>
      </c>
      <c r="AY556" s="110" t="s">
        <v>1720</v>
      </c>
      <c r="AZ556" s="110" t="s">
        <v>1730</v>
      </c>
      <c r="BA556" s="109" t="s">
        <v>1737</v>
      </c>
      <c r="BC556" s="100">
        <f t="shared" si="547"/>
        <v>0</v>
      </c>
      <c r="BD556" s="100">
        <f t="shared" si="548"/>
        <v>0</v>
      </c>
      <c r="BE556" s="100">
        <v>0</v>
      </c>
      <c r="BF556" s="100">
        <f>556</f>
        <v>556</v>
      </c>
      <c r="BH556" s="108">
        <f t="shared" si="549"/>
        <v>0</v>
      </c>
      <c r="BI556" s="108">
        <f t="shared" si="550"/>
        <v>0</v>
      </c>
      <c r="BJ556" s="108">
        <f t="shared" si="551"/>
        <v>0</v>
      </c>
    </row>
    <row r="557" spans="1:62" x14ac:dyDescent="0.2">
      <c r="A557" s="117" t="s">
        <v>508</v>
      </c>
      <c r="B557" s="117" t="s">
        <v>2673</v>
      </c>
      <c r="C557" s="304" t="s">
        <v>2672</v>
      </c>
      <c r="D557" s="305"/>
      <c r="E557" s="305"/>
      <c r="F557" s="117" t="s">
        <v>1644</v>
      </c>
      <c r="G557" s="116">
        <v>1</v>
      </c>
      <c r="H557" s="159"/>
      <c r="I557" s="108">
        <f t="shared" si="528"/>
        <v>0</v>
      </c>
      <c r="J557" s="108">
        <f t="shared" si="529"/>
        <v>0</v>
      </c>
      <c r="K557" s="108">
        <f t="shared" si="530"/>
        <v>0</v>
      </c>
      <c r="L557" s="111" t="s">
        <v>1671</v>
      </c>
      <c r="Z557" s="100">
        <f t="shared" si="531"/>
        <v>0</v>
      </c>
      <c r="AB557" s="100">
        <f t="shared" si="532"/>
        <v>0</v>
      </c>
      <c r="AC557" s="100">
        <f t="shared" si="533"/>
        <v>0</v>
      </c>
      <c r="AD557" s="100">
        <f t="shared" si="534"/>
        <v>0</v>
      </c>
      <c r="AE557" s="100">
        <f t="shared" si="535"/>
        <v>0</v>
      </c>
      <c r="AF557" s="100">
        <f t="shared" si="536"/>
        <v>0</v>
      </c>
      <c r="AG557" s="100">
        <f t="shared" si="537"/>
        <v>0</v>
      </c>
      <c r="AH557" s="100">
        <f t="shared" si="538"/>
        <v>0</v>
      </c>
      <c r="AI557" s="109"/>
      <c r="AJ557" s="108">
        <f t="shared" si="539"/>
        <v>0</v>
      </c>
      <c r="AK557" s="108">
        <f t="shared" si="540"/>
        <v>0</v>
      </c>
      <c r="AL557" s="108">
        <f t="shared" si="541"/>
        <v>0</v>
      </c>
      <c r="AN557" s="100">
        <v>15</v>
      </c>
      <c r="AO557" s="100">
        <f t="shared" si="542"/>
        <v>0</v>
      </c>
      <c r="AP557" s="100">
        <f t="shared" si="543"/>
        <v>0</v>
      </c>
      <c r="AQ557" s="111" t="s">
        <v>8</v>
      </c>
      <c r="AV557" s="100">
        <f t="shared" si="544"/>
        <v>0</v>
      </c>
      <c r="AW557" s="100">
        <f t="shared" si="545"/>
        <v>0</v>
      </c>
      <c r="AX557" s="100">
        <f t="shared" si="546"/>
        <v>0</v>
      </c>
      <c r="AY557" s="110" t="s">
        <v>1720</v>
      </c>
      <c r="AZ557" s="110" t="s">
        <v>1730</v>
      </c>
      <c r="BA557" s="109" t="s">
        <v>1737</v>
      </c>
      <c r="BC557" s="100">
        <f t="shared" si="547"/>
        <v>0</v>
      </c>
      <c r="BD557" s="100">
        <f t="shared" si="548"/>
        <v>0</v>
      </c>
      <c r="BE557" s="100">
        <v>0</v>
      </c>
      <c r="BF557" s="100">
        <f>557</f>
        <v>557</v>
      </c>
      <c r="BH557" s="108">
        <f t="shared" si="549"/>
        <v>0</v>
      </c>
      <c r="BI557" s="108">
        <f t="shared" si="550"/>
        <v>0</v>
      </c>
      <c r="BJ557" s="108">
        <f t="shared" si="551"/>
        <v>0</v>
      </c>
    </row>
    <row r="558" spans="1:62" x14ac:dyDescent="0.2">
      <c r="A558" s="117" t="s">
        <v>509</v>
      </c>
      <c r="B558" s="117" t="s">
        <v>940</v>
      </c>
      <c r="C558" s="304" t="s">
        <v>1529</v>
      </c>
      <c r="D558" s="305"/>
      <c r="E558" s="305"/>
      <c r="F558" s="117" t="s">
        <v>1644</v>
      </c>
      <c r="G558" s="116">
        <v>1</v>
      </c>
      <c r="H558" s="159"/>
      <c r="I558" s="108">
        <f t="shared" si="528"/>
        <v>0</v>
      </c>
      <c r="J558" s="108">
        <f t="shared" si="529"/>
        <v>0</v>
      </c>
      <c r="K558" s="108">
        <f t="shared" si="530"/>
        <v>0</v>
      </c>
      <c r="L558" s="111" t="s">
        <v>1671</v>
      </c>
      <c r="Z558" s="100">
        <f t="shared" si="531"/>
        <v>0</v>
      </c>
      <c r="AB558" s="100">
        <f t="shared" si="532"/>
        <v>0</v>
      </c>
      <c r="AC558" s="100">
        <f t="shared" si="533"/>
        <v>0</v>
      </c>
      <c r="AD558" s="100">
        <f t="shared" si="534"/>
        <v>0</v>
      </c>
      <c r="AE558" s="100">
        <f t="shared" si="535"/>
        <v>0</v>
      </c>
      <c r="AF558" s="100">
        <f t="shared" si="536"/>
        <v>0</v>
      </c>
      <c r="AG558" s="100">
        <f t="shared" si="537"/>
        <v>0</v>
      </c>
      <c r="AH558" s="100">
        <f t="shared" si="538"/>
        <v>0</v>
      </c>
      <c r="AI558" s="109"/>
      <c r="AJ558" s="108">
        <f t="shared" si="539"/>
        <v>0</v>
      </c>
      <c r="AK558" s="108">
        <f t="shared" si="540"/>
        <v>0</v>
      </c>
      <c r="AL558" s="108">
        <f t="shared" si="541"/>
        <v>0</v>
      </c>
      <c r="AN558" s="100">
        <v>15</v>
      </c>
      <c r="AO558" s="100">
        <f t="shared" si="542"/>
        <v>0</v>
      </c>
      <c r="AP558" s="100">
        <f t="shared" si="543"/>
        <v>0</v>
      </c>
      <c r="AQ558" s="111" t="s">
        <v>8</v>
      </c>
      <c r="AV558" s="100">
        <f t="shared" si="544"/>
        <v>0</v>
      </c>
      <c r="AW558" s="100">
        <f t="shared" si="545"/>
        <v>0</v>
      </c>
      <c r="AX558" s="100">
        <f t="shared" si="546"/>
        <v>0</v>
      </c>
      <c r="AY558" s="110" t="s">
        <v>1720</v>
      </c>
      <c r="AZ558" s="110" t="s">
        <v>1730</v>
      </c>
      <c r="BA558" s="109" t="s">
        <v>1737</v>
      </c>
      <c r="BC558" s="100">
        <f t="shared" si="547"/>
        <v>0</v>
      </c>
      <c r="BD558" s="100">
        <f t="shared" si="548"/>
        <v>0</v>
      </c>
      <c r="BE558" s="100">
        <v>0</v>
      </c>
      <c r="BF558" s="100">
        <f>558</f>
        <v>558</v>
      </c>
      <c r="BH558" s="108">
        <f t="shared" si="549"/>
        <v>0</v>
      </c>
      <c r="BI558" s="108">
        <f t="shared" si="550"/>
        <v>0</v>
      </c>
      <c r="BJ558" s="108">
        <f t="shared" si="551"/>
        <v>0</v>
      </c>
    </row>
    <row r="559" spans="1:62" x14ac:dyDescent="0.2">
      <c r="A559" s="117" t="s">
        <v>510</v>
      </c>
      <c r="B559" s="117" t="s">
        <v>3390</v>
      </c>
      <c r="C559" s="304" t="s">
        <v>1531</v>
      </c>
      <c r="D559" s="305"/>
      <c r="E559" s="305"/>
      <c r="F559" s="117" t="s">
        <v>1644</v>
      </c>
      <c r="G559" s="116">
        <v>1</v>
      </c>
      <c r="H559" s="159"/>
      <c r="I559" s="108">
        <f t="shared" si="528"/>
        <v>0</v>
      </c>
      <c r="J559" s="108">
        <f t="shared" si="529"/>
        <v>0</v>
      </c>
      <c r="K559" s="108">
        <f t="shared" si="530"/>
        <v>0</v>
      </c>
      <c r="L559" s="111"/>
      <c r="Z559" s="100">
        <f t="shared" si="531"/>
        <v>0</v>
      </c>
      <c r="AB559" s="100">
        <f t="shared" si="532"/>
        <v>0</v>
      </c>
      <c r="AC559" s="100">
        <f t="shared" si="533"/>
        <v>0</v>
      </c>
      <c r="AD559" s="100">
        <f t="shared" si="534"/>
        <v>0</v>
      </c>
      <c r="AE559" s="100">
        <f t="shared" si="535"/>
        <v>0</v>
      </c>
      <c r="AF559" s="100">
        <f t="shared" si="536"/>
        <v>0</v>
      </c>
      <c r="AG559" s="100">
        <f t="shared" si="537"/>
        <v>0</v>
      </c>
      <c r="AH559" s="100">
        <f t="shared" si="538"/>
        <v>0</v>
      </c>
      <c r="AI559" s="109"/>
      <c r="AJ559" s="108">
        <f t="shared" si="539"/>
        <v>0</v>
      </c>
      <c r="AK559" s="108">
        <f t="shared" si="540"/>
        <v>0</v>
      </c>
      <c r="AL559" s="108">
        <f t="shared" si="541"/>
        <v>0</v>
      </c>
      <c r="AN559" s="100">
        <v>15</v>
      </c>
      <c r="AO559" s="100">
        <f t="shared" si="542"/>
        <v>0</v>
      </c>
      <c r="AP559" s="100">
        <f t="shared" si="543"/>
        <v>0</v>
      </c>
      <c r="AQ559" s="111" t="s">
        <v>7</v>
      </c>
      <c r="AV559" s="100">
        <f t="shared" si="544"/>
        <v>0</v>
      </c>
      <c r="AW559" s="100">
        <f t="shared" si="545"/>
        <v>0</v>
      </c>
      <c r="AX559" s="100">
        <f t="shared" si="546"/>
        <v>0</v>
      </c>
      <c r="AY559" s="110" t="s">
        <v>1720</v>
      </c>
      <c r="AZ559" s="110" t="s">
        <v>1730</v>
      </c>
      <c r="BA559" s="109" t="s">
        <v>1737</v>
      </c>
      <c r="BC559" s="100">
        <f t="shared" si="547"/>
        <v>0</v>
      </c>
      <c r="BD559" s="100">
        <f t="shared" si="548"/>
        <v>0</v>
      </c>
      <c r="BE559" s="100">
        <v>0</v>
      </c>
      <c r="BF559" s="100">
        <f>559</f>
        <v>559</v>
      </c>
      <c r="BH559" s="108">
        <f t="shared" si="549"/>
        <v>0</v>
      </c>
      <c r="BI559" s="108">
        <f t="shared" si="550"/>
        <v>0</v>
      </c>
      <c r="BJ559" s="108">
        <f t="shared" si="551"/>
        <v>0</v>
      </c>
    </row>
    <row r="560" spans="1:62" x14ac:dyDescent="0.2">
      <c r="A560" s="117" t="s">
        <v>511</v>
      </c>
      <c r="B560" s="117" t="s">
        <v>3389</v>
      </c>
      <c r="C560" s="304" t="s">
        <v>1532</v>
      </c>
      <c r="D560" s="305"/>
      <c r="E560" s="305"/>
      <c r="F560" s="117" t="s">
        <v>1646</v>
      </c>
      <c r="G560" s="116">
        <v>80</v>
      </c>
      <c r="H560" s="159"/>
      <c r="I560" s="108">
        <f t="shared" si="528"/>
        <v>0</v>
      </c>
      <c r="J560" s="108">
        <f t="shared" si="529"/>
        <v>0</v>
      </c>
      <c r="K560" s="108">
        <f t="shared" si="530"/>
        <v>0</v>
      </c>
      <c r="L560" s="111"/>
      <c r="Z560" s="100">
        <f t="shared" si="531"/>
        <v>0</v>
      </c>
      <c r="AB560" s="100">
        <f t="shared" si="532"/>
        <v>0</v>
      </c>
      <c r="AC560" s="100">
        <f t="shared" si="533"/>
        <v>0</v>
      </c>
      <c r="AD560" s="100">
        <f t="shared" si="534"/>
        <v>0</v>
      </c>
      <c r="AE560" s="100">
        <f t="shared" si="535"/>
        <v>0</v>
      </c>
      <c r="AF560" s="100">
        <f t="shared" si="536"/>
        <v>0</v>
      </c>
      <c r="AG560" s="100">
        <f t="shared" si="537"/>
        <v>0</v>
      </c>
      <c r="AH560" s="100">
        <f t="shared" si="538"/>
        <v>0</v>
      </c>
      <c r="AI560" s="109"/>
      <c r="AJ560" s="108">
        <f t="shared" si="539"/>
        <v>0</v>
      </c>
      <c r="AK560" s="108">
        <f t="shared" si="540"/>
        <v>0</v>
      </c>
      <c r="AL560" s="108">
        <f t="shared" si="541"/>
        <v>0</v>
      </c>
      <c r="AN560" s="100">
        <v>15</v>
      </c>
      <c r="AO560" s="100">
        <f t="shared" si="542"/>
        <v>0</v>
      </c>
      <c r="AP560" s="100">
        <f t="shared" si="543"/>
        <v>0</v>
      </c>
      <c r="AQ560" s="111" t="s">
        <v>7</v>
      </c>
      <c r="AV560" s="100">
        <f t="shared" si="544"/>
        <v>0</v>
      </c>
      <c r="AW560" s="100">
        <f t="shared" si="545"/>
        <v>0</v>
      </c>
      <c r="AX560" s="100">
        <f t="shared" si="546"/>
        <v>0</v>
      </c>
      <c r="AY560" s="110" t="s">
        <v>1720</v>
      </c>
      <c r="AZ560" s="110" t="s">
        <v>1730</v>
      </c>
      <c r="BA560" s="109" t="s">
        <v>1737</v>
      </c>
      <c r="BC560" s="100">
        <f t="shared" si="547"/>
        <v>0</v>
      </c>
      <c r="BD560" s="100">
        <f t="shared" si="548"/>
        <v>0</v>
      </c>
      <c r="BE560" s="100">
        <v>0</v>
      </c>
      <c r="BF560" s="100">
        <f>560</f>
        <v>560</v>
      </c>
      <c r="BH560" s="108">
        <f t="shared" si="549"/>
        <v>0</v>
      </c>
      <c r="BI560" s="108">
        <f t="shared" si="550"/>
        <v>0</v>
      </c>
      <c r="BJ560" s="108">
        <f t="shared" si="551"/>
        <v>0</v>
      </c>
    </row>
    <row r="561" spans="1:62" x14ac:dyDescent="0.2">
      <c r="A561" s="117" t="s">
        <v>512</v>
      </c>
      <c r="B561" s="117" t="s">
        <v>3388</v>
      </c>
      <c r="C561" s="304" t="s">
        <v>1533</v>
      </c>
      <c r="D561" s="305"/>
      <c r="E561" s="305"/>
      <c r="F561" s="117" t="s">
        <v>1646</v>
      </c>
      <c r="G561" s="116">
        <v>30</v>
      </c>
      <c r="H561" s="159"/>
      <c r="I561" s="108">
        <f t="shared" si="528"/>
        <v>0</v>
      </c>
      <c r="J561" s="108">
        <f t="shared" si="529"/>
        <v>0</v>
      </c>
      <c r="K561" s="108">
        <f t="shared" si="530"/>
        <v>0</v>
      </c>
      <c r="L561" s="111"/>
      <c r="Z561" s="100">
        <f t="shared" si="531"/>
        <v>0</v>
      </c>
      <c r="AB561" s="100">
        <f t="shared" si="532"/>
        <v>0</v>
      </c>
      <c r="AC561" s="100">
        <f t="shared" si="533"/>
        <v>0</v>
      </c>
      <c r="AD561" s="100">
        <f t="shared" si="534"/>
        <v>0</v>
      </c>
      <c r="AE561" s="100">
        <f t="shared" si="535"/>
        <v>0</v>
      </c>
      <c r="AF561" s="100">
        <f t="shared" si="536"/>
        <v>0</v>
      </c>
      <c r="AG561" s="100">
        <f t="shared" si="537"/>
        <v>0</v>
      </c>
      <c r="AH561" s="100">
        <f t="shared" si="538"/>
        <v>0</v>
      </c>
      <c r="AI561" s="109"/>
      <c r="AJ561" s="108">
        <f t="shared" si="539"/>
        <v>0</v>
      </c>
      <c r="AK561" s="108">
        <f t="shared" si="540"/>
        <v>0</v>
      </c>
      <c r="AL561" s="108">
        <f t="shared" si="541"/>
        <v>0</v>
      </c>
      <c r="AN561" s="100">
        <v>15</v>
      </c>
      <c r="AO561" s="100">
        <f t="shared" si="542"/>
        <v>0</v>
      </c>
      <c r="AP561" s="100">
        <f t="shared" si="543"/>
        <v>0</v>
      </c>
      <c r="AQ561" s="111" t="s">
        <v>7</v>
      </c>
      <c r="AV561" s="100">
        <f t="shared" si="544"/>
        <v>0</v>
      </c>
      <c r="AW561" s="100">
        <f t="shared" si="545"/>
        <v>0</v>
      </c>
      <c r="AX561" s="100">
        <f t="shared" si="546"/>
        <v>0</v>
      </c>
      <c r="AY561" s="110" t="s">
        <v>1720</v>
      </c>
      <c r="AZ561" s="110" t="s">
        <v>1730</v>
      </c>
      <c r="BA561" s="109" t="s">
        <v>1737</v>
      </c>
      <c r="BC561" s="100">
        <f t="shared" si="547"/>
        <v>0</v>
      </c>
      <c r="BD561" s="100">
        <f t="shared" si="548"/>
        <v>0</v>
      </c>
      <c r="BE561" s="100">
        <v>0</v>
      </c>
      <c r="BF561" s="100">
        <f>561</f>
        <v>561</v>
      </c>
      <c r="BH561" s="108">
        <f t="shared" si="549"/>
        <v>0</v>
      </c>
      <c r="BI561" s="108">
        <f t="shared" si="550"/>
        <v>0</v>
      </c>
      <c r="BJ561" s="108">
        <f t="shared" si="551"/>
        <v>0</v>
      </c>
    </row>
    <row r="562" spans="1:62" x14ac:dyDescent="0.2">
      <c r="A562" s="117" t="s">
        <v>513</v>
      </c>
      <c r="B562" s="117" t="s">
        <v>3387</v>
      </c>
      <c r="C562" s="304" t="s">
        <v>1534</v>
      </c>
      <c r="D562" s="305"/>
      <c r="E562" s="305"/>
      <c r="F562" s="117" t="s">
        <v>1644</v>
      </c>
      <c r="G562" s="116">
        <v>5</v>
      </c>
      <c r="H562" s="159"/>
      <c r="I562" s="108">
        <f t="shared" si="528"/>
        <v>0</v>
      </c>
      <c r="J562" s="108">
        <f t="shared" si="529"/>
        <v>0</v>
      </c>
      <c r="K562" s="108">
        <f t="shared" si="530"/>
        <v>0</v>
      </c>
      <c r="L562" s="111"/>
      <c r="Z562" s="100">
        <f t="shared" si="531"/>
        <v>0</v>
      </c>
      <c r="AB562" s="100">
        <f t="shared" si="532"/>
        <v>0</v>
      </c>
      <c r="AC562" s="100">
        <f t="shared" si="533"/>
        <v>0</v>
      </c>
      <c r="AD562" s="100">
        <f t="shared" si="534"/>
        <v>0</v>
      </c>
      <c r="AE562" s="100">
        <f t="shared" si="535"/>
        <v>0</v>
      </c>
      <c r="AF562" s="100">
        <f t="shared" si="536"/>
        <v>0</v>
      </c>
      <c r="AG562" s="100">
        <f t="shared" si="537"/>
        <v>0</v>
      </c>
      <c r="AH562" s="100">
        <f t="shared" si="538"/>
        <v>0</v>
      </c>
      <c r="AI562" s="109"/>
      <c r="AJ562" s="108">
        <f t="shared" si="539"/>
        <v>0</v>
      </c>
      <c r="AK562" s="108">
        <f t="shared" si="540"/>
        <v>0</v>
      </c>
      <c r="AL562" s="108">
        <f t="shared" si="541"/>
        <v>0</v>
      </c>
      <c r="AN562" s="100">
        <v>15</v>
      </c>
      <c r="AO562" s="100">
        <f t="shared" si="542"/>
        <v>0</v>
      </c>
      <c r="AP562" s="100">
        <f t="shared" si="543"/>
        <v>0</v>
      </c>
      <c r="AQ562" s="111" t="s">
        <v>7</v>
      </c>
      <c r="AV562" s="100">
        <f t="shared" si="544"/>
        <v>0</v>
      </c>
      <c r="AW562" s="100">
        <f t="shared" si="545"/>
        <v>0</v>
      </c>
      <c r="AX562" s="100">
        <f t="shared" si="546"/>
        <v>0</v>
      </c>
      <c r="AY562" s="110" t="s">
        <v>1720</v>
      </c>
      <c r="AZ562" s="110" t="s">
        <v>1730</v>
      </c>
      <c r="BA562" s="109" t="s">
        <v>1737</v>
      </c>
      <c r="BC562" s="100">
        <f t="shared" si="547"/>
        <v>0</v>
      </c>
      <c r="BD562" s="100">
        <f t="shared" si="548"/>
        <v>0</v>
      </c>
      <c r="BE562" s="100">
        <v>0</v>
      </c>
      <c r="BF562" s="100">
        <f>562</f>
        <v>562</v>
      </c>
      <c r="BH562" s="108">
        <f t="shared" si="549"/>
        <v>0</v>
      </c>
      <c r="BI562" s="108">
        <f t="shared" si="550"/>
        <v>0</v>
      </c>
      <c r="BJ562" s="108">
        <f t="shared" si="551"/>
        <v>0</v>
      </c>
    </row>
    <row r="563" spans="1:62" x14ac:dyDescent="0.2">
      <c r="A563" s="117" t="s">
        <v>514</v>
      </c>
      <c r="B563" s="117" t="s">
        <v>3386</v>
      </c>
      <c r="C563" s="304" t="s">
        <v>1535</v>
      </c>
      <c r="D563" s="305"/>
      <c r="E563" s="305"/>
      <c r="F563" s="117" t="s">
        <v>1644</v>
      </c>
      <c r="G563" s="116">
        <v>3</v>
      </c>
      <c r="H563" s="159"/>
      <c r="I563" s="108">
        <f t="shared" si="528"/>
        <v>0</v>
      </c>
      <c r="J563" s="108">
        <f t="shared" si="529"/>
        <v>0</v>
      </c>
      <c r="K563" s="108">
        <f t="shared" si="530"/>
        <v>0</v>
      </c>
      <c r="L563" s="111"/>
      <c r="Z563" s="100">
        <f t="shared" si="531"/>
        <v>0</v>
      </c>
      <c r="AB563" s="100">
        <f t="shared" si="532"/>
        <v>0</v>
      </c>
      <c r="AC563" s="100">
        <f t="shared" si="533"/>
        <v>0</v>
      </c>
      <c r="AD563" s="100">
        <f t="shared" si="534"/>
        <v>0</v>
      </c>
      <c r="AE563" s="100">
        <f t="shared" si="535"/>
        <v>0</v>
      </c>
      <c r="AF563" s="100">
        <f t="shared" si="536"/>
        <v>0</v>
      </c>
      <c r="AG563" s="100">
        <f t="shared" si="537"/>
        <v>0</v>
      </c>
      <c r="AH563" s="100">
        <f t="shared" si="538"/>
        <v>0</v>
      </c>
      <c r="AI563" s="109"/>
      <c r="AJ563" s="108">
        <f t="shared" si="539"/>
        <v>0</v>
      </c>
      <c r="AK563" s="108">
        <f t="shared" si="540"/>
        <v>0</v>
      </c>
      <c r="AL563" s="108">
        <f t="shared" si="541"/>
        <v>0</v>
      </c>
      <c r="AN563" s="100">
        <v>15</v>
      </c>
      <c r="AO563" s="100">
        <f t="shared" si="542"/>
        <v>0</v>
      </c>
      <c r="AP563" s="100">
        <f t="shared" si="543"/>
        <v>0</v>
      </c>
      <c r="AQ563" s="111" t="s">
        <v>7</v>
      </c>
      <c r="AV563" s="100">
        <f t="shared" si="544"/>
        <v>0</v>
      </c>
      <c r="AW563" s="100">
        <f t="shared" si="545"/>
        <v>0</v>
      </c>
      <c r="AX563" s="100">
        <f t="shared" si="546"/>
        <v>0</v>
      </c>
      <c r="AY563" s="110" t="s">
        <v>1720</v>
      </c>
      <c r="AZ563" s="110" t="s">
        <v>1730</v>
      </c>
      <c r="BA563" s="109" t="s">
        <v>1737</v>
      </c>
      <c r="BC563" s="100">
        <f t="shared" si="547"/>
        <v>0</v>
      </c>
      <c r="BD563" s="100">
        <f t="shared" si="548"/>
        <v>0</v>
      </c>
      <c r="BE563" s="100">
        <v>0</v>
      </c>
      <c r="BF563" s="100">
        <f>563</f>
        <v>563</v>
      </c>
      <c r="BH563" s="108">
        <f t="shared" si="549"/>
        <v>0</v>
      </c>
      <c r="BI563" s="108">
        <f t="shared" si="550"/>
        <v>0</v>
      </c>
      <c r="BJ563" s="108">
        <f t="shared" si="551"/>
        <v>0</v>
      </c>
    </row>
    <row r="564" spans="1:62" x14ac:dyDescent="0.2">
      <c r="A564" s="117" t="s">
        <v>515</v>
      </c>
      <c r="B564" s="117" t="s">
        <v>3385</v>
      </c>
      <c r="C564" s="304" t="s">
        <v>1536</v>
      </c>
      <c r="D564" s="305"/>
      <c r="E564" s="305"/>
      <c r="F564" s="117" t="s">
        <v>1644</v>
      </c>
      <c r="G564" s="116">
        <v>24</v>
      </c>
      <c r="H564" s="159"/>
      <c r="I564" s="108">
        <f t="shared" si="528"/>
        <v>0</v>
      </c>
      <c r="J564" s="108">
        <f t="shared" si="529"/>
        <v>0</v>
      </c>
      <c r="K564" s="108">
        <f t="shared" si="530"/>
        <v>0</v>
      </c>
      <c r="L564" s="111"/>
      <c r="Z564" s="100">
        <f t="shared" si="531"/>
        <v>0</v>
      </c>
      <c r="AB564" s="100">
        <f t="shared" si="532"/>
        <v>0</v>
      </c>
      <c r="AC564" s="100">
        <f t="shared" si="533"/>
        <v>0</v>
      </c>
      <c r="AD564" s="100">
        <f t="shared" si="534"/>
        <v>0</v>
      </c>
      <c r="AE564" s="100">
        <f t="shared" si="535"/>
        <v>0</v>
      </c>
      <c r="AF564" s="100">
        <f t="shared" si="536"/>
        <v>0</v>
      </c>
      <c r="AG564" s="100">
        <f t="shared" si="537"/>
        <v>0</v>
      </c>
      <c r="AH564" s="100">
        <f t="shared" si="538"/>
        <v>0</v>
      </c>
      <c r="AI564" s="109"/>
      <c r="AJ564" s="108">
        <f t="shared" si="539"/>
        <v>0</v>
      </c>
      <c r="AK564" s="108">
        <f t="shared" si="540"/>
        <v>0</v>
      </c>
      <c r="AL564" s="108">
        <f t="shared" si="541"/>
        <v>0</v>
      </c>
      <c r="AN564" s="100">
        <v>15</v>
      </c>
      <c r="AO564" s="100">
        <f t="shared" si="542"/>
        <v>0</v>
      </c>
      <c r="AP564" s="100">
        <f t="shared" si="543"/>
        <v>0</v>
      </c>
      <c r="AQ564" s="111" t="s">
        <v>7</v>
      </c>
      <c r="AV564" s="100">
        <f t="shared" si="544"/>
        <v>0</v>
      </c>
      <c r="AW564" s="100">
        <f t="shared" si="545"/>
        <v>0</v>
      </c>
      <c r="AX564" s="100">
        <f t="shared" si="546"/>
        <v>0</v>
      </c>
      <c r="AY564" s="110" t="s">
        <v>1720</v>
      </c>
      <c r="AZ564" s="110" t="s">
        <v>1730</v>
      </c>
      <c r="BA564" s="109" t="s">
        <v>1737</v>
      </c>
      <c r="BC564" s="100">
        <f t="shared" si="547"/>
        <v>0</v>
      </c>
      <c r="BD564" s="100">
        <f t="shared" si="548"/>
        <v>0</v>
      </c>
      <c r="BE564" s="100">
        <v>0</v>
      </c>
      <c r="BF564" s="100">
        <f>564</f>
        <v>564</v>
      </c>
      <c r="BH564" s="108">
        <f t="shared" si="549"/>
        <v>0</v>
      </c>
      <c r="BI564" s="108">
        <f t="shared" si="550"/>
        <v>0</v>
      </c>
      <c r="BJ564" s="108">
        <f t="shared" si="551"/>
        <v>0</v>
      </c>
    </row>
    <row r="565" spans="1:62" x14ac:dyDescent="0.2">
      <c r="A565" s="117" t="s">
        <v>516</v>
      </c>
      <c r="B565" s="117" t="s">
        <v>3384</v>
      </c>
      <c r="C565" s="304" t="s">
        <v>1537</v>
      </c>
      <c r="D565" s="305"/>
      <c r="E565" s="305"/>
      <c r="F565" s="117" t="s">
        <v>1644</v>
      </c>
      <c r="G565" s="116">
        <v>1</v>
      </c>
      <c r="H565" s="159"/>
      <c r="I565" s="108">
        <f t="shared" si="528"/>
        <v>0</v>
      </c>
      <c r="J565" s="108">
        <f t="shared" si="529"/>
        <v>0</v>
      </c>
      <c r="K565" s="108">
        <f t="shared" si="530"/>
        <v>0</v>
      </c>
      <c r="L565" s="111"/>
      <c r="Z565" s="100">
        <f t="shared" si="531"/>
        <v>0</v>
      </c>
      <c r="AB565" s="100">
        <f t="shared" si="532"/>
        <v>0</v>
      </c>
      <c r="AC565" s="100">
        <f t="shared" si="533"/>
        <v>0</v>
      </c>
      <c r="AD565" s="100">
        <f t="shared" si="534"/>
        <v>0</v>
      </c>
      <c r="AE565" s="100">
        <f t="shared" si="535"/>
        <v>0</v>
      </c>
      <c r="AF565" s="100">
        <f t="shared" si="536"/>
        <v>0</v>
      </c>
      <c r="AG565" s="100">
        <f t="shared" si="537"/>
        <v>0</v>
      </c>
      <c r="AH565" s="100">
        <f t="shared" si="538"/>
        <v>0</v>
      </c>
      <c r="AI565" s="109"/>
      <c r="AJ565" s="108">
        <f t="shared" si="539"/>
        <v>0</v>
      </c>
      <c r="AK565" s="108">
        <f t="shared" si="540"/>
        <v>0</v>
      </c>
      <c r="AL565" s="108">
        <f t="shared" si="541"/>
        <v>0</v>
      </c>
      <c r="AN565" s="100">
        <v>15</v>
      </c>
      <c r="AO565" s="100">
        <f t="shared" si="542"/>
        <v>0</v>
      </c>
      <c r="AP565" s="100">
        <f t="shared" si="543"/>
        <v>0</v>
      </c>
      <c r="AQ565" s="111" t="s">
        <v>7</v>
      </c>
      <c r="AV565" s="100">
        <f t="shared" si="544"/>
        <v>0</v>
      </c>
      <c r="AW565" s="100">
        <f t="shared" si="545"/>
        <v>0</v>
      </c>
      <c r="AX565" s="100">
        <f t="shared" si="546"/>
        <v>0</v>
      </c>
      <c r="AY565" s="110" t="s">
        <v>1720</v>
      </c>
      <c r="AZ565" s="110" t="s">
        <v>1730</v>
      </c>
      <c r="BA565" s="109" t="s">
        <v>1737</v>
      </c>
      <c r="BC565" s="100">
        <f t="shared" si="547"/>
        <v>0</v>
      </c>
      <c r="BD565" s="100">
        <f t="shared" si="548"/>
        <v>0</v>
      </c>
      <c r="BE565" s="100">
        <v>0</v>
      </c>
      <c r="BF565" s="100">
        <f>565</f>
        <v>565</v>
      </c>
      <c r="BH565" s="108">
        <f t="shared" si="549"/>
        <v>0</v>
      </c>
      <c r="BI565" s="108">
        <f t="shared" si="550"/>
        <v>0</v>
      </c>
      <c r="BJ565" s="108">
        <f t="shared" si="551"/>
        <v>0</v>
      </c>
    </row>
    <row r="566" spans="1:62" x14ac:dyDescent="0.2">
      <c r="A566" s="117" t="s">
        <v>517</v>
      </c>
      <c r="B566" s="117" t="s">
        <v>3383</v>
      </c>
      <c r="C566" s="304" t="s">
        <v>1538</v>
      </c>
      <c r="D566" s="305"/>
      <c r="E566" s="305"/>
      <c r="F566" s="117" t="s">
        <v>1646</v>
      </c>
      <c r="G566" s="116">
        <v>20</v>
      </c>
      <c r="H566" s="159"/>
      <c r="I566" s="108">
        <f t="shared" si="528"/>
        <v>0</v>
      </c>
      <c r="J566" s="108">
        <f t="shared" si="529"/>
        <v>0</v>
      </c>
      <c r="K566" s="108">
        <f t="shared" si="530"/>
        <v>0</v>
      </c>
      <c r="L566" s="111"/>
      <c r="Z566" s="100">
        <f t="shared" si="531"/>
        <v>0</v>
      </c>
      <c r="AB566" s="100">
        <f t="shared" si="532"/>
        <v>0</v>
      </c>
      <c r="AC566" s="100">
        <f t="shared" si="533"/>
        <v>0</v>
      </c>
      <c r="AD566" s="100">
        <f t="shared" si="534"/>
        <v>0</v>
      </c>
      <c r="AE566" s="100">
        <f t="shared" si="535"/>
        <v>0</v>
      </c>
      <c r="AF566" s="100">
        <f t="shared" si="536"/>
        <v>0</v>
      </c>
      <c r="AG566" s="100">
        <f t="shared" si="537"/>
        <v>0</v>
      </c>
      <c r="AH566" s="100">
        <f t="shared" si="538"/>
        <v>0</v>
      </c>
      <c r="AI566" s="109"/>
      <c r="AJ566" s="108">
        <f t="shared" si="539"/>
        <v>0</v>
      </c>
      <c r="AK566" s="108">
        <f t="shared" si="540"/>
        <v>0</v>
      </c>
      <c r="AL566" s="108">
        <f t="shared" si="541"/>
        <v>0</v>
      </c>
      <c r="AN566" s="100">
        <v>15</v>
      </c>
      <c r="AO566" s="100">
        <f t="shared" si="542"/>
        <v>0</v>
      </c>
      <c r="AP566" s="100">
        <f t="shared" si="543"/>
        <v>0</v>
      </c>
      <c r="AQ566" s="111" t="s">
        <v>7</v>
      </c>
      <c r="AV566" s="100">
        <f t="shared" si="544"/>
        <v>0</v>
      </c>
      <c r="AW566" s="100">
        <f t="shared" si="545"/>
        <v>0</v>
      </c>
      <c r="AX566" s="100">
        <f t="shared" si="546"/>
        <v>0</v>
      </c>
      <c r="AY566" s="110" t="s">
        <v>1720</v>
      </c>
      <c r="AZ566" s="110" t="s">
        <v>1730</v>
      </c>
      <c r="BA566" s="109" t="s">
        <v>1737</v>
      </c>
      <c r="BC566" s="100">
        <f t="shared" si="547"/>
        <v>0</v>
      </c>
      <c r="BD566" s="100">
        <f t="shared" si="548"/>
        <v>0</v>
      </c>
      <c r="BE566" s="100">
        <v>0</v>
      </c>
      <c r="BF566" s="100">
        <f>566</f>
        <v>566</v>
      </c>
      <c r="BH566" s="108">
        <f t="shared" si="549"/>
        <v>0</v>
      </c>
      <c r="BI566" s="108">
        <f t="shared" si="550"/>
        <v>0</v>
      </c>
      <c r="BJ566" s="108">
        <f t="shared" si="551"/>
        <v>0</v>
      </c>
    </row>
    <row r="567" spans="1:62" x14ac:dyDescent="0.2">
      <c r="A567" s="117" t="s">
        <v>518</v>
      </c>
      <c r="B567" s="117" t="s">
        <v>3382</v>
      </c>
      <c r="C567" s="304" t="s">
        <v>1539</v>
      </c>
      <c r="D567" s="305"/>
      <c r="E567" s="305"/>
      <c r="F567" s="117" t="s">
        <v>1646</v>
      </c>
      <c r="G567" s="116">
        <v>30</v>
      </c>
      <c r="H567" s="159"/>
      <c r="I567" s="108">
        <f t="shared" si="528"/>
        <v>0</v>
      </c>
      <c r="J567" s="108">
        <f t="shared" si="529"/>
        <v>0</v>
      </c>
      <c r="K567" s="108">
        <f t="shared" si="530"/>
        <v>0</v>
      </c>
      <c r="L567" s="111"/>
      <c r="Z567" s="100">
        <f t="shared" si="531"/>
        <v>0</v>
      </c>
      <c r="AB567" s="100">
        <f t="shared" si="532"/>
        <v>0</v>
      </c>
      <c r="AC567" s="100">
        <f t="shared" si="533"/>
        <v>0</v>
      </c>
      <c r="AD567" s="100">
        <f t="shared" si="534"/>
        <v>0</v>
      </c>
      <c r="AE567" s="100">
        <f t="shared" si="535"/>
        <v>0</v>
      </c>
      <c r="AF567" s="100">
        <f t="shared" si="536"/>
        <v>0</v>
      </c>
      <c r="AG567" s="100">
        <f t="shared" si="537"/>
        <v>0</v>
      </c>
      <c r="AH567" s="100">
        <f t="shared" si="538"/>
        <v>0</v>
      </c>
      <c r="AI567" s="109"/>
      <c r="AJ567" s="108">
        <f t="shared" si="539"/>
        <v>0</v>
      </c>
      <c r="AK567" s="108">
        <f t="shared" si="540"/>
        <v>0</v>
      </c>
      <c r="AL567" s="108">
        <f t="shared" si="541"/>
        <v>0</v>
      </c>
      <c r="AN567" s="100">
        <v>15</v>
      </c>
      <c r="AO567" s="100">
        <f t="shared" si="542"/>
        <v>0</v>
      </c>
      <c r="AP567" s="100">
        <f t="shared" si="543"/>
        <v>0</v>
      </c>
      <c r="AQ567" s="111" t="s">
        <v>7</v>
      </c>
      <c r="AV567" s="100">
        <f t="shared" si="544"/>
        <v>0</v>
      </c>
      <c r="AW567" s="100">
        <f t="shared" si="545"/>
        <v>0</v>
      </c>
      <c r="AX567" s="100">
        <f t="shared" si="546"/>
        <v>0</v>
      </c>
      <c r="AY567" s="110" t="s">
        <v>1720</v>
      </c>
      <c r="AZ567" s="110" t="s">
        <v>1730</v>
      </c>
      <c r="BA567" s="109" t="s">
        <v>1737</v>
      </c>
      <c r="BC567" s="100">
        <f t="shared" si="547"/>
        <v>0</v>
      </c>
      <c r="BD567" s="100">
        <f t="shared" si="548"/>
        <v>0</v>
      </c>
      <c r="BE567" s="100">
        <v>0</v>
      </c>
      <c r="BF567" s="100">
        <f>567</f>
        <v>567</v>
      </c>
      <c r="BH567" s="108">
        <f t="shared" si="549"/>
        <v>0</v>
      </c>
      <c r="BI567" s="108">
        <f t="shared" si="550"/>
        <v>0</v>
      </c>
      <c r="BJ567" s="108">
        <f t="shared" si="551"/>
        <v>0</v>
      </c>
    </row>
    <row r="568" spans="1:62" x14ac:dyDescent="0.2">
      <c r="A568" s="117" t="s">
        <v>519</v>
      </c>
      <c r="B568" s="117" t="s">
        <v>3381</v>
      </c>
      <c r="C568" s="304" t="s">
        <v>1540</v>
      </c>
      <c r="D568" s="305"/>
      <c r="E568" s="305"/>
      <c r="F568" s="117" t="s">
        <v>1646</v>
      </c>
      <c r="G568" s="116">
        <v>40</v>
      </c>
      <c r="H568" s="159"/>
      <c r="I568" s="108">
        <f t="shared" si="528"/>
        <v>0</v>
      </c>
      <c r="J568" s="108">
        <f t="shared" si="529"/>
        <v>0</v>
      </c>
      <c r="K568" s="108">
        <f t="shared" si="530"/>
        <v>0</v>
      </c>
      <c r="L568" s="111"/>
      <c r="Z568" s="100">
        <f t="shared" si="531"/>
        <v>0</v>
      </c>
      <c r="AB568" s="100">
        <f t="shared" si="532"/>
        <v>0</v>
      </c>
      <c r="AC568" s="100">
        <f t="shared" si="533"/>
        <v>0</v>
      </c>
      <c r="AD568" s="100">
        <f t="shared" si="534"/>
        <v>0</v>
      </c>
      <c r="AE568" s="100">
        <f t="shared" si="535"/>
        <v>0</v>
      </c>
      <c r="AF568" s="100">
        <f t="shared" si="536"/>
        <v>0</v>
      </c>
      <c r="AG568" s="100">
        <f t="shared" si="537"/>
        <v>0</v>
      </c>
      <c r="AH568" s="100">
        <f t="shared" si="538"/>
        <v>0</v>
      </c>
      <c r="AI568" s="109"/>
      <c r="AJ568" s="108">
        <f t="shared" si="539"/>
        <v>0</v>
      </c>
      <c r="AK568" s="108">
        <f t="shared" si="540"/>
        <v>0</v>
      </c>
      <c r="AL568" s="108">
        <f t="shared" si="541"/>
        <v>0</v>
      </c>
      <c r="AN568" s="100">
        <v>15</v>
      </c>
      <c r="AO568" s="100">
        <f t="shared" si="542"/>
        <v>0</v>
      </c>
      <c r="AP568" s="100">
        <f t="shared" si="543"/>
        <v>0</v>
      </c>
      <c r="AQ568" s="111" t="s">
        <v>7</v>
      </c>
      <c r="AV568" s="100">
        <f t="shared" si="544"/>
        <v>0</v>
      </c>
      <c r="AW568" s="100">
        <f t="shared" si="545"/>
        <v>0</v>
      </c>
      <c r="AX568" s="100">
        <f t="shared" si="546"/>
        <v>0</v>
      </c>
      <c r="AY568" s="110" t="s">
        <v>1720</v>
      </c>
      <c r="AZ568" s="110" t="s">
        <v>1730</v>
      </c>
      <c r="BA568" s="109" t="s">
        <v>1737</v>
      </c>
      <c r="BC568" s="100">
        <f t="shared" si="547"/>
        <v>0</v>
      </c>
      <c r="BD568" s="100">
        <f t="shared" si="548"/>
        <v>0</v>
      </c>
      <c r="BE568" s="100">
        <v>0</v>
      </c>
      <c r="BF568" s="100">
        <f>568</f>
        <v>568</v>
      </c>
      <c r="BH568" s="108">
        <f t="shared" si="549"/>
        <v>0</v>
      </c>
      <c r="BI568" s="108">
        <f t="shared" si="550"/>
        <v>0</v>
      </c>
      <c r="BJ568" s="108">
        <f t="shared" si="551"/>
        <v>0</v>
      </c>
    </row>
    <row r="569" spans="1:62" x14ac:dyDescent="0.2">
      <c r="A569" s="117" t="s">
        <v>520</v>
      </c>
      <c r="B569" s="117" t="s">
        <v>3380</v>
      </c>
      <c r="C569" s="304" t="s">
        <v>1541</v>
      </c>
      <c r="D569" s="305"/>
      <c r="E569" s="305"/>
      <c r="F569" s="117" t="s">
        <v>1646</v>
      </c>
      <c r="G569" s="116">
        <v>40</v>
      </c>
      <c r="H569" s="159"/>
      <c r="I569" s="108">
        <f t="shared" si="528"/>
        <v>0</v>
      </c>
      <c r="J569" s="108">
        <f t="shared" si="529"/>
        <v>0</v>
      </c>
      <c r="K569" s="108">
        <f t="shared" si="530"/>
        <v>0</v>
      </c>
      <c r="L569" s="111"/>
      <c r="Z569" s="100">
        <f t="shared" si="531"/>
        <v>0</v>
      </c>
      <c r="AB569" s="100">
        <f t="shared" si="532"/>
        <v>0</v>
      </c>
      <c r="AC569" s="100">
        <f t="shared" si="533"/>
        <v>0</v>
      </c>
      <c r="AD569" s="100">
        <f t="shared" si="534"/>
        <v>0</v>
      </c>
      <c r="AE569" s="100">
        <f t="shared" si="535"/>
        <v>0</v>
      </c>
      <c r="AF569" s="100">
        <f t="shared" si="536"/>
        <v>0</v>
      </c>
      <c r="AG569" s="100">
        <f t="shared" si="537"/>
        <v>0</v>
      </c>
      <c r="AH569" s="100">
        <f t="shared" si="538"/>
        <v>0</v>
      </c>
      <c r="AI569" s="109"/>
      <c r="AJ569" s="108">
        <f t="shared" si="539"/>
        <v>0</v>
      </c>
      <c r="AK569" s="108">
        <f t="shared" si="540"/>
        <v>0</v>
      </c>
      <c r="AL569" s="108">
        <f t="shared" si="541"/>
        <v>0</v>
      </c>
      <c r="AN569" s="100">
        <v>15</v>
      </c>
      <c r="AO569" s="100">
        <f t="shared" si="542"/>
        <v>0</v>
      </c>
      <c r="AP569" s="100">
        <f t="shared" si="543"/>
        <v>0</v>
      </c>
      <c r="AQ569" s="111" t="s">
        <v>7</v>
      </c>
      <c r="AV569" s="100">
        <f t="shared" si="544"/>
        <v>0</v>
      </c>
      <c r="AW569" s="100">
        <f t="shared" si="545"/>
        <v>0</v>
      </c>
      <c r="AX569" s="100">
        <f t="shared" si="546"/>
        <v>0</v>
      </c>
      <c r="AY569" s="110" t="s">
        <v>1720</v>
      </c>
      <c r="AZ569" s="110" t="s">
        <v>1730</v>
      </c>
      <c r="BA569" s="109" t="s">
        <v>1737</v>
      </c>
      <c r="BC569" s="100">
        <f t="shared" si="547"/>
        <v>0</v>
      </c>
      <c r="BD569" s="100">
        <f t="shared" si="548"/>
        <v>0</v>
      </c>
      <c r="BE569" s="100">
        <v>0</v>
      </c>
      <c r="BF569" s="100">
        <f>569</f>
        <v>569</v>
      </c>
      <c r="BH569" s="108">
        <f t="shared" si="549"/>
        <v>0</v>
      </c>
      <c r="BI569" s="108">
        <f t="shared" si="550"/>
        <v>0</v>
      </c>
      <c r="BJ569" s="108">
        <f t="shared" si="551"/>
        <v>0</v>
      </c>
    </row>
    <row r="570" spans="1:62" x14ac:dyDescent="0.2">
      <c r="A570" s="117" t="s">
        <v>521</v>
      </c>
      <c r="B570" s="117" t="s">
        <v>3379</v>
      </c>
      <c r="C570" s="304" t="s">
        <v>1542</v>
      </c>
      <c r="D570" s="305"/>
      <c r="E570" s="305"/>
      <c r="F570" s="117" t="s">
        <v>1646</v>
      </c>
      <c r="G570" s="116">
        <v>30</v>
      </c>
      <c r="H570" s="159"/>
      <c r="I570" s="108">
        <f t="shared" si="528"/>
        <v>0</v>
      </c>
      <c r="J570" s="108">
        <f t="shared" si="529"/>
        <v>0</v>
      </c>
      <c r="K570" s="108">
        <f t="shared" si="530"/>
        <v>0</v>
      </c>
      <c r="L570" s="111"/>
      <c r="Z570" s="100">
        <f t="shared" si="531"/>
        <v>0</v>
      </c>
      <c r="AB570" s="100">
        <f t="shared" si="532"/>
        <v>0</v>
      </c>
      <c r="AC570" s="100">
        <f t="shared" si="533"/>
        <v>0</v>
      </c>
      <c r="AD570" s="100">
        <f t="shared" si="534"/>
        <v>0</v>
      </c>
      <c r="AE570" s="100">
        <f t="shared" si="535"/>
        <v>0</v>
      </c>
      <c r="AF570" s="100">
        <f t="shared" si="536"/>
        <v>0</v>
      </c>
      <c r="AG570" s="100">
        <f t="shared" si="537"/>
        <v>0</v>
      </c>
      <c r="AH570" s="100">
        <f t="shared" si="538"/>
        <v>0</v>
      </c>
      <c r="AI570" s="109"/>
      <c r="AJ570" s="108">
        <f t="shared" si="539"/>
        <v>0</v>
      </c>
      <c r="AK570" s="108">
        <f t="shared" si="540"/>
        <v>0</v>
      </c>
      <c r="AL570" s="108">
        <f t="shared" si="541"/>
        <v>0</v>
      </c>
      <c r="AN570" s="100">
        <v>15</v>
      </c>
      <c r="AO570" s="100">
        <f t="shared" si="542"/>
        <v>0</v>
      </c>
      <c r="AP570" s="100">
        <f t="shared" si="543"/>
        <v>0</v>
      </c>
      <c r="AQ570" s="111" t="s">
        <v>7</v>
      </c>
      <c r="AV570" s="100">
        <f t="shared" si="544"/>
        <v>0</v>
      </c>
      <c r="AW570" s="100">
        <f t="shared" si="545"/>
        <v>0</v>
      </c>
      <c r="AX570" s="100">
        <f t="shared" si="546"/>
        <v>0</v>
      </c>
      <c r="AY570" s="110" t="s">
        <v>1720</v>
      </c>
      <c r="AZ570" s="110" t="s">
        <v>1730</v>
      </c>
      <c r="BA570" s="109" t="s">
        <v>1737</v>
      </c>
      <c r="BC570" s="100">
        <f t="shared" si="547"/>
        <v>0</v>
      </c>
      <c r="BD570" s="100">
        <f t="shared" si="548"/>
        <v>0</v>
      </c>
      <c r="BE570" s="100">
        <v>0</v>
      </c>
      <c r="BF570" s="100">
        <f>570</f>
        <v>570</v>
      </c>
      <c r="BH570" s="108">
        <f t="shared" si="549"/>
        <v>0</v>
      </c>
      <c r="BI570" s="108">
        <f t="shared" si="550"/>
        <v>0</v>
      </c>
      <c r="BJ570" s="108">
        <f t="shared" si="551"/>
        <v>0</v>
      </c>
    </row>
    <row r="571" spans="1:62" x14ac:dyDescent="0.2">
      <c r="A571" s="117" t="s">
        <v>522</v>
      </c>
      <c r="B571" s="117" t="s">
        <v>3378</v>
      </c>
      <c r="C571" s="304" t="s">
        <v>1543</v>
      </c>
      <c r="D571" s="305"/>
      <c r="E571" s="305"/>
      <c r="F571" s="117" t="s">
        <v>1644</v>
      </c>
      <c r="G571" s="116">
        <v>1</v>
      </c>
      <c r="H571" s="159"/>
      <c r="I571" s="108">
        <f t="shared" si="528"/>
        <v>0</v>
      </c>
      <c r="J571" s="108">
        <f t="shared" si="529"/>
        <v>0</v>
      </c>
      <c r="K571" s="108">
        <f t="shared" si="530"/>
        <v>0</v>
      </c>
      <c r="L571" s="111"/>
      <c r="Z571" s="100">
        <f t="shared" si="531"/>
        <v>0</v>
      </c>
      <c r="AB571" s="100">
        <f t="shared" si="532"/>
        <v>0</v>
      </c>
      <c r="AC571" s="100">
        <f t="shared" si="533"/>
        <v>0</v>
      </c>
      <c r="AD571" s="100">
        <f t="shared" si="534"/>
        <v>0</v>
      </c>
      <c r="AE571" s="100">
        <f t="shared" si="535"/>
        <v>0</v>
      </c>
      <c r="AF571" s="100">
        <f t="shared" si="536"/>
        <v>0</v>
      </c>
      <c r="AG571" s="100">
        <f t="shared" si="537"/>
        <v>0</v>
      </c>
      <c r="AH571" s="100">
        <f t="shared" si="538"/>
        <v>0</v>
      </c>
      <c r="AI571" s="109"/>
      <c r="AJ571" s="108">
        <f t="shared" si="539"/>
        <v>0</v>
      </c>
      <c r="AK571" s="108">
        <f t="shared" si="540"/>
        <v>0</v>
      </c>
      <c r="AL571" s="108">
        <f t="shared" si="541"/>
        <v>0</v>
      </c>
      <c r="AN571" s="100">
        <v>15</v>
      </c>
      <c r="AO571" s="100">
        <f t="shared" si="542"/>
        <v>0</v>
      </c>
      <c r="AP571" s="100">
        <f t="shared" si="543"/>
        <v>0</v>
      </c>
      <c r="AQ571" s="111" t="s">
        <v>7</v>
      </c>
      <c r="AV571" s="100">
        <f t="shared" si="544"/>
        <v>0</v>
      </c>
      <c r="AW571" s="100">
        <f t="shared" si="545"/>
        <v>0</v>
      </c>
      <c r="AX571" s="100">
        <f t="shared" si="546"/>
        <v>0</v>
      </c>
      <c r="AY571" s="110" t="s">
        <v>1720</v>
      </c>
      <c r="AZ571" s="110" t="s">
        <v>1730</v>
      </c>
      <c r="BA571" s="109" t="s">
        <v>1737</v>
      </c>
      <c r="BC571" s="100">
        <f t="shared" si="547"/>
        <v>0</v>
      </c>
      <c r="BD571" s="100">
        <f t="shared" si="548"/>
        <v>0</v>
      </c>
      <c r="BE571" s="100">
        <v>0</v>
      </c>
      <c r="BF571" s="100">
        <f>571</f>
        <v>571</v>
      </c>
      <c r="BH571" s="108">
        <f t="shared" si="549"/>
        <v>0</v>
      </c>
      <c r="BI571" s="108">
        <f t="shared" si="550"/>
        <v>0</v>
      </c>
      <c r="BJ571" s="108">
        <f t="shared" si="551"/>
        <v>0</v>
      </c>
    </row>
    <row r="572" spans="1:62" x14ac:dyDescent="0.2">
      <c r="A572" s="117" t="s">
        <v>523</v>
      </c>
      <c r="B572" s="117" t="s">
        <v>3377</v>
      </c>
      <c r="C572" s="304" t="s">
        <v>3376</v>
      </c>
      <c r="D572" s="305"/>
      <c r="E572" s="305"/>
      <c r="F572" s="117" t="s">
        <v>1644</v>
      </c>
      <c r="G572" s="116">
        <v>11</v>
      </c>
      <c r="H572" s="159"/>
      <c r="I572" s="108">
        <f t="shared" si="528"/>
        <v>0</v>
      </c>
      <c r="J572" s="108">
        <f t="shared" si="529"/>
        <v>0</v>
      </c>
      <c r="K572" s="108">
        <f t="shared" si="530"/>
        <v>0</v>
      </c>
      <c r="L572" s="111"/>
      <c r="Z572" s="100">
        <f t="shared" si="531"/>
        <v>0</v>
      </c>
      <c r="AB572" s="100">
        <f t="shared" si="532"/>
        <v>0</v>
      </c>
      <c r="AC572" s="100">
        <f t="shared" si="533"/>
        <v>0</v>
      </c>
      <c r="AD572" s="100">
        <f t="shared" si="534"/>
        <v>0</v>
      </c>
      <c r="AE572" s="100">
        <f t="shared" si="535"/>
        <v>0</v>
      </c>
      <c r="AF572" s="100">
        <f t="shared" si="536"/>
        <v>0</v>
      </c>
      <c r="AG572" s="100">
        <f t="shared" si="537"/>
        <v>0</v>
      </c>
      <c r="AH572" s="100">
        <f t="shared" si="538"/>
        <v>0</v>
      </c>
      <c r="AI572" s="109"/>
      <c r="AJ572" s="108">
        <f t="shared" si="539"/>
        <v>0</v>
      </c>
      <c r="AK572" s="108">
        <f t="shared" si="540"/>
        <v>0</v>
      </c>
      <c r="AL572" s="108">
        <f t="shared" si="541"/>
        <v>0</v>
      </c>
      <c r="AN572" s="100">
        <v>15</v>
      </c>
      <c r="AO572" s="100">
        <f t="shared" si="542"/>
        <v>0</v>
      </c>
      <c r="AP572" s="100">
        <f t="shared" si="543"/>
        <v>0</v>
      </c>
      <c r="AQ572" s="111" t="s">
        <v>7</v>
      </c>
      <c r="AV572" s="100">
        <f t="shared" si="544"/>
        <v>0</v>
      </c>
      <c r="AW572" s="100">
        <f t="shared" si="545"/>
        <v>0</v>
      </c>
      <c r="AX572" s="100">
        <f t="shared" si="546"/>
        <v>0</v>
      </c>
      <c r="AY572" s="110" t="s">
        <v>1720</v>
      </c>
      <c r="AZ572" s="110" t="s">
        <v>1730</v>
      </c>
      <c r="BA572" s="109" t="s">
        <v>1737</v>
      </c>
      <c r="BC572" s="100">
        <f t="shared" si="547"/>
        <v>0</v>
      </c>
      <c r="BD572" s="100">
        <f t="shared" si="548"/>
        <v>0</v>
      </c>
      <c r="BE572" s="100">
        <v>0</v>
      </c>
      <c r="BF572" s="100">
        <f>572</f>
        <v>572</v>
      </c>
      <c r="BH572" s="108">
        <f t="shared" si="549"/>
        <v>0</v>
      </c>
      <c r="BI572" s="108">
        <f t="shared" si="550"/>
        <v>0</v>
      </c>
      <c r="BJ572" s="108">
        <f t="shared" si="551"/>
        <v>0</v>
      </c>
    </row>
    <row r="573" spans="1:62" x14ac:dyDescent="0.2">
      <c r="A573" s="117" t="s">
        <v>524</v>
      </c>
      <c r="B573" s="117" t="s">
        <v>3375</v>
      </c>
      <c r="C573" s="304" t="s">
        <v>1545</v>
      </c>
      <c r="D573" s="305"/>
      <c r="E573" s="305"/>
      <c r="F573" s="117" t="s">
        <v>1646</v>
      </c>
      <c r="G573" s="116">
        <v>480</v>
      </c>
      <c r="H573" s="159"/>
      <c r="I573" s="108">
        <f t="shared" si="528"/>
        <v>0</v>
      </c>
      <c r="J573" s="108">
        <f t="shared" si="529"/>
        <v>0</v>
      </c>
      <c r="K573" s="108">
        <f t="shared" si="530"/>
        <v>0</v>
      </c>
      <c r="L573" s="111"/>
      <c r="Z573" s="100">
        <f t="shared" si="531"/>
        <v>0</v>
      </c>
      <c r="AB573" s="100">
        <f t="shared" si="532"/>
        <v>0</v>
      </c>
      <c r="AC573" s="100">
        <f t="shared" si="533"/>
        <v>0</v>
      </c>
      <c r="AD573" s="100">
        <f t="shared" si="534"/>
        <v>0</v>
      </c>
      <c r="AE573" s="100">
        <f t="shared" si="535"/>
        <v>0</v>
      </c>
      <c r="AF573" s="100">
        <f t="shared" si="536"/>
        <v>0</v>
      </c>
      <c r="AG573" s="100">
        <f t="shared" si="537"/>
        <v>0</v>
      </c>
      <c r="AH573" s="100">
        <f t="shared" si="538"/>
        <v>0</v>
      </c>
      <c r="AI573" s="109"/>
      <c r="AJ573" s="108">
        <f t="shared" si="539"/>
        <v>0</v>
      </c>
      <c r="AK573" s="108">
        <f t="shared" si="540"/>
        <v>0</v>
      </c>
      <c r="AL573" s="108">
        <f t="shared" si="541"/>
        <v>0</v>
      </c>
      <c r="AN573" s="100">
        <v>15</v>
      </c>
      <c r="AO573" s="100">
        <f t="shared" si="542"/>
        <v>0</v>
      </c>
      <c r="AP573" s="100">
        <f t="shared" si="543"/>
        <v>0</v>
      </c>
      <c r="AQ573" s="111" t="s">
        <v>7</v>
      </c>
      <c r="AV573" s="100">
        <f t="shared" si="544"/>
        <v>0</v>
      </c>
      <c r="AW573" s="100">
        <f t="shared" si="545"/>
        <v>0</v>
      </c>
      <c r="AX573" s="100">
        <f t="shared" si="546"/>
        <v>0</v>
      </c>
      <c r="AY573" s="110" t="s">
        <v>1720</v>
      </c>
      <c r="AZ573" s="110" t="s">
        <v>1730</v>
      </c>
      <c r="BA573" s="109" t="s">
        <v>1737</v>
      </c>
      <c r="BC573" s="100">
        <f t="shared" si="547"/>
        <v>0</v>
      </c>
      <c r="BD573" s="100">
        <f t="shared" si="548"/>
        <v>0</v>
      </c>
      <c r="BE573" s="100">
        <v>0</v>
      </c>
      <c r="BF573" s="100">
        <f>573</f>
        <v>573</v>
      </c>
      <c r="BH573" s="108">
        <f t="shared" si="549"/>
        <v>0</v>
      </c>
      <c r="BI573" s="108">
        <f t="shared" si="550"/>
        <v>0</v>
      </c>
      <c r="BJ573" s="108">
        <f t="shared" si="551"/>
        <v>0</v>
      </c>
    </row>
    <row r="574" spans="1:62" x14ac:dyDescent="0.2">
      <c r="A574" s="117" t="s">
        <v>525</v>
      </c>
      <c r="B574" s="117" t="s">
        <v>3374</v>
      </c>
      <c r="C574" s="304" t="s">
        <v>1546</v>
      </c>
      <c r="D574" s="305"/>
      <c r="E574" s="305"/>
      <c r="F574" s="117" t="s">
        <v>1646</v>
      </c>
      <c r="G574" s="116">
        <v>60</v>
      </c>
      <c r="H574" s="159"/>
      <c r="I574" s="108">
        <f t="shared" si="528"/>
        <v>0</v>
      </c>
      <c r="J574" s="108">
        <f t="shared" si="529"/>
        <v>0</v>
      </c>
      <c r="K574" s="108">
        <f t="shared" si="530"/>
        <v>0</v>
      </c>
      <c r="L574" s="111"/>
      <c r="Z574" s="100">
        <f t="shared" si="531"/>
        <v>0</v>
      </c>
      <c r="AB574" s="100">
        <f t="shared" si="532"/>
        <v>0</v>
      </c>
      <c r="AC574" s="100">
        <f t="shared" si="533"/>
        <v>0</v>
      </c>
      <c r="AD574" s="100">
        <f t="shared" si="534"/>
        <v>0</v>
      </c>
      <c r="AE574" s="100">
        <f t="shared" si="535"/>
        <v>0</v>
      </c>
      <c r="AF574" s="100">
        <f t="shared" si="536"/>
        <v>0</v>
      </c>
      <c r="AG574" s="100">
        <f t="shared" si="537"/>
        <v>0</v>
      </c>
      <c r="AH574" s="100">
        <f t="shared" si="538"/>
        <v>0</v>
      </c>
      <c r="AI574" s="109"/>
      <c r="AJ574" s="108">
        <f t="shared" si="539"/>
        <v>0</v>
      </c>
      <c r="AK574" s="108">
        <f t="shared" si="540"/>
        <v>0</v>
      </c>
      <c r="AL574" s="108">
        <f t="shared" si="541"/>
        <v>0</v>
      </c>
      <c r="AN574" s="100">
        <v>15</v>
      </c>
      <c r="AO574" s="100">
        <f t="shared" si="542"/>
        <v>0</v>
      </c>
      <c r="AP574" s="100">
        <f t="shared" si="543"/>
        <v>0</v>
      </c>
      <c r="AQ574" s="111" t="s">
        <v>7</v>
      </c>
      <c r="AV574" s="100">
        <f t="shared" si="544"/>
        <v>0</v>
      </c>
      <c r="AW574" s="100">
        <f t="shared" si="545"/>
        <v>0</v>
      </c>
      <c r="AX574" s="100">
        <f t="shared" si="546"/>
        <v>0</v>
      </c>
      <c r="AY574" s="110" t="s">
        <v>1720</v>
      </c>
      <c r="AZ574" s="110" t="s">
        <v>1730</v>
      </c>
      <c r="BA574" s="109" t="s">
        <v>1737</v>
      </c>
      <c r="BC574" s="100">
        <f t="shared" si="547"/>
        <v>0</v>
      </c>
      <c r="BD574" s="100">
        <f t="shared" si="548"/>
        <v>0</v>
      </c>
      <c r="BE574" s="100">
        <v>0</v>
      </c>
      <c r="BF574" s="100">
        <f>574</f>
        <v>574</v>
      </c>
      <c r="BH574" s="108">
        <f t="shared" si="549"/>
        <v>0</v>
      </c>
      <c r="BI574" s="108">
        <f t="shared" si="550"/>
        <v>0</v>
      </c>
      <c r="BJ574" s="108">
        <f t="shared" si="551"/>
        <v>0</v>
      </c>
    </row>
    <row r="575" spans="1:62" x14ac:dyDescent="0.2">
      <c r="A575" s="117" t="s">
        <v>526</v>
      </c>
      <c r="B575" s="117" t="s">
        <v>3373</v>
      </c>
      <c r="C575" s="304" t="s">
        <v>1547</v>
      </c>
      <c r="D575" s="305"/>
      <c r="E575" s="305"/>
      <c r="F575" s="117" t="s">
        <v>1646</v>
      </c>
      <c r="G575" s="116">
        <v>250</v>
      </c>
      <c r="H575" s="159"/>
      <c r="I575" s="108">
        <f t="shared" si="528"/>
        <v>0</v>
      </c>
      <c r="J575" s="108">
        <f t="shared" si="529"/>
        <v>0</v>
      </c>
      <c r="K575" s="108">
        <f t="shared" si="530"/>
        <v>0</v>
      </c>
      <c r="L575" s="111"/>
      <c r="Z575" s="100">
        <f t="shared" si="531"/>
        <v>0</v>
      </c>
      <c r="AB575" s="100">
        <f t="shared" si="532"/>
        <v>0</v>
      </c>
      <c r="AC575" s="100">
        <f t="shared" si="533"/>
        <v>0</v>
      </c>
      <c r="AD575" s="100">
        <f t="shared" si="534"/>
        <v>0</v>
      </c>
      <c r="AE575" s="100">
        <f t="shared" si="535"/>
        <v>0</v>
      </c>
      <c r="AF575" s="100">
        <f t="shared" si="536"/>
        <v>0</v>
      </c>
      <c r="AG575" s="100">
        <f t="shared" si="537"/>
        <v>0</v>
      </c>
      <c r="AH575" s="100">
        <f t="shared" si="538"/>
        <v>0</v>
      </c>
      <c r="AI575" s="109"/>
      <c r="AJ575" s="108">
        <f t="shared" si="539"/>
        <v>0</v>
      </c>
      <c r="AK575" s="108">
        <f t="shared" si="540"/>
        <v>0</v>
      </c>
      <c r="AL575" s="108">
        <f t="shared" si="541"/>
        <v>0</v>
      </c>
      <c r="AN575" s="100">
        <v>15</v>
      </c>
      <c r="AO575" s="100">
        <f t="shared" si="542"/>
        <v>0</v>
      </c>
      <c r="AP575" s="100">
        <f t="shared" si="543"/>
        <v>0</v>
      </c>
      <c r="AQ575" s="111" t="s">
        <v>7</v>
      </c>
      <c r="AV575" s="100">
        <f t="shared" si="544"/>
        <v>0</v>
      </c>
      <c r="AW575" s="100">
        <f t="shared" si="545"/>
        <v>0</v>
      </c>
      <c r="AX575" s="100">
        <f t="shared" si="546"/>
        <v>0</v>
      </c>
      <c r="AY575" s="110" t="s">
        <v>1720</v>
      </c>
      <c r="AZ575" s="110" t="s">
        <v>1730</v>
      </c>
      <c r="BA575" s="109" t="s">
        <v>1737</v>
      </c>
      <c r="BC575" s="100">
        <f t="shared" si="547"/>
        <v>0</v>
      </c>
      <c r="BD575" s="100">
        <f t="shared" si="548"/>
        <v>0</v>
      </c>
      <c r="BE575" s="100">
        <v>0</v>
      </c>
      <c r="BF575" s="100">
        <f>575</f>
        <v>575</v>
      </c>
      <c r="BH575" s="108">
        <f t="shared" si="549"/>
        <v>0</v>
      </c>
      <c r="BI575" s="108">
        <f t="shared" si="550"/>
        <v>0</v>
      </c>
      <c r="BJ575" s="108">
        <f t="shared" si="551"/>
        <v>0</v>
      </c>
    </row>
    <row r="576" spans="1:62" x14ac:dyDescent="0.2">
      <c r="A576" s="117" t="s">
        <v>527</v>
      </c>
      <c r="B576" s="117" t="s">
        <v>3372</v>
      </c>
      <c r="C576" s="304" t="s">
        <v>1548</v>
      </c>
      <c r="D576" s="305"/>
      <c r="E576" s="305"/>
      <c r="F576" s="117" t="s">
        <v>1644</v>
      </c>
      <c r="G576" s="116">
        <v>11</v>
      </c>
      <c r="H576" s="159"/>
      <c r="I576" s="108">
        <f t="shared" si="528"/>
        <v>0</v>
      </c>
      <c r="J576" s="108">
        <f t="shared" si="529"/>
        <v>0</v>
      </c>
      <c r="K576" s="108">
        <f t="shared" si="530"/>
        <v>0</v>
      </c>
      <c r="L576" s="111"/>
      <c r="Z576" s="100">
        <f t="shared" si="531"/>
        <v>0</v>
      </c>
      <c r="AB576" s="100">
        <f t="shared" si="532"/>
        <v>0</v>
      </c>
      <c r="AC576" s="100">
        <f t="shared" si="533"/>
        <v>0</v>
      </c>
      <c r="AD576" s="100">
        <f t="shared" si="534"/>
        <v>0</v>
      </c>
      <c r="AE576" s="100">
        <f t="shared" si="535"/>
        <v>0</v>
      </c>
      <c r="AF576" s="100">
        <f t="shared" si="536"/>
        <v>0</v>
      </c>
      <c r="AG576" s="100">
        <f t="shared" si="537"/>
        <v>0</v>
      </c>
      <c r="AH576" s="100">
        <f t="shared" si="538"/>
        <v>0</v>
      </c>
      <c r="AI576" s="109"/>
      <c r="AJ576" s="108">
        <f t="shared" si="539"/>
        <v>0</v>
      </c>
      <c r="AK576" s="108">
        <f t="shared" si="540"/>
        <v>0</v>
      </c>
      <c r="AL576" s="108">
        <f t="shared" si="541"/>
        <v>0</v>
      </c>
      <c r="AN576" s="100">
        <v>15</v>
      </c>
      <c r="AO576" s="100">
        <f t="shared" si="542"/>
        <v>0</v>
      </c>
      <c r="AP576" s="100">
        <f t="shared" si="543"/>
        <v>0</v>
      </c>
      <c r="AQ576" s="111" t="s">
        <v>7</v>
      </c>
      <c r="AV576" s="100">
        <f t="shared" si="544"/>
        <v>0</v>
      </c>
      <c r="AW576" s="100">
        <f t="shared" si="545"/>
        <v>0</v>
      </c>
      <c r="AX576" s="100">
        <f t="shared" si="546"/>
        <v>0</v>
      </c>
      <c r="AY576" s="110" t="s">
        <v>1720</v>
      </c>
      <c r="AZ576" s="110" t="s">
        <v>1730</v>
      </c>
      <c r="BA576" s="109" t="s">
        <v>1737</v>
      </c>
      <c r="BC576" s="100">
        <f t="shared" si="547"/>
        <v>0</v>
      </c>
      <c r="BD576" s="100">
        <f t="shared" si="548"/>
        <v>0</v>
      </c>
      <c r="BE576" s="100">
        <v>0</v>
      </c>
      <c r="BF576" s="100">
        <f>576</f>
        <v>576</v>
      </c>
      <c r="BH576" s="108">
        <f t="shared" si="549"/>
        <v>0</v>
      </c>
      <c r="BI576" s="108">
        <f t="shared" si="550"/>
        <v>0</v>
      </c>
      <c r="BJ576" s="108">
        <f t="shared" si="551"/>
        <v>0</v>
      </c>
    </row>
    <row r="577" spans="1:62" x14ac:dyDescent="0.2">
      <c r="A577" s="117" t="s">
        <v>528</v>
      </c>
      <c r="B577" s="117" t="s">
        <v>3371</v>
      </c>
      <c r="C577" s="304" t="s">
        <v>1549</v>
      </c>
      <c r="D577" s="305"/>
      <c r="E577" s="305"/>
      <c r="F577" s="117" t="s">
        <v>1644</v>
      </c>
      <c r="G577" s="116">
        <v>12</v>
      </c>
      <c r="H577" s="159"/>
      <c r="I577" s="108">
        <f t="shared" si="528"/>
        <v>0</v>
      </c>
      <c r="J577" s="108">
        <f t="shared" si="529"/>
        <v>0</v>
      </c>
      <c r="K577" s="108">
        <f t="shared" si="530"/>
        <v>0</v>
      </c>
      <c r="L577" s="111"/>
      <c r="Z577" s="100">
        <f t="shared" si="531"/>
        <v>0</v>
      </c>
      <c r="AB577" s="100">
        <f t="shared" si="532"/>
        <v>0</v>
      </c>
      <c r="AC577" s="100">
        <f t="shared" si="533"/>
        <v>0</v>
      </c>
      <c r="AD577" s="100">
        <f t="shared" si="534"/>
        <v>0</v>
      </c>
      <c r="AE577" s="100">
        <f t="shared" si="535"/>
        <v>0</v>
      </c>
      <c r="AF577" s="100">
        <f t="shared" si="536"/>
        <v>0</v>
      </c>
      <c r="AG577" s="100">
        <f t="shared" si="537"/>
        <v>0</v>
      </c>
      <c r="AH577" s="100">
        <f t="shared" si="538"/>
        <v>0</v>
      </c>
      <c r="AI577" s="109"/>
      <c r="AJ577" s="108">
        <f t="shared" si="539"/>
        <v>0</v>
      </c>
      <c r="AK577" s="108">
        <f t="shared" si="540"/>
        <v>0</v>
      </c>
      <c r="AL577" s="108">
        <f t="shared" si="541"/>
        <v>0</v>
      </c>
      <c r="AN577" s="100">
        <v>15</v>
      </c>
      <c r="AO577" s="100">
        <f t="shared" si="542"/>
        <v>0</v>
      </c>
      <c r="AP577" s="100">
        <f t="shared" si="543"/>
        <v>0</v>
      </c>
      <c r="AQ577" s="111" t="s">
        <v>7</v>
      </c>
      <c r="AV577" s="100">
        <f t="shared" si="544"/>
        <v>0</v>
      </c>
      <c r="AW577" s="100">
        <f t="shared" si="545"/>
        <v>0</v>
      </c>
      <c r="AX577" s="100">
        <f t="shared" si="546"/>
        <v>0</v>
      </c>
      <c r="AY577" s="110" t="s">
        <v>1720</v>
      </c>
      <c r="AZ577" s="110" t="s">
        <v>1730</v>
      </c>
      <c r="BA577" s="109" t="s">
        <v>1737</v>
      </c>
      <c r="BC577" s="100">
        <f t="shared" si="547"/>
        <v>0</v>
      </c>
      <c r="BD577" s="100">
        <f t="shared" si="548"/>
        <v>0</v>
      </c>
      <c r="BE577" s="100">
        <v>0</v>
      </c>
      <c r="BF577" s="100">
        <f>577</f>
        <v>577</v>
      </c>
      <c r="BH577" s="108">
        <f t="shared" si="549"/>
        <v>0</v>
      </c>
      <c r="BI577" s="108">
        <f t="shared" si="550"/>
        <v>0</v>
      </c>
      <c r="BJ577" s="108">
        <f t="shared" si="551"/>
        <v>0</v>
      </c>
    </row>
    <row r="578" spans="1:62" x14ac:dyDescent="0.2">
      <c r="A578" s="117" t="s">
        <v>529</v>
      </c>
      <c r="B578" s="117" t="s">
        <v>3370</v>
      </c>
      <c r="C578" s="304" t="s">
        <v>1550</v>
      </c>
      <c r="D578" s="305"/>
      <c r="E578" s="305"/>
      <c r="F578" s="117" t="s">
        <v>1646</v>
      </c>
      <c r="G578" s="116">
        <v>350</v>
      </c>
      <c r="H578" s="159"/>
      <c r="I578" s="108">
        <f t="shared" si="528"/>
        <v>0</v>
      </c>
      <c r="J578" s="108">
        <f t="shared" si="529"/>
        <v>0</v>
      </c>
      <c r="K578" s="108">
        <f t="shared" si="530"/>
        <v>0</v>
      </c>
      <c r="L578" s="111"/>
      <c r="Z578" s="100">
        <f t="shared" si="531"/>
        <v>0</v>
      </c>
      <c r="AB578" s="100">
        <f t="shared" si="532"/>
        <v>0</v>
      </c>
      <c r="AC578" s="100">
        <f t="shared" si="533"/>
        <v>0</v>
      </c>
      <c r="AD578" s="100">
        <f t="shared" si="534"/>
        <v>0</v>
      </c>
      <c r="AE578" s="100">
        <f t="shared" si="535"/>
        <v>0</v>
      </c>
      <c r="AF578" s="100">
        <f t="shared" si="536"/>
        <v>0</v>
      </c>
      <c r="AG578" s="100">
        <f t="shared" si="537"/>
        <v>0</v>
      </c>
      <c r="AH578" s="100">
        <f t="shared" si="538"/>
        <v>0</v>
      </c>
      <c r="AI578" s="109"/>
      <c r="AJ578" s="108">
        <f t="shared" si="539"/>
        <v>0</v>
      </c>
      <c r="AK578" s="108">
        <f t="shared" si="540"/>
        <v>0</v>
      </c>
      <c r="AL578" s="108">
        <f t="shared" si="541"/>
        <v>0</v>
      </c>
      <c r="AN578" s="100">
        <v>15</v>
      </c>
      <c r="AO578" s="100">
        <f t="shared" si="542"/>
        <v>0</v>
      </c>
      <c r="AP578" s="100">
        <f t="shared" si="543"/>
        <v>0</v>
      </c>
      <c r="AQ578" s="111" t="s">
        <v>7</v>
      </c>
      <c r="AV578" s="100">
        <f t="shared" si="544"/>
        <v>0</v>
      </c>
      <c r="AW578" s="100">
        <f t="shared" si="545"/>
        <v>0</v>
      </c>
      <c r="AX578" s="100">
        <f t="shared" si="546"/>
        <v>0</v>
      </c>
      <c r="AY578" s="110" t="s">
        <v>1720</v>
      </c>
      <c r="AZ578" s="110" t="s">
        <v>1730</v>
      </c>
      <c r="BA578" s="109" t="s">
        <v>1737</v>
      </c>
      <c r="BC578" s="100">
        <f t="shared" si="547"/>
        <v>0</v>
      </c>
      <c r="BD578" s="100">
        <f t="shared" si="548"/>
        <v>0</v>
      </c>
      <c r="BE578" s="100">
        <v>0</v>
      </c>
      <c r="BF578" s="100">
        <f>578</f>
        <v>578</v>
      </c>
      <c r="BH578" s="108">
        <f t="shared" si="549"/>
        <v>0</v>
      </c>
      <c r="BI578" s="108">
        <f t="shared" si="550"/>
        <v>0</v>
      </c>
      <c r="BJ578" s="108">
        <f t="shared" si="551"/>
        <v>0</v>
      </c>
    </row>
    <row r="579" spans="1:62" x14ac:dyDescent="0.2">
      <c r="A579" s="117" t="s">
        <v>530</v>
      </c>
      <c r="B579" s="117" t="s">
        <v>3369</v>
      </c>
      <c r="C579" s="304" t="s">
        <v>1551</v>
      </c>
      <c r="D579" s="305"/>
      <c r="E579" s="305"/>
      <c r="F579" s="117" t="s">
        <v>1644</v>
      </c>
      <c r="G579" s="116">
        <v>1</v>
      </c>
      <c r="H579" s="159"/>
      <c r="I579" s="108">
        <f t="shared" si="528"/>
        <v>0</v>
      </c>
      <c r="J579" s="108">
        <f t="shared" si="529"/>
        <v>0</v>
      </c>
      <c r="K579" s="108">
        <f t="shared" si="530"/>
        <v>0</v>
      </c>
      <c r="L579" s="111"/>
      <c r="Z579" s="100">
        <f t="shared" si="531"/>
        <v>0</v>
      </c>
      <c r="AB579" s="100">
        <f t="shared" si="532"/>
        <v>0</v>
      </c>
      <c r="AC579" s="100">
        <f t="shared" si="533"/>
        <v>0</v>
      </c>
      <c r="AD579" s="100">
        <f t="shared" si="534"/>
        <v>0</v>
      </c>
      <c r="AE579" s="100">
        <f t="shared" si="535"/>
        <v>0</v>
      </c>
      <c r="AF579" s="100">
        <f t="shared" si="536"/>
        <v>0</v>
      </c>
      <c r="AG579" s="100">
        <f t="shared" si="537"/>
        <v>0</v>
      </c>
      <c r="AH579" s="100">
        <f t="shared" si="538"/>
        <v>0</v>
      </c>
      <c r="AI579" s="109"/>
      <c r="AJ579" s="108">
        <f t="shared" si="539"/>
        <v>0</v>
      </c>
      <c r="AK579" s="108">
        <f t="shared" si="540"/>
        <v>0</v>
      </c>
      <c r="AL579" s="108">
        <f t="shared" si="541"/>
        <v>0</v>
      </c>
      <c r="AN579" s="100">
        <v>15</v>
      </c>
      <c r="AO579" s="100">
        <f t="shared" si="542"/>
        <v>0</v>
      </c>
      <c r="AP579" s="100">
        <f t="shared" si="543"/>
        <v>0</v>
      </c>
      <c r="AQ579" s="111" t="s">
        <v>7</v>
      </c>
      <c r="AV579" s="100">
        <f t="shared" si="544"/>
        <v>0</v>
      </c>
      <c r="AW579" s="100">
        <f t="shared" si="545"/>
        <v>0</v>
      </c>
      <c r="AX579" s="100">
        <f t="shared" si="546"/>
        <v>0</v>
      </c>
      <c r="AY579" s="110" t="s">
        <v>1720</v>
      </c>
      <c r="AZ579" s="110" t="s">
        <v>1730</v>
      </c>
      <c r="BA579" s="109" t="s">
        <v>1737</v>
      </c>
      <c r="BC579" s="100">
        <f t="shared" si="547"/>
        <v>0</v>
      </c>
      <c r="BD579" s="100">
        <f t="shared" si="548"/>
        <v>0</v>
      </c>
      <c r="BE579" s="100">
        <v>0</v>
      </c>
      <c r="BF579" s="100">
        <f>579</f>
        <v>579</v>
      </c>
      <c r="BH579" s="108">
        <f t="shared" si="549"/>
        <v>0</v>
      </c>
      <c r="BI579" s="108">
        <f t="shared" si="550"/>
        <v>0</v>
      </c>
      <c r="BJ579" s="108">
        <f t="shared" si="551"/>
        <v>0</v>
      </c>
    </row>
    <row r="580" spans="1:62" x14ac:dyDescent="0.2">
      <c r="A580" s="117" t="s">
        <v>531</v>
      </c>
      <c r="B580" s="117" t="s">
        <v>3368</v>
      </c>
      <c r="C580" s="304" t="s">
        <v>1552</v>
      </c>
      <c r="D580" s="305"/>
      <c r="E580" s="305"/>
      <c r="F580" s="117" t="s">
        <v>1644</v>
      </c>
      <c r="G580" s="116">
        <v>1</v>
      </c>
      <c r="H580" s="159"/>
      <c r="I580" s="108">
        <f t="shared" si="528"/>
        <v>0</v>
      </c>
      <c r="J580" s="108">
        <f t="shared" si="529"/>
        <v>0</v>
      </c>
      <c r="K580" s="108">
        <f t="shared" si="530"/>
        <v>0</v>
      </c>
      <c r="L580" s="111"/>
      <c r="Z580" s="100">
        <f t="shared" si="531"/>
        <v>0</v>
      </c>
      <c r="AB580" s="100">
        <f t="shared" si="532"/>
        <v>0</v>
      </c>
      <c r="AC580" s="100">
        <f t="shared" si="533"/>
        <v>0</v>
      </c>
      <c r="AD580" s="100">
        <f t="shared" si="534"/>
        <v>0</v>
      </c>
      <c r="AE580" s="100">
        <f t="shared" si="535"/>
        <v>0</v>
      </c>
      <c r="AF580" s="100">
        <f t="shared" si="536"/>
        <v>0</v>
      </c>
      <c r="AG580" s="100">
        <f t="shared" si="537"/>
        <v>0</v>
      </c>
      <c r="AH580" s="100">
        <f t="shared" si="538"/>
        <v>0</v>
      </c>
      <c r="AI580" s="109"/>
      <c r="AJ580" s="108">
        <f t="shared" si="539"/>
        <v>0</v>
      </c>
      <c r="AK580" s="108">
        <f t="shared" si="540"/>
        <v>0</v>
      </c>
      <c r="AL580" s="108">
        <f t="shared" si="541"/>
        <v>0</v>
      </c>
      <c r="AN580" s="100">
        <v>15</v>
      </c>
      <c r="AO580" s="100">
        <f t="shared" si="542"/>
        <v>0</v>
      </c>
      <c r="AP580" s="100">
        <f t="shared" si="543"/>
        <v>0</v>
      </c>
      <c r="AQ580" s="111" t="s">
        <v>7</v>
      </c>
      <c r="AV580" s="100">
        <f t="shared" si="544"/>
        <v>0</v>
      </c>
      <c r="AW580" s="100">
        <f t="shared" si="545"/>
        <v>0</v>
      </c>
      <c r="AX580" s="100">
        <f t="shared" si="546"/>
        <v>0</v>
      </c>
      <c r="AY580" s="110" t="s">
        <v>1720</v>
      </c>
      <c r="AZ580" s="110" t="s">
        <v>1730</v>
      </c>
      <c r="BA580" s="109" t="s">
        <v>1737</v>
      </c>
      <c r="BC580" s="100">
        <f t="shared" si="547"/>
        <v>0</v>
      </c>
      <c r="BD580" s="100">
        <f t="shared" si="548"/>
        <v>0</v>
      </c>
      <c r="BE580" s="100">
        <v>0</v>
      </c>
      <c r="BF580" s="100">
        <f>580</f>
        <v>580</v>
      </c>
      <c r="BH580" s="108">
        <f t="shared" si="549"/>
        <v>0</v>
      </c>
      <c r="BI580" s="108">
        <f t="shared" si="550"/>
        <v>0</v>
      </c>
      <c r="BJ580" s="108">
        <f t="shared" si="551"/>
        <v>0</v>
      </c>
    </row>
    <row r="581" spans="1:62" x14ac:dyDescent="0.2">
      <c r="A581" s="117" t="s">
        <v>532</v>
      </c>
      <c r="B581" s="117" t="s">
        <v>3367</v>
      </c>
      <c r="C581" s="304" t="s">
        <v>1553</v>
      </c>
      <c r="D581" s="305"/>
      <c r="E581" s="305"/>
      <c r="F581" s="117" t="s">
        <v>1644</v>
      </c>
      <c r="G581" s="116">
        <v>1</v>
      </c>
      <c r="H581" s="159"/>
      <c r="I581" s="108">
        <f t="shared" si="528"/>
        <v>0</v>
      </c>
      <c r="J581" s="108">
        <f t="shared" si="529"/>
        <v>0</v>
      </c>
      <c r="K581" s="108">
        <f t="shared" si="530"/>
        <v>0</v>
      </c>
      <c r="L581" s="111"/>
      <c r="Z581" s="100">
        <f t="shared" si="531"/>
        <v>0</v>
      </c>
      <c r="AB581" s="100">
        <f t="shared" si="532"/>
        <v>0</v>
      </c>
      <c r="AC581" s="100">
        <f t="shared" si="533"/>
        <v>0</v>
      </c>
      <c r="AD581" s="100">
        <f t="shared" si="534"/>
        <v>0</v>
      </c>
      <c r="AE581" s="100">
        <f t="shared" si="535"/>
        <v>0</v>
      </c>
      <c r="AF581" s="100">
        <f t="shared" si="536"/>
        <v>0</v>
      </c>
      <c r="AG581" s="100">
        <f t="shared" si="537"/>
        <v>0</v>
      </c>
      <c r="AH581" s="100">
        <f t="shared" si="538"/>
        <v>0</v>
      </c>
      <c r="AI581" s="109"/>
      <c r="AJ581" s="108">
        <f t="shared" si="539"/>
        <v>0</v>
      </c>
      <c r="AK581" s="108">
        <f t="shared" si="540"/>
        <v>0</v>
      </c>
      <c r="AL581" s="108">
        <f t="shared" si="541"/>
        <v>0</v>
      </c>
      <c r="AN581" s="100">
        <v>15</v>
      </c>
      <c r="AO581" s="100">
        <f t="shared" si="542"/>
        <v>0</v>
      </c>
      <c r="AP581" s="100">
        <f t="shared" si="543"/>
        <v>0</v>
      </c>
      <c r="AQ581" s="111" t="s">
        <v>7</v>
      </c>
      <c r="AV581" s="100">
        <f t="shared" si="544"/>
        <v>0</v>
      </c>
      <c r="AW581" s="100">
        <f t="shared" si="545"/>
        <v>0</v>
      </c>
      <c r="AX581" s="100">
        <f t="shared" si="546"/>
        <v>0</v>
      </c>
      <c r="AY581" s="110" t="s">
        <v>1720</v>
      </c>
      <c r="AZ581" s="110" t="s">
        <v>1730</v>
      </c>
      <c r="BA581" s="109" t="s">
        <v>1737</v>
      </c>
      <c r="BC581" s="100">
        <f t="shared" si="547"/>
        <v>0</v>
      </c>
      <c r="BD581" s="100">
        <f t="shared" si="548"/>
        <v>0</v>
      </c>
      <c r="BE581" s="100">
        <v>0</v>
      </c>
      <c r="BF581" s="100">
        <f>581</f>
        <v>581</v>
      </c>
      <c r="BH581" s="108">
        <f t="shared" si="549"/>
        <v>0</v>
      </c>
      <c r="BI581" s="108">
        <f t="shared" si="550"/>
        <v>0</v>
      </c>
      <c r="BJ581" s="108">
        <f t="shared" si="551"/>
        <v>0</v>
      </c>
    </row>
    <row r="582" spans="1:62" x14ac:dyDescent="0.2">
      <c r="A582" s="117" t="s">
        <v>533</v>
      </c>
      <c r="B582" s="117" t="s">
        <v>3366</v>
      </c>
      <c r="C582" s="304" t="s">
        <v>1554</v>
      </c>
      <c r="D582" s="305"/>
      <c r="E582" s="305"/>
      <c r="F582" s="117" t="s">
        <v>1644</v>
      </c>
      <c r="G582" s="116">
        <v>1</v>
      </c>
      <c r="H582" s="159"/>
      <c r="I582" s="108">
        <f t="shared" si="528"/>
        <v>0</v>
      </c>
      <c r="J582" s="108">
        <f t="shared" si="529"/>
        <v>0</v>
      </c>
      <c r="K582" s="108">
        <f t="shared" si="530"/>
        <v>0</v>
      </c>
      <c r="L582" s="111"/>
      <c r="Z582" s="100">
        <f t="shared" si="531"/>
        <v>0</v>
      </c>
      <c r="AB582" s="100">
        <f t="shared" si="532"/>
        <v>0</v>
      </c>
      <c r="AC582" s="100">
        <f t="shared" si="533"/>
        <v>0</v>
      </c>
      <c r="AD582" s="100">
        <f t="shared" si="534"/>
        <v>0</v>
      </c>
      <c r="AE582" s="100">
        <f t="shared" si="535"/>
        <v>0</v>
      </c>
      <c r="AF582" s="100">
        <f t="shared" si="536"/>
        <v>0</v>
      </c>
      <c r="AG582" s="100">
        <f t="shared" si="537"/>
        <v>0</v>
      </c>
      <c r="AH582" s="100">
        <f t="shared" si="538"/>
        <v>0</v>
      </c>
      <c r="AI582" s="109"/>
      <c r="AJ582" s="108">
        <f t="shared" si="539"/>
        <v>0</v>
      </c>
      <c r="AK582" s="108">
        <f t="shared" si="540"/>
        <v>0</v>
      </c>
      <c r="AL582" s="108">
        <f t="shared" si="541"/>
        <v>0</v>
      </c>
      <c r="AN582" s="100">
        <v>15</v>
      </c>
      <c r="AO582" s="100">
        <f t="shared" si="542"/>
        <v>0</v>
      </c>
      <c r="AP582" s="100">
        <f t="shared" si="543"/>
        <v>0</v>
      </c>
      <c r="AQ582" s="111" t="s">
        <v>7</v>
      </c>
      <c r="AV582" s="100">
        <f t="shared" si="544"/>
        <v>0</v>
      </c>
      <c r="AW582" s="100">
        <f t="shared" si="545"/>
        <v>0</v>
      </c>
      <c r="AX582" s="100">
        <f t="shared" si="546"/>
        <v>0</v>
      </c>
      <c r="AY582" s="110" t="s">
        <v>1720</v>
      </c>
      <c r="AZ582" s="110" t="s">
        <v>1730</v>
      </c>
      <c r="BA582" s="109" t="s">
        <v>1737</v>
      </c>
      <c r="BC582" s="100">
        <f t="shared" si="547"/>
        <v>0</v>
      </c>
      <c r="BD582" s="100">
        <f t="shared" si="548"/>
        <v>0</v>
      </c>
      <c r="BE582" s="100">
        <v>0</v>
      </c>
      <c r="BF582" s="100">
        <f>582</f>
        <v>582</v>
      </c>
      <c r="BH582" s="108">
        <f t="shared" si="549"/>
        <v>0</v>
      </c>
      <c r="BI582" s="108">
        <f t="shared" si="550"/>
        <v>0</v>
      </c>
      <c r="BJ582" s="108">
        <f t="shared" si="551"/>
        <v>0</v>
      </c>
    </row>
    <row r="583" spans="1:62" x14ac:dyDescent="0.2">
      <c r="A583" s="117" t="s">
        <v>534</v>
      </c>
      <c r="B583" s="117" t="s">
        <v>3365</v>
      </c>
      <c r="C583" s="304" t="s">
        <v>1555</v>
      </c>
      <c r="D583" s="305"/>
      <c r="E583" s="305"/>
      <c r="F583" s="117" t="s">
        <v>1644</v>
      </c>
      <c r="G583" s="116">
        <v>1</v>
      </c>
      <c r="H583" s="159"/>
      <c r="I583" s="108">
        <f t="shared" si="528"/>
        <v>0</v>
      </c>
      <c r="J583" s="108">
        <f t="shared" si="529"/>
        <v>0</v>
      </c>
      <c r="K583" s="108">
        <f t="shared" si="530"/>
        <v>0</v>
      </c>
      <c r="L583" s="111"/>
      <c r="Z583" s="100">
        <f t="shared" si="531"/>
        <v>0</v>
      </c>
      <c r="AB583" s="100">
        <f t="shared" si="532"/>
        <v>0</v>
      </c>
      <c r="AC583" s="100">
        <f t="shared" si="533"/>
        <v>0</v>
      </c>
      <c r="AD583" s="100">
        <f t="shared" si="534"/>
        <v>0</v>
      </c>
      <c r="AE583" s="100">
        <f t="shared" si="535"/>
        <v>0</v>
      </c>
      <c r="AF583" s="100">
        <f t="shared" si="536"/>
        <v>0</v>
      </c>
      <c r="AG583" s="100">
        <f t="shared" si="537"/>
        <v>0</v>
      </c>
      <c r="AH583" s="100">
        <f t="shared" si="538"/>
        <v>0</v>
      </c>
      <c r="AI583" s="109"/>
      <c r="AJ583" s="108">
        <f t="shared" si="539"/>
        <v>0</v>
      </c>
      <c r="AK583" s="108">
        <f t="shared" si="540"/>
        <v>0</v>
      </c>
      <c r="AL583" s="108">
        <f t="shared" si="541"/>
        <v>0</v>
      </c>
      <c r="AN583" s="100">
        <v>15</v>
      </c>
      <c r="AO583" s="100">
        <f t="shared" si="542"/>
        <v>0</v>
      </c>
      <c r="AP583" s="100">
        <f t="shared" si="543"/>
        <v>0</v>
      </c>
      <c r="AQ583" s="111" t="s">
        <v>7</v>
      </c>
      <c r="AV583" s="100">
        <f t="shared" si="544"/>
        <v>0</v>
      </c>
      <c r="AW583" s="100">
        <f t="shared" si="545"/>
        <v>0</v>
      </c>
      <c r="AX583" s="100">
        <f t="shared" si="546"/>
        <v>0</v>
      </c>
      <c r="AY583" s="110" t="s">
        <v>1720</v>
      </c>
      <c r="AZ583" s="110" t="s">
        <v>1730</v>
      </c>
      <c r="BA583" s="109" t="s">
        <v>1737</v>
      </c>
      <c r="BC583" s="100">
        <f t="shared" si="547"/>
        <v>0</v>
      </c>
      <c r="BD583" s="100">
        <f t="shared" si="548"/>
        <v>0</v>
      </c>
      <c r="BE583" s="100">
        <v>0</v>
      </c>
      <c r="BF583" s="100">
        <f>583</f>
        <v>583</v>
      </c>
      <c r="BH583" s="108">
        <f t="shared" si="549"/>
        <v>0</v>
      </c>
      <c r="BI583" s="108">
        <f t="shared" si="550"/>
        <v>0</v>
      </c>
      <c r="BJ583" s="108">
        <f t="shared" si="551"/>
        <v>0</v>
      </c>
    </row>
    <row r="584" spans="1:62" x14ac:dyDescent="0.2">
      <c r="A584" s="119"/>
      <c r="B584" s="120" t="s">
        <v>967</v>
      </c>
      <c r="C584" s="306" t="s">
        <v>1556</v>
      </c>
      <c r="D584" s="307"/>
      <c r="E584" s="307"/>
      <c r="F584" s="119" t="s">
        <v>6</v>
      </c>
      <c r="G584" s="119" t="s">
        <v>6</v>
      </c>
      <c r="H584" s="119" t="s">
        <v>6</v>
      </c>
      <c r="I584" s="118">
        <f>SUM(I585:I586)</f>
        <v>0</v>
      </c>
      <c r="J584" s="118">
        <f>SUM(J585:J586)</f>
        <v>0</v>
      </c>
      <c r="K584" s="118">
        <f>SUM(K585:K586)</f>
        <v>0</v>
      </c>
      <c r="L584" s="109"/>
      <c r="AI584" s="109"/>
      <c r="AS584" s="118">
        <f>SUM(AJ585:AJ586)</f>
        <v>0</v>
      </c>
      <c r="AT584" s="118">
        <f>SUM(AK585:AK586)</f>
        <v>0</v>
      </c>
      <c r="AU584" s="118">
        <f>SUM(AL585:AL586)</f>
        <v>0</v>
      </c>
    </row>
    <row r="585" spans="1:62" x14ac:dyDescent="0.2">
      <c r="A585" s="117" t="s">
        <v>535</v>
      </c>
      <c r="B585" s="117" t="s">
        <v>968</v>
      </c>
      <c r="C585" s="304" t="s">
        <v>2976</v>
      </c>
      <c r="D585" s="305"/>
      <c r="E585" s="305"/>
      <c r="F585" s="117" t="s">
        <v>1644</v>
      </c>
      <c r="G585" s="116">
        <v>3</v>
      </c>
      <c r="H585" s="159"/>
      <c r="I585" s="108">
        <f>G585*AO585</f>
        <v>0</v>
      </c>
      <c r="J585" s="108">
        <f>G585*AP585</f>
        <v>0</v>
      </c>
      <c r="K585" s="108">
        <f>G585*H585</f>
        <v>0</v>
      </c>
      <c r="L585" s="111" t="s">
        <v>1671</v>
      </c>
      <c r="Z585" s="100">
        <f>IF(AQ585="5",BJ585,0)</f>
        <v>0</v>
      </c>
      <c r="AB585" s="100">
        <f>IF(AQ585="1",BH585,0)</f>
        <v>0</v>
      </c>
      <c r="AC585" s="100">
        <f>IF(AQ585="1",BI585,0)</f>
        <v>0</v>
      </c>
      <c r="AD585" s="100">
        <f>IF(AQ585="7",BH585,0)</f>
        <v>0</v>
      </c>
      <c r="AE585" s="100">
        <f>IF(AQ585="7",BI585,0)</f>
        <v>0</v>
      </c>
      <c r="AF585" s="100">
        <f>IF(AQ585="2",BH585,0)</f>
        <v>0</v>
      </c>
      <c r="AG585" s="100">
        <f>IF(AQ585="2",BI585,0)</f>
        <v>0</v>
      </c>
      <c r="AH585" s="100">
        <f>IF(AQ585="0",BJ585,0)</f>
        <v>0</v>
      </c>
      <c r="AI585" s="109"/>
      <c r="AJ585" s="108">
        <f>IF(AN585=0,K585,0)</f>
        <v>0</v>
      </c>
      <c r="AK585" s="108">
        <f>IF(AN585=15,K585,0)</f>
        <v>0</v>
      </c>
      <c r="AL585" s="108">
        <f>IF(AN585=21,K585,0)</f>
        <v>0</v>
      </c>
      <c r="AN585" s="100">
        <v>15</v>
      </c>
      <c r="AO585" s="100">
        <f>H585*0</f>
        <v>0</v>
      </c>
      <c r="AP585" s="100">
        <f>H585*(1-0)</f>
        <v>0</v>
      </c>
      <c r="AQ585" s="111" t="s">
        <v>8</v>
      </c>
      <c r="AV585" s="100">
        <f>AW585+AX585</f>
        <v>0</v>
      </c>
      <c r="AW585" s="100">
        <f>G585*AO585</f>
        <v>0</v>
      </c>
      <c r="AX585" s="100">
        <f>G585*AP585</f>
        <v>0</v>
      </c>
      <c r="AY585" s="110" t="s">
        <v>1721</v>
      </c>
      <c r="AZ585" s="110" t="s">
        <v>1730</v>
      </c>
      <c r="BA585" s="109" t="s">
        <v>1737</v>
      </c>
      <c r="BC585" s="100">
        <f>AW585+AX585</f>
        <v>0</v>
      </c>
      <c r="BD585" s="100">
        <f>H585/(100-BE585)*100</f>
        <v>0</v>
      </c>
      <c r="BE585" s="100">
        <v>0</v>
      </c>
      <c r="BF585" s="100">
        <f>585</f>
        <v>585</v>
      </c>
      <c r="BH585" s="108">
        <f>G585*AO585</f>
        <v>0</v>
      </c>
      <c r="BI585" s="108">
        <f>G585*AP585</f>
        <v>0</v>
      </c>
      <c r="BJ585" s="108">
        <f>G585*H585</f>
        <v>0</v>
      </c>
    </row>
    <row r="586" spans="1:62" x14ac:dyDescent="0.2">
      <c r="A586" s="117" t="s">
        <v>536</v>
      </c>
      <c r="B586" s="117" t="s">
        <v>969</v>
      </c>
      <c r="C586" s="304" t="s">
        <v>2975</v>
      </c>
      <c r="D586" s="305"/>
      <c r="E586" s="305"/>
      <c r="F586" s="117" t="s">
        <v>1644</v>
      </c>
      <c r="G586" s="116">
        <v>3</v>
      </c>
      <c r="H586" s="159"/>
      <c r="I586" s="108">
        <f>G586*AO586</f>
        <v>0</v>
      </c>
      <c r="J586" s="108">
        <f>G586*AP586</f>
        <v>0</v>
      </c>
      <c r="K586" s="108">
        <f>G586*H586</f>
        <v>0</v>
      </c>
      <c r="L586" s="111" t="s">
        <v>1671</v>
      </c>
      <c r="Z586" s="100">
        <f>IF(AQ586="5",BJ586,0)</f>
        <v>0</v>
      </c>
      <c r="AB586" s="100">
        <f>IF(AQ586="1",BH586,0)</f>
        <v>0</v>
      </c>
      <c r="AC586" s="100">
        <f>IF(AQ586="1",BI586,0)</f>
        <v>0</v>
      </c>
      <c r="AD586" s="100">
        <f>IF(AQ586="7",BH586,0)</f>
        <v>0</v>
      </c>
      <c r="AE586" s="100">
        <f>IF(AQ586="7",BI586,0)</f>
        <v>0</v>
      </c>
      <c r="AF586" s="100">
        <f>IF(AQ586="2",BH586,0)</f>
        <v>0</v>
      </c>
      <c r="AG586" s="100">
        <f>IF(AQ586="2",BI586,0)</f>
        <v>0</v>
      </c>
      <c r="AH586" s="100">
        <f>IF(AQ586="0",BJ586,0)</f>
        <v>0</v>
      </c>
      <c r="AI586" s="109"/>
      <c r="AJ586" s="108">
        <f>IF(AN586=0,K586,0)</f>
        <v>0</v>
      </c>
      <c r="AK586" s="108">
        <f>IF(AN586=15,K586,0)</f>
        <v>0</v>
      </c>
      <c r="AL586" s="108">
        <f>IF(AN586=21,K586,0)</f>
        <v>0</v>
      </c>
      <c r="AN586" s="100">
        <v>15</v>
      </c>
      <c r="AO586" s="100">
        <f>H586*0</f>
        <v>0</v>
      </c>
      <c r="AP586" s="100">
        <f>H586*(1-0)</f>
        <v>0</v>
      </c>
      <c r="AQ586" s="111" t="s">
        <v>8</v>
      </c>
      <c r="AV586" s="100">
        <f>AW586+AX586</f>
        <v>0</v>
      </c>
      <c r="AW586" s="100">
        <f>G586*AO586</f>
        <v>0</v>
      </c>
      <c r="AX586" s="100">
        <f>G586*AP586</f>
        <v>0</v>
      </c>
      <c r="AY586" s="110" t="s">
        <v>1721</v>
      </c>
      <c r="AZ586" s="110" t="s">
        <v>1730</v>
      </c>
      <c r="BA586" s="109" t="s">
        <v>1737</v>
      </c>
      <c r="BC586" s="100">
        <f>AW586+AX586</f>
        <v>0</v>
      </c>
      <c r="BD586" s="100">
        <f>H586/(100-BE586)*100</f>
        <v>0</v>
      </c>
      <c r="BE586" s="100">
        <v>0</v>
      </c>
      <c r="BF586" s="100">
        <f>586</f>
        <v>586</v>
      </c>
      <c r="BH586" s="108">
        <f>G586*AO586</f>
        <v>0</v>
      </c>
      <c r="BI586" s="108">
        <f>G586*AP586</f>
        <v>0</v>
      </c>
      <c r="BJ586" s="108">
        <f>G586*H586</f>
        <v>0</v>
      </c>
    </row>
    <row r="587" spans="1:62" x14ac:dyDescent="0.2">
      <c r="A587" s="119"/>
      <c r="B587" s="120" t="s">
        <v>970</v>
      </c>
      <c r="C587" s="306" t="s">
        <v>1559</v>
      </c>
      <c r="D587" s="307"/>
      <c r="E587" s="307"/>
      <c r="F587" s="119" t="s">
        <v>6</v>
      </c>
      <c r="G587" s="119" t="s">
        <v>6</v>
      </c>
      <c r="H587" s="119" t="s">
        <v>6</v>
      </c>
      <c r="I587" s="118">
        <f>SUM(I588:I671)</f>
        <v>0</v>
      </c>
      <c r="J587" s="118">
        <f>SUM(J588:J671)</f>
        <v>0</v>
      </c>
      <c r="K587" s="118">
        <f>SUM(K588:K671)</f>
        <v>0</v>
      </c>
      <c r="L587" s="109"/>
      <c r="AI587" s="109"/>
      <c r="AS587" s="118">
        <f>SUM(AJ588:AJ671)</f>
        <v>0</v>
      </c>
      <c r="AT587" s="118">
        <f>SUM(AK588:AK671)</f>
        <v>0</v>
      </c>
      <c r="AU587" s="118">
        <f>SUM(AL588:AL671)</f>
        <v>0</v>
      </c>
    </row>
    <row r="588" spans="1:62" x14ac:dyDescent="0.2">
      <c r="A588" s="117" t="s">
        <v>537</v>
      </c>
      <c r="B588" s="117" t="s">
        <v>3364</v>
      </c>
      <c r="C588" s="304" t="s">
        <v>3363</v>
      </c>
      <c r="D588" s="305"/>
      <c r="E588" s="305"/>
      <c r="F588" s="117" t="s">
        <v>1644</v>
      </c>
      <c r="G588" s="116">
        <v>1</v>
      </c>
      <c r="H588" s="159"/>
      <c r="I588" s="108">
        <f t="shared" ref="I588:I619" si="552">G588*AO588</f>
        <v>0</v>
      </c>
      <c r="J588" s="108">
        <f t="shared" ref="J588:J619" si="553">G588*AP588</f>
        <v>0</v>
      </c>
      <c r="K588" s="108">
        <f t="shared" ref="K588:K619" si="554">G588*H588</f>
        <v>0</v>
      </c>
      <c r="L588" s="111"/>
      <c r="Z588" s="100">
        <f t="shared" ref="Z588:Z619" si="555">IF(AQ588="5",BJ588,0)</f>
        <v>0</v>
      </c>
      <c r="AB588" s="100">
        <f t="shared" ref="AB588:AB619" si="556">IF(AQ588="1",BH588,0)</f>
        <v>0</v>
      </c>
      <c r="AC588" s="100">
        <f t="shared" ref="AC588:AC619" si="557">IF(AQ588="1",BI588,0)</f>
        <v>0</v>
      </c>
      <c r="AD588" s="100">
        <f t="shared" ref="AD588:AD619" si="558">IF(AQ588="7",BH588,0)</f>
        <v>0</v>
      </c>
      <c r="AE588" s="100">
        <f t="shared" ref="AE588:AE619" si="559">IF(AQ588="7",BI588,0)</f>
        <v>0</v>
      </c>
      <c r="AF588" s="100">
        <f t="shared" ref="AF588:AF619" si="560">IF(AQ588="2",BH588,0)</f>
        <v>0</v>
      </c>
      <c r="AG588" s="100">
        <f t="shared" ref="AG588:AG619" si="561">IF(AQ588="2",BI588,0)</f>
        <v>0</v>
      </c>
      <c r="AH588" s="100">
        <f t="shared" ref="AH588:AH619" si="562">IF(AQ588="0",BJ588,0)</f>
        <v>0</v>
      </c>
      <c r="AI588" s="109"/>
      <c r="AJ588" s="108">
        <f t="shared" ref="AJ588:AJ619" si="563">IF(AN588=0,K588,0)</f>
        <v>0</v>
      </c>
      <c r="AK588" s="108">
        <f t="shared" ref="AK588:AK619" si="564">IF(AN588=15,K588,0)</f>
        <v>0</v>
      </c>
      <c r="AL588" s="108">
        <f t="shared" ref="AL588:AL619" si="565">IF(AN588=21,K588,0)</f>
        <v>0</v>
      </c>
      <c r="AN588" s="100">
        <v>15</v>
      </c>
      <c r="AO588" s="100">
        <f t="shared" ref="AO588:AO619" si="566">H588*0</f>
        <v>0</v>
      </c>
      <c r="AP588" s="100">
        <f t="shared" ref="AP588:AP619" si="567">H588*(1-0)</f>
        <v>0</v>
      </c>
      <c r="AQ588" s="111" t="s">
        <v>7</v>
      </c>
      <c r="AV588" s="100">
        <f t="shared" ref="AV588:AV619" si="568">AW588+AX588</f>
        <v>0</v>
      </c>
      <c r="AW588" s="100">
        <f t="shared" ref="AW588:AW619" si="569">G588*AO588</f>
        <v>0</v>
      </c>
      <c r="AX588" s="100">
        <f t="shared" ref="AX588:AX619" si="570">G588*AP588</f>
        <v>0</v>
      </c>
      <c r="AY588" s="110" t="s">
        <v>1722</v>
      </c>
      <c r="AZ588" s="110" t="s">
        <v>1730</v>
      </c>
      <c r="BA588" s="109" t="s">
        <v>1737</v>
      </c>
      <c r="BC588" s="100">
        <f t="shared" ref="BC588:BC619" si="571">AW588+AX588</f>
        <v>0</v>
      </c>
      <c r="BD588" s="100">
        <f t="shared" ref="BD588:BD619" si="572">H588/(100-BE588)*100</f>
        <v>0</v>
      </c>
      <c r="BE588" s="100">
        <v>0</v>
      </c>
      <c r="BF588" s="100">
        <f>588</f>
        <v>588</v>
      </c>
      <c r="BH588" s="108">
        <f t="shared" ref="BH588:BH619" si="573">G588*AO588</f>
        <v>0</v>
      </c>
      <c r="BI588" s="108">
        <f t="shared" ref="BI588:BI619" si="574">G588*AP588</f>
        <v>0</v>
      </c>
      <c r="BJ588" s="108">
        <f t="shared" ref="BJ588:BJ619" si="575">G588*H588</f>
        <v>0</v>
      </c>
    </row>
    <row r="589" spans="1:62" x14ac:dyDescent="0.2">
      <c r="A589" s="117" t="s">
        <v>538</v>
      </c>
      <c r="B589" s="117" t="s">
        <v>3362</v>
      </c>
      <c r="C589" s="304" t="s">
        <v>1561</v>
      </c>
      <c r="D589" s="305"/>
      <c r="E589" s="305"/>
      <c r="F589" s="117" t="s">
        <v>1644</v>
      </c>
      <c r="G589" s="116">
        <v>1</v>
      </c>
      <c r="H589" s="159"/>
      <c r="I589" s="108">
        <f t="shared" si="552"/>
        <v>0</v>
      </c>
      <c r="J589" s="108">
        <f t="shared" si="553"/>
        <v>0</v>
      </c>
      <c r="K589" s="108">
        <f t="shared" si="554"/>
        <v>0</v>
      </c>
      <c r="L589" s="111"/>
      <c r="Z589" s="100">
        <f t="shared" si="555"/>
        <v>0</v>
      </c>
      <c r="AB589" s="100">
        <f t="shared" si="556"/>
        <v>0</v>
      </c>
      <c r="AC589" s="100">
        <f t="shared" si="557"/>
        <v>0</v>
      </c>
      <c r="AD589" s="100">
        <f t="shared" si="558"/>
        <v>0</v>
      </c>
      <c r="AE589" s="100">
        <f t="shared" si="559"/>
        <v>0</v>
      </c>
      <c r="AF589" s="100">
        <f t="shared" si="560"/>
        <v>0</v>
      </c>
      <c r="AG589" s="100">
        <f t="shared" si="561"/>
        <v>0</v>
      </c>
      <c r="AH589" s="100">
        <f t="shared" si="562"/>
        <v>0</v>
      </c>
      <c r="AI589" s="109"/>
      <c r="AJ589" s="108">
        <f t="shared" si="563"/>
        <v>0</v>
      </c>
      <c r="AK589" s="108">
        <f t="shared" si="564"/>
        <v>0</v>
      </c>
      <c r="AL589" s="108">
        <f t="shared" si="565"/>
        <v>0</v>
      </c>
      <c r="AN589" s="100">
        <v>15</v>
      </c>
      <c r="AO589" s="100">
        <f t="shared" si="566"/>
        <v>0</v>
      </c>
      <c r="AP589" s="100">
        <f t="shared" si="567"/>
        <v>0</v>
      </c>
      <c r="AQ589" s="111" t="s">
        <v>7</v>
      </c>
      <c r="AV589" s="100">
        <f t="shared" si="568"/>
        <v>0</v>
      </c>
      <c r="AW589" s="100">
        <f t="shared" si="569"/>
        <v>0</v>
      </c>
      <c r="AX589" s="100">
        <f t="shared" si="570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571"/>
        <v>0</v>
      </c>
      <c r="BD589" s="100">
        <f t="shared" si="572"/>
        <v>0</v>
      </c>
      <c r="BE589" s="100">
        <v>0</v>
      </c>
      <c r="BF589" s="100">
        <f>589</f>
        <v>589</v>
      </c>
      <c r="BH589" s="108">
        <f t="shared" si="573"/>
        <v>0</v>
      </c>
      <c r="BI589" s="108">
        <f t="shared" si="574"/>
        <v>0</v>
      </c>
      <c r="BJ589" s="108">
        <f t="shared" si="575"/>
        <v>0</v>
      </c>
    </row>
    <row r="590" spans="1:62" x14ac:dyDescent="0.2">
      <c r="A590" s="117" t="s">
        <v>539</v>
      </c>
      <c r="B590" s="117" t="s">
        <v>3349</v>
      </c>
      <c r="C590" s="304" t="s">
        <v>1562</v>
      </c>
      <c r="D590" s="305"/>
      <c r="E590" s="305"/>
      <c r="F590" s="117" t="s">
        <v>1644</v>
      </c>
      <c r="G590" s="116">
        <v>2</v>
      </c>
      <c r="H590" s="159"/>
      <c r="I590" s="108">
        <f t="shared" si="552"/>
        <v>0</v>
      </c>
      <c r="J590" s="108">
        <f t="shared" si="553"/>
        <v>0</v>
      </c>
      <c r="K590" s="108">
        <f t="shared" si="554"/>
        <v>0</v>
      </c>
      <c r="L590" s="111"/>
      <c r="Z590" s="100">
        <f t="shared" si="555"/>
        <v>0</v>
      </c>
      <c r="AB590" s="100">
        <f t="shared" si="556"/>
        <v>0</v>
      </c>
      <c r="AC590" s="100">
        <f t="shared" si="557"/>
        <v>0</v>
      </c>
      <c r="AD590" s="100">
        <f t="shared" si="558"/>
        <v>0</v>
      </c>
      <c r="AE590" s="100">
        <f t="shared" si="559"/>
        <v>0</v>
      </c>
      <c r="AF590" s="100">
        <f t="shared" si="560"/>
        <v>0</v>
      </c>
      <c r="AG590" s="100">
        <f t="shared" si="561"/>
        <v>0</v>
      </c>
      <c r="AH590" s="100">
        <f t="shared" si="562"/>
        <v>0</v>
      </c>
      <c r="AI590" s="109"/>
      <c r="AJ590" s="108">
        <f t="shared" si="563"/>
        <v>0</v>
      </c>
      <c r="AK590" s="108">
        <f t="shared" si="564"/>
        <v>0</v>
      </c>
      <c r="AL590" s="108">
        <f t="shared" si="565"/>
        <v>0</v>
      </c>
      <c r="AN590" s="100">
        <v>15</v>
      </c>
      <c r="AO590" s="100">
        <f t="shared" si="566"/>
        <v>0</v>
      </c>
      <c r="AP590" s="100">
        <f t="shared" si="567"/>
        <v>0</v>
      </c>
      <c r="AQ590" s="111" t="s">
        <v>7</v>
      </c>
      <c r="AV590" s="100">
        <f t="shared" si="568"/>
        <v>0</v>
      </c>
      <c r="AW590" s="100">
        <f t="shared" si="569"/>
        <v>0</v>
      </c>
      <c r="AX590" s="100">
        <f t="shared" si="570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571"/>
        <v>0</v>
      </c>
      <c r="BD590" s="100">
        <f t="shared" si="572"/>
        <v>0</v>
      </c>
      <c r="BE590" s="100">
        <v>0</v>
      </c>
      <c r="BF590" s="100">
        <f>590</f>
        <v>590</v>
      </c>
      <c r="BH590" s="108">
        <f t="shared" si="573"/>
        <v>0</v>
      </c>
      <c r="BI590" s="108">
        <f t="shared" si="574"/>
        <v>0</v>
      </c>
      <c r="BJ590" s="108">
        <f t="shared" si="575"/>
        <v>0</v>
      </c>
    </row>
    <row r="591" spans="1:62" x14ac:dyDescent="0.2">
      <c r="A591" s="117" t="s">
        <v>540</v>
      </c>
      <c r="B591" s="117" t="s">
        <v>974</v>
      </c>
      <c r="C591" s="304" t="s">
        <v>1563</v>
      </c>
      <c r="D591" s="305"/>
      <c r="E591" s="305"/>
      <c r="F591" s="117" t="s">
        <v>1644</v>
      </c>
      <c r="G591" s="116">
        <v>1</v>
      </c>
      <c r="H591" s="159"/>
      <c r="I591" s="108">
        <f t="shared" si="552"/>
        <v>0</v>
      </c>
      <c r="J591" s="108">
        <f t="shared" si="553"/>
        <v>0</v>
      </c>
      <c r="K591" s="108">
        <f t="shared" si="554"/>
        <v>0</v>
      </c>
      <c r="L591" s="111"/>
      <c r="Z591" s="100">
        <f t="shared" si="555"/>
        <v>0</v>
      </c>
      <c r="AB591" s="100">
        <f t="shared" si="556"/>
        <v>0</v>
      </c>
      <c r="AC591" s="100">
        <f t="shared" si="557"/>
        <v>0</v>
      </c>
      <c r="AD591" s="100">
        <f t="shared" si="558"/>
        <v>0</v>
      </c>
      <c r="AE591" s="100">
        <f t="shared" si="559"/>
        <v>0</v>
      </c>
      <c r="AF591" s="100">
        <f t="shared" si="560"/>
        <v>0</v>
      </c>
      <c r="AG591" s="100">
        <f t="shared" si="561"/>
        <v>0</v>
      </c>
      <c r="AH591" s="100">
        <f t="shared" si="562"/>
        <v>0</v>
      </c>
      <c r="AI591" s="109"/>
      <c r="AJ591" s="108">
        <f t="shared" si="563"/>
        <v>0</v>
      </c>
      <c r="AK591" s="108">
        <f t="shared" si="564"/>
        <v>0</v>
      </c>
      <c r="AL591" s="108">
        <f t="shared" si="565"/>
        <v>0</v>
      </c>
      <c r="AN591" s="100">
        <v>15</v>
      </c>
      <c r="AO591" s="100">
        <f t="shared" si="566"/>
        <v>0</v>
      </c>
      <c r="AP591" s="100">
        <f t="shared" si="567"/>
        <v>0</v>
      </c>
      <c r="AQ591" s="111" t="s">
        <v>7</v>
      </c>
      <c r="AV591" s="100">
        <f t="shared" si="568"/>
        <v>0</v>
      </c>
      <c r="AW591" s="100">
        <f t="shared" si="569"/>
        <v>0</v>
      </c>
      <c r="AX591" s="100">
        <f t="shared" si="570"/>
        <v>0</v>
      </c>
      <c r="AY591" s="110" t="s">
        <v>1722</v>
      </c>
      <c r="AZ591" s="110" t="s">
        <v>1730</v>
      </c>
      <c r="BA591" s="109" t="s">
        <v>1737</v>
      </c>
      <c r="BC591" s="100">
        <f t="shared" si="571"/>
        <v>0</v>
      </c>
      <c r="BD591" s="100">
        <f t="shared" si="572"/>
        <v>0</v>
      </c>
      <c r="BE591" s="100">
        <v>0</v>
      </c>
      <c r="BF591" s="100">
        <f>591</f>
        <v>591</v>
      </c>
      <c r="BH591" s="108">
        <f t="shared" si="573"/>
        <v>0</v>
      </c>
      <c r="BI591" s="108">
        <f t="shared" si="574"/>
        <v>0</v>
      </c>
      <c r="BJ591" s="108">
        <f t="shared" si="575"/>
        <v>0</v>
      </c>
    </row>
    <row r="592" spans="1:62" x14ac:dyDescent="0.2">
      <c r="A592" s="117" t="s">
        <v>541</v>
      </c>
      <c r="B592" s="117" t="s">
        <v>3345</v>
      </c>
      <c r="C592" s="304" t="s">
        <v>1564</v>
      </c>
      <c r="D592" s="305"/>
      <c r="E592" s="305"/>
      <c r="F592" s="117" t="s">
        <v>1644</v>
      </c>
      <c r="G592" s="116">
        <v>2</v>
      </c>
      <c r="H592" s="159"/>
      <c r="I592" s="108">
        <f t="shared" si="552"/>
        <v>0</v>
      </c>
      <c r="J592" s="108">
        <f t="shared" si="553"/>
        <v>0</v>
      </c>
      <c r="K592" s="108">
        <f t="shared" si="554"/>
        <v>0</v>
      </c>
      <c r="L592" s="111"/>
      <c r="Z592" s="100">
        <f t="shared" si="555"/>
        <v>0</v>
      </c>
      <c r="AB592" s="100">
        <f t="shared" si="556"/>
        <v>0</v>
      </c>
      <c r="AC592" s="100">
        <f t="shared" si="557"/>
        <v>0</v>
      </c>
      <c r="AD592" s="100">
        <f t="shared" si="558"/>
        <v>0</v>
      </c>
      <c r="AE592" s="100">
        <f t="shared" si="559"/>
        <v>0</v>
      </c>
      <c r="AF592" s="100">
        <f t="shared" si="560"/>
        <v>0</v>
      </c>
      <c r="AG592" s="100">
        <f t="shared" si="561"/>
        <v>0</v>
      </c>
      <c r="AH592" s="100">
        <f t="shared" si="562"/>
        <v>0</v>
      </c>
      <c r="AI592" s="109"/>
      <c r="AJ592" s="108">
        <f t="shared" si="563"/>
        <v>0</v>
      </c>
      <c r="AK592" s="108">
        <f t="shared" si="564"/>
        <v>0</v>
      </c>
      <c r="AL592" s="108">
        <f t="shared" si="565"/>
        <v>0</v>
      </c>
      <c r="AN592" s="100">
        <v>15</v>
      </c>
      <c r="AO592" s="100">
        <f t="shared" si="566"/>
        <v>0</v>
      </c>
      <c r="AP592" s="100">
        <f t="shared" si="567"/>
        <v>0</v>
      </c>
      <c r="AQ592" s="111" t="s">
        <v>7</v>
      </c>
      <c r="AV592" s="100">
        <f t="shared" si="568"/>
        <v>0</v>
      </c>
      <c r="AW592" s="100">
        <f t="shared" si="569"/>
        <v>0</v>
      </c>
      <c r="AX592" s="100">
        <f t="shared" si="570"/>
        <v>0</v>
      </c>
      <c r="AY592" s="110" t="s">
        <v>1722</v>
      </c>
      <c r="AZ592" s="110" t="s">
        <v>1730</v>
      </c>
      <c r="BA592" s="109" t="s">
        <v>1737</v>
      </c>
      <c r="BC592" s="100">
        <f t="shared" si="571"/>
        <v>0</v>
      </c>
      <c r="BD592" s="100">
        <f t="shared" si="572"/>
        <v>0</v>
      </c>
      <c r="BE592" s="100">
        <v>0</v>
      </c>
      <c r="BF592" s="100">
        <f>592</f>
        <v>592</v>
      </c>
      <c r="BH592" s="108">
        <f t="shared" si="573"/>
        <v>0</v>
      </c>
      <c r="BI592" s="108">
        <f t="shared" si="574"/>
        <v>0</v>
      </c>
      <c r="BJ592" s="108">
        <f t="shared" si="575"/>
        <v>0</v>
      </c>
    </row>
    <row r="593" spans="1:62" x14ac:dyDescent="0.2">
      <c r="A593" s="117" t="s">
        <v>542</v>
      </c>
      <c r="B593" s="117" t="s">
        <v>3361</v>
      </c>
      <c r="C593" s="304" t="s">
        <v>1565</v>
      </c>
      <c r="D593" s="305"/>
      <c r="E593" s="305"/>
      <c r="F593" s="117" t="s">
        <v>1644</v>
      </c>
      <c r="G593" s="116">
        <v>6</v>
      </c>
      <c r="H593" s="159"/>
      <c r="I593" s="108">
        <f t="shared" si="552"/>
        <v>0</v>
      </c>
      <c r="J593" s="108">
        <f t="shared" si="553"/>
        <v>0</v>
      </c>
      <c r="K593" s="108">
        <f t="shared" si="554"/>
        <v>0</v>
      </c>
      <c r="L593" s="111"/>
      <c r="Z593" s="100">
        <f t="shared" si="555"/>
        <v>0</v>
      </c>
      <c r="AB593" s="100">
        <f t="shared" si="556"/>
        <v>0</v>
      </c>
      <c r="AC593" s="100">
        <f t="shared" si="557"/>
        <v>0</v>
      </c>
      <c r="AD593" s="100">
        <f t="shared" si="558"/>
        <v>0</v>
      </c>
      <c r="AE593" s="100">
        <f t="shared" si="559"/>
        <v>0</v>
      </c>
      <c r="AF593" s="100">
        <f t="shared" si="560"/>
        <v>0</v>
      </c>
      <c r="AG593" s="100">
        <f t="shared" si="561"/>
        <v>0</v>
      </c>
      <c r="AH593" s="100">
        <f t="shared" si="562"/>
        <v>0</v>
      </c>
      <c r="AI593" s="109"/>
      <c r="AJ593" s="108">
        <f t="shared" si="563"/>
        <v>0</v>
      </c>
      <c r="AK593" s="108">
        <f t="shared" si="564"/>
        <v>0</v>
      </c>
      <c r="AL593" s="108">
        <f t="shared" si="565"/>
        <v>0</v>
      </c>
      <c r="AN593" s="100">
        <v>15</v>
      </c>
      <c r="AO593" s="100">
        <f t="shared" si="566"/>
        <v>0</v>
      </c>
      <c r="AP593" s="100">
        <f t="shared" si="567"/>
        <v>0</v>
      </c>
      <c r="AQ593" s="111" t="s">
        <v>7</v>
      </c>
      <c r="AV593" s="100">
        <f t="shared" si="568"/>
        <v>0</v>
      </c>
      <c r="AW593" s="100">
        <f t="shared" si="569"/>
        <v>0</v>
      </c>
      <c r="AX593" s="100">
        <f t="shared" si="570"/>
        <v>0</v>
      </c>
      <c r="AY593" s="110" t="s">
        <v>1722</v>
      </c>
      <c r="AZ593" s="110" t="s">
        <v>1730</v>
      </c>
      <c r="BA593" s="109" t="s">
        <v>1737</v>
      </c>
      <c r="BC593" s="100">
        <f t="shared" si="571"/>
        <v>0</v>
      </c>
      <c r="BD593" s="100">
        <f t="shared" si="572"/>
        <v>0</v>
      </c>
      <c r="BE593" s="100">
        <v>0</v>
      </c>
      <c r="BF593" s="100">
        <f>593</f>
        <v>593</v>
      </c>
      <c r="BH593" s="108">
        <f t="shared" si="573"/>
        <v>0</v>
      </c>
      <c r="BI593" s="108">
        <f t="shared" si="574"/>
        <v>0</v>
      </c>
      <c r="BJ593" s="108">
        <f t="shared" si="575"/>
        <v>0</v>
      </c>
    </row>
    <row r="594" spans="1:62" x14ac:dyDescent="0.2">
      <c r="A594" s="117" t="s">
        <v>543</v>
      </c>
      <c r="B594" s="117" t="s">
        <v>3338</v>
      </c>
      <c r="C594" s="304" t="s">
        <v>1566</v>
      </c>
      <c r="D594" s="305"/>
      <c r="E594" s="305"/>
      <c r="F594" s="117" t="s">
        <v>1644</v>
      </c>
      <c r="G594" s="116">
        <v>1</v>
      </c>
      <c r="H594" s="159"/>
      <c r="I594" s="108">
        <f t="shared" si="552"/>
        <v>0</v>
      </c>
      <c r="J594" s="108">
        <f t="shared" si="553"/>
        <v>0</v>
      </c>
      <c r="K594" s="108">
        <f t="shared" si="554"/>
        <v>0</v>
      </c>
      <c r="L594" s="111"/>
      <c r="Z594" s="100">
        <f t="shared" si="555"/>
        <v>0</v>
      </c>
      <c r="AB594" s="100">
        <f t="shared" si="556"/>
        <v>0</v>
      </c>
      <c r="AC594" s="100">
        <f t="shared" si="557"/>
        <v>0</v>
      </c>
      <c r="AD594" s="100">
        <f t="shared" si="558"/>
        <v>0</v>
      </c>
      <c r="AE594" s="100">
        <f t="shared" si="559"/>
        <v>0</v>
      </c>
      <c r="AF594" s="100">
        <f t="shared" si="560"/>
        <v>0</v>
      </c>
      <c r="AG594" s="100">
        <f t="shared" si="561"/>
        <v>0</v>
      </c>
      <c r="AH594" s="100">
        <f t="shared" si="562"/>
        <v>0</v>
      </c>
      <c r="AI594" s="109"/>
      <c r="AJ594" s="108">
        <f t="shared" si="563"/>
        <v>0</v>
      </c>
      <c r="AK594" s="108">
        <f t="shared" si="564"/>
        <v>0</v>
      </c>
      <c r="AL594" s="108">
        <f t="shared" si="565"/>
        <v>0</v>
      </c>
      <c r="AN594" s="100">
        <v>15</v>
      </c>
      <c r="AO594" s="100">
        <f t="shared" si="566"/>
        <v>0</v>
      </c>
      <c r="AP594" s="100">
        <f t="shared" si="567"/>
        <v>0</v>
      </c>
      <c r="AQ594" s="111" t="s">
        <v>7</v>
      </c>
      <c r="AV594" s="100">
        <f t="shared" si="568"/>
        <v>0</v>
      </c>
      <c r="AW594" s="100">
        <f t="shared" si="569"/>
        <v>0</v>
      </c>
      <c r="AX594" s="100">
        <f t="shared" si="570"/>
        <v>0</v>
      </c>
      <c r="AY594" s="110" t="s">
        <v>1722</v>
      </c>
      <c r="AZ594" s="110" t="s">
        <v>1730</v>
      </c>
      <c r="BA594" s="109" t="s">
        <v>1737</v>
      </c>
      <c r="BC594" s="100">
        <f t="shared" si="571"/>
        <v>0</v>
      </c>
      <c r="BD594" s="100">
        <f t="shared" si="572"/>
        <v>0</v>
      </c>
      <c r="BE594" s="100">
        <v>0</v>
      </c>
      <c r="BF594" s="100">
        <f>594</f>
        <v>594</v>
      </c>
      <c r="BH594" s="108">
        <f t="shared" si="573"/>
        <v>0</v>
      </c>
      <c r="BI594" s="108">
        <f t="shared" si="574"/>
        <v>0</v>
      </c>
      <c r="BJ594" s="108">
        <f t="shared" si="575"/>
        <v>0</v>
      </c>
    </row>
    <row r="595" spans="1:62" x14ac:dyDescent="0.2">
      <c r="A595" s="117" t="s">
        <v>544</v>
      </c>
      <c r="B595" s="117" t="s">
        <v>3360</v>
      </c>
      <c r="C595" s="304" t="s">
        <v>1568</v>
      </c>
      <c r="D595" s="305"/>
      <c r="E595" s="305"/>
      <c r="F595" s="117" t="s">
        <v>1644</v>
      </c>
      <c r="G595" s="116">
        <v>1</v>
      </c>
      <c r="H595" s="159"/>
      <c r="I595" s="108">
        <f t="shared" si="552"/>
        <v>0</v>
      </c>
      <c r="J595" s="108">
        <f t="shared" si="553"/>
        <v>0</v>
      </c>
      <c r="K595" s="108">
        <f t="shared" si="554"/>
        <v>0</v>
      </c>
      <c r="L595" s="111"/>
      <c r="Z595" s="100">
        <f t="shared" si="555"/>
        <v>0</v>
      </c>
      <c r="AB595" s="100">
        <f t="shared" si="556"/>
        <v>0</v>
      </c>
      <c r="AC595" s="100">
        <f t="shared" si="557"/>
        <v>0</v>
      </c>
      <c r="AD595" s="100">
        <f t="shared" si="558"/>
        <v>0</v>
      </c>
      <c r="AE595" s="100">
        <f t="shared" si="559"/>
        <v>0</v>
      </c>
      <c r="AF595" s="100">
        <f t="shared" si="560"/>
        <v>0</v>
      </c>
      <c r="AG595" s="100">
        <f t="shared" si="561"/>
        <v>0</v>
      </c>
      <c r="AH595" s="100">
        <f t="shared" si="562"/>
        <v>0</v>
      </c>
      <c r="AI595" s="109"/>
      <c r="AJ595" s="108">
        <f t="shared" si="563"/>
        <v>0</v>
      </c>
      <c r="AK595" s="108">
        <f t="shared" si="564"/>
        <v>0</v>
      </c>
      <c r="AL595" s="108">
        <f t="shared" si="565"/>
        <v>0</v>
      </c>
      <c r="AN595" s="100">
        <v>15</v>
      </c>
      <c r="AO595" s="100">
        <f t="shared" si="566"/>
        <v>0</v>
      </c>
      <c r="AP595" s="100">
        <f t="shared" si="567"/>
        <v>0</v>
      </c>
      <c r="AQ595" s="111" t="s">
        <v>7</v>
      </c>
      <c r="AV595" s="100">
        <f t="shared" si="568"/>
        <v>0</v>
      </c>
      <c r="AW595" s="100">
        <f t="shared" si="569"/>
        <v>0</v>
      </c>
      <c r="AX595" s="100">
        <f t="shared" si="570"/>
        <v>0</v>
      </c>
      <c r="AY595" s="110" t="s">
        <v>1722</v>
      </c>
      <c r="AZ595" s="110" t="s">
        <v>1730</v>
      </c>
      <c r="BA595" s="109" t="s">
        <v>1737</v>
      </c>
      <c r="BC595" s="100">
        <f t="shared" si="571"/>
        <v>0</v>
      </c>
      <c r="BD595" s="100">
        <f t="shared" si="572"/>
        <v>0</v>
      </c>
      <c r="BE595" s="100">
        <v>0</v>
      </c>
      <c r="BF595" s="100">
        <f>595</f>
        <v>595</v>
      </c>
      <c r="BH595" s="108">
        <f t="shared" si="573"/>
        <v>0</v>
      </c>
      <c r="BI595" s="108">
        <f t="shared" si="574"/>
        <v>0</v>
      </c>
      <c r="BJ595" s="108">
        <f t="shared" si="575"/>
        <v>0</v>
      </c>
    </row>
    <row r="596" spans="1:62" x14ac:dyDescent="0.2">
      <c r="A596" s="117" t="s">
        <v>545</v>
      </c>
      <c r="B596" s="117" t="s">
        <v>3307</v>
      </c>
      <c r="C596" s="304" t="s">
        <v>3359</v>
      </c>
      <c r="D596" s="305"/>
      <c r="E596" s="305"/>
      <c r="F596" s="117" t="s">
        <v>1644</v>
      </c>
      <c r="G596" s="116">
        <v>1</v>
      </c>
      <c r="H596" s="159"/>
      <c r="I596" s="108">
        <f t="shared" si="552"/>
        <v>0</v>
      </c>
      <c r="J596" s="108">
        <f t="shared" si="553"/>
        <v>0</v>
      </c>
      <c r="K596" s="108">
        <f t="shared" si="554"/>
        <v>0</v>
      </c>
      <c r="L596" s="111"/>
      <c r="Z596" s="100">
        <f t="shared" si="555"/>
        <v>0</v>
      </c>
      <c r="AB596" s="100">
        <f t="shared" si="556"/>
        <v>0</v>
      </c>
      <c r="AC596" s="100">
        <f t="shared" si="557"/>
        <v>0</v>
      </c>
      <c r="AD596" s="100">
        <f t="shared" si="558"/>
        <v>0</v>
      </c>
      <c r="AE596" s="100">
        <f t="shared" si="559"/>
        <v>0</v>
      </c>
      <c r="AF596" s="100">
        <f t="shared" si="560"/>
        <v>0</v>
      </c>
      <c r="AG596" s="100">
        <f t="shared" si="561"/>
        <v>0</v>
      </c>
      <c r="AH596" s="100">
        <f t="shared" si="562"/>
        <v>0</v>
      </c>
      <c r="AI596" s="109"/>
      <c r="AJ596" s="108">
        <f t="shared" si="563"/>
        <v>0</v>
      </c>
      <c r="AK596" s="108">
        <f t="shared" si="564"/>
        <v>0</v>
      </c>
      <c r="AL596" s="108">
        <f t="shared" si="565"/>
        <v>0</v>
      </c>
      <c r="AN596" s="100">
        <v>15</v>
      </c>
      <c r="AO596" s="100">
        <f t="shared" si="566"/>
        <v>0</v>
      </c>
      <c r="AP596" s="100">
        <f t="shared" si="567"/>
        <v>0</v>
      </c>
      <c r="AQ596" s="111" t="s">
        <v>7</v>
      </c>
      <c r="AV596" s="100">
        <f t="shared" si="568"/>
        <v>0</v>
      </c>
      <c r="AW596" s="100">
        <f t="shared" si="569"/>
        <v>0</v>
      </c>
      <c r="AX596" s="100">
        <f t="shared" si="570"/>
        <v>0</v>
      </c>
      <c r="AY596" s="110" t="s">
        <v>1722</v>
      </c>
      <c r="AZ596" s="110" t="s">
        <v>1730</v>
      </c>
      <c r="BA596" s="109" t="s">
        <v>1737</v>
      </c>
      <c r="BC596" s="100">
        <f t="shared" si="571"/>
        <v>0</v>
      </c>
      <c r="BD596" s="100">
        <f t="shared" si="572"/>
        <v>0</v>
      </c>
      <c r="BE596" s="100">
        <v>0</v>
      </c>
      <c r="BF596" s="100">
        <f>596</f>
        <v>596</v>
      </c>
      <c r="BH596" s="108">
        <f t="shared" si="573"/>
        <v>0</v>
      </c>
      <c r="BI596" s="108">
        <f t="shared" si="574"/>
        <v>0</v>
      </c>
      <c r="BJ596" s="108">
        <f t="shared" si="575"/>
        <v>0</v>
      </c>
    </row>
    <row r="597" spans="1:62" x14ac:dyDescent="0.2">
      <c r="A597" s="117" t="s">
        <v>546</v>
      </c>
      <c r="B597" s="117" t="s">
        <v>3358</v>
      </c>
      <c r="C597" s="304" t="s">
        <v>1569</v>
      </c>
      <c r="D597" s="305"/>
      <c r="E597" s="305"/>
      <c r="F597" s="117" t="s">
        <v>1644</v>
      </c>
      <c r="G597" s="116">
        <v>1</v>
      </c>
      <c r="H597" s="159"/>
      <c r="I597" s="108">
        <f t="shared" si="552"/>
        <v>0</v>
      </c>
      <c r="J597" s="108">
        <f t="shared" si="553"/>
        <v>0</v>
      </c>
      <c r="K597" s="108">
        <f t="shared" si="554"/>
        <v>0</v>
      </c>
      <c r="L597" s="111"/>
      <c r="Z597" s="100">
        <f t="shared" si="555"/>
        <v>0</v>
      </c>
      <c r="AB597" s="100">
        <f t="shared" si="556"/>
        <v>0</v>
      </c>
      <c r="AC597" s="100">
        <f t="shared" si="557"/>
        <v>0</v>
      </c>
      <c r="AD597" s="100">
        <f t="shared" si="558"/>
        <v>0</v>
      </c>
      <c r="AE597" s="100">
        <f t="shared" si="559"/>
        <v>0</v>
      </c>
      <c r="AF597" s="100">
        <f t="shared" si="560"/>
        <v>0</v>
      </c>
      <c r="AG597" s="100">
        <f t="shared" si="561"/>
        <v>0</v>
      </c>
      <c r="AH597" s="100">
        <f t="shared" si="562"/>
        <v>0</v>
      </c>
      <c r="AI597" s="109"/>
      <c r="AJ597" s="108">
        <f t="shared" si="563"/>
        <v>0</v>
      </c>
      <c r="AK597" s="108">
        <f t="shared" si="564"/>
        <v>0</v>
      </c>
      <c r="AL597" s="108">
        <f t="shared" si="565"/>
        <v>0</v>
      </c>
      <c r="AN597" s="100">
        <v>15</v>
      </c>
      <c r="AO597" s="100">
        <f t="shared" si="566"/>
        <v>0</v>
      </c>
      <c r="AP597" s="100">
        <f t="shared" si="567"/>
        <v>0</v>
      </c>
      <c r="AQ597" s="111" t="s">
        <v>7</v>
      </c>
      <c r="AV597" s="100">
        <f t="shared" si="568"/>
        <v>0</v>
      </c>
      <c r="AW597" s="100">
        <f t="shared" si="569"/>
        <v>0</v>
      </c>
      <c r="AX597" s="100">
        <f t="shared" si="570"/>
        <v>0</v>
      </c>
      <c r="AY597" s="110" t="s">
        <v>1722</v>
      </c>
      <c r="AZ597" s="110" t="s">
        <v>1730</v>
      </c>
      <c r="BA597" s="109" t="s">
        <v>1737</v>
      </c>
      <c r="BC597" s="100">
        <f t="shared" si="571"/>
        <v>0</v>
      </c>
      <c r="BD597" s="100">
        <f t="shared" si="572"/>
        <v>0</v>
      </c>
      <c r="BE597" s="100">
        <v>0</v>
      </c>
      <c r="BF597" s="100">
        <f>597</f>
        <v>597</v>
      </c>
      <c r="BH597" s="108">
        <f t="shared" si="573"/>
        <v>0</v>
      </c>
      <c r="BI597" s="108">
        <f t="shared" si="574"/>
        <v>0</v>
      </c>
      <c r="BJ597" s="108">
        <f t="shared" si="575"/>
        <v>0</v>
      </c>
    </row>
    <row r="598" spans="1:62" x14ac:dyDescent="0.2">
      <c r="A598" s="117" t="s">
        <v>547</v>
      </c>
      <c r="B598" s="117" t="s">
        <v>3357</v>
      </c>
      <c r="C598" s="304" t="s">
        <v>1570</v>
      </c>
      <c r="D598" s="305"/>
      <c r="E598" s="305"/>
      <c r="F598" s="117" t="s">
        <v>1644</v>
      </c>
      <c r="G598" s="116">
        <v>1</v>
      </c>
      <c r="H598" s="159"/>
      <c r="I598" s="108">
        <f t="shared" si="552"/>
        <v>0</v>
      </c>
      <c r="J598" s="108">
        <f t="shared" si="553"/>
        <v>0</v>
      </c>
      <c r="K598" s="108">
        <f t="shared" si="554"/>
        <v>0</v>
      </c>
      <c r="L598" s="111"/>
      <c r="Z598" s="100">
        <f t="shared" si="555"/>
        <v>0</v>
      </c>
      <c r="AB598" s="100">
        <f t="shared" si="556"/>
        <v>0</v>
      </c>
      <c r="AC598" s="100">
        <f t="shared" si="557"/>
        <v>0</v>
      </c>
      <c r="AD598" s="100">
        <f t="shared" si="558"/>
        <v>0</v>
      </c>
      <c r="AE598" s="100">
        <f t="shared" si="559"/>
        <v>0</v>
      </c>
      <c r="AF598" s="100">
        <f t="shared" si="560"/>
        <v>0</v>
      </c>
      <c r="AG598" s="100">
        <f t="shared" si="561"/>
        <v>0</v>
      </c>
      <c r="AH598" s="100">
        <f t="shared" si="562"/>
        <v>0</v>
      </c>
      <c r="AI598" s="109"/>
      <c r="AJ598" s="108">
        <f t="shared" si="563"/>
        <v>0</v>
      </c>
      <c r="AK598" s="108">
        <f t="shared" si="564"/>
        <v>0</v>
      </c>
      <c r="AL598" s="108">
        <f t="shared" si="565"/>
        <v>0</v>
      </c>
      <c r="AN598" s="100">
        <v>15</v>
      </c>
      <c r="AO598" s="100">
        <f t="shared" si="566"/>
        <v>0</v>
      </c>
      <c r="AP598" s="100">
        <f t="shared" si="567"/>
        <v>0</v>
      </c>
      <c r="AQ598" s="111" t="s">
        <v>7</v>
      </c>
      <c r="AV598" s="100">
        <f t="shared" si="568"/>
        <v>0</v>
      </c>
      <c r="AW598" s="100">
        <f t="shared" si="569"/>
        <v>0</v>
      </c>
      <c r="AX598" s="100">
        <f t="shared" si="570"/>
        <v>0</v>
      </c>
      <c r="AY598" s="110" t="s">
        <v>1722</v>
      </c>
      <c r="AZ598" s="110" t="s">
        <v>1730</v>
      </c>
      <c r="BA598" s="109" t="s">
        <v>1737</v>
      </c>
      <c r="BC598" s="100">
        <f t="shared" si="571"/>
        <v>0</v>
      </c>
      <c r="BD598" s="100">
        <f t="shared" si="572"/>
        <v>0</v>
      </c>
      <c r="BE598" s="100">
        <v>0</v>
      </c>
      <c r="BF598" s="100">
        <f>598</f>
        <v>598</v>
      </c>
      <c r="BH598" s="108">
        <f t="shared" si="573"/>
        <v>0</v>
      </c>
      <c r="BI598" s="108">
        <f t="shared" si="574"/>
        <v>0</v>
      </c>
      <c r="BJ598" s="108">
        <f t="shared" si="575"/>
        <v>0</v>
      </c>
    </row>
    <row r="599" spans="1:62" x14ac:dyDescent="0.2">
      <c r="A599" s="117" t="s">
        <v>548</v>
      </c>
      <c r="B599" s="117" t="s">
        <v>3356</v>
      </c>
      <c r="C599" s="304" t="s">
        <v>1571</v>
      </c>
      <c r="D599" s="305"/>
      <c r="E599" s="305"/>
      <c r="F599" s="117" t="s">
        <v>1644</v>
      </c>
      <c r="G599" s="116">
        <v>1</v>
      </c>
      <c r="H599" s="159"/>
      <c r="I599" s="108">
        <f t="shared" si="552"/>
        <v>0</v>
      </c>
      <c r="J599" s="108">
        <f t="shared" si="553"/>
        <v>0</v>
      </c>
      <c r="K599" s="108">
        <f t="shared" si="554"/>
        <v>0</v>
      </c>
      <c r="L599" s="111"/>
      <c r="Z599" s="100">
        <f t="shared" si="555"/>
        <v>0</v>
      </c>
      <c r="AB599" s="100">
        <f t="shared" si="556"/>
        <v>0</v>
      </c>
      <c r="AC599" s="100">
        <f t="shared" si="557"/>
        <v>0</v>
      </c>
      <c r="AD599" s="100">
        <f t="shared" si="558"/>
        <v>0</v>
      </c>
      <c r="AE599" s="100">
        <f t="shared" si="559"/>
        <v>0</v>
      </c>
      <c r="AF599" s="100">
        <f t="shared" si="560"/>
        <v>0</v>
      </c>
      <c r="AG599" s="100">
        <f t="shared" si="561"/>
        <v>0</v>
      </c>
      <c r="AH599" s="100">
        <f t="shared" si="562"/>
        <v>0</v>
      </c>
      <c r="AI599" s="109"/>
      <c r="AJ599" s="108">
        <f t="shared" si="563"/>
        <v>0</v>
      </c>
      <c r="AK599" s="108">
        <f t="shared" si="564"/>
        <v>0</v>
      </c>
      <c r="AL599" s="108">
        <f t="shared" si="565"/>
        <v>0</v>
      </c>
      <c r="AN599" s="100">
        <v>15</v>
      </c>
      <c r="AO599" s="100">
        <f t="shared" si="566"/>
        <v>0</v>
      </c>
      <c r="AP599" s="100">
        <f t="shared" si="567"/>
        <v>0</v>
      </c>
      <c r="AQ599" s="111" t="s">
        <v>7</v>
      </c>
      <c r="AV599" s="100">
        <f t="shared" si="568"/>
        <v>0</v>
      </c>
      <c r="AW599" s="100">
        <f t="shared" si="569"/>
        <v>0</v>
      </c>
      <c r="AX599" s="100">
        <f t="shared" si="570"/>
        <v>0</v>
      </c>
      <c r="AY599" s="110" t="s">
        <v>1722</v>
      </c>
      <c r="AZ599" s="110" t="s">
        <v>1730</v>
      </c>
      <c r="BA599" s="109" t="s">
        <v>1737</v>
      </c>
      <c r="BC599" s="100">
        <f t="shared" si="571"/>
        <v>0</v>
      </c>
      <c r="BD599" s="100">
        <f t="shared" si="572"/>
        <v>0</v>
      </c>
      <c r="BE599" s="100">
        <v>0</v>
      </c>
      <c r="BF599" s="100">
        <f>599</f>
        <v>599</v>
      </c>
      <c r="BH599" s="108">
        <f t="shared" si="573"/>
        <v>0</v>
      </c>
      <c r="BI599" s="108">
        <f t="shared" si="574"/>
        <v>0</v>
      </c>
      <c r="BJ599" s="108">
        <f t="shared" si="575"/>
        <v>0</v>
      </c>
    </row>
    <row r="600" spans="1:62" x14ac:dyDescent="0.2">
      <c r="A600" s="117" t="s">
        <v>549</v>
      </c>
      <c r="B600" s="117" t="s">
        <v>3355</v>
      </c>
      <c r="C600" s="304" t="s">
        <v>1572</v>
      </c>
      <c r="D600" s="305"/>
      <c r="E600" s="305"/>
      <c r="F600" s="117" t="s">
        <v>1644</v>
      </c>
      <c r="G600" s="116">
        <v>1</v>
      </c>
      <c r="H600" s="159"/>
      <c r="I600" s="108">
        <f t="shared" si="552"/>
        <v>0</v>
      </c>
      <c r="J600" s="108">
        <f t="shared" si="553"/>
        <v>0</v>
      </c>
      <c r="K600" s="108">
        <f t="shared" si="554"/>
        <v>0</v>
      </c>
      <c r="L600" s="111"/>
      <c r="Z600" s="100">
        <f t="shared" si="555"/>
        <v>0</v>
      </c>
      <c r="AB600" s="100">
        <f t="shared" si="556"/>
        <v>0</v>
      </c>
      <c r="AC600" s="100">
        <f t="shared" si="557"/>
        <v>0</v>
      </c>
      <c r="AD600" s="100">
        <f t="shared" si="558"/>
        <v>0</v>
      </c>
      <c r="AE600" s="100">
        <f t="shared" si="559"/>
        <v>0</v>
      </c>
      <c r="AF600" s="100">
        <f t="shared" si="560"/>
        <v>0</v>
      </c>
      <c r="AG600" s="100">
        <f t="shared" si="561"/>
        <v>0</v>
      </c>
      <c r="AH600" s="100">
        <f t="shared" si="562"/>
        <v>0</v>
      </c>
      <c r="AI600" s="109"/>
      <c r="AJ600" s="108">
        <f t="shared" si="563"/>
        <v>0</v>
      </c>
      <c r="AK600" s="108">
        <f t="shared" si="564"/>
        <v>0</v>
      </c>
      <c r="AL600" s="108">
        <f t="shared" si="565"/>
        <v>0</v>
      </c>
      <c r="AN600" s="100">
        <v>15</v>
      </c>
      <c r="AO600" s="100">
        <f t="shared" si="566"/>
        <v>0</v>
      </c>
      <c r="AP600" s="100">
        <f t="shared" si="567"/>
        <v>0</v>
      </c>
      <c r="AQ600" s="111" t="s">
        <v>7</v>
      </c>
      <c r="AV600" s="100">
        <f t="shared" si="568"/>
        <v>0</v>
      </c>
      <c r="AW600" s="100">
        <f t="shared" si="569"/>
        <v>0</v>
      </c>
      <c r="AX600" s="100">
        <f t="shared" si="570"/>
        <v>0</v>
      </c>
      <c r="AY600" s="110" t="s">
        <v>1722</v>
      </c>
      <c r="AZ600" s="110" t="s">
        <v>1730</v>
      </c>
      <c r="BA600" s="109" t="s">
        <v>1737</v>
      </c>
      <c r="BC600" s="100">
        <f t="shared" si="571"/>
        <v>0</v>
      </c>
      <c r="BD600" s="100">
        <f t="shared" si="572"/>
        <v>0</v>
      </c>
      <c r="BE600" s="100">
        <v>0</v>
      </c>
      <c r="BF600" s="100">
        <f>600</f>
        <v>600</v>
      </c>
      <c r="BH600" s="108">
        <f t="shared" si="573"/>
        <v>0</v>
      </c>
      <c r="BI600" s="108">
        <f t="shared" si="574"/>
        <v>0</v>
      </c>
      <c r="BJ600" s="108">
        <f t="shared" si="575"/>
        <v>0</v>
      </c>
    </row>
    <row r="601" spans="1:62" x14ac:dyDescent="0.2">
      <c r="A601" s="117" t="s">
        <v>550</v>
      </c>
      <c r="B601" s="117" t="s">
        <v>3354</v>
      </c>
      <c r="C601" s="304" t="s">
        <v>1573</v>
      </c>
      <c r="D601" s="305"/>
      <c r="E601" s="305"/>
      <c r="F601" s="117" t="s">
        <v>1644</v>
      </c>
      <c r="G601" s="116">
        <v>1</v>
      </c>
      <c r="H601" s="159"/>
      <c r="I601" s="108">
        <f t="shared" si="552"/>
        <v>0</v>
      </c>
      <c r="J601" s="108">
        <f t="shared" si="553"/>
        <v>0</v>
      </c>
      <c r="K601" s="108">
        <f t="shared" si="554"/>
        <v>0</v>
      </c>
      <c r="L601" s="111"/>
      <c r="Z601" s="100">
        <f t="shared" si="555"/>
        <v>0</v>
      </c>
      <c r="AB601" s="100">
        <f t="shared" si="556"/>
        <v>0</v>
      </c>
      <c r="AC601" s="100">
        <f t="shared" si="557"/>
        <v>0</v>
      </c>
      <c r="AD601" s="100">
        <f t="shared" si="558"/>
        <v>0</v>
      </c>
      <c r="AE601" s="100">
        <f t="shared" si="559"/>
        <v>0</v>
      </c>
      <c r="AF601" s="100">
        <f t="shared" si="560"/>
        <v>0</v>
      </c>
      <c r="AG601" s="100">
        <f t="shared" si="561"/>
        <v>0</v>
      </c>
      <c r="AH601" s="100">
        <f t="shared" si="562"/>
        <v>0</v>
      </c>
      <c r="AI601" s="109"/>
      <c r="AJ601" s="108">
        <f t="shared" si="563"/>
        <v>0</v>
      </c>
      <c r="AK601" s="108">
        <f t="shared" si="564"/>
        <v>0</v>
      </c>
      <c r="AL601" s="108">
        <f t="shared" si="565"/>
        <v>0</v>
      </c>
      <c r="AN601" s="100">
        <v>15</v>
      </c>
      <c r="AO601" s="100">
        <f t="shared" si="566"/>
        <v>0</v>
      </c>
      <c r="AP601" s="100">
        <f t="shared" si="567"/>
        <v>0</v>
      </c>
      <c r="AQ601" s="111" t="s">
        <v>7</v>
      </c>
      <c r="AV601" s="100">
        <f t="shared" si="568"/>
        <v>0</v>
      </c>
      <c r="AW601" s="100">
        <f t="shared" si="569"/>
        <v>0</v>
      </c>
      <c r="AX601" s="100">
        <f t="shared" si="570"/>
        <v>0</v>
      </c>
      <c r="AY601" s="110" t="s">
        <v>1722</v>
      </c>
      <c r="AZ601" s="110" t="s">
        <v>1730</v>
      </c>
      <c r="BA601" s="109" t="s">
        <v>1737</v>
      </c>
      <c r="BC601" s="100">
        <f t="shared" si="571"/>
        <v>0</v>
      </c>
      <c r="BD601" s="100">
        <f t="shared" si="572"/>
        <v>0</v>
      </c>
      <c r="BE601" s="100">
        <v>0</v>
      </c>
      <c r="BF601" s="100">
        <f>601</f>
        <v>601</v>
      </c>
      <c r="BH601" s="108">
        <f t="shared" si="573"/>
        <v>0</v>
      </c>
      <c r="BI601" s="108">
        <f t="shared" si="574"/>
        <v>0</v>
      </c>
      <c r="BJ601" s="108">
        <f t="shared" si="575"/>
        <v>0</v>
      </c>
    </row>
    <row r="602" spans="1:62" x14ac:dyDescent="0.2">
      <c r="A602" s="117" t="s">
        <v>551</v>
      </c>
      <c r="B602" s="117" t="s">
        <v>3353</v>
      </c>
      <c r="C602" s="304" t="s">
        <v>1574</v>
      </c>
      <c r="D602" s="305"/>
      <c r="E602" s="305"/>
      <c r="F602" s="117" t="s">
        <v>1644</v>
      </c>
      <c r="G602" s="116">
        <v>1</v>
      </c>
      <c r="H602" s="159"/>
      <c r="I602" s="108">
        <f t="shared" si="552"/>
        <v>0</v>
      </c>
      <c r="J602" s="108">
        <f t="shared" si="553"/>
        <v>0</v>
      </c>
      <c r="K602" s="108">
        <f t="shared" si="554"/>
        <v>0</v>
      </c>
      <c r="L602" s="111"/>
      <c r="Z602" s="100">
        <f t="shared" si="555"/>
        <v>0</v>
      </c>
      <c r="AB602" s="100">
        <f t="shared" si="556"/>
        <v>0</v>
      </c>
      <c r="AC602" s="100">
        <f t="shared" si="557"/>
        <v>0</v>
      </c>
      <c r="AD602" s="100">
        <f t="shared" si="558"/>
        <v>0</v>
      </c>
      <c r="AE602" s="100">
        <f t="shared" si="559"/>
        <v>0</v>
      </c>
      <c r="AF602" s="100">
        <f t="shared" si="560"/>
        <v>0</v>
      </c>
      <c r="AG602" s="100">
        <f t="shared" si="561"/>
        <v>0</v>
      </c>
      <c r="AH602" s="100">
        <f t="shared" si="562"/>
        <v>0</v>
      </c>
      <c r="AI602" s="109"/>
      <c r="AJ602" s="108">
        <f t="shared" si="563"/>
        <v>0</v>
      </c>
      <c r="AK602" s="108">
        <f t="shared" si="564"/>
        <v>0</v>
      </c>
      <c r="AL602" s="108">
        <f t="shared" si="565"/>
        <v>0</v>
      </c>
      <c r="AN602" s="100">
        <v>15</v>
      </c>
      <c r="AO602" s="100">
        <f t="shared" si="566"/>
        <v>0</v>
      </c>
      <c r="AP602" s="100">
        <f t="shared" si="567"/>
        <v>0</v>
      </c>
      <c r="AQ602" s="111" t="s">
        <v>7</v>
      </c>
      <c r="AV602" s="100">
        <f t="shared" si="568"/>
        <v>0</v>
      </c>
      <c r="AW602" s="100">
        <f t="shared" si="569"/>
        <v>0</v>
      </c>
      <c r="AX602" s="100">
        <f t="shared" si="570"/>
        <v>0</v>
      </c>
      <c r="AY602" s="110" t="s">
        <v>1722</v>
      </c>
      <c r="AZ602" s="110" t="s">
        <v>1730</v>
      </c>
      <c r="BA602" s="109" t="s">
        <v>1737</v>
      </c>
      <c r="BC602" s="100">
        <f t="shared" si="571"/>
        <v>0</v>
      </c>
      <c r="BD602" s="100">
        <f t="shared" si="572"/>
        <v>0</v>
      </c>
      <c r="BE602" s="100">
        <v>0</v>
      </c>
      <c r="BF602" s="100">
        <f>602</f>
        <v>602</v>
      </c>
      <c r="BH602" s="108">
        <f t="shared" si="573"/>
        <v>0</v>
      </c>
      <c r="BI602" s="108">
        <f t="shared" si="574"/>
        <v>0</v>
      </c>
      <c r="BJ602" s="108">
        <f t="shared" si="575"/>
        <v>0</v>
      </c>
    </row>
    <row r="603" spans="1:62" x14ac:dyDescent="0.2">
      <c r="A603" s="117" t="s">
        <v>552</v>
      </c>
      <c r="B603" s="117" t="s">
        <v>3352</v>
      </c>
      <c r="C603" s="304" t="s">
        <v>3351</v>
      </c>
      <c r="D603" s="305"/>
      <c r="E603" s="305"/>
      <c r="F603" s="117" t="s">
        <v>1644</v>
      </c>
      <c r="G603" s="116">
        <v>1</v>
      </c>
      <c r="H603" s="159"/>
      <c r="I603" s="108">
        <f t="shared" si="552"/>
        <v>0</v>
      </c>
      <c r="J603" s="108">
        <f t="shared" si="553"/>
        <v>0</v>
      </c>
      <c r="K603" s="108">
        <f t="shared" si="554"/>
        <v>0</v>
      </c>
      <c r="L603" s="111"/>
      <c r="Z603" s="100">
        <f t="shared" si="555"/>
        <v>0</v>
      </c>
      <c r="AB603" s="100">
        <f t="shared" si="556"/>
        <v>0</v>
      </c>
      <c r="AC603" s="100">
        <f t="shared" si="557"/>
        <v>0</v>
      </c>
      <c r="AD603" s="100">
        <f t="shared" si="558"/>
        <v>0</v>
      </c>
      <c r="AE603" s="100">
        <f t="shared" si="559"/>
        <v>0</v>
      </c>
      <c r="AF603" s="100">
        <f t="shared" si="560"/>
        <v>0</v>
      </c>
      <c r="AG603" s="100">
        <f t="shared" si="561"/>
        <v>0</v>
      </c>
      <c r="AH603" s="100">
        <f t="shared" si="562"/>
        <v>0</v>
      </c>
      <c r="AI603" s="109"/>
      <c r="AJ603" s="108">
        <f t="shared" si="563"/>
        <v>0</v>
      </c>
      <c r="AK603" s="108">
        <f t="shared" si="564"/>
        <v>0</v>
      </c>
      <c r="AL603" s="108">
        <f t="shared" si="565"/>
        <v>0</v>
      </c>
      <c r="AN603" s="100">
        <v>15</v>
      </c>
      <c r="AO603" s="100">
        <f t="shared" si="566"/>
        <v>0</v>
      </c>
      <c r="AP603" s="100">
        <f t="shared" si="567"/>
        <v>0</v>
      </c>
      <c r="AQ603" s="111" t="s">
        <v>7</v>
      </c>
      <c r="AV603" s="100">
        <f t="shared" si="568"/>
        <v>0</v>
      </c>
      <c r="AW603" s="100">
        <f t="shared" si="569"/>
        <v>0</v>
      </c>
      <c r="AX603" s="100">
        <f t="shared" si="570"/>
        <v>0</v>
      </c>
      <c r="AY603" s="110" t="s">
        <v>1722</v>
      </c>
      <c r="AZ603" s="110" t="s">
        <v>1730</v>
      </c>
      <c r="BA603" s="109" t="s">
        <v>1737</v>
      </c>
      <c r="BC603" s="100">
        <f t="shared" si="571"/>
        <v>0</v>
      </c>
      <c r="BD603" s="100">
        <f t="shared" si="572"/>
        <v>0</v>
      </c>
      <c r="BE603" s="100">
        <v>0</v>
      </c>
      <c r="BF603" s="100">
        <f>603</f>
        <v>603</v>
      </c>
      <c r="BH603" s="108">
        <f t="shared" si="573"/>
        <v>0</v>
      </c>
      <c r="BI603" s="108">
        <f t="shared" si="574"/>
        <v>0</v>
      </c>
      <c r="BJ603" s="108">
        <f t="shared" si="575"/>
        <v>0</v>
      </c>
    </row>
    <row r="604" spans="1:62" x14ac:dyDescent="0.2">
      <c r="A604" s="117" t="s">
        <v>553</v>
      </c>
      <c r="B604" s="117" t="s">
        <v>3350</v>
      </c>
      <c r="C604" s="304" t="s">
        <v>1576</v>
      </c>
      <c r="D604" s="305"/>
      <c r="E604" s="305"/>
      <c r="F604" s="117" t="s">
        <v>1644</v>
      </c>
      <c r="G604" s="116">
        <v>1</v>
      </c>
      <c r="H604" s="159"/>
      <c r="I604" s="108">
        <f t="shared" si="552"/>
        <v>0</v>
      </c>
      <c r="J604" s="108">
        <f t="shared" si="553"/>
        <v>0</v>
      </c>
      <c r="K604" s="108">
        <f t="shared" si="554"/>
        <v>0</v>
      </c>
      <c r="L604" s="111"/>
      <c r="Z604" s="100">
        <f t="shared" si="555"/>
        <v>0</v>
      </c>
      <c r="AB604" s="100">
        <f t="shared" si="556"/>
        <v>0</v>
      </c>
      <c r="AC604" s="100">
        <f t="shared" si="557"/>
        <v>0</v>
      </c>
      <c r="AD604" s="100">
        <f t="shared" si="558"/>
        <v>0</v>
      </c>
      <c r="AE604" s="100">
        <f t="shared" si="559"/>
        <v>0</v>
      </c>
      <c r="AF604" s="100">
        <f t="shared" si="560"/>
        <v>0</v>
      </c>
      <c r="AG604" s="100">
        <f t="shared" si="561"/>
        <v>0</v>
      </c>
      <c r="AH604" s="100">
        <f t="shared" si="562"/>
        <v>0</v>
      </c>
      <c r="AI604" s="109"/>
      <c r="AJ604" s="108">
        <f t="shared" si="563"/>
        <v>0</v>
      </c>
      <c r="AK604" s="108">
        <f t="shared" si="564"/>
        <v>0</v>
      </c>
      <c r="AL604" s="108">
        <f t="shared" si="565"/>
        <v>0</v>
      </c>
      <c r="AN604" s="100">
        <v>15</v>
      </c>
      <c r="AO604" s="100">
        <f t="shared" si="566"/>
        <v>0</v>
      </c>
      <c r="AP604" s="100">
        <f t="shared" si="567"/>
        <v>0</v>
      </c>
      <c r="AQ604" s="111" t="s">
        <v>7</v>
      </c>
      <c r="AV604" s="100">
        <f t="shared" si="568"/>
        <v>0</v>
      </c>
      <c r="AW604" s="100">
        <f t="shared" si="569"/>
        <v>0</v>
      </c>
      <c r="AX604" s="100">
        <f t="shared" si="570"/>
        <v>0</v>
      </c>
      <c r="AY604" s="110" t="s">
        <v>1722</v>
      </c>
      <c r="AZ604" s="110" t="s">
        <v>1730</v>
      </c>
      <c r="BA604" s="109" t="s">
        <v>1737</v>
      </c>
      <c r="BC604" s="100">
        <f t="shared" si="571"/>
        <v>0</v>
      </c>
      <c r="BD604" s="100">
        <f t="shared" si="572"/>
        <v>0</v>
      </c>
      <c r="BE604" s="100">
        <v>0</v>
      </c>
      <c r="BF604" s="100">
        <f>604</f>
        <v>604</v>
      </c>
      <c r="BH604" s="108">
        <f t="shared" si="573"/>
        <v>0</v>
      </c>
      <c r="BI604" s="108">
        <f t="shared" si="574"/>
        <v>0</v>
      </c>
      <c r="BJ604" s="108">
        <f t="shared" si="575"/>
        <v>0</v>
      </c>
    </row>
    <row r="605" spans="1:62" x14ac:dyDescent="0.2">
      <c r="A605" s="117" t="s">
        <v>554</v>
      </c>
      <c r="B605" s="117" t="s">
        <v>3349</v>
      </c>
      <c r="C605" s="304" t="s">
        <v>1577</v>
      </c>
      <c r="D605" s="305"/>
      <c r="E605" s="305"/>
      <c r="F605" s="117" t="s">
        <v>1644</v>
      </c>
      <c r="G605" s="116">
        <v>2</v>
      </c>
      <c r="H605" s="159"/>
      <c r="I605" s="108">
        <f t="shared" si="552"/>
        <v>0</v>
      </c>
      <c r="J605" s="108">
        <f t="shared" si="553"/>
        <v>0</v>
      </c>
      <c r="K605" s="108">
        <f t="shared" si="554"/>
        <v>0</v>
      </c>
      <c r="L605" s="111"/>
      <c r="Z605" s="100">
        <f t="shared" si="555"/>
        <v>0</v>
      </c>
      <c r="AB605" s="100">
        <f t="shared" si="556"/>
        <v>0</v>
      </c>
      <c r="AC605" s="100">
        <f t="shared" si="557"/>
        <v>0</v>
      </c>
      <c r="AD605" s="100">
        <f t="shared" si="558"/>
        <v>0</v>
      </c>
      <c r="AE605" s="100">
        <f t="shared" si="559"/>
        <v>0</v>
      </c>
      <c r="AF605" s="100">
        <f t="shared" si="560"/>
        <v>0</v>
      </c>
      <c r="AG605" s="100">
        <f t="shared" si="561"/>
        <v>0</v>
      </c>
      <c r="AH605" s="100">
        <f t="shared" si="562"/>
        <v>0</v>
      </c>
      <c r="AI605" s="109"/>
      <c r="AJ605" s="108">
        <f t="shared" si="563"/>
        <v>0</v>
      </c>
      <c r="AK605" s="108">
        <f t="shared" si="564"/>
        <v>0</v>
      </c>
      <c r="AL605" s="108">
        <f t="shared" si="565"/>
        <v>0</v>
      </c>
      <c r="AN605" s="100">
        <v>15</v>
      </c>
      <c r="AO605" s="100">
        <f t="shared" si="566"/>
        <v>0</v>
      </c>
      <c r="AP605" s="100">
        <f t="shared" si="567"/>
        <v>0</v>
      </c>
      <c r="AQ605" s="111" t="s">
        <v>7</v>
      </c>
      <c r="AV605" s="100">
        <f t="shared" si="568"/>
        <v>0</v>
      </c>
      <c r="AW605" s="100">
        <f t="shared" si="569"/>
        <v>0</v>
      </c>
      <c r="AX605" s="100">
        <f t="shared" si="570"/>
        <v>0</v>
      </c>
      <c r="AY605" s="110" t="s">
        <v>1722</v>
      </c>
      <c r="AZ605" s="110" t="s">
        <v>1730</v>
      </c>
      <c r="BA605" s="109" t="s">
        <v>1737</v>
      </c>
      <c r="BC605" s="100">
        <f t="shared" si="571"/>
        <v>0</v>
      </c>
      <c r="BD605" s="100">
        <f t="shared" si="572"/>
        <v>0</v>
      </c>
      <c r="BE605" s="100">
        <v>0</v>
      </c>
      <c r="BF605" s="100">
        <f>605</f>
        <v>605</v>
      </c>
      <c r="BH605" s="108">
        <f t="shared" si="573"/>
        <v>0</v>
      </c>
      <c r="BI605" s="108">
        <f t="shared" si="574"/>
        <v>0</v>
      </c>
      <c r="BJ605" s="108">
        <f t="shared" si="575"/>
        <v>0</v>
      </c>
    </row>
    <row r="606" spans="1:62" x14ac:dyDescent="0.2">
      <c r="A606" s="117" t="s">
        <v>555</v>
      </c>
      <c r="B606" s="117" t="s">
        <v>3348</v>
      </c>
      <c r="C606" s="304" t="s">
        <v>1578</v>
      </c>
      <c r="D606" s="305"/>
      <c r="E606" s="305"/>
      <c r="F606" s="117" t="s">
        <v>1644</v>
      </c>
      <c r="G606" s="116">
        <v>2</v>
      </c>
      <c r="H606" s="159"/>
      <c r="I606" s="108">
        <f t="shared" si="552"/>
        <v>0</v>
      </c>
      <c r="J606" s="108">
        <f t="shared" si="553"/>
        <v>0</v>
      </c>
      <c r="K606" s="108">
        <f t="shared" si="554"/>
        <v>0</v>
      </c>
      <c r="L606" s="111"/>
      <c r="Z606" s="100">
        <f t="shared" si="555"/>
        <v>0</v>
      </c>
      <c r="AB606" s="100">
        <f t="shared" si="556"/>
        <v>0</v>
      </c>
      <c r="AC606" s="100">
        <f t="shared" si="557"/>
        <v>0</v>
      </c>
      <c r="AD606" s="100">
        <f t="shared" si="558"/>
        <v>0</v>
      </c>
      <c r="AE606" s="100">
        <f t="shared" si="559"/>
        <v>0</v>
      </c>
      <c r="AF606" s="100">
        <f t="shared" si="560"/>
        <v>0</v>
      </c>
      <c r="AG606" s="100">
        <f t="shared" si="561"/>
        <v>0</v>
      </c>
      <c r="AH606" s="100">
        <f t="shared" si="562"/>
        <v>0</v>
      </c>
      <c r="AI606" s="109"/>
      <c r="AJ606" s="108">
        <f t="shared" si="563"/>
        <v>0</v>
      </c>
      <c r="AK606" s="108">
        <f t="shared" si="564"/>
        <v>0</v>
      </c>
      <c r="AL606" s="108">
        <f t="shared" si="565"/>
        <v>0</v>
      </c>
      <c r="AN606" s="100">
        <v>15</v>
      </c>
      <c r="AO606" s="100">
        <f t="shared" si="566"/>
        <v>0</v>
      </c>
      <c r="AP606" s="100">
        <f t="shared" si="567"/>
        <v>0</v>
      </c>
      <c r="AQ606" s="111" t="s">
        <v>7</v>
      </c>
      <c r="AV606" s="100">
        <f t="shared" si="568"/>
        <v>0</v>
      </c>
      <c r="AW606" s="100">
        <f t="shared" si="569"/>
        <v>0</v>
      </c>
      <c r="AX606" s="100">
        <f t="shared" si="570"/>
        <v>0</v>
      </c>
      <c r="AY606" s="110" t="s">
        <v>1722</v>
      </c>
      <c r="AZ606" s="110" t="s">
        <v>1730</v>
      </c>
      <c r="BA606" s="109" t="s">
        <v>1737</v>
      </c>
      <c r="BC606" s="100">
        <f t="shared" si="571"/>
        <v>0</v>
      </c>
      <c r="BD606" s="100">
        <f t="shared" si="572"/>
        <v>0</v>
      </c>
      <c r="BE606" s="100">
        <v>0</v>
      </c>
      <c r="BF606" s="100">
        <f>606</f>
        <v>606</v>
      </c>
      <c r="BH606" s="108">
        <f t="shared" si="573"/>
        <v>0</v>
      </c>
      <c r="BI606" s="108">
        <f t="shared" si="574"/>
        <v>0</v>
      </c>
      <c r="BJ606" s="108">
        <f t="shared" si="575"/>
        <v>0</v>
      </c>
    </row>
    <row r="607" spans="1:62" x14ac:dyDescent="0.2">
      <c r="A607" s="117" t="s">
        <v>556</v>
      </c>
      <c r="B607" s="117" t="s">
        <v>3347</v>
      </c>
      <c r="C607" s="304" t="s">
        <v>1579</v>
      </c>
      <c r="D607" s="305"/>
      <c r="E607" s="305"/>
      <c r="F607" s="117" t="s">
        <v>1644</v>
      </c>
      <c r="G607" s="116">
        <v>2</v>
      </c>
      <c r="H607" s="159"/>
      <c r="I607" s="108">
        <f t="shared" si="552"/>
        <v>0</v>
      </c>
      <c r="J607" s="108">
        <f t="shared" si="553"/>
        <v>0</v>
      </c>
      <c r="K607" s="108">
        <f t="shared" si="554"/>
        <v>0</v>
      </c>
      <c r="L607" s="111"/>
      <c r="Z607" s="100">
        <f t="shared" si="555"/>
        <v>0</v>
      </c>
      <c r="AB607" s="100">
        <f t="shared" si="556"/>
        <v>0</v>
      </c>
      <c r="AC607" s="100">
        <f t="shared" si="557"/>
        <v>0</v>
      </c>
      <c r="AD607" s="100">
        <f t="shared" si="558"/>
        <v>0</v>
      </c>
      <c r="AE607" s="100">
        <f t="shared" si="559"/>
        <v>0</v>
      </c>
      <c r="AF607" s="100">
        <f t="shared" si="560"/>
        <v>0</v>
      </c>
      <c r="AG607" s="100">
        <f t="shared" si="561"/>
        <v>0</v>
      </c>
      <c r="AH607" s="100">
        <f t="shared" si="562"/>
        <v>0</v>
      </c>
      <c r="AI607" s="109"/>
      <c r="AJ607" s="108">
        <f t="shared" si="563"/>
        <v>0</v>
      </c>
      <c r="AK607" s="108">
        <f t="shared" si="564"/>
        <v>0</v>
      </c>
      <c r="AL607" s="108">
        <f t="shared" si="565"/>
        <v>0</v>
      </c>
      <c r="AN607" s="100">
        <v>15</v>
      </c>
      <c r="AO607" s="100">
        <f t="shared" si="566"/>
        <v>0</v>
      </c>
      <c r="AP607" s="100">
        <f t="shared" si="567"/>
        <v>0</v>
      </c>
      <c r="AQ607" s="111" t="s">
        <v>7</v>
      </c>
      <c r="AV607" s="100">
        <f t="shared" si="568"/>
        <v>0</v>
      </c>
      <c r="AW607" s="100">
        <f t="shared" si="569"/>
        <v>0</v>
      </c>
      <c r="AX607" s="100">
        <f t="shared" si="570"/>
        <v>0</v>
      </c>
      <c r="AY607" s="110" t="s">
        <v>1722</v>
      </c>
      <c r="AZ607" s="110" t="s">
        <v>1730</v>
      </c>
      <c r="BA607" s="109" t="s">
        <v>1737</v>
      </c>
      <c r="BC607" s="100">
        <f t="shared" si="571"/>
        <v>0</v>
      </c>
      <c r="BD607" s="100">
        <f t="shared" si="572"/>
        <v>0</v>
      </c>
      <c r="BE607" s="100">
        <v>0</v>
      </c>
      <c r="BF607" s="100">
        <f>607</f>
        <v>607</v>
      </c>
      <c r="BH607" s="108">
        <f t="shared" si="573"/>
        <v>0</v>
      </c>
      <c r="BI607" s="108">
        <f t="shared" si="574"/>
        <v>0</v>
      </c>
      <c r="BJ607" s="108">
        <f t="shared" si="575"/>
        <v>0</v>
      </c>
    </row>
    <row r="608" spans="1:62" x14ac:dyDescent="0.2">
      <c r="A608" s="117" t="s">
        <v>557</v>
      </c>
      <c r="B608" s="117" t="s">
        <v>990</v>
      </c>
      <c r="C608" s="304" t="s">
        <v>1580</v>
      </c>
      <c r="D608" s="305"/>
      <c r="E608" s="305"/>
      <c r="F608" s="117" t="s">
        <v>1644</v>
      </c>
      <c r="G608" s="116">
        <v>1</v>
      </c>
      <c r="H608" s="159"/>
      <c r="I608" s="108">
        <f t="shared" si="552"/>
        <v>0</v>
      </c>
      <c r="J608" s="108">
        <f t="shared" si="553"/>
        <v>0</v>
      </c>
      <c r="K608" s="108">
        <f t="shared" si="554"/>
        <v>0</v>
      </c>
      <c r="L608" s="111"/>
      <c r="Z608" s="100">
        <f t="shared" si="555"/>
        <v>0</v>
      </c>
      <c r="AB608" s="100">
        <f t="shared" si="556"/>
        <v>0</v>
      </c>
      <c r="AC608" s="100">
        <f t="shared" si="557"/>
        <v>0</v>
      </c>
      <c r="AD608" s="100">
        <f t="shared" si="558"/>
        <v>0</v>
      </c>
      <c r="AE608" s="100">
        <f t="shared" si="559"/>
        <v>0</v>
      </c>
      <c r="AF608" s="100">
        <f t="shared" si="560"/>
        <v>0</v>
      </c>
      <c r="AG608" s="100">
        <f t="shared" si="561"/>
        <v>0</v>
      </c>
      <c r="AH608" s="100">
        <f t="shared" si="562"/>
        <v>0</v>
      </c>
      <c r="AI608" s="109"/>
      <c r="AJ608" s="108">
        <f t="shared" si="563"/>
        <v>0</v>
      </c>
      <c r="AK608" s="108">
        <f t="shared" si="564"/>
        <v>0</v>
      </c>
      <c r="AL608" s="108">
        <f t="shared" si="565"/>
        <v>0</v>
      </c>
      <c r="AN608" s="100">
        <v>15</v>
      </c>
      <c r="AO608" s="100">
        <f t="shared" si="566"/>
        <v>0</v>
      </c>
      <c r="AP608" s="100">
        <f t="shared" si="567"/>
        <v>0</v>
      </c>
      <c r="AQ608" s="111" t="s">
        <v>7</v>
      </c>
      <c r="AV608" s="100">
        <f t="shared" si="568"/>
        <v>0</v>
      </c>
      <c r="AW608" s="100">
        <f t="shared" si="569"/>
        <v>0</v>
      </c>
      <c r="AX608" s="100">
        <f t="shared" si="570"/>
        <v>0</v>
      </c>
      <c r="AY608" s="110" t="s">
        <v>1722</v>
      </c>
      <c r="AZ608" s="110" t="s">
        <v>1730</v>
      </c>
      <c r="BA608" s="109" t="s">
        <v>1737</v>
      </c>
      <c r="BC608" s="100">
        <f t="shared" si="571"/>
        <v>0</v>
      </c>
      <c r="BD608" s="100">
        <f t="shared" si="572"/>
        <v>0</v>
      </c>
      <c r="BE608" s="100">
        <v>0</v>
      </c>
      <c r="BF608" s="100">
        <f>608</f>
        <v>608</v>
      </c>
      <c r="BH608" s="108">
        <f t="shared" si="573"/>
        <v>0</v>
      </c>
      <c r="BI608" s="108">
        <f t="shared" si="574"/>
        <v>0</v>
      </c>
      <c r="BJ608" s="108">
        <f t="shared" si="575"/>
        <v>0</v>
      </c>
    </row>
    <row r="609" spans="1:62" x14ac:dyDescent="0.2">
      <c r="A609" s="117" t="s">
        <v>558</v>
      </c>
      <c r="B609" s="117" t="s">
        <v>991</v>
      </c>
      <c r="C609" s="304" t="s">
        <v>1581</v>
      </c>
      <c r="D609" s="305"/>
      <c r="E609" s="305"/>
      <c r="F609" s="117" t="s">
        <v>1644</v>
      </c>
      <c r="G609" s="116">
        <v>2</v>
      </c>
      <c r="H609" s="159"/>
      <c r="I609" s="108">
        <f t="shared" si="552"/>
        <v>0</v>
      </c>
      <c r="J609" s="108">
        <f t="shared" si="553"/>
        <v>0</v>
      </c>
      <c r="K609" s="108">
        <f t="shared" si="554"/>
        <v>0</v>
      </c>
      <c r="L609" s="111"/>
      <c r="Z609" s="100">
        <f t="shared" si="555"/>
        <v>0</v>
      </c>
      <c r="AB609" s="100">
        <f t="shared" si="556"/>
        <v>0</v>
      </c>
      <c r="AC609" s="100">
        <f t="shared" si="557"/>
        <v>0</v>
      </c>
      <c r="AD609" s="100">
        <f t="shared" si="558"/>
        <v>0</v>
      </c>
      <c r="AE609" s="100">
        <f t="shared" si="559"/>
        <v>0</v>
      </c>
      <c r="AF609" s="100">
        <f t="shared" si="560"/>
        <v>0</v>
      </c>
      <c r="AG609" s="100">
        <f t="shared" si="561"/>
        <v>0</v>
      </c>
      <c r="AH609" s="100">
        <f t="shared" si="562"/>
        <v>0</v>
      </c>
      <c r="AI609" s="109"/>
      <c r="AJ609" s="108">
        <f t="shared" si="563"/>
        <v>0</v>
      </c>
      <c r="AK609" s="108">
        <f t="shared" si="564"/>
        <v>0</v>
      </c>
      <c r="AL609" s="108">
        <f t="shared" si="565"/>
        <v>0</v>
      </c>
      <c r="AN609" s="100">
        <v>15</v>
      </c>
      <c r="AO609" s="100">
        <f t="shared" si="566"/>
        <v>0</v>
      </c>
      <c r="AP609" s="100">
        <f t="shared" si="567"/>
        <v>0</v>
      </c>
      <c r="AQ609" s="111" t="s">
        <v>7</v>
      </c>
      <c r="AV609" s="100">
        <f t="shared" si="568"/>
        <v>0</v>
      </c>
      <c r="AW609" s="100">
        <f t="shared" si="569"/>
        <v>0</v>
      </c>
      <c r="AX609" s="100">
        <f t="shared" si="570"/>
        <v>0</v>
      </c>
      <c r="AY609" s="110" t="s">
        <v>1722</v>
      </c>
      <c r="AZ609" s="110" t="s">
        <v>1730</v>
      </c>
      <c r="BA609" s="109" t="s">
        <v>1737</v>
      </c>
      <c r="BC609" s="100">
        <f t="shared" si="571"/>
        <v>0</v>
      </c>
      <c r="BD609" s="100">
        <f t="shared" si="572"/>
        <v>0</v>
      </c>
      <c r="BE609" s="100">
        <v>0</v>
      </c>
      <c r="BF609" s="100">
        <f>609</f>
        <v>609</v>
      </c>
      <c r="BH609" s="108">
        <f t="shared" si="573"/>
        <v>0</v>
      </c>
      <c r="BI609" s="108">
        <f t="shared" si="574"/>
        <v>0</v>
      </c>
      <c r="BJ609" s="108">
        <f t="shared" si="575"/>
        <v>0</v>
      </c>
    </row>
    <row r="610" spans="1:62" x14ac:dyDescent="0.2">
      <c r="A610" s="117" t="s">
        <v>559</v>
      </c>
      <c r="B610" s="117" t="s">
        <v>3346</v>
      </c>
      <c r="C610" s="304" t="s">
        <v>1582</v>
      </c>
      <c r="D610" s="305"/>
      <c r="E610" s="305"/>
      <c r="F610" s="117" t="s">
        <v>1644</v>
      </c>
      <c r="G610" s="116">
        <v>2</v>
      </c>
      <c r="H610" s="159"/>
      <c r="I610" s="108">
        <f t="shared" si="552"/>
        <v>0</v>
      </c>
      <c r="J610" s="108">
        <f t="shared" si="553"/>
        <v>0</v>
      </c>
      <c r="K610" s="108">
        <f t="shared" si="554"/>
        <v>0</v>
      </c>
      <c r="L610" s="111"/>
      <c r="Z610" s="100">
        <f t="shared" si="555"/>
        <v>0</v>
      </c>
      <c r="AB610" s="100">
        <f t="shared" si="556"/>
        <v>0</v>
      </c>
      <c r="AC610" s="100">
        <f t="shared" si="557"/>
        <v>0</v>
      </c>
      <c r="AD610" s="100">
        <f t="shared" si="558"/>
        <v>0</v>
      </c>
      <c r="AE610" s="100">
        <f t="shared" si="559"/>
        <v>0</v>
      </c>
      <c r="AF610" s="100">
        <f t="shared" si="560"/>
        <v>0</v>
      </c>
      <c r="AG610" s="100">
        <f t="shared" si="561"/>
        <v>0</v>
      </c>
      <c r="AH610" s="100">
        <f t="shared" si="562"/>
        <v>0</v>
      </c>
      <c r="AI610" s="109"/>
      <c r="AJ610" s="108">
        <f t="shared" si="563"/>
        <v>0</v>
      </c>
      <c r="AK610" s="108">
        <f t="shared" si="564"/>
        <v>0</v>
      </c>
      <c r="AL610" s="108">
        <f t="shared" si="565"/>
        <v>0</v>
      </c>
      <c r="AN610" s="100">
        <v>15</v>
      </c>
      <c r="AO610" s="100">
        <f t="shared" si="566"/>
        <v>0</v>
      </c>
      <c r="AP610" s="100">
        <f t="shared" si="567"/>
        <v>0</v>
      </c>
      <c r="AQ610" s="111" t="s">
        <v>7</v>
      </c>
      <c r="AV610" s="100">
        <f t="shared" si="568"/>
        <v>0</v>
      </c>
      <c r="AW610" s="100">
        <f t="shared" si="569"/>
        <v>0</v>
      </c>
      <c r="AX610" s="100">
        <f t="shared" si="570"/>
        <v>0</v>
      </c>
      <c r="AY610" s="110" t="s">
        <v>1722</v>
      </c>
      <c r="AZ610" s="110" t="s">
        <v>1730</v>
      </c>
      <c r="BA610" s="109" t="s">
        <v>1737</v>
      </c>
      <c r="BC610" s="100">
        <f t="shared" si="571"/>
        <v>0</v>
      </c>
      <c r="BD610" s="100">
        <f t="shared" si="572"/>
        <v>0</v>
      </c>
      <c r="BE610" s="100">
        <v>0</v>
      </c>
      <c r="BF610" s="100">
        <f>610</f>
        <v>610</v>
      </c>
      <c r="BH610" s="108">
        <f t="shared" si="573"/>
        <v>0</v>
      </c>
      <c r="BI610" s="108">
        <f t="shared" si="574"/>
        <v>0</v>
      </c>
      <c r="BJ610" s="108">
        <f t="shared" si="575"/>
        <v>0</v>
      </c>
    </row>
    <row r="611" spans="1:62" x14ac:dyDescent="0.2">
      <c r="A611" s="117" t="s">
        <v>560</v>
      </c>
      <c r="B611" s="117" t="s">
        <v>3345</v>
      </c>
      <c r="C611" s="304" t="s">
        <v>1583</v>
      </c>
      <c r="D611" s="305"/>
      <c r="E611" s="305"/>
      <c r="F611" s="117"/>
      <c r="G611" s="116">
        <v>2</v>
      </c>
      <c r="H611" s="159"/>
      <c r="I611" s="108">
        <f t="shared" si="552"/>
        <v>0</v>
      </c>
      <c r="J611" s="108">
        <f t="shared" si="553"/>
        <v>0</v>
      </c>
      <c r="K611" s="108">
        <f t="shared" si="554"/>
        <v>0</v>
      </c>
      <c r="L611" s="111"/>
      <c r="Z611" s="100">
        <f t="shared" si="555"/>
        <v>0</v>
      </c>
      <c r="AB611" s="100">
        <f t="shared" si="556"/>
        <v>0</v>
      </c>
      <c r="AC611" s="100">
        <f t="shared" si="557"/>
        <v>0</v>
      </c>
      <c r="AD611" s="100">
        <f t="shared" si="558"/>
        <v>0</v>
      </c>
      <c r="AE611" s="100">
        <f t="shared" si="559"/>
        <v>0</v>
      </c>
      <c r="AF611" s="100">
        <f t="shared" si="560"/>
        <v>0</v>
      </c>
      <c r="AG611" s="100">
        <f t="shared" si="561"/>
        <v>0</v>
      </c>
      <c r="AH611" s="100">
        <f t="shared" si="562"/>
        <v>0</v>
      </c>
      <c r="AI611" s="109"/>
      <c r="AJ611" s="108">
        <f t="shared" si="563"/>
        <v>0</v>
      </c>
      <c r="AK611" s="108">
        <f t="shared" si="564"/>
        <v>0</v>
      </c>
      <c r="AL611" s="108">
        <f t="shared" si="565"/>
        <v>0</v>
      </c>
      <c r="AN611" s="100">
        <v>15</v>
      </c>
      <c r="AO611" s="100">
        <f t="shared" si="566"/>
        <v>0</v>
      </c>
      <c r="AP611" s="100">
        <f t="shared" si="567"/>
        <v>0</v>
      </c>
      <c r="AQ611" s="111" t="s">
        <v>7</v>
      </c>
      <c r="AV611" s="100">
        <f t="shared" si="568"/>
        <v>0</v>
      </c>
      <c r="AW611" s="100">
        <f t="shared" si="569"/>
        <v>0</v>
      </c>
      <c r="AX611" s="100">
        <f t="shared" si="570"/>
        <v>0</v>
      </c>
      <c r="AY611" s="110" t="s">
        <v>1722</v>
      </c>
      <c r="AZ611" s="110" t="s">
        <v>1730</v>
      </c>
      <c r="BA611" s="109" t="s">
        <v>1737</v>
      </c>
      <c r="BC611" s="100">
        <f t="shared" si="571"/>
        <v>0</v>
      </c>
      <c r="BD611" s="100">
        <f t="shared" si="572"/>
        <v>0</v>
      </c>
      <c r="BE611" s="100">
        <v>0</v>
      </c>
      <c r="BF611" s="100">
        <f>611</f>
        <v>611</v>
      </c>
      <c r="BH611" s="108">
        <f t="shared" si="573"/>
        <v>0</v>
      </c>
      <c r="BI611" s="108">
        <f t="shared" si="574"/>
        <v>0</v>
      </c>
      <c r="BJ611" s="108">
        <f t="shared" si="575"/>
        <v>0</v>
      </c>
    </row>
    <row r="612" spans="1:62" x14ac:dyDescent="0.2">
      <c r="A612" s="117" t="s">
        <v>561</v>
      </c>
      <c r="B612" s="117" t="s">
        <v>3344</v>
      </c>
      <c r="C612" s="304" t="s">
        <v>1581</v>
      </c>
      <c r="D612" s="305"/>
      <c r="E612" s="305"/>
      <c r="F612" s="117" t="s">
        <v>1644</v>
      </c>
      <c r="G612" s="116">
        <v>2</v>
      </c>
      <c r="H612" s="159"/>
      <c r="I612" s="108">
        <f t="shared" si="552"/>
        <v>0</v>
      </c>
      <c r="J612" s="108">
        <f t="shared" si="553"/>
        <v>0</v>
      </c>
      <c r="K612" s="108">
        <f t="shared" si="554"/>
        <v>0</v>
      </c>
      <c r="L612" s="111"/>
      <c r="Z612" s="100">
        <f t="shared" si="555"/>
        <v>0</v>
      </c>
      <c r="AB612" s="100">
        <f t="shared" si="556"/>
        <v>0</v>
      </c>
      <c r="AC612" s="100">
        <f t="shared" si="557"/>
        <v>0</v>
      </c>
      <c r="AD612" s="100">
        <f t="shared" si="558"/>
        <v>0</v>
      </c>
      <c r="AE612" s="100">
        <f t="shared" si="559"/>
        <v>0</v>
      </c>
      <c r="AF612" s="100">
        <f t="shared" si="560"/>
        <v>0</v>
      </c>
      <c r="AG612" s="100">
        <f t="shared" si="561"/>
        <v>0</v>
      </c>
      <c r="AH612" s="100">
        <f t="shared" si="562"/>
        <v>0</v>
      </c>
      <c r="AI612" s="109"/>
      <c r="AJ612" s="108">
        <f t="shared" si="563"/>
        <v>0</v>
      </c>
      <c r="AK612" s="108">
        <f t="shared" si="564"/>
        <v>0</v>
      </c>
      <c r="AL612" s="108">
        <f t="shared" si="565"/>
        <v>0</v>
      </c>
      <c r="AN612" s="100">
        <v>15</v>
      </c>
      <c r="AO612" s="100">
        <f t="shared" si="566"/>
        <v>0</v>
      </c>
      <c r="AP612" s="100">
        <f t="shared" si="567"/>
        <v>0</v>
      </c>
      <c r="AQ612" s="111" t="s">
        <v>7</v>
      </c>
      <c r="AV612" s="100">
        <f t="shared" si="568"/>
        <v>0</v>
      </c>
      <c r="AW612" s="100">
        <f t="shared" si="569"/>
        <v>0</v>
      </c>
      <c r="AX612" s="100">
        <f t="shared" si="570"/>
        <v>0</v>
      </c>
      <c r="AY612" s="110" t="s">
        <v>1722</v>
      </c>
      <c r="AZ612" s="110" t="s">
        <v>1730</v>
      </c>
      <c r="BA612" s="109" t="s">
        <v>1737</v>
      </c>
      <c r="BC612" s="100">
        <f t="shared" si="571"/>
        <v>0</v>
      </c>
      <c r="BD612" s="100">
        <f t="shared" si="572"/>
        <v>0</v>
      </c>
      <c r="BE612" s="100">
        <v>0</v>
      </c>
      <c r="BF612" s="100">
        <f>612</f>
        <v>612</v>
      </c>
      <c r="BH612" s="108">
        <f t="shared" si="573"/>
        <v>0</v>
      </c>
      <c r="BI612" s="108">
        <f t="shared" si="574"/>
        <v>0</v>
      </c>
      <c r="BJ612" s="108">
        <f t="shared" si="575"/>
        <v>0</v>
      </c>
    </row>
    <row r="613" spans="1:62" x14ac:dyDescent="0.2">
      <c r="A613" s="117" t="s">
        <v>562</v>
      </c>
      <c r="B613" s="117" t="s">
        <v>995</v>
      </c>
      <c r="C613" s="304" t="s">
        <v>3341</v>
      </c>
      <c r="D613" s="305"/>
      <c r="E613" s="305"/>
      <c r="F613" s="117" t="s">
        <v>1644</v>
      </c>
      <c r="G613" s="116">
        <v>1</v>
      </c>
      <c r="H613" s="159"/>
      <c r="I613" s="108">
        <f t="shared" si="552"/>
        <v>0</v>
      </c>
      <c r="J613" s="108">
        <f t="shared" si="553"/>
        <v>0</v>
      </c>
      <c r="K613" s="108">
        <f t="shared" si="554"/>
        <v>0</v>
      </c>
      <c r="L613" s="111"/>
      <c r="Z613" s="100">
        <f t="shared" si="555"/>
        <v>0</v>
      </c>
      <c r="AB613" s="100">
        <f t="shared" si="556"/>
        <v>0</v>
      </c>
      <c r="AC613" s="100">
        <f t="shared" si="557"/>
        <v>0</v>
      </c>
      <c r="AD613" s="100">
        <f t="shared" si="558"/>
        <v>0</v>
      </c>
      <c r="AE613" s="100">
        <f t="shared" si="559"/>
        <v>0</v>
      </c>
      <c r="AF613" s="100">
        <f t="shared" si="560"/>
        <v>0</v>
      </c>
      <c r="AG613" s="100">
        <f t="shared" si="561"/>
        <v>0</v>
      </c>
      <c r="AH613" s="100">
        <f t="shared" si="562"/>
        <v>0</v>
      </c>
      <c r="AI613" s="109"/>
      <c r="AJ613" s="108">
        <f t="shared" si="563"/>
        <v>0</v>
      </c>
      <c r="AK613" s="108">
        <f t="shared" si="564"/>
        <v>0</v>
      </c>
      <c r="AL613" s="108">
        <f t="shared" si="565"/>
        <v>0</v>
      </c>
      <c r="AN613" s="100">
        <v>15</v>
      </c>
      <c r="AO613" s="100">
        <f t="shared" si="566"/>
        <v>0</v>
      </c>
      <c r="AP613" s="100">
        <f t="shared" si="567"/>
        <v>0</v>
      </c>
      <c r="AQ613" s="111" t="s">
        <v>7</v>
      </c>
      <c r="AV613" s="100">
        <f t="shared" si="568"/>
        <v>0</v>
      </c>
      <c r="AW613" s="100">
        <f t="shared" si="569"/>
        <v>0</v>
      </c>
      <c r="AX613" s="100">
        <f t="shared" si="570"/>
        <v>0</v>
      </c>
      <c r="AY613" s="110" t="s">
        <v>1722</v>
      </c>
      <c r="AZ613" s="110" t="s">
        <v>1730</v>
      </c>
      <c r="BA613" s="109" t="s">
        <v>1737</v>
      </c>
      <c r="BC613" s="100">
        <f t="shared" si="571"/>
        <v>0</v>
      </c>
      <c r="BD613" s="100">
        <f t="shared" si="572"/>
        <v>0</v>
      </c>
      <c r="BE613" s="100">
        <v>0</v>
      </c>
      <c r="BF613" s="100">
        <f>613</f>
        <v>613</v>
      </c>
      <c r="BH613" s="108">
        <f t="shared" si="573"/>
        <v>0</v>
      </c>
      <c r="BI613" s="108">
        <f t="shared" si="574"/>
        <v>0</v>
      </c>
      <c r="BJ613" s="108">
        <f t="shared" si="575"/>
        <v>0</v>
      </c>
    </row>
    <row r="614" spans="1:62" x14ac:dyDescent="0.2">
      <c r="A614" s="117" t="s">
        <v>563</v>
      </c>
      <c r="B614" s="117" t="s">
        <v>998</v>
      </c>
      <c r="C614" s="304" t="s">
        <v>3331</v>
      </c>
      <c r="D614" s="305"/>
      <c r="E614" s="305"/>
      <c r="F614" s="117" t="s">
        <v>1644</v>
      </c>
      <c r="G614" s="116">
        <v>1</v>
      </c>
      <c r="H614" s="159"/>
      <c r="I614" s="108">
        <f t="shared" si="552"/>
        <v>0</v>
      </c>
      <c r="J614" s="108">
        <f t="shared" si="553"/>
        <v>0</v>
      </c>
      <c r="K614" s="108">
        <f t="shared" si="554"/>
        <v>0</v>
      </c>
      <c r="L614" s="111"/>
      <c r="Z614" s="100">
        <f t="shared" si="555"/>
        <v>0</v>
      </c>
      <c r="AB614" s="100">
        <f t="shared" si="556"/>
        <v>0</v>
      </c>
      <c r="AC614" s="100">
        <f t="shared" si="557"/>
        <v>0</v>
      </c>
      <c r="AD614" s="100">
        <f t="shared" si="558"/>
        <v>0</v>
      </c>
      <c r="AE614" s="100">
        <f t="shared" si="559"/>
        <v>0</v>
      </c>
      <c r="AF614" s="100">
        <f t="shared" si="560"/>
        <v>0</v>
      </c>
      <c r="AG614" s="100">
        <f t="shared" si="561"/>
        <v>0</v>
      </c>
      <c r="AH614" s="100">
        <f t="shared" si="562"/>
        <v>0</v>
      </c>
      <c r="AI614" s="109"/>
      <c r="AJ614" s="108">
        <f t="shared" si="563"/>
        <v>0</v>
      </c>
      <c r="AK614" s="108">
        <f t="shared" si="564"/>
        <v>0</v>
      </c>
      <c r="AL614" s="108">
        <f t="shared" si="565"/>
        <v>0</v>
      </c>
      <c r="AN614" s="100">
        <v>15</v>
      </c>
      <c r="AO614" s="100">
        <f t="shared" si="566"/>
        <v>0</v>
      </c>
      <c r="AP614" s="100">
        <f t="shared" si="567"/>
        <v>0</v>
      </c>
      <c r="AQ614" s="111" t="s">
        <v>7</v>
      </c>
      <c r="AV614" s="100">
        <f t="shared" si="568"/>
        <v>0</v>
      </c>
      <c r="AW614" s="100">
        <f t="shared" si="569"/>
        <v>0</v>
      </c>
      <c r="AX614" s="100">
        <f t="shared" si="570"/>
        <v>0</v>
      </c>
      <c r="AY614" s="110" t="s">
        <v>1722</v>
      </c>
      <c r="AZ614" s="110" t="s">
        <v>1730</v>
      </c>
      <c r="BA614" s="109" t="s">
        <v>1737</v>
      </c>
      <c r="BC614" s="100">
        <f t="shared" si="571"/>
        <v>0</v>
      </c>
      <c r="BD614" s="100">
        <f t="shared" si="572"/>
        <v>0</v>
      </c>
      <c r="BE614" s="100">
        <v>0</v>
      </c>
      <c r="BF614" s="100">
        <f>614</f>
        <v>614</v>
      </c>
      <c r="BH614" s="108">
        <f t="shared" si="573"/>
        <v>0</v>
      </c>
      <c r="BI614" s="108">
        <f t="shared" si="574"/>
        <v>0</v>
      </c>
      <c r="BJ614" s="108">
        <f t="shared" si="575"/>
        <v>0</v>
      </c>
    </row>
    <row r="615" spans="1:62" x14ac:dyDescent="0.2">
      <c r="A615" s="117" t="s">
        <v>564</v>
      </c>
      <c r="B615" s="117" t="s">
        <v>3343</v>
      </c>
      <c r="C615" s="304" t="s">
        <v>1584</v>
      </c>
      <c r="D615" s="305"/>
      <c r="E615" s="305"/>
      <c r="F615" s="117" t="s">
        <v>1644</v>
      </c>
      <c r="G615" s="116">
        <v>1</v>
      </c>
      <c r="H615" s="159"/>
      <c r="I615" s="108">
        <f t="shared" si="552"/>
        <v>0</v>
      </c>
      <c r="J615" s="108">
        <f t="shared" si="553"/>
        <v>0</v>
      </c>
      <c r="K615" s="108">
        <f t="shared" si="554"/>
        <v>0</v>
      </c>
      <c r="L615" s="111"/>
      <c r="Z615" s="100">
        <f t="shared" si="555"/>
        <v>0</v>
      </c>
      <c r="AB615" s="100">
        <f t="shared" si="556"/>
        <v>0</v>
      </c>
      <c r="AC615" s="100">
        <f t="shared" si="557"/>
        <v>0</v>
      </c>
      <c r="AD615" s="100">
        <f t="shared" si="558"/>
        <v>0</v>
      </c>
      <c r="AE615" s="100">
        <f t="shared" si="559"/>
        <v>0</v>
      </c>
      <c r="AF615" s="100">
        <f t="shared" si="560"/>
        <v>0</v>
      </c>
      <c r="AG615" s="100">
        <f t="shared" si="561"/>
        <v>0</v>
      </c>
      <c r="AH615" s="100">
        <f t="shared" si="562"/>
        <v>0</v>
      </c>
      <c r="AI615" s="109"/>
      <c r="AJ615" s="108">
        <f t="shared" si="563"/>
        <v>0</v>
      </c>
      <c r="AK615" s="108">
        <f t="shared" si="564"/>
        <v>0</v>
      </c>
      <c r="AL615" s="108">
        <f t="shared" si="565"/>
        <v>0</v>
      </c>
      <c r="AN615" s="100">
        <v>15</v>
      </c>
      <c r="AO615" s="100">
        <f t="shared" si="566"/>
        <v>0</v>
      </c>
      <c r="AP615" s="100">
        <f t="shared" si="567"/>
        <v>0</v>
      </c>
      <c r="AQ615" s="111" t="s">
        <v>7</v>
      </c>
      <c r="AV615" s="100">
        <f t="shared" si="568"/>
        <v>0</v>
      </c>
      <c r="AW615" s="100">
        <f t="shared" si="569"/>
        <v>0</v>
      </c>
      <c r="AX615" s="100">
        <f t="shared" si="570"/>
        <v>0</v>
      </c>
      <c r="AY615" s="110" t="s">
        <v>1722</v>
      </c>
      <c r="AZ615" s="110" t="s">
        <v>1730</v>
      </c>
      <c r="BA615" s="109" t="s">
        <v>1737</v>
      </c>
      <c r="BC615" s="100">
        <f t="shared" si="571"/>
        <v>0</v>
      </c>
      <c r="BD615" s="100">
        <f t="shared" si="572"/>
        <v>0</v>
      </c>
      <c r="BE615" s="100">
        <v>0</v>
      </c>
      <c r="BF615" s="100">
        <f>615</f>
        <v>615</v>
      </c>
      <c r="BH615" s="108">
        <f t="shared" si="573"/>
        <v>0</v>
      </c>
      <c r="BI615" s="108">
        <f t="shared" si="574"/>
        <v>0</v>
      </c>
      <c r="BJ615" s="108">
        <f t="shared" si="575"/>
        <v>0</v>
      </c>
    </row>
    <row r="616" spans="1:62" x14ac:dyDescent="0.2">
      <c r="A616" s="117" t="s">
        <v>565</v>
      </c>
      <c r="B616" s="117" t="s">
        <v>3342</v>
      </c>
      <c r="C616" s="304" t="s">
        <v>3341</v>
      </c>
      <c r="D616" s="305"/>
      <c r="E616" s="305"/>
      <c r="F616" s="117" t="s">
        <v>1644</v>
      </c>
      <c r="G616" s="116">
        <v>1</v>
      </c>
      <c r="H616" s="159"/>
      <c r="I616" s="108">
        <f t="shared" si="552"/>
        <v>0</v>
      </c>
      <c r="J616" s="108">
        <f t="shared" si="553"/>
        <v>0</v>
      </c>
      <c r="K616" s="108">
        <f t="shared" si="554"/>
        <v>0</v>
      </c>
      <c r="L616" s="111"/>
      <c r="Z616" s="100">
        <f t="shared" si="555"/>
        <v>0</v>
      </c>
      <c r="AB616" s="100">
        <f t="shared" si="556"/>
        <v>0</v>
      </c>
      <c r="AC616" s="100">
        <f t="shared" si="557"/>
        <v>0</v>
      </c>
      <c r="AD616" s="100">
        <f t="shared" si="558"/>
        <v>0</v>
      </c>
      <c r="AE616" s="100">
        <f t="shared" si="559"/>
        <v>0</v>
      </c>
      <c r="AF616" s="100">
        <f t="shared" si="560"/>
        <v>0</v>
      </c>
      <c r="AG616" s="100">
        <f t="shared" si="561"/>
        <v>0</v>
      </c>
      <c r="AH616" s="100">
        <f t="shared" si="562"/>
        <v>0</v>
      </c>
      <c r="AI616" s="109"/>
      <c r="AJ616" s="108">
        <f t="shared" si="563"/>
        <v>0</v>
      </c>
      <c r="AK616" s="108">
        <f t="shared" si="564"/>
        <v>0</v>
      </c>
      <c r="AL616" s="108">
        <f t="shared" si="565"/>
        <v>0</v>
      </c>
      <c r="AN616" s="100">
        <v>15</v>
      </c>
      <c r="AO616" s="100">
        <f t="shared" si="566"/>
        <v>0</v>
      </c>
      <c r="AP616" s="100">
        <f t="shared" si="567"/>
        <v>0</v>
      </c>
      <c r="AQ616" s="111" t="s">
        <v>7</v>
      </c>
      <c r="AV616" s="100">
        <f t="shared" si="568"/>
        <v>0</v>
      </c>
      <c r="AW616" s="100">
        <f t="shared" si="569"/>
        <v>0</v>
      </c>
      <c r="AX616" s="100">
        <f t="shared" si="570"/>
        <v>0</v>
      </c>
      <c r="AY616" s="110" t="s">
        <v>1722</v>
      </c>
      <c r="AZ616" s="110" t="s">
        <v>1730</v>
      </c>
      <c r="BA616" s="109" t="s">
        <v>1737</v>
      </c>
      <c r="BC616" s="100">
        <f t="shared" si="571"/>
        <v>0</v>
      </c>
      <c r="BD616" s="100">
        <f t="shared" si="572"/>
        <v>0</v>
      </c>
      <c r="BE616" s="100">
        <v>0</v>
      </c>
      <c r="BF616" s="100">
        <f>616</f>
        <v>616</v>
      </c>
      <c r="BH616" s="108">
        <f t="shared" si="573"/>
        <v>0</v>
      </c>
      <c r="BI616" s="108">
        <f t="shared" si="574"/>
        <v>0</v>
      </c>
      <c r="BJ616" s="108">
        <f t="shared" si="575"/>
        <v>0</v>
      </c>
    </row>
    <row r="617" spans="1:62" x14ac:dyDescent="0.2">
      <c r="A617" s="117" t="s">
        <v>566</v>
      </c>
      <c r="B617" s="117" t="s">
        <v>1002</v>
      </c>
      <c r="C617" s="304" t="s">
        <v>1585</v>
      </c>
      <c r="D617" s="305"/>
      <c r="E617" s="305"/>
      <c r="F617" s="117" t="s">
        <v>1644</v>
      </c>
      <c r="G617" s="116">
        <v>1</v>
      </c>
      <c r="H617" s="159"/>
      <c r="I617" s="108">
        <f t="shared" si="552"/>
        <v>0</v>
      </c>
      <c r="J617" s="108">
        <f t="shared" si="553"/>
        <v>0</v>
      </c>
      <c r="K617" s="108">
        <f t="shared" si="554"/>
        <v>0</v>
      </c>
      <c r="L617" s="111"/>
      <c r="Z617" s="100">
        <f t="shared" si="555"/>
        <v>0</v>
      </c>
      <c r="AB617" s="100">
        <f t="shared" si="556"/>
        <v>0</v>
      </c>
      <c r="AC617" s="100">
        <f t="shared" si="557"/>
        <v>0</v>
      </c>
      <c r="AD617" s="100">
        <f t="shared" si="558"/>
        <v>0</v>
      </c>
      <c r="AE617" s="100">
        <f t="shared" si="559"/>
        <v>0</v>
      </c>
      <c r="AF617" s="100">
        <f t="shared" si="560"/>
        <v>0</v>
      </c>
      <c r="AG617" s="100">
        <f t="shared" si="561"/>
        <v>0</v>
      </c>
      <c r="AH617" s="100">
        <f t="shared" si="562"/>
        <v>0</v>
      </c>
      <c r="AI617" s="109"/>
      <c r="AJ617" s="108">
        <f t="shared" si="563"/>
        <v>0</v>
      </c>
      <c r="AK617" s="108">
        <f t="shared" si="564"/>
        <v>0</v>
      </c>
      <c r="AL617" s="108">
        <f t="shared" si="565"/>
        <v>0</v>
      </c>
      <c r="AN617" s="100">
        <v>15</v>
      </c>
      <c r="AO617" s="100">
        <f t="shared" si="566"/>
        <v>0</v>
      </c>
      <c r="AP617" s="100">
        <f t="shared" si="567"/>
        <v>0</v>
      </c>
      <c r="AQ617" s="111" t="s">
        <v>7</v>
      </c>
      <c r="AV617" s="100">
        <f t="shared" si="568"/>
        <v>0</v>
      </c>
      <c r="AW617" s="100">
        <f t="shared" si="569"/>
        <v>0</v>
      </c>
      <c r="AX617" s="100">
        <f t="shared" si="570"/>
        <v>0</v>
      </c>
      <c r="AY617" s="110" t="s">
        <v>1722</v>
      </c>
      <c r="AZ617" s="110" t="s">
        <v>1730</v>
      </c>
      <c r="BA617" s="109" t="s">
        <v>1737</v>
      </c>
      <c r="BC617" s="100">
        <f t="shared" si="571"/>
        <v>0</v>
      </c>
      <c r="BD617" s="100">
        <f t="shared" si="572"/>
        <v>0</v>
      </c>
      <c r="BE617" s="100">
        <v>0</v>
      </c>
      <c r="BF617" s="100">
        <f>617</f>
        <v>617</v>
      </c>
      <c r="BH617" s="108">
        <f t="shared" si="573"/>
        <v>0</v>
      </c>
      <c r="BI617" s="108">
        <f t="shared" si="574"/>
        <v>0</v>
      </c>
      <c r="BJ617" s="108">
        <f t="shared" si="575"/>
        <v>0</v>
      </c>
    </row>
    <row r="618" spans="1:62" x14ac:dyDescent="0.2">
      <c r="A618" s="117" t="s">
        <v>567</v>
      </c>
      <c r="B618" s="117" t="s">
        <v>3340</v>
      </c>
      <c r="C618" s="304" t="s">
        <v>1586</v>
      </c>
      <c r="D618" s="305"/>
      <c r="E618" s="305"/>
      <c r="F618" s="117" t="s">
        <v>1644</v>
      </c>
      <c r="G618" s="116">
        <v>1</v>
      </c>
      <c r="H618" s="159"/>
      <c r="I618" s="108">
        <f t="shared" si="552"/>
        <v>0</v>
      </c>
      <c r="J618" s="108">
        <f t="shared" si="553"/>
        <v>0</v>
      </c>
      <c r="K618" s="108">
        <f t="shared" si="554"/>
        <v>0</v>
      </c>
      <c r="L618" s="111"/>
      <c r="Z618" s="100">
        <f t="shared" si="555"/>
        <v>0</v>
      </c>
      <c r="AB618" s="100">
        <f t="shared" si="556"/>
        <v>0</v>
      </c>
      <c r="AC618" s="100">
        <f t="shared" si="557"/>
        <v>0</v>
      </c>
      <c r="AD618" s="100">
        <f t="shared" si="558"/>
        <v>0</v>
      </c>
      <c r="AE618" s="100">
        <f t="shared" si="559"/>
        <v>0</v>
      </c>
      <c r="AF618" s="100">
        <f t="shared" si="560"/>
        <v>0</v>
      </c>
      <c r="AG618" s="100">
        <f t="shared" si="561"/>
        <v>0</v>
      </c>
      <c r="AH618" s="100">
        <f t="shared" si="562"/>
        <v>0</v>
      </c>
      <c r="AI618" s="109"/>
      <c r="AJ618" s="108">
        <f t="shared" si="563"/>
        <v>0</v>
      </c>
      <c r="AK618" s="108">
        <f t="shared" si="564"/>
        <v>0</v>
      </c>
      <c r="AL618" s="108">
        <f t="shared" si="565"/>
        <v>0</v>
      </c>
      <c r="AN618" s="100">
        <v>15</v>
      </c>
      <c r="AO618" s="100">
        <f t="shared" si="566"/>
        <v>0</v>
      </c>
      <c r="AP618" s="100">
        <f t="shared" si="567"/>
        <v>0</v>
      </c>
      <c r="AQ618" s="111" t="s">
        <v>7</v>
      </c>
      <c r="AV618" s="100">
        <f t="shared" si="568"/>
        <v>0</v>
      </c>
      <c r="AW618" s="100">
        <f t="shared" si="569"/>
        <v>0</v>
      </c>
      <c r="AX618" s="100">
        <f t="shared" si="570"/>
        <v>0</v>
      </c>
      <c r="AY618" s="110" t="s">
        <v>1722</v>
      </c>
      <c r="AZ618" s="110" t="s">
        <v>1730</v>
      </c>
      <c r="BA618" s="109" t="s">
        <v>1737</v>
      </c>
      <c r="BC618" s="100">
        <f t="shared" si="571"/>
        <v>0</v>
      </c>
      <c r="BD618" s="100">
        <f t="shared" si="572"/>
        <v>0</v>
      </c>
      <c r="BE618" s="100">
        <v>0</v>
      </c>
      <c r="BF618" s="100">
        <f>618</f>
        <v>618</v>
      </c>
      <c r="BH618" s="108">
        <f t="shared" si="573"/>
        <v>0</v>
      </c>
      <c r="BI618" s="108">
        <f t="shared" si="574"/>
        <v>0</v>
      </c>
      <c r="BJ618" s="108">
        <f t="shared" si="575"/>
        <v>0</v>
      </c>
    </row>
    <row r="619" spans="1:62" x14ac:dyDescent="0.2">
      <c r="A619" s="117" t="s">
        <v>568</v>
      </c>
      <c r="B619" s="117" t="s">
        <v>3340</v>
      </c>
      <c r="C619" s="304" t="s">
        <v>1587</v>
      </c>
      <c r="D619" s="305"/>
      <c r="E619" s="305"/>
      <c r="F619" s="117" t="s">
        <v>1644</v>
      </c>
      <c r="G619" s="116">
        <v>1</v>
      </c>
      <c r="H619" s="159"/>
      <c r="I619" s="108">
        <f t="shared" si="552"/>
        <v>0</v>
      </c>
      <c r="J619" s="108">
        <f t="shared" si="553"/>
        <v>0</v>
      </c>
      <c r="K619" s="108">
        <f t="shared" si="554"/>
        <v>0</v>
      </c>
      <c r="L619" s="111"/>
      <c r="Z619" s="100">
        <f t="shared" si="555"/>
        <v>0</v>
      </c>
      <c r="AB619" s="100">
        <f t="shared" si="556"/>
        <v>0</v>
      </c>
      <c r="AC619" s="100">
        <f t="shared" si="557"/>
        <v>0</v>
      </c>
      <c r="AD619" s="100">
        <f t="shared" si="558"/>
        <v>0</v>
      </c>
      <c r="AE619" s="100">
        <f t="shared" si="559"/>
        <v>0</v>
      </c>
      <c r="AF619" s="100">
        <f t="shared" si="560"/>
        <v>0</v>
      </c>
      <c r="AG619" s="100">
        <f t="shared" si="561"/>
        <v>0</v>
      </c>
      <c r="AH619" s="100">
        <f t="shared" si="562"/>
        <v>0</v>
      </c>
      <c r="AI619" s="109"/>
      <c r="AJ619" s="108">
        <f t="shared" si="563"/>
        <v>0</v>
      </c>
      <c r="AK619" s="108">
        <f t="shared" si="564"/>
        <v>0</v>
      </c>
      <c r="AL619" s="108">
        <f t="shared" si="565"/>
        <v>0</v>
      </c>
      <c r="AN619" s="100">
        <v>15</v>
      </c>
      <c r="AO619" s="100">
        <f t="shared" si="566"/>
        <v>0</v>
      </c>
      <c r="AP619" s="100">
        <f t="shared" si="567"/>
        <v>0</v>
      </c>
      <c r="AQ619" s="111" t="s">
        <v>7</v>
      </c>
      <c r="AV619" s="100">
        <f t="shared" si="568"/>
        <v>0</v>
      </c>
      <c r="AW619" s="100">
        <f t="shared" si="569"/>
        <v>0</v>
      </c>
      <c r="AX619" s="100">
        <f t="shared" si="570"/>
        <v>0</v>
      </c>
      <c r="AY619" s="110" t="s">
        <v>1722</v>
      </c>
      <c r="AZ619" s="110" t="s">
        <v>1730</v>
      </c>
      <c r="BA619" s="109" t="s">
        <v>1737</v>
      </c>
      <c r="BC619" s="100">
        <f t="shared" si="571"/>
        <v>0</v>
      </c>
      <c r="BD619" s="100">
        <f t="shared" si="572"/>
        <v>0</v>
      </c>
      <c r="BE619" s="100">
        <v>0</v>
      </c>
      <c r="BF619" s="100">
        <f>619</f>
        <v>619</v>
      </c>
      <c r="BH619" s="108">
        <f t="shared" si="573"/>
        <v>0</v>
      </c>
      <c r="BI619" s="108">
        <f t="shared" si="574"/>
        <v>0</v>
      </c>
      <c r="BJ619" s="108">
        <f t="shared" si="575"/>
        <v>0</v>
      </c>
    </row>
    <row r="620" spans="1:62" x14ac:dyDescent="0.2">
      <c r="A620" s="117" t="s">
        <v>2231</v>
      </c>
      <c r="B620" s="117" t="s">
        <v>3339</v>
      </c>
      <c r="C620" s="304" t="s">
        <v>1588</v>
      </c>
      <c r="D620" s="305"/>
      <c r="E620" s="305"/>
      <c r="F620" s="117" t="s">
        <v>1644</v>
      </c>
      <c r="G620" s="116">
        <v>1</v>
      </c>
      <c r="H620" s="159"/>
      <c r="I620" s="108">
        <f t="shared" ref="I620:I651" si="576">G620*AO620</f>
        <v>0</v>
      </c>
      <c r="J620" s="108">
        <f t="shared" ref="J620:J651" si="577">G620*AP620</f>
        <v>0</v>
      </c>
      <c r="K620" s="108">
        <f t="shared" ref="K620:K651" si="578">G620*H620</f>
        <v>0</v>
      </c>
      <c r="L620" s="111"/>
      <c r="Z620" s="100">
        <f t="shared" ref="Z620:Z651" si="579">IF(AQ620="5",BJ620,0)</f>
        <v>0</v>
      </c>
      <c r="AB620" s="100">
        <f t="shared" ref="AB620:AB651" si="580">IF(AQ620="1",BH620,0)</f>
        <v>0</v>
      </c>
      <c r="AC620" s="100">
        <f t="shared" ref="AC620:AC651" si="581">IF(AQ620="1",BI620,0)</f>
        <v>0</v>
      </c>
      <c r="AD620" s="100">
        <f t="shared" ref="AD620:AD651" si="582">IF(AQ620="7",BH620,0)</f>
        <v>0</v>
      </c>
      <c r="AE620" s="100">
        <f t="shared" ref="AE620:AE651" si="583">IF(AQ620="7",BI620,0)</f>
        <v>0</v>
      </c>
      <c r="AF620" s="100">
        <f t="shared" ref="AF620:AF651" si="584">IF(AQ620="2",BH620,0)</f>
        <v>0</v>
      </c>
      <c r="AG620" s="100">
        <f t="shared" ref="AG620:AG651" si="585">IF(AQ620="2",BI620,0)</f>
        <v>0</v>
      </c>
      <c r="AH620" s="100">
        <f t="shared" ref="AH620:AH651" si="586">IF(AQ620="0",BJ620,0)</f>
        <v>0</v>
      </c>
      <c r="AI620" s="109"/>
      <c r="AJ620" s="108">
        <f t="shared" ref="AJ620:AJ651" si="587">IF(AN620=0,K620,0)</f>
        <v>0</v>
      </c>
      <c r="AK620" s="108">
        <f t="shared" ref="AK620:AK651" si="588">IF(AN620=15,K620,0)</f>
        <v>0</v>
      </c>
      <c r="AL620" s="108">
        <f t="shared" ref="AL620:AL651" si="589">IF(AN620=21,K620,0)</f>
        <v>0</v>
      </c>
      <c r="AN620" s="100">
        <v>15</v>
      </c>
      <c r="AO620" s="100">
        <f t="shared" ref="AO620:AO651" si="590">H620*0</f>
        <v>0</v>
      </c>
      <c r="AP620" s="100">
        <f t="shared" ref="AP620:AP651" si="591">H620*(1-0)</f>
        <v>0</v>
      </c>
      <c r="AQ620" s="111" t="s">
        <v>7</v>
      </c>
      <c r="AV620" s="100">
        <f t="shared" ref="AV620:AV651" si="592">AW620+AX620</f>
        <v>0</v>
      </c>
      <c r="AW620" s="100">
        <f t="shared" ref="AW620:AW651" si="593">G620*AO620</f>
        <v>0</v>
      </c>
      <c r="AX620" s="100">
        <f t="shared" ref="AX620:AX651" si="594">G620*AP620</f>
        <v>0</v>
      </c>
      <c r="AY620" s="110" t="s">
        <v>1722</v>
      </c>
      <c r="AZ620" s="110" t="s">
        <v>1730</v>
      </c>
      <c r="BA620" s="109" t="s">
        <v>1737</v>
      </c>
      <c r="BC620" s="100">
        <f t="shared" ref="BC620:BC651" si="595">AW620+AX620</f>
        <v>0</v>
      </c>
      <c r="BD620" s="100">
        <f t="shared" ref="BD620:BD651" si="596">H620/(100-BE620)*100</f>
        <v>0</v>
      </c>
      <c r="BE620" s="100">
        <v>0</v>
      </c>
      <c r="BF620" s="100">
        <f>620</f>
        <v>620</v>
      </c>
      <c r="BH620" s="108">
        <f t="shared" ref="BH620:BH651" si="597">G620*AO620</f>
        <v>0</v>
      </c>
      <c r="BI620" s="108">
        <f t="shared" ref="BI620:BI651" si="598">G620*AP620</f>
        <v>0</v>
      </c>
      <c r="BJ620" s="108">
        <f t="shared" ref="BJ620:BJ651" si="599">G620*H620</f>
        <v>0</v>
      </c>
    </row>
    <row r="621" spans="1:62" x14ac:dyDescent="0.2">
      <c r="A621" s="117" t="s">
        <v>2228</v>
      </c>
      <c r="B621" s="117" t="s">
        <v>3339</v>
      </c>
      <c r="C621" s="304" t="s">
        <v>1589</v>
      </c>
      <c r="D621" s="305"/>
      <c r="E621" s="305"/>
      <c r="F621" s="117" t="s">
        <v>1644</v>
      </c>
      <c r="G621" s="116">
        <v>1</v>
      </c>
      <c r="H621" s="159"/>
      <c r="I621" s="108">
        <f t="shared" si="576"/>
        <v>0</v>
      </c>
      <c r="J621" s="108">
        <f t="shared" si="577"/>
        <v>0</v>
      </c>
      <c r="K621" s="108">
        <f t="shared" si="578"/>
        <v>0</v>
      </c>
      <c r="L621" s="111"/>
      <c r="Z621" s="100">
        <f t="shared" si="579"/>
        <v>0</v>
      </c>
      <c r="AB621" s="100">
        <f t="shared" si="580"/>
        <v>0</v>
      </c>
      <c r="AC621" s="100">
        <f t="shared" si="581"/>
        <v>0</v>
      </c>
      <c r="AD621" s="100">
        <f t="shared" si="582"/>
        <v>0</v>
      </c>
      <c r="AE621" s="100">
        <f t="shared" si="583"/>
        <v>0</v>
      </c>
      <c r="AF621" s="100">
        <f t="shared" si="584"/>
        <v>0</v>
      </c>
      <c r="AG621" s="100">
        <f t="shared" si="585"/>
        <v>0</v>
      </c>
      <c r="AH621" s="100">
        <f t="shared" si="586"/>
        <v>0</v>
      </c>
      <c r="AI621" s="109"/>
      <c r="AJ621" s="108">
        <f t="shared" si="587"/>
        <v>0</v>
      </c>
      <c r="AK621" s="108">
        <f t="shared" si="588"/>
        <v>0</v>
      </c>
      <c r="AL621" s="108">
        <f t="shared" si="589"/>
        <v>0</v>
      </c>
      <c r="AN621" s="100">
        <v>15</v>
      </c>
      <c r="AO621" s="100">
        <f t="shared" si="590"/>
        <v>0</v>
      </c>
      <c r="AP621" s="100">
        <f t="shared" si="591"/>
        <v>0</v>
      </c>
      <c r="AQ621" s="111" t="s">
        <v>7</v>
      </c>
      <c r="AV621" s="100">
        <f t="shared" si="592"/>
        <v>0</v>
      </c>
      <c r="AW621" s="100">
        <f t="shared" si="593"/>
        <v>0</v>
      </c>
      <c r="AX621" s="100">
        <f t="shared" si="594"/>
        <v>0</v>
      </c>
      <c r="AY621" s="110" t="s">
        <v>1722</v>
      </c>
      <c r="AZ621" s="110" t="s">
        <v>1730</v>
      </c>
      <c r="BA621" s="109" t="s">
        <v>1737</v>
      </c>
      <c r="BC621" s="100">
        <f t="shared" si="595"/>
        <v>0</v>
      </c>
      <c r="BD621" s="100">
        <f t="shared" si="596"/>
        <v>0</v>
      </c>
      <c r="BE621" s="100">
        <v>0</v>
      </c>
      <c r="BF621" s="100">
        <f>621</f>
        <v>621</v>
      </c>
      <c r="BH621" s="108">
        <f t="shared" si="597"/>
        <v>0</v>
      </c>
      <c r="BI621" s="108">
        <f t="shared" si="598"/>
        <v>0</v>
      </c>
      <c r="BJ621" s="108">
        <f t="shared" si="599"/>
        <v>0</v>
      </c>
    </row>
    <row r="622" spans="1:62" x14ac:dyDescent="0.2">
      <c r="A622" s="117" t="s">
        <v>2585</v>
      </c>
      <c r="B622" s="117" t="s">
        <v>3338</v>
      </c>
      <c r="C622" s="304" t="s">
        <v>1590</v>
      </c>
      <c r="D622" s="305"/>
      <c r="E622" s="305"/>
      <c r="F622" s="117" t="s">
        <v>1644</v>
      </c>
      <c r="G622" s="116">
        <v>1</v>
      </c>
      <c r="H622" s="159"/>
      <c r="I622" s="108">
        <f t="shared" si="576"/>
        <v>0</v>
      </c>
      <c r="J622" s="108">
        <f t="shared" si="577"/>
        <v>0</v>
      </c>
      <c r="K622" s="108">
        <f t="shared" si="578"/>
        <v>0</v>
      </c>
      <c r="L622" s="111"/>
      <c r="Z622" s="100">
        <f t="shared" si="579"/>
        <v>0</v>
      </c>
      <c r="AB622" s="100">
        <f t="shared" si="580"/>
        <v>0</v>
      </c>
      <c r="AC622" s="100">
        <f t="shared" si="581"/>
        <v>0</v>
      </c>
      <c r="AD622" s="100">
        <f t="shared" si="582"/>
        <v>0</v>
      </c>
      <c r="AE622" s="100">
        <f t="shared" si="583"/>
        <v>0</v>
      </c>
      <c r="AF622" s="100">
        <f t="shared" si="584"/>
        <v>0</v>
      </c>
      <c r="AG622" s="100">
        <f t="shared" si="585"/>
        <v>0</v>
      </c>
      <c r="AH622" s="100">
        <f t="shared" si="586"/>
        <v>0</v>
      </c>
      <c r="AI622" s="109"/>
      <c r="AJ622" s="108">
        <f t="shared" si="587"/>
        <v>0</v>
      </c>
      <c r="AK622" s="108">
        <f t="shared" si="588"/>
        <v>0</v>
      </c>
      <c r="AL622" s="108">
        <f t="shared" si="589"/>
        <v>0</v>
      </c>
      <c r="AN622" s="100">
        <v>15</v>
      </c>
      <c r="AO622" s="100">
        <f t="shared" si="590"/>
        <v>0</v>
      </c>
      <c r="AP622" s="100">
        <f t="shared" si="591"/>
        <v>0</v>
      </c>
      <c r="AQ622" s="111" t="s">
        <v>7</v>
      </c>
      <c r="AV622" s="100">
        <f t="shared" si="592"/>
        <v>0</v>
      </c>
      <c r="AW622" s="100">
        <f t="shared" si="593"/>
        <v>0</v>
      </c>
      <c r="AX622" s="100">
        <f t="shared" si="594"/>
        <v>0</v>
      </c>
      <c r="AY622" s="110" t="s">
        <v>1722</v>
      </c>
      <c r="AZ622" s="110" t="s">
        <v>1730</v>
      </c>
      <c r="BA622" s="109" t="s">
        <v>1737</v>
      </c>
      <c r="BC622" s="100">
        <f t="shared" si="595"/>
        <v>0</v>
      </c>
      <c r="BD622" s="100">
        <f t="shared" si="596"/>
        <v>0</v>
      </c>
      <c r="BE622" s="100">
        <v>0</v>
      </c>
      <c r="BF622" s="100">
        <f>622</f>
        <v>622</v>
      </c>
      <c r="BH622" s="108">
        <f t="shared" si="597"/>
        <v>0</v>
      </c>
      <c r="BI622" s="108">
        <f t="shared" si="598"/>
        <v>0</v>
      </c>
      <c r="BJ622" s="108">
        <f t="shared" si="599"/>
        <v>0</v>
      </c>
    </row>
    <row r="623" spans="1:62" x14ac:dyDescent="0.2">
      <c r="A623" s="117" t="s">
        <v>2583</v>
      </c>
      <c r="B623" s="117" t="s">
        <v>3337</v>
      </c>
      <c r="C623" s="304" t="s">
        <v>1586</v>
      </c>
      <c r="D623" s="305"/>
      <c r="E623" s="305"/>
      <c r="F623" s="117" t="s">
        <v>1644</v>
      </c>
      <c r="G623" s="116">
        <v>2</v>
      </c>
      <c r="H623" s="159"/>
      <c r="I623" s="108">
        <f t="shared" si="576"/>
        <v>0</v>
      </c>
      <c r="J623" s="108">
        <f t="shared" si="577"/>
        <v>0</v>
      </c>
      <c r="K623" s="108">
        <f t="shared" si="578"/>
        <v>0</v>
      </c>
      <c r="L623" s="111"/>
      <c r="Z623" s="100">
        <f t="shared" si="579"/>
        <v>0</v>
      </c>
      <c r="AB623" s="100">
        <f t="shared" si="580"/>
        <v>0</v>
      </c>
      <c r="AC623" s="100">
        <f t="shared" si="581"/>
        <v>0</v>
      </c>
      <c r="AD623" s="100">
        <f t="shared" si="582"/>
        <v>0</v>
      </c>
      <c r="AE623" s="100">
        <f t="shared" si="583"/>
        <v>0</v>
      </c>
      <c r="AF623" s="100">
        <f t="shared" si="584"/>
        <v>0</v>
      </c>
      <c r="AG623" s="100">
        <f t="shared" si="585"/>
        <v>0</v>
      </c>
      <c r="AH623" s="100">
        <f t="shared" si="586"/>
        <v>0</v>
      </c>
      <c r="AI623" s="109"/>
      <c r="AJ623" s="108">
        <f t="shared" si="587"/>
        <v>0</v>
      </c>
      <c r="AK623" s="108">
        <f t="shared" si="588"/>
        <v>0</v>
      </c>
      <c r="AL623" s="108">
        <f t="shared" si="589"/>
        <v>0</v>
      </c>
      <c r="AN623" s="100">
        <v>15</v>
      </c>
      <c r="AO623" s="100">
        <f t="shared" si="590"/>
        <v>0</v>
      </c>
      <c r="AP623" s="100">
        <f t="shared" si="591"/>
        <v>0</v>
      </c>
      <c r="AQ623" s="111" t="s">
        <v>7</v>
      </c>
      <c r="AV623" s="100">
        <f t="shared" si="592"/>
        <v>0</v>
      </c>
      <c r="AW623" s="100">
        <f t="shared" si="593"/>
        <v>0</v>
      </c>
      <c r="AX623" s="100">
        <f t="shared" si="594"/>
        <v>0</v>
      </c>
      <c r="AY623" s="110" t="s">
        <v>1722</v>
      </c>
      <c r="AZ623" s="110" t="s">
        <v>1730</v>
      </c>
      <c r="BA623" s="109" t="s">
        <v>1737</v>
      </c>
      <c r="BC623" s="100">
        <f t="shared" si="595"/>
        <v>0</v>
      </c>
      <c r="BD623" s="100">
        <f t="shared" si="596"/>
        <v>0</v>
      </c>
      <c r="BE623" s="100">
        <v>0</v>
      </c>
      <c r="BF623" s="100">
        <f>623</f>
        <v>623</v>
      </c>
      <c r="BH623" s="108">
        <f t="shared" si="597"/>
        <v>0</v>
      </c>
      <c r="BI623" s="108">
        <f t="shared" si="598"/>
        <v>0</v>
      </c>
      <c r="BJ623" s="108">
        <f t="shared" si="599"/>
        <v>0</v>
      </c>
    </row>
    <row r="624" spans="1:62" x14ac:dyDescent="0.2">
      <c r="A624" s="117" t="s">
        <v>2581</v>
      </c>
      <c r="B624" s="117" t="s">
        <v>3337</v>
      </c>
      <c r="C624" s="304" t="s">
        <v>1587</v>
      </c>
      <c r="D624" s="305"/>
      <c r="E624" s="305"/>
      <c r="F624" s="117" t="s">
        <v>1644</v>
      </c>
      <c r="G624" s="116">
        <v>2</v>
      </c>
      <c r="H624" s="159"/>
      <c r="I624" s="108">
        <f t="shared" si="576"/>
        <v>0</v>
      </c>
      <c r="J624" s="108">
        <f t="shared" si="577"/>
        <v>0</v>
      </c>
      <c r="K624" s="108">
        <f t="shared" si="578"/>
        <v>0</v>
      </c>
      <c r="L624" s="111"/>
      <c r="Z624" s="100">
        <f t="shared" si="579"/>
        <v>0</v>
      </c>
      <c r="AB624" s="100">
        <f t="shared" si="580"/>
        <v>0</v>
      </c>
      <c r="AC624" s="100">
        <f t="shared" si="581"/>
        <v>0</v>
      </c>
      <c r="AD624" s="100">
        <f t="shared" si="582"/>
        <v>0</v>
      </c>
      <c r="AE624" s="100">
        <f t="shared" si="583"/>
        <v>0</v>
      </c>
      <c r="AF624" s="100">
        <f t="shared" si="584"/>
        <v>0</v>
      </c>
      <c r="AG624" s="100">
        <f t="shared" si="585"/>
        <v>0</v>
      </c>
      <c r="AH624" s="100">
        <f t="shared" si="586"/>
        <v>0</v>
      </c>
      <c r="AI624" s="109"/>
      <c r="AJ624" s="108">
        <f t="shared" si="587"/>
        <v>0</v>
      </c>
      <c r="AK624" s="108">
        <f t="shared" si="588"/>
        <v>0</v>
      </c>
      <c r="AL624" s="108">
        <f t="shared" si="589"/>
        <v>0</v>
      </c>
      <c r="AN624" s="100">
        <v>15</v>
      </c>
      <c r="AO624" s="100">
        <f t="shared" si="590"/>
        <v>0</v>
      </c>
      <c r="AP624" s="100">
        <f t="shared" si="591"/>
        <v>0</v>
      </c>
      <c r="AQ624" s="111" t="s">
        <v>7</v>
      </c>
      <c r="AV624" s="100">
        <f t="shared" si="592"/>
        <v>0</v>
      </c>
      <c r="AW624" s="100">
        <f t="shared" si="593"/>
        <v>0</v>
      </c>
      <c r="AX624" s="100">
        <f t="shared" si="594"/>
        <v>0</v>
      </c>
      <c r="AY624" s="110" t="s">
        <v>1722</v>
      </c>
      <c r="AZ624" s="110" t="s">
        <v>1730</v>
      </c>
      <c r="BA624" s="109" t="s">
        <v>1737</v>
      </c>
      <c r="BC624" s="100">
        <f t="shared" si="595"/>
        <v>0</v>
      </c>
      <c r="BD624" s="100">
        <f t="shared" si="596"/>
        <v>0</v>
      </c>
      <c r="BE624" s="100">
        <v>0</v>
      </c>
      <c r="BF624" s="100">
        <f>624</f>
        <v>624</v>
      </c>
      <c r="BH624" s="108">
        <f t="shared" si="597"/>
        <v>0</v>
      </c>
      <c r="BI624" s="108">
        <f t="shared" si="598"/>
        <v>0</v>
      </c>
      <c r="BJ624" s="108">
        <f t="shared" si="599"/>
        <v>0</v>
      </c>
    </row>
    <row r="625" spans="1:62" x14ac:dyDescent="0.2">
      <c r="A625" s="117" t="s">
        <v>2580</v>
      </c>
      <c r="B625" s="117" t="s">
        <v>3336</v>
      </c>
      <c r="C625" s="304" t="s">
        <v>1581</v>
      </c>
      <c r="D625" s="305"/>
      <c r="E625" s="305"/>
      <c r="F625" s="117" t="s">
        <v>1644</v>
      </c>
      <c r="G625" s="116">
        <v>1</v>
      </c>
      <c r="H625" s="159"/>
      <c r="I625" s="108">
        <f t="shared" si="576"/>
        <v>0</v>
      </c>
      <c r="J625" s="108">
        <f t="shared" si="577"/>
        <v>0</v>
      </c>
      <c r="K625" s="108">
        <f t="shared" si="578"/>
        <v>0</v>
      </c>
      <c r="L625" s="111"/>
      <c r="Z625" s="100">
        <f t="shared" si="579"/>
        <v>0</v>
      </c>
      <c r="AB625" s="100">
        <f t="shared" si="580"/>
        <v>0</v>
      </c>
      <c r="AC625" s="100">
        <f t="shared" si="581"/>
        <v>0</v>
      </c>
      <c r="AD625" s="100">
        <f t="shared" si="582"/>
        <v>0</v>
      </c>
      <c r="AE625" s="100">
        <f t="shared" si="583"/>
        <v>0</v>
      </c>
      <c r="AF625" s="100">
        <f t="shared" si="584"/>
        <v>0</v>
      </c>
      <c r="AG625" s="100">
        <f t="shared" si="585"/>
        <v>0</v>
      </c>
      <c r="AH625" s="100">
        <f t="shared" si="586"/>
        <v>0</v>
      </c>
      <c r="AI625" s="109"/>
      <c r="AJ625" s="108">
        <f t="shared" si="587"/>
        <v>0</v>
      </c>
      <c r="AK625" s="108">
        <f t="shared" si="588"/>
        <v>0</v>
      </c>
      <c r="AL625" s="108">
        <f t="shared" si="589"/>
        <v>0</v>
      </c>
      <c r="AN625" s="100">
        <v>15</v>
      </c>
      <c r="AO625" s="100">
        <f t="shared" si="590"/>
        <v>0</v>
      </c>
      <c r="AP625" s="100">
        <f t="shared" si="591"/>
        <v>0</v>
      </c>
      <c r="AQ625" s="111" t="s">
        <v>7</v>
      </c>
      <c r="AV625" s="100">
        <f t="shared" si="592"/>
        <v>0</v>
      </c>
      <c r="AW625" s="100">
        <f t="shared" si="593"/>
        <v>0</v>
      </c>
      <c r="AX625" s="100">
        <f t="shared" si="594"/>
        <v>0</v>
      </c>
      <c r="AY625" s="110" t="s">
        <v>1722</v>
      </c>
      <c r="AZ625" s="110" t="s">
        <v>1730</v>
      </c>
      <c r="BA625" s="109" t="s">
        <v>1737</v>
      </c>
      <c r="BC625" s="100">
        <f t="shared" si="595"/>
        <v>0</v>
      </c>
      <c r="BD625" s="100">
        <f t="shared" si="596"/>
        <v>0</v>
      </c>
      <c r="BE625" s="100">
        <v>0</v>
      </c>
      <c r="BF625" s="100">
        <f>625</f>
        <v>625</v>
      </c>
      <c r="BH625" s="108">
        <f t="shared" si="597"/>
        <v>0</v>
      </c>
      <c r="BI625" s="108">
        <f t="shared" si="598"/>
        <v>0</v>
      </c>
      <c r="BJ625" s="108">
        <f t="shared" si="599"/>
        <v>0</v>
      </c>
    </row>
    <row r="626" spans="1:62" x14ac:dyDescent="0.2">
      <c r="A626" s="117" t="s">
        <v>2579</v>
      </c>
      <c r="B626" s="117" t="s">
        <v>3335</v>
      </c>
      <c r="C626" s="304" t="s">
        <v>3331</v>
      </c>
      <c r="D626" s="305"/>
      <c r="E626" s="305"/>
      <c r="F626" s="117" t="s">
        <v>1644</v>
      </c>
      <c r="G626" s="116">
        <v>1</v>
      </c>
      <c r="H626" s="159"/>
      <c r="I626" s="108">
        <f t="shared" si="576"/>
        <v>0</v>
      </c>
      <c r="J626" s="108">
        <f t="shared" si="577"/>
        <v>0</v>
      </c>
      <c r="K626" s="108">
        <f t="shared" si="578"/>
        <v>0</v>
      </c>
      <c r="L626" s="111"/>
      <c r="Z626" s="100">
        <f t="shared" si="579"/>
        <v>0</v>
      </c>
      <c r="AB626" s="100">
        <f t="shared" si="580"/>
        <v>0</v>
      </c>
      <c r="AC626" s="100">
        <f t="shared" si="581"/>
        <v>0</v>
      </c>
      <c r="AD626" s="100">
        <f t="shared" si="582"/>
        <v>0</v>
      </c>
      <c r="AE626" s="100">
        <f t="shared" si="583"/>
        <v>0</v>
      </c>
      <c r="AF626" s="100">
        <f t="shared" si="584"/>
        <v>0</v>
      </c>
      <c r="AG626" s="100">
        <f t="shared" si="585"/>
        <v>0</v>
      </c>
      <c r="AH626" s="100">
        <f t="shared" si="586"/>
        <v>0</v>
      </c>
      <c r="AI626" s="109"/>
      <c r="AJ626" s="108">
        <f t="shared" si="587"/>
        <v>0</v>
      </c>
      <c r="AK626" s="108">
        <f t="shared" si="588"/>
        <v>0</v>
      </c>
      <c r="AL626" s="108">
        <f t="shared" si="589"/>
        <v>0</v>
      </c>
      <c r="AN626" s="100">
        <v>15</v>
      </c>
      <c r="AO626" s="100">
        <f t="shared" si="590"/>
        <v>0</v>
      </c>
      <c r="AP626" s="100">
        <f t="shared" si="591"/>
        <v>0</v>
      </c>
      <c r="AQ626" s="111" t="s">
        <v>7</v>
      </c>
      <c r="AV626" s="100">
        <f t="shared" si="592"/>
        <v>0</v>
      </c>
      <c r="AW626" s="100">
        <f t="shared" si="593"/>
        <v>0</v>
      </c>
      <c r="AX626" s="100">
        <f t="shared" si="594"/>
        <v>0</v>
      </c>
      <c r="AY626" s="110" t="s">
        <v>1722</v>
      </c>
      <c r="AZ626" s="110" t="s">
        <v>1730</v>
      </c>
      <c r="BA626" s="109" t="s">
        <v>1737</v>
      </c>
      <c r="BC626" s="100">
        <f t="shared" si="595"/>
        <v>0</v>
      </c>
      <c r="BD626" s="100">
        <f t="shared" si="596"/>
        <v>0</v>
      </c>
      <c r="BE626" s="100">
        <v>0</v>
      </c>
      <c r="BF626" s="100">
        <f>626</f>
        <v>626</v>
      </c>
      <c r="BH626" s="108">
        <f t="shared" si="597"/>
        <v>0</v>
      </c>
      <c r="BI626" s="108">
        <f t="shared" si="598"/>
        <v>0</v>
      </c>
      <c r="BJ626" s="108">
        <f t="shared" si="599"/>
        <v>0</v>
      </c>
    </row>
    <row r="627" spans="1:62" x14ac:dyDescent="0.2">
      <c r="A627" s="117" t="s">
        <v>2578</v>
      </c>
      <c r="B627" s="117" t="s">
        <v>3334</v>
      </c>
      <c r="C627" s="304" t="s">
        <v>1581</v>
      </c>
      <c r="D627" s="305"/>
      <c r="E627" s="305"/>
      <c r="F627" s="117" t="s">
        <v>1644</v>
      </c>
      <c r="G627" s="116">
        <v>1</v>
      </c>
      <c r="H627" s="159"/>
      <c r="I627" s="108">
        <f t="shared" si="576"/>
        <v>0</v>
      </c>
      <c r="J627" s="108">
        <f t="shared" si="577"/>
        <v>0</v>
      </c>
      <c r="K627" s="108">
        <f t="shared" si="578"/>
        <v>0</v>
      </c>
      <c r="L627" s="111"/>
      <c r="Z627" s="100">
        <f t="shared" si="579"/>
        <v>0</v>
      </c>
      <c r="AB627" s="100">
        <f t="shared" si="580"/>
        <v>0</v>
      </c>
      <c r="AC627" s="100">
        <f t="shared" si="581"/>
        <v>0</v>
      </c>
      <c r="AD627" s="100">
        <f t="shared" si="582"/>
        <v>0</v>
      </c>
      <c r="AE627" s="100">
        <f t="shared" si="583"/>
        <v>0</v>
      </c>
      <c r="AF627" s="100">
        <f t="shared" si="584"/>
        <v>0</v>
      </c>
      <c r="AG627" s="100">
        <f t="shared" si="585"/>
        <v>0</v>
      </c>
      <c r="AH627" s="100">
        <f t="shared" si="586"/>
        <v>0</v>
      </c>
      <c r="AI627" s="109"/>
      <c r="AJ627" s="108">
        <f t="shared" si="587"/>
        <v>0</v>
      </c>
      <c r="AK627" s="108">
        <f t="shared" si="588"/>
        <v>0</v>
      </c>
      <c r="AL627" s="108">
        <f t="shared" si="589"/>
        <v>0</v>
      </c>
      <c r="AN627" s="100">
        <v>15</v>
      </c>
      <c r="AO627" s="100">
        <f t="shared" si="590"/>
        <v>0</v>
      </c>
      <c r="AP627" s="100">
        <f t="shared" si="591"/>
        <v>0</v>
      </c>
      <c r="AQ627" s="111" t="s">
        <v>7</v>
      </c>
      <c r="AV627" s="100">
        <f t="shared" si="592"/>
        <v>0</v>
      </c>
      <c r="AW627" s="100">
        <f t="shared" si="593"/>
        <v>0</v>
      </c>
      <c r="AX627" s="100">
        <f t="shared" si="594"/>
        <v>0</v>
      </c>
      <c r="AY627" s="110" t="s">
        <v>1722</v>
      </c>
      <c r="AZ627" s="110" t="s">
        <v>1730</v>
      </c>
      <c r="BA627" s="109" t="s">
        <v>1737</v>
      </c>
      <c r="BC627" s="100">
        <f t="shared" si="595"/>
        <v>0</v>
      </c>
      <c r="BD627" s="100">
        <f t="shared" si="596"/>
        <v>0</v>
      </c>
      <c r="BE627" s="100">
        <v>0</v>
      </c>
      <c r="BF627" s="100">
        <f>627</f>
        <v>627</v>
      </c>
      <c r="BH627" s="108">
        <f t="shared" si="597"/>
        <v>0</v>
      </c>
      <c r="BI627" s="108">
        <f t="shared" si="598"/>
        <v>0</v>
      </c>
      <c r="BJ627" s="108">
        <f t="shared" si="599"/>
        <v>0</v>
      </c>
    </row>
    <row r="628" spans="1:62" x14ac:dyDescent="0.2">
      <c r="A628" s="117" t="s">
        <v>2577</v>
      </c>
      <c r="B628" s="117" t="s">
        <v>3333</v>
      </c>
      <c r="C628" s="304" t="s">
        <v>3327</v>
      </c>
      <c r="D628" s="305"/>
      <c r="E628" s="305"/>
      <c r="F628" s="117" t="s">
        <v>1644</v>
      </c>
      <c r="G628" s="116">
        <v>1</v>
      </c>
      <c r="H628" s="159"/>
      <c r="I628" s="108">
        <f t="shared" si="576"/>
        <v>0</v>
      </c>
      <c r="J628" s="108">
        <f t="shared" si="577"/>
        <v>0</v>
      </c>
      <c r="K628" s="108">
        <f t="shared" si="578"/>
        <v>0</v>
      </c>
      <c r="L628" s="111"/>
      <c r="Z628" s="100">
        <f t="shared" si="579"/>
        <v>0</v>
      </c>
      <c r="AB628" s="100">
        <f t="shared" si="580"/>
        <v>0</v>
      </c>
      <c r="AC628" s="100">
        <f t="shared" si="581"/>
        <v>0</v>
      </c>
      <c r="AD628" s="100">
        <f t="shared" si="582"/>
        <v>0</v>
      </c>
      <c r="AE628" s="100">
        <f t="shared" si="583"/>
        <v>0</v>
      </c>
      <c r="AF628" s="100">
        <f t="shared" si="584"/>
        <v>0</v>
      </c>
      <c r="AG628" s="100">
        <f t="shared" si="585"/>
        <v>0</v>
      </c>
      <c r="AH628" s="100">
        <f t="shared" si="586"/>
        <v>0</v>
      </c>
      <c r="AI628" s="109"/>
      <c r="AJ628" s="108">
        <f t="shared" si="587"/>
        <v>0</v>
      </c>
      <c r="AK628" s="108">
        <f t="shared" si="588"/>
        <v>0</v>
      </c>
      <c r="AL628" s="108">
        <f t="shared" si="589"/>
        <v>0</v>
      </c>
      <c r="AN628" s="100">
        <v>15</v>
      </c>
      <c r="AO628" s="100">
        <f t="shared" si="590"/>
        <v>0</v>
      </c>
      <c r="AP628" s="100">
        <f t="shared" si="591"/>
        <v>0</v>
      </c>
      <c r="AQ628" s="111" t="s">
        <v>7</v>
      </c>
      <c r="AV628" s="100">
        <f t="shared" si="592"/>
        <v>0</v>
      </c>
      <c r="AW628" s="100">
        <f t="shared" si="593"/>
        <v>0</v>
      </c>
      <c r="AX628" s="100">
        <f t="shared" si="594"/>
        <v>0</v>
      </c>
      <c r="AY628" s="110" t="s">
        <v>1722</v>
      </c>
      <c r="AZ628" s="110" t="s">
        <v>1730</v>
      </c>
      <c r="BA628" s="109" t="s">
        <v>1737</v>
      </c>
      <c r="BC628" s="100">
        <f t="shared" si="595"/>
        <v>0</v>
      </c>
      <c r="BD628" s="100">
        <f t="shared" si="596"/>
        <v>0</v>
      </c>
      <c r="BE628" s="100">
        <v>0</v>
      </c>
      <c r="BF628" s="100">
        <f>628</f>
        <v>628</v>
      </c>
      <c r="BH628" s="108">
        <f t="shared" si="597"/>
        <v>0</v>
      </c>
      <c r="BI628" s="108">
        <f t="shared" si="598"/>
        <v>0</v>
      </c>
      <c r="BJ628" s="108">
        <f t="shared" si="599"/>
        <v>0</v>
      </c>
    </row>
    <row r="629" spans="1:62" x14ac:dyDescent="0.2">
      <c r="A629" s="117" t="s">
        <v>2576</v>
      </c>
      <c r="B629" s="117" t="s">
        <v>3332</v>
      </c>
      <c r="C629" s="304" t="s">
        <v>3331</v>
      </c>
      <c r="D629" s="305"/>
      <c r="E629" s="305"/>
      <c r="F629" s="117" t="s">
        <v>1644</v>
      </c>
      <c r="G629" s="116">
        <v>1</v>
      </c>
      <c r="H629" s="159"/>
      <c r="I629" s="108">
        <f t="shared" si="576"/>
        <v>0</v>
      </c>
      <c r="J629" s="108">
        <f t="shared" si="577"/>
        <v>0</v>
      </c>
      <c r="K629" s="108">
        <f t="shared" si="578"/>
        <v>0</v>
      </c>
      <c r="L629" s="111"/>
      <c r="Z629" s="100">
        <f t="shared" si="579"/>
        <v>0</v>
      </c>
      <c r="AB629" s="100">
        <f t="shared" si="580"/>
        <v>0</v>
      </c>
      <c r="AC629" s="100">
        <f t="shared" si="581"/>
        <v>0</v>
      </c>
      <c r="AD629" s="100">
        <f t="shared" si="582"/>
        <v>0</v>
      </c>
      <c r="AE629" s="100">
        <f t="shared" si="583"/>
        <v>0</v>
      </c>
      <c r="AF629" s="100">
        <f t="shared" si="584"/>
        <v>0</v>
      </c>
      <c r="AG629" s="100">
        <f t="shared" si="585"/>
        <v>0</v>
      </c>
      <c r="AH629" s="100">
        <f t="shared" si="586"/>
        <v>0</v>
      </c>
      <c r="AI629" s="109"/>
      <c r="AJ629" s="108">
        <f t="shared" si="587"/>
        <v>0</v>
      </c>
      <c r="AK629" s="108">
        <f t="shared" si="588"/>
        <v>0</v>
      </c>
      <c r="AL629" s="108">
        <f t="shared" si="589"/>
        <v>0</v>
      </c>
      <c r="AN629" s="100">
        <v>15</v>
      </c>
      <c r="AO629" s="100">
        <f t="shared" si="590"/>
        <v>0</v>
      </c>
      <c r="AP629" s="100">
        <f t="shared" si="591"/>
        <v>0</v>
      </c>
      <c r="AQ629" s="111" t="s">
        <v>7</v>
      </c>
      <c r="AV629" s="100">
        <f t="shared" si="592"/>
        <v>0</v>
      </c>
      <c r="AW629" s="100">
        <f t="shared" si="593"/>
        <v>0</v>
      </c>
      <c r="AX629" s="100">
        <f t="shared" si="594"/>
        <v>0</v>
      </c>
      <c r="AY629" s="110" t="s">
        <v>1722</v>
      </c>
      <c r="AZ629" s="110" t="s">
        <v>1730</v>
      </c>
      <c r="BA629" s="109" t="s">
        <v>1737</v>
      </c>
      <c r="BC629" s="100">
        <f t="shared" si="595"/>
        <v>0</v>
      </c>
      <c r="BD629" s="100">
        <f t="shared" si="596"/>
        <v>0</v>
      </c>
      <c r="BE629" s="100">
        <v>0</v>
      </c>
      <c r="BF629" s="100">
        <f>629</f>
        <v>629</v>
      </c>
      <c r="BH629" s="108">
        <f t="shared" si="597"/>
        <v>0</v>
      </c>
      <c r="BI629" s="108">
        <f t="shared" si="598"/>
        <v>0</v>
      </c>
      <c r="BJ629" s="108">
        <f t="shared" si="599"/>
        <v>0</v>
      </c>
    </row>
    <row r="630" spans="1:62" x14ac:dyDescent="0.2">
      <c r="A630" s="117" t="s">
        <v>2572</v>
      </c>
      <c r="B630" s="117" t="s">
        <v>3330</v>
      </c>
      <c r="C630" s="304" t="s">
        <v>1581</v>
      </c>
      <c r="D630" s="305"/>
      <c r="E630" s="305"/>
      <c r="F630" s="117" t="s">
        <v>1644</v>
      </c>
      <c r="G630" s="116">
        <v>1</v>
      </c>
      <c r="H630" s="159"/>
      <c r="I630" s="108">
        <f t="shared" si="576"/>
        <v>0</v>
      </c>
      <c r="J630" s="108">
        <f t="shared" si="577"/>
        <v>0</v>
      </c>
      <c r="K630" s="108">
        <f t="shared" si="578"/>
        <v>0</v>
      </c>
      <c r="L630" s="111"/>
      <c r="Z630" s="100">
        <f t="shared" si="579"/>
        <v>0</v>
      </c>
      <c r="AB630" s="100">
        <f t="shared" si="580"/>
        <v>0</v>
      </c>
      <c r="AC630" s="100">
        <f t="shared" si="581"/>
        <v>0</v>
      </c>
      <c r="AD630" s="100">
        <f t="shared" si="582"/>
        <v>0</v>
      </c>
      <c r="AE630" s="100">
        <f t="shared" si="583"/>
        <v>0</v>
      </c>
      <c r="AF630" s="100">
        <f t="shared" si="584"/>
        <v>0</v>
      </c>
      <c r="AG630" s="100">
        <f t="shared" si="585"/>
        <v>0</v>
      </c>
      <c r="AH630" s="100">
        <f t="shared" si="586"/>
        <v>0</v>
      </c>
      <c r="AI630" s="109"/>
      <c r="AJ630" s="108">
        <f t="shared" si="587"/>
        <v>0</v>
      </c>
      <c r="AK630" s="108">
        <f t="shared" si="588"/>
        <v>0</v>
      </c>
      <c r="AL630" s="108">
        <f t="shared" si="589"/>
        <v>0</v>
      </c>
      <c r="AN630" s="100">
        <v>15</v>
      </c>
      <c r="AO630" s="100">
        <f t="shared" si="590"/>
        <v>0</v>
      </c>
      <c r="AP630" s="100">
        <f t="shared" si="591"/>
        <v>0</v>
      </c>
      <c r="AQ630" s="111" t="s">
        <v>7</v>
      </c>
      <c r="AV630" s="100">
        <f t="shared" si="592"/>
        <v>0</v>
      </c>
      <c r="AW630" s="100">
        <f t="shared" si="593"/>
        <v>0</v>
      </c>
      <c r="AX630" s="100">
        <f t="shared" si="594"/>
        <v>0</v>
      </c>
      <c r="AY630" s="110" t="s">
        <v>1722</v>
      </c>
      <c r="AZ630" s="110" t="s">
        <v>1730</v>
      </c>
      <c r="BA630" s="109" t="s">
        <v>1737</v>
      </c>
      <c r="BC630" s="100">
        <f t="shared" si="595"/>
        <v>0</v>
      </c>
      <c r="BD630" s="100">
        <f t="shared" si="596"/>
        <v>0</v>
      </c>
      <c r="BE630" s="100">
        <v>0</v>
      </c>
      <c r="BF630" s="100">
        <f>630</f>
        <v>630</v>
      </c>
      <c r="BH630" s="108">
        <f t="shared" si="597"/>
        <v>0</v>
      </c>
      <c r="BI630" s="108">
        <f t="shared" si="598"/>
        <v>0</v>
      </c>
      <c r="BJ630" s="108">
        <f t="shared" si="599"/>
        <v>0</v>
      </c>
    </row>
    <row r="631" spans="1:62" x14ac:dyDescent="0.2">
      <c r="A631" s="117" t="s">
        <v>3329</v>
      </c>
      <c r="B631" s="117" t="s">
        <v>3328</v>
      </c>
      <c r="C631" s="304" t="s">
        <v>3327</v>
      </c>
      <c r="D631" s="305"/>
      <c r="E631" s="305"/>
      <c r="F631" s="117" t="s">
        <v>1644</v>
      </c>
      <c r="G631" s="116">
        <v>1</v>
      </c>
      <c r="H631" s="159"/>
      <c r="I631" s="108">
        <f t="shared" si="576"/>
        <v>0</v>
      </c>
      <c r="J631" s="108">
        <f t="shared" si="577"/>
        <v>0</v>
      </c>
      <c r="K631" s="108">
        <f t="shared" si="578"/>
        <v>0</v>
      </c>
      <c r="L631" s="111"/>
      <c r="Z631" s="100">
        <f t="shared" si="579"/>
        <v>0</v>
      </c>
      <c r="AB631" s="100">
        <f t="shared" si="580"/>
        <v>0</v>
      </c>
      <c r="AC631" s="100">
        <f t="shared" si="581"/>
        <v>0</v>
      </c>
      <c r="AD631" s="100">
        <f t="shared" si="582"/>
        <v>0</v>
      </c>
      <c r="AE631" s="100">
        <f t="shared" si="583"/>
        <v>0</v>
      </c>
      <c r="AF631" s="100">
        <f t="shared" si="584"/>
        <v>0</v>
      </c>
      <c r="AG631" s="100">
        <f t="shared" si="585"/>
        <v>0</v>
      </c>
      <c r="AH631" s="100">
        <f t="shared" si="586"/>
        <v>0</v>
      </c>
      <c r="AI631" s="109"/>
      <c r="AJ631" s="108">
        <f t="shared" si="587"/>
        <v>0</v>
      </c>
      <c r="AK631" s="108">
        <f t="shared" si="588"/>
        <v>0</v>
      </c>
      <c r="AL631" s="108">
        <f t="shared" si="589"/>
        <v>0</v>
      </c>
      <c r="AN631" s="100">
        <v>15</v>
      </c>
      <c r="AO631" s="100">
        <f t="shared" si="590"/>
        <v>0</v>
      </c>
      <c r="AP631" s="100">
        <f t="shared" si="591"/>
        <v>0</v>
      </c>
      <c r="AQ631" s="111" t="s">
        <v>7</v>
      </c>
      <c r="AV631" s="100">
        <f t="shared" si="592"/>
        <v>0</v>
      </c>
      <c r="AW631" s="100">
        <f t="shared" si="593"/>
        <v>0</v>
      </c>
      <c r="AX631" s="100">
        <f t="shared" si="594"/>
        <v>0</v>
      </c>
      <c r="AY631" s="110" t="s">
        <v>1722</v>
      </c>
      <c r="AZ631" s="110" t="s">
        <v>1730</v>
      </c>
      <c r="BA631" s="109" t="s">
        <v>1737</v>
      </c>
      <c r="BC631" s="100">
        <f t="shared" si="595"/>
        <v>0</v>
      </c>
      <c r="BD631" s="100">
        <f t="shared" si="596"/>
        <v>0</v>
      </c>
      <c r="BE631" s="100">
        <v>0</v>
      </c>
      <c r="BF631" s="100">
        <f>631</f>
        <v>631</v>
      </c>
      <c r="BH631" s="108">
        <f t="shared" si="597"/>
        <v>0</v>
      </c>
      <c r="BI631" s="108">
        <f t="shared" si="598"/>
        <v>0</v>
      </c>
      <c r="BJ631" s="108">
        <f t="shared" si="599"/>
        <v>0</v>
      </c>
    </row>
    <row r="632" spans="1:62" x14ac:dyDescent="0.2">
      <c r="A632" s="117" t="s">
        <v>3326</v>
      </c>
      <c r="B632" s="117" t="s">
        <v>3324</v>
      </c>
      <c r="C632" s="304" t="s">
        <v>1594</v>
      </c>
      <c r="D632" s="305"/>
      <c r="E632" s="305"/>
      <c r="F632" s="117" t="s">
        <v>1644</v>
      </c>
      <c r="G632" s="116">
        <v>1</v>
      </c>
      <c r="H632" s="159"/>
      <c r="I632" s="108">
        <f t="shared" si="576"/>
        <v>0</v>
      </c>
      <c r="J632" s="108">
        <f t="shared" si="577"/>
        <v>0</v>
      </c>
      <c r="K632" s="108">
        <f t="shared" si="578"/>
        <v>0</v>
      </c>
      <c r="L632" s="111"/>
      <c r="Z632" s="100">
        <f t="shared" si="579"/>
        <v>0</v>
      </c>
      <c r="AB632" s="100">
        <f t="shared" si="580"/>
        <v>0</v>
      </c>
      <c r="AC632" s="100">
        <f t="shared" si="581"/>
        <v>0</v>
      </c>
      <c r="AD632" s="100">
        <f t="shared" si="582"/>
        <v>0</v>
      </c>
      <c r="AE632" s="100">
        <f t="shared" si="583"/>
        <v>0</v>
      </c>
      <c r="AF632" s="100">
        <f t="shared" si="584"/>
        <v>0</v>
      </c>
      <c r="AG632" s="100">
        <f t="shared" si="585"/>
        <v>0</v>
      </c>
      <c r="AH632" s="100">
        <f t="shared" si="586"/>
        <v>0</v>
      </c>
      <c r="AI632" s="109"/>
      <c r="AJ632" s="108">
        <f t="shared" si="587"/>
        <v>0</v>
      </c>
      <c r="AK632" s="108">
        <f t="shared" si="588"/>
        <v>0</v>
      </c>
      <c r="AL632" s="108">
        <f t="shared" si="589"/>
        <v>0</v>
      </c>
      <c r="AN632" s="100">
        <v>15</v>
      </c>
      <c r="AO632" s="100">
        <f t="shared" si="590"/>
        <v>0</v>
      </c>
      <c r="AP632" s="100">
        <f t="shared" si="591"/>
        <v>0</v>
      </c>
      <c r="AQ632" s="111" t="s">
        <v>7</v>
      </c>
      <c r="AV632" s="100">
        <f t="shared" si="592"/>
        <v>0</v>
      </c>
      <c r="AW632" s="100">
        <f t="shared" si="593"/>
        <v>0</v>
      </c>
      <c r="AX632" s="100">
        <f t="shared" si="594"/>
        <v>0</v>
      </c>
      <c r="AY632" s="110" t="s">
        <v>1722</v>
      </c>
      <c r="AZ632" s="110" t="s">
        <v>1730</v>
      </c>
      <c r="BA632" s="109" t="s">
        <v>1737</v>
      </c>
      <c r="BC632" s="100">
        <f t="shared" si="595"/>
        <v>0</v>
      </c>
      <c r="BD632" s="100">
        <f t="shared" si="596"/>
        <v>0</v>
      </c>
      <c r="BE632" s="100">
        <v>0</v>
      </c>
      <c r="BF632" s="100">
        <f>632</f>
        <v>632</v>
      </c>
      <c r="BH632" s="108">
        <f t="shared" si="597"/>
        <v>0</v>
      </c>
      <c r="BI632" s="108">
        <f t="shared" si="598"/>
        <v>0</v>
      </c>
      <c r="BJ632" s="108">
        <f t="shared" si="599"/>
        <v>0</v>
      </c>
    </row>
    <row r="633" spans="1:62" x14ac:dyDescent="0.2">
      <c r="A633" s="117" t="s">
        <v>3325</v>
      </c>
      <c r="B633" s="117" t="s">
        <v>3324</v>
      </c>
      <c r="C633" s="304" t="s">
        <v>1595</v>
      </c>
      <c r="D633" s="305"/>
      <c r="E633" s="305"/>
      <c r="F633" s="117" t="s">
        <v>1644</v>
      </c>
      <c r="G633" s="116">
        <v>1</v>
      </c>
      <c r="H633" s="159"/>
      <c r="I633" s="108">
        <f t="shared" si="576"/>
        <v>0</v>
      </c>
      <c r="J633" s="108">
        <f t="shared" si="577"/>
        <v>0</v>
      </c>
      <c r="K633" s="108">
        <f t="shared" si="578"/>
        <v>0</v>
      </c>
      <c r="L633" s="111"/>
      <c r="Z633" s="100">
        <f t="shared" si="579"/>
        <v>0</v>
      </c>
      <c r="AB633" s="100">
        <f t="shared" si="580"/>
        <v>0</v>
      </c>
      <c r="AC633" s="100">
        <f t="shared" si="581"/>
        <v>0</v>
      </c>
      <c r="AD633" s="100">
        <f t="shared" si="582"/>
        <v>0</v>
      </c>
      <c r="AE633" s="100">
        <f t="shared" si="583"/>
        <v>0</v>
      </c>
      <c r="AF633" s="100">
        <f t="shared" si="584"/>
        <v>0</v>
      </c>
      <c r="AG633" s="100">
        <f t="shared" si="585"/>
        <v>0</v>
      </c>
      <c r="AH633" s="100">
        <f t="shared" si="586"/>
        <v>0</v>
      </c>
      <c r="AI633" s="109"/>
      <c r="AJ633" s="108">
        <f t="shared" si="587"/>
        <v>0</v>
      </c>
      <c r="AK633" s="108">
        <f t="shared" si="588"/>
        <v>0</v>
      </c>
      <c r="AL633" s="108">
        <f t="shared" si="589"/>
        <v>0</v>
      </c>
      <c r="AN633" s="100">
        <v>15</v>
      </c>
      <c r="AO633" s="100">
        <f t="shared" si="590"/>
        <v>0</v>
      </c>
      <c r="AP633" s="100">
        <f t="shared" si="591"/>
        <v>0</v>
      </c>
      <c r="AQ633" s="111" t="s">
        <v>7</v>
      </c>
      <c r="AV633" s="100">
        <f t="shared" si="592"/>
        <v>0</v>
      </c>
      <c r="AW633" s="100">
        <f t="shared" si="593"/>
        <v>0</v>
      </c>
      <c r="AX633" s="100">
        <f t="shared" si="594"/>
        <v>0</v>
      </c>
      <c r="AY633" s="110" t="s">
        <v>1722</v>
      </c>
      <c r="AZ633" s="110" t="s">
        <v>1730</v>
      </c>
      <c r="BA633" s="109" t="s">
        <v>1737</v>
      </c>
      <c r="BC633" s="100">
        <f t="shared" si="595"/>
        <v>0</v>
      </c>
      <c r="BD633" s="100">
        <f t="shared" si="596"/>
        <v>0</v>
      </c>
      <c r="BE633" s="100">
        <v>0</v>
      </c>
      <c r="BF633" s="100">
        <f>633</f>
        <v>633</v>
      </c>
      <c r="BH633" s="108">
        <f t="shared" si="597"/>
        <v>0</v>
      </c>
      <c r="BI633" s="108">
        <f t="shared" si="598"/>
        <v>0</v>
      </c>
      <c r="BJ633" s="108">
        <f t="shared" si="599"/>
        <v>0</v>
      </c>
    </row>
    <row r="634" spans="1:62" x14ac:dyDescent="0.2">
      <c r="A634" s="117" t="s">
        <v>3323</v>
      </c>
      <c r="B634" s="117" t="s">
        <v>3322</v>
      </c>
      <c r="C634" s="304" t="s">
        <v>1596</v>
      </c>
      <c r="D634" s="305"/>
      <c r="E634" s="305"/>
      <c r="F634" s="117" t="s">
        <v>1644</v>
      </c>
      <c r="G634" s="116">
        <v>1</v>
      </c>
      <c r="H634" s="159"/>
      <c r="I634" s="108">
        <f t="shared" si="576"/>
        <v>0</v>
      </c>
      <c r="J634" s="108">
        <f t="shared" si="577"/>
        <v>0</v>
      </c>
      <c r="K634" s="108">
        <f t="shared" si="578"/>
        <v>0</v>
      </c>
      <c r="L634" s="111"/>
      <c r="Z634" s="100">
        <f t="shared" si="579"/>
        <v>0</v>
      </c>
      <c r="AB634" s="100">
        <f t="shared" si="580"/>
        <v>0</v>
      </c>
      <c r="AC634" s="100">
        <f t="shared" si="581"/>
        <v>0</v>
      </c>
      <c r="AD634" s="100">
        <f t="shared" si="582"/>
        <v>0</v>
      </c>
      <c r="AE634" s="100">
        <f t="shared" si="583"/>
        <v>0</v>
      </c>
      <c r="AF634" s="100">
        <f t="shared" si="584"/>
        <v>0</v>
      </c>
      <c r="AG634" s="100">
        <f t="shared" si="585"/>
        <v>0</v>
      </c>
      <c r="AH634" s="100">
        <f t="shared" si="586"/>
        <v>0</v>
      </c>
      <c r="AI634" s="109"/>
      <c r="AJ634" s="108">
        <f t="shared" si="587"/>
        <v>0</v>
      </c>
      <c r="AK634" s="108">
        <f t="shared" si="588"/>
        <v>0</v>
      </c>
      <c r="AL634" s="108">
        <f t="shared" si="589"/>
        <v>0</v>
      </c>
      <c r="AN634" s="100">
        <v>15</v>
      </c>
      <c r="AO634" s="100">
        <f t="shared" si="590"/>
        <v>0</v>
      </c>
      <c r="AP634" s="100">
        <f t="shared" si="591"/>
        <v>0</v>
      </c>
      <c r="AQ634" s="111" t="s">
        <v>7</v>
      </c>
      <c r="AV634" s="100">
        <f t="shared" si="592"/>
        <v>0</v>
      </c>
      <c r="AW634" s="100">
        <f t="shared" si="593"/>
        <v>0</v>
      </c>
      <c r="AX634" s="100">
        <f t="shared" si="594"/>
        <v>0</v>
      </c>
      <c r="AY634" s="110" t="s">
        <v>1722</v>
      </c>
      <c r="AZ634" s="110" t="s">
        <v>1730</v>
      </c>
      <c r="BA634" s="109" t="s">
        <v>1737</v>
      </c>
      <c r="BC634" s="100">
        <f t="shared" si="595"/>
        <v>0</v>
      </c>
      <c r="BD634" s="100">
        <f t="shared" si="596"/>
        <v>0</v>
      </c>
      <c r="BE634" s="100">
        <v>0</v>
      </c>
      <c r="BF634" s="100">
        <f>634</f>
        <v>634</v>
      </c>
      <c r="BH634" s="108">
        <f t="shared" si="597"/>
        <v>0</v>
      </c>
      <c r="BI634" s="108">
        <f t="shared" si="598"/>
        <v>0</v>
      </c>
      <c r="BJ634" s="108">
        <f t="shared" si="599"/>
        <v>0</v>
      </c>
    </row>
    <row r="635" spans="1:62" x14ac:dyDescent="0.2">
      <c r="A635" s="117" t="s">
        <v>3321</v>
      </c>
      <c r="B635" s="117" t="s">
        <v>3320</v>
      </c>
      <c r="C635" s="304" t="s">
        <v>1597</v>
      </c>
      <c r="D635" s="305"/>
      <c r="E635" s="305"/>
      <c r="F635" s="117" t="s">
        <v>1644</v>
      </c>
      <c r="G635" s="116">
        <v>1</v>
      </c>
      <c r="H635" s="159"/>
      <c r="I635" s="108">
        <f t="shared" si="576"/>
        <v>0</v>
      </c>
      <c r="J635" s="108">
        <f t="shared" si="577"/>
        <v>0</v>
      </c>
      <c r="K635" s="108">
        <f t="shared" si="578"/>
        <v>0</v>
      </c>
      <c r="L635" s="111"/>
      <c r="Z635" s="100">
        <f t="shared" si="579"/>
        <v>0</v>
      </c>
      <c r="AB635" s="100">
        <f t="shared" si="580"/>
        <v>0</v>
      </c>
      <c r="AC635" s="100">
        <f t="shared" si="581"/>
        <v>0</v>
      </c>
      <c r="AD635" s="100">
        <f t="shared" si="582"/>
        <v>0</v>
      </c>
      <c r="AE635" s="100">
        <f t="shared" si="583"/>
        <v>0</v>
      </c>
      <c r="AF635" s="100">
        <f t="shared" si="584"/>
        <v>0</v>
      </c>
      <c r="AG635" s="100">
        <f t="shared" si="585"/>
        <v>0</v>
      </c>
      <c r="AH635" s="100">
        <f t="shared" si="586"/>
        <v>0</v>
      </c>
      <c r="AI635" s="109"/>
      <c r="AJ635" s="108">
        <f t="shared" si="587"/>
        <v>0</v>
      </c>
      <c r="AK635" s="108">
        <f t="shared" si="588"/>
        <v>0</v>
      </c>
      <c r="AL635" s="108">
        <f t="shared" si="589"/>
        <v>0</v>
      </c>
      <c r="AN635" s="100">
        <v>15</v>
      </c>
      <c r="AO635" s="100">
        <f t="shared" si="590"/>
        <v>0</v>
      </c>
      <c r="AP635" s="100">
        <f t="shared" si="591"/>
        <v>0</v>
      </c>
      <c r="AQ635" s="111" t="s">
        <v>7</v>
      </c>
      <c r="AV635" s="100">
        <f t="shared" si="592"/>
        <v>0</v>
      </c>
      <c r="AW635" s="100">
        <f t="shared" si="593"/>
        <v>0</v>
      </c>
      <c r="AX635" s="100">
        <f t="shared" si="594"/>
        <v>0</v>
      </c>
      <c r="AY635" s="110" t="s">
        <v>1722</v>
      </c>
      <c r="AZ635" s="110" t="s">
        <v>1730</v>
      </c>
      <c r="BA635" s="109" t="s">
        <v>1737</v>
      </c>
      <c r="BC635" s="100">
        <f t="shared" si="595"/>
        <v>0</v>
      </c>
      <c r="BD635" s="100">
        <f t="shared" si="596"/>
        <v>0</v>
      </c>
      <c r="BE635" s="100">
        <v>0</v>
      </c>
      <c r="BF635" s="100">
        <f>635</f>
        <v>635</v>
      </c>
      <c r="BH635" s="108">
        <f t="shared" si="597"/>
        <v>0</v>
      </c>
      <c r="BI635" s="108">
        <f t="shared" si="598"/>
        <v>0</v>
      </c>
      <c r="BJ635" s="108">
        <f t="shared" si="599"/>
        <v>0</v>
      </c>
    </row>
    <row r="636" spans="1:62" x14ac:dyDescent="0.2">
      <c r="A636" s="117" t="s">
        <v>3319</v>
      </c>
      <c r="B636" s="117" t="s">
        <v>3318</v>
      </c>
      <c r="C636" s="304" t="s">
        <v>1598</v>
      </c>
      <c r="D636" s="305"/>
      <c r="E636" s="305"/>
      <c r="F636" s="117" t="s">
        <v>1644</v>
      </c>
      <c r="G636" s="116">
        <v>1</v>
      </c>
      <c r="H636" s="159"/>
      <c r="I636" s="108">
        <f t="shared" si="576"/>
        <v>0</v>
      </c>
      <c r="J636" s="108">
        <f t="shared" si="577"/>
        <v>0</v>
      </c>
      <c r="K636" s="108">
        <f t="shared" si="578"/>
        <v>0</v>
      </c>
      <c r="L636" s="111"/>
      <c r="Z636" s="100">
        <f t="shared" si="579"/>
        <v>0</v>
      </c>
      <c r="AB636" s="100">
        <f t="shared" si="580"/>
        <v>0</v>
      </c>
      <c r="AC636" s="100">
        <f t="shared" si="581"/>
        <v>0</v>
      </c>
      <c r="AD636" s="100">
        <f t="shared" si="582"/>
        <v>0</v>
      </c>
      <c r="AE636" s="100">
        <f t="shared" si="583"/>
        <v>0</v>
      </c>
      <c r="AF636" s="100">
        <f t="shared" si="584"/>
        <v>0</v>
      </c>
      <c r="AG636" s="100">
        <f t="shared" si="585"/>
        <v>0</v>
      </c>
      <c r="AH636" s="100">
        <f t="shared" si="586"/>
        <v>0</v>
      </c>
      <c r="AI636" s="109"/>
      <c r="AJ636" s="108">
        <f t="shared" si="587"/>
        <v>0</v>
      </c>
      <c r="AK636" s="108">
        <f t="shared" si="588"/>
        <v>0</v>
      </c>
      <c r="AL636" s="108">
        <f t="shared" si="589"/>
        <v>0</v>
      </c>
      <c r="AN636" s="100">
        <v>15</v>
      </c>
      <c r="AO636" s="100">
        <f t="shared" si="590"/>
        <v>0</v>
      </c>
      <c r="AP636" s="100">
        <f t="shared" si="591"/>
        <v>0</v>
      </c>
      <c r="AQ636" s="111" t="s">
        <v>7</v>
      </c>
      <c r="AV636" s="100">
        <f t="shared" si="592"/>
        <v>0</v>
      </c>
      <c r="AW636" s="100">
        <f t="shared" si="593"/>
        <v>0</v>
      </c>
      <c r="AX636" s="100">
        <f t="shared" si="594"/>
        <v>0</v>
      </c>
      <c r="AY636" s="110" t="s">
        <v>1722</v>
      </c>
      <c r="AZ636" s="110" t="s">
        <v>1730</v>
      </c>
      <c r="BA636" s="109" t="s">
        <v>1737</v>
      </c>
      <c r="BC636" s="100">
        <f t="shared" si="595"/>
        <v>0</v>
      </c>
      <c r="BD636" s="100">
        <f t="shared" si="596"/>
        <v>0</v>
      </c>
      <c r="BE636" s="100">
        <v>0</v>
      </c>
      <c r="BF636" s="100">
        <f>636</f>
        <v>636</v>
      </c>
      <c r="BH636" s="108">
        <f t="shared" si="597"/>
        <v>0</v>
      </c>
      <c r="BI636" s="108">
        <f t="shared" si="598"/>
        <v>0</v>
      </c>
      <c r="BJ636" s="108">
        <f t="shared" si="599"/>
        <v>0</v>
      </c>
    </row>
    <row r="637" spans="1:62" x14ac:dyDescent="0.2">
      <c r="A637" s="117" t="s">
        <v>3317</v>
      </c>
      <c r="B637" s="117" t="s">
        <v>3316</v>
      </c>
      <c r="C637" s="304" t="s">
        <v>1599</v>
      </c>
      <c r="D637" s="305"/>
      <c r="E637" s="305"/>
      <c r="F637" s="117" t="s">
        <v>1644</v>
      </c>
      <c r="G637" s="116">
        <v>1</v>
      </c>
      <c r="H637" s="159"/>
      <c r="I637" s="108">
        <f t="shared" si="576"/>
        <v>0</v>
      </c>
      <c r="J637" s="108">
        <f t="shared" si="577"/>
        <v>0</v>
      </c>
      <c r="K637" s="108">
        <f t="shared" si="578"/>
        <v>0</v>
      </c>
      <c r="L637" s="111"/>
      <c r="Z637" s="100">
        <f t="shared" si="579"/>
        <v>0</v>
      </c>
      <c r="AB637" s="100">
        <f t="shared" si="580"/>
        <v>0</v>
      </c>
      <c r="AC637" s="100">
        <f t="shared" si="581"/>
        <v>0</v>
      </c>
      <c r="AD637" s="100">
        <f t="shared" si="582"/>
        <v>0</v>
      </c>
      <c r="AE637" s="100">
        <f t="shared" si="583"/>
        <v>0</v>
      </c>
      <c r="AF637" s="100">
        <f t="shared" si="584"/>
        <v>0</v>
      </c>
      <c r="AG637" s="100">
        <f t="shared" si="585"/>
        <v>0</v>
      </c>
      <c r="AH637" s="100">
        <f t="shared" si="586"/>
        <v>0</v>
      </c>
      <c r="AI637" s="109"/>
      <c r="AJ637" s="108">
        <f t="shared" si="587"/>
        <v>0</v>
      </c>
      <c r="AK637" s="108">
        <f t="shared" si="588"/>
        <v>0</v>
      </c>
      <c r="AL637" s="108">
        <f t="shared" si="589"/>
        <v>0</v>
      </c>
      <c r="AN637" s="100">
        <v>15</v>
      </c>
      <c r="AO637" s="100">
        <f t="shared" si="590"/>
        <v>0</v>
      </c>
      <c r="AP637" s="100">
        <f t="shared" si="591"/>
        <v>0</v>
      </c>
      <c r="AQ637" s="111" t="s">
        <v>7</v>
      </c>
      <c r="AV637" s="100">
        <f t="shared" si="592"/>
        <v>0</v>
      </c>
      <c r="AW637" s="100">
        <f t="shared" si="593"/>
        <v>0</v>
      </c>
      <c r="AX637" s="100">
        <f t="shared" si="594"/>
        <v>0</v>
      </c>
      <c r="AY637" s="110" t="s">
        <v>1722</v>
      </c>
      <c r="AZ637" s="110" t="s">
        <v>1730</v>
      </c>
      <c r="BA637" s="109" t="s">
        <v>1737</v>
      </c>
      <c r="BC637" s="100">
        <f t="shared" si="595"/>
        <v>0</v>
      </c>
      <c r="BD637" s="100">
        <f t="shared" si="596"/>
        <v>0</v>
      </c>
      <c r="BE637" s="100">
        <v>0</v>
      </c>
      <c r="BF637" s="100">
        <f>637</f>
        <v>637</v>
      </c>
      <c r="BH637" s="108">
        <f t="shared" si="597"/>
        <v>0</v>
      </c>
      <c r="BI637" s="108">
        <f t="shared" si="598"/>
        <v>0</v>
      </c>
      <c r="BJ637" s="108">
        <f t="shared" si="599"/>
        <v>0</v>
      </c>
    </row>
    <row r="638" spans="1:62" x14ac:dyDescent="0.2">
      <c r="A638" s="117" t="s">
        <v>3315</v>
      </c>
      <c r="B638" s="117" t="s">
        <v>3314</v>
      </c>
      <c r="C638" s="304" t="s">
        <v>1600</v>
      </c>
      <c r="D638" s="305"/>
      <c r="E638" s="305"/>
      <c r="F638" s="117" t="s">
        <v>1644</v>
      </c>
      <c r="G638" s="116">
        <v>1</v>
      </c>
      <c r="H638" s="159"/>
      <c r="I638" s="108">
        <f t="shared" si="576"/>
        <v>0</v>
      </c>
      <c r="J638" s="108">
        <f t="shared" si="577"/>
        <v>0</v>
      </c>
      <c r="K638" s="108">
        <f t="shared" si="578"/>
        <v>0</v>
      </c>
      <c r="L638" s="111"/>
      <c r="Z638" s="100">
        <f t="shared" si="579"/>
        <v>0</v>
      </c>
      <c r="AB638" s="100">
        <f t="shared" si="580"/>
        <v>0</v>
      </c>
      <c r="AC638" s="100">
        <f t="shared" si="581"/>
        <v>0</v>
      </c>
      <c r="AD638" s="100">
        <f t="shared" si="582"/>
        <v>0</v>
      </c>
      <c r="AE638" s="100">
        <f t="shared" si="583"/>
        <v>0</v>
      </c>
      <c r="AF638" s="100">
        <f t="shared" si="584"/>
        <v>0</v>
      </c>
      <c r="AG638" s="100">
        <f t="shared" si="585"/>
        <v>0</v>
      </c>
      <c r="AH638" s="100">
        <f t="shared" si="586"/>
        <v>0</v>
      </c>
      <c r="AI638" s="109"/>
      <c r="AJ638" s="108">
        <f t="shared" si="587"/>
        <v>0</v>
      </c>
      <c r="AK638" s="108">
        <f t="shared" si="588"/>
        <v>0</v>
      </c>
      <c r="AL638" s="108">
        <f t="shared" si="589"/>
        <v>0</v>
      </c>
      <c r="AN638" s="100">
        <v>15</v>
      </c>
      <c r="AO638" s="100">
        <f t="shared" si="590"/>
        <v>0</v>
      </c>
      <c r="AP638" s="100">
        <f t="shared" si="591"/>
        <v>0</v>
      </c>
      <c r="AQ638" s="111" t="s">
        <v>7</v>
      </c>
      <c r="AV638" s="100">
        <f t="shared" si="592"/>
        <v>0</v>
      </c>
      <c r="AW638" s="100">
        <f t="shared" si="593"/>
        <v>0</v>
      </c>
      <c r="AX638" s="100">
        <f t="shared" si="594"/>
        <v>0</v>
      </c>
      <c r="AY638" s="110" t="s">
        <v>1722</v>
      </c>
      <c r="AZ638" s="110" t="s">
        <v>1730</v>
      </c>
      <c r="BA638" s="109" t="s">
        <v>1737</v>
      </c>
      <c r="BC638" s="100">
        <f t="shared" si="595"/>
        <v>0</v>
      </c>
      <c r="BD638" s="100">
        <f t="shared" si="596"/>
        <v>0</v>
      </c>
      <c r="BE638" s="100">
        <v>0</v>
      </c>
      <c r="BF638" s="100">
        <f>638</f>
        <v>638</v>
      </c>
      <c r="BH638" s="108">
        <f t="shared" si="597"/>
        <v>0</v>
      </c>
      <c r="BI638" s="108">
        <f t="shared" si="598"/>
        <v>0</v>
      </c>
      <c r="BJ638" s="108">
        <f t="shared" si="599"/>
        <v>0</v>
      </c>
    </row>
    <row r="639" spans="1:62" x14ac:dyDescent="0.2">
      <c r="A639" s="117" t="s">
        <v>3313</v>
      </c>
      <c r="B639" s="117" t="s">
        <v>3312</v>
      </c>
      <c r="C639" s="304" t="s">
        <v>1601</v>
      </c>
      <c r="D639" s="305"/>
      <c r="E639" s="305"/>
      <c r="F639" s="117" t="s">
        <v>1644</v>
      </c>
      <c r="G639" s="116">
        <v>1</v>
      </c>
      <c r="H639" s="159"/>
      <c r="I639" s="108">
        <f t="shared" si="576"/>
        <v>0</v>
      </c>
      <c r="J639" s="108">
        <f t="shared" si="577"/>
        <v>0</v>
      </c>
      <c r="K639" s="108">
        <f t="shared" si="578"/>
        <v>0</v>
      </c>
      <c r="L639" s="111"/>
      <c r="Z639" s="100">
        <f t="shared" si="579"/>
        <v>0</v>
      </c>
      <c r="AB639" s="100">
        <f t="shared" si="580"/>
        <v>0</v>
      </c>
      <c r="AC639" s="100">
        <f t="shared" si="581"/>
        <v>0</v>
      </c>
      <c r="AD639" s="100">
        <f t="shared" si="582"/>
        <v>0</v>
      </c>
      <c r="AE639" s="100">
        <f t="shared" si="583"/>
        <v>0</v>
      </c>
      <c r="AF639" s="100">
        <f t="shared" si="584"/>
        <v>0</v>
      </c>
      <c r="AG639" s="100">
        <f t="shared" si="585"/>
        <v>0</v>
      </c>
      <c r="AH639" s="100">
        <f t="shared" si="586"/>
        <v>0</v>
      </c>
      <c r="AI639" s="109"/>
      <c r="AJ639" s="108">
        <f t="shared" si="587"/>
        <v>0</v>
      </c>
      <c r="AK639" s="108">
        <f t="shared" si="588"/>
        <v>0</v>
      </c>
      <c r="AL639" s="108">
        <f t="shared" si="589"/>
        <v>0</v>
      </c>
      <c r="AN639" s="100">
        <v>15</v>
      </c>
      <c r="AO639" s="100">
        <f t="shared" si="590"/>
        <v>0</v>
      </c>
      <c r="AP639" s="100">
        <f t="shared" si="591"/>
        <v>0</v>
      </c>
      <c r="AQ639" s="111" t="s">
        <v>7</v>
      </c>
      <c r="AV639" s="100">
        <f t="shared" si="592"/>
        <v>0</v>
      </c>
      <c r="AW639" s="100">
        <f t="shared" si="593"/>
        <v>0</v>
      </c>
      <c r="AX639" s="100">
        <f t="shared" si="594"/>
        <v>0</v>
      </c>
      <c r="AY639" s="110" t="s">
        <v>1722</v>
      </c>
      <c r="AZ639" s="110" t="s">
        <v>1730</v>
      </c>
      <c r="BA639" s="109" t="s">
        <v>1737</v>
      </c>
      <c r="BC639" s="100">
        <f t="shared" si="595"/>
        <v>0</v>
      </c>
      <c r="BD639" s="100">
        <f t="shared" si="596"/>
        <v>0</v>
      </c>
      <c r="BE639" s="100">
        <v>0</v>
      </c>
      <c r="BF639" s="100">
        <f>639</f>
        <v>639</v>
      </c>
      <c r="BH639" s="108">
        <f t="shared" si="597"/>
        <v>0</v>
      </c>
      <c r="BI639" s="108">
        <f t="shared" si="598"/>
        <v>0</v>
      </c>
      <c r="BJ639" s="108">
        <f t="shared" si="599"/>
        <v>0</v>
      </c>
    </row>
    <row r="640" spans="1:62" x14ac:dyDescent="0.2">
      <c r="A640" s="117" t="s">
        <v>3311</v>
      </c>
      <c r="B640" s="117" t="s">
        <v>3310</v>
      </c>
      <c r="C640" s="304" t="s">
        <v>3309</v>
      </c>
      <c r="D640" s="305"/>
      <c r="E640" s="305"/>
      <c r="F640" s="117" t="s">
        <v>1644</v>
      </c>
      <c r="G640" s="116">
        <v>1</v>
      </c>
      <c r="H640" s="159"/>
      <c r="I640" s="108">
        <f t="shared" si="576"/>
        <v>0</v>
      </c>
      <c r="J640" s="108">
        <f t="shared" si="577"/>
        <v>0</v>
      </c>
      <c r="K640" s="108">
        <f t="shared" si="578"/>
        <v>0</v>
      </c>
      <c r="L640" s="111"/>
      <c r="Z640" s="100">
        <f t="shared" si="579"/>
        <v>0</v>
      </c>
      <c r="AB640" s="100">
        <f t="shared" si="580"/>
        <v>0</v>
      </c>
      <c r="AC640" s="100">
        <f t="shared" si="581"/>
        <v>0</v>
      </c>
      <c r="AD640" s="100">
        <f t="shared" si="582"/>
        <v>0</v>
      </c>
      <c r="AE640" s="100">
        <f t="shared" si="583"/>
        <v>0</v>
      </c>
      <c r="AF640" s="100">
        <f t="shared" si="584"/>
        <v>0</v>
      </c>
      <c r="AG640" s="100">
        <f t="shared" si="585"/>
        <v>0</v>
      </c>
      <c r="AH640" s="100">
        <f t="shared" si="586"/>
        <v>0</v>
      </c>
      <c r="AI640" s="109"/>
      <c r="AJ640" s="108">
        <f t="shared" si="587"/>
        <v>0</v>
      </c>
      <c r="AK640" s="108">
        <f t="shared" si="588"/>
        <v>0</v>
      </c>
      <c r="AL640" s="108">
        <f t="shared" si="589"/>
        <v>0</v>
      </c>
      <c r="AN640" s="100">
        <v>15</v>
      </c>
      <c r="AO640" s="100">
        <f t="shared" si="590"/>
        <v>0</v>
      </c>
      <c r="AP640" s="100">
        <f t="shared" si="591"/>
        <v>0</v>
      </c>
      <c r="AQ640" s="111" t="s">
        <v>7</v>
      </c>
      <c r="AV640" s="100">
        <f t="shared" si="592"/>
        <v>0</v>
      </c>
      <c r="AW640" s="100">
        <f t="shared" si="593"/>
        <v>0</v>
      </c>
      <c r="AX640" s="100">
        <f t="shared" si="594"/>
        <v>0</v>
      </c>
      <c r="AY640" s="110" t="s">
        <v>1722</v>
      </c>
      <c r="AZ640" s="110" t="s">
        <v>1730</v>
      </c>
      <c r="BA640" s="109" t="s">
        <v>1737</v>
      </c>
      <c r="BC640" s="100">
        <f t="shared" si="595"/>
        <v>0</v>
      </c>
      <c r="BD640" s="100">
        <f t="shared" si="596"/>
        <v>0</v>
      </c>
      <c r="BE640" s="100">
        <v>0</v>
      </c>
      <c r="BF640" s="100">
        <f>640</f>
        <v>640</v>
      </c>
      <c r="BH640" s="108">
        <f t="shared" si="597"/>
        <v>0</v>
      </c>
      <c r="BI640" s="108">
        <f t="shared" si="598"/>
        <v>0</v>
      </c>
      <c r="BJ640" s="108">
        <f t="shared" si="599"/>
        <v>0</v>
      </c>
    </row>
    <row r="641" spans="1:62" x14ac:dyDescent="0.2">
      <c r="A641" s="117" t="s">
        <v>3308</v>
      </c>
      <c r="B641" s="117" t="s">
        <v>3307</v>
      </c>
      <c r="C641" s="304" t="s">
        <v>3306</v>
      </c>
      <c r="D641" s="305"/>
      <c r="E641" s="305"/>
      <c r="F641" s="117" t="s">
        <v>1644</v>
      </c>
      <c r="G641" s="116">
        <v>1</v>
      </c>
      <c r="H641" s="159"/>
      <c r="I641" s="108">
        <f t="shared" si="576"/>
        <v>0</v>
      </c>
      <c r="J641" s="108">
        <f t="shared" si="577"/>
        <v>0</v>
      </c>
      <c r="K641" s="108">
        <f t="shared" si="578"/>
        <v>0</v>
      </c>
      <c r="L641" s="111"/>
      <c r="Z641" s="100">
        <f t="shared" si="579"/>
        <v>0</v>
      </c>
      <c r="AB641" s="100">
        <f t="shared" si="580"/>
        <v>0</v>
      </c>
      <c r="AC641" s="100">
        <f t="shared" si="581"/>
        <v>0</v>
      </c>
      <c r="AD641" s="100">
        <f t="shared" si="582"/>
        <v>0</v>
      </c>
      <c r="AE641" s="100">
        <f t="shared" si="583"/>
        <v>0</v>
      </c>
      <c r="AF641" s="100">
        <f t="shared" si="584"/>
        <v>0</v>
      </c>
      <c r="AG641" s="100">
        <f t="shared" si="585"/>
        <v>0</v>
      </c>
      <c r="AH641" s="100">
        <f t="shared" si="586"/>
        <v>0</v>
      </c>
      <c r="AI641" s="109"/>
      <c r="AJ641" s="108">
        <f t="shared" si="587"/>
        <v>0</v>
      </c>
      <c r="AK641" s="108">
        <f t="shared" si="588"/>
        <v>0</v>
      </c>
      <c r="AL641" s="108">
        <f t="shared" si="589"/>
        <v>0</v>
      </c>
      <c r="AN641" s="100">
        <v>15</v>
      </c>
      <c r="AO641" s="100">
        <f t="shared" si="590"/>
        <v>0</v>
      </c>
      <c r="AP641" s="100">
        <f t="shared" si="591"/>
        <v>0</v>
      </c>
      <c r="AQ641" s="111" t="s">
        <v>7</v>
      </c>
      <c r="AV641" s="100">
        <f t="shared" si="592"/>
        <v>0</v>
      </c>
      <c r="AW641" s="100">
        <f t="shared" si="593"/>
        <v>0</v>
      </c>
      <c r="AX641" s="100">
        <f t="shared" si="594"/>
        <v>0</v>
      </c>
      <c r="AY641" s="110" t="s">
        <v>1722</v>
      </c>
      <c r="AZ641" s="110" t="s">
        <v>1730</v>
      </c>
      <c r="BA641" s="109" t="s">
        <v>1737</v>
      </c>
      <c r="BC641" s="100">
        <f t="shared" si="595"/>
        <v>0</v>
      </c>
      <c r="BD641" s="100">
        <f t="shared" si="596"/>
        <v>0</v>
      </c>
      <c r="BE641" s="100">
        <v>0</v>
      </c>
      <c r="BF641" s="100">
        <f>641</f>
        <v>641</v>
      </c>
      <c r="BH641" s="108">
        <f t="shared" si="597"/>
        <v>0</v>
      </c>
      <c r="BI641" s="108">
        <f t="shared" si="598"/>
        <v>0</v>
      </c>
      <c r="BJ641" s="108">
        <f t="shared" si="599"/>
        <v>0</v>
      </c>
    </row>
    <row r="642" spans="1:62" x14ac:dyDescent="0.2">
      <c r="A642" s="117" t="s">
        <v>3305</v>
      </c>
      <c r="B642" s="117" t="s">
        <v>3304</v>
      </c>
      <c r="C642" s="304" t="s">
        <v>3303</v>
      </c>
      <c r="D642" s="305"/>
      <c r="E642" s="305"/>
      <c r="F642" s="117" t="s">
        <v>1644</v>
      </c>
      <c r="G642" s="116">
        <v>1</v>
      </c>
      <c r="H642" s="159"/>
      <c r="I642" s="108">
        <f t="shared" si="576"/>
        <v>0</v>
      </c>
      <c r="J642" s="108">
        <f t="shared" si="577"/>
        <v>0</v>
      </c>
      <c r="K642" s="108">
        <f t="shared" si="578"/>
        <v>0</v>
      </c>
      <c r="L642" s="111"/>
      <c r="Z642" s="100">
        <f t="shared" si="579"/>
        <v>0</v>
      </c>
      <c r="AB642" s="100">
        <f t="shared" si="580"/>
        <v>0</v>
      </c>
      <c r="AC642" s="100">
        <f t="shared" si="581"/>
        <v>0</v>
      </c>
      <c r="AD642" s="100">
        <f t="shared" si="582"/>
        <v>0</v>
      </c>
      <c r="AE642" s="100">
        <f t="shared" si="583"/>
        <v>0</v>
      </c>
      <c r="AF642" s="100">
        <f t="shared" si="584"/>
        <v>0</v>
      </c>
      <c r="AG642" s="100">
        <f t="shared" si="585"/>
        <v>0</v>
      </c>
      <c r="AH642" s="100">
        <f t="shared" si="586"/>
        <v>0</v>
      </c>
      <c r="AI642" s="109"/>
      <c r="AJ642" s="108">
        <f t="shared" si="587"/>
        <v>0</v>
      </c>
      <c r="AK642" s="108">
        <f t="shared" si="588"/>
        <v>0</v>
      </c>
      <c r="AL642" s="108">
        <f t="shared" si="589"/>
        <v>0</v>
      </c>
      <c r="AN642" s="100">
        <v>15</v>
      </c>
      <c r="AO642" s="100">
        <f t="shared" si="590"/>
        <v>0</v>
      </c>
      <c r="AP642" s="100">
        <f t="shared" si="591"/>
        <v>0</v>
      </c>
      <c r="AQ642" s="111" t="s">
        <v>7</v>
      </c>
      <c r="AV642" s="100">
        <f t="shared" si="592"/>
        <v>0</v>
      </c>
      <c r="AW642" s="100">
        <f t="shared" si="593"/>
        <v>0</v>
      </c>
      <c r="AX642" s="100">
        <f t="shared" si="594"/>
        <v>0</v>
      </c>
      <c r="AY642" s="110" t="s">
        <v>1722</v>
      </c>
      <c r="AZ642" s="110" t="s">
        <v>1730</v>
      </c>
      <c r="BA642" s="109" t="s">
        <v>1737</v>
      </c>
      <c r="BC642" s="100">
        <f t="shared" si="595"/>
        <v>0</v>
      </c>
      <c r="BD642" s="100">
        <f t="shared" si="596"/>
        <v>0</v>
      </c>
      <c r="BE642" s="100">
        <v>0</v>
      </c>
      <c r="BF642" s="100">
        <f>642</f>
        <v>642</v>
      </c>
      <c r="BH642" s="108">
        <f t="shared" si="597"/>
        <v>0</v>
      </c>
      <c r="BI642" s="108">
        <f t="shared" si="598"/>
        <v>0</v>
      </c>
      <c r="BJ642" s="108">
        <f t="shared" si="599"/>
        <v>0</v>
      </c>
    </row>
    <row r="643" spans="1:62" x14ac:dyDescent="0.2">
      <c r="A643" s="117" t="s">
        <v>3302</v>
      </c>
      <c r="B643" s="117" t="s">
        <v>3301</v>
      </c>
      <c r="C643" s="304" t="s">
        <v>1602</v>
      </c>
      <c r="D643" s="305"/>
      <c r="E643" s="305"/>
      <c r="F643" s="117" t="s">
        <v>1646</v>
      </c>
      <c r="G643" s="116">
        <v>20</v>
      </c>
      <c r="H643" s="159"/>
      <c r="I643" s="108">
        <f t="shared" si="576"/>
        <v>0</v>
      </c>
      <c r="J643" s="108">
        <f t="shared" si="577"/>
        <v>0</v>
      </c>
      <c r="K643" s="108">
        <f t="shared" si="578"/>
        <v>0</v>
      </c>
      <c r="L643" s="111"/>
      <c r="Z643" s="100">
        <f t="shared" si="579"/>
        <v>0</v>
      </c>
      <c r="AB643" s="100">
        <f t="shared" si="580"/>
        <v>0</v>
      </c>
      <c r="AC643" s="100">
        <f t="shared" si="581"/>
        <v>0</v>
      </c>
      <c r="AD643" s="100">
        <f t="shared" si="582"/>
        <v>0</v>
      </c>
      <c r="AE643" s="100">
        <f t="shared" si="583"/>
        <v>0</v>
      </c>
      <c r="AF643" s="100">
        <f t="shared" si="584"/>
        <v>0</v>
      </c>
      <c r="AG643" s="100">
        <f t="shared" si="585"/>
        <v>0</v>
      </c>
      <c r="AH643" s="100">
        <f t="shared" si="586"/>
        <v>0</v>
      </c>
      <c r="AI643" s="109"/>
      <c r="AJ643" s="108">
        <f t="shared" si="587"/>
        <v>0</v>
      </c>
      <c r="AK643" s="108">
        <f t="shared" si="588"/>
        <v>0</v>
      </c>
      <c r="AL643" s="108">
        <f t="shared" si="589"/>
        <v>0</v>
      </c>
      <c r="AN643" s="100">
        <v>15</v>
      </c>
      <c r="AO643" s="100">
        <f t="shared" si="590"/>
        <v>0</v>
      </c>
      <c r="AP643" s="100">
        <f t="shared" si="591"/>
        <v>0</v>
      </c>
      <c r="AQ643" s="111" t="s">
        <v>7</v>
      </c>
      <c r="AV643" s="100">
        <f t="shared" si="592"/>
        <v>0</v>
      </c>
      <c r="AW643" s="100">
        <f t="shared" si="593"/>
        <v>0</v>
      </c>
      <c r="AX643" s="100">
        <f t="shared" si="594"/>
        <v>0</v>
      </c>
      <c r="AY643" s="110" t="s">
        <v>1722</v>
      </c>
      <c r="AZ643" s="110" t="s">
        <v>1730</v>
      </c>
      <c r="BA643" s="109" t="s">
        <v>1737</v>
      </c>
      <c r="BC643" s="100">
        <f t="shared" si="595"/>
        <v>0</v>
      </c>
      <c r="BD643" s="100">
        <f t="shared" si="596"/>
        <v>0</v>
      </c>
      <c r="BE643" s="100">
        <v>0</v>
      </c>
      <c r="BF643" s="100">
        <f>643</f>
        <v>643</v>
      </c>
      <c r="BH643" s="108">
        <f t="shared" si="597"/>
        <v>0</v>
      </c>
      <c r="BI643" s="108">
        <f t="shared" si="598"/>
        <v>0</v>
      </c>
      <c r="BJ643" s="108">
        <f t="shared" si="599"/>
        <v>0</v>
      </c>
    </row>
    <row r="644" spans="1:62" x14ac:dyDescent="0.2">
      <c r="A644" s="117" t="s">
        <v>3300</v>
      </c>
      <c r="B644" s="117" t="s">
        <v>3299</v>
      </c>
      <c r="C644" s="304" t="s">
        <v>1603</v>
      </c>
      <c r="D644" s="305"/>
      <c r="E644" s="305"/>
      <c r="F644" s="117" t="s">
        <v>1646</v>
      </c>
      <c r="G644" s="116">
        <v>15</v>
      </c>
      <c r="H644" s="159"/>
      <c r="I644" s="108">
        <f t="shared" si="576"/>
        <v>0</v>
      </c>
      <c r="J644" s="108">
        <f t="shared" si="577"/>
        <v>0</v>
      </c>
      <c r="K644" s="108">
        <f t="shared" si="578"/>
        <v>0</v>
      </c>
      <c r="L644" s="111"/>
      <c r="Z644" s="100">
        <f t="shared" si="579"/>
        <v>0</v>
      </c>
      <c r="AB644" s="100">
        <f t="shared" si="580"/>
        <v>0</v>
      </c>
      <c r="AC644" s="100">
        <f t="shared" si="581"/>
        <v>0</v>
      </c>
      <c r="AD644" s="100">
        <f t="shared" si="582"/>
        <v>0</v>
      </c>
      <c r="AE644" s="100">
        <f t="shared" si="583"/>
        <v>0</v>
      </c>
      <c r="AF644" s="100">
        <f t="shared" si="584"/>
        <v>0</v>
      </c>
      <c r="AG644" s="100">
        <f t="shared" si="585"/>
        <v>0</v>
      </c>
      <c r="AH644" s="100">
        <f t="shared" si="586"/>
        <v>0</v>
      </c>
      <c r="AI644" s="109"/>
      <c r="AJ644" s="108">
        <f t="shared" si="587"/>
        <v>0</v>
      </c>
      <c r="AK644" s="108">
        <f t="shared" si="588"/>
        <v>0</v>
      </c>
      <c r="AL644" s="108">
        <f t="shared" si="589"/>
        <v>0</v>
      </c>
      <c r="AN644" s="100">
        <v>15</v>
      </c>
      <c r="AO644" s="100">
        <f t="shared" si="590"/>
        <v>0</v>
      </c>
      <c r="AP644" s="100">
        <f t="shared" si="591"/>
        <v>0</v>
      </c>
      <c r="AQ644" s="111" t="s">
        <v>7</v>
      </c>
      <c r="AV644" s="100">
        <f t="shared" si="592"/>
        <v>0</v>
      </c>
      <c r="AW644" s="100">
        <f t="shared" si="593"/>
        <v>0</v>
      </c>
      <c r="AX644" s="100">
        <f t="shared" si="594"/>
        <v>0</v>
      </c>
      <c r="AY644" s="110" t="s">
        <v>1722</v>
      </c>
      <c r="AZ644" s="110" t="s">
        <v>1730</v>
      </c>
      <c r="BA644" s="109" t="s">
        <v>1737</v>
      </c>
      <c r="BC644" s="100">
        <f t="shared" si="595"/>
        <v>0</v>
      </c>
      <c r="BD644" s="100">
        <f t="shared" si="596"/>
        <v>0</v>
      </c>
      <c r="BE644" s="100">
        <v>0</v>
      </c>
      <c r="BF644" s="100">
        <f>644</f>
        <v>644</v>
      </c>
      <c r="BH644" s="108">
        <f t="shared" si="597"/>
        <v>0</v>
      </c>
      <c r="BI644" s="108">
        <f t="shared" si="598"/>
        <v>0</v>
      </c>
      <c r="BJ644" s="108">
        <f t="shared" si="599"/>
        <v>0</v>
      </c>
    </row>
    <row r="645" spans="1:62" x14ac:dyDescent="0.2">
      <c r="A645" s="117" t="s">
        <v>3298</v>
      </c>
      <c r="B645" s="117" t="s">
        <v>3297</v>
      </c>
      <c r="C645" s="304" t="s">
        <v>1604</v>
      </c>
      <c r="D645" s="305"/>
      <c r="E645" s="305"/>
      <c r="F645" s="117" t="s">
        <v>1646</v>
      </c>
      <c r="G645" s="116">
        <v>5</v>
      </c>
      <c r="H645" s="159"/>
      <c r="I645" s="108">
        <f t="shared" si="576"/>
        <v>0</v>
      </c>
      <c r="J645" s="108">
        <f t="shared" si="577"/>
        <v>0</v>
      </c>
      <c r="K645" s="108">
        <f t="shared" si="578"/>
        <v>0</v>
      </c>
      <c r="L645" s="111"/>
      <c r="Z645" s="100">
        <f t="shared" si="579"/>
        <v>0</v>
      </c>
      <c r="AB645" s="100">
        <f t="shared" si="580"/>
        <v>0</v>
      </c>
      <c r="AC645" s="100">
        <f t="shared" si="581"/>
        <v>0</v>
      </c>
      <c r="AD645" s="100">
        <f t="shared" si="582"/>
        <v>0</v>
      </c>
      <c r="AE645" s="100">
        <f t="shared" si="583"/>
        <v>0</v>
      </c>
      <c r="AF645" s="100">
        <f t="shared" si="584"/>
        <v>0</v>
      </c>
      <c r="AG645" s="100">
        <f t="shared" si="585"/>
        <v>0</v>
      </c>
      <c r="AH645" s="100">
        <f t="shared" si="586"/>
        <v>0</v>
      </c>
      <c r="AI645" s="109"/>
      <c r="AJ645" s="108">
        <f t="shared" si="587"/>
        <v>0</v>
      </c>
      <c r="AK645" s="108">
        <f t="shared" si="588"/>
        <v>0</v>
      </c>
      <c r="AL645" s="108">
        <f t="shared" si="589"/>
        <v>0</v>
      </c>
      <c r="AN645" s="100">
        <v>15</v>
      </c>
      <c r="AO645" s="100">
        <f t="shared" si="590"/>
        <v>0</v>
      </c>
      <c r="AP645" s="100">
        <f t="shared" si="591"/>
        <v>0</v>
      </c>
      <c r="AQ645" s="111" t="s">
        <v>7</v>
      </c>
      <c r="AV645" s="100">
        <f t="shared" si="592"/>
        <v>0</v>
      </c>
      <c r="AW645" s="100">
        <f t="shared" si="593"/>
        <v>0</v>
      </c>
      <c r="AX645" s="100">
        <f t="shared" si="594"/>
        <v>0</v>
      </c>
      <c r="AY645" s="110" t="s">
        <v>1722</v>
      </c>
      <c r="AZ645" s="110" t="s">
        <v>1730</v>
      </c>
      <c r="BA645" s="109" t="s">
        <v>1737</v>
      </c>
      <c r="BC645" s="100">
        <f t="shared" si="595"/>
        <v>0</v>
      </c>
      <c r="BD645" s="100">
        <f t="shared" si="596"/>
        <v>0</v>
      </c>
      <c r="BE645" s="100">
        <v>0</v>
      </c>
      <c r="BF645" s="100">
        <f>645</f>
        <v>645</v>
      </c>
      <c r="BH645" s="108">
        <f t="shared" si="597"/>
        <v>0</v>
      </c>
      <c r="BI645" s="108">
        <f t="shared" si="598"/>
        <v>0</v>
      </c>
      <c r="BJ645" s="108">
        <f t="shared" si="599"/>
        <v>0</v>
      </c>
    </row>
    <row r="646" spans="1:62" x14ac:dyDescent="0.2">
      <c r="A646" s="117" t="s">
        <v>3296</v>
      </c>
      <c r="B646" s="117" t="s">
        <v>3295</v>
      </c>
      <c r="C646" s="304" t="s">
        <v>1605</v>
      </c>
      <c r="D646" s="305"/>
      <c r="E646" s="305"/>
      <c r="F646" s="117" t="s">
        <v>1646</v>
      </c>
      <c r="G646" s="116">
        <v>5</v>
      </c>
      <c r="H646" s="159"/>
      <c r="I646" s="108">
        <f t="shared" si="576"/>
        <v>0</v>
      </c>
      <c r="J646" s="108">
        <f t="shared" si="577"/>
        <v>0</v>
      </c>
      <c r="K646" s="108">
        <f t="shared" si="578"/>
        <v>0</v>
      </c>
      <c r="L646" s="111"/>
      <c r="Z646" s="100">
        <f t="shared" si="579"/>
        <v>0</v>
      </c>
      <c r="AB646" s="100">
        <f t="shared" si="580"/>
        <v>0</v>
      </c>
      <c r="AC646" s="100">
        <f t="shared" si="581"/>
        <v>0</v>
      </c>
      <c r="AD646" s="100">
        <f t="shared" si="582"/>
        <v>0</v>
      </c>
      <c r="AE646" s="100">
        <f t="shared" si="583"/>
        <v>0</v>
      </c>
      <c r="AF646" s="100">
        <f t="shared" si="584"/>
        <v>0</v>
      </c>
      <c r="AG646" s="100">
        <f t="shared" si="585"/>
        <v>0</v>
      </c>
      <c r="AH646" s="100">
        <f t="shared" si="586"/>
        <v>0</v>
      </c>
      <c r="AI646" s="109"/>
      <c r="AJ646" s="108">
        <f t="shared" si="587"/>
        <v>0</v>
      </c>
      <c r="AK646" s="108">
        <f t="shared" si="588"/>
        <v>0</v>
      </c>
      <c r="AL646" s="108">
        <f t="shared" si="589"/>
        <v>0</v>
      </c>
      <c r="AN646" s="100">
        <v>15</v>
      </c>
      <c r="AO646" s="100">
        <f t="shared" si="590"/>
        <v>0</v>
      </c>
      <c r="AP646" s="100">
        <f t="shared" si="591"/>
        <v>0</v>
      </c>
      <c r="AQ646" s="111" t="s">
        <v>7</v>
      </c>
      <c r="AV646" s="100">
        <f t="shared" si="592"/>
        <v>0</v>
      </c>
      <c r="AW646" s="100">
        <f t="shared" si="593"/>
        <v>0</v>
      </c>
      <c r="AX646" s="100">
        <f t="shared" si="594"/>
        <v>0</v>
      </c>
      <c r="AY646" s="110" t="s">
        <v>1722</v>
      </c>
      <c r="AZ646" s="110" t="s">
        <v>1730</v>
      </c>
      <c r="BA646" s="109" t="s">
        <v>1737</v>
      </c>
      <c r="BC646" s="100">
        <f t="shared" si="595"/>
        <v>0</v>
      </c>
      <c r="BD646" s="100">
        <f t="shared" si="596"/>
        <v>0</v>
      </c>
      <c r="BE646" s="100">
        <v>0</v>
      </c>
      <c r="BF646" s="100">
        <f>646</f>
        <v>646</v>
      </c>
      <c r="BH646" s="108">
        <f t="shared" si="597"/>
        <v>0</v>
      </c>
      <c r="BI646" s="108">
        <f t="shared" si="598"/>
        <v>0</v>
      </c>
      <c r="BJ646" s="108">
        <f t="shared" si="599"/>
        <v>0</v>
      </c>
    </row>
    <row r="647" spans="1:62" x14ac:dyDescent="0.2">
      <c r="A647" s="117" t="s">
        <v>3294</v>
      </c>
      <c r="B647" s="117" t="s">
        <v>3293</v>
      </c>
      <c r="C647" s="304" t="s">
        <v>1606</v>
      </c>
      <c r="D647" s="305"/>
      <c r="E647" s="305"/>
      <c r="F647" s="117" t="s">
        <v>1646</v>
      </c>
      <c r="G647" s="116">
        <v>40</v>
      </c>
      <c r="H647" s="159"/>
      <c r="I647" s="108">
        <f t="shared" si="576"/>
        <v>0</v>
      </c>
      <c r="J647" s="108">
        <f t="shared" si="577"/>
        <v>0</v>
      </c>
      <c r="K647" s="108">
        <f t="shared" si="578"/>
        <v>0</v>
      </c>
      <c r="L647" s="111"/>
      <c r="Z647" s="100">
        <f t="shared" si="579"/>
        <v>0</v>
      </c>
      <c r="AB647" s="100">
        <f t="shared" si="580"/>
        <v>0</v>
      </c>
      <c r="AC647" s="100">
        <f t="shared" si="581"/>
        <v>0</v>
      </c>
      <c r="AD647" s="100">
        <f t="shared" si="582"/>
        <v>0</v>
      </c>
      <c r="AE647" s="100">
        <f t="shared" si="583"/>
        <v>0</v>
      </c>
      <c r="AF647" s="100">
        <f t="shared" si="584"/>
        <v>0</v>
      </c>
      <c r="AG647" s="100">
        <f t="shared" si="585"/>
        <v>0</v>
      </c>
      <c r="AH647" s="100">
        <f t="shared" si="586"/>
        <v>0</v>
      </c>
      <c r="AI647" s="109"/>
      <c r="AJ647" s="108">
        <f t="shared" si="587"/>
        <v>0</v>
      </c>
      <c r="AK647" s="108">
        <f t="shared" si="588"/>
        <v>0</v>
      </c>
      <c r="AL647" s="108">
        <f t="shared" si="589"/>
        <v>0</v>
      </c>
      <c r="AN647" s="100">
        <v>15</v>
      </c>
      <c r="AO647" s="100">
        <f t="shared" si="590"/>
        <v>0</v>
      </c>
      <c r="AP647" s="100">
        <f t="shared" si="591"/>
        <v>0</v>
      </c>
      <c r="AQ647" s="111" t="s">
        <v>7</v>
      </c>
      <c r="AV647" s="100">
        <f t="shared" si="592"/>
        <v>0</v>
      </c>
      <c r="AW647" s="100">
        <f t="shared" si="593"/>
        <v>0</v>
      </c>
      <c r="AX647" s="100">
        <f t="shared" si="594"/>
        <v>0</v>
      </c>
      <c r="AY647" s="110" t="s">
        <v>1722</v>
      </c>
      <c r="AZ647" s="110" t="s">
        <v>1730</v>
      </c>
      <c r="BA647" s="109" t="s">
        <v>1737</v>
      </c>
      <c r="BC647" s="100">
        <f t="shared" si="595"/>
        <v>0</v>
      </c>
      <c r="BD647" s="100">
        <f t="shared" si="596"/>
        <v>0</v>
      </c>
      <c r="BE647" s="100">
        <v>0</v>
      </c>
      <c r="BF647" s="100">
        <f>647</f>
        <v>647</v>
      </c>
      <c r="BH647" s="108">
        <f t="shared" si="597"/>
        <v>0</v>
      </c>
      <c r="BI647" s="108">
        <f t="shared" si="598"/>
        <v>0</v>
      </c>
      <c r="BJ647" s="108">
        <f t="shared" si="599"/>
        <v>0</v>
      </c>
    </row>
    <row r="648" spans="1:62" x14ac:dyDescent="0.2">
      <c r="A648" s="117" t="s">
        <v>3292</v>
      </c>
      <c r="B648" s="117" t="s">
        <v>3291</v>
      </c>
      <c r="C648" s="304" t="s">
        <v>1607</v>
      </c>
      <c r="D648" s="305"/>
      <c r="E648" s="305"/>
      <c r="F648" s="117" t="s">
        <v>1646</v>
      </c>
      <c r="G648" s="116">
        <v>15</v>
      </c>
      <c r="H648" s="159"/>
      <c r="I648" s="108">
        <f t="shared" si="576"/>
        <v>0</v>
      </c>
      <c r="J648" s="108">
        <f t="shared" si="577"/>
        <v>0</v>
      </c>
      <c r="K648" s="108">
        <f t="shared" si="578"/>
        <v>0</v>
      </c>
      <c r="L648" s="111"/>
      <c r="Z648" s="100">
        <f t="shared" si="579"/>
        <v>0</v>
      </c>
      <c r="AB648" s="100">
        <f t="shared" si="580"/>
        <v>0</v>
      </c>
      <c r="AC648" s="100">
        <f t="shared" si="581"/>
        <v>0</v>
      </c>
      <c r="AD648" s="100">
        <f t="shared" si="582"/>
        <v>0</v>
      </c>
      <c r="AE648" s="100">
        <f t="shared" si="583"/>
        <v>0</v>
      </c>
      <c r="AF648" s="100">
        <f t="shared" si="584"/>
        <v>0</v>
      </c>
      <c r="AG648" s="100">
        <f t="shared" si="585"/>
        <v>0</v>
      </c>
      <c r="AH648" s="100">
        <f t="shared" si="586"/>
        <v>0</v>
      </c>
      <c r="AI648" s="109"/>
      <c r="AJ648" s="108">
        <f t="shared" si="587"/>
        <v>0</v>
      </c>
      <c r="AK648" s="108">
        <f t="shared" si="588"/>
        <v>0</v>
      </c>
      <c r="AL648" s="108">
        <f t="shared" si="589"/>
        <v>0</v>
      </c>
      <c r="AN648" s="100">
        <v>15</v>
      </c>
      <c r="AO648" s="100">
        <f t="shared" si="590"/>
        <v>0</v>
      </c>
      <c r="AP648" s="100">
        <f t="shared" si="591"/>
        <v>0</v>
      </c>
      <c r="AQ648" s="111" t="s">
        <v>7</v>
      </c>
      <c r="AV648" s="100">
        <f t="shared" si="592"/>
        <v>0</v>
      </c>
      <c r="AW648" s="100">
        <f t="shared" si="593"/>
        <v>0</v>
      </c>
      <c r="AX648" s="100">
        <f t="shared" si="594"/>
        <v>0</v>
      </c>
      <c r="AY648" s="110" t="s">
        <v>1722</v>
      </c>
      <c r="AZ648" s="110" t="s">
        <v>1730</v>
      </c>
      <c r="BA648" s="109" t="s">
        <v>1737</v>
      </c>
      <c r="BC648" s="100">
        <f t="shared" si="595"/>
        <v>0</v>
      </c>
      <c r="BD648" s="100">
        <f t="shared" si="596"/>
        <v>0</v>
      </c>
      <c r="BE648" s="100">
        <v>0</v>
      </c>
      <c r="BF648" s="100">
        <f>648</f>
        <v>648</v>
      </c>
      <c r="BH648" s="108">
        <f t="shared" si="597"/>
        <v>0</v>
      </c>
      <c r="BI648" s="108">
        <f t="shared" si="598"/>
        <v>0</v>
      </c>
      <c r="BJ648" s="108">
        <f t="shared" si="599"/>
        <v>0</v>
      </c>
    </row>
    <row r="649" spans="1:62" x14ac:dyDescent="0.2">
      <c r="A649" s="117" t="s">
        <v>3290</v>
      </c>
      <c r="B649" s="117" t="s">
        <v>3289</v>
      </c>
      <c r="C649" s="304" t="s">
        <v>1608</v>
      </c>
      <c r="D649" s="305"/>
      <c r="E649" s="305"/>
      <c r="F649" s="117" t="s">
        <v>1644</v>
      </c>
      <c r="G649" s="116">
        <v>110</v>
      </c>
      <c r="H649" s="159"/>
      <c r="I649" s="108">
        <f t="shared" si="576"/>
        <v>0</v>
      </c>
      <c r="J649" s="108">
        <f t="shared" si="577"/>
        <v>0</v>
      </c>
      <c r="K649" s="108">
        <f t="shared" si="578"/>
        <v>0</v>
      </c>
      <c r="L649" s="111"/>
      <c r="Z649" s="100">
        <f t="shared" si="579"/>
        <v>0</v>
      </c>
      <c r="AB649" s="100">
        <f t="shared" si="580"/>
        <v>0</v>
      </c>
      <c r="AC649" s="100">
        <f t="shared" si="581"/>
        <v>0</v>
      </c>
      <c r="AD649" s="100">
        <f t="shared" si="582"/>
        <v>0</v>
      </c>
      <c r="AE649" s="100">
        <f t="shared" si="583"/>
        <v>0</v>
      </c>
      <c r="AF649" s="100">
        <f t="shared" si="584"/>
        <v>0</v>
      </c>
      <c r="AG649" s="100">
        <f t="shared" si="585"/>
        <v>0</v>
      </c>
      <c r="AH649" s="100">
        <f t="shared" si="586"/>
        <v>0</v>
      </c>
      <c r="AI649" s="109"/>
      <c r="AJ649" s="108">
        <f t="shared" si="587"/>
        <v>0</v>
      </c>
      <c r="AK649" s="108">
        <f t="shared" si="588"/>
        <v>0</v>
      </c>
      <c r="AL649" s="108">
        <f t="shared" si="589"/>
        <v>0</v>
      </c>
      <c r="AN649" s="100">
        <v>15</v>
      </c>
      <c r="AO649" s="100">
        <f t="shared" si="590"/>
        <v>0</v>
      </c>
      <c r="AP649" s="100">
        <f t="shared" si="591"/>
        <v>0</v>
      </c>
      <c r="AQ649" s="111" t="s">
        <v>7</v>
      </c>
      <c r="AV649" s="100">
        <f t="shared" si="592"/>
        <v>0</v>
      </c>
      <c r="AW649" s="100">
        <f t="shared" si="593"/>
        <v>0</v>
      </c>
      <c r="AX649" s="100">
        <f t="shared" si="594"/>
        <v>0</v>
      </c>
      <c r="AY649" s="110" t="s">
        <v>1722</v>
      </c>
      <c r="AZ649" s="110" t="s">
        <v>1730</v>
      </c>
      <c r="BA649" s="109" t="s">
        <v>1737</v>
      </c>
      <c r="BC649" s="100">
        <f t="shared" si="595"/>
        <v>0</v>
      </c>
      <c r="BD649" s="100">
        <f t="shared" si="596"/>
        <v>0</v>
      </c>
      <c r="BE649" s="100">
        <v>0</v>
      </c>
      <c r="BF649" s="100">
        <f>649</f>
        <v>649</v>
      </c>
      <c r="BH649" s="108">
        <f t="shared" si="597"/>
        <v>0</v>
      </c>
      <c r="BI649" s="108">
        <f t="shared" si="598"/>
        <v>0</v>
      </c>
      <c r="BJ649" s="108">
        <f t="shared" si="599"/>
        <v>0</v>
      </c>
    </row>
    <row r="650" spans="1:62" x14ac:dyDescent="0.2">
      <c r="A650" s="117" t="s">
        <v>3288</v>
      </c>
      <c r="B650" s="117" t="s">
        <v>3287</v>
      </c>
      <c r="C650" s="304" t="s">
        <v>1609</v>
      </c>
      <c r="D650" s="305"/>
      <c r="E650" s="305"/>
      <c r="F650" s="117" t="s">
        <v>1644</v>
      </c>
      <c r="G650" s="116">
        <v>5</v>
      </c>
      <c r="H650" s="159"/>
      <c r="I650" s="108">
        <f t="shared" si="576"/>
        <v>0</v>
      </c>
      <c r="J650" s="108">
        <f t="shared" si="577"/>
        <v>0</v>
      </c>
      <c r="K650" s="108">
        <f t="shared" si="578"/>
        <v>0</v>
      </c>
      <c r="L650" s="111"/>
      <c r="Z650" s="100">
        <f t="shared" si="579"/>
        <v>0</v>
      </c>
      <c r="AB650" s="100">
        <f t="shared" si="580"/>
        <v>0</v>
      </c>
      <c r="AC650" s="100">
        <f t="shared" si="581"/>
        <v>0</v>
      </c>
      <c r="AD650" s="100">
        <f t="shared" si="582"/>
        <v>0</v>
      </c>
      <c r="AE650" s="100">
        <f t="shared" si="583"/>
        <v>0</v>
      </c>
      <c r="AF650" s="100">
        <f t="shared" si="584"/>
        <v>0</v>
      </c>
      <c r="AG650" s="100">
        <f t="shared" si="585"/>
        <v>0</v>
      </c>
      <c r="AH650" s="100">
        <f t="shared" si="586"/>
        <v>0</v>
      </c>
      <c r="AI650" s="109"/>
      <c r="AJ650" s="108">
        <f t="shared" si="587"/>
        <v>0</v>
      </c>
      <c r="AK650" s="108">
        <f t="shared" si="588"/>
        <v>0</v>
      </c>
      <c r="AL650" s="108">
        <f t="shared" si="589"/>
        <v>0</v>
      </c>
      <c r="AN650" s="100">
        <v>15</v>
      </c>
      <c r="AO650" s="100">
        <f t="shared" si="590"/>
        <v>0</v>
      </c>
      <c r="AP650" s="100">
        <f t="shared" si="591"/>
        <v>0</v>
      </c>
      <c r="AQ650" s="111" t="s">
        <v>7</v>
      </c>
      <c r="AV650" s="100">
        <f t="shared" si="592"/>
        <v>0</v>
      </c>
      <c r="AW650" s="100">
        <f t="shared" si="593"/>
        <v>0</v>
      </c>
      <c r="AX650" s="100">
        <f t="shared" si="594"/>
        <v>0</v>
      </c>
      <c r="AY650" s="110" t="s">
        <v>1722</v>
      </c>
      <c r="AZ650" s="110" t="s">
        <v>1730</v>
      </c>
      <c r="BA650" s="109" t="s">
        <v>1737</v>
      </c>
      <c r="BC650" s="100">
        <f t="shared" si="595"/>
        <v>0</v>
      </c>
      <c r="BD650" s="100">
        <f t="shared" si="596"/>
        <v>0</v>
      </c>
      <c r="BE650" s="100">
        <v>0</v>
      </c>
      <c r="BF650" s="100">
        <f>650</f>
        <v>650</v>
      </c>
      <c r="BH650" s="108">
        <f t="shared" si="597"/>
        <v>0</v>
      </c>
      <c r="BI650" s="108">
        <f t="shared" si="598"/>
        <v>0</v>
      </c>
      <c r="BJ650" s="108">
        <f t="shared" si="599"/>
        <v>0</v>
      </c>
    </row>
    <row r="651" spans="1:62" x14ac:dyDescent="0.2">
      <c r="A651" s="117" t="s">
        <v>3286</v>
      </c>
      <c r="B651" s="117" t="s">
        <v>3285</v>
      </c>
      <c r="C651" s="304" t="s">
        <v>1610</v>
      </c>
      <c r="D651" s="305"/>
      <c r="E651" s="305"/>
      <c r="F651" s="117" t="s">
        <v>1644</v>
      </c>
      <c r="G651" s="116">
        <v>1</v>
      </c>
      <c r="H651" s="159"/>
      <c r="I651" s="108">
        <f t="shared" si="576"/>
        <v>0</v>
      </c>
      <c r="J651" s="108">
        <f t="shared" si="577"/>
        <v>0</v>
      </c>
      <c r="K651" s="108">
        <f t="shared" si="578"/>
        <v>0</v>
      </c>
      <c r="L651" s="111"/>
      <c r="Z651" s="100">
        <f t="shared" si="579"/>
        <v>0</v>
      </c>
      <c r="AB651" s="100">
        <f t="shared" si="580"/>
        <v>0</v>
      </c>
      <c r="AC651" s="100">
        <f t="shared" si="581"/>
        <v>0</v>
      </c>
      <c r="AD651" s="100">
        <f t="shared" si="582"/>
        <v>0</v>
      </c>
      <c r="AE651" s="100">
        <f t="shared" si="583"/>
        <v>0</v>
      </c>
      <c r="AF651" s="100">
        <f t="shared" si="584"/>
        <v>0</v>
      </c>
      <c r="AG651" s="100">
        <f t="shared" si="585"/>
        <v>0</v>
      </c>
      <c r="AH651" s="100">
        <f t="shared" si="586"/>
        <v>0</v>
      </c>
      <c r="AI651" s="109"/>
      <c r="AJ651" s="108">
        <f t="shared" si="587"/>
        <v>0</v>
      </c>
      <c r="AK651" s="108">
        <f t="shared" si="588"/>
        <v>0</v>
      </c>
      <c r="AL651" s="108">
        <f t="shared" si="589"/>
        <v>0</v>
      </c>
      <c r="AN651" s="100">
        <v>15</v>
      </c>
      <c r="AO651" s="100">
        <f t="shared" si="590"/>
        <v>0</v>
      </c>
      <c r="AP651" s="100">
        <f t="shared" si="591"/>
        <v>0</v>
      </c>
      <c r="AQ651" s="111" t="s">
        <v>7</v>
      </c>
      <c r="AV651" s="100">
        <f t="shared" si="592"/>
        <v>0</v>
      </c>
      <c r="AW651" s="100">
        <f t="shared" si="593"/>
        <v>0</v>
      </c>
      <c r="AX651" s="100">
        <f t="shared" si="594"/>
        <v>0</v>
      </c>
      <c r="AY651" s="110" t="s">
        <v>1722</v>
      </c>
      <c r="AZ651" s="110" t="s">
        <v>1730</v>
      </c>
      <c r="BA651" s="109" t="s">
        <v>1737</v>
      </c>
      <c r="BC651" s="100">
        <f t="shared" si="595"/>
        <v>0</v>
      </c>
      <c r="BD651" s="100">
        <f t="shared" si="596"/>
        <v>0</v>
      </c>
      <c r="BE651" s="100">
        <v>0</v>
      </c>
      <c r="BF651" s="100">
        <f>651</f>
        <v>651</v>
      </c>
      <c r="BH651" s="108">
        <f t="shared" si="597"/>
        <v>0</v>
      </c>
      <c r="BI651" s="108">
        <f t="shared" si="598"/>
        <v>0</v>
      </c>
      <c r="BJ651" s="108">
        <f t="shared" si="599"/>
        <v>0</v>
      </c>
    </row>
    <row r="652" spans="1:62" x14ac:dyDescent="0.2">
      <c r="A652" s="117" t="s">
        <v>3284</v>
      </c>
      <c r="B652" s="117" t="s">
        <v>3283</v>
      </c>
      <c r="C652" s="304" t="s">
        <v>1611</v>
      </c>
      <c r="D652" s="305"/>
      <c r="E652" s="305"/>
      <c r="F652" s="117" t="s">
        <v>1651</v>
      </c>
      <c r="G652" s="116">
        <v>1</v>
      </c>
      <c r="H652" s="159"/>
      <c r="I652" s="108">
        <f t="shared" ref="I652:I671" si="600">G652*AO652</f>
        <v>0</v>
      </c>
      <c r="J652" s="108">
        <f t="shared" ref="J652:J671" si="601">G652*AP652</f>
        <v>0</v>
      </c>
      <c r="K652" s="108">
        <f t="shared" ref="K652:K671" si="602">G652*H652</f>
        <v>0</v>
      </c>
      <c r="L652" s="111"/>
      <c r="Z652" s="100">
        <f t="shared" ref="Z652:Z671" si="603">IF(AQ652="5",BJ652,0)</f>
        <v>0</v>
      </c>
      <c r="AB652" s="100">
        <f t="shared" ref="AB652:AB671" si="604">IF(AQ652="1",BH652,0)</f>
        <v>0</v>
      </c>
      <c r="AC652" s="100">
        <f t="shared" ref="AC652:AC671" si="605">IF(AQ652="1",BI652,0)</f>
        <v>0</v>
      </c>
      <c r="AD652" s="100">
        <f t="shared" ref="AD652:AD671" si="606">IF(AQ652="7",BH652,0)</f>
        <v>0</v>
      </c>
      <c r="AE652" s="100">
        <f t="shared" ref="AE652:AE671" si="607">IF(AQ652="7",BI652,0)</f>
        <v>0</v>
      </c>
      <c r="AF652" s="100">
        <f t="shared" ref="AF652:AF671" si="608">IF(AQ652="2",BH652,0)</f>
        <v>0</v>
      </c>
      <c r="AG652" s="100">
        <f t="shared" ref="AG652:AG671" si="609">IF(AQ652="2",BI652,0)</f>
        <v>0</v>
      </c>
      <c r="AH652" s="100">
        <f t="shared" ref="AH652:AH671" si="610">IF(AQ652="0",BJ652,0)</f>
        <v>0</v>
      </c>
      <c r="AI652" s="109"/>
      <c r="AJ652" s="108">
        <f t="shared" ref="AJ652:AJ671" si="611">IF(AN652=0,K652,0)</f>
        <v>0</v>
      </c>
      <c r="AK652" s="108">
        <f t="shared" ref="AK652:AK671" si="612">IF(AN652=15,K652,0)</f>
        <v>0</v>
      </c>
      <c r="AL652" s="108">
        <f t="shared" ref="AL652:AL671" si="613">IF(AN652=21,K652,0)</f>
        <v>0</v>
      </c>
      <c r="AN652" s="100">
        <v>15</v>
      </c>
      <c r="AO652" s="100">
        <f t="shared" ref="AO652:AO671" si="614">H652*0</f>
        <v>0</v>
      </c>
      <c r="AP652" s="100">
        <f t="shared" ref="AP652:AP671" si="615">H652*(1-0)</f>
        <v>0</v>
      </c>
      <c r="AQ652" s="111" t="s">
        <v>7</v>
      </c>
      <c r="AV652" s="100">
        <f t="shared" ref="AV652:AV671" si="616">AW652+AX652</f>
        <v>0</v>
      </c>
      <c r="AW652" s="100">
        <f t="shared" ref="AW652:AW671" si="617">G652*AO652</f>
        <v>0</v>
      </c>
      <c r="AX652" s="100">
        <f t="shared" ref="AX652:AX671" si="618">G652*AP652</f>
        <v>0</v>
      </c>
      <c r="AY652" s="110" t="s">
        <v>1722</v>
      </c>
      <c r="AZ652" s="110" t="s">
        <v>1730</v>
      </c>
      <c r="BA652" s="109" t="s">
        <v>1737</v>
      </c>
      <c r="BC652" s="100">
        <f t="shared" ref="BC652:BC671" si="619">AW652+AX652</f>
        <v>0</v>
      </c>
      <c r="BD652" s="100">
        <f t="shared" ref="BD652:BD671" si="620">H652/(100-BE652)*100</f>
        <v>0</v>
      </c>
      <c r="BE652" s="100">
        <v>0</v>
      </c>
      <c r="BF652" s="100">
        <f>652</f>
        <v>652</v>
      </c>
      <c r="BH652" s="108">
        <f t="shared" ref="BH652:BH671" si="621">G652*AO652</f>
        <v>0</v>
      </c>
      <c r="BI652" s="108">
        <f t="shared" ref="BI652:BI671" si="622">G652*AP652</f>
        <v>0</v>
      </c>
      <c r="BJ652" s="108">
        <f t="shared" ref="BJ652:BJ671" si="623">G652*H652</f>
        <v>0</v>
      </c>
    </row>
    <row r="653" spans="1:62" x14ac:dyDescent="0.2">
      <c r="A653" s="117" t="s">
        <v>3282</v>
      </c>
      <c r="B653" s="117" t="s">
        <v>3281</v>
      </c>
      <c r="C653" s="304" t="s">
        <v>1612</v>
      </c>
      <c r="D653" s="305"/>
      <c r="E653" s="305"/>
      <c r="F653" s="117" t="s">
        <v>1646</v>
      </c>
      <c r="G653" s="116">
        <v>250</v>
      </c>
      <c r="H653" s="159"/>
      <c r="I653" s="108">
        <f t="shared" si="600"/>
        <v>0</v>
      </c>
      <c r="J653" s="108">
        <f t="shared" si="601"/>
        <v>0</v>
      </c>
      <c r="K653" s="108">
        <f t="shared" si="602"/>
        <v>0</v>
      </c>
      <c r="L653" s="111"/>
      <c r="Z653" s="100">
        <f t="shared" si="603"/>
        <v>0</v>
      </c>
      <c r="AB653" s="100">
        <f t="shared" si="604"/>
        <v>0</v>
      </c>
      <c r="AC653" s="100">
        <f t="shared" si="605"/>
        <v>0</v>
      </c>
      <c r="AD653" s="100">
        <f t="shared" si="606"/>
        <v>0</v>
      </c>
      <c r="AE653" s="100">
        <f t="shared" si="607"/>
        <v>0</v>
      </c>
      <c r="AF653" s="100">
        <f t="shared" si="608"/>
        <v>0</v>
      </c>
      <c r="AG653" s="100">
        <f t="shared" si="609"/>
        <v>0</v>
      </c>
      <c r="AH653" s="100">
        <f t="shared" si="610"/>
        <v>0</v>
      </c>
      <c r="AI653" s="109"/>
      <c r="AJ653" s="108">
        <f t="shared" si="611"/>
        <v>0</v>
      </c>
      <c r="AK653" s="108">
        <f t="shared" si="612"/>
        <v>0</v>
      </c>
      <c r="AL653" s="108">
        <f t="shared" si="613"/>
        <v>0</v>
      </c>
      <c r="AN653" s="100">
        <v>15</v>
      </c>
      <c r="AO653" s="100">
        <f t="shared" si="614"/>
        <v>0</v>
      </c>
      <c r="AP653" s="100">
        <f t="shared" si="615"/>
        <v>0</v>
      </c>
      <c r="AQ653" s="111" t="s">
        <v>7</v>
      </c>
      <c r="AV653" s="100">
        <f t="shared" si="616"/>
        <v>0</v>
      </c>
      <c r="AW653" s="100">
        <f t="shared" si="617"/>
        <v>0</v>
      </c>
      <c r="AX653" s="100">
        <f t="shared" si="618"/>
        <v>0</v>
      </c>
      <c r="AY653" s="110" t="s">
        <v>1722</v>
      </c>
      <c r="AZ653" s="110" t="s">
        <v>1730</v>
      </c>
      <c r="BA653" s="109" t="s">
        <v>1737</v>
      </c>
      <c r="BC653" s="100">
        <f t="shared" si="619"/>
        <v>0</v>
      </c>
      <c r="BD653" s="100">
        <f t="shared" si="620"/>
        <v>0</v>
      </c>
      <c r="BE653" s="100">
        <v>0</v>
      </c>
      <c r="BF653" s="100">
        <f>653</f>
        <v>653</v>
      </c>
      <c r="BH653" s="108">
        <f t="shared" si="621"/>
        <v>0</v>
      </c>
      <c r="BI653" s="108">
        <f t="shared" si="622"/>
        <v>0</v>
      </c>
      <c r="BJ653" s="108">
        <f t="shared" si="623"/>
        <v>0</v>
      </c>
    </row>
    <row r="654" spans="1:62" x14ac:dyDescent="0.2">
      <c r="A654" s="117" t="s">
        <v>3280</v>
      </c>
      <c r="B654" s="117" t="s">
        <v>3279</v>
      </c>
      <c r="C654" s="304" t="s">
        <v>1613</v>
      </c>
      <c r="D654" s="305"/>
      <c r="E654" s="305"/>
      <c r="F654" s="117" t="s">
        <v>1646</v>
      </c>
      <c r="G654" s="116">
        <v>50</v>
      </c>
      <c r="H654" s="159"/>
      <c r="I654" s="108">
        <f t="shared" si="600"/>
        <v>0</v>
      </c>
      <c r="J654" s="108">
        <f t="shared" si="601"/>
        <v>0</v>
      </c>
      <c r="K654" s="108">
        <f t="shared" si="602"/>
        <v>0</v>
      </c>
      <c r="L654" s="111"/>
      <c r="Z654" s="100">
        <f t="shared" si="603"/>
        <v>0</v>
      </c>
      <c r="AB654" s="100">
        <f t="shared" si="604"/>
        <v>0</v>
      </c>
      <c r="AC654" s="100">
        <f t="shared" si="605"/>
        <v>0</v>
      </c>
      <c r="AD654" s="100">
        <f t="shared" si="606"/>
        <v>0</v>
      </c>
      <c r="AE654" s="100">
        <f t="shared" si="607"/>
        <v>0</v>
      </c>
      <c r="AF654" s="100">
        <f t="shared" si="608"/>
        <v>0</v>
      </c>
      <c r="AG654" s="100">
        <f t="shared" si="609"/>
        <v>0</v>
      </c>
      <c r="AH654" s="100">
        <f t="shared" si="610"/>
        <v>0</v>
      </c>
      <c r="AI654" s="109"/>
      <c r="AJ654" s="108">
        <f t="shared" si="611"/>
        <v>0</v>
      </c>
      <c r="AK654" s="108">
        <f t="shared" si="612"/>
        <v>0</v>
      </c>
      <c r="AL654" s="108">
        <f t="shared" si="613"/>
        <v>0</v>
      </c>
      <c r="AN654" s="100">
        <v>15</v>
      </c>
      <c r="AO654" s="100">
        <f t="shared" si="614"/>
        <v>0</v>
      </c>
      <c r="AP654" s="100">
        <f t="shared" si="615"/>
        <v>0</v>
      </c>
      <c r="AQ654" s="111" t="s">
        <v>7</v>
      </c>
      <c r="AV654" s="100">
        <f t="shared" si="616"/>
        <v>0</v>
      </c>
      <c r="AW654" s="100">
        <f t="shared" si="617"/>
        <v>0</v>
      </c>
      <c r="AX654" s="100">
        <f t="shared" si="618"/>
        <v>0</v>
      </c>
      <c r="AY654" s="110" t="s">
        <v>1722</v>
      </c>
      <c r="AZ654" s="110" t="s">
        <v>1730</v>
      </c>
      <c r="BA654" s="109" t="s">
        <v>1737</v>
      </c>
      <c r="BC654" s="100">
        <f t="shared" si="619"/>
        <v>0</v>
      </c>
      <c r="BD654" s="100">
        <f t="shared" si="620"/>
        <v>0</v>
      </c>
      <c r="BE654" s="100">
        <v>0</v>
      </c>
      <c r="BF654" s="100">
        <f>654</f>
        <v>654</v>
      </c>
      <c r="BH654" s="108">
        <f t="shared" si="621"/>
        <v>0</v>
      </c>
      <c r="BI654" s="108">
        <f t="shared" si="622"/>
        <v>0</v>
      </c>
      <c r="BJ654" s="108">
        <f t="shared" si="623"/>
        <v>0</v>
      </c>
    </row>
    <row r="655" spans="1:62" x14ac:dyDescent="0.2">
      <c r="A655" s="117" t="s">
        <v>3278</v>
      </c>
      <c r="B655" s="117" t="s">
        <v>3277</v>
      </c>
      <c r="C655" s="304" t="s">
        <v>1614</v>
      </c>
      <c r="D655" s="305"/>
      <c r="E655" s="305"/>
      <c r="F655" s="117" t="s">
        <v>1646</v>
      </c>
      <c r="G655" s="116">
        <v>170</v>
      </c>
      <c r="H655" s="159"/>
      <c r="I655" s="108">
        <f t="shared" si="600"/>
        <v>0</v>
      </c>
      <c r="J655" s="108">
        <f t="shared" si="601"/>
        <v>0</v>
      </c>
      <c r="K655" s="108">
        <f t="shared" si="602"/>
        <v>0</v>
      </c>
      <c r="L655" s="111"/>
      <c r="Z655" s="100">
        <f t="shared" si="603"/>
        <v>0</v>
      </c>
      <c r="AB655" s="100">
        <f t="shared" si="604"/>
        <v>0</v>
      </c>
      <c r="AC655" s="100">
        <f t="shared" si="605"/>
        <v>0</v>
      </c>
      <c r="AD655" s="100">
        <f t="shared" si="606"/>
        <v>0</v>
      </c>
      <c r="AE655" s="100">
        <f t="shared" si="607"/>
        <v>0</v>
      </c>
      <c r="AF655" s="100">
        <f t="shared" si="608"/>
        <v>0</v>
      </c>
      <c r="AG655" s="100">
        <f t="shared" si="609"/>
        <v>0</v>
      </c>
      <c r="AH655" s="100">
        <f t="shared" si="610"/>
        <v>0</v>
      </c>
      <c r="AI655" s="109"/>
      <c r="AJ655" s="108">
        <f t="shared" si="611"/>
        <v>0</v>
      </c>
      <c r="AK655" s="108">
        <f t="shared" si="612"/>
        <v>0</v>
      </c>
      <c r="AL655" s="108">
        <f t="shared" si="613"/>
        <v>0</v>
      </c>
      <c r="AN655" s="100">
        <v>15</v>
      </c>
      <c r="AO655" s="100">
        <f t="shared" si="614"/>
        <v>0</v>
      </c>
      <c r="AP655" s="100">
        <f t="shared" si="615"/>
        <v>0</v>
      </c>
      <c r="AQ655" s="111" t="s">
        <v>7</v>
      </c>
      <c r="AV655" s="100">
        <f t="shared" si="616"/>
        <v>0</v>
      </c>
      <c r="AW655" s="100">
        <f t="shared" si="617"/>
        <v>0</v>
      </c>
      <c r="AX655" s="100">
        <f t="shared" si="618"/>
        <v>0</v>
      </c>
      <c r="AY655" s="110" t="s">
        <v>1722</v>
      </c>
      <c r="AZ655" s="110" t="s">
        <v>1730</v>
      </c>
      <c r="BA655" s="109" t="s">
        <v>1737</v>
      </c>
      <c r="BC655" s="100">
        <f t="shared" si="619"/>
        <v>0</v>
      </c>
      <c r="BD655" s="100">
        <f t="shared" si="620"/>
        <v>0</v>
      </c>
      <c r="BE655" s="100">
        <v>0</v>
      </c>
      <c r="BF655" s="100">
        <f>655</f>
        <v>655</v>
      </c>
      <c r="BH655" s="108">
        <f t="shared" si="621"/>
        <v>0</v>
      </c>
      <c r="BI655" s="108">
        <f t="shared" si="622"/>
        <v>0</v>
      </c>
      <c r="BJ655" s="108">
        <f t="shared" si="623"/>
        <v>0</v>
      </c>
    </row>
    <row r="656" spans="1:62" x14ac:dyDescent="0.2">
      <c r="A656" s="117" t="s">
        <v>3276</v>
      </c>
      <c r="B656" s="117" t="s">
        <v>3275</v>
      </c>
      <c r="C656" s="304" t="s">
        <v>1615</v>
      </c>
      <c r="D656" s="305"/>
      <c r="E656" s="305"/>
      <c r="F656" s="117" t="s">
        <v>1646</v>
      </c>
      <c r="G656" s="116">
        <v>20</v>
      </c>
      <c r="H656" s="159"/>
      <c r="I656" s="108">
        <f t="shared" si="600"/>
        <v>0</v>
      </c>
      <c r="J656" s="108">
        <f t="shared" si="601"/>
        <v>0</v>
      </c>
      <c r="K656" s="108">
        <f t="shared" si="602"/>
        <v>0</v>
      </c>
      <c r="L656" s="111"/>
      <c r="Z656" s="100">
        <f t="shared" si="603"/>
        <v>0</v>
      </c>
      <c r="AB656" s="100">
        <f t="shared" si="604"/>
        <v>0</v>
      </c>
      <c r="AC656" s="100">
        <f t="shared" si="605"/>
        <v>0</v>
      </c>
      <c r="AD656" s="100">
        <f t="shared" si="606"/>
        <v>0</v>
      </c>
      <c r="AE656" s="100">
        <f t="shared" si="607"/>
        <v>0</v>
      </c>
      <c r="AF656" s="100">
        <f t="shared" si="608"/>
        <v>0</v>
      </c>
      <c r="AG656" s="100">
        <f t="shared" si="609"/>
        <v>0</v>
      </c>
      <c r="AH656" s="100">
        <f t="shared" si="610"/>
        <v>0</v>
      </c>
      <c r="AI656" s="109"/>
      <c r="AJ656" s="108">
        <f t="shared" si="611"/>
        <v>0</v>
      </c>
      <c r="AK656" s="108">
        <f t="shared" si="612"/>
        <v>0</v>
      </c>
      <c r="AL656" s="108">
        <f t="shared" si="613"/>
        <v>0</v>
      </c>
      <c r="AN656" s="100">
        <v>15</v>
      </c>
      <c r="AO656" s="100">
        <f t="shared" si="614"/>
        <v>0</v>
      </c>
      <c r="AP656" s="100">
        <f t="shared" si="615"/>
        <v>0</v>
      </c>
      <c r="AQ656" s="111" t="s">
        <v>7</v>
      </c>
      <c r="AV656" s="100">
        <f t="shared" si="616"/>
        <v>0</v>
      </c>
      <c r="AW656" s="100">
        <f t="shared" si="617"/>
        <v>0</v>
      </c>
      <c r="AX656" s="100">
        <f t="shared" si="618"/>
        <v>0</v>
      </c>
      <c r="AY656" s="110" t="s">
        <v>1722</v>
      </c>
      <c r="AZ656" s="110" t="s">
        <v>1730</v>
      </c>
      <c r="BA656" s="109" t="s">
        <v>1737</v>
      </c>
      <c r="BC656" s="100">
        <f t="shared" si="619"/>
        <v>0</v>
      </c>
      <c r="BD656" s="100">
        <f t="shared" si="620"/>
        <v>0</v>
      </c>
      <c r="BE656" s="100">
        <v>0</v>
      </c>
      <c r="BF656" s="100">
        <f>656</f>
        <v>656</v>
      </c>
      <c r="BH656" s="108">
        <f t="shared" si="621"/>
        <v>0</v>
      </c>
      <c r="BI656" s="108">
        <f t="shared" si="622"/>
        <v>0</v>
      </c>
      <c r="BJ656" s="108">
        <f t="shared" si="623"/>
        <v>0</v>
      </c>
    </row>
    <row r="657" spans="1:62" x14ac:dyDescent="0.2">
      <c r="A657" s="117" t="s">
        <v>3274</v>
      </c>
      <c r="B657" s="117" t="s">
        <v>3273</v>
      </c>
      <c r="C657" s="304" t="s">
        <v>1616</v>
      </c>
      <c r="D657" s="305"/>
      <c r="E657" s="305"/>
      <c r="F657" s="117" t="s">
        <v>1646</v>
      </c>
      <c r="G657" s="116">
        <v>55</v>
      </c>
      <c r="H657" s="159"/>
      <c r="I657" s="108">
        <f t="shared" si="600"/>
        <v>0</v>
      </c>
      <c r="J657" s="108">
        <f t="shared" si="601"/>
        <v>0</v>
      </c>
      <c r="K657" s="108">
        <f t="shared" si="602"/>
        <v>0</v>
      </c>
      <c r="L657" s="111"/>
      <c r="Z657" s="100">
        <f t="shared" si="603"/>
        <v>0</v>
      </c>
      <c r="AB657" s="100">
        <f t="shared" si="604"/>
        <v>0</v>
      </c>
      <c r="AC657" s="100">
        <f t="shared" si="605"/>
        <v>0</v>
      </c>
      <c r="AD657" s="100">
        <f t="shared" si="606"/>
        <v>0</v>
      </c>
      <c r="AE657" s="100">
        <f t="shared" si="607"/>
        <v>0</v>
      </c>
      <c r="AF657" s="100">
        <f t="shared" si="608"/>
        <v>0</v>
      </c>
      <c r="AG657" s="100">
        <f t="shared" si="609"/>
        <v>0</v>
      </c>
      <c r="AH657" s="100">
        <f t="shared" si="610"/>
        <v>0</v>
      </c>
      <c r="AI657" s="109"/>
      <c r="AJ657" s="108">
        <f t="shared" si="611"/>
        <v>0</v>
      </c>
      <c r="AK657" s="108">
        <f t="shared" si="612"/>
        <v>0</v>
      </c>
      <c r="AL657" s="108">
        <f t="shared" si="613"/>
        <v>0</v>
      </c>
      <c r="AN657" s="100">
        <v>15</v>
      </c>
      <c r="AO657" s="100">
        <f t="shared" si="614"/>
        <v>0</v>
      </c>
      <c r="AP657" s="100">
        <f t="shared" si="615"/>
        <v>0</v>
      </c>
      <c r="AQ657" s="111" t="s">
        <v>7</v>
      </c>
      <c r="AV657" s="100">
        <f t="shared" si="616"/>
        <v>0</v>
      </c>
      <c r="AW657" s="100">
        <f t="shared" si="617"/>
        <v>0</v>
      </c>
      <c r="AX657" s="100">
        <f t="shared" si="618"/>
        <v>0</v>
      </c>
      <c r="AY657" s="110" t="s">
        <v>1722</v>
      </c>
      <c r="AZ657" s="110" t="s">
        <v>1730</v>
      </c>
      <c r="BA657" s="109" t="s">
        <v>1737</v>
      </c>
      <c r="BC657" s="100">
        <f t="shared" si="619"/>
        <v>0</v>
      </c>
      <c r="BD657" s="100">
        <f t="shared" si="620"/>
        <v>0</v>
      </c>
      <c r="BE657" s="100">
        <v>0</v>
      </c>
      <c r="BF657" s="100">
        <f>657</f>
        <v>657</v>
      </c>
      <c r="BH657" s="108">
        <f t="shared" si="621"/>
        <v>0</v>
      </c>
      <c r="BI657" s="108">
        <f t="shared" si="622"/>
        <v>0</v>
      </c>
      <c r="BJ657" s="108">
        <f t="shared" si="623"/>
        <v>0</v>
      </c>
    </row>
    <row r="658" spans="1:62" x14ac:dyDescent="0.2">
      <c r="A658" s="117" t="s">
        <v>3272</v>
      </c>
      <c r="B658" s="117" t="s">
        <v>3271</v>
      </c>
      <c r="C658" s="304" t="s">
        <v>1617</v>
      </c>
      <c r="D658" s="305"/>
      <c r="E658" s="305"/>
      <c r="F658" s="117" t="s">
        <v>1646</v>
      </c>
      <c r="G658" s="116">
        <v>40</v>
      </c>
      <c r="H658" s="159"/>
      <c r="I658" s="108">
        <f t="shared" si="600"/>
        <v>0</v>
      </c>
      <c r="J658" s="108">
        <f t="shared" si="601"/>
        <v>0</v>
      </c>
      <c r="K658" s="108">
        <f t="shared" si="602"/>
        <v>0</v>
      </c>
      <c r="L658" s="111"/>
      <c r="Z658" s="100">
        <f t="shared" si="603"/>
        <v>0</v>
      </c>
      <c r="AB658" s="100">
        <f t="shared" si="604"/>
        <v>0</v>
      </c>
      <c r="AC658" s="100">
        <f t="shared" si="605"/>
        <v>0</v>
      </c>
      <c r="AD658" s="100">
        <f t="shared" si="606"/>
        <v>0</v>
      </c>
      <c r="AE658" s="100">
        <f t="shared" si="607"/>
        <v>0</v>
      </c>
      <c r="AF658" s="100">
        <f t="shared" si="608"/>
        <v>0</v>
      </c>
      <c r="AG658" s="100">
        <f t="shared" si="609"/>
        <v>0</v>
      </c>
      <c r="AH658" s="100">
        <f t="shared" si="610"/>
        <v>0</v>
      </c>
      <c r="AI658" s="109"/>
      <c r="AJ658" s="108">
        <f t="shared" si="611"/>
        <v>0</v>
      </c>
      <c r="AK658" s="108">
        <f t="shared" si="612"/>
        <v>0</v>
      </c>
      <c r="AL658" s="108">
        <f t="shared" si="613"/>
        <v>0</v>
      </c>
      <c r="AN658" s="100">
        <v>15</v>
      </c>
      <c r="AO658" s="100">
        <f t="shared" si="614"/>
        <v>0</v>
      </c>
      <c r="AP658" s="100">
        <f t="shared" si="615"/>
        <v>0</v>
      </c>
      <c r="AQ658" s="111" t="s">
        <v>7</v>
      </c>
      <c r="AV658" s="100">
        <f t="shared" si="616"/>
        <v>0</v>
      </c>
      <c r="AW658" s="100">
        <f t="shared" si="617"/>
        <v>0</v>
      </c>
      <c r="AX658" s="100">
        <f t="shared" si="618"/>
        <v>0</v>
      </c>
      <c r="AY658" s="110" t="s">
        <v>1722</v>
      </c>
      <c r="AZ658" s="110" t="s">
        <v>1730</v>
      </c>
      <c r="BA658" s="109" t="s">
        <v>1737</v>
      </c>
      <c r="BC658" s="100">
        <f t="shared" si="619"/>
        <v>0</v>
      </c>
      <c r="BD658" s="100">
        <f t="shared" si="620"/>
        <v>0</v>
      </c>
      <c r="BE658" s="100">
        <v>0</v>
      </c>
      <c r="BF658" s="100">
        <f>658</f>
        <v>658</v>
      </c>
      <c r="BH658" s="108">
        <f t="shared" si="621"/>
        <v>0</v>
      </c>
      <c r="BI658" s="108">
        <f t="shared" si="622"/>
        <v>0</v>
      </c>
      <c r="BJ658" s="108">
        <f t="shared" si="623"/>
        <v>0</v>
      </c>
    </row>
    <row r="659" spans="1:62" x14ac:dyDescent="0.2">
      <c r="A659" s="117" t="s">
        <v>3270</v>
      </c>
      <c r="B659" s="117" t="s">
        <v>3268</v>
      </c>
      <c r="C659" s="304" t="s">
        <v>1618</v>
      </c>
      <c r="D659" s="305"/>
      <c r="E659" s="305"/>
      <c r="F659" s="117" t="s">
        <v>1646</v>
      </c>
      <c r="G659" s="116">
        <v>35</v>
      </c>
      <c r="H659" s="159"/>
      <c r="I659" s="108">
        <f t="shared" si="600"/>
        <v>0</v>
      </c>
      <c r="J659" s="108">
        <f t="shared" si="601"/>
        <v>0</v>
      </c>
      <c r="K659" s="108">
        <f t="shared" si="602"/>
        <v>0</v>
      </c>
      <c r="L659" s="111"/>
      <c r="Z659" s="100">
        <f t="shared" si="603"/>
        <v>0</v>
      </c>
      <c r="AB659" s="100">
        <f t="shared" si="604"/>
        <v>0</v>
      </c>
      <c r="AC659" s="100">
        <f t="shared" si="605"/>
        <v>0</v>
      </c>
      <c r="AD659" s="100">
        <f t="shared" si="606"/>
        <v>0</v>
      </c>
      <c r="AE659" s="100">
        <f t="shared" si="607"/>
        <v>0</v>
      </c>
      <c r="AF659" s="100">
        <f t="shared" si="608"/>
        <v>0</v>
      </c>
      <c r="AG659" s="100">
        <f t="shared" si="609"/>
        <v>0</v>
      </c>
      <c r="AH659" s="100">
        <f t="shared" si="610"/>
        <v>0</v>
      </c>
      <c r="AI659" s="109"/>
      <c r="AJ659" s="108">
        <f t="shared" si="611"/>
        <v>0</v>
      </c>
      <c r="AK659" s="108">
        <f t="shared" si="612"/>
        <v>0</v>
      </c>
      <c r="AL659" s="108">
        <f t="shared" si="613"/>
        <v>0</v>
      </c>
      <c r="AN659" s="100">
        <v>15</v>
      </c>
      <c r="AO659" s="100">
        <f t="shared" si="614"/>
        <v>0</v>
      </c>
      <c r="AP659" s="100">
        <f t="shared" si="615"/>
        <v>0</v>
      </c>
      <c r="AQ659" s="111" t="s">
        <v>7</v>
      </c>
      <c r="AV659" s="100">
        <f t="shared" si="616"/>
        <v>0</v>
      </c>
      <c r="AW659" s="100">
        <f t="shared" si="617"/>
        <v>0</v>
      </c>
      <c r="AX659" s="100">
        <f t="shared" si="618"/>
        <v>0</v>
      </c>
      <c r="AY659" s="110" t="s">
        <v>1722</v>
      </c>
      <c r="AZ659" s="110" t="s">
        <v>1730</v>
      </c>
      <c r="BA659" s="109" t="s">
        <v>1737</v>
      </c>
      <c r="BC659" s="100">
        <f t="shared" si="619"/>
        <v>0</v>
      </c>
      <c r="BD659" s="100">
        <f t="shared" si="620"/>
        <v>0</v>
      </c>
      <c r="BE659" s="100">
        <v>0</v>
      </c>
      <c r="BF659" s="100">
        <f>659</f>
        <v>659</v>
      </c>
      <c r="BH659" s="108">
        <f t="shared" si="621"/>
        <v>0</v>
      </c>
      <c r="BI659" s="108">
        <f t="shared" si="622"/>
        <v>0</v>
      </c>
      <c r="BJ659" s="108">
        <f t="shared" si="623"/>
        <v>0</v>
      </c>
    </row>
    <row r="660" spans="1:62" x14ac:dyDescent="0.2">
      <c r="A660" s="117" t="s">
        <v>3269</v>
      </c>
      <c r="B660" s="117" t="s">
        <v>3268</v>
      </c>
      <c r="C660" s="304" t="s">
        <v>1619</v>
      </c>
      <c r="D660" s="305"/>
      <c r="E660" s="305"/>
      <c r="F660" s="117" t="s">
        <v>1644</v>
      </c>
      <c r="G660" s="116">
        <v>1</v>
      </c>
      <c r="H660" s="159"/>
      <c r="I660" s="108">
        <f t="shared" si="600"/>
        <v>0</v>
      </c>
      <c r="J660" s="108">
        <f t="shared" si="601"/>
        <v>0</v>
      </c>
      <c r="K660" s="108">
        <f t="shared" si="602"/>
        <v>0</v>
      </c>
      <c r="L660" s="111"/>
      <c r="Z660" s="100">
        <f t="shared" si="603"/>
        <v>0</v>
      </c>
      <c r="AB660" s="100">
        <f t="shared" si="604"/>
        <v>0</v>
      </c>
      <c r="AC660" s="100">
        <f t="shared" si="605"/>
        <v>0</v>
      </c>
      <c r="AD660" s="100">
        <f t="shared" si="606"/>
        <v>0</v>
      </c>
      <c r="AE660" s="100">
        <f t="shared" si="607"/>
        <v>0</v>
      </c>
      <c r="AF660" s="100">
        <f t="shared" si="608"/>
        <v>0</v>
      </c>
      <c r="AG660" s="100">
        <f t="shared" si="609"/>
        <v>0</v>
      </c>
      <c r="AH660" s="100">
        <f t="shared" si="610"/>
        <v>0</v>
      </c>
      <c r="AI660" s="109"/>
      <c r="AJ660" s="108">
        <f t="shared" si="611"/>
        <v>0</v>
      </c>
      <c r="AK660" s="108">
        <f t="shared" si="612"/>
        <v>0</v>
      </c>
      <c r="AL660" s="108">
        <f t="shared" si="613"/>
        <v>0</v>
      </c>
      <c r="AN660" s="100">
        <v>15</v>
      </c>
      <c r="AO660" s="100">
        <f t="shared" si="614"/>
        <v>0</v>
      </c>
      <c r="AP660" s="100">
        <f t="shared" si="615"/>
        <v>0</v>
      </c>
      <c r="AQ660" s="111" t="s">
        <v>7</v>
      </c>
      <c r="AV660" s="100">
        <f t="shared" si="616"/>
        <v>0</v>
      </c>
      <c r="AW660" s="100">
        <f t="shared" si="617"/>
        <v>0</v>
      </c>
      <c r="AX660" s="100">
        <f t="shared" si="618"/>
        <v>0</v>
      </c>
      <c r="AY660" s="110" t="s">
        <v>1722</v>
      </c>
      <c r="AZ660" s="110" t="s">
        <v>1730</v>
      </c>
      <c r="BA660" s="109" t="s">
        <v>1737</v>
      </c>
      <c r="BC660" s="100">
        <f t="shared" si="619"/>
        <v>0</v>
      </c>
      <c r="BD660" s="100">
        <f t="shared" si="620"/>
        <v>0</v>
      </c>
      <c r="BE660" s="100">
        <v>0</v>
      </c>
      <c r="BF660" s="100">
        <f>660</f>
        <v>660</v>
      </c>
      <c r="BH660" s="108">
        <f t="shared" si="621"/>
        <v>0</v>
      </c>
      <c r="BI660" s="108">
        <f t="shared" si="622"/>
        <v>0</v>
      </c>
      <c r="BJ660" s="108">
        <f t="shared" si="623"/>
        <v>0</v>
      </c>
    </row>
    <row r="661" spans="1:62" x14ac:dyDescent="0.2">
      <c r="A661" s="117" t="s">
        <v>3267</v>
      </c>
      <c r="B661" s="117" t="s">
        <v>3266</v>
      </c>
      <c r="C661" s="304" t="s">
        <v>1620</v>
      </c>
      <c r="D661" s="305"/>
      <c r="E661" s="305"/>
      <c r="F661" s="117" t="s">
        <v>1644</v>
      </c>
      <c r="G661" s="116">
        <v>1</v>
      </c>
      <c r="H661" s="159"/>
      <c r="I661" s="108">
        <f t="shared" si="600"/>
        <v>0</v>
      </c>
      <c r="J661" s="108">
        <f t="shared" si="601"/>
        <v>0</v>
      </c>
      <c r="K661" s="108">
        <f t="shared" si="602"/>
        <v>0</v>
      </c>
      <c r="L661" s="111"/>
      <c r="Z661" s="100">
        <f t="shared" si="603"/>
        <v>0</v>
      </c>
      <c r="AB661" s="100">
        <f t="shared" si="604"/>
        <v>0</v>
      </c>
      <c r="AC661" s="100">
        <f t="shared" si="605"/>
        <v>0</v>
      </c>
      <c r="AD661" s="100">
        <f t="shared" si="606"/>
        <v>0</v>
      </c>
      <c r="AE661" s="100">
        <f t="shared" si="607"/>
        <v>0</v>
      </c>
      <c r="AF661" s="100">
        <f t="shared" si="608"/>
        <v>0</v>
      </c>
      <c r="AG661" s="100">
        <f t="shared" si="609"/>
        <v>0</v>
      </c>
      <c r="AH661" s="100">
        <f t="shared" si="610"/>
        <v>0</v>
      </c>
      <c r="AI661" s="109"/>
      <c r="AJ661" s="108">
        <f t="shared" si="611"/>
        <v>0</v>
      </c>
      <c r="AK661" s="108">
        <f t="shared" si="612"/>
        <v>0</v>
      </c>
      <c r="AL661" s="108">
        <f t="shared" si="613"/>
        <v>0</v>
      </c>
      <c r="AN661" s="100">
        <v>15</v>
      </c>
      <c r="AO661" s="100">
        <f t="shared" si="614"/>
        <v>0</v>
      </c>
      <c r="AP661" s="100">
        <f t="shared" si="615"/>
        <v>0</v>
      </c>
      <c r="AQ661" s="111" t="s">
        <v>7</v>
      </c>
      <c r="AV661" s="100">
        <f t="shared" si="616"/>
        <v>0</v>
      </c>
      <c r="AW661" s="100">
        <f t="shared" si="617"/>
        <v>0</v>
      </c>
      <c r="AX661" s="100">
        <f t="shared" si="618"/>
        <v>0</v>
      </c>
      <c r="AY661" s="110" t="s">
        <v>1722</v>
      </c>
      <c r="AZ661" s="110" t="s">
        <v>1730</v>
      </c>
      <c r="BA661" s="109" t="s">
        <v>1737</v>
      </c>
      <c r="BC661" s="100">
        <f t="shared" si="619"/>
        <v>0</v>
      </c>
      <c r="BD661" s="100">
        <f t="shared" si="620"/>
        <v>0</v>
      </c>
      <c r="BE661" s="100">
        <v>0</v>
      </c>
      <c r="BF661" s="100">
        <f>661</f>
        <v>661</v>
      </c>
      <c r="BH661" s="108">
        <f t="shared" si="621"/>
        <v>0</v>
      </c>
      <c r="BI661" s="108">
        <f t="shared" si="622"/>
        <v>0</v>
      </c>
      <c r="BJ661" s="108">
        <f t="shared" si="623"/>
        <v>0</v>
      </c>
    </row>
    <row r="662" spans="1:62" x14ac:dyDescent="0.2">
      <c r="A662" s="117" t="s">
        <v>3265</v>
      </c>
      <c r="B662" s="117" t="s">
        <v>3264</v>
      </c>
      <c r="C662" s="304" t="s">
        <v>1621</v>
      </c>
      <c r="D662" s="305"/>
      <c r="E662" s="305"/>
      <c r="F662" s="117" t="s">
        <v>1644</v>
      </c>
      <c r="G662" s="116">
        <v>1</v>
      </c>
      <c r="H662" s="159"/>
      <c r="I662" s="108">
        <f t="shared" si="600"/>
        <v>0</v>
      </c>
      <c r="J662" s="108">
        <f t="shared" si="601"/>
        <v>0</v>
      </c>
      <c r="K662" s="108">
        <f t="shared" si="602"/>
        <v>0</v>
      </c>
      <c r="L662" s="111"/>
      <c r="Z662" s="100">
        <f t="shared" si="603"/>
        <v>0</v>
      </c>
      <c r="AB662" s="100">
        <f t="shared" si="604"/>
        <v>0</v>
      </c>
      <c r="AC662" s="100">
        <f t="shared" si="605"/>
        <v>0</v>
      </c>
      <c r="AD662" s="100">
        <f t="shared" si="606"/>
        <v>0</v>
      </c>
      <c r="AE662" s="100">
        <f t="shared" si="607"/>
        <v>0</v>
      </c>
      <c r="AF662" s="100">
        <f t="shared" si="608"/>
        <v>0</v>
      </c>
      <c r="AG662" s="100">
        <f t="shared" si="609"/>
        <v>0</v>
      </c>
      <c r="AH662" s="100">
        <f t="shared" si="610"/>
        <v>0</v>
      </c>
      <c r="AI662" s="109"/>
      <c r="AJ662" s="108">
        <f t="shared" si="611"/>
        <v>0</v>
      </c>
      <c r="AK662" s="108">
        <f t="shared" si="612"/>
        <v>0</v>
      </c>
      <c r="AL662" s="108">
        <f t="shared" si="613"/>
        <v>0</v>
      </c>
      <c r="AN662" s="100">
        <v>15</v>
      </c>
      <c r="AO662" s="100">
        <f t="shared" si="614"/>
        <v>0</v>
      </c>
      <c r="AP662" s="100">
        <f t="shared" si="615"/>
        <v>0</v>
      </c>
      <c r="AQ662" s="111" t="s">
        <v>7</v>
      </c>
      <c r="AV662" s="100">
        <f t="shared" si="616"/>
        <v>0</v>
      </c>
      <c r="AW662" s="100">
        <f t="shared" si="617"/>
        <v>0</v>
      </c>
      <c r="AX662" s="100">
        <f t="shared" si="618"/>
        <v>0</v>
      </c>
      <c r="AY662" s="110" t="s">
        <v>1722</v>
      </c>
      <c r="AZ662" s="110" t="s">
        <v>1730</v>
      </c>
      <c r="BA662" s="109" t="s">
        <v>1737</v>
      </c>
      <c r="BC662" s="100">
        <f t="shared" si="619"/>
        <v>0</v>
      </c>
      <c r="BD662" s="100">
        <f t="shared" si="620"/>
        <v>0</v>
      </c>
      <c r="BE662" s="100">
        <v>0</v>
      </c>
      <c r="BF662" s="100">
        <f>662</f>
        <v>662</v>
      </c>
      <c r="BH662" s="108">
        <f t="shared" si="621"/>
        <v>0</v>
      </c>
      <c r="BI662" s="108">
        <f t="shared" si="622"/>
        <v>0</v>
      </c>
      <c r="BJ662" s="108">
        <f t="shared" si="623"/>
        <v>0</v>
      </c>
    </row>
    <row r="663" spans="1:62" x14ac:dyDescent="0.2">
      <c r="A663" s="117" t="s">
        <v>3263</v>
      </c>
      <c r="B663" s="117" t="s">
        <v>3262</v>
      </c>
      <c r="C663" s="304" t="s">
        <v>1622</v>
      </c>
      <c r="D663" s="305"/>
      <c r="E663" s="305"/>
      <c r="F663" s="117" t="s">
        <v>1644</v>
      </c>
      <c r="G663" s="116">
        <v>1</v>
      </c>
      <c r="H663" s="159"/>
      <c r="I663" s="108">
        <f t="shared" si="600"/>
        <v>0</v>
      </c>
      <c r="J663" s="108">
        <f t="shared" si="601"/>
        <v>0</v>
      </c>
      <c r="K663" s="108">
        <f t="shared" si="602"/>
        <v>0</v>
      </c>
      <c r="L663" s="111"/>
      <c r="Z663" s="100">
        <f t="shared" si="603"/>
        <v>0</v>
      </c>
      <c r="AB663" s="100">
        <f t="shared" si="604"/>
        <v>0</v>
      </c>
      <c r="AC663" s="100">
        <f t="shared" si="605"/>
        <v>0</v>
      </c>
      <c r="AD663" s="100">
        <f t="shared" si="606"/>
        <v>0</v>
      </c>
      <c r="AE663" s="100">
        <f t="shared" si="607"/>
        <v>0</v>
      </c>
      <c r="AF663" s="100">
        <f t="shared" si="608"/>
        <v>0</v>
      </c>
      <c r="AG663" s="100">
        <f t="shared" si="609"/>
        <v>0</v>
      </c>
      <c r="AH663" s="100">
        <f t="shared" si="610"/>
        <v>0</v>
      </c>
      <c r="AI663" s="109"/>
      <c r="AJ663" s="108">
        <f t="shared" si="611"/>
        <v>0</v>
      </c>
      <c r="AK663" s="108">
        <f t="shared" si="612"/>
        <v>0</v>
      </c>
      <c r="AL663" s="108">
        <f t="shared" si="613"/>
        <v>0</v>
      </c>
      <c r="AN663" s="100">
        <v>15</v>
      </c>
      <c r="AO663" s="100">
        <f t="shared" si="614"/>
        <v>0</v>
      </c>
      <c r="AP663" s="100">
        <f t="shared" si="615"/>
        <v>0</v>
      </c>
      <c r="AQ663" s="111" t="s">
        <v>7</v>
      </c>
      <c r="AV663" s="100">
        <f t="shared" si="616"/>
        <v>0</v>
      </c>
      <c r="AW663" s="100">
        <f t="shared" si="617"/>
        <v>0</v>
      </c>
      <c r="AX663" s="100">
        <f t="shared" si="618"/>
        <v>0</v>
      </c>
      <c r="AY663" s="110" t="s">
        <v>1722</v>
      </c>
      <c r="AZ663" s="110" t="s">
        <v>1730</v>
      </c>
      <c r="BA663" s="109" t="s">
        <v>1737</v>
      </c>
      <c r="BC663" s="100">
        <f t="shared" si="619"/>
        <v>0</v>
      </c>
      <c r="BD663" s="100">
        <f t="shared" si="620"/>
        <v>0</v>
      </c>
      <c r="BE663" s="100">
        <v>0</v>
      </c>
      <c r="BF663" s="100">
        <f>663</f>
        <v>663</v>
      </c>
      <c r="BH663" s="108">
        <f t="shared" si="621"/>
        <v>0</v>
      </c>
      <c r="BI663" s="108">
        <f t="shared" si="622"/>
        <v>0</v>
      </c>
      <c r="BJ663" s="108">
        <f t="shared" si="623"/>
        <v>0</v>
      </c>
    </row>
    <row r="664" spans="1:62" x14ac:dyDescent="0.2">
      <c r="A664" s="117" t="s">
        <v>3261</v>
      </c>
      <c r="B664" s="117" t="s">
        <v>3260</v>
      </c>
      <c r="C664" s="304" t="s">
        <v>1623</v>
      </c>
      <c r="D664" s="305"/>
      <c r="E664" s="305"/>
      <c r="F664" s="117" t="s">
        <v>1644</v>
      </c>
      <c r="G664" s="116">
        <v>1</v>
      </c>
      <c r="H664" s="159"/>
      <c r="I664" s="108">
        <f t="shared" si="600"/>
        <v>0</v>
      </c>
      <c r="J664" s="108">
        <f t="shared" si="601"/>
        <v>0</v>
      </c>
      <c r="K664" s="108">
        <f t="shared" si="602"/>
        <v>0</v>
      </c>
      <c r="L664" s="111"/>
      <c r="Z664" s="100">
        <f t="shared" si="603"/>
        <v>0</v>
      </c>
      <c r="AB664" s="100">
        <f t="shared" si="604"/>
        <v>0</v>
      </c>
      <c r="AC664" s="100">
        <f t="shared" si="605"/>
        <v>0</v>
      </c>
      <c r="AD664" s="100">
        <f t="shared" si="606"/>
        <v>0</v>
      </c>
      <c r="AE664" s="100">
        <f t="shared" si="607"/>
        <v>0</v>
      </c>
      <c r="AF664" s="100">
        <f t="shared" si="608"/>
        <v>0</v>
      </c>
      <c r="AG664" s="100">
        <f t="shared" si="609"/>
        <v>0</v>
      </c>
      <c r="AH664" s="100">
        <f t="shared" si="610"/>
        <v>0</v>
      </c>
      <c r="AI664" s="109"/>
      <c r="AJ664" s="108">
        <f t="shared" si="611"/>
        <v>0</v>
      </c>
      <c r="AK664" s="108">
        <f t="shared" si="612"/>
        <v>0</v>
      </c>
      <c r="AL664" s="108">
        <f t="shared" si="613"/>
        <v>0</v>
      </c>
      <c r="AN664" s="100">
        <v>15</v>
      </c>
      <c r="AO664" s="100">
        <f t="shared" si="614"/>
        <v>0</v>
      </c>
      <c r="AP664" s="100">
        <f t="shared" si="615"/>
        <v>0</v>
      </c>
      <c r="AQ664" s="111" t="s">
        <v>7</v>
      </c>
      <c r="AV664" s="100">
        <f t="shared" si="616"/>
        <v>0</v>
      </c>
      <c r="AW664" s="100">
        <f t="shared" si="617"/>
        <v>0</v>
      </c>
      <c r="AX664" s="100">
        <f t="shared" si="618"/>
        <v>0</v>
      </c>
      <c r="AY664" s="110" t="s">
        <v>1722</v>
      </c>
      <c r="AZ664" s="110" t="s">
        <v>1730</v>
      </c>
      <c r="BA664" s="109" t="s">
        <v>1737</v>
      </c>
      <c r="BC664" s="100">
        <f t="shared" si="619"/>
        <v>0</v>
      </c>
      <c r="BD664" s="100">
        <f t="shared" si="620"/>
        <v>0</v>
      </c>
      <c r="BE664" s="100">
        <v>0</v>
      </c>
      <c r="BF664" s="100">
        <f>664</f>
        <v>664</v>
      </c>
      <c r="BH664" s="108">
        <f t="shared" si="621"/>
        <v>0</v>
      </c>
      <c r="BI664" s="108">
        <f t="shared" si="622"/>
        <v>0</v>
      </c>
      <c r="BJ664" s="108">
        <f t="shared" si="623"/>
        <v>0</v>
      </c>
    </row>
    <row r="665" spans="1:62" x14ac:dyDescent="0.2">
      <c r="A665" s="117" t="s">
        <v>3259</v>
      </c>
      <c r="B665" s="117" t="s">
        <v>3258</v>
      </c>
      <c r="C665" s="304" t="s">
        <v>1624</v>
      </c>
      <c r="D665" s="305"/>
      <c r="E665" s="305"/>
      <c r="F665" s="117" t="s">
        <v>1644</v>
      </c>
      <c r="G665" s="116">
        <v>1</v>
      </c>
      <c r="H665" s="159"/>
      <c r="I665" s="108">
        <f t="shared" si="600"/>
        <v>0</v>
      </c>
      <c r="J665" s="108">
        <f t="shared" si="601"/>
        <v>0</v>
      </c>
      <c r="K665" s="108">
        <f t="shared" si="602"/>
        <v>0</v>
      </c>
      <c r="L665" s="111"/>
      <c r="Z665" s="100">
        <f t="shared" si="603"/>
        <v>0</v>
      </c>
      <c r="AB665" s="100">
        <f t="shared" si="604"/>
        <v>0</v>
      </c>
      <c r="AC665" s="100">
        <f t="shared" si="605"/>
        <v>0</v>
      </c>
      <c r="AD665" s="100">
        <f t="shared" si="606"/>
        <v>0</v>
      </c>
      <c r="AE665" s="100">
        <f t="shared" si="607"/>
        <v>0</v>
      </c>
      <c r="AF665" s="100">
        <f t="shared" si="608"/>
        <v>0</v>
      </c>
      <c r="AG665" s="100">
        <f t="shared" si="609"/>
        <v>0</v>
      </c>
      <c r="AH665" s="100">
        <f t="shared" si="610"/>
        <v>0</v>
      </c>
      <c r="AI665" s="109"/>
      <c r="AJ665" s="108">
        <f t="shared" si="611"/>
        <v>0</v>
      </c>
      <c r="AK665" s="108">
        <f t="shared" si="612"/>
        <v>0</v>
      </c>
      <c r="AL665" s="108">
        <f t="shared" si="613"/>
        <v>0</v>
      </c>
      <c r="AN665" s="100">
        <v>15</v>
      </c>
      <c r="AO665" s="100">
        <f t="shared" si="614"/>
        <v>0</v>
      </c>
      <c r="AP665" s="100">
        <f t="shared" si="615"/>
        <v>0</v>
      </c>
      <c r="AQ665" s="111" t="s">
        <v>7</v>
      </c>
      <c r="AV665" s="100">
        <f t="shared" si="616"/>
        <v>0</v>
      </c>
      <c r="AW665" s="100">
        <f t="shared" si="617"/>
        <v>0</v>
      </c>
      <c r="AX665" s="100">
        <f t="shared" si="618"/>
        <v>0</v>
      </c>
      <c r="AY665" s="110" t="s">
        <v>1722</v>
      </c>
      <c r="AZ665" s="110" t="s">
        <v>1730</v>
      </c>
      <c r="BA665" s="109" t="s">
        <v>1737</v>
      </c>
      <c r="BC665" s="100">
        <f t="shared" si="619"/>
        <v>0</v>
      </c>
      <c r="BD665" s="100">
        <f t="shared" si="620"/>
        <v>0</v>
      </c>
      <c r="BE665" s="100">
        <v>0</v>
      </c>
      <c r="BF665" s="100">
        <f>665</f>
        <v>665</v>
      </c>
      <c r="BH665" s="108">
        <f t="shared" si="621"/>
        <v>0</v>
      </c>
      <c r="BI665" s="108">
        <f t="shared" si="622"/>
        <v>0</v>
      </c>
      <c r="BJ665" s="108">
        <f t="shared" si="623"/>
        <v>0</v>
      </c>
    </row>
    <row r="666" spans="1:62" x14ac:dyDescent="0.2">
      <c r="A666" s="117" t="s">
        <v>3257</v>
      </c>
      <c r="B666" s="117" t="s">
        <v>3256</v>
      </c>
      <c r="C666" s="304" t="s">
        <v>1625</v>
      </c>
      <c r="D666" s="305"/>
      <c r="E666" s="305"/>
      <c r="F666" s="117" t="s">
        <v>1644</v>
      </c>
      <c r="G666" s="116">
        <v>1</v>
      </c>
      <c r="H666" s="159"/>
      <c r="I666" s="108">
        <f t="shared" si="600"/>
        <v>0</v>
      </c>
      <c r="J666" s="108">
        <f t="shared" si="601"/>
        <v>0</v>
      </c>
      <c r="K666" s="108">
        <f t="shared" si="602"/>
        <v>0</v>
      </c>
      <c r="L666" s="111"/>
      <c r="Z666" s="100">
        <f t="shared" si="603"/>
        <v>0</v>
      </c>
      <c r="AB666" s="100">
        <f t="shared" si="604"/>
        <v>0</v>
      </c>
      <c r="AC666" s="100">
        <f t="shared" si="605"/>
        <v>0</v>
      </c>
      <c r="AD666" s="100">
        <f t="shared" si="606"/>
        <v>0</v>
      </c>
      <c r="AE666" s="100">
        <f t="shared" si="607"/>
        <v>0</v>
      </c>
      <c r="AF666" s="100">
        <f t="shared" si="608"/>
        <v>0</v>
      </c>
      <c r="AG666" s="100">
        <f t="shared" si="609"/>
        <v>0</v>
      </c>
      <c r="AH666" s="100">
        <f t="shared" si="610"/>
        <v>0</v>
      </c>
      <c r="AI666" s="109"/>
      <c r="AJ666" s="108">
        <f t="shared" si="611"/>
        <v>0</v>
      </c>
      <c r="AK666" s="108">
        <f t="shared" si="612"/>
        <v>0</v>
      </c>
      <c r="AL666" s="108">
        <f t="shared" si="613"/>
        <v>0</v>
      </c>
      <c r="AN666" s="100">
        <v>15</v>
      </c>
      <c r="AO666" s="100">
        <f t="shared" si="614"/>
        <v>0</v>
      </c>
      <c r="AP666" s="100">
        <f t="shared" si="615"/>
        <v>0</v>
      </c>
      <c r="AQ666" s="111" t="s">
        <v>7</v>
      </c>
      <c r="AV666" s="100">
        <f t="shared" si="616"/>
        <v>0</v>
      </c>
      <c r="AW666" s="100">
        <f t="shared" si="617"/>
        <v>0</v>
      </c>
      <c r="AX666" s="100">
        <f t="shared" si="618"/>
        <v>0</v>
      </c>
      <c r="AY666" s="110" t="s">
        <v>1722</v>
      </c>
      <c r="AZ666" s="110" t="s">
        <v>1730</v>
      </c>
      <c r="BA666" s="109" t="s">
        <v>1737</v>
      </c>
      <c r="BC666" s="100">
        <f t="shared" si="619"/>
        <v>0</v>
      </c>
      <c r="BD666" s="100">
        <f t="shared" si="620"/>
        <v>0</v>
      </c>
      <c r="BE666" s="100">
        <v>0</v>
      </c>
      <c r="BF666" s="100">
        <f>666</f>
        <v>666</v>
      </c>
      <c r="BH666" s="108">
        <f t="shared" si="621"/>
        <v>0</v>
      </c>
      <c r="BI666" s="108">
        <f t="shared" si="622"/>
        <v>0</v>
      </c>
      <c r="BJ666" s="108">
        <f t="shared" si="623"/>
        <v>0</v>
      </c>
    </row>
    <row r="667" spans="1:62" x14ac:dyDescent="0.2">
      <c r="A667" s="117" t="s">
        <v>3255</v>
      </c>
      <c r="B667" s="117" t="s">
        <v>3254</v>
      </c>
      <c r="C667" s="304" t="s">
        <v>1626</v>
      </c>
      <c r="D667" s="305"/>
      <c r="E667" s="305"/>
      <c r="F667" s="117" t="s">
        <v>1644</v>
      </c>
      <c r="G667" s="116">
        <v>2</v>
      </c>
      <c r="H667" s="159"/>
      <c r="I667" s="108">
        <f t="shared" si="600"/>
        <v>0</v>
      </c>
      <c r="J667" s="108">
        <f t="shared" si="601"/>
        <v>0</v>
      </c>
      <c r="K667" s="108">
        <f t="shared" si="602"/>
        <v>0</v>
      </c>
      <c r="L667" s="111"/>
      <c r="Z667" s="100">
        <f t="shared" si="603"/>
        <v>0</v>
      </c>
      <c r="AB667" s="100">
        <f t="shared" si="604"/>
        <v>0</v>
      </c>
      <c r="AC667" s="100">
        <f t="shared" si="605"/>
        <v>0</v>
      </c>
      <c r="AD667" s="100">
        <f t="shared" si="606"/>
        <v>0</v>
      </c>
      <c r="AE667" s="100">
        <f t="shared" si="607"/>
        <v>0</v>
      </c>
      <c r="AF667" s="100">
        <f t="shared" si="608"/>
        <v>0</v>
      </c>
      <c r="AG667" s="100">
        <f t="shared" si="609"/>
        <v>0</v>
      </c>
      <c r="AH667" s="100">
        <f t="shared" si="610"/>
        <v>0</v>
      </c>
      <c r="AI667" s="109"/>
      <c r="AJ667" s="108">
        <f t="shared" si="611"/>
        <v>0</v>
      </c>
      <c r="AK667" s="108">
        <f t="shared" si="612"/>
        <v>0</v>
      </c>
      <c r="AL667" s="108">
        <f t="shared" si="613"/>
        <v>0</v>
      </c>
      <c r="AN667" s="100">
        <v>15</v>
      </c>
      <c r="AO667" s="100">
        <f t="shared" si="614"/>
        <v>0</v>
      </c>
      <c r="AP667" s="100">
        <f t="shared" si="615"/>
        <v>0</v>
      </c>
      <c r="AQ667" s="111" t="s">
        <v>7</v>
      </c>
      <c r="AV667" s="100">
        <f t="shared" si="616"/>
        <v>0</v>
      </c>
      <c r="AW667" s="100">
        <f t="shared" si="617"/>
        <v>0</v>
      </c>
      <c r="AX667" s="100">
        <f t="shared" si="618"/>
        <v>0</v>
      </c>
      <c r="AY667" s="110" t="s">
        <v>1722</v>
      </c>
      <c r="AZ667" s="110" t="s">
        <v>1730</v>
      </c>
      <c r="BA667" s="109" t="s">
        <v>1737</v>
      </c>
      <c r="BC667" s="100">
        <f t="shared" si="619"/>
        <v>0</v>
      </c>
      <c r="BD667" s="100">
        <f t="shared" si="620"/>
        <v>0</v>
      </c>
      <c r="BE667" s="100">
        <v>0</v>
      </c>
      <c r="BF667" s="100">
        <f>667</f>
        <v>667</v>
      </c>
      <c r="BH667" s="108">
        <f t="shared" si="621"/>
        <v>0</v>
      </c>
      <c r="BI667" s="108">
        <f t="shared" si="622"/>
        <v>0</v>
      </c>
      <c r="BJ667" s="108">
        <f t="shared" si="623"/>
        <v>0</v>
      </c>
    </row>
    <row r="668" spans="1:62" x14ac:dyDescent="0.2">
      <c r="A668" s="117" t="s">
        <v>3253</v>
      </c>
      <c r="B668" s="117" t="s">
        <v>3252</v>
      </c>
      <c r="C668" s="304" t="s">
        <v>1627</v>
      </c>
      <c r="D668" s="305"/>
      <c r="E668" s="305"/>
      <c r="F668" s="117" t="s">
        <v>1644</v>
      </c>
      <c r="G668" s="116">
        <v>1</v>
      </c>
      <c r="H668" s="159"/>
      <c r="I668" s="108">
        <f t="shared" si="600"/>
        <v>0</v>
      </c>
      <c r="J668" s="108">
        <f t="shared" si="601"/>
        <v>0</v>
      </c>
      <c r="K668" s="108">
        <f t="shared" si="602"/>
        <v>0</v>
      </c>
      <c r="L668" s="111"/>
      <c r="Z668" s="100">
        <f t="shared" si="603"/>
        <v>0</v>
      </c>
      <c r="AB668" s="100">
        <f t="shared" si="604"/>
        <v>0</v>
      </c>
      <c r="AC668" s="100">
        <f t="shared" si="605"/>
        <v>0</v>
      </c>
      <c r="AD668" s="100">
        <f t="shared" si="606"/>
        <v>0</v>
      </c>
      <c r="AE668" s="100">
        <f t="shared" si="607"/>
        <v>0</v>
      </c>
      <c r="AF668" s="100">
        <f t="shared" si="608"/>
        <v>0</v>
      </c>
      <c r="AG668" s="100">
        <f t="shared" si="609"/>
        <v>0</v>
      </c>
      <c r="AH668" s="100">
        <f t="shared" si="610"/>
        <v>0</v>
      </c>
      <c r="AI668" s="109"/>
      <c r="AJ668" s="108">
        <f t="shared" si="611"/>
        <v>0</v>
      </c>
      <c r="AK668" s="108">
        <f t="shared" si="612"/>
        <v>0</v>
      </c>
      <c r="AL668" s="108">
        <f t="shared" si="613"/>
        <v>0</v>
      </c>
      <c r="AN668" s="100">
        <v>15</v>
      </c>
      <c r="AO668" s="100">
        <f t="shared" si="614"/>
        <v>0</v>
      </c>
      <c r="AP668" s="100">
        <f t="shared" si="615"/>
        <v>0</v>
      </c>
      <c r="AQ668" s="111" t="s">
        <v>7</v>
      </c>
      <c r="AV668" s="100">
        <f t="shared" si="616"/>
        <v>0</v>
      </c>
      <c r="AW668" s="100">
        <f t="shared" si="617"/>
        <v>0</v>
      </c>
      <c r="AX668" s="100">
        <f t="shared" si="618"/>
        <v>0</v>
      </c>
      <c r="AY668" s="110" t="s">
        <v>1722</v>
      </c>
      <c r="AZ668" s="110" t="s">
        <v>1730</v>
      </c>
      <c r="BA668" s="109" t="s">
        <v>1737</v>
      </c>
      <c r="BC668" s="100">
        <f t="shared" si="619"/>
        <v>0</v>
      </c>
      <c r="BD668" s="100">
        <f t="shared" si="620"/>
        <v>0</v>
      </c>
      <c r="BE668" s="100">
        <v>0</v>
      </c>
      <c r="BF668" s="100">
        <f>668</f>
        <v>668</v>
      </c>
      <c r="BH668" s="108">
        <f t="shared" si="621"/>
        <v>0</v>
      </c>
      <c r="BI668" s="108">
        <f t="shared" si="622"/>
        <v>0</v>
      </c>
      <c r="BJ668" s="108">
        <f t="shared" si="623"/>
        <v>0</v>
      </c>
    </row>
    <row r="669" spans="1:62" x14ac:dyDescent="0.2">
      <c r="A669" s="117" t="s">
        <v>3251</v>
      </c>
      <c r="B669" s="117" t="s">
        <v>3250</v>
      </c>
      <c r="C669" s="304" t="s">
        <v>1628</v>
      </c>
      <c r="D669" s="305"/>
      <c r="E669" s="305"/>
      <c r="F669" s="117" t="s">
        <v>1644</v>
      </c>
      <c r="G669" s="116">
        <v>1</v>
      </c>
      <c r="H669" s="159"/>
      <c r="I669" s="108">
        <f t="shared" si="600"/>
        <v>0</v>
      </c>
      <c r="J669" s="108">
        <f t="shared" si="601"/>
        <v>0</v>
      </c>
      <c r="K669" s="108">
        <f t="shared" si="602"/>
        <v>0</v>
      </c>
      <c r="L669" s="111"/>
      <c r="Z669" s="100">
        <f t="shared" si="603"/>
        <v>0</v>
      </c>
      <c r="AB669" s="100">
        <f t="shared" si="604"/>
        <v>0</v>
      </c>
      <c r="AC669" s="100">
        <f t="shared" si="605"/>
        <v>0</v>
      </c>
      <c r="AD669" s="100">
        <f t="shared" si="606"/>
        <v>0</v>
      </c>
      <c r="AE669" s="100">
        <f t="shared" si="607"/>
        <v>0</v>
      </c>
      <c r="AF669" s="100">
        <f t="shared" si="608"/>
        <v>0</v>
      </c>
      <c r="AG669" s="100">
        <f t="shared" si="609"/>
        <v>0</v>
      </c>
      <c r="AH669" s="100">
        <f t="shared" si="610"/>
        <v>0</v>
      </c>
      <c r="AI669" s="109"/>
      <c r="AJ669" s="108">
        <f t="shared" si="611"/>
        <v>0</v>
      </c>
      <c r="AK669" s="108">
        <f t="shared" si="612"/>
        <v>0</v>
      </c>
      <c r="AL669" s="108">
        <f t="shared" si="613"/>
        <v>0</v>
      </c>
      <c r="AN669" s="100">
        <v>15</v>
      </c>
      <c r="AO669" s="100">
        <f t="shared" si="614"/>
        <v>0</v>
      </c>
      <c r="AP669" s="100">
        <f t="shared" si="615"/>
        <v>0</v>
      </c>
      <c r="AQ669" s="111" t="s">
        <v>7</v>
      </c>
      <c r="AV669" s="100">
        <f t="shared" si="616"/>
        <v>0</v>
      </c>
      <c r="AW669" s="100">
        <f t="shared" si="617"/>
        <v>0</v>
      </c>
      <c r="AX669" s="100">
        <f t="shared" si="618"/>
        <v>0</v>
      </c>
      <c r="AY669" s="110" t="s">
        <v>1722</v>
      </c>
      <c r="AZ669" s="110" t="s">
        <v>1730</v>
      </c>
      <c r="BA669" s="109" t="s">
        <v>1737</v>
      </c>
      <c r="BC669" s="100">
        <f t="shared" si="619"/>
        <v>0</v>
      </c>
      <c r="BD669" s="100">
        <f t="shared" si="620"/>
        <v>0</v>
      </c>
      <c r="BE669" s="100">
        <v>0</v>
      </c>
      <c r="BF669" s="100">
        <f>669</f>
        <v>669</v>
      </c>
      <c r="BH669" s="108">
        <f t="shared" si="621"/>
        <v>0</v>
      </c>
      <c r="BI669" s="108">
        <f t="shared" si="622"/>
        <v>0</v>
      </c>
      <c r="BJ669" s="108">
        <f t="shared" si="623"/>
        <v>0</v>
      </c>
    </row>
    <row r="670" spans="1:62" x14ac:dyDescent="0.2">
      <c r="A670" s="117" t="s">
        <v>3249</v>
      </c>
      <c r="B670" s="117" t="s">
        <v>3248</v>
      </c>
      <c r="C670" s="304" t="s">
        <v>1629</v>
      </c>
      <c r="D670" s="305"/>
      <c r="E670" s="305"/>
      <c r="F670" s="117" t="s">
        <v>1644</v>
      </c>
      <c r="G670" s="116">
        <v>1</v>
      </c>
      <c r="H670" s="159"/>
      <c r="I670" s="108">
        <f t="shared" si="600"/>
        <v>0</v>
      </c>
      <c r="J670" s="108">
        <f t="shared" si="601"/>
        <v>0</v>
      </c>
      <c r="K670" s="108">
        <f t="shared" si="602"/>
        <v>0</v>
      </c>
      <c r="L670" s="111"/>
      <c r="Z670" s="100">
        <f t="shared" si="603"/>
        <v>0</v>
      </c>
      <c r="AB670" s="100">
        <f t="shared" si="604"/>
        <v>0</v>
      </c>
      <c r="AC670" s="100">
        <f t="shared" si="605"/>
        <v>0</v>
      </c>
      <c r="AD670" s="100">
        <f t="shared" si="606"/>
        <v>0</v>
      </c>
      <c r="AE670" s="100">
        <f t="shared" si="607"/>
        <v>0</v>
      </c>
      <c r="AF670" s="100">
        <f t="shared" si="608"/>
        <v>0</v>
      </c>
      <c r="AG670" s="100">
        <f t="shared" si="609"/>
        <v>0</v>
      </c>
      <c r="AH670" s="100">
        <f t="shared" si="610"/>
        <v>0</v>
      </c>
      <c r="AI670" s="109"/>
      <c r="AJ670" s="108">
        <f t="shared" si="611"/>
        <v>0</v>
      </c>
      <c r="AK670" s="108">
        <f t="shared" si="612"/>
        <v>0</v>
      </c>
      <c r="AL670" s="108">
        <f t="shared" si="613"/>
        <v>0</v>
      </c>
      <c r="AN670" s="100">
        <v>15</v>
      </c>
      <c r="AO670" s="100">
        <f t="shared" si="614"/>
        <v>0</v>
      </c>
      <c r="AP670" s="100">
        <f t="shared" si="615"/>
        <v>0</v>
      </c>
      <c r="AQ670" s="111" t="s">
        <v>7</v>
      </c>
      <c r="AV670" s="100">
        <f t="shared" si="616"/>
        <v>0</v>
      </c>
      <c r="AW670" s="100">
        <f t="shared" si="617"/>
        <v>0</v>
      </c>
      <c r="AX670" s="100">
        <f t="shared" si="618"/>
        <v>0</v>
      </c>
      <c r="AY670" s="110" t="s">
        <v>1722</v>
      </c>
      <c r="AZ670" s="110" t="s">
        <v>1730</v>
      </c>
      <c r="BA670" s="109" t="s">
        <v>1737</v>
      </c>
      <c r="BC670" s="100">
        <f t="shared" si="619"/>
        <v>0</v>
      </c>
      <c r="BD670" s="100">
        <f t="shared" si="620"/>
        <v>0</v>
      </c>
      <c r="BE670" s="100">
        <v>0</v>
      </c>
      <c r="BF670" s="100">
        <f>670</f>
        <v>670</v>
      </c>
      <c r="BH670" s="108">
        <f t="shared" si="621"/>
        <v>0</v>
      </c>
      <c r="BI670" s="108">
        <f t="shared" si="622"/>
        <v>0</v>
      </c>
      <c r="BJ670" s="108">
        <f t="shared" si="623"/>
        <v>0</v>
      </c>
    </row>
    <row r="671" spans="1:62" x14ac:dyDescent="0.2">
      <c r="A671" s="117" t="s">
        <v>3247</v>
      </c>
      <c r="B671" s="117" t="s">
        <v>3246</v>
      </c>
      <c r="C671" s="304" t="s">
        <v>1630</v>
      </c>
      <c r="D671" s="305"/>
      <c r="E671" s="305"/>
      <c r="F671" s="117" t="s">
        <v>1644</v>
      </c>
      <c r="G671" s="116">
        <v>1</v>
      </c>
      <c r="H671" s="159"/>
      <c r="I671" s="108">
        <f t="shared" si="600"/>
        <v>0</v>
      </c>
      <c r="J671" s="108">
        <f t="shared" si="601"/>
        <v>0</v>
      </c>
      <c r="K671" s="108">
        <f t="shared" si="602"/>
        <v>0</v>
      </c>
      <c r="L671" s="111"/>
      <c r="Z671" s="100">
        <f t="shared" si="603"/>
        <v>0</v>
      </c>
      <c r="AB671" s="100">
        <f t="shared" si="604"/>
        <v>0</v>
      </c>
      <c r="AC671" s="100">
        <f t="shared" si="605"/>
        <v>0</v>
      </c>
      <c r="AD671" s="100">
        <f t="shared" si="606"/>
        <v>0</v>
      </c>
      <c r="AE671" s="100">
        <f t="shared" si="607"/>
        <v>0</v>
      </c>
      <c r="AF671" s="100">
        <f t="shared" si="608"/>
        <v>0</v>
      </c>
      <c r="AG671" s="100">
        <f t="shared" si="609"/>
        <v>0</v>
      </c>
      <c r="AH671" s="100">
        <f t="shared" si="610"/>
        <v>0</v>
      </c>
      <c r="AI671" s="109"/>
      <c r="AJ671" s="108">
        <f t="shared" si="611"/>
        <v>0</v>
      </c>
      <c r="AK671" s="108">
        <f t="shared" si="612"/>
        <v>0</v>
      </c>
      <c r="AL671" s="108">
        <f t="shared" si="613"/>
        <v>0</v>
      </c>
      <c r="AN671" s="100">
        <v>15</v>
      </c>
      <c r="AO671" s="100">
        <f t="shared" si="614"/>
        <v>0</v>
      </c>
      <c r="AP671" s="100">
        <f t="shared" si="615"/>
        <v>0</v>
      </c>
      <c r="AQ671" s="111" t="s">
        <v>7</v>
      </c>
      <c r="AV671" s="100">
        <f t="shared" si="616"/>
        <v>0</v>
      </c>
      <c r="AW671" s="100">
        <f t="shared" si="617"/>
        <v>0</v>
      </c>
      <c r="AX671" s="100">
        <f t="shared" si="618"/>
        <v>0</v>
      </c>
      <c r="AY671" s="110" t="s">
        <v>1722</v>
      </c>
      <c r="AZ671" s="110" t="s">
        <v>1730</v>
      </c>
      <c r="BA671" s="109" t="s">
        <v>1737</v>
      </c>
      <c r="BC671" s="100">
        <f t="shared" si="619"/>
        <v>0</v>
      </c>
      <c r="BD671" s="100">
        <f t="shared" si="620"/>
        <v>0</v>
      </c>
      <c r="BE671" s="100">
        <v>0</v>
      </c>
      <c r="BF671" s="100">
        <f>671</f>
        <v>671</v>
      </c>
      <c r="BH671" s="108">
        <f t="shared" si="621"/>
        <v>0</v>
      </c>
      <c r="BI671" s="108">
        <f t="shared" si="622"/>
        <v>0</v>
      </c>
      <c r="BJ671" s="108">
        <f t="shared" si="623"/>
        <v>0</v>
      </c>
    </row>
    <row r="672" spans="1:62" x14ac:dyDescent="0.2">
      <c r="A672" s="119"/>
      <c r="B672" s="120" t="s">
        <v>1039</v>
      </c>
      <c r="C672" s="306" t="s">
        <v>1631</v>
      </c>
      <c r="D672" s="307"/>
      <c r="E672" s="307"/>
      <c r="F672" s="119" t="s">
        <v>6</v>
      </c>
      <c r="G672" s="119" t="s">
        <v>6</v>
      </c>
      <c r="H672" s="119" t="s">
        <v>6</v>
      </c>
      <c r="I672" s="118">
        <f>SUM(I673:I679)</f>
        <v>0</v>
      </c>
      <c r="J672" s="118">
        <f>SUM(J673:J679)</f>
        <v>0</v>
      </c>
      <c r="K672" s="118">
        <f>SUM(K673:K679)</f>
        <v>0</v>
      </c>
      <c r="L672" s="109"/>
      <c r="AI672" s="109"/>
      <c r="AS672" s="118">
        <f>SUM(AJ673:AJ679)</f>
        <v>0</v>
      </c>
      <c r="AT672" s="118">
        <f>SUM(AK673:AK679)</f>
        <v>0</v>
      </c>
      <c r="AU672" s="118">
        <f>SUM(AL673:AL679)</f>
        <v>0</v>
      </c>
    </row>
    <row r="673" spans="1:62" x14ac:dyDescent="0.2">
      <c r="A673" s="117" t="s">
        <v>3245</v>
      </c>
      <c r="B673" s="117" t="s">
        <v>1040</v>
      </c>
      <c r="C673" s="304" t="s">
        <v>1632</v>
      </c>
      <c r="D673" s="305"/>
      <c r="E673" s="305"/>
      <c r="F673" s="117" t="s">
        <v>1644</v>
      </c>
      <c r="G673" s="116">
        <v>1</v>
      </c>
      <c r="H673" s="159"/>
      <c r="I673" s="108">
        <f t="shared" ref="I673:I679" si="624">G673*AO673</f>
        <v>0</v>
      </c>
      <c r="J673" s="108">
        <f t="shared" ref="J673:J679" si="625">G673*AP673</f>
        <v>0</v>
      </c>
      <c r="K673" s="108">
        <f t="shared" ref="K673:K679" si="626">G673*H673</f>
        <v>0</v>
      </c>
      <c r="L673" s="111" t="s">
        <v>1671</v>
      </c>
      <c r="Z673" s="100">
        <f t="shared" ref="Z673:Z679" si="627">IF(AQ673="5",BJ673,0)</f>
        <v>0</v>
      </c>
      <c r="AB673" s="100">
        <f t="shared" ref="AB673:AB679" si="628">IF(AQ673="1",BH673,0)</f>
        <v>0</v>
      </c>
      <c r="AC673" s="100">
        <f t="shared" ref="AC673:AC679" si="629">IF(AQ673="1",BI673,0)</f>
        <v>0</v>
      </c>
      <c r="AD673" s="100">
        <f t="shared" ref="AD673:AD679" si="630">IF(AQ673="7",BH673,0)</f>
        <v>0</v>
      </c>
      <c r="AE673" s="100">
        <f t="shared" ref="AE673:AE679" si="631">IF(AQ673="7",BI673,0)</f>
        <v>0</v>
      </c>
      <c r="AF673" s="100">
        <f t="shared" ref="AF673:AF679" si="632">IF(AQ673="2",BH673,0)</f>
        <v>0</v>
      </c>
      <c r="AG673" s="100">
        <f t="shared" ref="AG673:AG679" si="633">IF(AQ673="2",BI673,0)</f>
        <v>0</v>
      </c>
      <c r="AH673" s="100">
        <f t="shared" ref="AH673:AH679" si="634">IF(AQ673="0",BJ673,0)</f>
        <v>0</v>
      </c>
      <c r="AI673" s="109"/>
      <c r="AJ673" s="108">
        <f t="shared" ref="AJ673:AJ679" si="635">IF(AN673=0,K673,0)</f>
        <v>0</v>
      </c>
      <c r="AK673" s="108">
        <f t="shared" ref="AK673:AK679" si="636">IF(AN673=15,K673,0)</f>
        <v>0</v>
      </c>
      <c r="AL673" s="108">
        <f t="shared" ref="AL673:AL679" si="637">IF(AN673=21,K673,0)</f>
        <v>0</v>
      </c>
      <c r="AN673" s="100">
        <v>15</v>
      </c>
      <c r="AO673" s="100">
        <f t="shared" ref="AO673:AO679" si="638">H673*0</f>
        <v>0</v>
      </c>
      <c r="AP673" s="100">
        <f t="shared" ref="AP673:AP679" si="639">H673*(1-0)</f>
        <v>0</v>
      </c>
      <c r="AQ673" s="111" t="s">
        <v>7</v>
      </c>
      <c r="AV673" s="100">
        <f t="shared" ref="AV673:AV679" si="640">AW673+AX673</f>
        <v>0</v>
      </c>
      <c r="AW673" s="100">
        <f t="shared" ref="AW673:AW679" si="641">G673*AO673</f>
        <v>0</v>
      </c>
      <c r="AX673" s="100">
        <f t="shared" ref="AX673:AX679" si="642">G673*AP673</f>
        <v>0</v>
      </c>
      <c r="AY673" s="110" t="s">
        <v>1723</v>
      </c>
      <c r="AZ673" s="110" t="s">
        <v>1730</v>
      </c>
      <c r="BA673" s="109" t="s">
        <v>1737</v>
      </c>
      <c r="BC673" s="100">
        <f t="shared" ref="BC673:BC679" si="643">AW673+AX673</f>
        <v>0</v>
      </c>
      <c r="BD673" s="100">
        <f t="shared" ref="BD673:BD679" si="644">H673/(100-BE673)*100</f>
        <v>0</v>
      </c>
      <c r="BE673" s="100">
        <v>0</v>
      </c>
      <c r="BF673" s="100">
        <f>673</f>
        <v>673</v>
      </c>
      <c r="BH673" s="108">
        <f t="shared" ref="BH673:BH679" si="645">G673*AO673</f>
        <v>0</v>
      </c>
      <c r="BI673" s="108">
        <f t="shared" ref="BI673:BI679" si="646">G673*AP673</f>
        <v>0</v>
      </c>
      <c r="BJ673" s="108">
        <f t="shared" ref="BJ673:BJ679" si="647">G673*H673</f>
        <v>0</v>
      </c>
    </row>
    <row r="674" spans="1:62" x14ac:dyDescent="0.2">
      <c r="A674" s="117" t="s">
        <v>3244</v>
      </c>
      <c r="B674" s="117" t="s">
        <v>1041</v>
      </c>
      <c r="C674" s="304" t="s">
        <v>1633</v>
      </c>
      <c r="D674" s="305"/>
      <c r="E674" s="305"/>
      <c r="F674" s="117" t="s">
        <v>1644</v>
      </c>
      <c r="G674" s="116">
        <v>1</v>
      </c>
      <c r="H674" s="159"/>
      <c r="I674" s="108">
        <f t="shared" si="624"/>
        <v>0</v>
      </c>
      <c r="J674" s="108">
        <f t="shared" si="625"/>
        <v>0</v>
      </c>
      <c r="K674" s="108">
        <f t="shared" si="626"/>
        <v>0</v>
      </c>
      <c r="L674" s="111" t="s">
        <v>1671</v>
      </c>
      <c r="Z674" s="100">
        <f t="shared" si="627"/>
        <v>0</v>
      </c>
      <c r="AB674" s="100">
        <f t="shared" si="628"/>
        <v>0</v>
      </c>
      <c r="AC674" s="100">
        <f t="shared" si="629"/>
        <v>0</v>
      </c>
      <c r="AD674" s="100">
        <f t="shared" si="630"/>
        <v>0</v>
      </c>
      <c r="AE674" s="100">
        <f t="shared" si="631"/>
        <v>0</v>
      </c>
      <c r="AF674" s="100">
        <f t="shared" si="632"/>
        <v>0</v>
      </c>
      <c r="AG674" s="100">
        <f t="shared" si="633"/>
        <v>0</v>
      </c>
      <c r="AH674" s="100">
        <f t="shared" si="634"/>
        <v>0</v>
      </c>
      <c r="AI674" s="109"/>
      <c r="AJ674" s="108">
        <f t="shared" si="635"/>
        <v>0</v>
      </c>
      <c r="AK674" s="108">
        <f t="shared" si="636"/>
        <v>0</v>
      </c>
      <c r="AL674" s="108">
        <f t="shared" si="637"/>
        <v>0</v>
      </c>
      <c r="AN674" s="100">
        <v>15</v>
      </c>
      <c r="AO674" s="100">
        <f t="shared" si="638"/>
        <v>0</v>
      </c>
      <c r="AP674" s="100">
        <f t="shared" si="639"/>
        <v>0</v>
      </c>
      <c r="AQ674" s="111" t="s">
        <v>7</v>
      </c>
      <c r="AV674" s="100">
        <f t="shared" si="640"/>
        <v>0</v>
      </c>
      <c r="AW674" s="100">
        <f t="shared" si="641"/>
        <v>0</v>
      </c>
      <c r="AX674" s="100">
        <f t="shared" si="642"/>
        <v>0</v>
      </c>
      <c r="AY674" s="110" t="s">
        <v>1723</v>
      </c>
      <c r="AZ674" s="110" t="s">
        <v>1730</v>
      </c>
      <c r="BA674" s="109" t="s">
        <v>1737</v>
      </c>
      <c r="BC674" s="100">
        <f t="shared" si="643"/>
        <v>0</v>
      </c>
      <c r="BD674" s="100">
        <f t="shared" si="644"/>
        <v>0</v>
      </c>
      <c r="BE674" s="100">
        <v>0</v>
      </c>
      <c r="BF674" s="100">
        <f>674</f>
        <v>674</v>
      </c>
      <c r="BH674" s="108">
        <f t="shared" si="645"/>
        <v>0</v>
      </c>
      <c r="BI674" s="108">
        <f t="shared" si="646"/>
        <v>0</v>
      </c>
      <c r="BJ674" s="108">
        <f t="shared" si="647"/>
        <v>0</v>
      </c>
    </row>
    <row r="675" spans="1:62" x14ac:dyDescent="0.2">
      <c r="A675" s="117" t="s">
        <v>3243</v>
      </c>
      <c r="B675" s="117" t="s">
        <v>1042</v>
      </c>
      <c r="C675" s="304" t="s">
        <v>1634</v>
      </c>
      <c r="D675" s="305"/>
      <c r="E675" s="305"/>
      <c r="F675" s="117" t="s">
        <v>1644</v>
      </c>
      <c r="G675" s="116">
        <v>1</v>
      </c>
      <c r="H675" s="159"/>
      <c r="I675" s="108">
        <f t="shared" si="624"/>
        <v>0</v>
      </c>
      <c r="J675" s="108">
        <f t="shared" si="625"/>
        <v>0</v>
      </c>
      <c r="K675" s="108">
        <f t="shared" si="626"/>
        <v>0</v>
      </c>
      <c r="L675" s="111" t="s">
        <v>1671</v>
      </c>
      <c r="Z675" s="100">
        <f t="shared" si="627"/>
        <v>0</v>
      </c>
      <c r="AB675" s="100">
        <f t="shared" si="628"/>
        <v>0</v>
      </c>
      <c r="AC675" s="100">
        <f t="shared" si="629"/>
        <v>0</v>
      </c>
      <c r="AD675" s="100">
        <f t="shared" si="630"/>
        <v>0</v>
      </c>
      <c r="AE675" s="100">
        <f t="shared" si="631"/>
        <v>0</v>
      </c>
      <c r="AF675" s="100">
        <f t="shared" si="632"/>
        <v>0</v>
      </c>
      <c r="AG675" s="100">
        <f t="shared" si="633"/>
        <v>0</v>
      </c>
      <c r="AH675" s="100">
        <f t="shared" si="634"/>
        <v>0</v>
      </c>
      <c r="AI675" s="109"/>
      <c r="AJ675" s="108">
        <f t="shared" si="635"/>
        <v>0</v>
      </c>
      <c r="AK675" s="108">
        <f t="shared" si="636"/>
        <v>0</v>
      </c>
      <c r="AL675" s="108">
        <f t="shared" si="637"/>
        <v>0</v>
      </c>
      <c r="AN675" s="100">
        <v>15</v>
      </c>
      <c r="AO675" s="100">
        <f t="shared" si="638"/>
        <v>0</v>
      </c>
      <c r="AP675" s="100">
        <f t="shared" si="639"/>
        <v>0</v>
      </c>
      <c r="AQ675" s="111" t="s">
        <v>7</v>
      </c>
      <c r="AV675" s="100">
        <f t="shared" si="640"/>
        <v>0</v>
      </c>
      <c r="AW675" s="100">
        <f t="shared" si="641"/>
        <v>0</v>
      </c>
      <c r="AX675" s="100">
        <f t="shared" si="642"/>
        <v>0</v>
      </c>
      <c r="AY675" s="110" t="s">
        <v>1723</v>
      </c>
      <c r="AZ675" s="110" t="s">
        <v>1730</v>
      </c>
      <c r="BA675" s="109" t="s">
        <v>1737</v>
      </c>
      <c r="BC675" s="100">
        <f t="shared" si="643"/>
        <v>0</v>
      </c>
      <c r="BD675" s="100">
        <f t="shared" si="644"/>
        <v>0</v>
      </c>
      <c r="BE675" s="100">
        <v>0</v>
      </c>
      <c r="BF675" s="100">
        <f>675</f>
        <v>675</v>
      </c>
      <c r="BH675" s="108">
        <f t="shared" si="645"/>
        <v>0</v>
      </c>
      <c r="BI675" s="108">
        <f t="shared" si="646"/>
        <v>0</v>
      </c>
      <c r="BJ675" s="108">
        <f t="shared" si="647"/>
        <v>0</v>
      </c>
    </row>
    <row r="676" spans="1:62" x14ac:dyDescent="0.2">
      <c r="A676" s="117" t="s">
        <v>3242</v>
      </c>
      <c r="B676" s="117" t="s">
        <v>1043</v>
      </c>
      <c r="C676" s="304" t="s">
        <v>1635</v>
      </c>
      <c r="D676" s="305"/>
      <c r="E676" s="305"/>
      <c r="F676" s="117" t="s">
        <v>1644</v>
      </c>
      <c r="G676" s="116">
        <v>1</v>
      </c>
      <c r="H676" s="159"/>
      <c r="I676" s="108">
        <f t="shared" si="624"/>
        <v>0</v>
      </c>
      <c r="J676" s="108">
        <f t="shared" si="625"/>
        <v>0</v>
      </c>
      <c r="K676" s="108">
        <f t="shared" si="626"/>
        <v>0</v>
      </c>
      <c r="L676" s="111" t="s">
        <v>1671</v>
      </c>
      <c r="Z676" s="100">
        <f t="shared" si="627"/>
        <v>0</v>
      </c>
      <c r="AB676" s="100">
        <f t="shared" si="628"/>
        <v>0</v>
      </c>
      <c r="AC676" s="100">
        <f t="shared" si="629"/>
        <v>0</v>
      </c>
      <c r="AD676" s="100">
        <f t="shared" si="630"/>
        <v>0</v>
      </c>
      <c r="AE676" s="100">
        <f t="shared" si="631"/>
        <v>0</v>
      </c>
      <c r="AF676" s="100">
        <f t="shared" si="632"/>
        <v>0</v>
      </c>
      <c r="AG676" s="100">
        <f t="shared" si="633"/>
        <v>0</v>
      </c>
      <c r="AH676" s="100">
        <f t="shared" si="634"/>
        <v>0</v>
      </c>
      <c r="AI676" s="109"/>
      <c r="AJ676" s="108">
        <f t="shared" si="635"/>
        <v>0</v>
      </c>
      <c r="AK676" s="108">
        <f t="shared" si="636"/>
        <v>0</v>
      </c>
      <c r="AL676" s="108">
        <f t="shared" si="637"/>
        <v>0</v>
      </c>
      <c r="AN676" s="100">
        <v>15</v>
      </c>
      <c r="AO676" s="100">
        <f t="shared" si="638"/>
        <v>0</v>
      </c>
      <c r="AP676" s="100">
        <f t="shared" si="639"/>
        <v>0</v>
      </c>
      <c r="AQ676" s="111" t="s">
        <v>7</v>
      </c>
      <c r="AV676" s="100">
        <f t="shared" si="640"/>
        <v>0</v>
      </c>
      <c r="AW676" s="100">
        <f t="shared" si="641"/>
        <v>0</v>
      </c>
      <c r="AX676" s="100">
        <f t="shared" si="642"/>
        <v>0</v>
      </c>
      <c r="AY676" s="110" t="s">
        <v>1723</v>
      </c>
      <c r="AZ676" s="110" t="s">
        <v>1730</v>
      </c>
      <c r="BA676" s="109" t="s">
        <v>1737</v>
      </c>
      <c r="BC676" s="100">
        <f t="shared" si="643"/>
        <v>0</v>
      </c>
      <c r="BD676" s="100">
        <f t="shared" si="644"/>
        <v>0</v>
      </c>
      <c r="BE676" s="100">
        <v>0</v>
      </c>
      <c r="BF676" s="100">
        <f>676</f>
        <v>676</v>
      </c>
      <c r="BH676" s="108">
        <f t="shared" si="645"/>
        <v>0</v>
      </c>
      <c r="BI676" s="108">
        <f t="shared" si="646"/>
        <v>0</v>
      </c>
      <c r="BJ676" s="108">
        <f t="shared" si="647"/>
        <v>0</v>
      </c>
    </row>
    <row r="677" spans="1:62" x14ac:dyDescent="0.2">
      <c r="A677" s="117" t="s">
        <v>3241</v>
      </c>
      <c r="B677" s="117" t="s">
        <v>1044</v>
      </c>
      <c r="C677" s="304" t="s">
        <v>1636</v>
      </c>
      <c r="D677" s="305"/>
      <c r="E677" s="305"/>
      <c r="F677" s="117" t="s">
        <v>1644</v>
      </c>
      <c r="G677" s="116">
        <v>1</v>
      </c>
      <c r="H677" s="159"/>
      <c r="I677" s="108">
        <f t="shared" si="624"/>
        <v>0</v>
      </c>
      <c r="J677" s="108">
        <f t="shared" si="625"/>
        <v>0</v>
      </c>
      <c r="K677" s="108">
        <f t="shared" si="626"/>
        <v>0</v>
      </c>
      <c r="L677" s="111" t="s">
        <v>1671</v>
      </c>
      <c r="Z677" s="100">
        <f t="shared" si="627"/>
        <v>0</v>
      </c>
      <c r="AB677" s="100">
        <f t="shared" si="628"/>
        <v>0</v>
      </c>
      <c r="AC677" s="100">
        <f t="shared" si="629"/>
        <v>0</v>
      </c>
      <c r="AD677" s="100">
        <f t="shared" si="630"/>
        <v>0</v>
      </c>
      <c r="AE677" s="100">
        <f t="shared" si="631"/>
        <v>0</v>
      </c>
      <c r="AF677" s="100">
        <f t="shared" si="632"/>
        <v>0</v>
      </c>
      <c r="AG677" s="100">
        <f t="shared" si="633"/>
        <v>0</v>
      </c>
      <c r="AH677" s="100">
        <f t="shared" si="634"/>
        <v>0</v>
      </c>
      <c r="AI677" s="109"/>
      <c r="AJ677" s="108">
        <f t="shared" si="635"/>
        <v>0</v>
      </c>
      <c r="AK677" s="108">
        <f t="shared" si="636"/>
        <v>0</v>
      </c>
      <c r="AL677" s="108">
        <f t="shared" si="637"/>
        <v>0</v>
      </c>
      <c r="AN677" s="100">
        <v>15</v>
      </c>
      <c r="AO677" s="100">
        <f t="shared" si="638"/>
        <v>0</v>
      </c>
      <c r="AP677" s="100">
        <f t="shared" si="639"/>
        <v>0</v>
      </c>
      <c r="AQ677" s="111" t="s">
        <v>7</v>
      </c>
      <c r="AV677" s="100">
        <f t="shared" si="640"/>
        <v>0</v>
      </c>
      <c r="AW677" s="100">
        <f t="shared" si="641"/>
        <v>0</v>
      </c>
      <c r="AX677" s="100">
        <f t="shared" si="642"/>
        <v>0</v>
      </c>
      <c r="AY677" s="110" t="s">
        <v>1723</v>
      </c>
      <c r="AZ677" s="110" t="s">
        <v>1730</v>
      </c>
      <c r="BA677" s="109" t="s">
        <v>1737</v>
      </c>
      <c r="BC677" s="100">
        <f t="shared" si="643"/>
        <v>0</v>
      </c>
      <c r="BD677" s="100">
        <f t="shared" si="644"/>
        <v>0</v>
      </c>
      <c r="BE677" s="100">
        <v>0</v>
      </c>
      <c r="BF677" s="100">
        <f>677</f>
        <v>677</v>
      </c>
      <c r="BH677" s="108">
        <f t="shared" si="645"/>
        <v>0</v>
      </c>
      <c r="BI677" s="108">
        <f t="shared" si="646"/>
        <v>0</v>
      </c>
      <c r="BJ677" s="108">
        <f t="shared" si="647"/>
        <v>0</v>
      </c>
    </row>
    <row r="678" spans="1:62" x14ac:dyDescent="0.2">
      <c r="A678" s="117" t="s">
        <v>3240</v>
      </c>
      <c r="B678" s="117" t="s">
        <v>1045</v>
      </c>
      <c r="C678" s="304" t="s">
        <v>1637</v>
      </c>
      <c r="D678" s="305"/>
      <c r="E678" s="305"/>
      <c r="F678" s="117" t="s">
        <v>1644</v>
      </c>
      <c r="G678" s="116">
        <v>1</v>
      </c>
      <c r="H678" s="159"/>
      <c r="I678" s="108">
        <f t="shared" si="624"/>
        <v>0</v>
      </c>
      <c r="J678" s="108">
        <f t="shared" si="625"/>
        <v>0</v>
      </c>
      <c r="K678" s="108">
        <f t="shared" si="626"/>
        <v>0</v>
      </c>
      <c r="L678" s="111" t="s">
        <v>1671</v>
      </c>
      <c r="Z678" s="100">
        <f t="shared" si="627"/>
        <v>0</v>
      </c>
      <c r="AB678" s="100">
        <f t="shared" si="628"/>
        <v>0</v>
      </c>
      <c r="AC678" s="100">
        <f t="shared" si="629"/>
        <v>0</v>
      </c>
      <c r="AD678" s="100">
        <f t="shared" si="630"/>
        <v>0</v>
      </c>
      <c r="AE678" s="100">
        <f t="shared" si="631"/>
        <v>0</v>
      </c>
      <c r="AF678" s="100">
        <f t="shared" si="632"/>
        <v>0</v>
      </c>
      <c r="AG678" s="100">
        <f t="shared" si="633"/>
        <v>0</v>
      </c>
      <c r="AH678" s="100">
        <f t="shared" si="634"/>
        <v>0</v>
      </c>
      <c r="AI678" s="109"/>
      <c r="AJ678" s="108">
        <f t="shared" si="635"/>
        <v>0</v>
      </c>
      <c r="AK678" s="108">
        <f t="shared" si="636"/>
        <v>0</v>
      </c>
      <c r="AL678" s="108">
        <f t="shared" si="637"/>
        <v>0</v>
      </c>
      <c r="AN678" s="100">
        <v>15</v>
      </c>
      <c r="AO678" s="100">
        <f t="shared" si="638"/>
        <v>0</v>
      </c>
      <c r="AP678" s="100">
        <f t="shared" si="639"/>
        <v>0</v>
      </c>
      <c r="AQ678" s="111" t="s">
        <v>7</v>
      </c>
      <c r="AV678" s="100">
        <f t="shared" si="640"/>
        <v>0</v>
      </c>
      <c r="AW678" s="100">
        <f t="shared" si="641"/>
        <v>0</v>
      </c>
      <c r="AX678" s="100">
        <f t="shared" si="642"/>
        <v>0</v>
      </c>
      <c r="AY678" s="110" t="s">
        <v>1723</v>
      </c>
      <c r="AZ678" s="110" t="s">
        <v>1730</v>
      </c>
      <c r="BA678" s="109" t="s">
        <v>1737</v>
      </c>
      <c r="BC678" s="100">
        <f t="shared" si="643"/>
        <v>0</v>
      </c>
      <c r="BD678" s="100">
        <f t="shared" si="644"/>
        <v>0</v>
      </c>
      <c r="BE678" s="100">
        <v>0</v>
      </c>
      <c r="BF678" s="100">
        <f>678</f>
        <v>678</v>
      </c>
      <c r="BH678" s="108">
        <f t="shared" si="645"/>
        <v>0</v>
      </c>
      <c r="BI678" s="108">
        <f t="shared" si="646"/>
        <v>0</v>
      </c>
      <c r="BJ678" s="108">
        <f t="shared" si="647"/>
        <v>0</v>
      </c>
    </row>
    <row r="679" spans="1:62" x14ac:dyDescent="0.2">
      <c r="A679" s="115" t="s">
        <v>3238</v>
      </c>
      <c r="B679" s="115" t="s">
        <v>1046</v>
      </c>
      <c r="C679" s="308" t="s">
        <v>1638</v>
      </c>
      <c r="D679" s="309"/>
      <c r="E679" s="309"/>
      <c r="F679" s="115" t="s">
        <v>1644</v>
      </c>
      <c r="G679" s="114">
        <v>1</v>
      </c>
      <c r="H679" s="161"/>
      <c r="I679" s="113">
        <f t="shared" si="624"/>
        <v>0</v>
      </c>
      <c r="J679" s="113">
        <f t="shared" si="625"/>
        <v>0</v>
      </c>
      <c r="K679" s="113">
        <f t="shared" si="626"/>
        <v>0</v>
      </c>
      <c r="L679" s="112" t="s">
        <v>1671</v>
      </c>
      <c r="Z679" s="100">
        <f t="shared" si="627"/>
        <v>0</v>
      </c>
      <c r="AB679" s="100">
        <f t="shared" si="628"/>
        <v>0</v>
      </c>
      <c r="AC679" s="100">
        <f t="shared" si="629"/>
        <v>0</v>
      </c>
      <c r="AD679" s="100">
        <f t="shared" si="630"/>
        <v>0</v>
      </c>
      <c r="AE679" s="100">
        <f t="shared" si="631"/>
        <v>0</v>
      </c>
      <c r="AF679" s="100">
        <f t="shared" si="632"/>
        <v>0</v>
      </c>
      <c r="AG679" s="100">
        <f t="shared" si="633"/>
        <v>0</v>
      </c>
      <c r="AH679" s="100">
        <f t="shared" si="634"/>
        <v>0</v>
      </c>
      <c r="AI679" s="109"/>
      <c r="AJ679" s="108">
        <f t="shared" si="635"/>
        <v>0</v>
      </c>
      <c r="AK679" s="108">
        <f t="shared" si="636"/>
        <v>0</v>
      </c>
      <c r="AL679" s="108">
        <f t="shared" si="637"/>
        <v>0</v>
      </c>
      <c r="AN679" s="100">
        <v>15</v>
      </c>
      <c r="AO679" s="100">
        <f t="shared" si="638"/>
        <v>0</v>
      </c>
      <c r="AP679" s="100">
        <f t="shared" si="639"/>
        <v>0</v>
      </c>
      <c r="AQ679" s="111" t="s">
        <v>7</v>
      </c>
      <c r="AV679" s="100">
        <f t="shared" si="640"/>
        <v>0</v>
      </c>
      <c r="AW679" s="100">
        <f t="shared" si="641"/>
        <v>0</v>
      </c>
      <c r="AX679" s="100">
        <f t="shared" si="642"/>
        <v>0</v>
      </c>
      <c r="AY679" s="110" t="s">
        <v>1723</v>
      </c>
      <c r="AZ679" s="110" t="s">
        <v>1730</v>
      </c>
      <c r="BA679" s="109" t="s">
        <v>1737</v>
      </c>
      <c r="BC679" s="100">
        <f t="shared" si="643"/>
        <v>0</v>
      </c>
      <c r="BD679" s="100">
        <f t="shared" si="644"/>
        <v>0</v>
      </c>
      <c r="BE679" s="100">
        <v>0</v>
      </c>
      <c r="BF679" s="100">
        <f>679</f>
        <v>679</v>
      </c>
      <c r="BH679" s="108">
        <f t="shared" si="645"/>
        <v>0</v>
      </c>
      <c r="BI679" s="108">
        <f t="shared" si="646"/>
        <v>0</v>
      </c>
      <c r="BJ679" s="108">
        <f t="shared" si="647"/>
        <v>0</v>
      </c>
    </row>
    <row r="680" spans="1:62" x14ac:dyDescent="0.2">
      <c r="A680" s="84"/>
      <c r="B680" s="84"/>
      <c r="C680" s="84"/>
      <c r="D680" s="84"/>
      <c r="E680" s="84"/>
      <c r="F680" s="84"/>
      <c r="G680" s="84"/>
      <c r="H680" s="84"/>
      <c r="I680" s="310" t="s">
        <v>1666</v>
      </c>
      <c r="J680" s="291"/>
      <c r="K680" s="107">
        <f>K12+K18+K20+K24+K28+K32+K34+K37+K42+K46+K48+K52+K61+K97+K99+K102+K105+K109+K117+K128+K148+K171+K188+K190+K196+K207+K242+K330+K353+K391+K420+K457+K474+K500+K512+K539+K548+K554+K584+K587+K672</f>
        <v>0</v>
      </c>
      <c r="L680" s="84"/>
    </row>
    <row r="681" spans="1:62" ht="11.25" customHeight="1" x14ac:dyDescent="0.2">
      <c r="A681" s="106" t="s">
        <v>569</v>
      </c>
    </row>
    <row r="682" spans="1:62" x14ac:dyDescent="0.2">
      <c r="A682" s="255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</row>
  </sheetData>
  <sheetProtection algorithmName="SHA-512" hashValue="JVrO5aD6GM8DMnN8GaH1/Oy2aUs49G8qOFbnq/dvFouC+igXKrnQpMID6dw0clN56XolwezuQNRUy8yJX8A4uA==" saltValue="IwajDs6XOVeU3IuF9UesOQ==" spinCount="100000" sheet="1" objects="1" scenarios="1"/>
  <mergeCells count="692">
    <mergeCell ref="C669:E669"/>
    <mergeCell ref="C670:E670"/>
    <mergeCell ref="C671:E671"/>
    <mergeCell ref="C672:E672"/>
    <mergeCell ref="C673:E673"/>
    <mergeCell ref="C674:E674"/>
    <mergeCell ref="A682:L682"/>
    <mergeCell ref="C675:E675"/>
    <mergeCell ref="C676:E676"/>
    <mergeCell ref="C677:E677"/>
    <mergeCell ref="C678:E678"/>
    <mergeCell ref="C679:E679"/>
    <mergeCell ref="I680:J680"/>
    <mergeCell ref="C666:E666"/>
    <mergeCell ref="C667:E667"/>
    <mergeCell ref="C668:E668"/>
    <mergeCell ref="C645:E645"/>
    <mergeCell ref="C646:E646"/>
    <mergeCell ref="C647:E647"/>
    <mergeCell ref="C648:E648"/>
    <mergeCell ref="C649:E649"/>
    <mergeCell ref="C650:E650"/>
    <mergeCell ref="C651:E651"/>
    <mergeCell ref="C652:E652"/>
    <mergeCell ref="C653:E653"/>
    <mergeCell ref="C654:E654"/>
    <mergeCell ref="C655:E655"/>
    <mergeCell ref="C656:E656"/>
    <mergeCell ref="C657:E657"/>
    <mergeCell ref="C658:E658"/>
    <mergeCell ref="C659:E659"/>
    <mergeCell ref="C660:E660"/>
    <mergeCell ref="C661:E661"/>
    <mergeCell ref="C662:E662"/>
    <mergeCell ref="C663:E663"/>
    <mergeCell ref="C664:E664"/>
    <mergeCell ref="C665:E665"/>
    <mergeCell ref="C642:E642"/>
    <mergeCell ref="C643:E643"/>
    <mergeCell ref="C644:E644"/>
    <mergeCell ref="C621:E621"/>
    <mergeCell ref="C622:E622"/>
    <mergeCell ref="C623:E623"/>
    <mergeCell ref="C624:E624"/>
    <mergeCell ref="C625:E625"/>
    <mergeCell ref="C626:E626"/>
    <mergeCell ref="C627:E627"/>
    <mergeCell ref="C628:E628"/>
    <mergeCell ref="C629:E629"/>
    <mergeCell ref="C630:E630"/>
    <mergeCell ref="C631:E631"/>
    <mergeCell ref="C632:E632"/>
    <mergeCell ref="C633:E633"/>
    <mergeCell ref="C634:E634"/>
    <mergeCell ref="C635:E635"/>
    <mergeCell ref="C636:E636"/>
    <mergeCell ref="C637:E637"/>
    <mergeCell ref="C638:E638"/>
    <mergeCell ref="C639:E639"/>
    <mergeCell ref="C640:E640"/>
    <mergeCell ref="C641:E641"/>
    <mergeCell ref="C618:E618"/>
    <mergeCell ref="C619:E619"/>
    <mergeCell ref="C620:E620"/>
    <mergeCell ref="C597:E597"/>
    <mergeCell ref="C598:E598"/>
    <mergeCell ref="C599:E599"/>
    <mergeCell ref="C600:E600"/>
    <mergeCell ref="C601:E601"/>
    <mergeCell ref="C602:E602"/>
    <mergeCell ref="C603:E603"/>
    <mergeCell ref="C604:E604"/>
    <mergeCell ref="C605:E605"/>
    <mergeCell ref="C606:E606"/>
    <mergeCell ref="C607:E607"/>
    <mergeCell ref="C608:E608"/>
    <mergeCell ref="C609:E609"/>
    <mergeCell ref="C610:E610"/>
    <mergeCell ref="C611:E611"/>
    <mergeCell ref="C612:E612"/>
    <mergeCell ref="C613:E613"/>
    <mergeCell ref="C614:E614"/>
    <mergeCell ref="C615:E615"/>
    <mergeCell ref="C616:E616"/>
    <mergeCell ref="C617:E617"/>
    <mergeCell ref="C594:E594"/>
    <mergeCell ref="C595:E595"/>
    <mergeCell ref="C596:E596"/>
    <mergeCell ref="C573:E573"/>
    <mergeCell ref="C574:E574"/>
    <mergeCell ref="C575:E575"/>
    <mergeCell ref="C576:E576"/>
    <mergeCell ref="C577:E577"/>
    <mergeCell ref="C578:E578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88:E588"/>
    <mergeCell ref="C589:E589"/>
    <mergeCell ref="C590:E590"/>
    <mergeCell ref="C591:E591"/>
    <mergeCell ref="C592:E592"/>
    <mergeCell ref="C593:E593"/>
    <mergeCell ref="C570:E570"/>
    <mergeCell ref="C571:E571"/>
    <mergeCell ref="C572:E572"/>
    <mergeCell ref="C549:E549"/>
    <mergeCell ref="C550:E550"/>
    <mergeCell ref="C551:E551"/>
    <mergeCell ref="C552:E552"/>
    <mergeCell ref="C553:E553"/>
    <mergeCell ref="C554:E554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64:E564"/>
    <mergeCell ref="C565:E565"/>
    <mergeCell ref="C566:E566"/>
    <mergeCell ref="C567:E567"/>
    <mergeCell ref="C568:E568"/>
    <mergeCell ref="C569:E569"/>
    <mergeCell ref="C546:E546"/>
    <mergeCell ref="C547:E547"/>
    <mergeCell ref="C548:E548"/>
    <mergeCell ref="C525:E525"/>
    <mergeCell ref="C526:E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C537:E537"/>
    <mergeCell ref="C538:E538"/>
    <mergeCell ref="C539:E539"/>
    <mergeCell ref="C540:E540"/>
    <mergeCell ref="C541:E541"/>
    <mergeCell ref="C542:E542"/>
    <mergeCell ref="C543:E543"/>
    <mergeCell ref="C544:E544"/>
    <mergeCell ref="C545:E545"/>
    <mergeCell ref="C522:E522"/>
    <mergeCell ref="C523:E523"/>
    <mergeCell ref="C524:E524"/>
    <mergeCell ref="C501:E501"/>
    <mergeCell ref="C502:E502"/>
    <mergeCell ref="C503:E503"/>
    <mergeCell ref="C504:E504"/>
    <mergeCell ref="C505:E505"/>
    <mergeCell ref="C506:E506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516:E516"/>
    <mergeCell ref="C517:E517"/>
    <mergeCell ref="C518:E518"/>
    <mergeCell ref="C519:E519"/>
    <mergeCell ref="C520:E520"/>
    <mergeCell ref="C521:E521"/>
    <mergeCell ref="C498:E498"/>
    <mergeCell ref="C499:E499"/>
    <mergeCell ref="C500:E500"/>
    <mergeCell ref="C477:E477"/>
    <mergeCell ref="C478:E478"/>
    <mergeCell ref="C479:E479"/>
    <mergeCell ref="C480:E480"/>
    <mergeCell ref="C481:E481"/>
    <mergeCell ref="C482:E482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74:E474"/>
    <mergeCell ref="C475:E475"/>
    <mergeCell ref="C476:E476"/>
    <mergeCell ref="C453:E453"/>
    <mergeCell ref="C454:E454"/>
    <mergeCell ref="C455:E455"/>
    <mergeCell ref="C456:E456"/>
    <mergeCell ref="C457:E457"/>
    <mergeCell ref="C458:E458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50:E450"/>
    <mergeCell ref="C451:E451"/>
    <mergeCell ref="C452:E452"/>
    <mergeCell ref="C429:E429"/>
    <mergeCell ref="C430:E430"/>
    <mergeCell ref="C431:E431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26:E426"/>
    <mergeCell ref="C427:E427"/>
    <mergeCell ref="C428:E428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420:E420"/>
    <mergeCell ref="C421:E421"/>
    <mergeCell ref="C422:E422"/>
    <mergeCell ref="C423:E423"/>
    <mergeCell ref="C424:E424"/>
    <mergeCell ref="C425:E425"/>
    <mergeCell ref="C402:E402"/>
    <mergeCell ref="C403:E403"/>
    <mergeCell ref="C404:E404"/>
    <mergeCell ref="C381:E381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98:E398"/>
    <mergeCell ref="C399:E399"/>
    <mergeCell ref="C400:E400"/>
    <mergeCell ref="C401:E401"/>
    <mergeCell ref="C378:E378"/>
    <mergeCell ref="C379:E379"/>
    <mergeCell ref="C380:E380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54:E354"/>
    <mergeCell ref="C355:E355"/>
    <mergeCell ref="C356:E356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30:E330"/>
    <mergeCell ref="C331:E331"/>
    <mergeCell ref="C332:E332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27:E327"/>
    <mergeCell ref="C328:E328"/>
    <mergeCell ref="C329:E329"/>
    <mergeCell ref="C306:E306"/>
    <mergeCell ref="C307:E307"/>
    <mergeCell ref="C308:E308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C303:E303"/>
    <mergeCell ref="C304:E304"/>
    <mergeCell ref="C305:E305"/>
    <mergeCell ref="C282:E282"/>
    <mergeCell ref="C283:E283"/>
    <mergeCell ref="C284:E284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58:E258"/>
    <mergeCell ref="C259:E259"/>
    <mergeCell ref="C260:E260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C234:E234"/>
    <mergeCell ref="C235:E235"/>
    <mergeCell ref="C236:E236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10:E210"/>
    <mergeCell ref="C211:E211"/>
    <mergeCell ref="C212:E212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186:E186"/>
    <mergeCell ref="C187:E187"/>
    <mergeCell ref="C188:E188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62:E162"/>
    <mergeCell ref="C163:E163"/>
    <mergeCell ref="C164:E164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38:E138"/>
    <mergeCell ref="C139:E139"/>
    <mergeCell ref="C140:E140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14:E114"/>
    <mergeCell ref="C115:E115"/>
    <mergeCell ref="C116:E116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90:E90"/>
    <mergeCell ref="C91:E91"/>
    <mergeCell ref="C92:E92"/>
    <mergeCell ref="C69:E69"/>
    <mergeCell ref="C70:E70"/>
    <mergeCell ref="C72:E72"/>
    <mergeCell ref="C74:E74"/>
    <mergeCell ref="C76:E76"/>
    <mergeCell ref="C78:E78"/>
    <mergeCell ref="C79:E79"/>
    <mergeCell ref="C80:E80"/>
    <mergeCell ref="C81:E81"/>
    <mergeCell ref="C82:E82"/>
    <mergeCell ref="C83:E83"/>
    <mergeCell ref="C84:E84"/>
    <mergeCell ref="C86:E86"/>
    <mergeCell ref="C88:E88"/>
    <mergeCell ref="C89:E89"/>
    <mergeCell ref="C66:E66"/>
    <mergeCell ref="C67:E67"/>
    <mergeCell ref="C68:E68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42:E42"/>
    <mergeCell ref="C43:E43"/>
    <mergeCell ref="C44:E44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18:E18"/>
    <mergeCell ref="C19:E19"/>
    <mergeCell ref="C20:E20"/>
    <mergeCell ref="A6:B7"/>
    <mergeCell ref="C6:C7"/>
    <mergeCell ref="D6:E7"/>
    <mergeCell ref="F6:G7"/>
    <mergeCell ref="H6:H7"/>
    <mergeCell ref="I6:L7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C12:E12"/>
    <mergeCell ref="C13:E13"/>
    <mergeCell ref="C14:E14"/>
    <mergeCell ref="C15:E15"/>
    <mergeCell ref="C16:E16"/>
    <mergeCell ref="C17:E17"/>
    <mergeCell ref="A1:L1"/>
    <mergeCell ref="A2:B3"/>
    <mergeCell ref="C2:C3"/>
    <mergeCell ref="D2:E3"/>
    <mergeCell ref="F2:G3"/>
    <mergeCell ref="H2:H3"/>
    <mergeCell ref="I2:L3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FF440-F9EB-41FA-B3B6-63A631F29BCC}">
  <sheetPr>
    <pageSetUpPr fitToPage="1"/>
  </sheetPr>
  <dimension ref="A1:I1017"/>
  <sheetViews>
    <sheetView workbookViewId="0">
      <pane ySplit="10" topLeftCell="A11" activePane="bottomLeft" state="frozenSplit"/>
      <selection pane="bottomLeft" activeCell="A2" sqref="A2:B3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6.5703125" style="75" customWidth="1"/>
    <col min="7" max="7" width="11.710937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rozpočet-SO06+SO07'!C2</f>
        <v>Snížení energetické.náročnosti objektů Domova Kladno-Švermov</v>
      </c>
      <c r="D2" s="291"/>
      <c r="E2" s="293" t="s">
        <v>1657</v>
      </c>
      <c r="F2" s="293" t="str">
        <f>'Stavební rozpočet-SO06+SO07'!I2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rozpočet-SO06+SO07'!C4</f>
        <v>SO 06 - OBJEKT 6 - č.p.1041 + SO 07 - OBJEKT 7 - č.p.1032</v>
      </c>
      <c r="D4" s="256"/>
      <c r="E4" s="255" t="s">
        <v>1658</v>
      </c>
      <c r="F4" s="255" t="str">
        <f>'Stavební rozpočet-SO06+SO07'!I4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rozpočet-SO06+SO07'!C6</f>
        <v xml:space="preserve"> </v>
      </c>
      <c r="D6" s="256"/>
      <c r="E6" s="255" t="s">
        <v>1659</v>
      </c>
      <c r="F6" s="255" t="str">
        <f>'Stavební rozpočet-SO06+SO07'!I6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rozpočet-SO06+SO07'!I8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573</v>
      </c>
      <c r="D14" s="304" t="s">
        <v>1054</v>
      </c>
      <c r="E14" s="305"/>
      <c r="F14" s="117" t="s">
        <v>1645</v>
      </c>
      <c r="G14" s="116">
        <v>91.37</v>
      </c>
      <c r="H14" s="108">
        <v>0</v>
      </c>
    </row>
    <row r="15" spans="1:9" ht="12.2" customHeight="1" x14ac:dyDescent="0.2">
      <c r="D15" s="334" t="s">
        <v>3890</v>
      </c>
      <c r="E15" s="335"/>
      <c r="F15" s="335"/>
      <c r="G15" s="143">
        <v>91.37</v>
      </c>
    </row>
    <row r="16" spans="1:9" x14ac:dyDescent="0.2">
      <c r="A16" s="117" t="s">
        <v>9</v>
      </c>
      <c r="B16" s="117"/>
      <c r="C16" s="117" t="s">
        <v>574</v>
      </c>
      <c r="D16" s="304" t="s">
        <v>1056</v>
      </c>
      <c r="E16" s="305"/>
      <c r="F16" s="117" t="s">
        <v>1645</v>
      </c>
      <c r="G16" s="116">
        <v>15.34</v>
      </c>
      <c r="H16" s="108">
        <v>0</v>
      </c>
    </row>
    <row r="17" spans="1:8" ht="12.2" customHeight="1" x14ac:dyDescent="0.2">
      <c r="D17" s="334" t="s">
        <v>3874</v>
      </c>
      <c r="E17" s="335"/>
      <c r="F17" s="335"/>
      <c r="G17" s="143">
        <v>15.34</v>
      </c>
    </row>
    <row r="18" spans="1:8" x14ac:dyDescent="0.2">
      <c r="A18" s="117" t="s">
        <v>10</v>
      </c>
      <c r="B18" s="117"/>
      <c r="C18" s="117" t="s">
        <v>3745</v>
      </c>
      <c r="D18" s="304" t="s">
        <v>3744</v>
      </c>
      <c r="E18" s="305"/>
      <c r="F18" s="117" t="s">
        <v>1645</v>
      </c>
      <c r="G18" s="116">
        <v>15.34</v>
      </c>
      <c r="H18" s="108">
        <v>0</v>
      </c>
    </row>
    <row r="19" spans="1:8" ht="12.2" customHeight="1" x14ac:dyDescent="0.2">
      <c r="D19" s="334" t="s">
        <v>3874</v>
      </c>
      <c r="E19" s="335"/>
      <c r="F19" s="335"/>
      <c r="G19" s="143">
        <v>15.34</v>
      </c>
    </row>
    <row r="20" spans="1:8" x14ac:dyDescent="0.2">
      <c r="A20" s="117" t="s">
        <v>11</v>
      </c>
      <c r="B20" s="117"/>
      <c r="C20" s="117" t="s">
        <v>575</v>
      </c>
      <c r="D20" s="304" t="s">
        <v>1057</v>
      </c>
      <c r="E20" s="305"/>
      <c r="F20" s="117" t="s">
        <v>1646</v>
      </c>
      <c r="G20" s="116">
        <v>15.6</v>
      </c>
      <c r="H20" s="108">
        <v>0</v>
      </c>
    </row>
    <row r="21" spans="1:8" ht="12.2" customHeight="1" x14ac:dyDescent="0.2">
      <c r="D21" s="334" t="s">
        <v>3849</v>
      </c>
      <c r="E21" s="335"/>
      <c r="F21" s="335"/>
      <c r="G21" s="143">
        <v>15.6</v>
      </c>
    </row>
    <row r="22" spans="1:8" x14ac:dyDescent="0.2">
      <c r="A22" s="120"/>
      <c r="B22" s="120"/>
      <c r="C22" s="120" t="s">
        <v>18</v>
      </c>
      <c r="D22" s="306" t="s">
        <v>1059</v>
      </c>
      <c r="E22" s="307"/>
      <c r="F22" s="120"/>
      <c r="G22" s="142"/>
      <c r="H22" s="109"/>
    </row>
    <row r="23" spans="1:8" x14ac:dyDescent="0.2">
      <c r="A23" s="117" t="s">
        <v>12</v>
      </c>
      <c r="B23" s="117"/>
      <c r="C23" s="117" t="s">
        <v>577</v>
      </c>
      <c r="D23" s="304" t="s">
        <v>1060</v>
      </c>
      <c r="E23" s="305"/>
      <c r="F23" s="117" t="s">
        <v>1647</v>
      </c>
      <c r="G23" s="116">
        <v>21.782</v>
      </c>
      <c r="H23" s="108">
        <v>0</v>
      </c>
    </row>
    <row r="24" spans="1:8" ht="12.2" customHeight="1" x14ac:dyDescent="0.2">
      <c r="D24" s="334" t="s">
        <v>3889</v>
      </c>
      <c r="E24" s="335"/>
      <c r="F24" s="335"/>
      <c r="G24" s="143">
        <v>21.782</v>
      </c>
    </row>
    <row r="25" spans="1:8" x14ac:dyDescent="0.2">
      <c r="A25" s="120"/>
      <c r="B25" s="120"/>
      <c r="C25" s="120" t="s">
        <v>19</v>
      </c>
      <c r="D25" s="306" t="s">
        <v>1061</v>
      </c>
      <c r="E25" s="307"/>
      <c r="F25" s="120"/>
      <c r="G25" s="142"/>
      <c r="H25" s="109"/>
    </row>
    <row r="26" spans="1:8" x14ac:dyDescent="0.2">
      <c r="A26" s="117" t="s">
        <v>13</v>
      </c>
      <c r="B26" s="117"/>
      <c r="C26" s="117" t="s">
        <v>578</v>
      </c>
      <c r="D26" s="304" t="s">
        <v>1062</v>
      </c>
      <c r="E26" s="305"/>
      <c r="F26" s="117" t="s">
        <v>1647</v>
      </c>
      <c r="G26" s="116">
        <v>202.09800000000001</v>
      </c>
      <c r="H26" s="108">
        <v>0</v>
      </c>
    </row>
    <row r="27" spans="1:8" ht="12.2" customHeight="1" x14ac:dyDescent="0.2">
      <c r="D27" s="334" t="s">
        <v>3888</v>
      </c>
      <c r="E27" s="335"/>
      <c r="F27" s="335"/>
      <c r="G27" s="143">
        <v>202.09800000000001</v>
      </c>
    </row>
    <row r="28" spans="1:8" x14ac:dyDescent="0.2">
      <c r="A28" s="117" t="s">
        <v>14</v>
      </c>
      <c r="B28" s="117"/>
      <c r="C28" s="117" t="s">
        <v>579</v>
      </c>
      <c r="D28" s="304" t="s">
        <v>1063</v>
      </c>
      <c r="E28" s="305"/>
      <c r="F28" s="117" t="s">
        <v>1647</v>
      </c>
      <c r="G28" s="116">
        <v>202.09800000000001</v>
      </c>
      <c r="H28" s="108">
        <v>0</v>
      </c>
    </row>
    <row r="29" spans="1:8" ht="12.2" customHeight="1" x14ac:dyDescent="0.2">
      <c r="D29" s="334" t="s">
        <v>3887</v>
      </c>
      <c r="E29" s="335"/>
      <c r="F29" s="335"/>
      <c r="G29" s="143">
        <v>202.09800000000001</v>
      </c>
    </row>
    <row r="30" spans="1:8" x14ac:dyDescent="0.2">
      <c r="A30" s="117" t="s">
        <v>15</v>
      </c>
      <c r="B30" s="117"/>
      <c r="C30" s="117" t="s">
        <v>580</v>
      </c>
      <c r="D30" s="304" t="s">
        <v>3743</v>
      </c>
      <c r="E30" s="305"/>
      <c r="F30" s="117" t="s">
        <v>1647</v>
      </c>
      <c r="G30" s="116">
        <v>2.8</v>
      </c>
      <c r="H30" s="108">
        <v>0</v>
      </c>
    </row>
    <row r="31" spans="1:8" ht="12.2" customHeight="1" x14ac:dyDescent="0.2">
      <c r="D31" s="334" t="s">
        <v>3886</v>
      </c>
      <c r="E31" s="335"/>
      <c r="F31" s="335"/>
      <c r="G31" s="143">
        <v>2.8</v>
      </c>
    </row>
    <row r="32" spans="1:8" x14ac:dyDescent="0.2">
      <c r="A32" s="120"/>
      <c r="B32" s="120"/>
      <c r="C32" s="120" t="s">
        <v>22</v>
      </c>
      <c r="D32" s="306" t="s">
        <v>1066</v>
      </c>
      <c r="E32" s="307"/>
      <c r="F32" s="120"/>
      <c r="G32" s="142"/>
      <c r="H32" s="109"/>
    </row>
    <row r="33" spans="1:8" x14ac:dyDescent="0.2">
      <c r="A33" s="117" t="s">
        <v>16</v>
      </c>
      <c r="B33" s="117"/>
      <c r="C33" s="117" t="s">
        <v>581</v>
      </c>
      <c r="D33" s="304" t="s">
        <v>1067</v>
      </c>
      <c r="E33" s="305"/>
      <c r="F33" s="117" t="s">
        <v>1647</v>
      </c>
      <c r="G33" s="116">
        <v>99.721999999999994</v>
      </c>
      <c r="H33" s="108">
        <v>0</v>
      </c>
    </row>
    <row r="34" spans="1:8" ht="12.2" customHeight="1" x14ac:dyDescent="0.2">
      <c r="D34" s="334" t="s">
        <v>3884</v>
      </c>
      <c r="E34" s="335"/>
      <c r="F34" s="335"/>
      <c r="G34" s="143">
        <v>99.721999999999994</v>
      </c>
    </row>
    <row r="35" spans="1:8" x14ac:dyDescent="0.2">
      <c r="A35" s="117" t="s">
        <v>17</v>
      </c>
      <c r="B35" s="117"/>
      <c r="C35" s="117" t="s">
        <v>582</v>
      </c>
      <c r="D35" s="304" t="s">
        <v>1068</v>
      </c>
      <c r="E35" s="305"/>
      <c r="F35" s="117" t="s">
        <v>1648</v>
      </c>
      <c r="G35" s="116">
        <v>174.51400000000001</v>
      </c>
      <c r="H35" s="108">
        <v>0</v>
      </c>
    </row>
    <row r="36" spans="1:8" ht="12.2" customHeight="1" x14ac:dyDescent="0.2">
      <c r="D36" s="334" t="s">
        <v>3885</v>
      </c>
      <c r="E36" s="335"/>
      <c r="F36" s="335"/>
      <c r="G36" s="143">
        <v>174.51400000000001</v>
      </c>
    </row>
    <row r="37" spans="1:8" x14ac:dyDescent="0.2">
      <c r="A37" s="117" t="s">
        <v>18</v>
      </c>
      <c r="B37" s="117"/>
      <c r="C37" s="117" t="s">
        <v>583</v>
      </c>
      <c r="D37" s="304" t="s">
        <v>1069</v>
      </c>
      <c r="E37" s="305"/>
      <c r="F37" s="117" t="s">
        <v>1647</v>
      </c>
      <c r="G37" s="116">
        <v>99.721999999999994</v>
      </c>
      <c r="H37" s="108">
        <v>0</v>
      </c>
    </row>
    <row r="38" spans="1:8" ht="12.2" customHeight="1" x14ac:dyDescent="0.2">
      <c r="D38" s="334" t="s">
        <v>3884</v>
      </c>
      <c r="E38" s="335"/>
      <c r="F38" s="335"/>
      <c r="G38" s="143">
        <v>99.721999999999994</v>
      </c>
    </row>
    <row r="39" spans="1:8" x14ac:dyDescent="0.2">
      <c r="A39" s="120"/>
      <c r="B39" s="120"/>
      <c r="C39" s="120" t="s">
        <v>23</v>
      </c>
      <c r="D39" s="306" t="s">
        <v>1070</v>
      </c>
      <c r="E39" s="307"/>
      <c r="F39" s="120"/>
      <c r="G39" s="142"/>
      <c r="H39" s="109"/>
    </row>
    <row r="40" spans="1:8" x14ac:dyDescent="0.2">
      <c r="A40" s="117" t="s">
        <v>19</v>
      </c>
      <c r="B40" s="117"/>
      <c r="C40" s="117" t="s">
        <v>584</v>
      </c>
      <c r="D40" s="304" t="s">
        <v>1071</v>
      </c>
      <c r="E40" s="305"/>
      <c r="F40" s="117" t="s">
        <v>1647</v>
      </c>
      <c r="G40" s="116">
        <v>99.721999999999994</v>
      </c>
      <c r="H40" s="108">
        <v>0</v>
      </c>
    </row>
    <row r="41" spans="1:8" ht="12.2" customHeight="1" x14ac:dyDescent="0.2">
      <c r="D41" s="334" t="s">
        <v>3884</v>
      </c>
      <c r="E41" s="335"/>
      <c r="F41" s="335"/>
      <c r="G41" s="143">
        <v>99.721999999999994</v>
      </c>
    </row>
    <row r="42" spans="1:8" x14ac:dyDescent="0.2">
      <c r="A42" s="117" t="s">
        <v>20</v>
      </c>
      <c r="B42" s="117"/>
      <c r="C42" s="117" t="s">
        <v>585</v>
      </c>
      <c r="D42" s="304" t="s">
        <v>1072</v>
      </c>
      <c r="E42" s="305"/>
      <c r="F42" s="117" t="s">
        <v>1647</v>
      </c>
      <c r="G42" s="116">
        <v>102.65600000000001</v>
      </c>
      <c r="H42" s="108">
        <v>0</v>
      </c>
    </row>
    <row r="43" spans="1:8" ht="12.2" customHeight="1" x14ac:dyDescent="0.2">
      <c r="D43" s="334" t="s">
        <v>3883</v>
      </c>
      <c r="E43" s="335"/>
      <c r="F43" s="335"/>
      <c r="G43" s="143">
        <v>102.65600000000001</v>
      </c>
    </row>
    <row r="44" spans="1:8" x14ac:dyDescent="0.2">
      <c r="A44" s="117" t="s">
        <v>21</v>
      </c>
      <c r="B44" s="117"/>
      <c r="C44" s="117" t="s">
        <v>586</v>
      </c>
      <c r="D44" s="304" t="s">
        <v>2160</v>
      </c>
      <c r="E44" s="305"/>
      <c r="F44" s="117" t="s">
        <v>1647</v>
      </c>
      <c r="G44" s="116">
        <v>2.52</v>
      </c>
      <c r="H44" s="108">
        <v>0</v>
      </c>
    </row>
    <row r="45" spans="1:8" ht="12.2" customHeight="1" x14ac:dyDescent="0.2">
      <c r="D45" s="334" t="s">
        <v>3882</v>
      </c>
      <c r="E45" s="335"/>
      <c r="F45" s="335"/>
      <c r="G45" s="143">
        <v>2.52</v>
      </c>
    </row>
    <row r="46" spans="1:8" x14ac:dyDescent="0.2">
      <c r="A46" s="120"/>
      <c r="B46" s="120"/>
      <c r="C46" s="120" t="s">
        <v>24</v>
      </c>
      <c r="D46" s="306" t="s">
        <v>1076</v>
      </c>
      <c r="E46" s="307"/>
      <c r="F46" s="120"/>
      <c r="G46" s="142"/>
      <c r="H46" s="109"/>
    </row>
    <row r="47" spans="1:8" x14ac:dyDescent="0.2">
      <c r="A47" s="117" t="s">
        <v>22</v>
      </c>
      <c r="B47" s="117"/>
      <c r="C47" s="117" t="s">
        <v>587</v>
      </c>
      <c r="D47" s="304" t="s">
        <v>1077</v>
      </c>
      <c r="E47" s="305"/>
      <c r="F47" s="117" t="s">
        <v>1645</v>
      </c>
      <c r="G47" s="116">
        <v>357.202</v>
      </c>
      <c r="H47" s="108">
        <v>0</v>
      </c>
    </row>
    <row r="48" spans="1:8" ht="12.2" customHeight="1" x14ac:dyDescent="0.2">
      <c r="D48" s="334" t="s">
        <v>3881</v>
      </c>
      <c r="E48" s="335"/>
      <c r="F48" s="335"/>
      <c r="G48" s="143">
        <v>157.202</v>
      </c>
    </row>
    <row r="49" spans="1:8" ht="12.2" customHeight="1" x14ac:dyDescent="0.2">
      <c r="A49" s="117"/>
      <c r="B49" s="117"/>
      <c r="C49" s="117"/>
      <c r="D49" s="334" t="s">
        <v>3876</v>
      </c>
      <c r="E49" s="335"/>
      <c r="F49" s="334"/>
      <c r="G49" s="144">
        <v>200</v>
      </c>
      <c r="H49" s="111"/>
    </row>
    <row r="50" spans="1:8" x14ac:dyDescent="0.2">
      <c r="A50" s="120"/>
      <c r="B50" s="120"/>
      <c r="C50" s="120" t="s">
        <v>27</v>
      </c>
      <c r="D50" s="306" t="s">
        <v>1078</v>
      </c>
      <c r="E50" s="307"/>
      <c r="F50" s="120"/>
      <c r="G50" s="142"/>
      <c r="H50" s="109"/>
    </row>
    <row r="51" spans="1:8" x14ac:dyDescent="0.2">
      <c r="A51" s="117" t="s">
        <v>23</v>
      </c>
      <c r="B51" s="117"/>
      <c r="C51" s="117" t="s">
        <v>588</v>
      </c>
      <c r="D51" s="304" t="s">
        <v>1079</v>
      </c>
      <c r="E51" s="305"/>
      <c r="F51" s="117" t="s">
        <v>1646</v>
      </c>
      <c r="G51" s="116">
        <v>188.71</v>
      </c>
      <c r="H51" s="108">
        <v>0</v>
      </c>
    </row>
    <row r="52" spans="1:8" ht="12.2" customHeight="1" x14ac:dyDescent="0.2">
      <c r="D52" s="334" t="s">
        <v>3880</v>
      </c>
      <c r="E52" s="335"/>
      <c r="F52" s="335"/>
      <c r="G52" s="143">
        <v>188.71</v>
      </c>
    </row>
    <row r="53" spans="1:8" x14ac:dyDescent="0.2">
      <c r="A53" s="117" t="s">
        <v>24</v>
      </c>
      <c r="B53" s="117"/>
      <c r="C53" s="117" t="s">
        <v>589</v>
      </c>
      <c r="D53" s="304" t="s">
        <v>1080</v>
      </c>
      <c r="E53" s="305"/>
      <c r="F53" s="117" t="s">
        <v>1646</v>
      </c>
      <c r="G53" s="116">
        <v>188.71</v>
      </c>
      <c r="H53" s="108">
        <v>0</v>
      </c>
    </row>
    <row r="54" spans="1:8" ht="12.2" customHeight="1" x14ac:dyDescent="0.2">
      <c r="D54" s="334" t="s">
        <v>3880</v>
      </c>
      <c r="E54" s="335"/>
      <c r="F54" s="335"/>
      <c r="G54" s="143">
        <v>188.71</v>
      </c>
    </row>
    <row r="55" spans="1:8" x14ac:dyDescent="0.2">
      <c r="A55" s="120"/>
      <c r="B55" s="120"/>
      <c r="C55" s="120" t="s">
        <v>37</v>
      </c>
      <c r="D55" s="306" t="s">
        <v>1084</v>
      </c>
      <c r="E55" s="307"/>
      <c r="F55" s="120"/>
      <c r="G55" s="142"/>
      <c r="H55" s="109"/>
    </row>
    <row r="56" spans="1:8" x14ac:dyDescent="0.2">
      <c r="A56" s="117" t="s">
        <v>25</v>
      </c>
      <c r="B56" s="117"/>
      <c r="C56" s="117" t="s">
        <v>3742</v>
      </c>
      <c r="D56" s="304" t="s">
        <v>3741</v>
      </c>
      <c r="E56" s="305"/>
      <c r="F56" s="117" t="s">
        <v>1647</v>
      </c>
      <c r="G56" s="116">
        <v>0.40500000000000003</v>
      </c>
      <c r="H56" s="108">
        <v>0</v>
      </c>
    </row>
    <row r="57" spans="1:8" ht="12.2" customHeight="1" x14ac:dyDescent="0.2">
      <c r="D57" s="334" t="s">
        <v>3879</v>
      </c>
      <c r="E57" s="335"/>
      <c r="F57" s="335"/>
      <c r="G57" s="143">
        <v>0.40500000000000003</v>
      </c>
    </row>
    <row r="58" spans="1:8" x14ac:dyDescent="0.2">
      <c r="A58" s="117" t="s">
        <v>26</v>
      </c>
      <c r="B58" s="117"/>
      <c r="C58" s="117" t="s">
        <v>2157</v>
      </c>
      <c r="D58" s="304" t="s">
        <v>3740</v>
      </c>
      <c r="E58" s="305"/>
      <c r="F58" s="117" t="s">
        <v>1645</v>
      </c>
      <c r="G58" s="116">
        <v>9.25</v>
      </c>
      <c r="H58" s="108">
        <v>0</v>
      </c>
    </row>
    <row r="59" spans="1:8" ht="12.2" customHeight="1" x14ac:dyDescent="0.2">
      <c r="D59" s="334" t="s">
        <v>3878</v>
      </c>
      <c r="E59" s="335"/>
      <c r="F59" s="335"/>
      <c r="G59" s="143">
        <v>9.25</v>
      </c>
    </row>
    <row r="60" spans="1:8" x14ac:dyDescent="0.2">
      <c r="A60" s="117" t="s">
        <v>27</v>
      </c>
      <c r="B60" s="117"/>
      <c r="C60" s="117" t="s">
        <v>594</v>
      </c>
      <c r="D60" s="304" t="s">
        <v>1088</v>
      </c>
      <c r="E60" s="305"/>
      <c r="F60" s="117" t="s">
        <v>1648</v>
      </c>
      <c r="G60" s="116">
        <v>5.7000000000000002E-2</v>
      </c>
      <c r="H60" s="108">
        <v>0</v>
      </c>
    </row>
    <row r="61" spans="1:8" ht="12.2" customHeight="1" x14ac:dyDescent="0.2">
      <c r="D61" s="334" t="s">
        <v>3877</v>
      </c>
      <c r="E61" s="335"/>
      <c r="F61" s="335"/>
      <c r="G61" s="143">
        <v>5.7000000000000002E-2</v>
      </c>
    </row>
    <row r="62" spans="1:8" x14ac:dyDescent="0.2">
      <c r="A62" s="117" t="s">
        <v>28</v>
      </c>
      <c r="B62" s="117"/>
      <c r="C62" s="117" t="s">
        <v>595</v>
      </c>
      <c r="D62" s="304" t="s">
        <v>1089</v>
      </c>
      <c r="E62" s="305"/>
      <c r="F62" s="117" t="s">
        <v>1646</v>
      </c>
      <c r="G62" s="116">
        <v>200</v>
      </c>
      <c r="H62" s="108">
        <v>0</v>
      </c>
    </row>
    <row r="63" spans="1:8" ht="12.2" customHeight="1" x14ac:dyDescent="0.2">
      <c r="D63" s="334" t="s">
        <v>3876</v>
      </c>
      <c r="E63" s="335"/>
      <c r="F63" s="335"/>
      <c r="G63" s="143">
        <v>200</v>
      </c>
    </row>
    <row r="64" spans="1:8" x14ac:dyDescent="0.2">
      <c r="A64" s="120"/>
      <c r="B64" s="120"/>
      <c r="C64" s="120" t="s">
        <v>62</v>
      </c>
      <c r="D64" s="306" t="s">
        <v>1090</v>
      </c>
      <c r="E64" s="307"/>
      <c r="F64" s="120"/>
      <c r="G64" s="142"/>
      <c r="H64" s="109"/>
    </row>
    <row r="65" spans="1:8" x14ac:dyDescent="0.2">
      <c r="A65" s="117" t="s">
        <v>29</v>
      </c>
      <c r="B65" s="117"/>
      <c r="C65" s="117" t="s">
        <v>596</v>
      </c>
      <c r="D65" s="304" t="s">
        <v>1091</v>
      </c>
      <c r="E65" s="305"/>
      <c r="F65" s="117" t="s">
        <v>1645</v>
      </c>
      <c r="G65" s="116">
        <v>101.10899999999999</v>
      </c>
      <c r="H65" s="108">
        <v>0</v>
      </c>
    </row>
    <row r="66" spans="1:8" ht="12.2" customHeight="1" x14ac:dyDescent="0.2">
      <c r="D66" s="334" t="s">
        <v>3873</v>
      </c>
      <c r="E66" s="335"/>
      <c r="F66" s="335"/>
      <c r="G66" s="143">
        <v>87.355000000000004</v>
      </c>
    </row>
    <row r="67" spans="1:8" ht="12.2" customHeight="1" x14ac:dyDescent="0.2">
      <c r="A67" s="117"/>
      <c r="B67" s="117"/>
      <c r="C67" s="117"/>
      <c r="D67" s="334" t="s">
        <v>3872</v>
      </c>
      <c r="E67" s="335"/>
      <c r="F67" s="334"/>
      <c r="G67" s="144">
        <v>13.754</v>
      </c>
      <c r="H67" s="111"/>
    </row>
    <row r="68" spans="1:8" x14ac:dyDescent="0.2">
      <c r="A68" s="117" t="s">
        <v>30</v>
      </c>
      <c r="B68" s="117"/>
      <c r="C68" s="117" t="s">
        <v>597</v>
      </c>
      <c r="D68" s="304" t="s">
        <v>1092</v>
      </c>
      <c r="E68" s="305"/>
      <c r="F68" s="117" t="s">
        <v>1645</v>
      </c>
      <c r="G68" s="116">
        <v>101.10899999999999</v>
      </c>
      <c r="H68" s="108">
        <v>0</v>
      </c>
    </row>
    <row r="69" spans="1:8" ht="12.2" customHeight="1" x14ac:dyDescent="0.2">
      <c r="D69" s="334" t="s">
        <v>3873</v>
      </c>
      <c r="E69" s="335"/>
      <c r="F69" s="335"/>
      <c r="G69" s="143">
        <v>87.355000000000004</v>
      </c>
    </row>
    <row r="70" spans="1:8" ht="12.2" customHeight="1" x14ac:dyDescent="0.2">
      <c r="A70" s="117"/>
      <c r="B70" s="117"/>
      <c r="C70" s="117"/>
      <c r="D70" s="334" t="s">
        <v>3872</v>
      </c>
      <c r="E70" s="335"/>
      <c r="F70" s="334"/>
      <c r="G70" s="144">
        <v>13.754</v>
      </c>
      <c r="H70" s="111"/>
    </row>
    <row r="71" spans="1:8" x14ac:dyDescent="0.2">
      <c r="A71" s="117" t="s">
        <v>31</v>
      </c>
      <c r="B71" s="117"/>
      <c r="C71" s="117" t="s">
        <v>598</v>
      </c>
      <c r="D71" s="304" t="s">
        <v>1093</v>
      </c>
      <c r="E71" s="305"/>
      <c r="F71" s="117" t="s">
        <v>1645</v>
      </c>
      <c r="G71" s="116">
        <v>101.10899999999999</v>
      </c>
      <c r="H71" s="108">
        <v>0</v>
      </c>
    </row>
    <row r="72" spans="1:8" ht="12.2" customHeight="1" x14ac:dyDescent="0.2">
      <c r="D72" s="334" t="s">
        <v>3873</v>
      </c>
      <c r="E72" s="335"/>
      <c r="F72" s="335"/>
      <c r="G72" s="143">
        <v>87.355000000000004</v>
      </c>
    </row>
    <row r="73" spans="1:8" ht="12.2" customHeight="1" x14ac:dyDescent="0.2">
      <c r="A73" s="117"/>
      <c r="B73" s="117"/>
      <c r="C73" s="117"/>
      <c r="D73" s="334" t="s">
        <v>3872</v>
      </c>
      <c r="E73" s="335"/>
      <c r="F73" s="334"/>
      <c r="G73" s="144">
        <v>13.754</v>
      </c>
      <c r="H73" s="111"/>
    </row>
    <row r="74" spans="1:8" x14ac:dyDescent="0.2">
      <c r="A74" s="120"/>
      <c r="B74" s="120"/>
      <c r="C74" s="120" t="s">
        <v>64</v>
      </c>
      <c r="D74" s="306" t="s">
        <v>2230</v>
      </c>
      <c r="E74" s="307"/>
      <c r="F74" s="120"/>
      <c r="G74" s="142"/>
      <c r="H74" s="109"/>
    </row>
    <row r="75" spans="1:8" x14ac:dyDescent="0.2">
      <c r="A75" s="117" t="s">
        <v>32</v>
      </c>
      <c r="B75" s="117"/>
      <c r="C75" s="117" t="s">
        <v>2509</v>
      </c>
      <c r="D75" s="304" t="s">
        <v>2508</v>
      </c>
      <c r="E75" s="305"/>
      <c r="F75" s="117" t="s">
        <v>1645</v>
      </c>
      <c r="G75" s="116">
        <v>4.62</v>
      </c>
      <c r="H75" s="108">
        <v>0</v>
      </c>
    </row>
    <row r="76" spans="1:8" ht="12.2" customHeight="1" x14ac:dyDescent="0.2">
      <c r="D76" s="334" t="s">
        <v>3875</v>
      </c>
      <c r="E76" s="335"/>
      <c r="F76" s="335"/>
      <c r="G76" s="143">
        <v>4.62</v>
      </c>
    </row>
    <row r="77" spans="1:8" x14ac:dyDescent="0.2">
      <c r="A77" s="120"/>
      <c r="B77" s="120"/>
      <c r="C77" s="120" t="s">
        <v>65</v>
      </c>
      <c r="D77" s="306" t="s">
        <v>1094</v>
      </c>
      <c r="E77" s="307"/>
      <c r="F77" s="120"/>
      <c r="G77" s="142"/>
      <c r="H77" s="109"/>
    </row>
    <row r="78" spans="1:8" x14ac:dyDescent="0.2">
      <c r="A78" s="117" t="s">
        <v>33</v>
      </c>
      <c r="B78" s="117"/>
      <c r="C78" s="117" t="s">
        <v>599</v>
      </c>
      <c r="D78" s="304" t="s">
        <v>1095</v>
      </c>
      <c r="E78" s="305"/>
      <c r="F78" s="117" t="s">
        <v>1645</v>
      </c>
      <c r="G78" s="116">
        <v>15.34</v>
      </c>
      <c r="H78" s="108">
        <v>0</v>
      </c>
    </row>
    <row r="79" spans="1:8" ht="12.2" customHeight="1" x14ac:dyDescent="0.2">
      <c r="D79" s="334" t="s">
        <v>3874</v>
      </c>
      <c r="E79" s="335"/>
      <c r="F79" s="335"/>
      <c r="G79" s="143">
        <v>15.34</v>
      </c>
    </row>
    <row r="80" spans="1:8" x14ac:dyDescent="0.2">
      <c r="A80" s="117" t="s">
        <v>34</v>
      </c>
      <c r="B80" s="117"/>
      <c r="C80" s="117" t="s">
        <v>2865</v>
      </c>
      <c r="D80" s="304" t="s">
        <v>2864</v>
      </c>
      <c r="E80" s="305"/>
      <c r="F80" s="117" t="s">
        <v>1645</v>
      </c>
      <c r="G80" s="116">
        <v>6.2130000000000001</v>
      </c>
      <c r="H80" s="108">
        <v>0</v>
      </c>
    </row>
    <row r="81" spans="1:8" ht="12.2" customHeight="1" x14ac:dyDescent="0.2">
      <c r="D81" s="334" t="s">
        <v>2958</v>
      </c>
      <c r="E81" s="335"/>
      <c r="F81" s="335"/>
      <c r="G81" s="143">
        <v>6.2130000000000001</v>
      </c>
    </row>
    <row r="82" spans="1:8" x14ac:dyDescent="0.2">
      <c r="A82" s="117" t="s">
        <v>35</v>
      </c>
      <c r="B82" s="117"/>
      <c r="C82" s="117" t="s">
        <v>600</v>
      </c>
      <c r="D82" s="304" t="s">
        <v>1096</v>
      </c>
      <c r="E82" s="305"/>
      <c r="F82" s="117" t="s">
        <v>1645</v>
      </c>
      <c r="G82" s="116">
        <v>101.10899999999999</v>
      </c>
      <c r="H82" s="108">
        <v>0</v>
      </c>
    </row>
    <row r="83" spans="1:8" ht="12.2" customHeight="1" x14ac:dyDescent="0.2">
      <c r="D83" s="334" t="s">
        <v>3873</v>
      </c>
      <c r="E83" s="335"/>
      <c r="F83" s="335"/>
      <c r="G83" s="143">
        <v>87.355000000000004</v>
      </c>
    </row>
    <row r="84" spans="1:8" ht="12.2" customHeight="1" x14ac:dyDescent="0.2">
      <c r="A84" s="117"/>
      <c r="B84" s="117"/>
      <c r="C84" s="117"/>
      <c r="D84" s="334" t="s">
        <v>3872</v>
      </c>
      <c r="E84" s="335"/>
      <c r="F84" s="334"/>
      <c r="G84" s="144">
        <v>13.754</v>
      </c>
      <c r="H84" s="111"/>
    </row>
    <row r="85" spans="1:8" x14ac:dyDescent="0.2">
      <c r="A85" s="120"/>
      <c r="B85" s="120"/>
      <c r="C85" s="120" t="s">
        <v>67</v>
      </c>
      <c r="D85" s="306" t="s">
        <v>1097</v>
      </c>
      <c r="E85" s="307"/>
      <c r="F85" s="120"/>
      <c r="G85" s="142"/>
      <c r="H85" s="109"/>
    </row>
    <row r="86" spans="1:8" x14ac:dyDescent="0.2">
      <c r="A86" s="117" t="s">
        <v>36</v>
      </c>
      <c r="B86" s="117"/>
      <c r="C86" s="117" t="s">
        <v>601</v>
      </c>
      <c r="D86" s="304" t="s">
        <v>1098</v>
      </c>
      <c r="E86" s="305"/>
      <c r="F86" s="117" t="s">
        <v>1645</v>
      </c>
      <c r="G86" s="116">
        <v>31.725999999999999</v>
      </c>
      <c r="H86" s="108">
        <v>0</v>
      </c>
    </row>
    <row r="87" spans="1:8" ht="12.2" customHeight="1" x14ac:dyDescent="0.2">
      <c r="D87" s="334" t="s">
        <v>3828</v>
      </c>
      <c r="E87" s="335"/>
      <c r="F87" s="335"/>
      <c r="G87" s="143">
        <v>31.725999999999999</v>
      </c>
    </row>
    <row r="88" spans="1:8" x14ac:dyDescent="0.2">
      <c r="A88" s="117" t="s">
        <v>37</v>
      </c>
      <c r="B88" s="117"/>
      <c r="C88" s="117" t="s">
        <v>602</v>
      </c>
      <c r="D88" s="304" t="s">
        <v>1099</v>
      </c>
      <c r="E88" s="305"/>
      <c r="F88" s="117" t="s">
        <v>1645</v>
      </c>
      <c r="G88" s="116">
        <v>1.1879999999999999</v>
      </c>
      <c r="H88" s="108">
        <v>0</v>
      </c>
    </row>
    <row r="89" spans="1:8" ht="12.2" customHeight="1" x14ac:dyDescent="0.2">
      <c r="D89" s="334" t="s">
        <v>3871</v>
      </c>
      <c r="E89" s="335"/>
      <c r="F89" s="335"/>
      <c r="G89" s="143">
        <v>1.1879999999999999</v>
      </c>
    </row>
    <row r="90" spans="1:8" x14ac:dyDescent="0.2">
      <c r="A90" s="117" t="s">
        <v>38</v>
      </c>
      <c r="B90" s="117"/>
      <c r="C90" s="117" t="s">
        <v>603</v>
      </c>
      <c r="D90" s="304" t="s">
        <v>1100</v>
      </c>
      <c r="E90" s="305"/>
      <c r="F90" s="117" t="s">
        <v>1645</v>
      </c>
      <c r="G90" s="116">
        <v>1.1879999999999999</v>
      </c>
      <c r="H90" s="108">
        <v>0</v>
      </c>
    </row>
    <row r="91" spans="1:8" ht="12.2" customHeight="1" x14ac:dyDescent="0.2">
      <c r="D91" s="334" t="s">
        <v>3871</v>
      </c>
      <c r="E91" s="335"/>
      <c r="F91" s="335"/>
      <c r="G91" s="143">
        <v>1.1879999999999999</v>
      </c>
    </row>
    <row r="92" spans="1:8" x14ac:dyDescent="0.2">
      <c r="A92" s="117" t="s">
        <v>39</v>
      </c>
      <c r="B92" s="117"/>
      <c r="C92" s="117" t="s">
        <v>604</v>
      </c>
      <c r="D92" s="304" t="s">
        <v>1101</v>
      </c>
      <c r="E92" s="305"/>
      <c r="F92" s="117" t="s">
        <v>1645</v>
      </c>
      <c r="G92" s="116">
        <v>44.162999999999997</v>
      </c>
      <c r="H92" s="108">
        <v>0</v>
      </c>
    </row>
    <row r="93" spans="1:8" ht="12.2" customHeight="1" x14ac:dyDescent="0.2">
      <c r="D93" s="334" t="s">
        <v>3827</v>
      </c>
      <c r="E93" s="335"/>
      <c r="F93" s="335"/>
      <c r="G93" s="143">
        <v>45.052</v>
      </c>
    </row>
    <row r="94" spans="1:8" ht="12.2" customHeight="1" x14ac:dyDescent="0.2">
      <c r="A94" s="117"/>
      <c r="B94" s="117"/>
      <c r="C94" s="117"/>
      <c r="D94" s="334" t="s">
        <v>3826</v>
      </c>
      <c r="E94" s="335"/>
      <c r="F94" s="334"/>
      <c r="G94" s="144">
        <v>-0.88900000000000001</v>
      </c>
      <c r="H94" s="111"/>
    </row>
    <row r="95" spans="1:8" x14ac:dyDescent="0.2">
      <c r="A95" s="117" t="s">
        <v>40</v>
      </c>
      <c r="B95" s="117"/>
      <c r="C95" s="117" t="s">
        <v>2862</v>
      </c>
      <c r="D95" s="304" t="s">
        <v>2861</v>
      </c>
      <c r="E95" s="305"/>
      <c r="F95" s="117" t="s">
        <v>1646</v>
      </c>
      <c r="G95" s="116">
        <v>8.5500000000000007</v>
      </c>
      <c r="H95" s="108">
        <v>0</v>
      </c>
    </row>
    <row r="96" spans="1:8" ht="12.2" customHeight="1" x14ac:dyDescent="0.2">
      <c r="D96" s="334" t="s">
        <v>3765</v>
      </c>
      <c r="E96" s="335"/>
      <c r="F96" s="335"/>
      <c r="G96" s="143">
        <v>8.5500000000000007</v>
      </c>
    </row>
    <row r="97" spans="1:8" x14ac:dyDescent="0.2">
      <c r="A97" s="117" t="s">
        <v>41</v>
      </c>
      <c r="B97" s="117"/>
      <c r="C97" s="117" t="s">
        <v>605</v>
      </c>
      <c r="D97" s="304" t="s">
        <v>1102</v>
      </c>
      <c r="E97" s="305"/>
      <c r="F97" s="117" t="s">
        <v>1645</v>
      </c>
      <c r="G97" s="116">
        <v>890.52099999999996</v>
      </c>
      <c r="H97" s="108">
        <v>0</v>
      </c>
    </row>
    <row r="98" spans="1:8" ht="12.2" customHeight="1" x14ac:dyDescent="0.2">
      <c r="D98" s="334" t="s">
        <v>3750</v>
      </c>
      <c r="E98" s="335"/>
      <c r="F98" s="335"/>
      <c r="G98" s="143">
        <v>890.52099999999996</v>
      </c>
    </row>
    <row r="99" spans="1:8" x14ac:dyDescent="0.2">
      <c r="A99" s="117" t="s">
        <v>42</v>
      </c>
      <c r="B99" s="117"/>
      <c r="C99" s="117" t="s">
        <v>3739</v>
      </c>
      <c r="D99" s="304" t="s">
        <v>3738</v>
      </c>
      <c r="E99" s="305"/>
      <c r="F99" s="117" t="s">
        <v>1645</v>
      </c>
      <c r="G99" s="116">
        <v>0.432</v>
      </c>
      <c r="H99" s="108">
        <v>0</v>
      </c>
    </row>
    <row r="100" spans="1:8" ht="12.2" customHeight="1" x14ac:dyDescent="0.2">
      <c r="D100" s="334" t="s">
        <v>3870</v>
      </c>
      <c r="E100" s="335"/>
      <c r="F100" s="335"/>
      <c r="G100" s="143">
        <v>0.432</v>
      </c>
    </row>
    <row r="101" spans="1:8" x14ac:dyDescent="0.2">
      <c r="A101" s="117" t="s">
        <v>43</v>
      </c>
      <c r="B101" s="117"/>
      <c r="C101" s="117" t="s">
        <v>606</v>
      </c>
      <c r="D101" s="304" t="s">
        <v>2860</v>
      </c>
      <c r="E101" s="305"/>
      <c r="F101" s="117" t="s">
        <v>1645</v>
      </c>
      <c r="G101" s="116">
        <v>36.54</v>
      </c>
      <c r="H101" s="108">
        <v>0</v>
      </c>
    </row>
    <row r="102" spans="1:8" ht="12.2" customHeight="1" x14ac:dyDescent="0.2">
      <c r="D102" s="334" t="s">
        <v>3817</v>
      </c>
      <c r="E102" s="335"/>
      <c r="F102" s="335"/>
      <c r="G102" s="143">
        <v>36.54</v>
      </c>
    </row>
    <row r="103" spans="1:8" x14ac:dyDescent="0.2">
      <c r="A103" s="120"/>
      <c r="B103" s="120"/>
      <c r="C103" s="120" t="s">
        <v>68</v>
      </c>
      <c r="D103" s="306" t="s">
        <v>1104</v>
      </c>
      <c r="E103" s="307"/>
      <c r="F103" s="120"/>
      <c r="G103" s="142"/>
      <c r="H103" s="109"/>
    </row>
    <row r="104" spans="1:8" x14ac:dyDescent="0.2">
      <c r="A104" s="117" t="s">
        <v>44</v>
      </c>
      <c r="B104" s="117"/>
      <c r="C104" s="117" t="s">
        <v>607</v>
      </c>
      <c r="D104" s="304" t="s">
        <v>1105</v>
      </c>
      <c r="E104" s="305"/>
      <c r="F104" s="117" t="s">
        <v>1645</v>
      </c>
      <c r="G104" s="116">
        <v>240.59</v>
      </c>
      <c r="H104" s="108">
        <v>0</v>
      </c>
    </row>
    <row r="105" spans="1:8" ht="12.2" customHeight="1" x14ac:dyDescent="0.2">
      <c r="D105" s="334" t="s">
        <v>3842</v>
      </c>
      <c r="E105" s="335"/>
      <c r="F105" s="335"/>
      <c r="G105" s="143">
        <v>50.4</v>
      </c>
    </row>
    <row r="106" spans="1:8" ht="12.2" customHeight="1" x14ac:dyDescent="0.2">
      <c r="A106" s="117"/>
      <c r="B106" s="117"/>
      <c r="C106" s="117"/>
      <c r="D106" s="334" t="s">
        <v>3841</v>
      </c>
      <c r="E106" s="335"/>
      <c r="F106" s="334"/>
      <c r="G106" s="144">
        <v>190.19</v>
      </c>
      <c r="H106" s="111"/>
    </row>
    <row r="107" spans="1:8" x14ac:dyDescent="0.2">
      <c r="A107" s="117" t="s">
        <v>45</v>
      </c>
      <c r="B107" s="117"/>
      <c r="C107" s="117" t="s">
        <v>608</v>
      </c>
      <c r="D107" s="304" t="s">
        <v>3737</v>
      </c>
      <c r="E107" s="305"/>
      <c r="F107" s="117" t="s">
        <v>1645</v>
      </c>
      <c r="G107" s="116">
        <v>163.33699999999999</v>
      </c>
      <c r="H107" s="108">
        <v>0</v>
      </c>
    </row>
    <row r="108" spans="1:8" ht="12.2" customHeight="1" x14ac:dyDescent="0.2">
      <c r="D108" s="334" t="s">
        <v>3815</v>
      </c>
      <c r="E108" s="335"/>
      <c r="F108" s="335"/>
      <c r="G108" s="143">
        <v>62.399000000000001</v>
      </c>
    </row>
    <row r="109" spans="1:8" ht="12.2" customHeight="1" x14ac:dyDescent="0.2">
      <c r="A109" s="117"/>
      <c r="B109" s="117"/>
      <c r="C109" s="117"/>
      <c r="D109" s="334" t="s">
        <v>3814</v>
      </c>
      <c r="E109" s="335"/>
      <c r="F109" s="334"/>
      <c r="G109" s="144">
        <v>48.033999999999999</v>
      </c>
      <c r="H109" s="111"/>
    </row>
    <row r="110" spans="1:8" ht="12.2" customHeight="1" x14ac:dyDescent="0.2">
      <c r="A110" s="117"/>
      <c r="B110" s="117"/>
      <c r="C110" s="117"/>
      <c r="D110" s="334" t="s">
        <v>3813</v>
      </c>
      <c r="E110" s="335"/>
      <c r="F110" s="334"/>
      <c r="G110" s="144">
        <v>36.017000000000003</v>
      </c>
      <c r="H110" s="111"/>
    </row>
    <row r="111" spans="1:8" ht="12.2" customHeight="1" x14ac:dyDescent="0.2">
      <c r="A111" s="117"/>
      <c r="B111" s="117"/>
      <c r="C111" s="117"/>
      <c r="D111" s="334" t="s">
        <v>3812</v>
      </c>
      <c r="E111" s="335"/>
      <c r="F111" s="334"/>
      <c r="G111" s="144">
        <v>16.887</v>
      </c>
      <c r="H111" s="111"/>
    </row>
    <row r="112" spans="1:8" x14ac:dyDescent="0.2">
      <c r="A112" s="117" t="s">
        <v>46</v>
      </c>
      <c r="B112" s="117"/>
      <c r="C112" s="117" t="s">
        <v>608</v>
      </c>
      <c r="D112" s="304" t="s">
        <v>3736</v>
      </c>
      <c r="E112" s="305"/>
      <c r="F112" s="117" t="s">
        <v>1645</v>
      </c>
      <c r="G112" s="116">
        <v>223.108</v>
      </c>
      <c r="H112" s="108">
        <v>0</v>
      </c>
    </row>
    <row r="113" spans="1:8" ht="12.2" customHeight="1" x14ac:dyDescent="0.2">
      <c r="D113" s="334" t="s">
        <v>3820</v>
      </c>
      <c r="E113" s="335"/>
      <c r="F113" s="335"/>
      <c r="G113" s="143">
        <v>60.529000000000003</v>
      </c>
    </row>
    <row r="114" spans="1:8" ht="12.2" customHeight="1" x14ac:dyDescent="0.2">
      <c r="A114" s="117"/>
      <c r="B114" s="117"/>
      <c r="C114" s="117"/>
      <c r="D114" s="334" t="s">
        <v>3819</v>
      </c>
      <c r="E114" s="335"/>
      <c r="F114" s="334"/>
      <c r="G114" s="144">
        <v>162.57900000000001</v>
      </c>
      <c r="H114" s="111"/>
    </row>
    <row r="115" spans="1:8" x14ac:dyDescent="0.2">
      <c r="A115" s="117" t="s">
        <v>47</v>
      </c>
      <c r="B115" s="117"/>
      <c r="C115" s="117" t="s">
        <v>608</v>
      </c>
      <c r="D115" s="304" t="s">
        <v>3735</v>
      </c>
      <c r="E115" s="305"/>
      <c r="F115" s="117" t="s">
        <v>1645</v>
      </c>
      <c r="G115" s="116">
        <v>1198.499</v>
      </c>
      <c r="H115" s="108">
        <v>0</v>
      </c>
    </row>
    <row r="116" spans="1:8" ht="12.2" customHeight="1" x14ac:dyDescent="0.2">
      <c r="D116" s="334" t="s">
        <v>3825</v>
      </c>
      <c r="E116" s="335"/>
      <c r="F116" s="335"/>
      <c r="G116" s="143">
        <v>380.18799999999999</v>
      </c>
    </row>
    <row r="117" spans="1:8" ht="12.2" customHeight="1" x14ac:dyDescent="0.2">
      <c r="A117" s="117"/>
      <c r="B117" s="117"/>
      <c r="C117" s="117"/>
      <c r="D117" s="334" t="s">
        <v>3824</v>
      </c>
      <c r="E117" s="335"/>
      <c r="F117" s="334"/>
      <c r="G117" s="144">
        <v>301.56799999999998</v>
      </c>
      <c r="H117" s="111"/>
    </row>
    <row r="118" spans="1:8" ht="12.2" customHeight="1" x14ac:dyDescent="0.2">
      <c r="A118" s="117"/>
      <c r="B118" s="117"/>
      <c r="C118" s="117"/>
      <c r="D118" s="334" t="s">
        <v>3823</v>
      </c>
      <c r="E118" s="335"/>
      <c r="F118" s="334"/>
      <c r="G118" s="144">
        <v>283.10399999999998</v>
      </c>
      <c r="H118" s="111"/>
    </row>
    <row r="119" spans="1:8" ht="12.2" customHeight="1" x14ac:dyDescent="0.2">
      <c r="A119" s="117"/>
      <c r="B119" s="117"/>
      <c r="C119" s="117"/>
      <c r="D119" s="334" t="s">
        <v>3822</v>
      </c>
      <c r="E119" s="335"/>
      <c r="F119" s="334"/>
      <c r="G119" s="144">
        <v>119.693</v>
      </c>
      <c r="H119" s="111"/>
    </row>
    <row r="120" spans="1:8" ht="12.2" customHeight="1" x14ac:dyDescent="0.2">
      <c r="A120" s="117"/>
      <c r="B120" s="117"/>
      <c r="C120" s="117"/>
      <c r="D120" s="334" t="s">
        <v>3821</v>
      </c>
      <c r="E120" s="335"/>
      <c r="F120" s="334"/>
      <c r="G120" s="144">
        <v>113.946</v>
      </c>
      <c r="H120" s="111"/>
    </row>
    <row r="121" spans="1:8" x14ac:dyDescent="0.2">
      <c r="A121" s="117" t="s">
        <v>48</v>
      </c>
      <c r="B121" s="117"/>
      <c r="C121" s="117" t="s">
        <v>608</v>
      </c>
      <c r="D121" s="304" t="s">
        <v>3734</v>
      </c>
      <c r="E121" s="305"/>
      <c r="F121" s="117" t="s">
        <v>1645</v>
      </c>
      <c r="G121" s="116">
        <v>261.39800000000002</v>
      </c>
      <c r="H121" s="108">
        <v>0</v>
      </c>
    </row>
    <row r="122" spans="1:8" ht="12.2" customHeight="1" x14ac:dyDescent="0.2">
      <c r="D122" s="334" t="s">
        <v>3860</v>
      </c>
      <c r="E122" s="335"/>
      <c r="F122" s="335"/>
      <c r="G122" s="143">
        <v>8.9830000000000005</v>
      </c>
    </row>
    <row r="123" spans="1:8" ht="12.2" customHeight="1" x14ac:dyDescent="0.2">
      <c r="A123" s="117"/>
      <c r="B123" s="117"/>
      <c r="C123" s="117"/>
      <c r="D123" s="334" t="s">
        <v>3859</v>
      </c>
      <c r="E123" s="335"/>
      <c r="F123" s="334"/>
      <c r="G123" s="144">
        <v>76.483999999999995</v>
      </c>
      <c r="H123" s="111"/>
    </row>
    <row r="124" spans="1:8" ht="12.2" customHeight="1" x14ac:dyDescent="0.2">
      <c r="A124" s="117"/>
      <c r="B124" s="117"/>
      <c r="C124" s="117"/>
      <c r="D124" s="334" t="s">
        <v>3869</v>
      </c>
      <c r="E124" s="335"/>
      <c r="F124" s="334"/>
      <c r="G124" s="144">
        <v>175.93100000000001</v>
      </c>
      <c r="H124" s="111"/>
    </row>
    <row r="125" spans="1:8" x14ac:dyDescent="0.2">
      <c r="A125" s="117" t="s">
        <v>49</v>
      </c>
      <c r="B125" s="117"/>
      <c r="C125" s="117" t="s">
        <v>609</v>
      </c>
      <c r="D125" s="304" t="s">
        <v>1107</v>
      </c>
      <c r="E125" s="305"/>
      <c r="F125" s="117" t="s">
        <v>1646</v>
      </c>
      <c r="G125" s="116">
        <v>120</v>
      </c>
      <c r="H125" s="108">
        <v>0</v>
      </c>
    </row>
    <row r="126" spans="1:8" ht="12.2" customHeight="1" x14ac:dyDescent="0.2">
      <c r="D126" s="334" t="s">
        <v>3868</v>
      </c>
      <c r="E126" s="335"/>
      <c r="F126" s="335"/>
      <c r="G126" s="143">
        <v>120</v>
      </c>
    </row>
    <row r="127" spans="1:8" x14ac:dyDescent="0.2">
      <c r="A127" s="117" t="s">
        <v>50</v>
      </c>
      <c r="B127" s="117"/>
      <c r="C127" s="117" t="s">
        <v>610</v>
      </c>
      <c r="D127" s="304" t="s">
        <v>1108</v>
      </c>
      <c r="E127" s="305"/>
      <c r="F127" s="117" t="s">
        <v>1646</v>
      </c>
      <c r="G127" s="116">
        <v>189.84</v>
      </c>
      <c r="H127" s="108">
        <v>0</v>
      </c>
    </row>
    <row r="128" spans="1:8" ht="12.2" customHeight="1" x14ac:dyDescent="0.2">
      <c r="D128" s="334" t="s">
        <v>3867</v>
      </c>
      <c r="E128" s="335"/>
      <c r="F128" s="335"/>
      <c r="G128" s="143">
        <v>189.84</v>
      </c>
    </row>
    <row r="129" spans="1:8" x14ac:dyDescent="0.2">
      <c r="A129" s="117" t="s">
        <v>51</v>
      </c>
      <c r="B129" s="117"/>
      <c r="C129" s="117" t="s">
        <v>611</v>
      </c>
      <c r="D129" s="304" t="s">
        <v>3182</v>
      </c>
      <c r="E129" s="305"/>
      <c r="F129" s="117" t="s">
        <v>1646</v>
      </c>
      <c r="G129" s="116">
        <v>31.4</v>
      </c>
      <c r="H129" s="108">
        <v>0</v>
      </c>
    </row>
    <row r="130" spans="1:8" ht="12.2" customHeight="1" x14ac:dyDescent="0.2">
      <c r="D130" s="334" t="s">
        <v>3866</v>
      </c>
      <c r="E130" s="335"/>
      <c r="F130" s="335"/>
      <c r="G130" s="143">
        <v>31.4</v>
      </c>
    </row>
    <row r="131" spans="1:8" x14ac:dyDescent="0.2">
      <c r="A131" s="117" t="s">
        <v>52</v>
      </c>
      <c r="B131" s="117"/>
      <c r="C131" s="117" t="s">
        <v>612</v>
      </c>
      <c r="D131" s="304" t="s">
        <v>1110</v>
      </c>
      <c r="E131" s="305"/>
      <c r="F131" s="117" t="s">
        <v>1645</v>
      </c>
      <c r="G131" s="116">
        <v>223.108</v>
      </c>
      <c r="H131" s="108">
        <v>0</v>
      </c>
    </row>
    <row r="132" spans="1:8" ht="12.2" customHeight="1" x14ac:dyDescent="0.2">
      <c r="D132" s="334" t="s">
        <v>3820</v>
      </c>
      <c r="E132" s="335"/>
      <c r="F132" s="335"/>
      <c r="G132" s="143">
        <v>60.529000000000003</v>
      </c>
    </row>
    <row r="133" spans="1:8" ht="12.2" customHeight="1" x14ac:dyDescent="0.2">
      <c r="A133" s="117"/>
      <c r="B133" s="117"/>
      <c r="C133" s="117"/>
      <c r="D133" s="334" t="s">
        <v>3819</v>
      </c>
      <c r="E133" s="335"/>
      <c r="F133" s="334"/>
      <c r="G133" s="144">
        <v>162.57900000000001</v>
      </c>
      <c r="H133" s="111"/>
    </row>
    <row r="134" spans="1:8" x14ac:dyDescent="0.2">
      <c r="A134" s="117" t="s">
        <v>53</v>
      </c>
      <c r="B134" s="117"/>
      <c r="C134" s="117" t="s">
        <v>614</v>
      </c>
      <c r="D134" s="304" t="s">
        <v>1112</v>
      </c>
      <c r="E134" s="305"/>
      <c r="F134" s="117" t="s">
        <v>1645</v>
      </c>
      <c r="G134" s="116">
        <v>163.33699999999999</v>
      </c>
      <c r="H134" s="108">
        <v>0</v>
      </c>
    </row>
    <row r="135" spans="1:8" ht="12.2" customHeight="1" x14ac:dyDescent="0.2">
      <c r="D135" s="334" t="s">
        <v>3815</v>
      </c>
      <c r="E135" s="335"/>
      <c r="F135" s="335"/>
      <c r="G135" s="143">
        <v>62.399000000000001</v>
      </c>
    </row>
    <row r="136" spans="1:8" ht="12.2" customHeight="1" x14ac:dyDescent="0.2">
      <c r="A136" s="117"/>
      <c r="B136" s="117"/>
      <c r="C136" s="117"/>
      <c r="D136" s="334" t="s">
        <v>3814</v>
      </c>
      <c r="E136" s="335"/>
      <c r="F136" s="334"/>
      <c r="G136" s="144">
        <v>48.033999999999999</v>
      </c>
      <c r="H136" s="111"/>
    </row>
    <row r="137" spans="1:8" ht="12.2" customHeight="1" x14ac:dyDescent="0.2">
      <c r="A137" s="117"/>
      <c r="B137" s="117"/>
      <c r="C137" s="117"/>
      <c r="D137" s="334" t="s">
        <v>3813</v>
      </c>
      <c r="E137" s="335"/>
      <c r="F137" s="334"/>
      <c r="G137" s="144">
        <v>36.017000000000003</v>
      </c>
      <c r="H137" s="111"/>
    </row>
    <row r="138" spans="1:8" ht="12.2" customHeight="1" x14ac:dyDescent="0.2">
      <c r="A138" s="117"/>
      <c r="B138" s="117"/>
      <c r="C138" s="117"/>
      <c r="D138" s="334" t="s">
        <v>3812</v>
      </c>
      <c r="E138" s="335"/>
      <c r="F138" s="334"/>
      <c r="G138" s="144">
        <v>16.887</v>
      </c>
      <c r="H138" s="111"/>
    </row>
    <row r="139" spans="1:8" x14ac:dyDescent="0.2">
      <c r="A139" s="117" t="s">
        <v>54</v>
      </c>
      <c r="B139" s="117"/>
      <c r="C139" s="117" t="s">
        <v>615</v>
      </c>
      <c r="D139" s="304" t="s">
        <v>1114</v>
      </c>
      <c r="E139" s="305"/>
      <c r="F139" s="117" t="s">
        <v>1645</v>
      </c>
      <c r="G139" s="116">
        <v>1198.499</v>
      </c>
      <c r="H139" s="108">
        <v>0</v>
      </c>
    </row>
    <row r="140" spans="1:8" ht="12.2" customHeight="1" x14ac:dyDescent="0.2">
      <c r="D140" s="334" t="s">
        <v>3825</v>
      </c>
      <c r="E140" s="335"/>
      <c r="F140" s="335"/>
      <c r="G140" s="143">
        <v>380.18799999999999</v>
      </c>
    </row>
    <row r="141" spans="1:8" ht="12.2" customHeight="1" x14ac:dyDescent="0.2">
      <c r="A141" s="117"/>
      <c r="B141" s="117"/>
      <c r="C141" s="117"/>
      <c r="D141" s="334" t="s">
        <v>3824</v>
      </c>
      <c r="E141" s="335"/>
      <c r="F141" s="334"/>
      <c r="G141" s="144">
        <v>301.56799999999998</v>
      </c>
      <c r="H141" s="111"/>
    </row>
    <row r="142" spans="1:8" ht="12.2" customHeight="1" x14ac:dyDescent="0.2">
      <c r="A142" s="117"/>
      <c r="B142" s="117"/>
      <c r="C142" s="117"/>
      <c r="D142" s="334" t="s">
        <v>3823</v>
      </c>
      <c r="E142" s="335"/>
      <c r="F142" s="334"/>
      <c r="G142" s="144">
        <v>283.10399999999998</v>
      </c>
      <c r="H142" s="111"/>
    </row>
    <row r="143" spans="1:8" ht="12.2" customHeight="1" x14ac:dyDescent="0.2">
      <c r="A143" s="117"/>
      <c r="B143" s="117"/>
      <c r="C143" s="117"/>
      <c r="D143" s="334" t="s">
        <v>3822</v>
      </c>
      <c r="E143" s="335"/>
      <c r="F143" s="334"/>
      <c r="G143" s="144">
        <v>119.693</v>
      </c>
      <c r="H143" s="111"/>
    </row>
    <row r="144" spans="1:8" ht="12.2" customHeight="1" x14ac:dyDescent="0.2">
      <c r="A144" s="117"/>
      <c r="B144" s="117"/>
      <c r="C144" s="117"/>
      <c r="D144" s="334" t="s">
        <v>3821</v>
      </c>
      <c r="E144" s="335"/>
      <c r="F144" s="334"/>
      <c r="G144" s="144">
        <v>113.946</v>
      </c>
      <c r="H144" s="111"/>
    </row>
    <row r="145" spans="1:8" x14ac:dyDescent="0.2">
      <c r="A145" s="117" t="s">
        <v>55</v>
      </c>
      <c r="B145" s="117"/>
      <c r="C145" s="117" t="s">
        <v>616</v>
      </c>
      <c r="D145" s="304" t="s">
        <v>1116</v>
      </c>
      <c r="E145" s="305"/>
      <c r="F145" s="117" t="s">
        <v>1645</v>
      </c>
      <c r="G145" s="116">
        <v>175.93100000000001</v>
      </c>
      <c r="H145" s="108">
        <v>0</v>
      </c>
    </row>
    <row r="146" spans="1:8" ht="12.2" customHeight="1" x14ac:dyDescent="0.2">
      <c r="D146" s="334" t="s">
        <v>3865</v>
      </c>
      <c r="E146" s="335"/>
      <c r="F146" s="335"/>
      <c r="G146" s="143">
        <v>110.107</v>
      </c>
    </row>
    <row r="147" spans="1:8" ht="12.2" customHeight="1" x14ac:dyDescent="0.2">
      <c r="A147" s="117"/>
      <c r="B147" s="117"/>
      <c r="C147" s="117"/>
      <c r="D147" s="334" t="s">
        <v>3864</v>
      </c>
      <c r="E147" s="335"/>
      <c r="F147" s="334"/>
      <c r="G147" s="144">
        <v>41.292000000000002</v>
      </c>
      <c r="H147" s="111"/>
    </row>
    <row r="148" spans="1:8" ht="12.2" customHeight="1" x14ac:dyDescent="0.2">
      <c r="A148" s="117"/>
      <c r="B148" s="117"/>
      <c r="C148" s="117"/>
      <c r="D148" s="334" t="s">
        <v>3863</v>
      </c>
      <c r="E148" s="335"/>
      <c r="F148" s="334"/>
      <c r="G148" s="144">
        <v>24.532</v>
      </c>
      <c r="H148" s="111"/>
    </row>
    <row r="149" spans="1:8" x14ac:dyDescent="0.2">
      <c r="A149" s="117" t="s">
        <v>56</v>
      </c>
      <c r="B149" s="117"/>
      <c r="C149" s="117" t="s">
        <v>617</v>
      </c>
      <c r="D149" s="304" t="s">
        <v>1118</v>
      </c>
      <c r="E149" s="305"/>
      <c r="F149" s="117" t="s">
        <v>1646</v>
      </c>
      <c r="G149" s="116">
        <v>181.95</v>
      </c>
      <c r="H149" s="108">
        <v>0</v>
      </c>
    </row>
    <row r="150" spans="1:8" ht="12.2" customHeight="1" x14ac:dyDescent="0.2">
      <c r="D150" s="334" t="s">
        <v>3862</v>
      </c>
      <c r="E150" s="335"/>
      <c r="F150" s="335"/>
      <c r="G150" s="143">
        <v>181.95</v>
      </c>
    </row>
    <row r="151" spans="1:8" x14ac:dyDescent="0.2">
      <c r="A151" s="117" t="s">
        <v>57</v>
      </c>
      <c r="B151" s="117"/>
      <c r="C151" s="117" t="s">
        <v>2859</v>
      </c>
      <c r="D151" s="304" t="s">
        <v>2858</v>
      </c>
      <c r="E151" s="305"/>
      <c r="F151" s="117" t="s">
        <v>1646</v>
      </c>
      <c r="G151" s="116">
        <v>2.5499999999999998</v>
      </c>
      <c r="H151" s="108">
        <v>0</v>
      </c>
    </row>
    <row r="152" spans="1:8" ht="12.2" customHeight="1" x14ac:dyDescent="0.2">
      <c r="D152" s="334" t="s">
        <v>3764</v>
      </c>
      <c r="E152" s="335"/>
      <c r="F152" s="335"/>
      <c r="G152" s="143">
        <v>2.5499999999999998</v>
      </c>
    </row>
    <row r="153" spans="1:8" x14ac:dyDescent="0.2">
      <c r="A153" s="117" t="s">
        <v>58</v>
      </c>
      <c r="B153" s="117"/>
      <c r="C153" s="117" t="s">
        <v>618</v>
      </c>
      <c r="D153" s="304" t="s">
        <v>1119</v>
      </c>
      <c r="E153" s="305"/>
      <c r="F153" s="117" t="s">
        <v>1645</v>
      </c>
      <c r="G153" s="116">
        <v>1670.4110000000001</v>
      </c>
      <c r="H153" s="108">
        <v>0</v>
      </c>
    </row>
    <row r="154" spans="1:8" ht="12.2" customHeight="1" x14ac:dyDescent="0.2">
      <c r="D154" s="334" t="s">
        <v>3861</v>
      </c>
      <c r="E154" s="335"/>
      <c r="F154" s="335"/>
      <c r="G154" s="143">
        <v>1670.4110000000001</v>
      </c>
    </row>
    <row r="155" spans="1:8" x14ac:dyDescent="0.2">
      <c r="A155" s="117" t="s">
        <v>59</v>
      </c>
      <c r="B155" s="117"/>
      <c r="C155" s="117" t="s">
        <v>619</v>
      </c>
      <c r="D155" s="304" t="s">
        <v>1120</v>
      </c>
      <c r="E155" s="305"/>
      <c r="F155" s="117" t="s">
        <v>1646</v>
      </c>
      <c r="G155" s="116">
        <v>556.69000000000005</v>
      </c>
      <c r="H155" s="108">
        <v>0</v>
      </c>
    </row>
    <row r="156" spans="1:8" ht="12.2" customHeight="1" x14ac:dyDescent="0.2">
      <c r="D156" s="334" t="s">
        <v>3858</v>
      </c>
      <c r="E156" s="335"/>
      <c r="F156" s="335"/>
      <c r="G156" s="143">
        <v>133.19999999999999</v>
      </c>
    </row>
    <row r="157" spans="1:8" ht="12.2" customHeight="1" x14ac:dyDescent="0.2">
      <c r="A157" s="117"/>
      <c r="B157" s="117"/>
      <c r="C157" s="117"/>
      <c r="D157" s="334" t="s">
        <v>3857</v>
      </c>
      <c r="E157" s="335"/>
      <c r="F157" s="334"/>
      <c r="G157" s="144">
        <v>423.49</v>
      </c>
      <c r="H157" s="111"/>
    </row>
    <row r="158" spans="1:8" x14ac:dyDescent="0.2">
      <c r="A158" s="117" t="s">
        <v>60</v>
      </c>
      <c r="B158" s="117"/>
      <c r="C158" s="117" t="s">
        <v>620</v>
      </c>
      <c r="D158" s="304" t="s">
        <v>1121</v>
      </c>
      <c r="E158" s="305"/>
      <c r="F158" s="117" t="s">
        <v>1646</v>
      </c>
      <c r="G158" s="116">
        <v>184.5</v>
      </c>
      <c r="H158" s="108">
        <v>0</v>
      </c>
    </row>
    <row r="159" spans="1:8" ht="12.2" customHeight="1" x14ac:dyDescent="0.2">
      <c r="D159" s="334" t="s">
        <v>3775</v>
      </c>
      <c r="E159" s="335"/>
      <c r="F159" s="335"/>
      <c r="G159" s="143">
        <v>184.5</v>
      </c>
    </row>
    <row r="160" spans="1:8" x14ac:dyDescent="0.2">
      <c r="A160" s="117" t="s">
        <v>61</v>
      </c>
      <c r="B160" s="117"/>
      <c r="C160" s="117" t="s">
        <v>621</v>
      </c>
      <c r="D160" s="304" t="s">
        <v>1122</v>
      </c>
      <c r="E160" s="305"/>
      <c r="F160" s="117" t="s">
        <v>1645</v>
      </c>
      <c r="G160" s="116">
        <v>223.108</v>
      </c>
      <c r="H160" s="108">
        <v>0</v>
      </c>
    </row>
    <row r="161" spans="1:8" ht="12.2" customHeight="1" x14ac:dyDescent="0.2">
      <c r="D161" s="334" t="s">
        <v>3820</v>
      </c>
      <c r="E161" s="335"/>
      <c r="F161" s="335"/>
      <c r="G161" s="143">
        <v>60.529000000000003</v>
      </c>
    </row>
    <row r="162" spans="1:8" ht="12.2" customHeight="1" x14ac:dyDescent="0.2">
      <c r="A162" s="117"/>
      <c r="B162" s="117"/>
      <c r="C162" s="117"/>
      <c r="D162" s="334" t="s">
        <v>3819</v>
      </c>
      <c r="E162" s="335"/>
      <c r="F162" s="334"/>
      <c r="G162" s="144">
        <v>162.57900000000001</v>
      </c>
      <c r="H162" s="111"/>
    </row>
    <row r="163" spans="1:8" x14ac:dyDescent="0.2">
      <c r="A163" s="117" t="s">
        <v>62</v>
      </c>
      <c r="B163" s="117"/>
      <c r="C163" s="117" t="s">
        <v>2502</v>
      </c>
      <c r="D163" s="304" t="s">
        <v>2501</v>
      </c>
      <c r="E163" s="305"/>
      <c r="F163" s="117" t="s">
        <v>1645</v>
      </c>
      <c r="G163" s="116">
        <v>8.9830000000000005</v>
      </c>
      <c r="H163" s="108">
        <v>0</v>
      </c>
    </row>
    <row r="164" spans="1:8" ht="12.2" customHeight="1" x14ac:dyDescent="0.2">
      <c r="D164" s="334" t="s">
        <v>3860</v>
      </c>
      <c r="E164" s="335"/>
      <c r="F164" s="335"/>
      <c r="G164" s="143">
        <v>8.9830000000000005</v>
      </c>
    </row>
    <row r="165" spans="1:8" x14ac:dyDescent="0.2">
      <c r="A165" s="117" t="s">
        <v>63</v>
      </c>
      <c r="B165" s="117"/>
      <c r="C165" s="117" t="s">
        <v>2500</v>
      </c>
      <c r="D165" s="304" t="s">
        <v>2499</v>
      </c>
      <c r="E165" s="305"/>
      <c r="F165" s="117" t="s">
        <v>1645</v>
      </c>
      <c r="G165" s="116">
        <v>76.483999999999995</v>
      </c>
      <c r="H165" s="108">
        <v>0</v>
      </c>
    </row>
    <row r="166" spans="1:8" ht="12.2" customHeight="1" x14ac:dyDescent="0.2">
      <c r="D166" s="334" t="s">
        <v>3859</v>
      </c>
      <c r="E166" s="335"/>
      <c r="F166" s="335"/>
      <c r="G166" s="143">
        <v>76.483999999999995</v>
      </c>
    </row>
    <row r="167" spans="1:8" x14ac:dyDescent="0.2">
      <c r="A167" s="117" t="s">
        <v>64</v>
      </c>
      <c r="B167" s="117"/>
      <c r="C167" s="117" t="s">
        <v>622</v>
      </c>
      <c r="D167" s="304" t="s">
        <v>1123</v>
      </c>
      <c r="E167" s="305"/>
      <c r="F167" s="117" t="s">
        <v>1646</v>
      </c>
      <c r="G167" s="116">
        <v>556.69000000000005</v>
      </c>
      <c r="H167" s="108">
        <v>0</v>
      </c>
    </row>
    <row r="168" spans="1:8" ht="12.2" customHeight="1" x14ac:dyDescent="0.2">
      <c r="D168" s="334" t="s">
        <v>3858</v>
      </c>
      <c r="E168" s="335"/>
      <c r="F168" s="335"/>
      <c r="G168" s="143">
        <v>133.19999999999999</v>
      </c>
    </row>
    <row r="169" spans="1:8" ht="12.2" customHeight="1" x14ac:dyDescent="0.2">
      <c r="A169" s="117"/>
      <c r="B169" s="117"/>
      <c r="C169" s="117"/>
      <c r="D169" s="334" t="s">
        <v>3857</v>
      </c>
      <c r="E169" s="335"/>
      <c r="F169" s="334"/>
      <c r="G169" s="144">
        <v>423.49</v>
      </c>
      <c r="H169" s="111"/>
    </row>
    <row r="170" spans="1:8" x14ac:dyDescent="0.2">
      <c r="A170" s="117" t="s">
        <v>65</v>
      </c>
      <c r="B170" s="117"/>
      <c r="C170" s="117" t="s">
        <v>623</v>
      </c>
      <c r="D170" s="304" t="s">
        <v>2497</v>
      </c>
      <c r="E170" s="305"/>
      <c r="F170" s="117" t="s">
        <v>1645</v>
      </c>
      <c r="G170" s="116">
        <v>1584.944</v>
      </c>
      <c r="H170" s="108">
        <v>0</v>
      </c>
    </row>
    <row r="171" spans="1:8" ht="12.2" customHeight="1" x14ac:dyDescent="0.2">
      <c r="D171" s="334" t="s">
        <v>3856</v>
      </c>
      <c r="E171" s="335"/>
      <c r="F171" s="335"/>
      <c r="G171" s="143">
        <v>1584.944</v>
      </c>
    </row>
    <row r="172" spans="1:8" x14ac:dyDescent="0.2">
      <c r="A172" s="117" t="s">
        <v>66</v>
      </c>
      <c r="B172" s="117"/>
      <c r="C172" s="117" t="s">
        <v>623</v>
      </c>
      <c r="D172" s="304" t="s">
        <v>2496</v>
      </c>
      <c r="E172" s="305"/>
      <c r="F172" s="117" t="s">
        <v>1645</v>
      </c>
      <c r="G172" s="116">
        <v>261.39800000000002</v>
      </c>
      <c r="H172" s="108">
        <v>0</v>
      </c>
    </row>
    <row r="173" spans="1:8" ht="12.2" customHeight="1" x14ac:dyDescent="0.2">
      <c r="D173" s="334" t="s">
        <v>3855</v>
      </c>
      <c r="E173" s="335"/>
      <c r="F173" s="335"/>
      <c r="G173" s="143">
        <v>261.39800000000002</v>
      </c>
    </row>
    <row r="174" spans="1:8" x14ac:dyDescent="0.2">
      <c r="A174" s="117" t="s">
        <v>67</v>
      </c>
      <c r="B174" s="117"/>
      <c r="C174" s="117" t="s">
        <v>624</v>
      </c>
      <c r="D174" s="304" t="s">
        <v>2495</v>
      </c>
      <c r="E174" s="305"/>
      <c r="F174" s="117" t="s">
        <v>1645</v>
      </c>
      <c r="G174" s="116">
        <v>1584.944</v>
      </c>
      <c r="H174" s="108">
        <v>0</v>
      </c>
    </row>
    <row r="175" spans="1:8" ht="12.2" customHeight="1" x14ac:dyDescent="0.2">
      <c r="D175" s="334" t="s">
        <v>3856</v>
      </c>
      <c r="E175" s="335"/>
      <c r="F175" s="335"/>
      <c r="G175" s="143">
        <v>1584.944</v>
      </c>
    </row>
    <row r="176" spans="1:8" x14ac:dyDescent="0.2">
      <c r="A176" s="117" t="s">
        <v>68</v>
      </c>
      <c r="B176" s="117"/>
      <c r="C176" s="117" t="s">
        <v>624</v>
      </c>
      <c r="D176" s="304" t="s">
        <v>2494</v>
      </c>
      <c r="E176" s="305"/>
      <c r="F176" s="117" t="s">
        <v>1645</v>
      </c>
      <c r="G176" s="116">
        <v>261.39800000000002</v>
      </c>
      <c r="H176" s="108">
        <v>0</v>
      </c>
    </row>
    <row r="177" spans="1:8" ht="12.2" customHeight="1" x14ac:dyDescent="0.2">
      <c r="D177" s="334" t="s">
        <v>3855</v>
      </c>
      <c r="E177" s="335"/>
      <c r="F177" s="335"/>
      <c r="G177" s="143">
        <v>261.39800000000002</v>
      </c>
    </row>
    <row r="178" spans="1:8" x14ac:dyDescent="0.2">
      <c r="A178" s="117" t="s">
        <v>69</v>
      </c>
      <c r="B178" s="117"/>
      <c r="C178" s="117" t="s">
        <v>625</v>
      </c>
      <c r="D178" s="304" t="s">
        <v>2493</v>
      </c>
      <c r="E178" s="305"/>
      <c r="F178" s="117" t="s">
        <v>1645</v>
      </c>
      <c r="G178" s="116">
        <v>792.47199999999998</v>
      </c>
      <c r="H178" s="108">
        <v>0</v>
      </c>
    </row>
    <row r="179" spans="1:8" ht="12.2" customHeight="1" x14ac:dyDescent="0.2">
      <c r="D179" s="334" t="s">
        <v>3854</v>
      </c>
      <c r="E179" s="335"/>
      <c r="F179" s="335"/>
      <c r="G179" s="143">
        <v>792.47199999999998</v>
      </c>
    </row>
    <row r="180" spans="1:8" x14ac:dyDescent="0.2">
      <c r="A180" s="117" t="s">
        <v>70</v>
      </c>
      <c r="B180" s="117"/>
      <c r="C180" s="117" t="s">
        <v>625</v>
      </c>
      <c r="D180" s="304" t="s">
        <v>2492</v>
      </c>
      <c r="E180" s="305"/>
      <c r="F180" s="117" t="s">
        <v>1645</v>
      </c>
      <c r="G180" s="116">
        <v>130.69900000000001</v>
      </c>
      <c r="H180" s="108">
        <v>0</v>
      </c>
    </row>
    <row r="181" spans="1:8" ht="12.2" customHeight="1" x14ac:dyDescent="0.2">
      <c r="D181" s="334" t="s">
        <v>3853</v>
      </c>
      <c r="E181" s="335"/>
      <c r="F181" s="335"/>
      <c r="G181" s="143">
        <v>130.69900000000001</v>
      </c>
    </row>
    <row r="182" spans="1:8" x14ac:dyDescent="0.2">
      <c r="A182" s="117" t="s">
        <v>71</v>
      </c>
      <c r="B182" s="117"/>
      <c r="C182" s="117" t="s">
        <v>626</v>
      </c>
      <c r="D182" s="304" t="s">
        <v>2491</v>
      </c>
      <c r="E182" s="305"/>
      <c r="F182" s="117" t="s">
        <v>1645</v>
      </c>
      <c r="G182" s="116">
        <v>792.47199999999998</v>
      </c>
      <c r="H182" s="108">
        <v>0</v>
      </c>
    </row>
    <row r="183" spans="1:8" ht="12.2" customHeight="1" x14ac:dyDescent="0.2">
      <c r="D183" s="334" t="s">
        <v>3854</v>
      </c>
      <c r="E183" s="335"/>
      <c r="F183" s="335"/>
      <c r="G183" s="143">
        <v>792.47199999999998</v>
      </c>
    </row>
    <row r="184" spans="1:8" x14ac:dyDescent="0.2">
      <c r="A184" s="117" t="s">
        <v>72</v>
      </c>
      <c r="B184" s="117"/>
      <c r="C184" s="117" t="s">
        <v>626</v>
      </c>
      <c r="D184" s="304" t="s">
        <v>2490</v>
      </c>
      <c r="E184" s="305"/>
      <c r="F184" s="117" t="s">
        <v>1645</v>
      </c>
      <c r="G184" s="116">
        <v>130.69900000000001</v>
      </c>
      <c r="H184" s="108">
        <v>0</v>
      </c>
    </row>
    <row r="185" spans="1:8" ht="12.2" customHeight="1" x14ac:dyDescent="0.2">
      <c r="D185" s="334" t="s">
        <v>3853</v>
      </c>
      <c r="E185" s="335"/>
      <c r="F185" s="335"/>
      <c r="G185" s="143">
        <v>130.69900000000001</v>
      </c>
    </row>
    <row r="186" spans="1:8" x14ac:dyDescent="0.2">
      <c r="A186" s="120"/>
      <c r="B186" s="120"/>
      <c r="C186" s="120" t="s">
        <v>70</v>
      </c>
      <c r="D186" s="306" t="s">
        <v>2575</v>
      </c>
      <c r="E186" s="307"/>
      <c r="F186" s="120"/>
      <c r="G186" s="142"/>
      <c r="H186" s="109"/>
    </row>
    <row r="187" spans="1:8" x14ac:dyDescent="0.2">
      <c r="A187" s="117" t="s">
        <v>73</v>
      </c>
      <c r="B187" s="117"/>
      <c r="C187" s="117" t="s">
        <v>2854</v>
      </c>
      <c r="D187" s="304" t="s">
        <v>3733</v>
      </c>
      <c r="E187" s="305"/>
      <c r="F187" s="117" t="s">
        <v>1646</v>
      </c>
      <c r="G187" s="116">
        <v>0.75</v>
      </c>
      <c r="H187" s="108">
        <v>0</v>
      </c>
    </row>
    <row r="188" spans="1:8" ht="12.2" customHeight="1" x14ac:dyDescent="0.2">
      <c r="D188" s="334" t="s">
        <v>3852</v>
      </c>
      <c r="E188" s="335"/>
      <c r="F188" s="335"/>
      <c r="G188" s="143">
        <v>0.75</v>
      </c>
    </row>
    <row r="189" spans="1:8" x14ac:dyDescent="0.2">
      <c r="A189" s="120"/>
      <c r="B189" s="120"/>
      <c r="C189" s="120" t="s">
        <v>89</v>
      </c>
      <c r="D189" s="306" t="s">
        <v>1130</v>
      </c>
      <c r="E189" s="307"/>
      <c r="F189" s="120"/>
      <c r="G189" s="142"/>
      <c r="H189" s="109"/>
    </row>
    <row r="190" spans="1:8" x14ac:dyDescent="0.2">
      <c r="A190" s="117" t="s">
        <v>74</v>
      </c>
      <c r="B190" s="117"/>
      <c r="C190" s="117" t="s">
        <v>628</v>
      </c>
      <c r="D190" s="304" t="s">
        <v>3732</v>
      </c>
      <c r="E190" s="305"/>
      <c r="F190" s="117" t="s">
        <v>1644</v>
      </c>
      <c r="G190" s="116">
        <v>11</v>
      </c>
      <c r="H190" s="108">
        <v>0</v>
      </c>
    </row>
    <row r="191" spans="1:8" ht="12.2" customHeight="1" x14ac:dyDescent="0.2">
      <c r="D191" s="334" t="s">
        <v>3838</v>
      </c>
      <c r="E191" s="335"/>
      <c r="F191" s="335"/>
      <c r="G191" s="143">
        <v>11</v>
      </c>
    </row>
    <row r="192" spans="1:8" x14ac:dyDescent="0.2">
      <c r="A192" s="117" t="s">
        <v>75</v>
      </c>
      <c r="B192" s="117"/>
      <c r="C192" s="117" t="s">
        <v>629</v>
      </c>
      <c r="D192" s="304" t="s">
        <v>1132</v>
      </c>
      <c r="E192" s="305"/>
      <c r="F192" s="117" t="s">
        <v>1646</v>
      </c>
      <c r="G192" s="116">
        <v>34</v>
      </c>
      <c r="H192" s="108">
        <v>0</v>
      </c>
    </row>
    <row r="193" spans="1:8" ht="12.2" customHeight="1" x14ac:dyDescent="0.2">
      <c r="D193" s="334" t="s">
        <v>3851</v>
      </c>
      <c r="E193" s="335"/>
      <c r="F193" s="335"/>
      <c r="G193" s="143">
        <v>34</v>
      </c>
    </row>
    <row r="194" spans="1:8" x14ac:dyDescent="0.2">
      <c r="A194" s="120"/>
      <c r="B194" s="120"/>
      <c r="C194" s="120" t="s">
        <v>95</v>
      </c>
      <c r="D194" s="306" t="s">
        <v>1133</v>
      </c>
      <c r="E194" s="307"/>
      <c r="F194" s="120"/>
      <c r="G194" s="142"/>
      <c r="H194" s="109"/>
    </row>
    <row r="195" spans="1:8" x14ac:dyDescent="0.2">
      <c r="A195" s="117" t="s">
        <v>76</v>
      </c>
      <c r="B195" s="117"/>
      <c r="C195" s="117" t="s">
        <v>630</v>
      </c>
      <c r="D195" s="304" t="s">
        <v>3731</v>
      </c>
      <c r="E195" s="305"/>
      <c r="F195" s="117" t="s">
        <v>1644</v>
      </c>
      <c r="G195" s="116">
        <v>17</v>
      </c>
      <c r="H195" s="108">
        <v>0</v>
      </c>
    </row>
    <row r="196" spans="1:8" ht="12.2" customHeight="1" x14ac:dyDescent="0.2">
      <c r="D196" s="334" t="s">
        <v>3850</v>
      </c>
      <c r="E196" s="335"/>
      <c r="F196" s="335"/>
      <c r="G196" s="143">
        <v>17</v>
      </c>
    </row>
    <row r="197" spans="1:8" x14ac:dyDescent="0.2">
      <c r="A197" s="117" t="s">
        <v>77</v>
      </c>
      <c r="B197" s="117"/>
      <c r="C197" s="117" t="s">
        <v>631</v>
      </c>
      <c r="D197" s="304" t="s">
        <v>1135</v>
      </c>
      <c r="E197" s="305"/>
      <c r="F197" s="117" t="s">
        <v>1644</v>
      </c>
      <c r="G197" s="116">
        <v>7</v>
      </c>
      <c r="H197" s="108">
        <v>0</v>
      </c>
    </row>
    <row r="198" spans="1:8" ht="12.2" customHeight="1" x14ac:dyDescent="0.2">
      <c r="D198" s="334" t="s">
        <v>3199</v>
      </c>
      <c r="E198" s="335"/>
      <c r="F198" s="335"/>
      <c r="G198" s="143">
        <v>7</v>
      </c>
    </row>
    <row r="199" spans="1:8" x14ac:dyDescent="0.2">
      <c r="A199" s="120"/>
      <c r="B199" s="120"/>
      <c r="C199" s="120" t="s">
        <v>97</v>
      </c>
      <c r="D199" s="306" t="s">
        <v>1136</v>
      </c>
      <c r="E199" s="307"/>
      <c r="F199" s="120"/>
      <c r="G199" s="142"/>
      <c r="H199" s="109"/>
    </row>
    <row r="200" spans="1:8" x14ac:dyDescent="0.2">
      <c r="A200" s="117" t="s">
        <v>78</v>
      </c>
      <c r="B200" s="117"/>
      <c r="C200" s="117" t="s">
        <v>632</v>
      </c>
      <c r="D200" s="304" t="s">
        <v>1137</v>
      </c>
      <c r="E200" s="305"/>
      <c r="F200" s="117" t="s">
        <v>1646</v>
      </c>
      <c r="G200" s="116">
        <v>15.6</v>
      </c>
      <c r="H200" s="108">
        <v>0</v>
      </c>
    </row>
    <row r="201" spans="1:8" ht="12.2" customHeight="1" x14ac:dyDescent="0.2">
      <c r="D201" s="334" t="s">
        <v>3849</v>
      </c>
      <c r="E201" s="335"/>
      <c r="F201" s="335"/>
      <c r="G201" s="143">
        <v>15.6</v>
      </c>
    </row>
    <row r="202" spans="1:8" x14ac:dyDescent="0.2">
      <c r="A202" s="117" t="s">
        <v>79</v>
      </c>
      <c r="B202" s="117"/>
      <c r="C202" s="117" t="s">
        <v>633</v>
      </c>
      <c r="D202" s="304" t="s">
        <v>1138</v>
      </c>
      <c r="E202" s="305"/>
      <c r="F202" s="117" t="s">
        <v>1647</v>
      </c>
      <c r="G202" s="116">
        <v>0.70199999999999996</v>
      </c>
      <c r="H202" s="108">
        <v>0</v>
      </c>
    </row>
    <row r="203" spans="1:8" ht="12.2" customHeight="1" x14ac:dyDescent="0.2">
      <c r="D203" s="334" t="s">
        <v>3848</v>
      </c>
      <c r="E203" s="335"/>
      <c r="F203" s="335"/>
      <c r="G203" s="143">
        <v>0.70199999999999996</v>
      </c>
    </row>
    <row r="204" spans="1:8" x14ac:dyDescent="0.2">
      <c r="A204" s="117" t="s">
        <v>80</v>
      </c>
      <c r="B204" s="117"/>
      <c r="C204" s="117" t="s">
        <v>3730</v>
      </c>
      <c r="D204" s="304" t="s">
        <v>3729</v>
      </c>
      <c r="E204" s="305"/>
      <c r="F204" s="117" t="s">
        <v>1644</v>
      </c>
      <c r="G204" s="116">
        <v>1</v>
      </c>
      <c r="H204" s="108">
        <v>0</v>
      </c>
    </row>
    <row r="205" spans="1:8" ht="12.2" customHeight="1" x14ac:dyDescent="0.2">
      <c r="D205" s="334" t="s">
        <v>1749</v>
      </c>
      <c r="E205" s="335"/>
      <c r="F205" s="335"/>
      <c r="G205" s="143">
        <v>1</v>
      </c>
    </row>
    <row r="206" spans="1:8" x14ac:dyDescent="0.2">
      <c r="A206" s="120"/>
      <c r="B206" s="120"/>
      <c r="C206" s="120" t="s">
        <v>100</v>
      </c>
      <c r="D206" s="306" t="s">
        <v>1139</v>
      </c>
      <c r="E206" s="307"/>
      <c r="F206" s="120"/>
      <c r="G206" s="142"/>
      <c r="H206" s="109"/>
    </row>
    <row r="207" spans="1:8" x14ac:dyDescent="0.2">
      <c r="A207" s="117" t="s">
        <v>81</v>
      </c>
      <c r="B207" s="117"/>
      <c r="C207" s="117" t="s">
        <v>634</v>
      </c>
      <c r="D207" s="304" t="s">
        <v>1140</v>
      </c>
      <c r="E207" s="305"/>
      <c r="F207" s="117" t="s">
        <v>1645</v>
      </c>
      <c r="G207" s="116">
        <v>1892.798</v>
      </c>
      <c r="H207" s="108">
        <v>0</v>
      </c>
    </row>
    <row r="208" spans="1:8" ht="12.2" customHeight="1" x14ac:dyDescent="0.2">
      <c r="D208" s="334" t="s">
        <v>3847</v>
      </c>
      <c r="E208" s="335"/>
      <c r="F208" s="335"/>
      <c r="G208" s="143">
        <v>979.73900000000003</v>
      </c>
    </row>
    <row r="209" spans="1:8" ht="12.2" customHeight="1" x14ac:dyDescent="0.2">
      <c r="A209" s="117"/>
      <c r="B209" s="117"/>
      <c r="C209" s="117"/>
      <c r="D209" s="334" t="s">
        <v>3846</v>
      </c>
      <c r="E209" s="335"/>
      <c r="F209" s="334"/>
      <c r="G209" s="144">
        <v>648.95100000000002</v>
      </c>
      <c r="H209" s="111"/>
    </row>
    <row r="210" spans="1:8" ht="12.2" customHeight="1" x14ac:dyDescent="0.2">
      <c r="A210" s="117"/>
      <c r="B210" s="117"/>
      <c r="C210" s="117"/>
      <c r="D210" s="334" t="s">
        <v>3845</v>
      </c>
      <c r="E210" s="335"/>
      <c r="F210" s="334"/>
      <c r="G210" s="144">
        <v>264.108</v>
      </c>
      <c r="H210" s="111"/>
    </row>
    <row r="211" spans="1:8" x14ac:dyDescent="0.2">
      <c r="A211" s="117" t="s">
        <v>82</v>
      </c>
      <c r="B211" s="117"/>
      <c r="C211" s="117" t="s">
        <v>635</v>
      </c>
      <c r="D211" s="304" t="s">
        <v>1141</v>
      </c>
      <c r="E211" s="305"/>
      <c r="F211" s="117" t="s">
        <v>1645</v>
      </c>
      <c r="G211" s="116">
        <v>3785.596</v>
      </c>
      <c r="H211" s="108">
        <v>0</v>
      </c>
    </row>
    <row r="212" spans="1:8" ht="12.2" customHeight="1" x14ac:dyDescent="0.2">
      <c r="D212" s="334" t="s">
        <v>3844</v>
      </c>
      <c r="E212" s="335"/>
      <c r="F212" s="335"/>
      <c r="G212" s="143">
        <v>3785.596</v>
      </c>
    </row>
    <row r="213" spans="1:8" x14ac:dyDescent="0.2">
      <c r="A213" s="117" t="s">
        <v>83</v>
      </c>
      <c r="B213" s="117"/>
      <c r="C213" s="117" t="s">
        <v>636</v>
      </c>
      <c r="D213" s="304" t="s">
        <v>1142</v>
      </c>
      <c r="E213" s="305"/>
      <c r="F213" s="117" t="s">
        <v>1645</v>
      </c>
      <c r="G213" s="116">
        <v>1892.798</v>
      </c>
      <c r="H213" s="108">
        <v>0</v>
      </c>
    </row>
    <row r="214" spans="1:8" ht="12.2" customHeight="1" x14ac:dyDescent="0.2">
      <c r="D214" s="334" t="s">
        <v>3843</v>
      </c>
      <c r="E214" s="335"/>
      <c r="F214" s="335"/>
      <c r="G214" s="143">
        <v>1892.798</v>
      </c>
    </row>
    <row r="215" spans="1:8" x14ac:dyDescent="0.2">
      <c r="A215" s="117" t="s">
        <v>84</v>
      </c>
      <c r="B215" s="117"/>
      <c r="C215" s="117" t="s">
        <v>637</v>
      </c>
      <c r="D215" s="304" t="s">
        <v>1143</v>
      </c>
      <c r="E215" s="305"/>
      <c r="F215" s="117" t="s">
        <v>1645</v>
      </c>
      <c r="G215" s="116">
        <v>1892.798</v>
      </c>
      <c r="H215" s="108">
        <v>0</v>
      </c>
    </row>
    <row r="216" spans="1:8" ht="12.2" customHeight="1" x14ac:dyDescent="0.2">
      <c r="D216" s="334" t="s">
        <v>3843</v>
      </c>
      <c r="E216" s="335"/>
      <c r="F216" s="335"/>
      <c r="G216" s="143">
        <v>1892.798</v>
      </c>
    </row>
    <row r="217" spans="1:8" x14ac:dyDescent="0.2">
      <c r="A217" s="117" t="s">
        <v>85</v>
      </c>
      <c r="B217" s="117"/>
      <c r="C217" s="117" t="s">
        <v>638</v>
      </c>
      <c r="D217" s="304" t="s">
        <v>1144</v>
      </c>
      <c r="E217" s="305"/>
      <c r="F217" s="117" t="s">
        <v>1645</v>
      </c>
      <c r="G217" s="116">
        <v>3785.596</v>
      </c>
      <c r="H217" s="108">
        <v>0</v>
      </c>
    </row>
    <row r="218" spans="1:8" ht="12.2" customHeight="1" x14ac:dyDescent="0.2">
      <c r="D218" s="334" t="s">
        <v>3844</v>
      </c>
      <c r="E218" s="335"/>
      <c r="F218" s="335"/>
      <c r="G218" s="143">
        <v>3785.596</v>
      </c>
    </row>
    <row r="219" spans="1:8" x14ac:dyDescent="0.2">
      <c r="A219" s="117" t="s">
        <v>86</v>
      </c>
      <c r="B219" s="117"/>
      <c r="C219" s="117" t="s">
        <v>639</v>
      </c>
      <c r="D219" s="304" t="s">
        <v>1145</v>
      </c>
      <c r="E219" s="305"/>
      <c r="F219" s="117" t="s">
        <v>1645</v>
      </c>
      <c r="G219" s="116">
        <v>1892.798</v>
      </c>
      <c r="H219" s="108">
        <v>0</v>
      </c>
    </row>
    <row r="220" spans="1:8" ht="12.2" customHeight="1" x14ac:dyDescent="0.2">
      <c r="D220" s="334" t="s">
        <v>3843</v>
      </c>
      <c r="E220" s="335"/>
      <c r="F220" s="335"/>
      <c r="G220" s="143">
        <v>1892.798</v>
      </c>
    </row>
    <row r="221" spans="1:8" x14ac:dyDescent="0.2">
      <c r="A221" s="117" t="s">
        <v>87</v>
      </c>
      <c r="B221" s="117"/>
      <c r="C221" s="117" t="s">
        <v>640</v>
      </c>
      <c r="D221" s="304" t="s">
        <v>1146</v>
      </c>
      <c r="E221" s="305"/>
      <c r="F221" s="117" t="s">
        <v>1649</v>
      </c>
      <c r="G221" s="116">
        <v>40</v>
      </c>
      <c r="H221" s="108">
        <v>0</v>
      </c>
    </row>
    <row r="222" spans="1:8" ht="12.2" customHeight="1" x14ac:dyDescent="0.2">
      <c r="D222" s="334" t="s">
        <v>1786</v>
      </c>
      <c r="E222" s="335"/>
      <c r="F222" s="335"/>
      <c r="G222" s="143">
        <v>40</v>
      </c>
    </row>
    <row r="223" spans="1:8" x14ac:dyDescent="0.2">
      <c r="A223" s="120"/>
      <c r="B223" s="120"/>
      <c r="C223" s="120" t="s">
        <v>101</v>
      </c>
      <c r="D223" s="306" t="s">
        <v>1147</v>
      </c>
      <c r="E223" s="307"/>
      <c r="F223" s="120"/>
      <c r="G223" s="142"/>
      <c r="H223" s="109"/>
    </row>
    <row r="224" spans="1:8" x14ac:dyDescent="0.2">
      <c r="A224" s="117" t="s">
        <v>88</v>
      </c>
      <c r="B224" s="117"/>
      <c r="C224" s="117" t="s">
        <v>641</v>
      </c>
      <c r="D224" s="304" t="s">
        <v>1148</v>
      </c>
      <c r="E224" s="305"/>
      <c r="F224" s="117" t="s">
        <v>1645</v>
      </c>
      <c r="G224" s="116">
        <v>240.59</v>
      </c>
      <c r="H224" s="108">
        <v>0</v>
      </c>
    </row>
    <row r="225" spans="1:8" ht="12.2" customHeight="1" x14ac:dyDescent="0.2">
      <c r="D225" s="334" t="s">
        <v>3842</v>
      </c>
      <c r="E225" s="335"/>
      <c r="F225" s="335"/>
      <c r="G225" s="143">
        <v>50.4</v>
      </c>
    </row>
    <row r="226" spans="1:8" ht="12.2" customHeight="1" x14ac:dyDescent="0.2">
      <c r="A226" s="117"/>
      <c r="B226" s="117"/>
      <c r="C226" s="117"/>
      <c r="D226" s="334" t="s">
        <v>3841</v>
      </c>
      <c r="E226" s="335"/>
      <c r="F226" s="334"/>
      <c r="G226" s="144">
        <v>190.19</v>
      </c>
      <c r="H226" s="111"/>
    </row>
    <row r="227" spans="1:8" x14ac:dyDescent="0.2">
      <c r="A227" s="117" t="s">
        <v>89</v>
      </c>
      <c r="B227" s="117"/>
      <c r="C227" s="117" t="s">
        <v>642</v>
      </c>
      <c r="D227" s="304" t="s">
        <v>1149</v>
      </c>
      <c r="E227" s="305"/>
      <c r="F227" s="117" t="s">
        <v>1645</v>
      </c>
      <c r="G227" s="116">
        <v>32.076000000000001</v>
      </c>
      <c r="H227" s="108">
        <v>0</v>
      </c>
    </row>
    <row r="228" spans="1:8" ht="12.2" customHeight="1" x14ac:dyDescent="0.2">
      <c r="D228" s="334" t="s">
        <v>3760</v>
      </c>
      <c r="E228" s="335"/>
      <c r="F228" s="335"/>
      <c r="G228" s="143">
        <v>32.076000000000001</v>
      </c>
    </row>
    <row r="229" spans="1:8" x14ac:dyDescent="0.2">
      <c r="A229" s="117" t="s">
        <v>90</v>
      </c>
      <c r="B229" s="117"/>
      <c r="C229" s="117" t="s">
        <v>643</v>
      </c>
      <c r="D229" s="304" t="s">
        <v>1150</v>
      </c>
      <c r="E229" s="305"/>
      <c r="F229" s="117" t="s">
        <v>1645</v>
      </c>
      <c r="G229" s="116">
        <v>1155.05</v>
      </c>
      <c r="H229" s="108">
        <v>0</v>
      </c>
    </row>
    <row r="230" spans="1:8" ht="12.2" customHeight="1" x14ac:dyDescent="0.2">
      <c r="D230" s="334" t="s">
        <v>3791</v>
      </c>
      <c r="E230" s="335"/>
      <c r="F230" s="335"/>
      <c r="G230" s="143">
        <v>1155.05</v>
      </c>
    </row>
    <row r="231" spans="1:8" x14ac:dyDescent="0.2">
      <c r="A231" s="117" t="s">
        <v>91</v>
      </c>
      <c r="B231" s="117"/>
      <c r="C231" s="117" t="s">
        <v>3180</v>
      </c>
      <c r="D231" s="304" t="s">
        <v>3728</v>
      </c>
      <c r="E231" s="305"/>
      <c r="F231" s="117" t="s">
        <v>1644</v>
      </c>
      <c r="G231" s="116">
        <v>1</v>
      </c>
      <c r="H231" s="108">
        <v>0</v>
      </c>
    </row>
    <row r="232" spans="1:8" ht="12.2" customHeight="1" x14ac:dyDescent="0.2">
      <c r="D232" s="334" t="s">
        <v>1749</v>
      </c>
      <c r="E232" s="335"/>
      <c r="F232" s="335"/>
      <c r="G232" s="143">
        <v>1</v>
      </c>
    </row>
    <row r="233" spans="1:8" x14ac:dyDescent="0.2">
      <c r="A233" s="117" t="s">
        <v>92</v>
      </c>
      <c r="B233" s="117"/>
      <c r="C233" s="117" t="s">
        <v>644</v>
      </c>
      <c r="D233" s="304" t="s">
        <v>1151</v>
      </c>
      <c r="E233" s="305"/>
      <c r="F233" s="117" t="s">
        <v>1644</v>
      </c>
      <c r="G233" s="116">
        <v>2</v>
      </c>
      <c r="H233" s="108">
        <v>0</v>
      </c>
    </row>
    <row r="234" spans="1:8" ht="12.2" customHeight="1" x14ac:dyDescent="0.2">
      <c r="D234" s="334" t="s">
        <v>2923</v>
      </c>
      <c r="E234" s="335"/>
      <c r="F234" s="335"/>
      <c r="G234" s="143">
        <v>2</v>
      </c>
    </row>
    <row r="235" spans="1:8" x14ac:dyDescent="0.2">
      <c r="A235" s="117" t="s">
        <v>93</v>
      </c>
      <c r="B235" s="117"/>
      <c r="C235" s="117" t="s">
        <v>646</v>
      </c>
      <c r="D235" s="304" t="s">
        <v>1153</v>
      </c>
      <c r="E235" s="305"/>
      <c r="F235" s="117" t="s">
        <v>1650</v>
      </c>
      <c r="G235" s="116">
        <v>350</v>
      </c>
      <c r="H235" s="108">
        <v>0</v>
      </c>
    </row>
    <row r="236" spans="1:8" ht="12.2" customHeight="1" x14ac:dyDescent="0.2">
      <c r="D236" s="334" t="s">
        <v>3840</v>
      </c>
      <c r="E236" s="335"/>
      <c r="F236" s="335"/>
      <c r="G236" s="143">
        <v>350</v>
      </c>
    </row>
    <row r="237" spans="1:8" x14ac:dyDescent="0.2">
      <c r="A237" s="117" t="s">
        <v>94</v>
      </c>
      <c r="B237" s="117"/>
      <c r="C237" s="117" t="s">
        <v>647</v>
      </c>
      <c r="D237" s="304" t="s">
        <v>1154</v>
      </c>
      <c r="E237" s="305"/>
      <c r="F237" s="117" t="s">
        <v>1644</v>
      </c>
      <c r="G237" s="116">
        <v>16</v>
      </c>
      <c r="H237" s="108">
        <v>0</v>
      </c>
    </row>
    <row r="238" spans="1:8" ht="12.2" customHeight="1" x14ac:dyDescent="0.2">
      <c r="D238" s="334" t="s">
        <v>3839</v>
      </c>
      <c r="E238" s="335"/>
      <c r="F238" s="335"/>
      <c r="G238" s="143">
        <v>16</v>
      </c>
    </row>
    <row r="239" spans="1:8" x14ac:dyDescent="0.2">
      <c r="A239" s="117" t="s">
        <v>95</v>
      </c>
      <c r="B239" s="117"/>
      <c r="C239" s="117" t="s">
        <v>648</v>
      </c>
      <c r="D239" s="304" t="s">
        <v>1155</v>
      </c>
      <c r="E239" s="305"/>
      <c r="F239" s="117" t="s">
        <v>1644</v>
      </c>
      <c r="G239" s="116">
        <v>1</v>
      </c>
      <c r="H239" s="108">
        <v>0</v>
      </c>
    </row>
    <row r="240" spans="1:8" ht="12.2" customHeight="1" x14ac:dyDescent="0.2">
      <c r="D240" s="334" t="s">
        <v>1749</v>
      </c>
      <c r="E240" s="335"/>
      <c r="F240" s="335"/>
      <c r="G240" s="143">
        <v>1</v>
      </c>
    </row>
    <row r="241" spans="1:8" x14ac:dyDescent="0.2">
      <c r="A241" s="117" t="s">
        <v>96</v>
      </c>
      <c r="B241" s="117"/>
      <c r="C241" s="117" t="s">
        <v>649</v>
      </c>
      <c r="D241" s="304" t="s">
        <v>1156</v>
      </c>
      <c r="E241" s="305"/>
      <c r="F241" s="117" t="s">
        <v>1644</v>
      </c>
      <c r="G241" s="116">
        <v>1</v>
      </c>
      <c r="H241" s="108">
        <v>0</v>
      </c>
    </row>
    <row r="242" spans="1:8" ht="12.2" customHeight="1" x14ac:dyDescent="0.2">
      <c r="D242" s="334" t="s">
        <v>1749</v>
      </c>
      <c r="E242" s="335"/>
      <c r="F242" s="335"/>
      <c r="G242" s="143">
        <v>1</v>
      </c>
    </row>
    <row r="243" spans="1:8" x14ac:dyDescent="0.2">
      <c r="A243" s="117" t="s">
        <v>97</v>
      </c>
      <c r="B243" s="117"/>
      <c r="C243" s="117" t="s">
        <v>650</v>
      </c>
      <c r="D243" s="304" t="s">
        <v>1157</v>
      </c>
      <c r="E243" s="305"/>
      <c r="F243" s="117" t="s">
        <v>1644</v>
      </c>
      <c r="G243" s="116">
        <v>1</v>
      </c>
      <c r="H243" s="108">
        <v>0</v>
      </c>
    </row>
    <row r="244" spans="1:8" ht="12.2" customHeight="1" x14ac:dyDescent="0.2">
      <c r="D244" s="334" t="s">
        <v>1749</v>
      </c>
      <c r="E244" s="335"/>
      <c r="F244" s="335"/>
      <c r="G244" s="143">
        <v>1</v>
      </c>
    </row>
    <row r="245" spans="1:8" x14ac:dyDescent="0.2">
      <c r="A245" s="120"/>
      <c r="B245" s="120"/>
      <c r="C245" s="120" t="s">
        <v>102</v>
      </c>
      <c r="D245" s="306" t="s">
        <v>1158</v>
      </c>
      <c r="E245" s="307"/>
      <c r="F245" s="120"/>
      <c r="G245" s="142"/>
      <c r="H245" s="109"/>
    </row>
    <row r="246" spans="1:8" x14ac:dyDescent="0.2">
      <c r="A246" s="117" t="s">
        <v>98</v>
      </c>
      <c r="B246" s="117"/>
      <c r="C246" s="117" t="s">
        <v>651</v>
      </c>
      <c r="D246" s="304" t="s">
        <v>1159</v>
      </c>
      <c r="E246" s="305"/>
      <c r="F246" s="117" t="s">
        <v>1645</v>
      </c>
      <c r="G246" s="116">
        <v>223.108</v>
      </c>
      <c r="H246" s="108">
        <v>0</v>
      </c>
    </row>
    <row r="247" spans="1:8" ht="12.2" customHeight="1" x14ac:dyDescent="0.2">
      <c r="D247" s="334" t="s">
        <v>3820</v>
      </c>
      <c r="E247" s="335"/>
      <c r="F247" s="335"/>
      <c r="G247" s="143">
        <v>60.529000000000003</v>
      </c>
    </row>
    <row r="248" spans="1:8" ht="12.2" customHeight="1" x14ac:dyDescent="0.2">
      <c r="A248" s="117"/>
      <c r="B248" s="117"/>
      <c r="C248" s="117"/>
      <c r="D248" s="334" t="s">
        <v>3819</v>
      </c>
      <c r="E248" s="335"/>
      <c r="F248" s="334"/>
      <c r="G248" s="144">
        <v>162.57900000000001</v>
      </c>
      <c r="H248" s="111"/>
    </row>
    <row r="249" spans="1:8" x14ac:dyDescent="0.2">
      <c r="A249" s="117" t="s">
        <v>99</v>
      </c>
      <c r="B249" s="117"/>
      <c r="C249" s="117" t="s">
        <v>652</v>
      </c>
      <c r="D249" s="304" t="s">
        <v>1160</v>
      </c>
      <c r="E249" s="305"/>
      <c r="F249" s="117" t="s">
        <v>1644</v>
      </c>
      <c r="G249" s="116">
        <v>11</v>
      </c>
      <c r="H249" s="108">
        <v>0</v>
      </c>
    </row>
    <row r="250" spans="1:8" ht="12.2" customHeight="1" x14ac:dyDescent="0.2">
      <c r="D250" s="334" t="s">
        <v>3838</v>
      </c>
      <c r="E250" s="335"/>
      <c r="F250" s="335"/>
      <c r="G250" s="143">
        <v>11</v>
      </c>
    </row>
    <row r="251" spans="1:8" x14ac:dyDescent="0.2">
      <c r="A251" s="117" t="s">
        <v>100</v>
      </c>
      <c r="B251" s="117"/>
      <c r="C251" s="117" t="s">
        <v>3727</v>
      </c>
      <c r="D251" s="304" t="s">
        <v>3726</v>
      </c>
      <c r="E251" s="305"/>
      <c r="F251" s="117" t="s">
        <v>1644</v>
      </c>
      <c r="G251" s="116">
        <v>1</v>
      </c>
      <c r="H251" s="108">
        <v>0</v>
      </c>
    </row>
    <row r="252" spans="1:8" ht="12.2" customHeight="1" x14ac:dyDescent="0.2">
      <c r="D252" s="334" t="s">
        <v>1749</v>
      </c>
      <c r="E252" s="335"/>
      <c r="F252" s="335"/>
      <c r="G252" s="143">
        <v>1</v>
      </c>
    </row>
    <row r="253" spans="1:8" x14ac:dyDescent="0.2">
      <c r="A253" s="117" t="s">
        <v>101</v>
      </c>
      <c r="B253" s="117"/>
      <c r="C253" s="117" t="s">
        <v>653</v>
      </c>
      <c r="D253" s="304" t="s">
        <v>3725</v>
      </c>
      <c r="E253" s="305"/>
      <c r="F253" s="117" t="s">
        <v>1647</v>
      </c>
      <c r="G253" s="116">
        <v>0.35</v>
      </c>
      <c r="H253" s="108">
        <v>0</v>
      </c>
    </row>
    <row r="254" spans="1:8" ht="12.2" customHeight="1" x14ac:dyDescent="0.2">
      <c r="D254" s="334" t="s">
        <v>3837</v>
      </c>
      <c r="E254" s="335"/>
      <c r="F254" s="335"/>
      <c r="G254" s="143">
        <v>0.35</v>
      </c>
    </row>
    <row r="255" spans="1:8" x14ac:dyDescent="0.2">
      <c r="A255" s="117" t="s">
        <v>102</v>
      </c>
      <c r="B255" s="117"/>
      <c r="C255" s="117" t="s">
        <v>654</v>
      </c>
      <c r="D255" s="304" t="s">
        <v>1162</v>
      </c>
      <c r="E255" s="305"/>
      <c r="F255" s="117" t="s">
        <v>1645</v>
      </c>
      <c r="G255" s="116">
        <v>223.108</v>
      </c>
      <c r="H255" s="108">
        <v>0</v>
      </c>
    </row>
    <row r="256" spans="1:8" ht="12.2" customHeight="1" x14ac:dyDescent="0.2">
      <c r="D256" s="334" t="s">
        <v>3820</v>
      </c>
      <c r="E256" s="335"/>
      <c r="F256" s="335"/>
      <c r="G256" s="143">
        <v>60.529000000000003</v>
      </c>
    </row>
    <row r="257" spans="1:8" ht="12.2" customHeight="1" x14ac:dyDescent="0.2">
      <c r="A257" s="117"/>
      <c r="B257" s="117"/>
      <c r="C257" s="117"/>
      <c r="D257" s="334" t="s">
        <v>3819</v>
      </c>
      <c r="E257" s="335"/>
      <c r="F257" s="334"/>
      <c r="G257" s="144">
        <v>162.57900000000001</v>
      </c>
      <c r="H257" s="111"/>
    </row>
    <row r="258" spans="1:8" x14ac:dyDescent="0.2">
      <c r="A258" s="117" t="s">
        <v>103</v>
      </c>
      <c r="B258" s="117"/>
      <c r="C258" s="117" t="s">
        <v>655</v>
      </c>
      <c r="D258" s="304" t="s">
        <v>1163</v>
      </c>
      <c r="E258" s="305"/>
      <c r="F258" s="117" t="s">
        <v>1647</v>
      </c>
      <c r="G258" s="116">
        <v>2.694</v>
      </c>
      <c r="H258" s="108">
        <v>0</v>
      </c>
    </row>
    <row r="259" spans="1:8" ht="12.2" customHeight="1" x14ac:dyDescent="0.2">
      <c r="D259" s="334" t="s">
        <v>3836</v>
      </c>
      <c r="E259" s="335"/>
      <c r="F259" s="335"/>
      <c r="G259" s="143">
        <v>2.694</v>
      </c>
    </row>
    <row r="260" spans="1:8" x14ac:dyDescent="0.2">
      <c r="A260" s="117" t="s">
        <v>104</v>
      </c>
      <c r="B260" s="117"/>
      <c r="C260" s="117" t="s">
        <v>658</v>
      </c>
      <c r="D260" s="304" t="s">
        <v>3178</v>
      </c>
      <c r="E260" s="305"/>
      <c r="F260" s="117" t="s">
        <v>1645</v>
      </c>
      <c r="G260" s="116">
        <v>32.076000000000001</v>
      </c>
      <c r="H260" s="108">
        <v>0</v>
      </c>
    </row>
    <row r="261" spans="1:8" ht="12.2" customHeight="1" x14ac:dyDescent="0.2">
      <c r="D261" s="334" t="s">
        <v>3760</v>
      </c>
      <c r="E261" s="335"/>
      <c r="F261" s="335"/>
      <c r="G261" s="143">
        <v>32.076000000000001</v>
      </c>
    </row>
    <row r="262" spans="1:8" x14ac:dyDescent="0.2">
      <c r="A262" s="117" t="s">
        <v>105</v>
      </c>
      <c r="B262" s="117"/>
      <c r="C262" s="117" t="s">
        <v>659</v>
      </c>
      <c r="D262" s="304" t="s">
        <v>3177</v>
      </c>
      <c r="E262" s="305"/>
      <c r="F262" s="117" t="s">
        <v>1646</v>
      </c>
      <c r="G262" s="116">
        <v>28.71</v>
      </c>
      <c r="H262" s="108">
        <v>0</v>
      </c>
    </row>
    <row r="263" spans="1:8" ht="12.2" customHeight="1" x14ac:dyDescent="0.2">
      <c r="D263" s="334" t="s">
        <v>3757</v>
      </c>
      <c r="E263" s="335"/>
      <c r="F263" s="335"/>
      <c r="G263" s="143">
        <v>28.71</v>
      </c>
    </row>
    <row r="264" spans="1:8" x14ac:dyDescent="0.2">
      <c r="A264" s="117" t="s">
        <v>106</v>
      </c>
      <c r="B264" s="117"/>
      <c r="C264" s="117" t="s">
        <v>660</v>
      </c>
      <c r="D264" s="304" t="s">
        <v>3176</v>
      </c>
      <c r="E264" s="305"/>
      <c r="F264" s="117" t="s">
        <v>1645</v>
      </c>
      <c r="G264" s="116">
        <v>32.076000000000001</v>
      </c>
      <c r="H264" s="108">
        <v>0</v>
      </c>
    </row>
    <row r="265" spans="1:8" ht="12.2" customHeight="1" x14ac:dyDescent="0.2">
      <c r="D265" s="334" t="s">
        <v>3760</v>
      </c>
      <c r="E265" s="335"/>
      <c r="F265" s="335"/>
      <c r="G265" s="143">
        <v>32.076000000000001</v>
      </c>
    </row>
    <row r="266" spans="1:8" x14ac:dyDescent="0.2">
      <c r="A266" s="117" t="s">
        <v>107</v>
      </c>
      <c r="B266" s="117"/>
      <c r="C266" s="117" t="s">
        <v>662</v>
      </c>
      <c r="D266" s="304" t="s">
        <v>3724</v>
      </c>
      <c r="E266" s="305"/>
      <c r="F266" s="117" t="s">
        <v>1644</v>
      </c>
      <c r="G266" s="116">
        <v>2</v>
      </c>
      <c r="H266" s="108">
        <v>0</v>
      </c>
    </row>
    <row r="267" spans="1:8" ht="12.2" customHeight="1" x14ac:dyDescent="0.2">
      <c r="D267" s="334" t="s">
        <v>2923</v>
      </c>
      <c r="E267" s="335"/>
      <c r="F267" s="335"/>
      <c r="G267" s="143">
        <v>2</v>
      </c>
    </row>
    <row r="268" spans="1:8" x14ac:dyDescent="0.2">
      <c r="A268" s="117" t="s">
        <v>108</v>
      </c>
      <c r="B268" s="117"/>
      <c r="C268" s="117" t="s">
        <v>3723</v>
      </c>
      <c r="D268" s="304" t="s">
        <v>3722</v>
      </c>
      <c r="E268" s="305"/>
      <c r="F268" s="117" t="s">
        <v>1644</v>
      </c>
      <c r="G268" s="116">
        <v>1</v>
      </c>
      <c r="H268" s="108">
        <v>0</v>
      </c>
    </row>
    <row r="269" spans="1:8" ht="12.2" customHeight="1" x14ac:dyDescent="0.2">
      <c r="D269" s="334" t="s">
        <v>1749</v>
      </c>
      <c r="E269" s="335"/>
      <c r="F269" s="335"/>
      <c r="G269" s="143">
        <v>1</v>
      </c>
    </row>
    <row r="270" spans="1:8" x14ac:dyDescent="0.2">
      <c r="A270" s="117" t="s">
        <v>109</v>
      </c>
      <c r="B270" s="117"/>
      <c r="C270" s="117" t="s">
        <v>2145</v>
      </c>
      <c r="D270" s="304" t="s">
        <v>2144</v>
      </c>
      <c r="E270" s="305"/>
      <c r="F270" s="117" t="s">
        <v>1644</v>
      </c>
      <c r="G270" s="116">
        <v>1</v>
      </c>
      <c r="H270" s="108">
        <v>0</v>
      </c>
    </row>
    <row r="271" spans="1:8" ht="12.2" customHeight="1" x14ac:dyDescent="0.2">
      <c r="D271" s="334" t="s">
        <v>1749</v>
      </c>
      <c r="E271" s="335"/>
      <c r="F271" s="335"/>
      <c r="G271" s="143">
        <v>1</v>
      </c>
    </row>
    <row r="272" spans="1:8" x14ac:dyDescent="0.2">
      <c r="A272" s="117" t="s">
        <v>110</v>
      </c>
      <c r="B272" s="117"/>
      <c r="C272" s="117" t="s">
        <v>663</v>
      </c>
      <c r="D272" s="304" t="s">
        <v>1171</v>
      </c>
      <c r="E272" s="305"/>
      <c r="F272" s="117" t="s">
        <v>1644</v>
      </c>
      <c r="G272" s="116">
        <v>35</v>
      </c>
      <c r="H272" s="108">
        <v>0</v>
      </c>
    </row>
    <row r="273" spans="1:8" ht="12.2" customHeight="1" x14ac:dyDescent="0.2">
      <c r="D273" s="334" t="s">
        <v>3835</v>
      </c>
      <c r="E273" s="335"/>
      <c r="F273" s="335"/>
      <c r="G273" s="143">
        <v>35</v>
      </c>
    </row>
    <row r="274" spans="1:8" x14ac:dyDescent="0.2">
      <c r="A274" s="117" t="s">
        <v>111</v>
      </c>
      <c r="B274" s="117"/>
      <c r="C274" s="117" t="s">
        <v>665</v>
      </c>
      <c r="D274" s="304" t="s">
        <v>1173</v>
      </c>
      <c r="E274" s="305"/>
      <c r="F274" s="117" t="s">
        <v>1645</v>
      </c>
      <c r="G274" s="116">
        <v>156.17599999999999</v>
      </c>
      <c r="H274" s="108">
        <v>0</v>
      </c>
    </row>
    <row r="275" spans="1:8" ht="12.2" customHeight="1" x14ac:dyDescent="0.2">
      <c r="D275" s="334" t="s">
        <v>3834</v>
      </c>
      <c r="E275" s="335"/>
      <c r="F275" s="335"/>
      <c r="G275" s="143">
        <v>156.17599999999999</v>
      </c>
    </row>
    <row r="276" spans="1:8" x14ac:dyDescent="0.2">
      <c r="A276" s="117" t="s">
        <v>112</v>
      </c>
      <c r="B276" s="117"/>
      <c r="C276" s="117" t="s">
        <v>666</v>
      </c>
      <c r="D276" s="304" t="s">
        <v>1174</v>
      </c>
      <c r="E276" s="305"/>
      <c r="F276" s="117" t="s">
        <v>1645</v>
      </c>
      <c r="G276" s="116">
        <v>66.932000000000002</v>
      </c>
      <c r="H276" s="108">
        <v>0</v>
      </c>
    </row>
    <row r="277" spans="1:8" ht="12.2" customHeight="1" x14ac:dyDescent="0.2">
      <c r="D277" s="334" t="s">
        <v>3833</v>
      </c>
      <c r="E277" s="335"/>
      <c r="F277" s="335"/>
      <c r="G277" s="143">
        <v>66.932000000000002</v>
      </c>
    </row>
    <row r="278" spans="1:8" x14ac:dyDescent="0.2">
      <c r="A278" s="117" t="s">
        <v>113</v>
      </c>
      <c r="B278" s="117"/>
      <c r="C278" s="117" t="s">
        <v>2844</v>
      </c>
      <c r="D278" s="304" t="s">
        <v>2843</v>
      </c>
      <c r="E278" s="305"/>
      <c r="F278" s="117" t="s">
        <v>1644</v>
      </c>
      <c r="G278" s="116">
        <v>3</v>
      </c>
      <c r="H278" s="108">
        <v>0</v>
      </c>
    </row>
    <row r="279" spans="1:8" ht="12.2" customHeight="1" x14ac:dyDescent="0.2">
      <c r="D279" s="334" t="s">
        <v>3763</v>
      </c>
      <c r="E279" s="335"/>
      <c r="F279" s="335"/>
      <c r="G279" s="143">
        <v>3</v>
      </c>
    </row>
    <row r="280" spans="1:8" x14ac:dyDescent="0.2">
      <c r="A280" s="117" t="s">
        <v>114</v>
      </c>
      <c r="B280" s="117"/>
      <c r="C280" s="117" t="s">
        <v>2842</v>
      </c>
      <c r="D280" s="304" t="s">
        <v>2841</v>
      </c>
      <c r="E280" s="305"/>
      <c r="F280" s="117" t="s">
        <v>1645</v>
      </c>
      <c r="G280" s="116">
        <v>2.7</v>
      </c>
      <c r="H280" s="108">
        <v>0</v>
      </c>
    </row>
    <row r="281" spans="1:8" ht="12.2" customHeight="1" x14ac:dyDescent="0.2">
      <c r="D281" s="334" t="s">
        <v>3832</v>
      </c>
      <c r="E281" s="335"/>
      <c r="F281" s="335"/>
      <c r="G281" s="143">
        <v>2.7</v>
      </c>
    </row>
    <row r="282" spans="1:8" x14ac:dyDescent="0.2">
      <c r="A282" s="117" t="s">
        <v>115</v>
      </c>
      <c r="B282" s="117"/>
      <c r="C282" s="117" t="s">
        <v>667</v>
      </c>
      <c r="D282" s="304" t="s">
        <v>2143</v>
      </c>
      <c r="E282" s="305"/>
      <c r="F282" s="117" t="s">
        <v>1644</v>
      </c>
      <c r="G282" s="116">
        <v>2</v>
      </c>
      <c r="H282" s="108">
        <v>0</v>
      </c>
    </row>
    <row r="283" spans="1:8" ht="12.2" customHeight="1" x14ac:dyDescent="0.2">
      <c r="D283" s="334" t="s">
        <v>2923</v>
      </c>
      <c r="E283" s="335"/>
      <c r="F283" s="335"/>
      <c r="G283" s="143">
        <v>2</v>
      </c>
    </row>
    <row r="284" spans="1:8" x14ac:dyDescent="0.2">
      <c r="A284" s="117" t="s">
        <v>116</v>
      </c>
      <c r="B284" s="117"/>
      <c r="C284" s="117" t="s">
        <v>668</v>
      </c>
      <c r="D284" s="304" t="s">
        <v>1176</v>
      </c>
      <c r="E284" s="305"/>
      <c r="F284" s="117" t="s">
        <v>1645</v>
      </c>
      <c r="G284" s="116">
        <v>10.62</v>
      </c>
      <c r="H284" s="108">
        <v>0</v>
      </c>
    </row>
    <row r="285" spans="1:8" ht="12.2" customHeight="1" x14ac:dyDescent="0.2">
      <c r="D285" s="334" t="s">
        <v>3831</v>
      </c>
      <c r="E285" s="335"/>
      <c r="F285" s="335"/>
      <c r="G285" s="143">
        <v>10.62</v>
      </c>
    </row>
    <row r="286" spans="1:8" x14ac:dyDescent="0.2">
      <c r="A286" s="120"/>
      <c r="B286" s="120"/>
      <c r="C286" s="120" t="s">
        <v>103</v>
      </c>
      <c r="D286" s="306" t="s">
        <v>1178</v>
      </c>
      <c r="E286" s="307"/>
      <c r="F286" s="120"/>
      <c r="G286" s="142"/>
      <c r="H286" s="109"/>
    </row>
    <row r="287" spans="1:8" x14ac:dyDescent="0.2">
      <c r="A287" s="117" t="s">
        <v>117</v>
      </c>
      <c r="B287" s="117"/>
      <c r="C287" s="117" t="s">
        <v>2485</v>
      </c>
      <c r="D287" s="304" t="s">
        <v>2484</v>
      </c>
      <c r="E287" s="305"/>
      <c r="F287" s="117" t="s">
        <v>1646</v>
      </c>
      <c r="G287" s="116">
        <v>0.45</v>
      </c>
      <c r="H287" s="108">
        <v>0</v>
      </c>
    </row>
    <row r="288" spans="1:8" ht="12.2" customHeight="1" x14ac:dyDescent="0.2">
      <c r="D288" s="334" t="s">
        <v>2546</v>
      </c>
      <c r="E288" s="335"/>
      <c r="F288" s="335"/>
      <c r="G288" s="143">
        <v>0.45</v>
      </c>
    </row>
    <row r="289" spans="1:8" x14ac:dyDescent="0.2">
      <c r="A289" s="117" t="s">
        <v>118</v>
      </c>
      <c r="B289" s="117"/>
      <c r="C289" s="117" t="s">
        <v>2483</v>
      </c>
      <c r="D289" s="304" t="s">
        <v>2482</v>
      </c>
      <c r="E289" s="305"/>
      <c r="F289" s="117" t="s">
        <v>1646</v>
      </c>
      <c r="G289" s="116">
        <v>0.45</v>
      </c>
      <c r="H289" s="108">
        <v>0</v>
      </c>
    </row>
    <row r="290" spans="1:8" ht="12.2" customHeight="1" x14ac:dyDescent="0.2">
      <c r="D290" s="334" t="s">
        <v>2546</v>
      </c>
      <c r="E290" s="335"/>
      <c r="F290" s="335"/>
      <c r="G290" s="143">
        <v>0.45</v>
      </c>
    </row>
    <row r="291" spans="1:8" x14ac:dyDescent="0.2">
      <c r="A291" s="117" t="s">
        <v>119</v>
      </c>
      <c r="B291" s="117"/>
      <c r="C291" s="117" t="s">
        <v>2481</v>
      </c>
      <c r="D291" s="304" t="s">
        <v>2480</v>
      </c>
      <c r="E291" s="305"/>
      <c r="F291" s="117" t="s">
        <v>1646</v>
      </c>
      <c r="G291" s="116">
        <v>0.45</v>
      </c>
      <c r="H291" s="108">
        <v>0</v>
      </c>
    </row>
    <row r="292" spans="1:8" ht="12.2" customHeight="1" x14ac:dyDescent="0.2">
      <c r="D292" s="334" t="s">
        <v>2546</v>
      </c>
      <c r="E292" s="335"/>
      <c r="F292" s="335"/>
      <c r="G292" s="143">
        <v>0.45</v>
      </c>
    </row>
    <row r="293" spans="1:8" x14ac:dyDescent="0.2">
      <c r="A293" s="117" t="s">
        <v>120</v>
      </c>
      <c r="B293" s="117"/>
      <c r="C293" s="117" t="s">
        <v>670</v>
      </c>
      <c r="D293" s="304" t="s">
        <v>1179</v>
      </c>
      <c r="E293" s="305"/>
      <c r="F293" s="117" t="s">
        <v>1646</v>
      </c>
      <c r="G293" s="116">
        <v>0.45</v>
      </c>
      <c r="H293" s="108">
        <v>0</v>
      </c>
    </row>
    <row r="294" spans="1:8" ht="12.2" customHeight="1" x14ac:dyDescent="0.2">
      <c r="D294" s="334" t="s">
        <v>2546</v>
      </c>
      <c r="E294" s="335"/>
      <c r="F294" s="335"/>
      <c r="G294" s="143">
        <v>0.45</v>
      </c>
    </row>
    <row r="295" spans="1:8" x14ac:dyDescent="0.2">
      <c r="A295" s="117" t="s">
        <v>121</v>
      </c>
      <c r="B295" s="117"/>
      <c r="C295" s="117" t="s">
        <v>671</v>
      </c>
      <c r="D295" s="304" t="s">
        <v>1180</v>
      </c>
      <c r="E295" s="305"/>
      <c r="F295" s="117" t="s">
        <v>1646</v>
      </c>
      <c r="G295" s="116">
        <v>0.45</v>
      </c>
      <c r="H295" s="108">
        <v>0</v>
      </c>
    </row>
    <row r="296" spans="1:8" ht="12.2" customHeight="1" x14ac:dyDescent="0.2">
      <c r="D296" s="334" t="s">
        <v>2546</v>
      </c>
      <c r="E296" s="335"/>
      <c r="F296" s="335"/>
      <c r="G296" s="143">
        <v>0.45</v>
      </c>
    </row>
    <row r="297" spans="1:8" x14ac:dyDescent="0.2">
      <c r="A297" s="117" t="s">
        <v>122</v>
      </c>
      <c r="B297" s="117"/>
      <c r="C297" s="117" t="s">
        <v>672</v>
      </c>
      <c r="D297" s="304" t="s">
        <v>1181</v>
      </c>
      <c r="E297" s="305"/>
      <c r="F297" s="117" t="s">
        <v>1646</v>
      </c>
      <c r="G297" s="116">
        <v>0.45</v>
      </c>
      <c r="H297" s="108">
        <v>0</v>
      </c>
    </row>
    <row r="298" spans="1:8" ht="12.2" customHeight="1" x14ac:dyDescent="0.2">
      <c r="D298" s="334" t="s">
        <v>2546</v>
      </c>
      <c r="E298" s="335"/>
      <c r="F298" s="335"/>
      <c r="G298" s="143">
        <v>0.45</v>
      </c>
    </row>
    <row r="299" spans="1:8" x14ac:dyDescent="0.2">
      <c r="A299" s="117" t="s">
        <v>123</v>
      </c>
      <c r="B299" s="117"/>
      <c r="C299" s="117" t="s">
        <v>2479</v>
      </c>
      <c r="D299" s="304" t="s">
        <v>2478</v>
      </c>
      <c r="E299" s="305"/>
      <c r="F299" s="117" t="s">
        <v>1646</v>
      </c>
      <c r="G299" s="116">
        <v>2.25</v>
      </c>
      <c r="H299" s="108">
        <v>0</v>
      </c>
    </row>
    <row r="300" spans="1:8" ht="12.2" customHeight="1" x14ac:dyDescent="0.2">
      <c r="D300" s="334" t="s">
        <v>3830</v>
      </c>
      <c r="E300" s="335"/>
      <c r="F300" s="335"/>
      <c r="G300" s="143">
        <v>2.25</v>
      </c>
    </row>
    <row r="301" spans="1:8" x14ac:dyDescent="0.2">
      <c r="A301" s="117" t="s">
        <v>124</v>
      </c>
      <c r="B301" s="117"/>
      <c r="C301" s="117" t="s">
        <v>2477</v>
      </c>
      <c r="D301" s="304" t="s">
        <v>2476</v>
      </c>
      <c r="E301" s="305"/>
      <c r="F301" s="117" t="s">
        <v>1646</v>
      </c>
      <c r="G301" s="116">
        <v>2.25</v>
      </c>
      <c r="H301" s="108">
        <v>0</v>
      </c>
    </row>
    <row r="302" spans="1:8" ht="12.2" customHeight="1" x14ac:dyDescent="0.2">
      <c r="D302" s="334" t="s">
        <v>3830</v>
      </c>
      <c r="E302" s="335"/>
      <c r="F302" s="335"/>
      <c r="G302" s="143">
        <v>2.25</v>
      </c>
    </row>
    <row r="303" spans="1:8" x14ac:dyDescent="0.2">
      <c r="A303" s="117" t="s">
        <v>125</v>
      </c>
      <c r="B303" s="117"/>
      <c r="C303" s="117" t="s">
        <v>3721</v>
      </c>
      <c r="D303" s="304" t="s">
        <v>3720</v>
      </c>
      <c r="E303" s="305"/>
      <c r="F303" s="117" t="s">
        <v>1646</v>
      </c>
      <c r="G303" s="116">
        <v>2.25</v>
      </c>
      <c r="H303" s="108">
        <v>0</v>
      </c>
    </row>
    <row r="304" spans="1:8" ht="12.2" customHeight="1" x14ac:dyDescent="0.2">
      <c r="D304" s="334" t="s">
        <v>3830</v>
      </c>
      <c r="E304" s="335"/>
      <c r="F304" s="335"/>
      <c r="G304" s="143">
        <v>2.25</v>
      </c>
    </row>
    <row r="305" spans="1:8" x14ac:dyDescent="0.2">
      <c r="A305" s="117" t="s">
        <v>126</v>
      </c>
      <c r="B305" s="117"/>
      <c r="C305" s="117" t="s">
        <v>673</v>
      </c>
      <c r="D305" s="304" t="s">
        <v>1182</v>
      </c>
      <c r="E305" s="305"/>
      <c r="F305" s="117" t="s">
        <v>1644</v>
      </c>
      <c r="G305" s="116">
        <v>10</v>
      </c>
      <c r="H305" s="108">
        <v>0</v>
      </c>
    </row>
    <row r="306" spans="1:8" ht="12.2" customHeight="1" x14ac:dyDescent="0.2">
      <c r="D306" s="334" t="s">
        <v>3829</v>
      </c>
      <c r="E306" s="335"/>
      <c r="F306" s="335"/>
      <c r="G306" s="143">
        <v>10</v>
      </c>
    </row>
    <row r="307" spans="1:8" x14ac:dyDescent="0.2">
      <c r="A307" s="117" t="s">
        <v>127</v>
      </c>
      <c r="B307" s="117"/>
      <c r="C307" s="117" t="s">
        <v>3719</v>
      </c>
      <c r="D307" s="304" t="s">
        <v>3718</v>
      </c>
      <c r="E307" s="305"/>
      <c r="F307" s="117" t="s">
        <v>1646</v>
      </c>
      <c r="G307" s="116">
        <v>1.5</v>
      </c>
      <c r="H307" s="108">
        <v>0</v>
      </c>
    </row>
    <row r="308" spans="1:8" ht="12.2" customHeight="1" x14ac:dyDescent="0.2">
      <c r="D308" s="334" t="s">
        <v>2545</v>
      </c>
      <c r="E308" s="335"/>
      <c r="F308" s="335"/>
      <c r="G308" s="143">
        <v>1.5</v>
      </c>
    </row>
    <row r="309" spans="1:8" x14ac:dyDescent="0.2">
      <c r="A309" s="117" t="s">
        <v>128</v>
      </c>
      <c r="B309" s="117"/>
      <c r="C309" s="117" t="s">
        <v>676</v>
      </c>
      <c r="D309" s="304" t="s">
        <v>1185</v>
      </c>
      <c r="E309" s="305"/>
      <c r="F309" s="117" t="s">
        <v>1645</v>
      </c>
      <c r="G309" s="116">
        <v>890.52099999999996</v>
      </c>
      <c r="H309" s="108">
        <v>0</v>
      </c>
    </row>
    <row r="310" spans="1:8" ht="12.2" customHeight="1" x14ac:dyDescent="0.2">
      <c r="D310" s="334" t="s">
        <v>3750</v>
      </c>
      <c r="E310" s="335"/>
      <c r="F310" s="335"/>
      <c r="G310" s="143">
        <v>890.52099999999996</v>
      </c>
    </row>
    <row r="311" spans="1:8" x14ac:dyDescent="0.2">
      <c r="A311" s="117" t="s">
        <v>129</v>
      </c>
      <c r="B311" s="117"/>
      <c r="C311" s="117" t="s">
        <v>677</v>
      </c>
      <c r="D311" s="304" t="s">
        <v>3175</v>
      </c>
      <c r="E311" s="305"/>
      <c r="F311" s="117" t="s">
        <v>1645</v>
      </c>
      <c r="G311" s="116">
        <v>31.725999999999999</v>
      </c>
      <c r="H311" s="108">
        <v>0</v>
      </c>
    </row>
    <row r="312" spans="1:8" ht="12.2" customHeight="1" x14ac:dyDescent="0.2">
      <c r="D312" s="334" t="s">
        <v>3828</v>
      </c>
      <c r="E312" s="335"/>
      <c r="F312" s="335"/>
      <c r="G312" s="143">
        <v>31.725999999999999</v>
      </c>
    </row>
    <row r="313" spans="1:8" x14ac:dyDescent="0.2">
      <c r="A313" s="117" t="s">
        <v>130</v>
      </c>
      <c r="B313" s="117"/>
      <c r="C313" s="117" t="s">
        <v>678</v>
      </c>
      <c r="D313" s="304" t="s">
        <v>3174</v>
      </c>
      <c r="E313" s="305"/>
      <c r="F313" s="117" t="s">
        <v>1645</v>
      </c>
      <c r="G313" s="116">
        <v>36.54</v>
      </c>
      <c r="H313" s="108">
        <v>0</v>
      </c>
    </row>
    <row r="314" spans="1:8" ht="12.2" customHeight="1" x14ac:dyDescent="0.2">
      <c r="D314" s="334" t="s">
        <v>3817</v>
      </c>
      <c r="E314" s="335"/>
      <c r="F314" s="335"/>
      <c r="G314" s="143">
        <v>36.54</v>
      </c>
    </row>
    <row r="315" spans="1:8" x14ac:dyDescent="0.2">
      <c r="A315" s="117" t="s">
        <v>131</v>
      </c>
      <c r="B315" s="117"/>
      <c r="C315" s="117" t="s">
        <v>679</v>
      </c>
      <c r="D315" s="304" t="s">
        <v>3173</v>
      </c>
      <c r="E315" s="305"/>
      <c r="F315" s="117" t="s">
        <v>1645</v>
      </c>
      <c r="G315" s="116">
        <v>44.162999999999997</v>
      </c>
      <c r="H315" s="108">
        <v>0</v>
      </c>
    </row>
    <row r="316" spans="1:8" ht="12.2" customHeight="1" x14ac:dyDescent="0.2">
      <c r="D316" s="334" t="s">
        <v>3827</v>
      </c>
      <c r="E316" s="335"/>
      <c r="F316" s="335"/>
      <c r="G316" s="143">
        <v>45.052</v>
      </c>
    </row>
    <row r="317" spans="1:8" ht="12.2" customHeight="1" x14ac:dyDescent="0.2">
      <c r="A317" s="117"/>
      <c r="B317" s="117"/>
      <c r="C317" s="117"/>
      <c r="D317" s="334" t="s">
        <v>3826</v>
      </c>
      <c r="E317" s="335"/>
      <c r="F317" s="334"/>
      <c r="G317" s="144">
        <v>-0.88900000000000001</v>
      </c>
      <c r="H317" s="111"/>
    </row>
    <row r="318" spans="1:8" x14ac:dyDescent="0.2">
      <c r="A318" s="117" t="s">
        <v>132</v>
      </c>
      <c r="B318" s="117"/>
      <c r="C318" s="117" t="s">
        <v>680</v>
      </c>
      <c r="D318" s="304" t="s">
        <v>1189</v>
      </c>
      <c r="E318" s="305"/>
      <c r="F318" s="117" t="s">
        <v>1645</v>
      </c>
      <c r="G318" s="116">
        <v>1198.499</v>
      </c>
      <c r="H318" s="108">
        <v>0</v>
      </c>
    </row>
    <row r="319" spans="1:8" ht="12.2" customHeight="1" x14ac:dyDescent="0.2">
      <c r="D319" s="334" t="s">
        <v>3825</v>
      </c>
      <c r="E319" s="335"/>
      <c r="F319" s="335"/>
      <c r="G319" s="143">
        <v>380.18799999999999</v>
      </c>
    </row>
    <row r="320" spans="1:8" ht="12.2" customHeight="1" x14ac:dyDescent="0.2">
      <c r="A320" s="117"/>
      <c r="B320" s="117"/>
      <c r="C320" s="117"/>
      <c r="D320" s="334" t="s">
        <v>3824</v>
      </c>
      <c r="E320" s="335"/>
      <c r="F320" s="334"/>
      <c r="G320" s="144">
        <v>301.56799999999998</v>
      </c>
      <c r="H320" s="111"/>
    </row>
    <row r="321" spans="1:8" ht="12.2" customHeight="1" x14ac:dyDescent="0.2">
      <c r="A321" s="117"/>
      <c r="B321" s="117"/>
      <c r="C321" s="117"/>
      <c r="D321" s="334" t="s">
        <v>3823</v>
      </c>
      <c r="E321" s="335"/>
      <c r="F321" s="334"/>
      <c r="G321" s="144">
        <v>283.10399999999998</v>
      </c>
      <c r="H321" s="111"/>
    </row>
    <row r="322" spans="1:8" ht="12.2" customHeight="1" x14ac:dyDescent="0.2">
      <c r="A322" s="117"/>
      <c r="B322" s="117"/>
      <c r="C322" s="117"/>
      <c r="D322" s="334" t="s">
        <v>3822</v>
      </c>
      <c r="E322" s="335"/>
      <c r="F322" s="334"/>
      <c r="G322" s="144">
        <v>119.693</v>
      </c>
      <c r="H322" s="111"/>
    </row>
    <row r="323" spans="1:8" ht="12.2" customHeight="1" x14ac:dyDescent="0.2">
      <c r="A323" s="117"/>
      <c r="B323" s="117"/>
      <c r="C323" s="117"/>
      <c r="D323" s="334" t="s">
        <v>3821</v>
      </c>
      <c r="E323" s="335"/>
      <c r="F323" s="334"/>
      <c r="G323" s="144">
        <v>113.946</v>
      </c>
      <c r="H323" s="111"/>
    </row>
    <row r="324" spans="1:8" x14ac:dyDescent="0.2">
      <c r="A324" s="117" t="s">
        <v>133</v>
      </c>
      <c r="B324" s="117"/>
      <c r="C324" s="117" t="s">
        <v>681</v>
      </c>
      <c r="D324" s="304" t="s">
        <v>1190</v>
      </c>
      <c r="E324" s="305"/>
      <c r="F324" s="117" t="s">
        <v>1645</v>
      </c>
      <c r="G324" s="116">
        <v>1198.499</v>
      </c>
      <c r="H324" s="108">
        <v>0</v>
      </c>
    </row>
    <row r="325" spans="1:8" ht="12.2" customHeight="1" x14ac:dyDescent="0.2">
      <c r="D325" s="334" t="s">
        <v>3825</v>
      </c>
      <c r="E325" s="335"/>
      <c r="F325" s="335"/>
      <c r="G325" s="143">
        <v>380.18799999999999</v>
      </c>
    </row>
    <row r="326" spans="1:8" ht="12.2" customHeight="1" x14ac:dyDescent="0.2">
      <c r="A326" s="117"/>
      <c r="B326" s="117"/>
      <c r="C326" s="117"/>
      <c r="D326" s="334" t="s">
        <v>3824</v>
      </c>
      <c r="E326" s="335"/>
      <c r="F326" s="334"/>
      <c r="G326" s="144">
        <v>301.56799999999998</v>
      </c>
      <c r="H326" s="111"/>
    </row>
    <row r="327" spans="1:8" ht="12.2" customHeight="1" x14ac:dyDescent="0.2">
      <c r="A327" s="117"/>
      <c r="B327" s="117"/>
      <c r="C327" s="117"/>
      <c r="D327" s="334" t="s">
        <v>3823</v>
      </c>
      <c r="E327" s="335"/>
      <c r="F327" s="334"/>
      <c r="G327" s="144">
        <v>283.10399999999998</v>
      </c>
      <c r="H327" s="111"/>
    </row>
    <row r="328" spans="1:8" ht="12.2" customHeight="1" x14ac:dyDescent="0.2">
      <c r="A328" s="117"/>
      <c r="B328" s="117"/>
      <c r="C328" s="117"/>
      <c r="D328" s="334" t="s">
        <v>3822</v>
      </c>
      <c r="E328" s="335"/>
      <c r="F328" s="334"/>
      <c r="G328" s="144">
        <v>119.693</v>
      </c>
      <c r="H328" s="111"/>
    </row>
    <row r="329" spans="1:8" ht="12.2" customHeight="1" x14ac:dyDescent="0.2">
      <c r="A329" s="117"/>
      <c r="B329" s="117"/>
      <c r="C329" s="117"/>
      <c r="D329" s="334" t="s">
        <v>3821</v>
      </c>
      <c r="E329" s="335"/>
      <c r="F329" s="334"/>
      <c r="G329" s="144">
        <v>113.946</v>
      </c>
      <c r="H329" s="111"/>
    </row>
    <row r="330" spans="1:8" x14ac:dyDescent="0.2">
      <c r="A330" s="117" t="s">
        <v>134</v>
      </c>
      <c r="B330" s="117"/>
      <c r="C330" s="117" t="s">
        <v>682</v>
      </c>
      <c r="D330" s="304" t="s">
        <v>1191</v>
      </c>
      <c r="E330" s="305"/>
      <c r="F330" s="117" t="s">
        <v>1645</v>
      </c>
      <c r="G330" s="116">
        <v>223.108</v>
      </c>
      <c r="H330" s="108">
        <v>0</v>
      </c>
    </row>
    <row r="331" spans="1:8" ht="12.2" customHeight="1" x14ac:dyDescent="0.2">
      <c r="D331" s="334" t="s">
        <v>3820</v>
      </c>
      <c r="E331" s="335"/>
      <c r="F331" s="335"/>
      <c r="G331" s="143">
        <v>60.529000000000003</v>
      </c>
    </row>
    <row r="332" spans="1:8" ht="12.2" customHeight="1" x14ac:dyDescent="0.2">
      <c r="A332" s="117"/>
      <c r="B332" s="117"/>
      <c r="C332" s="117"/>
      <c r="D332" s="334" t="s">
        <v>3819</v>
      </c>
      <c r="E332" s="335"/>
      <c r="F332" s="334"/>
      <c r="G332" s="144">
        <v>162.57900000000001</v>
      </c>
      <c r="H332" s="111"/>
    </row>
    <row r="333" spans="1:8" x14ac:dyDescent="0.2">
      <c r="A333" s="117" t="s">
        <v>135</v>
      </c>
      <c r="B333" s="117"/>
      <c r="C333" s="117" t="s">
        <v>682</v>
      </c>
      <c r="D333" s="304" t="s">
        <v>2837</v>
      </c>
      <c r="E333" s="305"/>
      <c r="F333" s="117" t="s">
        <v>1645</v>
      </c>
      <c r="G333" s="116">
        <v>166.852</v>
      </c>
      <c r="H333" s="108">
        <v>0</v>
      </c>
    </row>
    <row r="334" spans="1:8" ht="12.2" customHeight="1" x14ac:dyDescent="0.2">
      <c r="D334" s="334" t="s">
        <v>3815</v>
      </c>
      <c r="E334" s="335"/>
      <c r="F334" s="335"/>
      <c r="G334" s="143">
        <v>62.399000000000001</v>
      </c>
    </row>
    <row r="335" spans="1:8" ht="12.2" customHeight="1" x14ac:dyDescent="0.2">
      <c r="A335" s="117"/>
      <c r="B335" s="117"/>
      <c r="C335" s="117"/>
      <c r="D335" s="334" t="s">
        <v>3814</v>
      </c>
      <c r="E335" s="335"/>
      <c r="F335" s="334"/>
      <c r="G335" s="144">
        <v>48.033999999999999</v>
      </c>
      <c r="H335" s="111"/>
    </row>
    <row r="336" spans="1:8" ht="12.2" customHeight="1" x14ac:dyDescent="0.2">
      <c r="A336" s="117"/>
      <c r="B336" s="117"/>
      <c r="C336" s="117"/>
      <c r="D336" s="334" t="s">
        <v>3813</v>
      </c>
      <c r="E336" s="335"/>
      <c r="F336" s="334"/>
      <c r="G336" s="144">
        <v>36.017000000000003</v>
      </c>
      <c r="H336" s="111"/>
    </row>
    <row r="337" spans="1:8" ht="12.2" customHeight="1" x14ac:dyDescent="0.2">
      <c r="A337" s="117"/>
      <c r="B337" s="117"/>
      <c r="C337" s="117"/>
      <c r="D337" s="334" t="s">
        <v>3812</v>
      </c>
      <c r="E337" s="335"/>
      <c r="F337" s="334"/>
      <c r="G337" s="144">
        <v>16.887</v>
      </c>
      <c r="H337" s="111"/>
    </row>
    <row r="338" spans="1:8" ht="12.2" customHeight="1" x14ac:dyDescent="0.2">
      <c r="A338" s="117"/>
      <c r="B338" s="117"/>
      <c r="C338" s="117"/>
      <c r="D338" s="334" t="s">
        <v>3818</v>
      </c>
      <c r="E338" s="335"/>
      <c r="F338" s="334"/>
      <c r="G338" s="144">
        <v>3.5150000000000001</v>
      </c>
      <c r="H338" s="111"/>
    </row>
    <row r="339" spans="1:8" x14ac:dyDescent="0.2">
      <c r="A339" s="117" t="s">
        <v>136</v>
      </c>
      <c r="B339" s="117"/>
      <c r="C339" s="117" t="s">
        <v>683</v>
      </c>
      <c r="D339" s="304" t="s">
        <v>1194</v>
      </c>
      <c r="E339" s="305"/>
      <c r="F339" s="117" t="s">
        <v>1645</v>
      </c>
      <c r="G339" s="116">
        <v>36.54</v>
      </c>
      <c r="H339" s="108">
        <v>0</v>
      </c>
    </row>
    <row r="340" spans="1:8" ht="12.2" customHeight="1" x14ac:dyDescent="0.2">
      <c r="D340" s="334" t="s">
        <v>3817</v>
      </c>
      <c r="E340" s="335"/>
      <c r="F340" s="335"/>
      <c r="G340" s="143">
        <v>36.54</v>
      </c>
    </row>
    <row r="341" spans="1:8" x14ac:dyDescent="0.2">
      <c r="A341" s="117" t="s">
        <v>137</v>
      </c>
      <c r="B341" s="117"/>
      <c r="C341" s="117" t="s">
        <v>2836</v>
      </c>
      <c r="D341" s="304" t="s">
        <v>3717</v>
      </c>
      <c r="E341" s="305"/>
      <c r="F341" s="117" t="s">
        <v>1645</v>
      </c>
      <c r="G341" s="116">
        <v>28.2</v>
      </c>
      <c r="H341" s="108">
        <v>0</v>
      </c>
    </row>
    <row r="342" spans="1:8" ht="12.2" customHeight="1" x14ac:dyDescent="0.2">
      <c r="D342" s="334" t="s">
        <v>3816</v>
      </c>
      <c r="E342" s="335"/>
      <c r="F342" s="335"/>
      <c r="G342" s="143">
        <v>28.2</v>
      </c>
    </row>
    <row r="343" spans="1:8" x14ac:dyDescent="0.2">
      <c r="A343" s="117" t="s">
        <v>138</v>
      </c>
      <c r="B343" s="117"/>
      <c r="C343" s="117" t="s">
        <v>2834</v>
      </c>
      <c r="D343" s="304" t="s">
        <v>3716</v>
      </c>
      <c r="E343" s="305"/>
      <c r="F343" s="117" t="s">
        <v>1645</v>
      </c>
      <c r="G343" s="116">
        <v>163.33699999999999</v>
      </c>
      <c r="H343" s="108">
        <v>0</v>
      </c>
    </row>
    <row r="344" spans="1:8" ht="12.2" customHeight="1" x14ac:dyDescent="0.2">
      <c r="D344" s="334" t="s">
        <v>3815</v>
      </c>
      <c r="E344" s="335"/>
      <c r="F344" s="335"/>
      <c r="G344" s="143">
        <v>62.399000000000001</v>
      </c>
    </row>
    <row r="345" spans="1:8" ht="12.2" customHeight="1" x14ac:dyDescent="0.2">
      <c r="A345" s="117"/>
      <c r="B345" s="117"/>
      <c r="C345" s="117"/>
      <c r="D345" s="334" t="s">
        <v>3814</v>
      </c>
      <c r="E345" s="335"/>
      <c r="F345" s="334"/>
      <c r="G345" s="144">
        <v>48.033999999999999</v>
      </c>
      <c r="H345" s="111"/>
    </row>
    <row r="346" spans="1:8" ht="12.2" customHeight="1" x14ac:dyDescent="0.2">
      <c r="A346" s="117"/>
      <c r="B346" s="117"/>
      <c r="C346" s="117"/>
      <c r="D346" s="334" t="s">
        <v>3813</v>
      </c>
      <c r="E346" s="335"/>
      <c r="F346" s="334"/>
      <c r="G346" s="144">
        <v>36.017000000000003</v>
      </c>
      <c r="H346" s="111"/>
    </row>
    <row r="347" spans="1:8" ht="12.2" customHeight="1" x14ac:dyDescent="0.2">
      <c r="A347" s="117"/>
      <c r="B347" s="117"/>
      <c r="C347" s="117"/>
      <c r="D347" s="334" t="s">
        <v>3812</v>
      </c>
      <c r="E347" s="335"/>
      <c r="F347" s="334"/>
      <c r="G347" s="144">
        <v>16.887</v>
      </c>
      <c r="H347" s="111"/>
    </row>
    <row r="348" spans="1:8" x14ac:dyDescent="0.2">
      <c r="A348" s="120"/>
      <c r="B348" s="120"/>
      <c r="C348" s="120" t="s">
        <v>686</v>
      </c>
      <c r="D348" s="306" t="s">
        <v>1198</v>
      </c>
      <c r="E348" s="307"/>
      <c r="F348" s="120"/>
      <c r="G348" s="142"/>
      <c r="H348" s="109"/>
    </row>
    <row r="349" spans="1:8" x14ac:dyDescent="0.2">
      <c r="A349" s="117" t="s">
        <v>139</v>
      </c>
      <c r="B349" s="117"/>
      <c r="C349" s="117" t="s">
        <v>687</v>
      </c>
      <c r="D349" s="304" t="s">
        <v>1199</v>
      </c>
      <c r="E349" s="305"/>
      <c r="F349" s="117" t="s">
        <v>1648</v>
      </c>
      <c r="G349" s="116">
        <v>65.13</v>
      </c>
      <c r="H349" s="108">
        <v>0</v>
      </c>
    </row>
    <row r="350" spans="1:8" ht="12.2" customHeight="1" x14ac:dyDescent="0.2">
      <c r="D350" s="334" t="s">
        <v>3811</v>
      </c>
      <c r="E350" s="335"/>
      <c r="F350" s="335"/>
      <c r="G350" s="143">
        <v>65.13</v>
      </c>
    </row>
    <row r="351" spans="1:8" x14ac:dyDescent="0.2">
      <c r="A351" s="117" t="s">
        <v>140</v>
      </c>
      <c r="B351" s="117"/>
      <c r="C351" s="117" t="s">
        <v>688</v>
      </c>
      <c r="D351" s="304" t="s">
        <v>1200</v>
      </c>
      <c r="E351" s="305"/>
      <c r="F351" s="117" t="s">
        <v>1648</v>
      </c>
      <c r="G351" s="116">
        <v>39.078000000000003</v>
      </c>
      <c r="H351" s="108">
        <v>0</v>
      </c>
    </row>
    <row r="352" spans="1:8" ht="12.2" customHeight="1" x14ac:dyDescent="0.2">
      <c r="D352" s="334" t="s">
        <v>3810</v>
      </c>
      <c r="E352" s="335"/>
      <c r="F352" s="335"/>
      <c r="G352" s="143">
        <v>39.078000000000003</v>
      </c>
    </row>
    <row r="353" spans="1:8" x14ac:dyDescent="0.2">
      <c r="A353" s="117" t="s">
        <v>141</v>
      </c>
      <c r="B353" s="117"/>
      <c r="C353" s="117" t="s">
        <v>689</v>
      </c>
      <c r="D353" s="304" t="s">
        <v>1201</v>
      </c>
      <c r="E353" s="305"/>
      <c r="F353" s="117" t="s">
        <v>1648</v>
      </c>
      <c r="G353" s="116">
        <v>195.39099999999999</v>
      </c>
      <c r="H353" s="108">
        <v>0</v>
      </c>
    </row>
    <row r="354" spans="1:8" ht="12.2" customHeight="1" x14ac:dyDescent="0.2">
      <c r="D354" s="334" t="s">
        <v>3807</v>
      </c>
      <c r="E354" s="335"/>
      <c r="F354" s="335"/>
      <c r="G354" s="143">
        <v>195.39099999999999</v>
      </c>
    </row>
    <row r="355" spans="1:8" x14ac:dyDescent="0.2">
      <c r="A355" s="117" t="s">
        <v>142</v>
      </c>
      <c r="B355" s="117"/>
      <c r="C355" s="117" t="s">
        <v>690</v>
      </c>
      <c r="D355" s="304" t="s">
        <v>1202</v>
      </c>
      <c r="E355" s="305"/>
      <c r="F355" s="117" t="s">
        <v>1648</v>
      </c>
      <c r="G355" s="116">
        <v>1758.519</v>
      </c>
      <c r="H355" s="108">
        <v>0</v>
      </c>
    </row>
    <row r="356" spans="1:8" ht="12.2" customHeight="1" x14ac:dyDescent="0.2">
      <c r="D356" s="334" t="s">
        <v>3809</v>
      </c>
      <c r="E356" s="335"/>
      <c r="F356" s="335"/>
      <c r="G356" s="143">
        <v>1758.519</v>
      </c>
    </row>
    <row r="357" spans="1:8" x14ac:dyDescent="0.2">
      <c r="A357" s="117" t="s">
        <v>143</v>
      </c>
      <c r="B357" s="117"/>
      <c r="C357" s="117" t="s">
        <v>691</v>
      </c>
      <c r="D357" s="304" t="s">
        <v>1203</v>
      </c>
      <c r="E357" s="305"/>
      <c r="F357" s="117" t="s">
        <v>1648</v>
      </c>
      <c r="G357" s="116">
        <v>195.39099999999999</v>
      </c>
      <c r="H357" s="108">
        <v>0</v>
      </c>
    </row>
    <row r="358" spans="1:8" ht="12.2" customHeight="1" x14ac:dyDescent="0.2">
      <c r="D358" s="334" t="s">
        <v>3807</v>
      </c>
      <c r="E358" s="335"/>
      <c r="F358" s="335"/>
      <c r="G358" s="143">
        <v>195.39099999999999</v>
      </c>
    </row>
    <row r="359" spans="1:8" x14ac:dyDescent="0.2">
      <c r="A359" s="117" t="s">
        <v>144</v>
      </c>
      <c r="B359" s="117"/>
      <c r="C359" s="117" t="s">
        <v>692</v>
      </c>
      <c r="D359" s="304" t="s">
        <v>1204</v>
      </c>
      <c r="E359" s="305"/>
      <c r="F359" s="117" t="s">
        <v>1648</v>
      </c>
      <c r="G359" s="116">
        <v>1172.346</v>
      </c>
      <c r="H359" s="108">
        <v>0</v>
      </c>
    </row>
    <row r="360" spans="1:8" ht="12.2" customHeight="1" x14ac:dyDescent="0.2">
      <c r="D360" s="334" t="s">
        <v>3808</v>
      </c>
      <c r="E360" s="335"/>
      <c r="F360" s="335"/>
      <c r="G360" s="143">
        <v>1172.346</v>
      </c>
    </row>
    <row r="361" spans="1:8" x14ac:dyDescent="0.2">
      <c r="A361" s="117" t="s">
        <v>145</v>
      </c>
      <c r="B361" s="117"/>
      <c r="C361" s="117" t="s">
        <v>693</v>
      </c>
      <c r="D361" s="304" t="s">
        <v>1205</v>
      </c>
      <c r="E361" s="305"/>
      <c r="F361" s="117" t="s">
        <v>1648</v>
      </c>
      <c r="G361" s="116">
        <v>195.39099999999999</v>
      </c>
      <c r="H361" s="108">
        <v>0</v>
      </c>
    </row>
    <row r="362" spans="1:8" ht="12.2" customHeight="1" x14ac:dyDescent="0.2">
      <c r="D362" s="334" t="s">
        <v>3807</v>
      </c>
      <c r="E362" s="335"/>
      <c r="F362" s="335"/>
      <c r="G362" s="143">
        <v>195.39099999999999</v>
      </c>
    </row>
    <row r="363" spans="1:8" x14ac:dyDescent="0.2">
      <c r="A363" s="117" t="s">
        <v>146</v>
      </c>
      <c r="B363" s="117"/>
      <c r="C363" s="117" t="s">
        <v>694</v>
      </c>
      <c r="D363" s="304" t="s">
        <v>1206</v>
      </c>
      <c r="E363" s="305"/>
      <c r="F363" s="117" t="s">
        <v>1648</v>
      </c>
      <c r="G363" s="116">
        <v>195.39099999999999</v>
      </c>
      <c r="H363" s="108">
        <v>0</v>
      </c>
    </row>
    <row r="364" spans="1:8" ht="12.2" customHeight="1" x14ac:dyDescent="0.2">
      <c r="D364" s="334" t="s">
        <v>3807</v>
      </c>
      <c r="E364" s="335"/>
      <c r="F364" s="335"/>
      <c r="G364" s="143">
        <v>195.39099999999999</v>
      </c>
    </row>
    <row r="365" spans="1:8" x14ac:dyDescent="0.2">
      <c r="A365" s="117" t="s">
        <v>147</v>
      </c>
      <c r="B365" s="117"/>
      <c r="C365" s="117" t="s">
        <v>695</v>
      </c>
      <c r="D365" s="304" t="s">
        <v>1207</v>
      </c>
      <c r="E365" s="305"/>
      <c r="F365" s="117" t="s">
        <v>1648</v>
      </c>
      <c r="G365" s="116">
        <v>9.6430000000000007</v>
      </c>
      <c r="H365" s="108">
        <v>0</v>
      </c>
    </row>
    <row r="366" spans="1:8" ht="12.2" customHeight="1" x14ac:dyDescent="0.2">
      <c r="D366" s="334" t="s">
        <v>3806</v>
      </c>
      <c r="E366" s="335"/>
      <c r="F366" s="335"/>
      <c r="G366" s="143">
        <v>9.6430000000000007</v>
      </c>
    </row>
    <row r="367" spans="1:8" x14ac:dyDescent="0.2">
      <c r="A367" s="117" t="s">
        <v>148</v>
      </c>
      <c r="B367" s="117"/>
      <c r="C367" s="117" t="s">
        <v>696</v>
      </c>
      <c r="D367" s="304" t="s">
        <v>1208</v>
      </c>
      <c r="E367" s="305"/>
      <c r="F367" s="117" t="s">
        <v>1648</v>
      </c>
      <c r="G367" s="116">
        <v>19.081</v>
      </c>
      <c r="H367" s="108">
        <v>0</v>
      </c>
    </row>
    <row r="368" spans="1:8" ht="12.2" customHeight="1" x14ac:dyDescent="0.2">
      <c r="D368" s="334" t="s">
        <v>3805</v>
      </c>
      <c r="E368" s="335"/>
      <c r="F368" s="335"/>
      <c r="G368" s="143">
        <v>19.081</v>
      </c>
    </row>
    <row r="369" spans="1:8" x14ac:dyDescent="0.2">
      <c r="A369" s="117" t="s">
        <v>149</v>
      </c>
      <c r="B369" s="117"/>
      <c r="C369" s="117" t="s">
        <v>697</v>
      </c>
      <c r="D369" s="304" t="s">
        <v>1209</v>
      </c>
      <c r="E369" s="305"/>
      <c r="F369" s="117" t="s">
        <v>1648</v>
      </c>
      <c r="G369" s="116">
        <v>62.027999999999999</v>
      </c>
      <c r="H369" s="108">
        <v>0</v>
      </c>
    </row>
    <row r="370" spans="1:8" ht="12.2" customHeight="1" x14ac:dyDescent="0.2">
      <c r="D370" s="334" t="s">
        <v>3804</v>
      </c>
      <c r="E370" s="335"/>
      <c r="F370" s="335"/>
      <c r="G370" s="143">
        <v>62.027999999999999</v>
      </c>
    </row>
    <row r="371" spans="1:8" x14ac:dyDescent="0.2">
      <c r="A371" s="117" t="s">
        <v>150</v>
      </c>
      <c r="B371" s="117"/>
      <c r="C371" s="117" t="s">
        <v>698</v>
      </c>
      <c r="D371" s="304" t="s">
        <v>3715</v>
      </c>
      <c r="E371" s="305"/>
      <c r="F371" s="117" t="s">
        <v>1648</v>
      </c>
      <c r="G371" s="116">
        <v>46.497</v>
      </c>
      <c r="H371" s="108">
        <v>0</v>
      </c>
    </row>
    <row r="372" spans="1:8" ht="12.2" customHeight="1" x14ac:dyDescent="0.2">
      <c r="D372" s="334" t="s">
        <v>3803</v>
      </c>
      <c r="E372" s="335"/>
      <c r="F372" s="335"/>
      <c r="G372" s="143">
        <v>46.497</v>
      </c>
    </row>
    <row r="373" spans="1:8" x14ac:dyDescent="0.2">
      <c r="A373" s="117" t="s">
        <v>151</v>
      </c>
      <c r="B373" s="117"/>
      <c r="C373" s="117" t="s">
        <v>700</v>
      </c>
      <c r="D373" s="304" t="s">
        <v>1212</v>
      </c>
      <c r="E373" s="305"/>
      <c r="F373" s="117" t="s">
        <v>1648</v>
      </c>
      <c r="G373" s="116">
        <v>17.7</v>
      </c>
      <c r="H373" s="108">
        <v>0</v>
      </c>
    </row>
    <row r="374" spans="1:8" ht="12.2" customHeight="1" x14ac:dyDescent="0.2">
      <c r="D374" s="334" t="s">
        <v>3802</v>
      </c>
      <c r="E374" s="335"/>
      <c r="F374" s="335"/>
      <c r="G374" s="143">
        <v>17.7</v>
      </c>
    </row>
    <row r="375" spans="1:8" x14ac:dyDescent="0.2">
      <c r="A375" s="117" t="s">
        <v>152</v>
      </c>
      <c r="B375" s="117"/>
      <c r="C375" s="117" t="s">
        <v>701</v>
      </c>
      <c r="D375" s="304" t="s">
        <v>1213</v>
      </c>
      <c r="E375" s="305"/>
      <c r="F375" s="117" t="s">
        <v>1648</v>
      </c>
      <c r="G375" s="116">
        <v>13.849</v>
      </c>
      <c r="H375" s="108">
        <v>0</v>
      </c>
    </row>
    <row r="376" spans="1:8" ht="12.2" customHeight="1" x14ac:dyDescent="0.2">
      <c r="D376" s="334" t="s">
        <v>3801</v>
      </c>
      <c r="E376" s="335"/>
      <c r="F376" s="335"/>
      <c r="G376" s="143">
        <v>13.849</v>
      </c>
    </row>
    <row r="377" spans="1:8" x14ac:dyDescent="0.2">
      <c r="A377" s="117" t="s">
        <v>153</v>
      </c>
      <c r="B377" s="117"/>
      <c r="C377" s="117" t="s">
        <v>3714</v>
      </c>
      <c r="D377" s="304" t="s">
        <v>3713</v>
      </c>
      <c r="E377" s="305"/>
      <c r="F377" s="117" t="s">
        <v>1648</v>
      </c>
      <c r="G377" s="116">
        <v>3.879</v>
      </c>
      <c r="H377" s="108">
        <v>0</v>
      </c>
    </row>
    <row r="378" spans="1:8" ht="12.2" customHeight="1" x14ac:dyDescent="0.2">
      <c r="D378" s="334" t="s">
        <v>3800</v>
      </c>
      <c r="E378" s="335"/>
      <c r="F378" s="335"/>
      <c r="G378" s="143">
        <v>3.879</v>
      </c>
    </row>
    <row r="379" spans="1:8" x14ac:dyDescent="0.2">
      <c r="A379" s="117" t="s">
        <v>154</v>
      </c>
      <c r="B379" s="117"/>
      <c r="C379" s="117" t="s">
        <v>702</v>
      </c>
      <c r="D379" s="304" t="s">
        <v>1214</v>
      </c>
      <c r="E379" s="305"/>
      <c r="F379" s="117" t="s">
        <v>1648</v>
      </c>
      <c r="G379" s="116">
        <v>22.713999999999999</v>
      </c>
      <c r="H379" s="108">
        <v>0</v>
      </c>
    </row>
    <row r="380" spans="1:8" ht="12.2" customHeight="1" x14ac:dyDescent="0.2">
      <c r="D380" s="334" t="s">
        <v>3799</v>
      </c>
      <c r="E380" s="335"/>
      <c r="F380" s="335"/>
      <c r="G380" s="143">
        <v>22.713999999999999</v>
      </c>
    </row>
    <row r="381" spans="1:8" x14ac:dyDescent="0.2">
      <c r="A381" s="120"/>
      <c r="B381" s="120"/>
      <c r="C381" s="120" t="s">
        <v>703</v>
      </c>
      <c r="D381" s="306" t="s">
        <v>1215</v>
      </c>
      <c r="E381" s="307"/>
      <c r="F381" s="120"/>
      <c r="G381" s="142"/>
      <c r="H381" s="109"/>
    </row>
    <row r="382" spans="1:8" x14ac:dyDescent="0.2">
      <c r="A382" s="117" t="s">
        <v>155</v>
      </c>
      <c r="B382" s="117"/>
      <c r="C382" s="117" t="s">
        <v>704</v>
      </c>
      <c r="D382" s="304" t="s">
        <v>1216</v>
      </c>
      <c r="E382" s="305"/>
      <c r="F382" s="117" t="s">
        <v>1648</v>
      </c>
      <c r="G382" s="116">
        <v>378.56900000000002</v>
      </c>
      <c r="H382" s="108">
        <v>0</v>
      </c>
    </row>
    <row r="383" spans="1:8" ht="12.2" customHeight="1" x14ac:dyDescent="0.2">
      <c r="D383" s="334" t="s">
        <v>3798</v>
      </c>
      <c r="E383" s="335"/>
      <c r="F383" s="335"/>
      <c r="G383" s="143">
        <v>378.56900000000002</v>
      </c>
    </row>
    <row r="384" spans="1:8" x14ac:dyDescent="0.2">
      <c r="A384" s="120"/>
      <c r="B384" s="120"/>
      <c r="C384" s="120" t="s">
        <v>705</v>
      </c>
      <c r="D384" s="306" t="s">
        <v>1217</v>
      </c>
      <c r="E384" s="307"/>
      <c r="F384" s="120"/>
      <c r="G384" s="142"/>
      <c r="H384" s="109"/>
    </row>
    <row r="385" spans="1:8" x14ac:dyDescent="0.2">
      <c r="A385" s="117" t="s">
        <v>156</v>
      </c>
      <c r="B385" s="117"/>
      <c r="C385" s="117" t="s">
        <v>706</v>
      </c>
      <c r="D385" s="304" t="s">
        <v>1218</v>
      </c>
      <c r="E385" s="305"/>
      <c r="F385" s="117" t="s">
        <v>1645</v>
      </c>
      <c r="G385" s="116">
        <v>1155.05</v>
      </c>
      <c r="H385" s="108">
        <v>0</v>
      </c>
    </row>
    <row r="386" spans="1:8" ht="12.2" customHeight="1" x14ac:dyDescent="0.2">
      <c r="D386" s="334" t="s">
        <v>3784</v>
      </c>
      <c r="E386" s="335"/>
      <c r="F386" s="335"/>
      <c r="G386" s="143">
        <v>1144.242</v>
      </c>
    </row>
    <row r="387" spans="1:8" ht="12.2" customHeight="1" x14ac:dyDescent="0.2">
      <c r="A387" s="117"/>
      <c r="B387" s="117"/>
      <c r="C387" s="117"/>
      <c r="D387" s="334" t="s">
        <v>3783</v>
      </c>
      <c r="E387" s="335"/>
      <c r="F387" s="334"/>
      <c r="G387" s="144">
        <v>10.808</v>
      </c>
      <c r="H387" s="111"/>
    </row>
    <row r="388" spans="1:8" x14ac:dyDescent="0.2">
      <c r="A388" s="117" t="s">
        <v>157</v>
      </c>
      <c r="B388" s="117"/>
      <c r="C388" s="117" t="s">
        <v>707</v>
      </c>
      <c r="D388" s="304" t="s">
        <v>1219</v>
      </c>
      <c r="E388" s="305"/>
      <c r="F388" s="117" t="s">
        <v>1644</v>
      </c>
      <c r="G388" s="116">
        <v>12</v>
      </c>
      <c r="H388" s="108">
        <v>0</v>
      </c>
    </row>
    <row r="389" spans="1:8" ht="12.2" customHeight="1" x14ac:dyDescent="0.2">
      <c r="D389" s="334" t="s">
        <v>2929</v>
      </c>
      <c r="E389" s="335"/>
      <c r="F389" s="335"/>
      <c r="G389" s="143">
        <v>12</v>
      </c>
    </row>
    <row r="390" spans="1:8" x14ac:dyDescent="0.2">
      <c r="A390" s="117" t="s">
        <v>158</v>
      </c>
      <c r="B390" s="117"/>
      <c r="C390" s="117" t="s">
        <v>2467</v>
      </c>
      <c r="D390" s="304" t="s">
        <v>2468</v>
      </c>
      <c r="E390" s="305"/>
      <c r="F390" s="117" t="s">
        <v>1645</v>
      </c>
      <c r="G390" s="116">
        <v>11.385</v>
      </c>
      <c r="H390" s="108">
        <v>0</v>
      </c>
    </row>
    <row r="391" spans="1:8" ht="12.2" customHeight="1" x14ac:dyDescent="0.2">
      <c r="D391" s="334" t="s">
        <v>3766</v>
      </c>
      <c r="E391" s="335"/>
      <c r="F391" s="335"/>
      <c r="G391" s="143">
        <v>11.385</v>
      </c>
    </row>
    <row r="392" spans="1:8" x14ac:dyDescent="0.2">
      <c r="A392" s="117" t="s">
        <v>159</v>
      </c>
      <c r="B392" s="117"/>
      <c r="C392" s="117" t="s">
        <v>708</v>
      </c>
      <c r="D392" s="304" t="s">
        <v>3712</v>
      </c>
      <c r="E392" s="305"/>
      <c r="F392" s="117" t="s">
        <v>1645</v>
      </c>
      <c r="G392" s="116">
        <v>1155.05</v>
      </c>
      <c r="H392" s="108">
        <v>0</v>
      </c>
    </row>
    <row r="393" spans="1:8" ht="12.2" customHeight="1" x14ac:dyDescent="0.2">
      <c r="D393" s="334" t="s">
        <v>3784</v>
      </c>
      <c r="E393" s="335"/>
      <c r="F393" s="335"/>
      <c r="G393" s="143">
        <v>1144.242</v>
      </c>
    </row>
    <row r="394" spans="1:8" ht="12.2" customHeight="1" x14ac:dyDescent="0.2">
      <c r="A394" s="117"/>
      <c r="B394" s="117"/>
      <c r="C394" s="117"/>
      <c r="D394" s="334" t="s">
        <v>3783</v>
      </c>
      <c r="E394" s="335"/>
      <c r="F394" s="334"/>
      <c r="G394" s="144">
        <v>10.808</v>
      </c>
      <c r="H394" s="111"/>
    </row>
    <row r="395" spans="1:8" x14ac:dyDescent="0.2">
      <c r="A395" s="117" t="s">
        <v>160</v>
      </c>
      <c r="B395" s="117"/>
      <c r="C395" s="117" t="s">
        <v>709</v>
      </c>
      <c r="D395" s="304" t="s">
        <v>1221</v>
      </c>
      <c r="E395" s="305"/>
      <c r="F395" s="117" t="s">
        <v>1648</v>
      </c>
      <c r="G395" s="116">
        <v>14.177</v>
      </c>
      <c r="H395" s="108">
        <v>0</v>
      </c>
    </row>
    <row r="396" spans="1:8" ht="12.2" customHeight="1" x14ac:dyDescent="0.2">
      <c r="D396" s="334" t="s">
        <v>3797</v>
      </c>
      <c r="E396" s="335"/>
      <c r="F396" s="335"/>
      <c r="G396" s="143">
        <v>14.177</v>
      </c>
    </row>
    <row r="397" spans="1:8" x14ac:dyDescent="0.2">
      <c r="A397" s="120"/>
      <c r="B397" s="120"/>
      <c r="C397" s="120" t="s">
        <v>710</v>
      </c>
      <c r="D397" s="306" t="s">
        <v>1222</v>
      </c>
      <c r="E397" s="307"/>
      <c r="F397" s="120"/>
      <c r="G397" s="142"/>
      <c r="H397" s="109"/>
    </row>
    <row r="398" spans="1:8" x14ac:dyDescent="0.2">
      <c r="A398" s="117" t="s">
        <v>161</v>
      </c>
      <c r="B398" s="117"/>
      <c r="C398" s="117" t="s">
        <v>3711</v>
      </c>
      <c r="D398" s="304" t="s">
        <v>3710</v>
      </c>
      <c r="E398" s="305"/>
      <c r="F398" s="117" t="s">
        <v>1645</v>
      </c>
      <c r="G398" s="116">
        <v>969.84</v>
      </c>
      <c r="H398" s="108">
        <v>0</v>
      </c>
    </row>
    <row r="399" spans="1:8" ht="12.2" customHeight="1" x14ac:dyDescent="0.2">
      <c r="D399" s="334" t="s">
        <v>3792</v>
      </c>
      <c r="E399" s="335"/>
      <c r="F399" s="335"/>
      <c r="G399" s="143">
        <v>969.84</v>
      </c>
    </row>
    <row r="400" spans="1:8" x14ac:dyDescent="0.2">
      <c r="A400" s="117" t="s">
        <v>162</v>
      </c>
      <c r="B400" s="117"/>
      <c r="C400" s="117" t="s">
        <v>711</v>
      </c>
      <c r="D400" s="304" t="s">
        <v>3709</v>
      </c>
      <c r="E400" s="305"/>
      <c r="F400" s="117" t="s">
        <v>1645</v>
      </c>
      <c r="G400" s="116">
        <v>969.84</v>
      </c>
      <c r="H400" s="108">
        <v>0</v>
      </c>
    </row>
    <row r="401" spans="1:8" ht="12.2" customHeight="1" x14ac:dyDescent="0.2">
      <c r="D401" s="334" t="s">
        <v>3792</v>
      </c>
      <c r="E401" s="335"/>
      <c r="F401" s="335"/>
      <c r="G401" s="143">
        <v>969.84</v>
      </c>
    </row>
    <row r="402" spans="1:8" x14ac:dyDescent="0.2">
      <c r="A402" s="124" t="s">
        <v>163</v>
      </c>
      <c r="B402" s="124"/>
      <c r="C402" s="124" t="s">
        <v>712</v>
      </c>
      <c r="D402" s="311" t="s">
        <v>1224</v>
      </c>
      <c r="E402" s="312"/>
      <c r="F402" s="124" t="s">
        <v>1645</v>
      </c>
      <c r="G402" s="123">
        <v>1066.8240000000001</v>
      </c>
      <c r="H402" s="121">
        <v>0</v>
      </c>
    </row>
    <row r="403" spans="1:8" ht="12.2" customHeight="1" x14ac:dyDescent="0.2">
      <c r="D403" s="336" t="s">
        <v>3792</v>
      </c>
      <c r="E403" s="337"/>
      <c r="F403" s="337"/>
      <c r="G403" s="146">
        <v>969.84</v>
      </c>
    </row>
    <row r="404" spans="1:8" ht="12.2" customHeight="1" x14ac:dyDescent="0.2">
      <c r="A404" s="124"/>
      <c r="B404" s="124"/>
      <c r="C404" s="124"/>
      <c r="D404" s="336" t="s">
        <v>3796</v>
      </c>
      <c r="E404" s="337"/>
      <c r="F404" s="336"/>
      <c r="G404" s="145">
        <v>96.983999999999995</v>
      </c>
      <c r="H404" s="122"/>
    </row>
    <row r="405" spans="1:8" x14ac:dyDescent="0.2">
      <c r="A405" s="124" t="s">
        <v>164</v>
      </c>
      <c r="B405" s="124"/>
      <c r="C405" s="124" t="s">
        <v>713</v>
      </c>
      <c r="D405" s="311" t="s">
        <v>1225</v>
      </c>
      <c r="E405" s="312"/>
      <c r="F405" s="124" t="s">
        <v>1645</v>
      </c>
      <c r="G405" s="123">
        <v>1066.8240000000001</v>
      </c>
      <c r="H405" s="121">
        <v>0</v>
      </c>
    </row>
    <row r="406" spans="1:8" ht="12.2" customHeight="1" x14ac:dyDescent="0.2">
      <c r="D406" s="336" t="s">
        <v>3792</v>
      </c>
      <c r="E406" s="337"/>
      <c r="F406" s="337"/>
      <c r="G406" s="146">
        <v>969.84</v>
      </c>
    </row>
    <row r="407" spans="1:8" ht="12.2" customHeight="1" x14ac:dyDescent="0.2">
      <c r="A407" s="124"/>
      <c r="B407" s="124"/>
      <c r="C407" s="124"/>
      <c r="D407" s="336" t="s">
        <v>3796</v>
      </c>
      <c r="E407" s="337"/>
      <c r="F407" s="336"/>
      <c r="G407" s="145">
        <v>96.983999999999995</v>
      </c>
      <c r="H407" s="122"/>
    </row>
    <row r="408" spans="1:8" x14ac:dyDescent="0.2">
      <c r="A408" s="117" t="s">
        <v>165</v>
      </c>
      <c r="B408" s="117"/>
      <c r="C408" s="117" t="s">
        <v>714</v>
      </c>
      <c r="D408" s="304" t="s">
        <v>1226</v>
      </c>
      <c r="E408" s="305"/>
      <c r="F408" s="117" t="s">
        <v>1646</v>
      </c>
      <c r="G408" s="116">
        <v>155</v>
      </c>
      <c r="H408" s="108">
        <v>0</v>
      </c>
    </row>
    <row r="409" spans="1:8" ht="12.2" customHeight="1" x14ac:dyDescent="0.2">
      <c r="D409" s="334" t="s">
        <v>3795</v>
      </c>
      <c r="E409" s="335"/>
      <c r="F409" s="335"/>
      <c r="G409" s="143">
        <v>155</v>
      </c>
    </row>
    <row r="410" spans="1:8" x14ac:dyDescent="0.2">
      <c r="A410" s="117" t="s">
        <v>166</v>
      </c>
      <c r="B410" s="117"/>
      <c r="C410" s="117" t="s">
        <v>3708</v>
      </c>
      <c r="D410" s="304" t="s">
        <v>3707</v>
      </c>
      <c r="E410" s="305"/>
      <c r="F410" s="117" t="s">
        <v>1645</v>
      </c>
      <c r="G410" s="116">
        <v>969.84</v>
      </c>
      <c r="H410" s="108">
        <v>0</v>
      </c>
    </row>
    <row r="411" spans="1:8" ht="12.2" customHeight="1" x14ac:dyDescent="0.2">
      <c r="D411" s="334" t="s">
        <v>3792</v>
      </c>
      <c r="E411" s="335"/>
      <c r="F411" s="335"/>
      <c r="G411" s="143">
        <v>969.84</v>
      </c>
    </row>
    <row r="412" spans="1:8" x14ac:dyDescent="0.2">
      <c r="A412" s="117" t="s">
        <v>167</v>
      </c>
      <c r="B412" s="117"/>
      <c r="C412" s="117" t="s">
        <v>715</v>
      </c>
      <c r="D412" s="304" t="s">
        <v>3706</v>
      </c>
      <c r="E412" s="305"/>
      <c r="F412" s="117" t="s">
        <v>1645</v>
      </c>
      <c r="G412" s="116">
        <v>969.84</v>
      </c>
      <c r="H412" s="108">
        <v>0</v>
      </c>
    </row>
    <row r="413" spans="1:8" ht="12.2" customHeight="1" x14ac:dyDescent="0.2">
      <c r="D413" s="334" t="s">
        <v>3792</v>
      </c>
      <c r="E413" s="335"/>
      <c r="F413" s="335"/>
      <c r="G413" s="143">
        <v>969.84</v>
      </c>
    </row>
    <row r="414" spans="1:8" x14ac:dyDescent="0.2">
      <c r="A414" s="117" t="s">
        <v>168</v>
      </c>
      <c r="B414" s="117"/>
      <c r="C414" s="117" t="s">
        <v>716</v>
      </c>
      <c r="D414" s="304" t="s">
        <v>3705</v>
      </c>
      <c r="E414" s="305"/>
      <c r="F414" s="117" t="s">
        <v>1645</v>
      </c>
      <c r="G414" s="116">
        <v>969.84</v>
      </c>
      <c r="H414" s="108">
        <v>0</v>
      </c>
    </row>
    <row r="415" spans="1:8" ht="12.2" customHeight="1" x14ac:dyDescent="0.2">
      <c r="D415" s="334" t="s">
        <v>3792</v>
      </c>
      <c r="E415" s="335"/>
      <c r="F415" s="335"/>
      <c r="G415" s="143">
        <v>969.84</v>
      </c>
    </row>
    <row r="416" spans="1:8" x14ac:dyDescent="0.2">
      <c r="A416" s="117" t="s">
        <v>169</v>
      </c>
      <c r="B416" s="117"/>
      <c r="C416" s="117" t="s">
        <v>717</v>
      </c>
      <c r="D416" s="304" t="s">
        <v>3704</v>
      </c>
      <c r="E416" s="305"/>
      <c r="F416" s="117" t="s">
        <v>1645</v>
      </c>
      <c r="G416" s="116">
        <v>1166.4349999999999</v>
      </c>
      <c r="H416" s="108">
        <v>0</v>
      </c>
    </row>
    <row r="417" spans="1:8" ht="12.2" customHeight="1" x14ac:dyDescent="0.2">
      <c r="D417" s="334" t="s">
        <v>3784</v>
      </c>
      <c r="E417" s="335"/>
      <c r="F417" s="335"/>
      <c r="G417" s="143">
        <v>1144.242</v>
      </c>
    </row>
    <row r="418" spans="1:8" ht="12.2" customHeight="1" x14ac:dyDescent="0.2">
      <c r="A418" s="117"/>
      <c r="B418" s="117"/>
      <c r="C418" s="117"/>
      <c r="D418" s="334" t="s">
        <v>3783</v>
      </c>
      <c r="E418" s="335"/>
      <c r="F418" s="334"/>
      <c r="G418" s="144">
        <v>10.808</v>
      </c>
      <c r="H418" s="111"/>
    </row>
    <row r="419" spans="1:8" ht="12.2" customHeight="1" x14ac:dyDescent="0.2">
      <c r="A419" s="117"/>
      <c r="B419" s="117"/>
      <c r="C419" s="117"/>
      <c r="D419" s="334" t="s">
        <v>3766</v>
      </c>
      <c r="E419" s="335"/>
      <c r="F419" s="334"/>
      <c r="G419" s="144">
        <v>11.385</v>
      </c>
      <c r="H419" s="111"/>
    </row>
    <row r="420" spans="1:8" x14ac:dyDescent="0.2">
      <c r="A420" s="117" t="s">
        <v>170</v>
      </c>
      <c r="B420" s="117"/>
      <c r="C420" s="117" t="s">
        <v>718</v>
      </c>
      <c r="D420" s="304" t="s">
        <v>1230</v>
      </c>
      <c r="E420" s="305"/>
      <c r="F420" s="117" t="s">
        <v>1648</v>
      </c>
      <c r="G420" s="116">
        <v>8.9049999999999994</v>
      </c>
      <c r="H420" s="108">
        <v>0</v>
      </c>
    </row>
    <row r="421" spans="1:8" ht="12.2" customHeight="1" x14ac:dyDescent="0.2">
      <c r="D421" s="334" t="s">
        <v>3794</v>
      </c>
      <c r="E421" s="335"/>
      <c r="F421" s="335"/>
      <c r="G421" s="143">
        <v>8.9049999999999994</v>
      </c>
    </row>
    <row r="422" spans="1:8" x14ac:dyDescent="0.2">
      <c r="A422" s="120"/>
      <c r="B422" s="120"/>
      <c r="C422" s="120" t="s">
        <v>744</v>
      </c>
      <c r="D422" s="306" t="s">
        <v>1256</v>
      </c>
      <c r="E422" s="307"/>
      <c r="F422" s="120"/>
      <c r="G422" s="142"/>
      <c r="H422" s="109"/>
    </row>
    <row r="423" spans="1:8" x14ac:dyDescent="0.2">
      <c r="A423" s="117" t="s">
        <v>171</v>
      </c>
      <c r="B423" s="117"/>
      <c r="C423" s="117" t="s">
        <v>3703</v>
      </c>
      <c r="D423" s="304" t="s">
        <v>3702</v>
      </c>
      <c r="E423" s="305"/>
      <c r="F423" s="117" t="s">
        <v>1646</v>
      </c>
      <c r="G423" s="116">
        <v>11</v>
      </c>
      <c r="H423" s="108">
        <v>0</v>
      </c>
    </row>
    <row r="424" spans="1:8" x14ac:dyDescent="0.2">
      <c r="A424" s="117" t="s">
        <v>172</v>
      </c>
      <c r="B424" s="117"/>
      <c r="C424" s="117" t="s">
        <v>3701</v>
      </c>
      <c r="D424" s="304" t="s">
        <v>1257</v>
      </c>
      <c r="E424" s="305"/>
      <c r="F424" s="117" t="s">
        <v>1646</v>
      </c>
      <c r="G424" s="116">
        <v>4</v>
      </c>
      <c r="H424" s="108">
        <v>0</v>
      </c>
    </row>
    <row r="425" spans="1:8" x14ac:dyDescent="0.2">
      <c r="A425" s="117" t="s">
        <v>173</v>
      </c>
      <c r="B425" s="117"/>
      <c r="C425" s="117" t="s">
        <v>3700</v>
      </c>
      <c r="D425" s="304" t="s">
        <v>1258</v>
      </c>
      <c r="E425" s="305"/>
      <c r="F425" s="117" t="s">
        <v>1646</v>
      </c>
      <c r="G425" s="116">
        <v>1</v>
      </c>
      <c r="H425" s="108">
        <v>0</v>
      </c>
    </row>
    <row r="426" spans="1:8" x14ac:dyDescent="0.2">
      <c r="A426" s="117" t="s">
        <v>174</v>
      </c>
      <c r="B426" s="117"/>
      <c r="C426" s="117" t="s">
        <v>3699</v>
      </c>
      <c r="D426" s="304" t="s">
        <v>2133</v>
      </c>
      <c r="E426" s="305"/>
      <c r="F426" s="117" t="s">
        <v>1646</v>
      </c>
      <c r="G426" s="116">
        <v>3</v>
      </c>
      <c r="H426" s="108">
        <v>0</v>
      </c>
    </row>
    <row r="427" spans="1:8" x14ac:dyDescent="0.2">
      <c r="A427" s="117" t="s">
        <v>175</v>
      </c>
      <c r="B427" s="117"/>
      <c r="C427" s="117" t="s">
        <v>3698</v>
      </c>
      <c r="D427" s="304" t="s">
        <v>3697</v>
      </c>
      <c r="E427" s="305"/>
      <c r="F427" s="117" t="s">
        <v>1646</v>
      </c>
      <c r="G427" s="116">
        <v>7</v>
      </c>
      <c r="H427" s="108">
        <v>0</v>
      </c>
    </row>
    <row r="428" spans="1:8" x14ac:dyDescent="0.2">
      <c r="A428" s="117" t="s">
        <v>176</v>
      </c>
      <c r="B428" s="117"/>
      <c r="C428" s="117" t="s">
        <v>3696</v>
      </c>
      <c r="D428" s="304" t="s">
        <v>1259</v>
      </c>
      <c r="E428" s="305"/>
      <c r="F428" s="117" t="s">
        <v>1646</v>
      </c>
      <c r="G428" s="116">
        <v>4</v>
      </c>
      <c r="H428" s="108">
        <v>0</v>
      </c>
    </row>
    <row r="429" spans="1:8" x14ac:dyDescent="0.2">
      <c r="A429" s="117" t="s">
        <v>177</v>
      </c>
      <c r="B429" s="117"/>
      <c r="C429" s="117" t="s">
        <v>3695</v>
      </c>
      <c r="D429" s="304" t="s">
        <v>1262</v>
      </c>
      <c r="E429" s="305"/>
      <c r="F429" s="117" t="s">
        <v>1644</v>
      </c>
      <c r="G429" s="116">
        <v>2</v>
      </c>
      <c r="H429" s="108">
        <v>0</v>
      </c>
    </row>
    <row r="430" spans="1:8" x14ac:dyDescent="0.2">
      <c r="A430" s="117" t="s">
        <v>178</v>
      </c>
      <c r="B430" s="117"/>
      <c r="C430" s="117" t="s">
        <v>3694</v>
      </c>
      <c r="D430" s="304" t="s">
        <v>1263</v>
      </c>
      <c r="E430" s="305"/>
      <c r="F430" s="117" t="s">
        <v>1644</v>
      </c>
      <c r="G430" s="116">
        <v>4</v>
      </c>
      <c r="H430" s="108">
        <v>0</v>
      </c>
    </row>
    <row r="431" spans="1:8" x14ac:dyDescent="0.2">
      <c r="A431" s="117" t="s">
        <v>179</v>
      </c>
      <c r="B431" s="117"/>
      <c r="C431" s="117" t="s">
        <v>3693</v>
      </c>
      <c r="D431" s="304" t="s">
        <v>1264</v>
      </c>
      <c r="E431" s="305"/>
      <c r="F431" s="117" t="s">
        <v>1644</v>
      </c>
      <c r="G431" s="116">
        <v>1</v>
      </c>
      <c r="H431" s="108">
        <v>0</v>
      </c>
    </row>
    <row r="432" spans="1:8" x14ac:dyDescent="0.2">
      <c r="A432" s="117" t="s">
        <v>180</v>
      </c>
      <c r="B432" s="117"/>
      <c r="C432" s="117" t="s">
        <v>3692</v>
      </c>
      <c r="D432" s="304" t="s">
        <v>3691</v>
      </c>
      <c r="E432" s="305"/>
      <c r="F432" s="117" t="s">
        <v>1644</v>
      </c>
      <c r="G432" s="116">
        <v>3</v>
      </c>
      <c r="H432" s="108">
        <v>0</v>
      </c>
    </row>
    <row r="433" spans="1:8" x14ac:dyDescent="0.2">
      <c r="A433" s="117" t="s">
        <v>181</v>
      </c>
      <c r="B433" s="117"/>
      <c r="C433" s="117" t="s">
        <v>3690</v>
      </c>
      <c r="D433" s="304" t="s">
        <v>3689</v>
      </c>
      <c r="E433" s="305"/>
      <c r="F433" s="117" t="s">
        <v>1644</v>
      </c>
      <c r="G433" s="116">
        <v>2</v>
      </c>
      <c r="H433" s="108">
        <v>0</v>
      </c>
    </row>
    <row r="434" spans="1:8" x14ac:dyDescent="0.2">
      <c r="A434" s="117" t="s">
        <v>182</v>
      </c>
      <c r="B434" s="117"/>
      <c r="C434" s="117" t="s">
        <v>3688</v>
      </c>
      <c r="D434" s="304" t="s">
        <v>3687</v>
      </c>
      <c r="E434" s="305"/>
      <c r="F434" s="117" t="s">
        <v>1644</v>
      </c>
      <c r="G434" s="116">
        <v>1</v>
      </c>
      <c r="H434" s="108">
        <v>0</v>
      </c>
    </row>
    <row r="435" spans="1:8" x14ac:dyDescent="0.2">
      <c r="A435" s="117" t="s">
        <v>183</v>
      </c>
      <c r="B435" s="117"/>
      <c r="C435" s="117" t="s">
        <v>3686</v>
      </c>
      <c r="D435" s="304" t="s">
        <v>3685</v>
      </c>
      <c r="E435" s="305"/>
      <c r="F435" s="117" t="s">
        <v>1644</v>
      </c>
      <c r="G435" s="116">
        <v>1</v>
      </c>
      <c r="H435" s="108">
        <v>0</v>
      </c>
    </row>
    <row r="436" spans="1:8" x14ac:dyDescent="0.2">
      <c r="A436" s="117" t="s">
        <v>184</v>
      </c>
      <c r="B436" s="117"/>
      <c r="C436" s="117" t="s">
        <v>3684</v>
      </c>
      <c r="D436" s="304" t="s">
        <v>3683</v>
      </c>
      <c r="E436" s="305"/>
      <c r="F436" s="117" t="s">
        <v>1644</v>
      </c>
      <c r="G436" s="116">
        <v>2</v>
      </c>
      <c r="H436" s="108">
        <v>0</v>
      </c>
    </row>
    <row r="437" spans="1:8" x14ac:dyDescent="0.2">
      <c r="A437" s="117" t="s">
        <v>185</v>
      </c>
      <c r="B437" s="117"/>
      <c r="C437" s="117" t="s">
        <v>3682</v>
      </c>
      <c r="D437" s="304" t="s">
        <v>1269</v>
      </c>
      <c r="E437" s="305"/>
      <c r="F437" s="117" t="s">
        <v>1644</v>
      </c>
      <c r="G437" s="116">
        <v>2</v>
      </c>
      <c r="H437" s="108">
        <v>0</v>
      </c>
    </row>
    <row r="438" spans="1:8" x14ac:dyDescent="0.2">
      <c r="A438" s="117" t="s">
        <v>186</v>
      </c>
      <c r="B438" s="117"/>
      <c r="C438" s="117" t="s">
        <v>3681</v>
      </c>
      <c r="D438" s="304" t="s">
        <v>1270</v>
      </c>
      <c r="E438" s="305"/>
      <c r="F438" s="117" t="s">
        <v>1644</v>
      </c>
      <c r="G438" s="116">
        <v>2</v>
      </c>
      <c r="H438" s="108">
        <v>0</v>
      </c>
    </row>
    <row r="439" spans="1:8" x14ac:dyDescent="0.2">
      <c r="A439" s="117" t="s">
        <v>187</v>
      </c>
      <c r="B439" s="117"/>
      <c r="C439" s="117" t="s">
        <v>3680</v>
      </c>
      <c r="D439" s="304" t="s">
        <v>3679</v>
      </c>
      <c r="E439" s="305"/>
      <c r="F439" s="117" t="s">
        <v>1644</v>
      </c>
      <c r="G439" s="116">
        <v>4</v>
      </c>
      <c r="H439" s="108">
        <v>0</v>
      </c>
    </row>
    <row r="440" spans="1:8" x14ac:dyDescent="0.2">
      <c r="A440" s="117" t="s">
        <v>188</v>
      </c>
      <c r="B440" s="117"/>
      <c r="C440" s="117" t="s">
        <v>3678</v>
      </c>
      <c r="D440" s="304" t="s">
        <v>1271</v>
      </c>
      <c r="E440" s="305"/>
      <c r="F440" s="117" t="s">
        <v>1644</v>
      </c>
      <c r="G440" s="116">
        <v>2</v>
      </c>
      <c r="H440" s="108">
        <v>0</v>
      </c>
    </row>
    <row r="441" spans="1:8" x14ac:dyDescent="0.2">
      <c r="A441" s="117" t="s">
        <v>189</v>
      </c>
      <c r="B441" s="117"/>
      <c r="C441" s="117" t="s">
        <v>3677</v>
      </c>
      <c r="D441" s="304" t="s">
        <v>1272</v>
      </c>
      <c r="E441" s="305"/>
      <c r="F441" s="117" t="s">
        <v>1644</v>
      </c>
      <c r="G441" s="116">
        <v>2</v>
      </c>
      <c r="H441" s="108">
        <v>0</v>
      </c>
    </row>
    <row r="442" spans="1:8" x14ac:dyDescent="0.2">
      <c r="A442" s="117" t="s">
        <v>190</v>
      </c>
      <c r="B442" s="117"/>
      <c r="C442" s="117" t="s">
        <v>3676</v>
      </c>
      <c r="D442" s="304" t="s">
        <v>3675</v>
      </c>
      <c r="E442" s="305"/>
      <c r="F442" s="117" t="s">
        <v>1644</v>
      </c>
      <c r="G442" s="116">
        <v>1</v>
      </c>
      <c r="H442" s="108">
        <v>0</v>
      </c>
    </row>
    <row r="443" spans="1:8" x14ac:dyDescent="0.2">
      <c r="A443" s="117" t="s">
        <v>191</v>
      </c>
      <c r="B443" s="117"/>
      <c r="C443" s="117" t="s">
        <v>3674</v>
      </c>
      <c r="D443" s="304" t="s">
        <v>3673</v>
      </c>
      <c r="E443" s="305"/>
      <c r="F443" s="117" t="s">
        <v>1644</v>
      </c>
      <c r="G443" s="116">
        <v>2</v>
      </c>
      <c r="H443" s="108">
        <v>0</v>
      </c>
    </row>
    <row r="444" spans="1:8" x14ac:dyDescent="0.2">
      <c r="A444" s="117" t="s">
        <v>192</v>
      </c>
      <c r="B444" s="117"/>
      <c r="C444" s="117" t="s">
        <v>3672</v>
      </c>
      <c r="D444" s="304" t="s">
        <v>3671</v>
      </c>
      <c r="E444" s="305"/>
      <c r="F444" s="117" t="s">
        <v>1644</v>
      </c>
      <c r="G444" s="116">
        <v>1</v>
      </c>
      <c r="H444" s="108">
        <v>0</v>
      </c>
    </row>
    <row r="445" spans="1:8" x14ac:dyDescent="0.2">
      <c r="A445" s="117" t="s">
        <v>193</v>
      </c>
      <c r="B445" s="117"/>
      <c r="C445" s="117" t="s">
        <v>3670</v>
      </c>
      <c r="D445" s="304" t="s">
        <v>3669</v>
      </c>
      <c r="E445" s="305"/>
      <c r="F445" s="117" t="s">
        <v>1644</v>
      </c>
      <c r="G445" s="116">
        <v>1</v>
      </c>
      <c r="H445" s="108">
        <v>0</v>
      </c>
    </row>
    <row r="446" spans="1:8" x14ac:dyDescent="0.2">
      <c r="A446" s="117" t="s">
        <v>194</v>
      </c>
      <c r="B446" s="117"/>
      <c r="C446" s="117" t="s">
        <v>3668</v>
      </c>
      <c r="D446" s="304" t="s">
        <v>3667</v>
      </c>
      <c r="E446" s="305"/>
      <c r="F446" s="117" t="s">
        <v>1644</v>
      </c>
      <c r="G446" s="116">
        <v>1</v>
      </c>
      <c r="H446" s="108">
        <v>0</v>
      </c>
    </row>
    <row r="447" spans="1:8" x14ac:dyDescent="0.2">
      <c r="A447" s="117" t="s">
        <v>195</v>
      </c>
      <c r="B447" s="117"/>
      <c r="C447" s="117" t="s">
        <v>3666</v>
      </c>
      <c r="D447" s="304" t="s">
        <v>3665</v>
      </c>
      <c r="E447" s="305"/>
      <c r="F447" s="117" t="s">
        <v>1644</v>
      </c>
      <c r="G447" s="116">
        <v>1</v>
      </c>
      <c r="H447" s="108">
        <v>0</v>
      </c>
    </row>
    <row r="448" spans="1:8" x14ac:dyDescent="0.2">
      <c r="A448" s="117" t="s">
        <v>196</v>
      </c>
      <c r="B448" s="117"/>
      <c r="C448" s="117" t="s">
        <v>3664</v>
      </c>
      <c r="D448" s="304" t="s">
        <v>1276</v>
      </c>
      <c r="E448" s="305"/>
      <c r="F448" s="117" t="s">
        <v>1644</v>
      </c>
      <c r="G448" s="116">
        <v>2</v>
      </c>
      <c r="H448" s="108">
        <v>0</v>
      </c>
    </row>
    <row r="449" spans="1:8" x14ac:dyDescent="0.2">
      <c r="A449" s="117" t="s">
        <v>197</v>
      </c>
      <c r="B449" s="117"/>
      <c r="C449" s="117" t="s">
        <v>3663</v>
      </c>
      <c r="D449" s="304" t="s">
        <v>3662</v>
      </c>
      <c r="E449" s="305"/>
      <c r="F449" s="117" t="s">
        <v>1644</v>
      </c>
      <c r="G449" s="116">
        <v>1</v>
      </c>
      <c r="H449" s="108">
        <v>0</v>
      </c>
    </row>
    <row r="450" spans="1:8" x14ac:dyDescent="0.2">
      <c r="A450" s="117" t="s">
        <v>198</v>
      </c>
      <c r="B450" s="117"/>
      <c r="C450" s="117" t="s">
        <v>3661</v>
      </c>
      <c r="D450" s="304" t="s">
        <v>3660</v>
      </c>
      <c r="E450" s="305"/>
      <c r="F450" s="117" t="s">
        <v>1644</v>
      </c>
      <c r="G450" s="116">
        <v>6</v>
      </c>
      <c r="H450" s="108">
        <v>0</v>
      </c>
    </row>
    <row r="451" spans="1:8" x14ac:dyDescent="0.2">
      <c r="A451" s="117" t="s">
        <v>199</v>
      </c>
      <c r="B451" s="117"/>
      <c r="C451" s="117" t="s">
        <v>3659</v>
      </c>
      <c r="D451" s="304" t="s">
        <v>2123</v>
      </c>
      <c r="E451" s="305"/>
      <c r="F451" s="117" t="s">
        <v>1644</v>
      </c>
      <c r="G451" s="116">
        <v>2</v>
      </c>
      <c r="H451" s="108">
        <v>0</v>
      </c>
    </row>
    <row r="452" spans="1:8" x14ac:dyDescent="0.2">
      <c r="A452" s="117" t="s">
        <v>200</v>
      </c>
      <c r="B452" s="117"/>
      <c r="C452" s="117" t="s">
        <v>3658</v>
      </c>
      <c r="D452" s="304" t="s">
        <v>1279</v>
      </c>
      <c r="E452" s="305"/>
      <c r="F452" s="117" t="s">
        <v>1644</v>
      </c>
      <c r="G452" s="116">
        <v>4</v>
      </c>
      <c r="H452" s="108">
        <v>0</v>
      </c>
    </row>
    <row r="453" spans="1:8" x14ac:dyDescent="0.2">
      <c r="A453" s="117" t="s">
        <v>201</v>
      </c>
      <c r="B453" s="117"/>
      <c r="C453" s="117" t="s">
        <v>3657</v>
      </c>
      <c r="D453" s="304" t="s">
        <v>3656</v>
      </c>
      <c r="E453" s="305"/>
      <c r="F453" s="117" t="s">
        <v>1644</v>
      </c>
      <c r="G453" s="116">
        <v>2</v>
      </c>
      <c r="H453" s="108">
        <v>0</v>
      </c>
    </row>
    <row r="454" spans="1:8" x14ac:dyDescent="0.2">
      <c r="A454" s="117" t="s">
        <v>202</v>
      </c>
      <c r="B454" s="117"/>
      <c r="C454" s="117" t="s">
        <v>3655</v>
      </c>
      <c r="D454" s="304" t="s">
        <v>1280</v>
      </c>
      <c r="E454" s="305"/>
      <c r="F454" s="117" t="s">
        <v>1646</v>
      </c>
      <c r="G454" s="116">
        <v>26</v>
      </c>
      <c r="H454" s="108">
        <v>0</v>
      </c>
    </row>
    <row r="455" spans="1:8" x14ac:dyDescent="0.2">
      <c r="A455" s="117" t="s">
        <v>203</v>
      </c>
      <c r="B455" s="117"/>
      <c r="C455" s="117" t="s">
        <v>3654</v>
      </c>
      <c r="D455" s="304" t="s">
        <v>1281</v>
      </c>
      <c r="E455" s="305"/>
      <c r="F455" s="117" t="s">
        <v>1646</v>
      </c>
      <c r="G455" s="116">
        <v>22</v>
      </c>
      <c r="H455" s="108">
        <v>0</v>
      </c>
    </row>
    <row r="456" spans="1:8" x14ac:dyDescent="0.2">
      <c r="A456" s="117" t="s">
        <v>204</v>
      </c>
      <c r="B456" s="117"/>
      <c r="C456" s="117" t="s">
        <v>3653</v>
      </c>
      <c r="D456" s="304" t="s">
        <v>1282</v>
      </c>
      <c r="E456" s="305"/>
      <c r="F456" s="117" t="s">
        <v>1644</v>
      </c>
      <c r="G456" s="116">
        <v>1</v>
      </c>
      <c r="H456" s="108">
        <v>0</v>
      </c>
    </row>
    <row r="457" spans="1:8" x14ac:dyDescent="0.2">
      <c r="A457" s="120"/>
      <c r="B457" s="120"/>
      <c r="C457" s="120" t="s">
        <v>771</v>
      </c>
      <c r="D457" s="306" t="s">
        <v>1283</v>
      </c>
      <c r="E457" s="307"/>
      <c r="F457" s="120"/>
      <c r="G457" s="142"/>
      <c r="H457" s="109"/>
    </row>
    <row r="458" spans="1:8" x14ac:dyDescent="0.2">
      <c r="A458" s="117" t="s">
        <v>205</v>
      </c>
      <c r="B458" s="117"/>
      <c r="C458" s="117" t="s">
        <v>3652</v>
      </c>
      <c r="D458" s="304" t="s">
        <v>1284</v>
      </c>
      <c r="E458" s="305"/>
      <c r="F458" s="117" t="s">
        <v>1644</v>
      </c>
      <c r="G458" s="116">
        <v>2</v>
      </c>
      <c r="H458" s="108">
        <v>0</v>
      </c>
    </row>
    <row r="459" spans="1:8" x14ac:dyDescent="0.2">
      <c r="A459" s="117" t="s">
        <v>206</v>
      </c>
      <c r="B459" s="117"/>
      <c r="C459" s="117" t="s">
        <v>3651</v>
      </c>
      <c r="D459" s="304" t="s">
        <v>1285</v>
      </c>
      <c r="E459" s="305"/>
      <c r="F459" s="117" t="s">
        <v>1644</v>
      </c>
      <c r="G459" s="116">
        <v>2</v>
      </c>
      <c r="H459" s="108">
        <v>0</v>
      </c>
    </row>
    <row r="460" spans="1:8" x14ac:dyDescent="0.2">
      <c r="A460" s="117" t="s">
        <v>207</v>
      </c>
      <c r="B460" s="117"/>
      <c r="C460" s="117" t="s">
        <v>3650</v>
      </c>
      <c r="D460" s="304" t="s">
        <v>1286</v>
      </c>
      <c r="E460" s="305"/>
      <c r="F460" s="117" t="s">
        <v>1644</v>
      </c>
      <c r="G460" s="116">
        <v>4</v>
      </c>
      <c r="H460" s="108">
        <v>0</v>
      </c>
    </row>
    <row r="461" spans="1:8" x14ac:dyDescent="0.2">
      <c r="A461" s="117" t="s">
        <v>208</v>
      </c>
      <c r="B461" s="117"/>
      <c r="C461" s="117" t="s">
        <v>3649</v>
      </c>
      <c r="D461" s="304" t="s">
        <v>1287</v>
      </c>
      <c r="E461" s="305"/>
      <c r="F461" s="117" t="s">
        <v>1644</v>
      </c>
      <c r="G461" s="116">
        <v>2</v>
      </c>
      <c r="H461" s="108">
        <v>0</v>
      </c>
    </row>
    <row r="462" spans="1:8" x14ac:dyDescent="0.2">
      <c r="A462" s="117" t="s">
        <v>209</v>
      </c>
      <c r="B462" s="117"/>
      <c r="C462" s="117" t="s">
        <v>3648</v>
      </c>
      <c r="D462" s="304" t="s">
        <v>1288</v>
      </c>
      <c r="E462" s="305"/>
      <c r="F462" s="117" t="s">
        <v>1644</v>
      </c>
      <c r="G462" s="116">
        <v>2</v>
      </c>
      <c r="H462" s="108">
        <v>0</v>
      </c>
    </row>
    <row r="463" spans="1:8" x14ac:dyDescent="0.2">
      <c r="A463" s="117" t="s">
        <v>210</v>
      </c>
      <c r="B463" s="117"/>
      <c r="C463" s="117" t="s">
        <v>3647</v>
      </c>
      <c r="D463" s="304" t="s">
        <v>1289</v>
      </c>
      <c r="E463" s="305"/>
      <c r="F463" s="117" t="s">
        <v>1644</v>
      </c>
      <c r="G463" s="116">
        <v>7</v>
      </c>
      <c r="H463" s="108">
        <v>0</v>
      </c>
    </row>
    <row r="464" spans="1:8" x14ac:dyDescent="0.2">
      <c r="A464" s="117" t="s">
        <v>211</v>
      </c>
      <c r="B464" s="117"/>
      <c r="C464" s="117" t="s">
        <v>3646</v>
      </c>
      <c r="D464" s="304" t="s">
        <v>1290</v>
      </c>
      <c r="E464" s="305"/>
      <c r="F464" s="117" t="s">
        <v>1644</v>
      </c>
      <c r="G464" s="116">
        <v>4</v>
      </c>
      <c r="H464" s="108">
        <v>0</v>
      </c>
    </row>
    <row r="465" spans="1:8" x14ac:dyDescent="0.2">
      <c r="A465" s="117" t="s">
        <v>212</v>
      </c>
      <c r="B465" s="117"/>
      <c r="C465" s="117" t="s">
        <v>3645</v>
      </c>
      <c r="D465" s="304" t="s">
        <v>1291</v>
      </c>
      <c r="E465" s="305"/>
      <c r="F465" s="117" t="s">
        <v>1644</v>
      </c>
      <c r="G465" s="116">
        <v>2</v>
      </c>
      <c r="H465" s="108">
        <v>0</v>
      </c>
    </row>
    <row r="466" spans="1:8" x14ac:dyDescent="0.2">
      <c r="A466" s="117" t="s">
        <v>213</v>
      </c>
      <c r="B466" s="117"/>
      <c r="C466" s="117" t="s">
        <v>3644</v>
      </c>
      <c r="D466" s="304" t="s">
        <v>1292</v>
      </c>
      <c r="E466" s="305"/>
      <c r="F466" s="117" t="s">
        <v>1644</v>
      </c>
      <c r="G466" s="116">
        <v>2</v>
      </c>
      <c r="H466" s="108">
        <v>0</v>
      </c>
    </row>
    <row r="467" spans="1:8" x14ac:dyDescent="0.2">
      <c r="A467" s="117" t="s">
        <v>214</v>
      </c>
      <c r="B467" s="117"/>
      <c r="C467" s="117" t="s">
        <v>3643</v>
      </c>
      <c r="D467" s="304" t="s">
        <v>1293</v>
      </c>
      <c r="E467" s="305"/>
      <c r="F467" s="117" t="s">
        <v>1644</v>
      </c>
      <c r="G467" s="116">
        <v>2</v>
      </c>
      <c r="H467" s="108">
        <v>0</v>
      </c>
    </row>
    <row r="468" spans="1:8" x14ac:dyDescent="0.2">
      <c r="A468" s="117" t="s">
        <v>215</v>
      </c>
      <c r="B468" s="117"/>
      <c r="C468" s="117" t="s">
        <v>3642</v>
      </c>
      <c r="D468" s="304" t="s">
        <v>1294</v>
      </c>
      <c r="E468" s="305"/>
      <c r="F468" s="117" t="s">
        <v>1644</v>
      </c>
      <c r="G468" s="116">
        <v>2</v>
      </c>
      <c r="H468" s="108">
        <v>0</v>
      </c>
    </row>
    <row r="469" spans="1:8" x14ac:dyDescent="0.2">
      <c r="A469" s="117" t="s">
        <v>216</v>
      </c>
      <c r="B469" s="117"/>
      <c r="C469" s="117" t="s">
        <v>3641</v>
      </c>
      <c r="D469" s="304" t="s">
        <v>1295</v>
      </c>
      <c r="E469" s="305"/>
      <c r="F469" s="117" t="s">
        <v>1644</v>
      </c>
      <c r="G469" s="116">
        <v>2</v>
      </c>
      <c r="H469" s="108">
        <v>0</v>
      </c>
    </row>
    <row r="470" spans="1:8" x14ac:dyDescent="0.2">
      <c r="A470" s="117" t="s">
        <v>217</v>
      </c>
      <c r="B470" s="117"/>
      <c r="C470" s="117" t="s">
        <v>3640</v>
      </c>
      <c r="D470" s="304" t="s">
        <v>1296</v>
      </c>
      <c r="E470" s="305"/>
      <c r="F470" s="117" t="s">
        <v>1644</v>
      </c>
      <c r="G470" s="116">
        <v>4</v>
      </c>
      <c r="H470" s="108">
        <v>0</v>
      </c>
    </row>
    <row r="471" spans="1:8" x14ac:dyDescent="0.2">
      <c r="A471" s="117" t="s">
        <v>218</v>
      </c>
      <c r="B471" s="117"/>
      <c r="C471" s="117" t="s">
        <v>3639</v>
      </c>
      <c r="D471" s="304" t="s">
        <v>1297</v>
      </c>
      <c r="E471" s="305"/>
      <c r="F471" s="117" t="s">
        <v>1644</v>
      </c>
      <c r="G471" s="116">
        <v>4</v>
      </c>
      <c r="H471" s="108">
        <v>0</v>
      </c>
    </row>
    <row r="472" spans="1:8" x14ac:dyDescent="0.2">
      <c r="A472" s="117" t="s">
        <v>219</v>
      </c>
      <c r="B472" s="117"/>
      <c r="C472" s="117" t="s">
        <v>3638</v>
      </c>
      <c r="D472" s="304" t="s">
        <v>1298</v>
      </c>
      <c r="E472" s="305"/>
      <c r="F472" s="117" t="s">
        <v>1644</v>
      </c>
      <c r="G472" s="116">
        <v>2</v>
      </c>
      <c r="H472" s="108">
        <v>0</v>
      </c>
    </row>
    <row r="473" spans="1:8" x14ac:dyDescent="0.2">
      <c r="A473" s="117" t="s">
        <v>220</v>
      </c>
      <c r="B473" s="117"/>
      <c r="C473" s="117" t="s">
        <v>3637</v>
      </c>
      <c r="D473" s="304" t="s">
        <v>1299</v>
      </c>
      <c r="E473" s="305"/>
      <c r="F473" s="117" t="s">
        <v>1646</v>
      </c>
      <c r="G473" s="116">
        <v>16</v>
      </c>
      <c r="H473" s="108">
        <v>0</v>
      </c>
    </row>
    <row r="474" spans="1:8" x14ac:dyDescent="0.2">
      <c r="A474" s="117" t="s">
        <v>221</v>
      </c>
      <c r="B474" s="117"/>
      <c r="C474" s="117" t="s">
        <v>3636</v>
      </c>
      <c r="D474" s="304" t="s">
        <v>1300</v>
      </c>
      <c r="E474" s="305"/>
      <c r="F474" s="117" t="s">
        <v>1646</v>
      </c>
      <c r="G474" s="116">
        <v>15</v>
      </c>
      <c r="H474" s="108">
        <v>0</v>
      </c>
    </row>
    <row r="475" spans="1:8" x14ac:dyDescent="0.2">
      <c r="A475" s="117" t="s">
        <v>222</v>
      </c>
      <c r="B475" s="117"/>
      <c r="C475" s="117" t="s">
        <v>3635</v>
      </c>
      <c r="D475" s="304" t="s">
        <v>1301</v>
      </c>
      <c r="E475" s="305"/>
      <c r="F475" s="117" t="s">
        <v>1646</v>
      </c>
      <c r="G475" s="116">
        <v>8</v>
      </c>
      <c r="H475" s="108">
        <v>0</v>
      </c>
    </row>
    <row r="476" spans="1:8" x14ac:dyDescent="0.2">
      <c r="A476" s="117" t="s">
        <v>223</v>
      </c>
      <c r="B476" s="117"/>
      <c r="C476" s="117" t="s">
        <v>3634</v>
      </c>
      <c r="D476" s="304" t="s">
        <v>1302</v>
      </c>
      <c r="E476" s="305"/>
      <c r="F476" s="117" t="s">
        <v>1644</v>
      </c>
      <c r="G476" s="116">
        <v>1</v>
      </c>
      <c r="H476" s="108">
        <v>0</v>
      </c>
    </row>
    <row r="477" spans="1:8" x14ac:dyDescent="0.2">
      <c r="A477" s="117" t="s">
        <v>224</v>
      </c>
      <c r="B477" s="117"/>
      <c r="C477" s="117" t="s">
        <v>3633</v>
      </c>
      <c r="D477" s="304" t="s">
        <v>1303</v>
      </c>
      <c r="E477" s="305"/>
      <c r="F477" s="117" t="s">
        <v>1644</v>
      </c>
      <c r="G477" s="116">
        <v>2</v>
      </c>
      <c r="H477" s="108">
        <v>0</v>
      </c>
    </row>
    <row r="478" spans="1:8" x14ac:dyDescent="0.2">
      <c r="A478" s="117" t="s">
        <v>225</v>
      </c>
      <c r="B478" s="117"/>
      <c r="C478" s="117" t="s">
        <v>3632</v>
      </c>
      <c r="D478" s="304" t="s">
        <v>1304</v>
      </c>
      <c r="E478" s="305"/>
      <c r="F478" s="117" t="s">
        <v>1644</v>
      </c>
      <c r="G478" s="116">
        <v>1</v>
      </c>
      <c r="H478" s="108">
        <v>0</v>
      </c>
    </row>
    <row r="479" spans="1:8" x14ac:dyDescent="0.2">
      <c r="A479" s="117" t="s">
        <v>226</v>
      </c>
      <c r="B479" s="117"/>
      <c r="C479" s="117" t="s">
        <v>3631</v>
      </c>
      <c r="D479" s="304" t="s">
        <v>1305</v>
      </c>
      <c r="E479" s="305"/>
      <c r="F479" s="117" t="s">
        <v>1644</v>
      </c>
      <c r="G479" s="116">
        <v>1</v>
      </c>
      <c r="H479" s="108">
        <v>0</v>
      </c>
    </row>
    <row r="480" spans="1:8" x14ac:dyDescent="0.2">
      <c r="A480" s="117" t="s">
        <v>227</v>
      </c>
      <c r="B480" s="117"/>
      <c r="C480" s="117" t="s">
        <v>3630</v>
      </c>
      <c r="D480" s="304" t="s">
        <v>1306</v>
      </c>
      <c r="E480" s="305"/>
      <c r="F480" s="117" t="s">
        <v>1646</v>
      </c>
      <c r="G480" s="116">
        <v>20</v>
      </c>
      <c r="H480" s="108">
        <v>0</v>
      </c>
    </row>
    <row r="481" spans="1:8" x14ac:dyDescent="0.2">
      <c r="A481" s="117" t="s">
        <v>228</v>
      </c>
      <c r="B481" s="117"/>
      <c r="C481" s="117" t="s">
        <v>3629</v>
      </c>
      <c r="D481" s="304" t="s">
        <v>1286</v>
      </c>
      <c r="E481" s="305"/>
      <c r="F481" s="117" t="s">
        <v>1644</v>
      </c>
      <c r="G481" s="116">
        <v>4</v>
      </c>
      <c r="H481" s="108">
        <v>0</v>
      </c>
    </row>
    <row r="482" spans="1:8" x14ac:dyDescent="0.2">
      <c r="A482" s="117" t="s">
        <v>229</v>
      </c>
      <c r="B482" s="117"/>
      <c r="C482" s="117" t="s">
        <v>3628</v>
      </c>
      <c r="D482" s="304" t="s">
        <v>1307</v>
      </c>
      <c r="E482" s="305"/>
      <c r="F482" s="117" t="s">
        <v>1644</v>
      </c>
      <c r="G482" s="116">
        <v>2</v>
      </c>
      <c r="H482" s="108">
        <v>0</v>
      </c>
    </row>
    <row r="483" spans="1:8" x14ac:dyDescent="0.2">
      <c r="A483" s="117" t="s">
        <v>230</v>
      </c>
      <c r="B483" s="117"/>
      <c r="C483" s="117" t="s">
        <v>3627</v>
      </c>
      <c r="D483" s="304" t="s">
        <v>1308</v>
      </c>
      <c r="E483" s="305"/>
      <c r="F483" s="117" t="s">
        <v>1644</v>
      </c>
      <c r="G483" s="116">
        <v>2</v>
      </c>
      <c r="H483" s="108">
        <v>0</v>
      </c>
    </row>
    <row r="484" spans="1:8" x14ac:dyDescent="0.2">
      <c r="A484" s="117" t="s">
        <v>231</v>
      </c>
      <c r="B484" s="117"/>
      <c r="C484" s="117" t="s">
        <v>3626</v>
      </c>
      <c r="D484" s="304" t="s">
        <v>3625</v>
      </c>
      <c r="E484" s="305"/>
      <c r="F484" s="117" t="s">
        <v>1644</v>
      </c>
      <c r="G484" s="116">
        <v>2</v>
      </c>
      <c r="H484" s="108">
        <v>0</v>
      </c>
    </row>
    <row r="485" spans="1:8" x14ac:dyDescent="0.2">
      <c r="A485" s="117" t="s">
        <v>232</v>
      </c>
      <c r="B485" s="117"/>
      <c r="C485" s="117" t="s">
        <v>3624</v>
      </c>
      <c r="D485" s="304" t="s">
        <v>1310</v>
      </c>
      <c r="E485" s="305"/>
      <c r="F485" s="117" t="s">
        <v>1644</v>
      </c>
      <c r="G485" s="116">
        <v>2</v>
      </c>
      <c r="H485" s="108">
        <v>0</v>
      </c>
    </row>
    <row r="486" spans="1:8" x14ac:dyDescent="0.2">
      <c r="A486" s="117" t="s">
        <v>233</v>
      </c>
      <c r="B486" s="117"/>
      <c r="C486" s="117" t="s">
        <v>3623</v>
      </c>
      <c r="D486" s="304" t="s">
        <v>1311</v>
      </c>
      <c r="E486" s="305"/>
      <c r="F486" s="117" t="s">
        <v>1644</v>
      </c>
      <c r="G486" s="116">
        <v>2</v>
      </c>
      <c r="H486" s="108">
        <v>0</v>
      </c>
    </row>
    <row r="487" spans="1:8" x14ac:dyDescent="0.2">
      <c r="A487" s="117" t="s">
        <v>234</v>
      </c>
      <c r="B487" s="117"/>
      <c r="C487" s="117" t="s">
        <v>3622</v>
      </c>
      <c r="D487" s="304" t="s">
        <v>1312</v>
      </c>
      <c r="E487" s="305"/>
      <c r="F487" s="117" t="s">
        <v>1644</v>
      </c>
      <c r="G487" s="116">
        <v>2</v>
      </c>
      <c r="H487" s="108">
        <v>0</v>
      </c>
    </row>
    <row r="488" spans="1:8" x14ac:dyDescent="0.2">
      <c r="A488" s="117" t="s">
        <v>235</v>
      </c>
      <c r="B488" s="117"/>
      <c r="C488" s="117" t="s">
        <v>3621</v>
      </c>
      <c r="D488" s="304" t="s">
        <v>1313</v>
      </c>
      <c r="E488" s="305"/>
      <c r="F488" s="117" t="s">
        <v>1644</v>
      </c>
      <c r="G488" s="116">
        <v>2</v>
      </c>
      <c r="H488" s="108">
        <v>0</v>
      </c>
    </row>
    <row r="489" spans="1:8" x14ac:dyDescent="0.2">
      <c r="A489" s="117" t="s">
        <v>236</v>
      </c>
      <c r="B489" s="117"/>
      <c r="C489" s="117" t="s">
        <v>3620</v>
      </c>
      <c r="D489" s="304" t="s">
        <v>3619</v>
      </c>
      <c r="E489" s="305"/>
      <c r="F489" s="117" t="s">
        <v>1644</v>
      </c>
      <c r="G489" s="116">
        <v>1</v>
      </c>
      <c r="H489" s="108">
        <v>0</v>
      </c>
    </row>
    <row r="490" spans="1:8" x14ac:dyDescent="0.2">
      <c r="A490" s="117" t="s">
        <v>237</v>
      </c>
      <c r="B490" s="117"/>
      <c r="C490" s="117" t="s">
        <v>3618</v>
      </c>
      <c r="D490" s="304" t="s">
        <v>3617</v>
      </c>
      <c r="E490" s="305"/>
      <c r="F490" s="117" t="s">
        <v>1644</v>
      </c>
      <c r="G490" s="116">
        <v>1</v>
      </c>
      <c r="H490" s="108">
        <v>0</v>
      </c>
    </row>
    <row r="491" spans="1:8" x14ac:dyDescent="0.2">
      <c r="A491" s="117" t="s">
        <v>238</v>
      </c>
      <c r="B491" s="117"/>
      <c r="C491" s="117" t="s">
        <v>3616</v>
      </c>
      <c r="D491" s="304" t="s">
        <v>3615</v>
      </c>
      <c r="E491" s="305"/>
      <c r="F491" s="117" t="s">
        <v>1644</v>
      </c>
      <c r="G491" s="116">
        <v>1</v>
      </c>
      <c r="H491" s="108">
        <v>0</v>
      </c>
    </row>
    <row r="492" spans="1:8" x14ac:dyDescent="0.2">
      <c r="A492" s="117" t="s">
        <v>239</v>
      </c>
      <c r="B492" s="117"/>
      <c r="C492" s="117" t="s">
        <v>3614</v>
      </c>
      <c r="D492" s="304" t="s">
        <v>3613</v>
      </c>
      <c r="E492" s="305"/>
      <c r="F492" s="117" t="s">
        <v>1644</v>
      </c>
      <c r="G492" s="116">
        <v>1</v>
      </c>
      <c r="H492" s="108">
        <v>0</v>
      </c>
    </row>
    <row r="493" spans="1:8" x14ac:dyDescent="0.2">
      <c r="A493" s="117" t="s">
        <v>240</v>
      </c>
      <c r="B493" s="117"/>
      <c r="C493" s="117" t="s">
        <v>3612</v>
      </c>
      <c r="D493" s="304" t="s">
        <v>3611</v>
      </c>
      <c r="E493" s="305"/>
      <c r="F493" s="117" t="s">
        <v>1644</v>
      </c>
      <c r="G493" s="116">
        <v>2</v>
      </c>
      <c r="H493" s="108">
        <v>0</v>
      </c>
    </row>
    <row r="494" spans="1:8" x14ac:dyDescent="0.2">
      <c r="A494" s="117" t="s">
        <v>241</v>
      </c>
      <c r="B494" s="117"/>
      <c r="C494" s="117" t="s">
        <v>3610</v>
      </c>
      <c r="D494" s="304" t="s">
        <v>3609</v>
      </c>
      <c r="E494" s="305"/>
      <c r="F494" s="117" t="s">
        <v>1644</v>
      </c>
      <c r="G494" s="116">
        <v>1</v>
      </c>
      <c r="H494" s="108">
        <v>0</v>
      </c>
    </row>
    <row r="495" spans="1:8" x14ac:dyDescent="0.2">
      <c r="A495" s="117" t="s">
        <v>242</v>
      </c>
      <c r="B495" s="117"/>
      <c r="C495" s="117" t="s">
        <v>3608</v>
      </c>
      <c r="D495" s="304" t="s">
        <v>1316</v>
      </c>
      <c r="E495" s="305"/>
      <c r="F495" s="117" t="s">
        <v>1644</v>
      </c>
      <c r="G495" s="116">
        <v>5</v>
      </c>
      <c r="H495" s="108">
        <v>0</v>
      </c>
    </row>
    <row r="496" spans="1:8" x14ac:dyDescent="0.2">
      <c r="A496" s="117" t="s">
        <v>243</v>
      </c>
      <c r="B496" s="117"/>
      <c r="C496" s="117" t="s">
        <v>3607</v>
      </c>
      <c r="D496" s="304" t="s">
        <v>3606</v>
      </c>
      <c r="E496" s="305"/>
      <c r="F496" s="117" t="s">
        <v>1644</v>
      </c>
      <c r="G496" s="116">
        <v>2</v>
      </c>
      <c r="H496" s="108">
        <v>0</v>
      </c>
    </row>
    <row r="497" spans="1:8" x14ac:dyDescent="0.2">
      <c r="A497" s="117" t="s">
        <v>244</v>
      </c>
      <c r="B497" s="117"/>
      <c r="C497" s="117" t="s">
        <v>3605</v>
      </c>
      <c r="D497" s="304" t="s">
        <v>3604</v>
      </c>
      <c r="E497" s="305"/>
      <c r="F497" s="117" t="s">
        <v>1644</v>
      </c>
      <c r="G497" s="116">
        <v>3</v>
      </c>
      <c r="H497" s="108">
        <v>0</v>
      </c>
    </row>
    <row r="498" spans="1:8" x14ac:dyDescent="0.2">
      <c r="A498" s="117" t="s">
        <v>245</v>
      </c>
      <c r="B498" s="117"/>
      <c r="C498" s="117" t="s">
        <v>3603</v>
      </c>
      <c r="D498" s="304" t="s">
        <v>1317</v>
      </c>
      <c r="E498" s="305"/>
      <c r="F498" s="117" t="s">
        <v>1644</v>
      </c>
      <c r="G498" s="116">
        <v>2</v>
      </c>
      <c r="H498" s="108">
        <v>0</v>
      </c>
    </row>
    <row r="499" spans="1:8" x14ac:dyDescent="0.2">
      <c r="A499" s="117" t="s">
        <v>246</v>
      </c>
      <c r="B499" s="117"/>
      <c r="C499" s="117" t="s">
        <v>3602</v>
      </c>
      <c r="D499" s="304" t="s">
        <v>1319</v>
      </c>
      <c r="E499" s="305"/>
      <c r="F499" s="117" t="s">
        <v>1644</v>
      </c>
      <c r="G499" s="116">
        <v>26</v>
      </c>
      <c r="H499" s="108">
        <v>0</v>
      </c>
    </row>
    <row r="500" spans="1:8" x14ac:dyDescent="0.2">
      <c r="A500" s="117" t="s">
        <v>247</v>
      </c>
      <c r="B500" s="117"/>
      <c r="C500" s="117" t="s">
        <v>3601</v>
      </c>
      <c r="D500" s="304" t="s">
        <v>3600</v>
      </c>
      <c r="E500" s="305"/>
      <c r="F500" s="117" t="s">
        <v>1644</v>
      </c>
      <c r="G500" s="116">
        <v>6</v>
      </c>
      <c r="H500" s="108">
        <v>0</v>
      </c>
    </row>
    <row r="501" spans="1:8" x14ac:dyDescent="0.2">
      <c r="A501" s="117" t="s">
        <v>248</v>
      </c>
      <c r="B501" s="117"/>
      <c r="C501" s="117" t="s">
        <v>3599</v>
      </c>
      <c r="D501" s="304" t="s">
        <v>1320</v>
      </c>
      <c r="E501" s="305"/>
      <c r="F501" s="117" t="s">
        <v>1644</v>
      </c>
      <c r="G501" s="116">
        <v>18</v>
      </c>
      <c r="H501" s="108">
        <v>0</v>
      </c>
    </row>
    <row r="502" spans="1:8" x14ac:dyDescent="0.2">
      <c r="A502" s="117" t="s">
        <v>249</v>
      </c>
      <c r="B502" s="117"/>
      <c r="C502" s="117" t="s">
        <v>3598</v>
      </c>
      <c r="D502" s="304" t="s">
        <v>1321</v>
      </c>
      <c r="E502" s="305"/>
      <c r="F502" s="117" t="s">
        <v>1644</v>
      </c>
      <c r="G502" s="116">
        <v>1</v>
      </c>
      <c r="H502" s="108">
        <v>0</v>
      </c>
    </row>
    <row r="503" spans="1:8" x14ac:dyDescent="0.2">
      <c r="A503" s="117" t="s">
        <v>250</v>
      </c>
      <c r="B503" s="117"/>
      <c r="C503" s="117" t="s">
        <v>3597</v>
      </c>
      <c r="D503" s="304" t="s">
        <v>1322</v>
      </c>
      <c r="E503" s="305"/>
      <c r="F503" s="117" t="s">
        <v>1644</v>
      </c>
      <c r="G503" s="116">
        <v>5</v>
      </c>
      <c r="H503" s="108">
        <v>0</v>
      </c>
    </row>
    <row r="504" spans="1:8" x14ac:dyDescent="0.2">
      <c r="A504" s="117" t="s">
        <v>251</v>
      </c>
      <c r="B504" s="117"/>
      <c r="C504" s="117" t="s">
        <v>3596</v>
      </c>
      <c r="D504" s="304" t="s">
        <v>3595</v>
      </c>
      <c r="E504" s="305"/>
      <c r="F504" s="117" t="s">
        <v>1644</v>
      </c>
      <c r="G504" s="116">
        <v>2</v>
      </c>
      <c r="H504" s="108">
        <v>0</v>
      </c>
    </row>
    <row r="505" spans="1:8" x14ac:dyDescent="0.2">
      <c r="A505" s="117" t="s">
        <v>252</v>
      </c>
      <c r="B505" s="117"/>
      <c r="C505" s="117" t="s">
        <v>3594</v>
      </c>
      <c r="D505" s="304" t="s">
        <v>3593</v>
      </c>
      <c r="E505" s="305"/>
      <c r="F505" s="117" t="s">
        <v>1644</v>
      </c>
      <c r="G505" s="116">
        <v>1</v>
      </c>
      <c r="H505" s="108">
        <v>0</v>
      </c>
    </row>
    <row r="506" spans="1:8" x14ac:dyDescent="0.2">
      <c r="A506" s="117" t="s">
        <v>253</v>
      </c>
      <c r="B506" s="117"/>
      <c r="C506" s="117" t="s">
        <v>3592</v>
      </c>
      <c r="D506" s="304" t="s">
        <v>1324</v>
      </c>
      <c r="E506" s="305"/>
      <c r="F506" s="117" t="s">
        <v>1644</v>
      </c>
      <c r="G506" s="116">
        <v>5</v>
      </c>
      <c r="H506" s="108">
        <v>0</v>
      </c>
    </row>
    <row r="507" spans="1:8" x14ac:dyDescent="0.2">
      <c r="A507" s="117" t="s">
        <v>254</v>
      </c>
      <c r="B507" s="117"/>
      <c r="C507" s="117" t="s">
        <v>3591</v>
      </c>
      <c r="D507" s="304" t="s">
        <v>3590</v>
      </c>
      <c r="E507" s="305"/>
      <c r="F507" s="117" t="s">
        <v>1644</v>
      </c>
      <c r="G507" s="116">
        <v>2</v>
      </c>
      <c r="H507" s="108">
        <v>0</v>
      </c>
    </row>
    <row r="508" spans="1:8" x14ac:dyDescent="0.2">
      <c r="A508" s="117" t="s">
        <v>255</v>
      </c>
      <c r="B508" s="117"/>
      <c r="C508" s="117" t="s">
        <v>3589</v>
      </c>
      <c r="D508" s="304" t="s">
        <v>1325</v>
      </c>
      <c r="E508" s="305"/>
      <c r="F508" s="117" t="s">
        <v>1644</v>
      </c>
      <c r="G508" s="116">
        <v>2</v>
      </c>
      <c r="H508" s="108">
        <v>0</v>
      </c>
    </row>
    <row r="509" spans="1:8" x14ac:dyDescent="0.2">
      <c r="A509" s="117" t="s">
        <v>256</v>
      </c>
      <c r="B509" s="117"/>
      <c r="C509" s="117" t="s">
        <v>3588</v>
      </c>
      <c r="D509" s="304" t="s">
        <v>1297</v>
      </c>
      <c r="E509" s="305"/>
      <c r="F509" s="117" t="s">
        <v>1644</v>
      </c>
      <c r="G509" s="116">
        <v>11</v>
      </c>
      <c r="H509" s="108">
        <v>0</v>
      </c>
    </row>
    <row r="510" spans="1:8" x14ac:dyDescent="0.2">
      <c r="A510" s="117" t="s">
        <v>257</v>
      </c>
      <c r="B510" s="117"/>
      <c r="C510" s="117" t="s">
        <v>3587</v>
      </c>
      <c r="D510" s="304" t="s">
        <v>1326</v>
      </c>
      <c r="E510" s="305"/>
      <c r="F510" s="117" t="s">
        <v>1644</v>
      </c>
      <c r="G510" s="116">
        <v>12</v>
      </c>
      <c r="H510" s="108">
        <v>0</v>
      </c>
    </row>
    <row r="511" spans="1:8" x14ac:dyDescent="0.2">
      <c r="A511" s="117" t="s">
        <v>258</v>
      </c>
      <c r="B511" s="117"/>
      <c r="C511" s="117" t="s">
        <v>3586</v>
      </c>
      <c r="D511" s="304" t="s">
        <v>1327</v>
      </c>
      <c r="E511" s="305"/>
      <c r="F511" s="117" t="s">
        <v>1644</v>
      </c>
      <c r="G511" s="116">
        <v>22</v>
      </c>
      <c r="H511" s="108">
        <v>0</v>
      </c>
    </row>
    <row r="512" spans="1:8" x14ac:dyDescent="0.2">
      <c r="A512" s="117" t="s">
        <v>259</v>
      </c>
      <c r="B512" s="117"/>
      <c r="C512" s="117" t="s">
        <v>3585</v>
      </c>
      <c r="D512" s="304" t="s">
        <v>1294</v>
      </c>
      <c r="E512" s="305"/>
      <c r="F512" s="117" t="s">
        <v>1644</v>
      </c>
      <c r="G512" s="116">
        <v>3</v>
      </c>
      <c r="H512" s="108">
        <v>0</v>
      </c>
    </row>
    <row r="513" spans="1:8" x14ac:dyDescent="0.2">
      <c r="A513" s="117" t="s">
        <v>260</v>
      </c>
      <c r="B513" s="117"/>
      <c r="C513" s="117" t="s">
        <v>3584</v>
      </c>
      <c r="D513" s="304" t="s">
        <v>1295</v>
      </c>
      <c r="E513" s="305"/>
      <c r="F513" s="117" t="s">
        <v>1644</v>
      </c>
      <c r="G513" s="116">
        <v>3</v>
      </c>
      <c r="H513" s="108">
        <v>0</v>
      </c>
    </row>
    <row r="514" spans="1:8" x14ac:dyDescent="0.2">
      <c r="A514" s="117" t="s">
        <v>261</v>
      </c>
      <c r="B514" s="117"/>
      <c r="C514" s="117" t="s">
        <v>3583</v>
      </c>
      <c r="D514" s="304" t="s">
        <v>1328</v>
      </c>
      <c r="E514" s="305"/>
      <c r="F514" s="117" t="s">
        <v>1644</v>
      </c>
      <c r="G514" s="116">
        <v>26</v>
      </c>
      <c r="H514" s="108">
        <v>0</v>
      </c>
    </row>
    <row r="515" spans="1:8" x14ac:dyDescent="0.2">
      <c r="A515" s="117" t="s">
        <v>262</v>
      </c>
      <c r="B515" s="117"/>
      <c r="C515" s="117" t="s">
        <v>3582</v>
      </c>
      <c r="D515" s="304" t="s">
        <v>1329</v>
      </c>
      <c r="E515" s="305"/>
      <c r="F515" s="117" t="s">
        <v>1644</v>
      </c>
      <c r="G515" s="116">
        <v>1</v>
      </c>
      <c r="H515" s="108">
        <v>0</v>
      </c>
    </row>
    <row r="516" spans="1:8" x14ac:dyDescent="0.2">
      <c r="A516" s="117" t="s">
        <v>263</v>
      </c>
      <c r="B516" s="117"/>
      <c r="C516" s="117" t="s">
        <v>3581</v>
      </c>
      <c r="D516" s="304" t="s">
        <v>1330</v>
      </c>
      <c r="E516" s="305"/>
      <c r="F516" s="117" t="s">
        <v>1646</v>
      </c>
      <c r="G516" s="116">
        <v>110</v>
      </c>
      <c r="H516" s="108">
        <v>0</v>
      </c>
    </row>
    <row r="517" spans="1:8" x14ac:dyDescent="0.2">
      <c r="A517" s="117" t="s">
        <v>264</v>
      </c>
      <c r="B517" s="117"/>
      <c r="C517" s="117" t="s">
        <v>3580</v>
      </c>
      <c r="D517" s="304" t="s">
        <v>3579</v>
      </c>
      <c r="E517" s="305"/>
      <c r="F517" s="117" t="s">
        <v>1646</v>
      </c>
      <c r="G517" s="116">
        <v>2</v>
      </c>
      <c r="H517" s="108">
        <v>0</v>
      </c>
    </row>
    <row r="518" spans="1:8" x14ac:dyDescent="0.2">
      <c r="A518" s="117" t="s">
        <v>265</v>
      </c>
      <c r="B518" s="117"/>
      <c r="C518" s="117" t="s">
        <v>3578</v>
      </c>
      <c r="D518" s="304" t="s">
        <v>1331</v>
      </c>
      <c r="E518" s="305"/>
      <c r="F518" s="117" t="s">
        <v>1646</v>
      </c>
      <c r="G518" s="116">
        <v>50</v>
      </c>
      <c r="H518" s="108">
        <v>0</v>
      </c>
    </row>
    <row r="519" spans="1:8" x14ac:dyDescent="0.2">
      <c r="A519" s="117" t="s">
        <v>266</v>
      </c>
      <c r="B519" s="117"/>
      <c r="C519" s="117" t="s">
        <v>3577</v>
      </c>
      <c r="D519" s="304" t="s">
        <v>1332</v>
      </c>
      <c r="E519" s="305"/>
      <c r="F519" s="117" t="s">
        <v>1646</v>
      </c>
      <c r="G519" s="116">
        <v>5</v>
      </c>
      <c r="H519" s="108">
        <v>0</v>
      </c>
    </row>
    <row r="520" spans="1:8" x14ac:dyDescent="0.2">
      <c r="A520" s="117" t="s">
        <v>267</v>
      </c>
      <c r="B520" s="117"/>
      <c r="C520" s="117" t="s">
        <v>3576</v>
      </c>
      <c r="D520" s="304" t="s">
        <v>1333</v>
      </c>
      <c r="E520" s="305"/>
      <c r="F520" s="117" t="s">
        <v>1646</v>
      </c>
      <c r="G520" s="116">
        <v>110</v>
      </c>
      <c r="H520" s="108">
        <v>0</v>
      </c>
    </row>
    <row r="521" spans="1:8" x14ac:dyDescent="0.2">
      <c r="A521" s="117" t="s">
        <v>268</v>
      </c>
      <c r="B521" s="117"/>
      <c r="C521" s="117" t="s">
        <v>3575</v>
      </c>
      <c r="D521" s="304" t="s">
        <v>3574</v>
      </c>
      <c r="E521" s="305"/>
      <c r="F521" s="117" t="s">
        <v>1646</v>
      </c>
      <c r="G521" s="116">
        <v>2</v>
      </c>
      <c r="H521" s="108">
        <v>0</v>
      </c>
    </row>
    <row r="522" spans="1:8" x14ac:dyDescent="0.2">
      <c r="A522" s="117" t="s">
        <v>269</v>
      </c>
      <c r="B522" s="117"/>
      <c r="C522" s="117" t="s">
        <v>3573</v>
      </c>
      <c r="D522" s="304" t="s">
        <v>1334</v>
      </c>
      <c r="E522" s="305"/>
      <c r="F522" s="117" t="s">
        <v>1646</v>
      </c>
      <c r="G522" s="116">
        <v>50</v>
      </c>
      <c r="H522" s="108">
        <v>0</v>
      </c>
    </row>
    <row r="523" spans="1:8" x14ac:dyDescent="0.2">
      <c r="A523" s="117" t="s">
        <v>270</v>
      </c>
      <c r="B523" s="117"/>
      <c r="C523" s="117" t="s">
        <v>3572</v>
      </c>
      <c r="D523" s="304" t="s">
        <v>1335</v>
      </c>
      <c r="E523" s="305"/>
      <c r="F523" s="117" t="s">
        <v>1645</v>
      </c>
      <c r="G523" s="116">
        <v>3.5</v>
      </c>
      <c r="H523" s="108">
        <v>0</v>
      </c>
    </row>
    <row r="524" spans="1:8" x14ac:dyDescent="0.2">
      <c r="A524" s="117" t="s">
        <v>271</v>
      </c>
      <c r="B524" s="117"/>
      <c r="C524" s="117" t="s">
        <v>3571</v>
      </c>
      <c r="D524" s="304" t="s">
        <v>3099</v>
      </c>
      <c r="E524" s="305"/>
      <c r="F524" s="117" t="s">
        <v>1644</v>
      </c>
      <c r="G524" s="116">
        <v>1</v>
      </c>
      <c r="H524" s="108">
        <v>0</v>
      </c>
    </row>
    <row r="525" spans="1:8" x14ac:dyDescent="0.2">
      <c r="A525" s="117" t="s">
        <v>272</v>
      </c>
      <c r="B525" s="117"/>
      <c r="C525" s="117" t="s">
        <v>3570</v>
      </c>
      <c r="D525" s="304" t="s">
        <v>1336</v>
      </c>
      <c r="E525" s="305"/>
      <c r="F525" s="117" t="s">
        <v>1644</v>
      </c>
      <c r="G525" s="116">
        <v>2</v>
      </c>
      <c r="H525" s="108">
        <v>0</v>
      </c>
    </row>
    <row r="526" spans="1:8" x14ac:dyDescent="0.2">
      <c r="A526" s="117" t="s">
        <v>273</v>
      </c>
      <c r="B526" s="117"/>
      <c r="C526" s="117" t="s">
        <v>3569</v>
      </c>
      <c r="D526" s="304" t="s">
        <v>1337</v>
      </c>
      <c r="E526" s="305"/>
      <c r="F526" s="117" t="s">
        <v>1644</v>
      </c>
      <c r="G526" s="116">
        <v>1</v>
      </c>
      <c r="H526" s="108">
        <v>0</v>
      </c>
    </row>
    <row r="527" spans="1:8" x14ac:dyDescent="0.2">
      <c r="A527" s="117" t="s">
        <v>274</v>
      </c>
      <c r="B527" s="117"/>
      <c r="C527" s="117" t="s">
        <v>3568</v>
      </c>
      <c r="D527" s="304" t="s">
        <v>1338</v>
      </c>
      <c r="E527" s="305"/>
      <c r="F527" s="117" t="s">
        <v>1644</v>
      </c>
      <c r="G527" s="116">
        <v>2</v>
      </c>
      <c r="H527" s="108">
        <v>0</v>
      </c>
    </row>
    <row r="528" spans="1:8" x14ac:dyDescent="0.2">
      <c r="A528" s="117" t="s">
        <v>275</v>
      </c>
      <c r="B528" s="117"/>
      <c r="C528" s="117" t="s">
        <v>3567</v>
      </c>
      <c r="D528" s="304" t="s">
        <v>1339</v>
      </c>
      <c r="E528" s="305"/>
      <c r="F528" s="117" t="s">
        <v>1644</v>
      </c>
      <c r="G528" s="116">
        <v>1</v>
      </c>
      <c r="H528" s="108">
        <v>0</v>
      </c>
    </row>
    <row r="529" spans="1:8" x14ac:dyDescent="0.2">
      <c r="A529" s="117" t="s">
        <v>276</v>
      </c>
      <c r="B529" s="117"/>
      <c r="C529" s="117" t="s">
        <v>3566</v>
      </c>
      <c r="D529" s="304" t="s">
        <v>1341</v>
      </c>
      <c r="E529" s="305"/>
      <c r="F529" s="117" t="s">
        <v>1644</v>
      </c>
      <c r="G529" s="116">
        <v>2</v>
      </c>
      <c r="H529" s="108">
        <v>0</v>
      </c>
    </row>
    <row r="530" spans="1:8" x14ac:dyDescent="0.2">
      <c r="A530" s="117" t="s">
        <v>277</v>
      </c>
      <c r="B530" s="117"/>
      <c r="C530" s="117" t="s">
        <v>3565</v>
      </c>
      <c r="D530" s="304" t="s">
        <v>3564</v>
      </c>
      <c r="E530" s="305"/>
      <c r="F530" s="117" t="s">
        <v>1646</v>
      </c>
      <c r="G530" s="116">
        <v>10</v>
      </c>
      <c r="H530" s="108">
        <v>0</v>
      </c>
    </row>
    <row r="531" spans="1:8" x14ac:dyDescent="0.2">
      <c r="A531" s="117" t="s">
        <v>278</v>
      </c>
      <c r="B531" s="117"/>
      <c r="C531" s="117" t="s">
        <v>3563</v>
      </c>
      <c r="D531" s="304" t="s">
        <v>1343</v>
      </c>
      <c r="E531" s="305"/>
      <c r="F531" s="117" t="s">
        <v>1646</v>
      </c>
      <c r="G531" s="116">
        <v>9</v>
      </c>
      <c r="H531" s="108">
        <v>0</v>
      </c>
    </row>
    <row r="532" spans="1:8" x14ac:dyDescent="0.2">
      <c r="A532" s="117" t="s">
        <v>279</v>
      </c>
      <c r="B532" s="117"/>
      <c r="C532" s="117" t="s">
        <v>3562</v>
      </c>
      <c r="D532" s="304" t="s">
        <v>1344</v>
      </c>
      <c r="E532" s="305"/>
      <c r="F532" s="117" t="s">
        <v>1646</v>
      </c>
      <c r="G532" s="116">
        <v>80</v>
      </c>
      <c r="H532" s="108">
        <v>0</v>
      </c>
    </row>
    <row r="533" spans="1:8" x14ac:dyDescent="0.2">
      <c r="A533" s="117" t="s">
        <v>280</v>
      </c>
      <c r="B533" s="117"/>
      <c r="C533" s="117" t="s">
        <v>3561</v>
      </c>
      <c r="D533" s="304" t="s">
        <v>3560</v>
      </c>
      <c r="E533" s="305"/>
      <c r="F533" s="117" t="s">
        <v>1644</v>
      </c>
      <c r="G533" s="116">
        <v>1</v>
      </c>
      <c r="H533" s="108">
        <v>0</v>
      </c>
    </row>
    <row r="534" spans="1:8" x14ac:dyDescent="0.2">
      <c r="A534" s="117" t="s">
        <v>281</v>
      </c>
      <c r="B534" s="117"/>
      <c r="C534" s="117" t="s">
        <v>3559</v>
      </c>
      <c r="D534" s="304" t="s">
        <v>1346</v>
      </c>
      <c r="E534" s="305"/>
      <c r="F534" s="117" t="s">
        <v>1644</v>
      </c>
      <c r="G534" s="116">
        <v>1</v>
      </c>
      <c r="H534" s="108">
        <v>0</v>
      </c>
    </row>
    <row r="535" spans="1:8" x14ac:dyDescent="0.2">
      <c r="A535" s="117" t="s">
        <v>282</v>
      </c>
      <c r="B535" s="117"/>
      <c r="C535" s="117" t="s">
        <v>3558</v>
      </c>
      <c r="D535" s="304" t="s">
        <v>3557</v>
      </c>
      <c r="E535" s="305"/>
      <c r="F535" s="117" t="s">
        <v>1644</v>
      </c>
      <c r="G535" s="116">
        <v>1</v>
      </c>
      <c r="H535" s="108">
        <v>0</v>
      </c>
    </row>
    <row r="536" spans="1:8" x14ac:dyDescent="0.2">
      <c r="A536" s="117" t="s">
        <v>283</v>
      </c>
      <c r="B536" s="117"/>
      <c r="C536" s="117" t="s">
        <v>3556</v>
      </c>
      <c r="D536" s="304" t="s">
        <v>1253</v>
      </c>
      <c r="E536" s="305"/>
      <c r="F536" s="117" t="s">
        <v>1644</v>
      </c>
      <c r="G536" s="116">
        <v>1</v>
      </c>
      <c r="H536" s="108">
        <v>0</v>
      </c>
    </row>
    <row r="537" spans="1:8" x14ac:dyDescent="0.2">
      <c r="A537" s="117" t="s">
        <v>284</v>
      </c>
      <c r="B537" s="117"/>
      <c r="C537" s="117" t="s">
        <v>3555</v>
      </c>
      <c r="D537" s="304" t="s">
        <v>1347</v>
      </c>
      <c r="E537" s="305"/>
      <c r="F537" s="117" t="s">
        <v>1646</v>
      </c>
      <c r="G537" s="116">
        <v>182</v>
      </c>
      <c r="H537" s="108">
        <v>0</v>
      </c>
    </row>
    <row r="538" spans="1:8" x14ac:dyDescent="0.2">
      <c r="A538" s="117" t="s">
        <v>285</v>
      </c>
      <c r="B538" s="117"/>
      <c r="C538" s="117" t="s">
        <v>3554</v>
      </c>
      <c r="D538" s="304" t="s">
        <v>1348</v>
      </c>
      <c r="E538" s="305"/>
      <c r="F538" s="117" t="s">
        <v>1644</v>
      </c>
      <c r="G538" s="116">
        <v>1</v>
      </c>
      <c r="H538" s="108">
        <v>0</v>
      </c>
    </row>
    <row r="539" spans="1:8" x14ac:dyDescent="0.2">
      <c r="A539" s="117" t="s">
        <v>286</v>
      </c>
      <c r="B539" s="117"/>
      <c r="C539" s="117" t="s">
        <v>3553</v>
      </c>
      <c r="D539" s="304" t="s">
        <v>1349</v>
      </c>
      <c r="E539" s="305"/>
      <c r="F539" s="117" t="s">
        <v>1644</v>
      </c>
      <c r="G539" s="116">
        <v>2</v>
      </c>
      <c r="H539" s="108">
        <v>0</v>
      </c>
    </row>
    <row r="540" spans="1:8" x14ac:dyDescent="0.2">
      <c r="A540" s="117" t="s">
        <v>287</v>
      </c>
      <c r="B540" s="117"/>
      <c r="C540" s="117" t="s">
        <v>3552</v>
      </c>
      <c r="D540" s="304" t="s">
        <v>1350</v>
      </c>
      <c r="E540" s="305"/>
      <c r="F540" s="117" t="s">
        <v>1644</v>
      </c>
      <c r="G540" s="116">
        <v>1</v>
      </c>
      <c r="H540" s="108">
        <v>0</v>
      </c>
    </row>
    <row r="541" spans="1:8" x14ac:dyDescent="0.2">
      <c r="A541" s="117" t="s">
        <v>288</v>
      </c>
      <c r="B541" s="117"/>
      <c r="C541" s="117" t="s">
        <v>3551</v>
      </c>
      <c r="D541" s="304" t="s">
        <v>1351</v>
      </c>
      <c r="E541" s="305"/>
      <c r="F541" s="117" t="s">
        <v>1644</v>
      </c>
      <c r="G541" s="116">
        <v>1</v>
      </c>
      <c r="H541" s="108">
        <v>0</v>
      </c>
    </row>
    <row r="542" spans="1:8" x14ac:dyDescent="0.2">
      <c r="A542" s="117" t="s">
        <v>289</v>
      </c>
      <c r="B542" s="117"/>
      <c r="C542" s="117" t="s">
        <v>3550</v>
      </c>
      <c r="D542" s="304" t="s">
        <v>1352</v>
      </c>
      <c r="E542" s="305"/>
      <c r="F542" s="117" t="s">
        <v>1644</v>
      </c>
      <c r="G542" s="116">
        <v>16</v>
      </c>
      <c r="H542" s="108">
        <v>0</v>
      </c>
    </row>
    <row r="543" spans="1:8" x14ac:dyDescent="0.2">
      <c r="A543" s="117" t="s">
        <v>290</v>
      </c>
      <c r="B543" s="117"/>
      <c r="C543" s="117" t="s">
        <v>3549</v>
      </c>
      <c r="D543" s="304" t="s">
        <v>1353</v>
      </c>
      <c r="E543" s="305"/>
      <c r="F543" s="117" t="s">
        <v>1644</v>
      </c>
      <c r="G543" s="116">
        <v>1</v>
      </c>
      <c r="H543" s="108">
        <v>0</v>
      </c>
    </row>
    <row r="544" spans="1:8" x14ac:dyDescent="0.2">
      <c r="A544" s="117" t="s">
        <v>291</v>
      </c>
      <c r="B544" s="117"/>
      <c r="C544" s="117" t="s">
        <v>3548</v>
      </c>
      <c r="D544" s="304" t="s">
        <v>1354</v>
      </c>
      <c r="E544" s="305"/>
      <c r="F544" s="117" t="s">
        <v>1644</v>
      </c>
      <c r="G544" s="116">
        <v>1</v>
      </c>
      <c r="H544" s="108">
        <v>0</v>
      </c>
    </row>
    <row r="545" spans="1:8" x14ac:dyDescent="0.2">
      <c r="A545" s="120"/>
      <c r="B545" s="120"/>
      <c r="C545" s="120" t="s">
        <v>772</v>
      </c>
      <c r="D545" s="306" t="s">
        <v>1355</v>
      </c>
      <c r="E545" s="307"/>
      <c r="F545" s="120"/>
      <c r="G545" s="142"/>
      <c r="H545" s="109"/>
    </row>
    <row r="546" spans="1:8" x14ac:dyDescent="0.2">
      <c r="A546" s="117" t="s">
        <v>292</v>
      </c>
      <c r="B546" s="117"/>
      <c r="C546" s="117" t="s">
        <v>3547</v>
      </c>
      <c r="D546" s="304" t="s">
        <v>1356</v>
      </c>
      <c r="E546" s="305"/>
      <c r="F546" s="117" t="s">
        <v>1644</v>
      </c>
      <c r="G546" s="116">
        <v>1</v>
      </c>
      <c r="H546" s="108">
        <v>0</v>
      </c>
    </row>
    <row r="547" spans="1:8" x14ac:dyDescent="0.2">
      <c r="A547" s="117" t="s">
        <v>293</v>
      </c>
      <c r="B547" s="117"/>
      <c r="C547" s="117" t="s">
        <v>3546</v>
      </c>
      <c r="D547" s="304" t="s">
        <v>1357</v>
      </c>
      <c r="E547" s="305"/>
      <c r="F547" s="117" t="s">
        <v>1644</v>
      </c>
      <c r="G547" s="116">
        <v>1</v>
      </c>
      <c r="H547" s="108">
        <v>0</v>
      </c>
    </row>
    <row r="548" spans="1:8" x14ac:dyDescent="0.2">
      <c r="A548" s="117" t="s">
        <v>294</v>
      </c>
      <c r="B548" s="117"/>
      <c r="C548" s="117" t="s">
        <v>3545</v>
      </c>
      <c r="D548" s="304" t="s">
        <v>1358</v>
      </c>
      <c r="E548" s="305"/>
      <c r="F548" s="117" t="s">
        <v>1644</v>
      </c>
      <c r="G548" s="116">
        <v>1</v>
      </c>
      <c r="H548" s="108">
        <v>0</v>
      </c>
    </row>
    <row r="549" spans="1:8" x14ac:dyDescent="0.2">
      <c r="A549" s="117" t="s">
        <v>295</v>
      </c>
      <c r="B549" s="117"/>
      <c r="C549" s="117" t="s">
        <v>3544</v>
      </c>
      <c r="D549" s="304" t="s">
        <v>1359</v>
      </c>
      <c r="E549" s="305"/>
      <c r="F549" s="117" t="s">
        <v>1644</v>
      </c>
      <c r="G549" s="116">
        <v>1</v>
      </c>
      <c r="H549" s="108">
        <v>0</v>
      </c>
    </row>
    <row r="550" spans="1:8" x14ac:dyDescent="0.2">
      <c r="A550" s="117" t="s">
        <v>296</v>
      </c>
      <c r="B550" s="117"/>
      <c r="C550" s="117" t="s">
        <v>3543</v>
      </c>
      <c r="D550" s="304" t="s">
        <v>3542</v>
      </c>
      <c r="E550" s="305"/>
      <c r="F550" s="117" t="s">
        <v>1644</v>
      </c>
      <c r="G550" s="116">
        <v>1</v>
      </c>
      <c r="H550" s="108">
        <v>0</v>
      </c>
    </row>
    <row r="551" spans="1:8" x14ac:dyDescent="0.2">
      <c r="A551" s="117" t="s">
        <v>297</v>
      </c>
      <c r="B551" s="117"/>
      <c r="C551" s="117" t="s">
        <v>3541</v>
      </c>
      <c r="D551" s="304" t="s">
        <v>1361</v>
      </c>
      <c r="E551" s="305"/>
      <c r="F551" s="117" t="s">
        <v>1644</v>
      </c>
      <c r="G551" s="116">
        <v>1</v>
      </c>
      <c r="H551" s="108">
        <v>0</v>
      </c>
    </row>
    <row r="552" spans="1:8" x14ac:dyDescent="0.2">
      <c r="A552" s="117" t="s">
        <v>298</v>
      </c>
      <c r="B552" s="117"/>
      <c r="C552" s="117" t="s">
        <v>3540</v>
      </c>
      <c r="D552" s="304" t="s">
        <v>3539</v>
      </c>
      <c r="E552" s="305"/>
      <c r="F552" s="117" t="s">
        <v>1644</v>
      </c>
      <c r="G552" s="116">
        <v>1</v>
      </c>
      <c r="H552" s="108">
        <v>0</v>
      </c>
    </row>
    <row r="553" spans="1:8" x14ac:dyDescent="0.2">
      <c r="A553" s="117" t="s">
        <v>299</v>
      </c>
      <c r="B553" s="117"/>
      <c r="C553" s="117" t="s">
        <v>3538</v>
      </c>
      <c r="D553" s="304" t="s">
        <v>1363</v>
      </c>
      <c r="E553" s="305"/>
      <c r="F553" s="117" t="s">
        <v>1644</v>
      </c>
      <c r="G553" s="116">
        <v>1</v>
      </c>
      <c r="H553" s="108">
        <v>0</v>
      </c>
    </row>
    <row r="554" spans="1:8" x14ac:dyDescent="0.2">
      <c r="A554" s="117" t="s">
        <v>300</v>
      </c>
      <c r="B554" s="117"/>
      <c r="C554" s="117" t="s">
        <v>3537</v>
      </c>
      <c r="D554" s="304" t="s">
        <v>1364</v>
      </c>
      <c r="E554" s="305"/>
      <c r="F554" s="117" t="s">
        <v>1644</v>
      </c>
      <c r="G554" s="116">
        <v>2</v>
      </c>
      <c r="H554" s="108">
        <v>0</v>
      </c>
    </row>
    <row r="555" spans="1:8" x14ac:dyDescent="0.2">
      <c r="A555" s="117" t="s">
        <v>301</v>
      </c>
      <c r="B555" s="117"/>
      <c r="C555" s="117" t="s">
        <v>3536</v>
      </c>
      <c r="D555" s="304" t="s">
        <v>1365</v>
      </c>
      <c r="E555" s="305"/>
      <c r="F555" s="117" t="s">
        <v>1644</v>
      </c>
      <c r="G555" s="116">
        <v>1</v>
      </c>
      <c r="H555" s="108">
        <v>0</v>
      </c>
    </row>
    <row r="556" spans="1:8" x14ac:dyDescent="0.2">
      <c r="A556" s="117" t="s">
        <v>302</v>
      </c>
      <c r="B556" s="117"/>
      <c r="C556" s="117" t="s">
        <v>3535</v>
      </c>
      <c r="D556" s="304" t="s">
        <v>1366</v>
      </c>
      <c r="E556" s="305"/>
      <c r="F556" s="117" t="s">
        <v>1644</v>
      </c>
      <c r="G556" s="116">
        <v>1</v>
      </c>
      <c r="H556" s="108">
        <v>0</v>
      </c>
    </row>
    <row r="557" spans="1:8" x14ac:dyDescent="0.2">
      <c r="A557" s="117" t="s">
        <v>303</v>
      </c>
      <c r="B557" s="117"/>
      <c r="C557" s="117" t="s">
        <v>3534</v>
      </c>
      <c r="D557" s="304" t="s">
        <v>1367</v>
      </c>
      <c r="E557" s="305"/>
      <c r="F557" s="117" t="s">
        <v>1644</v>
      </c>
      <c r="G557" s="116">
        <v>1</v>
      </c>
      <c r="H557" s="108">
        <v>0</v>
      </c>
    </row>
    <row r="558" spans="1:8" x14ac:dyDescent="0.2">
      <c r="A558" s="117" t="s">
        <v>304</v>
      </c>
      <c r="B558" s="117"/>
      <c r="C558" s="117" t="s">
        <v>3533</v>
      </c>
      <c r="D558" s="304" t="s">
        <v>1368</v>
      </c>
      <c r="E558" s="305"/>
      <c r="F558" s="117" t="s">
        <v>1644</v>
      </c>
      <c r="G558" s="116">
        <v>5</v>
      </c>
      <c r="H558" s="108">
        <v>0</v>
      </c>
    </row>
    <row r="559" spans="1:8" x14ac:dyDescent="0.2">
      <c r="A559" s="117" t="s">
        <v>305</v>
      </c>
      <c r="B559" s="117"/>
      <c r="C559" s="117" t="s">
        <v>3532</v>
      </c>
      <c r="D559" s="304" t="s">
        <v>1369</v>
      </c>
      <c r="E559" s="305"/>
      <c r="F559" s="117" t="s">
        <v>1644</v>
      </c>
      <c r="G559" s="116">
        <v>2</v>
      </c>
      <c r="H559" s="108">
        <v>0</v>
      </c>
    </row>
    <row r="560" spans="1:8" x14ac:dyDescent="0.2">
      <c r="A560" s="117" t="s">
        <v>306</v>
      </c>
      <c r="B560" s="117"/>
      <c r="C560" s="117" t="s">
        <v>3531</v>
      </c>
      <c r="D560" s="304" t="s">
        <v>1327</v>
      </c>
      <c r="E560" s="305"/>
      <c r="F560" s="117" t="s">
        <v>1644</v>
      </c>
      <c r="G560" s="116">
        <v>1</v>
      </c>
      <c r="H560" s="108">
        <v>0</v>
      </c>
    </row>
    <row r="561" spans="1:8" x14ac:dyDescent="0.2">
      <c r="A561" s="117" t="s">
        <v>307</v>
      </c>
      <c r="B561" s="117"/>
      <c r="C561" s="117" t="s">
        <v>3530</v>
      </c>
      <c r="D561" s="304" t="s">
        <v>1372</v>
      </c>
      <c r="E561" s="305"/>
      <c r="F561" s="117" t="s">
        <v>1646</v>
      </c>
      <c r="G561" s="116">
        <v>2</v>
      </c>
      <c r="H561" s="108">
        <v>0</v>
      </c>
    </row>
    <row r="562" spans="1:8" x14ac:dyDescent="0.2">
      <c r="A562" s="117" t="s">
        <v>308</v>
      </c>
      <c r="B562" s="117"/>
      <c r="C562" s="117" t="s">
        <v>3529</v>
      </c>
      <c r="D562" s="304" t="s">
        <v>1373</v>
      </c>
      <c r="E562" s="305"/>
      <c r="F562" s="117" t="s">
        <v>1646</v>
      </c>
      <c r="G562" s="116">
        <v>6</v>
      </c>
      <c r="H562" s="108">
        <v>0</v>
      </c>
    </row>
    <row r="563" spans="1:8" x14ac:dyDescent="0.2">
      <c r="A563" s="117" t="s">
        <v>309</v>
      </c>
      <c r="B563" s="117"/>
      <c r="C563" s="117" t="s">
        <v>3528</v>
      </c>
      <c r="D563" s="304" t="s">
        <v>1374</v>
      </c>
      <c r="E563" s="305"/>
      <c r="F563" s="117" t="s">
        <v>1646</v>
      </c>
      <c r="G563" s="116">
        <v>2</v>
      </c>
      <c r="H563" s="108">
        <v>0</v>
      </c>
    </row>
    <row r="564" spans="1:8" x14ac:dyDescent="0.2">
      <c r="A564" s="117" t="s">
        <v>310</v>
      </c>
      <c r="B564" s="117"/>
      <c r="C564" s="117" t="s">
        <v>3527</v>
      </c>
      <c r="D564" s="304" t="s">
        <v>1375</v>
      </c>
      <c r="E564" s="305"/>
      <c r="F564" s="117" t="s">
        <v>1646</v>
      </c>
      <c r="G564" s="116">
        <v>2</v>
      </c>
      <c r="H564" s="108">
        <v>0</v>
      </c>
    </row>
    <row r="565" spans="1:8" x14ac:dyDescent="0.2">
      <c r="A565" s="117" t="s">
        <v>311</v>
      </c>
      <c r="B565" s="117"/>
      <c r="C565" s="117" t="s">
        <v>3526</v>
      </c>
      <c r="D565" s="304" t="s">
        <v>1376</v>
      </c>
      <c r="E565" s="305"/>
      <c r="F565" s="117" t="s">
        <v>1646</v>
      </c>
      <c r="G565" s="116">
        <v>12</v>
      </c>
      <c r="H565" s="108">
        <v>0</v>
      </c>
    </row>
    <row r="566" spans="1:8" x14ac:dyDescent="0.2">
      <c r="A566" s="117" t="s">
        <v>312</v>
      </c>
      <c r="B566" s="117"/>
      <c r="C566" s="117" t="s">
        <v>3525</v>
      </c>
      <c r="D566" s="304" t="s">
        <v>1377</v>
      </c>
      <c r="E566" s="305"/>
      <c r="F566" s="117" t="s">
        <v>1646</v>
      </c>
      <c r="G566" s="116">
        <v>4</v>
      </c>
      <c r="H566" s="108">
        <v>0</v>
      </c>
    </row>
    <row r="567" spans="1:8" x14ac:dyDescent="0.2">
      <c r="A567" s="117" t="s">
        <v>313</v>
      </c>
      <c r="B567" s="117"/>
      <c r="C567" s="117" t="s">
        <v>3524</v>
      </c>
      <c r="D567" s="304" t="s">
        <v>1378</v>
      </c>
      <c r="E567" s="305"/>
      <c r="F567" s="117" t="s">
        <v>1646</v>
      </c>
      <c r="G567" s="116">
        <v>2</v>
      </c>
      <c r="H567" s="108">
        <v>0</v>
      </c>
    </row>
    <row r="568" spans="1:8" x14ac:dyDescent="0.2">
      <c r="A568" s="120"/>
      <c r="B568" s="120"/>
      <c r="C568" s="120" t="s">
        <v>798</v>
      </c>
      <c r="D568" s="306" t="s">
        <v>1379</v>
      </c>
      <c r="E568" s="307"/>
      <c r="F568" s="120"/>
      <c r="G568" s="142"/>
      <c r="H568" s="109"/>
    </row>
    <row r="569" spans="1:8" x14ac:dyDescent="0.2">
      <c r="A569" s="117" t="s">
        <v>314</v>
      </c>
      <c r="B569" s="117"/>
      <c r="C569" s="117" t="s">
        <v>3523</v>
      </c>
      <c r="D569" s="304" t="s">
        <v>1380</v>
      </c>
      <c r="E569" s="305"/>
      <c r="F569" s="117" t="s">
        <v>1646</v>
      </c>
      <c r="G569" s="116">
        <v>1</v>
      </c>
      <c r="H569" s="108">
        <v>0</v>
      </c>
    </row>
    <row r="570" spans="1:8" x14ac:dyDescent="0.2">
      <c r="A570" s="117" t="s">
        <v>315</v>
      </c>
      <c r="B570" s="117"/>
      <c r="C570" s="117" t="s">
        <v>3522</v>
      </c>
      <c r="D570" s="304" t="s">
        <v>3521</v>
      </c>
      <c r="E570" s="305"/>
      <c r="F570" s="117" t="s">
        <v>1646</v>
      </c>
      <c r="G570" s="116">
        <v>2</v>
      </c>
      <c r="H570" s="108">
        <v>0</v>
      </c>
    </row>
    <row r="571" spans="1:8" x14ac:dyDescent="0.2">
      <c r="A571" s="117" t="s">
        <v>316</v>
      </c>
      <c r="B571" s="117"/>
      <c r="C571" s="117" t="s">
        <v>3520</v>
      </c>
      <c r="D571" s="304" t="s">
        <v>1381</v>
      </c>
      <c r="E571" s="305"/>
      <c r="F571" s="117" t="s">
        <v>1644</v>
      </c>
      <c r="G571" s="116">
        <v>2</v>
      </c>
      <c r="H571" s="108">
        <v>0</v>
      </c>
    </row>
    <row r="572" spans="1:8" x14ac:dyDescent="0.2">
      <c r="A572" s="117" t="s">
        <v>317</v>
      </c>
      <c r="B572" s="117"/>
      <c r="C572" s="117" t="s">
        <v>3519</v>
      </c>
      <c r="D572" s="304" t="s">
        <v>3518</v>
      </c>
      <c r="E572" s="305"/>
      <c r="F572" s="117" t="s">
        <v>1644</v>
      </c>
      <c r="G572" s="116">
        <v>1</v>
      </c>
      <c r="H572" s="108">
        <v>0</v>
      </c>
    </row>
    <row r="573" spans="1:8" x14ac:dyDescent="0.2">
      <c r="A573" s="117" t="s">
        <v>318</v>
      </c>
      <c r="B573" s="117"/>
      <c r="C573" s="117" t="s">
        <v>3517</v>
      </c>
      <c r="D573" s="304" t="s">
        <v>3516</v>
      </c>
      <c r="E573" s="305"/>
      <c r="F573" s="117" t="s">
        <v>1644</v>
      </c>
      <c r="G573" s="116">
        <v>1</v>
      </c>
      <c r="H573" s="108">
        <v>0</v>
      </c>
    </row>
    <row r="574" spans="1:8" x14ac:dyDescent="0.2">
      <c r="A574" s="117" t="s">
        <v>319</v>
      </c>
      <c r="B574" s="117"/>
      <c r="C574" s="117" t="s">
        <v>3515</v>
      </c>
      <c r="D574" s="304" t="s">
        <v>3514</v>
      </c>
      <c r="E574" s="305"/>
      <c r="F574" s="117" t="s">
        <v>1644</v>
      </c>
      <c r="G574" s="116">
        <v>1</v>
      </c>
      <c r="H574" s="108">
        <v>0</v>
      </c>
    </row>
    <row r="575" spans="1:8" x14ac:dyDescent="0.2">
      <c r="A575" s="117" t="s">
        <v>320</v>
      </c>
      <c r="B575" s="117"/>
      <c r="C575" s="117" t="s">
        <v>3513</v>
      </c>
      <c r="D575" s="304" t="s">
        <v>1383</v>
      </c>
      <c r="E575" s="305"/>
      <c r="F575" s="117" t="s">
        <v>1644</v>
      </c>
      <c r="G575" s="116">
        <v>1</v>
      </c>
      <c r="H575" s="108">
        <v>0</v>
      </c>
    </row>
    <row r="576" spans="1:8" x14ac:dyDescent="0.2">
      <c r="A576" s="117" t="s">
        <v>321</v>
      </c>
      <c r="B576" s="117"/>
      <c r="C576" s="117" t="s">
        <v>3512</v>
      </c>
      <c r="D576" s="304" t="s">
        <v>3511</v>
      </c>
      <c r="E576" s="305"/>
      <c r="F576" s="117" t="s">
        <v>1644</v>
      </c>
      <c r="G576" s="116">
        <v>1</v>
      </c>
      <c r="H576" s="108">
        <v>0</v>
      </c>
    </row>
    <row r="577" spans="1:8" x14ac:dyDescent="0.2">
      <c r="A577" s="117" t="s">
        <v>322</v>
      </c>
      <c r="B577" s="117"/>
      <c r="C577" s="117" t="s">
        <v>3510</v>
      </c>
      <c r="D577" s="304" t="s">
        <v>3509</v>
      </c>
      <c r="E577" s="305"/>
      <c r="F577" s="117" t="s">
        <v>1644</v>
      </c>
      <c r="G577" s="116">
        <v>1</v>
      </c>
      <c r="H577" s="108">
        <v>0</v>
      </c>
    </row>
    <row r="578" spans="1:8" x14ac:dyDescent="0.2">
      <c r="A578" s="117" t="s">
        <v>323</v>
      </c>
      <c r="B578" s="117"/>
      <c r="C578" s="117" t="s">
        <v>3508</v>
      </c>
      <c r="D578" s="304" t="s">
        <v>3507</v>
      </c>
      <c r="E578" s="305"/>
      <c r="F578" s="117" t="s">
        <v>1646</v>
      </c>
      <c r="G578" s="116">
        <v>9</v>
      </c>
      <c r="H578" s="108">
        <v>0</v>
      </c>
    </row>
    <row r="579" spans="1:8" x14ac:dyDescent="0.2">
      <c r="A579" s="117" t="s">
        <v>324</v>
      </c>
      <c r="B579" s="117"/>
      <c r="C579" s="117" t="s">
        <v>3506</v>
      </c>
      <c r="D579" s="304" t="s">
        <v>3505</v>
      </c>
      <c r="E579" s="305"/>
      <c r="F579" s="117" t="s">
        <v>1644</v>
      </c>
      <c r="G579" s="116">
        <v>1</v>
      </c>
      <c r="H579" s="108">
        <v>0</v>
      </c>
    </row>
    <row r="580" spans="1:8" x14ac:dyDescent="0.2">
      <c r="A580" s="117" t="s">
        <v>325</v>
      </c>
      <c r="B580" s="117"/>
      <c r="C580" s="117" t="s">
        <v>3504</v>
      </c>
      <c r="D580" s="304" t="s">
        <v>3503</v>
      </c>
      <c r="E580" s="305"/>
      <c r="F580" s="117" t="s">
        <v>1644</v>
      </c>
      <c r="G580" s="116">
        <v>1</v>
      </c>
      <c r="H580" s="108">
        <v>0</v>
      </c>
    </row>
    <row r="581" spans="1:8" x14ac:dyDescent="0.2">
      <c r="A581" s="117" t="s">
        <v>326</v>
      </c>
      <c r="B581" s="117"/>
      <c r="C581" s="117" t="s">
        <v>3502</v>
      </c>
      <c r="D581" s="304" t="s">
        <v>3501</v>
      </c>
      <c r="E581" s="305"/>
      <c r="F581" s="117" t="s">
        <v>1644</v>
      </c>
      <c r="G581" s="116">
        <v>1</v>
      </c>
      <c r="H581" s="108">
        <v>0</v>
      </c>
    </row>
    <row r="582" spans="1:8" x14ac:dyDescent="0.2">
      <c r="A582" s="117" t="s">
        <v>327</v>
      </c>
      <c r="B582" s="117"/>
      <c r="C582" s="117" t="s">
        <v>3500</v>
      </c>
      <c r="D582" s="304" t="s">
        <v>3499</v>
      </c>
      <c r="E582" s="305"/>
      <c r="F582" s="117" t="s">
        <v>1644</v>
      </c>
      <c r="G582" s="116">
        <v>1</v>
      </c>
      <c r="H582" s="108">
        <v>0</v>
      </c>
    </row>
    <row r="583" spans="1:8" x14ac:dyDescent="0.2">
      <c r="A583" s="117" t="s">
        <v>328</v>
      </c>
      <c r="B583" s="117"/>
      <c r="C583" s="117" t="s">
        <v>3498</v>
      </c>
      <c r="D583" s="304" t="s">
        <v>3474</v>
      </c>
      <c r="E583" s="305"/>
      <c r="F583" s="117" t="s">
        <v>1646</v>
      </c>
      <c r="G583" s="116">
        <v>2</v>
      </c>
      <c r="H583" s="108">
        <v>0</v>
      </c>
    </row>
    <row r="584" spans="1:8" x14ac:dyDescent="0.2">
      <c r="A584" s="117" t="s">
        <v>329</v>
      </c>
      <c r="B584" s="117"/>
      <c r="C584" s="117" t="s">
        <v>3497</v>
      </c>
      <c r="D584" s="304" t="s">
        <v>3472</v>
      </c>
      <c r="E584" s="305"/>
      <c r="F584" s="117" t="s">
        <v>1646</v>
      </c>
      <c r="G584" s="116">
        <v>6</v>
      </c>
      <c r="H584" s="108">
        <v>0</v>
      </c>
    </row>
    <row r="585" spans="1:8" x14ac:dyDescent="0.2">
      <c r="A585" s="117" t="s">
        <v>330</v>
      </c>
      <c r="B585" s="117"/>
      <c r="C585" s="117" t="s">
        <v>3496</v>
      </c>
      <c r="D585" s="304" t="s">
        <v>3470</v>
      </c>
      <c r="E585" s="305"/>
      <c r="F585" s="117" t="s">
        <v>1644</v>
      </c>
      <c r="G585" s="116">
        <v>2</v>
      </c>
      <c r="H585" s="108">
        <v>0</v>
      </c>
    </row>
    <row r="586" spans="1:8" x14ac:dyDescent="0.2">
      <c r="A586" s="117" t="s">
        <v>331</v>
      </c>
      <c r="B586" s="117"/>
      <c r="C586" s="117" t="s">
        <v>3495</v>
      </c>
      <c r="D586" s="304" t="s">
        <v>3494</v>
      </c>
      <c r="E586" s="305"/>
      <c r="F586" s="117" t="s">
        <v>1644</v>
      </c>
      <c r="G586" s="116">
        <v>1</v>
      </c>
      <c r="H586" s="108">
        <v>0</v>
      </c>
    </row>
    <row r="587" spans="1:8" x14ac:dyDescent="0.2">
      <c r="A587" s="117" t="s">
        <v>332</v>
      </c>
      <c r="B587" s="117"/>
      <c r="C587" s="117" t="s">
        <v>3493</v>
      </c>
      <c r="D587" s="304" t="s">
        <v>3492</v>
      </c>
      <c r="E587" s="305"/>
      <c r="F587" s="117" t="s">
        <v>1644</v>
      </c>
      <c r="G587" s="116">
        <v>1</v>
      </c>
      <c r="H587" s="108">
        <v>0</v>
      </c>
    </row>
    <row r="588" spans="1:8" x14ac:dyDescent="0.2">
      <c r="A588" s="117" t="s">
        <v>333</v>
      </c>
      <c r="B588" s="117"/>
      <c r="C588" s="117" t="s">
        <v>3491</v>
      </c>
      <c r="D588" s="304" t="s">
        <v>3490</v>
      </c>
      <c r="E588" s="305"/>
      <c r="F588" s="117" t="s">
        <v>1644</v>
      </c>
      <c r="G588" s="116">
        <v>1</v>
      </c>
      <c r="H588" s="108">
        <v>0</v>
      </c>
    </row>
    <row r="589" spans="1:8" x14ac:dyDescent="0.2">
      <c r="A589" s="117" t="s">
        <v>334</v>
      </c>
      <c r="B589" s="117"/>
      <c r="C589" s="117" t="s">
        <v>3489</v>
      </c>
      <c r="D589" s="304" t="s">
        <v>3488</v>
      </c>
      <c r="E589" s="305"/>
      <c r="F589" s="117" t="s">
        <v>1644</v>
      </c>
      <c r="G589" s="116">
        <v>1</v>
      </c>
      <c r="H589" s="108">
        <v>0</v>
      </c>
    </row>
    <row r="590" spans="1:8" x14ac:dyDescent="0.2">
      <c r="A590" s="117" t="s">
        <v>335</v>
      </c>
      <c r="B590" s="117"/>
      <c r="C590" s="117" t="s">
        <v>3487</v>
      </c>
      <c r="D590" s="304" t="s">
        <v>3486</v>
      </c>
      <c r="E590" s="305"/>
      <c r="F590" s="117" t="s">
        <v>1644</v>
      </c>
      <c r="G590" s="116">
        <v>1</v>
      </c>
      <c r="H590" s="108">
        <v>0</v>
      </c>
    </row>
    <row r="591" spans="1:8" x14ac:dyDescent="0.2">
      <c r="A591" s="117" t="s">
        <v>336</v>
      </c>
      <c r="B591" s="117"/>
      <c r="C591" s="117" t="s">
        <v>3485</v>
      </c>
      <c r="D591" s="304" t="s">
        <v>3484</v>
      </c>
      <c r="E591" s="305"/>
      <c r="F591" s="117" t="s">
        <v>1646</v>
      </c>
      <c r="G591" s="116">
        <v>9</v>
      </c>
      <c r="H591" s="108">
        <v>0</v>
      </c>
    </row>
    <row r="592" spans="1:8" x14ac:dyDescent="0.2">
      <c r="A592" s="117" t="s">
        <v>337</v>
      </c>
      <c r="B592" s="117"/>
      <c r="C592" s="117" t="s">
        <v>3483</v>
      </c>
      <c r="D592" s="304" t="s">
        <v>3482</v>
      </c>
      <c r="E592" s="305"/>
      <c r="F592" s="117" t="s">
        <v>1644</v>
      </c>
      <c r="G592" s="116">
        <v>1</v>
      </c>
      <c r="H592" s="108">
        <v>0</v>
      </c>
    </row>
    <row r="593" spans="1:8" x14ac:dyDescent="0.2">
      <c r="A593" s="117" t="s">
        <v>338</v>
      </c>
      <c r="B593" s="117"/>
      <c r="C593" s="117" t="s">
        <v>3481</v>
      </c>
      <c r="D593" s="304" t="s">
        <v>3480</v>
      </c>
      <c r="E593" s="305"/>
      <c r="F593" s="117" t="s">
        <v>1644</v>
      </c>
      <c r="G593" s="116">
        <v>1</v>
      </c>
      <c r="H593" s="108">
        <v>0</v>
      </c>
    </row>
    <row r="594" spans="1:8" x14ac:dyDescent="0.2">
      <c r="A594" s="117" t="s">
        <v>339</v>
      </c>
      <c r="B594" s="117"/>
      <c r="C594" s="117" t="s">
        <v>3479</v>
      </c>
      <c r="D594" s="304" t="s">
        <v>3478</v>
      </c>
      <c r="E594" s="305"/>
      <c r="F594" s="117" t="s">
        <v>1644</v>
      </c>
      <c r="G594" s="116">
        <v>1</v>
      </c>
      <c r="H594" s="108">
        <v>0</v>
      </c>
    </row>
    <row r="595" spans="1:8" x14ac:dyDescent="0.2">
      <c r="A595" s="117" t="s">
        <v>340</v>
      </c>
      <c r="B595" s="117"/>
      <c r="C595" s="117" t="s">
        <v>3477</v>
      </c>
      <c r="D595" s="304" t="s">
        <v>3476</v>
      </c>
      <c r="E595" s="305"/>
      <c r="F595" s="117" t="s">
        <v>1644</v>
      </c>
      <c r="G595" s="116">
        <v>1</v>
      </c>
      <c r="H595" s="108">
        <v>0</v>
      </c>
    </row>
    <row r="596" spans="1:8" x14ac:dyDescent="0.2">
      <c r="A596" s="117" t="s">
        <v>341</v>
      </c>
      <c r="B596" s="117"/>
      <c r="C596" s="117" t="s">
        <v>3475</v>
      </c>
      <c r="D596" s="304" t="s">
        <v>3474</v>
      </c>
      <c r="E596" s="305"/>
      <c r="F596" s="117" t="s">
        <v>1646</v>
      </c>
      <c r="G596" s="116">
        <v>2.5</v>
      </c>
      <c r="H596" s="108">
        <v>0</v>
      </c>
    </row>
    <row r="597" spans="1:8" x14ac:dyDescent="0.2">
      <c r="A597" s="117" t="s">
        <v>342</v>
      </c>
      <c r="B597" s="117"/>
      <c r="C597" s="117" t="s">
        <v>3473</v>
      </c>
      <c r="D597" s="304" t="s">
        <v>3472</v>
      </c>
      <c r="E597" s="305"/>
      <c r="F597" s="117" t="s">
        <v>1646</v>
      </c>
      <c r="G597" s="116">
        <v>3</v>
      </c>
      <c r="H597" s="108">
        <v>0</v>
      </c>
    </row>
    <row r="598" spans="1:8" x14ac:dyDescent="0.2">
      <c r="A598" s="117" t="s">
        <v>343</v>
      </c>
      <c r="B598" s="117"/>
      <c r="C598" s="117" t="s">
        <v>3471</v>
      </c>
      <c r="D598" s="304" t="s">
        <v>3470</v>
      </c>
      <c r="E598" s="305"/>
      <c r="F598" s="117" t="s">
        <v>1644</v>
      </c>
      <c r="G598" s="116">
        <v>2</v>
      </c>
      <c r="H598" s="108">
        <v>0</v>
      </c>
    </row>
    <row r="599" spans="1:8" x14ac:dyDescent="0.2">
      <c r="A599" s="117" t="s">
        <v>344</v>
      </c>
      <c r="B599" s="117"/>
      <c r="C599" s="117" t="s">
        <v>3469</v>
      </c>
      <c r="D599" s="304" t="s">
        <v>3468</v>
      </c>
      <c r="E599" s="305"/>
      <c r="F599" s="117" t="s">
        <v>1644</v>
      </c>
      <c r="G599" s="116">
        <v>1</v>
      </c>
      <c r="H599" s="108">
        <v>0</v>
      </c>
    </row>
    <row r="600" spans="1:8" x14ac:dyDescent="0.2">
      <c r="A600" s="117" t="s">
        <v>345</v>
      </c>
      <c r="B600" s="117"/>
      <c r="C600" s="117" t="s">
        <v>3467</v>
      </c>
      <c r="D600" s="304" t="s">
        <v>3466</v>
      </c>
      <c r="E600" s="305"/>
      <c r="F600" s="117" t="s">
        <v>1644</v>
      </c>
      <c r="G600" s="116">
        <v>1</v>
      </c>
      <c r="H600" s="108">
        <v>0</v>
      </c>
    </row>
    <row r="601" spans="1:8" x14ac:dyDescent="0.2">
      <c r="A601" s="117" t="s">
        <v>346</v>
      </c>
      <c r="B601" s="117"/>
      <c r="C601" s="117" t="s">
        <v>3465</v>
      </c>
      <c r="D601" s="304" t="s">
        <v>3464</v>
      </c>
      <c r="E601" s="305"/>
      <c r="F601" s="117" t="s">
        <v>1644</v>
      </c>
      <c r="G601" s="116">
        <v>1</v>
      </c>
      <c r="H601" s="108">
        <v>0</v>
      </c>
    </row>
    <row r="602" spans="1:8" x14ac:dyDescent="0.2">
      <c r="A602" s="117" t="s">
        <v>347</v>
      </c>
      <c r="B602" s="117"/>
      <c r="C602" s="117" t="s">
        <v>3463</v>
      </c>
      <c r="D602" s="304" t="s">
        <v>3462</v>
      </c>
      <c r="E602" s="305"/>
      <c r="F602" s="117" t="s">
        <v>1644</v>
      </c>
      <c r="G602" s="116">
        <v>1</v>
      </c>
      <c r="H602" s="108">
        <v>0</v>
      </c>
    </row>
    <row r="603" spans="1:8" x14ac:dyDescent="0.2">
      <c r="A603" s="117" t="s">
        <v>348</v>
      </c>
      <c r="B603" s="117"/>
      <c r="C603" s="117" t="s">
        <v>3461</v>
      </c>
      <c r="D603" s="304" t="s">
        <v>1392</v>
      </c>
      <c r="E603" s="305"/>
      <c r="F603" s="117" t="s">
        <v>1644</v>
      </c>
      <c r="G603" s="116">
        <v>2</v>
      </c>
      <c r="H603" s="108">
        <v>0</v>
      </c>
    </row>
    <row r="604" spans="1:8" x14ac:dyDescent="0.2">
      <c r="A604" s="117" t="s">
        <v>349</v>
      </c>
      <c r="B604" s="117"/>
      <c r="C604" s="117" t="s">
        <v>3460</v>
      </c>
      <c r="D604" s="304" t="s">
        <v>1393</v>
      </c>
      <c r="E604" s="305"/>
      <c r="F604" s="117" t="s">
        <v>1644</v>
      </c>
      <c r="G604" s="116">
        <v>1</v>
      </c>
      <c r="H604" s="108">
        <v>0</v>
      </c>
    </row>
    <row r="605" spans="1:8" x14ac:dyDescent="0.2">
      <c r="A605" s="117" t="s">
        <v>350</v>
      </c>
      <c r="B605" s="117"/>
      <c r="C605" s="117" t="s">
        <v>3459</v>
      </c>
      <c r="D605" s="304" t="s">
        <v>1394</v>
      </c>
      <c r="E605" s="305"/>
      <c r="F605" s="117" t="s">
        <v>1644</v>
      </c>
      <c r="G605" s="116">
        <v>1</v>
      </c>
      <c r="H605" s="108">
        <v>0</v>
      </c>
    </row>
    <row r="606" spans="1:8" x14ac:dyDescent="0.2">
      <c r="A606" s="120"/>
      <c r="B606" s="120"/>
      <c r="C606" s="120" t="s">
        <v>822</v>
      </c>
      <c r="D606" s="306" t="s">
        <v>3239</v>
      </c>
      <c r="E606" s="307"/>
      <c r="F606" s="120"/>
      <c r="G606" s="142"/>
      <c r="H606" s="109"/>
    </row>
    <row r="607" spans="1:8" x14ac:dyDescent="0.2">
      <c r="A607" s="117" t="s">
        <v>351</v>
      </c>
      <c r="B607" s="117"/>
      <c r="C607" s="117" t="s">
        <v>117</v>
      </c>
      <c r="D607" s="304" t="s">
        <v>1396</v>
      </c>
      <c r="E607" s="305"/>
      <c r="F607" s="117" t="s">
        <v>1652</v>
      </c>
      <c r="G607" s="116">
        <v>1</v>
      </c>
      <c r="H607" s="108">
        <v>0</v>
      </c>
    </row>
    <row r="608" spans="1:8" x14ac:dyDescent="0.2">
      <c r="A608" s="117" t="s">
        <v>352</v>
      </c>
      <c r="B608" s="117"/>
      <c r="C608" s="117" t="s">
        <v>118</v>
      </c>
      <c r="D608" s="304" t="s">
        <v>1397</v>
      </c>
      <c r="E608" s="305"/>
      <c r="F608" s="117" t="s">
        <v>1652</v>
      </c>
      <c r="G608" s="116">
        <v>1</v>
      </c>
      <c r="H608" s="108">
        <v>0</v>
      </c>
    </row>
    <row r="609" spans="1:8" x14ac:dyDescent="0.2">
      <c r="A609" s="117" t="s">
        <v>353</v>
      </c>
      <c r="B609" s="117"/>
      <c r="C609" s="117" t="s">
        <v>119</v>
      </c>
      <c r="D609" s="304" t="s">
        <v>1398</v>
      </c>
      <c r="E609" s="305"/>
      <c r="F609" s="117" t="s">
        <v>1652</v>
      </c>
      <c r="G609" s="116">
        <v>1</v>
      </c>
      <c r="H609" s="108">
        <v>0</v>
      </c>
    </row>
    <row r="610" spans="1:8" x14ac:dyDescent="0.2">
      <c r="A610" s="117" t="s">
        <v>354</v>
      </c>
      <c r="B610" s="117"/>
      <c r="C610" s="117" t="s">
        <v>120</v>
      </c>
      <c r="D610" s="304" t="s">
        <v>1399</v>
      </c>
      <c r="E610" s="305"/>
      <c r="F610" s="117" t="s">
        <v>1652</v>
      </c>
      <c r="G610" s="116">
        <v>1</v>
      </c>
      <c r="H610" s="108">
        <v>0</v>
      </c>
    </row>
    <row r="611" spans="1:8" x14ac:dyDescent="0.2">
      <c r="A611" s="117" t="s">
        <v>355</v>
      </c>
      <c r="B611" s="117"/>
      <c r="C611" s="117" t="s">
        <v>121</v>
      </c>
      <c r="D611" s="304" t="s">
        <v>1400</v>
      </c>
      <c r="E611" s="305"/>
      <c r="F611" s="117" t="s">
        <v>1652</v>
      </c>
      <c r="G611" s="116">
        <v>1</v>
      </c>
      <c r="H611" s="108">
        <v>0</v>
      </c>
    </row>
    <row r="612" spans="1:8" x14ac:dyDescent="0.2">
      <c r="A612" s="117" t="s">
        <v>356</v>
      </c>
      <c r="B612" s="117"/>
      <c r="C612" s="117" t="s">
        <v>122</v>
      </c>
      <c r="D612" s="304" t="s">
        <v>1401</v>
      </c>
      <c r="E612" s="305"/>
      <c r="F612" s="117" t="s">
        <v>1652</v>
      </c>
      <c r="G612" s="116">
        <v>1</v>
      </c>
      <c r="H612" s="108">
        <v>0</v>
      </c>
    </row>
    <row r="613" spans="1:8" x14ac:dyDescent="0.2">
      <c r="A613" s="117" t="s">
        <v>357</v>
      </c>
      <c r="B613" s="117"/>
      <c r="C613" s="117" t="s">
        <v>123</v>
      </c>
      <c r="D613" s="304" t="s">
        <v>1402</v>
      </c>
      <c r="E613" s="305"/>
      <c r="F613" s="117" t="s">
        <v>1652</v>
      </c>
      <c r="G613" s="116">
        <v>1</v>
      </c>
      <c r="H613" s="108">
        <v>0</v>
      </c>
    </row>
    <row r="614" spans="1:8" x14ac:dyDescent="0.2">
      <c r="A614" s="117" t="s">
        <v>358</v>
      </c>
      <c r="B614" s="117"/>
      <c r="C614" s="117" t="s">
        <v>124</v>
      </c>
      <c r="D614" s="304" t="s">
        <v>1403</v>
      </c>
      <c r="E614" s="305"/>
      <c r="F614" s="117" t="s">
        <v>1652</v>
      </c>
      <c r="G614" s="116">
        <v>1</v>
      </c>
      <c r="H614" s="108">
        <v>0</v>
      </c>
    </row>
    <row r="615" spans="1:8" x14ac:dyDescent="0.2">
      <c r="A615" s="117" t="s">
        <v>359</v>
      </c>
      <c r="B615" s="117"/>
      <c r="C615" s="117" t="s">
        <v>125</v>
      </c>
      <c r="D615" s="304" t="s">
        <v>1404</v>
      </c>
      <c r="E615" s="305"/>
      <c r="F615" s="117" t="s">
        <v>1646</v>
      </c>
      <c r="G615" s="116">
        <v>900</v>
      </c>
      <c r="H615" s="108">
        <v>0</v>
      </c>
    </row>
    <row r="616" spans="1:8" x14ac:dyDescent="0.2">
      <c r="A616" s="117" t="s">
        <v>360</v>
      </c>
      <c r="B616" s="117"/>
      <c r="C616" s="117" t="s">
        <v>823</v>
      </c>
      <c r="D616" s="304" t="s">
        <v>1405</v>
      </c>
      <c r="E616" s="305"/>
      <c r="F616" s="117" t="s">
        <v>1646</v>
      </c>
      <c r="G616" s="116">
        <v>360</v>
      </c>
      <c r="H616" s="108">
        <v>0</v>
      </c>
    </row>
    <row r="617" spans="1:8" x14ac:dyDescent="0.2">
      <c r="A617" s="117" t="s">
        <v>361</v>
      </c>
      <c r="B617" s="117"/>
      <c r="C617" s="117" t="s">
        <v>824</v>
      </c>
      <c r="D617" s="304" t="s">
        <v>1406</v>
      </c>
      <c r="E617" s="305"/>
      <c r="F617" s="117" t="s">
        <v>1652</v>
      </c>
      <c r="G617" s="116">
        <v>6</v>
      </c>
      <c r="H617" s="108">
        <v>0</v>
      </c>
    </row>
    <row r="618" spans="1:8" x14ac:dyDescent="0.2">
      <c r="A618" s="117" t="s">
        <v>362</v>
      </c>
      <c r="B618" s="117"/>
      <c r="C618" s="117" t="s">
        <v>825</v>
      </c>
      <c r="D618" s="304" t="s">
        <v>1407</v>
      </c>
      <c r="E618" s="305"/>
      <c r="F618" s="117" t="s">
        <v>1644</v>
      </c>
      <c r="G618" s="116">
        <v>6</v>
      </c>
      <c r="H618" s="108">
        <v>0</v>
      </c>
    </row>
    <row r="619" spans="1:8" x14ac:dyDescent="0.2">
      <c r="A619" s="117" t="s">
        <v>363</v>
      </c>
      <c r="B619" s="117"/>
      <c r="C619" s="117" t="s">
        <v>826</v>
      </c>
      <c r="D619" s="304" t="s">
        <v>1408</v>
      </c>
      <c r="E619" s="305"/>
      <c r="F619" s="117" t="s">
        <v>1644</v>
      </c>
      <c r="G619" s="116">
        <v>6</v>
      </c>
      <c r="H619" s="108">
        <v>0</v>
      </c>
    </row>
    <row r="620" spans="1:8" x14ac:dyDescent="0.2">
      <c r="A620" s="117" t="s">
        <v>364</v>
      </c>
      <c r="B620" s="117"/>
      <c r="C620" s="117" t="s">
        <v>827</v>
      </c>
      <c r="D620" s="304" t="s">
        <v>1409</v>
      </c>
      <c r="E620" s="305"/>
      <c r="F620" s="117" t="s">
        <v>1644</v>
      </c>
      <c r="G620" s="116">
        <v>6</v>
      </c>
      <c r="H620" s="108">
        <v>0</v>
      </c>
    </row>
    <row r="621" spans="1:8" x14ac:dyDescent="0.2">
      <c r="A621" s="117" t="s">
        <v>365</v>
      </c>
      <c r="B621" s="117"/>
      <c r="C621" s="117" t="s">
        <v>828</v>
      </c>
      <c r="D621" s="304" t="s">
        <v>1410</v>
      </c>
      <c r="E621" s="305"/>
      <c r="F621" s="117" t="s">
        <v>1652</v>
      </c>
      <c r="G621" s="116">
        <v>6</v>
      </c>
      <c r="H621" s="108">
        <v>0</v>
      </c>
    </row>
    <row r="622" spans="1:8" x14ac:dyDescent="0.2">
      <c r="A622" s="117" t="s">
        <v>366</v>
      </c>
      <c r="B622" s="117"/>
      <c r="C622" s="117" t="s">
        <v>829</v>
      </c>
      <c r="D622" s="304" t="s">
        <v>1411</v>
      </c>
      <c r="E622" s="305"/>
      <c r="F622" s="117" t="s">
        <v>1652</v>
      </c>
      <c r="G622" s="116">
        <v>6</v>
      </c>
      <c r="H622" s="108">
        <v>0</v>
      </c>
    </row>
    <row r="623" spans="1:8" x14ac:dyDescent="0.2">
      <c r="A623" s="117" t="s">
        <v>367</v>
      </c>
      <c r="B623" s="117"/>
      <c r="C623" s="117" t="s">
        <v>830</v>
      </c>
      <c r="D623" s="304" t="s">
        <v>1412</v>
      </c>
      <c r="E623" s="305"/>
      <c r="F623" s="117" t="s">
        <v>1647</v>
      </c>
      <c r="G623" s="116">
        <v>14</v>
      </c>
      <c r="H623" s="108">
        <v>0</v>
      </c>
    </row>
    <row r="624" spans="1:8" x14ac:dyDescent="0.2">
      <c r="A624" s="117" t="s">
        <v>368</v>
      </c>
      <c r="B624" s="117"/>
      <c r="C624" s="117" t="s">
        <v>831</v>
      </c>
      <c r="D624" s="304" t="s">
        <v>1413</v>
      </c>
      <c r="E624" s="305"/>
      <c r="F624" s="117" t="s">
        <v>1652</v>
      </c>
      <c r="G624" s="116">
        <v>1</v>
      </c>
      <c r="H624" s="108">
        <v>0</v>
      </c>
    </row>
    <row r="625" spans="1:8" x14ac:dyDescent="0.2">
      <c r="A625" s="117" t="s">
        <v>369</v>
      </c>
      <c r="B625" s="117"/>
      <c r="C625" s="117" t="s">
        <v>832</v>
      </c>
      <c r="D625" s="304" t="s">
        <v>1414</v>
      </c>
      <c r="E625" s="305"/>
      <c r="F625" s="117" t="s">
        <v>1652</v>
      </c>
      <c r="G625" s="116">
        <v>1</v>
      </c>
      <c r="H625" s="108">
        <v>0</v>
      </c>
    </row>
    <row r="626" spans="1:8" x14ac:dyDescent="0.2">
      <c r="A626" s="117" t="s">
        <v>370</v>
      </c>
      <c r="B626" s="117"/>
      <c r="C626" s="117" t="s">
        <v>833</v>
      </c>
      <c r="D626" s="304" t="s">
        <v>1415</v>
      </c>
      <c r="E626" s="305"/>
      <c r="F626" s="117" t="s">
        <v>1652</v>
      </c>
      <c r="G626" s="116">
        <v>1</v>
      </c>
      <c r="H626" s="108">
        <v>0</v>
      </c>
    </row>
    <row r="627" spans="1:8" x14ac:dyDescent="0.2">
      <c r="A627" s="117" t="s">
        <v>371</v>
      </c>
      <c r="B627" s="117"/>
      <c r="C627" s="117" t="s">
        <v>834</v>
      </c>
      <c r="D627" s="304" t="s">
        <v>1416</v>
      </c>
      <c r="E627" s="305"/>
      <c r="F627" s="117" t="s">
        <v>1652</v>
      </c>
      <c r="G627" s="116">
        <v>12</v>
      </c>
      <c r="H627" s="108">
        <v>0</v>
      </c>
    </row>
    <row r="628" spans="1:8" x14ac:dyDescent="0.2">
      <c r="A628" s="117" t="s">
        <v>372</v>
      </c>
      <c r="B628" s="117"/>
      <c r="C628" s="117" t="s">
        <v>835</v>
      </c>
      <c r="D628" s="304" t="s">
        <v>1417</v>
      </c>
      <c r="E628" s="305"/>
      <c r="F628" s="117" t="s">
        <v>1653</v>
      </c>
      <c r="G628" s="116">
        <v>12</v>
      </c>
      <c r="H628" s="108">
        <v>0</v>
      </c>
    </row>
    <row r="629" spans="1:8" x14ac:dyDescent="0.2">
      <c r="A629" s="117" t="s">
        <v>373</v>
      </c>
      <c r="B629" s="117"/>
      <c r="C629" s="117" t="s">
        <v>836</v>
      </c>
      <c r="D629" s="304" t="s">
        <v>1418</v>
      </c>
      <c r="E629" s="305"/>
      <c r="F629" s="117" t="s">
        <v>1652</v>
      </c>
      <c r="G629" s="116">
        <v>1</v>
      </c>
      <c r="H629" s="108">
        <v>0</v>
      </c>
    </row>
    <row r="630" spans="1:8" x14ac:dyDescent="0.2">
      <c r="A630" s="117" t="s">
        <v>374</v>
      </c>
      <c r="B630" s="117"/>
      <c r="C630" s="117" t="s">
        <v>837</v>
      </c>
      <c r="D630" s="304" t="s">
        <v>1419</v>
      </c>
      <c r="E630" s="305"/>
      <c r="F630" s="117" t="s">
        <v>1652</v>
      </c>
      <c r="G630" s="116">
        <v>1</v>
      </c>
      <c r="H630" s="108">
        <v>0</v>
      </c>
    </row>
    <row r="631" spans="1:8" x14ac:dyDescent="0.2">
      <c r="A631" s="117" t="s">
        <v>375</v>
      </c>
      <c r="B631" s="117"/>
      <c r="C631" s="117" t="s">
        <v>838</v>
      </c>
      <c r="D631" s="304" t="s">
        <v>1420</v>
      </c>
      <c r="E631" s="305"/>
      <c r="F631" s="117" t="s">
        <v>1652</v>
      </c>
      <c r="G631" s="116">
        <v>1</v>
      </c>
      <c r="H631" s="108">
        <v>0</v>
      </c>
    </row>
    <row r="632" spans="1:8" x14ac:dyDescent="0.2">
      <c r="A632" s="117" t="s">
        <v>376</v>
      </c>
      <c r="B632" s="117"/>
      <c r="C632" s="117" t="s">
        <v>839</v>
      </c>
      <c r="D632" s="304" t="s">
        <v>1421</v>
      </c>
      <c r="E632" s="305"/>
      <c r="F632" s="117" t="s">
        <v>1652</v>
      </c>
      <c r="G632" s="116">
        <v>1</v>
      </c>
      <c r="H632" s="108">
        <v>0</v>
      </c>
    </row>
    <row r="633" spans="1:8" x14ac:dyDescent="0.2">
      <c r="A633" s="117" t="s">
        <v>377</v>
      </c>
      <c r="B633" s="117"/>
      <c r="C633" s="117" t="s">
        <v>840</v>
      </c>
      <c r="D633" s="304" t="s">
        <v>1422</v>
      </c>
      <c r="E633" s="305"/>
      <c r="F633" s="117" t="s">
        <v>1652</v>
      </c>
      <c r="G633" s="116">
        <v>1</v>
      </c>
      <c r="H633" s="108">
        <v>0</v>
      </c>
    </row>
    <row r="634" spans="1:8" x14ac:dyDescent="0.2">
      <c r="A634" s="117" t="s">
        <v>378</v>
      </c>
      <c r="B634" s="117"/>
      <c r="C634" s="117" t="s">
        <v>841</v>
      </c>
      <c r="D634" s="304" t="s">
        <v>1423</v>
      </c>
      <c r="E634" s="305"/>
      <c r="F634" s="117" t="s">
        <v>1652</v>
      </c>
      <c r="G634" s="116">
        <v>1</v>
      </c>
      <c r="H634" s="108">
        <v>0</v>
      </c>
    </row>
    <row r="635" spans="1:8" x14ac:dyDescent="0.2">
      <c r="A635" s="120"/>
      <c r="B635" s="120"/>
      <c r="C635" s="120" t="s">
        <v>842</v>
      </c>
      <c r="D635" s="306" t="s">
        <v>1424</v>
      </c>
      <c r="E635" s="307"/>
      <c r="F635" s="120"/>
      <c r="G635" s="142"/>
      <c r="H635" s="109"/>
    </row>
    <row r="636" spans="1:8" x14ac:dyDescent="0.2">
      <c r="A636" s="117" t="s">
        <v>379</v>
      </c>
      <c r="B636" s="117"/>
      <c r="C636" s="117" t="s">
        <v>127</v>
      </c>
      <c r="D636" s="304" t="s">
        <v>1425</v>
      </c>
      <c r="E636" s="305"/>
      <c r="F636" s="117" t="s">
        <v>1644</v>
      </c>
      <c r="G636" s="116">
        <v>12</v>
      </c>
      <c r="H636" s="108">
        <v>0</v>
      </c>
    </row>
    <row r="637" spans="1:8" x14ac:dyDescent="0.2">
      <c r="A637" s="117" t="s">
        <v>380</v>
      </c>
      <c r="B637" s="117"/>
      <c r="C637" s="117" t="s">
        <v>128</v>
      </c>
      <c r="D637" s="304" t="s">
        <v>1426</v>
      </c>
      <c r="E637" s="305"/>
      <c r="F637" s="117" t="s">
        <v>1646</v>
      </c>
      <c r="G637" s="116">
        <v>220</v>
      </c>
      <c r="H637" s="108">
        <v>0</v>
      </c>
    </row>
    <row r="638" spans="1:8" x14ac:dyDescent="0.2">
      <c r="A638" s="117" t="s">
        <v>381</v>
      </c>
      <c r="B638" s="117"/>
      <c r="C638" s="117" t="s">
        <v>129</v>
      </c>
      <c r="D638" s="304" t="s">
        <v>1427</v>
      </c>
      <c r="E638" s="305"/>
      <c r="F638" s="117" t="s">
        <v>1644</v>
      </c>
      <c r="G638" s="116">
        <v>12</v>
      </c>
      <c r="H638" s="108">
        <v>0</v>
      </c>
    </row>
    <row r="639" spans="1:8" x14ac:dyDescent="0.2">
      <c r="A639" s="117" t="s">
        <v>382</v>
      </c>
      <c r="B639" s="117"/>
      <c r="C639" s="117" t="s">
        <v>130</v>
      </c>
      <c r="D639" s="304" t="s">
        <v>1428</v>
      </c>
      <c r="E639" s="305"/>
      <c r="F639" s="117" t="s">
        <v>1646</v>
      </c>
      <c r="G639" s="116">
        <v>25</v>
      </c>
      <c r="H639" s="108">
        <v>0</v>
      </c>
    </row>
    <row r="640" spans="1:8" x14ac:dyDescent="0.2">
      <c r="A640" s="117" t="s">
        <v>383</v>
      </c>
      <c r="B640" s="117"/>
      <c r="C640" s="117" t="s">
        <v>131</v>
      </c>
      <c r="D640" s="304" t="s">
        <v>1429</v>
      </c>
      <c r="E640" s="305"/>
      <c r="F640" s="117" t="s">
        <v>1646</v>
      </c>
      <c r="G640" s="116">
        <v>25</v>
      </c>
      <c r="H640" s="108">
        <v>0</v>
      </c>
    </row>
    <row r="641" spans="1:8" x14ac:dyDescent="0.2">
      <c r="A641" s="117" t="s">
        <v>384</v>
      </c>
      <c r="B641" s="117"/>
      <c r="C641" s="117" t="s">
        <v>132</v>
      </c>
      <c r="D641" s="304" t="s">
        <v>3458</v>
      </c>
      <c r="E641" s="305"/>
      <c r="F641" s="117" t="s">
        <v>1644</v>
      </c>
      <c r="G641" s="116">
        <v>1</v>
      </c>
      <c r="H641" s="108">
        <v>0</v>
      </c>
    </row>
    <row r="642" spans="1:8" x14ac:dyDescent="0.2">
      <c r="A642" s="117" t="s">
        <v>385</v>
      </c>
      <c r="B642" s="117"/>
      <c r="C642" s="117" t="s">
        <v>133</v>
      </c>
      <c r="D642" s="304" t="s">
        <v>1431</v>
      </c>
      <c r="E642" s="305"/>
      <c r="F642" s="117" t="s">
        <v>1646</v>
      </c>
      <c r="G642" s="116">
        <v>55</v>
      </c>
      <c r="H642" s="108">
        <v>0</v>
      </c>
    </row>
    <row r="643" spans="1:8" x14ac:dyDescent="0.2">
      <c r="A643" s="117" t="s">
        <v>386</v>
      </c>
      <c r="B643" s="117"/>
      <c r="C643" s="117" t="s">
        <v>134</v>
      </c>
      <c r="D643" s="304" t="s">
        <v>1432</v>
      </c>
      <c r="E643" s="305"/>
      <c r="F643" s="117" t="s">
        <v>1644</v>
      </c>
      <c r="G643" s="116">
        <v>4</v>
      </c>
      <c r="H643" s="108">
        <v>0</v>
      </c>
    </row>
    <row r="644" spans="1:8" x14ac:dyDescent="0.2">
      <c r="A644" s="117" t="s">
        <v>387</v>
      </c>
      <c r="B644" s="117"/>
      <c r="C644" s="117" t="s">
        <v>135</v>
      </c>
      <c r="D644" s="304" t="s">
        <v>1996</v>
      </c>
      <c r="E644" s="305"/>
      <c r="F644" s="117" t="s">
        <v>1644</v>
      </c>
      <c r="G644" s="116">
        <v>6</v>
      </c>
      <c r="H644" s="108">
        <v>0</v>
      </c>
    </row>
    <row r="645" spans="1:8" x14ac:dyDescent="0.2">
      <c r="A645" s="117" t="s">
        <v>388</v>
      </c>
      <c r="B645" s="117"/>
      <c r="C645" s="117" t="s">
        <v>843</v>
      </c>
      <c r="D645" s="304" t="s">
        <v>1433</v>
      </c>
      <c r="E645" s="305"/>
      <c r="F645" s="117" t="s">
        <v>1646</v>
      </c>
      <c r="G645" s="116">
        <v>55</v>
      </c>
      <c r="H645" s="108">
        <v>0</v>
      </c>
    </row>
    <row r="646" spans="1:8" x14ac:dyDescent="0.2">
      <c r="A646" s="117" t="s">
        <v>389</v>
      </c>
      <c r="B646" s="117"/>
      <c r="C646" s="117" t="s">
        <v>844</v>
      </c>
      <c r="D646" s="304" t="s">
        <v>1434</v>
      </c>
      <c r="E646" s="305"/>
      <c r="F646" s="117" t="s">
        <v>1646</v>
      </c>
      <c r="G646" s="116">
        <v>55</v>
      </c>
      <c r="H646" s="108">
        <v>0</v>
      </c>
    </row>
    <row r="647" spans="1:8" x14ac:dyDescent="0.2">
      <c r="A647" s="117" t="s">
        <v>390</v>
      </c>
      <c r="B647" s="117"/>
      <c r="C647" s="117" t="s">
        <v>845</v>
      </c>
      <c r="D647" s="304" t="s">
        <v>1435</v>
      </c>
      <c r="E647" s="305"/>
      <c r="F647" s="117" t="s">
        <v>1652</v>
      </c>
      <c r="G647" s="116">
        <v>1</v>
      </c>
      <c r="H647" s="108">
        <v>0</v>
      </c>
    </row>
    <row r="648" spans="1:8" x14ac:dyDescent="0.2">
      <c r="A648" s="117" t="s">
        <v>391</v>
      </c>
      <c r="B648" s="117"/>
      <c r="C648" s="117" t="s">
        <v>846</v>
      </c>
      <c r="D648" s="304" t="s">
        <v>2327</v>
      </c>
      <c r="E648" s="305"/>
      <c r="F648" s="117" t="s">
        <v>1652</v>
      </c>
      <c r="G648" s="116">
        <v>1</v>
      </c>
      <c r="H648" s="108">
        <v>0</v>
      </c>
    </row>
    <row r="649" spans="1:8" x14ac:dyDescent="0.2">
      <c r="A649" s="117" t="s">
        <v>392</v>
      </c>
      <c r="B649" s="117"/>
      <c r="C649" s="117" t="s">
        <v>847</v>
      </c>
      <c r="D649" s="304" t="s">
        <v>1437</v>
      </c>
      <c r="E649" s="305"/>
      <c r="F649" s="117" t="s">
        <v>1654</v>
      </c>
      <c r="G649" s="116">
        <v>720</v>
      </c>
      <c r="H649" s="108">
        <v>0</v>
      </c>
    </row>
    <row r="650" spans="1:8" x14ac:dyDescent="0.2">
      <c r="A650" s="117" t="s">
        <v>393</v>
      </c>
      <c r="B650" s="117"/>
      <c r="C650" s="117" t="s">
        <v>848</v>
      </c>
      <c r="D650" s="304" t="s">
        <v>1438</v>
      </c>
      <c r="E650" s="305"/>
      <c r="F650" s="117" t="s">
        <v>1652</v>
      </c>
      <c r="G650" s="116">
        <v>1</v>
      </c>
      <c r="H650" s="108">
        <v>0</v>
      </c>
    </row>
    <row r="651" spans="1:8" x14ac:dyDescent="0.2">
      <c r="A651" s="117" t="s">
        <v>394</v>
      </c>
      <c r="B651" s="117"/>
      <c r="C651" s="117" t="s">
        <v>849</v>
      </c>
      <c r="D651" s="304" t="s">
        <v>1439</v>
      </c>
      <c r="E651" s="305"/>
      <c r="F651" s="117" t="s">
        <v>1652</v>
      </c>
      <c r="G651" s="116">
        <v>1</v>
      </c>
      <c r="H651" s="108">
        <v>0</v>
      </c>
    </row>
    <row r="652" spans="1:8" x14ac:dyDescent="0.2">
      <c r="A652" s="117" t="s">
        <v>395</v>
      </c>
      <c r="B652" s="117"/>
      <c r="C652" s="117" t="s">
        <v>850</v>
      </c>
      <c r="D652" s="304" t="s">
        <v>1440</v>
      </c>
      <c r="E652" s="305"/>
      <c r="F652" s="117" t="s">
        <v>1652</v>
      </c>
      <c r="G652" s="116">
        <v>1</v>
      </c>
      <c r="H652" s="108">
        <v>0</v>
      </c>
    </row>
    <row r="653" spans="1:8" x14ac:dyDescent="0.2">
      <c r="A653" s="117" t="s">
        <v>396</v>
      </c>
      <c r="B653" s="117"/>
      <c r="C653" s="117" t="s">
        <v>851</v>
      </c>
      <c r="D653" s="304" t="s">
        <v>1441</v>
      </c>
      <c r="E653" s="305"/>
      <c r="F653" s="117" t="s">
        <v>1652</v>
      </c>
      <c r="G653" s="116">
        <v>1</v>
      </c>
      <c r="H653" s="108">
        <v>0</v>
      </c>
    </row>
    <row r="654" spans="1:8" x14ac:dyDescent="0.2">
      <c r="A654" s="117" t="s">
        <v>397</v>
      </c>
      <c r="B654" s="117"/>
      <c r="C654" s="117" t="s">
        <v>852</v>
      </c>
      <c r="D654" s="304" t="s">
        <v>1442</v>
      </c>
      <c r="E654" s="305"/>
      <c r="F654" s="117" t="s">
        <v>1652</v>
      </c>
      <c r="G654" s="116">
        <v>1</v>
      </c>
      <c r="H654" s="108">
        <v>0</v>
      </c>
    </row>
    <row r="655" spans="1:8" x14ac:dyDescent="0.2">
      <c r="A655" s="117" t="s">
        <v>398</v>
      </c>
      <c r="B655" s="117"/>
      <c r="C655" s="117" t="s">
        <v>853</v>
      </c>
      <c r="D655" s="304" t="s">
        <v>1443</v>
      </c>
      <c r="E655" s="305"/>
      <c r="F655" s="117" t="s">
        <v>1645</v>
      </c>
      <c r="G655" s="116">
        <v>27</v>
      </c>
      <c r="H655" s="108">
        <v>0</v>
      </c>
    </row>
    <row r="656" spans="1:8" x14ac:dyDescent="0.2">
      <c r="A656" s="117" t="s">
        <v>399</v>
      </c>
      <c r="B656" s="117"/>
      <c r="C656" s="117" t="s">
        <v>854</v>
      </c>
      <c r="D656" s="304" t="s">
        <v>1444</v>
      </c>
      <c r="E656" s="305"/>
      <c r="F656" s="117" t="s">
        <v>1647</v>
      </c>
      <c r="G656" s="116">
        <v>27</v>
      </c>
      <c r="H656" s="108">
        <v>0</v>
      </c>
    </row>
    <row r="657" spans="1:8" x14ac:dyDescent="0.2">
      <c r="A657" s="117" t="s">
        <v>400</v>
      </c>
      <c r="B657" s="117"/>
      <c r="C657" s="117" t="s">
        <v>855</v>
      </c>
      <c r="D657" s="304" t="s">
        <v>1445</v>
      </c>
      <c r="E657" s="305"/>
      <c r="F657" s="117" t="s">
        <v>1647</v>
      </c>
      <c r="G657" s="116">
        <v>1</v>
      </c>
      <c r="H657" s="108">
        <v>0</v>
      </c>
    </row>
    <row r="658" spans="1:8" x14ac:dyDescent="0.2">
      <c r="A658" s="117" t="s">
        <v>401</v>
      </c>
      <c r="B658" s="117"/>
      <c r="C658" s="117" t="s">
        <v>856</v>
      </c>
      <c r="D658" s="304" t="s">
        <v>1446</v>
      </c>
      <c r="E658" s="305"/>
      <c r="F658" s="117" t="s">
        <v>1647</v>
      </c>
      <c r="G658" s="116">
        <v>28</v>
      </c>
      <c r="H658" s="108">
        <v>0</v>
      </c>
    </row>
    <row r="659" spans="1:8" x14ac:dyDescent="0.2">
      <c r="A659" s="117" t="s">
        <v>402</v>
      </c>
      <c r="B659" s="117"/>
      <c r="C659" s="117" t="s">
        <v>857</v>
      </c>
      <c r="D659" s="304" t="s">
        <v>1447</v>
      </c>
      <c r="E659" s="305"/>
      <c r="F659" s="117" t="s">
        <v>1647</v>
      </c>
      <c r="G659" s="116">
        <v>28</v>
      </c>
      <c r="H659" s="108">
        <v>0</v>
      </c>
    </row>
    <row r="660" spans="1:8" x14ac:dyDescent="0.2">
      <c r="A660" s="117" t="s">
        <v>403</v>
      </c>
      <c r="B660" s="117"/>
      <c r="C660" s="117" t="s">
        <v>858</v>
      </c>
      <c r="D660" s="304" t="s">
        <v>1448</v>
      </c>
      <c r="E660" s="305"/>
      <c r="F660" s="117" t="s">
        <v>1647</v>
      </c>
      <c r="G660" s="116">
        <v>5</v>
      </c>
      <c r="H660" s="108">
        <v>0</v>
      </c>
    </row>
    <row r="661" spans="1:8" x14ac:dyDescent="0.2">
      <c r="A661" s="117" t="s">
        <v>404</v>
      </c>
      <c r="B661" s="117"/>
      <c r="C661" s="117" t="s">
        <v>859</v>
      </c>
      <c r="D661" s="304" t="s">
        <v>1449</v>
      </c>
      <c r="E661" s="305"/>
      <c r="F661" s="117" t="s">
        <v>1647</v>
      </c>
      <c r="G661" s="116">
        <v>5</v>
      </c>
      <c r="H661" s="108">
        <v>0</v>
      </c>
    </row>
    <row r="662" spans="1:8" x14ac:dyDescent="0.2">
      <c r="A662" s="117" t="s">
        <v>405</v>
      </c>
      <c r="B662" s="117"/>
      <c r="C662" s="117" t="s">
        <v>860</v>
      </c>
      <c r="D662" s="304" t="s">
        <v>1450</v>
      </c>
      <c r="E662" s="305"/>
      <c r="F662" s="117" t="s">
        <v>1647</v>
      </c>
      <c r="G662" s="116">
        <v>5</v>
      </c>
      <c r="H662" s="108">
        <v>0</v>
      </c>
    </row>
    <row r="663" spans="1:8" x14ac:dyDescent="0.2">
      <c r="A663" s="117" t="s">
        <v>406</v>
      </c>
      <c r="B663" s="117"/>
      <c r="C663" s="117" t="s">
        <v>861</v>
      </c>
      <c r="D663" s="304" t="s">
        <v>1451</v>
      </c>
      <c r="E663" s="305"/>
      <c r="F663" s="117" t="s">
        <v>1647</v>
      </c>
      <c r="G663" s="116">
        <v>28</v>
      </c>
      <c r="H663" s="108">
        <v>0</v>
      </c>
    </row>
    <row r="664" spans="1:8" x14ac:dyDescent="0.2">
      <c r="A664" s="117" t="s">
        <v>407</v>
      </c>
      <c r="B664" s="117"/>
      <c r="C664" s="117" t="s">
        <v>862</v>
      </c>
      <c r="D664" s="304" t="s">
        <v>1452</v>
      </c>
      <c r="E664" s="305"/>
      <c r="F664" s="117" t="s">
        <v>1644</v>
      </c>
      <c r="G664" s="116">
        <v>1</v>
      </c>
      <c r="H664" s="108">
        <v>0</v>
      </c>
    </row>
    <row r="665" spans="1:8" x14ac:dyDescent="0.2">
      <c r="A665" s="117" t="s">
        <v>408</v>
      </c>
      <c r="B665" s="117"/>
      <c r="C665" s="117" t="s">
        <v>863</v>
      </c>
      <c r="D665" s="304" t="s">
        <v>1453</v>
      </c>
      <c r="E665" s="305"/>
      <c r="F665" s="117" t="s">
        <v>1645</v>
      </c>
      <c r="G665" s="116">
        <v>27</v>
      </c>
      <c r="H665" s="108">
        <v>0</v>
      </c>
    </row>
    <row r="666" spans="1:8" x14ac:dyDescent="0.2">
      <c r="A666" s="117" t="s">
        <v>409</v>
      </c>
      <c r="B666" s="117"/>
      <c r="C666" s="117" t="s">
        <v>864</v>
      </c>
      <c r="D666" s="304" t="s">
        <v>1454</v>
      </c>
      <c r="E666" s="305"/>
      <c r="F666" s="117" t="s">
        <v>1652</v>
      </c>
      <c r="G666" s="116">
        <v>1</v>
      </c>
      <c r="H666" s="108">
        <v>0</v>
      </c>
    </row>
    <row r="667" spans="1:8" x14ac:dyDescent="0.2">
      <c r="A667" s="117" t="s">
        <v>410</v>
      </c>
      <c r="B667" s="117"/>
      <c r="C667" s="117" t="s">
        <v>865</v>
      </c>
      <c r="D667" s="304" t="s">
        <v>1455</v>
      </c>
      <c r="E667" s="305"/>
      <c r="F667" s="117" t="s">
        <v>1652</v>
      </c>
      <c r="G667" s="116">
        <v>1</v>
      </c>
      <c r="H667" s="108">
        <v>0</v>
      </c>
    </row>
    <row r="668" spans="1:8" x14ac:dyDescent="0.2">
      <c r="A668" s="117" t="s">
        <v>411</v>
      </c>
      <c r="B668" s="117"/>
      <c r="C668" s="117" t="s">
        <v>866</v>
      </c>
      <c r="D668" s="304" t="s">
        <v>1456</v>
      </c>
      <c r="E668" s="305"/>
      <c r="F668" s="117" t="s">
        <v>1652</v>
      </c>
      <c r="G668" s="116">
        <v>1</v>
      </c>
      <c r="H668" s="108">
        <v>0</v>
      </c>
    </row>
    <row r="669" spans="1:8" x14ac:dyDescent="0.2">
      <c r="A669" s="117" t="s">
        <v>412</v>
      </c>
      <c r="B669" s="117"/>
      <c r="C669" s="117" t="s">
        <v>867</v>
      </c>
      <c r="D669" s="304" t="s">
        <v>1420</v>
      </c>
      <c r="E669" s="305"/>
      <c r="F669" s="117" t="s">
        <v>1652</v>
      </c>
      <c r="G669" s="116">
        <v>1</v>
      </c>
      <c r="H669" s="108">
        <v>0</v>
      </c>
    </row>
    <row r="670" spans="1:8" x14ac:dyDescent="0.2">
      <c r="A670" s="117" t="s">
        <v>413</v>
      </c>
      <c r="B670" s="117"/>
      <c r="C670" s="117" t="s">
        <v>868</v>
      </c>
      <c r="D670" s="304" t="s">
        <v>1421</v>
      </c>
      <c r="E670" s="305"/>
      <c r="F670" s="117" t="s">
        <v>1652</v>
      </c>
      <c r="G670" s="116">
        <v>1</v>
      </c>
      <c r="H670" s="108">
        <v>0</v>
      </c>
    </row>
    <row r="671" spans="1:8" x14ac:dyDescent="0.2">
      <c r="A671" s="117" t="s">
        <v>414</v>
      </c>
      <c r="B671" s="117"/>
      <c r="C671" s="117" t="s">
        <v>1992</v>
      </c>
      <c r="D671" s="304" t="s">
        <v>1457</v>
      </c>
      <c r="E671" s="305"/>
      <c r="F671" s="117" t="s">
        <v>1652</v>
      </c>
      <c r="G671" s="116">
        <v>1</v>
      </c>
      <c r="H671" s="108">
        <v>0</v>
      </c>
    </row>
    <row r="672" spans="1:8" x14ac:dyDescent="0.2">
      <c r="A672" s="120"/>
      <c r="B672" s="120"/>
      <c r="C672" s="120" t="s">
        <v>869</v>
      </c>
      <c r="D672" s="306" t="s">
        <v>1458</v>
      </c>
      <c r="E672" s="307"/>
      <c r="F672" s="120"/>
      <c r="G672" s="142"/>
      <c r="H672" s="109"/>
    </row>
    <row r="673" spans="1:8" x14ac:dyDescent="0.2">
      <c r="A673" s="117" t="s">
        <v>415</v>
      </c>
      <c r="B673" s="117"/>
      <c r="C673" s="117" t="s">
        <v>870</v>
      </c>
      <c r="D673" s="304" t="s">
        <v>1459</v>
      </c>
      <c r="E673" s="305"/>
      <c r="F673" s="117" t="s">
        <v>1644</v>
      </c>
      <c r="G673" s="116">
        <v>6</v>
      </c>
      <c r="H673" s="108">
        <v>0</v>
      </c>
    </row>
    <row r="674" spans="1:8" ht="12.2" customHeight="1" x14ac:dyDescent="0.2">
      <c r="D674" s="334" t="s">
        <v>3793</v>
      </c>
      <c r="E674" s="335"/>
      <c r="F674" s="335"/>
      <c r="G674" s="143">
        <v>6</v>
      </c>
    </row>
    <row r="675" spans="1:8" x14ac:dyDescent="0.2">
      <c r="A675" s="117" t="s">
        <v>416</v>
      </c>
      <c r="B675" s="117"/>
      <c r="C675" s="117" t="s">
        <v>3457</v>
      </c>
      <c r="D675" s="304" t="s">
        <v>3456</v>
      </c>
      <c r="E675" s="305"/>
      <c r="F675" s="117" t="s">
        <v>1644</v>
      </c>
      <c r="G675" s="116">
        <v>1</v>
      </c>
      <c r="H675" s="108">
        <v>0</v>
      </c>
    </row>
    <row r="676" spans="1:8" ht="12.2" customHeight="1" x14ac:dyDescent="0.2">
      <c r="D676" s="334" t="s">
        <v>1749</v>
      </c>
      <c r="E676" s="335"/>
      <c r="F676" s="335"/>
      <c r="G676" s="143">
        <v>1</v>
      </c>
    </row>
    <row r="677" spans="1:8" x14ac:dyDescent="0.2">
      <c r="A677" s="117" t="s">
        <v>417</v>
      </c>
      <c r="B677" s="117"/>
      <c r="C677" s="117" t="s">
        <v>871</v>
      </c>
      <c r="D677" s="304" t="s">
        <v>3455</v>
      </c>
      <c r="E677" s="305"/>
      <c r="F677" s="117" t="s">
        <v>1645</v>
      </c>
      <c r="G677" s="116">
        <v>969.84</v>
      </c>
      <c r="H677" s="108">
        <v>0</v>
      </c>
    </row>
    <row r="678" spans="1:8" ht="12.2" customHeight="1" x14ac:dyDescent="0.2">
      <c r="D678" s="334" t="s">
        <v>3792</v>
      </c>
      <c r="E678" s="335"/>
      <c r="F678" s="335"/>
      <c r="G678" s="143">
        <v>969.84</v>
      </c>
    </row>
    <row r="679" spans="1:8" x14ac:dyDescent="0.2">
      <c r="A679" s="117" t="s">
        <v>418</v>
      </c>
      <c r="B679" s="117"/>
      <c r="C679" s="117" t="s">
        <v>872</v>
      </c>
      <c r="D679" s="304" t="s">
        <v>1461</v>
      </c>
      <c r="E679" s="305"/>
      <c r="F679" s="117" t="s">
        <v>1645</v>
      </c>
      <c r="G679" s="116">
        <v>1155.05</v>
      </c>
      <c r="H679" s="108">
        <v>0</v>
      </c>
    </row>
    <row r="680" spans="1:8" ht="12.2" customHeight="1" x14ac:dyDescent="0.2">
      <c r="D680" s="334" t="s">
        <v>3784</v>
      </c>
      <c r="E680" s="335"/>
      <c r="F680" s="335"/>
      <c r="G680" s="143">
        <v>1144.242</v>
      </c>
    </row>
    <row r="681" spans="1:8" ht="12.2" customHeight="1" x14ac:dyDescent="0.2">
      <c r="A681" s="117"/>
      <c r="B681" s="117"/>
      <c r="C681" s="117"/>
      <c r="D681" s="334" t="s">
        <v>3783</v>
      </c>
      <c r="E681" s="335"/>
      <c r="F681" s="334"/>
      <c r="G681" s="144">
        <v>10.808</v>
      </c>
      <c r="H681" s="111"/>
    </row>
    <row r="682" spans="1:8" x14ac:dyDescent="0.2">
      <c r="A682" s="117" t="s">
        <v>419</v>
      </c>
      <c r="B682" s="117"/>
      <c r="C682" s="117" t="s">
        <v>873</v>
      </c>
      <c r="D682" s="304" t="s">
        <v>1462</v>
      </c>
      <c r="E682" s="305"/>
      <c r="F682" s="117" t="s">
        <v>1645</v>
      </c>
      <c r="G682" s="116">
        <v>1155.05</v>
      </c>
      <c r="H682" s="108">
        <v>0</v>
      </c>
    </row>
    <row r="683" spans="1:8" ht="12.2" customHeight="1" x14ac:dyDescent="0.2">
      <c r="D683" s="334" t="s">
        <v>3784</v>
      </c>
      <c r="E683" s="335"/>
      <c r="F683" s="335"/>
      <c r="G683" s="143">
        <v>1144.242</v>
      </c>
    </row>
    <row r="684" spans="1:8" ht="12.2" customHeight="1" x14ac:dyDescent="0.2">
      <c r="A684" s="117"/>
      <c r="B684" s="117"/>
      <c r="C684" s="117"/>
      <c r="D684" s="334" t="s">
        <v>3783</v>
      </c>
      <c r="E684" s="335"/>
      <c r="F684" s="334"/>
      <c r="G684" s="144">
        <v>10.808</v>
      </c>
      <c r="H684" s="111"/>
    </row>
    <row r="685" spans="1:8" x14ac:dyDescent="0.2">
      <c r="A685" s="117" t="s">
        <v>420</v>
      </c>
      <c r="B685" s="117"/>
      <c r="C685" s="117" t="s">
        <v>2324</v>
      </c>
      <c r="D685" s="304" t="s">
        <v>2323</v>
      </c>
      <c r="E685" s="305"/>
      <c r="F685" s="117" t="s">
        <v>1645</v>
      </c>
      <c r="G685" s="116">
        <v>11.385</v>
      </c>
      <c r="H685" s="108">
        <v>0</v>
      </c>
    </row>
    <row r="686" spans="1:8" ht="12.2" customHeight="1" x14ac:dyDescent="0.2">
      <c r="D686" s="334" t="s">
        <v>3766</v>
      </c>
      <c r="E686" s="335"/>
      <c r="F686" s="335"/>
      <c r="G686" s="143">
        <v>11.385</v>
      </c>
    </row>
    <row r="687" spans="1:8" x14ac:dyDescent="0.2">
      <c r="A687" s="117" t="s">
        <v>421</v>
      </c>
      <c r="B687" s="117"/>
      <c r="C687" s="117" t="s">
        <v>874</v>
      </c>
      <c r="D687" s="304" t="s">
        <v>3454</v>
      </c>
      <c r="E687" s="305"/>
      <c r="F687" s="117" t="s">
        <v>1645</v>
      </c>
      <c r="G687" s="116">
        <v>1155.05</v>
      </c>
      <c r="H687" s="108">
        <v>0</v>
      </c>
    </row>
    <row r="688" spans="1:8" ht="12.2" customHeight="1" x14ac:dyDescent="0.2">
      <c r="D688" s="334" t="s">
        <v>3784</v>
      </c>
      <c r="E688" s="335"/>
      <c r="F688" s="335"/>
      <c r="G688" s="143">
        <v>1144.242</v>
      </c>
    </row>
    <row r="689" spans="1:8" ht="12.2" customHeight="1" x14ac:dyDescent="0.2">
      <c r="A689" s="117"/>
      <c r="B689" s="117"/>
      <c r="C689" s="117"/>
      <c r="D689" s="334" t="s">
        <v>3783</v>
      </c>
      <c r="E689" s="335"/>
      <c r="F689" s="334"/>
      <c r="G689" s="144">
        <v>10.808</v>
      </c>
      <c r="H689" s="111"/>
    </row>
    <row r="690" spans="1:8" x14ac:dyDescent="0.2">
      <c r="A690" s="124" t="s">
        <v>422</v>
      </c>
      <c r="B690" s="124"/>
      <c r="C690" s="124" t="s">
        <v>875</v>
      </c>
      <c r="D690" s="311" t="s">
        <v>1464</v>
      </c>
      <c r="E690" s="312"/>
      <c r="F690" s="124" t="s">
        <v>1645</v>
      </c>
      <c r="G690" s="123">
        <v>1212.8030000000001</v>
      </c>
      <c r="H690" s="121">
        <v>0</v>
      </c>
    </row>
    <row r="691" spans="1:8" ht="12.2" customHeight="1" x14ac:dyDescent="0.2">
      <c r="D691" s="336" t="s">
        <v>3791</v>
      </c>
      <c r="E691" s="337"/>
      <c r="F691" s="337"/>
      <c r="G691" s="146">
        <v>1155.05</v>
      </c>
    </row>
    <row r="692" spans="1:8" ht="12.2" customHeight="1" x14ac:dyDescent="0.2">
      <c r="A692" s="124"/>
      <c r="B692" s="124"/>
      <c r="C692" s="124"/>
      <c r="D692" s="336" t="s">
        <v>3790</v>
      </c>
      <c r="E692" s="337"/>
      <c r="F692" s="336"/>
      <c r="G692" s="145">
        <v>57.753</v>
      </c>
      <c r="H692" s="122"/>
    </row>
    <row r="693" spans="1:8" x14ac:dyDescent="0.2">
      <c r="A693" s="117" t="s">
        <v>423</v>
      </c>
      <c r="B693" s="117"/>
      <c r="C693" s="117" t="s">
        <v>2322</v>
      </c>
      <c r="D693" s="304" t="s">
        <v>2321</v>
      </c>
      <c r="E693" s="305"/>
      <c r="F693" s="117" t="s">
        <v>1645</v>
      </c>
      <c r="G693" s="116">
        <v>11.385</v>
      </c>
      <c r="H693" s="108">
        <v>0</v>
      </c>
    </row>
    <row r="694" spans="1:8" ht="12.2" customHeight="1" x14ac:dyDescent="0.2">
      <c r="D694" s="334" t="s">
        <v>3766</v>
      </c>
      <c r="E694" s="335"/>
      <c r="F694" s="335"/>
      <c r="G694" s="143">
        <v>11.385</v>
      </c>
    </row>
    <row r="695" spans="1:8" x14ac:dyDescent="0.2">
      <c r="A695" s="124" t="s">
        <v>424</v>
      </c>
      <c r="B695" s="124"/>
      <c r="C695" s="124" t="s">
        <v>2320</v>
      </c>
      <c r="D695" s="311" t="s">
        <v>2319</v>
      </c>
      <c r="E695" s="312"/>
      <c r="F695" s="124" t="s">
        <v>1645</v>
      </c>
      <c r="G695" s="123">
        <v>11.954000000000001</v>
      </c>
      <c r="H695" s="121">
        <v>0</v>
      </c>
    </row>
    <row r="696" spans="1:8" ht="12.2" customHeight="1" x14ac:dyDescent="0.2">
      <c r="D696" s="336" t="s">
        <v>3766</v>
      </c>
      <c r="E696" s="337"/>
      <c r="F696" s="337"/>
      <c r="G696" s="146">
        <v>11.385</v>
      </c>
    </row>
    <row r="697" spans="1:8" ht="12.2" customHeight="1" x14ac:dyDescent="0.2">
      <c r="A697" s="124"/>
      <c r="B697" s="124"/>
      <c r="C697" s="124"/>
      <c r="D697" s="336" t="s">
        <v>3789</v>
      </c>
      <c r="E697" s="337"/>
      <c r="F697" s="336"/>
      <c r="G697" s="145">
        <v>0.56899999999999995</v>
      </c>
      <c r="H697" s="122"/>
    </row>
    <row r="698" spans="1:8" x14ac:dyDescent="0.2">
      <c r="A698" s="117" t="s">
        <v>425</v>
      </c>
      <c r="B698" s="117"/>
      <c r="C698" s="117" t="s">
        <v>876</v>
      </c>
      <c r="D698" s="304" t="s">
        <v>1465</v>
      </c>
      <c r="E698" s="305"/>
      <c r="F698" s="117" t="s">
        <v>1645</v>
      </c>
      <c r="G698" s="116">
        <v>1155.05</v>
      </c>
      <c r="H698" s="108">
        <v>0</v>
      </c>
    </row>
    <row r="699" spans="1:8" ht="12.2" customHeight="1" x14ac:dyDescent="0.2">
      <c r="D699" s="334" t="s">
        <v>3784</v>
      </c>
      <c r="E699" s="335"/>
      <c r="F699" s="335"/>
      <c r="G699" s="143">
        <v>1144.242</v>
      </c>
    </row>
    <row r="700" spans="1:8" ht="12.2" customHeight="1" x14ac:dyDescent="0.2">
      <c r="A700" s="117"/>
      <c r="B700" s="117"/>
      <c r="C700" s="117"/>
      <c r="D700" s="334" t="s">
        <v>3783</v>
      </c>
      <c r="E700" s="335"/>
      <c r="F700" s="334"/>
      <c r="G700" s="144">
        <v>10.808</v>
      </c>
      <c r="H700" s="111"/>
    </row>
    <row r="701" spans="1:8" x14ac:dyDescent="0.2">
      <c r="A701" s="117" t="s">
        <v>426</v>
      </c>
      <c r="B701" s="117"/>
      <c r="C701" s="117" t="s">
        <v>877</v>
      </c>
      <c r="D701" s="304" t="s">
        <v>1466</v>
      </c>
      <c r="E701" s="305"/>
      <c r="F701" s="117" t="s">
        <v>1647</v>
      </c>
      <c r="G701" s="116">
        <v>25.684000000000001</v>
      </c>
      <c r="H701" s="108">
        <v>0</v>
      </c>
    </row>
    <row r="702" spans="1:8" ht="12.2" customHeight="1" x14ac:dyDescent="0.2">
      <c r="D702" s="334" t="s">
        <v>3788</v>
      </c>
      <c r="E702" s="335"/>
      <c r="F702" s="335"/>
      <c r="G702" s="143">
        <v>25.684000000000001</v>
      </c>
    </row>
    <row r="703" spans="1:8" x14ac:dyDescent="0.2">
      <c r="A703" s="117" t="s">
        <v>427</v>
      </c>
      <c r="B703" s="117"/>
      <c r="C703" s="117" t="s">
        <v>878</v>
      </c>
      <c r="D703" s="304" t="s">
        <v>1467</v>
      </c>
      <c r="E703" s="305"/>
      <c r="F703" s="117" t="s">
        <v>1645</v>
      </c>
      <c r="G703" s="116">
        <v>114.7</v>
      </c>
      <c r="H703" s="108">
        <v>0</v>
      </c>
    </row>
    <row r="704" spans="1:8" ht="12.2" customHeight="1" x14ac:dyDescent="0.2">
      <c r="D704" s="334" t="s">
        <v>3787</v>
      </c>
      <c r="E704" s="335"/>
      <c r="F704" s="335"/>
      <c r="G704" s="143">
        <v>114.7</v>
      </c>
    </row>
    <row r="705" spans="1:8" x14ac:dyDescent="0.2">
      <c r="A705" s="117" t="s">
        <v>428</v>
      </c>
      <c r="B705" s="117"/>
      <c r="C705" s="117" t="s">
        <v>879</v>
      </c>
      <c r="D705" s="304" t="s">
        <v>1468</v>
      </c>
      <c r="E705" s="305"/>
      <c r="F705" s="117" t="s">
        <v>1645</v>
      </c>
      <c r="G705" s="116">
        <v>114.7</v>
      </c>
      <c r="H705" s="108">
        <v>0</v>
      </c>
    </row>
    <row r="706" spans="1:8" ht="12.2" customHeight="1" x14ac:dyDescent="0.2">
      <c r="D706" s="334" t="s">
        <v>3787</v>
      </c>
      <c r="E706" s="335"/>
      <c r="F706" s="335"/>
      <c r="G706" s="143">
        <v>114.7</v>
      </c>
    </row>
    <row r="707" spans="1:8" x14ac:dyDescent="0.2">
      <c r="A707" s="117" t="s">
        <v>429</v>
      </c>
      <c r="B707" s="117"/>
      <c r="C707" s="117" t="s">
        <v>880</v>
      </c>
      <c r="D707" s="304" t="s">
        <v>1469</v>
      </c>
      <c r="E707" s="305"/>
      <c r="F707" s="117" t="s">
        <v>1647</v>
      </c>
      <c r="G707" s="116">
        <v>2.1789999999999998</v>
      </c>
      <c r="H707" s="108">
        <v>0</v>
      </c>
    </row>
    <row r="708" spans="1:8" ht="12.2" customHeight="1" x14ac:dyDescent="0.2">
      <c r="D708" s="334" t="s">
        <v>3786</v>
      </c>
      <c r="E708" s="335"/>
      <c r="F708" s="335"/>
      <c r="G708" s="143">
        <v>2.1789999999999998</v>
      </c>
    </row>
    <row r="709" spans="1:8" x14ac:dyDescent="0.2">
      <c r="A709" s="117" t="s">
        <v>430</v>
      </c>
      <c r="B709" s="117"/>
      <c r="C709" s="117" t="s">
        <v>881</v>
      </c>
      <c r="D709" s="304" t="s">
        <v>1470</v>
      </c>
      <c r="E709" s="305"/>
      <c r="F709" s="117" t="s">
        <v>1648</v>
      </c>
      <c r="G709" s="116">
        <v>101.224</v>
      </c>
      <c r="H709" s="108">
        <v>0</v>
      </c>
    </row>
    <row r="710" spans="1:8" ht="12.2" customHeight="1" x14ac:dyDescent="0.2">
      <c r="D710" s="334" t="s">
        <v>3785</v>
      </c>
      <c r="E710" s="335"/>
      <c r="F710" s="335"/>
      <c r="G710" s="143">
        <v>101.224</v>
      </c>
    </row>
    <row r="711" spans="1:8" x14ac:dyDescent="0.2">
      <c r="A711" s="120"/>
      <c r="B711" s="120"/>
      <c r="C711" s="120" t="s">
        <v>882</v>
      </c>
      <c r="D711" s="306" t="s">
        <v>1471</v>
      </c>
      <c r="E711" s="307"/>
      <c r="F711" s="120"/>
      <c r="G711" s="142"/>
      <c r="H711" s="109"/>
    </row>
    <row r="712" spans="1:8" x14ac:dyDescent="0.2">
      <c r="A712" s="117" t="s">
        <v>431</v>
      </c>
      <c r="B712" s="117"/>
      <c r="C712" s="117" t="s">
        <v>883</v>
      </c>
      <c r="D712" s="304" t="s">
        <v>3453</v>
      </c>
      <c r="E712" s="305"/>
      <c r="F712" s="117" t="s">
        <v>1645</v>
      </c>
      <c r="G712" s="116">
        <v>1155.05</v>
      </c>
      <c r="H712" s="108">
        <v>0</v>
      </c>
    </row>
    <row r="713" spans="1:8" ht="12.2" customHeight="1" x14ac:dyDescent="0.2">
      <c r="D713" s="334" t="s">
        <v>3784</v>
      </c>
      <c r="E713" s="335"/>
      <c r="F713" s="335"/>
      <c r="G713" s="143">
        <v>1144.242</v>
      </c>
    </row>
    <row r="714" spans="1:8" ht="12.2" customHeight="1" x14ac:dyDescent="0.2">
      <c r="A714" s="117"/>
      <c r="B714" s="117"/>
      <c r="C714" s="117"/>
      <c r="D714" s="334" t="s">
        <v>3783</v>
      </c>
      <c r="E714" s="335"/>
      <c r="F714" s="334"/>
      <c r="G714" s="144">
        <v>10.808</v>
      </c>
      <c r="H714" s="111"/>
    </row>
    <row r="715" spans="1:8" x14ac:dyDescent="0.2">
      <c r="A715" s="117" t="s">
        <v>432</v>
      </c>
      <c r="B715" s="117"/>
      <c r="C715" s="117" t="s">
        <v>884</v>
      </c>
      <c r="D715" s="304" t="s">
        <v>3452</v>
      </c>
      <c r="E715" s="305"/>
      <c r="F715" s="117" t="s">
        <v>1646</v>
      </c>
      <c r="G715" s="116">
        <v>28</v>
      </c>
      <c r="H715" s="108">
        <v>0</v>
      </c>
    </row>
    <row r="716" spans="1:8" ht="12.2" customHeight="1" x14ac:dyDescent="0.2">
      <c r="D716" s="334" t="s">
        <v>3782</v>
      </c>
      <c r="E716" s="335"/>
      <c r="F716" s="335"/>
      <c r="G716" s="143">
        <v>28</v>
      </c>
    </row>
    <row r="717" spans="1:8" x14ac:dyDescent="0.2">
      <c r="A717" s="117" t="s">
        <v>433</v>
      </c>
      <c r="B717" s="117"/>
      <c r="C717" s="117" t="s">
        <v>885</v>
      </c>
      <c r="D717" s="304" t="s">
        <v>3451</v>
      </c>
      <c r="E717" s="305"/>
      <c r="F717" s="117" t="s">
        <v>1645</v>
      </c>
      <c r="G717" s="116">
        <v>6.84</v>
      </c>
      <c r="H717" s="108">
        <v>0</v>
      </c>
    </row>
    <row r="718" spans="1:8" ht="12.2" customHeight="1" x14ac:dyDescent="0.2">
      <c r="D718" s="334" t="s">
        <v>3781</v>
      </c>
      <c r="E718" s="335"/>
      <c r="F718" s="335"/>
      <c r="G718" s="143">
        <v>6.84</v>
      </c>
    </row>
    <row r="719" spans="1:8" x14ac:dyDescent="0.2">
      <c r="A719" s="117" t="s">
        <v>434</v>
      </c>
      <c r="B719" s="117"/>
      <c r="C719" s="117" t="s">
        <v>886</v>
      </c>
      <c r="D719" s="304" t="s">
        <v>3034</v>
      </c>
      <c r="E719" s="305"/>
      <c r="F719" s="117" t="s">
        <v>1646</v>
      </c>
      <c r="G719" s="116">
        <v>155</v>
      </c>
      <c r="H719" s="108">
        <v>0</v>
      </c>
    </row>
    <row r="720" spans="1:8" ht="12.2" customHeight="1" x14ac:dyDescent="0.2">
      <c r="D720" s="334" t="s">
        <v>3780</v>
      </c>
      <c r="E720" s="335"/>
      <c r="F720" s="335"/>
      <c r="G720" s="143">
        <v>155</v>
      </c>
    </row>
    <row r="721" spans="1:8" x14ac:dyDescent="0.2">
      <c r="A721" s="117" t="s">
        <v>435</v>
      </c>
      <c r="B721" s="117"/>
      <c r="C721" s="117" t="s">
        <v>887</v>
      </c>
      <c r="D721" s="304" t="s">
        <v>3033</v>
      </c>
      <c r="E721" s="305"/>
      <c r="F721" s="117" t="s">
        <v>1644</v>
      </c>
      <c r="G721" s="116">
        <v>14</v>
      </c>
      <c r="H721" s="108">
        <v>0</v>
      </c>
    </row>
    <row r="722" spans="1:8" ht="12.2" customHeight="1" x14ac:dyDescent="0.2">
      <c r="D722" s="334" t="s">
        <v>3779</v>
      </c>
      <c r="E722" s="335"/>
      <c r="F722" s="335"/>
      <c r="G722" s="143">
        <v>14</v>
      </c>
    </row>
    <row r="723" spans="1:8" x14ac:dyDescent="0.2">
      <c r="A723" s="117" t="s">
        <v>436</v>
      </c>
      <c r="B723" s="117"/>
      <c r="C723" s="117" t="s">
        <v>888</v>
      </c>
      <c r="D723" s="304" t="s">
        <v>3032</v>
      </c>
      <c r="E723" s="305"/>
      <c r="F723" s="117" t="s">
        <v>1644</v>
      </c>
      <c r="G723" s="116">
        <v>3</v>
      </c>
      <c r="H723" s="108">
        <v>0</v>
      </c>
    </row>
    <row r="724" spans="1:8" ht="12.2" customHeight="1" x14ac:dyDescent="0.2">
      <c r="D724" s="334" t="s">
        <v>1797</v>
      </c>
      <c r="E724" s="335"/>
      <c r="F724" s="335"/>
      <c r="G724" s="143">
        <v>3</v>
      </c>
    </row>
    <row r="725" spans="1:8" x14ac:dyDescent="0.2">
      <c r="A725" s="117" t="s">
        <v>437</v>
      </c>
      <c r="B725" s="117"/>
      <c r="C725" s="117" t="s">
        <v>3450</v>
      </c>
      <c r="D725" s="304" t="s">
        <v>3449</v>
      </c>
      <c r="E725" s="305"/>
      <c r="F725" s="117" t="s">
        <v>1646</v>
      </c>
      <c r="G725" s="116">
        <v>0.6</v>
      </c>
      <c r="H725" s="108">
        <v>0</v>
      </c>
    </row>
    <row r="726" spans="1:8" ht="12.2" customHeight="1" x14ac:dyDescent="0.2">
      <c r="D726" s="334" t="s">
        <v>3778</v>
      </c>
      <c r="E726" s="335"/>
      <c r="F726" s="335"/>
      <c r="G726" s="143">
        <v>0.6</v>
      </c>
    </row>
    <row r="727" spans="1:8" x14ac:dyDescent="0.2">
      <c r="A727" s="117" t="s">
        <v>438</v>
      </c>
      <c r="B727" s="117"/>
      <c r="C727" s="117" t="s">
        <v>889</v>
      </c>
      <c r="D727" s="304" t="s">
        <v>1478</v>
      </c>
      <c r="E727" s="305"/>
      <c r="F727" s="117" t="s">
        <v>1646</v>
      </c>
      <c r="G727" s="116">
        <v>126.75</v>
      </c>
      <c r="H727" s="108">
        <v>0</v>
      </c>
    </row>
    <row r="728" spans="1:8" ht="12.2" customHeight="1" x14ac:dyDescent="0.2">
      <c r="D728" s="334" t="s">
        <v>3777</v>
      </c>
      <c r="E728" s="335"/>
      <c r="F728" s="335"/>
      <c r="G728" s="143">
        <v>126.75</v>
      </c>
    </row>
    <row r="729" spans="1:8" x14ac:dyDescent="0.2">
      <c r="A729" s="117" t="s">
        <v>439</v>
      </c>
      <c r="B729" s="117"/>
      <c r="C729" s="117" t="s">
        <v>890</v>
      </c>
      <c r="D729" s="304" t="s">
        <v>1479</v>
      </c>
      <c r="E729" s="305"/>
      <c r="F729" s="117" t="s">
        <v>1646</v>
      </c>
      <c r="G729" s="116">
        <v>57.15</v>
      </c>
      <c r="H729" s="108">
        <v>0</v>
      </c>
    </row>
    <row r="730" spans="1:8" ht="12.2" customHeight="1" x14ac:dyDescent="0.2">
      <c r="D730" s="334" t="s">
        <v>3776</v>
      </c>
      <c r="E730" s="335"/>
      <c r="F730" s="335"/>
      <c r="G730" s="143">
        <v>57.15</v>
      </c>
    </row>
    <row r="731" spans="1:8" x14ac:dyDescent="0.2">
      <c r="A731" s="117" t="s">
        <v>440</v>
      </c>
      <c r="B731" s="117"/>
      <c r="C731" s="117" t="s">
        <v>891</v>
      </c>
      <c r="D731" s="304" t="s">
        <v>1480</v>
      </c>
      <c r="E731" s="305"/>
      <c r="F731" s="117" t="s">
        <v>1646</v>
      </c>
      <c r="G731" s="116">
        <v>184.5</v>
      </c>
      <c r="H731" s="108">
        <v>0</v>
      </c>
    </row>
    <row r="732" spans="1:8" ht="12.2" customHeight="1" x14ac:dyDescent="0.2">
      <c r="D732" s="334" t="s">
        <v>3775</v>
      </c>
      <c r="E732" s="335"/>
      <c r="F732" s="335"/>
      <c r="G732" s="143">
        <v>184.5</v>
      </c>
    </row>
    <row r="733" spans="1:8" x14ac:dyDescent="0.2">
      <c r="A733" s="117" t="s">
        <v>441</v>
      </c>
      <c r="B733" s="117"/>
      <c r="C733" s="117" t="s">
        <v>892</v>
      </c>
      <c r="D733" s="304" t="s">
        <v>1481</v>
      </c>
      <c r="E733" s="305"/>
      <c r="F733" s="117" t="s">
        <v>1646</v>
      </c>
      <c r="G733" s="116">
        <v>70</v>
      </c>
      <c r="H733" s="108">
        <v>0</v>
      </c>
    </row>
    <row r="734" spans="1:8" ht="12.2" customHeight="1" x14ac:dyDescent="0.2">
      <c r="D734" s="334" t="s">
        <v>3774</v>
      </c>
      <c r="E734" s="335"/>
      <c r="F734" s="335"/>
      <c r="G734" s="143">
        <v>70</v>
      </c>
    </row>
    <row r="735" spans="1:8" x14ac:dyDescent="0.2">
      <c r="A735" s="117" t="s">
        <v>442</v>
      </c>
      <c r="B735" s="117"/>
      <c r="C735" s="117" t="s">
        <v>2316</v>
      </c>
      <c r="D735" s="304" t="s">
        <v>3448</v>
      </c>
      <c r="E735" s="305"/>
      <c r="F735" s="117" t="s">
        <v>1646</v>
      </c>
      <c r="G735" s="116">
        <v>22</v>
      </c>
      <c r="H735" s="108">
        <v>0</v>
      </c>
    </row>
    <row r="736" spans="1:8" ht="12.2" customHeight="1" x14ac:dyDescent="0.2">
      <c r="D736" s="334" t="s">
        <v>3773</v>
      </c>
      <c r="E736" s="335"/>
      <c r="F736" s="335"/>
      <c r="G736" s="143">
        <v>22</v>
      </c>
    </row>
    <row r="737" spans="1:8" x14ac:dyDescent="0.2">
      <c r="A737" s="117" t="s">
        <v>443</v>
      </c>
      <c r="B737" s="117"/>
      <c r="C737" s="117" t="s">
        <v>893</v>
      </c>
      <c r="D737" s="304" t="s">
        <v>3447</v>
      </c>
      <c r="E737" s="305"/>
      <c r="F737" s="117" t="s">
        <v>1646</v>
      </c>
      <c r="G737" s="116">
        <v>133</v>
      </c>
      <c r="H737" s="108">
        <v>0</v>
      </c>
    </row>
    <row r="738" spans="1:8" ht="12.2" customHeight="1" x14ac:dyDescent="0.2">
      <c r="D738" s="334" t="s">
        <v>3772</v>
      </c>
      <c r="E738" s="335"/>
      <c r="F738" s="335"/>
      <c r="G738" s="143">
        <v>133</v>
      </c>
    </row>
    <row r="739" spans="1:8" x14ac:dyDescent="0.2">
      <c r="A739" s="117" t="s">
        <v>444</v>
      </c>
      <c r="B739" s="117"/>
      <c r="C739" s="117" t="s">
        <v>2314</v>
      </c>
      <c r="D739" s="304" t="s">
        <v>3446</v>
      </c>
      <c r="E739" s="305"/>
      <c r="F739" s="117" t="s">
        <v>1644</v>
      </c>
      <c r="G739" s="116">
        <v>2</v>
      </c>
      <c r="H739" s="108">
        <v>0</v>
      </c>
    </row>
    <row r="740" spans="1:8" ht="12.2" customHeight="1" x14ac:dyDescent="0.2">
      <c r="D740" s="334" t="s">
        <v>1849</v>
      </c>
      <c r="E740" s="335"/>
      <c r="F740" s="335"/>
      <c r="G740" s="143">
        <v>2</v>
      </c>
    </row>
    <row r="741" spans="1:8" x14ac:dyDescent="0.2">
      <c r="A741" s="117" t="s">
        <v>445</v>
      </c>
      <c r="B741" s="117"/>
      <c r="C741" s="117" t="s">
        <v>894</v>
      </c>
      <c r="D741" s="304" t="s">
        <v>1483</v>
      </c>
      <c r="E741" s="305"/>
      <c r="F741" s="117" t="s">
        <v>1644</v>
      </c>
      <c r="G741" s="116">
        <v>12</v>
      </c>
      <c r="H741" s="108">
        <v>0</v>
      </c>
    </row>
    <row r="742" spans="1:8" ht="12.2" customHeight="1" x14ac:dyDescent="0.2">
      <c r="D742" s="334" t="s">
        <v>2929</v>
      </c>
      <c r="E742" s="335"/>
      <c r="F742" s="335"/>
      <c r="G742" s="143">
        <v>12</v>
      </c>
    </row>
    <row r="743" spans="1:8" x14ac:dyDescent="0.2">
      <c r="A743" s="117" t="s">
        <v>446</v>
      </c>
      <c r="B743" s="117"/>
      <c r="C743" s="117" t="s">
        <v>2312</v>
      </c>
      <c r="D743" s="304" t="s">
        <v>3445</v>
      </c>
      <c r="E743" s="305"/>
      <c r="F743" s="117" t="s">
        <v>1646</v>
      </c>
      <c r="G743" s="116">
        <v>10</v>
      </c>
      <c r="H743" s="108">
        <v>0</v>
      </c>
    </row>
    <row r="744" spans="1:8" ht="12.2" customHeight="1" x14ac:dyDescent="0.2">
      <c r="D744" s="334" t="s">
        <v>2177</v>
      </c>
      <c r="E744" s="335"/>
      <c r="F744" s="335"/>
      <c r="G744" s="143">
        <v>10</v>
      </c>
    </row>
    <row r="745" spans="1:8" x14ac:dyDescent="0.2">
      <c r="A745" s="117" t="s">
        <v>447</v>
      </c>
      <c r="B745" s="117"/>
      <c r="C745" s="117" t="s">
        <v>895</v>
      </c>
      <c r="D745" s="304" t="s">
        <v>3444</v>
      </c>
      <c r="E745" s="305"/>
      <c r="F745" s="117" t="s">
        <v>1646</v>
      </c>
      <c r="G745" s="116">
        <v>60</v>
      </c>
      <c r="H745" s="108">
        <v>0</v>
      </c>
    </row>
    <row r="746" spans="1:8" ht="12.2" customHeight="1" x14ac:dyDescent="0.2">
      <c r="D746" s="334" t="s">
        <v>3771</v>
      </c>
      <c r="E746" s="335"/>
      <c r="F746" s="335"/>
      <c r="G746" s="143">
        <v>60</v>
      </c>
    </row>
    <row r="747" spans="1:8" x14ac:dyDescent="0.2">
      <c r="A747" s="117" t="s">
        <v>448</v>
      </c>
      <c r="B747" s="117"/>
      <c r="C747" s="117" t="s">
        <v>3443</v>
      </c>
      <c r="D747" s="304" t="s">
        <v>3442</v>
      </c>
      <c r="E747" s="305"/>
      <c r="F747" s="117" t="s">
        <v>1646</v>
      </c>
      <c r="G747" s="116">
        <v>6</v>
      </c>
      <c r="H747" s="108">
        <v>0</v>
      </c>
    </row>
    <row r="748" spans="1:8" ht="12.2" customHeight="1" x14ac:dyDescent="0.2">
      <c r="D748" s="334" t="s">
        <v>1806</v>
      </c>
      <c r="E748" s="335"/>
      <c r="F748" s="335"/>
      <c r="G748" s="143">
        <v>6</v>
      </c>
    </row>
    <row r="749" spans="1:8" x14ac:dyDescent="0.2">
      <c r="A749" s="117" t="s">
        <v>449</v>
      </c>
      <c r="B749" s="117"/>
      <c r="C749" s="117" t="s">
        <v>3441</v>
      </c>
      <c r="D749" s="304" t="s">
        <v>3440</v>
      </c>
      <c r="E749" s="305"/>
      <c r="F749" s="117" t="s">
        <v>1646</v>
      </c>
      <c r="G749" s="116">
        <v>22</v>
      </c>
      <c r="H749" s="108">
        <v>0</v>
      </c>
    </row>
    <row r="750" spans="1:8" ht="12.2" customHeight="1" x14ac:dyDescent="0.2">
      <c r="D750" s="334" t="s">
        <v>3770</v>
      </c>
      <c r="E750" s="335"/>
      <c r="F750" s="335"/>
      <c r="G750" s="143">
        <v>22</v>
      </c>
    </row>
    <row r="751" spans="1:8" x14ac:dyDescent="0.2">
      <c r="A751" s="117" t="s">
        <v>450</v>
      </c>
      <c r="B751" s="117"/>
      <c r="C751" s="117" t="s">
        <v>896</v>
      </c>
      <c r="D751" s="304" t="s">
        <v>3439</v>
      </c>
      <c r="E751" s="305"/>
      <c r="F751" s="117" t="s">
        <v>1646</v>
      </c>
      <c r="G751" s="116">
        <v>6</v>
      </c>
      <c r="H751" s="108">
        <v>0</v>
      </c>
    </row>
    <row r="752" spans="1:8" ht="12.2" customHeight="1" x14ac:dyDescent="0.2">
      <c r="D752" s="334" t="s">
        <v>1806</v>
      </c>
      <c r="E752" s="335"/>
      <c r="F752" s="335"/>
      <c r="G752" s="143">
        <v>6</v>
      </c>
    </row>
    <row r="753" spans="1:8" x14ac:dyDescent="0.2">
      <c r="A753" s="117" t="s">
        <v>451</v>
      </c>
      <c r="B753" s="117"/>
      <c r="C753" s="117" t="s">
        <v>898</v>
      </c>
      <c r="D753" s="304" t="s">
        <v>3438</v>
      </c>
      <c r="E753" s="305"/>
      <c r="F753" s="117" t="s">
        <v>1646</v>
      </c>
      <c r="G753" s="116">
        <v>6</v>
      </c>
      <c r="H753" s="108">
        <v>0</v>
      </c>
    </row>
    <row r="754" spans="1:8" ht="12.2" customHeight="1" x14ac:dyDescent="0.2">
      <c r="D754" s="334" t="s">
        <v>1806</v>
      </c>
      <c r="E754" s="335"/>
      <c r="F754" s="335"/>
      <c r="G754" s="143">
        <v>6</v>
      </c>
    </row>
    <row r="755" spans="1:8" x14ac:dyDescent="0.2">
      <c r="A755" s="117" t="s">
        <v>452</v>
      </c>
      <c r="B755" s="117"/>
      <c r="C755" s="117" t="s">
        <v>899</v>
      </c>
      <c r="D755" s="304" t="s">
        <v>3437</v>
      </c>
      <c r="E755" s="305"/>
      <c r="F755" s="117" t="s">
        <v>1646</v>
      </c>
      <c r="G755" s="116">
        <v>75</v>
      </c>
      <c r="H755" s="108">
        <v>0</v>
      </c>
    </row>
    <row r="756" spans="1:8" ht="12.2" customHeight="1" x14ac:dyDescent="0.2">
      <c r="D756" s="334" t="s">
        <v>3769</v>
      </c>
      <c r="E756" s="335"/>
      <c r="F756" s="335"/>
      <c r="G756" s="143">
        <v>75</v>
      </c>
    </row>
    <row r="757" spans="1:8" x14ac:dyDescent="0.2">
      <c r="A757" s="117" t="s">
        <v>453</v>
      </c>
      <c r="B757" s="117"/>
      <c r="C757" s="117" t="s">
        <v>900</v>
      </c>
      <c r="D757" s="304" t="s">
        <v>1489</v>
      </c>
      <c r="E757" s="305"/>
      <c r="F757" s="117" t="s">
        <v>1646</v>
      </c>
      <c r="G757" s="116">
        <v>75</v>
      </c>
      <c r="H757" s="108">
        <v>0</v>
      </c>
    </row>
    <row r="758" spans="1:8" ht="12.2" customHeight="1" x14ac:dyDescent="0.2">
      <c r="D758" s="334" t="s">
        <v>3769</v>
      </c>
      <c r="E758" s="335"/>
      <c r="F758" s="335"/>
      <c r="G758" s="143">
        <v>75</v>
      </c>
    </row>
    <row r="759" spans="1:8" x14ac:dyDescent="0.2">
      <c r="A759" s="117" t="s">
        <v>454</v>
      </c>
      <c r="B759" s="117"/>
      <c r="C759" s="117" t="s">
        <v>901</v>
      </c>
      <c r="D759" s="304" t="s">
        <v>1490</v>
      </c>
      <c r="E759" s="305"/>
      <c r="F759" s="117" t="s">
        <v>1646</v>
      </c>
      <c r="G759" s="116">
        <v>155</v>
      </c>
      <c r="H759" s="108">
        <v>0</v>
      </c>
    </row>
    <row r="760" spans="1:8" ht="12.2" customHeight="1" x14ac:dyDescent="0.2">
      <c r="D760" s="334" t="s">
        <v>3768</v>
      </c>
      <c r="E760" s="335"/>
      <c r="F760" s="335"/>
      <c r="G760" s="143">
        <v>155</v>
      </c>
    </row>
    <row r="761" spans="1:8" x14ac:dyDescent="0.2">
      <c r="A761" s="117" t="s">
        <v>455</v>
      </c>
      <c r="B761" s="117"/>
      <c r="C761" s="117" t="s">
        <v>902</v>
      </c>
      <c r="D761" s="304" t="s">
        <v>1491</v>
      </c>
      <c r="E761" s="305"/>
      <c r="F761" s="117" t="s">
        <v>1648</v>
      </c>
      <c r="G761" s="116">
        <v>11.91</v>
      </c>
      <c r="H761" s="108">
        <v>0</v>
      </c>
    </row>
    <row r="762" spans="1:8" ht="12.2" customHeight="1" x14ac:dyDescent="0.2">
      <c r="D762" s="334" t="s">
        <v>3767</v>
      </c>
      <c r="E762" s="335"/>
      <c r="F762" s="335"/>
      <c r="G762" s="143">
        <v>11.91</v>
      </c>
    </row>
    <row r="763" spans="1:8" x14ac:dyDescent="0.2">
      <c r="A763" s="120"/>
      <c r="B763" s="120"/>
      <c r="C763" s="120" t="s">
        <v>903</v>
      </c>
      <c r="D763" s="306" t="s">
        <v>1492</v>
      </c>
      <c r="E763" s="307"/>
      <c r="F763" s="120"/>
      <c r="G763" s="142"/>
      <c r="H763" s="109"/>
    </row>
    <row r="764" spans="1:8" x14ac:dyDescent="0.2">
      <c r="A764" s="117" t="s">
        <v>456</v>
      </c>
      <c r="B764" s="117"/>
      <c r="C764" s="117" t="s">
        <v>2306</v>
      </c>
      <c r="D764" s="304" t="s">
        <v>2305</v>
      </c>
      <c r="E764" s="305"/>
      <c r="F764" s="117" t="s">
        <v>1645</v>
      </c>
      <c r="G764" s="116">
        <v>11.385</v>
      </c>
      <c r="H764" s="108">
        <v>0</v>
      </c>
    </row>
    <row r="765" spans="1:8" ht="12.2" customHeight="1" x14ac:dyDescent="0.2">
      <c r="D765" s="334" t="s">
        <v>3766</v>
      </c>
      <c r="E765" s="335"/>
      <c r="F765" s="335"/>
      <c r="G765" s="143">
        <v>11.385</v>
      </c>
    </row>
    <row r="766" spans="1:8" x14ac:dyDescent="0.2">
      <c r="A766" s="124" t="s">
        <v>457</v>
      </c>
      <c r="B766" s="124"/>
      <c r="C766" s="124" t="s">
        <v>2304</v>
      </c>
      <c r="D766" s="311" t="s">
        <v>2303</v>
      </c>
      <c r="E766" s="312"/>
      <c r="F766" s="124" t="s">
        <v>1645</v>
      </c>
      <c r="G766" s="123">
        <v>11.385</v>
      </c>
      <c r="H766" s="121">
        <v>0</v>
      </c>
    </row>
    <row r="767" spans="1:8" ht="12.2" customHeight="1" x14ac:dyDescent="0.2">
      <c r="D767" s="336" t="s">
        <v>3766</v>
      </c>
      <c r="E767" s="337"/>
      <c r="F767" s="337"/>
      <c r="G767" s="146">
        <v>11.385</v>
      </c>
    </row>
    <row r="768" spans="1:8" x14ac:dyDescent="0.2">
      <c r="A768" s="117" t="s">
        <v>458</v>
      </c>
      <c r="B768" s="117"/>
      <c r="C768" s="117" t="s">
        <v>2689</v>
      </c>
      <c r="D768" s="304" t="s">
        <v>2688</v>
      </c>
      <c r="E768" s="305"/>
      <c r="F768" s="117" t="s">
        <v>1646</v>
      </c>
      <c r="G768" s="116">
        <v>8.5500000000000007</v>
      </c>
      <c r="H768" s="108">
        <v>0</v>
      </c>
    </row>
    <row r="769" spans="1:8" ht="12.2" customHeight="1" x14ac:dyDescent="0.2">
      <c r="D769" s="334" t="s">
        <v>3765</v>
      </c>
      <c r="E769" s="335"/>
      <c r="F769" s="335"/>
      <c r="G769" s="143">
        <v>8.5500000000000007</v>
      </c>
    </row>
    <row r="770" spans="1:8" x14ac:dyDescent="0.2">
      <c r="A770" s="117" t="s">
        <v>459</v>
      </c>
      <c r="B770" s="117"/>
      <c r="C770" s="117" t="s">
        <v>2687</v>
      </c>
      <c r="D770" s="304" t="s">
        <v>2686</v>
      </c>
      <c r="E770" s="305"/>
      <c r="F770" s="117" t="s">
        <v>1646</v>
      </c>
      <c r="G770" s="116">
        <v>2.5499999999999998</v>
      </c>
      <c r="H770" s="108">
        <v>0</v>
      </c>
    </row>
    <row r="771" spans="1:8" ht="12.2" customHeight="1" x14ac:dyDescent="0.2">
      <c r="D771" s="334" t="s">
        <v>3764</v>
      </c>
      <c r="E771" s="335"/>
      <c r="F771" s="335"/>
      <c r="G771" s="143">
        <v>2.5499999999999998</v>
      </c>
    </row>
    <row r="772" spans="1:8" x14ac:dyDescent="0.2">
      <c r="A772" s="117" t="s">
        <v>460</v>
      </c>
      <c r="B772" s="117"/>
      <c r="C772" s="117" t="s">
        <v>904</v>
      </c>
      <c r="D772" s="304" t="s">
        <v>1493</v>
      </c>
      <c r="E772" s="305"/>
      <c r="F772" s="117" t="s">
        <v>1644</v>
      </c>
      <c r="G772" s="116">
        <v>2</v>
      </c>
      <c r="H772" s="108">
        <v>0</v>
      </c>
    </row>
    <row r="773" spans="1:8" ht="12.2" customHeight="1" x14ac:dyDescent="0.2">
      <c r="D773" s="334" t="s">
        <v>1849</v>
      </c>
      <c r="E773" s="335"/>
      <c r="F773" s="335"/>
      <c r="G773" s="143">
        <v>2</v>
      </c>
    </row>
    <row r="774" spans="1:8" x14ac:dyDescent="0.2">
      <c r="A774" s="117" t="s">
        <v>461</v>
      </c>
      <c r="B774" s="117"/>
      <c r="C774" s="117" t="s">
        <v>905</v>
      </c>
      <c r="D774" s="304" t="s">
        <v>3436</v>
      </c>
      <c r="E774" s="305"/>
      <c r="F774" s="117" t="s">
        <v>1644</v>
      </c>
      <c r="G774" s="116">
        <v>2</v>
      </c>
      <c r="H774" s="108">
        <v>0</v>
      </c>
    </row>
    <row r="775" spans="1:8" ht="12.2" customHeight="1" x14ac:dyDescent="0.2">
      <c r="D775" s="334" t="s">
        <v>2923</v>
      </c>
      <c r="E775" s="335"/>
      <c r="F775" s="335"/>
      <c r="G775" s="143">
        <v>2</v>
      </c>
    </row>
    <row r="776" spans="1:8" x14ac:dyDescent="0.2">
      <c r="A776" s="117" t="s">
        <v>462</v>
      </c>
      <c r="B776" s="117"/>
      <c r="C776" s="117" t="s">
        <v>2685</v>
      </c>
      <c r="D776" s="304" t="s">
        <v>2684</v>
      </c>
      <c r="E776" s="305"/>
      <c r="F776" s="117" t="s">
        <v>1644</v>
      </c>
      <c r="G776" s="116">
        <v>3</v>
      </c>
      <c r="H776" s="108">
        <v>0</v>
      </c>
    </row>
    <row r="777" spans="1:8" ht="12.2" customHeight="1" x14ac:dyDescent="0.2">
      <c r="D777" s="334" t="s">
        <v>3763</v>
      </c>
      <c r="E777" s="335"/>
      <c r="F777" s="335"/>
      <c r="G777" s="143">
        <v>3</v>
      </c>
    </row>
    <row r="778" spans="1:8" x14ac:dyDescent="0.2">
      <c r="A778" s="124" t="s">
        <v>463</v>
      </c>
      <c r="B778" s="124"/>
      <c r="C778" s="124" t="s">
        <v>3435</v>
      </c>
      <c r="D778" s="311" t="s">
        <v>3434</v>
      </c>
      <c r="E778" s="312"/>
      <c r="F778" s="124" t="s">
        <v>1644</v>
      </c>
      <c r="G778" s="123">
        <v>1</v>
      </c>
      <c r="H778" s="121">
        <v>0</v>
      </c>
    </row>
    <row r="779" spans="1:8" ht="12.2" customHeight="1" x14ac:dyDescent="0.2">
      <c r="D779" s="336" t="s">
        <v>1749</v>
      </c>
      <c r="E779" s="337"/>
      <c r="F779" s="337"/>
      <c r="G779" s="146">
        <v>1</v>
      </c>
    </row>
    <row r="780" spans="1:8" x14ac:dyDescent="0.2">
      <c r="A780" s="124" t="s">
        <v>464</v>
      </c>
      <c r="B780" s="124"/>
      <c r="C780" s="124" t="s">
        <v>3433</v>
      </c>
      <c r="D780" s="311" t="s">
        <v>3432</v>
      </c>
      <c r="E780" s="312"/>
      <c r="F780" s="124" t="s">
        <v>1644</v>
      </c>
      <c r="G780" s="123">
        <v>1</v>
      </c>
      <c r="H780" s="121">
        <v>0</v>
      </c>
    </row>
    <row r="781" spans="1:8" ht="12.2" customHeight="1" x14ac:dyDescent="0.2">
      <c r="D781" s="336" t="s">
        <v>1749</v>
      </c>
      <c r="E781" s="337"/>
      <c r="F781" s="337"/>
      <c r="G781" s="146">
        <v>1</v>
      </c>
    </row>
    <row r="782" spans="1:8" x14ac:dyDescent="0.2">
      <c r="A782" s="124" t="s">
        <v>465</v>
      </c>
      <c r="B782" s="124"/>
      <c r="C782" s="124" t="s">
        <v>3431</v>
      </c>
      <c r="D782" s="311" t="s">
        <v>3430</v>
      </c>
      <c r="E782" s="312"/>
      <c r="F782" s="124" t="s">
        <v>1644</v>
      </c>
      <c r="G782" s="123">
        <v>1</v>
      </c>
      <c r="H782" s="121">
        <v>0</v>
      </c>
    </row>
    <row r="783" spans="1:8" ht="12.2" customHeight="1" x14ac:dyDescent="0.2">
      <c r="D783" s="336" t="s">
        <v>1749</v>
      </c>
      <c r="E783" s="337"/>
      <c r="F783" s="337"/>
      <c r="G783" s="146">
        <v>1</v>
      </c>
    </row>
    <row r="784" spans="1:8" x14ac:dyDescent="0.2">
      <c r="A784" s="117" t="s">
        <v>466</v>
      </c>
      <c r="B784" s="117"/>
      <c r="C784" s="117" t="s">
        <v>906</v>
      </c>
      <c r="D784" s="304" t="s">
        <v>1495</v>
      </c>
      <c r="E784" s="305"/>
      <c r="F784" s="117" t="s">
        <v>1648</v>
      </c>
      <c r="G784" s="116">
        <v>0.36799999999999999</v>
      </c>
      <c r="H784" s="108">
        <v>0</v>
      </c>
    </row>
    <row r="785" spans="1:8" ht="12.2" customHeight="1" x14ac:dyDescent="0.2">
      <c r="D785" s="334" t="s">
        <v>2881</v>
      </c>
      <c r="E785" s="335"/>
      <c r="F785" s="335"/>
      <c r="G785" s="143">
        <v>0.36799999999999999</v>
      </c>
    </row>
    <row r="786" spans="1:8" x14ac:dyDescent="0.2">
      <c r="A786" s="120"/>
      <c r="B786" s="120"/>
      <c r="C786" s="120" t="s">
        <v>907</v>
      </c>
      <c r="D786" s="306" t="s">
        <v>1496</v>
      </c>
      <c r="E786" s="307"/>
      <c r="F786" s="120"/>
      <c r="G786" s="142"/>
      <c r="H786" s="109"/>
    </row>
    <row r="787" spans="1:8" x14ac:dyDescent="0.2">
      <c r="A787" s="117" t="s">
        <v>467</v>
      </c>
      <c r="B787" s="117"/>
      <c r="C787" s="117" t="s">
        <v>3429</v>
      </c>
      <c r="D787" s="304" t="s">
        <v>3428</v>
      </c>
      <c r="E787" s="305"/>
      <c r="F787" s="117" t="s">
        <v>1644</v>
      </c>
      <c r="G787" s="116">
        <v>1</v>
      </c>
      <c r="H787" s="108">
        <v>0</v>
      </c>
    </row>
    <row r="788" spans="1:8" ht="12.2" customHeight="1" x14ac:dyDescent="0.2">
      <c r="D788" s="334" t="s">
        <v>1749</v>
      </c>
      <c r="E788" s="335"/>
      <c r="F788" s="335"/>
      <c r="G788" s="143">
        <v>1</v>
      </c>
    </row>
    <row r="789" spans="1:8" x14ac:dyDescent="0.2">
      <c r="A789" s="117" t="s">
        <v>468</v>
      </c>
      <c r="B789" s="117"/>
      <c r="C789" s="117" t="s">
        <v>3427</v>
      </c>
      <c r="D789" s="304" t="s">
        <v>3426</v>
      </c>
      <c r="E789" s="305"/>
      <c r="F789" s="117" t="s">
        <v>1644</v>
      </c>
      <c r="G789" s="116">
        <v>1</v>
      </c>
      <c r="H789" s="108">
        <v>0</v>
      </c>
    </row>
    <row r="790" spans="1:8" ht="12.2" customHeight="1" x14ac:dyDescent="0.2">
      <c r="D790" s="334" t="s">
        <v>1749</v>
      </c>
      <c r="E790" s="335"/>
      <c r="F790" s="335"/>
      <c r="G790" s="143">
        <v>1</v>
      </c>
    </row>
    <row r="791" spans="1:8" x14ac:dyDescent="0.2">
      <c r="A791" s="117" t="s">
        <v>469</v>
      </c>
      <c r="B791" s="117"/>
      <c r="C791" s="117" t="s">
        <v>3425</v>
      </c>
      <c r="D791" s="304" t="s">
        <v>3424</v>
      </c>
      <c r="E791" s="305"/>
      <c r="F791" s="117" t="s">
        <v>1646</v>
      </c>
      <c r="G791" s="116">
        <v>10</v>
      </c>
      <c r="H791" s="108">
        <v>0</v>
      </c>
    </row>
    <row r="792" spans="1:8" ht="12.2" customHeight="1" x14ac:dyDescent="0.2">
      <c r="D792" s="334" t="s">
        <v>2177</v>
      </c>
      <c r="E792" s="335"/>
      <c r="F792" s="335"/>
      <c r="G792" s="143">
        <v>10</v>
      </c>
    </row>
    <row r="793" spans="1:8" x14ac:dyDescent="0.2">
      <c r="A793" s="117" t="s">
        <v>470</v>
      </c>
      <c r="B793" s="117"/>
      <c r="C793" s="117" t="s">
        <v>3423</v>
      </c>
      <c r="D793" s="304" t="s">
        <v>3422</v>
      </c>
      <c r="E793" s="305"/>
      <c r="F793" s="117" t="s">
        <v>1644</v>
      </c>
      <c r="G793" s="116">
        <v>1</v>
      </c>
      <c r="H793" s="108">
        <v>0</v>
      </c>
    </row>
    <row r="794" spans="1:8" ht="12.2" customHeight="1" x14ac:dyDescent="0.2">
      <c r="D794" s="334" t="s">
        <v>1749</v>
      </c>
      <c r="E794" s="335"/>
      <c r="F794" s="335"/>
      <c r="G794" s="143">
        <v>1</v>
      </c>
    </row>
    <row r="795" spans="1:8" x14ac:dyDescent="0.2">
      <c r="A795" s="117" t="s">
        <v>471</v>
      </c>
      <c r="B795" s="117"/>
      <c r="C795" s="117" t="s">
        <v>3421</v>
      </c>
      <c r="D795" s="304" t="s">
        <v>3420</v>
      </c>
      <c r="E795" s="305"/>
      <c r="F795" s="117" t="s">
        <v>1644</v>
      </c>
      <c r="G795" s="116">
        <v>1</v>
      </c>
      <c r="H795" s="108">
        <v>0</v>
      </c>
    </row>
    <row r="796" spans="1:8" ht="12.2" customHeight="1" x14ac:dyDescent="0.2">
      <c r="D796" s="334" t="s">
        <v>1749</v>
      </c>
      <c r="E796" s="335"/>
      <c r="F796" s="335"/>
      <c r="G796" s="143">
        <v>1</v>
      </c>
    </row>
    <row r="797" spans="1:8" x14ac:dyDescent="0.2">
      <c r="A797" s="117" t="s">
        <v>472</v>
      </c>
      <c r="B797" s="117"/>
      <c r="C797" s="117" t="s">
        <v>908</v>
      </c>
      <c r="D797" s="304" t="s">
        <v>3419</v>
      </c>
      <c r="E797" s="305"/>
      <c r="F797" s="117" t="s">
        <v>1644</v>
      </c>
      <c r="G797" s="116">
        <v>2</v>
      </c>
      <c r="H797" s="108">
        <v>0</v>
      </c>
    </row>
    <row r="798" spans="1:8" ht="12.2" customHeight="1" x14ac:dyDescent="0.2">
      <c r="D798" s="334" t="s">
        <v>2923</v>
      </c>
      <c r="E798" s="335"/>
      <c r="F798" s="335"/>
      <c r="G798" s="143">
        <v>2</v>
      </c>
    </row>
    <row r="799" spans="1:8" x14ac:dyDescent="0.2">
      <c r="A799" s="117" t="s">
        <v>473</v>
      </c>
      <c r="B799" s="117"/>
      <c r="C799" s="117" t="s">
        <v>913</v>
      </c>
      <c r="D799" s="304" t="s">
        <v>3418</v>
      </c>
      <c r="E799" s="305"/>
      <c r="F799" s="117" t="s">
        <v>1644</v>
      </c>
      <c r="G799" s="116">
        <v>19</v>
      </c>
      <c r="H799" s="108">
        <v>0</v>
      </c>
    </row>
    <row r="800" spans="1:8" ht="12.2" customHeight="1" x14ac:dyDescent="0.2">
      <c r="D800" s="334" t="s">
        <v>3762</v>
      </c>
      <c r="E800" s="335"/>
      <c r="F800" s="335"/>
      <c r="G800" s="143">
        <v>19</v>
      </c>
    </row>
    <row r="801" spans="1:8" x14ac:dyDescent="0.2">
      <c r="A801" s="117" t="s">
        <v>474</v>
      </c>
      <c r="B801" s="117"/>
      <c r="C801" s="117" t="s">
        <v>3417</v>
      </c>
      <c r="D801" s="304" t="s">
        <v>3416</v>
      </c>
      <c r="E801" s="305"/>
      <c r="F801" s="117" t="s">
        <v>1644</v>
      </c>
      <c r="G801" s="116">
        <v>1</v>
      </c>
      <c r="H801" s="108">
        <v>0</v>
      </c>
    </row>
    <row r="802" spans="1:8" ht="12.2" customHeight="1" x14ac:dyDescent="0.2">
      <c r="D802" s="334" t="s">
        <v>1749</v>
      </c>
      <c r="E802" s="335"/>
      <c r="F802" s="335"/>
      <c r="G802" s="143">
        <v>1</v>
      </c>
    </row>
    <row r="803" spans="1:8" x14ac:dyDescent="0.2">
      <c r="A803" s="117" t="s">
        <v>475</v>
      </c>
      <c r="B803" s="117"/>
      <c r="C803" s="117" t="s">
        <v>3415</v>
      </c>
      <c r="D803" s="304" t="s">
        <v>3414</v>
      </c>
      <c r="E803" s="305"/>
      <c r="F803" s="117" t="s">
        <v>1644</v>
      </c>
      <c r="G803" s="116">
        <v>10</v>
      </c>
      <c r="H803" s="108">
        <v>0</v>
      </c>
    </row>
    <row r="804" spans="1:8" ht="12.2" customHeight="1" x14ac:dyDescent="0.2">
      <c r="D804" s="334" t="s">
        <v>2177</v>
      </c>
      <c r="E804" s="335"/>
      <c r="F804" s="335"/>
      <c r="G804" s="143">
        <v>10</v>
      </c>
    </row>
    <row r="805" spans="1:8" x14ac:dyDescent="0.2">
      <c r="A805" s="117" t="s">
        <v>476</v>
      </c>
      <c r="B805" s="117"/>
      <c r="C805" s="117" t="s">
        <v>3413</v>
      </c>
      <c r="D805" s="304" t="s">
        <v>3412</v>
      </c>
      <c r="E805" s="305"/>
      <c r="F805" s="117" t="s">
        <v>1644</v>
      </c>
      <c r="G805" s="116">
        <v>1</v>
      </c>
      <c r="H805" s="108">
        <v>0</v>
      </c>
    </row>
    <row r="806" spans="1:8" ht="12.2" customHeight="1" x14ac:dyDescent="0.2">
      <c r="D806" s="334" t="s">
        <v>1749</v>
      </c>
      <c r="E806" s="335"/>
      <c r="F806" s="335"/>
      <c r="G806" s="143">
        <v>1</v>
      </c>
    </row>
    <row r="807" spans="1:8" x14ac:dyDescent="0.2">
      <c r="A807" s="117" t="s">
        <v>477</v>
      </c>
      <c r="B807" s="117"/>
      <c r="C807" s="117" t="s">
        <v>3411</v>
      </c>
      <c r="D807" s="304" t="s">
        <v>3410</v>
      </c>
      <c r="E807" s="305"/>
      <c r="F807" s="117" t="s">
        <v>1644</v>
      </c>
      <c r="G807" s="116">
        <v>4</v>
      </c>
      <c r="H807" s="108">
        <v>0</v>
      </c>
    </row>
    <row r="808" spans="1:8" ht="12.2" customHeight="1" x14ac:dyDescent="0.2">
      <c r="D808" s="334" t="s">
        <v>1795</v>
      </c>
      <c r="E808" s="335"/>
      <c r="F808" s="335"/>
      <c r="G808" s="143">
        <v>4</v>
      </c>
    </row>
    <row r="809" spans="1:8" x14ac:dyDescent="0.2">
      <c r="A809" s="117" t="s">
        <v>478</v>
      </c>
      <c r="B809" s="117"/>
      <c r="C809" s="117" t="s">
        <v>3409</v>
      </c>
      <c r="D809" s="304" t="s">
        <v>3408</v>
      </c>
      <c r="E809" s="305"/>
      <c r="F809" s="117" t="s">
        <v>1644</v>
      </c>
      <c r="G809" s="116">
        <v>1</v>
      </c>
      <c r="H809" s="108">
        <v>0</v>
      </c>
    </row>
    <row r="810" spans="1:8" ht="12.2" customHeight="1" x14ac:dyDescent="0.2">
      <c r="D810" s="334" t="s">
        <v>1749</v>
      </c>
      <c r="E810" s="335"/>
      <c r="F810" s="335"/>
      <c r="G810" s="143">
        <v>1</v>
      </c>
    </row>
    <row r="811" spans="1:8" x14ac:dyDescent="0.2">
      <c r="A811" s="117" t="s">
        <v>479</v>
      </c>
      <c r="B811" s="117"/>
      <c r="C811" s="117" t="s">
        <v>3407</v>
      </c>
      <c r="D811" s="304" t="s">
        <v>3406</v>
      </c>
      <c r="E811" s="305"/>
      <c r="F811" s="117" t="s">
        <v>1644</v>
      </c>
      <c r="G811" s="116">
        <v>1</v>
      </c>
      <c r="H811" s="108">
        <v>0</v>
      </c>
    </row>
    <row r="812" spans="1:8" ht="12.2" customHeight="1" x14ac:dyDescent="0.2">
      <c r="D812" s="334" t="s">
        <v>1749</v>
      </c>
      <c r="E812" s="335"/>
      <c r="F812" s="335"/>
      <c r="G812" s="143">
        <v>1</v>
      </c>
    </row>
    <row r="813" spans="1:8" x14ac:dyDescent="0.2">
      <c r="A813" s="117" t="s">
        <v>480</v>
      </c>
      <c r="B813" s="117"/>
      <c r="C813" s="117" t="s">
        <v>3405</v>
      </c>
      <c r="D813" s="304" t="s">
        <v>3404</v>
      </c>
      <c r="E813" s="305"/>
      <c r="F813" s="117" t="s">
        <v>1644</v>
      </c>
      <c r="G813" s="116">
        <v>1</v>
      </c>
      <c r="H813" s="108">
        <v>0</v>
      </c>
    </row>
    <row r="814" spans="1:8" ht="12.2" customHeight="1" x14ac:dyDescent="0.2">
      <c r="D814" s="334" t="s">
        <v>1749</v>
      </c>
      <c r="E814" s="335"/>
      <c r="F814" s="335"/>
      <c r="G814" s="143">
        <v>1</v>
      </c>
    </row>
    <row r="815" spans="1:8" x14ac:dyDescent="0.2">
      <c r="A815" s="117" t="s">
        <v>481</v>
      </c>
      <c r="B815" s="117"/>
      <c r="C815" s="117" t="s">
        <v>914</v>
      </c>
      <c r="D815" s="304" t="s">
        <v>3403</v>
      </c>
      <c r="E815" s="305"/>
      <c r="F815" s="117" t="s">
        <v>1644</v>
      </c>
      <c r="G815" s="116">
        <v>3</v>
      </c>
      <c r="H815" s="108">
        <v>0</v>
      </c>
    </row>
    <row r="816" spans="1:8" ht="12.2" customHeight="1" x14ac:dyDescent="0.2">
      <c r="D816" s="334" t="s">
        <v>1797</v>
      </c>
      <c r="E816" s="335"/>
      <c r="F816" s="335"/>
      <c r="G816" s="143">
        <v>3</v>
      </c>
    </row>
    <row r="817" spans="1:8" x14ac:dyDescent="0.2">
      <c r="A817" s="117" t="s">
        <v>482</v>
      </c>
      <c r="B817" s="117"/>
      <c r="C817" s="117" t="s">
        <v>915</v>
      </c>
      <c r="D817" s="304" t="s">
        <v>1504</v>
      </c>
      <c r="E817" s="305"/>
      <c r="F817" s="117" t="s">
        <v>1644</v>
      </c>
      <c r="G817" s="116">
        <v>4</v>
      </c>
      <c r="H817" s="108">
        <v>0</v>
      </c>
    </row>
    <row r="818" spans="1:8" ht="12.2" customHeight="1" x14ac:dyDescent="0.2">
      <c r="D818" s="334" t="s">
        <v>1795</v>
      </c>
      <c r="E818" s="335"/>
      <c r="F818" s="335"/>
      <c r="G818" s="143">
        <v>4</v>
      </c>
    </row>
    <row r="819" spans="1:8" x14ac:dyDescent="0.2">
      <c r="A819" s="117" t="s">
        <v>483</v>
      </c>
      <c r="B819" s="117"/>
      <c r="C819" s="117" t="s">
        <v>3402</v>
      </c>
      <c r="D819" s="304" t="s">
        <v>3401</v>
      </c>
      <c r="E819" s="305"/>
      <c r="F819" s="117" t="s">
        <v>1644</v>
      </c>
      <c r="G819" s="116">
        <v>1</v>
      </c>
      <c r="H819" s="108">
        <v>0</v>
      </c>
    </row>
    <row r="820" spans="1:8" ht="12.2" customHeight="1" x14ac:dyDescent="0.2">
      <c r="D820" s="334" t="s">
        <v>1749</v>
      </c>
      <c r="E820" s="335"/>
      <c r="F820" s="335"/>
      <c r="G820" s="143">
        <v>1</v>
      </c>
    </row>
    <row r="821" spans="1:8" x14ac:dyDescent="0.2">
      <c r="A821" s="117" t="s">
        <v>484</v>
      </c>
      <c r="B821" s="117"/>
      <c r="C821" s="117" t="s">
        <v>3400</v>
      </c>
      <c r="D821" s="304" t="s">
        <v>3399</v>
      </c>
      <c r="E821" s="305"/>
      <c r="F821" s="117" t="s">
        <v>1644</v>
      </c>
      <c r="G821" s="116">
        <v>1</v>
      </c>
      <c r="H821" s="108">
        <v>0</v>
      </c>
    </row>
    <row r="822" spans="1:8" ht="12.2" customHeight="1" x14ac:dyDescent="0.2">
      <c r="D822" s="334" t="s">
        <v>1749</v>
      </c>
      <c r="E822" s="335"/>
      <c r="F822" s="335"/>
      <c r="G822" s="143">
        <v>1</v>
      </c>
    </row>
    <row r="823" spans="1:8" x14ac:dyDescent="0.2">
      <c r="A823" s="117" t="s">
        <v>485</v>
      </c>
      <c r="B823" s="117"/>
      <c r="C823" s="117" t="s">
        <v>916</v>
      </c>
      <c r="D823" s="304" t="s">
        <v>3398</v>
      </c>
      <c r="E823" s="305"/>
      <c r="F823" s="117" t="s">
        <v>1644</v>
      </c>
      <c r="G823" s="116">
        <v>1</v>
      </c>
      <c r="H823" s="108">
        <v>0</v>
      </c>
    </row>
    <row r="824" spans="1:8" ht="12.2" customHeight="1" x14ac:dyDescent="0.2">
      <c r="D824" s="334" t="s">
        <v>1749</v>
      </c>
      <c r="E824" s="335"/>
      <c r="F824" s="335"/>
      <c r="G824" s="143">
        <v>1</v>
      </c>
    </row>
    <row r="825" spans="1:8" x14ac:dyDescent="0.2">
      <c r="A825" s="117" t="s">
        <v>486</v>
      </c>
      <c r="B825" s="117"/>
      <c r="C825" s="117" t="s">
        <v>918</v>
      </c>
      <c r="D825" s="304" t="s">
        <v>1986</v>
      </c>
      <c r="E825" s="305"/>
      <c r="F825" s="117" t="s">
        <v>1644</v>
      </c>
      <c r="G825" s="116">
        <v>2</v>
      </c>
      <c r="H825" s="108">
        <v>0</v>
      </c>
    </row>
    <row r="826" spans="1:8" ht="12.2" customHeight="1" x14ac:dyDescent="0.2">
      <c r="D826" s="334" t="s">
        <v>1849</v>
      </c>
      <c r="E826" s="335"/>
      <c r="F826" s="335"/>
      <c r="G826" s="143">
        <v>2</v>
      </c>
    </row>
    <row r="827" spans="1:8" x14ac:dyDescent="0.2">
      <c r="A827" s="117" t="s">
        <v>487</v>
      </c>
      <c r="B827" s="117"/>
      <c r="C827" s="117" t="s">
        <v>919</v>
      </c>
      <c r="D827" s="304" t="s">
        <v>1508</v>
      </c>
      <c r="E827" s="305"/>
      <c r="F827" s="117" t="s">
        <v>1644</v>
      </c>
      <c r="G827" s="116">
        <v>3</v>
      </c>
      <c r="H827" s="108">
        <v>0</v>
      </c>
    </row>
    <row r="828" spans="1:8" ht="12.2" customHeight="1" x14ac:dyDescent="0.2">
      <c r="D828" s="334" t="s">
        <v>1797</v>
      </c>
      <c r="E828" s="335"/>
      <c r="F828" s="335"/>
      <c r="G828" s="143">
        <v>3</v>
      </c>
    </row>
    <row r="829" spans="1:8" x14ac:dyDescent="0.2">
      <c r="A829" s="117" t="s">
        <v>488</v>
      </c>
      <c r="B829" s="117"/>
      <c r="C829" s="117" t="s">
        <v>917</v>
      </c>
      <c r="D829" s="304" t="s">
        <v>1506</v>
      </c>
      <c r="E829" s="305"/>
      <c r="F829" s="117" t="s">
        <v>1644</v>
      </c>
      <c r="G829" s="116">
        <v>1</v>
      </c>
      <c r="H829" s="108">
        <v>0</v>
      </c>
    </row>
    <row r="830" spans="1:8" ht="12.2" customHeight="1" x14ac:dyDescent="0.2">
      <c r="D830" s="334" t="s">
        <v>1749</v>
      </c>
      <c r="E830" s="335"/>
      <c r="F830" s="335"/>
      <c r="G830" s="143">
        <v>1</v>
      </c>
    </row>
    <row r="831" spans="1:8" x14ac:dyDescent="0.2">
      <c r="A831" s="117" t="s">
        <v>489</v>
      </c>
      <c r="B831" s="117"/>
      <c r="C831" s="117" t="s">
        <v>3397</v>
      </c>
      <c r="D831" s="304" t="s">
        <v>3396</v>
      </c>
      <c r="E831" s="305"/>
      <c r="F831" s="117" t="s">
        <v>1644</v>
      </c>
      <c r="G831" s="116">
        <v>1</v>
      </c>
      <c r="H831" s="108">
        <v>0</v>
      </c>
    </row>
    <row r="832" spans="1:8" ht="12.2" customHeight="1" x14ac:dyDescent="0.2">
      <c r="D832" s="334" t="s">
        <v>1749</v>
      </c>
      <c r="E832" s="335"/>
      <c r="F832" s="335"/>
      <c r="G832" s="143">
        <v>1</v>
      </c>
    </row>
    <row r="833" spans="1:8" x14ac:dyDescent="0.2">
      <c r="A833" s="117" t="s">
        <v>490</v>
      </c>
      <c r="B833" s="117"/>
      <c r="C833" s="117" t="s">
        <v>2675</v>
      </c>
      <c r="D833" s="304" t="s">
        <v>3395</v>
      </c>
      <c r="E833" s="305"/>
      <c r="F833" s="117" t="s">
        <v>1644</v>
      </c>
      <c r="G833" s="116">
        <v>2</v>
      </c>
      <c r="H833" s="108">
        <v>0</v>
      </c>
    </row>
    <row r="834" spans="1:8" ht="12.2" customHeight="1" x14ac:dyDescent="0.2">
      <c r="D834" s="334" t="s">
        <v>1849</v>
      </c>
      <c r="E834" s="335"/>
      <c r="F834" s="335"/>
      <c r="G834" s="143">
        <v>2</v>
      </c>
    </row>
    <row r="835" spans="1:8" x14ac:dyDescent="0.2">
      <c r="A835" s="117" t="s">
        <v>491</v>
      </c>
      <c r="B835" s="117"/>
      <c r="C835" s="117" t="s">
        <v>3394</v>
      </c>
      <c r="D835" s="304" t="s">
        <v>3393</v>
      </c>
      <c r="E835" s="305"/>
      <c r="F835" s="117" t="s">
        <v>1644</v>
      </c>
      <c r="G835" s="116">
        <v>1</v>
      </c>
      <c r="H835" s="108">
        <v>0</v>
      </c>
    </row>
    <row r="836" spans="1:8" ht="12.2" customHeight="1" x14ac:dyDescent="0.2">
      <c r="D836" s="334" t="s">
        <v>1749</v>
      </c>
      <c r="E836" s="335"/>
      <c r="F836" s="335"/>
      <c r="G836" s="143">
        <v>1</v>
      </c>
    </row>
    <row r="837" spans="1:8" x14ac:dyDescent="0.2">
      <c r="A837" s="117" t="s">
        <v>492</v>
      </c>
      <c r="B837" s="117"/>
      <c r="C837" s="117" t="s">
        <v>921</v>
      </c>
      <c r="D837" s="304" t="s">
        <v>1510</v>
      </c>
      <c r="E837" s="305"/>
      <c r="F837" s="117" t="s">
        <v>1648</v>
      </c>
      <c r="G837" s="116">
        <v>3.5840000000000001</v>
      </c>
      <c r="H837" s="108">
        <v>0</v>
      </c>
    </row>
    <row r="838" spans="1:8" ht="12.2" customHeight="1" x14ac:dyDescent="0.2">
      <c r="D838" s="334" t="s">
        <v>3761</v>
      </c>
      <c r="E838" s="335"/>
      <c r="F838" s="335"/>
      <c r="G838" s="143">
        <v>3.5840000000000001</v>
      </c>
    </row>
    <row r="839" spans="1:8" x14ac:dyDescent="0.2">
      <c r="A839" s="120"/>
      <c r="B839" s="120"/>
      <c r="C839" s="120" t="s">
        <v>922</v>
      </c>
      <c r="D839" s="306" t="s">
        <v>1511</v>
      </c>
      <c r="E839" s="307"/>
      <c r="F839" s="120"/>
      <c r="G839" s="142"/>
      <c r="H839" s="109"/>
    </row>
    <row r="840" spans="1:8" x14ac:dyDescent="0.2">
      <c r="A840" s="117" t="s">
        <v>493</v>
      </c>
      <c r="B840" s="117"/>
      <c r="C840" s="117" t="s">
        <v>923</v>
      </c>
      <c r="D840" s="304" t="s">
        <v>1512</v>
      </c>
      <c r="E840" s="305"/>
      <c r="F840" s="117" t="s">
        <v>1645</v>
      </c>
      <c r="G840" s="116">
        <v>32.076000000000001</v>
      </c>
      <c r="H840" s="108">
        <v>0</v>
      </c>
    </row>
    <row r="841" spans="1:8" ht="12.2" customHeight="1" x14ac:dyDescent="0.2">
      <c r="D841" s="334" t="s">
        <v>3760</v>
      </c>
      <c r="E841" s="335"/>
      <c r="F841" s="335"/>
      <c r="G841" s="143">
        <v>32.076000000000001</v>
      </c>
    </row>
    <row r="842" spans="1:8" x14ac:dyDescent="0.2">
      <c r="A842" s="117" t="s">
        <v>494</v>
      </c>
      <c r="B842" s="117"/>
      <c r="C842" s="117" t="s">
        <v>924</v>
      </c>
      <c r="D842" s="304" t="s">
        <v>1513</v>
      </c>
      <c r="E842" s="305"/>
      <c r="F842" s="117" t="s">
        <v>1645</v>
      </c>
      <c r="G842" s="116">
        <v>32.076000000000001</v>
      </c>
      <c r="H842" s="108">
        <v>0</v>
      </c>
    </row>
    <row r="843" spans="1:8" ht="12.2" customHeight="1" x14ac:dyDescent="0.2">
      <c r="D843" s="334" t="s">
        <v>3760</v>
      </c>
      <c r="E843" s="335"/>
      <c r="F843" s="335"/>
      <c r="G843" s="143">
        <v>32.076000000000001</v>
      </c>
    </row>
    <row r="844" spans="1:8" x14ac:dyDescent="0.2">
      <c r="A844" s="117" t="s">
        <v>495</v>
      </c>
      <c r="B844" s="117"/>
      <c r="C844" s="117" t="s">
        <v>925</v>
      </c>
      <c r="D844" s="304" t="s">
        <v>1514</v>
      </c>
      <c r="E844" s="305"/>
      <c r="F844" s="117" t="s">
        <v>1645</v>
      </c>
      <c r="G844" s="116">
        <v>32.076000000000001</v>
      </c>
      <c r="H844" s="108">
        <v>0</v>
      </c>
    </row>
    <row r="845" spans="1:8" ht="12.2" customHeight="1" x14ac:dyDescent="0.2">
      <c r="D845" s="334" t="s">
        <v>3760</v>
      </c>
      <c r="E845" s="335"/>
      <c r="F845" s="335"/>
      <c r="G845" s="143">
        <v>32.076000000000001</v>
      </c>
    </row>
    <row r="846" spans="1:8" x14ac:dyDescent="0.2">
      <c r="A846" s="124" t="s">
        <v>496</v>
      </c>
      <c r="B846" s="124"/>
      <c r="C846" s="124" t="s">
        <v>926</v>
      </c>
      <c r="D846" s="311" t="s">
        <v>1515</v>
      </c>
      <c r="E846" s="312"/>
      <c r="F846" s="124" t="s">
        <v>1645</v>
      </c>
      <c r="G846" s="123">
        <v>33.68</v>
      </c>
      <c r="H846" s="121">
        <v>0</v>
      </c>
    </row>
    <row r="847" spans="1:8" ht="12.2" customHeight="1" x14ac:dyDescent="0.2">
      <c r="D847" s="336" t="s">
        <v>3759</v>
      </c>
      <c r="E847" s="337"/>
      <c r="F847" s="337"/>
      <c r="G847" s="146">
        <v>32.076000000000001</v>
      </c>
    </row>
    <row r="848" spans="1:8" ht="12.2" customHeight="1" x14ac:dyDescent="0.2">
      <c r="A848" s="124"/>
      <c r="B848" s="124"/>
      <c r="C848" s="124"/>
      <c r="D848" s="336" t="s">
        <v>3758</v>
      </c>
      <c r="E848" s="337"/>
      <c r="F848" s="336"/>
      <c r="G848" s="145">
        <v>1.6040000000000001</v>
      </c>
      <c r="H848" s="122"/>
    </row>
    <row r="849" spans="1:8" x14ac:dyDescent="0.2">
      <c r="A849" s="117" t="s">
        <v>497</v>
      </c>
      <c r="B849" s="117"/>
      <c r="C849" s="117" t="s">
        <v>927</v>
      </c>
      <c r="D849" s="304" t="s">
        <v>1516</v>
      </c>
      <c r="E849" s="305"/>
      <c r="F849" s="117" t="s">
        <v>1646</v>
      </c>
      <c r="G849" s="116">
        <v>28.71</v>
      </c>
      <c r="H849" s="108">
        <v>0</v>
      </c>
    </row>
    <row r="850" spans="1:8" ht="12.2" customHeight="1" x14ac:dyDescent="0.2">
      <c r="D850" s="334" t="s">
        <v>3757</v>
      </c>
      <c r="E850" s="335"/>
      <c r="F850" s="335"/>
      <c r="G850" s="143">
        <v>28.71</v>
      </c>
    </row>
    <row r="851" spans="1:8" x14ac:dyDescent="0.2">
      <c r="A851" s="124" t="s">
        <v>498</v>
      </c>
      <c r="B851" s="124"/>
      <c r="C851" s="124" t="s">
        <v>928</v>
      </c>
      <c r="D851" s="311" t="s">
        <v>1517</v>
      </c>
      <c r="E851" s="312"/>
      <c r="F851" s="124" t="s">
        <v>1645</v>
      </c>
      <c r="G851" s="123">
        <v>3.589</v>
      </c>
      <c r="H851" s="121">
        <v>0</v>
      </c>
    </row>
    <row r="852" spans="1:8" ht="12.2" customHeight="1" x14ac:dyDescent="0.2">
      <c r="D852" s="336" t="s">
        <v>3756</v>
      </c>
      <c r="E852" s="337"/>
      <c r="F852" s="337"/>
      <c r="G852" s="146">
        <v>2.871</v>
      </c>
    </row>
    <row r="853" spans="1:8" ht="12.2" customHeight="1" x14ac:dyDescent="0.2">
      <c r="A853" s="124"/>
      <c r="B853" s="124"/>
      <c r="C853" s="124"/>
      <c r="D853" s="336" t="s">
        <v>3755</v>
      </c>
      <c r="E853" s="337"/>
      <c r="F853" s="336"/>
      <c r="G853" s="145">
        <v>0.71799999999999997</v>
      </c>
      <c r="H853" s="122"/>
    </row>
    <row r="854" spans="1:8" x14ac:dyDescent="0.2">
      <c r="A854" s="117" t="s">
        <v>499</v>
      </c>
      <c r="B854" s="117"/>
      <c r="C854" s="117" t="s">
        <v>3392</v>
      </c>
      <c r="D854" s="304" t="s">
        <v>3391</v>
      </c>
      <c r="E854" s="305"/>
      <c r="F854" s="117" t="s">
        <v>1646</v>
      </c>
      <c r="G854" s="116">
        <v>10</v>
      </c>
      <c r="H854" s="108">
        <v>0</v>
      </c>
    </row>
    <row r="855" spans="1:8" ht="12.2" customHeight="1" x14ac:dyDescent="0.2">
      <c r="D855" s="334" t="s">
        <v>2177</v>
      </c>
      <c r="E855" s="335"/>
      <c r="F855" s="335"/>
      <c r="G855" s="143">
        <v>10</v>
      </c>
    </row>
    <row r="856" spans="1:8" x14ac:dyDescent="0.2">
      <c r="A856" s="117" t="s">
        <v>500</v>
      </c>
      <c r="B856" s="117"/>
      <c r="C856" s="117" t="s">
        <v>929</v>
      </c>
      <c r="D856" s="304" t="s">
        <v>1518</v>
      </c>
      <c r="E856" s="305"/>
      <c r="F856" s="117" t="s">
        <v>1648</v>
      </c>
      <c r="G856" s="116">
        <v>0.89500000000000002</v>
      </c>
      <c r="H856" s="108">
        <v>0</v>
      </c>
    </row>
    <row r="857" spans="1:8" ht="12.2" customHeight="1" x14ac:dyDescent="0.2">
      <c r="D857" s="334" t="s">
        <v>3754</v>
      </c>
      <c r="E857" s="335"/>
      <c r="F857" s="335"/>
      <c r="G857" s="143">
        <v>0.89500000000000002</v>
      </c>
    </row>
    <row r="858" spans="1:8" x14ac:dyDescent="0.2">
      <c r="A858" s="120"/>
      <c r="B858" s="120"/>
      <c r="C858" s="120" t="s">
        <v>930</v>
      </c>
      <c r="D858" s="306" t="s">
        <v>1519</v>
      </c>
      <c r="E858" s="307"/>
      <c r="F858" s="120"/>
      <c r="G858" s="142"/>
      <c r="H858" s="109"/>
    </row>
    <row r="859" spans="1:8" x14ac:dyDescent="0.2">
      <c r="A859" s="117" t="s">
        <v>501</v>
      </c>
      <c r="B859" s="117"/>
      <c r="C859" s="117" t="s">
        <v>931</v>
      </c>
      <c r="D859" s="304" t="s">
        <v>1520</v>
      </c>
      <c r="E859" s="305"/>
      <c r="F859" s="117" t="s">
        <v>1645</v>
      </c>
      <c r="G859" s="116">
        <v>2140.9029999999998</v>
      </c>
      <c r="H859" s="108">
        <v>0</v>
      </c>
    </row>
    <row r="860" spans="1:8" ht="12.2" customHeight="1" x14ac:dyDescent="0.2">
      <c r="D860" s="334" t="s">
        <v>3750</v>
      </c>
      <c r="E860" s="335"/>
      <c r="F860" s="335"/>
      <c r="G860" s="143">
        <v>890.52099999999996</v>
      </c>
    </row>
    <row r="861" spans="1:8" ht="12.2" customHeight="1" x14ac:dyDescent="0.2">
      <c r="A861" s="117"/>
      <c r="B861" s="117"/>
      <c r="C861" s="117"/>
      <c r="D861" s="334" t="s">
        <v>3749</v>
      </c>
      <c r="E861" s="335"/>
      <c r="F861" s="334"/>
      <c r="G861" s="144">
        <v>423.11</v>
      </c>
      <c r="H861" s="111"/>
    </row>
    <row r="862" spans="1:8" ht="12.2" customHeight="1" x14ac:dyDescent="0.2">
      <c r="A862" s="117"/>
      <c r="B862" s="117"/>
      <c r="C862" s="117"/>
      <c r="D862" s="334" t="s">
        <v>3748</v>
      </c>
      <c r="E862" s="335"/>
      <c r="F862" s="334"/>
      <c r="G862" s="144">
        <v>259.15499999999997</v>
      </c>
      <c r="H862" s="111"/>
    </row>
    <row r="863" spans="1:8" ht="12.2" customHeight="1" x14ac:dyDescent="0.2">
      <c r="A863" s="117"/>
      <c r="B863" s="117"/>
      <c r="C863" s="117"/>
      <c r="D863" s="334" t="s">
        <v>3752</v>
      </c>
      <c r="E863" s="335"/>
      <c r="F863" s="334"/>
      <c r="G863" s="144">
        <v>281.22899999999998</v>
      </c>
      <c r="H863" s="111"/>
    </row>
    <row r="864" spans="1:8" ht="12.2" customHeight="1" x14ac:dyDescent="0.2">
      <c r="A864" s="117"/>
      <c r="B864" s="117"/>
      <c r="C864" s="117"/>
      <c r="D864" s="334" t="s">
        <v>3751</v>
      </c>
      <c r="E864" s="335"/>
      <c r="F864" s="334"/>
      <c r="G864" s="144">
        <v>204.99700000000001</v>
      </c>
      <c r="H864" s="111"/>
    </row>
    <row r="865" spans="1:8" ht="12.2" customHeight="1" x14ac:dyDescent="0.2">
      <c r="A865" s="117"/>
      <c r="B865" s="117"/>
      <c r="C865" s="117"/>
      <c r="D865" s="334" t="s">
        <v>3747</v>
      </c>
      <c r="E865" s="335"/>
      <c r="F865" s="334"/>
      <c r="G865" s="144">
        <v>81.891000000000005</v>
      </c>
      <c r="H865" s="111"/>
    </row>
    <row r="866" spans="1:8" x14ac:dyDescent="0.2">
      <c r="A866" s="117" t="s">
        <v>502</v>
      </c>
      <c r="B866" s="117"/>
      <c r="C866" s="117" t="s">
        <v>932</v>
      </c>
      <c r="D866" s="304" t="s">
        <v>1521</v>
      </c>
      <c r="E866" s="305"/>
      <c r="F866" s="117" t="s">
        <v>1645</v>
      </c>
      <c r="G866" s="116">
        <v>1484.6010000000001</v>
      </c>
      <c r="H866" s="108">
        <v>0</v>
      </c>
    </row>
    <row r="867" spans="1:8" ht="12.2" customHeight="1" x14ac:dyDescent="0.2">
      <c r="D867" s="334" t="s">
        <v>3753</v>
      </c>
      <c r="E867" s="335"/>
      <c r="F867" s="335"/>
      <c r="G867" s="143">
        <v>1484.6010000000001</v>
      </c>
    </row>
    <row r="868" spans="1:8" x14ac:dyDescent="0.2">
      <c r="A868" s="117" t="s">
        <v>503</v>
      </c>
      <c r="B868" s="117"/>
      <c r="C868" s="117" t="s">
        <v>933</v>
      </c>
      <c r="D868" s="304" t="s">
        <v>1522</v>
      </c>
      <c r="E868" s="305"/>
      <c r="F868" s="117" t="s">
        <v>1645</v>
      </c>
      <c r="G868" s="116">
        <v>2140.9029999999998</v>
      </c>
      <c r="H868" s="108">
        <v>0</v>
      </c>
    </row>
    <row r="869" spans="1:8" ht="12.2" customHeight="1" x14ac:dyDescent="0.2">
      <c r="D869" s="334" t="s">
        <v>3750</v>
      </c>
      <c r="E869" s="335"/>
      <c r="F869" s="335"/>
      <c r="G869" s="143">
        <v>890.52099999999996</v>
      </c>
    </row>
    <row r="870" spans="1:8" ht="12.2" customHeight="1" x14ac:dyDescent="0.2">
      <c r="A870" s="117"/>
      <c r="B870" s="117"/>
      <c r="C870" s="117"/>
      <c r="D870" s="334" t="s">
        <v>3749</v>
      </c>
      <c r="E870" s="335"/>
      <c r="F870" s="334"/>
      <c r="G870" s="144">
        <v>423.11</v>
      </c>
      <c r="H870" s="111"/>
    </row>
    <row r="871" spans="1:8" ht="12.2" customHeight="1" x14ac:dyDescent="0.2">
      <c r="A871" s="117"/>
      <c r="B871" s="117"/>
      <c r="C871" s="117"/>
      <c r="D871" s="334" t="s">
        <v>3748</v>
      </c>
      <c r="E871" s="335"/>
      <c r="F871" s="334"/>
      <c r="G871" s="144">
        <v>259.15499999999997</v>
      </c>
      <c r="H871" s="111"/>
    </row>
    <row r="872" spans="1:8" ht="12.2" customHeight="1" x14ac:dyDescent="0.2">
      <c r="A872" s="117"/>
      <c r="B872" s="117"/>
      <c r="C872" s="117"/>
      <c r="D872" s="334" t="s">
        <v>3752</v>
      </c>
      <c r="E872" s="335"/>
      <c r="F872" s="334"/>
      <c r="G872" s="144">
        <v>281.22899999999998</v>
      </c>
      <c r="H872" s="111"/>
    </row>
    <row r="873" spans="1:8" ht="12.2" customHeight="1" x14ac:dyDescent="0.2">
      <c r="A873" s="117"/>
      <c r="B873" s="117"/>
      <c r="C873" s="117"/>
      <c r="D873" s="334" t="s">
        <v>3751</v>
      </c>
      <c r="E873" s="335"/>
      <c r="F873" s="334"/>
      <c r="G873" s="144">
        <v>204.99700000000001</v>
      </c>
      <c r="H873" s="111"/>
    </row>
    <row r="874" spans="1:8" ht="12.2" customHeight="1" x14ac:dyDescent="0.2">
      <c r="A874" s="117"/>
      <c r="B874" s="117"/>
      <c r="C874" s="117"/>
      <c r="D874" s="334" t="s">
        <v>3747</v>
      </c>
      <c r="E874" s="335"/>
      <c r="F874" s="334"/>
      <c r="G874" s="144">
        <v>81.891000000000005</v>
      </c>
      <c r="H874" s="111"/>
    </row>
    <row r="875" spans="1:8" x14ac:dyDescent="0.2">
      <c r="A875" s="117" t="s">
        <v>504</v>
      </c>
      <c r="B875" s="117"/>
      <c r="C875" s="117" t="s">
        <v>934</v>
      </c>
      <c r="D875" s="304" t="s">
        <v>1523</v>
      </c>
      <c r="E875" s="305"/>
      <c r="F875" s="117" t="s">
        <v>1645</v>
      </c>
      <c r="G875" s="116">
        <v>486.226</v>
      </c>
      <c r="H875" s="108">
        <v>0</v>
      </c>
    </row>
    <row r="876" spans="1:8" ht="12.2" customHeight="1" x14ac:dyDescent="0.2">
      <c r="D876" s="334" t="s">
        <v>3752</v>
      </c>
      <c r="E876" s="335"/>
      <c r="F876" s="335"/>
      <c r="G876" s="143">
        <v>281.22899999999998</v>
      </c>
    </row>
    <row r="877" spans="1:8" ht="12.2" customHeight="1" x14ac:dyDescent="0.2">
      <c r="A877" s="117"/>
      <c r="B877" s="117"/>
      <c r="C877" s="117"/>
      <c r="D877" s="334" t="s">
        <v>3751</v>
      </c>
      <c r="E877" s="335"/>
      <c r="F877" s="334"/>
      <c r="G877" s="144">
        <v>204.99700000000001</v>
      </c>
      <c r="H877" s="111"/>
    </row>
    <row r="878" spans="1:8" x14ac:dyDescent="0.2">
      <c r="A878" s="117" t="s">
        <v>505</v>
      </c>
      <c r="B878" s="117"/>
      <c r="C878" s="117" t="s">
        <v>935</v>
      </c>
      <c r="D878" s="304" t="s">
        <v>1524</v>
      </c>
      <c r="E878" s="305"/>
      <c r="F878" s="117" t="s">
        <v>1645</v>
      </c>
      <c r="G878" s="116">
        <v>1654.6769999999999</v>
      </c>
      <c r="H878" s="108">
        <v>0</v>
      </c>
    </row>
    <row r="879" spans="1:8" ht="12.2" customHeight="1" x14ac:dyDescent="0.2">
      <c r="D879" s="334" t="s">
        <v>3750</v>
      </c>
      <c r="E879" s="335"/>
      <c r="F879" s="335"/>
      <c r="G879" s="143">
        <v>890.52099999999996</v>
      </c>
    </row>
    <row r="880" spans="1:8" ht="12.2" customHeight="1" x14ac:dyDescent="0.2">
      <c r="A880" s="117"/>
      <c r="B880" s="117"/>
      <c r="C880" s="117"/>
      <c r="D880" s="334" t="s">
        <v>3749</v>
      </c>
      <c r="E880" s="335"/>
      <c r="F880" s="334"/>
      <c r="G880" s="144">
        <v>423.11</v>
      </c>
      <c r="H880" s="111"/>
    </row>
    <row r="881" spans="1:8" ht="12.2" customHeight="1" x14ac:dyDescent="0.2">
      <c r="A881" s="117"/>
      <c r="B881" s="117"/>
      <c r="C881" s="117"/>
      <c r="D881" s="334" t="s">
        <v>3748</v>
      </c>
      <c r="E881" s="335"/>
      <c r="F881" s="334"/>
      <c r="G881" s="144">
        <v>259.15499999999997</v>
      </c>
      <c r="H881" s="111"/>
    </row>
    <row r="882" spans="1:8" ht="12.2" customHeight="1" x14ac:dyDescent="0.2">
      <c r="A882" s="117"/>
      <c r="B882" s="117"/>
      <c r="C882" s="117"/>
      <c r="D882" s="334" t="s">
        <v>3747</v>
      </c>
      <c r="E882" s="335"/>
      <c r="F882" s="334"/>
      <c r="G882" s="144">
        <v>81.891000000000005</v>
      </c>
      <c r="H882" s="111"/>
    </row>
    <row r="883" spans="1:8" x14ac:dyDescent="0.2">
      <c r="A883" s="120"/>
      <c r="B883" s="120"/>
      <c r="C883" s="120" t="s">
        <v>936</v>
      </c>
      <c r="D883" s="306" t="s">
        <v>1525</v>
      </c>
      <c r="E883" s="307"/>
      <c r="F883" s="120"/>
      <c r="G883" s="142"/>
      <c r="H883" s="109"/>
    </row>
    <row r="884" spans="1:8" x14ac:dyDescent="0.2">
      <c r="A884" s="117" t="s">
        <v>506</v>
      </c>
      <c r="B884" s="117"/>
      <c r="C884" s="117" t="s">
        <v>937</v>
      </c>
      <c r="D884" s="304" t="s">
        <v>1526</v>
      </c>
      <c r="E884" s="305"/>
      <c r="F884" s="117" t="s">
        <v>1644</v>
      </c>
      <c r="G884" s="116">
        <v>4</v>
      </c>
      <c r="H884" s="108">
        <v>0</v>
      </c>
    </row>
    <row r="885" spans="1:8" ht="12.2" customHeight="1" x14ac:dyDescent="0.2">
      <c r="D885" s="334" t="s">
        <v>1795</v>
      </c>
      <c r="E885" s="335"/>
      <c r="F885" s="335"/>
      <c r="G885" s="143">
        <v>4</v>
      </c>
    </row>
    <row r="886" spans="1:8" x14ac:dyDescent="0.2">
      <c r="A886" s="117" t="s">
        <v>507</v>
      </c>
      <c r="B886" s="117"/>
      <c r="C886" s="117" t="s">
        <v>939</v>
      </c>
      <c r="D886" s="304" t="s">
        <v>3026</v>
      </c>
      <c r="E886" s="305"/>
      <c r="F886" s="117" t="s">
        <v>1644</v>
      </c>
      <c r="G886" s="116">
        <v>1</v>
      </c>
      <c r="H886" s="108">
        <v>0</v>
      </c>
    </row>
    <row r="887" spans="1:8" ht="12.2" customHeight="1" x14ac:dyDescent="0.2">
      <c r="D887" s="334" t="s">
        <v>1749</v>
      </c>
      <c r="E887" s="335"/>
      <c r="F887" s="335"/>
      <c r="G887" s="143">
        <v>1</v>
      </c>
    </row>
    <row r="888" spans="1:8" x14ac:dyDescent="0.2">
      <c r="A888" s="117" t="s">
        <v>508</v>
      </c>
      <c r="B888" s="117"/>
      <c r="C888" s="117" t="s">
        <v>2673</v>
      </c>
      <c r="D888" s="304" t="s">
        <v>2672</v>
      </c>
      <c r="E888" s="305"/>
      <c r="F888" s="117" t="s">
        <v>1644</v>
      </c>
      <c r="G888" s="116">
        <v>1</v>
      </c>
      <c r="H888" s="108">
        <v>0</v>
      </c>
    </row>
    <row r="889" spans="1:8" ht="12.2" customHeight="1" x14ac:dyDescent="0.2">
      <c r="D889" s="334" t="s">
        <v>1749</v>
      </c>
      <c r="E889" s="335"/>
      <c r="F889" s="335"/>
      <c r="G889" s="143">
        <v>1</v>
      </c>
    </row>
    <row r="890" spans="1:8" x14ac:dyDescent="0.2">
      <c r="A890" s="117" t="s">
        <v>509</v>
      </c>
      <c r="B890" s="117"/>
      <c r="C890" s="117" t="s">
        <v>940</v>
      </c>
      <c r="D890" s="304" t="s">
        <v>1529</v>
      </c>
      <c r="E890" s="305"/>
      <c r="F890" s="117" t="s">
        <v>1644</v>
      </c>
      <c r="G890" s="116">
        <v>1</v>
      </c>
      <c r="H890" s="108">
        <v>0</v>
      </c>
    </row>
    <row r="891" spans="1:8" ht="12.2" customHeight="1" x14ac:dyDescent="0.2">
      <c r="D891" s="334" t="s">
        <v>1749</v>
      </c>
      <c r="E891" s="335"/>
      <c r="F891" s="335"/>
      <c r="G891" s="143">
        <v>1</v>
      </c>
    </row>
    <row r="892" spans="1:8" x14ac:dyDescent="0.2">
      <c r="A892" s="117" t="s">
        <v>510</v>
      </c>
      <c r="B892" s="117"/>
      <c r="C892" s="117" t="s">
        <v>3390</v>
      </c>
      <c r="D892" s="304" t="s">
        <v>1531</v>
      </c>
      <c r="E892" s="305"/>
      <c r="F892" s="117" t="s">
        <v>1644</v>
      </c>
      <c r="G892" s="116">
        <v>1</v>
      </c>
      <c r="H892" s="108">
        <v>0</v>
      </c>
    </row>
    <row r="893" spans="1:8" x14ac:dyDescent="0.2">
      <c r="A893" s="117" t="s">
        <v>511</v>
      </c>
      <c r="B893" s="117"/>
      <c r="C893" s="117" t="s">
        <v>3389</v>
      </c>
      <c r="D893" s="304" t="s">
        <v>1532</v>
      </c>
      <c r="E893" s="305"/>
      <c r="F893" s="117" t="s">
        <v>1646</v>
      </c>
      <c r="G893" s="116">
        <v>80</v>
      </c>
      <c r="H893" s="108">
        <v>0</v>
      </c>
    </row>
    <row r="894" spans="1:8" x14ac:dyDescent="0.2">
      <c r="A894" s="117" t="s">
        <v>512</v>
      </c>
      <c r="B894" s="117"/>
      <c r="C894" s="117" t="s">
        <v>3388</v>
      </c>
      <c r="D894" s="304" t="s">
        <v>1533</v>
      </c>
      <c r="E894" s="305"/>
      <c r="F894" s="117" t="s">
        <v>1646</v>
      </c>
      <c r="G894" s="116">
        <v>30</v>
      </c>
      <c r="H894" s="108">
        <v>0</v>
      </c>
    </row>
    <row r="895" spans="1:8" x14ac:dyDescent="0.2">
      <c r="A895" s="117" t="s">
        <v>513</v>
      </c>
      <c r="B895" s="117"/>
      <c r="C895" s="117" t="s">
        <v>3387</v>
      </c>
      <c r="D895" s="304" t="s">
        <v>1534</v>
      </c>
      <c r="E895" s="305"/>
      <c r="F895" s="117" t="s">
        <v>1644</v>
      </c>
      <c r="G895" s="116">
        <v>5</v>
      </c>
      <c r="H895" s="108">
        <v>0</v>
      </c>
    </row>
    <row r="896" spans="1:8" x14ac:dyDescent="0.2">
      <c r="A896" s="117" t="s">
        <v>514</v>
      </c>
      <c r="B896" s="117"/>
      <c r="C896" s="117" t="s">
        <v>3386</v>
      </c>
      <c r="D896" s="304" t="s">
        <v>1535</v>
      </c>
      <c r="E896" s="305"/>
      <c r="F896" s="117" t="s">
        <v>1644</v>
      </c>
      <c r="G896" s="116">
        <v>3</v>
      </c>
      <c r="H896" s="108">
        <v>0</v>
      </c>
    </row>
    <row r="897" spans="1:8" x14ac:dyDescent="0.2">
      <c r="A897" s="117" t="s">
        <v>515</v>
      </c>
      <c r="B897" s="117"/>
      <c r="C897" s="117" t="s">
        <v>3385</v>
      </c>
      <c r="D897" s="304" t="s">
        <v>1536</v>
      </c>
      <c r="E897" s="305"/>
      <c r="F897" s="117" t="s">
        <v>1644</v>
      </c>
      <c r="G897" s="116">
        <v>24</v>
      </c>
      <c r="H897" s="108">
        <v>0</v>
      </c>
    </row>
    <row r="898" spans="1:8" x14ac:dyDescent="0.2">
      <c r="A898" s="117" t="s">
        <v>516</v>
      </c>
      <c r="B898" s="117"/>
      <c r="C898" s="117" t="s">
        <v>3384</v>
      </c>
      <c r="D898" s="304" t="s">
        <v>1537</v>
      </c>
      <c r="E898" s="305"/>
      <c r="F898" s="117" t="s">
        <v>1644</v>
      </c>
      <c r="G898" s="116">
        <v>1</v>
      </c>
      <c r="H898" s="108">
        <v>0</v>
      </c>
    </row>
    <row r="899" spans="1:8" x14ac:dyDescent="0.2">
      <c r="A899" s="117" t="s">
        <v>517</v>
      </c>
      <c r="B899" s="117"/>
      <c r="C899" s="117" t="s">
        <v>3383</v>
      </c>
      <c r="D899" s="304" t="s">
        <v>1538</v>
      </c>
      <c r="E899" s="305"/>
      <c r="F899" s="117" t="s">
        <v>1646</v>
      </c>
      <c r="G899" s="116">
        <v>20</v>
      </c>
      <c r="H899" s="108">
        <v>0</v>
      </c>
    </row>
    <row r="900" spans="1:8" x14ac:dyDescent="0.2">
      <c r="A900" s="117" t="s">
        <v>518</v>
      </c>
      <c r="B900" s="117"/>
      <c r="C900" s="117" t="s">
        <v>3382</v>
      </c>
      <c r="D900" s="304" t="s">
        <v>1539</v>
      </c>
      <c r="E900" s="305"/>
      <c r="F900" s="117" t="s">
        <v>1646</v>
      </c>
      <c r="G900" s="116">
        <v>30</v>
      </c>
      <c r="H900" s="108">
        <v>0</v>
      </c>
    </row>
    <row r="901" spans="1:8" x14ac:dyDescent="0.2">
      <c r="A901" s="117" t="s">
        <v>519</v>
      </c>
      <c r="B901" s="117"/>
      <c r="C901" s="117" t="s">
        <v>3381</v>
      </c>
      <c r="D901" s="304" t="s">
        <v>1540</v>
      </c>
      <c r="E901" s="305"/>
      <c r="F901" s="117" t="s">
        <v>1646</v>
      </c>
      <c r="G901" s="116">
        <v>40</v>
      </c>
      <c r="H901" s="108">
        <v>0</v>
      </c>
    </row>
    <row r="902" spans="1:8" x14ac:dyDescent="0.2">
      <c r="A902" s="117" t="s">
        <v>520</v>
      </c>
      <c r="B902" s="117"/>
      <c r="C902" s="117" t="s">
        <v>3380</v>
      </c>
      <c r="D902" s="304" t="s">
        <v>1541</v>
      </c>
      <c r="E902" s="305"/>
      <c r="F902" s="117" t="s">
        <v>1646</v>
      </c>
      <c r="G902" s="116">
        <v>40</v>
      </c>
      <c r="H902" s="108">
        <v>0</v>
      </c>
    </row>
    <row r="903" spans="1:8" x14ac:dyDescent="0.2">
      <c r="A903" s="117" t="s">
        <v>521</v>
      </c>
      <c r="B903" s="117"/>
      <c r="C903" s="117" t="s">
        <v>3379</v>
      </c>
      <c r="D903" s="304" t="s">
        <v>1542</v>
      </c>
      <c r="E903" s="305"/>
      <c r="F903" s="117" t="s">
        <v>1646</v>
      </c>
      <c r="G903" s="116">
        <v>30</v>
      </c>
      <c r="H903" s="108">
        <v>0</v>
      </c>
    </row>
    <row r="904" spans="1:8" x14ac:dyDescent="0.2">
      <c r="A904" s="117" t="s">
        <v>522</v>
      </c>
      <c r="B904" s="117"/>
      <c r="C904" s="117" t="s">
        <v>3378</v>
      </c>
      <c r="D904" s="304" t="s">
        <v>1543</v>
      </c>
      <c r="E904" s="305"/>
      <c r="F904" s="117" t="s">
        <v>1644</v>
      </c>
      <c r="G904" s="116">
        <v>1</v>
      </c>
      <c r="H904" s="108">
        <v>0</v>
      </c>
    </row>
    <row r="905" spans="1:8" x14ac:dyDescent="0.2">
      <c r="A905" s="117" t="s">
        <v>523</v>
      </c>
      <c r="B905" s="117"/>
      <c r="C905" s="117" t="s">
        <v>3377</v>
      </c>
      <c r="D905" s="304" t="s">
        <v>3376</v>
      </c>
      <c r="E905" s="305"/>
      <c r="F905" s="117" t="s">
        <v>1644</v>
      </c>
      <c r="G905" s="116">
        <v>11</v>
      </c>
      <c r="H905" s="108">
        <v>0</v>
      </c>
    </row>
    <row r="906" spans="1:8" x14ac:dyDescent="0.2">
      <c r="A906" s="117" t="s">
        <v>524</v>
      </c>
      <c r="B906" s="117"/>
      <c r="C906" s="117" t="s">
        <v>3375</v>
      </c>
      <c r="D906" s="304" t="s">
        <v>1545</v>
      </c>
      <c r="E906" s="305"/>
      <c r="F906" s="117" t="s">
        <v>1646</v>
      </c>
      <c r="G906" s="116">
        <v>480</v>
      </c>
      <c r="H906" s="108">
        <v>0</v>
      </c>
    </row>
    <row r="907" spans="1:8" x14ac:dyDescent="0.2">
      <c r="A907" s="117" t="s">
        <v>525</v>
      </c>
      <c r="B907" s="117"/>
      <c r="C907" s="117" t="s">
        <v>3374</v>
      </c>
      <c r="D907" s="304" t="s">
        <v>1546</v>
      </c>
      <c r="E907" s="305"/>
      <c r="F907" s="117" t="s">
        <v>1646</v>
      </c>
      <c r="G907" s="116">
        <v>60</v>
      </c>
      <c r="H907" s="108">
        <v>0</v>
      </c>
    </row>
    <row r="908" spans="1:8" x14ac:dyDescent="0.2">
      <c r="A908" s="117" t="s">
        <v>526</v>
      </c>
      <c r="B908" s="117"/>
      <c r="C908" s="117" t="s">
        <v>3373</v>
      </c>
      <c r="D908" s="304" t="s">
        <v>1547</v>
      </c>
      <c r="E908" s="305"/>
      <c r="F908" s="117" t="s">
        <v>1646</v>
      </c>
      <c r="G908" s="116">
        <v>250</v>
      </c>
      <c r="H908" s="108">
        <v>0</v>
      </c>
    </row>
    <row r="909" spans="1:8" x14ac:dyDescent="0.2">
      <c r="A909" s="117" t="s">
        <v>527</v>
      </c>
      <c r="B909" s="117"/>
      <c r="C909" s="117" t="s">
        <v>3372</v>
      </c>
      <c r="D909" s="304" t="s">
        <v>1548</v>
      </c>
      <c r="E909" s="305"/>
      <c r="F909" s="117" t="s">
        <v>1644</v>
      </c>
      <c r="G909" s="116">
        <v>11</v>
      </c>
      <c r="H909" s="108">
        <v>0</v>
      </c>
    </row>
    <row r="910" spans="1:8" x14ac:dyDescent="0.2">
      <c r="A910" s="117" t="s">
        <v>528</v>
      </c>
      <c r="B910" s="117"/>
      <c r="C910" s="117" t="s">
        <v>3371</v>
      </c>
      <c r="D910" s="304" t="s">
        <v>1549</v>
      </c>
      <c r="E910" s="305"/>
      <c r="F910" s="117" t="s">
        <v>1644</v>
      </c>
      <c r="G910" s="116">
        <v>12</v>
      </c>
      <c r="H910" s="108">
        <v>0</v>
      </c>
    </row>
    <row r="911" spans="1:8" x14ac:dyDescent="0.2">
      <c r="A911" s="117" t="s">
        <v>529</v>
      </c>
      <c r="B911" s="117"/>
      <c r="C911" s="117" t="s">
        <v>3370</v>
      </c>
      <c r="D911" s="304" t="s">
        <v>1550</v>
      </c>
      <c r="E911" s="305"/>
      <c r="F911" s="117" t="s">
        <v>1646</v>
      </c>
      <c r="G911" s="116">
        <v>350</v>
      </c>
      <c r="H911" s="108">
        <v>0</v>
      </c>
    </row>
    <row r="912" spans="1:8" x14ac:dyDescent="0.2">
      <c r="A912" s="117" t="s">
        <v>530</v>
      </c>
      <c r="B912" s="117"/>
      <c r="C912" s="117" t="s">
        <v>3369</v>
      </c>
      <c r="D912" s="304" t="s">
        <v>1551</v>
      </c>
      <c r="E912" s="305"/>
      <c r="F912" s="117" t="s">
        <v>1644</v>
      </c>
      <c r="G912" s="116">
        <v>1</v>
      </c>
      <c r="H912" s="108">
        <v>0</v>
      </c>
    </row>
    <row r="913" spans="1:8" x14ac:dyDescent="0.2">
      <c r="A913" s="117" t="s">
        <v>531</v>
      </c>
      <c r="B913" s="117"/>
      <c r="C913" s="117" t="s">
        <v>3368</v>
      </c>
      <c r="D913" s="304" t="s">
        <v>1552</v>
      </c>
      <c r="E913" s="305"/>
      <c r="F913" s="117" t="s">
        <v>1644</v>
      </c>
      <c r="G913" s="116">
        <v>1</v>
      </c>
      <c r="H913" s="108">
        <v>0</v>
      </c>
    </row>
    <row r="914" spans="1:8" x14ac:dyDescent="0.2">
      <c r="A914" s="117" t="s">
        <v>532</v>
      </c>
      <c r="B914" s="117"/>
      <c r="C914" s="117" t="s">
        <v>3367</v>
      </c>
      <c r="D914" s="304" t="s">
        <v>1553</v>
      </c>
      <c r="E914" s="305"/>
      <c r="F914" s="117" t="s">
        <v>1644</v>
      </c>
      <c r="G914" s="116">
        <v>1</v>
      </c>
      <c r="H914" s="108">
        <v>0</v>
      </c>
    </row>
    <row r="915" spans="1:8" x14ac:dyDescent="0.2">
      <c r="A915" s="117" t="s">
        <v>533</v>
      </c>
      <c r="B915" s="117"/>
      <c r="C915" s="117" t="s">
        <v>3366</v>
      </c>
      <c r="D915" s="304" t="s">
        <v>1554</v>
      </c>
      <c r="E915" s="305"/>
      <c r="F915" s="117" t="s">
        <v>1644</v>
      </c>
      <c r="G915" s="116">
        <v>1</v>
      </c>
      <c r="H915" s="108">
        <v>0</v>
      </c>
    </row>
    <row r="916" spans="1:8" x14ac:dyDescent="0.2">
      <c r="A916" s="117" t="s">
        <v>534</v>
      </c>
      <c r="B916" s="117"/>
      <c r="C916" s="117" t="s">
        <v>3365</v>
      </c>
      <c r="D916" s="304" t="s">
        <v>1555</v>
      </c>
      <c r="E916" s="305"/>
      <c r="F916" s="117" t="s">
        <v>1644</v>
      </c>
      <c r="G916" s="116">
        <v>1</v>
      </c>
      <c r="H916" s="108">
        <v>0</v>
      </c>
    </row>
    <row r="917" spans="1:8" x14ac:dyDescent="0.2">
      <c r="A917" s="120"/>
      <c r="B917" s="120"/>
      <c r="C917" s="120" t="s">
        <v>967</v>
      </c>
      <c r="D917" s="306" t="s">
        <v>1556</v>
      </c>
      <c r="E917" s="307"/>
      <c r="F917" s="120"/>
      <c r="G917" s="142"/>
      <c r="H917" s="109"/>
    </row>
    <row r="918" spans="1:8" x14ac:dyDescent="0.2">
      <c r="A918" s="117" t="s">
        <v>535</v>
      </c>
      <c r="B918" s="117"/>
      <c r="C918" s="117" t="s">
        <v>968</v>
      </c>
      <c r="D918" s="304" t="s">
        <v>2976</v>
      </c>
      <c r="E918" s="305"/>
      <c r="F918" s="117" t="s">
        <v>1644</v>
      </c>
      <c r="G918" s="116">
        <v>3</v>
      </c>
      <c r="H918" s="108">
        <v>0</v>
      </c>
    </row>
    <row r="919" spans="1:8" ht="12.2" customHeight="1" x14ac:dyDescent="0.2">
      <c r="D919" s="334" t="s">
        <v>1797</v>
      </c>
      <c r="E919" s="335"/>
      <c r="F919" s="335"/>
      <c r="G919" s="143">
        <v>3</v>
      </c>
    </row>
    <row r="920" spans="1:8" x14ac:dyDescent="0.2">
      <c r="A920" s="117" t="s">
        <v>536</v>
      </c>
      <c r="B920" s="117"/>
      <c r="C920" s="117" t="s">
        <v>969</v>
      </c>
      <c r="D920" s="304" t="s">
        <v>2975</v>
      </c>
      <c r="E920" s="305"/>
      <c r="F920" s="117" t="s">
        <v>1644</v>
      </c>
      <c r="G920" s="116">
        <v>3</v>
      </c>
      <c r="H920" s="108">
        <v>0</v>
      </c>
    </row>
    <row r="921" spans="1:8" ht="12.2" customHeight="1" x14ac:dyDescent="0.2">
      <c r="D921" s="334" t="s">
        <v>1797</v>
      </c>
      <c r="E921" s="335"/>
      <c r="F921" s="335"/>
      <c r="G921" s="143">
        <v>3</v>
      </c>
    </row>
    <row r="922" spans="1:8" x14ac:dyDescent="0.2">
      <c r="A922" s="120"/>
      <c r="B922" s="120"/>
      <c r="C922" s="120" t="s">
        <v>970</v>
      </c>
      <c r="D922" s="306" t="s">
        <v>1559</v>
      </c>
      <c r="E922" s="307"/>
      <c r="F922" s="120"/>
      <c r="G922" s="142"/>
      <c r="H922" s="109"/>
    </row>
    <row r="923" spans="1:8" x14ac:dyDescent="0.2">
      <c r="A923" s="117" t="s">
        <v>537</v>
      </c>
      <c r="B923" s="117"/>
      <c r="C923" s="117" t="s">
        <v>3364</v>
      </c>
      <c r="D923" s="304" t="s">
        <v>3363</v>
      </c>
      <c r="E923" s="305"/>
      <c r="F923" s="117" t="s">
        <v>1644</v>
      </c>
      <c r="G923" s="116">
        <v>1</v>
      </c>
      <c r="H923" s="108">
        <v>0</v>
      </c>
    </row>
    <row r="924" spans="1:8" x14ac:dyDescent="0.2">
      <c r="A924" s="117" t="s">
        <v>538</v>
      </c>
      <c r="B924" s="117"/>
      <c r="C924" s="117" t="s">
        <v>3362</v>
      </c>
      <c r="D924" s="304" t="s">
        <v>1561</v>
      </c>
      <c r="E924" s="305"/>
      <c r="F924" s="117" t="s">
        <v>1644</v>
      </c>
      <c r="G924" s="116">
        <v>1</v>
      </c>
      <c r="H924" s="108">
        <v>0</v>
      </c>
    </row>
    <row r="925" spans="1:8" x14ac:dyDescent="0.2">
      <c r="A925" s="117" t="s">
        <v>539</v>
      </c>
      <c r="B925" s="117"/>
      <c r="C925" s="117" t="s">
        <v>3349</v>
      </c>
      <c r="D925" s="304" t="s">
        <v>1562</v>
      </c>
      <c r="E925" s="305"/>
      <c r="F925" s="117" t="s">
        <v>1644</v>
      </c>
      <c r="G925" s="116">
        <v>2</v>
      </c>
      <c r="H925" s="108">
        <v>0</v>
      </c>
    </row>
    <row r="926" spans="1:8" x14ac:dyDescent="0.2">
      <c r="A926" s="117" t="s">
        <v>540</v>
      </c>
      <c r="B926" s="117"/>
      <c r="C926" s="117" t="s">
        <v>974</v>
      </c>
      <c r="D926" s="304" t="s">
        <v>1563</v>
      </c>
      <c r="E926" s="305"/>
      <c r="F926" s="117" t="s">
        <v>1644</v>
      </c>
      <c r="G926" s="116">
        <v>1</v>
      </c>
      <c r="H926" s="108">
        <v>0</v>
      </c>
    </row>
    <row r="927" spans="1:8" x14ac:dyDescent="0.2">
      <c r="A927" s="117" t="s">
        <v>541</v>
      </c>
      <c r="B927" s="117"/>
      <c r="C927" s="117" t="s">
        <v>3345</v>
      </c>
      <c r="D927" s="304" t="s">
        <v>1564</v>
      </c>
      <c r="E927" s="305"/>
      <c r="F927" s="117" t="s">
        <v>1644</v>
      </c>
      <c r="G927" s="116">
        <v>2</v>
      </c>
      <c r="H927" s="108">
        <v>0</v>
      </c>
    </row>
    <row r="928" spans="1:8" x14ac:dyDescent="0.2">
      <c r="A928" s="117" t="s">
        <v>542</v>
      </c>
      <c r="B928" s="117"/>
      <c r="C928" s="117" t="s">
        <v>3361</v>
      </c>
      <c r="D928" s="304" t="s">
        <v>1565</v>
      </c>
      <c r="E928" s="305"/>
      <c r="F928" s="117" t="s">
        <v>1644</v>
      </c>
      <c r="G928" s="116">
        <v>6</v>
      </c>
      <c r="H928" s="108">
        <v>0</v>
      </c>
    </row>
    <row r="929" spans="1:8" x14ac:dyDescent="0.2">
      <c r="A929" s="117" t="s">
        <v>543</v>
      </c>
      <c r="B929" s="117"/>
      <c r="C929" s="117" t="s">
        <v>3338</v>
      </c>
      <c r="D929" s="304" t="s">
        <v>1566</v>
      </c>
      <c r="E929" s="305"/>
      <c r="F929" s="117" t="s">
        <v>1644</v>
      </c>
      <c r="G929" s="116">
        <v>1</v>
      </c>
      <c r="H929" s="108">
        <v>0</v>
      </c>
    </row>
    <row r="930" spans="1:8" x14ac:dyDescent="0.2">
      <c r="A930" s="117" t="s">
        <v>544</v>
      </c>
      <c r="B930" s="117"/>
      <c r="C930" s="117" t="s">
        <v>3360</v>
      </c>
      <c r="D930" s="304" t="s">
        <v>1568</v>
      </c>
      <c r="E930" s="305"/>
      <c r="F930" s="117" t="s">
        <v>1644</v>
      </c>
      <c r="G930" s="116">
        <v>1</v>
      </c>
      <c r="H930" s="108">
        <v>0</v>
      </c>
    </row>
    <row r="931" spans="1:8" x14ac:dyDescent="0.2">
      <c r="A931" s="117" t="s">
        <v>545</v>
      </c>
      <c r="B931" s="117"/>
      <c r="C931" s="117" t="s">
        <v>3307</v>
      </c>
      <c r="D931" s="304" t="s">
        <v>3359</v>
      </c>
      <c r="E931" s="305"/>
      <c r="F931" s="117" t="s">
        <v>1644</v>
      </c>
      <c r="G931" s="116">
        <v>1</v>
      </c>
      <c r="H931" s="108">
        <v>0</v>
      </c>
    </row>
    <row r="932" spans="1:8" x14ac:dyDescent="0.2">
      <c r="A932" s="117" t="s">
        <v>546</v>
      </c>
      <c r="B932" s="117"/>
      <c r="C932" s="117" t="s">
        <v>3358</v>
      </c>
      <c r="D932" s="304" t="s">
        <v>1569</v>
      </c>
      <c r="E932" s="305"/>
      <c r="F932" s="117" t="s">
        <v>1644</v>
      </c>
      <c r="G932" s="116">
        <v>1</v>
      </c>
      <c r="H932" s="108">
        <v>0</v>
      </c>
    </row>
    <row r="933" spans="1:8" x14ac:dyDescent="0.2">
      <c r="A933" s="117" t="s">
        <v>547</v>
      </c>
      <c r="B933" s="117"/>
      <c r="C933" s="117" t="s">
        <v>3357</v>
      </c>
      <c r="D933" s="304" t="s">
        <v>1570</v>
      </c>
      <c r="E933" s="305"/>
      <c r="F933" s="117" t="s">
        <v>1644</v>
      </c>
      <c r="G933" s="116">
        <v>1</v>
      </c>
      <c r="H933" s="108">
        <v>0</v>
      </c>
    </row>
    <row r="934" spans="1:8" x14ac:dyDescent="0.2">
      <c r="A934" s="117" t="s">
        <v>548</v>
      </c>
      <c r="B934" s="117"/>
      <c r="C934" s="117" t="s">
        <v>3356</v>
      </c>
      <c r="D934" s="304" t="s">
        <v>1571</v>
      </c>
      <c r="E934" s="305"/>
      <c r="F934" s="117" t="s">
        <v>1644</v>
      </c>
      <c r="G934" s="116">
        <v>1</v>
      </c>
      <c r="H934" s="108">
        <v>0</v>
      </c>
    </row>
    <row r="935" spans="1:8" x14ac:dyDescent="0.2">
      <c r="A935" s="117" t="s">
        <v>549</v>
      </c>
      <c r="B935" s="117"/>
      <c r="C935" s="117" t="s">
        <v>3355</v>
      </c>
      <c r="D935" s="304" t="s">
        <v>1572</v>
      </c>
      <c r="E935" s="305"/>
      <c r="F935" s="117" t="s">
        <v>1644</v>
      </c>
      <c r="G935" s="116">
        <v>1</v>
      </c>
      <c r="H935" s="108">
        <v>0</v>
      </c>
    </row>
    <row r="936" spans="1:8" x14ac:dyDescent="0.2">
      <c r="A936" s="117" t="s">
        <v>550</v>
      </c>
      <c r="B936" s="117"/>
      <c r="C936" s="117" t="s">
        <v>3354</v>
      </c>
      <c r="D936" s="304" t="s">
        <v>1573</v>
      </c>
      <c r="E936" s="305"/>
      <c r="F936" s="117" t="s">
        <v>1644</v>
      </c>
      <c r="G936" s="116">
        <v>1</v>
      </c>
      <c r="H936" s="108">
        <v>0</v>
      </c>
    </row>
    <row r="937" spans="1:8" x14ac:dyDescent="0.2">
      <c r="A937" s="117" t="s">
        <v>551</v>
      </c>
      <c r="B937" s="117"/>
      <c r="C937" s="117" t="s">
        <v>3353</v>
      </c>
      <c r="D937" s="304" t="s">
        <v>1574</v>
      </c>
      <c r="E937" s="305"/>
      <c r="F937" s="117" t="s">
        <v>1644</v>
      </c>
      <c r="G937" s="116">
        <v>1</v>
      </c>
      <c r="H937" s="108">
        <v>0</v>
      </c>
    </row>
    <row r="938" spans="1:8" x14ac:dyDescent="0.2">
      <c r="A938" s="117" t="s">
        <v>552</v>
      </c>
      <c r="B938" s="117"/>
      <c r="C938" s="117" t="s">
        <v>3352</v>
      </c>
      <c r="D938" s="304" t="s">
        <v>3351</v>
      </c>
      <c r="E938" s="305"/>
      <c r="F938" s="117" t="s">
        <v>1644</v>
      </c>
      <c r="G938" s="116">
        <v>1</v>
      </c>
      <c r="H938" s="108">
        <v>0</v>
      </c>
    </row>
    <row r="939" spans="1:8" x14ac:dyDescent="0.2">
      <c r="A939" s="117" t="s">
        <v>553</v>
      </c>
      <c r="B939" s="117"/>
      <c r="C939" s="117" t="s">
        <v>3350</v>
      </c>
      <c r="D939" s="304" t="s">
        <v>1576</v>
      </c>
      <c r="E939" s="305"/>
      <c r="F939" s="117" t="s">
        <v>1644</v>
      </c>
      <c r="G939" s="116">
        <v>1</v>
      </c>
      <c r="H939" s="108">
        <v>0</v>
      </c>
    </row>
    <row r="940" spans="1:8" x14ac:dyDescent="0.2">
      <c r="A940" s="117" t="s">
        <v>554</v>
      </c>
      <c r="B940" s="117"/>
      <c r="C940" s="117" t="s">
        <v>3349</v>
      </c>
      <c r="D940" s="304" t="s">
        <v>1577</v>
      </c>
      <c r="E940" s="305"/>
      <c r="F940" s="117" t="s">
        <v>1644</v>
      </c>
      <c r="G940" s="116">
        <v>2</v>
      </c>
      <c r="H940" s="108">
        <v>0</v>
      </c>
    </row>
    <row r="941" spans="1:8" x14ac:dyDescent="0.2">
      <c r="A941" s="117" t="s">
        <v>555</v>
      </c>
      <c r="B941" s="117"/>
      <c r="C941" s="117" t="s">
        <v>3348</v>
      </c>
      <c r="D941" s="304" t="s">
        <v>1578</v>
      </c>
      <c r="E941" s="305"/>
      <c r="F941" s="117" t="s">
        <v>1644</v>
      </c>
      <c r="G941" s="116">
        <v>2</v>
      </c>
      <c r="H941" s="108">
        <v>0</v>
      </c>
    </row>
    <row r="942" spans="1:8" x14ac:dyDescent="0.2">
      <c r="A942" s="117" t="s">
        <v>556</v>
      </c>
      <c r="B942" s="117"/>
      <c r="C942" s="117" t="s">
        <v>3347</v>
      </c>
      <c r="D942" s="304" t="s">
        <v>1579</v>
      </c>
      <c r="E942" s="305"/>
      <c r="F942" s="117" t="s">
        <v>1644</v>
      </c>
      <c r="G942" s="116">
        <v>2</v>
      </c>
      <c r="H942" s="108">
        <v>0</v>
      </c>
    </row>
    <row r="943" spans="1:8" x14ac:dyDescent="0.2">
      <c r="A943" s="117" t="s">
        <v>557</v>
      </c>
      <c r="B943" s="117"/>
      <c r="C943" s="117" t="s">
        <v>990</v>
      </c>
      <c r="D943" s="304" t="s">
        <v>1580</v>
      </c>
      <c r="E943" s="305"/>
      <c r="F943" s="117" t="s">
        <v>1644</v>
      </c>
      <c r="G943" s="116">
        <v>1</v>
      </c>
      <c r="H943" s="108">
        <v>0</v>
      </c>
    </row>
    <row r="944" spans="1:8" x14ac:dyDescent="0.2">
      <c r="A944" s="117" t="s">
        <v>558</v>
      </c>
      <c r="B944" s="117"/>
      <c r="C944" s="117" t="s">
        <v>991</v>
      </c>
      <c r="D944" s="304" t="s">
        <v>1581</v>
      </c>
      <c r="E944" s="305"/>
      <c r="F944" s="117" t="s">
        <v>1644</v>
      </c>
      <c r="G944" s="116">
        <v>2</v>
      </c>
      <c r="H944" s="108">
        <v>0</v>
      </c>
    </row>
    <row r="945" spans="1:8" x14ac:dyDescent="0.2">
      <c r="A945" s="117" t="s">
        <v>559</v>
      </c>
      <c r="B945" s="117"/>
      <c r="C945" s="117" t="s">
        <v>3346</v>
      </c>
      <c r="D945" s="304" t="s">
        <v>1582</v>
      </c>
      <c r="E945" s="305"/>
      <c r="F945" s="117" t="s">
        <v>1644</v>
      </c>
      <c r="G945" s="116">
        <v>2</v>
      </c>
      <c r="H945" s="108">
        <v>0</v>
      </c>
    </row>
    <row r="946" spans="1:8" x14ac:dyDescent="0.2">
      <c r="A946" s="117" t="s">
        <v>560</v>
      </c>
      <c r="B946" s="117"/>
      <c r="C946" s="117" t="s">
        <v>3345</v>
      </c>
      <c r="D946" s="304" t="s">
        <v>1583</v>
      </c>
      <c r="E946" s="305"/>
      <c r="F946" s="117"/>
      <c r="G946" s="116">
        <v>2</v>
      </c>
      <c r="H946" s="108">
        <v>0</v>
      </c>
    </row>
    <row r="947" spans="1:8" x14ac:dyDescent="0.2">
      <c r="A947" s="117" t="s">
        <v>561</v>
      </c>
      <c r="B947" s="117"/>
      <c r="C947" s="117" t="s">
        <v>3344</v>
      </c>
      <c r="D947" s="304" t="s">
        <v>1581</v>
      </c>
      <c r="E947" s="305"/>
      <c r="F947" s="117" t="s">
        <v>1644</v>
      </c>
      <c r="G947" s="116">
        <v>2</v>
      </c>
      <c r="H947" s="108">
        <v>0</v>
      </c>
    </row>
    <row r="948" spans="1:8" x14ac:dyDescent="0.2">
      <c r="A948" s="117" t="s">
        <v>562</v>
      </c>
      <c r="B948" s="117"/>
      <c r="C948" s="117" t="s">
        <v>995</v>
      </c>
      <c r="D948" s="304" t="s">
        <v>3341</v>
      </c>
      <c r="E948" s="305"/>
      <c r="F948" s="117" t="s">
        <v>1644</v>
      </c>
      <c r="G948" s="116">
        <v>1</v>
      </c>
      <c r="H948" s="108">
        <v>0</v>
      </c>
    </row>
    <row r="949" spans="1:8" x14ac:dyDescent="0.2">
      <c r="A949" s="117" t="s">
        <v>563</v>
      </c>
      <c r="B949" s="117"/>
      <c r="C949" s="117" t="s">
        <v>998</v>
      </c>
      <c r="D949" s="304" t="s">
        <v>3331</v>
      </c>
      <c r="E949" s="305"/>
      <c r="F949" s="117" t="s">
        <v>1644</v>
      </c>
      <c r="G949" s="116">
        <v>1</v>
      </c>
      <c r="H949" s="108">
        <v>0</v>
      </c>
    </row>
    <row r="950" spans="1:8" x14ac:dyDescent="0.2">
      <c r="A950" s="117" t="s">
        <v>564</v>
      </c>
      <c r="B950" s="117"/>
      <c r="C950" s="117" t="s">
        <v>3343</v>
      </c>
      <c r="D950" s="304" t="s">
        <v>1584</v>
      </c>
      <c r="E950" s="305"/>
      <c r="F950" s="117" t="s">
        <v>1644</v>
      </c>
      <c r="G950" s="116">
        <v>1</v>
      </c>
      <c r="H950" s="108">
        <v>0</v>
      </c>
    </row>
    <row r="951" spans="1:8" x14ac:dyDescent="0.2">
      <c r="A951" s="117" t="s">
        <v>565</v>
      </c>
      <c r="B951" s="117"/>
      <c r="C951" s="117" t="s">
        <v>3342</v>
      </c>
      <c r="D951" s="304" t="s">
        <v>3341</v>
      </c>
      <c r="E951" s="305"/>
      <c r="F951" s="117" t="s">
        <v>1644</v>
      </c>
      <c r="G951" s="116">
        <v>1</v>
      </c>
      <c r="H951" s="108">
        <v>0</v>
      </c>
    </row>
    <row r="952" spans="1:8" x14ac:dyDescent="0.2">
      <c r="A952" s="117" t="s">
        <v>566</v>
      </c>
      <c r="B952" s="117"/>
      <c r="C952" s="117" t="s">
        <v>1002</v>
      </c>
      <c r="D952" s="304" t="s">
        <v>1585</v>
      </c>
      <c r="E952" s="305"/>
      <c r="F952" s="117" t="s">
        <v>1644</v>
      </c>
      <c r="G952" s="116">
        <v>1</v>
      </c>
      <c r="H952" s="108">
        <v>0</v>
      </c>
    </row>
    <row r="953" spans="1:8" x14ac:dyDescent="0.2">
      <c r="A953" s="117" t="s">
        <v>567</v>
      </c>
      <c r="B953" s="117"/>
      <c r="C953" s="117" t="s">
        <v>3340</v>
      </c>
      <c r="D953" s="304" t="s">
        <v>1586</v>
      </c>
      <c r="E953" s="305"/>
      <c r="F953" s="117" t="s">
        <v>1644</v>
      </c>
      <c r="G953" s="116">
        <v>1</v>
      </c>
      <c r="H953" s="108">
        <v>0</v>
      </c>
    </row>
    <row r="954" spans="1:8" x14ac:dyDescent="0.2">
      <c r="A954" s="117" t="s">
        <v>568</v>
      </c>
      <c r="B954" s="117"/>
      <c r="C954" s="117" t="s">
        <v>3340</v>
      </c>
      <c r="D954" s="304" t="s">
        <v>1587</v>
      </c>
      <c r="E954" s="305"/>
      <c r="F954" s="117" t="s">
        <v>1644</v>
      </c>
      <c r="G954" s="116">
        <v>1</v>
      </c>
      <c r="H954" s="108">
        <v>0</v>
      </c>
    </row>
    <row r="955" spans="1:8" x14ac:dyDescent="0.2">
      <c r="A955" s="117" t="s">
        <v>2231</v>
      </c>
      <c r="B955" s="117"/>
      <c r="C955" s="117" t="s">
        <v>3339</v>
      </c>
      <c r="D955" s="304" t="s">
        <v>1588</v>
      </c>
      <c r="E955" s="305"/>
      <c r="F955" s="117" t="s">
        <v>1644</v>
      </c>
      <c r="G955" s="116">
        <v>1</v>
      </c>
      <c r="H955" s="108">
        <v>0</v>
      </c>
    </row>
    <row r="956" spans="1:8" x14ac:dyDescent="0.2">
      <c r="A956" s="117" t="s">
        <v>2228</v>
      </c>
      <c r="B956" s="117"/>
      <c r="C956" s="117" t="s">
        <v>3339</v>
      </c>
      <c r="D956" s="304" t="s">
        <v>1589</v>
      </c>
      <c r="E956" s="305"/>
      <c r="F956" s="117" t="s">
        <v>1644</v>
      </c>
      <c r="G956" s="116">
        <v>1</v>
      </c>
      <c r="H956" s="108">
        <v>0</v>
      </c>
    </row>
    <row r="957" spans="1:8" x14ac:dyDescent="0.2">
      <c r="A957" s="117" t="s">
        <v>2585</v>
      </c>
      <c r="B957" s="117"/>
      <c r="C957" s="117" t="s">
        <v>3338</v>
      </c>
      <c r="D957" s="304" t="s">
        <v>1590</v>
      </c>
      <c r="E957" s="305"/>
      <c r="F957" s="117" t="s">
        <v>1644</v>
      </c>
      <c r="G957" s="116">
        <v>1</v>
      </c>
      <c r="H957" s="108">
        <v>0</v>
      </c>
    </row>
    <row r="958" spans="1:8" x14ac:dyDescent="0.2">
      <c r="A958" s="117" t="s">
        <v>2583</v>
      </c>
      <c r="B958" s="117"/>
      <c r="C958" s="117" t="s">
        <v>3337</v>
      </c>
      <c r="D958" s="304" t="s">
        <v>1586</v>
      </c>
      <c r="E958" s="305"/>
      <c r="F958" s="117" t="s">
        <v>1644</v>
      </c>
      <c r="G958" s="116">
        <v>2</v>
      </c>
      <c r="H958" s="108">
        <v>0</v>
      </c>
    </row>
    <row r="959" spans="1:8" x14ac:dyDescent="0.2">
      <c r="A959" s="117" t="s">
        <v>2581</v>
      </c>
      <c r="B959" s="117"/>
      <c r="C959" s="117" t="s">
        <v>3337</v>
      </c>
      <c r="D959" s="304" t="s">
        <v>1587</v>
      </c>
      <c r="E959" s="305"/>
      <c r="F959" s="117" t="s">
        <v>1644</v>
      </c>
      <c r="G959" s="116">
        <v>2</v>
      </c>
      <c r="H959" s="108">
        <v>0</v>
      </c>
    </row>
    <row r="960" spans="1:8" x14ac:dyDescent="0.2">
      <c r="A960" s="117" t="s">
        <v>2580</v>
      </c>
      <c r="B960" s="117"/>
      <c r="C960" s="117" t="s">
        <v>3336</v>
      </c>
      <c r="D960" s="304" t="s">
        <v>1581</v>
      </c>
      <c r="E960" s="305"/>
      <c r="F960" s="117" t="s">
        <v>1644</v>
      </c>
      <c r="G960" s="116">
        <v>1</v>
      </c>
      <c r="H960" s="108">
        <v>0</v>
      </c>
    </row>
    <row r="961" spans="1:8" x14ac:dyDescent="0.2">
      <c r="A961" s="117" t="s">
        <v>2579</v>
      </c>
      <c r="B961" s="117"/>
      <c r="C961" s="117" t="s">
        <v>3335</v>
      </c>
      <c r="D961" s="304" t="s">
        <v>3331</v>
      </c>
      <c r="E961" s="305"/>
      <c r="F961" s="117" t="s">
        <v>1644</v>
      </c>
      <c r="G961" s="116">
        <v>1</v>
      </c>
      <c r="H961" s="108">
        <v>0</v>
      </c>
    </row>
    <row r="962" spans="1:8" x14ac:dyDescent="0.2">
      <c r="A962" s="117" t="s">
        <v>2578</v>
      </c>
      <c r="B962" s="117"/>
      <c r="C962" s="117" t="s">
        <v>3334</v>
      </c>
      <c r="D962" s="304" t="s">
        <v>1581</v>
      </c>
      <c r="E962" s="305"/>
      <c r="F962" s="117" t="s">
        <v>1644</v>
      </c>
      <c r="G962" s="116">
        <v>1</v>
      </c>
      <c r="H962" s="108">
        <v>0</v>
      </c>
    </row>
    <row r="963" spans="1:8" x14ac:dyDescent="0.2">
      <c r="A963" s="117" t="s">
        <v>2577</v>
      </c>
      <c r="B963" s="117"/>
      <c r="C963" s="117" t="s">
        <v>3333</v>
      </c>
      <c r="D963" s="304" t="s">
        <v>3327</v>
      </c>
      <c r="E963" s="305"/>
      <c r="F963" s="117" t="s">
        <v>1644</v>
      </c>
      <c r="G963" s="116">
        <v>1</v>
      </c>
      <c r="H963" s="108">
        <v>0</v>
      </c>
    </row>
    <row r="964" spans="1:8" x14ac:dyDescent="0.2">
      <c r="A964" s="117" t="s">
        <v>2576</v>
      </c>
      <c r="B964" s="117"/>
      <c r="C964" s="117" t="s">
        <v>3332</v>
      </c>
      <c r="D964" s="304" t="s">
        <v>3331</v>
      </c>
      <c r="E964" s="305"/>
      <c r="F964" s="117" t="s">
        <v>1644</v>
      </c>
      <c r="G964" s="116">
        <v>1</v>
      </c>
      <c r="H964" s="108">
        <v>0</v>
      </c>
    </row>
    <row r="965" spans="1:8" x14ac:dyDescent="0.2">
      <c r="A965" s="117" t="s">
        <v>2572</v>
      </c>
      <c r="B965" s="117"/>
      <c r="C965" s="117" t="s">
        <v>3330</v>
      </c>
      <c r="D965" s="304" t="s">
        <v>1581</v>
      </c>
      <c r="E965" s="305"/>
      <c r="F965" s="117" t="s">
        <v>1644</v>
      </c>
      <c r="G965" s="116">
        <v>1</v>
      </c>
      <c r="H965" s="108">
        <v>0</v>
      </c>
    </row>
    <row r="966" spans="1:8" x14ac:dyDescent="0.2">
      <c r="A966" s="117" t="s">
        <v>3329</v>
      </c>
      <c r="B966" s="117"/>
      <c r="C966" s="117" t="s">
        <v>3328</v>
      </c>
      <c r="D966" s="304" t="s">
        <v>3327</v>
      </c>
      <c r="E966" s="305"/>
      <c r="F966" s="117" t="s">
        <v>1644</v>
      </c>
      <c r="G966" s="116">
        <v>1</v>
      </c>
      <c r="H966" s="108">
        <v>0</v>
      </c>
    </row>
    <row r="967" spans="1:8" x14ac:dyDescent="0.2">
      <c r="A967" s="117" t="s">
        <v>3326</v>
      </c>
      <c r="B967" s="117"/>
      <c r="C967" s="117" t="s">
        <v>3324</v>
      </c>
      <c r="D967" s="304" t="s">
        <v>1594</v>
      </c>
      <c r="E967" s="305"/>
      <c r="F967" s="117" t="s">
        <v>1644</v>
      </c>
      <c r="G967" s="116">
        <v>1</v>
      </c>
      <c r="H967" s="108">
        <v>0</v>
      </c>
    </row>
    <row r="968" spans="1:8" x14ac:dyDescent="0.2">
      <c r="A968" s="117" t="s">
        <v>3325</v>
      </c>
      <c r="B968" s="117"/>
      <c r="C968" s="117" t="s">
        <v>3324</v>
      </c>
      <c r="D968" s="304" t="s">
        <v>1595</v>
      </c>
      <c r="E968" s="305"/>
      <c r="F968" s="117" t="s">
        <v>1644</v>
      </c>
      <c r="G968" s="116">
        <v>1</v>
      </c>
      <c r="H968" s="108">
        <v>0</v>
      </c>
    </row>
    <row r="969" spans="1:8" x14ac:dyDescent="0.2">
      <c r="A969" s="117" t="s">
        <v>3323</v>
      </c>
      <c r="B969" s="117"/>
      <c r="C969" s="117" t="s">
        <v>3322</v>
      </c>
      <c r="D969" s="304" t="s">
        <v>1596</v>
      </c>
      <c r="E969" s="305"/>
      <c r="F969" s="117" t="s">
        <v>1644</v>
      </c>
      <c r="G969" s="116">
        <v>1</v>
      </c>
      <c r="H969" s="108">
        <v>0</v>
      </c>
    </row>
    <row r="970" spans="1:8" x14ac:dyDescent="0.2">
      <c r="A970" s="117" t="s">
        <v>3321</v>
      </c>
      <c r="B970" s="117"/>
      <c r="C970" s="117" t="s">
        <v>3320</v>
      </c>
      <c r="D970" s="304" t="s">
        <v>1597</v>
      </c>
      <c r="E970" s="305"/>
      <c r="F970" s="117" t="s">
        <v>1644</v>
      </c>
      <c r="G970" s="116">
        <v>1</v>
      </c>
      <c r="H970" s="108">
        <v>0</v>
      </c>
    </row>
    <row r="971" spans="1:8" x14ac:dyDescent="0.2">
      <c r="A971" s="117" t="s">
        <v>3319</v>
      </c>
      <c r="B971" s="117"/>
      <c r="C971" s="117" t="s">
        <v>3318</v>
      </c>
      <c r="D971" s="304" t="s">
        <v>1598</v>
      </c>
      <c r="E971" s="305"/>
      <c r="F971" s="117" t="s">
        <v>1644</v>
      </c>
      <c r="G971" s="116">
        <v>1</v>
      </c>
      <c r="H971" s="108">
        <v>0</v>
      </c>
    </row>
    <row r="972" spans="1:8" x14ac:dyDescent="0.2">
      <c r="A972" s="117" t="s">
        <v>3317</v>
      </c>
      <c r="B972" s="117"/>
      <c r="C972" s="117" t="s">
        <v>3316</v>
      </c>
      <c r="D972" s="304" t="s">
        <v>1599</v>
      </c>
      <c r="E972" s="305"/>
      <c r="F972" s="117" t="s">
        <v>1644</v>
      </c>
      <c r="G972" s="116">
        <v>1</v>
      </c>
      <c r="H972" s="108">
        <v>0</v>
      </c>
    </row>
    <row r="973" spans="1:8" x14ac:dyDescent="0.2">
      <c r="A973" s="117" t="s">
        <v>3315</v>
      </c>
      <c r="B973" s="117"/>
      <c r="C973" s="117" t="s">
        <v>3314</v>
      </c>
      <c r="D973" s="304" t="s">
        <v>1600</v>
      </c>
      <c r="E973" s="305"/>
      <c r="F973" s="117" t="s">
        <v>1644</v>
      </c>
      <c r="G973" s="116">
        <v>1</v>
      </c>
      <c r="H973" s="108">
        <v>0</v>
      </c>
    </row>
    <row r="974" spans="1:8" x14ac:dyDescent="0.2">
      <c r="A974" s="117" t="s">
        <v>3313</v>
      </c>
      <c r="B974" s="117"/>
      <c r="C974" s="117" t="s">
        <v>3312</v>
      </c>
      <c r="D974" s="304" t="s">
        <v>1601</v>
      </c>
      <c r="E974" s="305"/>
      <c r="F974" s="117" t="s">
        <v>1644</v>
      </c>
      <c r="G974" s="116">
        <v>1</v>
      </c>
      <c r="H974" s="108">
        <v>0</v>
      </c>
    </row>
    <row r="975" spans="1:8" x14ac:dyDescent="0.2">
      <c r="A975" s="117" t="s">
        <v>3311</v>
      </c>
      <c r="B975" s="117"/>
      <c r="C975" s="117" t="s">
        <v>3310</v>
      </c>
      <c r="D975" s="304" t="s">
        <v>3309</v>
      </c>
      <c r="E975" s="305"/>
      <c r="F975" s="117" t="s">
        <v>1644</v>
      </c>
      <c r="G975" s="116">
        <v>1</v>
      </c>
      <c r="H975" s="108">
        <v>0</v>
      </c>
    </row>
    <row r="976" spans="1:8" x14ac:dyDescent="0.2">
      <c r="A976" s="117" t="s">
        <v>3308</v>
      </c>
      <c r="B976" s="117"/>
      <c r="C976" s="117" t="s">
        <v>3307</v>
      </c>
      <c r="D976" s="304" t="s">
        <v>3306</v>
      </c>
      <c r="E976" s="305"/>
      <c r="F976" s="117" t="s">
        <v>1644</v>
      </c>
      <c r="G976" s="116">
        <v>1</v>
      </c>
      <c r="H976" s="108">
        <v>0</v>
      </c>
    </row>
    <row r="977" spans="1:8" x14ac:dyDescent="0.2">
      <c r="A977" s="117" t="s">
        <v>3305</v>
      </c>
      <c r="B977" s="117"/>
      <c r="C977" s="117" t="s">
        <v>3304</v>
      </c>
      <c r="D977" s="304" t="s">
        <v>3303</v>
      </c>
      <c r="E977" s="305"/>
      <c r="F977" s="117" t="s">
        <v>1644</v>
      </c>
      <c r="G977" s="116">
        <v>1</v>
      </c>
      <c r="H977" s="108">
        <v>0</v>
      </c>
    </row>
    <row r="978" spans="1:8" x14ac:dyDescent="0.2">
      <c r="A978" s="117" t="s">
        <v>3302</v>
      </c>
      <c r="B978" s="117"/>
      <c r="C978" s="117" t="s">
        <v>3301</v>
      </c>
      <c r="D978" s="304" t="s">
        <v>1602</v>
      </c>
      <c r="E978" s="305"/>
      <c r="F978" s="117" t="s">
        <v>1646</v>
      </c>
      <c r="G978" s="116">
        <v>20</v>
      </c>
      <c r="H978" s="108">
        <v>0</v>
      </c>
    </row>
    <row r="979" spans="1:8" x14ac:dyDescent="0.2">
      <c r="A979" s="117" t="s">
        <v>3300</v>
      </c>
      <c r="B979" s="117"/>
      <c r="C979" s="117" t="s">
        <v>3299</v>
      </c>
      <c r="D979" s="304" t="s">
        <v>1603</v>
      </c>
      <c r="E979" s="305"/>
      <c r="F979" s="117" t="s">
        <v>1646</v>
      </c>
      <c r="G979" s="116">
        <v>15</v>
      </c>
      <c r="H979" s="108">
        <v>0</v>
      </c>
    </row>
    <row r="980" spans="1:8" x14ac:dyDescent="0.2">
      <c r="A980" s="117" t="s">
        <v>3298</v>
      </c>
      <c r="B980" s="117"/>
      <c r="C980" s="117" t="s">
        <v>3297</v>
      </c>
      <c r="D980" s="304" t="s">
        <v>1604</v>
      </c>
      <c r="E980" s="305"/>
      <c r="F980" s="117" t="s">
        <v>1646</v>
      </c>
      <c r="G980" s="116">
        <v>5</v>
      </c>
      <c r="H980" s="108">
        <v>0</v>
      </c>
    </row>
    <row r="981" spans="1:8" x14ac:dyDescent="0.2">
      <c r="A981" s="117" t="s">
        <v>3296</v>
      </c>
      <c r="B981" s="117"/>
      <c r="C981" s="117" t="s">
        <v>3295</v>
      </c>
      <c r="D981" s="304" t="s">
        <v>1605</v>
      </c>
      <c r="E981" s="305"/>
      <c r="F981" s="117" t="s">
        <v>1646</v>
      </c>
      <c r="G981" s="116">
        <v>5</v>
      </c>
      <c r="H981" s="108">
        <v>0</v>
      </c>
    </row>
    <row r="982" spans="1:8" x14ac:dyDescent="0.2">
      <c r="A982" s="117" t="s">
        <v>3294</v>
      </c>
      <c r="B982" s="117"/>
      <c r="C982" s="117" t="s">
        <v>3293</v>
      </c>
      <c r="D982" s="304" t="s">
        <v>1606</v>
      </c>
      <c r="E982" s="305"/>
      <c r="F982" s="117" t="s">
        <v>1646</v>
      </c>
      <c r="G982" s="116">
        <v>40</v>
      </c>
      <c r="H982" s="108">
        <v>0</v>
      </c>
    </row>
    <row r="983" spans="1:8" x14ac:dyDescent="0.2">
      <c r="A983" s="117" t="s">
        <v>3292</v>
      </c>
      <c r="B983" s="117"/>
      <c r="C983" s="117" t="s">
        <v>3291</v>
      </c>
      <c r="D983" s="304" t="s">
        <v>1607</v>
      </c>
      <c r="E983" s="305"/>
      <c r="F983" s="117" t="s">
        <v>1646</v>
      </c>
      <c r="G983" s="116">
        <v>15</v>
      </c>
      <c r="H983" s="108">
        <v>0</v>
      </c>
    </row>
    <row r="984" spans="1:8" x14ac:dyDescent="0.2">
      <c r="A984" s="117" t="s">
        <v>3290</v>
      </c>
      <c r="B984" s="117"/>
      <c r="C984" s="117" t="s">
        <v>3289</v>
      </c>
      <c r="D984" s="304" t="s">
        <v>1608</v>
      </c>
      <c r="E984" s="305"/>
      <c r="F984" s="117" t="s">
        <v>1644</v>
      </c>
      <c r="G984" s="116">
        <v>110</v>
      </c>
      <c r="H984" s="108">
        <v>0</v>
      </c>
    </row>
    <row r="985" spans="1:8" x14ac:dyDescent="0.2">
      <c r="A985" s="117" t="s">
        <v>3288</v>
      </c>
      <c r="B985" s="117"/>
      <c r="C985" s="117" t="s">
        <v>3287</v>
      </c>
      <c r="D985" s="304" t="s">
        <v>1609</v>
      </c>
      <c r="E985" s="305"/>
      <c r="F985" s="117" t="s">
        <v>1644</v>
      </c>
      <c r="G985" s="116">
        <v>5</v>
      </c>
      <c r="H985" s="108">
        <v>0</v>
      </c>
    </row>
    <row r="986" spans="1:8" x14ac:dyDescent="0.2">
      <c r="A986" s="117" t="s">
        <v>3286</v>
      </c>
      <c r="B986" s="117"/>
      <c r="C986" s="117" t="s">
        <v>3285</v>
      </c>
      <c r="D986" s="304" t="s">
        <v>1610</v>
      </c>
      <c r="E986" s="305"/>
      <c r="F986" s="117" t="s">
        <v>1644</v>
      </c>
      <c r="G986" s="116">
        <v>1</v>
      </c>
      <c r="H986" s="108">
        <v>0</v>
      </c>
    </row>
    <row r="987" spans="1:8" x14ac:dyDescent="0.2">
      <c r="A987" s="117" t="s">
        <v>3284</v>
      </c>
      <c r="B987" s="117"/>
      <c r="C987" s="117" t="s">
        <v>3283</v>
      </c>
      <c r="D987" s="304" t="s">
        <v>1611</v>
      </c>
      <c r="E987" s="305"/>
      <c r="F987" s="117" t="s">
        <v>1651</v>
      </c>
      <c r="G987" s="116">
        <v>1</v>
      </c>
      <c r="H987" s="108">
        <v>0</v>
      </c>
    </row>
    <row r="988" spans="1:8" x14ac:dyDescent="0.2">
      <c r="A988" s="117" t="s">
        <v>3282</v>
      </c>
      <c r="B988" s="117"/>
      <c r="C988" s="117" t="s">
        <v>3281</v>
      </c>
      <c r="D988" s="304" t="s">
        <v>1612</v>
      </c>
      <c r="E988" s="305"/>
      <c r="F988" s="117" t="s">
        <v>1646</v>
      </c>
      <c r="G988" s="116">
        <v>250</v>
      </c>
      <c r="H988" s="108">
        <v>0</v>
      </c>
    </row>
    <row r="989" spans="1:8" x14ac:dyDescent="0.2">
      <c r="A989" s="117" t="s">
        <v>3280</v>
      </c>
      <c r="B989" s="117"/>
      <c r="C989" s="117" t="s">
        <v>3279</v>
      </c>
      <c r="D989" s="304" t="s">
        <v>1613</v>
      </c>
      <c r="E989" s="305"/>
      <c r="F989" s="117" t="s">
        <v>1646</v>
      </c>
      <c r="G989" s="116">
        <v>50</v>
      </c>
      <c r="H989" s="108">
        <v>0</v>
      </c>
    </row>
    <row r="990" spans="1:8" x14ac:dyDescent="0.2">
      <c r="A990" s="117" t="s">
        <v>3278</v>
      </c>
      <c r="B990" s="117"/>
      <c r="C990" s="117" t="s">
        <v>3277</v>
      </c>
      <c r="D990" s="304" t="s">
        <v>1614</v>
      </c>
      <c r="E990" s="305"/>
      <c r="F990" s="117" t="s">
        <v>1646</v>
      </c>
      <c r="G990" s="116">
        <v>170</v>
      </c>
      <c r="H990" s="108">
        <v>0</v>
      </c>
    </row>
    <row r="991" spans="1:8" x14ac:dyDescent="0.2">
      <c r="A991" s="117" t="s">
        <v>3276</v>
      </c>
      <c r="B991" s="117"/>
      <c r="C991" s="117" t="s">
        <v>3275</v>
      </c>
      <c r="D991" s="304" t="s">
        <v>1615</v>
      </c>
      <c r="E991" s="305"/>
      <c r="F991" s="117" t="s">
        <v>1646</v>
      </c>
      <c r="G991" s="116">
        <v>20</v>
      </c>
      <c r="H991" s="108">
        <v>0</v>
      </c>
    </row>
    <row r="992" spans="1:8" x14ac:dyDescent="0.2">
      <c r="A992" s="117" t="s">
        <v>3274</v>
      </c>
      <c r="B992" s="117"/>
      <c r="C992" s="117" t="s">
        <v>3273</v>
      </c>
      <c r="D992" s="304" t="s">
        <v>1616</v>
      </c>
      <c r="E992" s="305"/>
      <c r="F992" s="117" t="s">
        <v>1646</v>
      </c>
      <c r="G992" s="116">
        <v>55</v>
      </c>
      <c r="H992" s="108">
        <v>0</v>
      </c>
    </row>
    <row r="993" spans="1:8" x14ac:dyDescent="0.2">
      <c r="A993" s="117" t="s">
        <v>3272</v>
      </c>
      <c r="B993" s="117"/>
      <c r="C993" s="117" t="s">
        <v>3271</v>
      </c>
      <c r="D993" s="304" t="s">
        <v>1617</v>
      </c>
      <c r="E993" s="305"/>
      <c r="F993" s="117" t="s">
        <v>1646</v>
      </c>
      <c r="G993" s="116">
        <v>40</v>
      </c>
      <c r="H993" s="108">
        <v>0</v>
      </c>
    </row>
    <row r="994" spans="1:8" x14ac:dyDescent="0.2">
      <c r="A994" s="117" t="s">
        <v>3270</v>
      </c>
      <c r="B994" s="117"/>
      <c r="C994" s="117" t="s">
        <v>3268</v>
      </c>
      <c r="D994" s="304" t="s">
        <v>1618</v>
      </c>
      <c r="E994" s="305"/>
      <c r="F994" s="117" t="s">
        <v>1646</v>
      </c>
      <c r="G994" s="116">
        <v>35</v>
      </c>
      <c r="H994" s="108">
        <v>0</v>
      </c>
    </row>
    <row r="995" spans="1:8" x14ac:dyDescent="0.2">
      <c r="A995" s="117" t="s">
        <v>3269</v>
      </c>
      <c r="B995" s="117"/>
      <c r="C995" s="117" t="s">
        <v>3268</v>
      </c>
      <c r="D995" s="304" t="s">
        <v>1619</v>
      </c>
      <c r="E995" s="305"/>
      <c r="F995" s="117" t="s">
        <v>1644</v>
      </c>
      <c r="G995" s="116">
        <v>1</v>
      </c>
      <c r="H995" s="108">
        <v>0</v>
      </c>
    </row>
    <row r="996" spans="1:8" x14ac:dyDescent="0.2">
      <c r="A996" s="117" t="s">
        <v>3267</v>
      </c>
      <c r="B996" s="117"/>
      <c r="C996" s="117" t="s">
        <v>3266</v>
      </c>
      <c r="D996" s="304" t="s">
        <v>1620</v>
      </c>
      <c r="E996" s="305"/>
      <c r="F996" s="117" t="s">
        <v>1644</v>
      </c>
      <c r="G996" s="116">
        <v>1</v>
      </c>
      <c r="H996" s="108">
        <v>0</v>
      </c>
    </row>
    <row r="997" spans="1:8" x14ac:dyDescent="0.2">
      <c r="A997" s="117" t="s">
        <v>3265</v>
      </c>
      <c r="B997" s="117"/>
      <c r="C997" s="117" t="s">
        <v>3264</v>
      </c>
      <c r="D997" s="304" t="s">
        <v>1621</v>
      </c>
      <c r="E997" s="305"/>
      <c r="F997" s="117" t="s">
        <v>1644</v>
      </c>
      <c r="G997" s="116">
        <v>1</v>
      </c>
      <c r="H997" s="108">
        <v>0</v>
      </c>
    </row>
    <row r="998" spans="1:8" x14ac:dyDescent="0.2">
      <c r="A998" s="117" t="s">
        <v>3263</v>
      </c>
      <c r="B998" s="117"/>
      <c r="C998" s="117" t="s">
        <v>3262</v>
      </c>
      <c r="D998" s="304" t="s">
        <v>1622</v>
      </c>
      <c r="E998" s="305"/>
      <c r="F998" s="117" t="s">
        <v>1644</v>
      </c>
      <c r="G998" s="116">
        <v>1</v>
      </c>
      <c r="H998" s="108">
        <v>0</v>
      </c>
    </row>
    <row r="999" spans="1:8" x14ac:dyDescent="0.2">
      <c r="A999" s="117" t="s">
        <v>3261</v>
      </c>
      <c r="B999" s="117"/>
      <c r="C999" s="117" t="s">
        <v>3260</v>
      </c>
      <c r="D999" s="304" t="s">
        <v>1623</v>
      </c>
      <c r="E999" s="305"/>
      <c r="F999" s="117" t="s">
        <v>1644</v>
      </c>
      <c r="G999" s="116">
        <v>1</v>
      </c>
      <c r="H999" s="108">
        <v>0</v>
      </c>
    </row>
    <row r="1000" spans="1:8" x14ac:dyDescent="0.2">
      <c r="A1000" s="117" t="s">
        <v>3259</v>
      </c>
      <c r="B1000" s="117"/>
      <c r="C1000" s="117" t="s">
        <v>3258</v>
      </c>
      <c r="D1000" s="304" t="s">
        <v>1624</v>
      </c>
      <c r="E1000" s="305"/>
      <c r="F1000" s="117" t="s">
        <v>1644</v>
      </c>
      <c r="G1000" s="116">
        <v>1</v>
      </c>
      <c r="H1000" s="108">
        <v>0</v>
      </c>
    </row>
    <row r="1001" spans="1:8" x14ac:dyDescent="0.2">
      <c r="A1001" s="117" t="s">
        <v>3257</v>
      </c>
      <c r="B1001" s="117"/>
      <c r="C1001" s="117" t="s">
        <v>3256</v>
      </c>
      <c r="D1001" s="304" t="s">
        <v>1625</v>
      </c>
      <c r="E1001" s="305"/>
      <c r="F1001" s="117" t="s">
        <v>1644</v>
      </c>
      <c r="G1001" s="116">
        <v>1</v>
      </c>
      <c r="H1001" s="108">
        <v>0</v>
      </c>
    </row>
    <row r="1002" spans="1:8" x14ac:dyDescent="0.2">
      <c r="A1002" s="117" t="s">
        <v>3255</v>
      </c>
      <c r="B1002" s="117"/>
      <c r="C1002" s="117" t="s">
        <v>3254</v>
      </c>
      <c r="D1002" s="304" t="s">
        <v>1626</v>
      </c>
      <c r="E1002" s="305"/>
      <c r="F1002" s="117" t="s">
        <v>1644</v>
      </c>
      <c r="G1002" s="116">
        <v>2</v>
      </c>
      <c r="H1002" s="108">
        <v>0</v>
      </c>
    </row>
    <row r="1003" spans="1:8" x14ac:dyDescent="0.2">
      <c r="A1003" s="117" t="s">
        <v>3253</v>
      </c>
      <c r="B1003" s="117"/>
      <c r="C1003" s="117" t="s">
        <v>3252</v>
      </c>
      <c r="D1003" s="304" t="s">
        <v>1627</v>
      </c>
      <c r="E1003" s="305"/>
      <c r="F1003" s="117" t="s">
        <v>1644</v>
      </c>
      <c r="G1003" s="116">
        <v>1</v>
      </c>
      <c r="H1003" s="108">
        <v>0</v>
      </c>
    </row>
    <row r="1004" spans="1:8" x14ac:dyDescent="0.2">
      <c r="A1004" s="117" t="s">
        <v>3251</v>
      </c>
      <c r="B1004" s="117"/>
      <c r="C1004" s="117" t="s">
        <v>3250</v>
      </c>
      <c r="D1004" s="304" t="s">
        <v>1628</v>
      </c>
      <c r="E1004" s="305"/>
      <c r="F1004" s="117" t="s">
        <v>1644</v>
      </c>
      <c r="G1004" s="116">
        <v>1</v>
      </c>
      <c r="H1004" s="108">
        <v>0</v>
      </c>
    </row>
    <row r="1005" spans="1:8" x14ac:dyDescent="0.2">
      <c r="A1005" s="117" t="s">
        <v>3249</v>
      </c>
      <c r="B1005" s="117"/>
      <c r="C1005" s="117" t="s">
        <v>3248</v>
      </c>
      <c r="D1005" s="304" t="s">
        <v>1629</v>
      </c>
      <c r="E1005" s="305"/>
      <c r="F1005" s="117" t="s">
        <v>1644</v>
      </c>
      <c r="G1005" s="116">
        <v>1</v>
      </c>
      <c r="H1005" s="108">
        <v>0</v>
      </c>
    </row>
    <row r="1006" spans="1:8" x14ac:dyDescent="0.2">
      <c r="A1006" s="117" t="s">
        <v>3247</v>
      </c>
      <c r="B1006" s="117"/>
      <c r="C1006" s="117" t="s">
        <v>3246</v>
      </c>
      <c r="D1006" s="304" t="s">
        <v>1630</v>
      </c>
      <c r="E1006" s="305"/>
      <c r="F1006" s="117" t="s">
        <v>1644</v>
      </c>
      <c r="G1006" s="116">
        <v>1</v>
      </c>
      <c r="H1006" s="108">
        <v>0</v>
      </c>
    </row>
    <row r="1007" spans="1:8" x14ac:dyDescent="0.2">
      <c r="A1007" s="120"/>
      <c r="B1007" s="120"/>
      <c r="C1007" s="120" t="s">
        <v>1039</v>
      </c>
      <c r="D1007" s="306" t="s">
        <v>1631</v>
      </c>
      <c r="E1007" s="307"/>
      <c r="F1007" s="120"/>
      <c r="G1007" s="142"/>
      <c r="H1007" s="109"/>
    </row>
    <row r="1008" spans="1:8" x14ac:dyDescent="0.2">
      <c r="A1008" s="117" t="s">
        <v>3245</v>
      </c>
      <c r="B1008" s="117"/>
      <c r="C1008" s="117" t="s">
        <v>1040</v>
      </c>
      <c r="D1008" s="304" t="s">
        <v>1632</v>
      </c>
      <c r="E1008" s="305"/>
      <c r="F1008" s="117" t="s">
        <v>1644</v>
      </c>
      <c r="G1008" s="116">
        <v>1</v>
      </c>
      <c r="H1008" s="108">
        <v>0</v>
      </c>
    </row>
    <row r="1009" spans="1:8" x14ac:dyDescent="0.2">
      <c r="A1009" s="117" t="s">
        <v>3244</v>
      </c>
      <c r="B1009" s="117"/>
      <c r="C1009" s="117" t="s">
        <v>1041</v>
      </c>
      <c r="D1009" s="304" t="s">
        <v>1633</v>
      </c>
      <c r="E1009" s="305"/>
      <c r="F1009" s="117" t="s">
        <v>1644</v>
      </c>
      <c r="G1009" s="116">
        <v>1</v>
      </c>
      <c r="H1009" s="108">
        <v>0</v>
      </c>
    </row>
    <row r="1010" spans="1:8" x14ac:dyDescent="0.2">
      <c r="A1010" s="117" t="s">
        <v>3243</v>
      </c>
      <c r="B1010" s="117"/>
      <c r="C1010" s="117" t="s">
        <v>1042</v>
      </c>
      <c r="D1010" s="304" t="s">
        <v>1634</v>
      </c>
      <c r="E1010" s="305"/>
      <c r="F1010" s="117" t="s">
        <v>1644</v>
      </c>
      <c r="G1010" s="116">
        <v>1</v>
      </c>
      <c r="H1010" s="108">
        <v>0</v>
      </c>
    </row>
    <row r="1011" spans="1:8" x14ac:dyDescent="0.2">
      <c r="A1011" s="117" t="s">
        <v>3242</v>
      </c>
      <c r="B1011" s="117"/>
      <c r="C1011" s="117" t="s">
        <v>1043</v>
      </c>
      <c r="D1011" s="304" t="s">
        <v>1635</v>
      </c>
      <c r="E1011" s="305"/>
      <c r="F1011" s="117" t="s">
        <v>1644</v>
      </c>
      <c r="G1011" s="116">
        <v>1</v>
      </c>
      <c r="H1011" s="108">
        <v>0</v>
      </c>
    </row>
    <row r="1012" spans="1:8" x14ac:dyDescent="0.2">
      <c r="A1012" s="117" t="s">
        <v>3241</v>
      </c>
      <c r="B1012" s="117"/>
      <c r="C1012" s="117" t="s">
        <v>1044</v>
      </c>
      <c r="D1012" s="304" t="s">
        <v>1636</v>
      </c>
      <c r="E1012" s="305"/>
      <c r="F1012" s="117" t="s">
        <v>1644</v>
      </c>
      <c r="G1012" s="116">
        <v>1</v>
      </c>
      <c r="H1012" s="108">
        <v>0</v>
      </c>
    </row>
    <row r="1013" spans="1:8" x14ac:dyDescent="0.2">
      <c r="A1013" s="117" t="s">
        <v>3240</v>
      </c>
      <c r="B1013" s="117"/>
      <c r="C1013" s="117" t="s">
        <v>1045</v>
      </c>
      <c r="D1013" s="304" t="s">
        <v>1637</v>
      </c>
      <c r="E1013" s="305"/>
      <c r="F1013" s="117" t="s">
        <v>1644</v>
      </c>
      <c r="G1013" s="116">
        <v>1</v>
      </c>
      <c r="H1013" s="108">
        <v>0</v>
      </c>
    </row>
    <row r="1014" spans="1:8" x14ac:dyDescent="0.2">
      <c r="A1014" s="117" t="s">
        <v>3238</v>
      </c>
      <c r="B1014" s="117"/>
      <c r="C1014" s="117" t="s">
        <v>1046</v>
      </c>
      <c r="D1014" s="304" t="s">
        <v>1638</v>
      </c>
      <c r="E1014" s="305"/>
      <c r="F1014" s="117" t="s">
        <v>1644</v>
      </c>
      <c r="G1014" s="116">
        <v>1</v>
      </c>
      <c r="H1014" s="108">
        <v>0</v>
      </c>
    </row>
    <row r="1016" spans="1:8" ht="11.25" customHeight="1" x14ac:dyDescent="0.2">
      <c r="A1016" s="106" t="s">
        <v>569</v>
      </c>
    </row>
    <row r="1017" spans="1:8" x14ac:dyDescent="0.2">
      <c r="A1017" s="255"/>
      <c r="B1017" s="256"/>
      <c r="C1017" s="256"/>
      <c r="D1017" s="256"/>
      <c r="E1017" s="256"/>
      <c r="F1017" s="256"/>
      <c r="G1017" s="256"/>
    </row>
  </sheetData>
  <sheetProtection algorithmName="SHA-512" hashValue="HNdU0tOhKm+25RyxjCCVLpENnvlzFxlEeoAupgNlH/6cT1ridGRAh54Eamhk3LfeDmoxVeaTAFqiDj1MjNj0PA==" saltValue="zU116NlEHKwPlXIZdojwOw==" spinCount="100000" sheet="1" objects="1" scenarios="1"/>
  <mergeCells count="1023">
    <mergeCell ref="D1005:E1005"/>
    <mergeCell ref="D1012:E1012"/>
    <mergeCell ref="D1013:E1013"/>
    <mergeCell ref="D1014:E1014"/>
    <mergeCell ref="A1017:G1017"/>
    <mergeCell ref="D1006:E1006"/>
    <mergeCell ref="D1007:E1007"/>
    <mergeCell ref="D1008:E1008"/>
    <mergeCell ref="D1009:E1009"/>
    <mergeCell ref="D1010:E1010"/>
    <mergeCell ref="D1011:E1011"/>
    <mergeCell ref="D987:E987"/>
    <mergeCell ref="D988:E988"/>
    <mergeCell ref="D989:E989"/>
    <mergeCell ref="D990:E990"/>
    <mergeCell ref="D991:E991"/>
    <mergeCell ref="D992:E992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55:E955"/>
    <mergeCell ref="D956:E956"/>
    <mergeCell ref="D993:E993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38:E938"/>
    <mergeCell ref="D939:E939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F919"/>
    <mergeCell ref="D920:E920"/>
    <mergeCell ref="D957:E957"/>
    <mergeCell ref="D922:E922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874:F874"/>
    <mergeCell ref="D875:E875"/>
    <mergeCell ref="D876:F876"/>
    <mergeCell ref="D877:F877"/>
    <mergeCell ref="D878:E878"/>
    <mergeCell ref="D879:F879"/>
    <mergeCell ref="D880:F880"/>
    <mergeCell ref="D881:F881"/>
    <mergeCell ref="D882:F882"/>
    <mergeCell ref="D883:E883"/>
    <mergeCell ref="D884:E884"/>
    <mergeCell ref="D921:F921"/>
    <mergeCell ref="D886:E886"/>
    <mergeCell ref="D887:F887"/>
    <mergeCell ref="D888:E888"/>
    <mergeCell ref="D889:F889"/>
    <mergeCell ref="D890:E890"/>
    <mergeCell ref="D891:F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42:E842"/>
    <mergeCell ref="D843:F843"/>
    <mergeCell ref="D844:E844"/>
    <mergeCell ref="D845:F845"/>
    <mergeCell ref="D846:E846"/>
    <mergeCell ref="D847:F847"/>
    <mergeCell ref="D848:F848"/>
    <mergeCell ref="D885:F885"/>
    <mergeCell ref="D850:F850"/>
    <mergeCell ref="D851:E851"/>
    <mergeCell ref="D852:F852"/>
    <mergeCell ref="D853:F853"/>
    <mergeCell ref="D854:E854"/>
    <mergeCell ref="D855:F855"/>
    <mergeCell ref="D856:E856"/>
    <mergeCell ref="D857:F857"/>
    <mergeCell ref="D858:E858"/>
    <mergeCell ref="D859:E859"/>
    <mergeCell ref="D860:F860"/>
    <mergeCell ref="D861:F861"/>
    <mergeCell ref="D862:F862"/>
    <mergeCell ref="D863:F863"/>
    <mergeCell ref="D864:F864"/>
    <mergeCell ref="D865:F865"/>
    <mergeCell ref="D866:E866"/>
    <mergeCell ref="D867:F867"/>
    <mergeCell ref="D868:E868"/>
    <mergeCell ref="D869:F869"/>
    <mergeCell ref="D870:F870"/>
    <mergeCell ref="D871:F871"/>
    <mergeCell ref="D872:F872"/>
    <mergeCell ref="D873:F873"/>
    <mergeCell ref="D810:F810"/>
    <mergeCell ref="D811:E811"/>
    <mergeCell ref="D812:F812"/>
    <mergeCell ref="D849:E849"/>
    <mergeCell ref="D814:F814"/>
    <mergeCell ref="D815:E815"/>
    <mergeCell ref="D816:F816"/>
    <mergeCell ref="D817:E817"/>
    <mergeCell ref="D818:F818"/>
    <mergeCell ref="D819:E819"/>
    <mergeCell ref="D820:F820"/>
    <mergeCell ref="D821:E821"/>
    <mergeCell ref="D822:F822"/>
    <mergeCell ref="D823:E823"/>
    <mergeCell ref="D824:F824"/>
    <mergeCell ref="D825:E825"/>
    <mergeCell ref="D826:F826"/>
    <mergeCell ref="D827:E827"/>
    <mergeCell ref="D828:F828"/>
    <mergeCell ref="D829:E829"/>
    <mergeCell ref="D830:F830"/>
    <mergeCell ref="D831:E831"/>
    <mergeCell ref="D832:F832"/>
    <mergeCell ref="D833:E833"/>
    <mergeCell ref="D834:F834"/>
    <mergeCell ref="D835:E835"/>
    <mergeCell ref="D836:F836"/>
    <mergeCell ref="D837:E837"/>
    <mergeCell ref="D838:F838"/>
    <mergeCell ref="D839:E839"/>
    <mergeCell ref="D840:E840"/>
    <mergeCell ref="D841:F841"/>
    <mergeCell ref="D793:E793"/>
    <mergeCell ref="D794:F794"/>
    <mergeCell ref="D795:E795"/>
    <mergeCell ref="D796:F796"/>
    <mergeCell ref="D797:E797"/>
    <mergeCell ref="D798:F798"/>
    <mergeCell ref="D799:E799"/>
    <mergeCell ref="D800:F800"/>
    <mergeCell ref="D801:E801"/>
    <mergeCell ref="D802:F802"/>
    <mergeCell ref="D803:E803"/>
    <mergeCell ref="D804:F804"/>
    <mergeCell ref="D805:E805"/>
    <mergeCell ref="D806:F806"/>
    <mergeCell ref="D807:E807"/>
    <mergeCell ref="D808:F808"/>
    <mergeCell ref="D809:E809"/>
    <mergeCell ref="D761:E761"/>
    <mergeCell ref="D762:F762"/>
    <mergeCell ref="D763:E763"/>
    <mergeCell ref="D764:E764"/>
    <mergeCell ref="D765:F765"/>
    <mergeCell ref="D766:E766"/>
    <mergeCell ref="D767:F767"/>
    <mergeCell ref="D768:E768"/>
    <mergeCell ref="D769:F769"/>
    <mergeCell ref="D770:E770"/>
    <mergeCell ref="D771:F771"/>
    <mergeCell ref="D772:E772"/>
    <mergeCell ref="D773:F773"/>
    <mergeCell ref="D774:E774"/>
    <mergeCell ref="D775:F775"/>
    <mergeCell ref="D776:E776"/>
    <mergeCell ref="D813:E813"/>
    <mergeCell ref="D778:E778"/>
    <mergeCell ref="D779:F779"/>
    <mergeCell ref="D780:E780"/>
    <mergeCell ref="D781:F781"/>
    <mergeCell ref="D782:E782"/>
    <mergeCell ref="D783:F783"/>
    <mergeCell ref="D784:E784"/>
    <mergeCell ref="D785:F785"/>
    <mergeCell ref="D786:E786"/>
    <mergeCell ref="D787:E787"/>
    <mergeCell ref="D788:F788"/>
    <mergeCell ref="D789:E789"/>
    <mergeCell ref="D790:F790"/>
    <mergeCell ref="D791:E791"/>
    <mergeCell ref="D792:F792"/>
    <mergeCell ref="D729:E729"/>
    <mergeCell ref="D730:F730"/>
    <mergeCell ref="D731:E731"/>
    <mergeCell ref="D732:F732"/>
    <mergeCell ref="D733:E733"/>
    <mergeCell ref="D734:F734"/>
    <mergeCell ref="D735:E735"/>
    <mergeCell ref="D736:F736"/>
    <mergeCell ref="D737:E737"/>
    <mergeCell ref="D738:F738"/>
    <mergeCell ref="D739:E739"/>
    <mergeCell ref="D740:F740"/>
    <mergeCell ref="D777:F777"/>
    <mergeCell ref="D742:F742"/>
    <mergeCell ref="D743:E743"/>
    <mergeCell ref="D744:F744"/>
    <mergeCell ref="D745:E745"/>
    <mergeCell ref="D746:F746"/>
    <mergeCell ref="D747:E747"/>
    <mergeCell ref="D748:F748"/>
    <mergeCell ref="D749:E749"/>
    <mergeCell ref="D750:F750"/>
    <mergeCell ref="D751:E751"/>
    <mergeCell ref="D752:F752"/>
    <mergeCell ref="D753:E753"/>
    <mergeCell ref="D754:F754"/>
    <mergeCell ref="D755:E755"/>
    <mergeCell ref="D756:F756"/>
    <mergeCell ref="D757:E757"/>
    <mergeCell ref="D758:F758"/>
    <mergeCell ref="D759:E759"/>
    <mergeCell ref="D760:F760"/>
    <mergeCell ref="D697:F697"/>
    <mergeCell ref="D698:E698"/>
    <mergeCell ref="D699:F699"/>
    <mergeCell ref="D700:F700"/>
    <mergeCell ref="D701:E701"/>
    <mergeCell ref="D702:F702"/>
    <mergeCell ref="D703:E703"/>
    <mergeCell ref="D704:F704"/>
    <mergeCell ref="D741:E741"/>
    <mergeCell ref="D706:F706"/>
    <mergeCell ref="D707:E707"/>
    <mergeCell ref="D708:F708"/>
    <mergeCell ref="D709:E709"/>
    <mergeCell ref="D710:F710"/>
    <mergeCell ref="D711:E711"/>
    <mergeCell ref="D712:E712"/>
    <mergeCell ref="D713:F713"/>
    <mergeCell ref="D714:F714"/>
    <mergeCell ref="D715:E715"/>
    <mergeCell ref="D716:F716"/>
    <mergeCell ref="D717:E717"/>
    <mergeCell ref="D718:F718"/>
    <mergeCell ref="D719:E719"/>
    <mergeCell ref="D720:F720"/>
    <mergeCell ref="D721:E721"/>
    <mergeCell ref="D722:F722"/>
    <mergeCell ref="D723:E723"/>
    <mergeCell ref="D724:F724"/>
    <mergeCell ref="D725:E725"/>
    <mergeCell ref="D726:F726"/>
    <mergeCell ref="D727:E727"/>
    <mergeCell ref="D728:F728"/>
    <mergeCell ref="D665:E665"/>
    <mergeCell ref="D666:E666"/>
    <mergeCell ref="D667:E667"/>
    <mergeCell ref="D668:E668"/>
    <mergeCell ref="D705:E705"/>
    <mergeCell ref="D670:E670"/>
    <mergeCell ref="D671:E671"/>
    <mergeCell ref="D672:E672"/>
    <mergeCell ref="D673:E673"/>
    <mergeCell ref="D674:F674"/>
    <mergeCell ref="D675:E675"/>
    <mergeCell ref="D676:F676"/>
    <mergeCell ref="D677:E677"/>
    <mergeCell ref="D678:F678"/>
    <mergeCell ref="D679:E679"/>
    <mergeCell ref="D680:F680"/>
    <mergeCell ref="D681:F681"/>
    <mergeCell ref="D682:E682"/>
    <mergeCell ref="D683:F683"/>
    <mergeCell ref="D684:F684"/>
    <mergeCell ref="D685:E685"/>
    <mergeCell ref="D686:F686"/>
    <mergeCell ref="D687:E687"/>
    <mergeCell ref="D688:F688"/>
    <mergeCell ref="D689:F689"/>
    <mergeCell ref="D690:E690"/>
    <mergeCell ref="D691:F691"/>
    <mergeCell ref="D692:F692"/>
    <mergeCell ref="D693:E693"/>
    <mergeCell ref="D694:F694"/>
    <mergeCell ref="D695:E695"/>
    <mergeCell ref="D696:F696"/>
    <mergeCell ref="D669:E66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16:E616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633:E633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97:E597"/>
    <mergeCell ref="D562:E562"/>
    <mergeCell ref="D563:E56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83:E583"/>
    <mergeCell ref="D520:E520"/>
    <mergeCell ref="D521:E521"/>
    <mergeCell ref="D522:E522"/>
    <mergeCell ref="D523:E523"/>
    <mergeCell ref="D524:E524"/>
    <mergeCell ref="D561:E561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49:E549"/>
    <mergeCell ref="D550:E550"/>
    <mergeCell ref="D551:E551"/>
    <mergeCell ref="D488:E488"/>
    <mergeCell ref="D525:E525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89:E489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07:F407"/>
    <mergeCell ref="D408:E408"/>
    <mergeCell ref="D409:F409"/>
    <mergeCell ref="D410:E410"/>
    <mergeCell ref="D411:F411"/>
    <mergeCell ref="D412:E412"/>
    <mergeCell ref="D413:F413"/>
    <mergeCell ref="D414:E414"/>
    <mergeCell ref="D415:F415"/>
    <mergeCell ref="D416:E416"/>
    <mergeCell ref="D453:E453"/>
    <mergeCell ref="D418:F418"/>
    <mergeCell ref="D419:F419"/>
    <mergeCell ref="D420:E420"/>
    <mergeCell ref="D421:F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375:E375"/>
    <mergeCell ref="D376:F376"/>
    <mergeCell ref="D377:E377"/>
    <mergeCell ref="D378:F378"/>
    <mergeCell ref="D379:E379"/>
    <mergeCell ref="D380:F380"/>
    <mergeCell ref="D417:F417"/>
    <mergeCell ref="D382:E382"/>
    <mergeCell ref="D383:F383"/>
    <mergeCell ref="D384:E384"/>
    <mergeCell ref="D385:E385"/>
    <mergeCell ref="D386:F386"/>
    <mergeCell ref="D387:F387"/>
    <mergeCell ref="D388:E388"/>
    <mergeCell ref="D389:F389"/>
    <mergeCell ref="D390:E390"/>
    <mergeCell ref="D391:F391"/>
    <mergeCell ref="D392:E392"/>
    <mergeCell ref="D393:F393"/>
    <mergeCell ref="D394:F394"/>
    <mergeCell ref="D395:E395"/>
    <mergeCell ref="D396:F396"/>
    <mergeCell ref="D397:E397"/>
    <mergeCell ref="D398:E398"/>
    <mergeCell ref="D399:F399"/>
    <mergeCell ref="D400:E400"/>
    <mergeCell ref="D401:F401"/>
    <mergeCell ref="D402:E402"/>
    <mergeCell ref="D403:F403"/>
    <mergeCell ref="D404:F404"/>
    <mergeCell ref="D405:E405"/>
    <mergeCell ref="D406:F406"/>
    <mergeCell ref="D343:E343"/>
    <mergeCell ref="D344:F344"/>
    <mergeCell ref="D381:E381"/>
    <mergeCell ref="D346:F346"/>
    <mergeCell ref="D347:F347"/>
    <mergeCell ref="D348:E348"/>
    <mergeCell ref="D349:E349"/>
    <mergeCell ref="D350:F350"/>
    <mergeCell ref="D351:E351"/>
    <mergeCell ref="D352:F352"/>
    <mergeCell ref="D353:E353"/>
    <mergeCell ref="D354:F354"/>
    <mergeCell ref="D355:E355"/>
    <mergeCell ref="D356:F356"/>
    <mergeCell ref="D357:E357"/>
    <mergeCell ref="D358:F358"/>
    <mergeCell ref="D359:E359"/>
    <mergeCell ref="D360:F360"/>
    <mergeCell ref="D361:E361"/>
    <mergeCell ref="D362:F362"/>
    <mergeCell ref="D363:E363"/>
    <mergeCell ref="D364:F364"/>
    <mergeCell ref="D365:E365"/>
    <mergeCell ref="D366:F366"/>
    <mergeCell ref="D367:E367"/>
    <mergeCell ref="D368:F368"/>
    <mergeCell ref="D369:E369"/>
    <mergeCell ref="D370:F370"/>
    <mergeCell ref="D371:E371"/>
    <mergeCell ref="D372:F372"/>
    <mergeCell ref="D373:E373"/>
    <mergeCell ref="D374:F374"/>
    <mergeCell ref="D326:F326"/>
    <mergeCell ref="D327:F327"/>
    <mergeCell ref="D328:F328"/>
    <mergeCell ref="D329:F329"/>
    <mergeCell ref="D330:E330"/>
    <mergeCell ref="D331:F331"/>
    <mergeCell ref="D332:F332"/>
    <mergeCell ref="D333:E333"/>
    <mergeCell ref="D334:F334"/>
    <mergeCell ref="D335:F335"/>
    <mergeCell ref="D336:F336"/>
    <mergeCell ref="D337:F337"/>
    <mergeCell ref="D338:F338"/>
    <mergeCell ref="D339:E339"/>
    <mergeCell ref="D340:F340"/>
    <mergeCell ref="D341:E341"/>
    <mergeCell ref="D342:F342"/>
    <mergeCell ref="D294:F294"/>
    <mergeCell ref="D295:E295"/>
    <mergeCell ref="D296:F296"/>
    <mergeCell ref="D297:E297"/>
    <mergeCell ref="D298:F298"/>
    <mergeCell ref="D299:E299"/>
    <mergeCell ref="D300:F300"/>
    <mergeCell ref="D301:E301"/>
    <mergeCell ref="D302:F302"/>
    <mergeCell ref="D303:E303"/>
    <mergeCell ref="D304:F304"/>
    <mergeCell ref="D305:E305"/>
    <mergeCell ref="D306:F306"/>
    <mergeCell ref="D307:E307"/>
    <mergeCell ref="D308:F308"/>
    <mergeCell ref="D345:F345"/>
    <mergeCell ref="D310:F310"/>
    <mergeCell ref="D311:E311"/>
    <mergeCell ref="D312:F312"/>
    <mergeCell ref="D313:E313"/>
    <mergeCell ref="D314:F314"/>
    <mergeCell ref="D315:E315"/>
    <mergeCell ref="D316:F316"/>
    <mergeCell ref="D317:F317"/>
    <mergeCell ref="D318:E318"/>
    <mergeCell ref="D319:F319"/>
    <mergeCell ref="D320:F320"/>
    <mergeCell ref="D321:F321"/>
    <mergeCell ref="D322:F322"/>
    <mergeCell ref="D323:F323"/>
    <mergeCell ref="D324:E324"/>
    <mergeCell ref="D325:F325"/>
    <mergeCell ref="D262:E262"/>
    <mergeCell ref="D263:F263"/>
    <mergeCell ref="D264:E264"/>
    <mergeCell ref="D265:F265"/>
    <mergeCell ref="D266:E266"/>
    <mergeCell ref="D267:F267"/>
    <mergeCell ref="D268:E268"/>
    <mergeCell ref="D269:F269"/>
    <mergeCell ref="D270:E270"/>
    <mergeCell ref="D271:F271"/>
    <mergeCell ref="D272:E272"/>
    <mergeCell ref="D309:E309"/>
    <mergeCell ref="D274:E274"/>
    <mergeCell ref="D275:F275"/>
    <mergeCell ref="D276:E276"/>
    <mergeCell ref="D277:F277"/>
    <mergeCell ref="D278:E278"/>
    <mergeCell ref="D279:F279"/>
    <mergeCell ref="D280:E280"/>
    <mergeCell ref="D281:F281"/>
    <mergeCell ref="D282:E282"/>
    <mergeCell ref="D283:F283"/>
    <mergeCell ref="D284:E284"/>
    <mergeCell ref="D285:F285"/>
    <mergeCell ref="D286:E286"/>
    <mergeCell ref="D287:E287"/>
    <mergeCell ref="D288:F288"/>
    <mergeCell ref="D289:E289"/>
    <mergeCell ref="D290:F290"/>
    <mergeCell ref="D291:E291"/>
    <mergeCell ref="D292:F292"/>
    <mergeCell ref="D293:E293"/>
    <mergeCell ref="D230:F230"/>
    <mergeCell ref="D231:E231"/>
    <mergeCell ref="D232:F232"/>
    <mergeCell ref="D233:E233"/>
    <mergeCell ref="D234:F234"/>
    <mergeCell ref="D235:E235"/>
    <mergeCell ref="D236:F236"/>
    <mergeCell ref="D273:F273"/>
    <mergeCell ref="D238:F238"/>
    <mergeCell ref="D239:E239"/>
    <mergeCell ref="D240:F240"/>
    <mergeCell ref="D241:E241"/>
    <mergeCell ref="D242:F242"/>
    <mergeCell ref="D243:E243"/>
    <mergeCell ref="D244:F244"/>
    <mergeCell ref="D245:E245"/>
    <mergeCell ref="D246:E246"/>
    <mergeCell ref="D247:F247"/>
    <mergeCell ref="D248:F248"/>
    <mergeCell ref="D249:E249"/>
    <mergeCell ref="D250:F250"/>
    <mergeCell ref="D251:E251"/>
    <mergeCell ref="D252:F252"/>
    <mergeCell ref="D253:E253"/>
    <mergeCell ref="D254:F254"/>
    <mergeCell ref="D255:E255"/>
    <mergeCell ref="D256:F256"/>
    <mergeCell ref="D257:F257"/>
    <mergeCell ref="D258:E258"/>
    <mergeCell ref="D259:F259"/>
    <mergeCell ref="D260:E260"/>
    <mergeCell ref="D261:F261"/>
    <mergeCell ref="D198:F198"/>
    <mergeCell ref="D199:E199"/>
    <mergeCell ref="D200:E200"/>
    <mergeCell ref="D237:E237"/>
    <mergeCell ref="D202:E202"/>
    <mergeCell ref="D203:F203"/>
    <mergeCell ref="D204:E204"/>
    <mergeCell ref="D205:F205"/>
    <mergeCell ref="D206:E206"/>
    <mergeCell ref="D207:E207"/>
    <mergeCell ref="D208:F208"/>
    <mergeCell ref="D209:F209"/>
    <mergeCell ref="D210:F210"/>
    <mergeCell ref="D211:E211"/>
    <mergeCell ref="D212:F212"/>
    <mergeCell ref="D213:E213"/>
    <mergeCell ref="D214:F214"/>
    <mergeCell ref="D215:E215"/>
    <mergeCell ref="D216:F216"/>
    <mergeCell ref="D217:E217"/>
    <mergeCell ref="D218:F218"/>
    <mergeCell ref="D219:E219"/>
    <mergeCell ref="D220:F220"/>
    <mergeCell ref="D221:E221"/>
    <mergeCell ref="D222:F222"/>
    <mergeCell ref="D223:E223"/>
    <mergeCell ref="D224:E224"/>
    <mergeCell ref="D225:F225"/>
    <mergeCell ref="D226:F226"/>
    <mergeCell ref="D227:E227"/>
    <mergeCell ref="D228:F228"/>
    <mergeCell ref="D229:E229"/>
    <mergeCell ref="D181:F181"/>
    <mergeCell ref="D182:E182"/>
    <mergeCell ref="D183:F183"/>
    <mergeCell ref="D184:E184"/>
    <mergeCell ref="D185:F185"/>
    <mergeCell ref="D186:E186"/>
    <mergeCell ref="D187:E187"/>
    <mergeCell ref="D188:F188"/>
    <mergeCell ref="D189:E189"/>
    <mergeCell ref="D190:E190"/>
    <mergeCell ref="D191:F191"/>
    <mergeCell ref="D192:E192"/>
    <mergeCell ref="D193:F193"/>
    <mergeCell ref="D194:E194"/>
    <mergeCell ref="D195:E195"/>
    <mergeCell ref="D196:F196"/>
    <mergeCell ref="D197:E197"/>
    <mergeCell ref="D149:E149"/>
    <mergeCell ref="D150:F150"/>
    <mergeCell ref="D151:E151"/>
    <mergeCell ref="D152:F152"/>
    <mergeCell ref="D153:E153"/>
    <mergeCell ref="D154:F154"/>
    <mergeCell ref="D155:E155"/>
    <mergeCell ref="D156:F156"/>
    <mergeCell ref="D157:F157"/>
    <mergeCell ref="D158:E158"/>
    <mergeCell ref="D159:F159"/>
    <mergeCell ref="D160:E160"/>
    <mergeCell ref="D161:F161"/>
    <mergeCell ref="D162:F162"/>
    <mergeCell ref="D163:E163"/>
    <mergeCell ref="D164:F164"/>
    <mergeCell ref="D201:F201"/>
    <mergeCell ref="D166:F166"/>
    <mergeCell ref="D167:E167"/>
    <mergeCell ref="D168:F168"/>
    <mergeCell ref="D169:F169"/>
    <mergeCell ref="D170:E170"/>
    <mergeCell ref="D171:F171"/>
    <mergeCell ref="D172:E172"/>
    <mergeCell ref="D173:F173"/>
    <mergeCell ref="D174:E174"/>
    <mergeCell ref="D175:F175"/>
    <mergeCell ref="D176:E176"/>
    <mergeCell ref="D177:F177"/>
    <mergeCell ref="D178:E178"/>
    <mergeCell ref="D179:F179"/>
    <mergeCell ref="D180:E180"/>
    <mergeCell ref="D117:F117"/>
    <mergeCell ref="D118:F118"/>
    <mergeCell ref="D119:F119"/>
    <mergeCell ref="D120:F120"/>
    <mergeCell ref="D121:E121"/>
    <mergeCell ref="D122:F122"/>
    <mergeCell ref="D123:F123"/>
    <mergeCell ref="D124:F124"/>
    <mergeCell ref="D125:E125"/>
    <mergeCell ref="D126:F126"/>
    <mergeCell ref="D127:E127"/>
    <mergeCell ref="D128:F128"/>
    <mergeCell ref="D165:E165"/>
    <mergeCell ref="D130:F130"/>
    <mergeCell ref="D131:E131"/>
    <mergeCell ref="D132:F132"/>
    <mergeCell ref="D133:F133"/>
    <mergeCell ref="D134:E134"/>
    <mergeCell ref="D135:F135"/>
    <mergeCell ref="D136:F136"/>
    <mergeCell ref="D137:F137"/>
    <mergeCell ref="D138:F138"/>
    <mergeCell ref="D139:E139"/>
    <mergeCell ref="D140:F140"/>
    <mergeCell ref="D141:F141"/>
    <mergeCell ref="D142:F142"/>
    <mergeCell ref="D143:F143"/>
    <mergeCell ref="D144:F144"/>
    <mergeCell ref="D145:E145"/>
    <mergeCell ref="D146:F146"/>
    <mergeCell ref="D147:F147"/>
    <mergeCell ref="D148:F148"/>
    <mergeCell ref="D85:E85"/>
    <mergeCell ref="D86:E86"/>
    <mergeCell ref="D87:F87"/>
    <mergeCell ref="D88:E88"/>
    <mergeCell ref="D89:F89"/>
    <mergeCell ref="D90:E90"/>
    <mergeCell ref="D91:F91"/>
    <mergeCell ref="D92:E92"/>
    <mergeCell ref="D129:E129"/>
    <mergeCell ref="D94:F94"/>
    <mergeCell ref="D95:E95"/>
    <mergeCell ref="D96:F96"/>
    <mergeCell ref="D97:E97"/>
    <mergeCell ref="D98:F98"/>
    <mergeCell ref="D99:E99"/>
    <mergeCell ref="D100:F100"/>
    <mergeCell ref="D101:E101"/>
    <mergeCell ref="D102:F102"/>
    <mergeCell ref="D103:E103"/>
    <mergeCell ref="D104:E104"/>
    <mergeCell ref="D105:F105"/>
    <mergeCell ref="D106:F106"/>
    <mergeCell ref="D107:E107"/>
    <mergeCell ref="D108:F108"/>
    <mergeCell ref="D109:F109"/>
    <mergeCell ref="D110:F110"/>
    <mergeCell ref="D111:F111"/>
    <mergeCell ref="D112:E112"/>
    <mergeCell ref="D113:F113"/>
    <mergeCell ref="D114:F114"/>
    <mergeCell ref="D115:E115"/>
    <mergeCell ref="D116:F116"/>
    <mergeCell ref="D53:E53"/>
    <mergeCell ref="D54:F54"/>
    <mergeCell ref="D55:E55"/>
    <mergeCell ref="D56:E56"/>
    <mergeCell ref="D93:F93"/>
    <mergeCell ref="D58:E58"/>
    <mergeCell ref="D59:F59"/>
    <mergeCell ref="D60:E60"/>
    <mergeCell ref="D61:F61"/>
    <mergeCell ref="D62:E62"/>
    <mergeCell ref="D63:F63"/>
    <mergeCell ref="D64:E64"/>
    <mergeCell ref="D65:E65"/>
    <mergeCell ref="D66:F66"/>
    <mergeCell ref="D67:F67"/>
    <mergeCell ref="D68:E68"/>
    <mergeCell ref="D69:F69"/>
    <mergeCell ref="D70:F70"/>
    <mergeCell ref="D71:E71"/>
    <mergeCell ref="D72:F72"/>
    <mergeCell ref="D73:F73"/>
    <mergeCell ref="D74:E74"/>
    <mergeCell ref="D75:E75"/>
    <mergeCell ref="D76:F76"/>
    <mergeCell ref="D77:E77"/>
    <mergeCell ref="D78:E78"/>
    <mergeCell ref="D79:F79"/>
    <mergeCell ref="D80:E80"/>
    <mergeCell ref="D81:F81"/>
    <mergeCell ref="D82:E82"/>
    <mergeCell ref="D83:F83"/>
    <mergeCell ref="D84:F84"/>
    <mergeCell ref="D57:F57"/>
    <mergeCell ref="D22:E22"/>
    <mergeCell ref="D23:E23"/>
    <mergeCell ref="D24:F24"/>
    <mergeCell ref="D25:E25"/>
    <mergeCell ref="D26:E26"/>
    <mergeCell ref="D27:F27"/>
    <mergeCell ref="D28:E28"/>
    <mergeCell ref="D29:F29"/>
    <mergeCell ref="D30:E30"/>
    <mergeCell ref="D31:F31"/>
    <mergeCell ref="D32:E32"/>
    <mergeCell ref="D33:E33"/>
    <mergeCell ref="D34:F34"/>
    <mergeCell ref="D35:E35"/>
    <mergeCell ref="D36:F36"/>
    <mergeCell ref="D37:E37"/>
    <mergeCell ref="D38:F38"/>
    <mergeCell ref="D39:E39"/>
    <mergeCell ref="D40:E40"/>
    <mergeCell ref="D41:F41"/>
    <mergeCell ref="D42:E42"/>
    <mergeCell ref="D43:F43"/>
    <mergeCell ref="D44:E44"/>
    <mergeCell ref="D45:F45"/>
    <mergeCell ref="D46:E46"/>
    <mergeCell ref="D47:E47"/>
    <mergeCell ref="D48:F48"/>
    <mergeCell ref="D49:F49"/>
    <mergeCell ref="D50:E50"/>
    <mergeCell ref="D51:E51"/>
    <mergeCell ref="D52:F52"/>
    <mergeCell ref="D19:F19"/>
    <mergeCell ref="D20:E20"/>
    <mergeCell ref="D21:F21"/>
    <mergeCell ref="A1:H1"/>
    <mergeCell ref="A2:B3"/>
    <mergeCell ref="C2:D3"/>
    <mergeCell ref="E2:E3"/>
    <mergeCell ref="F2:H3"/>
    <mergeCell ref="A4:B5"/>
    <mergeCell ref="C4:D5"/>
    <mergeCell ref="E4:E5"/>
    <mergeCell ref="F4:H5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  <mergeCell ref="D14:E14"/>
    <mergeCell ref="D15:F15"/>
    <mergeCell ref="D16:E16"/>
    <mergeCell ref="D17:F17"/>
    <mergeCell ref="D18:E18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A7B67-C030-47CA-A66F-1BBAC242F732}">
  <sheetPr>
    <pageSetUpPr fitToPage="1"/>
  </sheetPr>
  <dimension ref="A1:J37"/>
  <sheetViews>
    <sheetView topLeftCell="A14"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rozpočet-SO08'!C2</f>
        <v>Snížení energetické.náročnosti objektů Domova Kladno-Švermov</v>
      </c>
      <c r="D2" s="291"/>
      <c r="E2" s="293" t="s">
        <v>1657</v>
      </c>
      <c r="F2" s="293" t="str">
        <f>'Stavební rozpočet-SO08'!I2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rozpočet-SO08'!C4</f>
        <v>SO 08 - OBJEKT 8 - č.p.1033</v>
      </c>
      <c r="D4" s="256"/>
      <c r="E4" s="255" t="s">
        <v>1658</v>
      </c>
      <c r="F4" s="255">
        <f>'Stavební rozpočet-SO08'!I4</f>
        <v>0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rozpočet-SO08'!C6</f>
        <v xml:space="preserve"> </v>
      </c>
      <c r="D6" s="256"/>
      <c r="E6" s="255" t="s">
        <v>1659</v>
      </c>
      <c r="F6" s="255" t="str">
        <f>'Stavební rozpočet-SO08'!I6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2231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rozpočet-SO08'!C8</f>
        <v xml:space="preserve"> </v>
      </c>
      <c r="D10" s="256"/>
      <c r="E10" s="255" t="s">
        <v>1660</v>
      </c>
      <c r="F10" s="255" t="str">
        <f>'Stavební rozpočet-SO08'!I8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rozpočet-SO08'!AB12:AB621)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rozpočet-SO08'!AC12:AC621)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rozpočet-SO08'!AD12:AD621)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rozpočet-SO08'!AE12:AE621)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rozpočet-SO08'!AF12:AF621)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rozpočet-SO08'!AG12:AG621)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rozpočet-SO08'!AH12:AH621)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rozpočet-SO08'!Z12:Z621)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rozpočet-SO08'!AJ12:AJ621)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rozpočet-SO08'!AK12:AK621)+(F22+I22+F23+I23+I24+I25)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rozpočet-SO08'!AL12:AL621)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kWOI9VMMiR9b2Fs27lUqml8qXitNVOmcGTdXq0i9rDKt+4b/G8CLfObJknlPlHnTrG/IRqoNgpFbd8kglj6jLQ==" saltValue="IEllfWADpwcQXKueusadtA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84B26-D507-42A6-952C-B8CF7B26581B}">
  <sheetPr>
    <pageSetUpPr fitToPage="1"/>
  </sheetPr>
  <dimension ref="A1:I53"/>
  <sheetViews>
    <sheetView workbookViewId="0">
      <pane ySplit="10" topLeftCell="A11" activePane="bottomLeft" state="frozenSplit"/>
      <selection pane="bottomLeft" activeCell="A2" sqref="A2:A3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rozpočet-SO08'!C2</f>
        <v>Snížení energetické.náročnosti objektů Domova Kladno-Švermov</v>
      </c>
      <c r="C2" s="291"/>
      <c r="D2" s="293" t="s">
        <v>1657</v>
      </c>
      <c r="E2" s="293" t="str">
        <f>'Stavební rozpočet-SO08'!I2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rozpočet-SO08'!C4</f>
        <v>SO 08 - OBJEKT 8 - č.p.1033</v>
      </c>
      <c r="C4" s="256"/>
      <c r="D4" s="255" t="s">
        <v>1658</v>
      </c>
      <c r="E4" s="255">
        <f>'Stavební rozpočet-SO08'!I4</f>
        <v>0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rozpočet-SO08'!C6</f>
        <v xml:space="preserve"> </v>
      </c>
      <c r="C6" s="256"/>
      <c r="D6" s="255" t="s">
        <v>1659</v>
      </c>
      <c r="E6" s="255" t="str">
        <f>'Stavební rozpočet-SO08'!I6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rozpočet-SO08'!I8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rozpočet-SO08'!I12</f>
        <v>0</v>
      </c>
      <c r="F11" s="101">
        <f>'Stavební rozpočet-SO08'!J12</f>
        <v>0</v>
      </c>
      <c r="G11" s="101">
        <f>'Stavební rozpočet-SO08'!K12</f>
        <v>0</v>
      </c>
      <c r="H11" s="100" t="s">
        <v>1747</v>
      </c>
      <c r="I11" s="100">
        <f t="shared" ref="I11:I51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rozpočet-SO08'!I20</f>
        <v>0</v>
      </c>
      <c r="F12" s="100">
        <f>'Stavební rozpočet-SO08'!J20</f>
        <v>0</v>
      </c>
      <c r="G12" s="100">
        <f>'Stavební rozpočet-SO08'!K20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rozpočet-SO08'!I22</f>
        <v>0</v>
      </c>
      <c r="F13" s="100">
        <f>'Stavební rozpočet-SO08'!J22</f>
        <v>0</v>
      </c>
      <c r="G13" s="100">
        <f>'Stavební rozpočet-SO08'!K22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rozpočet-SO08'!I26</f>
        <v>0</v>
      </c>
      <c r="F14" s="100">
        <f>'Stavební rozpočet-SO08'!J26</f>
        <v>0</v>
      </c>
      <c r="G14" s="100">
        <f>'Stavební rozpočet-SO08'!K26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rozpočet-SO08'!I30</f>
        <v>0</v>
      </c>
      <c r="F15" s="100">
        <f>'Stavební rozpočet-SO08'!J30</f>
        <v>0</v>
      </c>
      <c r="G15" s="100">
        <f>'Stavební rozpočet-SO08'!K30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rozpočet-SO08'!I34</f>
        <v>0</v>
      </c>
      <c r="F16" s="100">
        <f>'Stavební rozpočet-SO08'!J34</f>
        <v>0</v>
      </c>
      <c r="G16" s="100">
        <f>'Stavební rozpočet-SO08'!K34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rozpočet-SO08'!I36</f>
        <v>0</v>
      </c>
      <c r="F17" s="100">
        <f>'Stavební rozpočet-SO08'!J36</f>
        <v>0</v>
      </c>
      <c r="G17" s="100">
        <f>'Stavební rozpočet-SO08'!K36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33</v>
      </c>
      <c r="C18" s="282" t="s">
        <v>1081</v>
      </c>
      <c r="D18" s="256"/>
      <c r="E18" s="100">
        <f>'Stavební rozpočet-SO08'!I39</f>
        <v>0</v>
      </c>
      <c r="F18" s="100">
        <f>'Stavební rozpočet-SO08'!J39</f>
        <v>0</v>
      </c>
      <c r="G18" s="100">
        <f>'Stavební rozpočet-SO08'!K39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37</v>
      </c>
      <c r="C19" s="282" t="s">
        <v>1084</v>
      </c>
      <c r="D19" s="256"/>
      <c r="E19" s="100">
        <f>'Stavební rozpočet-SO08'!I41</f>
        <v>0</v>
      </c>
      <c r="F19" s="100">
        <f>'Stavební rozpočet-SO08'!J41</f>
        <v>0</v>
      </c>
      <c r="G19" s="100">
        <f>'Stavební rozpočet-SO08'!K41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62</v>
      </c>
      <c r="C20" s="282" t="s">
        <v>1090</v>
      </c>
      <c r="D20" s="256"/>
      <c r="E20" s="100">
        <f>'Stavební rozpočet-SO08'!I45</f>
        <v>0</v>
      </c>
      <c r="F20" s="100">
        <f>'Stavební rozpočet-SO08'!J45</f>
        <v>0</v>
      </c>
      <c r="G20" s="100">
        <f>'Stavební rozpočet-SO08'!K45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65</v>
      </c>
      <c r="C21" s="282" t="s">
        <v>1094</v>
      </c>
      <c r="D21" s="256"/>
      <c r="E21" s="100">
        <f>'Stavební rozpočet-SO08'!I49</f>
        <v>0</v>
      </c>
      <c r="F21" s="100">
        <f>'Stavební rozpočet-SO08'!J49</f>
        <v>0</v>
      </c>
      <c r="G21" s="100">
        <f>'Stavební rozpočet-SO08'!K49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67</v>
      </c>
      <c r="C22" s="282" t="s">
        <v>1097</v>
      </c>
      <c r="D22" s="256"/>
      <c r="E22" s="100">
        <f>'Stavební rozpočet-SO08'!I53</f>
        <v>0</v>
      </c>
      <c r="F22" s="100">
        <f>'Stavební rozpočet-SO08'!J53</f>
        <v>0</v>
      </c>
      <c r="G22" s="100">
        <f>'Stavební rozpočet-SO08'!K53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68</v>
      </c>
      <c r="C23" s="282" t="s">
        <v>1104</v>
      </c>
      <c r="D23" s="256"/>
      <c r="E23" s="100">
        <f>'Stavební rozpočet-SO08'!I63</f>
        <v>0</v>
      </c>
      <c r="F23" s="100">
        <f>'Stavební rozpočet-SO08'!J63</f>
        <v>0</v>
      </c>
      <c r="G23" s="100">
        <f>'Stavební rozpočet-SO08'!K63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70</v>
      </c>
      <c r="C24" s="282" t="s">
        <v>2575</v>
      </c>
      <c r="D24" s="256"/>
      <c r="E24" s="100">
        <f>'Stavební rozpočet-SO08'!I99</f>
        <v>0</v>
      </c>
      <c r="F24" s="100">
        <f>'Stavební rozpočet-SO08'!J99</f>
        <v>0</v>
      </c>
      <c r="G24" s="100">
        <f>'Stavební rozpočet-SO08'!K99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89</v>
      </c>
      <c r="C25" s="282" t="s">
        <v>1130</v>
      </c>
      <c r="D25" s="256"/>
      <c r="E25" s="100">
        <f>'Stavební rozpočet-SO08'!I101</f>
        <v>0</v>
      </c>
      <c r="F25" s="100">
        <f>'Stavební rozpočet-SO08'!J101</f>
        <v>0</v>
      </c>
      <c r="G25" s="100">
        <f>'Stavební rozpočet-SO08'!K101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95</v>
      </c>
      <c r="C26" s="282" t="s">
        <v>1133</v>
      </c>
      <c r="D26" s="256"/>
      <c r="E26" s="100">
        <f>'Stavební rozpočet-SO08'!I104</f>
        <v>0</v>
      </c>
      <c r="F26" s="100">
        <f>'Stavební rozpočet-SO08'!J104</f>
        <v>0</v>
      </c>
      <c r="G26" s="100">
        <f>'Stavební rozpočet-SO08'!K104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97</v>
      </c>
      <c r="C27" s="282" t="s">
        <v>1136</v>
      </c>
      <c r="D27" s="256"/>
      <c r="E27" s="100">
        <f>'Stavební rozpočet-SO08'!I107</f>
        <v>0</v>
      </c>
      <c r="F27" s="100">
        <f>'Stavební rozpočet-SO08'!J107</f>
        <v>0</v>
      </c>
      <c r="G27" s="100">
        <f>'Stavební rozpočet-SO08'!K107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100</v>
      </c>
      <c r="C28" s="282" t="s">
        <v>1139</v>
      </c>
      <c r="D28" s="256"/>
      <c r="E28" s="100">
        <f>'Stavební rozpočet-SO08'!I110</f>
        <v>0</v>
      </c>
      <c r="F28" s="100">
        <f>'Stavební rozpočet-SO08'!J110</f>
        <v>0</v>
      </c>
      <c r="G28" s="100">
        <f>'Stavební rozpočet-SO08'!K110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101</v>
      </c>
      <c r="C29" s="282" t="s">
        <v>1147</v>
      </c>
      <c r="D29" s="256"/>
      <c r="E29" s="100">
        <f>'Stavební rozpočet-SO08'!I118</f>
        <v>0</v>
      </c>
      <c r="F29" s="100">
        <f>'Stavební rozpočet-SO08'!J118</f>
        <v>0</v>
      </c>
      <c r="G29" s="100">
        <f>'Stavební rozpočet-SO08'!K118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102</v>
      </c>
      <c r="C30" s="282" t="s">
        <v>1158</v>
      </c>
      <c r="D30" s="256"/>
      <c r="E30" s="100">
        <f>'Stavební rozpočet-SO08'!I130</f>
        <v>0</v>
      </c>
      <c r="F30" s="100">
        <f>'Stavební rozpočet-SO08'!J130</f>
        <v>0</v>
      </c>
      <c r="G30" s="100">
        <f>'Stavební rozpočet-SO08'!K130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103</v>
      </c>
      <c r="C31" s="282" t="s">
        <v>1178</v>
      </c>
      <c r="D31" s="256"/>
      <c r="E31" s="100">
        <f>'Stavební rozpočet-SO08'!I148</f>
        <v>0</v>
      </c>
      <c r="F31" s="100">
        <f>'Stavební rozpočet-SO08'!J148</f>
        <v>0</v>
      </c>
      <c r="G31" s="100">
        <f>'Stavební rozpočet-SO08'!K148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686</v>
      </c>
      <c r="C32" s="282" t="s">
        <v>1198</v>
      </c>
      <c r="D32" s="256"/>
      <c r="E32" s="100">
        <f>'Stavební rozpočet-SO08'!I177</f>
        <v>0</v>
      </c>
      <c r="F32" s="100">
        <f>'Stavební rozpočet-SO08'!J177</f>
        <v>0</v>
      </c>
      <c r="G32" s="100">
        <f>'Stavební rozpočet-SO08'!K177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703</v>
      </c>
      <c r="C33" s="282" t="s">
        <v>1215</v>
      </c>
      <c r="D33" s="256"/>
      <c r="E33" s="100">
        <f>'Stavební rozpočet-SO08'!I194</f>
        <v>0</v>
      </c>
      <c r="F33" s="100">
        <f>'Stavební rozpočet-SO08'!J194</f>
        <v>0</v>
      </c>
      <c r="G33" s="100">
        <f>'Stavební rozpočet-SO08'!K194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705</v>
      </c>
      <c r="C34" s="282" t="s">
        <v>1217</v>
      </c>
      <c r="D34" s="256"/>
      <c r="E34" s="100">
        <f>'Stavební rozpočet-SO08'!I196</f>
        <v>0</v>
      </c>
      <c r="F34" s="100">
        <f>'Stavební rozpočet-SO08'!J196</f>
        <v>0</v>
      </c>
      <c r="G34" s="100">
        <f>'Stavební rozpočet-SO08'!K196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710</v>
      </c>
      <c r="C35" s="282" t="s">
        <v>1222</v>
      </c>
      <c r="D35" s="256"/>
      <c r="E35" s="100">
        <f>'Stavební rozpočet-SO08'!I203</f>
        <v>0</v>
      </c>
      <c r="F35" s="100">
        <f>'Stavební rozpočet-SO08'!J203</f>
        <v>0</v>
      </c>
      <c r="G35" s="100">
        <f>'Stavební rozpočet-SO08'!K203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744</v>
      </c>
      <c r="C36" s="282" t="s">
        <v>1256</v>
      </c>
      <c r="D36" s="256"/>
      <c r="E36" s="100">
        <f>'Stavební rozpočet-SO08'!I214</f>
        <v>0</v>
      </c>
      <c r="F36" s="100">
        <f>'Stavební rozpočet-SO08'!J214</f>
        <v>0</v>
      </c>
      <c r="G36" s="100">
        <f>'Stavební rozpočet-SO08'!K214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771</v>
      </c>
      <c r="C37" s="282" t="s">
        <v>1283</v>
      </c>
      <c r="D37" s="256"/>
      <c r="E37" s="100">
        <f>'Stavební rozpočet-SO08'!I231</f>
        <v>0</v>
      </c>
      <c r="F37" s="100">
        <f>'Stavební rozpočet-SO08'!J231</f>
        <v>0</v>
      </c>
      <c r="G37" s="100">
        <f>'Stavební rozpočet-SO08'!K231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772</v>
      </c>
      <c r="C38" s="282" t="s">
        <v>1355</v>
      </c>
      <c r="D38" s="256"/>
      <c r="E38" s="100">
        <f>'Stavební rozpočet-SO08'!I309</f>
        <v>0</v>
      </c>
      <c r="F38" s="100">
        <f>'Stavební rozpočet-SO08'!J309</f>
        <v>0</v>
      </c>
      <c r="G38" s="100">
        <f>'Stavební rozpočet-SO08'!K309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798</v>
      </c>
      <c r="C39" s="282" t="s">
        <v>1379</v>
      </c>
      <c r="D39" s="256"/>
      <c r="E39" s="100">
        <f>'Stavební rozpočet-SO08'!I327</f>
        <v>0</v>
      </c>
      <c r="F39" s="100">
        <f>'Stavební rozpočet-SO08'!J327</f>
        <v>0</v>
      </c>
      <c r="G39" s="100">
        <f>'Stavební rozpočet-SO08'!K327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822</v>
      </c>
      <c r="C40" s="282" t="s">
        <v>1395</v>
      </c>
      <c r="D40" s="256"/>
      <c r="E40" s="100">
        <f>'Stavební rozpočet-SO08'!I350</f>
        <v>0</v>
      </c>
      <c r="F40" s="100">
        <f>'Stavební rozpočet-SO08'!J350</f>
        <v>0</v>
      </c>
      <c r="G40" s="100">
        <f>'Stavební rozpočet-SO08'!K350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842</v>
      </c>
      <c r="C41" s="282" t="s">
        <v>1424</v>
      </c>
      <c r="D41" s="256"/>
      <c r="E41" s="100">
        <f>'Stavební rozpočet-SO08'!I379</f>
        <v>0</v>
      </c>
      <c r="F41" s="100">
        <f>'Stavební rozpočet-SO08'!J379</f>
        <v>0</v>
      </c>
      <c r="G41" s="100">
        <f>'Stavební rozpočet-SO08'!K379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869</v>
      </c>
      <c r="C42" s="282" t="s">
        <v>1458</v>
      </c>
      <c r="D42" s="256"/>
      <c r="E42" s="100">
        <f>'Stavební rozpočet-SO08'!I418</f>
        <v>0</v>
      </c>
      <c r="F42" s="100">
        <f>'Stavební rozpočet-SO08'!J418</f>
        <v>0</v>
      </c>
      <c r="G42" s="100">
        <f>'Stavební rozpočet-SO08'!K418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882</v>
      </c>
      <c r="C43" s="282" t="s">
        <v>1471</v>
      </c>
      <c r="D43" s="256"/>
      <c r="E43" s="100">
        <f>'Stavební rozpočet-SO08'!I436</f>
        <v>0</v>
      </c>
      <c r="F43" s="100">
        <f>'Stavební rozpočet-SO08'!J436</f>
        <v>0</v>
      </c>
      <c r="G43" s="100">
        <f>'Stavební rozpočet-SO08'!K436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903</v>
      </c>
      <c r="C44" s="282" t="s">
        <v>1492</v>
      </c>
      <c r="D44" s="256"/>
      <c r="E44" s="100">
        <f>'Stavební rozpočet-SO08'!I464</f>
        <v>0</v>
      </c>
      <c r="F44" s="100">
        <f>'Stavební rozpočet-SO08'!J464</f>
        <v>0</v>
      </c>
      <c r="G44" s="100">
        <f>'Stavební rozpočet-SO08'!K464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907</v>
      </c>
      <c r="C45" s="282" t="s">
        <v>1496</v>
      </c>
      <c r="D45" s="256"/>
      <c r="E45" s="100">
        <f>'Stavební rozpočet-SO08'!I476</f>
        <v>0</v>
      </c>
      <c r="F45" s="100">
        <f>'Stavební rozpočet-SO08'!J476</f>
        <v>0</v>
      </c>
      <c r="G45" s="100">
        <f>'Stavební rozpočet-SO08'!K476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922</v>
      </c>
      <c r="C46" s="282" t="s">
        <v>1511</v>
      </c>
      <c r="D46" s="256"/>
      <c r="E46" s="100">
        <f>'Stavební rozpočet-SO08'!I494</f>
        <v>0</v>
      </c>
      <c r="F46" s="100">
        <f>'Stavební rozpočet-SO08'!J494</f>
        <v>0</v>
      </c>
      <c r="G46" s="100">
        <f>'Stavební rozpočet-SO08'!K494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930</v>
      </c>
      <c r="C47" s="282" t="s">
        <v>1519</v>
      </c>
      <c r="D47" s="256"/>
      <c r="E47" s="100">
        <f>'Stavební rozpočet-SO08'!I502</f>
        <v>0</v>
      </c>
      <c r="F47" s="100">
        <f>'Stavební rozpočet-SO08'!J502</f>
        <v>0</v>
      </c>
      <c r="G47" s="100">
        <f>'Stavební rozpočet-SO08'!K502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936</v>
      </c>
      <c r="C48" s="282" t="s">
        <v>1525</v>
      </c>
      <c r="D48" s="256"/>
      <c r="E48" s="100">
        <f>'Stavební rozpočet-SO08'!I508</f>
        <v>0</v>
      </c>
      <c r="F48" s="100">
        <f>'Stavební rozpočet-SO08'!J508</f>
        <v>0</v>
      </c>
      <c r="G48" s="100">
        <f>'Stavební rozpočet-SO08'!K508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967</v>
      </c>
      <c r="C49" s="282" t="s">
        <v>1556</v>
      </c>
      <c r="D49" s="256"/>
      <c r="E49" s="100">
        <f>'Stavební rozpočet-SO08'!I538</f>
        <v>0</v>
      </c>
      <c r="F49" s="100">
        <f>'Stavební rozpočet-SO08'!J538</f>
        <v>0</v>
      </c>
      <c r="G49" s="100">
        <f>'Stavební rozpočet-SO08'!K538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970</v>
      </c>
      <c r="C50" s="282" t="s">
        <v>1559</v>
      </c>
      <c r="D50" s="256"/>
      <c r="E50" s="100">
        <f>'Stavební rozpočet-SO08'!I541</f>
        <v>0</v>
      </c>
      <c r="F50" s="100">
        <f>'Stavební rozpočet-SO08'!J541</f>
        <v>0</v>
      </c>
      <c r="G50" s="100">
        <f>'Stavební rozpočet-SO08'!K541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1039</v>
      </c>
      <c r="C51" s="282" t="s">
        <v>1631</v>
      </c>
      <c r="D51" s="256"/>
      <c r="E51" s="100">
        <f>'Stavební rozpočet-SO08'!I614</f>
        <v>0</v>
      </c>
      <c r="F51" s="100">
        <f>'Stavební rozpočet-SO08'!J614</f>
        <v>0</v>
      </c>
      <c r="G51" s="100">
        <f>'Stavební rozpočet-SO08'!K614</f>
        <v>0</v>
      </c>
      <c r="H51" s="100" t="s">
        <v>1747</v>
      </c>
      <c r="I51" s="100">
        <f t="shared" si="0"/>
        <v>0</v>
      </c>
    </row>
    <row r="53" spans="1:9" x14ac:dyDescent="0.2">
      <c r="F53" s="99" t="s">
        <v>1666</v>
      </c>
      <c r="G53" s="98">
        <f>SUM(I11:I51)</f>
        <v>0</v>
      </c>
    </row>
  </sheetData>
  <sheetProtection algorithmName="SHA-512" hashValue="ErCFyDuezFg5/zLzsM60o85i9AihXbk/AKGmUpYWrM3rVee0hvnoAeZ5u0AQRwFQDhbb7Api4sYXM7UxiMFHVg==" saltValue="LleSkNJFzu0KXHX/Qy1qYw==" spinCount="100000" sheet="1" objects="1" scenarios="1"/>
  <mergeCells count="59">
    <mergeCell ref="C37:D37"/>
    <mergeCell ref="C38:D38"/>
    <mergeCell ref="C39:D39"/>
    <mergeCell ref="C51:D51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33:D33"/>
    <mergeCell ref="C34:D34"/>
    <mergeCell ref="C35:D35"/>
    <mergeCell ref="C36:D36"/>
    <mergeCell ref="C21:D21"/>
    <mergeCell ref="C22:D22"/>
    <mergeCell ref="C23:D23"/>
    <mergeCell ref="C24:D24"/>
    <mergeCell ref="C25:D25"/>
    <mergeCell ref="C26:D26"/>
    <mergeCell ref="C28:D28"/>
    <mergeCell ref="C29:D29"/>
    <mergeCell ref="C30:D30"/>
    <mergeCell ref="C31:D31"/>
    <mergeCell ref="C32:D32"/>
    <mergeCell ref="C11:D11"/>
    <mergeCell ref="C12:D12"/>
    <mergeCell ref="C13:D13"/>
    <mergeCell ref="C14:D14"/>
    <mergeCell ref="C27:D27"/>
    <mergeCell ref="C16:D16"/>
    <mergeCell ref="C17:D17"/>
    <mergeCell ref="C18:D18"/>
    <mergeCell ref="C19:D19"/>
    <mergeCell ref="C20:D20"/>
    <mergeCell ref="C15:D15"/>
    <mergeCell ref="C10:D10"/>
    <mergeCell ref="A4:A5"/>
    <mergeCell ref="B4:C5"/>
    <mergeCell ref="D4:D5"/>
    <mergeCell ref="E4:G5"/>
    <mergeCell ref="A6:A7"/>
    <mergeCell ref="B6:C7"/>
    <mergeCell ref="D6:D7"/>
    <mergeCell ref="E6:G7"/>
    <mergeCell ref="A8:A9"/>
    <mergeCell ref="B8:C9"/>
    <mergeCell ref="D8:D9"/>
    <mergeCell ref="E8:G9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B35D9-1F46-4079-AC9A-88385CF35ABD}">
  <sheetPr>
    <pageSetUpPr fitToPage="1"/>
  </sheetPr>
  <dimension ref="A1:BJ624"/>
  <sheetViews>
    <sheetView workbookViewId="0">
      <pane ySplit="11" topLeftCell="A595" activePane="bottomLeft" state="frozenSplit"/>
      <selection activeCell="A2" sqref="A2:A3"/>
      <selection pane="bottomLeft" activeCell="N602" sqref="N602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8554687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4157</v>
      </c>
      <c r="D4" s="282" t="s">
        <v>1640</v>
      </c>
      <c r="E4" s="256"/>
      <c r="F4" s="324"/>
      <c r="G4" s="325"/>
      <c r="H4" s="255" t="s">
        <v>1658</v>
      </c>
      <c r="I4" s="342"/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SUM(I13:I19)</f>
        <v>0</v>
      </c>
      <c r="J12" s="127">
        <f>SUM(J13:J19)</f>
        <v>0</v>
      </c>
      <c r="K12" s="127">
        <f>SUM(K13:K19)</f>
        <v>0</v>
      </c>
      <c r="L12" s="126"/>
      <c r="AI12" s="109"/>
      <c r="AS12" s="118">
        <f>SUM(AJ13:AJ19)</f>
        <v>0</v>
      </c>
      <c r="AT12" s="118">
        <f>SUM(AK13:AK19)</f>
        <v>0</v>
      </c>
      <c r="AU12" s="118">
        <f>SUM(AL13:AL19)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 t="shared" ref="I13:I19" si="0">G13*AO13</f>
        <v>0</v>
      </c>
      <c r="J13" s="108">
        <f t="shared" ref="J13:J19" si="1">G13*AP13</f>
        <v>0</v>
      </c>
      <c r="K13" s="108">
        <f t="shared" ref="K13:K19" si="2">G13*H13</f>
        <v>0</v>
      </c>
      <c r="L13" s="111" t="s">
        <v>1671</v>
      </c>
      <c r="Z13" s="100">
        <f t="shared" ref="Z13:Z19" si="3">IF(AQ13="5",BJ13,0)</f>
        <v>0</v>
      </c>
      <c r="AB13" s="100">
        <f t="shared" ref="AB13:AB19" si="4">IF(AQ13="1",BH13,0)</f>
        <v>0</v>
      </c>
      <c r="AC13" s="100">
        <f t="shared" ref="AC13:AC19" si="5">IF(AQ13="1",BI13,0)</f>
        <v>0</v>
      </c>
      <c r="AD13" s="100">
        <f t="shared" ref="AD13:AD19" si="6">IF(AQ13="7",BH13,0)</f>
        <v>0</v>
      </c>
      <c r="AE13" s="100">
        <f t="shared" ref="AE13:AE19" si="7">IF(AQ13="7",BI13,0)</f>
        <v>0</v>
      </c>
      <c r="AF13" s="100">
        <f t="shared" ref="AF13:AF19" si="8">IF(AQ13="2",BH13,0)</f>
        <v>0</v>
      </c>
      <c r="AG13" s="100">
        <f t="shared" ref="AG13:AG19" si="9">IF(AQ13="2",BI13,0)</f>
        <v>0</v>
      </c>
      <c r="AH13" s="100">
        <f t="shared" ref="AH13:AH19" si="10">IF(AQ13="0",BJ13,0)</f>
        <v>0</v>
      </c>
      <c r="AI13" s="109"/>
      <c r="AJ13" s="108">
        <f t="shared" ref="AJ13:AJ19" si="11">IF(AN13=0,K13,0)</f>
        <v>0</v>
      </c>
      <c r="AK13" s="108">
        <f t="shared" ref="AK13:AK19" si="12">IF(AN13=15,K13,0)</f>
        <v>0</v>
      </c>
      <c r="AL13" s="108">
        <f t="shared" ref="AL13:AL19" si="13"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 t="shared" ref="AV13:AV19" si="14">AW13+AX13</f>
        <v>0</v>
      </c>
      <c r="AW13" s="100">
        <f t="shared" ref="AW13:AW19" si="15">G13*AO13</f>
        <v>0</v>
      </c>
      <c r="AX13" s="100">
        <f t="shared" ref="AX13:AX19" si="16">G13*AP13</f>
        <v>0</v>
      </c>
      <c r="AY13" s="110" t="s">
        <v>1681</v>
      </c>
      <c r="AZ13" s="110" t="s">
        <v>1724</v>
      </c>
      <c r="BA13" s="109" t="s">
        <v>1737</v>
      </c>
      <c r="BC13" s="100">
        <f t="shared" ref="BC13:BC19" si="17">AW13+AX13</f>
        <v>0</v>
      </c>
      <c r="BD13" s="100">
        <f t="shared" ref="BD13:BD19" si="18">H13/(100-BE13)*100</f>
        <v>0</v>
      </c>
      <c r="BE13" s="100">
        <v>0</v>
      </c>
      <c r="BF13" s="100">
        <f>13</f>
        <v>13</v>
      </c>
      <c r="BH13" s="108">
        <f t="shared" ref="BH13:BH19" si="19">G13*AO13</f>
        <v>0</v>
      </c>
      <c r="BI13" s="108">
        <f t="shared" ref="BI13:BI19" si="20">G13*AP13</f>
        <v>0</v>
      </c>
      <c r="BJ13" s="108">
        <f t="shared" ref="BJ13:BJ19" si="21">G13*H13</f>
        <v>0</v>
      </c>
    </row>
    <row r="14" spans="1:62" x14ac:dyDescent="0.2">
      <c r="A14" s="117" t="s">
        <v>8</v>
      </c>
      <c r="B14" s="117" t="s">
        <v>572</v>
      </c>
      <c r="C14" s="304" t="s">
        <v>1053</v>
      </c>
      <c r="D14" s="305"/>
      <c r="E14" s="305"/>
      <c r="F14" s="117" t="s">
        <v>1644</v>
      </c>
      <c r="G14" s="116">
        <v>1</v>
      </c>
      <c r="H14" s="159"/>
      <c r="I14" s="108">
        <f t="shared" si="0"/>
        <v>0</v>
      </c>
      <c r="J14" s="108">
        <f t="shared" si="1"/>
        <v>0</v>
      </c>
      <c r="K14" s="108">
        <f t="shared" si="2"/>
        <v>0</v>
      </c>
      <c r="L14" s="111" t="s">
        <v>1671</v>
      </c>
      <c r="Z14" s="100">
        <f t="shared" si="3"/>
        <v>0</v>
      </c>
      <c r="AB14" s="100">
        <f t="shared" si="4"/>
        <v>0</v>
      </c>
      <c r="AC14" s="100">
        <f t="shared" si="5"/>
        <v>0</v>
      </c>
      <c r="AD14" s="100">
        <f t="shared" si="6"/>
        <v>0</v>
      </c>
      <c r="AE14" s="100">
        <f t="shared" si="7"/>
        <v>0</v>
      </c>
      <c r="AF14" s="100">
        <f t="shared" si="8"/>
        <v>0</v>
      </c>
      <c r="AG14" s="100">
        <f t="shared" si="9"/>
        <v>0</v>
      </c>
      <c r="AH14" s="100">
        <f t="shared" si="10"/>
        <v>0</v>
      </c>
      <c r="AI14" s="109"/>
      <c r="AJ14" s="108">
        <f t="shared" si="11"/>
        <v>0</v>
      </c>
      <c r="AK14" s="108">
        <f t="shared" si="12"/>
        <v>0</v>
      </c>
      <c r="AL14" s="108">
        <f t="shared" si="13"/>
        <v>0</v>
      </c>
      <c r="AN14" s="100">
        <v>15</v>
      </c>
      <c r="AO14" s="100">
        <f>H14*0.02432</f>
        <v>0</v>
      </c>
      <c r="AP14" s="100">
        <f>H14*(1-0.02432)</f>
        <v>0</v>
      </c>
      <c r="AQ14" s="111" t="s">
        <v>7</v>
      </c>
      <c r="AV14" s="100">
        <f t="shared" si="14"/>
        <v>0</v>
      </c>
      <c r="AW14" s="100">
        <f t="shared" si="15"/>
        <v>0</v>
      </c>
      <c r="AX14" s="100">
        <f t="shared" si="16"/>
        <v>0</v>
      </c>
      <c r="AY14" s="110" t="s">
        <v>1681</v>
      </c>
      <c r="AZ14" s="110" t="s">
        <v>1724</v>
      </c>
      <c r="BA14" s="109" t="s">
        <v>1737</v>
      </c>
      <c r="BC14" s="100">
        <f t="shared" si="17"/>
        <v>0</v>
      </c>
      <c r="BD14" s="100">
        <f t="shared" si="18"/>
        <v>0</v>
      </c>
      <c r="BE14" s="100">
        <v>0</v>
      </c>
      <c r="BF14" s="100">
        <f>14</f>
        <v>14</v>
      </c>
      <c r="BH14" s="108">
        <f t="shared" si="19"/>
        <v>0</v>
      </c>
      <c r="BI14" s="108">
        <f t="shared" si="20"/>
        <v>0</v>
      </c>
      <c r="BJ14" s="108">
        <f t="shared" si="21"/>
        <v>0</v>
      </c>
    </row>
    <row r="15" spans="1:62" x14ac:dyDescent="0.2">
      <c r="A15" s="117" t="s">
        <v>9</v>
      </c>
      <c r="B15" s="117" t="s">
        <v>573</v>
      </c>
      <c r="C15" s="304" t="s">
        <v>1054</v>
      </c>
      <c r="D15" s="305"/>
      <c r="E15" s="305"/>
      <c r="F15" s="117" t="s">
        <v>1645</v>
      </c>
      <c r="G15" s="116">
        <v>59.451000000000001</v>
      </c>
      <c r="H15" s="159"/>
      <c r="I15" s="108">
        <f t="shared" si="0"/>
        <v>0</v>
      </c>
      <c r="J15" s="108">
        <f t="shared" si="1"/>
        <v>0</v>
      </c>
      <c r="K15" s="108">
        <f t="shared" si="2"/>
        <v>0</v>
      </c>
      <c r="L15" s="111" t="s">
        <v>1671</v>
      </c>
      <c r="Z15" s="100">
        <f t="shared" si="3"/>
        <v>0</v>
      </c>
      <c r="AB15" s="100">
        <f t="shared" si="4"/>
        <v>0</v>
      </c>
      <c r="AC15" s="100">
        <f t="shared" si="5"/>
        <v>0</v>
      </c>
      <c r="AD15" s="100">
        <f t="shared" si="6"/>
        <v>0</v>
      </c>
      <c r="AE15" s="100">
        <f t="shared" si="7"/>
        <v>0</v>
      </c>
      <c r="AF15" s="100">
        <f t="shared" si="8"/>
        <v>0</v>
      </c>
      <c r="AG15" s="100">
        <f t="shared" si="9"/>
        <v>0</v>
      </c>
      <c r="AH15" s="100">
        <f t="shared" si="10"/>
        <v>0</v>
      </c>
      <c r="AI15" s="109"/>
      <c r="AJ15" s="108">
        <f t="shared" si="11"/>
        <v>0</v>
      </c>
      <c r="AK15" s="108">
        <f t="shared" si="12"/>
        <v>0</v>
      </c>
      <c r="AL15" s="108">
        <f t="shared" si="13"/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 t="shared" si="14"/>
        <v>0</v>
      </c>
      <c r="AW15" s="100">
        <f t="shared" si="15"/>
        <v>0</v>
      </c>
      <c r="AX15" s="100">
        <f t="shared" si="16"/>
        <v>0</v>
      </c>
      <c r="AY15" s="110" t="s">
        <v>1681</v>
      </c>
      <c r="AZ15" s="110" t="s">
        <v>1724</v>
      </c>
      <c r="BA15" s="109" t="s">
        <v>1737</v>
      </c>
      <c r="BC15" s="100">
        <f t="shared" si="17"/>
        <v>0</v>
      </c>
      <c r="BD15" s="100">
        <f t="shared" si="18"/>
        <v>0</v>
      </c>
      <c r="BE15" s="100">
        <v>0</v>
      </c>
      <c r="BF15" s="100">
        <f>15</f>
        <v>15</v>
      </c>
      <c r="BH15" s="108">
        <f t="shared" si="19"/>
        <v>0</v>
      </c>
      <c r="BI15" s="108">
        <f t="shared" si="20"/>
        <v>0</v>
      </c>
      <c r="BJ15" s="108">
        <f t="shared" si="21"/>
        <v>0</v>
      </c>
    </row>
    <row r="16" spans="1:62" x14ac:dyDescent="0.2">
      <c r="A16" s="117" t="s">
        <v>10</v>
      </c>
      <c r="B16" s="117" t="s">
        <v>574</v>
      </c>
      <c r="C16" s="304" t="s">
        <v>1056</v>
      </c>
      <c r="D16" s="305"/>
      <c r="E16" s="305"/>
      <c r="F16" s="117" t="s">
        <v>1645</v>
      </c>
      <c r="G16" s="116">
        <v>17.120999999999999</v>
      </c>
      <c r="H16" s="159"/>
      <c r="I16" s="108">
        <f t="shared" si="0"/>
        <v>0</v>
      </c>
      <c r="J16" s="108">
        <f t="shared" si="1"/>
        <v>0</v>
      </c>
      <c r="K16" s="108">
        <f t="shared" si="2"/>
        <v>0</v>
      </c>
      <c r="L16" s="111" t="s">
        <v>1671</v>
      </c>
      <c r="Z16" s="100">
        <f t="shared" si="3"/>
        <v>0</v>
      </c>
      <c r="AB16" s="100">
        <f t="shared" si="4"/>
        <v>0</v>
      </c>
      <c r="AC16" s="100">
        <f t="shared" si="5"/>
        <v>0</v>
      </c>
      <c r="AD16" s="100">
        <f t="shared" si="6"/>
        <v>0</v>
      </c>
      <c r="AE16" s="100">
        <f t="shared" si="7"/>
        <v>0</v>
      </c>
      <c r="AF16" s="100">
        <f t="shared" si="8"/>
        <v>0</v>
      </c>
      <c r="AG16" s="100">
        <f t="shared" si="9"/>
        <v>0</v>
      </c>
      <c r="AH16" s="100">
        <f t="shared" si="10"/>
        <v>0</v>
      </c>
      <c r="AI16" s="109"/>
      <c r="AJ16" s="108">
        <f t="shared" si="11"/>
        <v>0</v>
      </c>
      <c r="AK16" s="108">
        <f t="shared" si="12"/>
        <v>0</v>
      </c>
      <c r="AL16" s="108">
        <f t="shared" si="13"/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 t="shared" si="14"/>
        <v>0</v>
      </c>
      <c r="AW16" s="100">
        <f t="shared" si="15"/>
        <v>0</v>
      </c>
      <c r="AX16" s="100">
        <f t="shared" si="16"/>
        <v>0</v>
      </c>
      <c r="AY16" s="110" t="s">
        <v>1681</v>
      </c>
      <c r="AZ16" s="110" t="s">
        <v>1724</v>
      </c>
      <c r="BA16" s="109" t="s">
        <v>1737</v>
      </c>
      <c r="BC16" s="100">
        <f t="shared" si="17"/>
        <v>0</v>
      </c>
      <c r="BD16" s="100">
        <f t="shared" si="18"/>
        <v>0</v>
      </c>
      <c r="BE16" s="100">
        <v>0</v>
      </c>
      <c r="BF16" s="100">
        <f>16</f>
        <v>16</v>
      </c>
      <c r="BH16" s="108">
        <f t="shared" si="19"/>
        <v>0</v>
      </c>
      <c r="BI16" s="108">
        <f t="shared" si="20"/>
        <v>0</v>
      </c>
      <c r="BJ16" s="108">
        <f t="shared" si="21"/>
        <v>0</v>
      </c>
    </row>
    <row r="17" spans="1:62" x14ac:dyDescent="0.2">
      <c r="A17" s="117" t="s">
        <v>11</v>
      </c>
      <c r="B17" s="117" t="s">
        <v>2867</v>
      </c>
      <c r="C17" s="304" t="s">
        <v>4156</v>
      </c>
      <c r="D17" s="305"/>
      <c r="E17" s="305"/>
      <c r="F17" s="117" t="s">
        <v>1645</v>
      </c>
      <c r="G17" s="116">
        <v>30.965</v>
      </c>
      <c r="H17" s="159"/>
      <c r="I17" s="108">
        <f t="shared" si="0"/>
        <v>0</v>
      </c>
      <c r="J17" s="108">
        <f t="shared" si="1"/>
        <v>0</v>
      </c>
      <c r="K17" s="108">
        <f t="shared" si="2"/>
        <v>0</v>
      </c>
      <c r="L17" s="111" t="s">
        <v>1671</v>
      </c>
      <c r="Z17" s="100">
        <f t="shared" si="3"/>
        <v>0</v>
      </c>
      <c r="AB17" s="100">
        <f t="shared" si="4"/>
        <v>0</v>
      </c>
      <c r="AC17" s="100">
        <f t="shared" si="5"/>
        <v>0</v>
      </c>
      <c r="AD17" s="100">
        <f t="shared" si="6"/>
        <v>0</v>
      </c>
      <c r="AE17" s="100">
        <f t="shared" si="7"/>
        <v>0</v>
      </c>
      <c r="AF17" s="100">
        <f t="shared" si="8"/>
        <v>0</v>
      </c>
      <c r="AG17" s="100">
        <f t="shared" si="9"/>
        <v>0</v>
      </c>
      <c r="AH17" s="100">
        <f t="shared" si="10"/>
        <v>0</v>
      </c>
      <c r="AI17" s="109"/>
      <c r="AJ17" s="108">
        <f t="shared" si="11"/>
        <v>0</v>
      </c>
      <c r="AK17" s="108">
        <f t="shared" si="12"/>
        <v>0</v>
      </c>
      <c r="AL17" s="108">
        <f t="shared" si="13"/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 t="shared" si="14"/>
        <v>0</v>
      </c>
      <c r="AW17" s="100">
        <f t="shared" si="15"/>
        <v>0</v>
      </c>
      <c r="AX17" s="100">
        <f t="shared" si="16"/>
        <v>0</v>
      </c>
      <c r="AY17" s="110" t="s">
        <v>1681</v>
      </c>
      <c r="AZ17" s="110" t="s">
        <v>1724</v>
      </c>
      <c r="BA17" s="109" t="s">
        <v>1737</v>
      </c>
      <c r="BC17" s="100">
        <f t="shared" si="17"/>
        <v>0</v>
      </c>
      <c r="BD17" s="100">
        <f t="shared" si="18"/>
        <v>0</v>
      </c>
      <c r="BE17" s="100">
        <v>0</v>
      </c>
      <c r="BF17" s="100">
        <f>17</f>
        <v>17</v>
      </c>
      <c r="BH17" s="108">
        <f t="shared" si="19"/>
        <v>0</v>
      </c>
      <c r="BI17" s="108">
        <f t="shared" si="20"/>
        <v>0</v>
      </c>
      <c r="BJ17" s="108">
        <f t="shared" si="21"/>
        <v>0</v>
      </c>
    </row>
    <row r="18" spans="1:62" x14ac:dyDescent="0.2">
      <c r="A18" s="117" t="s">
        <v>12</v>
      </c>
      <c r="B18" s="117" t="s">
        <v>3745</v>
      </c>
      <c r="C18" s="304" t="s">
        <v>3744</v>
      </c>
      <c r="D18" s="305"/>
      <c r="E18" s="305"/>
      <c r="F18" s="117" t="s">
        <v>1645</v>
      </c>
      <c r="G18" s="116">
        <v>17.120999999999999</v>
      </c>
      <c r="H18" s="159"/>
      <c r="I18" s="108">
        <f t="shared" si="0"/>
        <v>0</v>
      </c>
      <c r="J18" s="108">
        <f t="shared" si="1"/>
        <v>0</v>
      </c>
      <c r="K18" s="108">
        <f t="shared" si="2"/>
        <v>0</v>
      </c>
      <c r="L18" s="111" t="s">
        <v>1671</v>
      </c>
      <c r="Z18" s="100">
        <f t="shared" si="3"/>
        <v>0</v>
      </c>
      <c r="AB18" s="100">
        <f t="shared" si="4"/>
        <v>0</v>
      </c>
      <c r="AC18" s="100">
        <f t="shared" si="5"/>
        <v>0</v>
      </c>
      <c r="AD18" s="100">
        <f t="shared" si="6"/>
        <v>0</v>
      </c>
      <c r="AE18" s="100">
        <f t="shared" si="7"/>
        <v>0</v>
      </c>
      <c r="AF18" s="100">
        <f t="shared" si="8"/>
        <v>0</v>
      </c>
      <c r="AG18" s="100">
        <f t="shared" si="9"/>
        <v>0</v>
      </c>
      <c r="AH18" s="100">
        <f t="shared" si="10"/>
        <v>0</v>
      </c>
      <c r="AI18" s="109"/>
      <c r="AJ18" s="108">
        <f t="shared" si="11"/>
        <v>0</v>
      </c>
      <c r="AK18" s="108">
        <f t="shared" si="12"/>
        <v>0</v>
      </c>
      <c r="AL18" s="108">
        <f t="shared" si="13"/>
        <v>0</v>
      </c>
      <c r="AN18" s="100">
        <v>15</v>
      </c>
      <c r="AO18" s="100">
        <f>H18*0</f>
        <v>0</v>
      </c>
      <c r="AP18" s="100">
        <f>H18*(1-0)</f>
        <v>0</v>
      </c>
      <c r="AQ18" s="111" t="s">
        <v>7</v>
      </c>
      <c r="AV18" s="100">
        <f t="shared" si="14"/>
        <v>0</v>
      </c>
      <c r="AW18" s="100">
        <f t="shared" si="15"/>
        <v>0</v>
      </c>
      <c r="AX18" s="100">
        <f t="shared" si="16"/>
        <v>0</v>
      </c>
      <c r="AY18" s="110" t="s">
        <v>1681</v>
      </c>
      <c r="AZ18" s="110" t="s">
        <v>1724</v>
      </c>
      <c r="BA18" s="109" t="s">
        <v>1737</v>
      </c>
      <c r="BC18" s="100">
        <f t="shared" si="17"/>
        <v>0</v>
      </c>
      <c r="BD18" s="100">
        <f t="shared" si="18"/>
        <v>0</v>
      </c>
      <c r="BE18" s="100">
        <v>0</v>
      </c>
      <c r="BF18" s="100">
        <f>18</f>
        <v>18</v>
      </c>
      <c r="BH18" s="108">
        <f t="shared" si="19"/>
        <v>0</v>
      </c>
      <c r="BI18" s="108">
        <f t="shared" si="20"/>
        <v>0</v>
      </c>
      <c r="BJ18" s="108">
        <f t="shared" si="21"/>
        <v>0</v>
      </c>
    </row>
    <row r="19" spans="1:62" x14ac:dyDescent="0.2">
      <c r="A19" s="117" t="s">
        <v>13</v>
      </c>
      <c r="B19" s="117" t="s">
        <v>575</v>
      </c>
      <c r="C19" s="304" t="s">
        <v>1057</v>
      </c>
      <c r="D19" s="305"/>
      <c r="E19" s="305"/>
      <c r="F19" s="117" t="s">
        <v>1646</v>
      </c>
      <c r="G19" s="116">
        <v>82.6</v>
      </c>
      <c r="H19" s="159"/>
      <c r="I19" s="108">
        <f t="shared" si="0"/>
        <v>0</v>
      </c>
      <c r="J19" s="108">
        <f t="shared" si="1"/>
        <v>0</v>
      </c>
      <c r="K19" s="108">
        <f t="shared" si="2"/>
        <v>0</v>
      </c>
      <c r="L19" s="111" t="s">
        <v>1671</v>
      </c>
      <c r="Z19" s="100">
        <f t="shared" si="3"/>
        <v>0</v>
      </c>
      <c r="AB19" s="100">
        <f t="shared" si="4"/>
        <v>0</v>
      </c>
      <c r="AC19" s="100">
        <f t="shared" si="5"/>
        <v>0</v>
      </c>
      <c r="AD19" s="100">
        <f t="shared" si="6"/>
        <v>0</v>
      </c>
      <c r="AE19" s="100">
        <f t="shared" si="7"/>
        <v>0</v>
      </c>
      <c r="AF19" s="100">
        <f t="shared" si="8"/>
        <v>0</v>
      </c>
      <c r="AG19" s="100">
        <f t="shared" si="9"/>
        <v>0</v>
      </c>
      <c r="AH19" s="100">
        <f t="shared" si="10"/>
        <v>0</v>
      </c>
      <c r="AI19" s="109"/>
      <c r="AJ19" s="108">
        <f t="shared" si="11"/>
        <v>0</v>
      </c>
      <c r="AK19" s="108">
        <f t="shared" si="12"/>
        <v>0</v>
      </c>
      <c r="AL19" s="108">
        <f t="shared" si="13"/>
        <v>0</v>
      </c>
      <c r="AN19" s="100">
        <v>15</v>
      </c>
      <c r="AO19" s="100">
        <f>H19*0</f>
        <v>0</v>
      </c>
      <c r="AP19" s="100">
        <f>H19*(1-0)</f>
        <v>0</v>
      </c>
      <c r="AQ19" s="111" t="s">
        <v>7</v>
      </c>
      <c r="AV19" s="100">
        <f t="shared" si="14"/>
        <v>0</v>
      </c>
      <c r="AW19" s="100">
        <f t="shared" si="15"/>
        <v>0</v>
      </c>
      <c r="AX19" s="100">
        <f t="shared" si="16"/>
        <v>0</v>
      </c>
      <c r="AY19" s="110" t="s">
        <v>1681</v>
      </c>
      <c r="AZ19" s="110" t="s">
        <v>1724</v>
      </c>
      <c r="BA19" s="109" t="s">
        <v>1737</v>
      </c>
      <c r="BC19" s="100">
        <f t="shared" si="17"/>
        <v>0</v>
      </c>
      <c r="BD19" s="100">
        <f t="shared" si="18"/>
        <v>0</v>
      </c>
      <c r="BE19" s="100">
        <v>0</v>
      </c>
      <c r="BF19" s="100">
        <f>19</f>
        <v>19</v>
      </c>
      <c r="BH19" s="108">
        <f t="shared" si="19"/>
        <v>0</v>
      </c>
      <c r="BI19" s="108">
        <f t="shared" si="20"/>
        <v>0</v>
      </c>
      <c r="BJ19" s="108">
        <f t="shared" si="21"/>
        <v>0</v>
      </c>
    </row>
    <row r="20" spans="1:62" x14ac:dyDescent="0.2">
      <c r="A20" s="119"/>
      <c r="B20" s="120" t="s">
        <v>18</v>
      </c>
      <c r="C20" s="306" t="s">
        <v>1059</v>
      </c>
      <c r="D20" s="307"/>
      <c r="E20" s="307"/>
      <c r="F20" s="119" t="s">
        <v>6</v>
      </c>
      <c r="G20" s="119" t="s">
        <v>6</v>
      </c>
      <c r="H20" s="119" t="s">
        <v>6</v>
      </c>
      <c r="I20" s="118">
        <f>SUM(I21:I21)</f>
        <v>0</v>
      </c>
      <c r="J20" s="118">
        <f>SUM(J21:J21)</f>
        <v>0</v>
      </c>
      <c r="K20" s="118">
        <f>SUM(K21:K21)</f>
        <v>0</v>
      </c>
      <c r="L20" s="109"/>
      <c r="AI20" s="109"/>
      <c r="AS20" s="118">
        <f>SUM(AJ21:AJ21)</f>
        <v>0</v>
      </c>
      <c r="AT20" s="118">
        <f>SUM(AK21:AK21)</f>
        <v>0</v>
      </c>
      <c r="AU20" s="118">
        <f>SUM(AL21:AL21)</f>
        <v>0</v>
      </c>
    </row>
    <row r="21" spans="1:62" x14ac:dyDescent="0.2">
      <c r="A21" s="117" t="s">
        <v>14</v>
      </c>
      <c r="B21" s="117" t="s">
        <v>577</v>
      </c>
      <c r="C21" s="304" t="s">
        <v>1060</v>
      </c>
      <c r="D21" s="305"/>
      <c r="E21" s="305"/>
      <c r="F21" s="117" t="s">
        <v>1647</v>
      </c>
      <c r="G21" s="116">
        <v>7.6459999999999999</v>
      </c>
      <c r="H21" s="159"/>
      <c r="I21" s="108">
        <f>G21*AO21</f>
        <v>0</v>
      </c>
      <c r="J21" s="108">
        <f>G21*AP21</f>
        <v>0</v>
      </c>
      <c r="K21" s="108">
        <f>G21*H21</f>
        <v>0</v>
      </c>
      <c r="L21" s="111" t="s">
        <v>1671</v>
      </c>
      <c r="Z21" s="100">
        <f>IF(AQ21="5",BJ21,0)</f>
        <v>0</v>
      </c>
      <c r="AB21" s="100">
        <f>IF(AQ21="1",BH21,0)</f>
        <v>0</v>
      </c>
      <c r="AC21" s="100">
        <f>IF(AQ21="1",BI21,0)</f>
        <v>0</v>
      </c>
      <c r="AD21" s="100">
        <f>IF(AQ21="7",BH21,0)</f>
        <v>0</v>
      </c>
      <c r="AE21" s="100">
        <f>IF(AQ21="7",BI21,0)</f>
        <v>0</v>
      </c>
      <c r="AF21" s="100">
        <f>IF(AQ21="2",BH21,0)</f>
        <v>0</v>
      </c>
      <c r="AG21" s="100">
        <f>IF(AQ21="2",BI21,0)</f>
        <v>0</v>
      </c>
      <c r="AH21" s="100">
        <f>IF(AQ21="0",BJ21,0)</f>
        <v>0</v>
      </c>
      <c r="AI21" s="109"/>
      <c r="AJ21" s="108">
        <f>IF(AN21=0,K21,0)</f>
        <v>0</v>
      </c>
      <c r="AK21" s="108">
        <f>IF(AN21=15,K21,0)</f>
        <v>0</v>
      </c>
      <c r="AL21" s="108">
        <f>IF(AN21=21,K21,0)</f>
        <v>0</v>
      </c>
      <c r="AN21" s="100">
        <v>15</v>
      </c>
      <c r="AO21" s="100">
        <f>H21*0</f>
        <v>0</v>
      </c>
      <c r="AP21" s="100">
        <f>H21*(1-0)</f>
        <v>0</v>
      </c>
      <c r="AQ21" s="111" t="s">
        <v>7</v>
      </c>
      <c r="AV21" s="100">
        <f>AW21+AX21</f>
        <v>0</v>
      </c>
      <c r="AW21" s="100">
        <f>G21*AO21</f>
        <v>0</v>
      </c>
      <c r="AX21" s="100">
        <f>G21*AP21</f>
        <v>0</v>
      </c>
      <c r="AY21" s="110" t="s">
        <v>1682</v>
      </c>
      <c r="AZ21" s="110" t="s">
        <v>1724</v>
      </c>
      <c r="BA21" s="109" t="s">
        <v>1737</v>
      </c>
      <c r="BC21" s="100">
        <f>AW21+AX21</f>
        <v>0</v>
      </c>
      <c r="BD21" s="100">
        <f>H21/(100-BE21)*100</f>
        <v>0</v>
      </c>
      <c r="BE21" s="100">
        <v>0</v>
      </c>
      <c r="BF21" s="100">
        <f>21</f>
        <v>21</v>
      </c>
      <c r="BH21" s="108">
        <f>G21*AO21</f>
        <v>0</v>
      </c>
      <c r="BI21" s="108">
        <f>G21*AP21</f>
        <v>0</v>
      </c>
      <c r="BJ21" s="108">
        <f>G21*H21</f>
        <v>0</v>
      </c>
    </row>
    <row r="22" spans="1:62" x14ac:dyDescent="0.2">
      <c r="A22" s="119"/>
      <c r="B22" s="120" t="s">
        <v>19</v>
      </c>
      <c r="C22" s="306" t="s">
        <v>1061</v>
      </c>
      <c r="D22" s="307"/>
      <c r="E22" s="307"/>
      <c r="F22" s="119" t="s">
        <v>6</v>
      </c>
      <c r="G22" s="119" t="s">
        <v>6</v>
      </c>
      <c r="H22" s="119" t="s">
        <v>6</v>
      </c>
      <c r="I22" s="118">
        <f>SUM(I23:I25)</f>
        <v>0</v>
      </c>
      <c r="J22" s="118">
        <f>SUM(J23:J25)</f>
        <v>0</v>
      </c>
      <c r="K22" s="118">
        <f>SUM(K23:K25)</f>
        <v>0</v>
      </c>
      <c r="L22" s="109"/>
      <c r="AI22" s="109"/>
      <c r="AS22" s="118">
        <f>SUM(AJ23:AJ25)</f>
        <v>0</v>
      </c>
      <c r="AT22" s="118">
        <f>SUM(AK23:AK25)</f>
        <v>0</v>
      </c>
      <c r="AU22" s="118">
        <f>SUM(AL23:AL25)</f>
        <v>0</v>
      </c>
    </row>
    <row r="23" spans="1:62" x14ac:dyDescent="0.2">
      <c r="A23" s="117" t="s">
        <v>15</v>
      </c>
      <c r="B23" s="117" t="s">
        <v>578</v>
      </c>
      <c r="C23" s="304" t="s">
        <v>1062</v>
      </c>
      <c r="D23" s="305"/>
      <c r="E23" s="305"/>
      <c r="F23" s="117" t="s">
        <v>1647</v>
      </c>
      <c r="G23" s="116">
        <v>136.81</v>
      </c>
      <c r="H23" s="162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1683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7" t="s">
        <v>16</v>
      </c>
      <c r="B24" s="117" t="s">
        <v>579</v>
      </c>
      <c r="C24" s="304" t="s">
        <v>1063</v>
      </c>
      <c r="D24" s="305"/>
      <c r="E24" s="305"/>
      <c r="F24" s="117" t="s">
        <v>1647</v>
      </c>
      <c r="G24" s="116">
        <v>136.81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</f>
        <v>0</v>
      </c>
      <c r="AP24" s="100">
        <f>H24*(1-0)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1683</v>
      </c>
      <c r="AZ24" s="110" t="s">
        <v>1724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17</v>
      </c>
      <c r="B25" s="117" t="s">
        <v>580</v>
      </c>
      <c r="C25" s="304" t="s">
        <v>4155</v>
      </c>
      <c r="D25" s="305"/>
      <c r="E25" s="305"/>
      <c r="F25" s="117" t="s">
        <v>1647</v>
      </c>
      <c r="G25" s="116">
        <v>1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1683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9"/>
      <c r="B26" s="120" t="s">
        <v>22</v>
      </c>
      <c r="C26" s="306" t="s">
        <v>1066</v>
      </c>
      <c r="D26" s="307"/>
      <c r="E26" s="307"/>
      <c r="F26" s="119" t="s">
        <v>6</v>
      </c>
      <c r="G26" s="119" t="s">
        <v>6</v>
      </c>
      <c r="H26" s="119" t="s">
        <v>6</v>
      </c>
      <c r="I26" s="118">
        <f>SUM(I27:I29)</f>
        <v>0</v>
      </c>
      <c r="J26" s="118">
        <f>SUM(J27:J29)</f>
        <v>0</v>
      </c>
      <c r="K26" s="118">
        <f>SUM(K27:K29)</f>
        <v>0</v>
      </c>
      <c r="L26" s="109"/>
      <c r="AI26" s="109"/>
      <c r="AS26" s="118">
        <f>SUM(AJ27:AJ29)</f>
        <v>0</v>
      </c>
      <c r="AT26" s="118">
        <f>SUM(AK27:AK29)</f>
        <v>0</v>
      </c>
      <c r="AU26" s="118">
        <f>SUM(AL27:AL29)</f>
        <v>0</v>
      </c>
    </row>
    <row r="27" spans="1:62" x14ac:dyDescent="0.2">
      <c r="A27" s="117" t="s">
        <v>18</v>
      </c>
      <c r="B27" s="117" t="s">
        <v>581</v>
      </c>
      <c r="C27" s="304" t="s">
        <v>1067</v>
      </c>
      <c r="D27" s="305"/>
      <c r="E27" s="305"/>
      <c r="F27" s="117" t="s">
        <v>1647</v>
      </c>
      <c r="G27" s="116">
        <v>52.820999999999998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</f>
        <v>0</v>
      </c>
      <c r="AP27" s="100">
        <f>H27*(1-0)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1684</v>
      </c>
      <c r="AZ27" s="110" t="s">
        <v>1724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7" t="s">
        <v>19</v>
      </c>
      <c r="B28" s="117" t="s">
        <v>582</v>
      </c>
      <c r="C28" s="304" t="s">
        <v>1068</v>
      </c>
      <c r="D28" s="305"/>
      <c r="E28" s="305"/>
      <c r="F28" s="117" t="s">
        <v>1648</v>
      </c>
      <c r="G28" s="116">
        <v>92.436999999999998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</f>
        <v>0</v>
      </c>
      <c r="AP28" s="100">
        <f>H28*(1-0)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1684</v>
      </c>
      <c r="AZ28" s="110" t="s">
        <v>1724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A29" s="117" t="s">
        <v>20</v>
      </c>
      <c r="B29" s="117" t="s">
        <v>583</v>
      </c>
      <c r="C29" s="304" t="s">
        <v>1069</v>
      </c>
      <c r="D29" s="305"/>
      <c r="E29" s="305"/>
      <c r="F29" s="117" t="s">
        <v>1647</v>
      </c>
      <c r="G29" s="116">
        <v>52.820999999999998</v>
      </c>
      <c r="H29" s="159"/>
      <c r="I29" s="108">
        <f>G29*AO29</f>
        <v>0</v>
      </c>
      <c r="J29" s="108">
        <f>G29*AP29</f>
        <v>0</v>
      </c>
      <c r="K29" s="108">
        <f>G29*H29</f>
        <v>0</v>
      </c>
      <c r="L29" s="111" t="s">
        <v>1671</v>
      </c>
      <c r="Z29" s="100">
        <f>IF(AQ29="5",BJ29,0)</f>
        <v>0</v>
      </c>
      <c r="AB29" s="100">
        <f>IF(AQ29="1",BH29,0)</f>
        <v>0</v>
      </c>
      <c r="AC29" s="100">
        <f>IF(AQ29="1",BI29,0)</f>
        <v>0</v>
      </c>
      <c r="AD29" s="100">
        <f>IF(AQ29="7",BH29,0)</f>
        <v>0</v>
      </c>
      <c r="AE29" s="100">
        <f>IF(AQ29="7",BI29,0)</f>
        <v>0</v>
      </c>
      <c r="AF29" s="100">
        <f>IF(AQ29="2",BH29,0)</f>
        <v>0</v>
      </c>
      <c r="AG29" s="100">
        <f>IF(AQ29="2",BI29,0)</f>
        <v>0</v>
      </c>
      <c r="AH29" s="100">
        <f>IF(AQ29="0",BJ29,0)</f>
        <v>0</v>
      </c>
      <c r="AI29" s="109"/>
      <c r="AJ29" s="108">
        <f>IF(AN29=0,K29,0)</f>
        <v>0</v>
      </c>
      <c r="AK29" s="108">
        <f>IF(AN29=15,K29,0)</f>
        <v>0</v>
      </c>
      <c r="AL29" s="108">
        <f>IF(AN29=21,K29,0)</f>
        <v>0</v>
      </c>
      <c r="AN29" s="100">
        <v>15</v>
      </c>
      <c r="AO29" s="100">
        <f>H29*0</f>
        <v>0</v>
      </c>
      <c r="AP29" s="100">
        <f>H29*(1-0)</f>
        <v>0</v>
      </c>
      <c r="AQ29" s="111" t="s">
        <v>7</v>
      </c>
      <c r="AV29" s="100">
        <f>AW29+AX29</f>
        <v>0</v>
      </c>
      <c r="AW29" s="100">
        <f>G29*AO29</f>
        <v>0</v>
      </c>
      <c r="AX29" s="100">
        <f>G29*AP29</f>
        <v>0</v>
      </c>
      <c r="AY29" s="110" t="s">
        <v>1684</v>
      </c>
      <c r="AZ29" s="110" t="s">
        <v>1724</v>
      </c>
      <c r="BA29" s="109" t="s">
        <v>1737</v>
      </c>
      <c r="BC29" s="100">
        <f>AW29+AX29</f>
        <v>0</v>
      </c>
      <c r="BD29" s="100">
        <f>H29/(100-BE29)*100</f>
        <v>0</v>
      </c>
      <c r="BE29" s="100">
        <v>0</v>
      </c>
      <c r="BF29" s="100">
        <f>29</f>
        <v>29</v>
      </c>
      <c r="BH29" s="108">
        <f>G29*AO29</f>
        <v>0</v>
      </c>
      <c r="BI29" s="108">
        <f>G29*AP29</f>
        <v>0</v>
      </c>
      <c r="BJ29" s="108">
        <f>G29*H29</f>
        <v>0</v>
      </c>
    </row>
    <row r="30" spans="1:62" x14ac:dyDescent="0.2">
      <c r="A30" s="119"/>
      <c r="B30" s="120" t="s">
        <v>23</v>
      </c>
      <c r="C30" s="306" t="s">
        <v>1070</v>
      </c>
      <c r="D30" s="307"/>
      <c r="E30" s="307"/>
      <c r="F30" s="119" t="s">
        <v>6</v>
      </c>
      <c r="G30" s="119" t="s">
        <v>6</v>
      </c>
      <c r="H30" s="119" t="s">
        <v>6</v>
      </c>
      <c r="I30" s="118">
        <f>SUM(I31:I33)</f>
        <v>0</v>
      </c>
      <c r="J30" s="118">
        <f>SUM(J31:J33)</f>
        <v>0</v>
      </c>
      <c r="K30" s="118">
        <f>SUM(K31:K33)</f>
        <v>0</v>
      </c>
      <c r="L30" s="109"/>
      <c r="AI30" s="109"/>
      <c r="AS30" s="118">
        <f>SUM(AJ31:AJ33)</f>
        <v>0</v>
      </c>
      <c r="AT30" s="118">
        <f>SUM(AK31:AK33)</f>
        <v>0</v>
      </c>
      <c r="AU30" s="118">
        <f>SUM(AL31:AL33)</f>
        <v>0</v>
      </c>
    </row>
    <row r="31" spans="1:62" x14ac:dyDescent="0.2">
      <c r="A31" s="117" t="s">
        <v>21</v>
      </c>
      <c r="B31" s="117" t="s">
        <v>584</v>
      </c>
      <c r="C31" s="304" t="s">
        <v>1071</v>
      </c>
      <c r="D31" s="305"/>
      <c r="E31" s="305"/>
      <c r="F31" s="117" t="s">
        <v>1647</v>
      </c>
      <c r="G31" s="116">
        <v>52.820999999999998</v>
      </c>
      <c r="H31" s="159"/>
      <c r="I31" s="108">
        <f>G31*AO31</f>
        <v>0</v>
      </c>
      <c r="J31" s="108">
        <f>G31*AP31</f>
        <v>0</v>
      </c>
      <c r="K31" s="108">
        <f>G31*H31</f>
        <v>0</v>
      </c>
      <c r="L31" s="111" t="s">
        <v>1671</v>
      </c>
      <c r="Z31" s="100">
        <f>IF(AQ31="5",BJ31,0)</f>
        <v>0</v>
      </c>
      <c r="AB31" s="100">
        <f>IF(AQ31="1",BH31,0)</f>
        <v>0</v>
      </c>
      <c r="AC31" s="100">
        <f>IF(AQ31="1",BI31,0)</f>
        <v>0</v>
      </c>
      <c r="AD31" s="100">
        <f>IF(AQ31="7",BH31,0)</f>
        <v>0</v>
      </c>
      <c r="AE31" s="100">
        <f>IF(AQ31="7",BI31,0)</f>
        <v>0</v>
      </c>
      <c r="AF31" s="100">
        <f>IF(AQ31="2",BH31,0)</f>
        <v>0</v>
      </c>
      <c r="AG31" s="100">
        <f>IF(AQ31="2",BI31,0)</f>
        <v>0</v>
      </c>
      <c r="AH31" s="100">
        <f>IF(AQ31="0",BJ31,0)</f>
        <v>0</v>
      </c>
      <c r="AI31" s="109"/>
      <c r="AJ31" s="108">
        <f>IF(AN31=0,K31,0)</f>
        <v>0</v>
      </c>
      <c r="AK31" s="108">
        <f>IF(AN31=15,K31,0)</f>
        <v>0</v>
      </c>
      <c r="AL31" s="108">
        <f>IF(AN31=21,K31,0)</f>
        <v>0</v>
      </c>
      <c r="AN31" s="100">
        <v>15</v>
      </c>
      <c r="AO31" s="100">
        <f>H31*0</f>
        <v>0</v>
      </c>
      <c r="AP31" s="100">
        <f>H31*(1-0)</f>
        <v>0</v>
      </c>
      <c r="AQ31" s="111" t="s">
        <v>7</v>
      </c>
      <c r="AV31" s="100">
        <f>AW31+AX31</f>
        <v>0</v>
      </c>
      <c r="AW31" s="100">
        <f>G31*AO31</f>
        <v>0</v>
      </c>
      <c r="AX31" s="100">
        <f>G31*AP31</f>
        <v>0</v>
      </c>
      <c r="AY31" s="110" t="s">
        <v>1685</v>
      </c>
      <c r="AZ31" s="110" t="s">
        <v>1724</v>
      </c>
      <c r="BA31" s="109" t="s">
        <v>1737</v>
      </c>
      <c r="BC31" s="100">
        <f>AW31+AX31</f>
        <v>0</v>
      </c>
      <c r="BD31" s="100">
        <f>H31/(100-BE31)*100</f>
        <v>0</v>
      </c>
      <c r="BE31" s="100">
        <v>0</v>
      </c>
      <c r="BF31" s="100">
        <f>31</f>
        <v>31</v>
      </c>
      <c r="BH31" s="108">
        <f>G31*AO31</f>
        <v>0</v>
      </c>
      <c r="BI31" s="108">
        <f>G31*AP31</f>
        <v>0</v>
      </c>
      <c r="BJ31" s="108">
        <f>G31*H31</f>
        <v>0</v>
      </c>
    </row>
    <row r="32" spans="1:62" x14ac:dyDescent="0.2">
      <c r="A32" s="117" t="s">
        <v>22</v>
      </c>
      <c r="B32" s="117" t="s">
        <v>585</v>
      </c>
      <c r="C32" s="304" t="s">
        <v>1072</v>
      </c>
      <c r="D32" s="305"/>
      <c r="E32" s="305"/>
      <c r="F32" s="117" t="s">
        <v>1647</v>
      </c>
      <c r="G32" s="116">
        <v>84.088999999999999</v>
      </c>
      <c r="H32" s="159"/>
      <c r="I32" s="108">
        <f>G32*AO32</f>
        <v>0</v>
      </c>
      <c r="J32" s="108">
        <f>G32*AP32</f>
        <v>0</v>
      </c>
      <c r="K32" s="108">
        <f>G32*H32</f>
        <v>0</v>
      </c>
      <c r="L32" s="111" t="s">
        <v>1671</v>
      </c>
      <c r="Z32" s="100">
        <f>IF(AQ32="5",BJ32,0)</f>
        <v>0</v>
      </c>
      <c r="AB32" s="100">
        <f>IF(AQ32="1",BH32,0)</f>
        <v>0</v>
      </c>
      <c r="AC32" s="100">
        <f>IF(AQ32="1",BI32,0)</f>
        <v>0</v>
      </c>
      <c r="AD32" s="100">
        <f>IF(AQ32="7",BH32,0)</f>
        <v>0</v>
      </c>
      <c r="AE32" s="100">
        <f>IF(AQ32="7",BI32,0)</f>
        <v>0</v>
      </c>
      <c r="AF32" s="100">
        <f>IF(AQ32="2",BH32,0)</f>
        <v>0</v>
      </c>
      <c r="AG32" s="100">
        <f>IF(AQ32="2",BI32,0)</f>
        <v>0</v>
      </c>
      <c r="AH32" s="100">
        <f>IF(AQ32="0",BJ32,0)</f>
        <v>0</v>
      </c>
      <c r="AI32" s="109"/>
      <c r="AJ32" s="108">
        <f>IF(AN32=0,K32,0)</f>
        <v>0</v>
      </c>
      <c r="AK32" s="108">
        <f>IF(AN32=15,K32,0)</f>
        <v>0</v>
      </c>
      <c r="AL32" s="108">
        <f>IF(AN32=21,K32,0)</f>
        <v>0</v>
      </c>
      <c r="AN32" s="100">
        <v>15</v>
      </c>
      <c r="AO32" s="100">
        <f>H32*0</f>
        <v>0</v>
      </c>
      <c r="AP32" s="100">
        <f>H32*(1-0)</f>
        <v>0</v>
      </c>
      <c r="AQ32" s="111" t="s">
        <v>7</v>
      </c>
      <c r="AV32" s="100">
        <f>AW32+AX32</f>
        <v>0</v>
      </c>
      <c r="AW32" s="100">
        <f>G32*AO32</f>
        <v>0</v>
      </c>
      <c r="AX32" s="100">
        <f>G32*AP32</f>
        <v>0</v>
      </c>
      <c r="AY32" s="110" t="s">
        <v>1685</v>
      </c>
      <c r="AZ32" s="110" t="s">
        <v>1724</v>
      </c>
      <c r="BA32" s="109" t="s">
        <v>1737</v>
      </c>
      <c r="BC32" s="100">
        <f>AW32+AX32</f>
        <v>0</v>
      </c>
      <c r="BD32" s="100">
        <f>H32/(100-BE32)*100</f>
        <v>0</v>
      </c>
      <c r="BE32" s="100">
        <v>0</v>
      </c>
      <c r="BF32" s="100">
        <f>32</f>
        <v>32</v>
      </c>
      <c r="BH32" s="108">
        <f>G32*AO32</f>
        <v>0</v>
      </c>
      <c r="BI32" s="108">
        <f>G32*AP32</f>
        <v>0</v>
      </c>
      <c r="BJ32" s="108">
        <f>G32*H32</f>
        <v>0</v>
      </c>
    </row>
    <row r="33" spans="1:62" x14ac:dyDescent="0.2">
      <c r="A33" s="117" t="s">
        <v>23</v>
      </c>
      <c r="B33" s="117" t="s">
        <v>586</v>
      </c>
      <c r="C33" s="304" t="s">
        <v>4154</v>
      </c>
      <c r="D33" s="305"/>
      <c r="E33" s="305"/>
      <c r="F33" s="117" t="s">
        <v>1647</v>
      </c>
      <c r="G33" s="116">
        <v>0.9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</f>
        <v>0</v>
      </c>
      <c r="AP33" s="100">
        <f>H33*(1-0)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1685</v>
      </c>
      <c r="AZ33" s="110" t="s">
        <v>1724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9"/>
      <c r="B34" s="120" t="s">
        <v>24</v>
      </c>
      <c r="C34" s="306" t="s">
        <v>1076</v>
      </c>
      <c r="D34" s="307"/>
      <c r="E34" s="307"/>
      <c r="F34" s="119" t="s">
        <v>6</v>
      </c>
      <c r="G34" s="119" t="s">
        <v>6</v>
      </c>
      <c r="H34" s="119" t="s">
        <v>6</v>
      </c>
      <c r="I34" s="118">
        <f>SUM(I35:I35)</f>
        <v>0</v>
      </c>
      <c r="J34" s="118">
        <f>SUM(J35:J35)</f>
        <v>0</v>
      </c>
      <c r="K34" s="118">
        <f>SUM(K35:K35)</f>
        <v>0</v>
      </c>
      <c r="L34" s="109"/>
      <c r="AI34" s="109"/>
      <c r="AS34" s="118">
        <f>SUM(AJ35:AJ35)</f>
        <v>0</v>
      </c>
      <c r="AT34" s="118">
        <f>SUM(AK35:AK35)</f>
        <v>0</v>
      </c>
      <c r="AU34" s="118">
        <f>SUM(AL35:AL35)</f>
        <v>0</v>
      </c>
    </row>
    <row r="35" spans="1:62" x14ac:dyDescent="0.2">
      <c r="A35" s="117" t="s">
        <v>24</v>
      </c>
      <c r="B35" s="117" t="s">
        <v>587</v>
      </c>
      <c r="C35" s="304" t="s">
        <v>1077</v>
      </c>
      <c r="D35" s="305"/>
      <c r="E35" s="305"/>
      <c r="F35" s="117" t="s">
        <v>1645</v>
      </c>
      <c r="G35" s="116">
        <v>138.232</v>
      </c>
      <c r="H35" s="159"/>
      <c r="I35" s="108">
        <f>G35*AO35</f>
        <v>0</v>
      </c>
      <c r="J35" s="108">
        <f>G35*AP35</f>
        <v>0</v>
      </c>
      <c r="K35" s="108">
        <f>G35*H35</f>
        <v>0</v>
      </c>
      <c r="L35" s="111" t="s">
        <v>1671</v>
      </c>
      <c r="Z35" s="100">
        <f>IF(AQ35="5",BJ35,0)</f>
        <v>0</v>
      </c>
      <c r="AB35" s="100">
        <f>IF(AQ35="1",BH35,0)</f>
        <v>0</v>
      </c>
      <c r="AC35" s="100">
        <f>IF(AQ35="1",BI35,0)</f>
        <v>0</v>
      </c>
      <c r="AD35" s="100">
        <f>IF(AQ35="7",BH35,0)</f>
        <v>0</v>
      </c>
      <c r="AE35" s="100">
        <f>IF(AQ35="7",BI35,0)</f>
        <v>0</v>
      </c>
      <c r="AF35" s="100">
        <f>IF(AQ35="2",BH35,0)</f>
        <v>0</v>
      </c>
      <c r="AG35" s="100">
        <f>IF(AQ35="2",BI35,0)</f>
        <v>0</v>
      </c>
      <c r="AH35" s="100">
        <f>IF(AQ35="0",BJ35,0)</f>
        <v>0</v>
      </c>
      <c r="AI35" s="109"/>
      <c r="AJ35" s="108">
        <f>IF(AN35=0,K35,0)</f>
        <v>0</v>
      </c>
      <c r="AK35" s="108">
        <f>IF(AN35=15,K35,0)</f>
        <v>0</v>
      </c>
      <c r="AL35" s="108">
        <f>IF(AN35=21,K35,0)</f>
        <v>0</v>
      </c>
      <c r="AN35" s="100">
        <v>15</v>
      </c>
      <c r="AO35" s="100">
        <f>H35*0</f>
        <v>0</v>
      </c>
      <c r="AP35" s="100">
        <f>H35*(1-0)</f>
        <v>0</v>
      </c>
      <c r="AQ35" s="111" t="s">
        <v>7</v>
      </c>
      <c r="AV35" s="100">
        <f>AW35+AX35</f>
        <v>0</v>
      </c>
      <c r="AW35" s="100">
        <f>G35*AO35</f>
        <v>0</v>
      </c>
      <c r="AX35" s="100">
        <f>G35*AP35</f>
        <v>0</v>
      </c>
      <c r="AY35" s="110" t="s">
        <v>1686</v>
      </c>
      <c r="AZ35" s="110" t="s">
        <v>1724</v>
      </c>
      <c r="BA35" s="109" t="s">
        <v>1737</v>
      </c>
      <c r="BC35" s="100">
        <f>AW35+AX35</f>
        <v>0</v>
      </c>
      <c r="BD35" s="100">
        <f>H35/(100-BE35)*100</f>
        <v>0</v>
      </c>
      <c r="BE35" s="100">
        <v>0</v>
      </c>
      <c r="BF35" s="100">
        <f>35</f>
        <v>35</v>
      </c>
      <c r="BH35" s="108">
        <f>G35*AO35</f>
        <v>0</v>
      </c>
      <c r="BI35" s="108">
        <f>G35*AP35</f>
        <v>0</v>
      </c>
      <c r="BJ35" s="108">
        <f>G35*H35</f>
        <v>0</v>
      </c>
    </row>
    <row r="36" spans="1:62" x14ac:dyDescent="0.2">
      <c r="A36" s="119"/>
      <c r="B36" s="120" t="s">
        <v>27</v>
      </c>
      <c r="C36" s="306" t="s">
        <v>1078</v>
      </c>
      <c r="D36" s="307"/>
      <c r="E36" s="307"/>
      <c r="F36" s="119" t="s">
        <v>6</v>
      </c>
      <c r="G36" s="119" t="s">
        <v>6</v>
      </c>
      <c r="H36" s="119" t="s">
        <v>6</v>
      </c>
      <c r="I36" s="118">
        <f>SUM(I37:I38)</f>
        <v>0</v>
      </c>
      <c r="J36" s="118">
        <f>SUM(J37:J38)</f>
        <v>0</v>
      </c>
      <c r="K36" s="118">
        <f>SUM(K37:K38)</f>
        <v>0</v>
      </c>
      <c r="L36" s="109"/>
      <c r="AI36" s="109"/>
      <c r="AS36" s="118">
        <f>SUM(AJ37:AJ38)</f>
        <v>0</v>
      </c>
      <c r="AT36" s="118">
        <f>SUM(AK37:AK38)</f>
        <v>0</v>
      </c>
      <c r="AU36" s="118">
        <f>SUM(AL37:AL38)</f>
        <v>0</v>
      </c>
    </row>
    <row r="37" spans="1:62" x14ac:dyDescent="0.2">
      <c r="A37" s="117" t="s">
        <v>25</v>
      </c>
      <c r="B37" s="117" t="s">
        <v>588</v>
      </c>
      <c r="C37" s="304" t="s">
        <v>1079</v>
      </c>
      <c r="D37" s="305"/>
      <c r="E37" s="305"/>
      <c r="F37" s="117" t="s">
        <v>1646</v>
      </c>
      <c r="G37" s="116">
        <v>88.965000000000003</v>
      </c>
      <c r="H37" s="159"/>
      <c r="I37" s="108">
        <f>G37*AO37</f>
        <v>0</v>
      </c>
      <c r="J37" s="108">
        <f>G37*AP37</f>
        <v>0</v>
      </c>
      <c r="K37" s="108">
        <f>G37*H37</f>
        <v>0</v>
      </c>
      <c r="L37" s="111" t="s">
        <v>1671</v>
      </c>
      <c r="Z37" s="100">
        <f>IF(AQ37="5",BJ37,0)</f>
        <v>0</v>
      </c>
      <c r="AB37" s="100">
        <f>IF(AQ37="1",BH37,0)</f>
        <v>0</v>
      </c>
      <c r="AC37" s="100">
        <f>IF(AQ37="1",BI37,0)</f>
        <v>0</v>
      </c>
      <c r="AD37" s="100">
        <f>IF(AQ37="7",BH37,0)</f>
        <v>0</v>
      </c>
      <c r="AE37" s="100">
        <f>IF(AQ37="7",BI37,0)</f>
        <v>0</v>
      </c>
      <c r="AF37" s="100">
        <f>IF(AQ37="2",BH37,0)</f>
        <v>0</v>
      </c>
      <c r="AG37" s="100">
        <f>IF(AQ37="2",BI37,0)</f>
        <v>0</v>
      </c>
      <c r="AH37" s="100">
        <f>IF(AQ37="0",BJ37,0)</f>
        <v>0</v>
      </c>
      <c r="AI37" s="109"/>
      <c r="AJ37" s="108">
        <f>IF(AN37=0,K37,0)</f>
        <v>0</v>
      </c>
      <c r="AK37" s="108">
        <f>IF(AN37=15,K37,0)</f>
        <v>0</v>
      </c>
      <c r="AL37" s="108">
        <f>IF(AN37=21,K37,0)</f>
        <v>0</v>
      </c>
      <c r="AN37" s="100">
        <v>15</v>
      </c>
      <c r="AO37" s="100">
        <f>H37*0.568420716354618</f>
        <v>0</v>
      </c>
      <c r="AP37" s="100">
        <f>H37*(1-0.568420716354618)</f>
        <v>0</v>
      </c>
      <c r="AQ37" s="111" t="s">
        <v>7</v>
      </c>
      <c r="AV37" s="100">
        <f>AW37+AX37</f>
        <v>0</v>
      </c>
      <c r="AW37" s="100">
        <f>G37*AO37</f>
        <v>0</v>
      </c>
      <c r="AX37" s="100">
        <f>G37*AP37</f>
        <v>0</v>
      </c>
      <c r="AY37" s="110" t="s">
        <v>1687</v>
      </c>
      <c r="AZ37" s="110" t="s">
        <v>1725</v>
      </c>
      <c r="BA37" s="109" t="s">
        <v>1737</v>
      </c>
      <c r="BC37" s="100">
        <f>AW37+AX37</f>
        <v>0</v>
      </c>
      <c r="BD37" s="100">
        <f>H37/(100-BE37)*100</f>
        <v>0</v>
      </c>
      <c r="BE37" s="100">
        <v>0</v>
      </c>
      <c r="BF37" s="100">
        <f>37</f>
        <v>37</v>
      </c>
      <c r="BH37" s="108">
        <f>G37*AO37</f>
        <v>0</v>
      </c>
      <c r="BI37" s="108">
        <f>G37*AP37</f>
        <v>0</v>
      </c>
      <c r="BJ37" s="108">
        <f>G37*H37</f>
        <v>0</v>
      </c>
    </row>
    <row r="38" spans="1:62" x14ac:dyDescent="0.2">
      <c r="A38" s="117" t="s">
        <v>26</v>
      </c>
      <c r="B38" s="117" t="s">
        <v>589</v>
      </c>
      <c r="C38" s="304" t="s">
        <v>1080</v>
      </c>
      <c r="D38" s="305"/>
      <c r="E38" s="305"/>
      <c r="F38" s="117" t="s">
        <v>1646</v>
      </c>
      <c r="G38" s="116">
        <v>88.965000000000003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H38*0.677510009576438</f>
        <v>0</v>
      </c>
      <c r="AP38" s="100">
        <f>H38*(1-0.677510009576438)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1687</v>
      </c>
      <c r="AZ38" s="110" t="s">
        <v>1725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9"/>
      <c r="B39" s="120" t="s">
        <v>33</v>
      </c>
      <c r="C39" s="306" t="s">
        <v>1081</v>
      </c>
      <c r="D39" s="307"/>
      <c r="E39" s="307"/>
      <c r="F39" s="119" t="s">
        <v>6</v>
      </c>
      <c r="G39" s="119" t="s">
        <v>6</v>
      </c>
      <c r="H39" s="119" t="s">
        <v>6</v>
      </c>
      <c r="I39" s="118">
        <f>SUM(I40:I40)</f>
        <v>0</v>
      </c>
      <c r="J39" s="118">
        <f>SUM(J40:J40)</f>
        <v>0</v>
      </c>
      <c r="K39" s="118">
        <f>SUM(K40:K40)</f>
        <v>0</v>
      </c>
      <c r="L39" s="109"/>
      <c r="AI39" s="109"/>
      <c r="AS39" s="118">
        <f>SUM(AJ40:AJ40)</f>
        <v>0</v>
      </c>
      <c r="AT39" s="118">
        <f>SUM(AK40:AK40)</f>
        <v>0</v>
      </c>
      <c r="AU39" s="118">
        <f>SUM(AL40:AL40)</f>
        <v>0</v>
      </c>
    </row>
    <row r="40" spans="1:62" x14ac:dyDescent="0.2">
      <c r="A40" s="117" t="s">
        <v>27</v>
      </c>
      <c r="B40" s="117" t="s">
        <v>591</v>
      </c>
      <c r="C40" s="304" t="s">
        <v>1083</v>
      </c>
      <c r="D40" s="305"/>
      <c r="E40" s="305"/>
      <c r="F40" s="117" t="s">
        <v>1647</v>
      </c>
      <c r="G40" s="116">
        <v>0.12</v>
      </c>
      <c r="H40" s="159"/>
      <c r="I40" s="108">
        <f>G40*AO40</f>
        <v>0</v>
      </c>
      <c r="J40" s="108">
        <f>G40*AP40</f>
        <v>0</v>
      </c>
      <c r="K40" s="108">
        <f>G40*H40</f>
        <v>0</v>
      </c>
      <c r="L40" s="111" t="s">
        <v>1671</v>
      </c>
      <c r="Z40" s="100">
        <f>IF(AQ40="5",BJ40,0)</f>
        <v>0</v>
      </c>
      <c r="AB40" s="100">
        <f>IF(AQ40="1",BH40,0)</f>
        <v>0</v>
      </c>
      <c r="AC40" s="100">
        <f>IF(AQ40="1",BI40,0)</f>
        <v>0</v>
      </c>
      <c r="AD40" s="100">
        <f>IF(AQ40="7",BH40,0)</f>
        <v>0</v>
      </c>
      <c r="AE40" s="100">
        <f>IF(AQ40="7",BI40,0)</f>
        <v>0</v>
      </c>
      <c r="AF40" s="100">
        <f>IF(AQ40="2",BH40,0)</f>
        <v>0</v>
      </c>
      <c r="AG40" s="100">
        <f>IF(AQ40="2",BI40,0)</f>
        <v>0</v>
      </c>
      <c r="AH40" s="100">
        <f>IF(AQ40="0",BJ40,0)</f>
        <v>0</v>
      </c>
      <c r="AI40" s="109"/>
      <c r="AJ40" s="108">
        <f>IF(AN40=0,K40,0)</f>
        <v>0</v>
      </c>
      <c r="AK40" s="108">
        <f>IF(AN40=15,K40,0)</f>
        <v>0</v>
      </c>
      <c r="AL40" s="108">
        <f>IF(AN40=21,K40,0)</f>
        <v>0</v>
      </c>
      <c r="AN40" s="100">
        <v>15</v>
      </c>
      <c r="AO40" s="100">
        <f>H40*0.658319082377476</f>
        <v>0</v>
      </c>
      <c r="AP40" s="100">
        <f>H40*(1-0.658319082377476)</f>
        <v>0</v>
      </c>
      <c r="AQ40" s="111" t="s">
        <v>7</v>
      </c>
      <c r="AV40" s="100">
        <f>AW40+AX40</f>
        <v>0</v>
      </c>
      <c r="AW40" s="100">
        <f>G40*AO40</f>
        <v>0</v>
      </c>
      <c r="AX40" s="100">
        <f>G40*AP40</f>
        <v>0</v>
      </c>
      <c r="AY40" s="110" t="s">
        <v>1688</v>
      </c>
      <c r="AZ40" s="110" t="s">
        <v>1725</v>
      </c>
      <c r="BA40" s="109" t="s">
        <v>1737</v>
      </c>
      <c r="BC40" s="100">
        <f>AW40+AX40</f>
        <v>0</v>
      </c>
      <c r="BD40" s="100">
        <f>H40/(100-BE40)*100</f>
        <v>0</v>
      </c>
      <c r="BE40" s="100">
        <v>0</v>
      </c>
      <c r="BF40" s="100">
        <f>40</f>
        <v>40</v>
      </c>
      <c r="BH40" s="108">
        <f>G40*AO40</f>
        <v>0</v>
      </c>
      <c r="BI40" s="108">
        <f>G40*AP40</f>
        <v>0</v>
      </c>
      <c r="BJ40" s="108">
        <f>G40*H40</f>
        <v>0</v>
      </c>
    </row>
    <row r="41" spans="1:62" x14ac:dyDescent="0.2">
      <c r="A41" s="119"/>
      <c r="B41" s="120" t="s">
        <v>37</v>
      </c>
      <c r="C41" s="306" t="s">
        <v>1084</v>
      </c>
      <c r="D41" s="307"/>
      <c r="E41" s="307"/>
      <c r="F41" s="119" t="s">
        <v>6</v>
      </c>
      <c r="G41" s="119" t="s">
        <v>6</v>
      </c>
      <c r="H41" s="119" t="s">
        <v>6</v>
      </c>
      <c r="I41" s="118">
        <f>SUM(I42:I44)</f>
        <v>0</v>
      </c>
      <c r="J41" s="118">
        <f>SUM(J42:J44)</f>
        <v>0</v>
      </c>
      <c r="K41" s="118">
        <f>SUM(K42:K44)</f>
        <v>0</v>
      </c>
      <c r="L41" s="109"/>
      <c r="AI41" s="109"/>
      <c r="AS41" s="118">
        <f>SUM(AJ42:AJ44)</f>
        <v>0</v>
      </c>
      <c r="AT41" s="118">
        <f>SUM(AK42:AK44)</f>
        <v>0</v>
      </c>
      <c r="AU41" s="118">
        <f>SUM(AL42:AL44)</f>
        <v>0</v>
      </c>
    </row>
    <row r="42" spans="1:62" x14ac:dyDescent="0.2">
      <c r="A42" s="117" t="s">
        <v>28</v>
      </c>
      <c r="B42" s="117" t="s">
        <v>2157</v>
      </c>
      <c r="C42" s="304" t="s">
        <v>2156</v>
      </c>
      <c r="D42" s="305"/>
      <c r="E42" s="305"/>
      <c r="F42" s="117" t="s">
        <v>1645</v>
      </c>
      <c r="G42" s="116">
        <v>7.95</v>
      </c>
      <c r="H42" s="159"/>
      <c r="I42" s="108">
        <f>G42*AO42</f>
        <v>0</v>
      </c>
      <c r="J42" s="108">
        <f>G42*AP42</f>
        <v>0</v>
      </c>
      <c r="K42" s="108">
        <f>G42*H42</f>
        <v>0</v>
      </c>
      <c r="L42" s="111" t="s">
        <v>1671</v>
      </c>
      <c r="Z42" s="100">
        <f>IF(AQ42="5",BJ42,0)</f>
        <v>0</v>
      </c>
      <c r="AB42" s="100">
        <f>IF(AQ42="1",BH42,0)</f>
        <v>0</v>
      </c>
      <c r="AC42" s="100">
        <f>IF(AQ42="1",BI42,0)</f>
        <v>0</v>
      </c>
      <c r="AD42" s="100">
        <f>IF(AQ42="7",BH42,0)</f>
        <v>0</v>
      </c>
      <c r="AE42" s="100">
        <f>IF(AQ42="7",BI42,0)</f>
        <v>0</v>
      </c>
      <c r="AF42" s="100">
        <f>IF(AQ42="2",BH42,0)</f>
        <v>0</v>
      </c>
      <c r="AG42" s="100">
        <f>IF(AQ42="2",BI42,0)</f>
        <v>0</v>
      </c>
      <c r="AH42" s="100">
        <f>IF(AQ42="0",BJ42,0)</f>
        <v>0</v>
      </c>
      <c r="AI42" s="109"/>
      <c r="AJ42" s="108">
        <f>IF(AN42=0,K42,0)</f>
        <v>0</v>
      </c>
      <c r="AK42" s="108">
        <f>IF(AN42=15,K42,0)</f>
        <v>0</v>
      </c>
      <c r="AL42" s="108">
        <f>IF(AN42=21,K42,0)</f>
        <v>0</v>
      </c>
      <c r="AN42" s="100">
        <v>15</v>
      </c>
      <c r="AO42" s="100">
        <f>H42*0.63564347826087</f>
        <v>0</v>
      </c>
      <c r="AP42" s="100">
        <f>H42*(1-0.63564347826087)</f>
        <v>0</v>
      </c>
      <c r="AQ42" s="111" t="s">
        <v>7</v>
      </c>
      <c r="AV42" s="100">
        <f>AW42+AX42</f>
        <v>0</v>
      </c>
      <c r="AW42" s="100">
        <f>G42*AO42</f>
        <v>0</v>
      </c>
      <c r="AX42" s="100">
        <f>G42*AP42</f>
        <v>0</v>
      </c>
      <c r="AY42" s="110" t="s">
        <v>1689</v>
      </c>
      <c r="AZ42" s="110" t="s">
        <v>1726</v>
      </c>
      <c r="BA42" s="109" t="s">
        <v>1737</v>
      </c>
      <c r="BC42" s="100">
        <f>AW42+AX42</f>
        <v>0</v>
      </c>
      <c r="BD42" s="100">
        <f>H42/(100-BE42)*100</f>
        <v>0</v>
      </c>
      <c r="BE42" s="100">
        <v>0</v>
      </c>
      <c r="BF42" s="100">
        <f>42</f>
        <v>42</v>
      </c>
      <c r="BH42" s="108">
        <f>G42*AO42</f>
        <v>0</v>
      </c>
      <c r="BI42" s="108">
        <f>G42*AP42</f>
        <v>0</v>
      </c>
      <c r="BJ42" s="108">
        <f>G42*H42</f>
        <v>0</v>
      </c>
    </row>
    <row r="43" spans="1:62" x14ac:dyDescent="0.2">
      <c r="A43" s="117" t="s">
        <v>29</v>
      </c>
      <c r="B43" s="117" t="s">
        <v>594</v>
      </c>
      <c r="C43" s="304" t="s">
        <v>1088</v>
      </c>
      <c r="D43" s="305"/>
      <c r="E43" s="305"/>
      <c r="F43" s="117" t="s">
        <v>1648</v>
      </c>
      <c r="G43" s="116">
        <v>4.2999999999999997E-2</v>
      </c>
      <c r="H43" s="159"/>
      <c r="I43" s="108">
        <f>G43*AO43</f>
        <v>0</v>
      </c>
      <c r="J43" s="108">
        <f>G43*AP43</f>
        <v>0</v>
      </c>
      <c r="K43" s="108">
        <f>G43*H43</f>
        <v>0</v>
      </c>
      <c r="L43" s="111" t="s">
        <v>1671</v>
      </c>
      <c r="Z43" s="100">
        <f>IF(AQ43="5",BJ43,0)</f>
        <v>0</v>
      </c>
      <c r="AB43" s="100">
        <f>IF(AQ43="1",BH43,0)</f>
        <v>0</v>
      </c>
      <c r="AC43" s="100">
        <f>IF(AQ43="1",BI43,0)</f>
        <v>0</v>
      </c>
      <c r="AD43" s="100">
        <f>IF(AQ43="7",BH43,0)</f>
        <v>0</v>
      </c>
      <c r="AE43" s="100">
        <f>IF(AQ43="7",BI43,0)</f>
        <v>0</v>
      </c>
      <c r="AF43" s="100">
        <f>IF(AQ43="2",BH43,0)</f>
        <v>0</v>
      </c>
      <c r="AG43" s="100">
        <f>IF(AQ43="2",BI43,0)</f>
        <v>0</v>
      </c>
      <c r="AH43" s="100">
        <f>IF(AQ43="0",BJ43,0)</f>
        <v>0</v>
      </c>
      <c r="AI43" s="109"/>
      <c r="AJ43" s="108">
        <f>IF(AN43=0,K43,0)</f>
        <v>0</v>
      </c>
      <c r="AK43" s="108">
        <f>IF(AN43=15,K43,0)</f>
        <v>0</v>
      </c>
      <c r="AL43" s="108">
        <f>IF(AN43=21,K43,0)</f>
        <v>0</v>
      </c>
      <c r="AN43" s="100">
        <v>15</v>
      </c>
      <c r="AO43" s="100">
        <f>H43*0.782234965034965</f>
        <v>0</v>
      </c>
      <c r="AP43" s="100">
        <f>H43*(1-0.782234965034965)</f>
        <v>0</v>
      </c>
      <c r="AQ43" s="111" t="s">
        <v>7</v>
      </c>
      <c r="AV43" s="100">
        <f>AW43+AX43</f>
        <v>0</v>
      </c>
      <c r="AW43" s="100">
        <f>G43*AO43</f>
        <v>0</v>
      </c>
      <c r="AX43" s="100">
        <f>G43*AP43</f>
        <v>0</v>
      </c>
      <c r="AY43" s="110" t="s">
        <v>1689</v>
      </c>
      <c r="AZ43" s="110" t="s">
        <v>1726</v>
      </c>
      <c r="BA43" s="109" t="s">
        <v>1737</v>
      </c>
      <c r="BC43" s="100">
        <f>AW43+AX43</f>
        <v>0</v>
      </c>
      <c r="BD43" s="100">
        <f>H43/(100-BE43)*100</f>
        <v>0</v>
      </c>
      <c r="BE43" s="100">
        <v>0</v>
      </c>
      <c r="BF43" s="100">
        <f>43</f>
        <v>43</v>
      </c>
      <c r="BH43" s="108">
        <f>G43*AO43</f>
        <v>0</v>
      </c>
      <c r="BI43" s="108">
        <f>G43*AP43</f>
        <v>0</v>
      </c>
      <c r="BJ43" s="108">
        <f>G43*H43</f>
        <v>0</v>
      </c>
    </row>
    <row r="44" spans="1:62" x14ac:dyDescent="0.2">
      <c r="A44" s="117" t="s">
        <v>30</v>
      </c>
      <c r="B44" s="117" t="s">
        <v>595</v>
      </c>
      <c r="C44" s="304" t="s">
        <v>1089</v>
      </c>
      <c r="D44" s="305"/>
      <c r="E44" s="305"/>
      <c r="F44" s="117" t="s">
        <v>1646</v>
      </c>
      <c r="G44" s="116">
        <v>100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H44*0.318303571428571</f>
        <v>0</v>
      </c>
      <c r="AP44" s="100">
        <f>H44*(1-0.318303571428571)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1689</v>
      </c>
      <c r="AZ44" s="110" t="s">
        <v>1726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9"/>
      <c r="B45" s="120" t="s">
        <v>62</v>
      </c>
      <c r="C45" s="306" t="s">
        <v>1090</v>
      </c>
      <c r="D45" s="307"/>
      <c r="E45" s="307"/>
      <c r="F45" s="119" t="s">
        <v>6</v>
      </c>
      <c r="G45" s="119" t="s">
        <v>6</v>
      </c>
      <c r="H45" s="119" t="s">
        <v>6</v>
      </c>
      <c r="I45" s="118">
        <f>SUM(I46:I48)</f>
        <v>0</v>
      </c>
      <c r="J45" s="118">
        <f>SUM(J46:J48)</f>
        <v>0</v>
      </c>
      <c r="K45" s="118">
        <f>SUM(K46:K48)</f>
        <v>0</v>
      </c>
      <c r="L45" s="109"/>
      <c r="AI45" s="109"/>
      <c r="AS45" s="118">
        <f>SUM(AJ46:AJ48)</f>
        <v>0</v>
      </c>
      <c r="AT45" s="118">
        <f>SUM(AK46:AK48)</f>
        <v>0</v>
      </c>
      <c r="AU45" s="118">
        <f>SUM(AL46:AL48)</f>
        <v>0</v>
      </c>
    </row>
    <row r="46" spans="1:62" x14ac:dyDescent="0.2">
      <c r="A46" s="117" t="s">
        <v>31</v>
      </c>
      <c r="B46" s="117" t="s">
        <v>596</v>
      </c>
      <c r="C46" s="304" t="s">
        <v>1091</v>
      </c>
      <c r="D46" s="305"/>
      <c r="E46" s="305"/>
      <c r="F46" s="117" t="s">
        <v>1645</v>
      </c>
      <c r="G46" s="116">
        <v>45.155000000000001</v>
      </c>
      <c r="H46" s="159"/>
      <c r="I46" s="108">
        <f>G46*AO46</f>
        <v>0</v>
      </c>
      <c r="J46" s="108">
        <f>G46*AP46</f>
        <v>0</v>
      </c>
      <c r="K46" s="108">
        <f>G46*H46</f>
        <v>0</v>
      </c>
      <c r="L46" s="111" t="s">
        <v>1671</v>
      </c>
      <c r="Z46" s="100">
        <f>IF(AQ46="5",BJ46,0)</f>
        <v>0</v>
      </c>
      <c r="AB46" s="100">
        <f>IF(AQ46="1",BH46,0)</f>
        <v>0</v>
      </c>
      <c r="AC46" s="100">
        <f>IF(AQ46="1",BI46,0)</f>
        <v>0</v>
      </c>
      <c r="AD46" s="100">
        <f>IF(AQ46="7",BH46,0)</f>
        <v>0</v>
      </c>
      <c r="AE46" s="100">
        <f>IF(AQ46="7",BI46,0)</f>
        <v>0</v>
      </c>
      <c r="AF46" s="100">
        <f>IF(AQ46="2",BH46,0)</f>
        <v>0</v>
      </c>
      <c r="AG46" s="100">
        <f>IF(AQ46="2",BI46,0)</f>
        <v>0</v>
      </c>
      <c r="AH46" s="100">
        <f>IF(AQ46="0",BJ46,0)</f>
        <v>0</v>
      </c>
      <c r="AI46" s="109"/>
      <c r="AJ46" s="108">
        <f>IF(AN46=0,K46,0)</f>
        <v>0</v>
      </c>
      <c r="AK46" s="108">
        <f>IF(AN46=15,K46,0)</f>
        <v>0</v>
      </c>
      <c r="AL46" s="108">
        <f>IF(AN46=21,K46,0)</f>
        <v>0</v>
      </c>
      <c r="AN46" s="100">
        <v>15</v>
      </c>
      <c r="AO46" s="100">
        <f>H46*0.863567007070096</f>
        <v>0</v>
      </c>
      <c r="AP46" s="100">
        <f>H46*(1-0.863567007070096)</f>
        <v>0</v>
      </c>
      <c r="AQ46" s="111" t="s">
        <v>7</v>
      </c>
      <c r="AV46" s="100">
        <f>AW46+AX46</f>
        <v>0</v>
      </c>
      <c r="AW46" s="100">
        <f>G46*AO46</f>
        <v>0</v>
      </c>
      <c r="AX46" s="100">
        <f>G46*AP46</f>
        <v>0</v>
      </c>
      <c r="AY46" s="110" t="s">
        <v>1690</v>
      </c>
      <c r="AZ46" s="110" t="s">
        <v>1727</v>
      </c>
      <c r="BA46" s="109" t="s">
        <v>1737</v>
      </c>
      <c r="BC46" s="100">
        <f>AW46+AX46</f>
        <v>0</v>
      </c>
      <c r="BD46" s="100">
        <f>H46/(100-BE46)*100</f>
        <v>0</v>
      </c>
      <c r="BE46" s="100">
        <v>0</v>
      </c>
      <c r="BF46" s="100">
        <f>46</f>
        <v>46</v>
      </c>
      <c r="BH46" s="108">
        <f>G46*AO46</f>
        <v>0</v>
      </c>
      <c r="BI46" s="108">
        <f>G46*AP46</f>
        <v>0</v>
      </c>
      <c r="BJ46" s="108">
        <f>G46*H46</f>
        <v>0</v>
      </c>
    </row>
    <row r="47" spans="1:62" x14ac:dyDescent="0.2">
      <c r="A47" s="117" t="s">
        <v>32</v>
      </c>
      <c r="B47" s="117" t="s">
        <v>597</v>
      </c>
      <c r="C47" s="304" t="s">
        <v>1092</v>
      </c>
      <c r="D47" s="305"/>
      <c r="E47" s="305"/>
      <c r="F47" s="117" t="s">
        <v>1645</v>
      </c>
      <c r="G47" s="116">
        <v>45.155000000000001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H47*0.764047632995725</f>
        <v>0</v>
      </c>
      <c r="AP47" s="100">
        <f>H47*(1-0.764047632995725)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1690</v>
      </c>
      <c r="AZ47" s="110" t="s">
        <v>1727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7" t="s">
        <v>33</v>
      </c>
      <c r="B48" s="117" t="s">
        <v>598</v>
      </c>
      <c r="C48" s="304" t="s">
        <v>1093</v>
      </c>
      <c r="D48" s="305"/>
      <c r="E48" s="305"/>
      <c r="F48" s="117" t="s">
        <v>1645</v>
      </c>
      <c r="G48" s="116">
        <v>45.155000000000001</v>
      </c>
      <c r="H48" s="159"/>
      <c r="I48" s="108">
        <f>G48*AO48</f>
        <v>0</v>
      </c>
      <c r="J48" s="108">
        <f>G48*AP48</f>
        <v>0</v>
      </c>
      <c r="K48" s="108">
        <f>G48*H48</f>
        <v>0</v>
      </c>
      <c r="L48" s="111" t="s">
        <v>1671</v>
      </c>
      <c r="Z48" s="100">
        <f>IF(AQ48="5",BJ48,0)</f>
        <v>0</v>
      </c>
      <c r="AB48" s="100">
        <f>IF(AQ48="1",BH48,0)</f>
        <v>0</v>
      </c>
      <c r="AC48" s="100">
        <f>IF(AQ48="1",BI48,0)</f>
        <v>0</v>
      </c>
      <c r="AD48" s="100">
        <f>IF(AQ48="7",BH48,0)</f>
        <v>0</v>
      </c>
      <c r="AE48" s="100">
        <f>IF(AQ48="7",BI48,0)</f>
        <v>0</v>
      </c>
      <c r="AF48" s="100">
        <f>IF(AQ48="2",BH48,0)</f>
        <v>0</v>
      </c>
      <c r="AG48" s="100">
        <f>IF(AQ48="2",BI48,0)</f>
        <v>0</v>
      </c>
      <c r="AH48" s="100">
        <f>IF(AQ48="0",BJ48,0)</f>
        <v>0</v>
      </c>
      <c r="AI48" s="109"/>
      <c r="AJ48" s="108">
        <f>IF(AN48=0,K48,0)</f>
        <v>0</v>
      </c>
      <c r="AK48" s="108">
        <f>IF(AN48=15,K48,0)</f>
        <v>0</v>
      </c>
      <c r="AL48" s="108">
        <f>IF(AN48=21,K48,0)</f>
        <v>0</v>
      </c>
      <c r="AN48" s="100">
        <v>15</v>
      </c>
      <c r="AO48" s="100">
        <f>H48*0</f>
        <v>0</v>
      </c>
      <c r="AP48" s="100">
        <f>H48*(1-0)</f>
        <v>0</v>
      </c>
      <c r="AQ48" s="111" t="s">
        <v>7</v>
      </c>
      <c r="AV48" s="100">
        <f>AW48+AX48</f>
        <v>0</v>
      </c>
      <c r="AW48" s="100">
        <f>G48*AO48</f>
        <v>0</v>
      </c>
      <c r="AX48" s="100">
        <f>G48*AP48</f>
        <v>0</v>
      </c>
      <c r="AY48" s="110" t="s">
        <v>1690</v>
      </c>
      <c r="AZ48" s="110" t="s">
        <v>1727</v>
      </c>
      <c r="BA48" s="109" t="s">
        <v>1737</v>
      </c>
      <c r="BC48" s="100">
        <f>AW48+AX48</f>
        <v>0</v>
      </c>
      <c r="BD48" s="100">
        <f>H48/(100-BE48)*100</f>
        <v>0</v>
      </c>
      <c r="BE48" s="100">
        <v>0</v>
      </c>
      <c r="BF48" s="100">
        <f>48</f>
        <v>48</v>
      </c>
      <c r="BH48" s="108">
        <f>G48*AO48</f>
        <v>0</v>
      </c>
      <c r="BI48" s="108">
        <f>G48*AP48</f>
        <v>0</v>
      </c>
      <c r="BJ48" s="108">
        <f>G48*H48</f>
        <v>0</v>
      </c>
    </row>
    <row r="49" spans="1:62" x14ac:dyDescent="0.2">
      <c r="A49" s="119"/>
      <c r="B49" s="120" t="s">
        <v>65</v>
      </c>
      <c r="C49" s="306" t="s">
        <v>1094</v>
      </c>
      <c r="D49" s="307"/>
      <c r="E49" s="307"/>
      <c r="F49" s="119" t="s">
        <v>6</v>
      </c>
      <c r="G49" s="119" t="s">
        <v>6</v>
      </c>
      <c r="H49" s="119" t="s">
        <v>6</v>
      </c>
      <c r="I49" s="118">
        <f>SUM(I50:I52)</f>
        <v>0</v>
      </c>
      <c r="J49" s="118">
        <f>SUM(J50:J52)</f>
        <v>0</v>
      </c>
      <c r="K49" s="118">
        <f>SUM(K50:K52)</f>
        <v>0</v>
      </c>
      <c r="L49" s="109"/>
      <c r="AI49" s="109"/>
      <c r="AS49" s="118">
        <f>SUM(AJ50:AJ52)</f>
        <v>0</v>
      </c>
      <c r="AT49" s="118">
        <f>SUM(AK50:AK52)</f>
        <v>0</v>
      </c>
      <c r="AU49" s="118">
        <f>SUM(AL50:AL52)</f>
        <v>0</v>
      </c>
    </row>
    <row r="50" spans="1:62" x14ac:dyDescent="0.2">
      <c r="A50" s="117" t="s">
        <v>34</v>
      </c>
      <c r="B50" s="117" t="s">
        <v>599</v>
      </c>
      <c r="C50" s="304" t="s">
        <v>1095</v>
      </c>
      <c r="D50" s="305"/>
      <c r="E50" s="305"/>
      <c r="F50" s="117" t="s">
        <v>1645</v>
      </c>
      <c r="G50" s="116">
        <v>22.27</v>
      </c>
      <c r="H50" s="159"/>
      <c r="I50" s="108">
        <f>G50*AO50</f>
        <v>0</v>
      </c>
      <c r="J50" s="108">
        <f>G50*AP50</f>
        <v>0</v>
      </c>
      <c r="K50" s="108">
        <f>G50*H50</f>
        <v>0</v>
      </c>
      <c r="L50" s="111" t="s">
        <v>1671</v>
      </c>
      <c r="Z50" s="100">
        <f>IF(AQ50="5",BJ50,0)</f>
        <v>0</v>
      </c>
      <c r="AB50" s="100">
        <f>IF(AQ50="1",BH50,0)</f>
        <v>0</v>
      </c>
      <c r="AC50" s="100">
        <f>IF(AQ50="1",BI50,0)</f>
        <v>0</v>
      </c>
      <c r="AD50" s="100">
        <f>IF(AQ50="7",BH50,0)</f>
        <v>0</v>
      </c>
      <c r="AE50" s="100">
        <f>IF(AQ50="7",BI50,0)</f>
        <v>0</v>
      </c>
      <c r="AF50" s="100">
        <f>IF(AQ50="2",BH50,0)</f>
        <v>0</v>
      </c>
      <c r="AG50" s="100">
        <f>IF(AQ50="2",BI50,0)</f>
        <v>0</v>
      </c>
      <c r="AH50" s="100">
        <f>IF(AQ50="0",BJ50,0)</f>
        <v>0</v>
      </c>
      <c r="AI50" s="109"/>
      <c r="AJ50" s="108">
        <f>IF(AN50=0,K50,0)</f>
        <v>0</v>
      </c>
      <c r="AK50" s="108">
        <f>IF(AN50=15,K50,0)</f>
        <v>0</v>
      </c>
      <c r="AL50" s="108">
        <f>IF(AN50=21,K50,0)</f>
        <v>0</v>
      </c>
      <c r="AN50" s="100">
        <v>15</v>
      </c>
      <c r="AO50" s="100">
        <f>H50*0.51</f>
        <v>0</v>
      </c>
      <c r="AP50" s="100">
        <f>H50*(1-0.51)</f>
        <v>0</v>
      </c>
      <c r="AQ50" s="111" t="s">
        <v>7</v>
      </c>
      <c r="AV50" s="100">
        <f>AW50+AX50</f>
        <v>0</v>
      </c>
      <c r="AW50" s="100">
        <f>G50*AO50</f>
        <v>0</v>
      </c>
      <c r="AX50" s="100">
        <f>G50*AP50</f>
        <v>0</v>
      </c>
      <c r="AY50" s="110" t="s">
        <v>1691</v>
      </c>
      <c r="AZ50" s="110" t="s">
        <v>1727</v>
      </c>
      <c r="BA50" s="109" t="s">
        <v>1737</v>
      </c>
      <c r="BC50" s="100">
        <f>AW50+AX50</f>
        <v>0</v>
      </c>
      <c r="BD50" s="100">
        <f>H50/(100-BE50)*100</f>
        <v>0</v>
      </c>
      <c r="BE50" s="100">
        <v>0</v>
      </c>
      <c r="BF50" s="100">
        <f>50</f>
        <v>50</v>
      </c>
      <c r="BH50" s="108">
        <f>G50*AO50</f>
        <v>0</v>
      </c>
      <c r="BI50" s="108">
        <f>G50*AP50</f>
        <v>0</v>
      </c>
      <c r="BJ50" s="108">
        <f>G50*H50</f>
        <v>0</v>
      </c>
    </row>
    <row r="51" spans="1:62" x14ac:dyDescent="0.2">
      <c r="A51" s="117" t="s">
        <v>35</v>
      </c>
      <c r="B51" s="117" t="s">
        <v>2865</v>
      </c>
      <c r="C51" s="304" t="s">
        <v>2864</v>
      </c>
      <c r="D51" s="305"/>
      <c r="E51" s="305"/>
      <c r="F51" s="117" t="s">
        <v>1645</v>
      </c>
      <c r="G51" s="116">
        <v>26.632999999999999</v>
      </c>
      <c r="H51" s="159"/>
      <c r="I51" s="108">
        <f>G51*AO51</f>
        <v>0</v>
      </c>
      <c r="J51" s="108">
        <f>G51*AP51</f>
        <v>0</v>
      </c>
      <c r="K51" s="108">
        <f>G51*H51</f>
        <v>0</v>
      </c>
      <c r="L51" s="111" t="s">
        <v>1671</v>
      </c>
      <c r="Z51" s="100">
        <f>IF(AQ51="5",BJ51,0)</f>
        <v>0</v>
      </c>
      <c r="AB51" s="100">
        <f>IF(AQ51="1",BH51,0)</f>
        <v>0</v>
      </c>
      <c r="AC51" s="100">
        <f>IF(AQ51="1",BI51,0)</f>
        <v>0</v>
      </c>
      <c r="AD51" s="100">
        <f>IF(AQ51="7",BH51,0)</f>
        <v>0</v>
      </c>
      <c r="AE51" s="100">
        <f>IF(AQ51="7",BI51,0)</f>
        <v>0</v>
      </c>
      <c r="AF51" s="100">
        <f>IF(AQ51="2",BH51,0)</f>
        <v>0</v>
      </c>
      <c r="AG51" s="100">
        <f>IF(AQ51="2",BI51,0)</f>
        <v>0</v>
      </c>
      <c r="AH51" s="100">
        <f>IF(AQ51="0",BJ51,0)</f>
        <v>0</v>
      </c>
      <c r="AI51" s="109"/>
      <c r="AJ51" s="108">
        <f>IF(AN51=0,K51,0)</f>
        <v>0</v>
      </c>
      <c r="AK51" s="108">
        <f>IF(AN51=15,K51,0)</f>
        <v>0</v>
      </c>
      <c r="AL51" s="108">
        <f>IF(AN51=21,K51,0)</f>
        <v>0</v>
      </c>
      <c r="AN51" s="100">
        <v>15</v>
      </c>
      <c r="AO51" s="100">
        <f>H51*0.486837551124</f>
        <v>0</v>
      </c>
      <c r="AP51" s="100">
        <f>H51*(1-0.486837551124)</f>
        <v>0</v>
      </c>
      <c r="AQ51" s="111" t="s">
        <v>7</v>
      </c>
      <c r="AV51" s="100">
        <f>AW51+AX51</f>
        <v>0</v>
      </c>
      <c r="AW51" s="100">
        <f>G51*AO51</f>
        <v>0</v>
      </c>
      <c r="AX51" s="100">
        <f>G51*AP51</f>
        <v>0</v>
      </c>
      <c r="AY51" s="110" t="s">
        <v>1691</v>
      </c>
      <c r="AZ51" s="110" t="s">
        <v>1727</v>
      </c>
      <c r="BA51" s="109" t="s">
        <v>1737</v>
      </c>
      <c r="BC51" s="100">
        <f>AW51+AX51</f>
        <v>0</v>
      </c>
      <c r="BD51" s="100">
        <f>H51/(100-BE51)*100</f>
        <v>0</v>
      </c>
      <c r="BE51" s="100">
        <v>0</v>
      </c>
      <c r="BF51" s="100">
        <f>51</f>
        <v>51</v>
      </c>
      <c r="BH51" s="108">
        <f>G51*AO51</f>
        <v>0</v>
      </c>
      <c r="BI51" s="108">
        <f>G51*AP51</f>
        <v>0</v>
      </c>
      <c r="BJ51" s="108">
        <f>G51*H51</f>
        <v>0</v>
      </c>
    </row>
    <row r="52" spans="1:62" x14ac:dyDescent="0.2">
      <c r="A52" s="117" t="s">
        <v>36</v>
      </c>
      <c r="B52" s="117" t="s">
        <v>600</v>
      </c>
      <c r="C52" s="304" t="s">
        <v>1096</v>
      </c>
      <c r="D52" s="305"/>
      <c r="E52" s="305"/>
      <c r="F52" s="117" t="s">
        <v>1645</v>
      </c>
      <c r="G52" s="116">
        <v>45.155000000000001</v>
      </c>
      <c r="H52" s="159"/>
      <c r="I52" s="108">
        <f>G52*AO52</f>
        <v>0</v>
      </c>
      <c r="J52" s="108">
        <f>G52*AP52</f>
        <v>0</v>
      </c>
      <c r="K52" s="108">
        <f>G52*H52</f>
        <v>0</v>
      </c>
      <c r="L52" s="111" t="s">
        <v>1671</v>
      </c>
      <c r="Z52" s="100">
        <f>IF(AQ52="5",BJ52,0)</f>
        <v>0</v>
      </c>
      <c r="AB52" s="100">
        <f>IF(AQ52="1",BH52,0)</f>
        <v>0</v>
      </c>
      <c r="AC52" s="100">
        <f>IF(AQ52="1",BI52,0)</f>
        <v>0</v>
      </c>
      <c r="AD52" s="100">
        <f>IF(AQ52="7",BH52,0)</f>
        <v>0</v>
      </c>
      <c r="AE52" s="100">
        <f>IF(AQ52="7",BI52,0)</f>
        <v>0</v>
      </c>
      <c r="AF52" s="100">
        <f>IF(AQ52="2",BH52,0)</f>
        <v>0</v>
      </c>
      <c r="AG52" s="100">
        <f>IF(AQ52="2",BI52,0)</f>
        <v>0</v>
      </c>
      <c r="AH52" s="100">
        <f>IF(AQ52="0",BJ52,0)</f>
        <v>0</v>
      </c>
      <c r="AI52" s="109"/>
      <c r="AJ52" s="108">
        <f>IF(AN52=0,K52,0)</f>
        <v>0</v>
      </c>
      <c r="AK52" s="108">
        <f>IF(AN52=15,K52,0)</f>
        <v>0</v>
      </c>
      <c r="AL52" s="108">
        <f>IF(AN52=21,K52,0)</f>
        <v>0</v>
      </c>
      <c r="AN52" s="100">
        <v>15</v>
      </c>
      <c r="AO52" s="100">
        <f>H52*0.763125586054743</f>
        <v>0</v>
      </c>
      <c r="AP52" s="100">
        <f>H52*(1-0.763125586054743)</f>
        <v>0</v>
      </c>
      <c r="AQ52" s="111" t="s">
        <v>7</v>
      </c>
      <c r="AV52" s="100">
        <f>AW52+AX52</f>
        <v>0</v>
      </c>
      <c r="AW52" s="100">
        <f>G52*AO52</f>
        <v>0</v>
      </c>
      <c r="AX52" s="100">
        <f>G52*AP52</f>
        <v>0</v>
      </c>
      <c r="AY52" s="110" t="s">
        <v>1691</v>
      </c>
      <c r="AZ52" s="110" t="s">
        <v>1727</v>
      </c>
      <c r="BA52" s="109" t="s">
        <v>1737</v>
      </c>
      <c r="BC52" s="100">
        <f>AW52+AX52</f>
        <v>0</v>
      </c>
      <c r="BD52" s="100">
        <f>H52/(100-BE52)*100</f>
        <v>0</v>
      </c>
      <c r="BE52" s="100">
        <v>0</v>
      </c>
      <c r="BF52" s="100">
        <f>52</f>
        <v>52</v>
      </c>
      <c r="BH52" s="108">
        <f>G52*AO52</f>
        <v>0</v>
      </c>
      <c r="BI52" s="108">
        <f>G52*AP52</f>
        <v>0</v>
      </c>
      <c r="BJ52" s="108">
        <f>G52*H52</f>
        <v>0</v>
      </c>
    </row>
    <row r="53" spans="1:62" x14ac:dyDescent="0.2">
      <c r="A53" s="119"/>
      <c r="B53" s="120" t="s">
        <v>67</v>
      </c>
      <c r="C53" s="306" t="s">
        <v>1097</v>
      </c>
      <c r="D53" s="307"/>
      <c r="E53" s="307"/>
      <c r="F53" s="119" t="s">
        <v>6</v>
      </c>
      <c r="G53" s="119" t="s">
        <v>6</v>
      </c>
      <c r="H53" s="119" t="s">
        <v>6</v>
      </c>
      <c r="I53" s="118">
        <f>SUM(I54:I62)</f>
        <v>0</v>
      </c>
      <c r="J53" s="118">
        <f>SUM(J54:J62)</f>
        <v>0</v>
      </c>
      <c r="K53" s="118">
        <f>SUM(K54:K62)</f>
        <v>0</v>
      </c>
      <c r="L53" s="109"/>
      <c r="AI53" s="109"/>
      <c r="AS53" s="118">
        <f>SUM(AJ54:AJ62)</f>
        <v>0</v>
      </c>
      <c r="AT53" s="118">
        <f>SUM(AK54:AK62)</f>
        <v>0</v>
      </c>
      <c r="AU53" s="118">
        <f>SUM(AL54:AL62)</f>
        <v>0</v>
      </c>
    </row>
    <row r="54" spans="1:62" x14ac:dyDescent="0.2">
      <c r="A54" s="117" t="s">
        <v>37</v>
      </c>
      <c r="B54" s="117" t="s">
        <v>601</v>
      </c>
      <c r="C54" s="304" t="s">
        <v>1098</v>
      </c>
      <c r="D54" s="305"/>
      <c r="E54" s="305"/>
      <c r="F54" s="117" t="s">
        <v>1645</v>
      </c>
      <c r="G54" s="116">
        <v>23.151</v>
      </c>
      <c r="H54" s="159"/>
      <c r="I54" s="108">
        <f t="shared" ref="I54:I62" si="22">G54*AO54</f>
        <v>0</v>
      </c>
      <c r="J54" s="108">
        <f t="shared" ref="J54:J62" si="23">G54*AP54</f>
        <v>0</v>
      </c>
      <c r="K54" s="108">
        <f t="shared" ref="K54:K62" si="24">G54*H54</f>
        <v>0</v>
      </c>
      <c r="L54" s="111" t="s">
        <v>1671</v>
      </c>
      <c r="Z54" s="100">
        <f t="shared" ref="Z54:Z62" si="25">IF(AQ54="5",BJ54,0)</f>
        <v>0</v>
      </c>
      <c r="AB54" s="100">
        <f t="shared" ref="AB54:AB62" si="26">IF(AQ54="1",BH54,0)</f>
        <v>0</v>
      </c>
      <c r="AC54" s="100">
        <f t="shared" ref="AC54:AC62" si="27">IF(AQ54="1",BI54,0)</f>
        <v>0</v>
      </c>
      <c r="AD54" s="100">
        <f t="shared" ref="AD54:AD62" si="28">IF(AQ54="7",BH54,0)</f>
        <v>0</v>
      </c>
      <c r="AE54" s="100">
        <f t="shared" ref="AE54:AE62" si="29">IF(AQ54="7",BI54,0)</f>
        <v>0</v>
      </c>
      <c r="AF54" s="100">
        <f t="shared" ref="AF54:AF62" si="30">IF(AQ54="2",BH54,0)</f>
        <v>0</v>
      </c>
      <c r="AG54" s="100">
        <f t="shared" ref="AG54:AG62" si="31">IF(AQ54="2",BI54,0)</f>
        <v>0</v>
      </c>
      <c r="AH54" s="100">
        <f t="shared" ref="AH54:AH62" si="32">IF(AQ54="0",BJ54,0)</f>
        <v>0</v>
      </c>
      <c r="AI54" s="109"/>
      <c r="AJ54" s="108">
        <f t="shared" ref="AJ54:AJ62" si="33">IF(AN54=0,K54,0)</f>
        <v>0</v>
      </c>
      <c r="AK54" s="108">
        <f t="shared" ref="AK54:AK62" si="34">IF(AN54=15,K54,0)</f>
        <v>0</v>
      </c>
      <c r="AL54" s="108">
        <f t="shared" ref="AL54:AL62" si="35">IF(AN54=21,K54,0)</f>
        <v>0</v>
      </c>
      <c r="AN54" s="100">
        <v>15</v>
      </c>
      <c r="AO54" s="100">
        <f>H54*0.137604508016824</f>
        <v>0</v>
      </c>
      <c r="AP54" s="100">
        <f>H54*(1-0.137604508016824)</f>
        <v>0</v>
      </c>
      <c r="AQ54" s="111" t="s">
        <v>7</v>
      </c>
      <c r="AV54" s="100">
        <f t="shared" ref="AV54:AV62" si="36">AW54+AX54</f>
        <v>0</v>
      </c>
      <c r="AW54" s="100">
        <f t="shared" ref="AW54:AW62" si="37">G54*AO54</f>
        <v>0</v>
      </c>
      <c r="AX54" s="100">
        <f t="shared" ref="AX54:AX62" si="38">G54*AP54</f>
        <v>0</v>
      </c>
      <c r="AY54" s="110" t="s">
        <v>1692</v>
      </c>
      <c r="AZ54" s="110" t="s">
        <v>1728</v>
      </c>
      <c r="BA54" s="109" t="s">
        <v>1737</v>
      </c>
      <c r="BC54" s="100">
        <f t="shared" ref="BC54:BC62" si="39">AW54+AX54</f>
        <v>0</v>
      </c>
      <c r="BD54" s="100">
        <f t="shared" ref="BD54:BD62" si="40">H54/(100-BE54)*100</f>
        <v>0</v>
      </c>
      <c r="BE54" s="100">
        <v>0</v>
      </c>
      <c r="BF54" s="100">
        <f>54</f>
        <v>54</v>
      </c>
      <c r="BH54" s="108">
        <f t="shared" ref="BH54:BH62" si="41">G54*AO54</f>
        <v>0</v>
      </c>
      <c r="BI54" s="108">
        <f t="shared" ref="BI54:BI62" si="42">G54*AP54</f>
        <v>0</v>
      </c>
      <c r="BJ54" s="108">
        <f t="shared" ref="BJ54:BJ62" si="43">G54*H54</f>
        <v>0</v>
      </c>
    </row>
    <row r="55" spans="1:62" x14ac:dyDescent="0.2">
      <c r="A55" s="117" t="s">
        <v>38</v>
      </c>
      <c r="B55" s="117" t="s">
        <v>601</v>
      </c>
      <c r="C55" s="304" t="s">
        <v>4153</v>
      </c>
      <c r="D55" s="305"/>
      <c r="E55" s="305"/>
      <c r="F55" s="117" t="s">
        <v>1645</v>
      </c>
      <c r="G55" s="116">
        <v>33.088999999999999</v>
      </c>
      <c r="H55" s="159"/>
      <c r="I55" s="108">
        <f t="shared" si="22"/>
        <v>0</v>
      </c>
      <c r="J55" s="108">
        <f t="shared" si="23"/>
        <v>0</v>
      </c>
      <c r="K55" s="108">
        <f t="shared" si="24"/>
        <v>0</v>
      </c>
      <c r="L55" s="111" t="s">
        <v>1671</v>
      </c>
      <c r="Z55" s="100">
        <f t="shared" si="25"/>
        <v>0</v>
      </c>
      <c r="AB55" s="100">
        <f t="shared" si="26"/>
        <v>0</v>
      </c>
      <c r="AC55" s="100">
        <f t="shared" si="27"/>
        <v>0</v>
      </c>
      <c r="AD55" s="100">
        <f t="shared" si="28"/>
        <v>0</v>
      </c>
      <c r="AE55" s="100">
        <f t="shared" si="29"/>
        <v>0</v>
      </c>
      <c r="AF55" s="100">
        <f t="shared" si="30"/>
        <v>0</v>
      </c>
      <c r="AG55" s="100">
        <f t="shared" si="31"/>
        <v>0</v>
      </c>
      <c r="AH55" s="100">
        <f t="shared" si="32"/>
        <v>0</v>
      </c>
      <c r="AI55" s="109"/>
      <c r="AJ55" s="108">
        <f t="shared" si="33"/>
        <v>0</v>
      </c>
      <c r="AK55" s="108">
        <f t="shared" si="34"/>
        <v>0</v>
      </c>
      <c r="AL55" s="108">
        <f t="shared" si="35"/>
        <v>0</v>
      </c>
      <c r="AN55" s="100">
        <v>15</v>
      </c>
      <c r="AO55" s="100">
        <f>H55*0.137604462381202</f>
        <v>0</v>
      </c>
      <c r="AP55" s="100">
        <f>H55*(1-0.137604462381202)</f>
        <v>0</v>
      </c>
      <c r="AQ55" s="111" t="s">
        <v>7</v>
      </c>
      <c r="AV55" s="100">
        <f t="shared" si="36"/>
        <v>0</v>
      </c>
      <c r="AW55" s="100">
        <f t="shared" si="37"/>
        <v>0</v>
      </c>
      <c r="AX55" s="100">
        <f t="shared" si="38"/>
        <v>0</v>
      </c>
      <c r="AY55" s="110" t="s">
        <v>1692</v>
      </c>
      <c r="AZ55" s="110" t="s">
        <v>1728</v>
      </c>
      <c r="BA55" s="109" t="s">
        <v>1737</v>
      </c>
      <c r="BC55" s="100">
        <f t="shared" si="39"/>
        <v>0</v>
      </c>
      <c r="BD55" s="100">
        <f t="shared" si="40"/>
        <v>0</v>
      </c>
      <c r="BE55" s="100">
        <v>0</v>
      </c>
      <c r="BF55" s="100">
        <f>55</f>
        <v>55</v>
      </c>
      <c r="BH55" s="108">
        <f t="shared" si="41"/>
        <v>0</v>
      </c>
      <c r="BI55" s="108">
        <f t="shared" si="42"/>
        <v>0</v>
      </c>
      <c r="BJ55" s="108">
        <f t="shared" si="43"/>
        <v>0</v>
      </c>
    </row>
    <row r="56" spans="1:62" x14ac:dyDescent="0.2">
      <c r="A56" s="117" t="s">
        <v>39</v>
      </c>
      <c r="B56" s="117" t="s">
        <v>604</v>
      </c>
      <c r="C56" s="304" t="s">
        <v>1101</v>
      </c>
      <c r="D56" s="305"/>
      <c r="E56" s="305"/>
      <c r="F56" s="117" t="s">
        <v>1645</v>
      </c>
      <c r="G56" s="116">
        <v>34.86</v>
      </c>
      <c r="H56" s="159"/>
      <c r="I56" s="108">
        <f t="shared" si="22"/>
        <v>0</v>
      </c>
      <c r="J56" s="108">
        <f t="shared" si="23"/>
        <v>0</v>
      </c>
      <c r="K56" s="108">
        <f t="shared" si="24"/>
        <v>0</v>
      </c>
      <c r="L56" s="111" t="s">
        <v>1671</v>
      </c>
      <c r="Z56" s="100">
        <f t="shared" si="25"/>
        <v>0</v>
      </c>
      <c r="AB56" s="100">
        <f t="shared" si="26"/>
        <v>0</v>
      </c>
      <c r="AC56" s="100">
        <f t="shared" si="27"/>
        <v>0</v>
      </c>
      <c r="AD56" s="100">
        <f t="shared" si="28"/>
        <v>0</v>
      </c>
      <c r="AE56" s="100">
        <f t="shared" si="29"/>
        <v>0</v>
      </c>
      <c r="AF56" s="100">
        <f t="shared" si="30"/>
        <v>0</v>
      </c>
      <c r="AG56" s="100">
        <f t="shared" si="31"/>
        <v>0</v>
      </c>
      <c r="AH56" s="100">
        <f t="shared" si="32"/>
        <v>0</v>
      </c>
      <c r="AI56" s="109"/>
      <c r="AJ56" s="108">
        <f t="shared" si="33"/>
        <v>0</v>
      </c>
      <c r="AK56" s="108">
        <f t="shared" si="34"/>
        <v>0</v>
      </c>
      <c r="AL56" s="108">
        <f t="shared" si="35"/>
        <v>0</v>
      </c>
      <c r="AN56" s="100">
        <v>15</v>
      </c>
      <c r="AO56" s="100">
        <f>H56*0.0969230769230769</f>
        <v>0</v>
      </c>
      <c r="AP56" s="100">
        <f>H56*(1-0.0969230769230769)</f>
        <v>0</v>
      </c>
      <c r="AQ56" s="111" t="s">
        <v>7</v>
      </c>
      <c r="AV56" s="100">
        <f t="shared" si="36"/>
        <v>0</v>
      </c>
      <c r="AW56" s="100">
        <f t="shared" si="37"/>
        <v>0</v>
      </c>
      <c r="AX56" s="100">
        <f t="shared" si="38"/>
        <v>0</v>
      </c>
      <c r="AY56" s="110" t="s">
        <v>1692</v>
      </c>
      <c r="AZ56" s="110" t="s">
        <v>1728</v>
      </c>
      <c r="BA56" s="109" t="s">
        <v>1737</v>
      </c>
      <c r="BC56" s="100">
        <f t="shared" si="39"/>
        <v>0</v>
      </c>
      <c r="BD56" s="100">
        <f t="shared" si="40"/>
        <v>0</v>
      </c>
      <c r="BE56" s="100">
        <v>0</v>
      </c>
      <c r="BF56" s="100">
        <f>56</f>
        <v>56</v>
      </c>
      <c r="BH56" s="108">
        <f t="shared" si="41"/>
        <v>0</v>
      </c>
      <c r="BI56" s="108">
        <f t="shared" si="42"/>
        <v>0</v>
      </c>
      <c r="BJ56" s="108">
        <f t="shared" si="43"/>
        <v>0</v>
      </c>
    </row>
    <row r="57" spans="1:62" x14ac:dyDescent="0.2">
      <c r="A57" s="117" t="s">
        <v>40</v>
      </c>
      <c r="B57" s="117" t="s">
        <v>604</v>
      </c>
      <c r="C57" s="304" t="s">
        <v>4152</v>
      </c>
      <c r="D57" s="305"/>
      <c r="E57" s="305"/>
      <c r="F57" s="117" t="s">
        <v>1645</v>
      </c>
      <c r="G57" s="116">
        <v>44.831000000000003</v>
      </c>
      <c r="H57" s="159"/>
      <c r="I57" s="108">
        <f t="shared" si="22"/>
        <v>0</v>
      </c>
      <c r="J57" s="108">
        <f t="shared" si="23"/>
        <v>0</v>
      </c>
      <c r="K57" s="108">
        <f t="shared" si="24"/>
        <v>0</v>
      </c>
      <c r="L57" s="111" t="s">
        <v>1671</v>
      </c>
      <c r="Z57" s="100">
        <f t="shared" si="25"/>
        <v>0</v>
      </c>
      <c r="AB57" s="100">
        <f t="shared" si="26"/>
        <v>0</v>
      </c>
      <c r="AC57" s="100">
        <f t="shared" si="27"/>
        <v>0</v>
      </c>
      <c r="AD57" s="100">
        <f t="shared" si="28"/>
        <v>0</v>
      </c>
      <c r="AE57" s="100">
        <f t="shared" si="29"/>
        <v>0</v>
      </c>
      <c r="AF57" s="100">
        <f t="shared" si="30"/>
        <v>0</v>
      </c>
      <c r="AG57" s="100">
        <f t="shared" si="31"/>
        <v>0</v>
      </c>
      <c r="AH57" s="100">
        <f t="shared" si="32"/>
        <v>0</v>
      </c>
      <c r="AI57" s="109"/>
      <c r="AJ57" s="108">
        <f t="shared" si="33"/>
        <v>0</v>
      </c>
      <c r="AK57" s="108">
        <f t="shared" si="34"/>
        <v>0</v>
      </c>
      <c r="AL57" s="108">
        <f t="shared" si="35"/>
        <v>0</v>
      </c>
      <c r="AN57" s="100">
        <v>15</v>
      </c>
      <c r="AO57" s="100">
        <f>H57*0.0969231170656897</f>
        <v>0</v>
      </c>
      <c r="AP57" s="100">
        <f>H57*(1-0.0969231170656897)</f>
        <v>0</v>
      </c>
      <c r="AQ57" s="111" t="s">
        <v>7</v>
      </c>
      <c r="AV57" s="100">
        <f t="shared" si="36"/>
        <v>0</v>
      </c>
      <c r="AW57" s="100">
        <f t="shared" si="37"/>
        <v>0</v>
      </c>
      <c r="AX57" s="100">
        <f t="shared" si="38"/>
        <v>0</v>
      </c>
      <c r="AY57" s="110" t="s">
        <v>1692</v>
      </c>
      <c r="AZ57" s="110" t="s">
        <v>1728</v>
      </c>
      <c r="BA57" s="109" t="s">
        <v>1737</v>
      </c>
      <c r="BC57" s="100">
        <f t="shared" si="39"/>
        <v>0</v>
      </c>
      <c r="BD57" s="100">
        <f t="shared" si="40"/>
        <v>0</v>
      </c>
      <c r="BE57" s="100">
        <v>0</v>
      </c>
      <c r="BF57" s="100">
        <f>57</f>
        <v>57</v>
      </c>
      <c r="BH57" s="108">
        <f t="shared" si="41"/>
        <v>0</v>
      </c>
      <c r="BI57" s="108">
        <f t="shared" si="42"/>
        <v>0</v>
      </c>
      <c r="BJ57" s="108">
        <f t="shared" si="43"/>
        <v>0</v>
      </c>
    </row>
    <row r="58" spans="1:62" x14ac:dyDescent="0.2">
      <c r="A58" s="117" t="s">
        <v>41</v>
      </c>
      <c r="B58" s="117" t="s">
        <v>2862</v>
      </c>
      <c r="C58" s="304" t="s">
        <v>2861</v>
      </c>
      <c r="D58" s="305"/>
      <c r="E58" s="305"/>
      <c r="F58" s="117" t="s">
        <v>1646</v>
      </c>
      <c r="G58" s="116">
        <v>10.5</v>
      </c>
      <c r="H58" s="159"/>
      <c r="I58" s="108">
        <f t="shared" si="22"/>
        <v>0</v>
      </c>
      <c r="J58" s="108">
        <f t="shared" si="23"/>
        <v>0</v>
      </c>
      <c r="K58" s="108">
        <f t="shared" si="24"/>
        <v>0</v>
      </c>
      <c r="L58" s="111" t="s">
        <v>1671</v>
      </c>
      <c r="Z58" s="100">
        <f t="shared" si="25"/>
        <v>0</v>
      </c>
      <c r="AB58" s="100">
        <f t="shared" si="26"/>
        <v>0</v>
      </c>
      <c r="AC58" s="100">
        <f t="shared" si="27"/>
        <v>0</v>
      </c>
      <c r="AD58" s="100">
        <f t="shared" si="28"/>
        <v>0</v>
      </c>
      <c r="AE58" s="100">
        <f t="shared" si="29"/>
        <v>0</v>
      </c>
      <c r="AF58" s="100">
        <f t="shared" si="30"/>
        <v>0</v>
      </c>
      <c r="AG58" s="100">
        <f t="shared" si="31"/>
        <v>0</v>
      </c>
      <c r="AH58" s="100">
        <f t="shared" si="32"/>
        <v>0</v>
      </c>
      <c r="AI58" s="109"/>
      <c r="AJ58" s="108">
        <f t="shared" si="33"/>
        <v>0</v>
      </c>
      <c r="AK58" s="108">
        <f t="shared" si="34"/>
        <v>0</v>
      </c>
      <c r="AL58" s="108">
        <f t="shared" si="35"/>
        <v>0</v>
      </c>
      <c r="AN58" s="100">
        <v>15</v>
      </c>
      <c r="AO58" s="100">
        <f>H58*0.693027027027027</f>
        <v>0</v>
      </c>
      <c r="AP58" s="100">
        <f>H58*(1-0.693027027027027)</f>
        <v>0</v>
      </c>
      <c r="AQ58" s="111" t="s">
        <v>7</v>
      </c>
      <c r="AV58" s="100">
        <f t="shared" si="36"/>
        <v>0</v>
      </c>
      <c r="AW58" s="100">
        <f t="shared" si="37"/>
        <v>0</v>
      </c>
      <c r="AX58" s="100">
        <f t="shared" si="38"/>
        <v>0</v>
      </c>
      <c r="AY58" s="110" t="s">
        <v>1692</v>
      </c>
      <c r="AZ58" s="110" t="s">
        <v>1728</v>
      </c>
      <c r="BA58" s="109" t="s">
        <v>1737</v>
      </c>
      <c r="BC58" s="100">
        <f t="shared" si="39"/>
        <v>0</v>
      </c>
      <c r="BD58" s="100">
        <f t="shared" si="40"/>
        <v>0</v>
      </c>
      <c r="BE58" s="100">
        <v>0</v>
      </c>
      <c r="BF58" s="100">
        <f>58</f>
        <v>58</v>
      </c>
      <c r="BH58" s="108">
        <f t="shared" si="41"/>
        <v>0</v>
      </c>
      <c r="BI58" s="108">
        <f t="shared" si="42"/>
        <v>0</v>
      </c>
      <c r="BJ58" s="108">
        <f t="shared" si="43"/>
        <v>0</v>
      </c>
    </row>
    <row r="59" spans="1:62" x14ac:dyDescent="0.2">
      <c r="A59" s="117" t="s">
        <v>42</v>
      </c>
      <c r="B59" s="117" t="s">
        <v>605</v>
      </c>
      <c r="C59" s="304" t="s">
        <v>1102</v>
      </c>
      <c r="D59" s="305"/>
      <c r="E59" s="305"/>
      <c r="F59" s="117" t="s">
        <v>1645</v>
      </c>
      <c r="G59" s="116">
        <v>393.14699999999999</v>
      </c>
      <c r="H59" s="159"/>
      <c r="I59" s="108">
        <f t="shared" si="22"/>
        <v>0</v>
      </c>
      <c r="J59" s="108">
        <f t="shared" si="23"/>
        <v>0</v>
      </c>
      <c r="K59" s="108">
        <f t="shared" si="24"/>
        <v>0</v>
      </c>
      <c r="L59" s="111" t="s">
        <v>1671</v>
      </c>
      <c r="Z59" s="100">
        <f t="shared" si="25"/>
        <v>0</v>
      </c>
      <c r="AB59" s="100">
        <f t="shared" si="26"/>
        <v>0</v>
      </c>
      <c r="AC59" s="100">
        <f t="shared" si="27"/>
        <v>0</v>
      </c>
      <c r="AD59" s="100">
        <f t="shared" si="28"/>
        <v>0</v>
      </c>
      <c r="AE59" s="100">
        <f t="shared" si="29"/>
        <v>0</v>
      </c>
      <c r="AF59" s="100">
        <f t="shared" si="30"/>
        <v>0</v>
      </c>
      <c r="AG59" s="100">
        <f t="shared" si="31"/>
        <v>0</v>
      </c>
      <c r="AH59" s="100">
        <f t="shared" si="32"/>
        <v>0</v>
      </c>
      <c r="AI59" s="109"/>
      <c r="AJ59" s="108">
        <f t="shared" si="33"/>
        <v>0</v>
      </c>
      <c r="AK59" s="108">
        <f t="shared" si="34"/>
        <v>0</v>
      </c>
      <c r="AL59" s="108">
        <f t="shared" si="35"/>
        <v>0</v>
      </c>
      <c r="AN59" s="100">
        <v>15</v>
      </c>
      <c r="AO59" s="100">
        <f>H59*0.0912499992051319</f>
        <v>0</v>
      </c>
      <c r="AP59" s="100">
        <f>H59*(1-0.0912499992051319)</f>
        <v>0</v>
      </c>
      <c r="AQ59" s="111" t="s">
        <v>7</v>
      </c>
      <c r="AV59" s="100">
        <f t="shared" si="36"/>
        <v>0</v>
      </c>
      <c r="AW59" s="100">
        <f t="shared" si="37"/>
        <v>0</v>
      </c>
      <c r="AX59" s="100">
        <f t="shared" si="38"/>
        <v>0</v>
      </c>
      <c r="AY59" s="110" t="s">
        <v>1692</v>
      </c>
      <c r="AZ59" s="110" t="s">
        <v>1728</v>
      </c>
      <c r="BA59" s="109" t="s">
        <v>1737</v>
      </c>
      <c r="BC59" s="100">
        <f t="shared" si="39"/>
        <v>0</v>
      </c>
      <c r="BD59" s="100">
        <f t="shared" si="40"/>
        <v>0</v>
      </c>
      <c r="BE59" s="100">
        <v>0</v>
      </c>
      <c r="BF59" s="100">
        <f>59</f>
        <v>59</v>
      </c>
      <c r="BH59" s="108">
        <f t="shared" si="41"/>
        <v>0</v>
      </c>
      <c r="BI59" s="108">
        <f t="shared" si="42"/>
        <v>0</v>
      </c>
      <c r="BJ59" s="108">
        <f t="shared" si="43"/>
        <v>0</v>
      </c>
    </row>
    <row r="60" spans="1:62" x14ac:dyDescent="0.2">
      <c r="A60" s="117" t="s">
        <v>43</v>
      </c>
      <c r="B60" s="117" t="s">
        <v>3739</v>
      </c>
      <c r="C60" s="304" t="s">
        <v>4151</v>
      </c>
      <c r="D60" s="305"/>
      <c r="E60" s="305"/>
      <c r="F60" s="117" t="s">
        <v>1645</v>
      </c>
      <c r="G60" s="116">
        <v>0.79200000000000004</v>
      </c>
      <c r="H60" s="159"/>
      <c r="I60" s="108">
        <f t="shared" si="22"/>
        <v>0</v>
      </c>
      <c r="J60" s="108">
        <f t="shared" si="23"/>
        <v>0</v>
      </c>
      <c r="K60" s="108">
        <f t="shared" si="24"/>
        <v>0</v>
      </c>
      <c r="L60" s="111" t="s">
        <v>1671</v>
      </c>
      <c r="Z60" s="100">
        <f t="shared" si="25"/>
        <v>0</v>
      </c>
      <c r="AB60" s="100">
        <f t="shared" si="26"/>
        <v>0</v>
      </c>
      <c r="AC60" s="100">
        <f t="shared" si="27"/>
        <v>0</v>
      </c>
      <c r="AD60" s="100">
        <f t="shared" si="28"/>
        <v>0</v>
      </c>
      <c r="AE60" s="100">
        <f t="shared" si="29"/>
        <v>0</v>
      </c>
      <c r="AF60" s="100">
        <f t="shared" si="30"/>
        <v>0</v>
      </c>
      <c r="AG60" s="100">
        <f t="shared" si="31"/>
        <v>0</v>
      </c>
      <c r="AH60" s="100">
        <f t="shared" si="32"/>
        <v>0</v>
      </c>
      <c r="AI60" s="109"/>
      <c r="AJ60" s="108">
        <f t="shared" si="33"/>
        <v>0</v>
      </c>
      <c r="AK60" s="108">
        <f t="shared" si="34"/>
        <v>0</v>
      </c>
      <c r="AL60" s="108">
        <f t="shared" si="35"/>
        <v>0</v>
      </c>
      <c r="AN60" s="100">
        <v>15</v>
      </c>
      <c r="AO60" s="100">
        <f>H60*0.214472668266793</f>
        <v>0</v>
      </c>
      <c r="AP60" s="100">
        <f>H60*(1-0.214472668266793)</f>
        <v>0</v>
      </c>
      <c r="AQ60" s="111" t="s">
        <v>7</v>
      </c>
      <c r="AV60" s="100">
        <f t="shared" si="36"/>
        <v>0</v>
      </c>
      <c r="AW60" s="100">
        <f t="shared" si="37"/>
        <v>0</v>
      </c>
      <c r="AX60" s="100">
        <f t="shared" si="38"/>
        <v>0</v>
      </c>
      <c r="AY60" s="110" t="s">
        <v>1692</v>
      </c>
      <c r="AZ60" s="110" t="s">
        <v>1728</v>
      </c>
      <c r="BA60" s="109" t="s">
        <v>1737</v>
      </c>
      <c r="BC60" s="100">
        <f t="shared" si="39"/>
        <v>0</v>
      </c>
      <c r="BD60" s="100">
        <f t="shared" si="40"/>
        <v>0</v>
      </c>
      <c r="BE60" s="100">
        <v>0</v>
      </c>
      <c r="BF60" s="100">
        <f>60</f>
        <v>60</v>
      </c>
      <c r="BH60" s="108">
        <f t="shared" si="41"/>
        <v>0</v>
      </c>
      <c r="BI60" s="108">
        <f t="shared" si="42"/>
        <v>0</v>
      </c>
      <c r="BJ60" s="108">
        <f t="shared" si="43"/>
        <v>0</v>
      </c>
    </row>
    <row r="61" spans="1:62" x14ac:dyDescent="0.2">
      <c r="A61" s="117" t="s">
        <v>44</v>
      </c>
      <c r="B61" s="117" t="s">
        <v>606</v>
      </c>
      <c r="C61" s="304" t="s">
        <v>4150</v>
      </c>
      <c r="D61" s="305"/>
      <c r="E61" s="305"/>
      <c r="F61" s="117" t="s">
        <v>1645</v>
      </c>
      <c r="G61" s="116">
        <v>29.175000000000001</v>
      </c>
      <c r="H61" s="159"/>
      <c r="I61" s="108">
        <f t="shared" si="22"/>
        <v>0</v>
      </c>
      <c r="J61" s="108">
        <f t="shared" si="23"/>
        <v>0</v>
      </c>
      <c r="K61" s="108">
        <f t="shared" si="24"/>
        <v>0</v>
      </c>
      <c r="L61" s="111" t="s">
        <v>1671</v>
      </c>
      <c r="Z61" s="100">
        <f t="shared" si="25"/>
        <v>0</v>
      </c>
      <c r="AB61" s="100">
        <f t="shared" si="26"/>
        <v>0</v>
      </c>
      <c r="AC61" s="100">
        <f t="shared" si="27"/>
        <v>0</v>
      </c>
      <c r="AD61" s="100">
        <f t="shared" si="28"/>
        <v>0</v>
      </c>
      <c r="AE61" s="100">
        <f t="shared" si="29"/>
        <v>0</v>
      </c>
      <c r="AF61" s="100">
        <f t="shared" si="30"/>
        <v>0</v>
      </c>
      <c r="AG61" s="100">
        <f t="shared" si="31"/>
        <v>0</v>
      </c>
      <c r="AH61" s="100">
        <f t="shared" si="32"/>
        <v>0</v>
      </c>
      <c r="AI61" s="109"/>
      <c r="AJ61" s="108">
        <f t="shared" si="33"/>
        <v>0</v>
      </c>
      <c r="AK61" s="108">
        <f t="shared" si="34"/>
        <v>0</v>
      </c>
      <c r="AL61" s="108">
        <f t="shared" si="35"/>
        <v>0</v>
      </c>
      <c r="AN61" s="100">
        <v>15</v>
      </c>
      <c r="AO61" s="100">
        <f>H61*0.523085271317829</f>
        <v>0</v>
      </c>
      <c r="AP61" s="100">
        <f>H61*(1-0.523085271317829)</f>
        <v>0</v>
      </c>
      <c r="AQ61" s="111" t="s">
        <v>7</v>
      </c>
      <c r="AV61" s="100">
        <f t="shared" si="36"/>
        <v>0</v>
      </c>
      <c r="AW61" s="100">
        <f t="shared" si="37"/>
        <v>0</v>
      </c>
      <c r="AX61" s="100">
        <f t="shared" si="38"/>
        <v>0</v>
      </c>
      <c r="AY61" s="110" t="s">
        <v>1692</v>
      </c>
      <c r="AZ61" s="110" t="s">
        <v>1728</v>
      </c>
      <c r="BA61" s="109" t="s">
        <v>1737</v>
      </c>
      <c r="BC61" s="100">
        <f t="shared" si="39"/>
        <v>0</v>
      </c>
      <c r="BD61" s="100">
        <f t="shared" si="40"/>
        <v>0</v>
      </c>
      <c r="BE61" s="100">
        <v>0</v>
      </c>
      <c r="BF61" s="100">
        <f>61</f>
        <v>61</v>
      </c>
      <c r="BH61" s="108">
        <f t="shared" si="41"/>
        <v>0</v>
      </c>
      <c r="BI61" s="108">
        <f t="shared" si="42"/>
        <v>0</v>
      </c>
      <c r="BJ61" s="108">
        <f t="shared" si="43"/>
        <v>0</v>
      </c>
    </row>
    <row r="62" spans="1:62" x14ac:dyDescent="0.2">
      <c r="A62" s="117" t="s">
        <v>45</v>
      </c>
      <c r="B62" s="117" t="s">
        <v>606</v>
      </c>
      <c r="C62" s="304" t="s">
        <v>4149</v>
      </c>
      <c r="D62" s="305"/>
      <c r="E62" s="305"/>
      <c r="F62" s="117" t="s">
        <v>1645</v>
      </c>
      <c r="G62" s="116">
        <v>112.108</v>
      </c>
      <c r="H62" s="159"/>
      <c r="I62" s="108">
        <f t="shared" si="22"/>
        <v>0</v>
      </c>
      <c r="J62" s="108">
        <f t="shared" si="23"/>
        <v>0</v>
      </c>
      <c r="K62" s="108">
        <f t="shared" si="24"/>
        <v>0</v>
      </c>
      <c r="L62" s="111" t="s">
        <v>1671</v>
      </c>
      <c r="Z62" s="100">
        <f t="shared" si="25"/>
        <v>0</v>
      </c>
      <c r="AB62" s="100">
        <f t="shared" si="26"/>
        <v>0</v>
      </c>
      <c r="AC62" s="100">
        <f t="shared" si="27"/>
        <v>0</v>
      </c>
      <c r="AD62" s="100">
        <f t="shared" si="28"/>
        <v>0</v>
      </c>
      <c r="AE62" s="100">
        <f t="shared" si="29"/>
        <v>0</v>
      </c>
      <c r="AF62" s="100">
        <f t="shared" si="30"/>
        <v>0</v>
      </c>
      <c r="AG62" s="100">
        <f t="shared" si="31"/>
        <v>0</v>
      </c>
      <c r="AH62" s="100">
        <f t="shared" si="32"/>
        <v>0</v>
      </c>
      <c r="AI62" s="109"/>
      <c r="AJ62" s="108">
        <f t="shared" si="33"/>
        <v>0</v>
      </c>
      <c r="AK62" s="108">
        <f t="shared" si="34"/>
        <v>0</v>
      </c>
      <c r="AL62" s="108">
        <f t="shared" si="35"/>
        <v>0</v>
      </c>
      <c r="AN62" s="100">
        <v>15</v>
      </c>
      <c r="AO62" s="100">
        <f>H62*0.523085271317829</f>
        <v>0</v>
      </c>
      <c r="AP62" s="100">
        <f>H62*(1-0.523085271317829)</f>
        <v>0</v>
      </c>
      <c r="AQ62" s="111" t="s">
        <v>7</v>
      </c>
      <c r="AV62" s="100">
        <f t="shared" si="36"/>
        <v>0</v>
      </c>
      <c r="AW62" s="100">
        <f t="shared" si="37"/>
        <v>0</v>
      </c>
      <c r="AX62" s="100">
        <f t="shared" si="38"/>
        <v>0</v>
      </c>
      <c r="AY62" s="110" t="s">
        <v>1692</v>
      </c>
      <c r="AZ62" s="110" t="s">
        <v>1728</v>
      </c>
      <c r="BA62" s="109" t="s">
        <v>1737</v>
      </c>
      <c r="BC62" s="100">
        <f t="shared" si="39"/>
        <v>0</v>
      </c>
      <c r="BD62" s="100">
        <f t="shared" si="40"/>
        <v>0</v>
      </c>
      <c r="BE62" s="100">
        <v>0</v>
      </c>
      <c r="BF62" s="100">
        <f>62</f>
        <v>62</v>
      </c>
      <c r="BH62" s="108">
        <f t="shared" si="41"/>
        <v>0</v>
      </c>
      <c r="BI62" s="108">
        <f t="shared" si="42"/>
        <v>0</v>
      </c>
      <c r="BJ62" s="108">
        <f t="shared" si="43"/>
        <v>0</v>
      </c>
    </row>
    <row r="63" spans="1:62" x14ac:dyDescent="0.2">
      <c r="A63" s="119"/>
      <c r="B63" s="120" t="s">
        <v>68</v>
      </c>
      <c r="C63" s="306" t="s">
        <v>1104</v>
      </c>
      <c r="D63" s="307"/>
      <c r="E63" s="307"/>
      <c r="F63" s="119" t="s">
        <v>6</v>
      </c>
      <c r="G63" s="119" t="s">
        <v>6</v>
      </c>
      <c r="H63" s="119" t="s">
        <v>6</v>
      </c>
      <c r="I63" s="118">
        <f>SUM(I64:I98)</f>
        <v>0</v>
      </c>
      <c r="J63" s="118">
        <f>SUM(J64:J98)</f>
        <v>0</v>
      </c>
      <c r="K63" s="118">
        <f>SUM(K64:K98)</f>
        <v>0</v>
      </c>
      <c r="L63" s="109"/>
      <c r="AI63" s="109"/>
      <c r="AS63" s="118">
        <f>SUM(AJ64:AJ98)</f>
        <v>0</v>
      </c>
      <c r="AT63" s="118">
        <f>SUM(AK64:AK98)</f>
        <v>0</v>
      </c>
      <c r="AU63" s="118">
        <f>SUM(AL64:AL98)</f>
        <v>0</v>
      </c>
    </row>
    <row r="64" spans="1:62" x14ac:dyDescent="0.2">
      <c r="A64" s="117" t="s">
        <v>46</v>
      </c>
      <c r="B64" s="117" t="s">
        <v>607</v>
      </c>
      <c r="C64" s="304" t="s">
        <v>1105</v>
      </c>
      <c r="D64" s="305"/>
      <c r="E64" s="305"/>
      <c r="F64" s="117" t="s">
        <v>1645</v>
      </c>
      <c r="G64" s="116">
        <v>103.16</v>
      </c>
      <c r="H64" s="159"/>
      <c r="I64" s="108">
        <f t="shared" ref="I64:I72" si="44">G64*AO64</f>
        <v>0</v>
      </c>
      <c r="J64" s="108">
        <f t="shared" ref="J64:J72" si="45">G64*AP64</f>
        <v>0</v>
      </c>
      <c r="K64" s="108">
        <f t="shared" ref="K64:K72" si="46">G64*H64</f>
        <v>0</v>
      </c>
      <c r="L64" s="111" t="s">
        <v>1671</v>
      </c>
      <c r="Z64" s="100">
        <f t="shared" ref="Z64:Z72" si="47">IF(AQ64="5",BJ64,0)</f>
        <v>0</v>
      </c>
      <c r="AB64" s="100">
        <f t="shared" ref="AB64:AB72" si="48">IF(AQ64="1",BH64,0)</f>
        <v>0</v>
      </c>
      <c r="AC64" s="100">
        <f t="shared" ref="AC64:AC72" si="49">IF(AQ64="1",BI64,0)</f>
        <v>0</v>
      </c>
      <c r="AD64" s="100">
        <f t="shared" ref="AD64:AD72" si="50">IF(AQ64="7",BH64,0)</f>
        <v>0</v>
      </c>
      <c r="AE64" s="100">
        <f t="shared" ref="AE64:AE72" si="51">IF(AQ64="7",BI64,0)</f>
        <v>0</v>
      </c>
      <c r="AF64" s="100">
        <f t="shared" ref="AF64:AF72" si="52">IF(AQ64="2",BH64,0)</f>
        <v>0</v>
      </c>
      <c r="AG64" s="100">
        <f t="shared" ref="AG64:AG72" si="53">IF(AQ64="2",BI64,0)</f>
        <v>0</v>
      </c>
      <c r="AH64" s="100">
        <f t="shared" ref="AH64:AH72" si="54">IF(AQ64="0",BJ64,0)</f>
        <v>0</v>
      </c>
      <c r="AI64" s="109"/>
      <c r="AJ64" s="108">
        <f t="shared" ref="AJ64:AJ72" si="55">IF(AN64=0,K64,0)</f>
        <v>0</v>
      </c>
      <c r="AK64" s="108">
        <f t="shared" ref="AK64:AK72" si="56">IF(AN64=15,K64,0)</f>
        <v>0</v>
      </c>
      <c r="AL64" s="108">
        <f t="shared" ref="AL64:AL72" si="57">IF(AN64=21,K64,0)</f>
        <v>0</v>
      </c>
      <c r="AN64" s="100">
        <v>15</v>
      </c>
      <c r="AO64" s="100">
        <f>H64*0.285592585028541</f>
        <v>0</v>
      </c>
      <c r="AP64" s="100">
        <f>H64*(1-0.285592585028541)</f>
        <v>0</v>
      </c>
      <c r="AQ64" s="111" t="s">
        <v>7</v>
      </c>
      <c r="AV64" s="100">
        <f t="shared" ref="AV64:AV72" si="58">AW64+AX64</f>
        <v>0</v>
      </c>
      <c r="AW64" s="100">
        <f t="shared" ref="AW64:AW72" si="59">G64*AO64</f>
        <v>0</v>
      </c>
      <c r="AX64" s="100">
        <f t="shared" ref="AX64:AX72" si="60">G64*AP64</f>
        <v>0</v>
      </c>
      <c r="AY64" s="110" t="s">
        <v>1693</v>
      </c>
      <c r="AZ64" s="110" t="s">
        <v>1728</v>
      </c>
      <c r="BA64" s="109" t="s">
        <v>1737</v>
      </c>
      <c r="BC64" s="100">
        <f t="shared" ref="BC64:BC72" si="61">AW64+AX64</f>
        <v>0</v>
      </c>
      <c r="BD64" s="100">
        <f t="shared" ref="BD64:BD72" si="62">H64/(100-BE64)*100</f>
        <v>0</v>
      </c>
      <c r="BE64" s="100">
        <v>0</v>
      </c>
      <c r="BF64" s="100">
        <f>64</f>
        <v>64</v>
      </c>
      <c r="BH64" s="108">
        <f t="shared" ref="BH64:BH72" si="63">G64*AO64</f>
        <v>0</v>
      </c>
      <c r="BI64" s="108">
        <f t="shared" ref="BI64:BI72" si="64">G64*AP64</f>
        <v>0</v>
      </c>
      <c r="BJ64" s="108">
        <f t="shared" ref="BJ64:BJ72" si="65">G64*H64</f>
        <v>0</v>
      </c>
    </row>
    <row r="65" spans="1:62" x14ac:dyDescent="0.2">
      <c r="A65" s="117" t="s">
        <v>47</v>
      </c>
      <c r="B65" s="117" t="s">
        <v>608</v>
      </c>
      <c r="C65" s="304" t="s">
        <v>3737</v>
      </c>
      <c r="D65" s="305"/>
      <c r="E65" s="305"/>
      <c r="F65" s="117" t="s">
        <v>1645</v>
      </c>
      <c r="G65" s="116">
        <v>88.555999999999997</v>
      </c>
      <c r="H65" s="159"/>
      <c r="I65" s="108">
        <f t="shared" si="44"/>
        <v>0</v>
      </c>
      <c r="J65" s="108">
        <f t="shared" si="45"/>
        <v>0</v>
      </c>
      <c r="K65" s="108">
        <f t="shared" si="46"/>
        <v>0</v>
      </c>
      <c r="L65" s="111" t="s">
        <v>1671</v>
      </c>
      <c r="Z65" s="100">
        <f t="shared" si="47"/>
        <v>0</v>
      </c>
      <c r="AB65" s="100">
        <f t="shared" si="48"/>
        <v>0</v>
      </c>
      <c r="AC65" s="100">
        <f t="shared" si="49"/>
        <v>0</v>
      </c>
      <c r="AD65" s="100">
        <f t="shared" si="50"/>
        <v>0</v>
      </c>
      <c r="AE65" s="100">
        <f t="shared" si="51"/>
        <v>0</v>
      </c>
      <c r="AF65" s="100">
        <f t="shared" si="52"/>
        <v>0</v>
      </c>
      <c r="AG65" s="100">
        <f t="shared" si="53"/>
        <v>0</v>
      </c>
      <c r="AH65" s="100">
        <f t="shared" si="54"/>
        <v>0</v>
      </c>
      <c r="AI65" s="109"/>
      <c r="AJ65" s="108">
        <f t="shared" si="55"/>
        <v>0</v>
      </c>
      <c r="AK65" s="108">
        <f t="shared" si="56"/>
        <v>0</v>
      </c>
      <c r="AL65" s="108">
        <f t="shared" si="57"/>
        <v>0</v>
      </c>
      <c r="AN65" s="100">
        <v>15</v>
      </c>
      <c r="AO65" s="100">
        <f>H65*0.578269236929379</f>
        <v>0</v>
      </c>
      <c r="AP65" s="100">
        <f>H65*(1-0.578269236929379)</f>
        <v>0</v>
      </c>
      <c r="AQ65" s="111" t="s">
        <v>7</v>
      </c>
      <c r="AV65" s="100">
        <f t="shared" si="58"/>
        <v>0</v>
      </c>
      <c r="AW65" s="100">
        <f t="shared" si="59"/>
        <v>0</v>
      </c>
      <c r="AX65" s="100">
        <f t="shared" si="60"/>
        <v>0</v>
      </c>
      <c r="AY65" s="110" t="s">
        <v>1693</v>
      </c>
      <c r="AZ65" s="110" t="s">
        <v>1728</v>
      </c>
      <c r="BA65" s="109" t="s">
        <v>1737</v>
      </c>
      <c r="BC65" s="100">
        <f t="shared" si="61"/>
        <v>0</v>
      </c>
      <c r="BD65" s="100">
        <f t="shared" si="62"/>
        <v>0</v>
      </c>
      <c r="BE65" s="100">
        <v>0</v>
      </c>
      <c r="BF65" s="100">
        <f>65</f>
        <v>65</v>
      </c>
      <c r="BH65" s="108">
        <f t="shared" si="63"/>
        <v>0</v>
      </c>
      <c r="BI65" s="108">
        <f t="shared" si="64"/>
        <v>0</v>
      </c>
      <c r="BJ65" s="108">
        <f t="shared" si="65"/>
        <v>0</v>
      </c>
    </row>
    <row r="66" spans="1:62" x14ac:dyDescent="0.2">
      <c r="A66" s="117" t="s">
        <v>48</v>
      </c>
      <c r="B66" s="117" t="s">
        <v>608</v>
      </c>
      <c r="C66" s="304" t="s">
        <v>3736</v>
      </c>
      <c r="D66" s="305"/>
      <c r="E66" s="305"/>
      <c r="F66" s="117" t="s">
        <v>1645</v>
      </c>
      <c r="G66" s="116">
        <v>145.624</v>
      </c>
      <c r="H66" s="159"/>
      <c r="I66" s="108">
        <f t="shared" si="44"/>
        <v>0</v>
      </c>
      <c r="J66" s="108">
        <f t="shared" si="45"/>
        <v>0</v>
      </c>
      <c r="K66" s="108">
        <f t="shared" si="46"/>
        <v>0</v>
      </c>
      <c r="L66" s="111" t="s">
        <v>1671</v>
      </c>
      <c r="Z66" s="100">
        <f t="shared" si="47"/>
        <v>0</v>
      </c>
      <c r="AB66" s="100">
        <f t="shared" si="48"/>
        <v>0</v>
      </c>
      <c r="AC66" s="100">
        <f t="shared" si="49"/>
        <v>0</v>
      </c>
      <c r="AD66" s="100">
        <f t="shared" si="50"/>
        <v>0</v>
      </c>
      <c r="AE66" s="100">
        <f t="shared" si="51"/>
        <v>0</v>
      </c>
      <c r="AF66" s="100">
        <f t="shared" si="52"/>
        <v>0</v>
      </c>
      <c r="AG66" s="100">
        <f t="shared" si="53"/>
        <v>0</v>
      </c>
      <c r="AH66" s="100">
        <f t="shared" si="54"/>
        <v>0</v>
      </c>
      <c r="AI66" s="109"/>
      <c r="AJ66" s="108">
        <f t="shared" si="55"/>
        <v>0</v>
      </c>
      <c r="AK66" s="108">
        <f t="shared" si="56"/>
        <v>0</v>
      </c>
      <c r="AL66" s="108">
        <f t="shared" si="57"/>
        <v>0</v>
      </c>
      <c r="AN66" s="100">
        <v>15</v>
      </c>
      <c r="AO66" s="100">
        <f>H66*0.578269324885032</f>
        <v>0</v>
      </c>
      <c r="AP66" s="100">
        <f>H66*(1-0.578269324885032)</f>
        <v>0</v>
      </c>
      <c r="AQ66" s="111" t="s">
        <v>7</v>
      </c>
      <c r="AV66" s="100">
        <f t="shared" si="58"/>
        <v>0</v>
      </c>
      <c r="AW66" s="100">
        <f t="shared" si="59"/>
        <v>0</v>
      </c>
      <c r="AX66" s="100">
        <f t="shared" si="60"/>
        <v>0</v>
      </c>
      <c r="AY66" s="110" t="s">
        <v>1693</v>
      </c>
      <c r="AZ66" s="110" t="s">
        <v>1728</v>
      </c>
      <c r="BA66" s="109" t="s">
        <v>1737</v>
      </c>
      <c r="BC66" s="100">
        <f t="shared" si="61"/>
        <v>0</v>
      </c>
      <c r="BD66" s="100">
        <f t="shared" si="62"/>
        <v>0</v>
      </c>
      <c r="BE66" s="100">
        <v>0</v>
      </c>
      <c r="BF66" s="100">
        <f>66</f>
        <v>66</v>
      </c>
      <c r="BH66" s="108">
        <f t="shared" si="63"/>
        <v>0</v>
      </c>
      <c r="BI66" s="108">
        <f t="shared" si="64"/>
        <v>0</v>
      </c>
      <c r="BJ66" s="108">
        <f t="shared" si="65"/>
        <v>0</v>
      </c>
    </row>
    <row r="67" spans="1:62" x14ac:dyDescent="0.2">
      <c r="A67" s="117" t="s">
        <v>49</v>
      </c>
      <c r="B67" s="117" t="s">
        <v>608</v>
      </c>
      <c r="C67" s="304" t="s">
        <v>3735</v>
      </c>
      <c r="D67" s="305"/>
      <c r="E67" s="305"/>
      <c r="F67" s="117" t="s">
        <v>1645</v>
      </c>
      <c r="G67" s="116">
        <v>541.01900000000001</v>
      </c>
      <c r="H67" s="159"/>
      <c r="I67" s="108">
        <f t="shared" si="44"/>
        <v>0</v>
      </c>
      <c r="J67" s="108">
        <f t="shared" si="45"/>
        <v>0</v>
      </c>
      <c r="K67" s="108">
        <f t="shared" si="46"/>
        <v>0</v>
      </c>
      <c r="L67" s="111" t="s">
        <v>1671</v>
      </c>
      <c r="Z67" s="100">
        <f t="shared" si="47"/>
        <v>0</v>
      </c>
      <c r="AB67" s="100">
        <f t="shared" si="48"/>
        <v>0</v>
      </c>
      <c r="AC67" s="100">
        <f t="shared" si="49"/>
        <v>0</v>
      </c>
      <c r="AD67" s="100">
        <f t="shared" si="50"/>
        <v>0</v>
      </c>
      <c r="AE67" s="100">
        <f t="shared" si="51"/>
        <v>0</v>
      </c>
      <c r="AF67" s="100">
        <f t="shared" si="52"/>
        <v>0</v>
      </c>
      <c r="AG67" s="100">
        <f t="shared" si="53"/>
        <v>0</v>
      </c>
      <c r="AH67" s="100">
        <f t="shared" si="54"/>
        <v>0</v>
      </c>
      <c r="AI67" s="109"/>
      <c r="AJ67" s="108">
        <f t="shared" si="55"/>
        <v>0</v>
      </c>
      <c r="AK67" s="108">
        <f t="shared" si="56"/>
        <v>0</v>
      </c>
      <c r="AL67" s="108">
        <f t="shared" si="57"/>
        <v>0</v>
      </c>
      <c r="AN67" s="100">
        <v>15</v>
      </c>
      <c r="AO67" s="100">
        <f>H67*0.578269357974337</f>
        <v>0</v>
      </c>
      <c r="AP67" s="100">
        <f>H67*(1-0.578269357974337)</f>
        <v>0</v>
      </c>
      <c r="AQ67" s="111" t="s">
        <v>7</v>
      </c>
      <c r="AV67" s="100">
        <f t="shared" si="58"/>
        <v>0</v>
      </c>
      <c r="AW67" s="100">
        <f t="shared" si="59"/>
        <v>0</v>
      </c>
      <c r="AX67" s="100">
        <f t="shared" si="60"/>
        <v>0</v>
      </c>
      <c r="AY67" s="110" t="s">
        <v>1693</v>
      </c>
      <c r="AZ67" s="110" t="s">
        <v>1728</v>
      </c>
      <c r="BA67" s="109" t="s">
        <v>1737</v>
      </c>
      <c r="BC67" s="100">
        <f t="shared" si="61"/>
        <v>0</v>
      </c>
      <c r="BD67" s="100">
        <f t="shared" si="62"/>
        <v>0</v>
      </c>
      <c r="BE67" s="100">
        <v>0</v>
      </c>
      <c r="BF67" s="100">
        <f>67</f>
        <v>67</v>
      </c>
      <c r="BH67" s="108">
        <f t="shared" si="63"/>
        <v>0</v>
      </c>
      <c r="BI67" s="108">
        <f t="shared" si="64"/>
        <v>0</v>
      </c>
      <c r="BJ67" s="108">
        <f t="shared" si="65"/>
        <v>0</v>
      </c>
    </row>
    <row r="68" spans="1:62" x14ac:dyDescent="0.2">
      <c r="A68" s="117" t="s">
        <v>50</v>
      </c>
      <c r="B68" s="117" t="s">
        <v>608</v>
      </c>
      <c r="C68" s="304" t="s">
        <v>2505</v>
      </c>
      <c r="D68" s="305"/>
      <c r="E68" s="305"/>
      <c r="F68" s="117" t="s">
        <v>1645</v>
      </c>
      <c r="G68" s="116">
        <v>155.173</v>
      </c>
      <c r="H68" s="159"/>
      <c r="I68" s="108">
        <f t="shared" si="44"/>
        <v>0</v>
      </c>
      <c r="J68" s="108">
        <f t="shared" si="45"/>
        <v>0</v>
      </c>
      <c r="K68" s="108">
        <f t="shared" si="46"/>
        <v>0</v>
      </c>
      <c r="L68" s="111" t="s">
        <v>1671</v>
      </c>
      <c r="Z68" s="100">
        <f t="shared" si="47"/>
        <v>0</v>
      </c>
      <c r="AB68" s="100">
        <f t="shared" si="48"/>
        <v>0</v>
      </c>
      <c r="AC68" s="100">
        <f t="shared" si="49"/>
        <v>0</v>
      </c>
      <c r="AD68" s="100">
        <f t="shared" si="50"/>
        <v>0</v>
      </c>
      <c r="AE68" s="100">
        <f t="shared" si="51"/>
        <v>0</v>
      </c>
      <c r="AF68" s="100">
        <f t="shared" si="52"/>
        <v>0</v>
      </c>
      <c r="AG68" s="100">
        <f t="shared" si="53"/>
        <v>0</v>
      </c>
      <c r="AH68" s="100">
        <f t="shared" si="54"/>
        <v>0</v>
      </c>
      <c r="AI68" s="109"/>
      <c r="AJ68" s="108">
        <f t="shared" si="55"/>
        <v>0</v>
      </c>
      <c r="AK68" s="108">
        <f t="shared" si="56"/>
        <v>0</v>
      </c>
      <c r="AL68" s="108">
        <f t="shared" si="57"/>
        <v>0</v>
      </c>
      <c r="AN68" s="100">
        <v>15</v>
      </c>
      <c r="AO68" s="100">
        <f>H68*0.578269358312694</f>
        <v>0</v>
      </c>
      <c r="AP68" s="100">
        <f>H68*(1-0.578269358312694)</f>
        <v>0</v>
      </c>
      <c r="AQ68" s="111" t="s">
        <v>7</v>
      </c>
      <c r="AV68" s="100">
        <f t="shared" si="58"/>
        <v>0</v>
      </c>
      <c r="AW68" s="100">
        <f t="shared" si="59"/>
        <v>0</v>
      </c>
      <c r="AX68" s="100">
        <f t="shared" si="60"/>
        <v>0</v>
      </c>
      <c r="AY68" s="110" t="s">
        <v>1693</v>
      </c>
      <c r="AZ68" s="110" t="s">
        <v>1728</v>
      </c>
      <c r="BA68" s="109" t="s">
        <v>1737</v>
      </c>
      <c r="BC68" s="100">
        <f t="shared" si="61"/>
        <v>0</v>
      </c>
      <c r="BD68" s="100">
        <f t="shared" si="62"/>
        <v>0</v>
      </c>
      <c r="BE68" s="100">
        <v>0</v>
      </c>
      <c r="BF68" s="100">
        <f>68</f>
        <v>68</v>
      </c>
      <c r="BH68" s="108">
        <f t="shared" si="63"/>
        <v>0</v>
      </c>
      <c r="BI68" s="108">
        <f t="shared" si="64"/>
        <v>0</v>
      </c>
      <c r="BJ68" s="108">
        <f t="shared" si="65"/>
        <v>0</v>
      </c>
    </row>
    <row r="69" spans="1:62" x14ac:dyDescent="0.2">
      <c r="A69" s="117" t="s">
        <v>51</v>
      </c>
      <c r="B69" s="117" t="s">
        <v>609</v>
      </c>
      <c r="C69" s="304" t="s">
        <v>1107</v>
      </c>
      <c r="D69" s="305"/>
      <c r="E69" s="305"/>
      <c r="F69" s="117" t="s">
        <v>1646</v>
      </c>
      <c r="G69" s="116">
        <v>40</v>
      </c>
      <c r="H69" s="159"/>
      <c r="I69" s="108">
        <f t="shared" si="44"/>
        <v>0</v>
      </c>
      <c r="J69" s="108">
        <f t="shared" si="45"/>
        <v>0</v>
      </c>
      <c r="K69" s="108">
        <f t="shared" si="46"/>
        <v>0</v>
      </c>
      <c r="L69" s="111" t="s">
        <v>1671</v>
      </c>
      <c r="Z69" s="100">
        <f t="shared" si="47"/>
        <v>0</v>
      </c>
      <c r="AB69" s="100">
        <f t="shared" si="48"/>
        <v>0</v>
      </c>
      <c r="AC69" s="100">
        <f t="shared" si="49"/>
        <v>0</v>
      </c>
      <c r="AD69" s="100">
        <f t="shared" si="50"/>
        <v>0</v>
      </c>
      <c r="AE69" s="100">
        <f t="shared" si="51"/>
        <v>0</v>
      </c>
      <c r="AF69" s="100">
        <f t="shared" si="52"/>
        <v>0</v>
      </c>
      <c r="AG69" s="100">
        <f t="shared" si="53"/>
        <v>0</v>
      </c>
      <c r="AH69" s="100">
        <f t="shared" si="54"/>
        <v>0</v>
      </c>
      <c r="AI69" s="109"/>
      <c r="AJ69" s="108">
        <f t="shared" si="55"/>
        <v>0</v>
      </c>
      <c r="AK69" s="108">
        <f t="shared" si="56"/>
        <v>0</v>
      </c>
      <c r="AL69" s="108">
        <f t="shared" si="57"/>
        <v>0</v>
      </c>
      <c r="AN69" s="100">
        <v>15</v>
      </c>
      <c r="AO69" s="100">
        <f>H69*0.215363511659808</f>
        <v>0</v>
      </c>
      <c r="AP69" s="100">
        <f>H69*(1-0.215363511659808)</f>
        <v>0</v>
      </c>
      <c r="AQ69" s="111" t="s">
        <v>7</v>
      </c>
      <c r="AV69" s="100">
        <f t="shared" si="58"/>
        <v>0</v>
      </c>
      <c r="AW69" s="100">
        <f t="shared" si="59"/>
        <v>0</v>
      </c>
      <c r="AX69" s="100">
        <f t="shared" si="60"/>
        <v>0</v>
      </c>
      <c r="AY69" s="110" t="s">
        <v>1693</v>
      </c>
      <c r="AZ69" s="110" t="s">
        <v>1728</v>
      </c>
      <c r="BA69" s="109" t="s">
        <v>1737</v>
      </c>
      <c r="BC69" s="100">
        <f t="shared" si="61"/>
        <v>0</v>
      </c>
      <c r="BD69" s="100">
        <f t="shared" si="62"/>
        <v>0</v>
      </c>
      <c r="BE69" s="100">
        <v>0</v>
      </c>
      <c r="BF69" s="100">
        <f>69</f>
        <v>69</v>
      </c>
      <c r="BH69" s="108">
        <f t="shared" si="63"/>
        <v>0</v>
      </c>
      <c r="BI69" s="108">
        <f t="shared" si="64"/>
        <v>0</v>
      </c>
      <c r="BJ69" s="108">
        <f t="shared" si="65"/>
        <v>0</v>
      </c>
    </row>
    <row r="70" spans="1:62" x14ac:dyDescent="0.2">
      <c r="A70" s="117" t="s">
        <v>52</v>
      </c>
      <c r="B70" s="117" t="s">
        <v>610</v>
      </c>
      <c r="C70" s="304" t="s">
        <v>1108</v>
      </c>
      <c r="D70" s="305"/>
      <c r="E70" s="305"/>
      <c r="F70" s="117" t="s">
        <v>1646</v>
      </c>
      <c r="G70" s="116">
        <v>93.52</v>
      </c>
      <c r="H70" s="159"/>
      <c r="I70" s="108">
        <f t="shared" si="44"/>
        <v>0</v>
      </c>
      <c r="J70" s="108">
        <f t="shared" si="45"/>
        <v>0</v>
      </c>
      <c r="K70" s="108">
        <f t="shared" si="46"/>
        <v>0</v>
      </c>
      <c r="L70" s="111" t="s">
        <v>1671</v>
      </c>
      <c r="Z70" s="100">
        <f t="shared" si="47"/>
        <v>0</v>
      </c>
      <c r="AB70" s="100">
        <f t="shared" si="48"/>
        <v>0</v>
      </c>
      <c r="AC70" s="100">
        <f t="shared" si="49"/>
        <v>0</v>
      </c>
      <c r="AD70" s="100">
        <f t="shared" si="50"/>
        <v>0</v>
      </c>
      <c r="AE70" s="100">
        <f t="shared" si="51"/>
        <v>0</v>
      </c>
      <c r="AF70" s="100">
        <f t="shared" si="52"/>
        <v>0</v>
      </c>
      <c r="AG70" s="100">
        <f t="shared" si="53"/>
        <v>0</v>
      </c>
      <c r="AH70" s="100">
        <f t="shared" si="54"/>
        <v>0</v>
      </c>
      <c r="AI70" s="109"/>
      <c r="AJ70" s="108">
        <f t="shared" si="55"/>
        <v>0</v>
      </c>
      <c r="AK70" s="108">
        <f t="shared" si="56"/>
        <v>0</v>
      </c>
      <c r="AL70" s="108">
        <f t="shared" si="57"/>
        <v>0</v>
      </c>
      <c r="AN70" s="100">
        <v>15</v>
      </c>
      <c r="AO70" s="100">
        <f>H70*0.564852572242561</f>
        <v>0</v>
      </c>
      <c r="AP70" s="100">
        <f>H70*(1-0.564852572242561)</f>
        <v>0</v>
      </c>
      <c r="AQ70" s="111" t="s">
        <v>7</v>
      </c>
      <c r="AV70" s="100">
        <f t="shared" si="58"/>
        <v>0</v>
      </c>
      <c r="AW70" s="100">
        <f t="shared" si="59"/>
        <v>0</v>
      </c>
      <c r="AX70" s="100">
        <f t="shared" si="60"/>
        <v>0</v>
      </c>
      <c r="AY70" s="110" t="s">
        <v>1693</v>
      </c>
      <c r="AZ70" s="110" t="s">
        <v>1728</v>
      </c>
      <c r="BA70" s="109" t="s">
        <v>1737</v>
      </c>
      <c r="BC70" s="100">
        <f t="shared" si="61"/>
        <v>0</v>
      </c>
      <c r="BD70" s="100">
        <f t="shared" si="62"/>
        <v>0</v>
      </c>
      <c r="BE70" s="100">
        <v>0</v>
      </c>
      <c r="BF70" s="100">
        <f>70</f>
        <v>70</v>
      </c>
      <c r="BH70" s="108">
        <f t="shared" si="63"/>
        <v>0</v>
      </c>
      <c r="BI70" s="108">
        <f t="shared" si="64"/>
        <v>0</v>
      </c>
      <c r="BJ70" s="108">
        <f t="shared" si="65"/>
        <v>0</v>
      </c>
    </row>
    <row r="71" spans="1:62" x14ac:dyDescent="0.2">
      <c r="A71" s="117" t="s">
        <v>53</v>
      </c>
      <c r="B71" s="117" t="s">
        <v>611</v>
      </c>
      <c r="C71" s="304" t="s">
        <v>1109</v>
      </c>
      <c r="D71" s="305"/>
      <c r="E71" s="305"/>
      <c r="F71" s="117" t="s">
        <v>1646</v>
      </c>
      <c r="G71" s="116">
        <v>15.7</v>
      </c>
      <c r="H71" s="159"/>
      <c r="I71" s="108">
        <f t="shared" si="44"/>
        <v>0</v>
      </c>
      <c r="J71" s="108">
        <f t="shared" si="45"/>
        <v>0</v>
      </c>
      <c r="K71" s="108">
        <f t="shared" si="46"/>
        <v>0</v>
      </c>
      <c r="L71" s="111" t="s">
        <v>1671</v>
      </c>
      <c r="Z71" s="100">
        <f t="shared" si="47"/>
        <v>0</v>
      </c>
      <c r="AB71" s="100">
        <f t="shared" si="48"/>
        <v>0</v>
      </c>
      <c r="AC71" s="100">
        <f t="shared" si="49"/>
        <v>0</v>
      </c>
      <c r="AD71" s="100">
        <f t="shared" si="50"/>
        <v>0</v>
      </c>
      <c r="AE71" s="100">
        <f t="shared" si="51"/>
        <v>0</v>
      </c>
      <c r="AF71" s="100">
        <f t="shared" si="52"/>
        <v>0</v>
      </c>
      <c r="AG71" s="100">
        <f t="shared" si="53"/>
        <v>0</v>
      </c>
      <c r="AH71" s="100">
        <f t="shared" si="54"/>
        <v>0</v>
      </c>
      <c r="AI71" s="109"/>
      <c r="AJ71" s="108">
        <f t="shared" si="55"/>
        <v>0</v>
      </c>
      <c r="AK71" s="108">
        <f t="shared" si="56"/>
        <v>0</v>
      </c>
      <c r="AL71" s="108">
        <f t="shared" si="57"/>
        <v>0</v>
      </c>
      <c r="AN71" s="100">
        <v>15</v>
      </c>
      <c r="AO71" s="100">
        <f>H71*0.723184646223634</f>
        <v>0</v>
      </c>
      <c r="AP71" s="100">
        <f>H71*(1-0.723184646223634)</f>
        <v>0</v>
      </c>
      <c r="AQ71" s="111" t="s">
        <v>7</v>
      </c>
      <c r="AV71" s="100">
        <f t="shared" si="58"/>
        <v>0</v>
      </c>
      <c r="AW71" s="100">
        <f t="shared" si="59"/>
        <v>0</v>
      </c>
      <c r="AX71" s="100">
        <f t="shared" si="60"/>
        <v>0</v>
      </c>
      <c r="AY71" s="110" t="s">
        <v>1693</v>
      </c>
      <c r="AZ71" s="110" t="s">
        <v>1728</v>
      </c>
      <c r="BA71" s="109" t="s">
        <v>1737</v>
      </c>
      <c r="BC71" s="100">
        <f t="shared" si="61"/>
        <v>0</v>
      </c>
      <c r="BD71" s="100">
        <f t="shared" si="62"/>
        <v>0</v>
      </c>
      <c r="BE71" s="100">
        <v>0</v>
      </c>
      <c r="BF71" s="100">
        <f>71</f>
        <v>71</v>
      </c>
      <c r="BH71" s="108">
        <f t="shared" si="63"/>
        <v>0</v>
      </c>
      <c r="BI71" s="108">
        <f t="shared" si="64"/>
        <v>0</v>
      </c>
      <c r="BJ71" s="108">
        <f t="shared" si="65"/>
        <v>0</v>
      </c>
    </row>
    <row r="72" spans="1:62" x14ac:dyDescent="0.2">
      <c r="A72" s="117" t="s">
        <v>54</v>
      </c>
      <c r="B72" s="117" t="s">
        <v>612</v>
      </c>
      <c r="C72" s="304" t="s">
        <v>1110</v>
      </c>
      <c r="D72" s="305"/>
      <c r="E72" s="305"/>
      <c r="F72" s="117" t="s">
        <v>1645</v>
      </c>
      <c r="G72" s="116">
        <v>145.624</v>
      </c>
      <c r="H72" s="159"/>
      <c r="I72" s="108">
        <f t="shared" si="44"/>
        <v>0</v>
      </c>
      <c r="J72" s="108">
        <f t="shared" si="45"/>
        <v>0</v>
      </c>
      <c r="K72" s="108">
        <f t="shared" si="46"/>
        <v>0</v>
      </c>
      <c r="L72" s="111" t="s">
        <v>1671</v>
      </c>
      <c r="Z72" s="100">
        <f t="shared" si="47"/>
        <v>0</v>
      </c>
      <c r="AB72" s="100">
        <f t="shared" si="48"/>
        <v>0</v>
      </c>
      <c r="AC72" s="100">
        <f t="shared" si="49"/>
        <v>0</v>
      </c>
      <c r="AD72" s="100">
        <f t="shared" si="50"/>
        <v>0</v>
      </c>
      <c r="AE72" s="100">
        <f t="shared" si="51"/>
        <v>0</v>
      </c>
      <c r="AF72" s="100">
        <f t="shared" si="52"/>
        <v>0</v>
      </c>
      <c r="AG72" s="100">
        <f t="shared" si="53"/>
        <v>0</v>
      </c>
      <c r="AH72" s="100">
        <f t="shared" si="54"/>
        <v>0</v>
      </c>
      <c r="AI72" s="109"/>
      <c r="AJ72" s="108">
        <f t="shared" si="55"/>
        <v>0</v>
      </c>
      <c r="AK72" s="108">
        <f t="shared" si="56"/>
        <v>0</v>
      </c>
      <c r="AL72" s="108">
        <f t="shared" si="57"/>
        <v>0</v>
      </c>
      <c r="AN72" s="100">
        <v>15</v>
      </c>
      <c r="AO72" s="100">
        <f>H72*0.580357807937256</f>
        <v>0</v>
      </c>
      <c r="AP72" s="100">
        <f>H72*(1-0.580357807937256)</f>
        <v>0</v>
      </c>
      <c r="AQ72" s="111" t="s">
        <v>7</v>
      </c>
      <c r="AV72" s="100">
        <f t="shared" si="58"/>
        <v>0</v>
      </c>
      <c r="AW72" s="100">
        <f t="shared" si="59"/>
        <v>0</v>
      </c>
      <c r="AX72" s="100">
        <f t="shared" si="60"/>
        <v>0</v>
      </c>
      <c r="AY72" s="110" t="s">
        <v>1693</v>
      </c>
      <c r="AZ72" s="110" t="s">
        <v>1728</v>
      </c>
      <c r="BA72" s="109" t="s">
        <v>1737</v>
      </c>
      <c r="BC72" s="100">
        <f t="shared" si="61"/>
        <v>0</v>
      </c>
      <c r="BD72" s="100">
        <f t="shared" si="62"/>
        <v>0</v>
      </c>
      <c r="BE72" s="100">
        <v>0</v>
      </c>
      <c r="BF72" s="100">
        <f>72</f>
        <v>72</v>
      </c>
      <c r="BH72" s="108">
        <f t="shared" si="63"/>
        <v>0</v>
      </c>
      <c r="BI72" s="108">
        <f t="shared" si="64"/>
        <v>0</v>
      </c>
      <c r="BJ72" s="108">
        <f t="shared" si="65"/>
        <v>0</v>
      </c>
    </row>
    <row r="73" spans="1:62" ht="12.75" customHeight="1" x14ac:dyDescent="0.2">
      <c r="B73" s="125" t="s">
        <v>613</v>
      </c>
      <c r="C73" s="164" t="s">
        <v>1111</v>
      </c>
      <c r="D73" s="158"/>
      <c r="E73" s="158"/>
      <c r="F73" s="158"/>
      <c r="G73" s="158"/>
      <c r="H73" s="158"/>
      <c r="I73" s="158"/>
      <c r="J73" s="158"/>
      <c r="K73" s="158"/>
      <c r="L73" s="158"/>
    </row>
    <row r="74" spans="1:62" x14ac:dyDescent="0.2">
      <c r="A74" s="117" t="s">
        <v>55</v>
      </c>
      <c r="B74" s="117" t="s">
        <v>614</v>
      </c>
      <c r="C74" s="304" t="s">
        <v>1112</v>
      </c>
      <c r="D74" s="305"/>
      <c r="E74" s="305"/>
      <c r="F74" s="117" t="s">
        <v>1645</v>
      </c>
      <c r="G74" s="116">
        <v>88.555999999999997</v>
      </c>
      <c r="H74" s="159"/>
      <c r="I74" s="108">
        <f>G74*AO74</f>
        <v>0</v>
      </c>
      <c r="J74" s="108">
        <f>G74*AP74</f>
        <v>0</v>
      </c>
      <c r="K74" s="108">
        <f>G74*H74</f>
        <v>0</v>
      </c>
      <c r="L74" s="111" t="s">
        <v>1671</v>
      </c>
      <c r="Z74" s="100">
        <f>IF(AQ74="5",BJ74,0)</f>
        <v>0</v>
      </c>
      <c r="AB74" s="100">
        <f>IF(AQ74="1",BH74,0)</f>
        <v>0</v>
      </c>
      <c r="AC74" s="100">
        <f>IF(AQ74="1",BI74,0)</f>
        <v>0</v>
      </c>
      <c r="AD74" s="100">
        <f>IF(AQ74="7",BH74,0)</f>
        <v>0</v>
      </c>
      <c r="AE74" s="100">
        <f>IF(AQ74="7",BI74,0)</f>
        <v>0</v>
      </c>
      <c r="AF74" s="100">
        <f>IF(AQ74="2",BH74,0)</f>
        <v>0</v>
      </c>
      <c r="AG74" s="100">
        <f>IF(AQ74="2",BI74,0)</f>
        <v>0</v>
      </c>
      <c r="AH74" s="100">
        <f>IF(AQ74="0",BJ74,0)</f>
        <v>0</v>
      </c>
      <c r="AI74" s="109"/>
      <c r="AJ74" s="108">
        <f>IF(AN74=0,K74,0)</f>
        <v>0</v>
      </c>
      <c r="AK74" s="108">
        <f>IF(AN74=15,K74,0)</f>
        <v>0</v>
      </c>
      <c r="AL74" s="108">
        <f>IF(AN74=21,K74,0)</f>
        <v>0</v>
      </c>
      <c r="AN74" s="100">
        <v>15</v>
      </c>
      <c r="AO74" s="100">
        <f>H74*0.659033034555887</f>
        <v>0</v>
      </c>
      <c r="AP74" s="100">
        <f>H74*(1-0.659033034555887)</f>
        <v>0</v>
      </c>
      <c r="AQ74" s="111" t="s">
        <v>7</v>
      </c>
      <c r="AV74" s="100">
        <f>AW74+AX74</f>
        <v>0</v>
      </c>
      <c r="AW74" s="100">
        <f>G74*AO74</f>
        <v>0</v>
      </c>
      <c r="AX74" s="100">
        <f>G74*AP74</f>
        <v>0</v>
      </c>
      <c r="AY74" s="110" t="s">
        <v>1693</v>
      </c>
      <c r="AZ74" s="110" t="s">
        <v>1728</v>
      </c>
      <c r="BA74" s="109" t="s">
        <v>1737</v>
      </c>
      <c r="BC74" s="100">
        <f>AW74+AX74</f>
        <v>0</v>
      </c>
      <c r="BD74" s="100">
        <f>H74/(100-BE74)*100</f>
        <v>0</v>
      </c>
      <c r="BE74" s="100">
        <v>0</v>
      </c>
      <c r="BF74" s="100">
        <f>74</f>
        <v>74</v>
      </c>
      <c r="BH74" s="108">
        <f>G74*AO74</f>
        <v>0</v>
      </c>
      <c r="BI74" s="108">
        <f>G74*AP74</f>
        <v>0</v>
      </c>
      <c r="BJ74" s="108">
        <f>G74*H74</f>
        <v>0</v>
      </c>
    </row>
    <row r="75" spans="1:62" ht="12.75" customHeight="1" x14ac:dyDescent="0.2">
      <c r="B75" s="125" t="s">
        <v>613</v>
      </c>
      <c r="C75" s="164" t="s">
        <v>1113</v>
      </c>
      <c r="D75" s="158"/>
      <c r="E75" s="158"/>
      <c r="F75" s="158"/>
      <c r="G75" s="158"/>
      <c r="H75" s="158"/>
      <c r="I75" s="158"/>
      <c r="J75" s="158"/>
      <c r="K75" s="158"/>
      <c r="L75" s="158"/>
    </row>
    <row r="76" spans="1:62" x14ac:dyDescent="0.2">
      <c r="A76" s="117" t="s">
        <v>56</v>
      </c>
      <c r="B76" s="117" t="s">
        <v>615</v>
      </c>
      <c r="C76" s="304" t="s">
        <v>1114</v>
      </c>
      <c r="D76" s="305"/>
      <c r="E76" s="305"/>
      <c r="F76" s="117" t="s">
        <v>1645</v>
      </c>
      <c r="G76" s="116">
        <v>541.01900000000001</v>
      </c>
      <c r="H76" s="159"/>
      <c r="I76" s="108">
        <f>G76*AO76</f>
        <v>0</v>
      </c>
      <c r="J76" s="108">
        <f>G76*AP76</f>
        <v>0</v>
      </c>
      <c r="K76" s="108">
        <f>G76*H76</f>
        <v>0</v>
      </c>
      <c r="L76" s="111" t="s">
        <v>1671</v>
      </c>
      <c r="Z76" s="100">
        <f>IF(AQ76="5",BJ76,0)</f>
        <v>0</v>
      </c>
      <c r="AB76" s="100">
        <f>IF(AQ76="1",BH76,0)</f>
        <v>0</v>
      </c>
      <c r="AC76" s="100">
        <f>IF(AQ76="1",BI76,0)</f>
        <v>0</v>
      </c>
      <c r="AD76" s="100">
        <f>IF(AQ76="7",BH76,0)</f>
        <v>0</v>
      </c>
      <c r="AE76" s="100">
        <f>IF(AQ76="7",BI76,0)</f>
        <v>0</v>
      </c>
      <c r="AF76" s="100">
        <f>IF(AQ76="2",BH76,0)</f>
        <v>0</v>
      </c>
      <c r="AG76" s="100">
        <f>IF(AQ76="2",BI76,0)</f>
        <v>0</v>
      </c>
      <c r="AH76" s="100">
        <f>IF(AQ76="0",BJ76,0)</f>
        <v>0</v>
      </c>
      <c r="AI76" s="109"/>
      <c r="AJ76" s="108">
        <f>IF(AN76=0,K76,0)</f>
        <v>0</v>
      </c>
      <c r="AK76" s="108">
        <f>IF(AN76=15,K76,0)</f>
        <v>0</v>
      </c>
      <c r="AL76" s="108">
        <f>IF(AN76=21,K76,0)</f>
        <v>0</v>
      </c>
      <c r="AN76" s="100">
        <v>15</v>
      </c>
      <c r="AO76" s="100">
        <f>H76*0.695718875502008</f>
        <v>0</v>
      </c>
      <c r="AP76" s="100">
        <f>H76*(1-0.695718875502008)</f>
        <v>0</v>
      </c>
      <c r="AQ76" s="111" t="s">
        <v>7</v>
      </c>
      <c r="AV76" s="100">
        <f>AW76+AX76</f>
        <v>0</v>
      </c>
      <c r="AW76" s="100">
        <f>G76*AO76</f>
        <v>0</v>
      </c>
      <c r="AX76" s="100">
        <f>G76*AP76</f>
        <v>0</v>
      </c>
      <c r="AY76" s="110" t="s">
        <v>1693</v>
      </c>
      <c r="AZ76" s="110" t="s">
        <v>1728</v>
      </c>
      <c r="BA76" s="109" t="s">
        <v>1737</v>
      </c>
      <c r="BC76" s="100">
        <f>AW76+AX76</f>
        <v>0</v>
      </c>
      <c r="BD76" s="100">
        <f>H76/(100-BE76)*100</f>
        <v>0</v>
      </c>
      <c r="BE76" s="100">
        <v>0</v>
      </c>
      <c r="BF76" s="100">
        <f>76</f>
        <v>76</v>
      </c>
      <c r="BH76" s="108">
        <f>G76*AO76</f>
        <v>0</v>
      </c>
      <c r="BI76" s="108">
        <f>G76*AP76</f>
        <v>0</v>
      </c>
      <c r="BJ76" s="108">
        <f>G76*H76</f>
        <v>0</v>
      </c>
    </row>
    <row r="77" spans="1:62" x14ac:dyDescent="0.2">
      <c r="B77" s="125" t="s">
        <v>613</v>
      </c>
      <c r="C77" s="164" t="s">
        <v>1115</v>
      </c>
      <c r="D77" s="158"/>
      <c r="E77" s="158"/>
      <c r="F77" s="158"/>
      <c r="G77" s="158"/>
      <c r="H77" s="158"/>
      <c r="I77" s="158"/>
      <c r="J77" s="158"/>
      <c r="K77" s="158"/>
      <c r="L77" s="158"/>
    </row>
    <row r="78" spans="1:62" x14ac:dyDescent="0.2">
      <c r="A78" s="117" t="s">
        <v>57</v>
      </c>
      <c r="B78" s="117" t="s">
        <v>616</v>
      </c>
      <c r="C78" s="304" t="s">
        <v>1116</v>
      </c>
      <c r="D78" s="305"/>
      <c r="E78" s="305"/>
      <c r="F78" s="117" t="s">
        <v>1645</v>
      </c>
      <c r="G78" s="116">
        <v>61.466999999999999</v>
      </c>
      <c r="H78" s="159"/>
      <c r="I78" s="108">
        <f>G78*AO78</f>
        <v>0</v>
      </c>
      <c r="J78" s="108">
        <f>G78*AP78</f>
        <v>0</v>
      </c>
      <c r="K78" s="108">
        <f>G78*H78</f>
        <v>0</v>
      </c>
      <c r="L78" s="111" t="s">
        <v>1671</v>
      </c>
      <c r="Z78" s="100">
        <f>IF(AQ78="5",BJ78,0)</f>
        <v>0</v>
      </c>
      <c r="AB78" s="100">
        <f>IF(AQ78="1",BH78,0)</f>
        <v>0</v>
      </c>
      <c r="AC78" s="100">
        <f>IF(AQ78="1",BI78,0)</f>
        <v>0</v>
      </c>
      <c r="AD78" s="100">
        <f>IF(AQ78="7",BH78,0)</f>
        <v>0</v>
      </c>
      <c r="AE78" s="100">
        <f>IF(AQ78="7",BI78,0)</f>
        <v>0</v>
      </c>
      <c r="AF78" s="100">
        <f>IF(AQ78="2",BH78,0)</f>
        <v>0</v>
      </c>
      <c r="AG78" s="100">
        <f>IF(AQ78="2",BI78,0)</f>
        <v>0</v>
      </c>
      <c r="AH78" s="100">
        <f>IF(AQ78="0",BJ78,0)</f>
        <v>0</v>
      </c>
      <c r="AI78" s="109"/>
      <c r="AJ78" s="108">
        <f>IF(AN78=0,K78,0)</f>
        <v>0</v>
      </c>
      <c r="AK78" s="108">
        <f>IF(AN78=15,K78,0)</f>
        <v>0</v>
      </c>
      <c r="AL78" s="108">
        <f>IF(AN78=21,K78,0)</f>
        <v>0</v>
      </c>
      <c r="AN78" s="100">
        <v>15</v>
      </c>
      <c r="AO78" s="100">
        <f>H78*0.355093409582246</f>
        <v>0</v>
      </c>
      <c r="AP78" s="100">
        <f>H78*(1-0.355093409582246)</f>
        <v>0</v>
      </c>
      <c r="AQ78" s="111" t="s">
        <v>7</v>
      </c>
      <c r="AV78" s="100">
        <f>AW78+AX78</f>
        <v>0</v>
      </c>
      <c r="AW78" s="100">
        <f>G78*AO78</f>
        <v>0</v>
      </c>
      <c r="AX78" s="100">
        <f>G78*AP78</f>
        <v>0</v>
      </c>
      <c r="AY78" s="110" t="s">
        <v>1693</v>
      </c>
      <c r="AZ78" s="110" t="s">
        <v>1728</v>
      </c>
      <c r="BA78" s="109" t="s">
        <v>1737</v>
      </c>
      <c r="BC78" s="100">
        <f>AW78+AX78</f>
        <v>0</v>
      </c>
      <c r="BD78" s="100">
        <f>H78/(100-BE78)*100</f>
        <v>0</v>
      </c>
      <c r="BE78" s="100">
        <v>0</v>
      </c>
      <c r="BF78" s="100">
        <f>78</f>
        <v>78</v>
      </c>
      <c r="BH78" s="108">
        <f>G78*AO78</f>
        <v>0</v>
      </c>
      <c r="BI78" s="108">
        <f>G78*AP78</f>
        <v>0</v>
      </c>
      <c r="BJ78" s="108">
        <f>G78*H78</f>
        <v>0</v>
      </c>
    </row>
    <row r="79" spans="1:62" x14ac:dyDescent="0.2">
      <c r="B79" s="125" t="s">
        <v>613</v>
      </c>
      <c r="C79" s="164" t="s">
        <v>1117</v>
      </c>
      <c r="D79" s="158"/>
      <c r="E79" s="158"/>
      <c r="F79" s="158"/>
      <c r="G79" s="158"/>
      <c r="H79" s="158"/>
      <c r="I79" s="158"/>
      <c r="J79" s="158"/>
      <c r="K79" s="158"/>
      <c r="L79" s="158"/>
    </row>
    <row r="80" spans="1:62" x14ac:dyDescent="0.2">
      <c r="A80" s="117" t="s">
        <v>58</v>
      </c>
      <c r="B80" s="117" t="s">
        <v>617</v>
      </c>
      <c r="C80" s="304" t="s">
        <v>1118</v>
      </c>
      <c r="D80" s="305"/>
      <c r="E80" s="305"/>
      <c r="F80" s="117" t="s">
        <v>1646</v>
      </c>
      <c r="G80" s="116">
        <v>68.5</v>
      </c>
      <c r="H80" s="159"/>
      <c r="I80" s="108">
        <f t="shared" ref="I80:I86" si="66">G80*AO80</f>
        <v>0</v>
      </c>
      <c r="J80" s="108">
        <f t="shared" ref="J80:J86" si="67">G80*AP80</f>
        <v>0</v>
      </c>
      <c r="K80" s="108">
        <f t="shared" ref="K80:K86" si="68">G80*H80</f>
        <v>0</v>
      </c>
      <c r="L80" s="111" t="s">
        <v>1671</v>
      </c>
      <c r="Z80" s="100">
        <f t="shared" ref="Z80:Z86" si="69">IF(AQ80="5",BJ80,0)</f>
        <v>0</v>
      </c>
      <c r="AB80" s="100">
        <f t="shared" ref="AB80:AB86" si="70">IF(AQ80="1",BH80,0)</f>
        <v>0</v>
      </c>
      <c r="AC80" s="100">
        <f t="shared" ref="AC80:AC86" si="71">IF(AQ80="1",BI80,0)</f>
        <v>0</v>
      </c>
      <c r="AD80" s="100">
        <f t="shared" ref="AD80:AD86" si="72">IF(AQ80="7",BH80,0)</f>
        <v>0</v>
      </c>
      <c r="AE80" s="100">
        <f t="shared" ref="AE80:AE86" si="73">IF(AQ80="7",BI80,0)</f>
        <v>0</v>
      </c>
      <c r="AF80" s="100">
        <f t="shared" ref="AF80:AF86" si="74">IF(AQ80="2",BH80,0)</f>
        <v>0</v>
      </c>
      <c r="AG80" s="100">
        <f t="shared" ref="AG80:AG86" si="75">IF(AQ80="2",BI80,0)</f>
        <v>0</v>
      </c>
      <c r="AH80" s="100">
        <f t="shared" ref="AH80:AH86" si="76">IF(AQ80="0",BJ80,0)</f>
        <v>0</v>
      </c>
      <c r="AI80" s="109"/>
      <c r="AJ80" s="108">
        <f t="shared" ref="AJ80:AJ86" si="77">IF(AN80=0,K80,0)</f>
        <v>0</v>
      </c>
      <c r="AK80" s="108">
        <f t="shared" ref="AK80:AK86" si="78">IF(AN80=15,K80,0)</f>
        <v>0</v>
      </c>
      <c r="AL80" s="108">
        <f t="shared" ref="AL80:AL86" si="79">IF(AN80=21,K80,0)</f>
        <v>0</v>
      </c>
      <c r="AN80" s="100">
        <v>15</v>
      </c>
      <c r="AO80" s="100">
        <f>H80*0.314</f>
        <v>0</v>
      </c>
      <c r="AP80" s="100">
        <f>H80*(1-0.314)</f>
        <v>0</v>
      </c>
      <c r="AQ80" s="111" t="s">
        <v>7</v>
      </c>
      <c r="AV80" s="100">
        <f t="shared" ref="AV80:AV86" si="80">AW80+AX80</f>
        <v>0</v>
      </c>
      <c r="AW80" s="100">
        <f t="shared" ref="AW80:AW86" si="81">G80*AO80</f>
        <v>0</v>
      </c>
      <c r="AX80" s="100">
        <f t="shared" ref="AX80:AX86" si="82">G80*AP80</f>
        <v>0</v>
      </c>
      <c r="AY80" s="110" t="s">
        <v>1693</v>
      </c>
      <c r="AZ80" s="110" t="s">
        <v>1728</v>
      </c>
      <c r="BA80" s="109" t="s">
        <v>1737</v>
      </c>
      <c r="BC80" s="100">
        <f t="shared" ref="BC80:BC86" si="83">AW80+AX80</f>
        <v>0</v>
      </c>
      <c r="BD80" s="100">
        <f t="shared" ref="BD80:BD86" si="84">H80/(100-BE80)*100</f>
        <v>0</v>
      </c>
      <c r="BE80" s="100">
        <v>0</v>
      </c>
      <c r="BF80" s="100">
        <f>80</f>
        <v>80</v>
      </c>
      <c r="BH80" s="108">
        <f t="shared" ref="BH80:BH86" si="85">G80*AO80</f>
        <v>0</v>
      </c>
      <c r="BI80" s="108">
        <f t="shared" ref="BI80:BI86" si="86">G80*AP80</f>
        <v>0</v>
      </c>
      <c r="BJ80" s="108">
        <f t="shared" ref="BJ80:BJ86" si="87">G80*H80</f>
        <v>0</v>
      </c>
    </row>
    <row r="81" spans="1:62" x14ac:dyDescent="0.2">
      <c r="A81" s="117" t="s">
        <v>59</v>
      </c>
      <c r="B81" s="117" t="s">
        <v>618</v>
      </c>
      <c r="C81" s="304" t="s">
        <v>1119</v>
      </c>
      <c r="D81" s="305"/>
      <c r="E81" s="305"/>
      <c r="F81" s="117" t="s">
        <v>1645</v>
      </c>
      <c r="G81" s="116">
        <v>836.66600000000005</v>
      </c>
      <c r="H81" s="159"/>
      <c r="I81" s="108">
        <f t="shared" si="66"/>
        <v>0</v>
      </c>
      <c r="J81" s="108">
        <f t="shared" si="67"/>
        <v>0</v>
      </c>
      <c r="K81" s="108">
        <f t="shared" si="68"/>
        <v>0</v>
      </c>
      <c r="L81" s="111" t="s">
        <v>1671</v>
      </c>
      <c r="Z81" s="100">
        <f t="shared" si="69"/>
        <v>0</v>
      </c>
      <c r="AB81" s="100">
        <f t="shared" si="70"/>
        <v>0</v>
      </c>
      <c r="AC81" s="100">
        <f t="shared" si="71"/>
        <v>0</v>
      </c>
      <c r="AD81" s="100">
        <f t="shared" si="72"/>
        <v>0</v>
      </c>
      <c r="AE81" s="100">
        <f t="shared" si="73"/>
        <v>0</v>
      </c>
      <c r="AF81" s="100">
        <f t="shared" si="74"/>
        <v>0</v>
      </c>
      <c r="AG81" s="100">
        <f t="shared" si="75"/>
        <v>0</v>
      </c>
      <c r="AH81" s="100">
        <f t="shared" si="76"/>
        <v>0</v>
      </c>
      <c r="AI81" s="109"/>
      <c r="AJ81" s="108">
        <f t="shared" si="77"/>
        <v>0</v>
      </c>
      <c r="AK81" s="108">
        <f t="shared" si="78"/>
        <v>0</v>
      </c>
      <c r="AL81" s="108">
        <f t="shared" si="79"/>
        <v>0</v>
      </c>
      <c r="AN81" s="100">
        <v>15</v>
      </c>
      <c r="AO81" s="100">
        <f>H81*0.321454545454545</f>
        <v>0</v>
      </c>
      <c r="AP81" s="100">
        <f>H81*(1-0.321454545454545)</f>
        <v>0</v>
      </c>
      <c r="AQ81" s="111" t="s">
        <v>7</v>
      </c>
      <c r="AV81" s="100">
        <f t="shared" si="80"/>
        <v>0</v>
      </c>
      <c r="AW81" s="100">
        <f t="shared" si="81"/>
        <v>0</v>
      </c>
      <c r="AX81" s="100">
        <f t="shared" si="82"/>
        <v>0</v>
      </c>
      <c r="AY81" s="110" t="s">
        <v>1693</v>
      </c>
      <c r="AZ81" s="110" t="s">
        <v>1728</v>
      </c>
      <c r="BA81" s="109" t="s">
        <v>1737</v>
      </c>
      <c r="BC81" s="100">
        <f t="shared" si="83"/>
        <v>0</v>
      </c>
      <c r="BD81" s="100">
        <f t="shared" si="84"/>
        <v>0</v>
      </c>
      <c r="BE81" s="100">
        <v>0</v>
      </c>
      <c r="BF81" s="100">
        <f>81</f>
        <v>81</v>
      </c>
      <c r="BH81" s="108">
        <f t="shared" si="85"/>
        <v>0</v>
      </c>
      <c r="BI81" s="108">
        <f t="shared" si="86"/>
        <v>0</v>
      </c>
      <c r="BJ81" s="108">
        <f t="shared" si="87"/>
        <v>0</v>
      </c>
    </row>
    <row r="82" spans="1:62" x14ac:dyDescent="0.2">
      <c r="A82" s="117" t="s">
        <v>60</v>
      </c>
      <c r="B82" s="117" t="s">
        <v>619</v>
      </c>
      <c r="C82" s="304" t="s">
        <v>1120</v>
      </c>
      <c r="D82" s="305"/>
      <c r="E82" s="305"/>
      <c r="F82" s="117" t="s">
        <v>1646</v>
      </c>
      <c r="G82" s="116">
        <v>226.2</v>
      </c>
      <c r="H82" s="159"/>
      <c r="I82" s="108">
        <f t="shared" si="66"/>
        <v>0</v>
      </c>
      <c r="J82" s="108">
        <f t="shared" si="67"/>
        <v>0</v>
      </c>
      <c r="K82" s="108">
        <f t="shared" si="68"/>
        <v>0</v>
      </c>
      <c r="L82" s="111" t="s">
        <v>1671</v>
      </c>
      <c r="Z82" s="100">
        <f t="shared" si="69"/>
        <v>0</v>
      </c>
      <c r="AB82" s="100">
        <f t="shared" si="70"/>
        <v>0</v>
      </c>
      <c r="AC82" s="100">
        <f t="shared" si="71"/>
        <v>0</v>
      </c>
      <c r="AD82" s="100">
        <f t="shared" si="72"/>
        <v>0</v>
      </c>
      <c r="AE82" s="100">
        <f t="shared" si="73"/>
        <v>0</v>
      </c>
      <c r="AF82" s="100">
        <f t="shared" si="74"/>
        <v>0</v>
      </c>
      <c r="AG82" s="100">
        <f t="shared" si="75"/>
        <v>0</v>
      </c>
      <c r="AH82" s="100">
        <f t="shared" si="76"/>
        <v>0</v>
      </c>
      <c r="AI82" s="109"/>
      <c r="AJ82" s="108">
        <f t="shared" si="77"/>
        <v>0</v>
      </c>
      <c r="AK82" s="108">
        <f t="shared" si="78"/>
        <v>0</v>
      </c>
      <c r="AL82" s="108">
        <f t="shared" si="79"/>
        <v>0</v>
      </c>
      <c r="AN82" s="100">
        <v>15</v>
      </c>
      <c r="AO82" s="100">
        <f>H82*0.240880063531792</f>
        <v>0</v>
      </c>
      <c r="AP82" s="100">
        <f>H82*(1-0.240880063531792)</f>
        <v>0</v>
      </c>
      <c r="AQ82" s="111" t="s">
        <v>7</v>
      </c>
      <c r="AV82" s="100">
        <f t="shared" si="80"/>
        <v>0</v>
      </c>
      <c r="AW82" s="100">
        <f t="shared" si="81"/>
        <v>0</v>
      </c>
      <c r="AX82" s="100">
        <f t="shared" si="82"/>
        <v>0</v>
      </c>
      <c r="AY82" s="110" t="s">
        <v>1693</v>
      </c>
      <c r="AZ82" s="110" t="s">
        <v>1728</v>
      </c>
      <c r="BA82" s="109" t="s">
        <v>1737</v>
      </c>
      <c r="BC82" s="100">
        <f t="shared" si="83"/>
        <v>0</v>
      </c>
      <c r="BD82" s="100">
        <f t="shared" si="84"/>
        <v>0</v>
      </c>
      <c r="BE82" s="100">
        <v>0</v>
      </c>
      <c r="BF82" s="100">
        <f>82</f>
        <v>82</v>
      </c>
      <c r="BH82" s="108">
        <f t="shared" si="85"/>
        <v>0</v>
      </c>
      <c r="BI82" s="108">
        <f t="shared" si="86"/>
        <v>0</v>
      </c>
      <c r="BJ82" s="108">
        <f t="shared" si="87"/>
        <v>0</v>
      </c>
    </row>
    <row r="83" spans="1:62" x14ac:dyDescent="0.2">
      <c r="A83" s="117" t="s">
        <v>61</v>
      </c>
      <c r="B83" s="117" t="s">
        <v>620</v>
      </c>
      <c r="C83" s="304" t="s">
        <v>1121</v>
      </c>
      <c r="D83" s="305"/>
      <c r="E83" s="305"/>
      <c r="F83" s="117" t="s">
        <v>1646</v>
      </c>
      <c r="G83" s="116">
        <v>68.5</v>
      </c>
      <c r="H83" s="159"/>
      <c r="I83" s="108">
        <f t="shared" si="66"/>
        <v>0</v>
      </c>
      <c r="J83" s="108">
        <f t="shared" si="67"/>
        <v>0</v>
      </c>
      <c r="K83" s="108">
        <f t="shared" si="68"/>
        <v>0</v>
      </c>
      <c r="L83" s="111" t="s">
        <v>1671</v>
      </c>
      <c r="Z83" s="100">
        <f t="shared" si="69"/>
        <v>0</v>
      </c>
      <c r="AB83" s="100">
        <f t="shared" si="70"/>
        <v>0</v>
      </c>
      <c r="AC83" s="100">
        <f t="shared" si="71"/>
        <v>0</v>
      </c>
      <c r="AD83" s="100">
        <f t="shared" si="72"/>
        <v>0</v>
      </c>
      <c r="AE83" s="100">
        <f t="shared" si="73"/>
        <v>0</v>
      </c>
      <c r="AF83" s="100">
        <f t="shared" si="74"/>
        <v>0</v>
      </c>
      <c r="AG83" s="100">
        <f t="shared" si="75"/>
        <v>0</v>
      </c>
      <c r="AH83" s="100">
        <f t="shared" si="76"/>
        <v>0</v>
      </c>
      <c r="AI83" s="109"/>
      <c r="AJ83" s="108">
        <f t="shared" si="77"/>
        <v>0</v>
      </c>
      <c r="AK83" s="108">
        <f t="shared" si="78"/>
        <v>0</v>
      </c>
      <c r="AL83" s="108">
        <f t="shared" si="79"/>
        <v>0</v>
      </c>
      <c r="AN83" s="100">
        <v>15</v>
      </c>
      <c r="AO83" s="100">
        <f>H83*0.259558852489519</f>
        <v>0</v>
      </c>
      <c r="AP83" s="100">
        <f>H83*(1-0.259558852489519)</f>
        <v>0</v>
      </c>
      <c r="AQ83" s="111" t="s">
        <v>7</v>
      </c>
      <c r="AV83" s="100">
        <f t="shared" si="80"/>
        <v>0</v>
      </c>
      <c r="AW83" s="100">
        <f t="shared" si="81"/>
        <v>0</v>
      </c>
      <c r="AX83" s="100">
        <f t="shared" si="82"/>
        <v>0</v>
      </c>
      <c r="AY83" s="110" t="s">
        <v>1693</v>
      </c>
      <c r="AZ83" s="110" t="s">
        <v>1728</v>
      </c>
      <c r="BA83" s="109" t="s">
        <v>1737</v>
      </c>
      <c r="BC83" s="100">
        <f t="shared" si="83"/>
        <v>0</v>
      </c>
      <c r="BD83" s="100">
        <f t="shared" si="84"/>
        <v>0</v>
      </c>
      <c r="BE83" s="100">
        <v>0</v>
      </c>
      <c r="BF83" s="100">
        <f>83</f>
        <v>83</v>
      </c>
      <c r="BH83" s="108">
        <f t="shared" si="85"/>
        <v>0</v>
      </c>
      <c r="BI83" s="108">
        <f t="shared" si="86"/>
        <v>0</v>
      </c>
      <c r="BJ83" s="108">
        <f t="shared" si="87"/>
        <v>0</v>
      </c>
    </row>
    <row r="84" spans="1:62" x14ac:dyDescent="0.2">
      <c r="A84" s="117" t="s">
        <v>62</v>
      </c>
      <c r="B84" s="117" t="s">
        <v>2504</v>
      </c>
      <c r="C84" s="304" t="s">
        <v>2503</v>
      </c>
      <c r="D84" s="305"/>
      <c r="E84" s="305"/>
      <c r="F84" s="117" t="s">
        <v>1645</v>
      </c>
      <c r="G84" s="116">
        <v>24.158000000000001</v>
      </c>
      <c r="H84" s="159"/>
      <c r="I84" s="108">
        <f t="shared" si="66"/>
        <v>0</v>
      </c>
      <c r="J84" s="108">
        <f t="shared" si="67"/>
        <v>0</v>
      </c>
      <c r="K84" s="108">
        <f t="shared" si="68"/>
        <v>0</v>
      </c>
      <c r="L84" s="111" t="s">
        <v>1671</v>
      </c>
      <c r="Z84" s="100">
        <f t="shared" si="69"/>
        <v>0</v>
      </c>
      <c r="AB84" s="100">
        <f t="shared" si="70"/>
        <v>0</v>
      </c>
      <c r="AC84" s="100">
        <f t="shared" si="71"/>
        <v>0</v>
      </c>
      <c r="AD84" s="100">
        <f t="shared" si="72"/>
        <v>0</v>
      </c>
      <c r="AE84" s="100">
        <f t="shared" si="73"/>
        <v>0</v>
      </c>
      <c r="AF84" s="100">
        <f t="shared" si="74"/>
        <v>0</v>
      </c>
      <c r="AG84" s="100">
        <f t="shared" si="75"/>
        <v>0</v>
      </c>
      <c r="AH84" s="100">
        <f t="shared" si="76"/>
        <v>0</v>
      </c>
      <c r="AI84" s="109"/>
      <c r="AJ84" s="108">
        <f t="shared" si="77"/>
        <v>0</v>
      </c>
      <c r="AK84" s="108">
        <f t="shared" si="78"/>
        <v>0</v>
      </c>
      <c r="AL84" s="108">
        <f t="shared" si="79"/>
        <v>0</v>
      </c>
      <c r="AN84" s="100">
        <v>15</v>
      </c>
      <c r="AO84" s="100">
        <f>H84*0.19002737655623</f>
        <v>0</v>
      </c>
      <c r="AP84" s="100">
        <f>H84*(1-0.19002737655623)</f>
        <v>0</v>
      </c>
      <c r="AQ84" s="111" t="s">
        <v>7</v>
      </c>
      <c r="AV84" s="100">
        <f t="shared" si="80"/>
        <v>0</v>
      </c>
      <c r="AW84" s="100">
        <f t="shared" si="81"/>
        <v>0</v>
      </c>
      <c r="AX84" s="100">
        <f t="shared" si="82"/>
        <v>0</v>
      </c>
      <c r="AY84" s="110" t="s">
        <v>1693</v>
      </c>
      <c r="AZ84" s="110" t="s">
        <v>1728</v>
      </c>
      <c r="BA84" s="109" t="s">
        <v>1737</v>
      </c>
      <c r="BC84" s="100">
        <f t="shared" si="83"/>
        <v>0</v>
      </c>
      <c r="BD84" s="100">
        <f t="shared" si="84"/>
        <v>0</v>
      </c>
      <c r="BE84" s="100">
        <v>0</v>
      </c>
      <c r="BF84" s="100">
        <f>84</f>
        <v>84</v>
      </c>
      <c r="BH84" s="108">
        <f t="shared" si="85"/>
        <v>0</v>
      </c>
      <c r="BI84" s="108">
        <f t="shared" si="86"/>
        <v>0</v>
      </c>
      <c r="BJ84" s="108">
        <f t="shared" si="87"/>
        <v>0</v>
      </c>
    </row>
    <row r="85" spans="1:62" x14ac:dyDescent="0.2">
      <c r="A85" s="117" t="s">
        <v>63</v>
      </c>
      <c r="B85" s="117" t="s">
        <v>621</v>
      </c>
      <c r="C85" s="304" t="s">
        <v>1122</v>
      </c>
      <c r="D85" s="305"/>
      <c r="E85" s="305"/>
      <c r="F85" s="117" t="s">
        <v>1645</v>
      </c>
      <c r="G85" s="116">
        <v>145.624</v>
      </c>
      <c r="H85" s="159"/>
      <c r="I85" s="108">
        <f t="shared" si="66"/>
        <v>0</v>
      </c>
      <c r="J85" s="108">
        <f t="shared" si="67"/>
        <v>0</v>
      </c>
      <c r="K85" s="108">
        <f t="shared" si="68"/>
        <v>0</v>
      </c>
      <c r="L85" s="111" t="s">
        <v>1671</v>
      </c>
      <c r="Z85" s="100">
        <f t="shared" si="69"/>
        <v>0</v>
      </c>
      <c r="AB85" s="100">
        <f t="shared" si="70"/>
        <v>0</v>
      </c>
      <c r="AC85" s="100">
        <f t="shared" si="71"/>
        <v>0</v>
      </c>
      <c r="AD85" s="100">
        <f t="shared" si="72"/>
        <v>0</v>
      </c>
      <c r="AE85" s="100">
        <f t="shared" si="73"/>
        <v>0</v>
      </c>
      <c r="AF85" s="100">
        <f t="shared" si="74"/>
        <v>0</v>
      </c>
      <c r="AG85" s="100">
        <f t="shared" si="75"/>
        <v>0</v>
      </c>
      <c r="AH85" s="100">
        <f t="shared" si="76"/>
        <v>0</v>
      </c>
      <c r="AI85" s="109"/>
      <c r="AJ85" s="108">
        <f t="shared" si="77"/>
        <v>0</v>
      </c>
      <c r="AK85" s="108">
        <f t="shared" si="78"/>
        <v>0</v>
      </c>
      <c r="AL85" s="108">
        <f t="shared" si="79"/>
        <v>0</v>
      </c>
      <c r="AN85" s="100">
        <v>15</v>
      </c>
      <c r="AO85" s="100">
        <f>H85*0.47685375263454</f>
        <v>0</v>
      </c>
      <c r="AP85" s="100">
        <f>H85*(1-0.47685375263454)</f>
        <v>0</v>
      </c>
      <c r="AQ85" s="111" t="s">
        <v>7</v>
      </c>
      <c r="AV85" s="100">
        <f t="shared" si="80"/>
        <v>0</v>
      </c>
      <c r="AW85" s="100">
        <f t="shared" si="81"/>
        <v>0</v>
      </c>
      <c r="AX85" s="100">
        <f t="shared" si="82"/>
        <v>0</v>
      </c>
      <c r="AY85" s="110" t="s">
        <v>1693</v>
      </c>
      <c r="AZ85" s="110" t="s">
        <v>1728</v>
      </c>
      <c r="BA85" s="109" t="s">
        <v>1737</v>
      </c>
      <c r="BC85" s="100">
        <f t="shared" si="83"/>
        <v>0</v>
      </c>
      <c r="BD85" s="100">
        <f t="shared" si="84"/>
        <v>0</v>
      </c>
      <c r="BE85" s="100">
        <v>0</v>
      </c>
      <c r="BF85" s="100">
        <f>85</f>
        <v>85</v>
      </c>
      <c r="BH85" s="108">
        <f t="shared" si="85"/>
        <v>0</v>
      </c>
      <c r="BI85" s="108">
        <f t="shared" si="86"/>
        <v>0</v>
      </c>
      <c r="BJ85" s="108">
        <f t="shared" si="87"/>
        <v>0</v>
      </c>
    </row>
    <row r="86" spans="1:62" x14ac:dyDescent="0.2">
      <c r="A86" s="117" t="s">
        <v>64</v>
      </c>
      <c r="B86" s="117" t="s">
        <v>2502</v>
      </c>
      <c r="C86" s="304" t="s">
        <v>2501</v>
      </c>
      <c r="D86" s="305"/>
      <c r="E86" s="305"/>
      <c r="F86" s="117" t="s">
        <v>1645</v>
      </c>
      <c r="G86" s="116">
        <v>24.158000000000001</v>
      </c>
      <c r="H86" s="159"/>
      <c r="I86" s="108">
        <f t="shared" si="66"/>
        <v>0</v>
      </c>
      <c r="J86" s="108">
        <f t="shared" si="67"/>
        <v>0</v>
      </c>
      <c r="K86" s="108">
        <f t="shared" si="68"/>
        <v>0</v>
      </c>
      <c r="L86" s="111" t="s">
        <v>1671</v>
      </c>
      <c r="Z86" s="100">
        <f t="shared" si="69"/>
        <v>0</v>
      </c>
      <c r="AB86" s="100">
        <f t="shared" si="70"/>
        <v>0</v>
      </c>
      <c r="AC86" s="100">
        <f t="shared" si="71"/>
        <v>0</v>
      </c>
      <c r="AD86" s="100">
        <f t="shared" si="72"/>
        <v>0</v>
      </c>
      <c r="AE86" s="100">
        <f t="shared" si="73"/>
        <v>0</v>
      </c>
      <c r="AF86" s="100">
        <f t="shared" si="74"/>
        <v>0</v>
      </c>
      <c r="AG86" s="100">
        <f t="shared" si="75"/>
        <v>0</v>
      </c>
      <c r="AH86" s="100">
        <f t="shared" si="76"/>
        <v>0</v>
      </c>
      <c r="AI86" s="109"/>
      <c r="AJ86" s="108">
        <f t="shared" si="77"/>
        <v>0</v>
      </c>
      <c r="AK86" s="108">
        <f t="shared" si="78"/>
        <v>0</v>
      </c>
      <c r="AL86" s="108">
        <f t="shared" si="79"/>
        <v>0</v>
      </c>
      <c r="AN86" s="100">
        <v>15</v>
      </c>
      <c r="AO86" s="100">
        <f>H86*0.407449552323956</f>
        <v>0</v>
      </c>
      <c r="AP86" s="100">
        <f>H86*(1-0.407449552323956)</f>
        <v>0</v>
      </c>
      <c r="AQ86" s="111" t="s">
        <v>7</v>
      </c>
      <c r="AV86" s="100">
        <f t="shared" si="80"/>
        <v>0</v>
      </c>
      <c r="AW86" s="100">
        <f t="shared" si="81"/>
        <v>0</v>
      </c>
      <c r="AX86" s="100">
        <f t="shared" si="82"/>
        <v>0</v>
      </c>
      <c r="AY86" s="110" t="s">
        <v>1693</v>
      </c>
      <c r="AZ86" s="110" t="s">
        <v>1728</v>
      </c>
      <c r="BA86" s="109" t="s">
        <v>1737</v>
      </c>
      <c r="BC86" s="100">
        <f t="shared" si="83"/>
        <v>0</v>
      </c>
      <c r="BD86" s="100">
        <f t="shared" si="84"/>
        <v>0</v>
      </c>
      <c r="BE86" s="100">
        <v>0</v>
      </c>
      <c r="BF86" s="100">
        <f>86</f>
        <v>86</v>
      </c>
      <c r="BH86" s="108">
        <f t="shared" si="85"/>
        <v>0</v>
      </c>
      <c r="BI86" s="108">
        <f t="shared" si="86"/>
        <v>0</v>
      </c>
      <c r="BJ86" s="108">
        <f t="shared" si="87"/>
        <v>0</v>
      </c>
    </row>
    <row r="87" spans="1:62" x14ac:dyDescent="0.2">
      <c r="B87" s="125" t="s">
        <v>613</v>
      </c>
      <c r="C87" s="165" t="s">
        <v>4656</v>
      </c>
      <c r="D87" s="158"/>
      <c r="E87" s="158"/>
      <c r="F87" s="158"/>
      <c r="G87" s="158"/>
      <c r="H87" s="158"/>
      <c r="I87" s="158"/>
      <c r="J87" s="158"/>
      <c r="K87" s="158"/>
      <c r="L87" s="158"/>
    </row>
    <row r="88" spans="1:62" x14ac:dyDescent="0.2">
      <c r="A88" s="117" t="s">
        <v>65</v>
      </c>
      <c r="B88" s="117" t="s">
        <v>2500</v>
      </c>
      <c r="C88" s="304" t="s">
        <v>2499</v>
      </c>
      <c r="D88" s="305"/>
      <c r="E88" s="305"/>
      <c r="F88" s="117" t="s">
        <v>1645</v>
      </c>
      <c r="G88" s="116">
        <v>69.548000000000002</v>
      </c>
      <c r="H88" s="159"/>
      <c r="I88" s="108">
        <f>G88*AO88</f>
        <v>0</v>
      </c>
      <c r="J88" s="108">
        <f>G88*AP88</f>
        <v>0</v>
      </c>
      <c r="K88" s="108">
        <f>G88*H88</f>
        <v>0</v>
      </c>
      <c r="L88" s="111" t="s">
        <v>1671</v>
      </c>
      <c r="Z88" s="100">
        <f>IF(AQ88="5",BJ88,0)</f>
        <v>0</v>
      </c>
      <c r="AB88" s="100">
        <f>IF(AQ88="1",BH88,0)</f>
        <v>0</v>
      </c>
      <c r="AC88" s="100">
        <f>IF(AQ88="1",BI88,0)</f>
        <v>0</v>
      </c>
      <c r="AD88" s="100">
        <f>IF(AQ88="7",BH88,0)</f>
        <v>0</v>
      </c>
      <c r="AE88" s="100">
        <f>IF(AQ88="7",BI88,0)</f>
        <v>0</v>
      </c>
      <c r="AF88" s="100">
        <f>IF(AQ88="2",BH88,0)</f>
        <v>0</v>
      </c>
      <c r="AG88" s="100">
        <f>IF(AQ88="2",BI88,0)</f>
        <v>0</v>
      </c>
      <c r="AH88" s="100">
        <f>IF(AQ88="0",BJ88,0)</f>
        <v>0</v>
      </c>
      <c r="AI88" s="109"/>
      <c r="AJ88" s="108">
        <f>IF(AN88=0,K88,0)</f>
        <v>0</v>
      </c>
      <c r="AK88" s="108">
        <f>IF(AN88=15,K88,0)</f>
        <v>0</v>
      </c>
      <c r="AL88" s="108">
        <f>IF(AN88=21,K88,0)</f>
        <v>0</v>
      </c>
      <c r="AN88" s="100">
        <v>15</v>
      </c>
      <c r="AO88" s="100">
        <f>H88*0.504680412371134</f>
        <v>0</v>
      </c>
      <c r="AP88" s="100">
        <f>H88*(1-0.504680412371134)</f>
        <v>0</v>
      </c>
      <c r="AQ88" s="111" t="s">
        <v>7</v>
      </c>
      <c r="AV88" s="100">
        <f>AW88+AX88</f>
        <v>0</v>
      </c>
      <c r="AW88" s="100">
        <f>G88*AO88</f>
        <v>0</v>
      </c>
      <c r="AX88" s="100">
        <f>G88*AP88</f>
        <v>0</v>
      </c>
      <c r="AY88" s="110" t="s">
        <v>1693</v>
      </c>
      <c r="AZ88" s="110" t="s">
        <v>1728</v>
      </c>
      <c r="BA88" s="109" t="s">
        <v>1737</v>
      </c>
      <c r="BC88" s="100">
        <f>AW88+AX88</f>
        <v>0</v>
      </c>
      <c r="BD88" s="100">
        <f>H88/(100-BE88)*100</f>
        <v>0</v>
      </c>
      <c r="BE88" s="100">
        <v>0</v>
      </c>
      <c r="BF88" s="100">
        <f>88</f>
        <v>88</v>
      </c>
      <c r="BH88" s="108">
        <f>G88*AO88</f>
        <v>0</v>
      </c>
      <c r="BI88" s="108">
        <f>G88*AP88</f>
        <v>0</v>
      </c>
      <c r="BJ88" s="108">
        <f>G88*H88</f>
        <v>0</v>
      </c>
    </row>
    <row r="89" spans="1:62" x14ac:dyDescent="0.2">
      <c r="B89" s="125" t="s">
        <v>613</v>
      </c>
      <c r="C89" s="164" t="s">
        <v>2498</v>
      </c>
      <c r="D89" s="158"/>
      <c r="E89" s="158"/>
      <c r="F89" s="158"/>
      <c r="G89" s="158"/>
      <c r="H89" s="158"/>
      <c r="I89" s="158"/>
      <c r="J89" s="158"/>
      <c r="K89" s="158"/>
      <c r="L89" s="158"/>
    </row>
    <row r="90" spans="1:62" x14ac:dyDescent="0.2">
      <c r="A90" s="117" t="s">
        <v>66</v>
      </c>
      <c r="B90" s="117" t="s">
        <v>622</v>
      </c>
      <c r="C90" s="304" t="s">
        <v>1123</v>
      </c>
      <c r="D90" s="305"/>
      <c r="E90" s="305"/>
      <c r="F90" s="117" t="s">
        <v>1646</v>
      </c>
      <c r="G90" s="116">
        <v>226.2</v>
      </c>
      <c r="H90" s="159"/>
      <c r="I90" s="108">
        <f t="shared" ref="I90:I98" si="88">G90*AO90</f>
        <v>0</v>
      </c>
      <c r="J90" s="108">
        <f t="shared" ref="J90:J98" si="89">G90*AP90</f>
        <v>0</v>
      </c>
      <c r="K90" s="108">
        <f t="shared" ref="K90:K98" si="90">G90*H90</f>
        <v>0</v>
      </c>
      <c r="L90" s="111" t="s">
        <v>1671</v>
      </c>
      <c r="Z90" s="100">
        <f t="shared" ref="Z90:Z98" si="91">IF(AQ90="5",BJ90,0)</f>
        <v>0</v>
      </c>
      <c r="AB90" s="100">
        <f t="shared" ref="AB90:AB98" si="92">IF(AQ90="1",BH90,0)</f>
        <v>0</v>
      </c>
      <c r="AC90" s="100">
        <f t="shared" ref="AC90:AC98" si="93">IF(AQ90="1",BI90,0)</f>
        <v>0</v>
      </c>
      <c r="AD90" s="100">
        <f t="shared" ref="AD90:AD98" si="94">IF(AQ90="7",BH90,0)</f>
        <v>0</v>
      </c>
      <c r="AE90" s="100">
        <f t="shared" ref="AE90:AE98" si="95">IF(AQ90="7",BI90,0)</f>
        <v>0</v>
      </c>
      <c r="AF90" s="100">
        <f t="shared" ref="AF90:AF98" si="96">IF(AQ90="2",BH90,0)</f>
        <v>0</v>
      </c>
      <c r="AG90" s="100">
        <f t="shared" ref="AG90:AG98" si="97">IF(AQ90="2",BI90,0)</f>
        <v>0</v>
      </c>
      <c r="AH90" s="100">
        <f t="shared" ref="AH90:AH98" si="98">IF(AQ90="0",BJ90,0)</f>
        <v>0</v>
      </c>
      <c r="AI90" s="109"/>
      <c r="AJ90" s="108">
        <f t="shared" ref="AJ90:AJ98" si="99">IF(AN90=0,K90,0)</f>
        <v>0</v>
      </c>
      <c r="AK90" s="108">
        <f t="shared" ref="AK90:AK98" si="100">IF(AN90=15,K90,0)</f>
        <v>0</v>
      </c>
      <c r="AL90" s="108">
        <f t="shared" ref="AL90:AL98" si="101">IF(AN90=21,K90,0)</f>
        <v>0</v>
      </c>
      <c r="AN90" s="100">
        <v>15</v>
      </c>
      <c r="AO90" s="100">
        <f>H90*0.413696060037523</f>
        <v>0</v>
      </c>
      <c r="AP90" s="100">
        <f>H90*(1-0.413696060037523)</f>
        <v>0</v>
      </c>
      <c r="AQ90" s="111" t="s">
        <v>7</v>
      </c>
      <c r="AV90" s="100">
        <f t="shared" ref="AV90:AV98" si="102">AW90+AX90</f>
        <v>0</v>
      </c>
      <c r="AW90" s="100">
        <f t="shared" ref="AW90:AW98" si="103">G90*AO90</f>
        <v>0</v>
      </c>
      <c r="AX90" s="100">
        <f t="shared" ref="AX90:AX98" si="104">G90*AP90</f>
        <v>0</v>
      </c>
      <c r="AY90" s="110" t="s">
        <v>1693</v>
      </c>
      <c r="AZ90" s="110" t="s">
        <v>1728</v>
      </c>
      <c r="BA90" s="109" t="s">
        <v>1737</v>
      </c>
      <c r="BC90" s="100">
        <f t="shared" ref="BC90:BC98" si="105">AW90+AX90</f>
        <v>0</v>
      </c>
      <c r="BD90" s="100">
        <f t="shared" ref="BD90:BD98" si="106">H90/(100-BE90)*100</f>
        <v>0</v>
      </c>
      <c r="BE90" s="100">
        <v>0</v>
      </c>
      <c r="BF90" s="100">
        <f>90</f>
        <v>90</v>
      </c>
      <c r="BH90" s="108">
        <f t="shared" ref="BH90:BH98" si="107">G90*AO90</f>
        <v>0</v>
      </c>
      <c r="BI90" s="108">
        <f t="shared" ref="BI90:BI98" si="108">G90*AP90</f>
        <v>0</v>
      </c>
      <c r="BJ90" s="108">
        <f t="shared" ref="BJ90:BJ98" si="109">G90*H90</f>
        <v>0</v>
      </c>
    </row>
    <row r="91" spans="1:62" x14ac:dyDescent="0.2">
      <c r="A91" s="117" t="s">
        <v>67</v>
      </c>
      <c r="B91" s="117" t="s">
        <v>623</v>
      </c>
      <c r="C91" s="304" t="s">
        <v>2497</v>
      </c>
      <c r="D91" s="305"/>
      <c r="E91" s="305"/>
      <c r="F91" s="117" t="s">
        <v>1645</v>
      </c>
      <c r="G91" s="116">
        <v>775.19899999999996</v>
      </c>
      <c r="H91" s="159"/>
      <c r="I91" s="108">
        <f t="shared" si="88"/>
        <v>0</v>
      </c>
      <c r="J91" s="108">
        <f t="shared" si="89"/>
        <v>0</v>
      </c>
      <c r="K91" s="108">
        <f t="shared" si="90"/>
        <v>0</v>
      </c>
      <c r="L91" s="111" t="s">
        <v>1671</v>
      </c>
      <c r="Z91" s="100">
        <f t="shared" si="91"/>
        <v>0</v>
      </c>
      <c r="AB91" s="100">
        <f t="shared" si="92"/>
        <v>0</v>
      </c>
      <c r="AC91" s="100">
        <f t="shared" si="93"/>
        <v>0</v>
      </c>
      <c r="AD91" s="100">
        <f t="shared" si="94"/>
        <v>0</v>
      </c>
      <c r="AE91" s="100">
        <f t="shared" si="95"/>
        <v>0</v>
      </c>
      <c r="AF91" s="100">
        <f t="shared" si="96"/>
        <v>0</v>
      </c>
      <c r="AG91" s="100">
        <f t="shared" si="97"/>
        <v>0</v>
      </c>
      <c r="AH91" s="100">
        <f t="shared" si="98"/>
        <v>0</v>
      </c>
      <c r="AI91" s="109"/>
      <c r="AJ91" s="108">
        <f t="shared" si="99"/>
        <v>0</v>
      </c>
      <c r="AK91" s="108">
        <f t="shared" si="100"/>
        <v>0</v>
      </c>
      <c r="AL91" s="108">
        <f t="shared" si="101"/>
        <v>0</v>
      </c>
      <c r="AN91" s="100">
        <v>15</v>
      </c>
      <c r="AO91" s="100">
        <f>H91*0</f>
        <v>0</v>
      </c>
      <c r="AP91" s="100">
        <f>H91*(1-0)</f>
        <v>0</v>
      </c>
      <c r="AQ91" s="111" t="s">
        <v>7</v>
      </c>
      <c r="AV91" s="100">
        <f t="shared" si="102"/>
        <v>0</v>
      </c>
      <c r="AW91" s="100">
        <f t="shared" si="103"/>
        <v>0</v>
      </c>
      <c r="AX91" s="100">
        <f t="shared" si="104"/>
        <v>0</v>
      </c>
      <c r="AY91" s="110" t="s">
        <v>1693</v>
      </c>
      <c r="AZ91" s="110" t="s">
        <v>1728</v>
      </c>
      <c r="BA91" s="109" t="s">
        <v>1737</v>
      </c>
      <c r="BC91" s="100">
        <f t="shared" si="105"/>
        <v>0</v>
      </c>
      <c r="BD91" s="100">
        <f t="shared" si="106"/>
        <v>0</v>
      </c>
      <c r="BE91" s="100">
        <v>0</v>
      </c>
      <c r="BF91" s="100">
        <f>91</f>
        <v>91</v>
      </c>
      <c r="BH91" s="108">
        <f t="shared" si="107"/>
        <v>0</v>
      </c>
      <c r="BI91" s="108">
        <f t="shared" si="108"/>
        <v>0</v>
      </c>
      <c r="BJ91" s="108">
        <f t="shared" si="109"/>
        <v>0</v>
      </c>
    </row>
    <row r="92" spans="1:62" x14ac:dyDescent="0.2">
      <c r="A92" s="117" t="s">
        <v>68</v>
      </c>
      <c r="B92" s="117" t="s">
        <v>623</v>
      </c>
      <c r="C92" s="304" t="s">
        <v>2496</v>
      </c>
      <c r="D92" s="305"/>
      <c r="E92" s="305"/>
      <c r="F92" s="117" t="s">
        <v>1645</v>
      </c>
      <c r="G92" s="116">
        <v>155.173</v>
      </c>
      <c r="H92" s="159"/>
      <c r="I92" s="108">
        <f t="shared" si="88"/>
        <v>0</v>
      </c>
      <c r="J92" s="108">
        <f t="shared" si="89"/>
        <v>0</v>
      </c>
      <c r="K92" s="108">
        <f t="shared" si="90"/>
        <v>0</v>
      </c>
      <c r="L92" s="111" t="s">
        <v>1671</v>
      </c>
      <c r="Z92" s="100">
        <f t="shared" si="91"/>
        <v>0</v>
      </c>
      <c r="AB92" s="100">
        <f t="shared" si="92"/>
        <v>0</v>
      </c>
      <c r="AC92" s="100">
        <f t="shared" si="93"/>
        <v>0</v>
      </c>
      <c r="AD92" s="100">
        <f t="shared" si="94"/>
        <v>0</v>
      </c>
      <c r="AE92" s="100">
        <f t="shared" si="95"/>
        <v>0</v>
      </c>
      <c r="AF92" s="100">
        <f t="shared" si="96"/>
        <v>0</v>
      </c>
      <c r="AG92" s="100">
        <f t="shared" si="97"/>
        <v>0</v>
      </c>
      <c r="AH92" s="100">
        <f t="shared" si="98"/>
        <v>0</v>
      </c>
      <c r="AI92" s="109"/>
      <c r="AJ92" s="108">
        <f t="shared" si="99"/>
        <v>0</v>
      </c>
      <c r="AK92" s="108">
        <f t="shared" si="100"/>
        <v>0</v>
      </c>
      <c r="AL92" s="108">
        <f t="shared" si="101"/>
        <v>0</v>
      </c>
      <c r="AN92" s="100">
        <v>15</v>
      </c>
      <c r="AO92" s="100">
        <f>H92*0</f>
        <v>0</v>
      </c>
      <c r="AP92" s="100">
        <f>H92*(1-0)</f>
        <v>0</v>
      </c>
      <c r="AQ92" s="111" t="s">
        <v>7</v>
      </c>
      <c r="AV92" s="100">
        <f t="shared" si="102"/>
        <v>0</v>
      </c>
      <c r="AW92" s="100">
        <f t="shared" si="103"/>
        <v>0</v>
      </c>
      <c r="AX92" s="100">
        <f t="shared" si="104"/>
        <v>0</v>
      </c>
      <c r="AY92" s="110" t="s">
        <v>1693</v>
      </c>
      <c r="AZ92" s="110" t="s">
        <v>1728</v>
      </c>
      <c r="BA92" s="109" t="s">
        <v>1737</v>
      </c>
      <c r="BC92" s="100">
        <f t="shared" si="105"/>
        <v>0</v>
      </c>
      <c r="BD92" s="100">
        <f t="shared" si="106"/>
        <v>0</v>
      </c>
      <c r="BE92" s="100">
        <v>0</v>
      </c>
      <c r="BF92" s="100">
        <f>92</f>
        <v>92</v>
      </c>
      <c r="BH92" s="108">
        <f t="shared" si="107"/>
        <v>0</v>
      </c>
      <c r="BI92" s="108">
        <f t="shared" si="108"/>
        <v>0</v>
      </c>
      <c r="BJ92" s="108">
        <f t="shared" si="109"/>
        <v>0</v>
      </c>
    </row>
    <row r="93" spans="1:62" x14ac:dyDescent="0.2">
      <c r="A93" s="117" t="s">
        <v>69</v>
      </c>
      <c r="B93" s="117" t="s">
        <v>624</v>
      </c>
      <c r="C93" s="304" t="s">
        <v>2495</v>
      </c>
      <c r="D93" s="305"/>
      <c r="E93" s="305"/>
      <c r="F93" s="117" t="s">
        <v>1645</v>
      </c>
      <c r="G93" s="116">
        <v>775.19899999999996</v>
      </c>
      <c r="H93" s="159"/>
      <c r="I93" s="108">
        <f t="shared" si="88"/>
        <v>0</v>
      </c>
      <c r="J93" s="108">
        <f t="shared" si="89"/>
        <v>0</v>
      </c>
      <c r="K93" s="108">
        <f t="shared" si="90"/>
        <v>0</v>
      </c>
      <c r="L93" s="111" t="s">
        <v>1671</v>
      </c>
      <c r="Z93" s="100">
        <f t="shared" si="91"/>
        <v>0</v>
      </c>
      <c r="AB93" s="100">
        <f t="shared" si="92"/>
        <v>0</v>
      </c>
      <c r="AC93" s="100">
        <f t="shared" si="93"/>
        <v>0</v>
      </c>
      <c r="AD93" s="100">
        <f t="shared" si="94"/>
        <v>0</v>
      </c>
      <c r="AE93" s="100">
        <f t="shared" si="95"/>
        <v>0</v>
      </c>
      <c r="AF93" s="100">
        <f t="shared" si="96"/>
        <v>0</v>
      </c>
      <c r="AG93" s="100">
        <f t="shared" si="97"/>
        <v>0</v>
      </c>
      <c r="AH93" s="100">
        <f t="shared" si="98"/>
        <v>0</v>
      </c>
      <c r="AI93" s="109"/>
      <c r="AJ93" s="108">
        <f t="shared" si="99"/>
        <v>0</v>
      </c>
      <c r="AK93" s="108">
        <f t="shared" si="100"/>
        <v>0</v>
      </c>
      <c r="AL93" s="108">
        <f t="shared" si="101"/>
        <v>0</v>
      </c>
      <c r="AN93" s="100">
        <v>15</v>
      </c>
      <c r="AO93" s="100">
        <f>H93*0.0655405416830639</f>
        <v>0</v>
      </c>
      <c r="AP93" s="100">
        <f>H93*(1-0.0655405416830639)</f>
        <v>0</v>
      </c>
      <c r="AQ93" s="111" t="s">
        <v>7</v>
      </c>
      <c r="AV93" s="100">
        <f t="shared" si="102"/>
        <v>0</v>
      </c>
      <c r="AW93" s="100">
        <f t="shared" si="103"/>
        <v>0</v>
      </c>
      <c r="AX93" s="100">
        <f t="shared" si="104"/>
        <v>0</v>
      </c>
      <c r="AY93" s="110" t="s">
        <v>1693</v>
      </c>
      <c r="AZ93" s="110" t="s">
        <v>1728</v>
      </c>
      <c r="BA93" s="109" t="s">
        <v>1737</v>
      </c>
      <c r="BC93" s="100">
        <f t="shared" si="105"/>
        <v>0</v>
      </c>
      <c r="BD93" s="100">
        <f t="shared" si="106"/>
        <v>0</v>
      </c>
      <c r="BE93" s="100">
        <v>0</v>
      </c>
      <c r="BF93" s="100">
        <f>93</f>
        <v>93</v>
      </c>
      <c r="BH93" s="108">
        <f t="shared" si="107"/>
        <v>0</v>
      </c>
      <c r="BI93" s="108">
        <f t="shared" si="108"/>
        <v>0</v>
      </c>
      <c r="BJ93" s="108">
        <f t="shared" si="109"/>
        <v>0</v>
      </c>
    </row>
    <row r="94" spans="1:62" x14ac:dyDescent="0.2">
      <c r="A94" s="117" t="s">
        <v>70</v>
      </c>
      <c r="B94" s="117" t="s">
        <v>624</v>
      </c>
      <c r="C94" s="304" t="s">
        <v>2494</v>
      </c>
      <c r="D94" s="305"/>
      <c r="E94" s="305"/>
      <c r="F94" s="117" t="s">
        <v>1645</v>
      </c>
      <c r="G94" s="116">
        <v>155.173</v>
      </c>
      <c r="H94" s="159"/>
      <c r="I94" s="108">
        <f t="shared" si="88"/>
        <v>0</v>
      </c>
      <c r="J94" s="108">
        <f t="shared" si="89"/>
        <v>0</v>
      </c>
      <c r="K94" s="108">
        <f t="shared" si="90"/>
        <v>0</v>
      </c>
      <c r="L94" s="111" t="s">
        <v>1671</v>
      </c>
      <c r="Z94" s="100">
        <f t="shared" si="91"/>
        <v>0</v>
      </c>
      <c r="AB94" s="100">
        <f t="shared" si="92"/>
        <v>0</v>
      </c>
      <c r="AC94" s="100">
        <f t="shared" si="93"/>
        <v>0</v>
      </c>
      <c r="AD94" s="100">
        <f t="shared" si="94"/>
        <v>0</v>
      </c>
      <c r="AE94" s="100">
        <f t="shared" si="95"/>
        <v>0</v>
      </c>
      <c r="AF94" s="100">
        <f t="shared" si="96"/>
        <v>0</v>
      </c>
      <c r="AG94" s="100">
        <f t="shared" si="97"/>
        <v>0</v>
      </c>
      <c r="AH94" s="100">
        <f t="shared" si="98"/>
        <v>0</v>
      </c>
      <c r="AI94" s="109"/>
      <c r="AJ94" s="108">
        <f t="shared" si="99"/>
        <v>0</v>
      </c>
      <c r="AK94" s="108">
        <f t="shared" si="100"/>
        <v>0</v>
      </c>
      <c r="AL94" s="108">
        <f t="shared" si="101"/>
        <v>0</v>
      </c>
      <c r="AN94" s="100">
        <v>15</v>
      </c>
      <c r="AO94" s="100">
        <f>H94*0.0655405519559689</f>
        <v>0</v>
      </c>
      <c r="AP94" s="100">
        <f>H94*(1-0.0655405519559689)</f>
        <v>0</v>
      </c>
      <c r="AQ94" s="111" t="s">
        <v>7</v>
      </c>
      <c r="AV94" s="100">
        <f t="shared" si="102"/>
        <v>0</v>
      </c>
      <c r="AW94" s="100">
        <f t="shared" si="103"/>
        <v>0</v>
      </c>
      <c r="AX94" s="100">
        <f t="shared" si="104"/>
        <v>0</v>
      </c>
      <c r="AY94" s="110" t="s">
        <v>1693</v>
      </c>
      <c r="AZ94" s="110" t="s">
        <v>1728</v>
      </c>
      <c r="BA94" s="109" t="s">
        <v>1737</v>
      </c>
      <c r="BC94" s="100">
        <f t="shared" si="105"/>
        <v>0</v>
      </c>
      <c r="BD94" s="100">
        <f t="shared" si="106"/>
        <v>0</v>
      </c>
      <c r="BE94" s="100">
        <v>0</v>
      </c>
      <c r="BF94" s="100">
        <f>94</f>
        <v>94</v>
      </c>
      <c r="BH94" s="108">
        <f t="shared" si="107"/>
        <v>0</v>
      </c>
      <c r="BI94" s="108">
        <f t="shared" si="108"/>
        <v>0</v>
      </c>
      <c r="BJ94" s="108">
        <f t="shared" si="109"/>
        <v>0</v>
      </c>
    </row>
    <row r="95" spans="1:62" x14ac:dyDescent="0.2">
      <c r="A95" s="117" t="s">
        <v>71</v>
      </c>
      <c r="B95" s="117" t="s">
        <v>625</v>
      </c>
      <c r="C95" s="304" t="s">
        <v>2493</v>
      </c>
      <c r="D95" s="305"/>
      <c r="E95" s="305"/>
      <c r="F95" s="117" t="s">
        <v>1645</v>
      </c>
      <c r="G95" s="116">
        <v>387.6</v>
      </c>
      <c r="H95" s="159"/>
      <c r="I95" s="108">
        <f t="shared" si="88"/>
        <v>0</v>
      </c>
      <c r="J95" s="108">
        <f t="shared" si="89"/>
        <v>0</v>
      </c>
      <c r="K95" s="108">
        <f t="shared" si="90"/>
        <v>0</v>
      </c>
      <c r="L95" s="111" t="s">
        <v>1671</v>
      </c>
      <c r="Z95" s="100">
        <f t="shared" si="91"/>
        <v>0</v>
      </c>
      <c r="AB95" s="100">
        <f t="shared" si="92"/>
        <v>0</v>
      </c>
      <c r="AC95" s="100">
        <f t="shared" si="93"/>
        <v>0</v>
      </c>
      <c r="AD95" s="100">
        <f t="shared" si="94"/>
        <v>0</v>
      </c>
      <c r="AE95" s="100">
        <f t="shared" si="95"/>
        <v>0</v>
      </c>
      <c r="AF95" s="100">
        <f t="shared" si="96"/>
        <v>0</v>
      </c>
      <c r="AG95" s="100">
        <f t="shared" si="97"/>
        <v>0</v>
      </c>
      <c r="AH95" s="100">
        <f t="shared" si="98"/>
        <v>0</v>
      </c>
      <c r="AI95" s="109"/>
      <c r="AJ95" s="108">
        <f t="shared" si="99"/>
        <v>0</v>
      </c>
      <c r="AK95" s="108">
        <f t="shared" si="100"/>
        <v>0</v>
      </c>
      <c r="AL95" s="108">
        <f t="shared" si="101"/>
        <v>0</v>
      </c>
      <c r="AN95" s="100">
        <v>15</v>
      </c>
      <c r="AO95" s="100">
        <f>H95*0</f>
        <v>0</v>
      </c>
      <c r="AP95" s="100">
        <f>H95*(1-0)</f>
        <v>0</v>
      </c>
      <c r="AQ95" s="111" t="s">
        <v>7</v>
      </c>
      <c r="AV95" s="100">
        <f t="shared" si="102"/>
        <v>0</v>
      </c>
      <c r="AW95" s="100">
        <f t="shared" si="103"/>
        <v>0</v>
      </c>
      <c r="AX95" s="100">
        <f t="shared" si="104"/>
        <v>0</v>
      </c>
      <c r="AY95" s="110" t="s">
        <v>1693</v>
      </c>
      <c r="AZ95" s="110" t="s">
        <v>1728</v>
      </c>
      <c r="BA95" s="109" t="s">
        <v>1737</v>
      </c>
      <c r="BC95" s="100">
        <f t="shared" si="105"/>
        <v>0</v>
      </c>
      <c r="BD95" s="100">
        <f t="shared" si="106"/>
        <v>0</v>
      </c>
      <c r="BE95" s="100">
        <v>0</v>
      </c>
      <c r="BF95" s="100">
        <f>95</f>
        <v>95</v>
      </c>
      <c r="BH95" s="108">
        <f t="shared" si="107"/>
        <v>0</v>
      </c>
      <c r="BI95" s="108">
        <f t="shared" si="108"/>
        <v>0</v>
      </c>
      <c r="BJ95" s="108">
        <f t="shared" si="109"/>
        <v>0</v>
      </c>
    </row>
    <row r="96" spans="1:62" x14ac:dyDescent="0.2">
      <c r="A96" s="117" t="s">
        <v>72</v>
      </c>
      <c r="B96" s="117" t="s">
        <v>625</v>
      </c>
      <c r="C96" s="304" t="s">
        <v>2492</v>
      </c>
      <c r="D96" s="305"/>
      <c r="E96" s="305"/>
      <c r="F96" s="117" t="s">
        <v>1645</v>
      </c>
      <c r="G96" s="116">
        <v>77.587000000000003</v>
      </c>
      <c r="H96" s="159"/>
      <c r="I96" s="108">
        <f t="shared" si="88"/>
        <v>0</v>
      </c>
      <c r="J96" s="108">
        <f t="shared" si="89"/>
        <v>0</v>
      </c>
      <c r="K96" s="108">
        <f t="shared" si="90"/>
        <v>0</v>
      </c>
      <c r="L96" s="111" t="s">
        <v>1671</v>
      </c>
      <c r="Z96" s="100">
        <f t="shared" si="91"/>
        <v>0</v>
      </c>
      <c r="AB96" s="100">
        <f t="shared" si="92"/>
        <v>0</v>
      </c>
      <c r="AC96" s="100">
        <f t="shared" si="93"/>
        <v>0</v>
      </c>
      <c r="AD96" s="100">
        <f t="shared" si="94"/>
        <v>0</v>
      </c>
      <c r="AE96" s="100">
        <f t="shared" si="95"/>
        <v>0</v>
      </c>
      <c r="AF96" s="100">
        <f t="shared" si="96"/>
        <v>0</v>
      </c>
      <c r="AG96" s="100">
        <f t="shared" si="97"/>
        <v>0</v>
      </c>
      <c r="AH96" s="100">
        <f t="shared" si="98"/>
        <v>0</v>
      </c>
      <c r="AI96" s="109"/>
      <c r="AJ96" s="108">
        <f t="shared" si="99"/>
        <v>0</v>
      </c>
      <c r="AK96" s="108">
        <f t="shared" si="100"/>
        <v>0</v>
      </c>
      <c r="AL96" s="108">
        <f t="shared" si="101"/>
        <v>0</v>
      </c>
      <c r="AN96" s="100">
        <v>15</v>
      </c>
      <c r="AO96" s="100">
        <f>H96*0</f>
        <v>0</v>
      </c>
      <c r="AP96" s="100">
        <f>H96*(1-0)</f>
        <v>0</v>
      </c>
      <c r="AQ96" s="111" t="s">
        <v>7</v>
      </c>
      <c r="AV96" s="100">
        <f t="shared" si="102"/>
        <v>0</v>
      </c>
      <c r="AW96" s="100">
        <f t="shared" si="103"/>
        <v>0</v>
      </c>
      <c r="AX96" s="100">
        <f t="shared" si="104"/>
        <v>0</v>
      </c>
      <c r="AY96" s="110" t="s">
        <v>1693</v>
      </c>
      <c r="AZ96" s="110" t="s">
        <v>1728</v>
      </c>
      <c r="BA96" s="109" t="s">
        <v>1737</v>
      </c>
      <c r="BC96" s="100">
        <f t="shared" si="105"/>
        <v>0</v>
      </c>
      <c r="BD96" s="100">
        <f t="shared" si="106"/>
        <v>0</v>
      </c>
      <c r="BE96" s="100">
        <v>0</v>
      </c>
      <c r="BF96" s="100">
        <f>96</f>
        <v>96</v>
      </c>
      <c r="BH96" s="108">
        <f t="shared" si="107"/>
        <v>0</v>
      </c>
      <c r="BI96" s="108">
        <f t="shared" si="108"/>
        <v>0</v>
      </c>
      <c r="BJ96" s="108">
        <f t="shared" si="109"/>
        <v>0</v>
      </c>
    </row>
    <row r="97" spans="1:62" x14ac:dyDescent="0.2">
      <c r="A97" s="117" t="s">
        <v>73</v>
      </c>
      <c r="B97" s="117" t="s">
        <v>626</v>
      </c>
      <c r="C97" s="304" t="s">
        <v>2491</v>
      </c>
      <c r="D97" s="305"/>
      <c r="E97" s="305"/>
      <c r="F97" s="117" t="s">
        <v>1645</v>
      </c>
      <c r="G97" s="116">
        <v>387.6</v>
      </c>
      <c r="H97" s="159"/>
      <c r="I97" s="108">
        <f t="shared" si="88"/>
        <v>0</v>
      </c>
      <c r="J97" s="108">
        <f t="shared" si="89"/>
        <v>0</v>
      </c>
      <c r="K97" s="108">
        <f t="shared" si="90"/>
        <v>0</v>
      </c>
      <c r="L97" s="111" t="s">
        <v>1671</v>
      </c>
      <c r="Z97" s="100">
        <f t="shared" si="91"/>
        <v>0</v>
      </c>
      <c r="AB97" s="100">
        <f t="shared" si="92"/>
        <v>0</v>
      </c>
      <c r="AC97" s="100">
        <f t="shared" si="93"/>
        <v>0</v>
      </c>
      <c r="AD97" s="100">
        <f t="shared" si="94"/>
        <v>0</v>
      </c>
      <c r="AE97" s="100">
        <f t="shared" si="95"/>
        <v>0</v>
      </c>
      <c r="AF97" s="100">
        <f t="shared" si="96"/>
        <v>0</v>
      </c>
      <c r="AG97" s="100">
        <f t="shared" si="97"/>
        <v>0</v>
      </c>
      <c r="AH97" s="100">
        <f t="shared" si="98"/>
        <v>0</v>
      </c>
      <c r="AI97" s="109"/>
      <c r="AJ97" s="108">
        <f t="shared" si="99"/>
        <v>0</v>
      </c>
      <c r="AK97" s="108">
        <f t="shared" si="100"/>
        <v>0</v>
      </c>
      <c r="AL97" s="108">
        <f t="shared" si="101"/>
        <v>0</v>
      </c>
      <c r="AN97" s="100">
        <v>15</v>
      </c>
      <c r="AO97" s="100">
        <f>H97*0.313660714285714</f>
        <v>0</v>
      </c>
      <c r="AP97" s="100">
        <f>H97*(1-0.313660714285714)</f>
        <v>0</v>
      </c>
      <c r="AQ97" s="111" t="s">
        <v>7</v>
      </c>
      <c r="AV97" s="100">
        <f t="shared" si="102"/>
        <v>0</v>
      </c>
      <c r="AW97" s="100">
        <f t="shared" si="103"/>
        <v>0</v>
      </c>
      <c r="AX97" s="100">
        <f t="shared" si="104"/>
        <v>0</v>
      </c>
      <c r="AY97" s="110" t="s">
        <v>1693</v>
      </c>
      <c r="AZ97" s="110" t="s">
        <v>1728</v>
      </c>
      <c r="BA97" s="109" t="s">
        <v>1737</v>
      </c>
      <c r="BC97" s="100">
        <f t="shared" si="105"/>
        <v>0</v>
      </c>
      <c r="BD97" s="100">
        <f t="shared" si="106"/>
        <v>0</v>
      </c>
      <c r="BE97" s="100">
        <v>0</v>
      </c>
      <c r="BF97" s="100">
        <f>97</f>
        <v>97</v>
      </c>
      <c r="BH97" s="108">
        <f t="shared" si="107"/>
        <v>0</v>
      </c>
      <c r="BI97" s="108">
        <f t="shared" si="108"/>
        <v>0</v>
      </c>
      <c r="BJ97" s="108">
        <f t="shared" si="109"/>
        <v>0</v>
      </c>
    </row>
    <row r="98" spans="1:62" x14ac:dyDescent="0.2">
      <c r="A98" s="117" t="s">
        <v>74</v>
      </c>
      <c r="B98" s="117" t="s">
        <v>626</v>
      </c>
      <c r="C98" s="304" t="s">
        <v>2490</v>
      </c>
      <c r="D98" s="305"/>
      <c r="E98" s="305"/>
      <c r="F98" s="117" t="s">
        <v>1645</v>
      </c>
      <c r="G98" s="116">
        <v>77.587000000000003</v>
      </c>
      <c r="H98" s="159"/>
      <c r="I98" s="108">
        <f t="shared" si="88"/>
        <v>0</v>
      </c>
      <c r="J98" s="108">
        <f t="shared" si="89"/>
        <v>0</v>
      </c>
      <c r="K98" s="108">
        <f t="shared" si="90"/>
        <v>0</v>
      </c>
      <c r="L98" s="111" t="s">
        <v>1671</v>
      </c>
      <c r="Z98" s="100">
        <f t="shared" si="91"/>
        <v>0</v>
      </c>
      <c r="AB98" s="100">
        <f t="shared" si="92"/>
        <v>0</v>
      </c>
      <c r="AC98" s="100">
        <f t="shared" si="93"/>
        <v>0</v>
      </c>
      <c r="AD98" s="100">
        <f t="shared" si="94"/>
        <v>0</v>
      </c>
      <c r="AE98" s="100">
        <f t="shared" si="95"/>
        <v>0</v>
      </c>
      <c r="AF98" s="100">
        <f t="shared" si="96"/>
        <v>0</v>
      </c>
      <c r="AG98" s="100">
        <f t="shared" si="97"/>
        <v>0</v>
      </c>
      <c r="AH98" s="100">
        <f t="shared" si="98"/>
        <v>0</v>
      </c>
      <c r="AI98" s="109"/>
      <c r="AJ98" s="108">
        <f t="shared" si="99"/>
        <v>0</v>
      </c>
      <c r="AK98" s="108">
        <f t="shared" si="100"/>
        <v>0</v>
      </c>
      <c r="AL98" s="108">
        <f t="shared" si="101"/>
        <v>0</v>
      </c>
      <c r="AN98" s="100">
        <v>15</v>
      </c>
      <c r="AO98" s="100">
        <f>H98*0.313660858667808</f>
        <v>0</v>
      </c>
      <c r="AP98" s="100">
        <f>H98*(1-0.313660858667808)</f>
        <v>0</v>
      </c>
      <c r="AQ98" s="111" t="s">
        <v>7</v>
      </c>
      <c r="AV98" s="100">
        <f t="shared" si="102"/>
        <v>0</v>
      </c>
      <c r="AW98" s="100">
        <f t="shared" si="103"/>
        <v>0</v>
      </c>
      <c r="AX98" s="100">
        <f t="shared" si="104"/>
        <v>0</v>
      </c>
      <c r="AY98" s="110" t="s">
        <v>1693</v>
      </c>
      <c r="AZ98" s="110" t="s">
        <v>1728</v>
      </c>
      <c r="BA98" s="109" t="s">
        <v>1737</v>
      </c>
      <c r="BC98" s="100">
        <f t="shared" si="105"/>
        <v>0</v>
      </c>
      <c r="BD98" s="100">
        <f t="shared" si="106"/>
        <v>0</v>
      </c>
      <c r="BE98" s="100">
        <v>0</v>
      </c>
      <c r="BF98" s="100">
        <f>98</f>
        <v>98</v>
      </c>
      <c r="BH98" s="108">
        <f t="shared" si="107"/>
        <v>0</v>
      </c>
      <c r="BI98" s="108">
        <f t="shared" si="108"/>
        <v>0</v>
      </c>
      <c r="BJ98" s="108">
        <f t="shared" si="109"/>
        <v>0</v>
      </c>
    </row>
    <row r="99" spans="1:62" x14ac:dyDescent="0.2">
      <c r="A99" s="119"/>
      <c r="B99" s="120" t="s">
        <v>70</v>
      </c>
      <c r="C99" s="306" t="s">
        <v>2575</v>
      </c>
      <c r="D99" s="307"/>
      <c r="E99" s="307"/>
      <c r="F99" s="119" t="s">
        <v>6</v>
      </c>
      <c r="G99" s="119" t="s">
        <v>6</v>
      </c>
      <c r="H99" s="119" t="s">
        <v>6</v>
      </c>
      <c r="I99" s="118">
        <f>SUM(I100:I100)</f>
        <v>0</v>
      </c>
      <c r="J99" s="118">
        <f>SUM(J100:J100)</f>
        <v>0</v>
      </c>
      <c r="K99" s="118">
        <f>SUM(K100:K100)</f>
        <v>0</v>
      </c>
      <c r="L99" s="109"/>
      <c r="AI99" s="109"/>
      <c r="AS99" s="118">
        <f>SUM(AJ100:AJ100)</f>
        <v>0</v>
      </c>
      <c r="AT99" s="118">
        <f>SUM(AK100:AK100)</f>
        <v>0</v>
      </c>
      <c r="AU99" s="118">
        <f>SUM(AL100:AL100)</f>
        <v>0</v>
      </c>
    </row>
    <row r="100" spans="1:62" x14ac:dyDescent="0.2">
      <c r="A100" s="117" t="s">
        <v>75</v>
      </c>
      <c r="B100" s="117" t="s">
        <v>2854</v>
      </c>
      <c r="C100" s="304" t="s">
        <v>4148</v>
      </c>
      <c r="D100" s="305"/>
      <c r="E100" s="305"/>
      <c r="F100" s="117" t="s">
        <v>1646</v>
      </c>
      <c r="G100" s="116">
        <v>1.2</v>
      </c>
      <c r="H100" s="159"/>
      <c r="I100" s="108">
        <f>G100*AO100</f>
        <v>0</v>
      </c>
      <c r="J100" s="108">
        <f>G100*AP100</f>
        <v>0</v>
      </c>
      <c r="K100" s="108">
        <f>G100*H100</f>
        <v>0</v>
      </c>
      <c r="L100" s="111" t="s">
        <v>1671</v>
      </c>
      <c r="Z100" s="100">
        <f>IF(AQ100="5",BJ100,0)</f>
        <v>0</v>
      </c>
      <c r="AB100" s="100">
        <f>IF(AQ100="1",BH100,0)</f>
        <v>0</v>
      </c>
      <c r="AC100" s="100">
        <f>IF(AQ100="1",BI100,0)</f>
        <v>0</v>
      </c>
      <c r="AD100" s="100">
        <f>IF(AQ100="7",BH100,0)</f>
        <v>0</v>
      </c>
      <c r="AE100" s="100">
        <f>IF(AQ100="7",BI100,0)</f>
        <v>0</v>
      </c>
      <c r="AF100" s="100">
        <f>IF(AQ100="2",BH100,0)</f>
        <v>0</v>
      </c>
      <c r="AG100" s="100">
        <f>IF(AQ100="2",BI100,0)</f>
        <v>0</v>
      </c>
      <c r="AH100" s="100">
        <f>IF(AQ100="0",BJ100,0)</f>
        <v>0</v>
      </c>
      <c r="AI100" s="109"/>
      <c r="AJ100" s="108">
        <f>IF(AN100=0,K100,0)</f>
        <v>0</v>
      </c>
      <c r="AK100" s="108">
        <f>IF(AN100=15,K100,0)</f>
        <v>0</v>
      </c>
      <c r="AL100" s="108">
        <f>IF(AN100=21,K100,0)</f>
        <v>0</v>
      </c>
      <c r="AN100" s="100">
        <v>15</v>
      </c>
      <c r="AO100" s="100">
        <f>H100*0.707705779334501</f>
        <v>0</v>
      </c>
      <c r="AP100" s="100">
        <f>H100*(1-0.707705779334501)</f>
        <v>0</v>
      </c>
      <c r="AQ100" s="111" t="s">
        <v>7</v>
      </c>
      <c r="AV100" s="100">
        <f>AW100+AX100</f>
        <v>0</v>
      </c>
      <c r="AW100" s="100">
        <f>G100*AO100</f>
        <v>0</v>
      </c>
      <c r="AX100" s="100">
        <f>G100*AP100</f>
        <v>0</v>
      </c>
      <c r="AY100" s="110" t="s">
        <v>2852</v>
      </c>
      <c r="AZ100" s="110" t="s">
        <v>1728</v>
      </c>
      <c r="BA100" s="109" t="s">
        <v>1737</v>
      </c>
      <c r="BC100" s="100">
        <f>AW100+AX100</f>
        <v>0</v>
      </c>
      <c r="BD100" s="100">
        <f>H100/(100-BE100)*100</f>
        <v>0</v>
      </c>
      <c r="BE100" s="100">
        <v>0</v>
      </c>
      <c r="BF100" s="100">
        <f>100</f>
        <v>100</v>
      </c>
      <c r="BH100" s="108">
        <f>G100*AO100</f>
        <v>0</v>
      </c>
      <c r="BI100" s="108">
        <f>G100*AP100</f>
        <v>0</v>
      </c>
      <c r="BJ100" s="108">
        <f>G100*H100</f>
        <v>0</v>
      </c>
    </row>
    <row r="101" spans="1:62" x14ac:dyDescent="0.2">
      <c r="A101" s="119"/>
      <c r="B101" s="120" t="s">
        <v>89</v>
      </c>
      <c r="C101" s="306" t="s">
        <v>1130</v>
      </c>
      <c r="D101" s="307"/>
      <c r="E101" s="307"/>
      <c r="F101" s="119" t="s">
        <v>6</v>
      </c>
      <c r="G101" s="119" t="s">
        <v>6</v>
      </c>
      <c r="H101" s="119" t="s">
        <v>6</v>
      </c>
      <c r="I101" s="118">
        <f>SUM(I102:I103)</f>
        <v>0</v>
      </c>
      <c r="J101" s="118">
        <f>SUM(J102:J103)</f>
        <v>0</v>
      </c>
      <c r="K101" s="118">
        <f>SUM(K102:K103)</f>
        <v>0</v>
      </c>
      <c r="L101" s="109"/>
      <c r="AI101" s="109"/>
      <c r="AS101" s="118">
        <f>SUM(AJ102:AJ103)</f>
        <v>0</v>
      </c>
      <c r="AT101" s="118">
        <f>SUM(AK102:AK103)</f>
        <v>0</v>
      </c>
      <c r="AU101" s="118">
        <f>SUM(AL102:AL103)</f>
        <v>0</v>
      </c>
    </row>
    <row r="102" spans="1:62" x14ac:dyDescent="0.2">
      <c r="A102" s="117" t="s">
        <v>76</v>
      </c>
      <c r="B102" s="117" t="s">
        <v>628</v>
      </c>
      <c r="C102" s="304" t="s">
        <v>4147</v>
      </c>
      <c r="D102" s="305"/>
      <c r="E102" s="305"/>
      <c r="F102" s="117" t="s">
        <v>1644</v>
      </c>
      <c r="G102" s="116">
        <v>6</v>
      </c>
      <c r="H102" s="159"/>
      <c r="I102" s="108">
        <f>G102*AO102</f>
        <v>0</v>
      </c>
      <c r="J102" s="108">
        <f>G102*AP102</f>
        <v>0</v>
      </c>
      <c r="K102" s="108">
        <f>G102*H102</f>
        <v>0</v>
      </c>
      <c r="L102" s="111" t="s">
        <v>1671</v>
      </c>
      <c r="Z102" s="100">
        <f>IF(AQ102="5",BJ102,0)</f>
        <v>0</v>
      </c>
      <c r="AB102" s="100">
        <f>IF(AQ102="1",BH102,0)</f>
        <v>0</v>
      </c>
      <c r="AC102" s="100">
        <f>IF(AQ102="1",BI102,0)</f>
        <v>0</v>
      </c>
      <c r="AD102" s="100">
        <f>IF(AQ102="7",BH102,0)</f>
        <v>0</v>
      </c>
      <c r="AE102" s="100">
        <f>IF(AQ102="7",BI102,0)</f>
        <v>0</v>
      </c>
      <c r="AF102" s="100">
        <f>IF(AQ102="2",BH102,0)</f>
        <v>0</v>
      </c>
      <c r="AG102" s="100">
        <f>IF(AQ102="2",BI102,0)</f>
        <v>0</v>
      </c>
      <c r="AH102" s="100">
        <f>IF(AQ102="0",BJ102,0)</f>
        <v>0</v>
      </c>
      <c r="AI102" s="109"/>
      <c r="AJ102" s="108">
        <f>IF(AN102=0,K102,0)</f>
        <v>0</v>
      </c>
      <c r="AK102" s="108">
        <f>IF(AN102=15,K102,0)</f>
        <v>0</v>
      </c>
      <c r="AL102" s="108">
        <f>IF(AN102=21,K102,0)</f>
        <v>0</v>
      </c>
      <c r="AN102" s="100">
        <v>15</v>
      </c>
      <c r="AO102" s="100">
        <f>H102*0.915172508192762</f>
        <v>0</v>
      </c>
      <c r="AP102" s="100">
        <f>H102*(1-0.915172508192762)</f>
        <v>0</v>
      </c>
      <c r="AQ102" s="111" t="s">
        <v>7</v>
      </c>
      <c r="AV102" s="100">
        <f>AW102+AX102</f>
        <v>0</v>
      </c>
      <c r="AW102" s="100">
        <f>G102*AO102</f>
        <v>0</v>
      </c>
      <c r="AX102" s="100">
        <f>G102*AP102</f>
        <v>0</v>
      </c>
      <c r="AY102" s="110" t="s">
        <v>1695</v>
      </c>
      <c r="AZ102" s="110" t="s">
        <v>1729</v>
      </c>
      <c r="BA102" s="109" t="s">
        <v>1737</v>
      </c>
      <c r="BC102" s="100">
        <f>AW102+AX102</f>
        <v>0</v>
      </c>
      <c r="BD102" s="100">
        <f>H102/(100-BE102)*100</f>
        <v>0</v>
      </c>
      <c r="BE102" s="100">
        <v>0</v>
      </c>
      <c r="BF102" s="100">
        <f>102</f>
        <v>102</v>
      </c>
      <c r="BH102" s="108">
        <f>G102*AO102</f>
        <v>0</v>
      </c>
      <c r="BI102" s="108">
        <f>G102*AP102</f>
        <v>0</v>
      </c>
      <c r="BJ102" s="108">
        <f>G102*H102</f>
        <v>0</v>
      </c>
    </row>
    <row r="103" spans="1:62" x14ac:dyDescent="0.2">
      <c r="A103" s="117" t="s">
        <v>77</v>
      </c>
      <c r="B103" s="117" t="s">
        <v>629</v>
      </c>
      <c r="C103" s="304" t="s">
        <v>1132</v>
      </c>
      <c r="D103" s="305"/>
      <c r="E103" s="305"/>
      <c r="F103" s="117" t="s">
        <v>1646</v>
      </c>
      <c r="G103" s="116">
        <v>40</v>
      </c>
      <c r="H103" s="159"/>
      <c r="I103" s="108">
        <f>G103*AO103</f>
        <v>0</v>
      </c>
      <c r="J103" s="108">
        <f>G103*AP103</f>
        <v>0</v>
      </c>
      <c r="K103" s="108">
        <f>G103*H103</f>
        <v>0</v>
      </c>
      <c r="L103" s="111" t="s">
        <v>1671</v>
      </c>
      <c r="Z103" s="100">
        <f>IF(AQ103="5",BJ103,0)</f>
        <v>0</v>
      </c>
      <c r="AB103" s="100">
        <f>IF(AQ103="1",BH103,0)</f>
        <v>0</v>
      </c>
      <c r="AC103" s="100">
        <f>IF(AQ103="1",BI103,0)</f>
        <v>0</v>
      </c>
      <c r="AD103" s="100">
        <f>IF(AQ103="7",BH103,0)</f>
        <v>0</v>
      </c>
      <c r="AE103" s="100">
        <f>IF(AQ103="7",BI103,0)</f>
        <v>0</v>
      </c>
      <c r="AF103" s="100">
        <f>IF(AQ103="2",BH103,0)</f>
        <v>0</v>
      </c>
      <c r="AG103" s="100">
        <f>IF(AQ103="2",BI103,0)</f>
        <v>0</v>
      </c>
      <c r="AH103" s="100">
        <f>IF(AQ103="0",BJ103,0)</f>
        <v>0</v>
      </c>
      <c r="AI103" s="109"/>
      <c r="AJ103" s="108">
        <f>IF(AN103=0,K103,0)</f>
        <v>0</v>
      </c>
      <c r="AK103" s="108">
        <f>IF(AN103=15,K103,0)</f>
        <v>0</v>
      </c>
      <c r="AL103" s="108">
        <f>IF(AN103=21,K103,0)</f>
        <v>0</v>
      </c>
      <c r="AN103" s="100">
        <v>15</v>
      </c>
      <c r="AO103" s="100">
        <f>H103*0.343381518923828</f>
        <v>0</v>
      </c>
      <c r="AP103" s="100">
        <f>H103*(1-0.343381518923828)</f>
        <v>0</v>
      </c>
      <c r="AQ103" s="111" t="s">
        <v>7</v>
      </c>
      <c r="AV103" s="100">
        <f>AW103+AX103</f>
        <v>0</v>
      </c>
      <c r="AW103" s="100">
        <f>G103*AO103</f>
        <v>0</v>
      </c>
      <c r="AX103" s="100">
        <f>G103*AP103</f>
        <v>0</v>
      </c>
      <c r="AY103" s="110" t="s">
        <v>1695</v>
      </c>
      <c r="AZ103" s="110" t="s">
        <v>1729</v>
      </c>
      <c r="BA103" s="109" t="s">
        <v>1737</v>
      </c>
      <c r="BC103" s="100">
        <f>AW103+AX103</f>
        <v>0</v>
      </c>
      <c r="BD103" s="100">
        <f>H103/(100-BE103)*100</f>
        <v>0</v>
      </c>
      <c r="BE103" s="100">
        <v>0</v>
      </c>
      <c r="BF103" s="100">
        <f>103</f>
        <v>103</v>
      </c>
      <c r="BH103" s="108">
        <f>G103*AO103</f>
        <v>0</v>
      </c>
      <c r="BI103" s="108">
        <f>G103*AP103</f>
        <v>0</v>
      </c>
      <c r="BJ103" s="108">
        <f>G103*H103</f>
        <v>0</v>
      </c>
    </row>
    <row r="104" spans="1:62" x14ac:dyDescent="0.2">
      <c r="A104" s="119"/>
      <c r="B104" s="120" t="s">
        <v>95</v>
      </c>
      <c r="C104" s="306" t="s">
        <v>1133</v>
      </c>
      <c r="D104" s="307"/>
      <c r="E104" s="307"/>
      <c r="F104" s="119" t="s">
        <v>6</v>
      </c>
      <c r="G104" s="119" t="s">
        <v>6</v>
      </c>
      <c r="H104" s="119" t="s">
        <v>6</v>
      </c>
      <c r="I104" s="118">
        <f>SUM(I105:I106)</f>
        <v>0</v>
      </c>
      <c r="J104" s="118">
        <f>SUM(J105:J106)</f>
        <v>0</v>
      </c>
      <c r="K104" s="118">
        <f>SUM(K105:K106)</f>
        <v>0</v>
      </c>
      <c r="L104" s="109"/>
      <c r="AI104" s="109"/>
      <c r="AS104" s="118">
        <f>SUM(AJ105:AJ106)</f>
        <v>0</v>
      </c>
      <c r="AT104" s="118">
        <f>SUM(AK105:AK106)</f>
        <v>0</v>
      </c>
      <c r="AU104" s="118">
        <f>SUM(AL105:AL106)</f>
        <v>0</v>
      </c>
    </row>
    <row r="105" spans="1:62" x14ac:dyDescent="0.2">
      <c r="A105" s="117" t="s">
        <v>78</v>
      </c>
      <c r="B105" s="117" t="s">
        <v>630</v>
      </c>
      <c r="C105" s="304" t="s">
        <v>4146</v>
      </c>
      <c r="D105" s="305"/>
      <c r="E105" s="305"/>
      <c r="F105" s="117" t="s">
        <v>1644</v>
      </c>
      <c r="G105" s="116">
        <v>9</v>
      </c>
      <c r="H105" s="159"/>
      <c r="I105" s="108">
        <f>G105*AO105</f>
        <v>0</v>
      </c>
      <c r="J105" s="108">
        <f>G105*AP105</f>
        <v>0</v>
      </c>
      <c r="K105" s="108">
        <f>G105*H105</f>
        <v>0</v>
      </c>
      <c r="L105" s="111" t="s">
        <v>1671</v>
      </c>
      <c r="Z105" s="100">
        <f>IF(AQ105="5",BJ105,0)</f>
        <v>0</v>
      </c>
      <c r="AB105" s="100">
        <f>IF(AQ105="1",BH105,0)</f>
        <v>0</v>
      </c>
      <c r="AC105" s="100">
        <f>IF(AQ105="1",BI105,0)</f>
        <v>0</v>
      </c>
      <c r="AD105" s="100">
        <f>IF(AQ105="7",BH105,0)</f>
        <v>0</v>
      </c>
      <c r="AE105" s="100">
        <f>IF(AQ105="7",BI105,0)</f>
        <v>0</v>
      </c>
      <c r="AF105" s="100">
        <f>IF(AQ105="2",BH105,0)</f>
        <v>0</v>
      </c>
      <c r="AG105" s="100">
        <f>IF(AQ105="2",BI105,0)</f>
        <v>0</v>
      </c>
      <c r="AH105" s="100">
        <f>IF(AQ105="0",BJ105,0)</f>
        <v>0</v>
      </c>
      <c r="AI105" s="109"/>
      <c r="AJ105" s="108">
        <f>IF(AN105=0,K105,0)</f>
        <v>0</v>
      </c>
      <c r="AK105" s="108">
        <f>IF(AN105=15,K105,0)</f>
        <v>0</v>
      </c>
      <c r="AL105" s="108">
        <f>IF(AN105=21,K105,0)</f>
        <v>0</v>
      </c>
      <c r="AN105" s="100">
        <v>15</v>
      </c>
      <c r="AO105" s="100">
        <f>H105*0.904839954995352</f>
        <v>0</v>
      </c>
      <c r="AP105" s="100">
        <f>H105*(1-0.904839954995352)</f>
        <v>0</v>
      </c>
      <c r="AQ105" s="111" t="s">
        <v>7</v>
      </c>
      <c r="AV105" s="100">
        <f>AW105+AX105</f>
        <v>0</v>
      </c>
      <c r="AW105" s="100">
        <f>G105*AO105</f>
        <v>0</v>
      </c>
      <c r="AX105" s="100">
        <f>G105*AP105</f>
        <v>0</v>
      </c>
      <c r="AY105" s="110" t="s">
        <v>1696</v>
      </c>
      <c r="AZ105" s="110" t="s">
        <v>1729</v>
      </c>
      <c r="BA105" s="109" t="s">
        <v>1737</v>
      </c>
      <c r="BC105" s="100">
        <f>AW105+AX105</f>
        <v>0</v>
      </c>
      <c r="BD105" s="100">
        <f>H105/(100-BE105)*100</f>
        <v>0</v>
      </c>
      <c r="BE105" s="100">
        <v>0</v>
      </c>
      <c r="BF105" s="100">
        <f>105</f>
        <v>105</v>
      </c>
      <c r="BH105" s="108">
        <f>G105*AO105</f>
        <v>0</v>
      </c>
      <c r="BI105" s="108">
        <f>G105*AP105</f>
        <v>0</v>
      </c>
      <c r="BJ105" s="108">
        <f>G105*H105</f>
        <v>0</v>
      </c>
    </row>
    <row r="106" spans="1:62" x14ac:dyDescent="0.2">
      <c r="A106" s="117" t="s">
        <v>79</v>
      </c>
      <c r="B106" s="117" t="s">
        <v>631</v>
      </c>
      <c r="C106" s="304" t="s">
        <v>1135</v>
      </c>
      <c r="D106" s="305"/>
      <c r="E106" s="305"/>
      <c r="F106" s="117" t="s">
        <v>1644</v>
      </c>
      <c r="G106" s="116">
        <v>3</v>
      </c>
      <c r="H106" s="159"/>
      <c r="I106" s="108">
        <f>G106*AO106</f>
        <v>0</v>
      </c>
      <c r="J106" s="108">
        <f>G106*AP106</f>
        <v>0</v>
      </c>
      <c r="K106" s="108">
        <f>G106*H106</f>
        <v>0</v>
      </c>
      <c r="L106" s="111" t="s">
        <v>1671</v>
      </c>
      <c r="Z106" s="100">
        <f>IF(AQ106="5",BJ106,0)</f>
        <v>0</v>
      </c>
      <c r="AB106" s="100">
        <f>IF(AQ106="1",BH106,0)</f>
        <v>0</v>
      </c>
      <c r="AC106" s="100">
        <f>IF(AQ106="1",BI106,0)</f>
        <v>0</v>
      </c>
      <c r="AD106" s="100">
        <f>IF(AQ106="7",BH106,0)</f>
        <v>0</v>
      </c>
      <c r="AE106" s="100">
        <f>IF(AQ106="7",BI106,0)</f>
        <v>0</v>
      </c>
      <c r="AF106" s="100">
        <f>IF(AQ106="2",BH106,0)</f>
        <v>0</v>
      </c>
      <c r="AG106" s="100">
        <f>IF(AQ106="2",BI106,0)</f>
        <v>0</v>
      </c>
      <c r="AH106" s="100">
        <f>IF(AQ106="0",BJ106,0)</f>
        <v>0</v>
      </c>
      <c r="AI106" s="109"/>
      <c r="AJ106" s="108">
        <f>IF(AN106=0,K106,0)</f>
        <v>0</v>
      </c>
      <c r="AK106" s="108">
        <f>IF(AN106=15,K106,0)</f>
        <v>0</v>
      </c>
      <c r="AL106" s="108">
        <f>IF(AN106=21,K106,0)</f>
        <v>0</v>
      </c>
      <c r="AN106" s="100">
        <v>15</v>
      </c>
      <c r="AO106" s="100">
        <f>H106*0.964949325254751</f>
        <v>0</v>
      </c>
      <c r="AP106" s="100">
        <f>H106*(1-0.964949325254751)</f>
        <v>0</v>
      </c>
      <c r="AQ106" s="111" t="s">
        <v>7</v>
      </c>
      <c r="AV106" s="100">
        <f>AW106+AX106</f>
        <v>0</v>
      </c>
      <c r="AW106" s="100">
        <f>G106*AO106</f>
        <v>0</v>
      </c>
      <c r="AX106" s="100">
        <f>G106*AP106</f>
        <v>0</v>
      </c>
      <c r="AY106" s="110" t="s">
        <v>1696</v>
      </c>
      <c r="AZ106" s="110" t="s">
        <v>1729</v>
      </c>
      <c r="BA106" s="109" t="s">
        <v>1737</v>
      </c>
      <c r="BC106" s="100">
        <f>AW106+AX106</f>
        <v>0</v>
      </c>
      <c r="BD106" s="100">
        <f>H106/(100-BE106)*100</f>
        <v>0</v>
      </c>
      <c r="BE106" s="100">
        <v>0</v>
      </c>
      <c r="BF106" s="100">
        <f>106</f>
        <v>106</v>
      </c>
      <c r="BH106" s="108">
        <f>G106*AO106</f>
        <v>0</v>
      </c>
      <c r="BI106" s="108">
        <f>G106*AP106</f>
        <v>0</v>
      </c>
      <c r="BJ106" s="108">
        <f>G106*H106</f>
        <v>0</v>
      </c>
    </row>
    <row r="107" spans="1:62" x14ac:dyDescent="0.2">
      <c r="A107" s="119"/>
      <c r="B107" s="120" t="s">
        <v>97</v>
      </c>
      <c r="C107" s="306" t="s">
        <v>1136</v>
      </c>
      <c r="D107" s="307"/>
      <c r="E107" s="307"/>
      <c r="F107" s="119" t="s">
        <v>6</v>
      </c>
      <c r="G107" s="119" t="s">
        <v>6</v>
      </c>
      <c r="H107" s="119" t="s">
        <v>6</v>
      </c>
      <c r="I107" s="118">
        <f>SUM(I108:I109)</f>
        <v>0</v>
      </c>
      <c r="J107" s="118">
        <f>SUM(J108:J109)</f>
        <v>0</v>
      </c>
      <c r="K107" s="118">
        <f>SUM(K108:K109)</f>
        <v>0</v>
      </c>
      <c r="L107" s="109"/>
      <c r="AI107" s="109"/>
      <c r="AS107" s="118">
        <f>SUM(AJ108:AJ109)</f>
        <v>0</v>
      </c>
      <c r="AT107" s="118">
        <f>SUM(AK108:AK109)</f>
        <v>0</v>
      </c>
      <c r="AU107" s="118">
        <f>SUM(AL108:AL109)</f>
        <v>0</v>
      </c>
    </row>
    <row r="108" spans="1:62" x14ac:dyDescent="0.2">
      <c r="A108" s="117" t="s">
        <v>80</v>
      </c>
      <c r="B108" s="117" t="s">
        <v>632</v>
      </c>
      <c r="C108" s="304" t="s">
        <v>1137</v>
      </c>
      <c r="D108" s="305"/>
      <c r="E108" s="305"/>
      <c r="F108" s="117" t="s">
        <v>1646</v>
      </c>
      <c r="G108" s="116">
        <v>82.6</v>
      </c>
      <c r="H108" s="159"/>
      <c r="I108" s="108">
        <f>G108*AO108</f>
        <v>0</v>
      </c>
      <c r="J108" s="108">
        <f>G108*AP108</f>
        <v>0</v>
      </c>
      <c r="K108" s="108">
        <f>G108*H108</f>
        <v>0</v>
      </c>
      <c r="L108" s="111" t="s">
        <v>1671</v>
      </c>
      <c r="Z108" s="100">
        <f>IF(AQ108="5",BJ108,0)</f>
        <v>0</v>
      </c>
      <c r="AB108" s="100">
        <f>IF(AQ108="1",BH108,0)</f>
        <v>0</v>
      </c>
      <c r="AC108" s="100">
        <f>IF(AQ108="1",BI108,0)</f>
        <v>0</v>
      </c>
      <c r="AD108" s="100">
        <f>IF(AQ108="7",BH108,0)</f>
        <v>0</v>
      </c>
      <c r="AE108" s="100">
        <f>IF(AQ108="7",BI108,0)</f>
        <v>0</v>
      </c>
      <c r="AF108" s="100">
        <f>IF(AQ108="2",BH108,0)</f>
        <v>0</v>
      </c>
      <c r="AG108" s="100">
        <f>IF(AQ108="2",BI108,0)</f>
        <v>0</v>
      </c>
      <c r="AH108" s="100">
        <f>IF(AQ108="0",BJ108,0)</f>
        <v>0</v>
      </c>
      <c r="AI108" s="109"/>
      <c r="AJ108" s="108">
        <f>IF(AN108=0,K108,0)</f>
        <v>0</v>
      </c>
      <c r="AK108" s="108">
        <f>IF(AN108=15,K108,0)</f>
        <v>0</v>
      </c>
      <c r="AL108" s="108">
        <f>IF(AN108=21,K108,0)</f>
        <v>0</v>
      </c>
      <c r="AN108" s="100">
        <v>15</v>
      </c>
      <c r="AO108" s="100">
        <f>H108*0.72</f>
        <v>0</v>
      </c>
      <c r="AP108" s="100">
        <f>H108*(1-0.72)</f>
        <v>0</v>
      </c>
      <c r="AQ108" s="111" t="s">
        <v>7</v>
      </c>
      <c r="AV108" s="100">
        <f>AW108+AX108</f>
        <v>0</v>
      </c>
      <c r="AW108" s="100">
        <f>G108*AO108</f>
        <v>0</v>
      </c>
      <c r="AX108" s="100">
        <f>G108*AP108</f>
        <v>0</v>
      </c>
      <c r="AY108" s="110" t="s">
        <v>1697</v>
      </c>
      <c r="AZ108" s="110" t="s">
        <v>1730</v>
      </c>
      <c r="BA108" s="109" t="s">
        <v>1737</v>
      </c>
      <c r="BC108" s="100">
        <f>AW108+AX108</f>
        <v>0</v>
      </c>
      <c r="BD108" s="100">
        <f>H108/(100-BE108)*100</f>
        <v>0</v>
      </c>
      <c r="BE108" s="100">
        <v>0</v>
      </c>
      <c r="BF108" s="100">
        <f>108</f>
        <v>108</v>
      </c>
      <c r="BH108" s="108">
        <f>G108*AO108</f>
        <v>0</v>
      </c>
      <c r="BI108" s="108">
        <f>G108*AP108</f>
        <v>0</v>
      </c>
      <c r="BJ108" s="108">
        <f>G108*H108</f>
        <v>0</v>
      </c>
    </row>
    <row r="109" spans="1:62" x14ac:dyDescent="0.2">
      <c r="A109" s="117" t="s">
        <v>81</v>
      </c>
      <c r="B109" s="117" t="s">
        <v>633</v>
      </c>
      <c r="C109" s="304" t="s">
        <v>1138</v>
      </c>
      <c r="D109" s="305"/>
      <c r="E109" s="305"/>
      <c r="F109" s="117" t="s">
        <v>1647</v>
      </c>
      <c r="G109" s="116">
        <v>3.7170000000000001</v>
      </c>
      <c r="H109" s="159"/>
      <c r="I109" s="108">
        <f>G109*AO109</f>
        <v>0</v>
      </c>
      <c r="J109" s="108">
        <f>G109*AP109</f>
        <v>0</v>
      </c>
      <c r="K109" s="108">
        <f>G109*H109</f>
        <v>0</v>
      </c>
      <c r="L109" s="111" t="s">
        <v>1671</v>
      </c>
      <c r="Z109" s="100">
        <f>IF(AQ109="5",BJ109,0)</f>
        <v>0</v>
      </c>
      <c r="AB109" s="100">
        <f>IF(AQ109="1",BH109,0)</f>
        <v>0</v>
      </c>
      <c r="AC109" s="100">
        <f>IF(AQ109="1",BI109,0)</f>
        <v>0</v>
      </c>
      <c r="AD109" s="100">
        <f>IF(AQ109="7",BH109,0)</f>
        <v>0</v>
      </c>
      <c r="AE109" s="100">
        <f>IF(AQ109="7",BI109,0)</f>
        <v>0</v>
      </c>
      <c r="AF109" s="100">
        <f>IF(AQ109="2",BH109,0)</f>
        <v>0</v>
      </c>
      <c r="AG109" s="100">
        <f>IF(AQ109="2",BI109,0)</f>
        <v>0</v>
      </c>
      <c r="AH109" s="100">
        <f>IF(AQ109="0",BJ109,0)</f>
        <v>0</v>
      </c>
      <c r="AI109" s="109"/>
      <c r="AJ109" s="108">
        <f>IF(AN109=0,K109,0)</f>
        <v>0</v>
      </c>
      <c r="AK109" s="108">
        <f>IF(AN109=15,K109,0)</f>
        <v>0</v>
      </c>
      <c r="AL109" s="108">
        <f>IF(AN109=21,K109,0)</f>
        <v>0</v>
      </c>
      <c r="AN109" s="100">
        <v>15</v>
      </c>
      <c r="AO109" s="100">
        <f>H109*0.780342991258536</f>
        <v>0</v>
      </c>
      <c r="AP109" s="100">
        <f>H109*(1-0.780342991258536)</f>
        <v>0</v>
      </c>
      <c r="AQ109" s="111" t="s">
        <v>7</v>
      </c>
      <c r="AV109" s="100">
        <f>AW109+AX109</f>
        <v>0</v>
      </c>
      <c r="AW109" s="100">
        <f>G109*AO109</f>
        <v>0</v>
      </c>
      <c r="AX109" s="100">
        <f>G109*AP109</f>
        <v>0</v>
      </c>
      <c r="AY109" s="110" t="s">
        <v>1697</v>
      </c>
      <c r="AZ109" s="110" t="s">
        <v>1730</v>
      </c>
      <c r="BA109" s="109" t="s">
        <v>1737</v>
      </c>
      <c r="BC109" s="100">
        <f>AW109+AX109</f>
        <v>0</v>
      </c>
      <c r="BD109" s="100">
        <f>H109/(100-BE109)*100</f>
        <v>0</v>
      </c>
      <c r="BE109" s="100">
        <v>0</v>
      </c>
      <c r="BF109" s="100">
        <f>109</f>
        <v>109</v>
      </c>
      <c r="BH109" s="108">
        <f>G109*AO109</f>
        <v>0</v>
      </c>
      <c r="BI109" s="108">
        <f>G109*AP109</f>
        <v>0</v>
      </c>
      <c r="BJ109" s="108">
        <f>G109*H109</f>
        <v>0</v>
      </c>
    </row>
    <row r="110" spans="1:62" x14ac:dyDescent="0.2">
      <c r="A110" s="119"/>
      <c r="B110" s="120" t="s">
        <v>100</v>
      </c>
      <c r="C110" s="306" t="s">
        <v>1139</v>
      </c>
      <c r="D110" s="307"/>
      <c r="E110" s="307"/>
      <c r="F110" s="119" t="s">
        <v>6</v>
      </c>
      <c r="G110" s="119" t="s">
        <v>6</v>
      </c>
      <c r="H110" s="119" t="s">
        <v>6</v>
      </c>
      <c r="I110" s="118">
        <f>SUM(I111:I117)</f>
        <v>0</v>
      </c>
      <c r="J110" s="118">
        <f>SUM(J111:J117)</f>
        <v>0</v>
      </c>
      <c r="K110" s="118">
        <f>SUM(K111:K117)</f>
        <v>0</v>
      </c>
      <c r="L110" s="109"/>
      <c r="AI110" s="109"/>
      <c r="AS110" s="118">
        <f>SUM(AJ111:AJ117)</f>
        <v>0</v>
      </c>
      <c r="AT110" s="118">
        <f>SUM(AK111:AK117)</f>
        <v>0</v>
      </c>
      <c r="AU110" s="118">
        <f>SUM(AL111:AL117)</f>
        <v>0</v>
      </c>
    </row>
    <row r="111" spans="1:62" x14ac:dyDescent="0.2">
      <c r="A111" s="117" t="s">
        <v>82</v>
      </c>
      <c r="B111" s="117" t="s">
        <v>634</v>
      </c>
      <c r="C111" s="304" t="s">
        <v>1140</v>
      </c>
      <c r="D111" s="305"/>
      <c r="E111" s="305"/>
      <c r="F111" s="117" t="s">
        <v>1645</v>
      </c>
      <c r="G111" s="116">
        <v>928.64099999999996</v>
      </c>
      <c r="H111" s="159"/>
      <c r="I111" s="108">
        <f t="shared" ref="I111:I117" si="110">G111*AO111</f>
        <v>0</v>
      </c>
      <c r="J111" s="108">
        <f t="shared" ref="J111:J117" si="111">G111*AP111</f>
        <v>0</v>
      </c>
      <c r="K111" s="108">
        <f t="shared" ref="K111:K117" si="112">G111*H111</f>
        <v>0</v>
      </c>
      <c r="L111" s="111" t="s">
        <v>1671</v>
      </c>
      <c r="Z111" s="100">
        <f t="shared" ref="Z111:Z117" si="113">IF(AQ111="5",BJ111,0)</f>
        <v>0</v>
      </c>
      <c r="AB111" s="100">
        <f t="shared" ref="AB111:AB117" si="114">IF(AQ111="1",BH111,0)</f>
        <v>0</v>
      </c>
      <c r="AC111" s="100">
        <f t="shared" ref="AC111:AC117" si="115">IF(AQ111="1",BI111,0)</f>
        <v>0</v>
      </c>
      <c r="AD111" s="100">
        <f t="shared" ref="AD111:AD117" si="116">IF(AQ111="7",BH111,0)</f>
        <v>0</v>
      </c>
      <c r="AE111" s="100">
        <f t="shared" ref="AE111:AE117" si="117">IF(AQ111="7",BI111,0)</f>
        <v>0</v>
      </c>
      <c r="AF111" s="100">
        <f t="shared" ref="AF111:AF117" si="118">IF(AQ111="2",BH111,0)</f>
        <v>0</v>
      </c>
      <c r="AG111" s="100">
        <f t="shared" ref="AG111:AG117" si="119">IF(AQ111="2",BI111,0)</f>
        <v>0</v>
      </c>
      <c r="AH111" s="100">
        <f t="shared" ref="AH111:AH117" si="120">IF(AQ111="0",BJ111,0)</f>
        <v>0</v>
      </c>
      <c r="AI111" s="109"/>
      <c r="AJ111" s="108">
        <f t="shared" ref="AJ111:AJ117" si="121">IF(AN111=0,K111,0)</f>
        <v>0</v>
      </c>
      <c r="AK111" s="108">
        <f t="shared" ref="AK111:AK117" si="122">IF(AN111=15,K111,0)</f>
        <v>0</v>
      </c>
      <c r="AL111" s="108">
        <f t="shared" ref="AL111:AL117" si="123">IF(AN111=21,K111,0)</f>
        <v>0</v>
      </c>
      <c r="AN111" s="100">
        <v>15</v>
      </c>
      <c r="AO111" s="100">
        <f>H111*0.000315955740930453</f>
        <v>0</v>
      </c>
      <c r="AP111" s="100">
        <f>H111*(1-0.000315955740930453)</f>
        <v>0</v>
      </c>
      <c r="AQ111" s="111" t="s">
        <v>7</v>
      </c>
      <c r="AV111" s="100">
        <f t="shared" ref="AV111:AV117" si="124">AW111+AX111</f>
        <v>0</v>
      </c>
      <c r="AW111" s="100">
        <f t="shared" ref="AW111:AW117" si="125">G111*AO111</f>
        <v>0</v>
      </c>
      <c r="AX111" s="100">
        <f t="shared" ref="AX111:AX117" si="126">G111*AP111</f>
        <v>0</v>
      </c>
      <c r="AY111" s="110" t="s">
        <v>1698</v>
      </c>
      <c r="AZ111" s="110" t="s">
        <v>1730</v>
      </c>
      <c r="BA111" s="109" t="s">
        <v>1737</v>
      </c>
      <c r="BC111" s="100">
        <f t="shared" ref="BC111:BC117" si="127">AW111+AX111</f>
        <v>0</v>
      </c>
      <c r="BD111" s="100">
        <f t="shared" ref="BD111:BD117" si="128">H111/(100-BE111)*100</f>
        <v>0</v>
      </c>
      <c r="BE111" s="100">
        <v>0</v>
      </c>
      <c r="BF111" s="100">
        <f>111</f>
        <v>111</v>
      </c>
      <c r="BH111" s="108">
        <f t="shared" ref="BH111:BH117" si="129">G111*AO111</f>
        <v>0</v>
      </c>
      <c r="BI111" s="108">
        <f t="shared" ref="BI111:BI117" si="130">G111*AP111</f>
        <v>0</v>
      </c>
      <c r="BJ111" s="108">
        <f t="shared" ref="BJ111:BJ117" si="131">G111*H111</f>
        <v>0</v>
      </c>
    </row>
    <row r="112" spans="1:62" x14ac:dyDescent="0.2">
      <c r="A112" s="117" t="s">
        <v>83</v>
      </c>
      <c r="B112" s="117" t="s">
        <v>635</v>
      </c>
      <c r="C112" s="304" t="s">
        <v>1141</v>
      </c>
      <c r="D112" s="305"/>
      <c r="E112" s="305"/>
      <c r="F112" s="117" t="s">
        <v>1645</v>
      </c>
      <c r="G112" s="116">
        <v>1857.2819999999999</v>
      </c>
      <c r="H112" s="159"/>
      <c r="I112" s="108">
        <f t="shared" si="110"/>
        <v>0</v>
      </c>
      <c r="J112" s="108">
        <f t="shared" si="111"/>
        <v>0</v>
      </c>
      <c r="K112" s="108">
        <f t="shared" si="112"/>
        <v>0</v>
      </c>
      <c r="L112" s="111" t="s">
        <v>1671</v>
      </c>
      <c r="Z112" s="100">
        <f t="shared" si="113"/>
        <v>0</v>
      </c>
      <c r="AB112" s="100">
        <f t="shared" si="114"/>
        <v>0</v>
      </c>
      <c r="AC112" s="100">
        <f t="shared" si="115"/>
        <v>0</v>
      </c>
      <c r="AD112" s="100">
        <f t="shared" si="116"/>
        <v>0</v>
      </c>
      <c r="AE112" s="100">
        <f t="shared" si="117"/>
        <v>0</v>
      </c>
      <c r="AF112" s="100">
        <f t="shared" si="118"/>
        <v>0</v>
      </c>
      <c r="AG112" s="100">
        <f t="shared" si="119"/>
        <v>0</v>
      </c>
      <c r="AH112" s="100">
        <f t="shared" si="120"/>
        <v>0</v>
      </c>
      <c r="AI112" s="109"/>
      <c r="AJ112" s="108">
        <f t="shared" si="121"/>
        <v>0</v>
      </c>
      <c r="AK112" s="108">
        <f t="shared" si="122"/>
        <v>0</v>
      </c>
      <c r="AL112" s="108">
        <f t="shared" si="123"/>
        <v>0</v>
      </c>
      <c r="AN112" s="100">
        <v>15</v>
      </c>
      <c r="AO112" s="100">
        <f>H112*0.909487420301042</f>
        <v>0</v>
      </c>
      <c r="AP112" s="100">
        <f>H112*(1-0.909487420301042)</f>
        <v>0</v>
      </c>
      <c r="AQ112" s="111" t="s">
        <v>7</v>
      </c>
      <c r="AV112" s="100">
        <f t="shared" si="124"/>
        <v>0</v>
      </c>
      <c r="AW112" s="100">
        <f t="shared" si="125"/>
        <v>0</v>
      </c>
      <c r="AX112" s="100">
        <f t="shared" si="126"/>
        <v>0</v>
      </c>
      <c r="AY112" s="110" t="s">
        <v>1698</v>
      </c>
      <c r="AZ112" s="110" t="s">
        <v>1730</v>
      </c>
      <c r="BA112" s="109" t="s">
        <v>1737</v>
      </c>
      <c r="BC112" s="100">
        <f t="shared" si="127"/>
        <v>0</v>
      </c>
      <c r="BD112" s="100">
        <f t="shared" si="128"/>
        <v>0</v>
      </c>
      <c r="BE112" s="100">
        <v>0</v>
      </c>
      <c r="BF112" s="100">
        <f>112</f>
        <v>112</v>
      </c>
      <c r="BH112" s="108">
        <f t="shared" si="129"/>
        <v>0</v>
      </c>
      <c r="BI112" s="108">
        <f t="shared" si="130"/>
        <v>0</v>
      </c>
      <c r="BJ112" s="108">
        <f t="shared" si="131"/>
        <v>0</v>
      </c>
    </row>
    <row r="113" spans="1:62" x14ac:dyDescent="0.2">
      <c r="A113" s="117" t="s">
        <v>84</v>
      </c>
      <c r="B113" s="117" t="s">
        <v>636</v>
      </c>
      <c r="C113" s="304" t="s">
        <v>1142</v>
      </c>
      <c r="D113" s="305"/>
      <c r="E113" s="305"/>
      <c r="F113" s="117" t="s">
        <v>1645</v>
      </c>
      <c r="G113" s="116">
        <v>928.64099999999996</v>
      </c>
      <c r="H113" s="159"/>
      <c r="I113" s="108">
        <f t="shared" si="110"/>
        <v>0</v>
      </c>
      <c r="J113" s="108">
        <f t="shared" si="111"/>
        <v>0</v>
      </c>
      <c r="K113" s="108">
        <f t="shared" si="112"/>
        <v>0</v>
      </c>
      <c r="L113" s="111" t="s">
        <v>1671</v>
      </c>
      <c r="Z113" s="100">
        <f t="shared" si="113"/>
        <v>0</v>
      </c>
      <c r="AB113" s="100">
        <f t="shared" si="114"/>
        <v>0</v>
      </c>
      <c r="AC113" s="100">
        <f t="shared" si="115"/>
        <v>0</v>
      </c>
      <c r="AD113" s="100">
        <f t="shared" si="116"/>
        <v>0</v>
      </c>
      <c r="AE113" s="100">
        <f t="shared" si="117"/>
        <v>0</v>
      </c>
      <c r="AF113" s="100">
        <f t="shared" si="118"/>
        <v>0</v>
      </c>
      <c r="AG113" s="100">
        <f t="shared" si="119"/>
        <v>0</v>
      </c>
      <c r="AH113" s="100">
        <f t="shared" si="120"/>
        <v>0</v>
      </c>
      <c r="AI113" s="109"/>
      <c r="AJ113" s="108">
        <f t="shared" si="121"/>
        <v>0</v>
      </c>
      <c r="AK113" s="108">
        <f t="shared" si="122"/>
        <v>0</v>
      </c>
      <c r="AL113" s="108">
        <f t="shared" si="123"/>
        <v>0</v>
      </c>
      <c r="AN113" s="100">
        <v>15</v>
      </c>
      <c r="AO113" s="100">
        <f>H113*0</f>
        <v>0</v>
      </c>
      <c r="AP113" s="100">
        <f>H113*(1-0)</f>
        <v>0</v>
      </c>
      <c r="AQ113" s="111" t="s">
        <v>7</v>
      </c>
      <c r="AV113" s="100">
        <f t="shared" si="124"/>
        <v>0</v>
      </c>
      <c r="AW113" s="100">
        <f t="shared" si="125"/>
        <v>0</v>
      </c>
      <c r="AX113" s="100">
        <f t="shared" si="126"/>
        <v>0</v>
      </c>
      <c r="AY113" s="110" t="s">
        <v>1698</v>
      </c>
      <c r="AZ113" s="110" t="s">
        <v>1730</v>
      </c>
      <c r="BA113" s="109" t="s">
        <v>1737</v>
      </c>
      <c r="BC113" s="100">
        <f t="shared" si="127"/>
        <v>0</v>
      </c>
      <c r="BD113" s="100">
        <f t="shared" si="128"/>
        <v>0</v>
      </c>
      <c r="BE113" s="100">
        <v>0</v>
      </c>
      <c r="BF113" s="100">
        <f>113</f>
        <v>113</v>
      </c>
      <c r="BH113" s="108">
        <f t="shared" si="129"/>
        <v>0</v>
      </c>
      <c r="BI113" s="108">
        <f t="shared" si="130"/>
        <v>0</v>
      </c>
      <c r="BJ113" s="108">
        <f t="shared" si="131"/>
        <v>0</v>
      </c>
    </row>
    <row r="114" spans="1:62" x14ac:dyDescent="0.2">
      <c r="A114" s="117" t="s">
        <v>85</v>
      </c>
      <c r="B114" s="117" t="s">
        <v>637</v>
      </c>
      <c r="C114" s="304" t="s">
        <v>1143</v>
      </c>
      <c r="D114" s="305"/>
      <c r="E114" s="305"/>
      <c r="F114" s="117" t="s">
        <v>1645</v>
      </c>
      <c r="G114" s="116">
        <v>928.64099999999996</v>
      </c>
      <c r="H114" s="159"/>
      <c r="I114" s="108">
        <f t="shared" si="110"/>
        <v>0</v>
      </c>
      <c r="J114" s="108">
        <f t="shared" si="111"/>
        <v>0</v>
      </c>
      <c r="K114" s="108">
        <f t="shared" si="112"/>
        <v>0</v>
      </c>
      <c r="L114" s="111" t="s">
        <v>1671</v>
      </c>
      <c r="Z114" s="100">
        <f t="shared" si="113"/>
        <v>0</v>
      </c>
      <c r="AB114" s="100">
        <f t="shared" si="114"/>
        <v>0</v>
      </c>
      <c r="AC114" s="100">
        <f t="shared" si="115"/>
        <v>0</v>
      </c>
      <c r="AD114" s="100">
        <f t="shared" si="116"/>
        <v>0</v>
      </c>
      <c r="AE114" s="100">
        <f t="shared" si="117"/>
        <v>0</v>
      </c>
      <c r="AF114" s="100">
        <f t="shared" si="118"/>
        <v>0</v>
      </c>
      <c r="AG114" s="100">
        <f t="shared" si="119"/>
        <v>0</v>
      </c>
      <c r="AH114" s="100">
        <f t="shared" si="120"/>
        <v>0</v>
      </c>
      <c r="AI114" s="109"/>
      <c r="AJ114" s="108">
        <f t="shared" si="121"/>
        <v>0</v>
      </c>
      <c r="AK114" s="108">
        <f t="shared" si="122"/>
        <v>0</v>
      </c>
      <c r="AL114" s="108">
        <f t="shared" si="123"/>
        <v>0</v>
      </c>
      <c r="AN114" s="100">
        <v>15</v>
      </c>
      <c r="AO114" s="100">
        <f>H114*0</f>
        <v>0</v>
      </c>
      <c r="AP114" s="100">
        <f>H114*(1-0)</f>
        <v>0</v>
      </c>
      <c r="AQ114" s="111" t="s">
        <v>7</v>
      </c>
      <c r="AV114" s="100">
        <f t="shared" si="124"/>
        <v>0</v>
      </c>
      <c r="AW114" s="100">
        <f t="shared" si="125"/>
        <v>0</v>
      </c>
      <c r="AX114" s="100">
        <f t="shared" si="126"/>
        <v>0</v>
      </c>
      <c r="AY114" s="110" t="s">
        <v>1698</v>
      </c>
      <c r="AZ114" s="110" t="s">
        <v>1730</v>
      </c>
      <c r="BA114" s="109" t="s">
        <v>1737</v>
      </c>
      <c r="BC114" s="100">
        <f t="shared" si="127"/>
        <v>0</v>
      </c>
      <c r="BD114" s="100">
        <f t="shared" si="128"/>
        <v>0</v>
      </c>
      <c r="BE114" s="100">
        <v>0</v>
      </c>
      <c r="BF114" s="100">
        <f>114</f>
        <v>114</v>
      </c>
      <c r="BH114" s="108">
        <f t="shared" si="129"/>
        <v>0</v>
      </c>
      <c r="BI114" s="108">
        <f t="shared" si="130"/>
        <v>0</v>
      </c>
      <c r="BJ114" s="108">
        <f t="shared" si="131"/>
        <v>0</v>
      </c>
    </row>
    <row r="115" spans="1:62" x14ac:dyDescent="0.2">
      <c r="A115" s="117" t="s">
        <v>86</v>
      </c>
      <c r="B115" s="117" t="s">
        <v>638</v>
      </c>
      <c r="C115" s="304" t="s">
        <v>1144</v>
      </c>
      <c r="D115" s="305"/>
      <c r="E115" s="305"/>
      <c r="F115" s="117" t="s">
        <v>1645</v>
      </c>
      <c r="G115" s="116">
        <v>1857.2819999999999</v>
      </c>
      <c r="H115" s="159"/>
      <c r="I115" s="108">
        <f t="shared" si="110"/>
        <v>0</v>
      </c>
      <c r="J115" s="108">
        <f t="shared" si="111"/>
        <v>0</v>
      </c>
      <c r="K115" s="108">
        <f t="shared" si="112"/>
        <v>0</v>
      </c>
      <c r="L115" s="111" t="s">
        <v>1671</v>
      </c>
      <c r="Z115" s="100">
        <f t="shared" si="113"/>
        <v>0</v>
      </c>
      <c r="AB115" s="100">
        <f t="shared" si="114"/>
        <v>0</v>
      </c>
      <c r="AC115" s="100">
        <f t="shared" si="115"/>
        <v>0</v>
      </c>
      <c r="AD115" s="100">
        <f t="shared" si="116"/>
        <v>0</v>
      </c>
      <c r="AE115" s="100">
        <f t="shared" si="117"/>
        <v>0</v>
      </c>
      <c r="AF115" s="100">
        <f t="shared" si="118"/>
        <v>0</v>
      </c>
      <c r="AG115" s="100">
        <f t="shared" si="119"/>
        <v>0</v>
      </c>
      <c r="AH115" s="100">
        <f t="shared" si="120"/>
        <v>0</v>
      </c>
      <c r="AI115" s="109"/>
      <c r="AJ115" s="108">
        <f t="shared" si="121"/>
        <v>0</v>
      </c>
      <c r="AK115" s="108">
        <f t="shared" si="122"/>
        <v>0</v>
      </c>
      <c r="AL115" s="108">
        <f t="shared" si="123"/>
        <v>0</v>
      </c>
      <c r="AN115" s="100">
        <v>15</v>
      </c>
      <c r="AO115" s="100">
        <f>H115*1.00000009789477</f>
        <v>0</v>
      </c>
      <c r="AP115" s="100">
        <f>H115*(1-1.00000009789477)</f>
        <v>0</v>
      </c>
      <c r="AQ115" s="111" t="s">
        <v>7</v>
      </c>
      <c r="AV115" s="100">
        <f t="shared" si="124"/>
        <v>0</v>
      </c>
      <c r="AW115" s="100">
        <f t="shared" si="125"/>
        <v>0</v>
      </c>
      <c r="AX115" s="100">
        <f t="shared" si="126"/>
        <v>0</v>
      </c>
      <c r="AY115" s="110" t="s">
        <v>1698</v>
      </c>
      <c r="AZ115" s="110" t="s">
        <v>1730</v>
      </c>
      <c r="BA115" s="109" t="s">
        <v>1737</v>
      </c>
      <c r="BC115" s="100">
        <f t="shared" si="127"/>
        <v>0</v>
      </c>
      <c r="BD115" s="100">
        <f t="shared" si="128"/>
        <v>0</v>
      </c>
      <c r="BE115" s="100">
        <v>0</v>
      </c>
      <c r="BF115" s="100">
        <f>115</f>
        <v>115</v>
      </c>
      <c r="BH115" s="108">
        <f t="shared" si="129"/>
        <v>0</v>
      </c>
      <c r="BI115" s="108">
        <f t="shared" si="130"/>
        <v>0</v>
      </c>
      <c r="BJ115" s="108">
        <f t="shared" si="131"/>
        <v>0</v>
      </c>
    </row>
    <row r="116" spans="1:62" x14ac:dyDescent="0.2">
      <c r="A116" s="117" t="s">
        <v>87</v>
      </c>
      <c r="B116" s="117" t="s">
        <v>639</v>
      </c>
      <c r="C116" s="304" t="s">
        <v>1145</v>
      </c>
      <c r="D116" s="305"/>
      <c r="E116" s="305"/>
      <c r="F116" s="117" t="s">
        <v>1645</v>
      </c>
      <c r="G116" s="116">
        <v>928.64099999999996</v>
      </c>
      <c r="H116" s="159"/>
      <c r="I116" s="108">
        <f t="shared" si="110"/>
        <v>0</v>
      </c>
      <c r="J116" s="108">
        <f t="shared" si="111"/>
        <v>0</v>
      </c>
      <c r="K116" s="108">
        <f t="shared" si="112"/>
        <v>0</v>
      </c>
      <c r="L116" s="111" t="s">
        <v>1671</v>
      </c>
      <c r="Z116" s="100">
        <f t="shared" si="113"/>
        <v>0</v>
      </c>
      <c r="AB116" s="100">
        <f t="shared" si="114"/>
        <v>0</v>
      </c>
      <c r="AC116" s="100">
        <f t="shared" si="115"/>
        <v>0</v>
      </c>
      <c r="AD116" s="100">
        <f t="shared" si="116"/>
        <v>0</v>
      </c>
      <c r="AE116" s="100">
        <f t="shared" si="117"/>
        <v>0</v>
      </c>
      <c r="AF116" s="100">
        <f t="shared" si="118"/>
        <v>0</v>
      </c>
      <c r="AG116" s="100">
        <f t="shared" si="119"/>
        <v>0</v>
      </c>
      <c r="AH116" s="100">
        <f t="shared" si="120"/>
        <v>0</v>
      </c>
      <c r="AI116" s="109"/>
      <c r="AJ116" s="108">
        <f t="shared" si="121"/>
        <v>0</v>
      </c>
      <c r="AK116" s="108">
        <f t="shared" si="122"/>
        <v>0</v>
      </c>
      <c r="AL116" s="108">
        <f t="shared" si="123"/>
        <v>0</v>
      </c>
      <c r="AN116" s="100">
        <v>15</v>
      </c>
      <c r="AO116" s="100">
        <f>H116*0</f>
        <v>0</v>
      </c>
      <c r="AP116" s="100">
        <f>H116*(1-0)</f>
        <v>0</v>
      </c>
      <c r="AQ116" s="111" t="s">
        <v>7</v>
      </c>
      <c r="AV116" s="100">
        <f t="shared" si="124"/>
        <v>0</v>
      </c>
      <c r="AW116" s="100">
        <f t="shared" si="125"/>
        <v>0</v>
      </c>
      <c r="AX116" s="100">
        <f t="shared" si="126"/>
        <v>0</v>
      </c>
      <c r="AY116" s="110" t="s">
        <v>1698</v>
      </c>
      <c r="AZ116" s="110" t="s">
        <v>1730</v>
      </c>
      <c r="BA116" s="109" t="s">
        <v>1737</v>
      </c>
      <c r="BC116" s="100">
        <f t="shared" si="127"/>
        <v>0</v>
      </c>
      <c r="BD116" s="100">
        <f t="shared" si="128"/>
        <v>0</v>
      </c>
      <c r="BE116" s="100">
        <v>0</v>
      </c>
      <c r="BF116" s="100">
        <f>116</f>
        <v>116</v>
      </c>
      <c r="BH116" s="108">
        <f t="shared" si="129"/>
        <v>0</v>
      </c>
      <c r="BI116" s="108">
        <f t="shared" si="130"/>
        <v>0</v>
      </c>
      <c r="BJ116" s="108">
        <f t="shared" si="131"/>
        <v>0</v>
      </c>
    </row>
    <row r="117" spans="1:62" x14ac:dyDescent="0.2">
      <c r="A117" s="117" t="s">
        <v>88</v>
      </c>
      <c r="B117" s="117" t="s">
        <v>640</v>
      </c>
      <c r="C117" s="304" t="s">
        <v>1146</v>
      </c>
      <c r="D117" s="305"/>
      <c r="E117" s="305"/>
      <c r="F117" s="117" t="s">
        <v>1649</v>
      </c>
      <c r="G117" s="116">
        <v>20</v>
      </c>
      <c r="H117" s="159"/>
      <c r="I117" s="108">
        <f t="shared" si="110"/>
        <v>0</v>
      </c>
      <c r="J117" s="108">
        <f t="shared" si="111"/>
        <v>0</v>
      </c>
      <c r="K117" s="108">
        <f t="shared" si="112"/>
        <v>0</v>
      </c>
      <c r="L117" s="111" t="s">
        <v>1671</v>
      </c>
      <c r="Z117" s="100">
        <f t="shared" si="113"/>
        <v>0</v>
      </c>
      <c r="AB117" s="100">
        <f t="shared" si="114"/>
        <v>0</v>
      </c>
      <c r="AC117" s="100">
        <f t="shared" si="115"/>
        <v>0</v>
      </c>
      <c r="AD117" s="100">
        <f t="shared" si="116"/>
        <v>0</v>
      </c>
      <c r="AE117" s="100">
        <f t="shared" si="117"/>
        <v>0</v>
      </c>
      <c r="AF117" s="100">
        <f t="shared" si="118"/>
        <v>0</v>
      </c>
      <c r="AG117" s="100">
        <f t="shared" si="119"/>
        <v>0</v>
      </c>
      <c r="AH117" s="100">
        <f t="shared" si="120"/>
        <v>0</v>
      </c>
      <c r="AI117" s="109"/>
      <c r="AJ117" s="108">
        <f t="shared" si="121"/>
        <v>0</v>
      </c>
      <c r="AK117" s="108">
        <f t="shared" si="122"/>
        <v>0</v>
      </c>
      <c r="AL117" s="108">
        <f t="shared" si="123"/>
        <v>0</v>
      </c>
      <c r="AN117" s="100">
        <v>15</v>
      </c>
      <c r="AO117" s="100">
        <f>H117*0</f>
        <v>0</v>
      </c>
      <c r="AP117" s="100">
        <f>H117*(1-0)</f>
        <v>0</v>
      </c>
      <c r="AQ117" s="111" t="s">
        <v>7</v>
      </c>
      <c r="AV117" s="100">
        <f t="shared" si="124"/>
        <v>0</v>
      </c>
      <c r="AW117" s="100">
        <f t="shared" si="125"/>
        <v>0</v>
      </c>
      <c r="AX117" s="100">
        <f t="shared" si="126"/>
        <v>0</v>
      </c>
      <c r="AY117" s="110" t="s">
        <v>1698</v>
      </c>
      <c r="AZ117" s="110" t="s">
        <v>1730</v>
      </c>
      <c r="BA117" s="109" t="s">
        <v>1737</v>
      </c>
      <c r="BC117" s="100">
        <f t="shared" si="127"/>
        <v>0</v>
      </c>
      <c r="BD117" s="100">
        <f t="shared" si="128"/>
        <v>0</v>
      </c>
      <c r="BE117" s="100">
        <v>0</v>
      </c>
      <c r="BF117" s="100">
        <f>117</f>
        <v>117</v>
      </c>
      <c r="BH117" s="108">
        <f t="shared" si="129"/>
        <v>0</v>
      </c>
      <c r="BI117" s="108">
        <f t="shared" si="130"/>
        <v>0</v>
      </c>
      <c r="BJ117" s="108">
        <f t="shared" si="131"/>
        <v>0</v>
      </c>
    </row>
    <row r="118" spans="1:62" x14ac:dyDescent="0.2">
      <c r="A118" s="119"/>
      <c r="B118" s="120" t="s">
        <v>101</v>
      </c>
      <c r="C118" s="306" t="s">
        <v>1147</v>
      </c>
      <c r="D118" s="307"/>
      <c r="E118" s="307"/>
      <c r="F118" s="119" t="s">
        <v>6</v>
      </c>
      <c r="G118" s="119" t="s">
        <v>6</v>
      </c>
      <c r="H118" s="119" t="s">
        <v>6</v>
      </c>
      <c r="I118" s="118">
        <f>SUM(I119:I129)</f>
        <v>0</v>
      </c>
      <c r="J118" s="118">
        <f>SUM(J119:J129)</f>
        <v>0</v>
      </c>
      <c r="K118" s="118">
        <f>SUM(K119:K129)</f>
        <v>0</v>
      </c>
      <c r="L118" s="109"/>
      <c r="AI118" s="109"/>
      <c r="AS118" s="118">
        <f>SUM(AJ119:AJ129)</f>
        <v>0</v>
      </c>
      <c r="AT118" s="118">
        <f>SUM(AK119:AK129)</f>
        <v>0</v>
      </c>
      <c r="AU118" s="118">
        <f>SUM(AL119:AL129)</f>
        <v>0</v>
      </c>
    </row>
    <row r="119" spans="1:62" x14ac:dyDescent="0.2">
      <c r="A119" s="117" t="s">
        <v>89</v>
      </c>
      <c r="B119" s="117" t="s">
        <v>641</v>
      </c>
      <c r="C119" s="304" t="s">
        <v>1148</v>
      </c>
      <c r="D119" s="305"/>
      <c r="E119" s="305"/>
      <c r="F119" s="117" t="s">
        <v>1645</v>
      </c>
      <c r="G119" s="116">
        <v>103.16</v>
      </c>
      <c r="H119" s="159"/>
      <c r="I119" s="108">
        <f t="shared" ref="I119:I129" si="132">G119*AO119</f>
        <v>0</v>
      </c>
      <c r="J119" s="108">
        <f t="shared" ref="J119:J129" si="133">G119*AP119</f>
        <v>0</v>
      </c>
      <c r="K119" s="108">
        <f t="shared" ref="K119:K129" si="134">G119*H119</f>
        <v>0</v>
      </c>
      <c r="L119" s="111" t="s">
        <v>1671</v>
      </c>
      <c r="Z119" s="100">
        <f t="shared" ref="Z119:Z129" si="135">IF(AQ119="5",BJ119,0)</f>
        <v>0</v>
      </c>
      <c r="AB119" s="100">
        <f t="shared" ref="AB119:AB129" si="136">IF(AQ119="1",BH119,0)</f>
        <v>0</v>
      </c>
      <c r="AC119" s="100">
        <f t="shared" ref="AC119:AC129" si="137">IF(AQ119="1",BI119,0)</f>
        <v>0</v>
      </c>
      <c r="AD119" s="100">
        <f t="shared" ref="AD119:AD129" si="138">IF(AQ119="7",BH119,0)</f>
        <v>0</v>
      </c>
      <c r="AE119" s="100">
        <f t="shared" ref="AE119:AE129" si="139">IF(AQ119="7",BI119,0)</f>
        <v>0</v>
      </c>
      <c r="AF119" s="100">
        <f t="shared" ref="AF119:AF129" si="140">IF(AQ119="2",BH119,0)</f>
        <v>0</v>
      </c>
      <c r="AG119" s="100">
        <f t="shared" ref="AG119:AG129" si="141">IF(AQ119="2",BI119,0)</f>
        <v>0</v>
      </c>
      <c r="AH119" s="100">
        <f t="shared" ref="AH119:AH129" si="142">IF(AQ119="0",BJ119,0)</f>
        <v>0</v>
      </c>
      <c r="AI119" s="109"/>
      <c r="AJ119" s="108">
        <f t="shared" ref="AJ119:AJ129" si="143">IF(AN119=0,K119,0)</f>
        <v>0</v>
      </c>
      <c r="AK119" s="108">
        <f t="shared" ref="AK119:AK129" si="144">IF(AN119=15,K119,0)</f>
        <v>0</v>
      </c>
      <c r="AL119" s="108">
        <f t="shared" ref="AL119:AL129" si="145">IF(AN119=21,K119,0)</f>
        <v>0</v>
      </c>
      <c r="AN119" s="100">
        <v>15</v>
      </c>
      <c r="AO119" s="100">
        <f>H119*0.0189490149145199</f>
        <v>0</v>
      </c>
      <c r="AP119" s="100">
        <f>H119*(1-0.0189490149145199)</f>
        <v>0</v>
      </c>
      <c r="AQ119" s="111" t="s">
        <v>7</v>
      </c>
      <c r="AV119" s="100">
        <f t="shared" ref="AV119:AV129" si="146">AW119+AX119</f>
        <v>0</v>
      </c>
      <c r="AW119" s="100">
        <f t="shared" ref="AW119:AW129" si="147">G119*AO119</f>
        <v>0</v>
      </c>
      <c r="AX119" s="100">
        <f t="shared" ref="AX119:AX129" si="148">G119*AP119</f>
        <v>0</v>
      </c>
      <c r="AY119" s="110" t="s">
        <v>1699</v>
      </c>
      <c r="AZ119" s="110" t="s">
        <v>1730</v>
      </c>
      <c r="BA119" s="109" t="s">
        <v>1737</v>
      </c>
      <c r="BC119" s="100">
        <f t="shared" ref="BC119:BC129" si="149">AW119+AX119</f>
        <v>0</v>
      </c>
      <c r="BD119" s="100">
        <f t="shared" ref="BD119:BD129" si="150">H119/(100-BE119)*100</f>
        <v>0</v>
      </c>
      <c r="BE119" s="100">
        <v>0</v>
      </c>
      <c r="BF119" s="100">
        <f>119</f>
        <v>119</v>
      </c>
      <c r="BH119" s="108">
        <f t="shared" ref="BH119:BH129" si="151">G119*AO119</f>
        <v>0</v>
      </c>
      <c r="BI119" s="108">
        <f t="shared" ref="BI119:BI129" si="152">G119*AP119</f>
        <v>0</v>
      </c>
      <c r="BJ119" s="108">
        <f t="shared" ref="BJ119:BJ129" si="153">G119*H119</f>
        <v>0</v>
      </c>
    </row>
    <row r="120" spans="1:62" x14ac:dyDescent="0.2">
      <c r="A120" s="117" t="s">
        <v>90</v>
      </c>
      <c r="B120" s="117" t="s">
        <v>642</v>
      </c>
      <c r="C120" s="304" t="s">
        <v>1149</v>
      </c>
      <c r="D120" s="305"/>
      <c r="E120" s="305"/>
      <c r="F120" s="117" t="s">
        <v>1645</v>
      </c>
      <c r="G120" s="116">
        <v>23.536000000000001</v>
      </c>
      <c r="H120" s="159"/>
      <c r="I120" s="108">
        <f t="shared" si="132"/>
        <v>0</v>
      </c>
      <c r="J120" s="108">
        <f t="shared" si="133"/>
        <v>0</v>
      </c>
      <c r="K120" s="108">
        <f t="shared" si="134"/>
        <v>0</v>
      </c>
      <c r="L120" s="111" t="s">
        <v>1671</v>
      </c>
      <c r="Z120" s="100">
        <f t="shared" si="135"/>
        <v>0</v>
      </c>
      <c r="AB120" s="100">
        <f t="shared" si="136"/>
        <v>0</v>
      </c>
      <c r="AC120" s="100">
        <f t="shared" si="137"/>
        <v>0</v>
      </c>
      <c r="AD120" s="100">
        <f t="shared" si="138"/>
        <v>0</v>
      </c>
      <c r="AE120" s="100">
        <f t="shared" si="139"/>
        <v>0</v>
      </c>
      <c r="AF120" s="100">
        <f t="shared" si="140"/>
        <v>0</v>
      </c>
      <c r="AG120" s="100">
        <f t="shared" si="141"/>
        <v>0</v>
      </c>
      <c r="AH120" s="100">
        <f t="shared" si="142"/>
        <v>0</v>
      </c>
      <c r="AI120" s="109"/>
      <c r="AJ120" s="108">
        <f t="shared" si="143"/>
        <v>0</v>
      </c>
      <c r="AK120" s="108">
        <f t="shared" si="144"/>
        <v>0</v>
      </c>
      <c r="AL120" s="108">
        <f t="shared" si="145"/>
        <v>0</v>
      </c>
      <c r="AN120" s="100">
        <v>15</v>
      </c>
      <c r="AO120" s="100">
        <f>H120*0.0118672115482936</f>
        <v>0</v>
      </c>
      <c r="AP120" s="100">
        <f>H120*(1-0.0118672115482936)</f>
        <v>0</v>
      </c>
      <c r="AQ120" s="111" t="s">
        <v>7</v>
      </c>
      <c r="AV120" s="100">
        <f t="shared" si="146"/>
        <v>0</v>
      </c>
      <c r="AW120" s="100">
        <f t="shared" si="147"/>
        <v>0</v>
      </c>
      <c r="AX120" s="100">
        <f t="shared" si="148"/>
        <v>0</v>
      </c>
      <c r="AY120" s="110" t="s">
        <v>1699</v>
      </c>
      <c r="AZ120" s="110" t="s">
        <v>1730</v>
      </c>
      <c r="BA120" s="109" t="s">
        <v>1737</v>
      </c>
      <c r="BC120" s="100">
        <f t="shared" si="149"/>
        <v>0</v>
      </c>
      <c r="BD120" s="100">
        <f t="shared" si="150"/>
        <v>0</v>
      </c>
      <c r="BE120" s="100">
        <v>0</v>
      </c>
      <c r="BF120" s="100">
        <f>120</f>
        <v>120</v>
      </c>
      <c r="BH120" s="108">
        <f t="shared" si="151"/>
        <v>0</v>
      </c>
      <c r="BI120" s="108">
        <f t="shared" si="152"/>
        <v>0</v>
      </c>
      <c r="BJ120" s="108">
        <f t="shared" si="153"/>
        <v>0</v>
      </c>
    </row>
    <row r="121" spans="1:62" x14ac:dyDescent="0.2">
      <c r="A121" s="117" t="s">
        <v>91</v>
      </c>
      <c r="B121" s="117" t="s">
        <v>4145</v>
      </c>
      <c r="C121" s="304" t="s">
        <v>4144</v>
      </c>
      <c r="D121" s="305"/>
      <c r="E121" s="305"/>
      <c r="F121" s="117" t="s">
        <v>1645</v>
      </c>
      <c r="G121" s="116">
        <v>33.088999999999999</v>
      </c>
      <c r="H121" s="159"/>
      <c r="I121" s="108">
        <f t="shared" si="132"/>
        <v>0</v>
      </c>
      <c r="J121" s="108">
        <f t="shared" si="133"/>
        <v>0</v>
      </c>
      <c r="K121" s="108">
        <f t="shared" si="134"/>
        <v>0</v>
      </c>
      <c r="L121" s="111" t="s">
        <v>1671</v>
      </c>
      <c r="Z121" s="100">
        <f t="shared" si="135"/>
        <v>0</v>
      </c>
      <c r="AB121" s="100">
        <f t="shared" si="136"/>
        <v>0</v>
      </c>
      <c r="AC121" s="100">
        <f t="shared" si="137"/>
        <v>0</v>
      </c>
      <c r="AD121" s="100">
        <f t="shared" si="138"/>
        <v>0</v>
      </c>
      <c r="AE121" s="100">
        <f t="shared" si="139"/>
        <v>0</v>
      </c>
      <c r="AF121" s="100">
        <f t="shared" si="140"/>
        <v>0</v>
      </c>
      <c r="AG121" s="100">
        <f t="shared" si="141"/>
        <v>0</v>
      </c>
      <c r="AH121" s="100">
        <f t="shared" si="142"/>
        <v>0</v>
      </c>
      <c r="AI121" s="109"/>
      <c r="AJ121" s="108">
        <f t="shared" si="143"/>
        <v>0</v>
      </c>
      <c r="AK121" s="108">
        <f t="shared" si="144"/>
        <v>0</v>
      </c>
      <c r="AL121" s="108">
        <f t="shared" si="145"/>
        <v>0</v>
      </c>
      <c r="AN121" s="100">
        <v>15</v>
      </c>
      <c r="AO121" s="100">
        <f>H121*0.0103623233792058</f>
        <v>0</v>
      </c>
      <c r="AP121" s="100">
        <f>H121*(1-0.0103623233792058)</f>
        <v>0</v>
      </c>
      <c r="AQ121" s="111" t="s">
        <v>7</v>
      </c>
      <c r="AV121" s="100">
        <f t="shared" si="146"/>
        <v>0</v>
      </c>
      <c r="AW121" s="100">
        <f t="shared" si="147"/>
        <v>0</v>
      </c>
      <c r="AX121" s="100">
        <f t="shared" si="148"/>
        <v>0</v>
      </c>
      <c r="AY121" s="110" t="s">
        <v>1699</v>
      </c>
      <c r="AZ121" s="110" t="s">
        <v>1730</v>
      </c>
      <c r="BA121" s="109" t="s">
        <v>1737</v>
      </c>
      <c r="BC121" s="100">
        <f t="shared" si="149"/>
        <v>0</v>
      </c>
      <c r="BD121" s="100">
        <f t="shared" si="150"/>
        <v>0</v>
      </c>
      <c r="BE121" s="100">
        <v>0</v>
      </c>
      <c r="BF121" s="100">
        <f>121</f>
        <v>121</v>
      </c>
      <c r="BH121" s="108">
        <f t="shared" si="151"/>
        <v>0</v>
      </c>
      <c r="BI121" s="108">
        <f t="shared" si="152"/>
        <v>0</v>
      </c>
      <c r="BJ121" s="108">
        <f t="shared" si="153"/>
        <v>0</v>
      </c>
    </row>
    <row r="122" spans="1:62" x14ac:dyDescent="0.2">
      <c r="A122" s="117" t="s">
        <v>92</v>
      </c>
      <c r="B122" s="117" t="s">
        <v>643</v>
      </c>
      <c r="C122" s="304" t="s">
        <v>1150</v>
      </c>
      <c r="D122" s="305"/>
      <c r="E122" s="305"/>
      <c r="F122" s="117" t="s">
        <v>1645</v>
      </c>
      <c r="G122" s="116">
        <v>477.50400000000002</v>
      </c>
      <c r="H122" s="159"/>
      <c r="I122" s="108">
        <f t="shared" si="132"/>
        <v>0</v>
      </c>
      <c r="J122" s="108">
        <f t="shared" si="133"/>
        <v>0</v>
      </c>
      <c r="K122" s="108">
        <f t="shared" si="134"/>
        <v>0</v>
      </c>
      <c r="L122" s="111" t="s">
        <v>1671</v>
      </c>
      <c r="Z122" s="100">
        <f t="shared" si="135"/>
        <v>0</v>
      </c>
      <c r="AB122" s="100">
        <f t="shared" si="136"/>
        <v>0</v>
      </c>
      <c r="AC122" s="100">
        <f t="shared" si="137"/>
        <v>0</v>
      </c>
      <c r="AD122" s="100">
        <f t="shared" si="138"/>
        <v>0</v>
      </c>
      <c r="AE122" s="100">
        <f t="shared" si="139"/>
        <v>0</v>
      </c>
      <c r="AF122" s="100">
        <f t="shared" si="140"/>
        <v>0</v>
      </c>
      <c r="AG122" s="100">
        <f t="shared" si="141"/>
        <v>0</v>
      </c>
      <c r="AH122" s="100">
        <f t="shared" si="142"/>
        <v>0</v>
      </c>
      <c r="AI122" s="109"/>
      <c r="AJ122" s="108">
        <f t="shared" si="143"/>
        <v>0</v>
      </c>
      <c r="AK122" s="108">
        <f t="shared" si="144"/>
        <v>0</v>
      </c>
      <c r="AL122" s="108">
        <f t="shared" si="145"/>
        <v>0</v>
      </c>
      <c r="AN122" s="100">
        <v>15</v>
      </c>
      <c r="AO122" s="100">
        <f>H122*0</f>
        <v>0</v>
      </c>
      <c r="AP122" s="100">
        <f>H122*(1-0)</f>
        <v>0</v>
      </c>
      <c r="AQ122" s="111" t="s">
        <v>7</v>
      </c>
      <c r="AV122" s="100">
        <f t="shared" si="146"/>
        <v>0</v>
      </c>
      <c r="AW122" s="100">
        <f t="shared" si="147"/>
        <v>0</v>
      </c>
      <c r="AX122" s="100">
        <f t="shared" si="148"/>
        <v>0</v>
      </c>
      <c r="AY122" s="110" t="s">
        <v>1699</v>
      </c>
      <c r="AZ122" s="110" t="s">
        <v>1730</v>
      </c>
      <c r="BA122" s="109" t="s">
        <v>1737</v>
      </c>
      <c r="BC122" s="100">
        <f t="shared" si="149"/>
        <v>0</v>
      </c>
      <c r="BD122" s="100">
        <f t="shared" si="150"/>
        <v>0</v>
      </c>
      <c r="BE122" s="100">
        <v>0</v>
      </c>
      <c r="BF122" s="100">
        <f>122</f>
        <v>122</v>
      </c>
      <c r="BH122" s="108">
        <f t="shared" si="151"/>
        <v>0</v>
      </c>
      <c r="BI122" s="108">
        <f t="shared" si="152"/>
        <v>0</v>
      </c>
      <c r="BJ122" s="108">
        <f t="shared" si="153"/>
        <v>0</v>
      </c>
    </row>
    <row r="123" spans="1:62" x14ac:dyDescent="0.2">
      <c r="A123" s="117" t="s">
        <v>93</v>
      </c>
      <c r="B123" s="117" t="s">
        <v>3180</v>
      </c>
      <c r="C123" s="304" t="s">
        <v>4143</v>
      </c>
      <c r="D123" s="305"/>
      <c r="E123" s="305"/>
      <c r="F123" s="117" t="s">
        <v>1644</v>
      </c>
      <c r="G123" s="116">
        <v>1</v>
      </c>
      <c r="H123" s="159"/>
      <c r="I123" s="108">
        <f t="shared" si="132"/>
        <v>0</v>
      </c>
      <c r="J123" s="108">
        <f t="shared" si="133"/>
        <v>0</v>
      </c>
      <c r="K123" s="108">
        <f t="shared" si="134"/>
        <v>0</v>
      </c>
      <c r="L123" s="111" t="s">
        <v>1671</v>
      </c>
      <c r="Z123" s="100">
        <f t="shared" si="135"/>
        <v>0</v>
      </c>
      <c r="AB123" s="100">
        <f t="shared" si="136"/>
        <v>0</v>
      </c>
      <c r="AC123" s="100">
        <f t="shared" si="137"/>
        <v>0</v>
      </c>
      <c r="AD123" s="100">
        <f t="shared" si="138"/>
        <v>0</v>
      </c>
      <c r="AE123" s="100">
        <f t="shared" si="139"/>
        <v>0</v>
      </c>
      <c r="AF123" s="100">
        <f t="shared" si="140"/>
        <v>0</v>
      </c>
      <c r="AG123" s="100">
        <f t="shared" si="141"/>
        <v>0</v>
      </c>
      <c r="AH123" s="100">
        <f t="shared" si="142"/>
        <v>0</v>
      </c>
      <c r="AI123" s="109"/>
      <c r="AJ123" s="108">
        <f t="shared" si="143"/>
        <v>0</v>
      </c>
      <c r="AK123" s="108">
        <f t="shared" si="144"/>
        <v>0</v>
      </c>
      <c r="AL123" s="108">
        <f t="shared" si="145"/>
        <v>0</v>
      </c>
      <c r="AN123" s="100">
        <v>15</v>
      </c>
      <c r="AO123" s="100">
        <f>H123*0.0119666666666667</f>
        <v>0</v>
      </c>
      <c r="AP123" s="100">
        <f>H123*(1-0.0119666666666667)</f>
        <v>0</v>
      </c>
      <c r="AQ123" s="111" t="s">
        <v>7</v>
      </c>
      <c r="AV123" s="100">
        <f t="shared" si="146"/>
        <v>0</v>
      </c>
      <c r="AW123" s="100">
        <f t="shared" si="147"/>
        <v>0</v>
      </c>
      <c r="AX123" s="100">
        <f t="shared" si="148"/>
        <v>0</v>
      </c>
      <c r="AY123" s="110" t="s">
        <v>1699</v>
      </c>
      <c r="AZ123" s="110" t="s">
        <v>1730</v>
      </c>
      <c r="BA123" s="109" t="s">
        <v>1737</v>
      </c>
      <c r="BC123" s="100">
        <f t="shared" si="149"/>
        <v>0</v>
      </c>
      <c r="BD123" s="100">
        <f t="shared" si="150"/>
        <v>0</v>
      </c>
      <c r="BE123" s="100">
        <v>0</v>
      </c>
      <c r="BF123" s="100">
        <f>123</f>
        <v>123</v>
      </c>
      <c r="BH123" s="108">
        <f t="shared" si="151"/>
        <v>0</v>
      </c>
      <c r="BI123" s="108">
        <f t="shared" si="152"/>
        <v>0</v>
      </c>
      <c r="BJ123" s="108">
        <f t="shared" si="153"/>
        <v>0</v>
      </c>
    </row>
    <row r="124" spans="1:62" x14ac:dyDescent="0.2">
      <c r="A124" s="117" t="s">
        <v>94</v>
      </c>
      <c r="B124" s="117" t="s">
        <v>644</v>
      </c>
      <c r="C124" s="304" t="s">
        <v>1151</v>
      </c>
      <c r="D124" s="305"/>
      <c r="E124" s="305"/>
      <c r="F124" s="117" t="s">
        <v>1644</v>
      </c>
      <c r="G124" s="116">
        <v>1</v>
      </c>
      <c r="H124" s="159"/>
      <c r="I124" s="108">
        <f t="shared" si="132"/>
        <v>0</v>
      </c>
      <c r="J124" s="108">
        <f t="shared" si="133"/>
        <v>0</v>
      </c>
      <c r="K124" s="108">
        <f t="shared" si="134"/>
        <v>0</v>
      </c>
      <c r="L124" s="111" t="s">
        <v>1671</v>
      </c>
      <c r="Z124" s="100">
        <f t="shared" si="135"/>
        <v>0</v>
      </c>
      <c r="AB124" s="100">
        <f t="shared" si="136"/>
        <v>0</v>
      </c>
      <c r="AC124" s="100">
        <f t="shared" si="137"/>
        <v>0</v>
      </c>
      <c r="AD124" s="100">
        <f t="shared" si="138"/>
        <v>0</v>
      </c>
      <c r="AE124" s="100">
        <f t="shared" si="139"/>
        <v>0</v>
      </c>
      <c r="AF124" s="100">
        <f t="shared" si="140"/>
        <v>0</v>
      </c>
      <c r="AG124" s="100">
        <f t="shared" si="141"/>
        <v>0</v>
      </c>
      <c r="AH124" s="100">
        <f t="shared" si="142"/>
        <v>0</v>
      </c>
      <c r="AI124" s="109"/>
      <c r="AJ124" s="108">
        <f t="shared" si="143"/>
        <v>0</v>
      </c>
      <c r="AK124" s="108">
        <f t="shared" si="144"/>
        <v>0</v>
      </c>
      <c r="AL124" s="108">
        <f t="shared" si="145"/>
        <v>0</v>
      </c>
      <c r="AN124" s="100">
        <v>15</v>
      </c>
      <c r="AO124" s="100">
        <f>H124*0</f>
        <v>0</v>
      </c>
      <c r="AP124" s="100">
        <f>H124*(1-0)</f>
        <v>0</v>
      </c>
      <c r="AQ124" s="111" t="s">
        <v>7</v>
      </c>
      <c r="AV124" s="100">
        <f t="shared" si="146"/>
        <v>0</v>
      </c>
      <c r="AW124" s="100">
        <f t="shared" si="147"/>
        <v>0</v>
      </c>
      <c r="AX124" s="100">
        <f t="shared" si="148"/>
        <v>0</v>
      </c>
      <c r="AY124" s="110" t="s">
        <v>1699</v>
      </c>
      <c r="AZ124" s="110" t="s">
        <v>1730</v>
      </c>
      <c r="BA124" s="109" t="s">
        <v>1737</v>
      </c>
      <c r="BC124" s="100">
        <f t="shared" si="149"/>
        <v>0</v>
      </c>
      <c r="BD124" s="100">
        <f t="shared" si="150"/>
        <v>0</v>
      </c>
      <c r="BE124" s="100">
        <v>0</v>
      </c>
      <c r="BF124" s="100">
        <f>124</f>
        <v>124</v>
      </c>
      <c r="BH124" s="108">
        <f t="shared" si="151"/>
        <v>0</v>
      </c>
      <c r="BI124" s="108">
        <f t="shared" si="152"/>
        <v>0</v>
      </c>
      <c r="BJ124" s="108">
        <f t="shared" si="153"/>
        <v>0</v>
      </c>
    </row>
    <row r="125" spans="1:62" x14ac:dyDescent="0.2">
      <c r="A125" s="117" t="s">
        <v>95</v>
      </c>
      <c r="B125" s="117" t="s">
        <v>646</v>
      </c>
      <c r="C125" s="304" t="s">
        <v>1153</v>
      </c>
      <c r="D125" s="305"/>
      <c r="E125" s="305"/>
      <c r="F125" s="117" t="s">
        <v>1650</v>
      </c>
      <c r="G125" s="116">
        <v>150</v>
      </c>
      <c r="H125" s="159"/>
      <c r="I125" s="108">
        <f t="shared" si="132"/>
        <v>0</v>
      </c>
      <c r="J125" s="108">
        <f t="shared" si="133"/>
        <v>0</v>
      </c>
      <c r="K125" s="108">
        <f t="shared" si="134"/>
        <v>0</v>
      </c>
      <c r="L125" s="111" t="s">
        <v>1671</v>
      </c>
      <c r="Z125" s="100">
        <f t="shared" si="135"/>
        <v>0</v>
      </c>
      <c r="AB125" s="100">
        <f t="shared" si="136"/>
        <v>0</v>
      </c>
      <c r="AC125" s="100">
        <f t="shared" si="137"/>
        <v>0</v>
      </c>
      <c r="AD125" s="100">
        <f t="shared" si="138"/>
        <v>0</v>
      </c>
      <c r="AE125" s="100">
        <f t="shared" si="139"/>
        <v>0</v>
      </c>
      <c r="AF125" s="100">
        <f t="shared" si="140"/>
        <v>0</v>
      </c>
      <c r="AG125" s="100">
        <f t="shared" si="141"/>
        <v>0</v>
      </c>
      <c r="AH125" s="100">
        <f t="shared" si="142"/>
        <v>0</v>
      </c>
      <c r="AI125" s="109"/>
      <c r="AJ125" s="108">
        <f t="shared" si="143"/>
        <v>0</v>
      </c>
      <c r="AK125" s="108">
        <f t="shared" si="144"/>
        <v>0</v>
      </c>
      <c r="AL125" s="108">
        <f t="shared" si="145"/>
        <v>0</v>
      </c>
      <c r="AN125" s="100">
        <v>15</v>
      </c>
      <c r="AO125" s="100">
        <f>H125*0.412803738317757</f>
        <v>0</v>
      </c>
      <c r="AP125" s="100">
        <f>H125*(1-0.412803738317757)</f>
        <v>0</v>
      </c>
      <c r="AQ125" s="111" t="s">
        <v>7</v>
      </c>
      <c r="AV125" s="100">
        <f t="shared" si="146"/>
        <v>0</v>
      </c>
      <c r="AW125" s="100">
        <f t="shared" si="147"/>
        <v>0</v>
      </c>
      <c r="AX125" s="100">
        <f t="shared" si="148"/>
        <v>0</v>
      </c>
      <c r="AY125" s="110" t="s">
        <v>1699</v>
      </c>
      <c r="AZ125" s="110" t="s">
        <v>1730</v>
      </c>
      <c r="BA125" s="109" t="s">
        <v>1737</v>
      </c>
      <c r="BC125" s="100">
        <f t="shared" si="149"/>
        <v>0</v>
      </c>
      <c r="BD125" s="100">
        <f t="shared" si="150"/>
        <v>0</v>
      </c>
      <c r="BE125" s="100">
        <v>0</v>
      </c>
      <c r="BF125" s="100">
        <f>125</f>
        <v>125</v>
      </c>
      <c r="BH125" s="108">
        <f t="shared" si="151"/>
        <v>0</v>
      </c>
      <c r="BI125" s="108">
        <f t="shared" si="152"/>
        <v>0</v>
      </c>
      <c r="BJ125" s="108">
        <f t="shared" si="153"/>
        <v>0</v>
      </c>
    </row>
    <row r="126" spans="1:62" x14ac:dyDescent="0.2">
      <c r="A126" s="117" t="s">
        <v>96</v>
      </c>
      <c r="B126" s="117" t="s">
        <v>647</v>
      </c>
      <c r="C126" s="304" t="s">
        <v>1154</v>
      </c>
      <c r="D126" s="305"/>
      <c r="E126" s="305"/>
      <c r="F126" s="117" t="s">
        <v>1644</v>
      </c>
      <c r="G126" s="116">
        <v>6</v>
      </c>
      <c r="H126" s="159"/>
      <c r="I126" s="108">
        <f t="shared" si="132"/>
        <v>0</v>
      </c>
      <c r="J126" s="108">
        <f t="shared" si="133"/>
        <v>0</v>
      </c>
      <c r="K126" s="108">
        <f t="shared" si="134"/>
        <v>0</v>
      </c>
      <c r="L126" s="111" t="s">
        <v>1671</v>
      </c>
      <c r="Z126" s="100">
        <f t="shared" si="135"/>
        <v>0</v>
      </c>
      <c r="AB126" s="100">
        <f t="shared" si="136"/>
        <v>0</v>
      </c>
      <c r="AC126" s="100">
        <f t="shared" si="137"/>
        <v>0</v>
      </c>
      <c r="AD126" s="100">
        <f t="shared" si="138"/>
        <v>0</v>
      </c>
      <c r="AE126" s="100">
        <f t="shared" si="139"/>
        <v>0</v>
      </c>
      <c r="AF126" s="100">
        <f t="shared" si="140"/>
        <v>0</v>
      </c>
      <c r="AG126" s="100">
        <f t="shared" si="141"/>
        <v>0</v>
      </c>
      <c r="AH126" s="100">
        <f t="shared" si="142"/>
        <v>0</v>
      </c>
      <c r="AI126" s="109"/>
      <c r="AJ126" s="108">
        <f t="shared" si="143"/>
        <v>0</v>
      </c>
      <c r="AK126" s="108">
        <f t="shared" si="144"/>
        <v>0</v>
      </c>
      <c r="AL126" s="108">
        <f t="shared" si="145"/>
        <v>0</v>
      </c>
      <c r="AN126" s="100">
        <v>15</v>
      </c>
      <c r="AO126" s="100">
        <f>H126*0.35032967032967</f>
        <v>0</v>
      </c>
      <c r="AP126" s="100">
        <f>H126*(1-0.35032967032967)</f>
        <v>0</v>
      </c>
      <c r="AQ126" s="111" t="s">
        <v>7</v>
      </c>
      <c r="AV126" s="100">
        <f t="shared" si="146"/>
        <v>0</v>
      </c>
      <c r="AW126" s="100">
        <f t="shared" si="147"/>
        <v>0</v>
      </c>
      <c r="AX126" s="100">
        <f t="shared" si="148"/>
        <v>0</v>
      </c>
      <c r="AY126" s="110" t="s">
        <v>1699</v>
      </c>
      <c r="AZ126" s="110" t="s">
        <v>1730</v>
      </c>
      <c r="BA126" s="109" t="s">
        <v>1737</v>
      </c>
      <c r="BC126" s="100">
        <f t="shared" si="149"/>
        <v>0</v>
      </c>
      <c r="BD126" s="100">
        <f t="shared" si="150"/>
        <v>0</v>
      </c>
      <c r="BE126" s="100">
        <v>0</v>
      </c>
      <c r="BF126" s="100">
        <f>126</f>
        <v>126</v>
      </c>
      <c r="BH126" s="108">
        <f t="shared" si="151"/>
        <v>0</v>
      </c>
      <c r="BI126" s="108">
        <f t="shared" si="152"/>
        <v>0</v>
      </c>
      <c r="BJ126" s="108">
        <f t="shared" si="153"/>
        <v>0</v>
      </c>
    </row>
    <row r="127" spans="1:62" x14ac:dyDescent="0.2">
      <c r="A127" s="117" t="s">
        <v>97</v>
      </c>
      <c r="B127" s="117" t="s">
        <v>648</v>
      </c>
      <c r="C127" s="304" t="s">
        <v>1155</v>
      </c>
      <c r="D127" s="305"/>
      <c r="E127" s="305"/>
      <c r="F127" s="117" t="s">
        <v>1644</v>
      </c>
      <c r="G127" s="116">
        <v>1</v>
      </c>
      <c r="H127" s="159"/>
      <c r="I127" s="108">
        <f t="shared" si="132"/>
        <v>0</v>
      </c>
      <c r="J127" s="108">
        <f t="shared" si="133"/>
        <v>0</v>
      </c>
      <c r="K127" s="108">
        <f t="shared" si="134"/>
        <v>0</v>
      </c>
      <c r="L127" s="111" t="s">
        <v>1671</v>
      </c>
      <c r="Z127" s="100">
        <f t="shared" si="135"/>
        <v>0</v>
      </c>
      <c r="AB127" s="100">
        <f t="shared" si="136"/>
        <v>0</v>
      </c>
      <c r="AC127" s="100">
        <f t="shared" si="137"/>
        <v>0</v>
      </c>
      <c r="AD127" s="100">
        <f t="shared" si="138"/>
        <v>0</v>
      </c>
      <c r="AE127" s="100">
        <f t="shared" si="139"/>
        <v>0</v>
      </c>
      <c r="AF127" s="100">
        <f t="shared" si="140"/>
        <v>0</v>
      </c>
      <c r="AG127" s="100">
        <f t="shared" si="141"/>
        <v>0</v>
      </c>
      <c r="AH127" s="100">
        <f t="shared" si="142"/>
        <v>0</v>
      </c>
      <c r="AI127" s="109"/>
      <c r="AJ127" s="108">
        <f t="shared" si="143"/>
        <v>0</v>
      </c>
      <c r="AK127" s="108">
        <f t="shared" si="144"/>
        <v>0</v>
      </c>
      <c r="AL127" s="108">
        <f t="shared" si="145"/>
        <v>0</v>
      </c>
      <c r="AN127" s="100">
        <v>15</v>
      </c>
      <c r="AO127" s="100">
        <f>H127*0.90816</f>
        <v>0</v>
      </c>
      <c r="AP127" s="100">
        <f>H127*(1-0.90816)</f>
        <v>0</v>
      </c>
      <c r="AQ127" s="111" t="s">
        <v>7</v>
      </c>
      <c r="AV127" s="100">
        <f t="shared" si="146"/>
        <v>0</v>
      </c>
      <c r="AW127" s="100">
        <f t="shared" si="147"/>
        <v>0</v>
      </c>
      <c r="AX127" s="100">
        <f t="shared" si="148"/>
        <v>0</v>
      </c>
      <c r="AY127" s="110" t="s">
        <v>1699</v>
      </c>
      <c r="AZ127" s="110" t="s">
        <v>1730</v>
      </c>
      <c r="BA127" s="109" t="s">
        <v>1737</v>
      </c>
      <c r="BC127" s="100">
        <f t="shared" si="149"/>
        <v>0</v>
      </c>
      <c r="BD127" s="100">
        <f t="shared" si="150"/>
        <v>0</v>
      </c>
      <c r="BE127" s="100">
        <v>0</v>
      </c>
      <c r="BF127" s="100">
        <f>127</f>
        <v>127</v>
      </c>
      <c r="BH127" s="108">
        <f t="shared" si="151"/>
        <v>0</v>
      </c>
      <c r="BI127" s="108">
        <f t="shared" si="152"/>
        <v>0</v>
      </c>
      <c r="BJ127" s="108">
        <f t="shared" si="153"/>
        <v>0</v>
      </c>
    </row>
    <row r="128" spans="1:62" x14ac:dyDescent="0.2">
      <c r="A128" s="117" t="s">
        <v>98</v>
      </c>
      <c r="B128" s="117" t="s">
        <v>649</v>
      </c>
      <c r="C128" s="304" t="s">
        <v>1156</v>
      </c>
      <c r="D128" s="305"/>
      <c r="E128" s="305"/>
      <c r="F128" s="117" t="s">
        <v>1644</v>
      </c>
      <c r="G128" s="116">
        <v>1</v>
      </c>
      <c r="H128" s="159"/>
      <c r="I128" s="108">
        <f t="shared" si="132"/>
        <v>0</v>
      </c>
      <c r="J128" s="108">
        <f t="shared" si="133"/>
        <v>0</v>
      </c>
      <c r="K128" s="108">
        <f t="shared" si="134"/>
        <v>0</v>
      </c>
      <c r="L128" s="111" t="s">
        <v>1671</v>
      </c>
      <c r="Z128" s="100">
        <f t="shared" si="135"/>
        <v>0</v>
      </c>
      <c r="AB128" s="100">
        <f t="shared" si="136"/>
        <v>0</v>
      </c>
      <c r="AC128" s="100">
        <f t="shared" si="137"/>
        <v>0</v>
      </c>
      <c r="AD128" s="100">
        <f t="shared" si="138"/>
        <v>0</v>
      </c>
      <c r="AE128" s="100">
        <f t="shared" si="139"/>
        <v>0</v>
      </c>
      <c r="AF128" s="100">
        <f t="shared" si="140"/>
        <v>0</v>
      </c>
      <c r="AG128" s="100">
        <f t="shared" si="141"/>
        <v>0</v>
      </c>
      <c r="AH128" s="100">
        <f t="shared" si="142"/>
        <v>0</v>
      </c>
      <c r="AI128" s="109"/>
      <c r="AJ128" s="108">
        <f t="shared" si="143"/>
        <v>0</v>
      </c>
      <c r="AK128" s="108">
        <f t="shared" si="144"/>
        <v>0</v>
      </c>
      <c r="AL128" s="108">
        <f t="shared" si="145"/>
        <v>0</v>
      </c>
      <c r="AN128" s="100">
        <v>15</v>
      </c>
      <c r="AO128" s="100">
        <f>H128*0.908156</f>
        <v>0</v>
      </c>
      <c r="AP128" s="100">
        <f>H128*(1-0.908156)</f>
        <v>0</v>
      </c>
      <c r="AQ128" s="111" t="s">
        <v>7</v>
      </c>
      <c r="AV128" s="100">
        <f t="shared" si="146"/>
        <v>0</v>
      </c>
      <c r="AW128" s="100">
        <f t="shared" si="147"/>
        <v>0</v>
      </c>
      <c r="AX128" s="100">
        <f t="shared" si="148"/>
        <v>0</v>
      </c>
      <c r="AY128" s="110" t="s">
        <v>1699</v>
      </c>
      <c r="AZ128" s="110" t="s">
        <v>1730</v>
      </c>
      <c r="BA128" s="109" t="s">
        <v>1737</v>
      </c>
      <c r="BC128" s="100">
        <f t="shared" si="149"/>
        <v>0</v>
      </c>
      <c r="BD128" s="100">
        <f t="shared" si="150"/>
        <v>0</v>
      </c>
      <c r="BE128" s="100">
        <v>0</v>
      </c>
      <c r="BF128" s="100">
        <f>128</f>
        <v>128</v>
      </c>
      <c r="BH128" s="108">
        <f t="shared" si="151"/>
        <v>0</v>
      </c>
      <c r="BI128" s="108">
        <f t="shared" si="152"/>
        <v>0</v>
      </c>
      <c r="BJ128" s="108">
        <f t="shared" si="153"/>
        <v>0</v>
      </c>
    </row>
    <row r="129" spans="1:62" x14ac:dyDescent="0.2">
      <c r="A129" s="117" t="s">
        <v>99</v>
      </c>
      <c r="B129" s="117" t="s">
        <v>650</v>
      </c>
      <c r="C129" s="304" t="s">
        <v>1157</v>
      </c>
      <c r="D129" s="305"/>
      <c r="E129" s="305"/>
      <c r="F129" s="117" t="s">
        <v>1644</v>
      </c>
      <c r="G129" s="116">
        <v>1</v>
      </c>
      <c r="H129" s="159"/>
      <c r="I129" s="108">
        <f t="shared" si="132"/>
        <v>0</v>
      </c>
      <c r="J129" s="108">
        <f t="shared" si="133"/>
        <v>0</v>
      </c>
      <c r="K129" s="108">
        <f t="shared" si="134"/>
        <v>0</v>
      </c>
      <c r="L129" s="111" t="s">
        <v>1671</v>
      </c>
      <c r="Z129" s="100">
        <f t="shared" si="135"/>
        <v>0</v>
      </c>
      <c r="AB129" s="100">
        <f t="shared" si="136"/>
        <v>0</v>
      </c>
      <c r="AC129" s="100">
        <f t="shared" si="137"/>
        <v>0</v>
      </c>
      <c r="AD129" s="100">
        <f t="shared" si="138"/>
        <v>0</v>
      </c>
      <c r="AE129" s="100">
        <f t="shared" si="139"/>
        <v>0</v>
      </c>
      <c r="AF129" s="100">
        <f t="shared" si="140"/>
        <v>0</v>
      </c>
      <c r="AG129" s="100">
        <f t="shared" si="141"/>
        <v>0</v>
      </c>
      <c r="AH129" s="100">
        <f t="shared" si="142"/>
        <v>0</v>
      </c>
      <c r="AI129" s="109"/>
      <c r="AJ129" s="108">
        <f t="shared" si="143"/>
        <v>0</v>
      </c>
      <c r="AK129" s="108">
        <f t="shared" si="144"/>
        <v>0</v>
      </c>
      <c r="AL129" s="108">
        <f t="shared" si="145"/>
        <v>0</v>
      </c>
      <c r="AN129" s="100">
        <v>15</v>
      </c>
      <c r="AO129" s="100">
        <f>H129*0.90816</f>
        <v>0</v>
      </c>
      <c r="AP129" s="100">
        <f>H129*(1-0.90816)</f>
        <v>0</v>
      </c>
      <c r="AQ129" s="111" t="s">
        <v>7</v>
      </c>
      <c r="AV129" s="100">
        <f t="shared" si="146"/>
        <v>0</v>
      </c>
      <c r="AW129" s="100">
        <f t="shared" si="147"/>
        <v>0</v>
      </c>
      <c r="AX129" s="100">
        <f t="shared" si="148"/>
        <v>0</v>
      </c>
      <c r="AY129" s="110" t="s">
        <v>1699</v>
      </c>
      <c r="AZ129" s="110" t="s">
        <v>1730</v>
      </c>
      <c r="BA129" s="109" t="s">
        <v>1737</v>
      </c>
      <c r="BC129" s="100">
        <f t="shared" si="149"/>
        <v>0</v>
      </c>
      <c r="BD129" s="100">
        <f t="shared" si="150"/>
        <v>0</v>
      </c>
      <c r="BE129" s="100">
        <v>0</v>
      </c>
      <c r="BF129" s="100">
        <f>129</f>
        <v>129</v>
      </c>
      <c r="BH129" s="108">
        <f t="shared" si="151"/>
        <v>0</v>
      </c>
      <c r="BI129" s="108">
        <f t="shared" si="152"/>
        <v>0</v>
      </c>
      <c r="BJ129" s="108">
        <f t="shared" si="153"/>
        <v>0</v>
      </c>
    </row>
    <row r="130" spans="1:62" x14ac:dyDescent="0.2">
      <c r="A130" s="119"/>
      <c r="B130" s="120" t="s">
        <v>102</v>
      </c>
      <c r="C130" s="306" t="s">
        <v>1158</v>
      </c>
      <c r="D130" s="307"/>
      <c r="E130" s="307"/>
      <c r="F130" s="119" t="s">
        <v>6</v>
      </c>
      <c r="G130" s="119" t="s">
        <v>6</v>
      </c>
      <c r="H130" s="119" t="s">
        <v>6</v>
      </c>
      <c r="I130" s="118">
        <f>SUM(I131:I147)</f>
        <v>0</v>
      </c>
      <c r="J130" s="118">
        <f>SUM(J131:J147)</f>
        <v>0</v>
      </c>
      <c r="K130" s="118">
        <f>SUM(K131:K147)</f>
        <v>0</v>
      </c>
      <c r="L130" s="109"/>
      <c r="AI130" s="109"/>
      <c r="AS130" s="118">
        <f>SUM(AJ131:AJ147)</f>
        <v>0</v>
      </c>
      <c r="AT130" s="118">
        <f>SUM(AK131:AK147)</f>
        <v>0</v>
      </c>
      <c r="AU130" s="118">
        <f>SUM(AL131:AL147)</f>
        <v>0</v>
      </c>
    </row>
    <row r="131" spans="1:62" x14ac:dyDescent="0.2">
      <c r="A131" s="117" t="s">
        <v>100</v>
      </c>
      <c r="B131" s="117" t="s">
        <v>651</v>
      </c>
      <c r="C131" s="304" t="s">
        <v>1159</v>
      </c>
      <c r="D131" s="305"/>
      <c r="E131" s="305"/>
      <c r="F131" s="117" t="s">
        <v>1645</v>
      </c>
      <c r="G131" s="116">
        <v>145.624</v>
      </c>
      <c r="H131" s="159"/>
      <c r="I131" s="108">
        <f t="shared" ref="I131:I147" si="154">G131*AO131</f>
        <v>0</v>
      </c>
      <c r="J131" s="108">
        <f t="shared" ref="J131:J147" si="155">G131*AP131</f>
        <v>0</v>
      </c>
      <c r="K131" s="108">
        <f t="shared" ref="K131:K147" si="156">G131*H131</f>
        <v>0</v>
      </c>
      <c r="L131" s="111" t="s">
        <v>1671</v>
      </c>
      <c r="Z131" s="100">
        <f t="shared" ref="Z131:Z147" si="157">IF(AQ131="5",BJ131,0)</f>
        <v>0</v>
      </c>
      <c r="AB131" s="100">
        <f t="shared" ref="AB131:AB147" si="158">IF(AQ131="1",BH131,0)</f>
        <v>0</v>
      </c>
      <c r="AC131" s="100">
        <f t="shared" ref="AC131:AC147" si="159">IF(AQ131="1",BI131,0)</f>
        <v>0</v>
      </c>
      <c r="AD131" s="100">
        <f t="shared" ref="AD131:AD147" si="160">IF(AQ131="7",BH131,0)</f>
        <v>0</v>
      </c>
      <c r="AE131" s="100">
        <f t="shared" ref="AE131:AE147" si="161">IF(AQ131="7",BI131,0)</f>
        <v>0</v>
      </c>
      <c r="AF131" s="100">
        <f t="shared" ref="AF131:AF147" si="162">IF(AQ131="2",BH131,0)</f>
        <v>0</v>
      </c>
      <c r="AG131" s="100">
        <f t="shared" ref="AG131:AG147" si="163">IF(AQ131="2",BI131,0)</f>
        <v>0</v>
      </c>
      <c r="AH131" s="100">
        <f t="shared" ref="AH131:AH147" si="164">IF(AQ131="0",BJ131,0)</f>
        <v>0</v>
      </c>
      <c r="AI131" s="109"/>
      <c r="AJ131" s="108">
        <f t="shared" ref="AJ131:AJ147" si="165">IF(AN131=0,K131,0)</f>
        <v>0</v>
      </c>
      <c r="AK131" s="108">
        <f t="shared" ref="AK131:AK147" si="166">IF(AN131=15,K131,0)</f>
        <v>0</v>
      </c>
      <c r="AL131" s="108">
        <f t="shared" ref="AL131:AL147" si="167">IF(AN131=21,K131,0)</f>
        <v>0</v>
      </c>
      <c r="AN131" s="100">
        <v>15</v>
      </c>
      <c r="AO131" s="100">
        <f>H131*0</f>
        <v>0</v>
      </c>
      <c r="AP131" s="100">
        <f>H131*(1-0)</f>
        <v>0</v>
      </c>
      <c r="AQ131" s="111" t="s">
        <v>7</v>
      </c>
      <c r="AV131" s="100">
        <f t="shared" ref="AV131:AV147" si="168">AW131+AX131</f>
        <v>0</v>
      </c>
      <c r="AW131" s="100">
        <f t="shared" ref="AW131:AW147" si="169">G131*AO131</f>
        <v>0</v>
      </c>
      <c r="AX131" s="100">
        <f t="shared" ref="AX131:AX147" si="170">G131*AP131</f>
        <v>0</v>
      </c>
      <c r="AY131" s="110" t="s">
        <v>1700</v>
      </c>
      <c r="AZ131" s="110" t="s">
        <v>1730</v>
      </c>
      <c r="BA131" s="109" t="s">
        <v>1737</v>
      </c>
      <c r="BC131" s="100">
        <f t="shared" ref="BC131:BC147" si="171">AW131+AX131</f>
        <v>0</v>
      </c>
      <c r="BD131" s="100">
        <f t="shared" ref="BD131:BD147" si="172">H131/(100-BE131)*100</f>
        <v>0</v>
      </c>
      <c r="BE131" s="100">
        <v>0</v>
      </c>
      <c r="BF131" s="100">
        <f>131</f>
        <v>131</v>
      </c>
      <c r="BH131" s="108">
        <f t="shared" ref="BH131:BH147" si="173">G131*AO131</f>
        <v>0</v>
      </c>
      <c r="BI131" s="108">
        <f t="shared" ref="BI131:BI147" si="174">G131*AP131</f>
        <v>0</v>
      </c>
      <c r="BJ131" s="108">
        <f t="shared" ref="BJ131:BJ147" si="175">G131*H131</f>
        <v>0</v>
      </c>
    </row>
    <row r="132" spans="1:62" x14ac:dyDescent="0.2">
      <c r="A132" s="117" t="s">
        <v>101</v>
      </c>
      <c r="B132" s="117" t="s">
        <v>652</v>
      </c>
      <c r="C132" s="304" t="s">
        <v>1160</v>
      </c>
      <c r="D132" s="305"/>
      <c r="E132" s="305"/>
      <c r="F132" s="117" t="s">
        <v>1644</v>
      </c>
      <c r="G132" s="116">
        <v>6</v>
      </c>
      <c r="H132" s="159"/>
      <c r="I132" s="108">
        <f t="shared" si="154"/>
        <v>0</v>
      </c>
      <c r="J132" s="108">
        <f t="shared" si="155"/>
        <v>0</v>
      </c>
      <c r="K132" s="108">
        <f t="shared" si="156"/>
        <v>0</v>
      </c>
      <c r="L132" s="111" t="s">
        <v>1671</v>
      </c>
      <c r="Z132" s="100">
        <f t="shared" si="157"/>
        <v>0</v>
      </c>
      <c r="AB132" s="100">
        <f t="shared" si="158"/>
        <v>0</v>
      </c>
      <c r="AC132" s="100">
        <f t="shared" si="159"/>
        <v>0</v>
      </c>
      <c r="AD132" s="100">
        <f t="shared" si="160"/>
        <v>0</v>
      </c>
      <c r="AE132" s="100">
        <f t="shared" si="161"/>
        <v>0</v>
      </c>
      <c r="AF132" s="100">
        <f t="shared" si="162"/>
        <v>0</v>
      </c>
      <c r="AG132" s="100">
        <f t="shared" si="163"/>
        <v>0</v>
      </c>
      <c r="AH132" s="100">
        <f t="shared" si="164"/>
        <v>0</v>
      </c>
      <c r="AI132" s="109"/>
      <c r="AJ132" s="108">
        <f t="shared" si="165"/>
        <v>0</v>
      </c>
      <c r="AK132" s="108">
        <f t="shared" si="166"/>
        <v>0</v>
      </c>
      <c r="AL132" s="108">
        <f t="shared" si="167"/>
        <v>0</v>
      </c>
      <c r="AN132" s="100">
        <v>15</v>
      </c>
      <c r="AO132" s="100">
        <f>H132*0</f>
        <v>0</v>
      </c>
      <c r="AP132" s="100">
        <f>H132*(1-0)</f>
        <v>0</v>
      </c>
      <c r="AQ132" s="111" t="s">
        <v>7</v>
      </c>
      <c r="AV132" s="100">
        <f t="shared" si="168"/>
        <v>0</v>
      </c>
      <c r="AW132" s="100">
        <f t="shared" si="169"/>
        <v>0</v>
      </c>
      <c r="AX132" s="100">
        <f t="shared" si="170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71"/>
        <v>0</v>
      </c>
      <c r="BD132" s="100">
        <f t="shared" si="172"/>
        <v>0</v>
      </c>
      <c r="BE132" s="100">
        <v>0</v>
      </c>
      <c r="BF132" s="100">
        <f>132</f>
        <v>132</v>
      </c>
      <c r="BH132" s="108">
        <f t="shared" si="173"/>
        <v>0</v>
      </c>
      <c r="BI132" s="108">
        <f t="shared" si="174"/>
        <v>0</v>
      </c>
      <c r="BJ132" s="108">
        <f t="shared" si="175"/>
        <v>0</v>
      </c>
    </row>
    <row r="133" spans="1:62" x14ac:dyDescent="0.2">
      <c r="A133" s="117" t="s">
        <v>102</v>
      </c>
      <c r="B133" s="117" t="s">
        <v>653</v>
      </c>
      <c r="C133" s="304" t="s">
        <v>1161</v>
      </c>
      <c r="D133" s="305"/>
      <c r="E133" s="305"/>
      <c r="F133" s="117" t="s">
        <v>1647</v>
      </c>
      <c r="G133" s="116">
        <v>0.29599999999999999</v>
      </c>
      <c r="H133" s="159"/>
      <c r="I133" s="108">
        <f t="shared" si="154"/>
        <v>0</v>
      </c>
      <c r="J133" s="108">
        <f t="shared" si="155"/>
        <v>0</v>
      </c>
      <c r="K133" s="108">
        <f t="shared" si="156"/>
        <v>0</v>
      </c>
      <c r="L133" s="111" t="s">
        <v>1671</v>
      </c>
      <c r="Z133" s="100">
        <f t="shared" si="157"/>
        <v>0</v>
      </c>
      <c r="AB133" s="100">
        <f t="shared" si="158"/>
        <v>0</v>
      </c>
      <c r="AC133" s="100">
        <f t="shared" si="159"/>
        <v>0</v>
      </c>
      <c r="AD133" s="100">
        <f t="shared" si="160"/>
        <v>0</v>
      </c>
      <c r="AE133" s="100">
        <f t="shared" si="161"/>
        <v>0</v>
      </c>
      <c r="AF133" s="100">
        <f t="shared" si="162"/>
        <v>0</v>
      </c>
      <c r="AG133" s="100">
        <f t="shared" si="163"/>
        <v>0</v>
      </c>
      <c r="AH133" s="100">
        <f t="shared" si="164"/>
        <v>0</v>
      </c>
      <c r="AI133" s="109"/>
      <c r="AJ133" s="108">
        <f t="shared" si="165"/>
        <v>0</v>
      </c>
      <c r="AK133" s="108">
        <f t="shared" si="166"/>
        <v>0</v>
      </c>
      <c r="AL133" s="108">
        <f t="shared" si="167"/>
        <v>0</v>
      </c>
      <c r="AN133" s="100">
        <v>15</v>
      </c>
      <c r="AO133" s="100">
        <f>H133*0</f>
        <v>0</v>
      </c>
      <c r="AP133" s="100">
        <f>H133*(1-0)</f>
        <v>0</v>
      </c>
      <c r="AQ133" s="111" t="s">
        <v>7</v>
      </c>
      <c r="AV133" s="100">
        <f t="shared" si="168"/>
        <v>0</v>
      </c>
      <c r="AW133" s="100">
        <f t="shared" si="169"/>
        <v>0</v>
      </c>
      <c r="AX133" s="100">
        <f t="shared" si="170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71"/>
        <v>0</v>
      </c>
      <c r="BD133" s="100">
        <f t="shared" si="172"/>
        <v>0</v>
      </c>
      <c r="BE133" s="100">
        <v>0</v>
      </c>
      <c r="BF133" s="100">
        <f>133</f>
        <v>133</v>
      </c>
      <c r="BH133" s="108">
        <f t="shared" si="173"/>
        <v>0</v>
      </c>
      <c r="BI133" s="108">
        <f t="shared" si="174"/>
        <v>0</v>
      </c>
      <c r="BJ133" s="108">
        <f t="shared" si="175"/>
        <v>0</v>
      </c>
    </row>
    <row r="134" spans="1:62" x14ac:dyDescent="0.2">
      <c r="A134" s="117" t="s">
        <v>103</v>
      </c>
      <c r="B134" s="117" t="s">
        <v>654</v>
      </c>
      <c r="C134" s="304" t="s">
        <v>1162</v>
      </c>
      <c r="D134" s="305"/>
      <c r="E134" s="305"/>
      <c r="F134" s="117" t="s">
        <v>1645</v>
      </c>
      <c r="G134" s="116">
        <v>145.624</v>
      </c>
      <c r="H134" s="159"/>
      <c r="I134" s="108">
        <f t="shared" si="154"/>
        <v>0</v>
      </c>
      <c r="J134" s="108">
        <f t="shared" si="155"/>
        <v>0</v>
      </c>
      <c r="K134" s="108">
        <f t="shared" si="156"/>
        <v>0</v>
      </c>
      <c r="L134" s="111" t="s">
        <v>1671</v>
      </c>
      <c r="Z134" s="100">
        <f t="shared" si="157"/>
        <v>0</v>
      </c>
      <c r="AB134" s="100">
        <f t="shared" si="158"/>
        <v>0</v>
      </c>
      <c r="AC134" s="100">
        <f t="shared" si="159"/>
        <v>0</v>
      </c>
      <c r="AD134" s="100">
        <f t="shared" si="160"/>
        <v>0</v>
      </c>
      <c r="AE134" s="100">
        <f t="shared" si="161"/>
        <v>0</v>
      </c>
      <c r="AF134" s="100">
        <f t="shared" si="162"/>
        <v>0</v>
      </c>
      <c r="AG134" s="100">
        <f t="shared" si="163"/>
        <v>0</v>
      </c>
      <c r="AH134" s="100">
        <f t="shared" si="164"/>
        <v>0</v>
      </c>
      <c r="AI134" s="109"/>
      <c r="AJ134" s="108">
        <f t="shared" si="165"/>
        <v>0</v>
      </c>
      <c r="AK134" s="108">
        <f t="shared" si="166"/>
        <v>0</v>
      </c>
      <c r="AL134" s="108">
        <f t="shared" si="167"/>
        <v>0</v>
      </c>
      <c r="AN134" s="100">
        <v>15</v>
      </c>
      <c r="AO134" s="100">
        <f>H134*0.0999481229603011</f>
        <v>0</v>
      </c>
      <c r="AP134" s="100">
        <f>H134*(1-0.0999481229603011)</f>
        <v>0</v>
      </c>
      <c r="AQ134" s="111" t="s">
        <v>7</v>
      </c>
      <c r="AV134" s="100">
        <f t="shared" si="168"/>
        <v>0</v>
      </c>
      <c r="AW134" s="100">
        <f t="shared" si="169"/>
        <v>0</v>
      </c>
      <c r="AX134" s="100">
        <f t="shared" si="170"/>
        <v>0</v>
      </c>
      <c r="AY134" s="110" t="s">
        <v>1700</v>
      </c>
      <c r="AZ134" s="110" t="s">
        <v>1730</v>
      </c>
      <c r="BA134" s="109" t="s">
        <v>1737</v>
      </c>
      <c r="BC134" s="100">
        <f t="shared" si="171"/>
        <v>0</v>
      </c>
      <c r="BD134" s="100">
        <f t="shared" si="172"/>
        <v>0</v>
      </c>
      <c r="BE134" s="100">
        <v>0</v>
      </c>
      <c r="BF134" s="100">
        <f>134</f>
        <v>134</v>
      </c>
      <c r="BH134" s="108">
        <f t="shared" si="173"/>
        <v>0</v>
      </c>
      <c r="BI134" s="108">
        <f t="shared" si="174"/>
        <v>0</v>
      </c>
      <c r="BJ134" s="108">
        <f t="shared" si="175"/>
        <v>0</v>
      </c>
    </row>
    <row r="135" spans="1:62" x14ac:dyDescent="0.2">
      <c r="A135" s="117" t="s">
        <v>104</v>
      </c>
      <c r="B135" s="117" t="s">
        <v>655</v>
      </c>
      <c r="C135" s="304" t="s">
        <v>1163</v>
      </c>
      <c r="D135" s="305"/>
      <c r="E135" s="305"/>
      <c r="F135" s="117" t="s">
        <v>1647</v>
      </c>
      <c r="G135" s="116">
        <v>1.123</v>
      </c>
      <c r="H135" s="159"/>
      <c r="I135" s="108">
        <f t="shared" si="154"/>
        <v>0</v>
      </c>
      <c r="J135" s="108">
        <f t="shared" si="155"/>
        <v>0</v>
      </c>
      <c r="K135" s="108">
        <f t="shared" si="156"/>
        <v>0</v>
      </c>
      <c r="L135" s="111" t="s">
        <v>1671</v>
      </c>
      <c r="Z135" s="100">
        <f t="shared" si="157"/>
        <v>0</v>
      </c>
      <c r="AB135" s="100">
        <f t="shared" si="158"/>
        <v>0</v>
      </c>
      <c r="AC135" s="100">
        <f t="shared" si="159"/>
        <v>0</v>
      </c>
      <c r="AD135" s="100">
        <f t="shared" si="160"/>
        <v>0</v>
      </c>
      <c r="AE135" s="100">
        <f t="shared" si="161"/>
        <v>0</v>
      </c>
      <c r="AF135" s="100">
        <f t="shared" si="162"/>
        <v>0</v>
      </c>
      <c r="AG135" s="100">
        <f t="shared" si="163"/>
        <v>0</v>
      </c>
      <c r="AH135" s="100">
        <f t="shared" si="164"/>
        <v>0</v>
      </c>
      <c r="AI135" s="109"/>
      <c r="AJ135" s="108">
        <f t="shared" si="165"/>
        <v>0</v>
      </c>
      <c r="AK135" s="108">
        <f t="shared" si="166"/>
        <v>0</v>
      </c>
      <c r="AL135" s="108">
        <f t="shared" si="167"/>
        <v>0</v>
      </c>
      <c r="AN135" s="100">
        <v>15</v>
      </c>
      <c r="AO135" s="100">
        <f>H135*0.0363940922031205</f>
        <v>0</v>
      </c>
      <c r="AP135" s="100">
        <f>H135*(1-0.0363940922031205)</f>
        <v>0</v>
      </c>
      <c r="AQ135" s="111" t="s">
        <v>7</v>
      </c>
      <c r="AV135" s="100">
        <f t="shared" si="168"/>
        <v>0</v>
      </c>
      <c r="AW135" s="100">
        <f t="shared" si="169"/>
        <v>0</v>
      </c>
      <c r="AX135" s="100">
        <f t="shared" si="170"/>
        <v>0</v>
      </c>
      <c r="AY135" s="110" t="s">
        <v>1700</v>
      </c>
      <c r="AZ135" s="110" t="s">
        <v>1730</v>
      </c>
      <c r="BA135" s="109" t="s">
        <v>1737</v>
      </c>
      <c r="BC135" s="100">
        <f t="shared" si="171"/>
        <v>0</v>
      </c>
      <c r="BD135" s="100">
        <f t="shared" si="172"/>
        <v>0</v>
      </c>
      <c r="BE135" s="100">
        <v>0</v>
      </c>
      <c r="BF135" s="100">
        <f>135</f>
        <v>135</v>
      </c>
      <c r="BH135" s="108">
        <f t="shared" si="173"/>
        <v>0</v>
      </c>
      <c r="BI135" s="108">
        <f t="shared" si="174"/>
        <v>0</v>
      </c>
      <c r="BJ135" s="108">
        <f t="shared" si="175"/>
        <v>0</v>
      </c>
    </row>
    <row r="136" spans="1:62" x14ac:dyDescent="0.2">
      <c r="A136" s="117" t="s">
        <v>105</v>
      </c>
      <c r="B136" s="117" t="s">
        <v>658</v>
      </c>
      <c r="C136" s="304" t="s">
        <v>4142</v>
      </c>
      <c r="D136" s="305"/>
      <c r="E136" s="305"/>
      <c r="F136" s="117" t="s">
        <v>1645</v>
      </c>
      <c r="G136" s="116">
        <v>23.536000000000001</v>
      </c>
      <c r="H136" s="159"/>
      <c r="I136" s="108">
        <f t="shared" si="154"/>
        <v>0</v>
      </c>
      <c r="J136" s="108">
        <f t="shared" si="155"/>
        <v>0</v>
      </c>
      <c r="K136" s="108">
        <f t="shared" si="156"/>
        <v>0</v>
      </c>
      <c r="L136" s="111" t="s">
        <v>1671</v>
      </c>
      <c r="Z136" s="100">
        <f t="shared" si="157"/>
        <v>0</v>
      </c>
      <c r="AB136" s="100">
        <f t="shared" si="158"/>
        <v>0</v>
      </c>
      <c r="AC136" s="100">
        <f t="shared" si="159"/>
        <v>0</v>
      </c>
      <c r="AD136" s="100">
        <f t="shared" si="160"/>
        <v>0</v>
      </c>
      <c r="AE136" s="100">
        <f t="shared" si="161"/>
        <v>0</v>
      </c>
      <c r="AF136" s="100">
        <f t="shared" si="162"/>
        <v>0</v>
      </c>
      <c r="AG136" s="100">
        <f t="shared" si="163"/>
        <v>0</v>
      </c>
      <c r="AH136" s="100">
        <f t="shared" si="164"/>
        <v>0</v>
      </c>
      <c r="AI136" s="109"/>
      <c r="AJ136" s="108">
        <f t="shared" si="165"/>
        <v>0</v>
      </c>
      <c r="AK136" s="108">
        <f t="shared" si="166"/>
        <v>0</v>
      </c>
      <c r="AL136" s="108">
        <f t="shared" si="167"/>
        <v>0</v>
      </c>
      <c r="AN136" s="100">
        <v>15</v>
      </c>
      <c r="AO136" s="100">
        <f>H136*0</f>
        <v>0</v>
      </c>
      <c r="AP136" s="100">
        <f>H136*(1-0)</f>
        <v>0</v>
      </c>
      <c r="AQ136" s="111" t="s">
        <v>7</v>
      </c>
      <c r="AV136" s="100">
        <f t="shared" si="168"/>
        <v>0</v>
      </c>
      <c r="AW136" s="100">
        <f t="shared" si="169"/>
        <v>0</v>
      </c>
      <c r="AX136" s="100">
        <f t="shared" si="170"/>
        <v>0</v>
      </c>
      <c r="AY136" s="110" t="s">
        <v>1700</v>
      </c>
      <c r="AZ136" s="110" t="s">
        <v>1730</v>
      </c>
      <c r="BA136" s="109" t="s">
        <v>1737</v>
      </c>
      <c r="BC136" s="100">
        <f t="shared" si="171"/>
        <v>0</v>
      </c>
      <c r="BD136" s="100">
        <f t="shared" si="172"/>
        <v>0</v>
      </c>
      <c r="BE136" s="100">
        <v>0</v>
      </c>
      <c r="BF136" s="100">
        <f>136</f>
        <v>136</v>
      </c>
      <c r="BH136" s="108">
        <f t="shared" si="173"/>
        <v>0</v>
      </c>
      <c r="BI136" s="108">
        <f t="shared" si="174"/>
        <v>0</v>
      </c>
      <c r="BJ136" s="108">
        <f t="shared" si="175"/>
        <v>0</v>
      </c>
    </row>
    <row r="137" spans="1:62" x14ac:dyDescent="0.2">
      <c r="A137" s="117" t="s">
        <v>106</v>
      </c>
      <c r="B137" s="117" t="s">
        <v>659</v>
      </c>
      <c r="C137" s="304" t="s">
        <v>2487</v>
      </c>
      <c r="D137" s="305"/>
      <c r="E137" s="305"/>
      <c r="F137" s="117" t="s">
        <v>1646</v>
      </c>
      <c r="G137" s="116">
        <v>19.45</v>
      </c>
      <c r="H137" s="159"/>
      <c r="I137" s="108">
        <f t="shared" si="154"/>
        <v>0</v>
      </c>
      <c r="J137" s="108">
        <f t="shared" si="155"/>
        <v>0</v>
      </c>
      <c r="K137" s="108">
        <f t="shared" si="156"/>
        <v>0</v>
      </c>
      <c r="L137" s="111" t="s">
        <v>1671</v>
      </c>
      <c r="Z137" s="100">
        <f t="shared" si="157"/>
        <v>0</v>
      </c>
      <c r="AB137" s="100">
        <f t="shared" si="158"/>
        <v>0</v>
      </c>
      <c r="AC137" s="100">
        <f t="shared" si="159"/>
        <v>0</v>
      </c>
      <c r="AD137" s="100">
        <f t="shared" si="160"/>
        <v>0</v>
      </c>
      <c r="AE137" s="100">
        <f t="shared" si="161"/>
        <v>0</v>
      </c>
      <c r="AF137" s="100">
        <f t="shared" si="162"/>
        <v>0</v>
      </c>
      <c r="AG137" s="100">
        <f t="shared" si="163"/>
        <v>0</v>
      </c>
      <c r="AH137" s="100">
        <f t="shared" si="164"/>
        <v>0</v>
      </c>
      <c r="AI137" s="109"/>
      <c r="AJ137" s="108">
        <f t="shared" si="165"/>
        <v>0</v>
      </c>
      <c r="AK137" s="108">
        <f t="shared" si="166"/>
        <v>0</v>
      </c>
      <c r="AL137" s="108">
        <f t="shared" si="167"/>
        <v>0</v>
      </c>
      <c r="AN137" s="100">
        <v>15</v>
      </c>
      <c r="AO137" s="100">
        <f>H137*0</f>
        <v>0</v>
      </c>
      <c r="AP137" s="100">
        <f>H137*(1-0)</f>
        <v>0</v>
      </c>
      <c r="AQ137" s="111" t="s">
        <v>7</v>
      </c>
      <c r="AV137" s="100">
        <f t="shared" si="168"/>
        <v>0</v>
      </c>
      <c r="AW137" s="100">
        <f t="shared" si="169"/>
        <v>0</v>
      </c>
      <c r="AX137" s="100">
        <f t="shared" si="170"/>
        <v>0</v>
      </c>
      <c r="AY137" s="110" t="s">
        <v>1700</v>
      </c>
      <c r="AZ137" s="110" t="s">
        <v>1730</v>
      </c>
      <c r="BA137" s="109" t="s">
        <v>1737</v>
      </c>
      <c r="BC137" s="100">
        <f t="shared" si="171"/>
        <v>0</v>
      </c>
      <c r="BD137" s="100">
        <f t="shared" si="172"/>
        <v>0</v>
      </c>
      <c r="BE137" s="100">
        <v>0</v>
      </c>
      <c r="BF137" s="100">
        <f>137</f>
        <v>137</v>
      </c>
      <c r="BH137" s="108">
        <f t="shared" si="173"/>
        <v>0</v>
      </c>
      <c r="BI137" s="108">
        <f t="shared" si="174"/>
        <v>0</v>
      </c>
      <c r="BJ137" s="108">
        <f t="shared" si="175"/>
        <v>0</v>
      </c>
    </row>
    <row r="138" spans="1:62" x14ac:dyDescent="0.2">
      <c r="A138" s="117" t="s">
        <v>107</v>
      </c>
      <c r="B138" s="117" t="s">
        <v>660</v>
      </c>
      <c r="C138" s="304" t="s">
        <v>4141</v>
      </c>
      <c r="D138" s="305"/>
      <c r="E138" s="305"/>
      <c r="F138" s="117" t="s">
        <v>1645</v>
      </c>
      <c r="G138" s="116">
        <v>23.536000000000001</v>
      </c>
      <c r="H138" s="159"/>
      <c r="I138" s="108">
        <f t="shared" si="154"/>
        <v>0</v>
      </c>
      <c r="J138" s="108">
        <f t="shared" si="155"/>
        <v>0</v>
      </c>
      <c r="K138" s="108">
        <f t="shared" si="156"/>
        <v>0</v>
      </c>
      <c r="L138" s="111" t="s">
        <v>1671</v>
      </c>
      <c r="Z138" s="100">
        <f t="shared" si="157"/>
        <v>0</v>
      </c>
      <c r="AB138" s="100">
        <f t="shared" si="158"/>
        <v>0</v>
      </c>
      <c r="AC138" s="100">
        <f t="shared" si="159"/>
        <v>0</v>
      </c>
      <c r="AD138" s="100">
        <f t="shared" si="160"/>
        <v>0</v>
      </c>
      <c r="AE138" s="100">
        <f t="shared" si="161"/>
        <v>0</v>
      </c>
      <c r="AF138" s="100">
        <f t="shared" si="162"/>
        <v>0</v>
      </c>
      <c r="AG138" s="100">
        <f t="shared" si="163"/>
        <v>0</v>
      </c>
      <c r="AH138" s="100">
        <f t="shared" si="164"/>
        <v>0</v>
      </c>
      <c r="AI138" s="109"/>
      <c r="AJ138" s="108">
        <f t="shared" si="165"/>
        <v>0</v>
      </c>
      <c r="AK138" s="108">
        <f t="shared" si="166"/>
        <v>0</v>
      </c>
      <c r="AL138" s="108">
        <f t="shared" si="167"/>
        <v>0</v>
      </c>
      <c r="AN138" s="100">
        <v>15</v>
      </c>
      <c r="AO138" s="100">
        <f>H138*0</f>
        <v>0</v>
      </c>
      <c r="AP138" s="100">
        <f>H138*(1-0)</f>
        <v>0</v>
      </c>
      <c r="AQ138" s="111" t="s">
        <v>7</v>
      </c>
      <c r="AV138" s="100">
        <f t="shared" si="168"/>
        <v>0</v>
      </c>
      <c r="AW138" s="100">
        <f t="shared" si="169"/>
        <v>0</v>
      </c>
      <c r="AX138" s="100">
        <f t="shared" si="170"/>
        <v>0</v>
      </c>
      <c r="AY138" s="110" t="s">
        <v>1700</v>
      </c>
      <c r="AZ138" s="110" t="s">
        <v>1730</v>
      </c>
      <c r="BA138" s="109" t="s">
        <v>1737</v>
      </c>
      <c r="BC138" s="100">
        <f t="shared" si="171"/>
        <v>0</v>
      </c>
      <c r="BD138" s="100">
        <f t="shared" si="172"/>
        <v>0</v>
      </c>
      <c r="BE138" s="100">
        <v>0</v>
      </c>
      <c r="BF138" s="100">
        <f>138</f>
        <v>138</v>
      </c>
      <c r="BH138" s="108">
        <f t="shared" si="173"/>
        <v>0</v>
      </c>
      <c r="BI138" s="108">
        <f t="shared" si="174"/>
        <v>0</v>
      </c>
      <c r="BJ138" s="108">
        <f t="shared" si="175"/>
        <v>0</v>
      </c>
    </row>
    <row r="139" spans="1:62" x14ac:dyDescent="0.2">
      <c r="A139" s="117" t="s">
        <v>108</v>
      </c>
      <c r="B139" s="117" t="s">
        <v>662</v>
      </c>
      <c r="C139" s="304" t="s">
        <v>1170</v>
      </c>
      <c r="D139" s="305"/>
      <c r="E139" s="305"/>
      <c r="F139" s="117" t="s">
        <v>1644</v>
      </c>
      <c r="G139" s="116">
        <v>1</v>
      </c>
      <c r="H139" s="159"/>
      <c r="I139" s="108">
        <f t="shared" si="154"/>
        <v>0</v>
      </c>
      <c r="J139" s="108">
        <f t="shared" si="155"/>
        <v>0</v>
      </c>
      <c r="K139" s="108">
        <f t="shared" si="156"/>
        <v>0</v>
      </c>
      <c r="L139" s="111" t="s">
        <v>1671</v>
      </c>
      <c r="Z139" s="100">
        <f t="shared" si="157"/>
        <v>0</v>
      </c>
      <c r="AB139" s="100">
        <f t="shared" si="158"/>
        <v>0</v>
      </c>
      <c r="AC139" s="100">
        <f t="shared" si="159"/>
        <v>0</v>
      </c>
      <c r="AD139" s="100">
        <f t="shared" si="160"/>
        <v>0</v>
      </c>
      <c r="AE139" s="100">
        <f t="shared" si="161"/>
        <v>0</v>
      </c>
      <c r="AF139" s="100">
        <f t="shared" si="162"/>
        <v>0</v>
      </c>
      <c r="AG139" s="100">
        <f t="shared" si="163"/>
        <v>0</v>
      </c>
      <c r="AH139" s="100">
        <f t="shared" si="164"/>
        <v>0</v>
      </c>
      <c r="AI139" s="109"/>
      <c r="AJ139" s="108">
        <f t="shared" si="165"/>
        <v>0</v>
      </c>
      <c r="AK139" s="108">
        <f t="shared" si="166"/>
        <v>0</v>
      </c>
      <c r="AL139" s="108">
        <f t="shared" si="167"/>
        <v>0</v>
      </c>
      <c r="AN139" s="100">
        <v>15</v>
      </c>
      <c r="AO139" s="100">
        <f>H139*0.14559068800201</f>
        <v>0</v>
      </c>
      <c r="AP139" s="100">
        <f>H139*(1-0.14559068800201)</f>
        <v>0</v>
      </c>
      <c r="AQ139" s="111" t="s">
        <v>7</v>
      </c>
      <c r="AV139" s="100">
        <f t="shared" si="168"/>
        <v>0</v>
      </c>
      <c r="AW139" s="100">
        <f t="shared" si="169"/>
        <v>0</v>
      </c>
      <c r="AX139" s="100">
        <f t="shared" si="170"/>
        <v>0</v>
      </c>
      <c r="AY139" s="110" t="s">
        <v>1700</v>
      </c>
      <c r="AZ139" s="110" t="s">
        <v>1730</v>
      </c>
      <c r="BA139" s="109" t="s">
        <v>1737</v>
      </c>
      <c r="BC139" s="100">
        <f t="shared" si="171"/>
        <v>0</v>
      </c>
      <c r="BD139" s="100">
        <f t="shared" si="172"/>
        <v>0</v>
      </c>
      <c r="BE139" s="100">
        <v>0</v>
      </c>
      <c r="BF139" s="100">
        <f>139</f>
        <v>139</v>
      </c>
      <c r="BH139" s="108">
        <f t="shared" si="173"/>
        <v>0</v>
      </c>
      <c r="BI139" s="108">
        <f t="shared" si="174"/>
        <v>0</v>
      </c>
      <c r="BJ139" s="108">
        <f t="shared" si="175"/>
        <v>0</v>
      </c>
    </row>
    <row r="140" spans="1:62" x14ac:dyDescent="0.2">
      <c r="A140" s="117" t="s">
        <v>109</v>
      </c>
      <c r="B140" s="117" t="s">
        <v>2145</v>
      </c>
      <c r="C140" s="304" t="s">
        <v>2144</v>
      </c>
      <c r="D140" s="305"/>
      <c r="E140" s="305"/>
      <c r="F140" s="117" t="s">
        <v>1644</v>
      </c>
      <c r="G140" s="116">
        <v>1</v>
      </c>
      <c r="H140" s="159"/>
      <c r="I140" s="108">
        <f t="shared" si="154"/>
        <v>0</v>
      </c>
      <c r="J140" s="108">
        <f t="shared" si="155"/>
        <v>0</v>
      </c>
      <c r="K140" s="108">
        <f t="shared" si="156"/>
        <v>0</v>
      </c>
      <c r="L140" s="111" t="s">
        <v>1671</v>
      </c>
      <c r="Z140" s="100">
        <f t="shared" si="157"/>
        <v>0</v>
      </c>
      <c r="AB140" s="100">
        <f t="shared" si="158"/>
        <v>0</v>
      </c>
      <c r="AC140" s="100">
        <f t="shared" si="159"/>
        <v>0</v>
      </c>
      <c r="AD140" s="100">
        <f t="shared" si="160"/>
        <v>0</v>
      </c>
      <c r="AE140" s="100">
        <f t="shared" si="161"/>
        <v>0</v>
      </c>
      <c r="AF140" s="100">
        <f t="shared" si="162"/>
        <v>0</v>
      </c>
      <c r="AG140" s="100">
        <f t="shared" si="163"/>
        <v>0</v>
      </c>
      <c r="AH140" s="100">
        <f t="shared" si="164"/>
        <v>0</v>
      </c>
      <c r="AI140" s="109"/>
      <c r="AJ140" s="108">
        <f t="shared" si="165"/>
        <v>0</v>
      </c>
      <c r="AK140" s="108">
        <f t="shared" si="166"/>
        <v>0</v>
      </c>
      <c r="AL140" s="108">
        <f t="shared" si="167"/>
        <v>0</v>
      </c>
      <c r="AN140" s="100">
        <v>15</v>
      </c>
      <c r="AO140" s="100">
        <f>H140*0.14559</f>
        <v>0</v>
      </c>
      <c r="AP140" s="100">
        <f>H140*(1-0.14559)</f>
        <v>0</v>
      </c>
      <c r="AQ140" s="111" t="s">
        <v>7</v>
      </c>
      <c r="AV140" s="100">
        <f t="shared" si="168"/>
        <v>0</v>
      </c>
      <c r="AW140" s="100">
        <f t="shared" si="169"/>
        <v>0</v>
      </c>
      <c r="AX140" s="100">
        <f t="shared" si="170"/>
        <v>0</v>
      </c>
      <c r="AY140" s="110" t="s">
        <v>1700</v>
      </c>
      <c r="AZ140" s="110" t="s">
        <v>1730</v>
      </c>
      <c r="BA140" s="109" t="s">
        <v>1737</v>
      </c>
      <c r="BC140" s="100">
        <f t="shared" si="171"/>
        <v>0</v>
      </c>
      <c r="BD140" s="100">
        <f t="shared" si="172"/>
        <v>0</v>
      </c>
      <c r="BE140" s="100">
        <v>0</v>
      </c>
      <c r="BF140" s="100">
        <f>140</f>
        <v>140</v>
      </c>
      <c r="BH140" s="108">
        <f t="shared" si="173"/>
        <v>0</v>
      </c>
      <c r="BI140" s="108">
        <f t="shared" si="174"/>
        <v>0</v>
      </c>
      <c r="BJ140" s="108">
        <f t="shared" si="175"/>
        <v>0</v>
      </c>
    </row>
    <row r="141" spans="1:62" x14ac:dyDescent="0.2">
      <c r="A141" s="117" t="s">
        <v>110</v>
      </c>
      <c r="B141" s="117" t="s">
        <v>663</v>
      </c>
      <c r="C141" s="304" t="s">
        <v>1171</v>
      </c>
      <c r="D141" s="305"/>
      <c r="E141" s="305"/>
      <c r="F141" s="117" t="s">
        <v>1644</v>
      </c>
      <c r="G141" s="116">
        <v>10</v>
      </c>
      <c r="H141" s="159"/>
      <c r="I141" s="108">
        <f t="shared" si="154"/>
        <v>0</v>
      </c>
      <c r="J141" s="108">
        <f t="shared" si="155"/>
        <v>0</v>
      </c>
      <c r="K141" s="108">
        <f t="shared" si="156"/>
        <v>0</v>
      </c>
      <c r="L141" s="111" t="s">
        <v>1671</v>
      </c>
      <c r="Z141" s="100">
        <f t="shared" si="157"/>
        <v>0</v>
      </c>
      <c r="AB141" s="100">
        <f t="shared" si="158"/>
        <v>0</v>
      </c>
      <c r="AC141" s="100">
        <f t="shared" si="159"/>
        <v>0</v>
      </c>
      <c r="AD141" s="100">
        <f t="shared" si="160"/>
        <v>0</v>
      </c>
      <c r="AE141" s="100">
        <f t="shared" si="161"/>
        <v>0</v>
      </c>
      <c r="AF141" s="100">
        <f t="shared" si="162"/>
        <v>0</v>
      </c>
      <c r="AG141" s="100">
        <f t="shared" si="163"/>
        <v>0</v>
      </c>
      <c r="AH141" s="100">
        <f t="shared" si="164"/>
        <v>0</v>
      </c>
      <c r="AI141" s="109"/>
      <c r="AJ141" s="108">
        <f t="shared" si="165"/>
        <v>0</v>
      </c>
      <c r="AK141" s="108">
        <f t="shared" si="166"/>
        <v>0</v>
      </c>
      <c r="AL141" s="108">
        <f t="shared" si="167"/>
        <v>0</v>
      </c>
      <c r="AN141" s="100">
        <v>15</v>
      </c>
      <c r="AO141" s="100">
        <f>H141*0.000181818181818182</f>
        <v>0</v>
      </c>
      <c r="AP141" s="100">
        <f>H141*(1-0.000181818181818182)</f>
        <v>0</v>
      </c>
      <c r="AQ141" s="111" t="s">
        <v>7</v>
      </c>
      <c r="AV141" s="100">
        <f t="shared" si="168"/>
        <v>0</v>
      </c>
      <c r="AW141" s="100">
        <f t="shared" si="169"/>
        <v>0</v>
      </c>
      <c r="AX141" s="100">
        <f t="shared" si="170"/>
        <v>0</v>
      </c>
      <c r="AY141" s="110" t="s">
        <v>1700</v>
      </c>
      <c r="AZ141" s="110" t="s">
        <v>1730</v>
      </c>
      <c r="BA141" s="109" t="s">
        <v>1737</v>
      </c>
      <c r="BC141" s="100">
        <f t="shared" si="171"/>
        <v>0</v>
      </c>
      <c r="BD141" s="100">
        <f t="shared" si="172"/>
        <v>0</v>
      </c>
      <c r="BE141" s="100">
        <v>0</v>
      </c>
      <c r="BF141" s="100">
        <f>141</f>
        <v>141</v>
      </c>
      <c r="BH141" s="108">
        <f t="shared" si="173"/>
        <v>0</v>
      </c>
      <c r="BI141" s="108">
        <f t="shared" si="174"/>
        <v>0</v>
      </c>
      <c r="BJ141" s="108">
        <f t="shared" si="175"/>
        <v>0</v>
      </c>
    </row>
    <row r="142" spans="1:62" x14ac:dyDescent="0.2">
      <c r="A142" s="117" t="s">
        <v>111</v>
      </c>
      <c r="B142" s="117" t="s">
        <v>665</v>
      </c>
      <c r="C142" s="304" t="s">
        <v>1173</v>
      </c>
      <c r="D142" s="305"/>
      <c r="E142" s="305"/>
      <c r="F142" s="117" t="s">
        <v>1645</v>
      </c>
      <c r="G142" s="116">
        <v>101.937</v>
      </c>
      <c r="H142" s="159"/>
      <c r="I142" s="108">
        <f t="shared" si="154"/>
        <v>0</v>
      </c>
      <c r="J142" s="108">
        <f t="shared" si="155"/>
        <v>0</v>
      </c>
      <c r="K142" s="108">
        <f t="shared" si="156"/>
        <v>0</v>
      </c>
      <c r="L142" s="111" t="s">
        <v>1671</v>
      </c>
      <c r="Z142" s="100">
        <f t="shared" si="157"/>
        <v>0</v>
      </c>
      <c r="AB142" s="100">
        <f t="shared" si="158"/>
        <v>0</v>
      </c>
      <c r="AC142" s="100">
        <f t="shared" si="159"/>
        <v>0</v>
      </c>
      <c r="AD142" s="100">
        <f t="shared" si="160"/>
        <v>0</v>
      </c>
      <c r="AE142" s="100">
        <f t="shared" si="161"/>
        <v>0</v>
      </c>
      <c r="AF142" s="100">
        <f t="shared" si="162"/>
        <v>0</v>
      </c>
      <c r="AG142" s="100">
        <f t="shared" si="163"/>
        <v>0</v>
      </c>
      <c r="AH142" s="100">
        <f t="shared" si="164"/>
        <v>0</v>
      </c>
      <c r="AI142" s="109"/>
      <c r="AJ142" s="108">
        <f t="shared" si="165"/>
        <v>0</v>
      </c>
      <c r="AK142" s="108">
        <f t="shared" si="166"/>
        <v>0</v>
      </c>
      <c r="AL142" s="108">
        <f t="shared" si="167"/>
        <v>0</v>
      </c>
      <c r="AN142" s="100">
        <v>15</v>
      </c>
      <c r="AO142" s="100">
        <f>H142*0.0147509589632691</f>
        <v>0</v>
      </c>
      <c r="AP142" s="100">
        <f>H142*(1-0.0147509589632691)</f>
        <v>0</v>
      </c>
      <c r="AQ142" s="111" t="s">
        <v>7</v>
      </c>
      <c r="AV142" s="100">
        <f t="shared" si="168"/>
        <v>0</v>
      </c>
      <c r="AW142" s="100">
        <f t="shared" si="169"/>
        <v>0</v>
      </c>
      <c r="AX142" s="100">
        <f t="shared" si="170"/>
        <v>0</v>
      </c>
      <c r="AY142" s="110" t="s">
        <v>1700</v>
      </c>
      <c r="AZ142" s="110" t="s">
        <v>1730</v>
      </c>
      <c r="BA142" s="109" t="s">
        <v>1737</v>
      </c>
      <c r="BC142" s="100">
        <f t="shared" si="171"/>
        <v>0</v>
      </c>
      <c r="BD142" s="100">
        <f t="shared" si="172"/>
        <v>0</v>
      </c>
      <c r="BE142" s="100">
        <v>0</v>
      </c>
      <c r="BF142" s="100">
        <f>142</f>
        <v>142</v>
      </c>
      <c r="BH142" s="108">
        <f t="shared" si="173"/>
        <v>0</v>
      </c>
      <c r="BI142" s="108">
        <f t="shared" si="174"/>
        <v>0</v>
      </c>
      <c r="BJ142" s="108">
        <f t="shared" si="175"/>
        <v>0</v>
      </c>
    </row>
    <row r="143" spans="1:62" x14ac:dyDescent="0.2">
      <c r="A143" s="117" t="s">
        <v>112</v>
      </c>
      <c r="B143" s="117" t="s">
        <v>666</v>
      </c>
      <c r="C143" s="304" t="s">
        <v>1174</v>
      </c>
      <c r="D143" s="305"/>
      <c r="E143" s="305"/>
      <c r="F143" s="117" t="s">
        <v>1645</v>
      </c>
      <c r="G143" s="116">
        <v>43.686999999999998</v>
      </c>
      <c r="H143" s="159"/>
      <c r="I143" s="108">
        <f t="shared" si="154"/>
        <v>0</v>
      </c>
      <c r="J143" s="108">
        <f t="shared" si="155"/>
        <v>0</v>
      </c>
      <c r="K143" s="108">
        <f t="shared" si="156"/>
        <v>0</v>
      </c>
      <c r="L143" s="111" t="s">
        <v>1671</v>
      </c>
      <c r="Z143" s="100">
        <f t="shared" si="157"/>
        <v>0</v>
      </c>
      <c r="AB143" s="100">
        <f t="shared" si="158"/>
        <v>0</v>
      </c>
      <c r="AC143" s="100">
        <f t="shared" si="159"/>
        <v>0</v>
      </c>
      <c r="AD143" s="100">
        <f t="shared" si="160"/>
        <v>0</v>
      </c>
      <c r="AE143" s="100">
        <f t="shared" si="161"/>
        <v>0</v>
      </c>
      <c r="AF143" s="100">
        <f t="shared" si="162"/>
        <v>0</v>
      </c>
      <c r="AG143" s="100">
        <f t="shared" si="163"/>
        <v>0</v>
      </c>
      <c r="AH143" s="100">
        <f t="shared" si="164"/>
        <v>0</v>
      </c>
      <c r="AI143" s="109"/>
      <c r="AJ143" s="108">
        <f t="shared" si="165"/>
        <v>0</v>
      </c>
      <c r="AK143" s="108">
        <f t="shared" si="166"/>
        <v>0</v>
      </c>
      <c r="AL143" s="108">
        <f t="shared" si="167"/>
        <v>0</v>
      </c>
      <c r="AN143" s="100">
        <v>15</v>
      </c>
      <c r="AO143" s="100">
        <f>H143*0.0103628861088504</f>
        <v>0</v>
      </c>
      <c r="AP143" s="100">
        <f>H143*(1-0.0103628861088504)</f>
        <v>0</v>
      </c>
      <c r="AQ143" s="111" t="s">
        <v>7</v>
      </c>
      <c r="AV143" s="100">
        <f t="shared" si="168"/>
        <v>0</v>
      </c>
      <c r="AW143" s="100">
        <f t="shared" si="169"/>
        <v>0</v>
      </c>
      <c r="AX143" s="100">
        <f t="shared" si="170"/>
        <v>0</v>
      </c>
      <c r="AY143" s="110" t="s">
        <v>1700</v>
      </c>
      <c r="AZ143" s="110" t="s">
        <v>1730</v>
      </c>
      <c r="BA143" s="109" t="s">
        <v>1737</v>
      </c>
      <c r="BC143" s="100">
        <f t="shared" si="171"/>
        <v>0</v>
      </c>
      <c r="BD143" s="100">
        <f t="shared" si="172"/>
        <v>0</v>
      </c>
      <c r="BE143" s="100">
        <v>0</v>
      </c>
      <c r="BF143" s="100">
        <f>143</f>
        <v>143</v>
      </c>
      <c r="BH143" s="108">
        <f t="shared" si="173"/>
        <v>0</v>
      </c>
      <c r="BI143" s="108">
        <f t="shared" si="174"/>
        <v>0</v>
      </c>
      <c r="BJ143" s="108">
        <f t="shared" si="175"/>
        <v>0</v>
      </c>
    </row>
    <row r="144" spans="1:62" x14ac:dyDescent="0.2">
      <c r="A144" s="117" t="s">
        <v>113</v>
      </c>
      <c r="B144" s="117" t="s">
        <v>2844</v>
      </c>
      <c r="C144" s="304" t="s">
        <v>2843</v>
      </c>
      <c r="D144" s="305"/>
      <c r="E144" s="305"/>
      <c r="F144" s="117" t="s">
        <v>1644</v>
      </c>
      <c r="G144" s="116">
        <v>5</v>
      </c>
      <c r="H144" s="159"/>
      <c r="I144" s="108">
        <f t="shared" si="154"/>
        <v>0</v>
      </c>
      <c r="J144" s="108">
        <f t="shared" si="155"/>
        <v>0</v>
      </c>
      <c r="K144" s="108">
        <f t="shared" si="156"/>
        <v>0</v>
      </c>
      <c r="L144" s="111" t="s">
        <v>1671</v>
      </c>
      <c r="Z144" s="100">
        <f t="shared" si="157"/>
        <v>0</v>
      </c>
      <c r="AB144" s="100">
        <f t="shared" si="158"/>
        <v>0</v>
      </c>
      <c r="AC144" s="100">
        <f t="shared" si="159"/>
        <v>0</v>
      </c>
      <c r="AD144" s="100">
        <f t="shared" si="160"/>
        <v>0</v>
      </c>
      <c r="AE144" s="100">
        <f t="shared" si="161"/>
        <v>0</v>
      </c>
      <c r="AF144" s="100">
        <f t="shared" si="162"/>
        <v>0</v>
      </c>
      <c r="AG144" s="100">
        <f t="shared" si="163"/>
        <v>0</v>
      </c>
      <c r="AH144" s="100">
        <f t="shared" si="164"/>
        <v>0</v>
      </c>
      <c r="AI144" s="109"/>
      <c r="AJ144" s="108">
        <f t="shared" si="165"/>
        <v>0</v>
      </c>
      <c r="AK144" s="108">
        <f t="shared" si="166"/>
        <v>0</v>
      </c>
      <c r="AL144" s="108">
        <f t="shared" si="167"/>
        <v>0</v>
      </c>
      <c r="AN144" s="100">
        <v>15</v>
      </c>
      <c r="AO144" s="100">
        <f>H144*0</f>
        <v>0</v>
      </c>
      <c r="AP144" s="100">
        <f>H144*(1-0)</f>
        <v>0</v>
      </c>
      <c r="AQ144" s="111" t="s">
        <v>7</v>
      </c>
      <c r="AV144" s="100">
        <f t="shared" si="168"/>
        <v>0</v>
      </c>
      <c r="AW144" s="100">
        <f t="shared" si="169"/>
        <v>0</v>
      </c>
      <c r="AX144" s="100">
        <f t="shared" si="170"/>
        <v>0</v>
      </c>
      <c r="AY144" s="110" t="s">
        <v>1700</v>
      </c>
      <c r="AZ144" s="110" t="s">
        <v>1730</v>
      </c>
      <c r="BA144" s="109" t="s">
        <v>1737</v>
      </c>
      <c r="BC144" s="100">
        <f t="shared" si="171"/>
        <v>0</v>
      </c>
      <c r="BD144" s="100">
        <f t="shared" si="172"/>
        <v>0</v>
      </c>
      <c r="BE144" s="100">
        <v>0</v>
      </c>
      <c r="BF144" s="100">
        <f>144</f>
        <v>144</v>
      </c>
      <c r="BH144" s="108">
        <f t="shared" si="173"/>
        <v>0</v>
      </c>
      <c r="BI144" s="108">
        <f t="shared" si="174"/>
        <v>0</v>
      </c>
      <c r="BJ144" s="108">
        <f t="shared" si="175"/>
        <v>0</v>
      </c>
    </row>
    <row r="145" spans="1:62" x14ac:dyDescent="0.2">
      <c r="A145" s="117" t="s">
        <v>114</v>
      </c>
      <c r="B145" s="117" t="s">
        <v>2842</v>
      </c>
      <c r="C145" s="304" t="s">
        <v>2841</v>
      </c>
      <c r="D145" s="305"/>
      <c r="E145" s="305"/>
      <c r="F145" s="117" t="s">
        <v>1645</v>
      </c>
      <c r="G145" s="116">
        <v>2.7</v>
      </c>
      <c r="H145" s="159"/>
      <c r="I145" s="108">
        <f t="shared" si="154"/>
        <v>0</v>
      </c>
      <c r="J145" s="108">
        <f t="shared" si="155"/>
        <v>0</v>
      </c>
      <c r="K145" s="108">
        <f t="shared" si="156"/>
        <v>0</v>
      </c>
      <c r="L145" s="111" t="s">
        <v>1671</v>
      </c>
      <c r="Z145" s="100">
        <f t="shared" si="157"/>
        <v>0</v>
      </c>
      <c r="AB145" s="100">
        <f t="shared" si="158"/>
        <v>0</v>
      </c>
      <c r="AC145" s="100">
        <f t="shared" si="159"/>
        <v>0</v>
      </c>
      <c r="AD145" s="100">
        <f t="shared" si="160"/>
        <v>0</v>
      </c>
      <c r="AE145" s="100">
        <f t="shared" si="161"/>
        <v>0</v>
      </c>
      <c r="AF145" s="100">
        <f t="shared" si="162"/>
        <v>0</v>
      </c>
      <c r="AG145" s="100">
        <f t="shared" si="163"/>
        <v>0</v>
      </c>
      <c r="AH145" s="100">
        <f t="shared" si="164"/>
        <v>0</v>
      </c>
      <c r="AI145" s="109"/>
      <c r="AJ145" s="108">
        <f t="shared" si="165"/>
        <v>0</v>
      </c>
      <c r="AK145" s="108">
        <f t="shared" si="166"/>
        <v>0</v>
      </c>
      <c r="AL145" s="108">
        <f t="shared" si="167"/>
        <v>0</v>
      </c>
      <c r="AN145" s="100">
        <v>15</v>
      </c>
      <c r="AO145" s="100">
        <f>H145*0.122082324455206</f>
        <v>0</v>
      </c>
      <c r="AP145" s="100">
        <f>H145*(1-0.122082324455206)</f>
        <v>0</v>
      </c>
      <c r="AQ145" s="111" t="s">
        <v>7</v>
      </c>
      <c r="AV145" s="100">
        <f t="shared" si="168"/>
        <v>0</v>
      </c>
      <c r="AW145" s="100">
        <f t="shared" si="169"/>
        <v>0</v>
      </c>
      <c r="AX145" s="100">
        <f t="shared" si="170"/>
        <v>0</v>
      </c>
      <c r="AY145" s="110" t="s">
        <v>1700</v>
      </c>
      <c r="AZ145" s="110" t="s">
        <v>1730</v>
      </c>
      <c r="BA145" s="109" t="s">
        <v>1737</v>
      </c>
      <c r="BC145" s="100">
        <f t="shared" si="171"/>
        <v>0</v>
      </c>
      <c r="BD145" s="100">
        <f t="shared" si="172"/>
        <v>0</v>
      </c>
      <c r="BE145" s="100">
        <v>0</v>
      </c>
      <c r="BF145" s="100">
        <f>145</f>
        <v>145</v>
      </c>
      <c r="BH145" s="108">
        <f t="shared" si="173"/>
        <v>0</v>
      </c>
      <c r="BI145" s="108">
        <f t="shared" si="174"/>
        <v>0</v>
      </c>
      <c r="BJ145" s="108">
        <f t="shared" si="175"/>
        <v>0</v>
      </c>
    </row>
    <row r="146" spans="1:62" x14ac:dyDescent="0.2">
      <c r="A146" s="117" t="s">
        <v>115</v>
      </c>
      <c r="B146" s="117" t="s">
        <v>667</v>
      </c>
      <c r="C146" s="304" t="s">
        <v>2143</v>
      </c>
      <c r="D146" s="305"/>
      <c r="E146" s="305"/>
      <c r="F146" s="117" t="s">
        <v>1644</v>
      </c>
      <c r="G146" s="116">
        <v>2</v>
      </c>
      <c r="H146" s="159"/>
      <c r="I146" s="108">
        <f t="shared" si="154"/>
        <v>0</v>
      </c>
      <c r="J146" s="108">
        <f t="shared" si="155"/>
        <v>0</v>
      </c>
      <c r="K146" s="108">
        <f t="shared" si="156"/>
        <v>0</v>
      </c>
      <c r="L146" s="111" t="s">
        <v>1671</v>
      </c>
      <c r="Z146" s="100">
        <f t="shared" si="157"/>
        <v>0</v>
      </c>
      <c r="AB146" s="100">
        <f t="shared" si="158"/>
        <v>0</v>
      </c>
      <c r="AC146" s="100">
        <f t="shared" si="159"/>
        <v>0</v>
      </c>
      <c r="AD146" s="100">
        <f t="shared" si="160"/>
        <v>0</v>
      </c>
      <c r="AE146" s="100">
        <f t="shared" si="161"/>
        <v>0</v>
      </c>
      <c r="AF146" s="100">
        <f t="shared" si="162"/>
        <v>0</v>
      </c>
      <c r="AG146" s="100">
        <f t="shared" si="163"/>
        <v>0</v>
      </c>
      <c r="AH146" s="100">
        <f t="shared" si="164"/>
        <v>0</v>
      </c>
      <c r="AI146" s="109"/>
      <c r="AJ146" s="108">
        <f t="shared" si="165"/>
        <v>0</v>
      </c>
      <c r="AK146" s="108">
        <f t="shared" si="166"/>
        <v>0</v>
      </c>
      <c r="AL146" s="108">
        <f t="shared" si="167"/>
        <v>0</v>
      </c>
      <c r="AN146" s="100">
        <v>15</v>
      </c>
      <c r="AO146" s="100">
        <f>H146*0</f>
        <v>0</v>
      </c>
      <c r="AP146" s="100">
        <f>H146*(1-0)</f>
        <v>0</v>
      </c>
      <c r="AQ146" s="111" t="s">
        <v>7</v>
      </c>
      <c r="AV146" s="100">
        <f t="shared" si="168"/>
        <v>0</v>
      </c>
      <c r="AW146" s="100">
        <f t="shared" si="169"/>
        <v>0</v>
      </c>
      <c r="AX146" s="100">
        <f t="shared" si="170"/>
        <v>0</v>
      </c>
      <c r="AY146" s="110" t="s">
        <v>1700</v>
      </c>
      <c r="AZ146" s="110" t="s">
        <v>1730</v>
      </c>
      <c r="BA146" s="109" t="s">
        <v>1737</v>
      </c>
      <c r="BC146" s="100">
        <f t="shared" si="171"/>
        <v>0</v>
      </c>
      <c r="BD146" s="100">
        <f t="shared" si="172"/>
        <v>0</v>
      </c>
      <c r="BE146" s="100">
        <v>0</v>
      </c>
      <c r="BF146" s="100">
        <f>146</f>
        <v>146</v>
      </c>
      <c r="BH146" s="108">
        <f t="shared" si="173"/>
        <v>0</v>
      </c>
      <c r="BI146" s="108">
        <f t="shared" si="174"/>
        <v>0</v>
      </c>
      <c r="BJ146" s="108">
        <f t="shared" si="175"/>
        <v>0</v>
      </c>
    </row>
    <row r="147" spans="1:62" x14ac:dyDescent="0.2">
      <c r="A147" s="117" t="s">
        <v>116</v>
      </c>
      <c r="B147" s="117" t="s">
        <v>668</v>
      </c>
      <c r="C147" s="304" t="s">
        <v>1176</v>
      </c>
      <c r="D147" s="305"/>
      <c r="E147" s="305"/>
      <c r="F147" s="117" t="s">
        <v>1645</v>
      </c>
      <c r="G147" s="116">
        <v>0.9</v>
      </c>
      <c r="H147" s="159"/>
      <c r="I147" s="108">
        <f t="shared" si="154"/>
        <v>0</v>
      </c>
      <c r="J147" s="108">
        <f t="shared" si="155"/>
        <v>0</v>
      </c>
      <c r="K147" s="108">
        <f t="shared" si="156"/>
        <v>0</v>
      </c>
      <c r="L147" s="111" t="s">
        <v>1671</v>
      </c>
      <c r="Z147" s="100">
        <f t="shared" si="157"/>
        <v>0</v>
      </c>
      <c r="AB147" s="100">
        <f t="shared" si="158"/>
        <v>0</v>
      </c>
      <c r="AC147" s="100">
        <f t="shared" si="159"/>
        <v>0</v>
      </c>
      <c r="AD147" s="100">
        <f t="shared" si="160"/>
        <v>0</v>
      </c>
      <c r="AE147" s="100">
        <f t="shared" si="161"/>
        <v>0</v>
      </c>
      <c r="AF147" s="100">
        <f t="shared" si="162"/>
        <v>0</v>
      </c>
      <c r="AG147" s="100">
        <f t="shared" si="163"/>
        <v>0</v>
      </c>
      <c r="AH147" s="100">
        <f t="shared" si="164"/>
        <v>0</v>
      </c>
      <c r="AI147" s="109"/>
      <c r="AJ147" s="108">
        <f t="shared" si="165"/>
        <v>0</v>
      </c>
      <c r="AK147" s="108">
        <f t="shared" si="166"/>
        <v>0</v>
      </c>
      <c r="AL147" s="108">
        <f t="shared" si="167"/>
        <v>0</v>
      </c>
      <c r="AN147" s="100">
        <v>15</v>
      </c>
      <c r="AO147" s="100">
        <f>H147*0</f>
        <v>0</v>
      </c>
      <c r="AP147" s="100">
        <f>H147*(1-0)</f>
        <v>0</v>
      </c>
      <c r="AQ147" s="111" t="s">
        <v>7</v>
      </c>
      <c r="AV147" s="100">
        <f t="shared" si="168"/>
        <v>0</v>
      </c>
      <c r="AW147" s="100">
        <f t="shared" si="169"/>
        <v>0</v>
      </c>
      <c r="AX147" s="100">
        <f t="shared" si="170"/>
        <v>0</v>
      </c>
      <c r="AY147" s="110" t="s">
        <v>1700</v>
      </c>
      <c r="AZ147" s="110" t="s">
        <v>1730</v>
      </c>
      <c r="BA147" s="109" t="s">
        <v>1737</v>
      </c>
      <c r="BC147" s="100">
        <f t="shared" si="171"/>
        <v>0</v>
      </c>
      <c r="BD147" s="100">
        <f t="shared" si="172"/>
        <v>0</v>
      </c>
      <c r="BE147" s="100">
        <v>0</v>
      </c>
      <c r="BF147" s="100">
        <f>147</f>
        <v>147</v>
      </c>
      <c r="BH147" s="108">
        <f t="shared" si="173"/>
        <v>0</v>
      </c>
      <c r="BI147" s="108">
        <f t="shared" si="174"/>
        <v>0</v>
      </c>
      <c r="BJ147" s="108">
        <f t="shared" si="175"/>
        <v>0</v>
      </c>
    </row>
    <row r="148" spans="1:62" x14ac:dyDescent="0.2">
      <c r="A148" s="119"/>
      <c r="B148" s="120" t="s">
        <v>103</v>
      </c>
      <c r="C148" s="306" t="s">
        <v>1178</v>
      </c>
      <c r="D148" s="307"/>
      <c r="E148" s="307"/>
      <c r="F148" s="119" t="s">
        <v>6</v>
      </c>
      <c r="G148" s="119" t="s">
        <v>6</v>
      </c>
      <c r="H148" s="119" t="s">
        <v>6</v>
      </c>
      <c r="I148" s="118">
        <f>SUM(I149:I176)</f>
        <v>0</v>
      </c>
      <c r="J148" s="118">
        <f>SUM(J149:J176)</f>
        <v>0</v>
      </c>
      <c r="K148" s="118">
        <f>SUM(K149:K176)</f>
        <v>0</v>
      </c>
      <c r="L148" s="109"/>
      <c r="AI148" s="109"/>
      <c r="AS148" s="118">
        <f>SUM(AJ149:AJ176)</f>
        <v>0</v>
      </c>
      <c r="AT148" s="118">
        <f>SUM(AK149:AK176)</f>
        <v>0</v>
      </c>
      <c r="AU148" s="118">
        <f>SUM(AL149:AL176)</f>
        <v>0</v>
      </c>
    </row>
    <row r="149" spans="1:62" x14ac:dyDescent="0.2">
      <c r="A149" s="117" t="s">
        <v>117</v>
      </c>
      <c r="B149" s="117" t="s">
        <v>2485</v>
      </c>
      <c r="C149" s="304" t="s">
        <v>2484</v>
      </c>
      <c r="D149" s="305"/>
      <c r="E149" s="305"/>
      <c r="F149" s="117" t="s">
        <v>1646</v>
      </c>
      <c r="G149" s="116">
        <v>0.45</v>
      </c>
      <c r="H149" s="159"/>
      <c r="I149" s="108">
        <f t="shared" ref="I149:I176" si="176">G149*AO149</f>
        <v>0</v>
      </c>
      <c r="J149" s="108">
        <f t="shared" ref="J149:J176" si="177">G149*AP149</f>
        <v>0</v>
      </c>
      <c r="K149" s="108">
        <f t="shared" ref="K149:K176" si="178">G149*H149</f>
        <v>0</v>
      </c>
      <c r="L149" s="111" t="s">
        <v>1671</v>
      </c>
      <c r="Z149" s="100">
        <f t="shared" ref="Z149:Z176" si="179">IF(AQ149="5",BJ149,0)</f>
        <v>0</v>
      </c>
      <c r="AB149" s="100">
        <f t="shared" ref="AB149:AB176" si="180">IF(AQ149="1",BH149,0)</f>
        <v>0</v>
      </c>
      <c r="AC149" s="100">
        <f t="shared" ref="AC149:AC176" si="181">IF(AQ149="1",BI149,0)</f>
        <v>0</v>
      </c>
      <c r="AD149" s="100">
        <f t="shared" ref="AD149:AD176" si="182">IF(AQ149="7",BH149,0)</f>
        <v>0</v>
      </c>
      <c r="AE149" s="100">
        <f t="shared" ref="AE149:AE176" si="183">IF(AQ149="7",BI149,0)</f>
        <v>0</v>
      </c>
      <c r="AF149" s="100">
        <f t="shared" ref="AF149:AF176" si="184">IF(AQ149="2",BH149,0)</f>
        <v>0</v>
      </c>
      <c r="AG149" s="100">
        <f t="shared" ref="AG149:AG176" si="185">IF(AQ149="2",BI149,0)</f>
        <v>0</v>
      </c>
      <c r="AH149" s="100">
        <f t="shared" ref="AH149:AH176" si="186">IF(AQ149="0",BJ149,0)</f>
        <v>0</v>
      </c>
      <c r="AI149" s="109"/>
      <c r="AJ149" s="108">
        <f t="shared" ref="AJ149:AJ176" si="187">IF(AN149=0,K149,0)</f>
        <v>0</v>
      </c>
      <c r="AK149" s="108">
        <f t="shared" ref="AK149:AK176" si="188">IF(AN149=15,K149,0)</f>
        <v>0</v>
      </c>
      <c r="AL149" s="108">
        <f t="shared" ref="AL149:AL176" si="189">IF(AN149=21,K149,0)</f>
        <v>0</v>
      </c>
      <c r="AN149" s="100">
        <v>15</v>
      </c>
      <c r="AO149" s="100">
        <f>H149*0.353294871794872</f>
        <v>0</v>
      </c>
      <c r="AP149" s="100">
        <f>H149*(1-0.353294871794872)</f>
        <v>0</v>
      </c>
      <c r="AQ149" s="111" t="s">
        <v>7</v>
      </c>
      <c r="AV149" s="100">
        <f t="shared" ref="AV149:AV176" si="190">AW149+AX149</f>
        <v>0</v>
      </c>
      <c r="AW149" s="100">
        <f t="shared" ref="AW149:AW176" si="191">G149*AO149</f>
        <v>0</v>
      </c>
      <c r="AX149" s="100">
        <f t="shared" ref="AX149:AX176" si="192">G149*AP149</f>
        <v>0</v>
      </c>
      <c r="AY149" s="110" t="s">
        <v>1701</v>
      </c>
      <c r="AZ149" s="110" t="s">
        <v>1730</v>
      </c>
      <c r="BA149" s="109" t="s">
        <v>1737</v>
      </c>
      <c r="BC149" s="100">
        <f t="shared" ref="BC149:BC176" si="193">AW149+AX149</f>
        <v>0</v>
      </c>
      <c r="BD149" s="100">
        <f t="shared" ref="BD149:BD176" si="194">H149/(100-BE149)*100</f>
        <v>0</v>
      </c>
      <c r="BE149" s="100">
        <v>0</v>
      </c>
      <c r="BF149" s="100">
        <f>149</f>
        <v>149</v>
      </c>
      <c r="BH149" s="108">
        <f t="shared" ref="BH149:BH176" si="195">G149*AO149</f>
        <v>0</v>
      </c>
      <c r="BI149" s="108">
        <f t="shared" ref="BI149:BI176" si="196">G149*AP149</f>
        <v>0</v>
      </c>
      <c r="BJ149" s="108">
        <f t="shared" ref="BJ149:BJ176" si="197">G149*H149</f>
        <v>0</v>
      </c>
    </row>
    <row r="150" spans="1:62" x14ac:dyDescent="0.2">
      <c r="A150" s="117" t="s">
        <v>118</v>
      </c>
      <c r="B150" s="117" t="s">
        <v>2483</v>
      </c>
      <c r="C150" s="304" t="s">
        <v>2482</v>
      </c>
      <c r="D150" s="305"/>
      <c r="E150" s="305"/>
      <c r="F150" s="117" t="s">
        <v>1646</v>
      </c>
      <c r="G150" s="116">
        <v>0.45</v>
      </c>
      <c r="H150" s="159"/>
      <c r="I150" s="108">
        <f t="shared" si="176"/>
        <v>0</v>
      </c>
      <c r="J150" s="108">
        <f t="shared" si="177"/>
        <v>0</v>
      </c>
      <c r="K150" s="108">
        <f t="shared" si="178"/>
        <v>0</v>
      </c>
      <c r="L150" s="111" t="s">
        <v>1671</v>
      </c>
      <c r="Z150" s="100">
        <f t="shared" si="179"/>
        <v>0</v>
      </c>
      <c r="AB150" s="100">
        <f t="shared" si="180"/>
        <v>0</v>
      </c>
      <c r="AC150" s="100">
        <f t="shared" si="181"/>
        <v>0</v>
      </c>
      <c r="AD150" s="100">
        <f t="shared" si="182"/>
        <v>0</v>
      </c>
      <c r="AE150" s="100">
        <f t="shared" si="183"/>
        <v>0</v>
      </c>
      <c r="AF150" s="100">
        <f t="shared" si="184"/>
        <v>0</v>
      </c>
      <c r="AG150" s="100">
        <f t="shared" si="185"/>
        <v>0</v>
      </c>
      <c r="AH150" s="100">
        <f t="shared" si="186"/>
        <v>0</v>
      </c>
      <c r="AI150" s="109"/>
      <c r="AJ150" s="108">
        <f t="shared" si="187"/>
        <v>0</v>
      </c>
      <c r="AK150" s="108">
        <f t="shared" si="188"/>
        <v>0</v>
      </c>
      <c r="AL150" s="108">
        <f t="shared" si="189"/>
        <v>0</v>
      </c>
      <c r="AN150" s="100">
        <v>15</v>
      </c>
      <c r="AO150" s="100">
        <f>H150*0.102532909332939</f>
        <v>0</v>
      </c>
      <c r="AP150" s="100">
        <f>H150*(1-0.102532909332939)</f>
        <v>0</v>
      </c>
      <c r="AQ150" s="111" t="s">
        <v>7</v>
      </c>
      <c r="AV150" s="100">
        <f t="shared" si="190"/>
        <v>0</v>
      </c>
      <c r="AW150" s="100">
        <f t="shared" si="191"/>
        <v>0</v>
      </c>
      <c r="AX150" s="100">
        <f t="shared" si="192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93"/>
        <v>0</v>
      </c>
      <c r="BD150" s="100">
        <f t="shared" si="194"/>
        <v>0</v>
      </c>
      <c r="BE150" s="100">
        <v>0</v>
      </c>
      <c r="BF150" s="100">
        <f>150</f>
        <v>150</v>
      </c>
      <c r="BH150" s="108">
        <f t="shared" si="195"/>
        <v>0</v>
      </c>
      <c r="BI150" s="108">
        <f t="shared" si="196"/>
        <v>0</v>
      </c>
      <c r="BJ150" s="108">
        <f t="shared" si="197"/>
        <v>0</v>
      </c>
    </row>
    <row r="151" spans="1:62" x14ac:dyDescent="0.2">
      <c r="A151" s="117" t="s">
        <v>119</v>
      </c>
      <c r="B151" s="117" t="s">
        <v>2481</v>
      </c>
      <c r="C151" s="304" t="s">
        <v>2480</v>
      </c>
      <c r="D151" s="305"/>
      <c r="E151" s="305"/>
      <c r="F151" s="117" t="s">
        <v>1646</v>
      </c>
      <c r="G151" s="116">
        <v>0.45</v>
      </c>
      <c r="H151" s="159"/>
      <c r="I151" s="108">
        <f t="shared" si="176"/>
        <v>0</v>
      </c>
      <c r="J151" s="108">
        <f t="shared" si="177"/>
        <v>0</v>
      </c>
      <c r="K151" s="108">
        <f t="shared" si="178"/>
        <v>0</v>
      </c>
      <c r="L151" s="111" t="s">
        <v>1671</v>
      </c>
      <c r="Z151" s="100">
        <f t="shared" si="179"/>
        <v>0</v>
      </c>
      <c r="AB151" s="100">
        <f t="shared" si="180"/>
        <v>0</v>
      </c>
      <c r="AC151" s="100">
        <f t="shared" si="181"/>
        <v>0</v>
      </c>
      <c r="AD151" s="100">
        <f t="shared" si="182"/>
        <v>0</v>
      </c>
      <c r="AE151" s="100">
        <f t="shared" si="183"/>
        <v>0</v>
      </c>
      <c r="AF151" s="100">
        <f t="shared" si="184"/>
        <v>0</v>
      </c>
      <c r="AG151" s="100">
        <f t="shared" si="185"/>
        <v>0</v>
      </c>
      <c r="AH151" s="100">
        <f t="shared" si="186"/>
        <v>0</v>
      </c>
      <c r="AI151" s="109"/>
      <c r="AJ151" s="108">
        <f t="shared" si="187"/>
        <v>0</v>
      </c>
      <c r="AK151" s="108">
        <f t="shared" si="188"/>
        <v>0</v>
      </c>
      <c r="AL151" s="108">
        <f t="shared" si="189"/>
        <v>0</v>
      </c>
      <c r="AN151" s="100">
        <v>15</v>
      </c>
      <c r="AO151" s="100">
        <f>H151*0.269681908548708</f>
        <v>0</v>
      </c>
      <c r="AP151" s="100">
        <f>H151*(1-0.269681908548708)</f>
        <v>0</v>
      </c>
      <c r="AQ151" s="111" t="s">
        <v>7</v>
      </c>
      <c r="AV151" s="100">
        <f t="shared" si="190"/>
        <v>0</v>
      </c>
      <c r="AW151" s="100">
        <f t="shared" si="191"/>
        <v>0</v>
      </c>
      <c r="AX151" s="100">
        <f t="shared" si="192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93"/>
        <v>0</v>
      </c>
      <c r="BD151" s="100">
        <f t="shared" si="194"/>
        <v>0</v>
      </c>
      <c r="BE151" s="100">
        <v>0</v>
      </c>
      <c r="BF151" s="100">
        <f>151</f>
        <v>151</v>
      </c>
      <c r="BH151" s="108">
        <f t="shared" si="195"/>
        <v>0</v>
      </c>
      <c r="BI151" s="108">
        <f t="shared" si="196"/>
        <v>0</v>
      </c>
      <c r="BJ151" s="108">
        <f t="shared" si="197"/>
        <v>0</v>
      </c>
    </row>
    <row r="152" spans="1:62" x14ac:dyDescent="0.2">
      <c r="A152" s="117" t="s">
        <v>120</v>
      </c>
      <c r="B152" s="117" t="s">
        <v>670</v>
      </c>
      <c r="C152" s="304" t="s">
        <v>1179</v>
      </c>
      <c r="D152" s="305"/>
      <c r="E152" s="305"/>
      <c r="F152" s="117" t="s">
        <v>1646</v>
      </c>
      <c r="G152" s="116">
        <v>0.3</v>
      </c>
      <c r="H152" s="159"/>
      <c r="I152" s="108">
        <f t="shared" si="176"/>
        <v>0</v>
      </c>
      <c r="J152" s="108">
        <f t="shared" si="177"/>
        <v>0</v>
      </c>
      <c r="K152" s="108">
        <f t="shared" si="178"/>
        <v>0</v>
      </c>
      <c r="L152" s="111" t="s">
        <v>1671</v>
      </c>
      <c r="Z152" s="100">
        <f t="shared" si="179"/>
        <v>0</v>
      </c>
      <c r="AB152" s="100">
        <f t="shared" si="180"/>
        <v>0</v>
      </c>
      <c r="AC152" s="100">
        <f t="shared" si="181"/>
        <v>0</v>
      </c>
      <c r="AD152" s="100">
        <f t="shared" si="182"/>
        <v>0</v>
      </c>
      <c r="AE152" s="100">
        <f t="shared" si="183"/>
        <v>0</v>
      </c>
      <c r="AF152" s="100">
        <f t="shared" si="184"/>
        <v>0</v>
      </c>
      <c r="AG152" s="100">
        <f t="shared" si="185"/>
        <v>0</v>
      </c>
      <c r="AH152" s="100">
        <f t="shared" si="186"/>
        <v>0</v>
      </c>
      <c r="AI152" s="109"/>
      <c r="AJ152" s="108">
        <f t="shared" si="187"/>
        <v>0</v>
      </c>
      <c r="AK152" s="108">
        <f t="shared" si="188"/>
        <v>0</v>
      </c>
      <c r="AL152" s="108">
        <f t="shared" si="189"/>
        <v>0</v>
      </c>
      <c r="AN152" s="100">
        <v>15</v>
      </c>
      <c r="AO152" s="100">
        <f>H152*0.317346200241255</f>
        <v>0</v>
      </c>
      <c r="AP152" s="100">
        <f>H152*(1-0.317346200241255)</f>
        <v>0</v>
      </c>
      <c r="AQ152" s="111" t="s">
        <v>7</v>
      </c>
      <c r="AV152" s="100">
        <f t="shared" si="190"/>
        <v>0</v>
      </c>
      <c r="AW152" s="100">
        <f t="shared" si="191"/>
        <v>0</v>
      </c>
      <c r="AX152" s="100">
        <f t="shared" si="192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93"/>
        <v>0</v>
      </c>
      <c r="BD152" s="100">
        <f t="shared" si="194"/>
        <v>0</v>
      </c>
      <c r="BE152" s="100">
        <v>0</v>
      </c>
      <c r="BF152" s="100">
        <f>152</f>
        <v>152</v>
      </c>
      <c r="BH152" s="108">
        <f t="shared" si="195"/>
        <v>0</v>
      </c>
      <c r="BI152" s="108">
        <f t="shared" si="196"/>
        <v>0</v>
      </c>
      <c r="BJ152" s="108">
        <f t="shared" si="197"/>
        <v>0</v>
      </c>
    </row>
    <row r="153" spans="1:62" x14ac:dyDescent="0.2">
      <c r="A153" s="117" t="s">
        <v>121</v>
      </c>
      <c r="B153" s="117" t="s">
        <v>671</v>
      </c>
      <c r="C153" s="304" t="s">
        <v>1180</v>
      </c>
      <c r="D153" s="305"/>
      <c r="E153" s="305"/>
      <c r="F153" s="117" t="s">
        <v>1646</v>
      </c>
      <c r="G153" s="116">
        <v>0.3</v>
      </c>
      <c r="H153" s="159"/>
      <c r="I153" s="108">
        <f t="shared" si="176"/>
        <v>0</v>
      </c>
      <c r="J153" s="108">
        <f t="shared" si="177"/>
        <v>0</v>
      </c>
      <c r="K153" s="108">
        <f t="shared" si="178"/>
        <v>0</v>
      </c>
      <c r="L153" s="111" t="s">
        <v>1671</v>
      </c>
      <c r="Z153" s="100">
        <f t="shared" si="179"/>
        <v>0</v>
      </c>
      <c r="AB153" s="100">
        <f t="shared" si="180"/>
        <v>0</v>
      </c>
      <c r="AC153" s="100">
        <f t="shared" si="181"/>
        <v>0</v>
      </c>
      <c r="AD153" s="100">
        <f t="shared" si="182"/>
        <v>0</v>
      </c>
      <c r="AE153" s="100">
        <f t="shared" si="183"/>
        <v>0</v>
      </c>
      <c r="AF153" s="100">
        <f t="shared" si="184"/>
        <v>0</v>
      </c>
      <c r="AG153" s="100">
        <f t="shared" si="185"/>
        <v>0</v>
      </c>
      <c r="AH153" s="100">
        <f t="shared" si="186"/>
        <v>0</v>
      </c>
      <c r="AI153" s="109"/>
      <c r="AJ153" s="108">
        <f t="shared" si="187"/>
        <v>0</v>
      </c>
      <c r="AK153" s="108">
        <f t="shared" si="188"/>
        <v>0</v>
      </c>
      <c r="AL153" s="108">
        <f t="shared" si="189"/>
        <v>0</v>
      </c>
      <c r="AN153" s="100">
        <v>15</v>
      </c>
      <c r="AO153" s="100">
        <f>H153*0.0581320754716981</f>
        <v>0</v>
      </c>
      <c r="AP153" s="100">
        <f>H153*(1-0.0581320754716981)</f>
        <v>0</v>
      </c>
      <c r="AQ153" s="111" t="s">
        <v>7</v>
      </c>
      <c r="AV153" s="100">
        <f t="shared" si="190"/>
        <v>0</v>
      </c>
      <c r="AW153" s="100">
        <f t="shared" si="191"/>
        <v>0</v>
      </c>
      <c r="AX153" s="100">
        <f t="shared" si="192"/>
        <v>0</v>
      </c>
      <c r="AY153" s="110" t="s">
        <v>1701</v>
      </c>
      <c r="AZ153" s="110" t="s">
        <v>1730</v>
      </c>
      <c r="BA153" s="109" t="s">
        <v>1737</v>
      </c>
      <c r="BC153" s="100">
        <f t="shared" si="193"/>
        <v>0</v>
      </c>
      <c r="BD153" s="100">
        <f t="shared" si="194"/>
        <v>0</v>
      </c>
      <c r="BE153" s="100">
        <v>0</v>
      </c>
      <c r="BF153" s="100">
        <f>153</f>
        <v>153</v>
      </c>
      <c r="BH153" s="108">
        <f t="shared" si="195"/>
        <v>0</v>
      </c>
      <c r="BI153" s="108">
        <f t="shared" si="196"/>
        <v>0</v>
      </c>
      <c r="BJ153" s="108">
        <f t="shared" si="197"/>
        <v>0</v>
      </c>
    </row>
    <row r="154" spans="1:62" x14ac:dyDescent="0.2">
      <c r="A154" s="117" t="s">
        <v>122</v>
      </c>
      <c r="B154" s="117" t="s">
        <v>672</v>
      </c>
      <c r="C154" s="304" t="s">
        <v>1181</v>
      </c>
      <c r="D154" s="305"/>
      <c r="E154" s="305"/>
      <c r="F154" s="117" t="s">
        <v>1646</v>
      </c>
      <c r="G154" s="116">
        <v>0.3</v>
      </c>
      <c r="H154" s="159"/>
      <c r="I154" s="108">
        <f t="shared" si="176"/>
        <v>0</v>
      </c>
      <c r="J154" s="108">
        <f t="shared" si="177"/>
        <v>0</v>
      </c>
      <c r="K154" s="108">
        <f t="shared" si="178"/>
        <v>0</v>
      </c>
      <c r="L154" s="111" t="s">
        <v>1671</v>
      </c>
      <c r="Z154" s="100">
        <f t="shared" si="179"/>
        <v>0</v>
      </c>
      <c r="AB154" s="100">
        <f t="shared" si="180"/>
        <v>0</v>
      </c>
      <c r="AC154" s="100">
        <f t="shared" si="181"/>
        <v>0</v>
      </c>
      <c r="AD154" s="100">
        <f t="shared" si="182"/>
        <v>0</v>
      </c>
      <c r="AE154" s="100">
        <f t="shared" si="183"/>
        <v>0</v>
      </c>
      <c r="AF154" s="100">
        <f t="shared" si="184"/>
        <v>0</v>
      </c>
      <c r="AG154" s="100">
        <f t="shared" si="185"/>
        <v>0</v>
      </c>
      <c r="AH154" s="100">
        <f t="shared" si="186"/>
        <v>0</v>
      </c>
      <c r="AI154" s="109"/>
      <c r="AJ154" s="108">
        <f t="shared" si="187"/>
        <v>0</v>
      </c>
      <c r="AK154" s="108">
        <f t="shared" si="188"/>
        <v>0</v>
      </c>
      <c r="AL154" s="108">
        <f t="shared" si="189"/>
        <v>0</v>
      </c>
      <c r="AN154" s="100">
        <v>15</v>
      </c>
      <c r="AO154" s="100">
        <f>H154*0.266918536009445</f>
        <v>0</v>
      </c>
      <c r="AP154" s="100">
        <f>H154*(1-0.266918536009445)</f>
        <v>0</v>
      </c>
      <c r="AQ154" s="111" t="s">
        <v>7</v>
      </c>
      <c r="AV154" s="100">
        <f t="shared" si="190"/>
        <v>0</v>
      </c>
      <c r="AW154" s="100">
        <f t="shared" si="191"/>
        <v>0</v>
      </c>
      <c r="AX154" s="100">
        <f t="shared" si="192"/>
        <v>0</v>
      </c>
      <c r="AY154" s="110" t="s">
        <v>1701</v>
      </c>
      <c r="AZ154" s="110" t="s">
        <v>1730</v>
      </c>
      <c r="BA154" s="109" t="s">
        <v>1737</v>
      </c>
      <c r="BC154" s="100">
        <f t="shared" si="193"/>
        <v>0</v>
      </c>
      <c r="BD154" s="100">
        <f t="shared" si="194"/>
        <v>0</v>
      </c>
      <c r="BE154" s="100">
        <v>0</v>
      </c>
      <c r="BF154" s="100">
        <f>154</f>
        <v>154</v>
      </c>
      <c r="BH154" s="108">
        <f t="shared" si="195"/>
        <v>0</v>
      </c>
      <c r="BI154" s="108">
        <f t="shared" si="196"/>
        <v>0</v>
      </c>
      <c r="BJ154" s="108">
        <f t="shared" si="197"/>
        <v>0</v>
      </c>
    </row>
    <row r="155" spans="1:62" x14ac:dyDescent="0.2">
      <c r="A155" s="117" t="s">
        <v>123</v>
      </c>
      <c r="B155" s="117" t="s">
        <v>2479</v>
      </c>
      <c r="C155" s="304" t="s">
        <v>2478</v>
      </c>
      <c r="D155" s="305"/>
      <c r="E155" s="305"/>
      <c r="F155" s="117" t="s">
        <v>1646</v>
      </c>
      <c r="G155" s="116">
        <v>0.9</v>
      </c>
      <c r="H155" s="159"/>
      <c r="I155" s="108">
        <f t="shared" si="176"/>
        <v>0</v>
      </c>
      <c r="J155" s="108">
        <f t="shared" si="177"/>
        <v>0</v>
      </c>
      <c r="K155" s="108">
        <f t="shared" si="178"/>
        <v>0</v>
      </c>
      <c r="L155" s="111" t="s">
        <v>1671</v>
      </c>
      <c r="Z155" s="100">
        <f t="shared" si="179"/>
        <v>0</v>
      </c>
      <c r="AB155" s="100">
        <f t="shared" si="180"/>
        <v>0</v>
      </c>
      <c r="AC155" s="100">
        <f t="shared" si="181"/>
        <v>0</v>
      </c>
      <c r="AD155" s="100">
        <f t="shared" si="182"/>
        <v>0</v>
      </c>
      <c r="AE155" s="100">
        <f t="shared" si="183"/>
        <v>0</v>
      </c>
      <c r="AF155" s="100">
        <f t="shared" si="184"/>
        <v>0</v>
      </c>
      <c r="AG155" s="100">
        <f t="shared" si="185"/>
        <v>0</v>
      </c>
      <c r="AH155" s="100">
        <f t="shared" si="186"/>
        <v>0</v>
      </c>
      <c r="AI155" s="109"/>
      <c r="AJ155" s="108">
        <f t="shared" si="187"/>
        <v>0</v>
      </c>
      <c r="AK155" s="108">
        <f t="shared" si="188"/>
        <v>0</v>
      </c>
      <c r="AL155" s="108">
        <f t="shared" si="189"/>
        <v>0</v>
      </c>
      <c r="AN155" s="100">
        <v>15</v>
      </c>
      <c r="AO155" s="100">
        <f>H155*0.328942398489141</f>
        <v>0</v>
      </c>
      <c r="AP155" s="100">
        <f>H155*(1-0.328942398489141)</f>
        <v>0</v>
      </c>
      <c r="AQ155" s="111" t="s">
        <v>7</v>
      </c>
      <c r="AV155" s="100">
        <f t="shared" si="190"/>
        <v>0</v>
      </c>
      <c r="AW155" s="100">
        <f t="shared" si="191"/>
        <v>0</v>
      </c>
      <c r="AX155" s="100">
        <f t="shared" si="192"/>
        <v>0</v>
      </c>
      <c r="AY155" s="110" t="s">
        <v>1701</v>
      </c>
      <c r="AZ155" s="110" t="s">
        <v>1730</v>
      </c>
      <c r="BA155" s="109" t="s">
        <v>1737</v>
      </c>
      <c r="BC155" s="100">
        <f t="shared" si="193"/>
        <v>0</v>
      </c>
      <c r="BD155" s="100">
        <f t="shared" si="194"/>
        <v>0</v>
      </c>
      <c r="BE155" s="100">
        <v>0</v>
      </c>
      <c r="BF155" s="100">
        <f>155</f>
        <v>155</v>
      </c>
      <c r="BH155" s="108">
        <f t="shared" si="195"/>
        <v>0</v>
      </c>
      <c r="BI155" s="108">
        <f t="shared" si="196"/>
        <v>0</v>
      </c>
      <c r="BJ155" s="108">
        <f t="shared" si="197"/>
        <v>0</v>
      </c>
    </row>
    <row r="156" spans="1:62" x14ac:dyDescent="0.2">
      <c r="A156" s="117" t="s">
        <v>124</v>
      </c>
      <c r="B156" s="117" t="s">
        <v>3721</v>
      </c>
      <c r="C156" s="304" t="s">
        <v>3720</v>
      </c>
      <c r="D156" s="305"/>
      <c r="E156" s="305"/>
      <c r="F156" s="117" t="s">
        <v>1646</v>
      </c>
      <c r="G156" s="116">
        <v>0.9</v>
      </c>
      <c r="H156" s="159"/>
      <c r="I156" s="108">
        <f t="shared" si="176"/>
        <v>0</v>
      </c>
      <c r="J156" s="108">
        <f t="shared" si="177"/>
        <v>0</v>
      </c>
      <c r="K156" s="108">
        <f t="shared" si="178"/>
        <v>0</v>
      </c>
      <c r="L156" s="111" t="s">
        <v>1671</v>
      </c>
      <c r="Z156" s="100">
        <f t="shared" si="179"/>
        <v>0</v>
      </c>
      <c r="AB156" s="100">
        <f t="shared" si="180"/>
        <v>0</v>
      </c>
      <c r="AC156" s="100">
        <f t="shared" si="181"/>
        <v>0</v>
      </c>
      <c r="AD156" s="100">
        <f t="shared" si="182"/>
        <v>0</v>
      </c>
      <c r="AE156" s="100">
        <f t="shared" si="183"/>
        <v>0</v>
      </c>
      <c r="AF156" s="100">
        <f t="shared" si="184"/>
        <v>0</v>
      </c>
      <c r="AG156" s="100">
        <f t="shared" si="185"/>
        <v>0</v>
      </c>
      <c r="AH156" s="100">
        <f t="shared" si="186"/>
        <v>0</v>
      </c>
      <c r="AI156" s="109"/>
      <c r="AJ156" s="108">
        <f t="shared" si="187"/>
        <v>0</v>
      </c>
      <c r="AK156" s="108">
        <f t="shared" si="188"/>
        <v>0</v>
      </c>
      <c r="AL156" s="108">
        <f t="shared" si="189"/>
        <v>0</v>
      </c>
      <c r="AN156" s="100">
        <v>15</v>
      </c>
      <c r="AO156" s="100">
        <f>H156*0.0464713670415123</f>
        <v>0</v>
      </c>
      <c r="AP156" s="100">
        <f>H156*(1-0.0464713670415123)</f>
        <v>0</v>
      </c>
      <c r="AQ156" s="111" t="s">
        <v>7</v>
      </c>
      <c r="AV156" s="100">
        <f t="shared" si="190"/>
        <v>0</v>
      </c>
      <c r="AW156" s="100">
        <f t="shared" si="191"/>
        <v>0</v>
      </c>
      <c r="AX156" s="100">
        <f t="shared" si="192"/>
        <v>0</v>
      </c>
      <c r="AY156" s="110" t="s">
        <v>1701</v>
      </c>
      <c r="AZ156" s="110" t="s">
        <v>1730</v>
      </c>
      <c r="BA156" s="109" t="s">
        <v>1737</v>
      </c>
      <c r="BC156" s="100">
        <f t="shared" si="193"/>
        <v>0</v>
      </c>
      <c r="BD156" s="100">
        <f t="shared" si="194"/>
        <v>0</v>
      </c>
      <c r="BE156" s="100">
        <v>0</v>
      </c>
      <c r="BF156" s="100">
        <f>156</f>
        <v>156</v>
      </c>
      <c r="BH156" s="108">
        <f t="shared" si="195"/>
        <v>0</v>
      </c>
      <c r="BI156" s="108">
        <f t="shared" si="196"/>
        <v>0</v>
      </c>
      <c r="BJ156" s="108">
        <f t="shared" si="197"/>
        <v>0</v>
      </c>
    </row>
    <row r="157" spans="1:62" x14ac:dyDescent="0.2">
      <c r="A157" s="117" t="s">
        <v>125</v>
      </c>
      <c r="B157" s="117" t="s">
        <v>2477</v>
      </c>
      <c r="C157" s="304" t="s">
        <v>2476</v>
      </c>
      <c r="D157" s="305"/>
      <c r="E157" s="305"/>
      <c r="F157" s="117" t="s">
        <v>1646</v>
      </c>
      <c r="G157" s="116">
        <v>0.9</v>
      </c>
      <c r="H157" s="159"/>
      <c r="I157" s="108">
        <f t="shared" si="176"/>
        <v>0</v>
      </c>
      <c r="J157" s="108">
        <f t="shared" si="177"/>
        <v>0</v>
      </c>
      <c r="K157" s="108">
        <f t="shared" si="178"/>
        <v>0</v>
      </c>
      <c r="L157" s="111" t="s">
        <v>1671</v>
      </c>
      <c r="Z157" s="100">
        <f t="shared" si="179"/>
        <v>0</v>
      </c>
      <c r="AB157" s="100">
        <f t="shared" si="180"/>
        <v>0</v>
      </c>
      <c r="AC157" s="100">
        <f t="shared" si="181"/>
        <v>0</v>
      </c>
      <c r="AD157" s="100">
        <f t="shared" si="182"/>
        <v>0</v>
      </c>
      <c r="AE157" s="100">
        <f t="shared" si="183"/>
        <v>0</v>
      </c>
      <c r="AF157" s="100">
        <f t="shared" si="184"/>
        <v>0</v>
      </c>
      <c r="AG157" s="100">
        <f t="shared" si="185"/>
        <v>0</v>
      </c>
      <c r="AH157" s="100">
        <f t="shared" si="186"/>
        <v>0</v>
      </c>
      <c r="AI157" s="109"/>
      <c r="AJ157" s="108">
        <f t="shared" si="187"/>
        <v>0</v>
      </c>
      <c r="AK157" s="108">
        <f t="shared" si="188"/>
        <v>0</v>
      </c>
      <c r="AL157" s="108">
        <f t="shared" si="189"/>
        <v>0</v>
      </c>
      <c r="AN157" s="100">
        <v>15</v>
      </c>
      <c r="AO157" s="100">
        <f>H157*0.20779199558828</f>
        <v>0</v>
      </c>
      <c r="AP157" s="100">
        <f>H157*(1-0.20779199558828)</f>
        <v>0</v>
      </c>
      <c r="AQ157" s="111" t="s">
        <v>7</v>
      </c>
      <c r="AV157" s="100">
        <f t="shared" si="190"/>
        <v>0</v>
      </c>
      <c r="AW157" s="100">
        <f t="shared" si="191"/>
        <v>0</v>
      </c>
      <c r="AX157" s="100">
        <f t="shared" si="192"/>
        <v>0</v>
      </c>
      <c r="AY157" s="110" t="s">
        <v>1701</v>
      </c>
      <c r="AZ157" s="110" t="s">
        <v>1730</v>
      </c>
      <c r="BA157" s="109" t="s">
        <v>1737</v>
      </c>
      <c r="BC157" s="100">
        <f t="shared" si="193"/>
        <v>0</v>
      </c>
      <c r="BD157" s="100">
        <f t="shared" si="194"/>
        <v>0</v>
      </c>
      <c r="BE157" s="100">
        <v>0</v>
      </c>
      <c r="BF157" s="100">
        <f>157</f>
        <v>157</v>
      </c>
      <c r="BH157" s="108">
        <f t="shared" si="195"/>
        <v>0</v>
      </c>
      <c r="BI157" s="108">
        <f t="shared" si="196"/>
        <v>0</v>
      </c>
      <c r="BJ157" s="108">
        <f t="shared" si="197"/>
        <v>0</v>
      </c>
    </row>
    <row r="158" spans="1:62" x14ac:dyDescent="0.2">
      <c r="A158" s="117" t="s">
        <v>126</v>
      </c>
      <c r="B158" s="117" t="s">
        <v>673</v>
      </c>
      <c r="C158" s="304" t="s">
        <v>1182</v>
      </c>
      <c r="D158" s="305"/>
      <c r="E158" s="305"/>
      <c r="F158" s="117" t="s">
        <v>1644</v>
      </c>
      <c r="G158" s="116">
        <v>10</v>
      </c>
      <c r="H158" s="159"/>
      <c r="I158" s="108">
        <f t="shared" si="176"/>
        <v>0</v>
      </c>
      <c r="J158" s="108">
        <f t="shared" si="177"/>
        <v>0</v>
      </c>
      <c r="K158" s="108">
        <f t="shared" si="178"/>
        <v>0</v>
      </c>
      <c r="L158" s="111" t="s">
        <v>1671</v>
      </c>
      <c r="Z158" s="100">
        <f t="shared" si="179"/>
        <v>0</v>
      </c>
      <c r="AB158" s="100">
        <f t="shared" si="180"/>
        <v>0</v>
      </c>
      <c r="AC158" s="100">
        <f t="shared" si="181"/>
        <v>0</v>
      </c>
      <c r="AD158" s="100">
        <f t="shared" si="182"/>
        <v>0</v>
      </c>
      <c r="AE158" s="100">
        <f t="shared" si="183"/>
        <v>0</v>
      </c>
      <c r="AF158" s="100">
        <f t="shared" si="184"/>
        <v>0</v>
      </c>
      <c r="AG158" s="100">
        <f t="shared" si="185"/>
        <v>0</v>
      </c>
      <c r="AH158" s="100">
        <f t="shared" si="186"/>
        <v>0</v>
      </c>
      <c r="AI158" s="109"/>
      <c r="AJ158" s="108">
        <f t="shared" si="187"/>
        <v>0</v>
      </c>
      <c r="AK158" s="108">
        <f t="shared" si="188"/>
        <v>0</v>
      </c>
      <c r="AL158" s="108">
        <f t="shared" si="189"/>
        <v>0</v>
      </c>
      <c r="AN158" s="100">
        <v>15</v>
      </c>
      <c r="AO158" s="100">
        <f>H158*0.0466942148760331</f>
        <v>0</v>
      </c>
      <c r="AP158" s="100">
        <f>H158*(1-0.0466942148760331)</f>
        <v>0</v>
      </c>
      <c r="AQ158" s="111" t="s">
        <v>7</v>
      </c>
      <c r="AV158" s="100">
        <f t="shared" si="190"/>
        <v>0</v>
      </c>
      <c r="AW158" s="100">
        <f t="shared" si="191"/>
        <v>0</v>
      </c>
      <c r="AX158" s="100">
        <f t="shared" si="192"/>
        <v>0</v>
      </c>
      <c r="AY158" s="110" t="s">
        <v>1701</v>
      </c>
      <c r="AZ158" s="110" t="s">
        <v>1730</v>
      </c>
      <c r="BA158" s="109" t="s">
        <v>1737</v>
      </c>
      <c r="BC158" s="100">
        <f t="shared" si="193"/>
        <v>0</v>
      </c>
      <c r="BD158" s="100">
        <f t="shared" si="194"/>
        <v>0</v>
      </c>
      <c r="BE158" s="100">
        <v>0</v>
      </c>
      <c r="BF158" s="100">
        <f>158</f>
        <v>158</v>
      </c>
      <c r="BH158" s="108">
        <f t="shared" si="195"/>
        <v>0</v>
      </c>
      <c r="BI158" s="108">
        <f t="shared" si="196"/>
        <v>0</v>
      </c>
      <c r="BJ158" s="108">
        <f t="shared" si="197"/>
        <v>0</v>
      </c>
    </row>
    <row r="159" spans="1:62" x14ac:dyDescent="0.2">
      <c r="A159" s="117" t="s">
        <v>127</v>
      </c>
      <c r="B159" s="117" t="s">
        <v>3719</v>
      </c>
      <c r="C159" s="304" t="s">
        <v>4140</v>
      </c>
      <c r="D159" s="305"/>
      <c r="E159" s="305"/>
      <c r="F159" s="117" t="s">
        <v>1646</v>
      </c>
      <c r="G159" s="116">
        <v>1.5</v>
      </c>
      <c r="H159" s="159"/>
      <c r="I159" s="108">
        <f t="shared" si="176"/>
        <v>0</v>
      </c>
      <c r="J159" s="108">
        <f t="shared" si="177"/>
        <v>0</v>
      </c>
      <c r="K159" s="108">
        <f t="shared" si="178"/>
        <v>0</v>
      </c>
      <c r="L159" s="111" t="s">
        <v>1671</v>
      </c>
      <c r="Z159" s="100">
        <f t="shared" si="179"/>
        <v>0</v>
      </c>
      <c r="AB159" s="100">
        <f t="shared" si="180"/>
        <v>0</v>
      </c>
      <c r="AC159" s="100">
        <f t="shared" si="181"/>
        <v>0</v>
      </c>
      <c r="AD159" s="100">
        <f t="shared" si="182"/>
        <v>0</v>
      </c>
      <c r="AE159" s="100">
        <f t="shared" si="183"/>
        <v>0</v>
      </c>
      <c r="AF159" s="100">
        <f t="shared" si="184"/>
        <v>0</v>
      </c>
      <c r="AG159" s="100">
        <f t="shared" si="185"/>
        <v>0</v>
      </c>
      <c r="AH159" s="100">
        <f t="shared" si="186"/>
        <v>0</v>
      </c>
      <c r="AI159" s="109"/>
      <c r="AJ159" s="108">
        <f t="shared" si="187"/>
        <v>0</v>
      </c>
      <c r="AK159" s="108">
        <f t="shared" si="188"/>
        <v>0</v>
      </c>
      <c r="AL159" s="108">
        <f t="shared" si="189"/>
        <v>0</v>
      </c>
      <c r="AN159" s="100">
        <v>15</v>
      </c>
      <c r="AO159" s="100">
        <f>H159*0.0787456445993032</f>
        <v>0</v>
      </c>
      <c r="AP159" s="100">
        <f>H159*(1-0.0787456445993032)</f>
        <v>0</v>
      </c>
      <c r="AQ159" s="111" t="s">
        <v>7</v>
      </c>
      <c r="AV159" s="100">
        <f t="shared" si="190"/>
        <v>0</v>
      </c>
      <c r="AW159" s="100">
        <f t="shared" si="191"/>
        <v>0</v>
      </c>
      <c r="AX159" s="100">
        <f t="shared" si="192"/>
        <v>0</v>
      </c>
      <c r="AY159" s="110" t="s">
        <v>1701</v>
      </c>
      <c r="AZ159" s="110" t="s">
        <v>1730</v>
      </c>
      <c r="BA159" s="109" t="s">
        <v>1737</v>
      </c>
      <c r="BC159" s="100">
        <f t="shared" si="193"/>
        <v>0</v>
      </c>
      <c r="BD159" s="100">
        <f t="shared" si="194"/>
        <v>0</v>
      </c>
      <c r="BE159" s="100">
        <v>0</v>
      </c>
      <c r="BF159" s="100">
        <f>159</f>
        <v>159</v>
      </c>
      <c r="BH159" s="108">
        <f t="shared" si="195"/>
        <v>0</v>
      </c>
      <c r="BI159" s="108">
        <f t="shared" si="196"/>
        <v>0</v>
      </c>
      <c r="BJ159" s="108">
        <f t="shared" si="197"/>
        <v>0</v>
      </c>
    </row>
    <row r="160" spans="1:62" x14ac:dyDescent="0.2">
      <c r="A160" s="117" t="s">
        <v>128</v>
      </c>
      <c r="B160" s="117" t="s">
        <v>4139</v>
      </c>
      <c r="C160" s="304" t="s">
        <v>4138</v>
      </c>
      <c r="D160" s="305"/>
      <c r="E160" s="305"/>
      <c r="F160" s="117" t="s">
        <v>1647</v>
      </c>
      <c r="G160" s="116">
        <v>6.3E-2</v>
      </c>
      <c r="H160" s="159"/>
      <c r="I160" s="108">
        <f t="shared" si="176"/>
        <v>0</v>
      </c>
      <c r="J160" s="108">
        <f t="shared" si="177"/>
        <v>0</v>
      </c>
      <c r="K160" s="108">
        <f t="shared" si="178"/>
        <v>0</v>
      </c>
      <c r="L160" s="111" t="s">
        <v>1671</v>
      </c>
      <c r="Z160" s="100">
        <f t="shared" si="179"/>
        <v>0</v>
      </c>
      <c r="AB160" s="100">
        <f t="shared" si="180"/>
        <v>0</v>
      </c>
      <c r="AC160" s="100">
        <f t="shared" si="181"/>
        <v>0</v>
      </c>
      <c r="AD160" s="100">
        <f t="shared" si="182"/>
        <v>0</v>
      </c>
      <c r="AE160" s="100">
        <f t="shared" si="183"/>
        <v>0</v>
      </c>
      <c r="AF160" s="100">
        <f t="shared" si="184"/>
        <v>0</v>
      </c>
      <c r="AG160" s="100">
        <f t="shared" si="185"/>
        <v>0</v>
      </c>
      <c r="AH160" s="100">
        <f t="shared" si="186"/>
        <v>0</v>
      </c>
      <c r="AI160" s="109"/>
      <c r="AJ160" s="108">
        <f t="shared" si="187"/>
        <v>0</v>
      </c>
      <c r="AK160" s="108">
        <f t="shared" si="188"/>
        <v>0</v>
      </c>
      <c r="AL160" s="108">
        <f t="shared" si="189"/>
        <v>0</v>
      </c>
      <c r="AN160" s="100">
        <v>15</v>
      </c>
      <c r="AO160" s="100">
        <f>H160*0.021948116737341</f>
        <v>0</v>
      </c>
      <c r="AP160" s="100">
        <f>H160*(1-0.021948116737341)</f>
        <v>0</v>
      </c>
      <c r="AQ160" s="111" t="s">
        <v>7</v>
      </c>
      <c r="AV160" s="100">
        <f t="shared" si="190"/>
        <v>0</v>
      </c>
      <c r="AW160" s="100">
        <f t="shared" si="191"/>
        <v>0</v>
      </c>
      <c r="AX160" s="100">
        <f t="shared" si="192"/>
        <v>0</v>
      </c>
      <c r="AY160" s="110" t="s">
        <v>1701</v>
      </c>
      <c r="AZ160" s="110" t="s">
        <v>1730</v>
      </c>
      <c r="BA160" s="109" t="s">
        <v>1737</v>
      </c>
      <c r="BC160" s="100">
        <f t="shared" si="193"/>
        <v>0</v>
      </c>
      <c r="BD160" s="100">
        <f t="shared" si="194"/>
        <v>0</v>
      </c>
      <c r="BE160" s="100">
        <v>0</v>
      </c>
      <c r="BF160" s="100">
        <f>160</f>
        <v>160</v>
      </c>
      <c r="BH160" s="108">
        <f t="shared" si="195"/>
        <v>0</v>
      </c>
      <c r="BI160" s="108">
        <f t="shared" si="196"/>
        <v>0</v>
      </c>
      <c r="BJ160" s="108">
        <f t="shared" si="197"/>
        <v>0</v>
      </c>
    </row>
    <row r="161" spans="1:62" x14ac:dyDescent="0.2">
      <c r="A161" s="117" t="s">
        <v>129</v>
      </c>
      <c r="B161" s="117" t="s">
        <v>676</v>
      </c>
      <c r="C161" s="304" t="s">
        <v>1185</v>
      </c>
      <c r="D161" s="305"/>
      <c r="E161" s="305"/>
      <c r="F161" s="117" t="s">
        <v>1645</v>
      </c>
      <c r="G161" s="116">
        <v>393.14699999999999</v>
      </c>
      <c r="H161" s="159"/>
      <c r="I161" s="108">
        <f t="shared" si="176"/>
        <v>0</v>
      </c>
      <c r="J161" s="108">
        <f t="shared" si="177"/>
        <v>0</v>
      </c>
      <c r="K161" s="108">
        <f t="shared" si="178"/>
        <v>0</v>
      </c>
      <c r="L161" s="111" t="s">
        <v>1671</v>
      </c>
      <c r="Z161" s="100">
        <f t="shared" si="179"/>
        <v>0</v>
      </c>
      <c r="AB161" s="100">
        <f t="shared" si="180"/>
        <v>0</v>
      </c>
      <c r="AC161" s="100">
        <f t="shared" si="181"/>
        <v>0</v>
      </c>
      <c r="AD161" s="100">
        <f t="shared" si="182"/>
        <v>0</v>
      </c>
      <c r="AE161" s="100">
        <f t="shared" si="183"/>
        <v>0</v>
      </c>
      <c r="AF161" s="100">
        <f t="shared" si="184"/>
        <v>0</v>
      </c>
      <c r="AG161" s="100">
        <f t="shared" si="185"/>
        <v>0</v>
      </c>
      <c r="AH161" s="100">
        <f t="shared" si="186"/>
        <v>0</v>
      </c>
      <c r="AI161" s="109"/>
      <c r="AJ161" s="108">
        <f t="shared" si="187"/>
        <v>0</v>
      </c>
      <c r="AK161" s="108">
        <f t="shared" si="188"/>
        <v>0</v>
      </c>
      <c r="AL161" s="108">
        <f t="shared" si="189"/>
        <v>0</v>
      </c>
      <c r="AN161" s="100">
        <v>15</v>
      </c>
      <c r="AO161" s="100">
        <f t="shared" ref="AO161:AO176" si="198">H161*0</f>
        <v>0</v>
      </c>
      <c r="AP161" s="100">
        <f t="shared" ref="AP161:AP176" si="199">H161*(1-0)</f>
        <v>0</v>
      </c>
      <c r="AQ161" s="111" t="s">
        <v>7</v>
      </c>
      <c r="AV161" s="100">
        <f t="shared" si="190"/>
        <v>0</v>
      </c>
      <c r="AW161" s="100">
        <f t="shared" si="191"/>
        <v>0</v>
      </c>
      <c r="AX161" s="100">
        <f t="shared" si="192"/>
        <v>0</v>
      </c>
      <c r="AY161" s="110" t="s">
        <v>1701</v>
      </c>
      <c r="AZ161" s="110" t="s">
        <v>1730</v>
      </c>
      <c r="BA161" s="109" t="s">
        <v>1737</v>
      </c>
      <c r="BC161" s="100">
        <f t="shared" si="193"/>
        <v>0</v>
      </c>
      <c r="BD161" s="100">
        <f t="shared" si="194"/>
        <v>0</v>
      </c>
      <c r="BE161" s="100">
        <v>0</v>
      </c>
      <c r="BF161" s="100">
        <f>161</f>
        <v>161</v>
      </c>
      <c r="BH161" s="108">
        <f t="shared" si="195"/>
        <v>0</v>
      </c>
      <c r="BI161" s="108">
        <f t="shared" si="196"/>
        <v>0</v>
      </c>
      <c r="BJ161" s="108">
        <f t="shared" si="197"/>
        <v>0</v>
      </c>
    </row>
    <row r="162" spans="1:62" x14ac:dyDescent="0.2">
      <c r="A162" s="117" t="s">
        <v>130</v>
      </c>
      <c r="B162" s="117" t="s">
        <v>677</v>
      </c>
      <c r="C162" s="304" t="s">
        <v>4137</v>
      </c>
      <c r="D162" s="305"/>
      <c r="E162" s="305"/>
      <c r="F162" s="117" t="s">
        <v>1645</v>
      </c>
      <c r="G162" s="116">
        <v>23.151</v>
      </c>
      <c r="H162" s="159"/>
      <c r="I162" s="108">
        <f t="shared" si="176"/>
        <v>0</v>
      </c>
      <c r="J162" s="108">
        <f t="shared" si="177"/>
        <v>0</v>
      </c>
      <c r="K162" s="108">
        <f t="shared" si="178"/>
        <v>0</v>
      </c>
      <c r="L162" s="111" t="s">
        <v>1671</v>
      </c>
      <c r="Z162" s="100">
        <f t="shared" si="179"/>
        <v>0</v>
      </c>
      <c r="AB162" s="100">
        <f t="shared" si="180"/>
        <v>0</v>
      </c>
      <c r="AC162" s="100">
        <f t="shared" si="181"/>
        <v>0</v>
      </c>
      <c r="AD162" s="100">
        <f t="shared" si="182"/>
        <v>0</v>
      </c>
      <c r="AE162" s="100">
        <f t="shared" si="183"/>
        <v>0</v>
      </c>
      <c r="AF162" s="100">
        <f t="shared" si="184"/>
        <v>0</v>
      </c>
      <c r="AG162" s="100">
        <f t="shared" si="185"/>
        <v>0</v>
      </c>
      <c r="AH162" s="100">
        <f t="shared" si="186"/>
        <v>0</v>
      </c>
      <c r="AI162" s="109"/>
      <c r="AJ162" s="108">
        <f t="shared" si="187"/>
        <v>0</v>
      </c>
      <c r="AK162" s="108">
        <f t="shared" si="188"/>
        <v>0</v>
      </c>
      <c r="AL162" s="108">
        <f t="shared" si="189"/>
        <v>0</v>
      </c>
      <c r="AN162" s="100">
        <v>15</v>
      </c>
      <c r="AO162" s="100">
        <f t="shared" si="198"/>
        <v>0</v>
      </c>
      <c r="AP162" s="100">
        <f t="shared" si="199"/>
        <v>0</v>
      </c>
      <c r="AQ162" s="111" t="s">
        <v>7</v>
      </c>
      <c r="AV162" s="100">
        <f t="shared" si="190"/>
        <v>0</v>
      </c>
      <c r="AW162" s="100">
        <f t="shared" si="191"/>
        <v>0</v>
      </c>
      <c r="AX162" s="100">
        <f t="shared" si="192"/>
        <v>0</v>
      </c>
      <c r="AY162" s="110" t="s">
        <v>1701</v>
      </c>
      <c r="AZ162" s="110" t="s">
        <v>1730</v>
      </c>
      <c r="BA162" s="109" t="s">
        <v>1737</v>
      </c>
      <c r="BC162" s="100">
        <f t="shared" si="193"/>
        <v>0</v>
      </c>
      <c r="BD162" s="100">
        <f t="shared" si="194"/>
        <v>0</v>
      </c>
      <c r="BE162" s="100">
        <v>0</v>
      </c>
      <c r="BF162" s="100">
        <f>162</f>
        <v>162</v>
      </c>
      <c r="BH162" s="108">
        <f t="shared" si="195"/>
        <v>0</v>
      </c>
      <c r="BI162" s="108">
        <f t="shared" si="196"/>
        <v>0</v>
      </c>
      <c r="BJ162" s="108">
        <f t="shared" si="197"/>
        <v>0</v>
      </c>
    </row>
    <row r="163" spans="1:62" x14ac:dyDescent="0.2">
      <c r="A163" s="117" t="s">
        <v>131</v>
      </c>
      <c r="B163" s="117" t="s">
        <v>677</v>
      </c>
      <c r="C163" s="304" t="s">
        <v>4136</v>
      </c>
      <c r="D163" s="305"/>
      <c r="E163" s="305"/>
      <c r="F163" s="117" t="s">
        <v>1645</v>
      </c>
      <c r="G163" s="116">
        <v>33.088999999999999</v>
      </c>
      <c r="H163" s="159"/>
      <c r="I163" s="108">
        <f t="shared" si="176"/>
        <v>0</v>
      </c>
      <c r="J163" s="108">
        <f t="shared" si="177"/>
        <v>0</v>
      </c>
      <c r="K163" s="108">
        <f t="shared" si="178"/>
        <v>0</v>
      </c>
      <c r="L163" s="111" t="s">
        <v>1671</v>
      </c>
      <c r="Z163" s="100">
        <f t="shared" si="179"/>
        <v>0</v>
      </c>
      <c r="AB163" s="100">
        <f t="shared" si="180"/>
        <v>0</v>
      </c>
      <c r="AC163" s="100">
        <f t="shared" si="181"/>
        <v>0</v>
      </c>
      <c r="AD163" s="100">
        <f t="shared" si="182"/>
        <v>0</v>
      </c>
      <c r="AE163" s="100">
        <f t="shared" si="183"/>
        <v>0</v>
      </c>
      <c r="AF163" s="100">
        <f t="shared" si="184"/>
        <v>0</v>
      </c>
      <c r="AG163" s="100">
        <f t="shared" si="185"/>
        <v>0</v>
      </c>
      <c r="AH163" s="100">
        <f t="shared" si="186"/>
        <v>0</v>
      </c>
      <c r="AI163" s="109"/>
      <c r="AJ163" s="108">
        <f t="shared" si="187"/>
        <v>0</v>
      </c>
      <c r="AK163" s="108">
        <f t="shared" si="188"/>
        <v>0</v>
      </c>
      <c r="AL163" s="108">
        <f t="shared" si="189"/>
        <v>0</v>
      </c>
      <c r="AN163" s="100">
        <v>15</v>
      </c>
      <c r="AO163" s="100">
        <f t="shared" si="198"/>
        <v>0</v>
      </c>
      <c r="AP163" s="100">
        <f t="shared" si="199"/>
        <v>0</v>
      </c>
      <c r="AQ163" s="111" t="s">
        <v>7</v>
      </c>
      <c r="AV163" s="100">
        <f t="shared" si="190"/>
        <v>0</v>
      </c>
      <c r="AW163" s="100">
        <f t="shared" si="191"/>
        <v>0</v>
      </c>
      <c r="AX163" s="100">
        <f t="shared" si="192"/>
        <v>0</v>
      </c>
      <c r="AY163" s="110" t="s">
        <v>1701</v>
      </c>
      <c r="AZ163" s="110" t="s">
        <v>1730</v>
      </c>
      <c r="BA163" s="109" t="s">
        <v>1737</v>
      </c>
      <c r="BC163" s="100">
        <f t="shared" si="193"/>
        <v>0</v>
      </c>
      <c r="BD163" s="100">
        <f t="shared" si="194"/>
        <v>0</v>
      </c>
      <c r="BE163" s="100">
        <v>0</v>
      </c>
      <c r="BF163" s="100">
        <f>163</f>
        <v>163</v>
      </c>
      <c r="BH163" s="108">
        <f t="shared" si="195"/>
        <v>0</v>
      </c>
      <c r="BI163" s="108">
        <f t="shared" si="196"/>
        <v>0</v>
      </c>
      <c r="BJ163" s="108">
        <f t="shared" si="197"/>
        <v>0</v>
      </c>
    </row>
    <row r="164" spans="1:62" x14ac:dyDescent="0.2">
      <c r="A164" s="117" t="s">
        <v>132</v>
      </c>
      <c r="B164" s="117" t="s">
        <v>678</v>
      </c>
      <c r="C164" s="304" t="s">
        <v>4135</v>
      </c>
      <c r="D164" s="305"/>
      <c r="E164" s="305"/>
      <c r="F164" s="117" t="s">
        <v>1645</v>
      </c>
      <c r="G164" s="116">
        <v>29.175000000000001</v>
      </c>
      <c r="H164" s="159"/>
      <c r="I164" s="108">
        <f t="shared" si="176"/>
        <v>0</v>
      </c>
      <c r="J164" s="108">
        <f t="shared" si="177"/>
        <v>0</v>
      </c>
      <c r="K164" s="108">
        <f t="shared" si="178"/>
        <v>0</v>
      </c>
      <c r="L164" s="111" t="s">
        <v>1671</v>
      </c>
      <c r="Z164" s="100">
        <f t="shared" si="179"/>
        <v>0</v>
      </c>
      <c r="AB164" s="100">
        <f t="shared" si="180"/>
        <v>0</v>
      </c>
      <c r="AC164" s="100">
        <f t="shared" si="181"/>
        <v>0</v>
      </c>
      <c r="AD164" s="100">
        <f t="shared" si="182"/>
        <v>0</v>
      </c>
      <c r="AE164" s="100">
        <f t="shared" si="183"/>
        <v>0</v>
      </c>
      <c r="AF164" s="100">
        <f t="shared" si="184"/>
        <v>0</v>
      </c>
      <c r="AG164" s="100">
        <f t="shared" si="185"/>
        <v>0</v>
      </c>
      <c r="AH164" s="100">
        <f t="shared" si="186"/>
        <v>0</v>
      </c>
      <c r="AI164" s="109"/>
      <c r="AJ164" s="108">
        <f t="shared" si="187"/>
        <v>0</v>
      </c>
      <c r="AK164" s="108">
        <f t="shared" si="188"/>
        <v>0</v>
      </c>
      <c r="AL164" s="108">
        <f t="shared" si="189"/>
        <v>0</v>
      </c>
      <c r="AN164" s="100">
        <v>15</v>
      </c>
      <c r="AO164" s="100">
        <f t="shared" si="198"/>
        <v>0</v>
      </c>
      <c r="AP164" s="100">
        <f t="shared" si="199"/>
        <v>0</v>
      </c>
      <c r="AQ164" s="111" t="s">
        <v>7</v>
      </c>
      <c r="AV164" s="100">
        <f t="shared" si="190"/>
        <v>0</v>
      </c>
      <c r="AW164" s="100">
        <f t="shared" si="191"/>
        <v>0</v>
      </c>
      <c r="AX164" s="100">
        <f t="shared" si="192"/>
        <v>0</v>
      </c>
      <c r="AY164" s="110" t="s">
        <v>1701</v>
      </c>
      <c r="AZ164" s="110" t="s">
        <v>1730</v>
      </c>
      <c r="BA164" s="109" t="s">
        <v>1737</v>
      </c>
      <c r="BC164" s="100">
        <f t="shared" si="193"/>
        <v>0</v>
      </c>
      <c r="BD164" s="100">
        <f t="shared" si="194"/>
        <v>0</v>
      </c>
      <c r="BE164" s="100">
        <v>0</v>
      </c>
      <c r="BF164" s="100">
        <f>164</f>
        <v>164</v>
      </c>
      <c r="BH164" s="108">
        <f t="shared" si="195"/>
        <v>0</v>
      </c>
      <c r="BI164" s="108">
        <f t="shared" si="196"/>
        <v>0</v>
      </c>
      <c r="BJ164" s="108">
        <f t="shared" si="197"/>
        <v>0</v>
      </c>
    </row>
    <row r="165" spans="1:62" x14ac:dyDescent="0.2">
      <c r="A165" s="117" t="s">
        <v>133</v>
      </c>
      <c r="B165" s="117" t="s">
        <v>678</v>
      </c>
      <c r="C165" s="304" t="s">
        <v>4134</v>
      </c>
      <c r="D165" s="305"/>
      <c r="E165" s="305"/>
      <c r="F165" s="117" t="s">
        <v>1645</v>
      </c>
      <c r="G165" s="116">
        <v>112.108</v>
      </c>
      <c r="H165" s="159"/>
      <c r="I165" s="108">
        <f t="shared" si="176"/>
        <v>0</v>
      </c>
      <c r="J165" s="108">
        <f t="shared" si="177"/>
        <v>0</v>
      </c>
      <c r="K165" s="108">
        <f t="shared" si="178"/>
        <v>0</v>
      </c>
      <c r="L165" s="111" t="s">
        <v>1671</v>
      </c>
      <c r="Z165" s="100">
        <f t="shared" si="179"/>
        <v>0</v>
      </c>
      <c r="AB165" s="100">
        <f t="shared" si="180"/>
        <v>0</v>
      </c>
      <c r="AC165" s="100">
        <f t="shared" si="181"/>
        <v>0</v>
      </c>
      <c r="AD165" s="100">
        <f t="shared" si="182"/>
        <v>0</v>
      </c>
      <c r="AE165" s="100">
        <f t="shared" si="183"/>
        <v>0</v>
      </c>
      <c r="AF165" s="100">
        <f t="shared" si="184"/>
        <v>0</v>
      </c>
      <c r="AG165" s="100">
        <f t="shared" si="185"/>
        <v>0</v>
      </c>
      <c r="AH165" s="100">
        <f t="shared" si="186"/>
        <v>0</v>
      </c>
      <c r="AI165" s="109"/>
      <c r="AJ165" s="108">
        <f t="shared" si="187"/>
        <v>0</v>
      </c>
      <c r="AK165" s="108">
        <f t="shared" si="188"/>
        <v>0</v>
      </c>
      <c r="AL165" s="108">
        <f t="shared" si="189"/>
        <v>0</v>
      </c>
      <c r="AN165" s="100">
        <v>15</v>
      </c>
      <c r="AO165" s="100">
        <f t="shared" si="198"/>
        <v>0</v>
      </c>
      <c r="AP165" s="100">
        <f t="shared" si="199"/>
        <v>0</v>
      </c>
      <c r="AQ165" s="111" t="s">
        <v>7</v>
      </c>
      <c r="AV165" s="100">
        <f t="shared" si="190"/>
        <v>0</v>
      </c>
      <c r="AW165" s="100">
        <f t="shared" si="191"/>
        <v>0</v>
      </c>
      <c r="AX165" s="100">
        <f t="shared" si="192"/>
        <v>0</v>
      </c>
      <c r="AY165" s="110" t="s">
        <v>1701</v>
      </c>
      <c r="AZ165" s="110" t="s">
        <v>1730</v>
      </c>
      <c r="BA165" s="109" t="s">
        <v>1737</v>
      </c>
      <c r="BC165" s="100">
        <f t="shared" si="193"/>
        <v>0</v>
      </c>
      <c r="BD165" s="100">
        <f t="shared" si="194"/>
        <v>0</v>
      </c>
      <c r="BE165" s="100">
        <v>0</v>
      </c>
      <c r="BF165" s="100">
        <f>165</f>
        <v>165</v>
      </c>
      <c r="BH165" s="108">
        <f t="shared" si="195"/>
        <v>0</v>
      </c>
      <c r="BI165" s="108">
        <f t="shared" si="196"/>
        <v>0</v>
      </c>
      <c r="BJ165" s="108">
        <f t="shared" si="197"/>
        <v>0</v>
      </c>
    </row>
    <row r="166" spans="1:62" x14ac:dyDescent="0.2">
      <c r="A166" s="117" t="s">
        <v>134</v>
      </c>
      <c r="B166" s="117" t="s">
        <v>679</v>
      </c>
      <c r="C166" s="304" t="s">
        <v>4133</v>
      </c>
      <c r="D166" s="305"/>
      <c r="E166" s="305"/>
      <c r="F166" s="117" t="s">
        <v>1645</v>
      </c>
      <c r="G166" s="116">
        <v>34.86</v>
      </c>
      <c r="H166" s="159"/>
      <c r="I166" s="108">
        <f t="shared" si="176"/>
        <v>0</v>
      </c>
      <c r="J166" s="108">
        <f t="shared" si="177"/>
        <v>0</v>
      </c>
      <c r="K166" s="108">
        <f t="shared" si="178"/>
        <v>0</v>
      </c>
      <c r="L166" s="111" t="s">
        <v>1671</v>
      </c>
      <c r="Z166" s="100">
        <f t="shared" si="179"/>
        <v>0</v>
      </c>
      <c r="AB166" s="100">
        <f t="shared" si="180"/>
        <v>0</v>
      </c>
      <c r="AC166" s="100">
        <f t="shared" si="181"/>
        <v>0</v>
      </c>
      <c r="AD166" s="100">
        <f t="shared" si="182"/>
        <v>0</v>
      </c>
      <c r="AE166" s="100">
        <f t="shared" si="183"/>
        <v>0</v>
      </c>
      <c r="AF166" s="100">
        <f t="shared" si="184"/>
        <v>0</v>
      </c>
      <c r="AG166" s="100">
        <f t="shared" si="185"/>
        <v>0</v>
      </c>
      <c r="AH166" s="100">
        <f t="shared" si="186"/>
        <v>0</v>
      </c>
      <c r="AI166" s="109"/>
      <c r="AJ166" s="108">
        <f t="shared" si="187"/>
        <v>0</v>
      </c>
      <c r="AK166" s="108">
        <f t="shared" si="188"/>
        <v>0</v>
      </c>
      <c r="AL166" s="108">
        <f t="shared" si="189"/>
        <v>0</v>
      </c>
      <c r="AN166" s="100">
        <v>15</v>
      </c>
      <c r="AO166" s="100">
        <f t="shared" si="198"/>
        <v>0</v>
      </c>
      <c r="AP166" s="100">
        <f t="shared" si="199"/>
        <v>0</v>
      </c>
      <c r="AQ166" s="111" t="s">
        <v>7</v>
      </c>
      <c r="AV166" s="100">
        <f t="shared" si="190"/>
        <v>0</v>
      </c>
      <c r="AW166" s="100">
        <f t="shared" si="191"/>
        <v>0</v>
      </c>
      <c r="AX166" s="100">
        <f t="shared" si="192"/>
        <v>0</v>
      </c>
      <c r="AY166" s="110" t="s">
        <v>1701</v>
      </c>
      <c r="AZ166" s="110" t="s">
        <v>1730</v>
      </c>
      <c r="BA166" s="109" t="s">
        <v>1737</v>
      </c>
      <c r="BC166" s="100">
        <f t="shared" si="193"/>
        <v>0</v>
      </c>
      <c r="BD166" s="100">
        <f t="shared" si="194"/>
        <v>0</v>
      </c>
      <c r="BE166" s="100">
        <v>0</v>
      </c>
      <c r="BF166" s="100">
        <f>166</f>
        <v>166</v>
      </c>
      <c r="BH166" s="108">
        <f t="shared" si="195"/>
        <v>0</v>
      </c>
      <c r="BI166" s="108">
        <f t="shared" si="196"/>
        <v>0</v>
      </c>
      <c r="BJ166" s="108">
        <f t="shared" si="197"/>
        <v>0</v>
      </c>
    </row>
    <row r="167" spans="1:62" x14ac:dyDescent="0.2">
      <c r="A167" s="117" t="s">
        <v>135</v>
      </c>
      <c r="B167" s="117" t="s">
        <v>679</v>
      </c>
      <c r="C167" s="304" t="s">
        <v>4132</v>
      </c>
      <c r="D167" s="305"/>
      <c r="E167" s="305"/>
      <c r="F167" s="117" t="s">
        <v>1645</v>
      </c>
      <c r="G167" s="116">
        <v>44.831000000000003</v>
      </c>
      <c r="H167" s="159"/>
      <c r="I167" s="108">
        <f t="shared" si="176"/>
        <v>0</v>
      </c>
      <c r="J167" s="108">
        <f t="shared" si="177"/>
        <v>0</v>
      </c>
      <c r="K167" s="108">
        <f t="shared" si="178"/>
        <v>0</v>
      </c>
      <c r="L167" s="111" t="s">
        <v>1671</v>
      </c>
      <c r="Z167" s="100">
        <f t="shared" si="179"/>
        <v>0</v>
      </c>
      <c r="AB167" s="100">
        <f t="shared" si="180"/>
        <v>0</v>
      </c>
      <c r="AC167" s="100">
        <f t="shared" si="181"/>
        <v>0</v>
      </c>
      <c r="AD167" s="100">
        <f t="shared" si="182"/>
        <v>0</v>
      </c>
      <c r="AE167" s="100">
        <f t="shared" si="183"/>
        <v>0</v>
      </c>
      <c r="AF167" s="100">
        <f t="shared" si="184"/>
        <v>0</v>
      </c>
      <c r="AG167" s="100">
        <f t="shared" si="185"/>
        <v>0</v>
      </c>
      <c r="AH167" s="100">
        <f t="shared" si="186"/>
        <v>0</v>
      </c>
      <c r="AI167" s="109"/>
      <c r="AJ167" s="108">
        <f t="shared" si="187"/>
        <v>0</v>
      </c>
      <c r="AK167" s="108">
        <f t="shared" si="188"/>
        <v>0</v>
      </c>
      <c r="AL167" s="108">
        <f t="shared" si="189"/>
        <v>0</v>
      </c>
      <c r="AN167" s="100">
        <v>15</v>
      </c>
      <c r="AO167" s="100">
        <f t="shared" si="198"/>
        <v>0</v>
      </c>
      <c r="AP167" s="100">
        <f t="shared" si="199"/>
        <v>0</v>
      </c>
      <c r="AQ167" s="111" t="s">
        <v>7</v>
      </c>
      <c r="AV167" s="100">
        <f t="shared" si="190"/>
        <v>0</v>
      </c>
      <c r="AW167" s="100">
        <f t="shared" si="191"/>
        <v>0</v>
      </c>
      <c r="AX167" s="100">
        <f t="shared" si="192"/>
        <v>0</v>
      </c>
      <c r="AY167" s="110" t="s">
        <v>1701</v>
      </c>
      <c r="AZ167" s="110" t="s">
        <v>1730</v>
      </c>
      <c r="BA167" s="109" t="s">
        <v>1737</v>
      </c>
      <c r="BC167" s="100">
        <f t="shared" si="193"/>
        <v>0</v>
      </c>
      <c r="BD167" s="100">
        <f t="shared" si="194"/>
        <v>0</v>
      </c>
      <c r="BE167" s="100">
        <v>0</v>
      </c>
      <c r="BF167" s="100">
        <f>167</f>
        <v>167</v>
      </c>
      <c r="BH167" s="108">
        <f t="shared" si="195"/>
        <v>0</v>
      </c>
      <c r="BI167" s="108">
        <f t="shared" si="196"/>
        <v>0</v>
      </c>
      <c r="BJ167" s="108">
        <f t="shared" si="197"/>
        <v>0</v>
      </c>
    </row>
    <row r="168" spans="1:62" x14ac:dyDescent="0.2">
      <c r="A168" s="117" t="s">
        <v>136</v>
      </c>
      <c r="B168" s="117" t="s">
        <v>680</v>
      </c>
      <c r="C168" s="304" t="s">
        <v>2472</v>
      </c>
      <c r="D168" s="305"/>
      <c r="E168" s="305"/>
      <c r="F168" s="117" t="s">
        <v>1645</v>
      </c>
      <c r="G168" s="116">
        <v>69.548000000000002</v>
      </c>
      <c r="H168" s="159"/>
      <c r="I168" s="108">
        <f t="shared" si="176"/>
        <v>0</v>
      </c>
      <c r="J168" s="108">
        <f t="shared" si="177"/>
        <v>0</v>
      </c>
      <c r="K168" s="108">
        <f t="shared" si="178"/>
        <v>0</v>
      </c>
      <c r="L168" s="111" t="s">
        <v>1671</v>
      </c>
      <c r="Z168" s="100">
        <f t="shared" si="179"/>
        <v>0</v>
      </c>
      <c r="AB168" s="100">
        <f t="shared" si="180"/>
        <v>0</v>
      </c>
      <c r="AC168" s="100">
        <f t="shared" si="181"/>
        <v>0</v>
      </c>
      <c r="AD168" s="100">
        <f t="shared" si="182"/>
        <v>0</v>
      </c>
      <c r="AE168" s="100">
        <f t="shared" si="183"/>
        <v>0</v>
      </c>
      <c r="AF168" s="100">
        <f t="shared" si="184"/>
        <v>0</v>
      </c>
      <c r="AG168" s="100">
        <f t="shared" si="185"/>
        <v>0</v>
      </c>
      <c r="AH168" s="100">
        <f t="shared" si="186"/>
        <v>0</v>
      </c>
      <c r="AI168" s="109"/>
      <c r="AJ168" s="108">
        <f t="shared" si="187"/>
        <v>0</v>
      </c>
      <c r="AK168" s="108">
        <f t="shared" si="188"/>
        <v>0</v>
      </c>
      <c r="AL168" s="108">
        <f t="shared" si="189"/>
        <v>0</v>
      </c>
      <c r="AN168" s="100">
        <v>15</v>
      </c>
      <c r="AO168" s="100">
        <f t="shared" si="198"/>
        <v>0</v>
      </c>
      <c r="AP168" s="100">
        <f t="shared" si="199"/>
        <v>0</v>
      </c>
      <c r="AQ168" s="111" t="s">
        <v>7</v>
      </c>
      <c r="AV168" s="100">
        <f t="shared" si="190"/>
        <v>0</v>
      </c>
      <c r="AW168" s="100">
        <f t="shared" si="191"/>
        <v>0</v>
      </c>
      <c r="AX168" s="100">
        <f t="shared" si="192"/>
        <v>0</v>
      </c>
      <c r="AY168" s="110" t="s">
        <v>1701</v>
      </c>
      <c r="AZ168" s="110" t="s">
        <v>1730</v>
      </c>
      <c r="BA168" s="109" t="s">
        <v>1737</v>
      </c>
      <c r="BC168" s="100">
        <f t="shared" si="193"/>
        <v>0</v>
      </c>
      <c r="BD168" s="100">
        <f t="shared" si="194"/>
        <v>0</v>
      </c>
      <c r="BE168" s="100">
        <v>0</v>
      </c>
      <c r="BF168" s="100">
        <f>168</f>
        <v>168</v>
      </c>
      <c r="BH168" s="108">
        <f t="shared" si="195"/>
        <v>0</v>
      </c>
      <c r="BI168" s="108">
        <f t="shared" si="196"/>
        <v>0</v>
      </c>
      <c r="BJ168" s="108">
        <f t="shared" si="197"/>
        <v>0</v>
      </c>
    </row>
    <row r="169" spans="1:62" x14ac:dyDescent="0.2">
      <c r="A169" s="117" t="s">
        <v>137</v>
      </c>
      <c r="B169" s="117" t="s">
        <v>680</v>
      </c>
      <c r="C169" s="304" t="s">
        <v>1189</v>
      </c>
      <c r="D169" s="305"/>
      <c r="E169" s="305"/>
      <c r="F169" s="117" t="s">
        <v>1645</v>
      </c>
      <c r="G169" s="116">
        <v>541.01900000000001</v>
      </c>
      <c r="H169" s="159"/>
      <c r="I169" s="108">
        <f t="shared" si="176"/>
        <v>0</v>
      </c>
      <c r="J169" s="108">
        <f t="shared" si="177"/>
        <v>0</v>
      </c>
      <c r="K169" s="108">
        <f t="shared" si="178"/>
        <v>0</v>
      </c>
      <c r="L169" s="111" t="s">
        <v>1671</v>
      </c>
      <c r="Z169" s="100">
        <f t="shared" si="179"/>
        <v>0</v>
      </c>
      <c r="AB169" s="100">
        <f t="shared" si="180"/>
        <v>0</v>
      </c>
      <c r="AC169" s="100">
        <f t="shared" si="181"/>
        <v>0</v>
      </c>
      <c r="AD169" s="100">
        <f t="shared" si="182"/>
        <v>0</v>
      </c>
      <c r="AE169" s="100">
        <f t="shared" si="183"/>
        <v>0</v>
      </c>
      <c r="AF169" s="100">
        <f t="shared" si="184"/>
        <v>0</v>
      </c>
      <c r="AG169" s="100">
        <f t="shared" si="185"/>
        <v>0</v>
      </c>
      <c r="AH169" s="100">
        <f t="shared" si="186"/>
        <v>0</v>
      </c>
      <c r="AI169" s="109"/>
      <c r="AJ169" s="108">
        <f t="shared" si="187"/>
        <v>0</v>
      </c>
      <c r="AK169" s="108">
        <f t="shared" si="188"/>
        <v>0</v>
      </c>
      <c r="AL169" s="108">
        <f t="shared" si="189"/>
        <v>0</v>
      </c>
      <c r="AN169" s="100">
        <v>15</v>
      </c>
      <c r="AO169" s="100">
        <f t="shared" si="198"/>
        <v>0</v>
      </c>
      <c r="AP169" s="100">
        <f t="shared" si="199"/>
        <v>0</v>
      </c>
      <c r="AQ169" s="111" t="s">
        <v>7</v>
      </c>
      <c r="AV169" s="100">
        <f t="shared" si="190"/>
        <v>0</v>
      </c>
      <c r="AW169" s="100">
        <f t="shared" si="191"/>
        <v>0</v>
      </c>
      <c r="AX169" s="100">
        <f t="shared" si="192"/>
        <v>0</v>
      </c>
      <c r="AY169" s="110" t="s">
        <v>1701</v>
      </c>
      <c r="AZ169" s="110" t="s">
        <v>1730</v>
      </c>
      <c r="BA169" s="109" t="s">
        <v>1737</v>
      </c>
      <c r="BC169" s="100">
        <f t="shared" si="193"/>
        <v>0</v>
      </c>
      <c r="BD169" s="100">
        <f t="shared" si="194"/>
        <v>0</v>
      </c>
      <c r="BE169" s="100">
        <v>0</v>
      </c>
      <c r="BF169" s="100">
        <f>169</f>
        <v>169</v>
      </c>
      <c r="BH169" s="108">
        <f t="shared" si="195"/>
        <v>0</v>
      </c>
      <c r="BI169" s="108">
        <f t="shared" si="196"/>
        <v>0</v>
      </c>
      <c r="BJ169" s="108">
        <f t="shared" si="197"/>
        <v>0</v>
      </c>
    </row>
    <row r="170" spans="1:62" x14ac:dyDescent="0.2">
      <c r="A170" s="117" t="s">
        <v>138</v>
      </c>
      <c r="B170" s="117" t="s">
        <v>681</v>
      </c>
      <c r="C170" s="304" t="s">
        <v>1190</v>
      </c>
      <c r="D170" s="305"/>
      <c r="E170" s="305"/>
      <c r="F170" s="117" t="s">
        <v>1645</v>
      </c>
      <c r="G170" s="116">
        <v>541.01900000000001</v>
      </c>
      <c r="H170" s="159"/>
      <c r="I170" s="108">
        <f t="shared" si="176"/>
        <v>0</v>
      </c>
      <c r="J170" s="108">
        <f t="shared" si="177"/>
        <v>0</v>
      </c>
      <c r="K170" s="108">
        <f t="shared" si="178"/>
        <v>0</v>
      </c>
      <c r="L170" s="111" t="s">
        <v>1671</v>
      </c>
      <c r="Z170" s="100">
        <f t="shared" si="179"/>
        <v>0</v>
      </c>
      <c r="AB170" s="100">
        <f t="shared" si="180"/>
        <v>0</v>
      </c>
      <c r="AC170" s="100">
        <f t="shared" si="181"/>
        <v>0</v>
      </c>
      <c r="AD170" s="100">
        <f t="shared" si="182"/>
        <v>0</v>
      </c>
      <c r="AE170" s="100">
        <f t="shared" si="183"/>
        <v>0</v>
      </c>
      <c r="AF170" s="100">
        <f t="shared" si="184"/>
        <v>0</v>
      </c>
      <c r="AG170" s="100">
        <f t="shared" si="185"/>
        <v>0</v>
      </c>
      <c r="AH170" s="100">
        <f t="shared" si="186"/>
        <v>0</v>
      </c>
      <c r="AI170" s="109"/>
      <c r="AJ170" s="108">
        <f t="shared" si="187"/>
        <v>0</v>
      </c>
      <c r="AK170" s="108">
        <f t="shared" si="188"/>
        <v>0</v>
      </c>
      <c r="AL170" s="108">
        <f t="shared" si="189"/>
        <v>0</v>
      </c>
      <c r="AN170" s="100">
        <v>15</v>
      </c>
      <c r="AO170" s="100">
        <f t="shared" si="198"/>
        <v>0</v>
      </c>
      <c r="AP170" s="100">
        <f t="shared" si="199"/>
        <v>0</v>
      </c>
      <c r="AQ170" s="111" t="s">
        <v>7</v>
      </c>
      <c r="AV170" s="100">
        <f t="shared" si="190"/>
        <v>0</v>
      </c>
      <c r="AW170" s="100">
        <f t="shared" si="191"/>
        <v>0</v>
      </c>
      <c r="AX170" s="100">
        <f t="shared" si="192"/>
        <v>0</v>
      </c>
      <c r="AY170" s="110" t="s">
        <v>1701</v>
      </c>
      <c r="AZ170" s="110" t="s">
        <v>1730</v>
      </c>
      <c r="BA170" s="109" t="s">
        <v>1737</v>
      </c>
      <c r="BC170" s="100">
        <f t="shared" si="193"/>
        <v>0</v>
      </c>
      <c r="BD170" s="100">
        <f t="shared" si="194"/>
        <v>0</v>
      </c>
      <c r="BE170" s="100">
        <v>0</v>
      </c>
      <c r="BF170" s="100">
        <f>170</f>
        <v>170</v>
      </c>
      <c r="BH170" s="108">
        <f t="shared" si="195"/>
        <v>0</v>
      </c>
      <c r="BI170" s="108">
        <f t="shared" si="196"/>
        <v>0</v>
      </c>
      <c r="BJ170" s="108">
        <f t="shared" si="197"/>
        <v>0</v>
      </c>
    </row>
    <row r="171" spans="1:62" x14ac:dyDescent="0.2">
      <c r="A171" s="117" t="s">
        <v>139</v>
      </c>
      <c r="B171" s="117" t="s">
        <v>2471</v>
      </c>
      <c r="C171" s="304" t="s">
        <v>2470</v>
      </c>
      <c r="D171" s="305"/>
      <c r="E171" s="305"/>
      <c r="F171" s="117" t="s">
        <v>1645</v>
      </c>
      <c r="G171" s="116">
        <v>24.158000000000001</v>
      </c>
      <c r="H171" s="159"/>
      <c r="I171" s="108">
        <f t="shared" si="176"/>
        <v>0</v>
      </c>
      <c r="J171" s="108">
        <f t="shared" si="177"/>
        <v>0</v>
      </c>
      <c r="K171" s="108">
        <f t="shared" si="178"/>
        <v>0</v>
      </c>
      <c r="L171" s="111" t="s">
        <v>1671</v>
      </c>
      <c r="Z171" s="100">
        <f t="shared" si="179"/>
        <v>0</v>
      </c>
      <c r="AB171" s="100">
        <f t="shared" si="180"/>
        <v>0</v>
      </c>
      <c r="AC171" s="100">
        <f t="shared" si="181"/>
        <v>0</v>
      </c>
      <c r="AD171" s="100">
        <f t="shared" si="182"/>
        <v>0</v>
      </c>
      <c r="AE171" s="100">
        <f t="shared" si="183"/>
        <v>0</v>
      </c>
      <c r="AF171" s="100">
        <f t="shared" si="184"/>
        <v>0</v>
      </c>
      <c r="AG171" s="100">
        <f t="shared" si="185"/>
        <v>0</v>
      </c>
      <c r="AH171" s="100">
        <f t="shared" si="186"/>
        <v>0</v>
      </c>
      <c r="AI171" s="109"/>
      <c r="AJ171" s="108">
        <f t="shared" si="187"/>
        <v>0</v>
      </c>
      <c r="AK171" s="108">
        <f t="shared" si="188"/>
        <v>0</v>
      </c>
      <c r="AL171" s="108">
        <f t="shared" si="189"/>
        <v>0</v>
      </c>
      <c r="AN171" s="100">
        <v>15</v>
      </c>
      <c r="AO171" s="100">
        <f t="shared" si="198"/>
        <v>0</v>
      </c>
      <c r="AP171" s="100">
        <f t="shared" si="199"/>
        <v>0</v>
      </c>
      <c r="AQ171" s="111" t="s">
        <v>7</v>
      </c>
      <c r="AV171" s="100">
        <f t="shared" si="190"/>
        <v>0</v>
      </c>
      <c r="AW171" s="100">
        <f t="shared" si="191"/>
        <v>0</v>
      </c>
      <c r="AX171" s="100">
        <f t="shared" si="192"/>
        <v>0</v>
      </c>
      <c r="AY171" s="110" t="s">
        <v>1701</v>
      </c>
      <c r="AZ171" s="110" t="s">
        <v>1730</v>
      </c>
      <c r="BA171" s="109" t="s">
        <v>1737</v>
      </c>
      <c r="BC171" s="100">
        <f t="shared" si="193"/>
        <v>0</v>
      </c>
      <c r="BD171" s="100">
        <f t="shared" si="194"/>
        <v>0</v>
      </c>
      <c r="BE171" s="100">
        <v>0</v>
      </c>
      <c r="BF171" s="100">
        <f>171</f>
        <v>171</v>
      </c>
      <c r="BH171" s="108">
        <f t="shared" si="195"/>
        <v>0</v>
      </c>
      <c r="BI171" s="108">
        <f t="shared" si="196"/>
        <v>0</v>
      </c>
      <c r="BJ171" s="108">
        <f t="shared" si="197"/>
        <v>0</v>
      </c>
    </row>
    <row r="172" spans="1:62" x14ac:dyDescent="0.2">
      <c r="A172" s="117" t="s">
        <v>140</v>
      </c>
      <c r="B172" s="117" t="s">
        <v>682</v>
      </c>
      <c r="C172" s="304" t="s">
        <v>1191</v>
      </c>
      <c r="D172" s="305"/>
      <c r="E172" s="305"/>
      <c r="F172" s="117" t="s">
        <v>1645</v>
      </c>
      <c r="G172" s="116">
        <v>145.624</v>
      </c>
      <c r="H172" s="159"/>
      <c r="I172" s="108">
        <f t="shared" si="176"/>
        <v>0</v>
      </c>
      <c r="J172" s="108">
        <f t="shared" si="177"/>
        <v>0</v>
      </c>
      <c r="K172" s="108">
        <f t="shared" si="178"/>
        <v>0</v>
      </c>
      <c r="L172" s="111" t="s">
        <v>1671</v>
      </c>
      <c r="Z172" s="100">
        <f t="shared" si="179"/>
        <v>0</v>
      </c>
      <c r="AB172" s="100">
        <f t="shared" si="180"/>
        <v>0</v>
      </c>
      <c r="AC172" s="100">
        <f t="shared" si="181"/>
        <v>0</v>
      </c>
      <c r="AD172" s="100">
        <f t="shared" si="182"/>
        <v>0</v>
      </c>
      <c r="AE172" s="100">
        <f t="shared" si="183"/>
        <v>0</v>
      </c>
      <c r="AF172" s="100">
        <f t="shared" si="184"/>
        <v>0</v>
      </c>
      <c r="AG172" s="100">
        <f t="shared" si="185"/>
        <v>0</v>
      </c>
      <c r="AH172" s="100">
        <f t="shared" si="186"/>
        <v>0</v>
      </c>
      <c r="AI172" s="109"/>
      <c r="AJ172" s="108">
        <f t="shared" si="187"/>
        <v>0</v>
      </c>
      <c r="AK172" s="108">
        <f t="shared" si="188"/>
        <v>0</v>
      </c>
      <c r="AL172" s="108">
        <f t="shared" si="189"/>
        <v>0</v>
      </c>
      <c r="AN172" s="100">
        <v>15</v>
      </c>
      <c r="AO172" s="100">
        <f t="shared" si="198"/>
        <v>0</v>
      </c>
      <c r="AP172" s="100">
        <f t="shared" si="199"/>
        <v>0</v>
      </c>
      <c r="AQ172" s="111" t="s">
        <v>7</v>
      </c>
      <c r="AV172" s="100">
        <f t="shared" si="190"/>
        <v>0</v>
      </c>
      <c r="AW172" s="100">
        <f t="shared" si="191"/>
        <v>0</v>
      </c>
      <c r="AX172" s="100">
        <f t="shared" si="192"/>
        <v>0</v>
      </c>
      <c r="AY172" s="110" t="s">
        <v>1701</v>
      </c>
      <c r="AZ172" s="110" t="s">
        <v>1730</v>
      </c>
      <c r="BA172" s="109" t="s">
        <v>1737</v>
      </c>
      <c r="BC172" s="100">
        <f t="shared" si="193"/>
        <v>0</v>
      </c>
      <c r="BD172" s="100">
        <f t="shared" si="194"/>
        <v>0</v>
      </c>
      <c r="BE172" s="100">
        <v>0</v>
      </c>
      <c r="BF172" s="100">
        <f>172</f>
        <v>172</v>
      </c>
      <c r="BH172" s="108">
        <f t="shared" si="195"/>
        <v>0</v>
      </c>
      <c r="BI172" s="108">
        <f t="shared" si="196"/>
        <v>0</v>
      </c>
      <c r="BJ172" s="108">
        <f t="shared" si="197"/>
        <v>0</v>
      </c>
    </row>
    <row r="173" spans="1:62" x14ac:dyDescent="0.2">
      <c r="A173" s="117" t="s">
        <v>141</v>
      </c>
      <c r="B173" s="117" t="s">
        <v>682</v>
      </c>
      <c r="C173" s="304" t="s">
        <v>2837</v>
      </c>
      <c r="D173" s="305"/>
      <c r="E173" s="305"/>
      <c r="F173" s="117" t="s">
        <v>1645</v>
      </c>
      <c r="G173" s="116">
        <v>88.555999999999997</v>
      </c>
      <c r="H173" s="159"/>
      <c r="I173" s="108">
        <f t="shared" si="176"/>
        <v>0</v>
      </c>
      <c r="J173" s="108">
        <f t="shared" si="177"/>
        <v>0</v>
      </c>
      <c r="K173" s="108">
        <f t="shared" si="178"/>
        <v>0</v>
      </c>
      <c r="L173" s="111" t="s">
        <v>1671</v>
      </c>
      <c r="Z173" s="100">
        <f t="shared" si="179"/>
        <v>0</v>
      </c>
      <c r="AB173" s="100">
        <f t="shared" si="180"/>
        <v>0</v>
      </c>
      <c r="AC173" s="100">
        <f t="shared" si="181"/>
        <v>0</v>
      </c>
      <c r="AD173" s="100">
        <f t="shared" si="182"/>
        <v>0</v>
      </c>
      <c r="AE173" s="100">
        <f t="shared" si="183"/>
        <v>0</v>
      </c>
      <c r="AF173" s="100">
        <f t="shared" si="184"/>
        <v>0</v>
      </c>
      <c r="AG173" s="100">
        <f t="shared" si="185"/>
        <v>0</v>
      </c>
      <c r="AH173" s="100">
        <f t="shared" si="186"/>
        <v>0</v>
      </c>
      <c r="AI173" s="109"/>
      <c r="AJ173" s="108">
        <f t="shared" si="187"/>
        <v>0</v>
      </c>
      <c r="AK173" s="108">
        <f t="shared" si="188"/>
        <v>0</v>
      </c>
      <c r="AL173" s="108">
        <f t="shared" si="189"/>
        <v>0</v>
      </c>
      <c r="AN173" s="100">
        <v>15</v>
      </c>
      <c r="AO173" s="100">
        <f t="shared" si="198"/>
        <v>0</v>
      </c>
      <c r="AP173" s="100">
        <f t="shared" si="199"/>
        <v>0</v>
      </c>
      <c r="AQ173" s="111" t="s">
        <v>7</v>
      </c>
      <c r="AV173" s="100">
        <f t="shared" si="190"/>
        <v>0</v>
      </c>
      <c r="AW173" s="100">
        <f t="shared" si="191"/>
        <v>0</v>
      </c>
      <c r="AX173" s="100">
        <f t="shared" si="192"/>
        <v>0</v>
      </c>
      <c r="AY173" s="110" t="s">
        <v>1701</v>
      </c>
      <c r="AZ173" s="110" t="s">
        <v>1730</v>
      </c>
      <c r="BA173" s="109" t="s">
        <v>1737</v>
      </c>
      <c r="BC173" s="100">
        <f t="shared" si="193"/>
        <v>0</v>
      </c>
      <c r="BD173" s="100">
        <f t="shared" si="194"/>
        <v>0</v>
      </c>
      <c r="BE173" s="100">
        <v>0</v>
      </c>
      <c r="BF173" s="100">
        <f>173</f>
        <v>173</v>
      </c>
      <c r="BH173" s="108">
        <f t="shared" si="195"/>
        <v>0</v>
      </c>
      <c r="BI173" s="108">
        <f t="shared" si="196"/>
        <v>0</v>
      </c>
      <c r="BJ173" s="108">
        <f t="shared" si="197"/>
        <v>0</v>
      </c>
    </row>
    <row r="174" spans="1:62" x14ac:dyDescent="0.2">
      <c r="A174" s="117" t="s">
        <v>142</v>
      </c>
      <c r="B174" s="117" t="s">
        <v>683</v>
      </c>
      <c r="C174" s="304" t="s">
        <v>4131</v>
      </c>
      <c r="D174" s="305"/>
      <c r="E174" s="305"/>
      <c r="F174" s="117" t="s">
        <v>1645</v>
      </c>
      <c r="G174" s="116">
        <v>141.28299999999999</v>
      </c>
      <c r="H174" s="159"/>
      <c r="I174" s="108">
        <f t="shared" si="176"/>
        <v>0</v>
      </c>
      <c r="J174" s="108">
        <f t="shared" si="177"/>
        <v>0</v>
      </c>
      <c r="K174" s="108">
        <f t="shared" si="178"/>
        <v>0</v>
      </c>
      <c r="L174" s="111" t="s">
        <v>1671</v>
      </c>
      <c r="Z174" s="100">
        <f t="shared" si="179"/>
        <v>0</v>
      </c>
      <c r="AB174" s="100">
        <f t="shared" si="180"/>
        <v>0</v>
      </c>
      <c r="AC174" s="100">
        <f t="shared" si="181"/>
        <v>0</v>
      </c>
      <c r="AD174" s="100">
        <f t="shared" si="182"/>
        <v>0</v>
      </c>
      <c r="AE174" s="100">
        <f t="shared" si="183"/>
        <v>0</v>
      </c>
      <c r="AF174" s="100">
        <f t="shared" si="184"/>
        <v>0</v>
      </c>
      <c r="AG174" s="100">
        <f t="shared" si="185"/>
        <v>0</v>
      </c>
      <c r="AH174" s="100">
        <f t="shared" si="186"/>
        <v>0</v>
      </c>
      <c r="AI174" s="109"/>
      <c r="AJ174" s="108">
        <f t="shared" si="187"/>
        <v>0</v>
      </c>
      <c r="AK174" s="108">
        <f t="shared" si="188"/>
        <v>0</v>
      </c>
      <c r="AL174" s="108">
        <f t="shared" si="189"/>
        <v>0</v>
      </c>
      <c r="AN174" s="100">
        <v>15</v>
      </c>
      <c r="AO174" s="100">
        <f t="shared" si="198"/>
        <v>0</v>
      </c>
      <c r="AP174" s="100">
        <f t="shared" si="199"/>
        <v>0</v>
      </c>
      <c r="AQ174" s="111" t="s">
        <v>7</v>
      </c>
      <c r="AV174" s="100">
        <f t="shared" si="190"/>
        <v>0</v>
      </c>
      <c r="AW174" s="100">
        <f t="shared" si="191"/>
        <v>0</v>
      </c>
      <c r="AX174" s="100">
        <f t="shared" si="192"/>
        <v>0</v>
      </c>
      <c r="AY174" s="110" t="s">
        <v>1701</v>
      </c>
      <c r="AZ174" s="110" t="s">
        <v>1730</v>
      </c>
      <c r="BA174" s="109" t="s">
        <v>1737</v>
      </c>
      <c r="BC174" s="100">
        <f t="shared" si="193"/>
        <v>0</v>
      </c>
      <c r="BD174" s="100">
        <f t="shared" si="194"/>
        <v>0</v>
      </c>
      <c r="BE174" s="100">
        <v>0</v>
      </c>
      <c r="BF174" s="100">
        <f>174</f>
        <v>174</v>
      </c>
      <c r="BH174" s="108">
        <f t="shared" si="195"/>
        <v>0</v>
      </c>
      <c r="BI174" s="108">
        <f t="shared" si="196"/>
        <v>0</v>
      </c>
      <c r="BJ174" s="108">
        <f t="shared" si="197"/>
        <v>0</v>
      </c>
    </row>
    <row r="175" spans="1:62" x14ac:dyDescent="0.2">
      <c r="A175" s="117" t="s">
        <v>143</v>
      </c>
      <c r="B175" s="117" t="s">
        <v>2836</v>
      </c>
      <c r="C175" s="304" t="s">
        <v>2835</v>
      </c>
      <c r="D175" s="305"/>
      <c r="E175" s="305"/>
      <c r="F175" s="117" t="s">
        <v>1645</v>
      </c>
      <c r="G175" s="116">
        <v>16.460999999999999</v>
      </c>
      <c r="H175" s="159"/>
      <c r="I175" s="108">
        <f t="shared" si="176"/>
        <v>0</v>
      </c>
      <c r="J175" s="108">
        <f t="shared" si="177"/>
        <v>0</v>
      </c>
      <c r="K175" s="108">
        <f t="shared" si="178"/>
        <v>0</v>
      </c>
      <c r="L175" s="111" t="s">
        <v>1671</v>
      </c>
      <c r="Z175" s="100">
        <f t="shared" si="179"/>
        <v>0</v>
      </c>
      <c r="AB175" s="100">
        <f t="shared" si="180"/>
        <v>0</v>
      </c>
      <c r="AC175" s="100">
        <f t="shared" si="181"/>
        <v>0</v>
      </c>
      <c r="AD175" s="100">
        <f t="shared" si="182"/>
        <v>0</v>
      </c>
      <c r="AE175" s="100">
        <f t="shared" si="183"/>
        <v>0</v>
      </c>
      <c r="AF175" s="100">
        <f t="shared" si="184"/>
        <v>0</v>
      </c>
      <c r="AG175" s="100">
        <f t="shared" si="185"/>
        <v>0</v>
      </c>
      <c r="AH175" s="100">
        <f t="shared" si="186"/>
        <v>0</v>
      </c>
      <c r="AI175" s="109"/>
      <c r="AJ175" s="108">
        <f t="shared" si="187"/>
        <v>0</v>
      </c>
      <c r="AK175" s="108">
        <f t="shared" si="188"/>
        <v>0</v>
      </c>
      <c r="AL175" s="108">
        <f t="shared" si="189"/>
        <v>0</v>
      </c>
      <c r="AN175" s="100">
        <v>15</v>
      </c>
      <c r="AO175" s="100">
        <f t="shared" si="198"/>
        <v>0</v>
      </c>
      <c r="AP175" s="100">
        <f t="shared" si="199"/>
        <v>0</v>
      </c>
      <c r="AQ175" s="111" t="s">
        <v>7</v>
      </c>
      <c r="AV175" s="100">
        <f t="shared" si="190"/>
        <v>0</v>
      </c>
      <c r="AW175" s="100">
        <f t="shared" si="191"/>
        <v>0</v>
      </c>
      <c r="AX175" s="100">
        <f t="shared" si="192"/>
        <v>0</v>
      </c>
      <c r="AY175" s="110" t="s">
        <v>1701</v>
      </c>
      <c r="AZ175" s="110" t="s">
        <v>1730</v>
      </c>
      <c r="BA175" s="109" t="s">
        <v>1737</v>
      </c>
      <c r="BC175" s="100">
        <f t="shared" si="193"/>
        <v>0</v>
      </c>
      <c r="BD175" s="100">
        <f t="shared" si="194"/>
        <v>0</v>
      </c>
      <c r="BE175" s="100">
        <v>0</v>
      </c>
      <c r="BF175" s="100">
        <f>175</f>
        <v>175</v>
      </c>
      <c r="BH175" s="108">
        <f t="shared" si="195"/>
        <v>0</v>
      </c>
      <c r="BI175" s="108">
        <f t="shared" si="196"/>
        <v>0</v>
      </c>
      <c r="BJ175" s="108">
        <f t="shared" si="197"/>
        <v>0</v>
      </c>
    </row>
    <row r="176" spans="1:62" x14ac:dyDescent="0.2">
      <c r="A176" s="117" t="s">
        <v>144</v>
      </c>
      <c r="B176" s="117" t="s">
        <v>2834</v>
      </c>
      <c r="C176" s="304" t="s">
        <v>2833</v>
      </c>
      <c r="D176" s="305"/>
      <c r="E176" s="305"/>
      <c r="F176" s="117" t="s">
        <v>1645</v>
      </c>
      <c r="G176" s="116">
        <v>88.555999999999997</v>
      </c>
      <c r="H176" s="159"/>
      <c r="I176" s="108">
        <f t="shared" si="176"/>
        <v>0</v>
      </c>
      <c r="J176" s="108">
        <f t="shared" si="177"/>
        <v>0</v>
      </c>
      <c r="K176" s="108">
        <f t="shared" si="178"/>
        <v>0</v>
      </c>
      <c r="L176" s="111" t="s">
        <v>1671</v>
      </c>
      <c r="Z176" s="100">
        <f t="shared" si="179"/>
        <v>0</v>
      </c>
      <c r="AB176" s="100">
        <f t="shared" si="180"/>
        <v>0</v>
      </c>
      <c r="AC176" s="100">
        <f t="shared" si="181"/>
        <v>0</v>
      </c>
      <c r="AD176" s="100">
        <f t="shared" si="182"/>
        <v>0</v>
      </c>
      <c r="AE176" s="100">
        <f t="shared" si="183"/>
        <v>0</v>
      </c>
      <c r="AF176" s="100">
        <f t="shared" si="184"/>
        <v>0</v>
      </c>
      <c r="AG176" s="100">
        <f t="shared" si="185"/>
        <v>0</v>
      </c>
      <c r="AH176" s="100">
        <f t="shared" si="186"/>
        <v>0</v>
      </c>
      <c r="AI176" s="109"/>
      <c r="AJ176" s="108">
        <f t="shared" si="187"/>
        <v>0</v>
      </c>
      <c r="AK176" s="108">
        <f t="shared" si="188"/>
        <v>0</v>
      </c>
      <c r="AL176" s="108">
        <f t="shared" si="189"/>
        <v>0</v>
      </c>
      <c r="AN176" s="100">
        <v>15</v>
      </c>
      <c r="AO176" s="100">
        <f t="shared" si="198"/>
        <v>0</v>
      </c>
      <c r="AP176" s="100">
        <f t="shared" si="199"/>
        <v>0</v>
      </c>
      <c r="AQ176" s="111" t="s">
        <v>7</v>
      </c>
      <c r="AV176" s="100">
        <f t="shared" si="190"/>
        <v>0</v>
      </c>
      <c r="AW176" s="100">
        <f t="shared" si="191"/>
        <v>0</v>
      </c>
      <c r="AX176" s="100">
        <f t="shared" si="192"/>
        <v>0</v>
      </c>
      <c r="AY176" s="110" t="s">
        <v>1701</v>
      </c>
      <c r="AZ176" s="110" t="s">
        <v>1730</v>
      </c>
      <c r="BA176" s="109" t="s">
        <v>1737</v>
      </c>
      <c r="BC176" s="100">
        <f t="shared" si="193"/>
        <v>0</v>
      </c>
      <c r="BD176" s="100">
        <f t="shared" si="194"/>
        <v>0</v>
      </c>
      <c r="BE176" s="100">
        <v>0</v>
      </c>
      <c r="BF176" s="100">
        <f>176</f>
        <v>176</v>
      </c>
      <c r="BH176" s="108">
        <f t="shared" si="195"/>
        <v>0</v>
      </c>
      <c r="BI176" s="108">
        <f t="shared" si="196"/>
        <v>0</v>
      </c>
      <c r="BJ176" s="108">
        <f t="shared" si="197"/>
        <v>0</v>
      </c>
    </row>
    <row r="177" spans="1:62" x14ac:dyDescent="0.2">
      <c r="A177" s="119"/>
      <c r="B177" s="120" t="s">
        <v>686</v>
      </c>
      <c r="C177" s="306" t="s">
        <v>1198</v>
      </c>
      <c r="D177" s="307"/>
      <c r="E177" s="307"/>
      <c r="F177" s="119" t="s">
        <v>6</v>
      </c>
      <c r="G177" s="119" t="s">
        <v>6</v>
      </c>
      <c r="H177" s="119" t="s">
        <v>6</v>
      </c>
      <c r="I177" s="118">
        <f>SUM(I178:I193)</f>
        <v>0</v>
      </c>
      <c r="J177" s="118">
        <f>SUM(J178:J193)</f>
        <v>0</v>
      </c>
      <c r="K177" s="118">
        <f>SUM(K178:K193)</f>
        <v>0</v>
      </c>
      <c r="L177" s="109"/>
      <c r="AI177" s="109"/>
      <c r="AS177" s="118">
        <f>SUM(AJ178:AJ193)</f>
        <v>0</v>
      </c>
      <c r="AT177" s="118">
        <f>SUM(AK178:AK193)</f>
        <v>0</v>
      </c>
      <c r="AU177" s="118">
        <f>SUM(AL178:AL193)</f>
        <v>0</v>
      </c>
    </row>
    <row r="178" spans="1:62" x14ac:dyDescent="0.2">
      <c r="A178" s="117" t="s">
        <v>145</v>
      </c>
      <c r="B178" s="117" t="s">
        <v>687</v>
      </c>
      <c r="C178" s="304" t="s">
        <v>1199</v>
      </c>
      <c r="D178" s="305"/>
      <c r="E178" s="305"/>
      <c r="F178" s="117" t="s">
        <v>1648</v>
      </c>
      <c r="G178" s="116">
        <v>49.703000000000003</v>
      </c>
      <c r="H178" s="159"/>
      <c r="I178" s="108">
        <f t="shared" ref="I178:I193" si="200">G178*AO178</f>
        <v>0</v>
      </c>
      <c r="J178" s="108">
        <f t="shared" ref="J178:J193" si="201">G178*AP178</f>
        <v>0</v>
      </c>
      <c r="K178" s="108">
        <f t="shared" ref="K178:K193" si="202">G178*H178</f>
        <v>0</v>
      </c>
      <c r="L178" s="111" t="s">
        <v>1671</v>
      </c>
      <c r="Z178" s="100">
        <f t="shared" ref="Z178:Z193" si="203">IF(AQ178="5",BJ178,0)</f>
        <v>0</v>
      </c>
      <c r="AB178" s="100">
        <f t="shared" ref="AB178:AB193" si="204">IF(AQ178="1",BH178,0)</f>
        <v>0</v>
      </c>
      <c r="AC178" s="100">
        <f t="shared" ref="AC178:AC193" si="205">IF(AQ178="1",BI178,0)</f>
        <v>0</v>
      </c>
      <c r="AD178" s="100">
        <f t="shared" ref="AD178:AD193" si="206">IF(AQ178="7",BH178,0)</f>
        <v>0</v>
      </c>
      <c r="AE178" s="100">
        <f t="shared" ref="AE178:AE193" si="207">IF(AQ178="7",BI178,0)</f>
        <v>0</v>
      </c>
      <c r="AF178" s="100">
        <f t="shared" ref="AF178:AF193" si="208">IF(AQ178="2",BH178,0)</f>
        <v>0</v>
      </c>
      <c r="AG178" s="100">
        <f t="shared" ref="AG178:AG193" si="209">IF(AQ178="2",BI178,0)</f>
        <v>0</v>
      </c>
      <c r="AH178" s="100">
        <f t="shared" ref="AH178:AH193" si="210">IF(AQ178="0",BJ178,0)</f>
        <v>0</v>
      </c>
      <c r="AI178" s="109"/>
      <c r="AJ178" s="108">
        <f t="shared" ref="AJ178:AJ193" si="211">IF(AN178=0,K178,0)</f>
        <v>0</v>
      </c>
      <c r="AK178" s="108">
        <f t="shared" ref="AK178:AK193" si="212">IF(AN178=15,K178,0)</f>
        <v>0</v>
      </c>
      <c r="AL178" s="108">
        <f t="shared" ref="AL178:AL193" si="213">IF(AN178=21,K178,0)</f>
        <v>0</v>
      </c>
      <c r="AN178" s="100">
        <v>15</v>
      </c>
      <c r="AO178" s="100">
        <f t="shared" ref="AO178:AO193" si="214">H178*0</f>
        <v>0</v>
      </c>
      <c r="AP178" s="100">
        <f t="shared" ref="AP178:AP193" si="215">H178*(1-0)</f>
        <v>0</v>
      </c>
      <c r="AQ178" s="111" t="s">
        <v>11</v>
      </c>
      <c r="AV178" s="100">
        <f t="shared" ref="AV178:AV193" si="216">AW178+AX178</f>
        <v>0</v>
      </c>
      <c r="AW178" s="100">
        <f t="shared" ref="AW178:AW193" si="217">G178*AO178</f>
        <v>0</v>
      </c>
      <c r="AX178" s="100">
        <f t="shared" ref="AX178:AX193" si="218">G178*AP178</f>
        <v>0</v>
      </c>
      <c r="AY178" s="110" t="s">
        <v>1703</v>
      </c>
      <c r="AZ178" s="110" t="s">
        <v>1730</v>
      </c>
      <c r="BA178" s="109" t="s">
        <v>1737</v>
      </c>
      <c r="BC178" s="100">
        <f t="shared" ref="BC178:BC193" si="219">AW178+AX178</f>
        <v>0</v>
      </c>
      <c r="BD178" s="100">
        <f t="shared" ref="BD178:BD193" si="220">H178/(100-BE178)*100</f>
        <v>0</v>
      </c>
      <c r="BE178" s="100">
        <v>0</v>
      </c>
      <c r="BF178" s="100">
        <f>178</f>
        <v>178</v>
      </c>
      <c r="BH178" s="108">
        <f t="shared" ref="BH178:BH193" si="221">G178*AO178</f>
        <v>0</v>
      </c>
      <c r="BI178" s="108">
        <f t="shared" ref="BI178:BI193" si="222">G178*AP178</f>
        <v>0</v>
      </c>
      <c r="BJ178" s="108">
        <f t="shared" ref="BJ178:BJ193" si="223">G178*H178</f>
        <v>0</v>
      </c>
    </row>
    <row r="179" spans="1:62" x14ac:dyDescent="0.2">
      <c r="A179" s="117" t="s">
        <v>146</v>
      </c>
      <c r="B179" s="117" t="s">
        <v>688</v>
      </c>
      <c r="C179" s="304" t="s">
        <v>1200</v>
      </c>
      <c r="D179" s="305"/>
      <c r="E179" s="305"/>
      <c r="F179" s="117" t="s">
        <v>1648</v>
      </c>
      <c r="G179" s="116">
        <v>29.821999999999999</v>
      </c>
      <c r="H179" s="159"/>
      <c r="I179" s="108">
        <f t="shared" si="200"/>
        <v>0</v>
      </c>
      <c r="J179" s="108">
        <f t="shared" si="201"/>
        <v>0</v>
      </c>
      <c r="K179" s="108">
        <f t="shared" si="202"/>
        <v>0</v>
      </c>
      <c r="L179" s="111" t="s">
        <v>1671</v>
      </c>
      <c r="Z179" s="100">
        <f t="shared" si="203"/>
        <v>0</v>
      </c>
      <c r="AB179" s="100">
        <f t="shared" si="204"/>
        <v>0</v>
      </c>
      <c r="AC179" s="100">
        <f t="shared" si="205"/>
        <v>0</v>
      </c>
      <c r="AD179" s="100">
        <f t="shared" si="206"/>
        <v>0</v>
      </c>
      <c r="AE179" s="100">
        <f t="shared" si="207"/>
        <v>0</v>
      </c>
      <c r="AF179" s="100">
        <f t="shared" si="208"/>
        <v>0</v>
      </c>
      <c r="AG179" s="100">
        <f t="shared" si="209"/>
        <v>0</v>
      </c>
      <c r="AH179" s="100">
        <f t="shared" si="210"/>
        <v>0</v>
      </c>
      <c r="AI179" s="109"/>
      <c r="AJ179" s="108">
        <f t="shared" si="211"/>
        <v>0</v>
      </c>
      <c r="AK179" s="108">
        <f t="shared" si="212"/>
        <v>0</v>
      </c>
      <c r="AL179" s="108">
        <f t="shared" si="213"/>
        <v>0</v>
      </c>
      <c r="AN179" s="100">
        <v>15</v>
      </c>
      <c r="AO179" s="100">
        <f t="shared" si="214"/>
        <v>0</v>
      </c>
      <c r="AP179" s="100">
        <f t="shared" si="215"/>
        <v>0</v>
      </c>
      <c r="AQ179" s="111" t="s">
        <v>11</v>
      </c>
      <c r="AV179" s="100">
        <f t="shared" si="216"/>
        <v>0</v>
      </c>
      <c r="AW179" s="100">
        <f t="shared" si="217"/>
        <v>0</v>
      </c>
      <c r="AX179" s="100">
        <f t="shared" si="218"/>
        <v>0</v>
      </c>
      <c r="AY179" s="110" t="s">
        <v>1703</v>
      </c>
      <c r="AZ179" s="110" t="s">
        <v>1730</v>
      </c>
      <c r="BA179" s="109" t="s">
        <v>1737</v>
      </c>
      <c r="BC179" s="100">
        <f t="shared" si="219"/>
        <v>0</v>
      </c>
      <c r="BD179" s="100">
        <f t="shared" si="220"/>
        <v>0</v>
      </c>
      <c r="BE179" s="100">
        <v>0</v>
      </c>
      <c r="BF179" s="100">
        <f>179</f>
        <v>179</v>
      </c>
      <c r="BH179" s="108">
        <f t="shared" si="221"/>
        <v>0</v>
      </c>
      <c r="BI179" s="108">
        <f t="shared" si="222"/>
        <v>0</v>
      </c>
      <c r="BJ179" s="108">
        <f t="shared" si="223"/>
        <v>0</v>
      </c>
    </row>
    <row r="180" spans="1:62" x14ac:dyDescent="0.2">
      <c r="A180" s="117" t="s">
        <v>147</v>
      </c>
      <c r="B180" s="117" t="s">
        <v>689</v>
      </c>
      <c r="C180" s="304" t="s">
        <v>1201</v>
      </c>
      <c r="D180" s="305"/>
      <c r="E180" s="305"/>
      <c r="F180" s="117" t="s">
        <v>1648</v>
      </c>
      <c r="G180" s="116">
        <v>149.108</v>
      </c>
      <c r="H180" s="159"/>
      <c r="I180" s="108">
        <f t="shared" si="200"/>
        <v>0</v>
      </c>
      <c r="J180" s="108">
        <f t="shared" si="201"/>
        <v>0</v>
      </c>
      <c r="K180" s="108">
        <f t="shared" si="202"/>
        <v>0</v>
      </c>
      <c r="L180" s="111" t="s">
        <v>1671</v>
      </c>
      <c r="Z180" s="100">
        <f t="shared" si="203"/>
        <v>0</v>
      </c>
      <c r="AB180" s="100">
        <f t="shared" si="204"/>
        <v>0</v>
      </c>
      <c r="AC180" s="100">
        <f t="shared" si="205"/>
        <v>0</v>
      </c>
      <c r="AD180" s="100">
        <f t="shared" si="206"/>
        <v>0</v>
      </c>
      <c r="AE180" s="100">
        <f t="shared" si="207"/>
        <v>0</v>
      </c>
      <c r="AF180" s="100">
        <f t="shared" si="208"/>
        <v>0</v>
      </c>
      <c r="AG180" s="100">
        <f t="shared" si="209"/>
        <v>0</v>
      </c>
      <c r="AH180" s="100">
        <f t="shared" si="210"/>
        <v>0</v>
      </c>
      <c r="AI180" s="109"/>
      <c r="AJ180" s="108">
        <f t="shared" si="211"/>
        <v>0</v>
      </c>
      <c r="AK180" s="108">
        <f t="shared" si="212"/>
        <v>0</v>
      </c>
      <c r="AL180" s="108">
        <f t="shared" si="213"/>
        <v>0</v>
      </c>
      <c r="AN180" s="100">
        <v>15</v>
      </c>
      <c r="AO180" s="100">
        <f t="shared" si="214"/>
        <v>0</v>
      </c>
      <c r="AP180" s="100">
        <f t="shared" si="215"/>
        <v>0</v>
      </c>
      <c r="AQ180" s="111" t="s">
        <v>11</v>
      </c>
      <c r="AV180" s="100">
        <f t="shared" si="216"/>
        <v>0</v>
      </c>
      <c r="AW180" s="100">
        <f t="shared" si="217"/>
        <v>0</v>
      </c>
      <c r="AX180" s="100">
        <f t="shared" si="218"/>
        <v>0</v>
      </c>
      <c r="AY180" s="110" t="s">
        <v>1703</v>
      </c>
      <c r="AZ180" s="110" t="s">
        <v>1730</v>
      </c>
      <c r="BA180" s="109" t="s">
        <v>1737</v>
      </c>
      <c r="BC180" s="100">
        <f t="shared" si="219"/>
        <v>0</v>
      </c>
      <c r="BD180" s="100">
        <f t="shared" si="220"/>
        <v>0</v>
      </c>
      <c r="BE180" s="100">
        <v>0</v>
      </c>
      <c r="BF180" s="100">
        <f>180</f>
        <v>180</v>
      </c>
      <c r="BH180" s="108">
        <f t="shared" si="221"/>
        <v>0</v>
      </c>
      <c r="BI180" s="108">
        <f t="shared" si="222"/>
        <v>0</v>
      </c>
      <c r="BJ180" s="108">
        <f t="shared" si="223"/>
        <v>0</v>
      </c>
    </row>
    <row r="181" spans="1:62" x14ac:dyDescent="0.2">
      <c r="A181" s="117" t="s">
        <v>148</v>
      </c>
      <c r="B181" s="117" t="s">
        <v>690</v>
      </c>
      <c r="C181" s="304" t="s">
        <v>1202</v>
      </c>
      <c r="D181" s="305"/>
      <c r="E181" s="305"/>
      <c r="F181" s="117" t="s">
        <v>1648</v>
      </c>
      <c r="G181" s="116">
        <v>1341.972</v>
      </c>
      <c r="H181" s="159"/>
      <c r="I181" s="108">
        <f t="shared" si="200"/>
        <v>0</v>
      </c>
      <c r="J181" s="108">
        <f t="shared" si="201"/>
        <v>0</v>
      </c>
      <c r="K181" s="108">
        <f t="shared" si="202"/>
        <v>0</v>
      </c>
      <c r="L181" s="111" t="s">
        <v>1671</v>
      </c>
      <c r="Z181" s="100">
        <f t="shared" si="203"/>
        <v>0</v>
      </c>
      <c r="AB181" s="100">
        <f t="shared" si="204"/>
        <v>0</v>
      </c>
      <c r="AC181" s="100">
        <f t="shared" si="205"/>
        <v>0</v>
      </c>
      <c r="AD181" s="100">
        <f t="shared" si="206"/>
        <v>0</v>
      </c>
      <c r="AE181" s="100">
        <f t="shared" si="207"/>
        <v>0</v>
      </c>
      <c r="AF181" s="100">
        <f t="shared" si="208"/>
        <v>0</v>
      </c>
      <c r="AG181" s="100">
        <f t="shared" si="209"/>
        <v>0</v>
      </c>
      <c r="AH181" s="100">
        <f t="shared" si="210"/>
        <v>0</v>
      </c>
      <c r="AI181" s="109"/>
      <c r="AJ181" s="108">
        <f t="shared" si="211"/>
        <v>0</v>
      </c>
      <c r="AK181" s="108">
        <f t="shared" si="212"/>
        <v>0</v>
      </c>
      <c r="AL181" s="108">
        <f t="shared" si="213"/>
        <v>0</v>
      </c>
      <c r="AN181" s="100">
        <v>15</v>
      </c>
      <c r="AO181" s="100">
        <f t="shared" si="214"/>
        <v>0</v>
      </c>
      <c r="AP181" s="100">
        <f t="shared" si="215"/>
        <v>0</v>
      </c>
      <c r="AQ181" s="111" t="s">
        <v>11</v>
      </c>
      <c r="AV181" s="100">
        <f t="shared" si="216"/>
        <v>0</v>
      </c>
      <c r="AW181" s="100">
        <f t="shared" si="217"/>
        <v>0</v>
      </c>
      <c r="AX181" s="100">
        <f t="shared" si="218"/>
        <v>0</v>
      </c>
      <c r="AY181" s="110" t="s">
        <v>1703</v>
      </c>
      <c r="AZ181" s="110" t="s">
        <v>1730</v>
      </c>
      <c r="BA181" s="109" t="s">
        <v>1737</v>
      </c>
      <c r="BC181" s="100">
        <f t="shared" si="219"/>
        <v>0</v>
      </c>
      <c r="BD181" s="100">
        <f t="shared" si="220"/>
        <v>0</v>
      </c>
      <c r="BE181" s="100">
        <v>0</v>
      </c>
      <c r="BF181" s="100">
        <f>181</f>
        <v>181</v>
      </c>
      <c r="BH181" s="108">
        <f t="shared" si="221"/>
        <v>0</v>
      </c>
      <c r="BI181" s="108">
        <f t="shared" si="222"/>
        <v>0</v>
      </c>
      <c r="BJ181" s="108">
        <f t="shared" si="223"/>
        <v>0</v>
      </c>
    </row>
    <row r="182" spans="1:62" x14ac:dyDescent="0.2">
      <c r="A182" s="117" t="s">
        <v>149</v>
      </c>
      <c r="B182" s="117" t="s">
        <v>691</v>
      </c>
      <c r="C182" s="304" t="s">
        <v>1203</v>
      </c>
      <c r="D182" s="305"/>
      <c r="E182" s="305"/>
      <c r="F182" s="117" t="s">
        <v>1648</v>
      </c>
      <c r="G182" s="116">
        <v>149.108</v>
      </c>
      <c r="H182" s="159"/>
      <c r="I182" s="108">
        <f t="shared" si="200"/>
        <v>0</v>
      </c>
      <c r="J182" s="108">
        <f t="shared" si="201"/>
        <v>0</v>
      </c>
      <c r="K182" s="108">
        <f t="shared" si="202"/>
        <v>0</v>
      </c>
      <c r="L182" s="111" t="s">
        <v>1671</v>
      </c>
      <c r="Z182" s="100">
        <f t="shared" si="203"/>
        <v>0</v>
      </c>
      <c r="AB182" s="100">
        <f t="shared" si="204"/>
        <v>0</v>
      </c>
      <c r="AC182" s="100">
        <f t="shared" si="205"/>
        <v>0</v>
      </c>
      <c r="AD182" s="100">
        <f t="shared" si="206"/>
        <v>0</v>
      </c>
      <c r="AE182" s="100">
        <f t="shared" si="207"/>
        <v>0</v>
      </c>
      <c r="AF182" s="100">
        <f t="shared" si="208"/>
        <v>0</v>
      </c>
      <c r="AG182" s="100">
        <f t="shared" si="209"/>
        <v>0</v>
      </c>
      <c r="AH182" s="100">
        <f t="shared" si="210"/>
        <v>0</v>
      </c>
      <c r="AI182" s="109"/>
      <c r="AJ182" s="108">
        <f t="shared" si="211"/>
        <v>0</v>
      </c>
      <c r="AK182" s="108">
        <f t="shared" si="212"/>
        <v>0</v>
      </c>
      <c r="AL182" s="108">
        <f t="shared" si="213"/>
        <v>0</v>
      </c>
      <c r="AN182" s="100">
        <v>15</v>
      </c>
      <c r="AO182" s="100">
        <f t="shared" si="214"/>
        <v>0</v>
      </c>
      <c r="AP182" s="100">
        <f t="shared" si="215"/>
        <v>0</v>
      </c>
      <c r="AQ182" s="111" t="s">
        <v>11</v>
      </c>
      <c r="AV182" s="100">
        <f t="shared" si="216"/>
        <v>0</v>
      </c>
      <c r="AW182" s="100">
        <f t="shared" si="217"/>
        <v>0</v>
      </c>
      <c r="AX182" s="100">
        <f t="shared" si="218"/>
        <v>0</v>
      </c>
      <c r="AY182" s="110" t="s">
        <v>1703</v>
      </c>
      <c r="AZ182" s="110" t="s">
        <v>1730</v>
      </c>
      <c r="BA182" s="109" t="s">
        <v>1737</v>
      </c>
      <c r="BC182" s="100">
        <f t="shared" si="219"/>
        <v>0</v>
      </c>
      <c r="BD182" s="100">
        <f t="shared" si="220"/>
        <v>0</v>
      </c>
      <c r="BE182" s="100">
        <v>0</v>
      </c>
      <c r="BF182" s="100">
        <f>182</f>
        <v>182</v>
      </c>
      <c r="BH182" s="108">
        <f t="shared" si="221"/>
        <v>0</v>
      </c>
      <c r="BI182" s="108">
        <f t="shared" si="222"/>
        <v>0</v>
      </c>
      <c r="BJ182" s="108">
        <f t="shared" si="223"/>
        <v>0</v>
      </c>
    </row>
    <row r="183" spans="1:62" x14ac:dyDescent="0.2">
      <c r="A183" s="117" t="s">
        <v>150</v>
      </c>
      <c r="B183" s="117" t="s">
        <v>692</v>
      </c>
      <c r="C183" s="304" t="s">
        <v>1204</v>
      </c>
      <c r="D183" s="305"/>
      <c r="E183" s="305"/>
      <c r="F183" s="117" t="s">
        <v>1648</v>
      </c>
      <c r="G183" s="116">
        <v>596.43200000000002</v>
      </c>
      <c r="H183" s="159"/>
      <c r="I183" s="108">
        <f t="shared" si="200"/>
        <v>0</v>
      </c>
      <c r="J183" s="108">
        <f t="shared" si="201"/>
        <v>0</v>
      </c>
      <c r="K183" s="108">
        <f t="shared" si="202"/>
        <v>0</v>
      </c>
      <c r="L183" s="111" t="s">
        <v>1671</v>
      </c>
      <c r="Z183" s="100">
        <f t="shared" si="203"/>
        <v>0</v>
      </c>
      <c r="AB183" s="100">
        <f t="shared" si="204"/>
        <v>0</v>
      </c>
      <c r="AC183" s="100">
        <f t="shared" si="205"/>
        <v>0</v>
      </c>
      <c r="AD183" s="100">
        <f t="shared" si="206"/>
        <v>0</v>
      </c>
      <c r="AE183" s="100">
        <f t="shared" si="207"/>
        <v>0</v>
      </c>
      <c r="AF183" s="100">
        <f t="shared" si="208"/>
        <v>0</v>
      </c>
      <c r="AG183" s="100">
        <f t="shared" si="209"/>
        <v>0</v>
      </c>
      <c r="AH183" s="100">
        <f t="shared" si="210"/>
        <v>0</v>
      </c>
      <c r="AI183" s="109"/>
      <c r="AJ183" s="108">
        <f t="shared" si="211"/>
        <v>0</v>
      </c>
      <c r="AK183" s="108">
        <f t="shared" si="212"/>
        <v>0</v>
      </c>
      <c r="AL183" s="108">
        <f t="shared" si="213"/>
        <v>0</v>
      </c>
      <c r="AN183" s="100">
        <v>15</v>
      </c>
      <c r="AO183" s="100">
        <f t="shared" si="214"/>
        <v>0</v>
      </c>
      <c r="AP183" s="100">
        <f t="shared" si="215"/>
        <v>0</v>
      </c>
      <c r="AQ183" s="111" t="s">
        <v>11</v>
      </c>
      <c r="AV183" s="100">
        <f t="shared" si="216"/>
        <v>0</v>
      </c>
      <c r="AW183" s="100">
        <f t="shared" si="217"/>
        <v>0</v>
      </c>
      <c r="AX183" s="100">
        <f t="shared" si="218"/>
        <v>0</v>
      </c>
      <c r="AY183" s="110" t="s">
        <v>1703</v>
      </c>
      <c r="AZ183" s="110" t="s">
        <v>1730</v>
      </c>
      <c r="BA183" s="109" t="s">
        <v>1737</v>
      </c>
      <c r="BC183" s="100">
        <f t="shared" si="219"/>
        <v>0</v>
      </c>
      <c r="BD183" s="100">
        <f t="shared" si="220"/>
        <v>0</v>
      </c>
      <c r="BE183" s="100">
        <v>0</v>
      </c>
      <c r="BF183" s="100">
        <f>183</f>
        <v>183</v>
      </c>
      <c r="BH183" s="108">
        <f t="shared" si="221"/>
        <v>0</v>
      </c>
      <c r="BI183" s="108">
        <f t="shared" si="222"/>
        <v>0</v>
      </c>
      <c r="BJ183" s="108">
        <f t="shared" si="223"/>
        <v>0</v>
      </c>
    </row>
    <row r="184" spans="1:62" x14ac:dyDescent="0.2">
      <c r="A184" s="117" t="s">
        <v>151</v>
      </c>
      <c r="B184" s="117" t="s">
        <v>693</v>
      </c>
      <c r="C184" s="304" t="s">
        <v>1205</v>
      </c>
      <c r="D184" s="305"/>
      <c r="E184" s="305"/>
      <c r="F184" s="117" t="s">
        <v>1648</v>
      </c>
      <c r="G184" s="116">
        <v>149.108</v>
      </c>
      <c r="H184" s="159"/>
      <c r="I184" s="108">
        <f t="shared" si="200"/>
        <v>0</v>
      </c>
      <c r="J184" s="108">
        <f t="shared" si="201"/>
        <v>0</v>
      </c>
      <c r="K184" s="108">
        <f t="shared" si="202"/>
        <v>0</v>
      </c>
      <c r="L184" s="111" t="s">
        <v>1671</v>
      </c>
      <c r="Z184" s="100">
        <f t="shared" si="203"/>
        <v>0</v>
      </c>
      <c r="AB184" s="100">
        <f t="shared" si="204"/>
        <v>0</v>
      </c>
      <c r="AC184" s="100">
        <f t="shared" si="205"/>
        <v>0</v>
      </c>
      <c r="AD184" s="100">
        <f t="shared" si="206"/>
        <v>0</v>
      </c>
      <c r="AE184" s="100">
        <f t="shared" si="207"/>
        <v>0</v>
      </c>
      <c r="AF184" s="100">
        <f t="shared" si="208"/>
        <v>0</v>
      </c>
      <c r="AG184" s="100">
        <f t="shared" si="209"/>
        <v>0</v>
      </c>
      <c r="AH184" s="100">
        <f t="shared" si="210"/>
        <v>0</v>
      </c>
      <c r="AI184" s="109"/>
      <c r="AJ184" s="108">
        <f t="shared" si="211"/>
        <v>0</v>
      </c>
      <c r="AK184" s="108">
        <f t="shared" si="212"/>
        <v>0</v>
      </c>
      <c r="AL184" s="108">
        <f t="shared" si="213"/>
        <v>0</v>
      </c>
      <c r="AN184" s="100">
        <v>15</v>
      </c>
      <c r="AO184" s="100">
        <f t="shared" si="214"/>
        <v>0</v>
      </c>
      <c r="AP184" s="100">
        <f t="shared" si="215"/>
        <v>0</v>
      </c>
      <c r="AQ184" s="111" t="s">
        <v>11</v>
      </c>
      <c r="AV184" s="100">
        <f t="shared" si="216"/>
        <v>0</v>
      </c>
      <c r="AW184" s="100">
        <f t="shared" si="217"/>
        <v>0</v>
      </c>
      <c r="AX184" s="100">
        <f t="shared" si="218"/>
        <v>0</v>
      </c>
      <c r="AY184" s="110" t="s">
        <v>1703</v>
      </c>
      <c r="AZ184" s="110" t="s">
        <v>1730</v>
      </c>
      <c r="BA184" s="109" t="s">
        <v>1737</v>
      </c>
      <c r="BC184" s="100">
        <f t="shared" si="219"/>
        <v>0</v>
      </c>
      <c r="BD184" s="100">
        <f t="shared" si="220"/>
        <v>0</v>
      </c>
      <c r="BE184" s="100">
        <v>0</v>
      </c>
      <c r="BF184" s="100">
        <f>184</f>
        <v>184</v>
      </c>
      <c r="BH184" s="108">
        <f t="shared" si="221"/>
        <v>0</v>
      </c>
      <c r="BI184" s="108">
        <f t="shared" si="222"/>
        <v>0</v>
      </c>
      <c r="BJ184" s="108">
        <f t="shared" si="223"/>
        <v>0</v>
      </c>
    </row>
    <row r="185" spans="1:62" x14ac:dyDescent="0.2">
      <c r="A185" s="117" t="s">
        <v>152</v>
      </c>
      <c r="B185" s="117" t="s">
        <v>694</v>
      </c>
      <c r="C185" s="304" t="s">
        <v>1206</v>
      </c>
      <c r="D185" s="305"/>
      <c r="E185" s="305"/>
      <c r="F185" s="117" t="s">
        <v>1648</v>
      </c>
      <c r="G185" s="116">
        <v>149.108</v>
      </c>
      <c r="H185" s="159"/>
      <c r="I185" s="108">
        <f t="shared" si="200"/>
        <v>0</v>
      </c>
      <c r="J185" s="108">
        <f t="shared" si="201"/>
        <v>0</v>
      </c>
      <c r="K185" s="108">
        <f t="shared" si="202"/>
        <v>0</v>
      </c>
      <c r="L185" s="111" t="s">
        <v>1671</v>
      </c>
      <c r="Z185" s="100">
        <f t="shared" si="203"/>
        <v>0</v>
      </c>
      <c r="AB185" s="100">
        <f t="shared" si="204"/>
        <v>0</v>
      </c>
      <c r="AC185" s="100">
        <f t="shared" si="205"/>
        <v>0</v>
      </c>
      <c r="AD185" s="100">
        <f t="shared" si="206"/>
        <v>0</v>
      </c>
      <c r="AE185" s="100">
        <f t="shared" si="207"/>
        <v>0</v>
      </c>
      <c r="AF185" s="100">
        <f t="shared" si="208"/>
        <v>0</v>
      </c>
      <c r="AG185" s="100">
        <f t="shared" si="209"/>
        <v>0</v>
      </c>
      <c r="AH185" s="100">
        <f t="shared" si="210"/>
        <v>0</v>
      </c>
      <c r="AI185" s="109"/>
      <c r="AJ185" s="108">
        <f t="shared" si="211"/>
        <v>0</v>
      </c>
      <c r="AK185" s="108">
        <f t="shared" si="212"/>
        <v>0</v>
      </c>
      <c r="AL185" s="108">
        <f t="shared" si="213"/>
        <v>0</v>
      </c>
      <c r="AN185" s="100">
        <v>15</v>
      </c>
      <c r="AO185" s="100">
        <f t="shared" si="214"/>
        <v>0</v>
      </c>
      <c r="AP185" s="100">
        <f t="shared" si="215"/>
        <v>0</v>
      </c>
      <c r="AQ185" s="111" t="s">
        <v>11</v>
      </c>
      <c r="AV185" s="100">
        <f t="shared" si="216"/>
        <v>0</v>
      </c>
      <c r="AW185" s="100">
        <f t="shared" si="217"/>
        <v>0</v>
      </c>
      <c r="AX185" s="100">
        <f t="shared" si="218"/>
        <v>0</v>
      </c>
      <c r="AY185" s="110" t="s">
        <v>1703</v>
      </c>
      <c r="AZ185" s="110" t="s">
        <v>1730</v>
      </c>
      <c r="BA185" s="109" t="s">
        <v>1737</v>
      </c>
      <c r="BC185" s="100">
        <f t="shared" si="219"/>
        <v>0</v>
      </c>
      <c r="BD185" s="100">
        <f t="shared" si="220"/>
        <v>0</v>
      </c>
      <c r="BE185" s="100">
        <v>0</v>
      </c>
      <c r="BF185" s="100">
        <f>185</f>
        <v>185</v>
      </c>
      <c r="BH185" s="108">
        <f t="shared" si="221"/>
        <v>0</v>
      </c>
      <c r="BI185" s="108">
        <f t="shared" si="222"/>
        <v>0</v>
      </c>
      <c r="BJ185" s="108">
        <f t="shared" si="223"/>
        <v>0</v>
      </c>
    </row>
    <row r="186" spans="1:62" x14ac:dyDescent="0.2">
      <c r="A186" s="117" t="s">
        <v>153</v>
      </c>
      <c r="B186" s="117" t="s">
        <v>695</v>
      </c>
      <c r="C186" s="304" t="s">
        <v>1207</v>
      </c>
      <c r="D186" s="305"/>
      <c r="E186" s="305"/>
      <c r="F186" s="117" t="s">
        <v>1648</v>
      </c>
      <c r="G186" s="116">
        <v>4.492</v>
      </c>
      <c r="H186" s="159"/>
      <c r="I186" s="108">
        <f t="shared" si="200"/>
        <v>0</v>
      </c>
      <c r="J186" s="108">
        <f t="shared" si="201"/>
        <v>0</v>
      </c>
      <c r="K186" s="108">
        <f t="shared" si="202"/>
        <v>0</v>
      </c>
      <c r="L186" s="111" t="s">
        <v>1671</v>
      </c>
      <c r="Z186" s="100">
        <f t="shared" si="203"/>
        <v>0</v>
      </c>
      <c r="AB186" s="100">
        <f t="shared" si="204"/>
        <v>0</v>
      </c>
      <c r="AC186" s="100">
        <f t="shared" si="205"/>
        <v>0</v>
      </c>
      <c r="AD186" s="100">
        <f t="shared" si="206"/>
        <v>0</v>
      </c>
      <c r="AE186" s="100">
        <f t="shared" si="207"/>
        <v>0</v>
      </c>
      <c r="AF186" s="100">
        <f t="shared" si="208"/>
        <v>0</v>
      </c>
      <c r="AG186" s="100">
        <f t="shared" si="209"/>
        <v>0</v>
      </c>
      <c r="AH186" s="100">
        <f t="shared" si="210"/>
        <v>0</v>
      </c>
      <c r="AI186" s="109"/>
      <c r="AJ186" s="108">
        <f t="shared" si="211"/>
        <v>0</v>
      </c>
      <c r="AK186" s="108">
        <f t="shared" si="212"/>
        <v>0</v>
      </c>
      <c r="AL186" s="108">
        <f t="shared" si="213"/>
        <v>0</v>
      </c>
      <c r="AN186" s="100">
        <v>15</v>
      </c>
      <c r="AO186" s="100">
        <f t="shared" si="214"/>
        <v>0</v>
      </c>
      <c r="AP186" s="100">
        <f t="shared" si="215"/>
        <v>0</v>
      </c>
      <c r="AQ186" s="111" t="s">
        <v>11</v>
      </c>
      <c r="AV186" s="100">
        <f t="shared" si="216"/>
        <v>0</v>
      </c>
      <c r="AW186" s="100">
        <f t="shared" si="217"/>
        <v>0</v>
      </c>
      <c r="AX186" s="100">
        <f t="shared" si="218"/>
        <v>0</v>
      </c>
      <c r="AY186" s="110" t="s">
        <v>1703</v>
      </c>
      <c r="AZ186" s="110" t="s">
        <v>1730</v>
      </c>
      <c r="BA186" s="109" t="s">
        <v>1737</v>
      </c>
      <c r="BC186" s="100">
        <f t="shared" si="219"/>
        <v>0</v>
      </c>
      <c r="BD186" s="100">
        <f t="shared" si="220"/>
        <v>0</v>
      </c>
      <c r="BE186" s="100">
        <v>0</v>
      </c>
      <c r="BF186" s="100">
        <f>186</f>
        <v>186</v>
      </c>
      <c r="BH186" s="108">
        <f t="shared" si="221"/>
        <v>0</v>
      </c>
      <c r="BI186" s="108">
        <f t="shared" si="222"/>
        <v>0</v>
      </c>
      <c r="BJ186" s="108">
        <f t="shared" si="223"/>
        <v>0</v>
      </c>
    </row>
    <row r="187" spans="1:62" x14ac:dyDescent="0.2">
      <c r="A187" s="117" t="s">
        <v>154</v>
      </c>
      <c r="B187" s="117" t="s">
        <v>696</v>
      </c>
      <c r="C187" s="304" t="s">
        <v>1208</v>
      </c>
      <c r="D187" s="305"/>
      <c r="E187" s="305"/>
      <c r="F187" s="117" t="s">
        <v>1648</v>
      </c>
      <c r="G187" s="116">
        <v>23.347999999999999</v>
      </c>
      <c r="H187" s="159"/>
      <c r="I187" s="108">
        <f t="shared" si="200"/>
        <v>0</v>
      </c>
      <c r="J187" s="108">
        <f t="shared" si="201"/>
        <v>0</v>
      </c>
      <c r="K187" s="108">
        <f t="shared" si="202"/>
        <v>0</v>
      </c>
      <c r="L187" s="111" t="s">
        <v>1671</v>
      </c>
      <c r="Z187" s="100">
        <f t="shared" si="203"/>
        <v>0</v>
      </c>
      <c r="AB187" s="100">
        <f t="shared" si="204"/>
        <v>0</v>
      </c>
      <c r="AC187" s="100">
        <f t="shared" si="205"/>
        <v>0</v>
      </c>
      <c r="AD187" s="100">
        <f t="shared" si="206"/>
        <v>0</v>
      </c>
      <c r="AE187" s="100">
        <f t="shared" si="207"/>
        <v>0</v>
      </c>
      <c r="AF187" s="100">
        <f t="shared" si="208"/>
        <v>0</v>
      </c>
      <c r="AG187" s="100">
        <f t="shared" si="209"/>
        <v>0</v>
      </c>
      <c r="AH187" s="100">
        <f t="shared" si="210"/>
        <v>0</v>
      </c>
      <c r="AI187" s="109"/>
      <c r="AJ187" s="108">
        <f t="shared" si="211"/>
        <v>0</v>
      </c>
      <c r="AK187" s="108">
        <f t="shared" si="212"/>
        <v>0</v>
      </c>
      <c r="AL187" s="108">
        <f t="shared" si="213"/>
        <v>0</v>
      </c>
      <c r="AN187" s="100">
        <v>15</v>
      </c>
      <c r="AO187" s="100">
        <f t="shared" si="214"/>
        <v>0</v>
      </c>
      <c r="AP187" s="100">
        <f t="shared" si="215"/>
        <v>0</v>
      </c>
      <c r="AQ187" s="111" t="s">
        <v>11</v>
      </c>
      <c r="AV187" s="100">
        <f t="shared" si="216"/>
        <v>0</v>
      </c>
      <c r="AW187" s="100">
        <f t="shared" si="217"/>
        <v>0</v>
      </c>
      <c r="AX187" s="100">
        <f t="shared" si="218"/>
        <v>0</v>
      </c>
      <c r="AY187" s="110" t="s">
        <v>1703</v>
      </c>
      <c r="AZ187" s="110" t="s">
        <v>1730</v>
      </c>
      <c r="BA187" s="109" t="s">
        <v>1737</v>
      </c>
      <c r="BC187" s="100">
        <f t="shared" si="219"/>
        <v>0</v>
      </c>
      <c r="BD187" s="100">
        <f t="shared" si="220"/>
        <v>0</v>
      </c>
      <c r="BE187" s="100">
        <v>0</v>
      </c>
      <c r="BF187" s="100">
        <f>187</f>
        <v>187</v>
      </c>
      <c r="BH187" s="108">
        <f t="shared" si="221"/>
        <v>0</v>
      </c>
      <c r="BI187" s="108">
        <f t="shared" si="222"/>
        <v>0</v>
      </c>
      <c r="BJ187" s="108">
        <f t="shared" si="223"/>
        <v>0</v>
      </c>
    </row>
    <row r="188" spans="1:62" x14ac:dyDescent="0.2">
      <c r="A188" s="117" t="s">
        <v>155</v>
      </c>
      <c r="B188" s="117" t="s">
        <v>697</v>
      </c>
      <c r="C188" s="304" t="s">
        <v>1209</v>
      </c>
      <c r="D188" s="305"/>
      <c r="E188" s="305"/>
      <c r="F188" s="117" t="s">
        <v>1648</v>
      </c>
      <c r="G188" s="116">
        <v>39.573</v>
      </c>
      <c r="H188" s="159"/>
      <c r="I188" s="108">
        <f t="shared" si="200"/>
        <v>0</v>
      </c>
      <c r="J188" s="108">
        <f t="shared" si="201"/>
        <v>0</v>
      </c>
      <c r="K188" s="108">
        <f t="shared" si="202"/>
        <v>0</v>
      </c>
      <c r="L188" s="111" t="s">
        <v>1671</v>
      </c>
      <c r="Z188" s="100">
        <f t="shared" si="203"/>
        <v>0</v>
      </c>
      <c r="AB188" s="100">
        <f t="shared" si="204"/>
        <v>0</v>
      </c>
      <c r="AC188" s="100">
        <f t="shared" si="205"/>
        <v>0</v>
      </c>
      <c r="AD188" s="100">
        <f t="shared" si="206"/>
        <v>0</v>
      </c>
      <c r="AE188" s="100">
        <f t="shared" si="207"/>
        <v>0</v>
      </c>
      <c r="AF188" s="100">
        <f t="shared" si="208"/>
        <v>0</v>
      </c>
      <c r="AG188" s="100">
        <f t="shared" si="209"/>
        <v>0</v>
      </c>
      <c r="AH188" s="100">
        <f t="shared" si="210"/>
        <v>0</v>
      </c>
      <c r="AI188" s="109"/>
      <c r="AJ188" s="108">
        <f t="shared" si="211"/>
        <v>0</v>
      </c>
      <c r="AK188" s="108">
        <f t="shared" si="212"/>
        <v>0</v>
      </c>
      <c r="AL188" s="108">
        <f t="shared" si="213"/>
        <v>0</v>
      </c>
      <c r="AN188" s="100">
        <v>15</v>
      </c>
      <c r="AO188" s="100">
        <f t="shared" si="214"/>
        <v>0</v>
      </c>
      <c r="AP188" s="100">
        <f t="shared" si="215"/>
        <v>0</v>
      </c>
      <c r="AQ188" s="111" t="s">
        <v>11</v>
      </c>
      <c r="AV188" s="100">
        <f t="shared" si="216"/>
        <v>0</v>
      </c>
      <c r="AW188" s="100">
        <f t="shared" si="217"/>
        <v>0</v>
      </c>
      <c r="AX188" s="100">
        <f t="shared" si="218"/>
        <v>0</v>
      </c>
      <c r="AY188" s="110" t="s">
        <v>1703</v>
      </c>
      <c r="AZ188" s="110" t="s">
        <v>1730</v>
      </c>
      <c r="BA188" s="109" t="s">
        <v>1737</v>
      </c>
      <c r="BC188" s="100">
        <f t="shared" si="219"/>
        <v>0</v>
      </c>
      <c r="BD188" s="100">
        <f t="shared" si="220"/>
        <v>0</v>
      </c>
      <c r="BE188" s="100">
        <v>0</v>
      </c>
      <c r="BF188" s="100">
        <f>188</f>
        <v>188</v>
      </c>
      <c r="BH188" s="108">
        <f t="shared" si="221"/>
        <v>0</v>
      </c>
      <c r="BI188" s="108">
        <f t="shared" si="222"/>
        <v>0</v>
      </c>
      <c r="BJ188" s="108">
        <f t="shared" si="223"/>
        <v>0</v>
      </c>
    </row>
    <row r="189" spans="1:62" x14ac:dyDescent="0.2">
      <c r="A189" s="117" t="s">
        <v>156</v>
      </c>
      <c r="B189" s="117" t="s">
        <v>698</v>
      </c>
      <c r="C189" s="304" t="s">
        <v>4130</v>
      </c>
      <c r="D189" s="305"/>
      <c r="E189" s="305"/>
      <c r="F189" s="117" t="s">
        <v>1648</v>
      </c>
      <c r="G189" s="116">
        <v>50.572000000000003</v>
      </c>
      <c r="H189" s="159"/>
      <c r="I189" s="108">
        <f t="shared" si="200"/>
        <v>0</v>
      </c>
      <c r="J189" s="108">
        <f t="shared" si="201"/>
        <v>0</v>
      </c>
      <c r="K189" s="108">
        <f t="shared" si="202"/>
        <v>0</v>
      </c>
      <c r="L189" s="111" t="s">
        <v>1671</v>
      </c>
      <c r="Z189" s="100">
        <f t="shared" si="203"/>
        <v>0</v>
      </c>
      <c r="AB189" s="100">
        <f t="shared" si="204"/>
        <v>0</v>
      </c>
      <c r="AC189" s="100">
        <f t="shared" si="205"/>
        <v>0</v>
      </c>
      <c r="AD189" s="100">
        <f t="shared" si="206"/>
        <v>0</v>
      </c>
      <c r="AE189" s="100">
        <f t="shared" si="207"/>
        <v>0</v>
      </c>
      <c r="AF189" s="100">
        <f t="shared" si="208"/>
        <v>0</v>
      </c>
      <c r="AG189" s="100">
        <f t="shared" si="209"/>
        <v>0</v>
      </c>
      <c r="AH189" s="100">
        <f t="shared" si="210"/>
        <v>0</v>
      </c>
      <c r="AI189" s="109"/>
      <c r="AJ189" s="108">
        <f t="shared" si="211"/>
        <v>0</v>
      </c>
      <c r="AK189" s="108">
        <f t="shared" si="212"/>
        <v>0</v>
      </c>
      <c r="AL189" s="108">
        <f t="shared" si="213"/>
        <v>0</v>
      </c>
      <c r="AN189" s="100">
        <v>15</v>
      </c>
      <c r="AO189" s="100">
        <f t="shared" si="214"/>
        <v>0</v>
      </c>
      <c r="AP189" s="100">
        <f t="shared" si="215"/>
        <v>0</v>
      </c>
      <c r="AQ189" s="111" t="s">
        <v>11</v>
      </c>
      <c r="AV189" s="100">
        <f t="shared" si="216"/>
        <v>0</v>
      </c>
      <c r="AW189" s="100">
        <f t="shared" si="217"/>
        <v>0</v>
      </c>
      <c r="AX189" s="100">
        <f t="shared" si="218"/>
        <v>0</v>
      </c>
      <c r="AY189" s="110" t="s">
        <v>1703</v>
      </c>
      <c r="AZ189" s="110" t="s">
        <v>1730</v>
      </c>
      <c r="BA189" s="109" t="s">
        <v>1737</v>
      </c>
      <c r="BC189" s="100">
        <f t="shared" si="219"/>
        <v>0</v>
      </c>
      <c r="BD189" s="100">
        <f t="shared" si="220"/>
        <v>0</v>
      </c>
      <c r="BE189" s="100">
        <v>0</v>
      </c>
      <c r="BF189" s="100">
        <f>189</f>
        <v>189</v>
      </c>
      <c r="BH189" s="108">
        <f t="shared" si="221"/>
        <v>0</v>
      </c>
      <c r="BI189" s="108">
        <f t="shared" si="222"/>
        <v>0</v>
      </c>
      <c r="BJ189" s="108">
        <f t="shared" si="223"/>
        <v>0</v>
      </c>
    </row>
    <row r="190" spans="1:62" x14ac:dyDescent="0.2">
      <c r="A190" s="117" t="s">
        <v>157</v>
      </c>
      <c r="B190" s="117" t="s">
        <v>700</v>
      </c>
      <c r="C190" s="304" t="s">
        <v>1212</v>
      </c>
      <c r="D190" s="305"/>
      <c r="E190" s="305"/>
      <c r="F190" s="117" t="s">
        <v>1648</v>
      </c>
      <c r="G190" s="116">
        <v>9.8249999999999993</v>
      </c>
      <c r="H190" s="159"/>
      <c r="I190" s="108">
        <f t="shared" si="200"/>
        <v>0</v>
      </c>
      <c r="J190" s="108">
        <f t="shared" si="201"/>
        <v>0</v>
      </c>
      <c r="K190" s="108">
        <f t="shared" si="202"/>
        <v>0</v>
      </c>
      <c r="L190" s="111" t="s">
        <v>1671</v>
      </c>
      <c r="Z190" s="100">
        <f t="shared" si="203"/>
        <v>0</v>
      </c>
      <c r="AB190" s="100">
        <f t="shared" si="204"/>
        <v>0</v>
      </c>
      <c r="AC190" s="100">
        <f t="shared" si="205"/>
        <v>0</v>
      </c>
      <c r="AD190" s="100">
        <f t="shared" si="206"/>
        <v>0</v>
      </c>
      <c r="AE190" s="100">
        <f t="shared" si="207"/>
        <v>0</v>
      </c>
      <c r="AF190" s="100">
        <f t="shared" si="208"/>
        <v>0</v>
      </c>
      <c r="AG190" s="100">
        <f t="shared" si="209"/>
        <v>0</v>
      </c>
      <c r="AH190" s="100">
        <f t="shared" si="210"/>
        <v>0</v>
      </c>
      <c r="AI190" s="109"/>
      <c r="AJ190" s="108">
        <f t="shared" si="211"/>
        <v>0</v>
      </c>
      <c r="AK190" s="108">
        <f t="shared" si="212"/>
        <v>0</v>
      </c>
      <c r="AL190" s="108">
        <f t="shared" si="213"/>
        <v>0</v>
      </c>
      <c r="AN190" s="100">
        <v>15</v>
      </c>
      <c r="AO190" s="100">
        <f t="shared" si="214"/>
        <v>0</v>
      </c>
      <c r="AP190" s="100">
        <f t="shared" si="215"/>
        <v>0</v>
      </c>
      <c r="AQ190" s="111" t="s">
        <v>11</v>
      </c>
      <c r="AV190" s="100">
        <f t="shared" si="216"/>
        <v>0</v>
      </c>
      <c r="AW190" s="100">
        <f t="shared" si="217"/>
        <v>0</v>
      </c>
      <c r="AX190" s="100">
        <f t="shared" si="218"/>
        <v>0</v>
      </c>
      <c r="AY190" s="110" t="s">
        <v>1703</v>
      </c>
      <c r="AZ190" s="110" t="s">
        <v>1730</v>
      </c>
      <c r="BA190" s="109" t="s">
        <v>1737</v>
      </c>
      <c r="BC190" s="100">
        <f t="shared" si="219"/>
        <v>0</v>
      </c>
      <c r="BD190" s="100">
        <f t="shared" si="220"/>
        <v>0</v>
      </c>
      <c r="BE190" s="100">
        <v>0</v>
      </c>
      <c r="BF190" s="100">
        <f>190</f>
        <v>190</v>
      </c>
      <c r="BH190" s="108">
        <f t="shared" si="221"/>
        <v>0</v>
      </c>
      <c r="BI190" s="108">
        <f t="shared" si="222"/>
        <v>0</v>
      </c>
      <c r="BJ190" s="108">
        <f t="shared" si="223"/>
        <v>0</v>
      </c>
    </row>
    <row r="191" spans="1:62" x14ac:dyDescent="0.2">
      <c r="A191" s="117" t="s">
        <v>158</v>
      </c>
      <c r="B191" s="117" t="s">
        <v>701</v>
      </c>
      <c r="C191" s="304" t="s">
        <v>1213</v>
      </c>
      <c r="D191" s="305"/>
      <c r="E191" s="305"/>
      <c r="F191" s="117" t="s">
        <v>1648</v>
      </c>
      <c r="G191" s="116">
        <v>6.2750000000000004</v>
      </c>
      <c r="H191" s="159"/>
      <c r="I191" s="108">
        <f t="shared" si="200"/>
        <v>0</v>
      </c>
      <c r="J191" s="108">
        <f t="shared" si="201"/>
        <v>0</v>
      </c>
      <c r="K191" s="108">
        <f t="shared" si="202"/>
        <v>0</v>
      </c>
      <c r="L191" s="111" t="s">
        <v>1671</v>
      </c>
      <c r="Z191" s="100">
        <f t="shared" si="203"/>
        <v>0</v>
      </c>
      <c r="AB191" s="100">
        <f t="shared" si="204"/>
        <v>0</v>
      </c>
      <c r="AC191" s="100">
        <f t="shared" si="205"/>
        <v>0</v>
      </c>
      <c r="AD191" s="100">
        <f t="shared" si="206"/>
        <v>0</v>
      </c>
      <c r="AE191" s="100">
        <f t="shared" si="207"/>
        <v>0</v>
      </c>
      <c r="AF191" s="100">
        <f t="shared" si="208"/>
        <v>0</v>
      </c>
      <c r="AG191" s="100">
        <f t="shared" si="209"/>
        <v>0</v>
      </c>
      <c r="AH191" s="100">
        <f t="shared" si="210"/>
        <v>0</v>
      </c>
      <c r="AI191" s="109"/>
      <c r="AJ191" s="108">
        <f t="shared" si="211"/>
        <v>0</v>
      </c>
      <c r="AK191" s="108">
        <f t="shared" si="212"/>
        <v>0</v>
      </c>
      <c r="AL191" s="108">
        <f t="shared" si="213"/>
        <v>0</v>
      </c>
      <c r="AN191" s="100">
        <v>15</v>
      </c>
      <c r="AO191" s="100">
        <f t="shared" si="214"/>
        <v>0</v>
      </c>
      <c r="AP191" s="100">
        <f t="shared" si="215"/>
        <v>0</v>
      </c>
      <c r="AQ191" s="111" t="s">
        <v>11</v>
      </c>
      <c r="AV191" s="100">
        <f t="shared" si="216"/>
        <v>0</v>
      </c>
      <c r="AW191" s="100">
        <f t="shared" si="217"/>
        <v>0</v>
      </c>
      <c r="AX191" s="100">
        <f t="shared" si="218"/>
        <v>0</v>
      </c>
      <c r="AY191" s="110" t="s">
        <v>1703</v>
      </c>
      <c r="AZ191" s="110" t="s">
        <v>1730</v>
      </c>
      <c r="BA191" s="109" t="s">
        <v>1737</v>
      </c>
      <c r="BC191" s="100">
        <f t="shared" si="219"/>
        <v>0</v>
      </c>
      <c r="BD191" s="100">
        <f t="shared" si="220"/>
        <v>0</v>
      </c>
      <c r="BE191" s="100">
        <v>0</v>
      </c>
      <c r="BF191" s="100">
        <f>191</f>
        <v>191</v>
      </c>
      <c r="BH191" s="108">
        <f t="shared" si="221"/>
        <v>0</v>
      </c>
      <c r="BI191" s="108">
        <f t="shared" si="222"/>
        <v>0</v>
      </c>
      <c r="BJ191" s="108">
        <f t="shared" si="223"/>
        <v>0</v>
      </c>
    </row>
    <row r="192" spans="1:62" x14ac:dyDescent="0.2">
      <c r="A192" s="117" t="s">
        <v>159</v>
      </c>
      <c r="B192" s="117" t="s">
        <v>3714</v>
      </c>
      <c r="C192" s="304" t="s">
        <v>3713</v>
      </c>
      <c r="D192" s="305"/>
      <c r="E192" s="305"/>
      <c r="F192" s="117" t="s">
        <v>1648</v>
      </c>
      <c r="G192" s="116">
        <v>1.7</v>
      </c>
      <c r="H192" s="159"/>
      <c r="I192" s="108">
        <f t="shared" si="200"/>
        <v>0</v>
      </c>
      <c r="J192" s="108">
        <f t="shared" si="201"/>
        <v>0</v>
      </c>
      <c r="K192" s="108">
        <f t="shared" si="202"/>
        <v>0</v>
      </c>
      <c r="L192" s="111" t="s">
        <v>1671</v>
      </c>
      <c r="Z192" s="100">
        <f t="shared" si="203"/>
        <v>0</v>
      </c>
      <c r="AB192" s="100">
        <f t="shared" si="204"/>
        <v>0</v>
      </c>
      <c r="AC192" s="100">
        <f t="shared" si="205"/>
        <v>0</v>
      </c>
      <c r="AD192" s="100">
        <f t="shared" si="206"/>
        <v>0</v>
      </c>
      <c r="AE192" s="100">
        <f t="shared" si="207"/>
        <v>0</v>
      </c>
      <c r="AF192" s="100">
        <f t="shared" si="208"/>
        <v>0</v>
      </c>
      <c r="AG192" s="100">
        <f t="shared" si="209"/>
        <v>0</v>
      </c>
      <c r="AH192" s="100">
        <f t="shared" si="210"/>
        <v>0</v>
      </c>
      <c r="AI192" s="109"/>
      <c r="AJ192" s="108">
        <f t="shared" si="211"/>
        <v>0</v>
      </c>
      <c r="AK192" s="108">
        <f t="shared" si="212"/>
        <v>0</v>
      </c>
      <c r="AL192" s="108">
        <f t="shared" si="213"/>
        <v>0</v>
      </c>
      <c r="AN192" s="100">
        <v>15</v>
      </c>
      <c r="AO192" s="100">
        <f t="shared" si="214"/>
        <v>0</v>
      </c>
      <c r="AP192" s="100">
        <f t="shared" si="215"/>
        <v>0</v>
      </c>
      <c r="AQ192" s="111" t="s">
        <v>11</v>
      </c>
      <c r="AV192" s="100">
        <f t="shared" si="216"/>
        <v>0</v>
      </c>
      <c r="AW192" s="100">
        <f t="shared" si="217"/>
        <v>0</v>
      </c>
      <c r="AX192" s="100">
        <f t="shared" si="218"/>
        <v>0</v>
      </c>
      <c r="AY192" s="110" t="s">
        <v>1703</v>
      </c>
      <c r="AZ192" s="110" t="s">
        <v>1730</v>
      </c>
      <c r="BA192" s="109" t="s">
        <v>1737</v>
      </c>
      <c r="BC192" s="100">
        <f t="shared" si="219"/>
        <v>0</v>
      </c>
      <c r="BD192" s="100">
        <f t="shared" si="220"/>
        <v>0</v>
      </c>
      <c r="BE192" s="100">
        <v>0</v>
      </c>
      <c r="BF192" s="100">
        <f>192</f>
        <v>192</v>
      </c>
      <c r="BH192" s="108">
        <f t="shared" si="221"/>
        <v>0</v>
      </c>
      <c r="BI192" s="108">
        <f t="shared" si="222"/>
        <v>0</v>
      </c>
      <c r="BJ192" s="108">
        <f t="shared" si="223"/>
        <v>0</v>
      </c>
    </row>
    <row r="193" spans="1:62" x14ac:dyDescent="0.2">
      <c r="A193" s="117" t="s">
        <v>160</v>
      </c>
      <c r="B193" s="117" t="s">
        <v>702</v>
      </c>
      <c r="C193" s="304" t="s">
        <v>1214</v>
      </c>
      <c r="D193" s="305"/>
      <c r="E193" s="305"/>
      <c r="F193" s="117" t="s">
        <v>1648</v>
      </c>
      <c r="G193" s="116">
        <v>13.323</v>
      </c>
      <c r="H193" s="159"/>
      <c r="I193" s="108">
        <f t="shared" si="200"/>
        <v>0</v>
      </c>
      <c r="J193" s="108">
        <f t="shared" si="201"/>
        <v>0</v>
      </c>
      <c r="K193" s="108">
        <f t="shared" si="202"/>
        <v>0</v>
      </c>
      <c r="L193" s="111" t="s">
        <v>1671</v>
      </c>
      <c r="Z193" s="100">
        <f t="shared" si="203"/>
        <v>0</v>
      </c>
      <c r="AB193" s="100">
        <f t="shared" si="204"/>
        <v>0</v>
      </c>
      <c r="AC193" s="100">
        <f t="shared" si="205"/>
        <v>0</v>
      </c>
      <c r="AD193" s="100">
        <f t="shared" si="206"/>
        <v>0</v>
      </c>
      <c r="AE193" s="100">
        <f t="shared" si="207"/>
        <v>0</v>
      </c>
      <c r="AF193" s="100">
        <f t="shared" si="208"/>
        <v>0</v>
      </c>
      <c r="AG193" s="100">
        <f t="shared" si="209"/>
        <v>0</v>
      </c>
      <c r="AH193" s="100">
        <f t="shared" si="210"/>
        <v>0</v>
      </c>
      <c r="AI193" s="109"/>
      <c r="AJ193" s="108">
        <f t="shared" si="211"/>
        <v>0</v>
      </c>
      <c r="AK193" s="108">
        <f t="shared" si="212"/>
        <v>0</v>
      </c>
      <c r="AL193" s="108">
        <f t="shared" si="213"/>
        <v>0</v>
      </c>
      <c r="AN193" s="100">
        <v>15</v>
      </c>
      <c r="AO193" s="100">
        <f t="shared" si="214"/>
        <v>0</v>
      </c>
      <c r="AP193" s="100">
        <f t="shared" si="215"/>
        <v>0</v>
      </c>
      <c r="AQ193" s="111" t="s">
        <v>11</v>
      </c>
      <c r="AV193" s="100">
        <f t="shared" si="216"/>
        <v>0</v>
      </c>
      <c r="AW193" s="100">
        <f t="shared" si="217"/>
        <v>0</v>
      </c>
      <c r="AX193" s="100">
        <f t="shared" si="218"/>
        <v>0</v>
      </c>
      <c r="AY193" s="110" t="s">
        <v>1703</v>
      </c>
      <c r="AZ193" s="110" t="s">
        <v>1730</v>
      </c>
      <c r="BA193" s="109" t="s">
        <v>1737</v>
      </c>
      <c r="BC193" s="100">
        <f t="shared" si="219"/>
        <v>0</v>
      </c>
      <c r="BD193" s="100">
        <f t="shared" si="220"/>
        <v>0</v>
      </c>
      <c r="BE193" s="100">
        <v>0</v>
      </c>
      <c r="BF193" s="100">
        <f>193</f>
        <v>193</v>
      </c>
      <c r="BH193" s="108">
        <f t="shared" si="221"/>
        <v>0</v>
      </c>
      <c r="BI193" s="108">
        <f t="shared" si="222"/>
        <v>0</v>
      </c>
      <c r="BJ193" s="108">
        <f t="shared" si="223"/>
        <v>0</v>
      </c>
    </row>
    <row r="194" spans="1:62" x14ac:dyDescent="0.2">
      <c r="A194" s="119"/>
      <c r="B194" s="120" t="s">
        <v>703</v>
      </c>
      <c r="C194" s="306" t="s">
        <v>1215</v>
      </c>
      <c r="D194" s="307"/>
      <c r="E194" s="307"/>
      <c r="F194" s="119" t="s">
        <v>6</v>
      </c>
      <c r="G194" s="119" t="s">
        <v>6</v>
      </c>
      <c r="H194" s="119" t="s">
        <v>6</v>
      </c>
      <c r="I194" s="118">
        <f>SUM(I195:I195)</f>
        <v>0</v>
      </c>
      <c r="J194" s="118">
        <f>SUM(J195:J195)</f>
        <v>0</v>
      </c>
      <c r="K194" s="118">
        <f>SUM(K195:K195)</f>
        <v>0</v>
      </c>
      <c r="L194" s="109"/>
      <c r="AI194" s="109"/>
      <c r="AS194" s="118">
        <f>SUM(AJ195:AJ195)</f>
        <v>0</v>
      </c>
      <c r="AT194" s="118">
        <f>SUM(AK195:AK195)</f>
        <v>0</v>
      </c>
      <c r="AU194" s="118">
        <f>SUM(AL195:AL195)</f>
        <v>0</v>
      </c>
    </row>
    <row r="195" spans="1:62" x14ac:dyDescent="0.2">
      <c r="A195" s="117" t="s">
        <v>161</v>
      </c>
      <c r="B195" s="117" t="s">
        <v>704</v>
      </c>
      <c r="C195" s="304" t="s">
        <v>1216</v>
      </c>
      <c r="D195" s="305"/>
      <c r="E195" s="305"/>
      <c r="F195" s="117" t="s">
        <v>1648</v>
      </c>
      <c r="G195" s="116">
        <v>243.97499999999999</v>
      </c>
      <c r="H195" s="159"/>
      <c r="I195" s="108">
        <f>G195*AO195</f>
        <v>0</v>
      </c>
      <c r="J195" s="108">
        <f>G195*AP195</f>
        <v>0</v>
      </c>
      <c r="K195" s="108">
        <f>G195*H195</f>
        <v>0</v>
      </c>
      <c r="L195" s="111" t="s">
        <v>1671</v>
      </c>
      <c r="Z195" s="100">
        <f>IF(AQ195="5",BJ195,0)</f>
        <v>0</v>
      </c>
      <c r="AB195" s="100">
        <f>IF(AQ195="1",BH195,0)</f>
        <v>0</v>
      </c>
      <c r="AC195" s="100">
        <f>IF(AQ195="1",BI195,0)</f>
        <v>0</v>
      </c>
      <c r="AD195" s="100">
        <f>IF(AQ195="7",BH195,0)</f>
        <v>0</v>
      </c>
      <c r="AE195" s="100">
        <f>IF(AQ195="7",BI195,0)</f>
        <v>0</v>
      </c>
      <c r="AF195" s="100">
        <f>IF(AQ195="2",BH195,0)</f>
        <v>0</v>
      </c>
      <c r="AG195" s="100">
        <f>IF(AQ195="2",BI195,0)</f>
        <v>0</v>
      </c>
      <c r="AH195" s="100">
        <f>IF(AQ195="0",BJ195,0)</f>
        <v>0</v>
      </c>
      <c r="AI195" s="109"/>
      <c r="AJ195" s="108">
        <f>IF(AN195=0,K195,0)</f>
        <v>0</v>
      </c>
      <c r="AK195" s="108">
        <f>IF(AN195=15,K195,0)</f>
        <v>0</v>
      </c>
      <c r="AL195" s="108">
        <f>IF(AN195=21,K195,0)</f>
        <v>0</v>
      </c>
      <c r="AN195" s="100">
        <v>15</v>
      </c>
      <c r="AO195" s="100">
        <f>H195*0</f>
        <v>0</v>
      </c>
      <c r="AP195" s="100">
        <f>H195*(1-0)</f>
        <v>0</v>
      </c>
      <c r="AQ195" s="111" t="s">
        <v>11</v>
      </c>
      <c r="AV195" s="100">
        <f>AW195+AX195</f>
        <v>0</v>
      </c>
      <c r="AW195" s="100">
        <f>G195*AO195</f>
        <v>0</v>
      </c>
      <c r="AX195" s="100">
        <f>G195*AP195</f>
        <v>0</v>
      </c>
      <c r="AY195" s="110" t="s">
        <v>1704</v>
      </c>
      <c r="AZ195" s="110" t="s">
        <v>1730</v>
      </c>
      <c r="BA195" s="109" t="s">
        <v>1737</v>
      </c>
      <c r="BC195" s="100">
        <f>AW195+AX195</f>
        <v>0</v>
      </c>
      <c r="BD195" s="100">
        <f>H195/(100-BE195)*100</f>
        <v>0</v>
      </c>
      <c r="BE195" s="100">
        <v>0</v>
      </c>
      <c r="BF195" s="100">
        <f>195</f>
        <v>195</v>
      </c>
      <c r="BH195" s="108">
        <f>G195*AO195</f>
        <v>0</v>
      </c>
      <c r="BI195" s="108">
        <f>G195*AP195</f>
        <v>0</v>
      </c>
      <c r="BJ195" s="108">
        <f>G195*H195</f>
        <v>0</v>
      </c>
    </row>
    <row r="196" spans="1:62" x14ac:dyDescent="0.2">
      <c r="A196" s="119"/>
      <c r="B196" s="120" t="s">
        <v>705</v>
      </c>
      <c r="C196" s="306" t="s">
        <v>1217</v>
      </c>
      <c r="D196" s="307"/>
      <c r="E196" s="307"/>
      <c r="F196" s="119" t="s">
        <v>6</v>
      </c>
      <c r="G196" s="119" t="s">
        <v>6</v>
      </c>
      <c r="H196" s="119" t="s">
        <v>6</v>
      </c>
      <c r="I196" s="118">
        <f>SUM(I197:I202)</f>
        <v>0</v>
      </c>
      <c r="J196" s="118">
        <f>SUM(J197:J202)</f>
        <v>0</v>
      </c>
      <c r="K196" s="118">
        <f>SUM(K197:K202)</f>
        <v>0</v>
      </c>
      <c r="L196" s="109"/>
      <c r="AI196" s="109"/>
      <c r="AS196" s="118">
        <f>SUM(AJ197:AJ202)</f>
        <v>0</v>
      </c>
      <c r="AT196" s="118">
        <f>SUM(AK197:AK202)</f>
        <v>0</v>
      </c>
      <c r="AU196" s="118">
        <f>SUM(AL197:AL202)</f>
        <v>0</v>
      </c>
    </row>
    <row r="197" spans="1:62" x14ac:dyDescent="0.2">
      <c r="A197" s="117" t="s">
        <v>162</v>
      </c>
      <c r="B197" s="117" t="s">
        <v>706</v>
      </c>
      <c r="C197" s="304" t="s">
        <v>4129</v>
      </c>
      <c r="D197" s="305"/>
      <c r="E197" s="305"/>
      <c r="F197" s="117" t="s">
        <v>1645</v>
      </c>
      <c r="G197" s="116">
        <v>477.50400000000002</v>
      </c>
      <c r="H197" s="159"/>
      <c r="I197" s="108">
        <f t="shared" ref="I197:I202" si="224">G197*AO197</f>
        <v>0</v>
      </c>
      <c r="J197" s="108">
        <f t="shared" ref="J197:J202" si="225">G197*AP197</f>
        <v>0</v>
      </c>
      <c r="K197" s="108">
        <f t="shared" ref="K197:K202" si="226">G197*H197</f>
        <v>0</v>
      </c>
      <c r="L197" s="111" t="s">
        <v>1671</v>
      </c>
      <c r="Z197" s="100">
        <f t="shared" ref="Z197:Z202" si="227">IF(AQ197="5",BJ197,0)</f>
        <v>0</v>
      </c>
      <c r="AB197" s="100">
        <f t="shared" ref="AB197:AB202" si="228">IF(AQ197="1",BH197,0)</f>
        <v>0</v>
      </c>
      <c r="AC197" s="100">
        <f t="shared" ref="AC197:AC202" si="229">IF(AQ197="1",BI197,0)</f>
        <v>0</v>
      </c>
      <c r="AD197" s="100">
        <f t="shared" ref="AD197:AD202" si="230">IF(AQ197="7",BH197,0)</f>
        <v>0</v>
      </c>
      <c r="AE197" s="100">
        <f t="shared" ref="AE197:AE202" si="231">IF(AQ197="7",BI197,0)</f>
        <v>0</v>
      </c>
      <c r="AF197" s="100">
        <f t="shared" ref="AF197:AF202" si="232">IF(AQ197="2",BH197,0)</f>
        <v>0</v>
      </c>
      <c r="AG197" s="100">
        <f t="shared" ref="AG197:AG202" si="233">IF(AQ197="2",BI197,0)</f>
        <v>0</v>
      </c>
      <c r="AH197" s="100">
        <f t="shared" ref="AH197:AH202" si="234">IF(AQ197="0",BJ197,0)</f>
        <v>0</v>
      </c>
      <c r="AI197" s="109"/>
      <c r="AJ197" s="108">
        <f t="shared" ref="AJ197:AJ202" si="235">IF(AN197=0,K197,0)</f>
        <v>0</v>
      </c>
      <c r="AK197" s="108">
        <f t="shared" ref="AK197:AK202" si="236">IF(AN197=15,K197,0)</f>
        <v>0</v>
      </c>
      <c r="AL197" s="108">
        <f t="shared" ref="AL197:AL202" si="237">IF(AN197=21,K197,0)</f>
        <v>0</v>
      </c>
      <c r="AN197" s="100">
        <v>15</v>
      </c>
      <c r="AO197" s="100">
        <f>H197*0</f>
        <v>0</v>
      </c>
      <c r="AP197" s="100">
        <f>H197*(1-0)</f>
        <v>0</v>
      </c>
      <c r="AQ197" s="111" t="s">
        <v>13</v>
      </c>
      <c r="AV197" s="100">
        <f t="shared" ref="AV197:AV202" si="238">AW197+AX197</f>
        <v>0</v>
      </c>
      <c r="AW197" s="100">
        <f t="shared" ref="AW197:AW202" si="239">G197*AO197</f>
        <v>0</v>
      </c>
      <c r="AX197" s="100">
        <f t="shared" ref="AX197:AX202" si="240">G197*AP197</f>
        <v>0</v>
      </c>
      <c r="AY197" s="110" t="s">
        <v>1705</v>
      </c>
      <c r="AZ197" s="110" t="s">
        <v>1731</v>
      </c>
      <c r="BA197" s="109" t="s">
        <v>1737</v>
      </c>
      <c r="BC197" s="100">
        <f t="shared" ref="BC197:BC202" si="241">AW197+AX197</f>
        <v>0</v>
      </c>
      <c r="BD197" s="100">
        <f t="shared" ref="BD197:BD202" si="242">H197/(100-BE197)*100</f>
        <v>0</v>
      </c>
      <c r="BE197" s="100">
        <v>0</v>
      </c>
      <c r="BF197" s="100">
        <f>197</f>
        <v>197</v>
      </c>
      <c r="BH197" s="108">
        <f t="shared" ref="BH197:BH202" si="243">G197*AO197</f>
        <v>0</v>
      </c>
      <c r="BI197" s="108">
        <f t="shared" ref="BI197:BI202" si="244">G197*AP197</f>
        <v>0</v>
      </c>
      <c r="BJ197" s="108">
        <f t="shared" ref="BJ197:BJ202" si="245">G197*H197</f>
        <v>0</v>
      </c>
    </row>
    <row r="198" spans="1:62" x14ac:dyDescent="0.2">
      <c r="A198" s="117" t="s">
        <v>163</v>
      </c>
      <c r="B198" s="117" t="s">
        <v>707</v>
      </c>
      <c r="C198" s="304" t="s">
        <v>1219</v>
      </c>
      <c r="D198" s="305"/>
      <c r="E198" s="305"/>
      <c r="F198" s="117" t="s">
        <v>1644</v>
      </c>
      <c r="G198" s="116">
        <v>6</v>
      </c>
      <c r="H198" s="159"/>
      <c r="I198" s="108">
        <f t="shared" si="224"/>
        <v>0</v>
      </c>
      <c r="J198" s="108">
        <f t="shared" si="225"/>
        <v>0</v>
      </c>
      <c r="K198" s="108">
        <f t="shared" si="226"/>
        <v>0</v>
      </c>
      <c r="L198" s="111" t="s">
        <v>1671</v>
      </c>
      <c r="Z198" s="100">
        <f t="shared" si="227"/>
        <v>0</v>
      </c>
      <c r="AB198" s="100">
        <f t="shared" si="228"/>
        <v>0</v>
      </c>
      <c r="AC198" s="100">
        <f t="shared" si="229"/>
        <v>0</v>
      </c>
      <c r="AD198" s="100">
        <f t="shared" si="230"/>
        <v>0</v>
      </c>
      <c r="AE198" s="100">
        <f t="shared" si="231"/>
        <v>0</v>
      </c>
      <c r="AF198" s="100">
        <f t="shared" si="232"/>
        <v>0</v>
      </c>
      <c r="AG198" s="100">
        <f t="shared" si="233"/>
        <v>0</v>
      </c>
      <c r="AH198" s="100">
        <f t="shared" si="234"/>
        <v>0</v>
      </c>
      <c r="AI198" s="109"/>
      <c r="AJ198" s="108">
        <f t="shared" si="235"/>
        <v>0</v>
      </c>
      <c r="AK198" s="108">
        <f t="shared" si="236"/>
        <v>0</v>
      </c>
      <c r="AL198" s="108">
        <f t="shared" si="237"/>
        <v>0</v>
      </c>
      <c r="AN198" s="100">
        <v>15</v>
      </c>
      <c r="AO198" s="100">
        <f>H198*0.846349462365591</f>
        <v>0</v>
      </c>
      <c r="AP198" s="100">
        <f>H198*(1-0.846349462365591)</f>
        <v>0</v>
      </c>
      <c r="AQ198" s="111" t="s">
        <v>13</v>
      </c>
      <c r="AV198" s="100">
        <f t="shared" si="238"/>
        <v>0</v>
      </c>
      <c r="AW198" s="100">
        <f t="shared" si="239"/>
        <v>0</v>
      </c>
      <c r="AX198" s="100">
        <f t="shared" si="240"/>
        <v>0</v>
      </c>
      <c r="AY198" s="110" t="s">
        <v>1705</v>
      </c>
      <c r="AZ198" s="110" t="s">
        <v>1731</v>
      </c>
      <c r="BA198" s="109" t="s">
        <v>1737</v>
      </c>
      <c r="BC198" s="100">
        <f t="shared" si="241"/>
        <v>0</v>
      </c>
      <c r="BD198" s="100">
        <f t="shared" si="242"/>
        <v>0</v>
      </c>
      <c r="BE198" s="100">
        <v>0</v>
      </c>
      <c r="BF198" s="100">
        <f>198</f>
        <v>198</v>
      </c>
      <c r="BH198" s="108">
        <f t="shared" si="243"/>
        <v>0</v>
      </c>
      <c r="BI198" s="108">
        <f t="shared" si="244"/>
        <v>0</v>
      </c>
      <c r="BJ198" s="108">
        <f t="shared" si="245"/>
        <v>0</v>
      </c>
    </row>
    <row r="199" spans="1:62" x14ac:dyDescent="0.2">
      <c r="A199" s="117" t="s">
        <v>164</v>
      </c>
      <c r="B199" s="117" t="s">
        <v>2467</v>
      </c>
      <c r="C199" s="304" t="s">
        <v>2468</v>
      </c>
      <c r="D199" s="305"/>
      <c r="E199" s="305"/>
      <c r="F199" s="117" t="s">
        <v>1645</v>
      </c>
      <c r="G199" s="116">
        <v>6.0750000000000002</v>
      </c>
      <c r="H199" s="159"/>
      <c r="I199" s="108">
        <f t="shared" si="224"/>
        <v>0</v>
      </c>
      <c r="J199" s="108">
        <f t="shared" si="225"/>
        <v>0</v>
      </c>
      <c r="K199" s="108">
        <f t="shared" si="226"/>
        <v>0</v>
      </c>
      <c r="L199" s="111" t="s">
        <v>1671</v>
      </c>
      <c r="Z199" s="100">
        <f t="shared" si="227"/>
        <v>0</v>
      </c>
      <c r="AB199" s="100">
        <f t="shared" si="228"/>
        <v>0</v>
      </c>
      <c r="AC199" s="100">
        <f t="shared" si="229"/>
        <v>0</v>
      </c>
      <c r="AD199" s="100">
        <f t="shared" si="230"/>
        <v>0</v>
      </c>
      <c r="AE199" s="100">
        <f t="shared" si="231"/>
        <v>0</v>
      </c>
      <c r="AF199" s="100">
        <f t="shared" si="232"/>
        <v>0</v>
      </c>
      <c r="AG199" s="100">
        <f t="shared" si="233"/>
        <v>0</v>
      </c>
      <c r="AH199" s="100">
        <f t="shared" si="234"/>
        <v>0</v>
      </c>
      <c r="AI199" s="109"/>
      <c r="AJ199" s="108">
        <f t="shared" si="235"/>
        <v>0</v>
      </c>
      <c r="AK199" s="108">
        <f t="shared" si="236"/>
        <v>0</v>
      </c>
      <c r="AL199" s="108">
        <f t="shared" si="237"/>
        <v>0</v>
      </c>
      <c r="AN199" s="100">
        <v>15</v>
      </c>
      <c r="AO199" s="100">
        <f>H199*0.40329273159861</f>
        <v>0</v>
      </c>
      <c r="AP199" s="100">
        <f>H199*(1-0.40329273159861)</f>
        <v>0</v>
      </c>
      <c r="AQ199" s="111" t="s">
        <v>13</v>
      </c>
      <c r="AV199" s="100">
        <f t="shared" si="238"/>
        <v>0</v>
      </c>
      <c r="AW199" s="100">
        <f t="shared" si="239"/>
        <v>0</v>
      </c>
      <c r="AX199" s="100">
        <f t="shared" si="240"/>
        <v>0</v>
      </c>
      <c r="AY199" s="110" t="s">
        <v>1705</v>
      </c>
      <c r="AZ199" s="110" t="s">
        <v>1731</v>
      </c>
      <c r="BA199" s="109" t="s">
        <v>1737</v>
      </c>
      <c r="BC199" s="100">
        <f t="shared" si="241"/>
        <v>0</v>
      </c>
      <c r="BD199" s="100">
        <f t="shared" si="242"/>
        <v>0</v>
      </c>
      <c r="BE199" s="100">
        <v>0</v>
      </c>
      <c r="BF199" s="100">
        <f>199</f>
        <v>199</v>
      </c>
      <c r="BH199" s="108">
        <f t="shared" si="243"/>
        <v>0</v>
      </c>
      <c r="BI199" s="108">
        <f t="shared" si="244"/>
        <v>0</v>
      </c>
      <c r="BJ199" s="108">
        <f t="shared" si="245"/>
        <v>0</v>
      </c>
    </row>
    <row r="200" spans="1:62" x14ac:dyDescent="0.2">
      <c r="A200" s="117" t="s">
        <v>165</v>
      </c>
      <c r="B200" s="117" t="s">
        <v>2467</v>
      </c>
      <c r="C200" s="304" t="s">
        <v>2466</v>
      </c>
      <c r="D200" s="305"/>
      <c r="E200" s="305"/>
      <c r="F200" s="117" t="s">
        <v>1645</v>
      </c>
      <c r="G200" s="116">
        <v>8.6999999999999993</v>
      </c>
      <c r="H200" s="159"/>
      <c r="I200" s="108">
        <f t="shared" si="224"/>
        <v>0</v>
      </c>
      <c r="J200" s="108">
        <f t="shared" si="225"/>
        <v>0</v>
      </c>
      <c r="K200" s="108">
        <f t="shared" si="226"/>
        <v>0</v>
      </c>
      <c r="L200" s="111" t="s">
        <v>1671</v>
      </c>
      <c r="Z200" s="100">
        <f t="shared" si="227"/>
        <v>0</v>
      </c>
      <c r="AB200" s="100">
        <f t="shared" si="228"/>
        <v>0</v>
      </c>
      <c r="AC200" s="100">
        <f t="shared" si="229"/>
        <v>0</v>
      </c>
      <c r="AD200" s="100">
        <f t="shared" si="230"/>
        <v>0</v>
      </c>
      <c r="AE200" s="100">
        <f t="shared" si="231"/>
        <v>0</v>
      </c>
      <c r="AF200" s="100">
        <f t="shared" si="232"/>
        <v>0</v>
      </c>
      <c r="AG200" s="100">
        <f t="shared" si="233"/>
        <v>0</v>
      </c>
      <c r="AH200" s="100">
        <f t="shared" si="234"/>
        <v>0</v>
      </c>
      <c r="AI200" s="109"/>
      <c r="AJ200" s="108">
        <f t="shared" si="235"/>
        <v>0</v>
      </c>
      <c r="AK200" s="108">
        <f t="shared" si="236"/>
        <v>0</v>
      </c>
      <c r="AL200" s="108">
        <f t="shared" si="237"/>
        <v>0</v>
      </c>
      <c r="AN200" s="100">
        <v>15</v>
      </c>
      <c r="AO200" s="100">
        <f>H200*0.403292582718247</f>
        <v>0</v>
      </c>
      <c r="AP200" s="100">
        <f>H200*(1-0.403292582718247)</f>
        <v>0</v>
      </c>
      <c r="AQ200" s="111" t="s">
        <v>13</v>
      </c>
      <c r="AV200" s="100">
        <f t="shared" si="238"/>
        <v>0</v>
      </c>
      <c r="AW200" s="100">
        <f t="shared" si="239"/>
        <v>0</v>
      </c>
      <c r="AX200" s="100">
        <f t="shared" si="240"/>
        <v>0</v>
      </c>
      <c r="AY200" s="110" t="s">
        <v>1705</v>
      </c>
      <c r="AZ200" s="110" t="s">
        <v>1731</v>
      </c>
      <c r="BA200" s="109" t="s">
        <v>1737</v>
      </c>
      <c r="BC200" s="100">
        <f t="shared" si="241"/>
        <v>0</v>
      </c>
      <c r="BD200" s="100">
        <f t="shared" si="242"/>
        <v>0</v>
      </c>
      <c r="BE200" s="100">
        <v>0</v>
      </c>
      <c r="BF200" s="100">
        <f>200</f>
        <v>200</v>
      </c>
      <c r="BH200" s="108">
        <f t="shared" si="243"/>
        <v>0</v>
      </c>
      <c r="BI200" s="108">
        <f t="shared" si="244"/>
        <v>0</v>
      </c>
      <c r="BJ200" s="108">
        <f t="shared" si="245"/>
        <v>0</v>
      </c>
    </row>
    <row r="201" spans="1:62" x14ac:dyDescent="0.2">
      <c r="A201" s="117" t="s">
        <v>166</v>
      </c>
      <c r="B201" s="117" t="s">
        <v>708</v>
      </c>
      <c r="C201" s="304" t="s">
        <v>3712</v>
      </c>
      <c r="D201" s="305"/>
      <c r="E201" s="305"/>
      <c r="F201" s="117" t="s">
        <v>1645</v>
      </c>
      <c r="G201" s="116">
        <v>477.50400000000002</v>
      </c>
      <c r="H201" s="159"/>
      <c r="I201" s="108">
        <f t="shared" si="224"/>
        <v>0</v>
      </c>
      <c r="J201" s="108">
        <f t="shared" si="225"/>
        <v>0</v>
      </c>
      <c r="K201" s="108">
        <f t="shared" si="226"/>
        <v>0</v>
      </c>
      <c r="L201" s="111" t="s">
        <v>1671</v>
      </c>
      <c r="Z201" s="100">
        <f t="shared" si="227"/>
        <v>0</v>
      </c>
      <c r="AB201" s="100">
        <f t="shared" si="228"/>
        <v>0</v>
      </c>
      <c r="AC201" s="100">
        <f t="shared" si="229"/>
        <v>0</v>
      </c>
      <c r="AD201" s="100">
        <f t="shared" si="230"/>
        <v>0</v>
      </c>
      <c r="AE201" s="100">
        <f t="shared" si="231"/>
        <v>0</v>
      </c>
      <c r="AF201" s="100">
        <f t="shared" si="232"/>
        <v>0</v>
      </c>
      <c r="AG201" s="100">
        <f t="shared" si="233"/>
        <v>0</v>
      </c>
      <c r="AH201" s="100">
        <f t="shared" si="234"/>
        <v>0</v>
      </c>
      <c r="AI201" s="109"/>
      <c r="AJ201" s="108">
        <f t="shared" si="235"/>
        <v>0</v>
      </c>
      <c r="AK201" s="108">
        <f t="shared" si="236"/>
        <v>0</v>
      </c>
      <c r="AL201" s="108">
        <f t="shared" si="237"/>
        <v>0</v>
      </c>
      <c r="AN201" s="100">
        <v>15</v>
      </c>
      <c r="AO201" s="100">
        <f>H201*0.427372181966372</f>
        <v>0</v>
      </c>
      <c r="AP201" s="100">
        <f>H201*(1-0.427372181966372)</f>
        <v>0</v>
      </c>
      <c r="AQ201" s="111" t="s">
        <v>13</v>
      </c>
      <c r="AV201" s="100">
        <f t="shared" si="238"/>
        <v>0</v>
      </c>
      <c r="AW201" s="100">
        <f t="shared" si="239"/>
        <v>0</v>
      </c>
      <c r="AX201" s="100">
        <f t="shared" si="240"/>
        <v>0</v>
      </c>
      <c r="AY201" s="110" t="s">
        <v>1705</v>
      </c>
      <c r="AZ201" s="110" t="s">
        <v>1731</v>
      </c>
      <c r="BA201" s="109" t="s">
        <v>1737</v>
      </c>
      <c r="BC201" s="100">
        <f t="shared" si="241"/>
        <v>0</v>
      </c>
      <c r="BD201" s="100">
        <f t="shared" si="242"/>
        <v>0</v>
      </c>
      <c r="BE201" s="100">
        <v>0</v>
      </c>
      <c r="BF201" s="100">
        <f>201</f>
        <v>201</v>
      </c>
      <c r="BH201" s="108">
        <f t="shared" si="243"/>
        <v>0</v>
      </c>
      <c r="BI201" s="108">
        <f t="shared" si="244"/>
        <v>0</v>
      </c>
      <c r="BJ201" s="108">
        <f t="shared" si="245"/>
        <v>0</v>
      </c>
    </row>
    <row r="202" spans="1:62" x14ac:dyDescent="0.2">
      <c r="A202" s="117" t="s">
        <v>167</v>
      </c>
      <c r="B202" s="117" t="s">
        <v>709</v>
      </c>
      <c r="C202" s="304" t="s">
        <v>1221</v>
      </c>
      <c r="D202" s="305"/>
      <c r="E202" s="305"/>
      <c r="F202" s="117" t="s">
        <v>1648</v>
      </c>
      <c r="G202" s="116">
        <v>5.8879999999999999</v>
      </c>
      <c r="H202" s="159"/>
      <c r="I202" s="108">
        <f t="shared" si="224"/>
        <v>0</v>
      </c>
      <c r="J202" s="108">
        <f t="shared" si="225"/>
        <v>0</v>
      </c>
      <c r="K202" s="108">
        <f t="shared" si="226"/>
        <v>0</v>
      </c>
      <c r="L202" s="111" t="s">
        <v>1671</v>
      </c>
      <c r="Z202" s="100">
        <f t="shared" si="227"/>
        <v>0</v>
      </c>
      <c r="AB202" s="100">
        <f t="shared" si="228"/>
        <v>0</v>
      </c>
      <c r="AC202" s="100">
        <f t="shared" si="229"/>
        <v>0</v>
      </c>
      <c r="AD202" s="100">
        <f t="shared" si="230"/>
        <v>0</v>
      </c>
      <c r="AE202" s="100">
        <f t="shared" si="231"/>
        <v>0</v>
      </c>
      <c r="AF202" s="100">
        <f t="shared" si="232"/>
        <v>0</v>
      </c>
      <c r="AG202" s="100">
        <f t="shared" si="233"/>
        <v>0</v>
      </c>
      <c r="AH202" s="100">
        <f t="shared" si="234"/>
        <v>0</v>
      </c>
      <c r="AI202" s="109"/>
      <c r="AJ202" s="108">
        <f t="shared" si="235"/>
        <v>0</v>
      </c>
      <c r="AK202" s="108">
        <f t="shared" si="236"/>
        <v>0</v>
      </c>
      <c r="AL202" s="108">
        <f t="shared" si="237"/>
        <v>0</v>
      </c>
      <c r="AN202" s="100">
        <v>15</v>
      </c>
      <c r="AO202" s="100">
        <f>H202*0</f>
        <v>0</v>
      </c>
      <c r="AP202" s="100">
        <f>H202*(1-0)</f>
        <v>0</v>
      </c>
      <c r="AQ202" s="111" t="s">
        <v>11</v>
      </c>
      <c r="AV202" s="100">
        <f t="shared" si="238"/>
        <v>0</v>
      </c>
      <c r="AW202" s="100">
        <f t="shared" si="239"/>
        <v>0</v>
      </c>
      <c r="AX202" s="100">
        <f t="shared" si="240"/>
        <v>0</v>
      </c>
      <c r="AY202" s="110" t="s">
        <v>1705</v>
      </c>
      <c r="AZ202" s="110" t="s">
        <v>1731</v>
      </c>
      <c r="BA202" s="109" t="s">
        <v>1737</v>
      </c>
      <c r="BC202" s="100">
        <f t="shared" si="241"/>
        <v>0</v>
      </c>
      <c r="BD202" s="100">
        <f t="shared" si="242"/>
        <v>0</v>
      </c>
      <c r="BE202" s="100">
        <v>0</v>
      </c>
      <c r="BF202" s="100">
        <f>202</f>
        <v>202</v>
      </c>
      <c r="BH202" s="108">
        <f t="shared" si="243"/>
        <v>0</v>
      </c>
      <c r="BI202" s="108">
        <f t="shared" si="244"/>
        <v>0</v>
      </c>
      <c r="BJ202" s="108">
        <f t="shared" si="245"/>
        <v>0</v>
      </c>
    </row>
    <row r="203" spans="1:62" x14ac:dyDescent="0.2">
      <c r="A203" s="119"/>
      <c r="B203" s="120" t="s">
        <v>710</v>
      </c>
      <c r="C203" s="306" t="s">
        <v>1222</v>
      </c>
      <c r="D203" s="307"/>
      <c r="E203" s="307"/>
      <c r="F203" s="119" t="s">
        <v>6</v>
      </c>
      <c r="G203" s="119" t="s">
        <v>6</v>
      </c>
      <c r="H203" s="119" t="s">
        <v>6</v>
      </c>
      <c r="I203" s="118">
        <f>SUM(I204:I213)</f>
        <v>0</v>
      </c>
      <c r="J203" s="118">
        <f>SUM(J204:J213)</f>
        <v>0</v>
      </c>
      <c r="K203" s="118">
        <f>SUM(K204:K213)</f>
        <v>0</v>
      </c>
      <c r="L203" s="109"/>
      <c r="AI203" s="109"/>
      <c r="AS203" s="118">
        <f>SUM(AJ204:AJ213)</f>
        <v>0</v>
      </c>
      <c r="AT203" s="118">
        <f>SUM(AK204:AK213)</f>
        <v>0</v>
      </c>
      <c r="AU203" s="118">
        <f>SUM(AL204:AL213)</f>
        <v>0</v>
      </c>
    </row>
    <row r="204" spans="1:62" x14ac:dyDescent="0.2">
      <c r="A204" s="117" t="s">
        <v>168</v>
      </c>
      <c r="B204" s="117" t="s">
        <v>3711</v>
      </c>
      <c r="C204" s="304" t="s">
        <v>4128</v>
      </c>
      <c r="D204" s="305"/>
      <c r="E204" s="305"/>
      <c r="F204" s="117" t="s">
        <v>1645</v>
      </c>
      <c r="G204" s="116">
        <v>424.964</v>
      </c>
      <c r="H204" s="159"/>
      <c r="I204" s="108">
        <f t="shared" ref="I204:I213" si="246">G204*AO204</f>
        <v>0</v>
      </c>
      <c r="J204" s="108">
        <f t="shared" ref="J204:J213" si="247">G204*AP204</f>
        <v>0</v>
      </c>
      <c r="K204" s="108">
        <f t="shared" ref="K204:K213" si="248">G204*H204</f>
        <v>0</v>
      </c>
      <c r="L204" s="111" t="s">
        <v>1671</v>
      </c>
      <c r="Z204" s="100">
        <f t="shared" ref="Z204:Z213" si="249">IF(AQ204="5",BJ204,0)</f>
        <v>0</v>
      </c>
      <c r="AB204" s="100">
        <f t="shared" ref="AB204:AB213" si="250">IF(AQ204="1",BH204,0)</f>
        <v>0</v>
      </c>
      <c r="AC204" s="100">
        <f t="shared" ref="AC204:AC213" si="251">IF(AQ204="1",BI204,0)</f>
        <v>0</v>
      </c>
      <c r="AD204" s="100">
        <f t="shared" ref="AD204:AD213" si="252">IF(AQ204="7",BH204,0)</f>
        <v>0</v>
      </c>
      <c r="AE204" s="100">
        <f t="shared" ref="AE204:AE213" si="253">IF(AQ204="7",BI204,0)</f>
        <v>0</v>
      </c>
      <c r="AF204" s="100">
        <f t="shared" ref="AF204:AF213" si="254">IF(AQ204="2",BH204,0)</f>
        <v>0</v>
      </c>
      <c r="AG204" s="100">
        <f t="shared" ref="AG204:AG213" si="255">IF(AQ204="2",BI204,0)</f>
        <v>0</v>
      </c>
      <c r="AH204" s="100">
        <f t="shared" ref="AH204:AH213" si="256">IF(AQ204="0",BJ204,0)</f>
        <v>0</v>
      </c>
      <c r="AI204" s="109"/>
      <c r="AJ204" s="108">
        <f t="shared" ref="AJ204:AJ213" si="257">IF(AN204=0,K204,0)</f>
        <v>0</v>
      </c>
      <c r="AK204" s="108">
        <f t="shared" ref="AK204:AK213" si="258">IF(AN204=15,K204,0)</f>
        <v>0</v>
      </c>
      <c r="AL204" s="108">
        <f t="shared" ref="AL204:AL213" si="259">IF(AN204=21,K204,0)</f>
        <v>0</v>
      </c>
      <c r="AN204" s="100">
        <v>15</v>
      </c>
      <c r="AO204" s="100">
        <f>H204*0</f>
        <v>0</v>
      </c>
      <c r="AP204" s="100">
        <f>H204*(1-0)</f>
        <v>0</v>
      </c>
      <c r="AQ204" s="111" t="s">
        <v>13</v>
      </c>
      <c r="AV204" s="100">
        <f t="shared" ref="AV204:AV213" si="260">AW204+AX204</f>
        <v>0</v>
      </c>
      <c r="AW204" s="100">
        <f t="shared" ref="AW204:AW213" si="261">G204*AO204</f>
        <v>0</v>
      </c>
      <c r="AX204" s="100">
        <f t="shared" ref="AX204:AX213" si="262">G204*AP204</f>
        <v>0</v>
      </c>
      <c r="AY204" s="110" t="s">
        <v>1706</v>
      </c>
      <c r="AZ204" s="110" t="s">
        <v>1731</v>
      </c>
      <c r="BA204" s="109" t="s">
        <v>1737</v>
      </c>
      <c r="BC204" s="100">
        <f t="shared" ref="BC204:BC213" si="263">AW204+AX204</f>
        <v>0</v>
      </c>
      <c r="BD204" s="100">
        <f t="shared" ref="BD204:BD213" si="264">H204/(100-BE204)*100</f>
        <v>0</v>
      </c>
      <c r="BE204" s="100">
        <v>0</v>
      </c>
      <c r="BF204" s="100">
        <f>204</f>
        <v>204</v>
      </c>
      <c r="BH204" s="108">
        <f t="shared" ref="BH204:BH213" si="265">G204*AO204</f>
        <v>0</v>
      </c>
      <c r="BI204" s="108">
        <f t="shared" ref="BI204:BI213" si="266">G204*AP204</f>
        <v>0</v>
      </c>
      <c r="BJ204" s="108">
        <f t="shared" ref="BJ204:BJ213" si="267">G204*H204</f>
        <v>0</v>
      </c>
    </row>
    <row r="205" spans="1:62" x14ac:dyDescent="0.2">
      <c r="A205" s="117" t="s">
        <v>169</v>
      </c>
      <c r="B205" s="117" t="s">
        <v>711</v>
      </c>
      <c r="C205" s="304" t="s">
        <v>4127</v>
      </c>
      <c r="D205" s="305"/>
      <c r="E205" s="305"/>
      <c r="F205" s="117" t="s">
        <v>1645</v>
      </c>
      <c r="G205" s="116">
        <v>424.964</v>
      </c>
      <c r="H205" s="159"/>
      <c r="I205" s="108">
        <f t="shared" si="246"/>
        <v>0</v>
      </c>
      <c r="J205" s="108">
        <f t="shared" si="247"/>
        <v>0</v>
      </c>
      <c r="K205" s="108">
        <f t="shared" si="248"/>
        <v>0</v>
      </c>
      <c r="L205" s="111" t="s">
        <v>1671</v>
      </c>
      <c r="Z205" s="100">
        <f t="shared" si="249"/>
        <v>0</v>
      </c>
      <c r="AB205" s="100">
        <f t="shared" si="250"/>
        <v>0</v>
      </c>
      <c r="AC205" s="100">
        <f t="shared" si="251"/>
        <v>0</v>
      </c>
      <c r="AD205" s="100">
        <f t="shared" si="252"/>
        <v>0</v>
      </c>
      <c r="AE205" s="100">
        <f t="shared" si="253"/>
        <v>0</v>
      </c>
      <c r="AF205" s="100">
        <f t="shared" si="254"/>
        <v>0</v>
      </c>
      <c r="AG205" s="100">
        <f t="shared" si="255"/>
        <v>0</v>
      </c>
      <c r="AH205" s="100">
        <f t="shared" si="256"/>
        <v>0</v>
      </c>
      <c r="AI205" s="109"/>
      <c r="AJ205" s="108">
        <f t="shared" si="257"/>
        <v>0</v>
      </c>
      <c r="AK205" s="108">
        <f t="shared" si="258"/>
        <v>0</v>
      </c>
      <c r="AL205" s="108">
        <f t="shared" si="259"/>
        <v>0</v>
      </c>
      <c r="AN205" s="100">
        <v>15</v>
      </c>
      <c r="AO205" s="100">
        <f>H205*0</f>
        <v>0</v>
      </c>
      <c r="AP205" s="100">
        <f>H205*(1-0)</f>
        <v>0</v>
      </c>
      <c r="AQ205" s="111" t="s">
        <v>13</v>
      </c>
      <c r="AV205" s="100">
        <f t="shared" si="260"/>
        <v>0</v>
      </c>
      <c r="AW205" s="100">
        <f t="shared" si="261"/>
        <v>0</v>
      </c>
      <c r="AX205" s="100">
        <f t="shared" si="262"/>
        <v>0</v>
      </c>
      <c r="AY205" s="110" t="s">
        <v>1706</v>
      </c>
      <c r="AZ205" s="110" t="s">
        <v>1731</v>
      </c>
      <c r="BA205" s="109" t="s">
        <v>1737</v>
      </c>
      <c r="BC205" s="100">
        <f t="shared" si="263"/>
        <v>0</v>
      </c>
      <c r="BD205" s="100">
        <f t="shared" si="264"/>
        <v>0</v>
      </c>
      <c r="BE205" s="100">
        <v>0</v>
      </c>
      <c r="BF205" s="100">
        <f>205</f>
        <v>205</v>
      </c>
      <c r="BH205" s="108">
        <f t="shared" si="265"/>
        <v>0</v>
      </c>
      <c r="BI205" s="108">
        <f t="shared" si="266"/>
        <v>0</v>
      </c>
      <c r="BJ205" s="108">
        <f t="shared" si="267"/>
        <v>0</v>
      </c>
    </row>
    <row r="206" spans="1:62" x14ac:dyDescent="0.2">
      <c r="A206" s="124" t="s">
        <v>170</v>
      </c>
      <c r="B206" s="124" t="s">
        <v>712</v>
      </c>
      <c r="C206" s="311" t="s">
        <v>1224</v>
      </c>
      <c r="D206" s="312"/>
      <c r="E206" s="312"/>
      <c r="F206" s="124" t="s">
        <v>1645</v>
      </c>
      <c r="G206" s="123">
        <v>467.46</v>
      </c>
      <c r="H206" s="160"/>
      <c r="I206" s="121">
        <f t="shared" si="246"/>
        <v>0</v>
      </c>
      <c r="J206" s="121">
        <f t="shared" si="247"/>
        <v>0</v>
      </c>
      <c r="K206" s="121">
        <f t="shared" si="248"/>
        <v>0</v>
      </c>
      <c r="L206" s="122" t="s">
        <v>1671</v>
      </c>
      <c r="Z206" s="100">
        <f t="shared" si="249"/>
        <v>0</v>
      </c>
      <c r="AB206" s="100">
        <f t="shared" si="250"/>
        <v>0</v>
      </c>
      <c r="AC206" s="100">
        <f t="shared" si="251"/>
        <v>0</v>
      </c>
      <c r="AD206" s="100">
        <f t="shared" si="252"/>
        <v>0</v>
      </c>
      <c r="AE206" s="100">
        <f t="shared" si="253"/>
        <v>0</v>
      </c>
      <c r="AF206" s="100">
        <f t="shared" si="254"/>
        <v>0</v>
      </c>
      <c r="AG206" s="100">
        <f t="shared" si="255"/>
        <v>0</v>
      </c>
      <c r="AH206" s="100">
        <f t="shared" si="256"/>
        <v>0</v>
      </c>
      <c r="AI206" s="109"/>
      <c r="AJ206" s="121">
        <f t="shared" si="257"/>
        <v>0</v>
      </c>
      <c r="AK206" s="121">
        <f t="shared" si="258"/>
        <v>0</v>
      </c>
      <c r="AL206" s="121">
        <f t="shared" si="259"/>
        <v>0</v>
      </c>
      <c r="AN206" s="100">
        <v>15</v>
      </c>
      <c r="AO206" s="100">
        <f>H206*1</f>
        <v>0</v>
      </c>
      <c r="AP206" s="100">
        <f>H206*(1-1)</f>
        <v>0</v>
      </c>
      <c r="AQ206" s="122" t="s">
        <v>13</v>
      </c>
      <c r="AV206" s="100">
        <f t="shared" si="260"/>
        <v>0</v>
      </c>
      <c r="AW206" s="100">
        <f t="shared" si="261"/>
        <v>0</v>
      </c>
      <c r="AX206" s="100">
        <f t="shared" si="262"/>
        <v>0</v>
      </c>
      <c r="AY206" s="110" t="s">
        <v>1706</v>
      </c>
      <c r="AZ206" s="110" t="s">
        <v>1731</v>
      </c>
      <c r="BA206" s="109" t="s">
        <v>1737</v>
      </c>
      <c r="BC206" s="100">
        <f t="shared" si="263"/>
        <v>0</v>
      </c>
      <c r="BD206" s="100">
        <f t="shared" si="264"/>
        <v>0</v>
      </c>
      <c r="BE206" s="100">
        <v>0</v>
      </c>
      <c r="BF206" s="100">
        <f>206</f>
        <v>206</v>
      </c>
      <c r="BH206" s="121">
        <f t="shared" si="265"/>
        <v>0</v>
      </c>
      <c r="BI206" s="121">
        <f t="shared" si="266"/>
        <v>0</v>
      </c>
      <c r="BJ206" s="121">
        <f t="shared" si="267"/>
        <v>0</v>
      </c>
    </row>
    <row r="207" spans="1:62" x14ac:dyDescent="0.2">
      <c r="A207" s="124" t="s">
        <v>171</v>
      </c>
      <c r="B207" s="124" t="s">
        <v>713</v>
      </c>
      <c r="C207" s="311" t="s">
        <v>1225</v>
      </c>
      <c r="D207" s="312"/>
      <c r="E207" s="312"/>
      <c r="F207" s="124" t="s">
        <v>1645</v>
      </c>
      <c r="G207" s="123">
        <v>467.46</v>
      </c>
      <c r="H207" s="160"/>
      <c r="I207" s="121">
        <f t="shared" si="246"/>
        <v>0</v>
      </c>
      <c r="J207" s="121">
        <f t="shared" si="247"/>
        <v>0</v>
      </c>
      <c r="K207" s="121">
        <f t="shared" si="248"/>
        <v>0</v>
      </c>
      <c r="L207" s="122" t="s">
        <v>1671</v>
      </c>
      <c r="Z207" s="100">
        <f t="shared" si="249"/>
        <v>0</v>
      </c>
      <c r="AB207" s="100">
        <f t="shared" si="250"/>
        <v>0</v>
      </c>
      <c r="AC207" s="100">
        <f t="shared" si="251"/>
        <v>0</v>
      </c>
      <c r="AD207" s="100">
        <f t="shared" si="252"/>
        <v>0</v>
      </c>
      <c r="AE207" s="100">
        <f t="shared" si="253"/>
        <v>0</v>
      </c>
      <c r="AF207" s="100">
        <f t="shared" si="254"/>
        <v>0</v>
      </c>
      <c r="AG207" s="100">
        <f t="shared" si="255"/>
        <v>0</v>
      </c>
      <c r="AH207" s="100">
        <f t="shared" si="256"/>
        <v>0</v>
      </c>
      <c r="AI207" s="109"/>
      <c r="AJ207" s="121">
        <f t="shared" si="257"/>
        <v>0</v>
      </c>
      <c r="AK207" s="121">
        <f t="shared" si="258"/>
        <v>0</v>
      </c>
      <c r="AL207" s="121">
        <f t="shared" si="259"/>
        <v>0</v>
      </c>
      <c r="AN207" s="100">
        <v>15</v>
      </c>
      <c r="AO207" s="100">
        <f>H207*1</f>
        <v>0</v>
      </c>
      <c r="AP207" s="100">
        <f>H207*(1-1)</f>
        <v>0</v>
      </c>
      <c r="AQ207" s="122" t="s">
        <v>13</v>
      </c>
      <c r="AV207" s="100">
        <f t="shared" si="260"/>
        <v>0</v>
      </c>
      <c r="AW207" s="100">
        <f t="shared" si="261"/>
        <v>0</v>
      </c>
      <c r="AX207" s="100">
        <f t="shared" si="262"/>
        <v>0</v>
      </c>
      <c r="AY207" s="110" t="s">
        <v>1706</v>
      </c>
      <c r="AZ207" s="110" t="s">
        <v>1731</v>
      </c>
      <c r="BA207" s="109" t="s">
        <v>1737</v>
      </c>
      <c r="BC207" s="100">
        <f t="shared" si="263"/>
        <v>0</v>
      </c>
      <c r="BD207" s="100">
        <f t="shared" si="264"/>
        <v>0</v>
      </c>
      <c r="BE207" s="100">
        <v>0</v>
      </c>
      <c r="BF207" s="100">
        <f>207</f>
        <v>207</v>
      </c>
      <c r="BH207" s="121">
        <f t="shared" si="265"/>
        <v>0</v>
      </c>
      <c r="BI207" s="121">
        <f t="shared" si="266"/>
        <v>0</v>
      </c>
      <c r="BJ207" s="121">
        <f t="shared" si="267"/>
        <v>0</v>
      </c>
    </row>
    <row r="208" spans="1:62" x14ac:dyDescent="0.2">
      <c r="A208" s="117" t="s">
        <v>172</v>
      </c>
      <c r="B208" s="117" t="s">
        <v>714</v>
      </c>
      <c r="C208" s="304" t="s">
        <v>1226</v>
      </c>
      <c r="D208" s="305"/>
      <c r="E208" s="305"/>
      <c r="F208" s="117" t="s">
        <v>1646</v>
      </c>
      <c r="G208" s="116">
        <v>62.5</v>
      </c>
      <c r="H208" s="159"/>
      <c r="I208" s="108">
        <f t="shared" si="246"/>
        <v>0</v>
      </c>
      <c r="J208" s="108">
        <f t="shared" si="247"/>
        <v>0</v>
      </c>
      <c r="K208" s="108">
        <f t="shared" si="248"/>
        <v>0</v>
      </c>
      <c r="L208" s="111" t="s">
        <v>1671</v>
      </c>
      <c r="Z208" s="100">
        <f t="shared" si="249"/>
        <v>0</v>
      </c>
      <c r="AB208" s="100">
        <f t="shared" si="250"/>
        <v>0</v>
      </c>
      <c r="AC208" s="100">
        <f t="shared" si="251"/>
        <v>0</v>
      </c>
      <c r="AD208" s="100">
        <f t="shared" si="252"/>
        <v>0</v>
      </c>
      <c r="AE208" s="100">
        <f t="shared" si="253"/>
        <v>0</v>
      </c>
      <c r="AF208" s="100">
        <f t="shared" si="254"/>
        <v>0</v>
      </c>
      <c r="AG208" s="100">
        <f t="shared" si="255"/>
        <v>0</v>
      </c>
      <c r="AH208" s="100">
        <f t="shared" si="256"/>
        <v>0</v>
      </c>
      <c r="AI208" s="109"/>
      <c r="AJ208" s="108">
        <f t="shared" si="257"/>
        <v>0</v>
      </c>
      <c r="AK208" s="108">
        <f t="shared" si="258"/>
        <v>0</v>
      </c>
      <c r="AL208" s="108">
        <f t="shared" si="259"/>
        <v>0</v>
      </c>
      <c r="AN208" s="100">
        <v>15</v>
      </c>
      <c r="AO208" s="100">
        <f>H208*0</f>
        <v>0</v>
      </c>
      <c r="AP208" s="100">
        <f>H208*(1-0)</f>
        <v>0</v>
      </c>
      <c r="AQ208" s="111" t="s">
        <v>13</v>
      </c>
      <c r="AV208" s="100">
        <f t="shared" si="260"/>
        <v>0</v>
      </c>
      <c r="AW208" s="100">
        <f t="shared" si="261"/>
        <v>0</v>
      </c>
      <c r="AX208" s="100">
        <f t="shared" si="262"/>
        <v>0</v>
      </c>
      <c r="AY208" s="110" t="s">
        <v>1706</v>
      </c>
      <c r="AZ208" s="110" t="s">
        <v>1731</v>
      </c>
      <c r="BA208" s="109" t="s">
        <v>1737</v>
      </c>
      <c r="BC208" s="100">
        <f t="shared" si="263"/>
        <v>0</v>
      </c>
      <c r="BD208" s="100">
        <f t="shared" si="264"/>
        <v>0</v>
      </c>
      <c r="BE208" s="100">
        <v>0</v>
      </c>
      <c r="BF208" s="100">
        <f>208</f>
        <v>208</v>
      </c>
      <c r="BH208" s="108">
        <f t="shared" si="265"/>
        <v>0</v>
      </c>
      <c r="BI208" s="108">
        <f t="shared" si="266"/>
        <v>0</v>
      </c>
      <c r="BJ208" s="108">
        <f t="shared" si="267"/>
        <v>0</v>
      </c>
    </row>
    <row r="209" spans="1:62" x14ac:dyDescent="0.2">
      <c r="A209" s="117" t="s">
        <v>173</v>
      </c>
      <c r="B209" s="117" t="s">
        <v>3708</v>
      </c>
      <c r="C209" s="304" t="s">
        <v>4126</v>
      </c>
      <c r="D209" s="305"/>
      <c r="E209" s="305"/>
      <c r="F209" s="117" t="s">
        <v>1645</v>
      </c>
      <c r="G209" s="116">
        <v>424.964</v>
      </c>
      <c r="H209" s="159"/>
      <c r="I209" s="108">
        <f t="shared" si="246"/>
        <v>0</v>
      </c>
      <c r="J209" s="108">
        <f t="shared" si="247"/>
        <v>0</v>
      </c>
      <c r="K209" s="108">
        <f t="shared" si="248"/>
        <v>0</v>
      </c>
      <c r="L209" s="111" t="s">
        <v>1671</v>
      </c>
      <c r="Z209" s="100">
        <f t="shared" si="249"/>
        <v>0</v>
      </c>
      <c r="AB209" s="100">
        <f t="shared" si="250"/>
        <v>0</v>
      </c>
      <c r="AC209" s="100">
        <f t="shared" si="251"/>
        <v>0</v>
      </c>
      <c r="AD209" s="100">
        <f t="shared" si="252"/>
        <v>0</v>
      </c>
      <c r="AE209" s="100">
        <f t="shared" si="253"/>
        <v>0</v>
      </c>
      <c r="AF209" s="100">
        <f t="shared" si="254"/>
        <v>0</v>
      </c>
      <c r="AG209" s="100">
        <f t="shared" si="255"/>
        <v>0</v>
      </c>
      <c r="AH209" s="100">
        <f t="shared" si="256"/>
        <v>0</v>
      </c>
      <c r="AI209" s="109"/>
      <c r="AJ209" s="108">
        <f t="shared" si="257"/>
        <v>0</v>
      </c>
      <c r="AK209" s="108">
        <f t="shared" si="258"/>
        <v>0</v>
      </c>
      <c r="AL209" s="108">
        <f t="shared" si="259"/>
        <v>0</v>
      </c>
      <c r="AN209" s="100">
        <v>15</v>
      </c>
      <c r="AO209" s="100">
        <f>H209*0.101244837003485</f>
        <v>0</v>
      </c>
      <c r="AP209" s="100">
        <f>H209*(1-0.101244837003485)</f>
        <v>0</v>
      </c>
      <c r="AQ209" s="111" t="s">
        <v>13</v>
      </c>
      <c r="AV209" s="100">
        <f t="shared" si="260"/>
        <v>0</v>
      </c>
      <c r="AW209" s="100">
        <f t="shared" si="261"/>
        <v>0</v>
      </c>
      <c r="AX209" s="100">
        <f t="shared" si="262"/>
        <v>0</v>
      </c>
      <c r="AY209" s="110" t="s">
        <v>1706</v>
      </c>
      <c r="AZ209" s="110" t="s">
        <v>1731</v>
      </c>
      <c r="BA209" s="109" t="s">
        <v>1737</v>
      </c>
      <c r="BC209" s="100">
        <f t="shared" si="263"/>
        <v>0</v>
      </c>
      <c r="BD209" s="100">
        <f t="shared" si="264"/>
        <v>0</v>
      </c>
      <c r="BE209" s="100">
        <v>0</v>
      </c>
      <c r="BF209" s="100">
        <f>209</f>
        <v>209</v>
      </c>
      <c r="BH209" s="108">
        <f t="shared" si="265"/>
        <v>0</v>
      </c>
      <c r="BI209" s="108">
        <f t="shared" si="266"/>
        <v>0</v>
      </c>
      <c r="BJ209" s="108">
        <f t="shared" si="267"/>
        <v>0</v>
      </c>
    </row>
    <row r="210" spans="1:62" x14ac:dyDescent="0.2">
      <c r="A210" s="117" t="s">
        <v>174</v>
      </c>
      <c r="B210" s="117" t="s">
        <v>715</v>
      </c>
      <c r="C210" s="304" t="s">
        <v>3706</v>
      </c>
      <c r="D210" s="305"/>
      <c r="E210" s="305"/>
      <c r="F210" s="117" t="s">
        <v>1645</v>
      </c>
      <c r="G210" s="116">
        <v>424.964</v>
      </c>
      <c r="H210" s="159"/>
      <c r="I210" s="108">
        <f t="shared" si="246"/>
        <v>0</v>
      </c>
      <c r="J210" s="108">
        <f t="shared" si="247"/>
        <v>0</v>
      </c>
      <c r="K210" s="108">
        <f t="shared" si="248"/>
        <v>0</v>
      </c>
      <c r="L210" s="111" t="s">
        <v>1671</v>
      </c>
      <c r="Z210" s="100">
        <f t="shared" si="249"/>
        <v>0</v>
      </c>
      <c r="AB210" s="100">
        <f t="shared" si="250"/>
        <v>0</v>
      </c>
      <c r="AC210" s="100">
        <f t="shared" si="251"/>
        <v>0</v>
      </c>
      <c r="AD210" s="100">
        <f t="shared" si="252"/>
        <v>0</v>
      </c>
      <c r="AE210" s="100">
        <f t="shared" si="253"/>
        <v>0</v>
      </c>
      <c r="AF210" s="100">
        <f t="shared" si="254"/>
        <v>0</v>
      </c>
      <c r="AG210" s="100">
        <f t="shared" si="255"/>
        <v>0</v>
      </c>
      <c r="AH210" s="100">
        <f t="shared" si="256"/>
        <v>0</v>
      </c>
      <c r="AI210" s="109"/>
      <c r="AJ210" s="108">
        <f t="shared" si="257"/>
        <v>0</v>
      </c>
      <c r="AK210" s="108">
        <f t="shared" si="258"/>
        <v>0</v>
      </c>
      <c r="AL210" s="108">
        <f t="shared" si="259"/>
        <v>0</v>
      </c>
      <c r="AN210" s="100">
        <v>15</v>
      </c>
      <c r="AO210" s="100">
        <f>H210*0.155846494506028</f>
        <v>0</v>
      </c>
      <c r="AP210" s="100">
        <f>H210*(1-0.155846494506028)</f>
        <v>0</v>
      </c>
      <c r="AQ210" s="111" t="s">
        <v>13</v>
      </c>
      <c r="AV210" s="100">
        <f t="shared" si="260"/>
        <v>0</v>
      </c>
      <c r="AW210" s="100">
        <f t="shared" si="261"/>
        <v>0</v>
      </c>
      <c r="AX210" s="100">
        <f t="shared" si="262"/>
        <v>0</v>
      </c>
      <c r="AY210" s="110" t="s">
        <v>1706</v>
      </c>
      <c r="AZ210" s="110" t="s">
        <v>1731</v>
      </c>
      <c r="BA210" s="109" t="s">
        <v>1737</v>
      </c>
      <c r="BC210" s="100">
        <f t="shared" si="263"/>
        <v>0</v>
      </c>
      <c r="BD210" s="100">
        <f t="shared" si="264"/>
        <v>0</v>
      </c>
      <c r="BE210" s="100">
        <v>0</v>
      </c>
      <c r="BF210" s="100">
        <f>210</f>
        <v>210</v>
      </c>
      <c r="BH210" s="108">
        <f t="shared" si="265"/>
        <v>0</v>
      </c>
      <c r="BI210" s="108">
        <f t="shared" si="266"/>
        <v>0</v>
      </c>
      <c r="BJ210" s="108">
        <f t="shared" si="267"/>
        <v>0</v>
      </c>
    </row>
    <row r="211" spans="1:62" x14ac:dyDescent="0.2">
      <c r="A211" s="117" t="s">
        <v>175</v>
      </c>
      <c r="B211" s="117" t="s">
        <v>716</v>
      </c>
      <c r="C211" s="304" t="s">
        <v>3705</v>
      </c>
      <c r="D211" s="305"/>
      <c r="E211" s="305"/>
      <c r="F211" s="117" t="s">
        <v>1645</v>
      </c>
      <c r="G211" s="116">
        <v>424.964</v>
      </c>
      <c r="H211" s="159"/>
      <c r="I211" s="108">
        <f t="shared" si="246"/>
        <v>0</v>
      </c>
      <c r="J211" s="108">
        <f t="shared" si="247"/>
        <v>0</v>
      </c>
      <c r="K211" s="108">
        <f t="shared" si="248"/>
        <v>0</v>
      </c>
      <c r="L211" s="111" t="s">
        <v>1671</v>
      </c>
      <c r="Z211" s="100">
        <f t="shared" si="249"/>
        <v>0</v>
      </c>
      <c r="AB211" s="100">
        <f t="shared" si="250"/>
        <v>0</v>
      </c>
      <c r="AC211" s="100">
        <f t="shared" si="251"/>
        <v>0</v>
      </c>
      <c r="AD211" s="100">
        <f t="shared" si="252"/>
        <v>0</v>
      </c>
      <c r="AE211" s="100">
        <f t="shared" si="253"/>
        <v>0</v>
      </c>
      <c r="AF211" s="100">
        <f t="shared" si="254"/>
        <v>0</v>
      </c>
      <c r="AG211" s="100">
        <f t="shared" si="255"/>
        <v>0</v>
      </c>
      <c r="AH211" s="100">
        <f t="shared" si="256"/>
        <v>0</v>
      </c>
      <c r="AI211" s="109"/>
      <c r="AJ211" s="108">
        <f t="shared" si="257"/>
        <v>0</v>
      </c>
      <c r="AK211" s="108">
        <f t="shared" si="258"/>
        <v>0</v>
      </c>
      <c r="AL211" s="108">
        <f t="shared" si="259"/>
        <v>0</v>
      </c>
      <c r="AN211" s="100">
        <v>15</v>
      </c>
      <c r="AO211" s="100">
        <f>H211*0.160103085015566</f>
        <v>0</v>
      </c>
      <c r="AP211" s="100">
        <f>H211*(1-0.160103085015566)</f>
        <v>0</v>
      </c>
      <c r="AQ211" s="111" t="s">
        <v>13</v>
      </c>
      <c r="AV211" s="100">
        <f t="shared" si="260"/>
        <v>0</v>
      </c>
      <c r="AW211" s="100">
        <f t="shared" si="261"/>
        <v>0</v>
      </c>
      <c r="AX211" s="100">
        <f t="shared" si="262"/>
        <v>0</v>
      </c>
      <c r="AY211" s="110" t="s">
        <v>1706</v>
      </c>
      <c r="AZ211" s="110" t="s">
        <v>1731</v>
      </c>
      <c r="BA211" s="109" t="s">
        <v>1737</v>
      </c>
      <c r="BC211" s="100">
        <f t="shared" si="263"/>
        <v>0</v>
      </c>
      <c r="BD211" s="100">
        <f t="shared" si="264"/>
        <v>0</v>
      </c>
      <c r="BE211" s="100">
        <v>0</v>
      </c>
      <c r="BF211" s="100">
        <f>211</f>
        <v>211</v>
      </c>
      <c r="BH211" s="108">
        <f t="shared" si="265"/>
        <v>0</v>
      </c>
      <c r="BI211" s="108">
        <f t="shared" si="266"/>
        <v>0</v>
      </c>
      <c r="BJ211" s="108">
        <f t="shared" si="267"/>
        <v>0</v>
      </c>
    </row>
    <row r="212" spans="1:62" x14ac:dyDescent="0.2">
      <c r="A212" s="117" t="s">
        <v>176</v>
      </c>
      <c r="B212" s="117" t="s">
        <v>717</v>
      </c>
      <c r="C212" s="304" t="s">
        <v>4125</v>
      </c>
      <c r="D212" s="305"/>
      <c r="E212" s="305"/>
      <c r="F212" s="117" t="s">
        <v>1645</v>
      </c>
      <c r="G212" s="116">
        <v>439.73899999999998</v>
      </c>
      <c r="H212" s="159"/>
      <c r="I212" s="108">
        <f t="shared" si="246"/>
        <v>0</v>
      </c>
      <c r="J212" s="108">
        <f t="shared" si="247"/>
        <v>0</v>
      </c>
      <c r="K212" s="108">
        <f t="shared" si="248"/>
        <v>0</v>
      </c>
      <c r="L212" s="111" t="s">
        <v>1671</v>
      </c>
      <c r="Z212" s="100">
        <f t="shared" si="249"/>
        <v>0</v>
      </c>
      <c r="AB212" s="100">
        <f t="shared" si="250"/>
        <v>0</v>
      </c>
      <c r="AC212" s="100">
        <f t="shared" si="251"/>
        <v>0</v>
      </c>
      <c r="AD212" s="100">
        <f t="shared" si="252"/>
        <v>0</v>
      </c>
      <c r="AE212" s="100">
        <f t="shared" si="253"/>
        <v>0</v>
      </c>
      <c r="AF212" s="100">
        <f t="shared" si="254"/>
        <v>0</v>
      </c>
      <c r="AG212" s="100">
        <f t="shared" si="255"/>
        <v>0</v>
      </c>
      <c r="AH212" s="100">
        <f t="shared" si="256"/>
        <v>0</v>
      </c>
      <c r="AI212" s="109"/>
      <c r="AJ212" s="108">
        <f t="shared" si="257"/>
        <v>0</v>
      </c>
      <c r="AK212" s="108">
        <f t="shared" si="258"/>
        <v>0</v>
      </c>
      <c r="AL212" s="108">
        <f t="shared" si="259"/>
        <v>0</v>
      </c>
      <c r="AN212" s="100">
        <v>15</v>
      </c>
      <c r="AO212" s="100">
        <f>H212*0.421192110068918</f>
        <v>0</v>
      </c>
      <c r="AP212" s="100">
        <f>H212*(1-0.421192110068918)</f>
        <v>0</v>
      </c>
      <c r="AQ212" s="111" t="s">
        <v>13</v>
      </c>
      <c r="AV212" s="100">
        <f t="shared" si="260"/>
        <v>0</v>
      </c>
      <c r="AW212" s="100">
        <f t="shared" si="261"/>
        <v>0</v>
      </c>
      <c r="AX212" s="100">
        <f t="shared" si="262"/>
        <v>0</v>
      </c>
      <c r="AY212" s="110" t="s">
        <v>1706</v>
      </c>
      <c r="AZ212" s="110" t="s">
        <v>1731</v>
      </c>
      <c r="BA212" s="109" t="s">
        <v>1737</v>
      </c>
      <c r="BC212" s="100">
        <f t="shared" si="263"/>
        <v>0</v>
      </c>
      <c r="BD212" s="100">
        <f t="shared" si="264"/>
        <v>0</v>
      </c>
      <c r="BE212" s="100">
        <v>0</v>
      </c>
      <c r="BF212" s="100">
        <f>212</f>
        <v>212</v>
      </c>
      <c r="BH212" s="108">
        <f t="shared" si="265"/>
        <v>0</v>
      </c>
      <c r="BI212" s="108">
        <f t="shared" si="266"/>
        <v>0</v>
      </c>
      <c r="BJ212" s="108">
        <f t="shared" si="267"/>
        <v>0</v>
      </c>
    </row>
    <row r="213" spans="1:62" x14ac:dyDescent="0.2">
      <c r="A213" s="117" t="s">
        <v>177</v>
      </c>
      <c r="B213" s="117" t="s">
        <v>718</v>
      </c>
      <c r="C213" s="304" t="s">
        <v>1230</v>
      </c>
      <c r="D213" s="305"/>
      <c r="E213" s="305"/>
      <c r="F213" s="117" t="s">
        <v>1648</v>
      </c>
      <c r="G213" s="116">
        <v>3.8919999999999999</v>
      </c>
      <c r="H213" s="159"/>
      <c r="I213" s="108">
        <f t="shared" si="246"/>
        <v>0</v>
      </c>
      <c r="J213" s="108">
        <f t="shared" si="247"/>
        <v>0</v>
      </c>
      <c r="K213" s="108">
        <f t="shared" si="248"/>
        <v>0</v>
      </c>
      <c r="L213" s="111" t="s">
        <v>1671</v>
      </c>
      <c r="Z213" s="100">
        <f t="shared" si="249"/>
        <v>0</v>
      </c>
      <c r="AB213" s="100">
        <f t="shared" si="250"/>
        <v>0</v>
      </c>
      <c r="AC213" s="100">
        <f t="shared" si="251"/>
        <v>0</v>
      </c>
      <c r="AD213" s="100">
        <f t="shared" si="252"/>
        <v>0</v>
      </c>
      <c r="AE213" s="100">
        <f t="shared" si="253"/>
        <v>0</v>
      </c>
      <c r="AF213" s="100">
        <f t="shared" si="254"/>
        <v>0</v>
      </c>
      <c r="AG213" s="100">
        <f t="shared" si="255"/>
        <v>0</v>
      </c>
      <c r="AH213" s="100">
        <f t="shared" si="256"/>
        <v>0</v>
      </c>
      <c r="AI213" s="109"/>
      <c r="AJ213" s="108">
        <f t="shared" si="257"/>
        <v>0</v>
      </c>
      <c r="AK213" s="108">
        <f t="shared" si="258"/>
        <v>0</v>
      </c>
      <c r="AL213" s="108">
        <f t="shared" si="259"/>
        <v>0</v>
      </c>
      <c r="AN213" s="100">
        <v>15</v>
      </c>
      <c r="AO213" s="100">
        <f>H213*0</f>
        <v>0</v>
      </c>
      <c r="AP213" s="100">
        <f>H213*(1-0)</f>
        <v>0</v>
      </c>
      <c r="AQ213" s="111" t="s">
        <v>11</v>
      </c>
      <c r="AV213" s="100">
        <f t="shared" si="260"/>
        <v>0</v>
      </c>
      <c r="AW213" s="100">
        <f t="shared" si="261"/>
        <v>0</v>
      </c>
      <c r="AX213" s="100">
        <f t="shared" si="262"/>
        <v>0</v>
      </c>
      <c r="AY213" s="110" t="s">
        <v>1706</v>
      </c>
      <c r="AZ213" s="110" t="s">
        <v>1731</v>
      </c>
      <c r="BA213" s="109" t="s">
        <v>1737</v>
      </c>
      <c r="BC213" s="100">
        <f t="shared" si="263"/>
        <v>0</v>
      </c>
      <c r="BD213" s="100">
        <f t="shared" si="264"/>
        <v>0</v>
      </c>
      <c r="BE213" s="100">
        <v>0</v>
      </c>
      <c r="BF213" s="100">
        <f>213</f>
        <v>213</v>
      </c>
      <c r="BH213" s="108">
        <f t="shared" si="265"/>
        <v>0</v>
      </c>
      <c r="BI213" s="108">
        <f t="shared" si="266"/>
        <v>0</v>
      </c>
      <c r="BJ213" s="108">
        <f t="shared" si="267"/>
        <v>0</v>
      </c>
    </row>
    <row r="214" spans="1:62" x14ac:dyDescent="0.2">
      <c r="A214" s="119"/>
      <c r="B214" s="120" t="s">
        <v>744</v>
      </c>
      <c r="C214" s="306" t="s">
        <v>1256</v>
      </c>
      <c r="D214" s="307"/>
      <c r="E214" s="307"/>
      <c r="F214" s="119" t="s">
        <v>6</v>
      </c>
      <c r="G214" s="119" t="s">
        <v>6</v>
      </c>
      <c r="H214" s="119" t="s">
        <v>6</v>
      </c>
      <c r="I214" s="118">
        <f>SUM(I215:I230)</f>
        <v>0</v>
      </c>
      <c r="J214" s="118">
        <f>SUM(J215:J230)</f>
        <v>0</v>
      </c>
      <c r="K214" s="118">
        <f>SUM(K215:K230)</f>
        <v>0</v>
      </c>
      <c r="L214" s="109"/>
      <c r="AI214" s="109"/>
      <c r="AS214" s="118">
        <f>SUM(AJ215:AJ230)</f>
        <v>0</v>
      </c>
      <c r="AT214" s="118">
        <f>SUM(AK215:AK230)</f>
        <v>0</v>
      </c>
      <c r="AU214" s="118">
        <f>SUM(AL215:AL230)</f>
        <v>0</v>
      </c>
    </row>
    <row r="215" spans="1:62" x14ac:dyDescent="0.2">
      <c r="A215" s="117" t="s">
        <v>178</v>
      </c>
      <c r="B215" s="117" t="s">
        <v>4124</v>
      </c>
      <c r="C215" s="304" t="s">
        <v>1257</v>
      </c>
      <c r="D215" s="305"/>
      <c r="E215" s="305"/>
      <c r="F215" s="117" t="s">
        <v>1646</v>
      </c>
      <c r="G215" s="116">
        <v>3</v>
      </c>
      <c r="H215" s="159"/>
      <c r="I215" s="108">
        <f t="shared" ref="I215:I230" si="268">G215*AO215</f>
        <v>0</v>
      </c>
      <c r="J215" s="108">
        <f t="shared" ref="J215:J230" si="269">G215*AP215</f>
        <v>0</v>
      </c>
      <c r="K215" s="108">
        <f t="shared" ref="K215:K230" si="270">G215*H215</f>
        <v>0</v>
      </c>
      <c r="L215" s="111"/>
      <c r="Z215" s="100">
        <f t="shared" ref="Z215:Z230" si="271">IF(AQ215="5",BJ215,0)</f>
        <v>0</v>
      </c>
      <c r="AB215" s="100">
        <f t="shared" ref="AB215:AB230" si="272">IF(AQ215="1",BH215,0)</f>
        <v>0</v>
      </c>
      <c r="AC215" s="100">
        <f t="shared" ref="AC215:AC230" si="273">IF(AQ215="1",BI215,0)</f>
        <v>0</v>
      </c>
      <c r="AD215" s="100">
        <f t="shared" ref="AD215:AD230" si="274">IF(AQ215="7",BH215,0)</f>
        <v>0</v>
      </c>
      <c r="AE215" s="100">
        <f t="shared" ref="AE215:AE230" si="275">IF(AQ215="7",BI215,0)</f>
        <v>0</v>
      </c>
      <c r="AF215" s="100">
        <f t="shared" ref="AF215:AF230" si="276">IF(AQ215="2",BH215,0)</f>
        <v>0</v>
      </c>
      <c r="AG215" s="100">
        <f t="shared" ref="AG215:AG230" si="277">IF(AQ215="2",BI215,0)</f>
        <v>0</v>
      </c>
      <c r="AH215" s="100">
        <f t="shared" ref="AH215:AH230" si="278">IF(AQ215="0",BJ215,0)</f>
        <v>0</v>
      </c>
      <c r="AI215" s="109"/>
      <c r="AJ215" s="108">
        <f t="shared" ref="AJ215:AJ230" si="279">IF(AN215=0,K215,0)</f>
        <v>0</v>
      </c>
      <c r="AK215" s="108">
        <f t="shared" ref="AK215:AK230" si="280">IF(AN215=15,K215,0)</f>
        <v>0</v>
      </c>
      <c r="AL215" s="108">
        <f t="shared" ref="AL215:AL230" si="281">IF(AN215=21,K215,0)</f>
        <v>0</v>
      </c>
      <c r="AN215" s="100">
        <v>15</v>
      </c>
      <c r="AO215" s="100">
        <f t="shared" ref="AO215:AO230" si="282">H215*0</f>
        <v>0</v>
      </c>
      <c r="AP215" s="100">
        <f t="shared" ref="AP215:AP230" si="283">H215*(1-0)</f>
        <v>0</v>
      </c>
      <c r="AQ215" s="111" t="s">
        <v>13</v>
      </c>
      <c r="AV215" s="100">
        <f t="shared" ref="AV215:AV230" si="284">AW215+AX215</f>
        <v>0</v>
      </c>
      <c r="AW215" s="100">
        <f t="shared" ref="AW215:AW230" si="285">G215*AO215</f>
        <v>0</v>
      </c>
      <c r="AX215" s="100">
        <f t="shared" ref="AX215:AX230" si="286">G215*AP215</f>
        <v>0</v>
      </c>
      <c r="AY215" s="110" t="s">
        <v>1708</v>
      </c>
      <c r="AZ215" s="110" t="s">
        <v>1732</v>
      </c>
      <c r="BA215" s="109" t="s">
        <v>1737</v>
      </c>
      <c r="BC215" s="100">
        <f t="shared" ref="BC215:BC230" si="287">AW215+AX215</f>
        <v>0</v>
      </c>
      <c r="BD215" s="100">
        <f t="shared" ref="BD215:BD230" si="288">H215/(100-BE215)*100</f>
        <v>0</v>
      </c>
      <c r="BE215" s="100">
        <v>0</v>
      </c>
      <c r="BF215" s="100">
        <f>215</f>
        <v>215</v>
      </c>
      <c r="BH215" s="108">
        <f t="shared" ref="BH215:BH230" si="289">G215*AO215</f>
        <v>0</v>
      </c>
      <c r="BI215" s="108">
        <f t="shared" ref="BI215:BI230" si="290">G215*AP215</f>
        <v>0</v>
      </c>
      <c r="BJ215" s="108">
        <f t="shared" ref="BJ215:BJ230" si="291">G215*H215</f>
        <v>0</v>
      </c>
    </row>
    <row r="216" spans="1:62" x14ac:dyDescent="0.2">
      <c r="A216" s="117" t="s">
        <v>179</v>
      </c>
      <c r="B216" s="117" t="s">
        <v>4123</v>
      </c>
      <c r="C216" s="304" t="s">
        <v>1258</v>
      </c>
      <c r="D216" s="305"/>
      <c r="E216" s="305"/>
      <c r="F216" s="117" t="s">
        <v>1646</v>
      </c>
      <c r="G216" s="116">
        <v>0.5</v>
      </c>
      <c r="H216" s="159"/>
      <c r="I216" s="108">
        <f t="shared" si="268"/>
        <v>0</v>
      </c>
      <c r="J216" s="108">
        <f t="shared" si="269"/>
        <v>0</v>
      </c>
      <c r="K216" s="108">
        <f t="shared" si="270"/>
        <v>0</v>
      </c>
      <c r="L216" s="111"/>
      <c r="Z216" s="100">
        <f t="shared" si="271"/>
        <v>0</v>
      </c>
      <c r="AB216" s="100">
        <f t="shared" si="272"/>
        <v>0</v>
      </c>
      <c r="AC216" s="100">
        <f t="shared" si="273"/>
        <v>0</v>
      </c>
      <c r="AD216" s="100">
        <f t="shared" si="274"/>
        <v>0</v>
      </c>
      <c r="AE216" s="100">
        <f t="shared" si="275"/>
        <v>0</v>
      </c>
      <c r="AF216" s="100">
        <f t="shared" si="276"/>
        <v>0</v>
      </c>
      <c r="AG216" s="100">
        <f t="shared" si="277"/>
        <v>0</v>
      </c>
      <c r="AH216" s="100">
        <f t="shared" si="278"/>
        <v>0</v>
      </c>
      <c r="AI216" s="109"/>
      <c r="AJ216" s="108">
        <f t="shared" si="279"/>
        <v>0</v>
      </c>
      <c r="AK216" s="108">
        <f t="shared" si="280"/>
        <v>0</v>
      </c>
      <c r="AL216" s="108">
        <f t="shared" si="281"/>
        <v>0</v>
      </c>
      <c r="AN216" s="100">
        <v>15</v>
      </c>
      <c r="AO216" s="100">
        <f t="shared" si="282"/>
        <v>0</v>
      </c>
      <c r="AP216" s="100">
        <f t="shared" si="283"/>
        <v>0</v>
      </c>
      <c r="AQ216" s="111" t="s">
        <v>13</v>
      </c>
      <c r="AV216" s="100">
        <f t="shared" si="284"/>
        <v>0</v>
      </c>
      <c r="AW216" s="100">
        <f t="shared" si="285"/>
        <v>0</v>
      </c>
      <c r="AX216" s="100">
        <f t="shared" si="286"/>
        <v>0</v>
      </c>
      <c r="AY216" s="110" t="s">
        <v>1708</v>
      </c>
      <c r="AZ216" s="110" t="s">
        <v>1732</v>
      </c>
      <c r="BA216" s="109" t="s">
        <v>1737</v>
      </c>
      <c r="BC216" s="100">
        <f t="shared" si="287"/>
        <v>0</v>
      </c>
      <c r="BD216" s="100">
        <f t="shared" si="288"/>
        <v>0</v>
      </c>
      <c r="BE216" s="100">
        <v>0</v>
      </c>
      <c r="BF216" s="100">
        <f>216</f>
        <v>216</v>
      </c>
      <c r="BH216" s="108">
        <f t="shared" si="289"/>
        <v>0</v>
      </c>
      <c r="BI216" s="108">
        <f t="shared" si="290"/>
        <v>0</v>
      </c>
      <c r="BJ216" s="108">
        <f t="shared" si="291"/>
        <v>0</v>
      </c>
    </row>
    <row r="217" spans="1:62" x14ac:dyDescent="0.2">
      <c r="A217" s="117" t="s">
        <v>180</v>
      </c>
      <c r="B217" s="117" t="s">
        <v>4122</v>
      </c>
      <c r="C217" s="304" t="s">
        <v>2133</v>
      </c>
      <c r="D217" s="305"/>
      <c r="E217" s="305"/>
      <c r="F217" s="117" t="s">
        <v>1646</v>
      </c>
      <c r="G217" s="116">
        <v>2</v>
      </c>
      <c r="H217" s="159"/>
      <c r="I217" s="108">
        <f t="shared" si="268"/>
        <v>0</v>
      </c>
      <c r="J217" s="108">
        <f t="shared" si="269"/>
        <v>0</v>
      </c>
      <c r="K217" s="108">
        <f t="shared" si="270"/>
        <v>0</v>
      </c>
      <c r="L217" s="111"/>
      <c r="Z217" s="100">
        <f t="shared" si="271"/>
        <v>0</v>
      </c>
      <c r="AB217" s="100">
        <f t="shared" si="272"/>
        <v>0</v>
      </c>
      <c r="AC217" s="100">
        <f t="shared" si="273"/>
        <v>0</v>
      </c>
      <c r="AD217" s="100">
        <f t="shared" si="274"/>
        <v>0</v>
      </c>
      <c r="AE217" s="100">
        <f t="shared" si="275"/>
        <v>0</v>
      </c>
      <c r="AF217" s="100">
        <f t="shared" si="276"/>
        <v>0</v>
      </c>
      <c r="AG217" s="100">
        <f t="shared" si="277"/>
        <v>0</v>
      </c>
      <c r="AH217" s="100">
        <f t="shared" si="278"/>
        <v>0</v>
      </c>
      <c r="AI217" s="109"/>
      <c r="AJ217" s="108">
        <f t="shared" si="279"/>
        <v>0</v>
      </c>
      <c r="AK217" s="108">
        <f t="shared" si="280"/>
        <v>0</v>
      </c>
      <c r="AL217" s="108">
        <f t="shared" si="281"/>
        <v>0</v>
      </c>
      <c r="AN217" s="100">
        <v>15</v>
      </c>
      <c r="AO217" s="100">
        <f t="shared" si="282"/>
        <v>0</v>
      </c>
      <c r="AP217" s="100">
        <f t="shared" si="283"/>
        <v>0</v>
      </c>
      <c r="AQ217" s="111" t="s">
        <v>13</v>
      </c>
      <c r="AV217" s="100">
        <f t="shared" si="284"/>
        <v>0</v>
      </c>
      <c r="AW217" s="100">
        <f t="shared" si="285"/>
        <v>0</v>
      </c>
      <c r="AX217" s="100">
        <f t="shared" si="286"/>
        <v>0</v>
      </c>
      <c r="AY217" s="110" t="s">
        <v>1708</v>
      </c>
      <c r="AZ217" s="110" t="s">
        <v>1732</v>
      </c>
      <c r="BA217" s="109" t="s">
        <v>1737</v>
      </c>
      <c r="BC217" s="100">
        <f t="shared" si="287"/>
        <v>0</v>
      </c>
      <c r="BD217" s="100">
        <f t="shared" si="288"/>
        <v>0</v>
      </c>
      <c r="BE217" s="100">
        <v>0</v>
      </c>
      <c r="BF217" s="100">
        <f>217</f>
        <v>217</v>
      </c>
      <c r="BH217" s="108">
        <f t="shared" si="289"/>
        <v>0</v>
      </c>
      <c r="BI217" s="108">
        <f t="shared" si="290"/>
        <v>0</v>
      </c>
      <c r="BJ217" s="108">
        <f t="shared" si="291"/>
        <v>0</v>
      </c>
    </row>
    <row r="218" spans="1:62" x14ac:dyDescent="0.2">
      <c r="A218" s="117" t="s">
        <v>181</v>
      </c>
      <c r="B218" s="117" t="s">
        <v>4121</v>
      </c>
      <c r="C218" s="304" t="s">
        <v>1262</v>
      </c>
      <c r="D218" s="305"/>
      <c r="E218" s="305"/>
      <c r="F218" s="117" t="s">
        <v>1644</v>
      </c>
      <c r="G218" s="116">
        <v>2</v>
      </c>
      <c r="H218" s="159"/>
      <c r="I218" s="108">
        <f t="shared" si="268"/>
        <v>0</v>
      </c>
      <c r="J218" s="108">
        <f t="shared" si="269"/>
        <v>0</v>
      </c>
      <c r="K218" s="108">
        <f t="shared" si="270"/>
        <v>0</v>
      </c>
      <c r="L218" s="111"/>
      <c r="Z218" s="100">
        <f t="shared" si="271"/>
        <v>0</v>
      </c>
      <c r="AB218" s="100">
        <f t="shared" si="272"/>
        <v>0</v>
      </c>
      <c r="AC218" s="100">
        <f t="shared" si="273"/>
        <v>0</v>
      </c>
      <c r="AD218" s="100">
        <f t="shared" si="274"/>
        <v>0</v>
      </c>
      <c r="AE218" s="100">
        <f t="shared" si="275"/>
        <v>0</v>
      </c>
      <c r="AF218" s="100">
        <f t="shared" si="276"/>
        <v>0</v>
      </c>
      <c r="AG218" s="100">
        <f t="shared" si="277"/>
        <v>0</v>
      </c>
      <c r="AH218" s="100">
        <f t="shared" si="278"/>
        <v>0</v>
      </c>
      <c r="AI218" s="109"/>
      <c r="AJ218" s="108">
        <f t="shared" si="279"/>
        <v>0</v>
      </c>
      <c r="AK218" s="108">
        <f t="shared" si="280"/>
        <v>0</v>
      </c>
      <c r="AL218" s="108">
        <f t="shared" si="281"/>
        <v>0</v>
      </c>
      <c r="AN218" s="100">
        <v>15</v>
      </c>
      <c r="AO218" s="100">
        <f t="shared" si="282"/>
        <v>0</v>
      </c>
      <c r="AP218" s="100">
        <f t="shared" si="283"/>
        <v>0</v>
      </c>
      <c r="AQ218" s="111" t="s">
        <v>13</v>
      </c>
      <c r="AV218" s="100">
        <f t="shared" si="284"/>
        <v>0</v>
      </c>
      <c r="AW218" s="100">
        <f t="shared" si="285"/>
        <v>0</v>
      </c>
      <c r="AX218" s="100">
        <f t="shared" si="286"/>
        <v>0</v>
      </c>
      <c r="AY218" s="110" t="s">
        <v>1708</v>
      </c>
      <c r="AZ218" s="110" t="s">
        <v>1732</v>
      </c>
      <c r="BA218" s="109" t="s">
        <v>1737</v>
      </c>
      <c r="BC218" s="100">
        <f t="shared" si="287"/>
        <v>0</v>
      </c>
      <c r="BD218" s="100">
        <f t="shared" si="288"/>
        <v>0</v>
      </c>
      <c r="BE218" s="100">
        <v>0</v>
      </c>
      <c r="BF218" s="100">
        <f>218</f>
        <v>218</v>
      </c>
      <c r="BH218" s="108">
        <f t="shared" si="289"/>
        <v>0</v>
      </c>
      <c r="BI218" s="108">
        <f t="shared" si="290"/>
        <v>0</v>
      </c>
      <c r="BJ218" s="108">
        <f t="shared" si="291"/>
        <v>0</v>
      </c>
    </row>
    <row r="219" spans="1:62" x14ac:dyDescent="0.2">
      <c r="A219" s="117" t="s">
        <v>182</v>
      </c>
      <c r="B219" s="117" t="s">
        <v>4120</v>
      </c>
      <c r="C219" s="304" t="s">
        <v>1263</v>
      </c>
      <c r="D219" s="305"/>
      <c r="E219" s="305"/>
      <c r="F219" s="117" t="s">
        <v>1644</v>
      </c>
      <c r="G219" s="116">
        <v>2</v>
      </c>
      <c r="H219" s="159"/>
      <c r="I219" s="108">
        <f t="shared" si="268"/>
        <v>0</v>
      </c>
      <c r="J219" s="108">
        <f t="shared" si="269"/>
        <v>0</v>
      </c>
      <c r="K219" s="108">
        <f t="shared" si="270"/>
        <v>0</v>
      </c>
      <c r="L219" s="111"/>
      <c r="Z219" s="100">
        <f t="shared" si="271"/>
        <v>0</v>
      </c>
      <c r="AB219" s="100">
        <f t="shared" si="272"/>
        <v>0</v>
      </c>
      <c r="AC219" s="100">
        <f t="shared" si="273"/>
        <v>0</v>
      </c>
      <c r="AD219" s="100">
        <f t="shared" si="274"/>
        <v>0</v>
      </c>
      <c r="AE219" s="100">
        <f t="shared" si="275"/>
        <v>0</v>
      </c>
      <c r="AF219" s="100">
        <f t="shared" si="276"/>
        <v>0</v>
      </c>
      <c r="AG219" s="100">
        <f t="shared" si="277"/>
        <v>0</v>
      </c>
      <c r="AH219" s="100">
        <f t="shared" si="278"/>
        <v>0</v>
      </c>
      <c r="AI219" s="109"/>
      <c r="AJ219" s="108">
        <f t="shared" si="279"/>
        <v>0</v>
      </c>
      <c r="AK219" s="108">
        <f t="shared" si="280"/>
        <v>0</v>
      </c>
      <c r="AL219" s="108">
        <f t="shared" si="281"/>
        <v>0</v>
      </c>
      <c r="AN219" s="100">
        <v>15</v>
      </c>
      <c r="AO219" s="100">
        <f t="shared" si="282"/>
        <v>0</v>
      </c>
      <c r="AP219" s="100">
        <f t="shared" si="283"/>
        <v>0</v>
      </c>
      <c r="AQ219" s="111" t="s">
        <v>13</v>
      </c>
      <c r="AV219" s="100">
        <f t="shared" si="284"/>
        <v>0</v>
      </c>
      <c r="AW219" s="100">
        <f t="shared" si="285"/>
        <v>0</v>
      </c>
      <c r="AX219" s="100">
        <f t="shared" si="286"/>
        <v>0</v>
      </c>
      <c r="AY219" s="110" t="s">
        <v>1708</v>
      </c>
      <c r="AZ219" s="110" t="s">
        <v>1732</v>
      </c>
      <c r="BA219" s="109" t="s">
        <v>1737</v>
      </c>
      <c r="BC219" s="100">
        <f t="shared" si="287"/>
        <v>0</v>
      </c>
      <c r="BD219" s="100">
        <f t="shared" si="288"/>
        <v>0</v>
      </c>
      <c r="BE219" s="100">
        <v>0</v>
      </c>
      <c r="BF219" s="100">
        <f>219</f>
        <v>219</v>
      </c>
      <c r="BH219" s="108">
        <f t="shared" si="289"/>
        <v>0</v>
      </c>
      <c r="BI219" s="108">
        <f t="shared" si="290"/>
        <v>0</v>
      </c>
      <c r="BJ219" s="108">
        <f t="shared" si="291"/>
        <v>0</v>
      </c>
    </row>
    <row r="220" spans="1:62" x14ac:dyDescent="0.2">
      <c r="A220" s="117" t="s">
        <v>183</v>
      </c>
      <c r="B220" s="117" t="s">
        <v>4119</v>
      </c>
      <c r="C220" s="304" t="s">
        <v>1264</v>
      </c>
      <c r="D220" s="305"/>
      <c r="E220" s="305"/>
      <c r="F220" s="117" t="s">
        <v>1644</v>
      </c>
      <c r="G220" s="116">
        <v>1</v>
      </c>
      <c r="H220" s="159"/>
      <c r="I220" s="108">
        <f t="shared" si="268"/>
        <v>0</v>
      </c>
      <c r="J220" s="108">
        <f t="shared" si="269"/>
        <v>0</v>
      </c>
      <c r="K220" s="108">
        <f t="shared" si="270"/>
        <v>0</v>
      </c>
      <c r="L220" s="111"/>
      <c r="Z220" s="100">
        <f t="shared" si="271"/>
        <v>0</v>
      </c>
      <c r="AB220" s="100">
        <f t="shared" si="272"/>
        <v>0</v>
      </c>
      <c r="AC220" s="100">
        <f t="shared" si="273"/>
        <v>0</v>
      </c>
      <c r="AD220" s="100">
        <f t="shared" si="274"/>
        <v>0</v>
      </c>
      <c r="AE220" s="100">
        <f t="shared" si="275"/>
        <v>0</v>
      </c>
      <c r="AF220" s="100">
        <f t="shared" si="276"/>
        <v>0</v>
      </c>
      <c r="AG220" s="100">
        <f t="shared" si="277"/>
        <v>0</v>
      </c>
      <c r="AH220" s="100">
        <f t="shared" si="278"/>
        <v>0</v>
      </c>
      <c r="AI220" s="109"/>
      <c r="AJ220" s="108">
        <f t="shared" si="279"/>
        <v>0</v>
      </c>
      <c r="AK220" s="108">
        <f t="shared" si="280"/>
        <v>0</v>
      </c>
      <c r="AL220" s="108">
        <f t="shared" si="281"/>
        <v>0</v>
      </c>
      <c r="AN220" s="100">
        <v>15</v>
      </c>
      <c r="AO220" s="100">
        <f t="shared" si="282"/>
        <v>0</v>
      </c>
      <c r="AP220" s="100">
        <f t="shared" si="283"/>
        <v>0</v>
      </c>
      <c r="AQ220" s="111" t="s">
        <v>13</v>
      </c>
      <c r="AV220" s="100">
        <f t="shared" si="284"/>
        <v>0</v>
      </c>
      <c r="AW220" s="100">
        <f t="shared" si="285"/>
        <v>0</v>
      </c>
      <c r="AX220" s="100">
        <f t="shared" si="286"/>
        <v>0</v>
      </c>
      <c r="AY220" s="110" t="s">
        <v>1708</v>
      </c>
      <c r="AZ220" s="110" t="s">
        <v>1732</v>
      </c>
      <c r="BA220" s="109" t="s">
        <v>1737</v>
      </c>
      <c r="BC220" s="100">
        <f t="shared" si="287"/>
        <v>0</v>
      </c>
      <c r="BD220" s="100">
        <f t="shared" si="288"/>
        <v>0</v>
      </c>
      <c r="BE220" s="100">
        <v>0</v>
      </c>
      <c r="BF220" s="100">
        <f>220</f>
        <v>220</v>
      </c>
      <c r="BH220" s="108">
        <f t="shared" si="289"/>
        <v>0</v>
      </c>
      <c r="BI220" s="108">
        <f t="shared" si="290"/>
        <v>0</v>
      </c>
      <c r="BJ220" s="108">
        <f t="shared" si="291"/>
        <v>0</v>
      </c>
    </row>
    <row r="221" spans="1:62" x14ac:dyDescent="0.2">
      <c r="A221" s="117" t="s">
        <v>184</v>
      </c>
      <c r="B221" s="117" t="s">
        <v>4118</v>
      </c>
      <c r="C221" s="304" t="s">
        <v>1269</v>
      </c>
      <c r="D221" s="305"/>
      <c r="E221" s="305"/>
      <c r="F221" s="117" t="s">
        <v>1644</v>
      </c>
      <c r="G221" s="116">
        <v>1</v>
      </c>
      <c r="H221" s="159"/>
      <c r="I221" s="108">
        <f t="shared" si="268"/>
        <v>0</v>
      </c>
      <c r="J221" s="108">
        <f t="shared" si="269"/>
        <v>0</v>
      </c>
      <c r="K221" s="108">
        <f t="shared" si="270"/>
        <v>0</v>
      </c>
      <c r="L221" s="111"/>
      <c r="Z221" s="100">
        <f t="shared" si="271"/>
        <v>0</v>
      </c>
      <c r="AB221" s="100">
        <f t="shared" si="272"/>
        <v>0</v>
      </c>
      <c r="AC221" s="100">
        <f t="shared" si="273"/>
        <v>0</v>
      </c>
      <c r="AD221" s="100">
        <f t="shared" si="274"/>
        <v>0</v>
      </c>
      <c r="AE221" s="100">
        <f t="shared" si="275"/>
        <v>0</v>
      </c>
      <c r="AF221" s="100">
        <f t="shared" si="276"/>
        <v>0</v>
      </c>
      <c r="AG221" s="100">
        <f t="shared" si="277"/>
        <v>0</v>
      </c>
      <c r="AH221" s="100">
        <f t="shared" si="278"/>
        <v>0</v>
      </c>
      <c r="AI221" s="109"/>
      <c r="AJ221" s="108">
        <f t="shared" si="279"/>
        <v>0</v>
      </c>
      <c r="AK221" s="108">
        <f t="shared" si="280"/>
        <v>0</v>
      </c>
      <c r="AL221" s="108">
        <f t="shared" si="281"/>
        <v>0</v>
      </c>
      <c r="AN221" s="100">
        <v>15</v>
      </c>
      <c r="AO221" s="100">
        <f t="shared" si="282"/>
        <v>0</v>
      </c>
      <c r="AP221" s="100">
        <f t="shared" si="283"/>
        <v>0</v>
      </c>
      <c r="AQ221" s="111" t="s">
        <v>13</v>
      </c>
      <c r="AV221" s="100">
        <f t="shared" si="284"/>
        <v>0</v>
      </c>
      <c r="AW221" s="100">
        <f t="shared" si="285"/>
        <v>0</v>
      </c>
      <c r="AX221" s="100">
        <f t="shared" si="286"/>
        <v>0</v>
      </c>
      <c r="AY221" s="110" t="s">
        <v>1708</v>
      </c>
      <c r="AZ221" s="110" t="s">
        <v>1732</v>
      </c>
      <c r="BA221" s="109" t="s">
        <v>1737</v>
      </c>
      <c r="BC221" s="100">
        <f t="shared" si="287"/>
        <v>0</v>
      </c>
      <c r="BD221" s="100">
        <f t="shared" si="288"/>
        <v>0</v>
      </c>
      <c r="BE221" s="100">
        <v>0</v>
      </c>
      <c r="BF221" s="100">
        <f>221</f>
        <v>221</v>
      </c>
      <c r="BH221" s="108">
        <f t="shared" si="289"/>
        <v>0</v>
      </c>
      <c r="BI221" s="108">
        <f t="shared" si="290"/>
        <v>0</v>
      </c>
      <c r="BJ221" s="108">
        <f t="shared" si="291"/>
        <v>0</v>
      </c>
    </row>
    <row r="222" spans="1:62" x14ac:dyDescent="0.2">
      <c r="A222" s="117" t="s">
        <v>185</v>
      </c>
      <c r="B222" s="117" t="s">
        <v>4117</v>
      </c>
      <c r="C222" s="304" t="s">
        <v>1270</v>
      </c>
      <c r="D222" s="305"/>
      <c r="E222" s="305"/>
      <c r="F222" s="117" t="s">
        <v>1644</v>
      </c>
      <c r="G222" s="116">
        <v>1</v>
      </c>
      <c r="H222" s="159"/>
      <c r="I222" s="108">
        <f t="shared" si="268"/>
        <v>0</v>
      </c>
      <c r="J222" s="108">
        <f t="shared" si="269"/>
        <v>0</v>
      </c>
      <c r="K222" s="108">
        <f t="shared" si="270"/>
        <v>0</v>
      </c>
      <c r="L222" s="111"/>
      <c r="Z222" s="100">
        <f t="shared" si="271"/>
        <v>0</v>
      </c>
      <c r="AB222" s="100">
        <f t="shared" si="272"/>
        <v>0</v>
      </c>
      <c r="AC222" s="100">
        <f t="shared" si="273"/>
        <v>0</v>
      </c>
      <c r="AD222" s="100">
        <f t="shared" si="274"/>
        <v>0</v>
      </c>
      <c r="AE222" s="100">
        <f t="shared" si="275"/>
        <v>0</v>
      </c>
      <c r="AF222" s="100">
        <f t="shared" si="276"/>
        <v>0</v>
      </c>
      <c r="AG222" s="100">
        <f t="shared" si="277"/>
        <v>0</v>
      </c>
      <c r="AH222" s="100">
        <f t="shared" si="278"/>
        <v>0</v>
      </c>
      <c r="AI222" s="109"/>
      <c r="AJ222" s="108">
        <f t="shared" si="279"/>
        <v>0</v>
      </c>
      <c r="AK222" s="108">
        <f t="shared" si="280"/>
        <v>0</v>
      </c>
      <c r="AL222" s="108">
        <f t="shared" si="281"/>
        <v>0</v>
      </c>
      <c r="AN222" s="100">
        <v>15</v>
      </c>
      <c r="AO222" s="100">
        <f t="shared" si="282"/>
        <v>0</v>
      </c>
      <c r="AP222" s="100">
        <f t="shared" si="283"/>
        <v>0</v>
      </c>
      <c r="AQ222" s="111" t="s">
        <v>13</v>
      </c>
      <c r="AV222" s="100">
        <f t="shared" si="284"/>
        <v>0</v>
      </c>
      <c r="AW222" s="100">
        <f t="shared" si="285"/>
        <v>0</v>
      </c>
      <c r="AX222" s="100">
        <f t="shared" si="286"/>
        <v>0</v>
      </c>
      <c r="AY222" s="110" t="s">
        <v>1708</v>
      </c>
      <c r="AZ222" s="110" t="s">
        <v>1732</v>
      </c>
      <c r="BA222" s="109" t="s">
        <v>1737</v>
      </c>
      <c r="BC222" s="100">
        <f t="shared" si="287"/>
        <v>0</v>
      </c>
      <c r="BD222" s="100">
        <f t="shared" si="288"/>
        <v>0</v>
      </c>
      <c r="BE222" s="100">
        <v>0</v>
      </c>
      <c r="BF222" s="100">
        <f>222</f>
        <v>222</v>
      </c>
      <c r="BH222" s="108">
        <f t="shared" si="289"/>
        <v>0</v>
      </c>
      <c r="BI222" s="108">
        <f t="shared" si="290"/>
        <v>0</v>
      </c>
      <c r="BJ222" s="108">
        <f t="shared" si="291"/>
        <v>0</v>
      </c>
    </row>
    <row r="223" spans="1:62" x14ac:dyDescent="0.2">
      <c r="A223" s="117" t="s">
        <v>186</v>
      </c>
      <c r="B223" s="117" t="s">
        <v>4116</v>
      </c>
      <c r="C223" s="304" t="s">
        <v>1271</v>
      </c>
      <c r="D223" s="305"/>
      <c r="E223" s="305"/>
      <c r="F223" s="117" t="s">
        <v>1644</v>
      </c>
      <c r="G223" s="116">
        <v>1</v>
      </c>
      <c r="H223" s="159"/>
      <c r="I223" s="108">
        <f t="shared" si="268"/>
        <v>0</v>
      </c>
      <c r="J223" s="108">
        <f t="shared" si="269"/>
        <v>0</v>
      </c>
      <c r="K223" s="108">
        <f t="shared" si="270"/>
        <v>0</v>
      </c>
      <c r="L223" s="111"/>
      <c r="Z223" s="100">
        <f t="shared" si="271"/>
        <v>0</v>
      </c>
      <c r="AB223" s="100">
        <f t="shared" si="272"/>
        <v>0</v>
      </c>
      <c r="AC223" s="100">
        <f t="shared" si="273"/>
        <v>0</v>
      </c>
      <c r="AD223" s="100">
        <f t="shared" si="274"/>
        <v>0</v>
      </c>
      <c r="AE223" s="100">
        <f t="shared" si="275"/>
        <v>0</v>
      </c>
      <c r="AF223" s="100">
        <f t="shared" si="276"/>
        <v>0</v>
      </c>
      <c r="AG223" s="100">
        <f t="shared" si="277"/>
        <v>0</v>
      </c>
      <c r="AH223" s="100">
        <f t="shared" si="278"/>
        <v>0</v>
      </c>
      <c r="AI223" s="109"/>
      <c r="AJ223" s="108">
        <f t="shared" si="279"/>
        <v>0</v>
      </c>
      <c r="AK223" s="108">
        <f t="shared" si="280"/>
        <v>0</v>
      </c>
      <c r="AL223" s="108">
        <f t="shared" si="281"/>
        <v>0</v>
      </c>
      <c r="AN223" s="100">
        <v>15</v>
      </c>
      <c r="AO223" s="100">
        <f t="shared" si="282"/>
        <v>0</v>
      </c>
      <c r="AP223" s="100">
        <f t="shared" si="283"/>
        <v>0</v>
      </c>
      <c r="AQ223" s="111" t="s">
        <v>13</v>
      </c>
      <c r="AV223" s="100">
        <f t="shared" si="284"/>
        <v>0</v>
      </c>
      <c r="AW223" s="100">
        <f t="shared" si="285"/>
        <v>0</v>
      </c>
      <c r="AX223" s="100">
        <f t="shared" si="286"/>
        <v>0</v>
      </c>
      <c r="AY223" s="110" t="s">
        <v>1708</v>
      </c>
      <c r="AZ223" s="110" t="s">
        <v>1732</v>
      </c>
      <c r="BA223" s="109" t="s">
        <v>1737</v>
      </c>
      <c r="BC223" s="100">
        <f t="shared" si="287"/>
        <v>0</v>
      </c>
      <c r="BD223" s="100">
        <f t="shared" si="288"/>
        <v>0</v>
      </c>
      <c r="BE223" s="100">
        <v>0</v>
      </c>
      <c r="BF223" s="100">
        <f>223</f>
        <v>223</v>
      </c>
      <c r="BH223" s="108">
        <f t="shared" si="289"/>
        <v>0</v>
      </c>
      <c r="BI223" s="108">
        <f t="shared" si="290"/>
        <v>0</v>
      </c>
      <c r="BJ223" s="108">
        <f t="shared" si="291"/>
        <v>0</v>
      </c>
    </row>
    <row r="224" spans="1:62" x14ac:dyDescent="0.2">
      <c r="A224" s="117" t="s">
        <v>187</v>
      </c>
      <c r="B224" s="117" t="s">
        <v>4115</v>
      </c>
      <c r="C224" s="304" t="s">
        <v>1272</v>
      </c>
      <c r="D224" s="305"/>
      <c r="E224" s="305"/>
      <c r="F224" s="117" t="s">
        <v>1644</v>
      </c>
      <c r="G224" s="116">
        <v>1</v>
      </c>
      <c r="H224" s="159"/>
      <c r="I224" s="108">
        <f t="shared" si="268"/>
        <v>0</v>
      </c>
      <c r="J224" s="108">
        <f t="shared" si="269"/>
        <v>0</v>
      </c>
      <c r="K224" s="108">
        <f t="shared" si="270"/>
        <v>0</v>
      </c>
      <c r="L224" s="111"/>
      <c r="Z224" s="100">
        <f t="shared" si="271"/>
        <v>0</v>
      </c>
      <c r="AB224" s="100">
        <f t="shared" si="272"/>
        <v>0</v>
      </c>
      <c r="AC224" s="100">
        <f t="shared" si="273"/>
        <v>0</v>
      </c>
      <c r="AD224" s="100">
        <f t="shared" si="274"/>
        <v>0</v>
      </c>
      <c r="AE224" s="100">
        <f t="shared" si="275"/>
        <v>0</v>
      </c>
      <c r="AF224" s="100">
        <f t="shared" si="276"/>
        <v>0</v>
      </c>
      <c r="AG224" s="100">
        <f t="shared" si="277"/>
        <v>0</v>
      </c>
      <c r="AH224" s="100">
        <f t="shared" si="278"/>
        <v>0</v>
      </c>
      <c r="AI224" s="109"/>
      <c r="AJ224" s="108">
        <f t="shared" si="279"/>
        <v>0</v>
      </c>
      <c r="AK224" s="108">
        <f t="shared" si="280"/>
        <v>0</v>
      </c>
      <c r="AL224" s="108">
        <f t="shared" si="281"/>
        <v>0</v>
      </c>
      <c r="AN224" s="100">
        <v>15</v>
      </c>
      <c r="AO224" s="100">
        <f t="shared" si="282"/>
        <v>0</v>
      </c>
      <c r="AP224" s="100">
        <f t="shared" si="283"/>
        <v>0</v>
      </c>
      <c r="AQ224" s="111" t="s">
        <v>13</v>
      </c>
      <c r="AV224" s="100">
        <f t="shared" si="284"/>
        <v>0</v>
      </c>
      <c r="AW224" s="100">
        <f t="shared" si="285"/>
        <v>0</v>
      </c>
      <c r="AX224" s="100">
        <f t="shared" si="286"/>
        <v>0</v>
      </c>
      <c r="AY224" s="110" t="s">
        <v>1708</v>
      </c>
      <c r="AZ224" s="110" t="s">
        <v>1732</v>
      </c>
      <c r="BA224" s="109" t="s">
        <v>1737</v>
      </c>
      <c r="BC224" s="100">
        <f t="shared" si="287"/>
        <v>0</v>
      </c>
      <c r="BD224" s="100">
        <f t="shared" si="288"/>
        <v>0</v>
      </c>
      <c r="BE224" s="100">
        <v>0</v>
      </c>
      <c r="BF224" s="100">
        <f>224</f>
        <v>224</v>
      </c>
      <c r="BH224" s="108">
        <f t="shared" si="289"/>
        <v>0</v>
      </c>
      <c r="BI224" s="108">
        <f t="shared" si="290"/>
        <v>0</v>
      </c>
      <c r="BJ224" s="108">
        <f t="shared" si="291"/>
        <v>0</v>
      </c>
    </row>
    <row r="225" spans="1:62" x14ac:dyDescent="0.2">
      <c r="A225" s="117" t="s">
        <v>188</v>
      </c>
      <c r="B225" s="117" t="s">
        <v>4114</v>
      </c>
      <c r="C225" s="304" t="s">
        <v>1276</v>
      </c>
      <c r="D225" s="305"/>
      <c r="E225" s="305"/>
      <c r="F225" s="117" t="s">
        <v>1644</v>
      </c>
      <c r="G225" s="116">
        <v>1</v>
      </c>
      <c r="H225" s="159"/>
      <c r="I225" s="108">
        <f t="shared" si="268"/>
        <v>0</v>
      </c>
      <c r="J225" s="108">
        <f t="shared" si="269"/>
        <v>0</v>
      </c>
      <c r="K225" s="108">
        <f t="shared" si="270"/>
        <v>0</v>
      </c>
      <c r="L225" s="111"/>
      <c r="Z225" s="100">
        <f t="shared" si="271"/>
        <v>0</v>
      </c>
      <c r="AB225" s="100">
        <f t="shared" si="272"/>
        <v>0</v>
      </c>
      <c r="AC225" s="100">
        <f t="shared" si="273"/>
        <v>0</v>
      </c>
      <c r="AD225" s="100">
        <f t="shared" si="274"/>
        <v>0</v>
      </c>
      <c r="AE225" s="100">
        <f t="shared" si="275"/>
        <v>0</v>
      </c>
      <c r="AF225" s="100">
        <f t="shared" si="276"/>
        <v>0</v>
      </c>
      <c r="AG225" s="100">
        <f t="shared" si="277"/>
        <v>0</v>
      </c>
      <c r="AH225" s="100">
        <f t="shared" si="278"/>
        <v>0</v>
      </c>
      <c r="AI225" s="109"/>
      <c r="AJ225" s="108">
        <f t="shared" si="279"/>
        <v>0</v>
      </c>
      <c r="AK225" s="108">
        <f t="shared" si="280"/>
        <v>0</v>
      </c>
      <c r="AL225" s="108">
        <f t="shared" si="281"/>
        <v>0</v>
      </c>
      <c r="AN225" s="100">
        <v>15</v>
      </c>
      <c r="AO225" s="100">
        <f t="shared" si="282"/>
        <v>0</v>
      </c>
      <c r="AP225" s="100">
        <f t="shared" si="283"/>
        <v>0</v>
      </c>
      <c r="AQ225" s="111" t="s">
        <v>13</v>
      </c>
      <c r="AV225" s="100">
        <f t="shared" si="284"/>
        <v>0</v>
      </c>
      <c r="AW225" s="100">
        <f t="shared" si="285"/>
        <v>0</v>
      </c>
      <c r="AX225" s="100">
        <f t="shared" si="286"/>
        <v>0</v>
      </c>
      <c r="AY225" s="110" t="s">
        <v>1708</v>
      </c>
      <c r="AZ225" s="110" t="s">
        <v>1732</v>
      </c>
      <c r="BA225" s="109" t="s">
        <v>1737</v>
      </c>
      <c r="BC225" s="100">
        <f t="shared" si="287"/>
        <v>0</v>
      </c>
      <c r="BD225" s="100">
        <f t="shared" si="288"/>
        <v>0</v>
      </c>
      <c r="BE225" s="100">
        <v>0</v>
      </c>
      <c r="BF225" s="100">
        <f>225</f>
        <v>225</v>
      </c>
      <c r="BH225" s="108">
        <f t="shared" si="289"/>
        <v>0</v>
      </c>
      <c r="BI225" s="108">
        <f t="shared" si="290"/>
        <v>0</v>
      </c>
      <c r="BJ225" s="108">
        <f t="shared" si="291"/>
        <v>0</v>
      </c>
    </row>
    <row r="226" spans="1:62" x14ac:dyDescent="0.2">
      <c r="A226" s="117" t="s">
        <v>189</v>
      </c>
      <c r="B226" s="117" t="s">
        <v>4113</v>
      </c>
      <c r="C226" s="304" t="s">
        <v>4112</v>
      </c>
      <c r="D226" s="305"/>
      <c r="E226" s="305"/>
      <c r="F226" s="117" t="s">
        <v>1644</v>
      </c>
      <c r="G226" s="116">
        <v>2</v>
      </c>
      <c r="H226" s="159"/>
      <c r="I226" s="108">
        <f t="shared" si="268"/>
        <v>0</v>
      </c>
      <c r="J226" s="108">
        <f t="shared" si="269"/>
        <v>0</v>
      </c>
      <c r="K226" s="108">
        <f t="shared" si="270"/>
        <v>0</v>
      </c>
      <c r="L226" s="111"/>
      <c r="Z226" s="100">
        <f t="shared" si="271"/>
        <v>0</v>
      </c>
      <c r="AB226" s="100">
        <f t="shared" si="272"/>
        <v>0</v>
      </c>
      <c r="AC226" s="100">
        <f t="shared" si="273"/>
        <v>0</v>
      </c>
      <c r="AD226" s="100">
        <f t="shared" si="274"/>
        <v>0</v>
      </c>
      <c r="AE226" s="100">
        <f t="shared" si="275"/>
        <v>0</v>
      </c>
      <c r="AF226" s="100">
        <f t="shared" si="276"/>
        <v>0</v>
      </c>
      <c r="AG226" s="100">
        <f t="shared" si="277"/>
        <v>0</v>
      </c>
      <c r="AH226" s="100">
        <f t="shared" si="278"/>
        <v>0</v>
      </c>
      <c r="AI226" s="109"/>
      <c r="AJ226" s="108">
        <f t="shared" si="279"/>
        <v>0</v>
      </c>
      <c r="AK226" s="108">
        <f t="shared" si="280"/>
        <v>0</v>
      </c>
      <c r="AL226" s="108">
        <f t="shared" si="281"/>
        <v>0</v>
      </c>
      <c r="AN226" s="100">
        <v>15</v>
      </c>
      <c r="AO226" s="100">
        <f t="shared" si="282"/>
        <v>0</v>
      </c>
      <c r="AP226" s="100">
        <f t="shared" si="283"/>
        <v>0</v>
      </c>
      <c r="AQ226" s="111" t="s">
        <v>13</v>
      </c>
      <c r="AV226" s="100">
        <f t="shared" si="284"/>
        <v>0</v>
      </c>
      <c r="AW226" s="100">
        <f t="shared" si="285"/>
        <v>0</v>
      </c>
      <c r="AX226" s="100">
        <f t="shared" si="286"/>
        <v>0</v>
      </c>
      <c r="AY226" s="110" t="s">
        <v>1708</v>
      </c>
      <c r="AZ226" s="110" t="s">
        <v>1732</v>
      </c>
      <c r="BA226" s="109" t="s">
        <v>1737</v>
      </c>
      <c r="BC226" s="100">
        <f t="shared" si="287"/>
        <v>0</v>
      </c>
      <c r="BD226" s="100">
        <f t="shared" si="288"/>
        <v>0</v>
      </c>
      <c r="BE226" s="100">
        <v>0</v>
      </c>
      <c r="BF226" s="100">
        <f>226</f>
        <v>226</v>
      </c>
      <c r="BH226" s="108">
        <f t="shared" si="289"/>
        <v>0</v>
      </c>
      <c r="BI226" s="108">
        <f t="shared" si="290"/>
        <v>0</v>
      </c>
      <c r="BJ226" s="108">
        <f t="shared" si="291"/>
        <v>0</v>
      </c>
    </row>
    <row r="227" spans="1:62" x14ac:dyDescent="0.2">
      <c r="A227" s="117" t="s">
        <v>190</v>
      </c>
      <c r="B227" s="117" t="s">
        <v>4111</v>
      </c>
      <c r="C227" s="304" t="s">
        <v>2123</v>
      </c>
      <c r="D227" s="305"/>
      <c r="E227" s="305"/>
      <c r="F227" s="117" t="s">
        <v>1644</v>
      </c>
      <c r="G227" s="116">
        <v>1</v>
      </c>
      <c r="H227" s="159"/>
      <c r="I227" s="108">
        <f t="shared" si="268"/>
        <v>0</v>
      </c>
      <c r="J227" s="108">
        <f t="shared" si="269"/>
        <v>0</v>
      </c>
      <c r="K227" s="108">
        <f t="shared" si="270"/>
        <v>0</v>
      </c>
      <c r="L227" s="111"/>
      <c r="Z227" s="100">
        <f t="shared" si="271"/>
        <v>0</v>
      </c>
      <c r="AB227" s="100">
        <f t="shared" si="272"/>
        <v>0</v>
      </c>
      <c r="AC227" s="100">
        <f t="shared" si="273"/>
        <v>0</v>
      </c>
      <c r="AD227" s="100">
        <f t="shared" si="274"/>
        <v>0</v>
      </c>
      <c r="AE227" s="100">
        <f t="shared" si="275"/>
        <v>0</v>
      </c>
      <c r="AF227" s="100">
        <f t="shared" si="276"/>
        <v>0</v>
      </c>
      <c r="AG227" s="100">
        <f t="shared" si="277"/>
        <v>0</v>
      </c>
      <c r="AH227" s="100">
        <f t="shared" si="278"/>
        <v>0</v>
      </c>
      <c r="AI227" s="109"/>
      <c r="AJ227" s="108">
        <f t="shared" si="279"/>
        <v>0</v>
      </c>
      <c r="AK227" s="108">
        <f t="shared" si="280"/>
        <v>0</v>
      </c>
      <c r="AL227" s="108">
        <f t="shared" si="281"/>
        <v>0</v>
      </c>
      <c r="AN227" s="100">
        <v>15</v>
      </c>
      <c r="AO227" s="100">
        <f t="shared" si="282"/>
        <v>0</v>
      </c>
      <c r="AP227" s="100">
        <f t="shared" si="283"/>
        <v>0</v>
      </c>
      <c r="AQ227" s="111" t="s">
        <v>13</v>
      </c>
      <c r="AV227" s="100">
        <f t="shared" si="284"/>
        <v>0</v>
      </c>
      <c r="AW227" s="100">
        <f t="shared" si="285"/>
        <v>0</v>
      </c>
      <c r="AX227" s="100">
        <f t="shared" si="286"/>
        <v>0</v>
      </c>
      <c r="AY227" s="110" t="s">
        <v>1708</v>
      </c>
      <c r="AZ227" s="110" t="s">
        <v>1732</v>
      </c>
      <c r="BA227" s="109" t="s">
        <v>1737</v>
      </c>
      <c r="BC227" s="100">
        <f t="shared" si="287"/>
        <v>0</v>
      </c>
      <c r="BD227" s="100">
        <f t="shared" si="288"/>
        <v>0</v>
      </c>
      <c r="BE227" s="100">
        <v>0</v>
      </c>
      <c r="BF227" s="100">
        <f>227</f>
        <v>227</v>
      </c>
      <c r="BH227" s="108">
        <f t="shared" si="289"/>
        <v>0</v>
      </c>
      <c r="BI227" s="108">
        <f t="shared" si="290"/>
        <v>0</v>
      </c>
      <c r="BJ227" s="108">
        <f t="shared" si="291"/>
        <v>0</v>
      </c>
    </row>
    <row r="228" spans="1:62" x14ac:dyDescent="0.2">
      <c r="A228" s="117" t="s">
        <v>191</v>
      </c>
      <c r="B228" s="117" t="s">
        <v>4110</v>
      </c>
      <c r="C228" s="304" t="s">
        <v>1280</v>
      </c>
      <c r="D228" s="305"/>
      <c r="E228" s="305"/>
      <c r="F228" s="117" t="s">
        <v>1646</v>
      </c>
      <c r="G228" s="116">
        <v>10</v>
      </c>
      <c r="H228" s="159"/>
      <c r="I228" s="108">
        <f t="shared" si="268"/>
        <v>0</v>
      </c>
      <c r="J228" s="108">
        <f t="shared" si="269"/>
        <v>0</v>
      </c>
      <c r="K228" s="108">
        <f t="shared" si="270"/>
        <v>0</v>
      </c>
      <c r="L228" s="111"/>
      <c r="Z228" s="100">
        <f t="shared" si="271"/>
        <v>0</v>
      </c>
      <c r="AB228" s="100">
        <f t="shared" si="272"/>
        <v>0</v>
      </c>
      <c r="AC228" s="100">
        <f t="shared" si="273"/>
        <v>0</v>
      </c>
      <c r="AD228" s="100">
        <f t="shared" si="274"/>
        <v>0</v>
      </c>
      <c r="AE228" s="100">
        <f t="shared" si="275"/>
        <v>0</v>
      </c>
      <c r="AF228" s="100">
        <f t="shared" si="276"/>
        <v>0</v>
      </c>
      <c r="AG228" s="100">
        <f t="shared" si="277"/>
        <v>0</v>
      </c>
      <c r="AH228" s="100">
        <f t="shared" si="278"/>
        <v>0</v>
      </c>
      <c r="AI228" s="109"/>
      <c r="AJ228" s="108">
        <f t="shared" si="279"/>
        <v>0</v>
      </c>
      <c r="AK228" s="108">
        <f t="shared" si="280"/>
        <v>0</v>
      </c>
      <c r="AL228" s="108">
        <f t="shared" si="281"/>
        <v>0</v>
      </c>
      <c r="AN228" s="100">
        <v>15</v>
      </c>
      <c r="AO228" s="100">
        <f t="shared" si="282"/>
        <v>0</v>
      </c>
      <c r="AP228" s="100">
        <f t="shared" si="283"/>
        <v>0</v>
      </c>
      <c r="AQ228" s="111" t="s">
        <v>13</v>
      </c>
      <c r="AV228" s="100">
        <f t="shared" si="284"/>
        <v>0</v>
      </c>
      <c r="AW228" s="100">
        <f t="shared" si="285"/>
        <v>0</v>
      </c>
      <c r="AX228" s="100">
        <f t="shared" si="286"/>
        <v>0</v>
      </c>
      <c r="AY228" s="110" t="s">
        <v>1708</v>
      </c>
      <c r="AZ228" s="110" t="s">
        <v>1732</v>
      </c>
      <c r="BA228" s="109" t="s">
        <v>1737</v>
      </c>
      <c r="BC228" s="100">
        <f t="shared" si="287"/>
        <v>0</v>
      </c>
      <c r="BD228" s="100">
        <f t="shared" si="288"/>
        <v>0</v>
      </c>
      <c r="BE228" s="100">
        <v>0</v>
      </c>
      <c r="BF228" s="100">
        <f>228</f>
        <v>228</v>
      </c>
      <c r="BH228" s="108">
        <f t="shared" si="289"/>
        <v>0</v>
      </c>
      <c r="BI228" s="108">
        <f t="shared" si="290"/>
        <v>0</v>
      </c>
      <c r="BJ228" s="108">
        <f t="shared" si="291"/>
        <v>0</v>
      </c>
    </row>
    <row r="229" spans="1:62" x14ac:dyDescent="0.2">
      <c r="A229" s="117" t="s">
        <v>192</v>
      </c>
      <c r="B229" s="117" t="s">
        <v>4109</v>
      </c>
      <c r="C229" s="304" t="s">
        <v>1281</v>
      </c>
      <c r="D229" s="305"/>
      <c r="E229" s="305"/>
      <c r="F229" s="117" t="s">
        <v>1646</v>
      </c>
      <c r="G229" s="116">
        <v>4</v>
      </c>
      <c r="H229" s="159"/>
      <c r="I229" s="108">
        <f t="shared" si="268"/>
        <v>0</v>
      </c>
      <c r="J229" s="108">
        <f t="shared" si="269"/>
        <v>0</v>
      </c>
      <c r="K229" s="108">
        <f t="shared" si="270"/>
        <v>0</v>
      </c>
      <c r="L229" s="111"/>
      <c r="Z229" s="100">
        <f t="shared" si="271"/>
        <v>0</v>
      </c>
      <c r="AB229" s="100">
        <f t="shared" si="272"/>
        <v>0</v>
      </c>
      <c r="AC229" s="100">
        <f t="shared" si="273"/>
        <v>0</v>
      </c>
      <c r="AD229" s="100">
        <f t="shared" si="274"/>
        <v>0</v>
      </c>
      <c r="AE229" s="100">
        <f t="shared" si="275"/>
        <v>0</v>
      </c>
      <c r="AF229" s="100">
        <f t="shared" si="276"/>
        <v>0</v>
      </c>
      <c r="AG229" s="100">
        <f t="shared" si="277"/>
        <v>0</v>
      </c>
      <c r="AH229" s="100">
        <f t="shared" si="278"/>
        <v>0</v>
      </c>
      <c r="AI229" s="109"/>
      <c r="AJ229" s="108">
        <f t="shared" si="279"/>
        <v>0</v>
      </c>
      <c r="AK229" s="108">
        <f t="shared" si="280"/>
        <v>0</v>
      </c>
      <c r="AL229" s="108">
        <f t="shared" si="281"/>
        <v>0</v>
      </c>
      <c r="AN229" s="100">
        <v>15</v>
      </c>
      <c r="AO229" s="100">
        <f t="shared" si="282"/>
        <v>0</v>
      </c>
      <c r="AP229" s="100">
        <f t="shared" si="283"/>
        <v>0</v>
      </c>
      <c r="AQ229" s="111" t="s">
        <v>13</v>
      </c>
      <c r="AV229" s="100">
        <f t="shared" si="284"/>
        <v>0</v>
      </c>
      <c r="AW229" s="100">
        <f t="shared" si="285"/>
        <v>0</v>
      </c>
      <c r="AX229" s="100">
        <f t="shared" si="286"/>
        <v>0</v>
      </c>
      <c r="AY229" s="110" t="s">
        <v>1708</v>
      </c>
      <c r="AZ229" s="110" t="s">
        <v>1732</v>
      </c>
      <c r="BA229" s="109" t="s">
        <v>1737</v>
      </c>
      <c r="BC229" s="100">
        <f t="shared" si="287"/>
        <v>0</v>
      </c>
      <c r="BD229" s="100">
        <f t="shared" si="288"/>
        <v>0</v>
      </c>
      <c r="BE229" s="100">
        <v>0</v>
      </c>
      <c r="BF229" s="100">
        <f>229</f>
        <v>229</v>
      </c>
      <c r="BH229" s="108">
        <f t="shared" si="289"/>
        <v>0</v>
      </c>
      <c r="BI229" s="108">
        <f t="shared" si="290"/>
        <v>0</v>
      </c>
      <c r="BJ229" s="108">
        <f t="shared" si="291"/>
        <v>0</v>
      </c>
    </row>
    <row r="230" spans="1:62" x14ac:dyDescent="0.2">
      <c r="A230" s="117" t="s">
        <v>193</v>
      </c>
      <c r="B230" s="117" t="s">
        <v>4108</v>
      </c>
      <c r="C230" s="304" t="s">
        <v>1282</v>
      </c>
      <c r="D230" s="305"/>
      <c r="E230" s="305"/>
      <c r="F230" s="117" t="s">
        <v>1644</v>
      </c>
      <c r="G230" s="116">
        <v>1</v>
      </c>
      <c r="H230" s="159"/>
      <c r="I230" s="108">
        <f t="shared" si="268"/>
        <v>0</v>
      </c>
      <c r="J230" s="108">
        <f t="shared" si="269"/>
        <v>0</v>
      </c>
      <c r="K230" s="108">
        <f t="shared" si="270"/>
        <v>0</v>
      </c>
      <c r="L230" s="111"/>
      <c r="Z230" s="100">
        <f t="shared" si="271"/>
        <v>0</v>
      </c>
      <c r="AB230" s="100">
        <f t="shared" si="272"/>
        <v>0</v>
      </c>
      <c r="AC230" s="100">
        <f t="shared" si="273"/>
        <v>0</v>
      </c>
      <c r="AD230" s="100">
        <f t="shared" si="274"/>
        <v>0</v>
      </c>
      <c r="AE230" s="100">
        <f t="shared" si="275"/>
        <v>0</v>
      </c>
      <c r="AF230" s="100">
        <f t="shared" si="276"/>
        <v>0</v>
      </c>
      <c r="AG230" s="100">
        <f t="shared" si="277"/>
        <v>0</v>
      </c>
      <c r="AH230" s="100">
        <f t="shared" si="278"/>
        <v>0</v>
      </c>
      <c r="AI230" s="109"/>
      <c r="AJ230" s="108">
        <f t="shared" si="279"/>
        <v>0</v>
      </c>
      <c r="AK230" s="108">
        <f t="shared" si="280"/>
        <v>0</v>
      </c>
      <c r="AL230" s="108">
        <f t="shared" si="281"/>
        <v>0</v>
      </c>
      <c r="AN230" s="100">
        <v>15</v>
      </c>
      <c r="AO230" s="100">
        <f t="shared" si="282"/>
        <v>0</v>
      </c>
      <c r="AP230" s="100">
        <f t="shared" si="283"/>
        <v>0</v>
      </c>
      <c r="AQ230" s="111" t="s">
        <v>13</v>
      </c>
      <c r="AV230" s="100">
        <f t="shared" si="284"/>
        <v>0</v>
      </c>
      <c r="AW230" s="100">
        <f t="shared" si="285"/>
        <v>0</v>
      </c>
      <c r="AX230" s="100">
        <f t="shared" si="286"/>
        <v>0</v>
      </c>
      <c r="AY230" s="110" t="s">
        <v>1708</v>
      </c>
      <c r="AZ230" s="110" t="s">
        <v>1732</v>
      </c>
      <c r="BA230" s="109" t="s">
        <v>1737</v>
      </c>
      <c r="BC230" s="100">
        <f t="shared" si="287"/>
        <v>0</v>
      </c>
      <c r="BD230" s="100">
        <f t="shared" si="288"/>
        <v>0</v>
      </c>
      <c r="BE230" s="100">
        <v>0</v>
      </c>
      <c r="BF230" s="100">
        <f>230</f>
        <v>230</v>
      </c>
      <c r="BH230" s="108">
        <f t="shared" si="289"/>
        <v>0</v>
      </c>
      <c r="BI230" s="108">
        <f t="shared" si="290"/>
        <v>0</v>
      </c>
      <c r="BJ230" s="108">
        <f t="shared" si="291"/>
        <v>0</v>
      </c>
    </row>
    <row r="231" spans="1:62" x14ac:dyDescent="0.2">
      <c r="A231" s="119"/>
      <c r="B231" s="120" t="s">
        <v>771</v>
      </c>
      <c r="C231" s="306" t="s">
        <v>1283</v>
      </c>
      <c r="D231" s="307"/>
      <c r="E231" s="307"/>
      <c r="F231" s="119" t="s">
        <v>6</v>
      </c>
      <c r="G231" s="119" t="s">
        <v>6</v>
      </c>
      <c r="H231" s="119" t="s">
        <v>6</v>
      </c>
      <c r="I231" s="118">
        <f>SUM(I232:I308)</f>
        <v>0</v>
      </c>
      <c r="J231" s="118">
        <f>SUM(J232:J308)</f>
        <v>0</v>
      </c>
      <c r="K231" s="118">
        <f>SUM(K232:K308)</f>
        <v>0</v>
      </c>
      <c r="L231" s="109"/>
      <c r="AI231" s="109"/>
      <c r="AS231" s="118">
        <f>SUM(AJ232:AJ308)</f>
        <v>0</v>
      </c>
      <c r="AT231" s="118">
        <f>SUM(AK232:AK308)</f>
        <v>0</v>
      </c>
      <c r="AU231" s="118">
        <f>SUM(AL232:AL308)</f>
        <v>0</v>
      </c>
    </row>
    <row r="232" spans="1:62" x14ac:dyDescent="0.2">
      <c r="A232" s="117" t="s">
        <v>194</v>
      </c>
      <c r="B232" s="117" t="s">
        <v>4107</v>
      </c>
      <c r="C232" s="304" t="s">
        <v>1284</v>
      </c>
      <c r="D232" s="305"/>
      <c r="E232" s="305"/>
      <c r="F232" s="117" t="s">
        <v>1644</v>
      </c>
      <c r="G232" s="116">
        <v>1</v>
      </c>
      <c r="H232" s="159"/>
      <c r="I232" s="108">
        <f t="shared" ref="I232:I263" si="292">G232*AO232</f>
        <v>0</v>
      </c>
      <c r="J232" s="108">
        <f t="shared" ref="J232:J263" si="293">G232*AP232</f>
        <v>0</v>
      </c>
      <c r="K232" s="108">
        <f t="shared" ref="K232:K263" si="294">G232*H232</f>
        <v>0</v>
      </c>
      <c r="L232" s="111"/>
      <c r="Z232" s="100">
        <f t="shared" ref="Z232:Z263" si="295">IF(AQ232="5",BJ232,0)</f>
        <v>0</v>
      </c>
      <c r="AB232" s="100">
        <f t="shared" ref="AB232:AB263" si="296">IF(AQ232="1",BH232,0)</f>
        <v>0</v>
      </c>
      <c r="AC232" s="100">
        <f t="shared" ref="AC232:AC263" si="297">IF(AQ232="1",BI232,0)</f>
        <v>0</v>
      </c>
      <c r="AD232" s="100">
        <f t="shared" ref="AD232:AD263" si="298">IF(AQ232="7",BH232,0)</f>
        <v>0</v>
      </c>
      <c r="AE232" s="100">
        <f t="shared" ref="AE232:AE263" si="299">IF(AQ232="7",BI232,0)</f>
        <v>0</v>
      </c>
      <c r="AF232" s="100">
        <f t="shared" ref="AF232:AF263" si="300">IF(AQ232="2",BH232,0)</f>
        <v>0</v>
      </c>
      <c r="AG232" s="100">
        <f t="shared" ref="AG232:AG263" si="301">IF(AQ232="2",BI232,0)</f>
        <v>0</v>
      </c>
      <c r="AH232" s="100">
        <f t="shared" ref="AH232:AH263" si="302">IF(AQ232="0",BJ232,0)</f>
        <v>0</v>
      </c>
      <c r="AI232" s="109"/>
      <c r="AJ232" s="108">
        <f t="shared" ref="AJ232:AJ263" si="303">IF(AN232=0,K232,0)</f>
        <v>0</v>
      </c>
      <c r="AK232" s="108">
        <f t="shared" ref="AK232:AK263" si="304">IF(AN232=15,K232,0)</f>
        <v>0</v>
      </c>
      <c r="AL232" s="108">
        <f t="shared" ref="AL232:AL263" si="305">IF(AN232=21,K232,0)</f>
        <v>0</v>
      </c>
      <c r="AN232" s="100">
        <v>15</v>
      </c>
      <c r="AO232" s="100">
        <f t="shared" ref="AO232:AO263" si="306">H232*0</f>
        <v>0</v>
      </c>
      <c r="AP232" s="100">
        <f t="shared" ref="AP232:AP263" si="307">H232*(1-0)</f>
        <v>0</v>
      </c>
      <c r="AQ232" s="111" t="s">
        <v>13</v>
      </c>
      <c r="AV232" s="100">
        <f t="shared" ref="AV232:AV263" si="308">AW232+AX232</f>
        <v>0</v>
      </c>
      <c r="AW232" s="100">
        <f t="shared" ref="AW232:AW263" si="309">G232*AO232</f>
        <v>0</v>
      </c>
      <c r="AX232" s="100">
        <f t="shared" ref="AX232:AX263" si="310">G232*AP232</f>
        <v>0</v>
      </c>
      <c r="AY232" s="110" t="s">
        <v>1709</v>
      </c>
      <c r="AZ232" s="110" t="s">
        <v>1733</v>
      </c>
      <c r="BA232" s="109" t="s">
        <v>1737</v>
      </c>
      <c r="BC232" s="100">
        <f t="shared" ref="BC232:BC263" si="311">AW232+AX232</f>
        <v>0</v>
      </c>
      <c r="BD232" s="100">
        <f t="shared" ref="BD232:BD263" si="312">H232/(100-BE232)*100</f>
        <v>0</v>
      </c>
      <c r="BE232" s="100">
        <v>0</v>
      </c>
      <c r="BF232" s="100">
        <f>232</f>
        <v>232</v>
      </c>
      <c r="BH232" s="108">
        <f t="shared" ref="BH232:BH263" si="313">G232*AO232</f>
        <v>0</v>
      </c>
      <c r="BI232" s="108">
        <f t="shared" ref="BI232:BI263" si="314">G232*AP232</f>
        <v>0</v>
      </c>
      <c r="BJ232" s="108">
        <f t="shared" ref="BJ232:BJ263" si="315">G232*H232</f>
        <v>0</v>
      </c>
    </row>
    <row r="233" spans="1:62" x14ac:dyDescent="0.2">
      <c r="A233" s="117" t="s">
        <v>195</v>
      </c>
      <c r="B233" s="117" t="s">
        <v>4106</v>
      </c>
      <c r="C233" s="304" t="s">
        <v>1285</v>
      </c>
      <c r="D233" s="305"/>
      <c r="E233" s="305"/>
      <c r="F233" s="117" t="s">
        <v>1644</v>
      </c>
      <c r="G233" s="116">
        <v>1</v>
      </c>
      <c r="H233" s="159"/>
      <c r="I233" s="108">
        <f t="shared" si="292"/>
        <v>0</v>
      </c>
      <c r="J233" s="108">
        <f t="shared" si="293"/>
        <v>0</v>
      </c>
      <c r="K233" s="108">
        <f t="shared" si="294"/>
        <v>0</v>
      </c>
      <c r="L233" s="111"/>
      <c r="Z233" s="100">
        <f t="shared" si="295"/>
        <v>0</v>
      </c>
      <c r="AB233" s="100">
        <f t="shared" si="296"/>
        <v>0</v>
      </c>
      <c r="AC233" s="100">
        <f t="shared" si="297"/>
        <v>0</v>
      </c>
      <c r="AD233" s="100">
        <f t="shared" si="298"/>
        <v>0</v>
      </c>
      <c r="AE233" s="100">
        <f t="shared" si="299"/>
        <v>0</v>
      </c>
      <c r="AF233" s="100">
        <f t="shared" si="300"/>
        <v>0</v>
      </c>
      <c r="AG233" s="100">
        <f t="shared" si="301"/>
        <v>0</v>
      </c>
      <c r="AH233" s="100">
        <f t="shared" si="302"/>
        <v>0</v>
      </c>
      <c r="AI233" s="109"/>
      <c r="AJ233" s="108">
        <f t="shared" si="303"/>
        <v>0</v>
      </c>
      <c r="AK233" s="108">
        <f t="shared" si="304"/>
        <v>0</v>
      </c>
      <c r="AL233" s="108">
        <f t="shared" si="305"/>
        <v>0</v>
      </c>
      <c r="AN233" s="100">
        <v>15</v>
      </c>
      <c r="AO233" s="100">
        <f t="shared" si="306"/>
        <v>0</v>
      </c>
      <c r="AP233" s="100">
        <f t="shared" si="307"/>
        <v>0</v>
      </c>
      <c r="AQ233" s="111" t="s">
        <v>13</v>
      </c>
      <c r="AV233" s="100">
        <f t="shared" si="308"/>
        <v>0</v>
      </c>
      <c r="AW233" s="100">
        <f t="shared" si="309"/>
        <v>0</v>
      </c>
      <c r="AX233" s="100">
        <f t="shared" si="310"/>
        <v>0</v>
      </c>
      <c r="AY233" s="110" t="s">
        <v>1709</v>
      </c>
      <c r="AZ233" s="110" t="s">
        <v>1733</v>
      </c>
      <c r="BA233" s="109" t="s">
        <v>1737</v>
      </c>
      <c r="BC233" s="100">
        <f t="shared" si="311"/>
        <v>0</v>
      </c>
      <c r="BD233" s="100">
        <f t="shared" si="312"/>
        <v>0</v>
      </c>
      <c r="BE233" s="100">
        <v>0</v>
      </c>
      <c r="BF233" s="100">
        <f>233</f>
        <v>233</v>
      </c>
      <c r="BH233" s="108">
        <f t="shared" si="313"/>
        <v>0</v>
      </c>
      <c r="BI233" s="108">
        <f t="shared" si="314"/>
        <v>0</v>
      </c>
      <c r="BJ233" s="108">
        <f t="shared" si="315"/>
        <v>0</v>
      </c>
    </row>
    <row r="234" spans="1:62" x14ac:dyDescent="0.2">
      <c r="A234" s="117" t="s">
        <v>196</v>
      </c>
      <c r="B234" s="117" t="s">
        <v>4105</v>
      </c>
      <c r="C234" s="304" t="s">
        <v>1286</v>
      </c>
      <c r="D234" s="305"/>
      <c r="E234" s="305"/>
      <c r="F234" s="117" t="s">
        <v>1644</v>
      </c>
      <c r="G234" s="116">
        <v>2</v>
      </c>
      <c r="H234" s="159"/>
      <c r="I234" s="108">
        <f t="shared" si="292"/>
        <v>0</v>
      </c>
      <c r="J234" s="108">
        <f t="shared" si="293"/>
        <v>0</v>
      </c>
      <c r="K234" s="108">
        <f t="shared" si="294"/>
        <v>0</v>
      </c>
      <c r="L234" s="111"/>
      <c r="Z234" s="100">
        <f t="shared" si="295"/>
        <v>0</v>
      </c>
      <c r="AB234" s="100">
        <f t="shared" si="296"/>
        <v>0</v>
      </c>
      <c r="AC234" s="100">
        <f t="shared" si="297"/>
        <v>0</v>
      </c>
      <c r="AD234" s="100">
        <f t="shared" si="298"/>
        <v>0</v>
      </c>
      <c r="AE234" s="100">
        <f t="shared" si="299"/>
        <v>0</v>
      </c>
      <c r="AF234" s="100">
        <f t="shared" si="300"/>
        <v>0</v>
      </c>
      <c r="AG234" s="100">
        <f t="shared" si="301"/>
        <v>0</v>
      </c>
      <c r="AH234" s="100">
        <f t="shared" si="302"/>
        <v>0</v>
      </c>
      <c r="AI234" s="109"/>
      <c r="AJ234" s="108">
        <f t="shared" si="303"/>
        <v>0</v>
      </c>
      <c r="AK234" s="108">
        <f t="shared" si="304"/>
        <v>0</v>
      </c>
      <c r="AL234" s="108">
        <f t="shared" si="305"/>
        <v>0</v>
      </c>
      <c r="AN234" s="100">
        <v>15</v>
      </c>
      <c r="AO234" s="100">
        <f t="shared" si="306"/>
        <v>0</v>
      </c>
      <c r="AP234" s="100">
        <f t="shared" si="307"/>
        <v>0</v>
      </c>
      <c r="AQ234" s="111" t="s">
        <v>13</v>
      </c>
      <c r="AV234" s="100">
        <f t="shared" si="308"/>
        <v>0</v>
      </c>
      <c r="AW234" s="100">
        <f t="shared" si="309"/>
        <v>0</v>
      </c>
      <c r="AX234" s="100">
        <f t="shared" si="310"/>
        <v>0</v>
      </c>
      <c r="AY234" s="110" t="s">
        <v>1709</v>
      </c>
      <c r="AZ234" s="110" t="s">
        <v>1733</v>
      </c>
      <c r="BA234" s="109" t="s">
        <v>1737</v>
      </c>
      <c r="BC234" s="100">
        <f t="shared" si="311"/>
        <v>0</v>
      </c>
      <c r="BD234" s="100">
        <f t="shared" si="312"/>
        <v>0</v>
      </c>
      <c r="BE234" s="100">
        <v>0</v>
      </c>
      <c r="BF234" s="100">
        <f>234</f>
        <v>234</v>
      </c>
      <c r="BH234" s="108">
        <f t="shared" si="313"/>
        <v>0</v>
      </c>
      <c r="BI234" s="108">
        <f t="shared" si="314"/>
        <v>0</v>
      </c>
      <c r="BJ234" s="108">
        <f t="shared" si="315"/>
        <v>0</v>
      </c>
    </row>
    <row r="235" spans="1:62" x14ac:dyDescent="0.2">
      <c r="A235" s="117" t="s">
        <v>197</v>
      </c>
      <c r="B235" s="117" t="s">
        <v>4104</v>
      </c>
      <c r="C235" s="304" t="s">
        <v>1287</v>
      </c>
      <c r="D235" s="305"/>
      <c r="E235" s="305"/>
      <c r="F235" s="117" t="s">
        <v>1644</v>
      </c>
      <c r="G235" s="116">
        <v>1</v>
      </c>
      <c r="H235" s="159"/>
      <c r="I235" s="108">
        <f t="shared" si="292"/>
        <v>0</v>
      </c>
      <c r="J235" s="108">
        <f t="shared" si="293"/>
        <v>0</v>
      </c>
      <c r="K235" s="108">
        <f t="shared" si="294"/>
        <v>0</v>
      </c>
      <c r="L235" s="111"/>
      <c r="Z235" s="100">
        <f t="shared" si="295"/>
        <v>0</v>
      </c>
      <c r="AB235" s="100">
        <f t="shared" si="296"/>
        <v>0</v>
      </c>
      <c r="AC235" s="100">
        <f t="shared" si="297"/>
        <v>0</v>
      </c>
      <c r="AD235" s="100">
        <f t="shared" si="298"/>
        <v>0</v>
      </c>
      <c r="AE235" s="100">
        <f t="shared" si="299"/>
        <v>0</v>
      </c>
      <c r="AF235" s="100">
        <f t="shared" si="300"/>
        <v>0</v>
      </c>
      <c r="AG235" s="100">
        <f t="shared" si="301"/>
        <v>0</v>
      </c>
      <c r="AH235" s="100">
        <f t="shared" si="302"/>
        <v>0</v>
      </c>
      <c r="AI235" s="109"/>
      <c r="AJ235" s="108">
        <f t="shared" si="303"/>
        <v>0</v>
      </c>
      <c r="AK235" s="108">
        <f t="shared" si="304"/>
        <v>0</v>
      </c>
      <c r="AL235" s="108">
        <f t="shared" si="305"/>
        <v>0</v>
      </c>
      <c r="AN235" s="100">
        <v>15</v>
      </c>
      <c r="AO235" s="100">
        <f t="shared" si="306"/>
        <v>0</v>
      </c>
      <c r="AP235" s="100">
        <f t="shared" si="307"/>
        <v>0</v>
      </c>
      <c r="AQ235" s="111" t="s">
        <v>13</v>
      </c>
      <c r="AV235" s="100">
        <f t="shared" si="308"/>
        <v>0</v>
      </c>
      <c r="AW235" s="100">
        <f t="shared" si="309"/>
        <v>0</v>
      </c>
      <c r="AX235" s="100">
        <f t="shared" si="310"/>
        <v>0</v>
      </c>
      <c r="AY235" s="110" t="s">
        <v>1709</v>
      </c>
      <c r="AZ235" s="110" t="s">
        <v>1733</v>
      </c>
      <c r="BA235" s="109" t="s">
        <v>1737</v>
      </c>
      <c r="BC235" s="100">
        <f t="shared" si="311"/>
        <v>0</v>
      </c>
      <c r="BD235" s="100">
        <f t="shared" si="312"/>
        <v>0</v>
      </c>
      <c r="BE235" s="100">
        <v>0</v>
      </c>
      <c r="BF235" s="100">
        <f>235</f>
        <v>235</v>
      </c>
      <c r="BH235" s="108">
        <f t="shared" si="313"/>
        <v>0</v>
      </c>
      <c r="BI235" s="108">
        <f t="shared" si="314"/>
        <v>0</v>
      </c>
      <c r="BJ235" s="108">
        <f t="shared" si="315"/>
        <v>0</v>
      </c>
    </row>
    <row r="236" spans="1:62" x14ac:dyDescent="0.2">
      <c r="A236" s="117" t="s">
        <v>198</v>
      </c>
      <c r="B236" s="117" t="s">
        <v>4103</v>
      </c>
      <c r="C236" s="304" t="s">
        <v>1288</v>
      </c>
      <c r="D236" s="305"/>
      <c r="E236" s="305"/>
      <c r="F236" s="117" t="s">
        <v>1644</v>
      </c>
      <c r="G236" s="116">
        <v>1</v>
      </c>
      <c r="H236" s="159"/>
      <c r="I236" s="108">
        <f t="shared" si="292"/>
        <v>0</v>
      </c>
      <c r="J236" s="108">
        <f t="shared" si="293"/>
        <v>0</v>
      </c>
      <c r="K236" s="108">
        <f t="shared" si="294"/>
        <v>0</v>
      </c>
      <c r="L236" s="111"/>
      <c r="Z236" s="100">
        <f t="shared" si="295"/>
        <v>0</v>
      </c>
      <c r="AB236" s="100">
        <f t="shared" si="296"/>
        <v>0</v>
      </c>
      <c r="AC236" s="100">
        <f t="shared" si="297"/>
        <v>0</v>
      </c>
      <c r="AD236" s="100">
        <f t="shared" si="298"/>
        <v>0</v>
      </c>
      <c r="AE236" s="100">
        <f t="shared" si="299"/>
        <v>0</v>
      </c>
      <c r="AF236" s="100">
        <f t="shared" si="300"/>
        <v>0</v>
      </c>
      <c r="AG236" s="100">
        <f t="shared" si="301"/>
        <v>0</v>
      </c>
      <c r="AH236" s="100">
        <f t="shared" si="302"/>
        <v>0</v>
      </c>
      <c r="AI236" s="109"/>
      <c r="AJ236" s="108">
        <f t="shared" si="303"/>
        <v>0</v>
      </c>
      <c r="AK236" s="108">
        <f t="shared" si="304"/>
        <v>0</v>
      </c>
      <c r="AL236" s="108">
        <f t="shared" si="305"/>
        <v>0</v>
      </c>
      <c r="AN236" s="100">
        <v>15</v>
      </c>
      <c r="AO236" s="100">
        <f t="shared" si="306"/>
        <v>0</v>
      </c>
      <c r="AP236" s="100">
        <f t="shared" si="307"/>
        <v>0</v>
      </c>
      <c r="AQ236" s="111" t="s">
        <v>13</v>
      </c>
      <c r="AV236" s="100">
        <f t="shared" si="308"/>
        <v>0</v>
      </c>
      <c r="AW236" s="100">
        <f t="shared" si="309"/>
        <v>0</v>
      </c>
      <c r="AX236" s="100">
        <f t="shared" si="310"/>
        <v>0</v>
      </c>
      <c r="AY236" s="110" t="s">
        <v>1709</v>
      </c>
      <c r="AZ236" s="110" t="s">
        <v>1733</v>
      </c>
      <c r="BA236" s="109" t="s">
        <v>1737</v>
      </c>
      <c r="BC236" s="100">
        <f t="shared" si="311"/>
        <v>0</v>
      </c>
      <c r="BD236" s="100">
        <f t="shared" si="312"/>
        <v>0</v>
      </c>
      <c r="BE236" s="100">
        <v>0</v>
      </c>
      <c r="BF236" s="100">
        <f>236</f>
        <v>236</v>
      </c>
      <c r="BH236" s="108">
        <f t="shared" si="313"/>
        <v>0</v>
      </c>
      <c r="BI236" s="108">
        <f t="shared" si="314"/>
        <v>0</v>
      </c>
      <c r="BJ236" s="108">
        <f t="shared" si="315"/>
        <v>0</v>
      </c>
    </row>
    <row r="237" spans="1:62" x14ac:dyDescent="0.2">
      <c r="A237" s="117" t="s">
        <v>199</v>
      </c>
      <c r="B237" s="117" t="s">
        <v>4102</v>
      </c>
      <c r="C237" s="304" t="s">
        <v>1289</v>
      </c>
      <c r="D237" s="305"/>
      <c r="E237" s="305"/>
      <c r="F237" s="117" t="s">
        <v>1644</v>
      </c>
      <c r="G237" s="116">
        <v>3</v>
      </c>
      <c r="H237" s="159"/>
      <c r="I237" s="108">
        <f t="shared" si="292"/>
        <v>0</v>
      </c>
      <c r="J237" s="108">
        <f t="shared" si="293"/>
        <v>0</v>
      </c>
      <c r="K237" s="108">
        <f t="shared" si="294"/>
        <v>0</v>
      </c>
      <c r="L237" s="111"/>
      <c r="Z237" s="100">
        <f t="shared" si="295"/>
        <v>0</v>
      </c>
      <c r="AB237" s="100">
        <f t="shared" si="296"/>
        <v>0</v>
      </c>
      <c r="AC237" s="100">
        <f t="shared" si="297"/>
        <v>0</v>
      </c>
      <c r="AD237" s="100">
        <f t="shared" si="298"/>
        <v>0</v>
      </c>
      <c r="AE237" s="100">
        <f t="shared" si="299"/>
        <v>0</v>
      </c>
      <c r="AF237" s="100">
        <f t="shared" si="300"/>
        <v>0</v>
      </c>
      <c r="AG237" s="100">
        <f t="shared" si="301"/>
        <v>0</v>
      </c>
      <c r="AH237" s="100">
        <f t="shared" si="302"/>
        <v>0</v>
      </c>
      <c r="AI237" s="109"/>
      <c r="AJ237" s="108">
        <f t="shared" si="303"/>
        <v>0</v>
      </c>
      <c r="AK237" s="108">
        <f t="shared" si="304"/>
        <v>0</v>
      </c>
      <c r="AL237" s="108">
        <f t="shared" si="305"/>
        <v>0</v>
      </c>
      <c r="AN237" s="100">
        <v>15</v>
      </c>
      <c r="AO237" s="100">
        <f t="shared" si="306"/>
        <v>0</v>
      </c>
      <c r="AP237" s="100">
        <f t="shared" si="307"/>
        <v>0</v>
      </c>
      <c r="AQ237" s="111" t="s">
        <v>13</v>
      </c>
      <c r="AV237" s="100">
        <f t="shared" si="308"/>
        <v>0</v>
      </c>
      <c r="AW237" s="100">
        <f t="shared" si="309"/>
        <v>0</v>
      </c>
      <c r="AX237" s="100">
        <f t="shared" si="310"/>
        <v>0</v>
      </c>
      <c r="AY237" s="110" t="s">
        <v>1709</v>
      </c>
      <c r="AZ237" s="110" t="s">
        <v>1733</v>
      </c>
      <c r="BA237" s="109" t="s">
        <v>1737</v>
      </c>
      <c r="BC237" s="100">
        <f t="shared" si="311"/>
        <v>0</v>
      </c>
      <c r="BD237" s="100">
        <f t="shared" si="312"/>
        <v>0</v>
      </c>
      <c r="BE237" s="100">
        <v>0</v>
      </c>
      <c r="BF237" s="100">
        <f>237</f>
        <v>237</v>
      </c>
      <c r="BH237" s="108">
        <f t="shared" si="313"/>
        <v>0</v>
      </c>
      <c r="BI237" s="108">
        <f t="shared" si="314"/>
        <v>0</v>
      </c>
      <c r="BJ237" s="108">
        <f t="shared" si="315"/>
        <v>0</v>
      </c>
    </row>
    <row r="238" spans="1:62" x14ac:dyDescent="0.2">
      <c r="A238" s="117" t="s">
        <v>200</v>
      </c>
      <c r="B238" s="117" t="s">
        <v>4101</v>
      </c>
      <c r="C238" s="304" t="s">
        <v>1290</v>
      </c>
      <c r="D238" s="305"/>
      <c r="E238" s="305"/>
      <c r="F238" s="117" t="s">
        <v>1644</v>
      </c>
      <c r="G238" s="116">
        <v>2</v>
      </c>
      <c r="H238" s="159"/>
      <c r="I238" s="108">
        <f t="shared" si="292"/>
        <v>0</v>
      </c>
      <c r="J238" s="108">
        <f t="shared" si="293"/>
        <v>0</v>
      </c>
      <c r="K238" s="108">
        <f t="shared" si="294"/>
        <v>0</v>
      </c>
      <c r="L238" s="111"/>
      <c r="Z238" s="100">
        <f t="shared" si="295"/>
        <v>0</v>
      </c>
      <c r="AB238" s="100">
        <f t="shared" si="296"/>
        <v>0</v>
      </c>
      <c r="AC238" s="100">
        <f t="shared" si="297"/>
        <v>0</v>
      </c>
      <c r="AD238" s="100">
        <f t="shared" si="298"/>
        <v>0</v>
      </c>
      <c r="AE238" s="100">
        <f t="shared" si="299"/>
        <v>0</v>
      </c>
      <c r="AF238" s="100">
        <f t="shared" si="300"/>
        <v>0</v>
      </c>
      <c r="AG238" s="100">
        <f t="shared" si="301"/>
        <v>0</v>
      </c>
      <c r="AH238" s="100">
        <f t="shared" si="302"/>
        <v>0</v>
      </c>
      <c r="AI238" s="109"/>
      <c r="AJ238" s="108">
        <f t="shared" si="303"/>
        <v>0</v>
      </c>
      <c r="AK238" s="108">
        <f t="shared" si="304"/>
        <v>0</v>
      </c>
      <c r="AL238" s="108">
        <f t="shared" si="305"/>
        <v>0</v>
      </c>
      <c r="AN238" s="100">
        <v>15</v>
      </c>
      <c r="AO238" s="100">
        <f t="shared" si="306"/>
        <v>0</v>
      </c>
      <c r="AP238" s="100">
        <f t="shared" si="307"/>
        <v>0</v>
      </c>
      <c r="AQ238" s="111" t="s">
        <v>13</v>
      </c>
      <c r="AV238" s="100">
        <f t="shared" si="308"/>
        <v>0</v>
      </c>
      <c r="AW238" s="100">
        <f t="shared" si="309"/>
        <v>0</v>
      </c>
      <c r="AX238" s="100">
        <f t="shared" si="310"/>
        <v>0</v>
      </c>
      <c r="AY238" s="110" t="s">
        <v>1709</v>
      </c>
      <c r="AZ238" s="110" t="s">
        <v>1733</v>
      </c>
      <c r="BA238" s="109" t="s">
        <v>1737</v>
      </c>
      <c r="BC238" s="100">
        <f t="shared" si="311"/>
        <v>0</v>
      </c>
      <c r="BD238" s="100">
        <f t="shared" si="312"/>
        <v>0</v>
      </c>
      <c r="BE238" s="100">
        <v>0</v>
      </c>
      <c r="BF238" s="100">
        <f>238</f>
        <v>238</v>
      </c>
      <c r="BH238" s="108">
        <f t="shared" si="313"/>
        <v>0</v>
      </c>
      <c r="BI238" s="108">
        <f t="shared" si="314"/>
        <v>0</v>
      </c>
      <c r="BJ238" s="108">
        <f t="shared" si="315"/>
        <v>0</v>
      </c>
    </row>
    <row r="239" spans="1:62" x14ac:dyDescent="0.2">
      <c r="A239" s="117" t="s">
        <v>201</v>
      </c>
      <c r="B239" s="117" t="s">
        <v>4100</v>
      </c>
      <c r="C239" s="304" t="s">
        <v>1291</v>
      </c>
      <c r="D239" s="305"/>
      <c r="E239" s="305"/>
      <c r="F239" s="117" t="s">
        <v>1644</v>
      </c>
      <c r="G239" s="116">
        <v>2</v>
      </c>
      <c r="H239" s="159"/>
      <c r="I239" s="108">
        <f t="shared" si="292"/>
        <v>0</v>
      </c>
      <c r="J239" s="108">
        <f t="shared" si="293"/>
        <v>0</v>
      </c>
      <c r="K239" s="108">
        <f t="shared" si="294"/>
        <v>0</v>
      </c>
      <c r="L239" s="111"/>
      <c r="Z239" s="100">
        <f t="shared" si="295"/>
        <v>0</v>
      </c>
      <c r="AB239" s="100">
        <f t="shared" si="296"/>
        <v>0</v>
      </c>
      <c r="AC239" s="100">
        <f t="shared" si="297"/>
        <v>0</v>
      </c>
      <c r="AD239" s="100">
        <f t="shared" si="298"/>
        <v>0</v>
      </c>
      <c r="AE239" s="100">
        <f t="shared" si="299"/>
        <v>0</v>
      </c>
      <c r="AF239" s="100">
        <f t="shared" si="300"/>
        <v>0</v>
      </c>
      <c r="AG239" s="100">
        <f t="shared" si="301"/>
        <v>0</v>
      </c>
      <c r="AH239" s="100">
        <f t="shared" si="302"/>
        <v>0</v>
      </c>
      <c r="AI239" s="109"/>
      <c r="AJ239" s="108">
        <f t="shared" si="303"/>
        <v>0</v>
      </c>
      <c r="AK239" s="108">
        <f t="shared" si="304"/>
        <v>0</v>
      </c>
      <c r="AL239" s="108">
        <f t="shared" si="305"/>
        <v>0</v>
      </c>
      <c r="AN239" s="100">
        <v>15</v>
      </c>
      <c r="AO239" s="100">
        <f t="shared" si="306"/>
        <v>0</v>
      </c>
      <c r="AP239" s="100">
        <f t="shared" si="307"/>
        <v>0</v>
      </c>
      <c r="AQ239" s="111" t="s">
        <v>13</v>
      </c>
      <c r="AV239" s="100">
        <f t="shared" si="308"/>
        <v>0</v>
      </c>
      <c r="AW239" s="100">
        <f t="shared" si="309"/>
        <v>0</v>
      </c>
      <c r="AX239" s="100">
        <f t="shared" si="310"/>
        <v>0</v>
      </c>
      <c r="AY239" s="110" t="s">
        <v>1709</v>
      </c>
      <c r="AZ239" s="110" t="s">
        <v>1733</v>
      </c>
      <c r="BA239" s="109" t="s">
        <v>1737</v>
      </c>
      <c r="BC239" s="100">
        <f t="shared" si="311"/>
        <v>0</v>
      </c>
      <c r="BD239" s="100">
        <f t="shared" si="312"/>
        <v>0</v>
      </c>
      <c r="BE239" s="100">
        <v>0</v>
      </c>
      <c r="BF239" s="100">
        <f>239</f>
        <v>239</v>
      </c>
      <c r="BH239" s="108">
        <f t="shared" si="313"/>
        <v>0</v>
      </c>
      <c r="BI239" s="108">
        <f t="shared" si="314"/>
        <v>0</v>
      </c>
      <c r="BJ239" s="108">
        <f t="shared" si="315"/>
        <v>0</v>
      </c>
    </row>
    <row r="240" spans="1:62" x14ac:dyDescent="0.2">
      <c r="A240" s="117" t="s">
        <v>202</v>
      </c>
      <c r="B240" s="117" t="s">
        <v>4099</v>
      </c>
      <c r="C240" s="304" t="s">
        <v>1292</v>
      </c>
      <c r="D240" s="305"/>
      <c r="E240" s="305"/>
      <c r="F240" s="117" t="s">
        <v>1644</v>
      </c>
      <c r="G240" s="116">
        <v>1</v>
      </c>
      <c r="H240" s="159"/>
      <c r="I240" s="108">
        <f t="shared" si="292"/>
        <v>0</v>
      </c>
      <c r="J240" s="108">
        <f t="shared" si="293"/>
        <v>0</v>
      </c>
      <c r="K240" s="108">
        <f t="shared" si="294"/>
        <v>0</v>
      </c>
      <c r="L240" s="111"/>
      <c r="Z240" s="100">
        <f t="shared" si="295"/>
        <v>0</v>
      </c>
      <c r="AB240" s="100">
        <f t="shared" si="296"/>
        <v>0</v>
      </c>
      <c r="AC240" s="100">
        <f t="shared" si="297"/>
        <v>0</v>
      </c>
      <c r="AD240" s="100">
        <f t="shared" si="298"/>
        <v>0</v>
      </c>
      <c r="AE240" s="100">
        <f t="shared" si="299"/>
        <v>0</v>
      </c>
      <c r="AF240" s="100">
        <f t="shared" si="300"/>
        <v>0</v>
      </c>
      <c r="AG240" s="100">
        <f t="shared" si="301"/>
        <v>0</v>
      </c>
      <c r="AH240" s="100">
        <f t="shared" si="302"/>
        <v>0</v>
      </c>
      <c r="AI240" s="109"/>
      <c r="AJ240" s="108">
        <f t="shared" si="303"/>
        <v>0</v>
      </c>
      <c r="AK240" s="108">
        <f t="shared" si="304"/>
        <v>0</v>
      </c>
      <c r="AL240" s="108">
        <f t="shared" si="305"/>
        <v>0</v>
      </c>
      <c r="AN240" s="100">
        <v>15</v>
      </c>
      <c r="AO240" s="100">
        <f t="shared" si="306"/>
        <v>0</v>
      </c>
      <c r="AP240" s="100">
        <f t="shared" si="307"/>
        <v>0</v>
      </c>
      <c r="AQ240" s="111" t="s">
        <v>13</v>
      </c>
      <c r="AV240" s="100">
        <f t="shared" si="308"/>
        <v>0</v>
      </c>
      <c r="AW240" s="100">
        <f t="shared" si="309"/>
        <v>0</v>
      </c>
      <c r="AX240" s="100">
        <f t="shared" si="310"/>
        <v>0</v>
      </c>
      <c r="AY240" s="110" t="s">
        <v>1709</v>
      </c>
      <c r="AZ240" s="110" t="s">
        <v>1733</v>
      </c>
      <c r="BA240" s="109" t="s">
        <v>1737</v>
      </c>
      <c r="BC240" s="100">
        <f t="shared" si="311"/>
        <v>0</v>
      </c>
      <c r="BD240" s="100">
        <f t="shared" si="312"/>
        <v>0</v>
      </c>
      <c r="BE240" s="100">
        <v>0</v>
      </c>
      <c r="BF240" s="100">
        <f>240</f>
        <v>240</v>
      </c>
      <c r="BH240" s="108">
        <f t="shared" si="313"/>
        <v>0</v>
      </c>
      <c r="BI240" s="108">
        <f t="shared" si="314"/>
        <v>0</v>
      </c>
      <c r="BJ240" s="108">
        <f t="shared" si="315"/>
        <v>0</v>
      </c>
    </row>
    <row r="241" spans="1:62" x14ac:dyDescent="0.2">
      <c r="A241" s="117" t="s">
        <v>203</v>
      </c>
      <c r="B241" s="117" t="s">
        <v>4098</v>
      </c>
      <c r="C241" s="304" t="s">
        <v>1293</v>
      </c>
      <c r="D241" s="305"/>
      <c r="E241" s="305"/>
      <c r="F241" s="117" t="s">
        <v>1644</v>
      </c>
      <c r="G241" s="116">
        <v>1</v>
      </c>
      <c r="H241" s="159"/>
      <c r="I241" s="108">
        <f t="shared" si="292"/>
        <v>0</v>
      </c>
      <c r="J241" s="108">
        <f t="shared" si="293"/>
        <v>0</v>
      </c>
      <c r="K241" s="108">
        <f t="shared" si="294"/>
        <v>0</v>
      </c>
      <c r="L241" s="111"/>
      <c r="Z241" s="100">
        <f t="shared" si="295"/>
        <v>0</v>
      </c>
      <c r="AB241" s="100">
        <f t="shared" si="296"/>
        <v>0</v>
      </c>
      <c r="AC241" s="100">
        <f t="shared" si="297"/>
        <v>0</v>
      </c>
      <c r="AD241" s="100">
        <f t="shared" si="298"/>
        <v>0</v>
      </c>
      <c r="AE241" s="100">
        <f t="shared" si="299"/>
        <v>0</v>
      </c>
      <c r="AF241" s="100">
        <f t="shared" si="300"/>
        <v>0</v>
      </c>
      <c r="AG241" s="100">
        <f t="shared" si="301"/>
        <v>0</v>
      </c>
      <c r="AH241" s="100">
        <f t="shared" si="302"/>
        <v>0</v>
      </c>
      <c r="AI241" s="109"/>
      <c r="AJ241" s="108">
        <f t="shared" si="303"/>
        <v>0</v>
      </c>
      <c r="AK241" s="108">
        <f t="shared" si="304"/>
        <v>0</v>
      </c>
      <c r="AL241" s="108">
        <f t="shared" si="305"/>
        <v>0</v>
      </c>
      <c r="AN241" s="100">
        <v>15</v>
      </c>
      <c r="AO241" s="100">
        <f t="shared" si="306"/>
        <v>0</v>
      </c>
      <c r="AP241" s="100">
        <f t="shared" si="307"/>
        <v>0</v>
      </c>
      <c r="AQ241" s="111" t="s">
        <v>13</v>
      </c>
      <c r="AV241" s="100">
        <f t="shared" si="308"/>
        <v>0</v>
      </c>
      <c r="AW241" s="100">
        <f t="shared" si="309"/>
        <v>0</v>
      </c>
      <c r="AX241" s="100">
        <f t="shared" si="310"/>
        <v>0</v>
      </c>
      <c r="AY241" s="110" t="s">
        <v>1709</v>
      </c>
      <c r="AZ241" s="110" t="s">
        <v>1733</v>
      </c>
      <c r="BA241" s="109" t="s">
        <v>1737</v>
      </c>
      <c r="BC241" s="100">
        <f t="shared" si="311"/>
        <v>0</v>
      </c>
      <c r="BD241" s="100">
        <f t="shared" si="312"/>
        <v>0</v>
      </c>
      <c r="BE241" s="100">
        <v>0</v>
      </c>
      <c r="BF241" s="100">
        <f>241</f>
        <v>241</v>
      </c>
      <c r="BH241" s="108">
        <f t="shared" si="313"/>
        <v>0</v>
      </c>
      <c r="BI241" s="108">
        <f t="shared" si="314"/>
        <v>0</v>
      </c>
      <c r="BJ241" s="108">
        <f t="shared" si="315"/>
        <v>0</v>
      </c>
    </row>
    <row r="242" spans="1:62" x14ac:dyDescent="0.2">
      <c r="A242" s="117" t="s">
        <v>204</v>
      </c>
      <c r="B242" s="117" t="s">
        <v>4097</v>
      </c>
      <c r="C242" s="304" t="s">
        <v>1294</v>
      </c>
      <c r="D242" s="305"/>
      <c r="E242" s="305"/>
      <c r="F242" s="117" t="s">
        <v>1644</v>
      </c>
      <c r="G242" s="116">
        <v>1</v>
      </c>
      <c r="H242" s="159"/>
      <c r="I242" s="108">
        <f t="shared" si="292"/>
        <v>0</v>
      </c>
      <c r="J242" s="108">
        <f t="shared" si="293"/>
        <v>0</v>
      </c>
      <c r="K242" s="108">
        <f t="shared" si="294"/>
        <v>0</v>
      </c>
      <c r="L242" s="111"/>
      <c r="Z242" s="100">
        <f t="shared" si="295"/>
        <v>0</v>
      </c>
      <c r="AB242" s="100">
        <f t="shared" si="296"/>
        <v>0</v>
      </c>
      <c r="AC242" s="100">
        <f t="shared" si="297"/>
        <v>0</v>
      </c>
      <c r="AD242" s="100">
        <f t="shared" si="298"/>
        <v>0</v>
      </c>
      <c r="AE242" s="100">
        <f t="shared" si="299"/>
        <v>0</v>
      </c>
      <c r="AF242" s="100">
        <f t="shared" si="300"/>
        <v>0</v>
      </c>
      <c r="AG242" s="100">
        <f t="shared" si="301"/>
        <v>0</v>
      </c>
      <c r="AH242" s="100">
        <f t="shared" si="302"/>
        <v>0</v>
      </c>
      <c r="AI242" s="109"/>
      <c r="AJ242" s="108">
        <f t="shared" si="303"/>
        <v>0</v>
      </c>
      <c r="AK242" s="108">
        <f t="shared" si="304"/>
        <v>0</v>
      </c>
      <c r="AL242" s="108">
        <f t="shared" si="305"/>
        <v>0</v>
      </c>
      <c r="AN242" s="100">
        <v>15</v>
      </c>
      <c r="AO242" s="100">
        <f t="shared" si="306"/>
        <v>0</v>
      </c>
      <c r="AP242" s="100">
        <f t="shared" si="307"/>
        <v>0</v>
      </c>
      <c r="AQ242" s="111" t="s">
        <v>13</v>
      </c>
      <c r="AV242" s="100">
        <f t="shared" si="308"/>
        <v>0</v>
      </c>
      <c r="AW242" s="100">
        <f t="shared" si="309"/>
        <v>0</v>
      </c>
      <c r="AX242" s="100">
        <f t="shared" si="310"/>
        <v>0</v>
      </c>
      <c r="AY242" s="110" t="s">
        <v>1709</v>
      </c>
      <c r="AZ242" s="110" t="s">
        <v>1733</v>
      </c>
      <c r="BA242" s="109" t="s">
        <v>1737</v>
      </c>
      <c r="BC242" s="100">
        <f t="shared" si="311"/>
        <v>0</v>
      </c>
      <c r="BD242" s="100">
        <f t="shared" si="312"/>
        <v>0</v>
      </c>
      <c r="BE242" s="100">
        <v>0</v>
      </c>
      <c r="BF242" s="100">
        <f>242</f>
        <v>242</v>
      </c>
      <c r="BH242" s="108">
        <f t="shared" si="313"/>
        <v>0</v>
      </c>
      <c r="BI242" s="108">
        <f t="shared" si="314"/>
        <v>0</v>
      </c>
      <c r="BJ242" s="108">
        <f t="shared" si="315"/>
        <v>0</v>
      </c>
    </row>
    <row r="243" spans="1:62" x14ac:dyDescent="0.2">
      <c r="A243" s="117" t="s">
        <v>205</v>
      </c>
      <c r="B243" s="117" t="s">
        <v>4096</v>
      </c>
      <c r="C243" s="304" t="s">
        <v>1295</v>
      </c>
      <c r="D243" s="305"/>
      <c r="E243" s="305"/>
      <c r="F243" s="117" t="s">
        <v>1644</v>
      </c>
      <c r="G243" s="116">
        <v>1</v>
      </c>
      <c r="H243" s="159"/>
      <c r="I243" s="108">
        <f t="shared" si="292"/>
        <v>0</v>
      </c>
      <c r="J243" s="108">
        <f t="shared" si="293"/>
        <v>0</v>
      </c>
      <c r="K243" s="108">
        <f t="shared" si="294"/>
        <v>0</v>
      </c>
      <c r="L243" s="111"/>
      <c r="Z243" s="100">
        <f t="shared" si="295"/>
        <v>0</v>
      </c>
      <c r="AB243" s="100">
        <f t="shared" si="296"/>
        <v>0</v>
      </c>
      <c r="AC243" s="100">
        <f t="shared" si="297"/>
        <v>0</v>
      </c>
      <c r="AD243" s="100">
        <f t="shared" si="298"/>
        <v>0</v>
      </c>
      <c r="AE243" s="100">
        <f t="shared" si="299"/>
        <v>0</v>
      </c>
      <c r="AF243" s="100">
        <f t="shared" si="300"/>
        <v>0</v>
      </c>
      <c r="AG243" s="100">
        <f t="shared" si="301"/>
        <v>0</v>
      </c>
      <c r="AH243" s="100">
        <f t="shared" si="302"/>
        <v>0</v>
      </c>
      <c r="AI243" s="109"/>
      <c r="AJ243" s="108">
        <f t="shared" si="303"/>
        <v>0</v>
      </c>
      <c r="AK243" s="108">
        <f t="shared" si="304"/>
        <v>0</v>
      </c>
      <c r="AL243" s="108">
        <f t="shared" si="305"/>
        <v>0</v>
      </c>
      <c r="AN243" s="100">
        <v>15</v>
      </c>
      <c r="AO243" s="100">
        <f t="shared" si="306"/>
        <v>0</v>
      </c>
      <c r="AP243" s="100">
        <f t="shared" si="307"/>
        <v>0</v>
      </c>
      <c r="AQ243" s="111" t="s">
        <v>13</v>
      </c>
      <c r="AV243" s="100">
        <f t="shared" si="308"/>
        <v>0</v>
      </c>
      <c r="AW243" s="100">
        <f t="shared" si="309"/>
        <v>0</v>
      </c>
      <c r="AX243" s="100">
        <f t="shared" si="310"/>
        <v>0</v>
      </c>
      <c r="AY243" s="110" t="s">
        <v>1709</v>
      </c>
      <c r="AZ243" s="110" t="s">
        <v>1733</v>
      </c>
      <c r="BA243" s="109" t="s">
        <v>1737</v>
      </c>
      <c r="BC243" s="100">
        <f t="shared" si="311"/>
        <v>0</v>
      </c>
      <c r="BD243" s="100">
        <f t="shared" si="312"/>
        <v>0</v>
      </c>
      <c r="BE243" s="100">
        <v>0</v>
      </c>
      <c r="BF243" s="100">
        <f>243</f>
        <v>243</v>
      </c>
      <c r="BH243" s="108">
        <f t="shared" si="313"/>
        <v>0</v>
      </c>
      <c r="BI243" s="108">
        <f t="shared" si="314"/>
        <v>0</v>
      </c>
      <c r="BJ243" s="108">
        <f t="shared" si="315"/>
        <v>0</v>
      </c>
    </row>
    <row r="244" spans="1:62" x14ac:dyDescent="0.2">
      <c r="A244" s="117" t="s">
        <v>206</v>
      </c>
      <c r="B244" s="117" t="s">
        <v>4095</v>
      </c>
      <c r="C244" s="304" t="s">
        <v>1296</v>
      </c>
      <c r="D244" s="305"/>
      <c r="E244" s="305"/>
      <c r="F244" s="117" t="s">
        <v>1644</v>
      </c>
      <c r="G244" s="116">
        <v>2</v>
      </c>
      <c r="H244" s="159"/>
      <c r="I244" s="108">
        <f t="shared" si="292"/>
        <v>0</v>
      </c>
      <c r="J244" s="108">
        <f t="shared" si="293"/>
        <v>0</v>
      </c>
      <c r="K244" s="108">
        <f t="shared" si="294"/>
        <v>0</v>
      </c>
      <c r="L244" s="111"/>
      <c r="Z244" s="100">
        <f t="shared" si="295"/>
        <v>0</v>
      </c>
      <c r="AB244" s="100">
        <f t="shared" si="296"/>
        <v>0</v>
      </c>
      <c r="AC244" s="100">
        <f t="shared" si="297"/>
        <v>0</v>
      </c>
      <c r="AD244" s="100">
        <f t="shared" si="298"/>
        <v>0</v>
      </c>
      <c r="AE244" s="100">
        <f t="shared" si="299"/>
        <v>0</v>
      </c>
      <c r="AF244" s="100">
        <f t="shared" si="300"/>
        <v>0</v>
      </c>
      <c r="AG244" s="100">
        <f t="shared" si="301"/>
        <v>0</v>
      </c>
      <c r="AH244" s="100">
        <f t="shared" si="302"/>
        <v>0</v>
      </c>
      <c r="AI244" s="109"/>
      <c r="AJ244" s="108">
        <f t="shared" si="303"/>
        <v>0</v>
      </c>
      <c r="AK244" s="108">
        <f t="shared" si="304"/>
        <v>0</v>
      </c>
      <c r="AL244" s="108">
        <f t="shared" si="305"/>
        <v>0</v>
      </c>
      <c r="AN244" s="100">
        <v>15</v>
      </c>
      <c r="AO244" s="100">
        <f t="shared" si="306"/>
        <v>0</v>
      </c>
      <c r="AP244" s="100">
        <f t="shared" si="307"/>
        <v>0</v>
      </c>
      <c r="AQ244" s="111" t="s">
        <v>13</v>
      </c>
      <c r="AV244" s="100">
        <f t="shared" si="308"/>
        <v>0</v>
      </c>
      <c r="AW244" s="100">
        <f t="shared" si="309"/>
        <v>0</v>
      </c>
      <c r="AX244" s="100">
        <f t="shared" si="310"/>
        <v>0</v>
      </c>
      <c r="AY244" s="110" t="s">
        <v>1709</v>
      </c>
      <c r="AZ244" s="110" t="s">
        <v>1733</v>
      </c>
      <c r="BA244" s="109" t="s">
        <v>1737</v>
      </c>
      <c r="BC244" s="100">
        <f t="shared" si="311"/>
        <v>0</v>
      </c>
      <c r="BD244" s="100">
        <f t="shared" si="312"/>
        <v>0</v>
      </c>
      <c r="BE244" s="100">
        <v>0</v>
      </c>
      <c r="BF244" s="100">
        <f>244</f>
        <v>244</v>
      </c>
      <c r="BH244" s="108">
        <f t="shared" si="313"/>
        <v>0</v>
      </c>
      <c r="BI244" s="108">
        <f t="shared" si="314"/>
        <v>0</v>
      </c>
      <c r="BJ244" s="108">
        <f t="shared" si="315"/>
        <v>0</v>
      </c>
    </row>
    <row r="245" spans="1:62" x14ac:dyDescent="0.2">
      <c r="A245" s="117" t="s">
        <v>207</v>
      </c>
      <c r="B245" s="117" t="s">
        <v>4094</v>
      </c>
      <c r="C245" s="304" t="s">
        <v>1297</v>
      </c>
      <c r="D245" s="305"/>
      <c r="E245" s="305"/>
      <c r="F245" s="117" t="s">
        <v>1644</v>
      </c>
      <c r="G245" s="116">
        <v>2</v>
      </c>
      <c r="H245" s="159"/>
      <c r="I245" s="108">
        <f t="shared" si="292"/>
        <v>0</v>
      </c>
      <c r="J245" s="108">
        <f t="shared" si="293"/>
        <v>0</v>
      </c>
      <c r="K245" s="108">
        <f t="shared" si="294"/>
        <v>0</v>
      </c>
      <c r="L245" s="111"/>
      <c r="Z245" s="100">
        <f t="shared" si="295"/>
        <v>0</v>
      </c>
      <c r="AB245" s="100">
        <f t="shared" si="296"/>
        <v>0</v>
      </c>
      <c r="AC245" s="100">
        <f t="shared" si="297"/>
        <v>0</v>
      </c>
      <c r="AD245" s="100">
        <f t="shared" si="298"/>
        <v>0</v>
      </c>
      <c r="AE245" s="100">
        <f t="shared" si="299"/>
        <v>0</v>
      </c>
      <c r="AF245" s="100">
        <f t="shared" si="300"/>
        <v>0</v>
      </c>
      <c r="AG245" s="100">
        <f t="shared" si="301"/>
        <v>0</v>
      </c>
      <c r="AH245" s="100">
        <f t="shared" si="302"/>
        <v>0</v>
      </c>
      <c r="AI245" s="109"/>
      <c r="AJ245" s="108">
        <f t="shared" si="303"/>
        <v>0</v>
      </c>
      <c r="AK245" s="108">
        <f t="shared" si="304"/>
        <v>0</v>
      </c>
      <c r="AL245" s="108">
        <f t="shared" si="305"/>
        <v>0</v>
      </c>
      <c r="AN245" s="100">
        <v>15</v>
      </c>
      <c r="AO245" s="100">
        <f t="shared" si="306"/>
        <v>0</v>
      </c>
      <c r="AP245" s="100">
        <f t="shared" si="307"/>
        <v>0</v>
      </c>
      <c r="AQ245" s="111" t="s">
        <v>13</v>
      </c>
      <c r="AV245" s="100">
        <f t="shared" si="308"/>
        <v>0</v>
      </c>
      <c r="AW245" s="100">
        <f t="shared" si="309"/>
        <v>0</v>
      </c>
      <c r="AX245" s="100">
        <f t="shared" si="310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311"/>
        <v>0</v>
      </c>
      <c r="BD245" s="100">
        <f t="shared" si="312"/>
        <v>0</v>
      </c>
      <c r="BE245" s="100">
        <v>0</v>
      </c>
      <c r="BF245" s="100">
        <f>245</f>
        <v>245</v>
      </c>
      <c r="BH245" s="108">
        <f t="shared" si="313"/>
        <v>0</v>
      </c>
      <c r="BI245" s="108">
        <f t="shared" si="314"/>
        <v>0</v>
      </c>
      <c r="BJ245" s="108">
        <f t="shared" si="315"/>
        <v>0</v>
      </c>
    </row>
    <row r="246" spans="1:62" x14ac:dyDescent="0.2">
      <c r="A246" s="117" t="s">
        <v>208</v>
      </c>
      <c r="B246" s="117" t="s">
        <v>4093</v>
      </c>
      <c r="C246" s="304" t="s">
        <v>1298</v>
      </c>
      <c r="D246" s="305"/>
      <c r="E246" s="305"/>
      <c r="F246" s="117" t="s">
        <v>1644</v>
      </c>
      <c r="G246" s="116">
        <v>1</v>
      </c>
      <c r="H246" s="159"/>
      <c r="I246" s="108">
        <f t="shared" si="292"/>
        <v>0</v>
      </c>
      <c r="J246" s="108">
        <f t="shared" si="293"/>
        <v>0</v>
      </c>
      <c r="K246" s="108">
        <f t="shared" si="294"/>
        <v>0</v>
      </c>
      <c r="L246" s="111"/>
      <c r="Z246" s="100">
        <f t="shared" si="295"/>
        <v>0</v>
      </c>
      <c r="AB246" s="100">
        <f t="shared" si="296"/>
        <v>0</v>
      </c>
      <c r="AC246" s="100">
        <f t="shared" si="297"/>
        <v>0</v>
      </c>
      <c r="AD246" s="100">
        <f t="shared" si="298"/>
        <v>0</v>
      </c>
      <c r="AE246" s="100">
        <f t="shared" si="299"/>
        <v>0</v>
      </c>
      <c r="AF246" s="100">
        <f t="shared" si="300"/>
        <v>0</v>
      </c>
      <c r="AG246" s="100">
        <f t="shared" si="301"/>
        <v>0</v>
      </c>
      <c r="AH246" s="100">
        <f t="shared" si="302"/>
        <v>0</v>
      </c>
      <c r="AI246" s="109"/>
      <c r="AJ246" s="108">
        <f t="shared" si="303"/>
        <v>0</v>
      </c>
      <c r="AK246" s="108">
        <f t="shared" si="304"/>
        <v>0</v>
      </c>
      <c r="AL246" s="108">
        <f t="shared" si="305"/>
        <v>0</v>
      </c>
      <c r="AN246" s="100">
        <v>15</v>
      </c>
      <c r="AO246" s="100">
        <f t="shared" si="306"/>
        <v>0</v>
      </c>
      <c r="AP246" s="100">
        <f t="shared" si="307"/>
        <v>0</v>
      </c>
      <c r="AQ246" s="111" t="s">
        <v>13</v>
      </c>
      <c r="AV246" s="100">
        <f t="shared" si="308"/>
        <v>0</v>
      </c>
      <c r="AW246" s="100">
        <f t="shared" si="309"/>
        <v>0</v>
      </c>
      <c r="AX246" s="100">
        <f t="shared" si="310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311"/>
        <v>0</v>
      </c>
      <c r="BD246" s="100">
        <f t="shared" si="312"/>
        <v>0</v>
      </c>
      <c r="BE246" s="100">
        <v>0</v>
      </c>
      <c r="BF246" s="100">
        <f>246</f>
        <v>246</v>
      </c>
      <c r="BH246" s="108">
        <f t="shared" si="313"/>
        <v>0</v>
      </c>
      <c r="BI246" s="108">
        <f t="shared" si="314"/>
        <v>0</v>
      </c>
      <c r="BJ246" s="108">
        <f t="shared" si="315"/>
        <v>0</v>
      </c>
    </row>
    <row r="247" spans="1:62" x14ac:dyDescent="0.2">
      <c r="A247" s="117" t="s">
        <v>209</v>
      </c>
      <c r="B247" s="117" t="s">
        <v>4092</v>
      </c>
      <c r="C247" s="304" t="s">
        <v>1299</v>
      </c>
      <c r="D247" s="305"/>
      <c r="E247" s="305"/>
      <c r="F247" s="117" t="s">
        <v>1646</v>
      </c>
      <c r="G247" s="116">
        <v>10</v>
      </c>
      <c r="H247" s="159"/>
      <c r="I247" s="108">
        <f t="shared" si="292"/>
        <v>0</v>
      </c>
      <c r="J247" s="108">
        <f t="shared" si="293"/>
        <v>0</v>
      </c>
      <c r="K247" s="108">
        <f t="shared" si="294"/>
        <v>0</v>
      </c>
      <c r="L247" s="111"/>
      <c r="Z247" s="100">
        <f t="shared" si="295"/>
        <v>0</v>
      </c>
      <c r="AB247" s="100">
        <f t="shared" si="296"/>
        <v>0</v>
      </c>
      <c r="AC247" s="100">
        <f t="shared" si="297"/>
        <v>0</v>
      </c>
      <c r="AD247" s="100">
        <f t="shared" si="298"/>
        <v>0</v>
      </c>
      <c r="AE247" s="100">
        <f t="shared" si="299"/>
        <v>0</v>
      </c>
      <c r="AF247" s="100">
        <f t="shared" si="300"/>
        <v>0</v>
      </c>
      <c r="AG247" s="100">
        <f t="shared" si="301"/>
        <v>0</v>
      </c>
      <c r="AH247" s="100">
        <f t="shared" si="302"/>
        <v>0</v>
      </c>
      <c r="AI247" s="109"/>
      <c r="AJ247" s="108">
        <f t="shared" si="303"/>
        <v>0</v>
      </c>
      <c r="AK247" s="108">
        <f t="shared" si="304"/>
        <v>0</v>
      </c>
      <c r="AL247" s="108">
        <f t="shared" si="305"/>
        <v>0</v>
      </c>
      <c r="AN247" s="100">
        <v>15</v>
      </c>
      <c r="AO247" s="100">
        <f t="shared" si="306"/>
        <v>0</v>
      </c>
      <c r="AP247" s="100">
        <f t="shared" si="307"/>
        <v>0</v>
      </c>
      <c r="AQ247" s="111" t="s">
        <v>13</v>
      </c>
      <c r="AV247" s="100">
        <f t="shared" si="308"/>
        <v>0</v>
      </c>
      <c r="AW247" s="100">
        <f t="shared" si="309"/>
        <v>0</v>
      </c>
      <c r="AX247" s="100">
        <f t="shared" si="310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311"/>
        <v>0</v>
      </c>
      <c r="BD247" s="100">
        <f t="shared" si="312"/>
        <v>0</v>
      </c>
      <c r="BE247" s="100">
        <v>0</v>
      </c>
      <c r="BF247" s="100">
        <f>247</f>
        <v>247</v>
      </c>
      <c r="BH247" s="108">
        <f t="shared" si="313"/>
        <v>0</v>
      </c>
      <c r="BI247" s="108">
        <f t="shared" si="314"/>
        <v>0</v>
      </c>
      <c r="BJ247" s="108">
        <f t="shared" si="315"/>
        <v>0</v>
      </c>
    </row>
    <row r="248" spans="1:62" x14ac:dyDescent="0.2">
      <c r="A248" s="117" t="s">
        <v>210</v>
      </c>
      <c r="B248" s="117" t="s">
        <v>4091</v>
      </c>
      <c r="C248" s="304" t="s">
        <v>1300</v>
      </c>
      <c r="D248" s="305"/>
      <c r="E248" s="305"/>
      <c r="F248" s="117" t="s">
        <v>1646</v>
      </c>
      <c r="G248" s="116">
        <v>16</v>
      </c>
      <c r="H248" s="159"/>
      <c r="I248" s="108">
        <f t="shared" si="292"/>
        <v>0</v>
      </c>
      <c r="J248" s="108">
        <f t="shared" si="293"/>
        <v>0</v>
      </c>
      <c r="K248" s="108">
        <f t="shared" si="294"/>
        <v>0</v>
      </c>
      <c r="L248" s="111"/>
      <c r="Z248" s="100">
        <f t="shared" si="295"/>
        <v>0</v>
      </c>
      <c r="AB248" s="100">
        <f t="shared" si="296"/>
        <v>0</v>
      </c>
      <c r="AC248" s="100">
        <f t="shared" si="297"/>
        <v>0</v>
      </c>
      <c r="AD248" s="100">
        <f t="shared" si="298"/>
        <v>0</v>
      </c>
      <c r="AE248" s="100">
        <f t="shared" si="299"/>
        <v>0</v>
      </c>
      <c r="AF248" s="100">
        <f t="shared" si="300"/>
        <v>0</v>
      </c>
      <c r="AG248" s="100">
        <f t="shared" si="301"/>
        <v>0</v>
      </c>
      <c r="AH248" s="100">
        <f t="shared" si="302"/>
        <v>0</v>
      </c>
      <c r="AI248" s="109"/>
      <c r="AJ248" s="108">
        <f t="shared" si="303"/>
        <v>0</v>
      </c>
      <c r="AK248" s="108">
        <f t="shared" si="304"/>
        <v>0</v>
      </c>
      <c r="AL248" s="108">
        <f t="shared" si="305"/>
        <v>0</v>
      </c>
      <c r="AN248" s="100">
        <v>15</v>
      </c>
      <c r="AO248" s="100">
        <f t="shared" si="306"/>
        <v>0</v>
      </c>
      <c r="AP248" s="100">
        <f t="shared" si="307"/>
        <v>0</v>
      </c>
      <c r="AQ248" s="111" t="s">
        <v>13</v>
      </c>
      <c r="AV248" s="100">
        <f t="shared" si="308"/>
        <v>0</v>
      </c>
      <c r="AW248" s="100">
        <f t="shared" si="309"/>
        <v>0</v>
      </c>
      <c r="AX248" s="100">
        <f t="shared" si="310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311"/>
        <v>0</v>
      </c>
      <c r="BD248" s="100">
        <f t="shared" si="312"/>
        <v>0</v>
      </c>
      <c r="BE248" s="100">
        <v>0</v>
      </c>
      <c r="BF248" s="100">
        <f>248</f>
        <v>248</v>
      </c>
      <c r="BH248" s="108">
        <f t="shared" si="313"/>
        <v>0</v>
      </c>
      <c r="BI248" s="108">
        <f t="shared" si="314"/>
        <v>0</v>
      </c>
      <c r="BJ248" s="108">
        <f t="shared" si="315"/>
        <v>0</v>
      </c>
    </row>
    <row r="249" spans="1:62" x14ac:dyDescent="0.2">
      <c r="A249" s="117" t="s">
        <v>211</v>
      </c>
      <c r="B249" s="117" t="s">
        <v>4090</v>
      </c>
      <c r="C249" s="304" t="s">
        <v>1301</v>
      </c>
      <c r="D249" s="305"/>
      <c r="E249" s="305"/>
      <c r="F249" s="117" t="s">
        <v>1646</v>
      </c>
      <c r="G249" s="116">
        <v>10</v>
      </c>
      <c r="H249" s="159"/>
      <c r="I249" s="108">
        <f t="shared" si="292"/>
        <v>0</v>
      </c>
      <c r="J249" s="108">
        <f t="shared" si="293"/>
        <v>0</v>
      </c>
      <c r="K249" s="108">
        <f t="shared" si="294"/>
        <v>0</v>
      </c>
      <c r="L249" s="111"/>
      <c r="Z249" s="100">
        <f t="shared" si="295"/>
        <v>0</v>
      </c>
      <c r="AB249" s="100">
        <f t="shared" si="296"/>
        <v>0</v>
      </c>
      <c r="AC249" s="100">
        <f t="shared" si="297"/>
        <v>0</v>
      </c>
      <c r="AD249" s="100">
        <f t="shared" si="298"/>
        <v>0</v>
      </c>
      <c r="AE249" s="100">
        <f t="shared" si="299"/>
        <v>0</v>
      </c>
      <c r="AF249" s="100">
        <f t="shared" si="300"/>
        <v>0</v>
      </c>
      <c r="AG249" s="100">
        <f t="shared" si="301"/>
        <v>0</v>
      </c>
      <c r="AH249" s="100">
        <f t="shared" si="302"/>
        <v>0</v>
      </c>
      <c r="AI249" s="109"/>
      <c r="AJ249" s="108">
        <f t="shared" si="303"/>
        <v>0</v>
      </c>
      <c r="AK249" s="108">
        <f t="shared" si="304"/>
        <v>0</v>
      </c>
      <c r="AL249" s="108">
        <f t="shared" si="305"/>
        <v>0</v>
      </c>
      <c r="AN249" s="100">
        <v>15</v>
      </c>
      <c r="AO249" s="100">
        <f t="shared" si="306"/>
        <v>0</v>
      </c>
      <c r="AP249" s="100">
        <f t="shared" si="307"/>
        <v>0</v>
      </c>
      <c r="AQ249" s="111" t="s">
        <v>13</v>
      </c>
      <c r="AV249" s="100">
        <f t="shared" si="308"/>
        <v>0</v>
      </c>
      <c r="AW249" s="100">
        <f t="shared" si="309"/>
        <v>0</v>
      </c>
      <c r="AX249" s="100">
        <f t="shared" si="310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311"/>
        <v>0</v>
      </c>
      <c r="BD249" s="100">
        <f t="shared" si="312"/>
        <v>0</v>
      </c>
      <c r="BE249" s="100">
        <v>0</v>
      </c>
      <c r="BF249" s="100">
        <f>249</f>
        <v>249</v>
      </c>
      <c r="BH249" s="108">
        <f t="shared" si="313"/>
        <v>0</v>
      </c>
      <c r="BI249" s="108">
        <f t="shared" si="314"/>
        <v>0</v>
      </c>
      <c r="BJ249" s="108">
        <f t="shared" si="315"/>
        <v>0</v>
      </c>
    </row>
    <row r="250" spans="1:62" x14ac:dyDescent="0.2">
      <c r="A250" s="117" t="s">
        <v>212</v>
      </c>
      <c r="B250" s="117" t="s">
        <v>4089</v>
      </c>
      <c r="C250" s="304" t="s">
        <v>1302</v>
      </c>
      <c r="D250" s="305"/>
      <c r="E250" s="305"/>
      <c r="F250" s="117" t="s">
        <v>1644</v>
      </c>
      <c r="G250" s="116">
        <v>1</v>
      </c>
      <c r="H250" s="159"/>
      <c r="I250" s="108">
        <f t="shared" si="292"/>
        <v>0</v>
      </c>
      <c r="J250" s="108">
        <f t="shared" si="293"/>
        <v>0</v>
      </c>
      <c r="K250" s="108">
        <f t="shared" si="294"/>
        <v>0</v>
      </c>
      <c r="L250" s="111"/>
      <c r="Z250" s="100">
        <f t="shared" si="295"/>
        <v>0</v>
      </c>
      <c r="AB250" s="100">
        <f t="shared" si="296"/>
        <v>0</v>
      </c>
      <c r="AC250" s="100">
        <f t="shared" si="297"/>
        <v>0</v>
      </c>
      <c r="AD250" s="100">
        <f t="shared" si="298"/>
        <v>0</v>
      </c>
      <c r="AE250" s="100">
        <f t="shared" si="299"/>
        <v>0</v>
      </c>
      <c r="AF250" s="100">
        <f t="shared" si="300"/>
        <v>0</v>
      </c>
      <c r="AG250" s="100">
        <f t="shared" si="301"/>
        <v>0</v>
      </c>
      <c r="AH250" s="100">
        <f t="shared" si="302"/>
        <v>0</v>
      </c>
      <c r="AI250" s="109"/>
      <c r="AJ250" s="108">
        <f t="shared" si="303"/>
        <v>0</v>
      </c>
      <c r="AK250" s="108">
        <f t="shared" si="304"/>
        <v>0</v>
      </c>
      <c r="AL250" s="108">
        <f t="shared" si="305"/>
        <v>0</v>
      </c>
      <c r="AN250" s="100">
        <v>15</v>
      </c>
      <c r="AO250" s="100">
        <f t="shared" si="306"/>
        <v>0</v>
      </c>
      <c r="AP250" s="100">
        <f t="shared" si="307"/>
        <v>0</v>
      </c>
      <c r="AQ250" s="111" t="s">
        <v>13</v>
      </c>
      <c r="AV250" s="100">
        <f t="shared" si="308"/>
        <v>0</v>
      </c>
      <c r="AW250" s="100">
        <f t="shared" si="309"/>
        <v>0</v>
      </c>
      <c r="AX250" s="100">
        <f t="shared" si="310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311"/>
        <v>0</v>
      </c>
      <c r="BD250" s="100">
        <f t="shared" si="312"/>
        <v>0</v>
      </c>
      <c r="BE250" s="100">
        <v>0</v>
      </c>
      <c r="BF250" s="100">
        <f>250</f>
        <v>250</v>
      </c>
      <c r="BH250" s="108">
        <f t="shared" si="313"/>
        <v>0</v>
      </c>
      <c r="BI250" s="108">
        <f t="shared" si="314"/>
        <v>0</v>
      </c>
      <c r="BJ250" s="108">
        <f t="shared" si="315"/>
        <v>0</v>
      </c>
    </row>
    <row r="251" spans="1:62" x14ac:dyDescent="0.2">
      <c r="A251" s="117" t="s">
        <v>213</v>
      </c>
      <c r="B251" s="117" t="s">
        <v>4088</v>
      </c>
      <c r="C251" s="304" t="s">
        <v>1303</v>
      </c>
      <c r="D251" s="305"/>
      <c r="E251" s="305"/>
      <c r="F251" s="117" t="s">
        <v>1644</v>
      </c>
      <c r="G251" s="116">
        <v>1</v>
      </c>
      <c r="H251" s="159"/>
      <c r="I251" s="108">
        <f t="shared" si="292"/>
        <v>0</v>
      </c>
      <c r="J251" s="108">
        <f t="shared" si="293"/>
        <v>0</v>
      </c>
      <c r="K251" s="108">
        <f t="shared" si="294"/>
        <v>0</v>
      </c>
      <c r="L251" s="111"/>
      <c r="Z251" s="100">
        <f t="shared" si="295"/>
        <v>0</v>
      </c>
      <c r="AB251" s="100">
        <f t="shared" si="296"/>
        <v>0</v>
      </c>
      <c r="AC251" s="100">
        <f t="shared" si="297"/>
        <v>0</v>
      </c>
      <c r="AD251" s="100">
        <f t="shared" si="298"/>
        <v>0</v>
      </c>
      <c r="AE251" s="100">
        <f t="shared" si="299"/>
        <v>0</v>
      </c>
      <c r="AF251" s="100">
        <f t="shared" si="300"/>
        <v>0</v>
      </c>
      <c r="AG251" s="100">
        <f t="shared" si="301"/>
        <v>0</v>
      </c>
      <c r="AH251" s="100">
        <f t="shared" si="302"/>
        <v>0</v>
      </c>
      <c r="AI251" s="109"/>
      <c r="AJ251" s="108">
        <f t="shared" si="303"/>
        <v>0</v>
      </c>
      <c r="AK251" s="108">
        <f t="shared" si="304"/>
        <v>0</v>
      </c>
      <c r="AL251" s="108">
        <f t="shared" si="305"/>
        <v>0</v>
      </c>
      <c r="AN251" s="100">
        <v>15</v>
      </c>
      <c r="AO251" s="100">
        <f t="shared" si="306"/>
        <v>0</v>
      </c>
      <c r="AP251" s="100">
        <f t="shared" si="307"/>
        <v>0</v>
      </c>
      <c r="AQ251" s="111" t="s">
        <v>13</v>
      </c>
      <c r="AV251" s="100">
        <f t="shared" si="308"/>
        <v>0</v>
      </c>
      <c r="AW251" s="100">
        <f t="shared" si="309"/>
        <v>0</v>
      </c>
      <c r="AX251" s="100">
        <f t="shared" si="310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311"/>
        <v>0</v>
      </c>
      <c r="BD251" s="100">
        <f t="shared" si="312"/>
        <v>0</v>
      </c>
      <c r="BE251" s="100">
        <v>0</v>
      </c>
      <c r="BF251" s="100">
        <f>251</f>
        <v>251</v>
      </c>
      <c r="BH251" s="108">
        <f t="shared" si="313"/>
        <v>0</v>
      </c>
      <c r="BI251" s="108">
        <f t="shared" si="314"/>
        <v>0</v>
      </c>
      <c r="BJ251" s="108">
        <f t="shared" si="315"/>
        <v>0</v>
      </c>
    </row>
    <row r="252" spans="1:62" x14ac:dyDescent="0.2">
      <c r="A252" s="117" t="s">
        <v>214</v>
      </c>
      <c r="B252" s="117" t="s">
        <v>4087</v>
      </c>
      <c r="C252" s="304" t="s">
        <v>1304</v>
      </c>
      <c r="D252" s="305"/>
      <c r="E252" s="305"/>
      <c r="F252" s="117" t="s">
        <v>1644</v>
      </c>
      <c r="G252" s="116">
        <v>1</v>
      </c>
      <c r="H252" s="159"/>
      <c r="I252" s="108">
        <f t="shared" si="292"/>
        <v>0</v>
      </c>
      <c r="J252" s="108">
        <f t="shared" si="293"/>
        <v>0</v>
      </c>
      <c r="K252" s="108">
        <f t="shared" si="294"/>
        <v>0</v>
      </c>
      <c r="L252" s="111"/>
      <c r="Z252" s="100">
        <f t="shared" si="295"/>
        <v>0</v>
      </c>
      <c r="AB252" s="100">
        <f t="shared" si="296"/>
        <v>0</v>
      </c>
      <c r="AC252" s="100">
        <f t="shared" si="297"/>
        <v>0</v>
      </c>
      <c r="AD252" s="100">
        <f t="shared" si="298"/>
        <v>0</v>
      </c>
      <c r="AE252" s="100">
        <f t="shared" si="299"/>
        <v>0</v>
      </c>
      <c r="AF252" s="100">
        <f t="shared" si="300"/>
        <v>0</v>
      </c>
      <c r="AG252" s="100">
        <f t="shared" si="301"/>
        <v>0</v>
      </c>
      <c r="AH252" s="100">
        <f t="shared" si="302"/>
        <v>0</v>
      </c>
      <c r="AI252" s="109"/>
      <c r="AJ252" s="108">
        <f t="shared" si="303"/>
        <v>0</v>
      </c>
      <c r="AK252" s="108">
        <f t="shared" si="304"/>
        <v>0</v>
      </c>
      <c r="AL252" s="108">
        <f t="shared" si="305"/>
        <v>0</v>
      </c>
      <c r="AN252" s="100">
        <v>15</v>
      </c>
      <c r="AO252" s="100">
        <f t="shared" si="306"/>
        <v>0</v>
      </c>
      <c r="AP252" s="100">
        <f t="shared" si="307"/>
        <v>0</v>
      </c>
      <c r="AQ252" s="111" t="s">
        <v>13</v>
      </c>
      <c r="AV252" s="100">
        <f t="shared" si="308"/>
        <v>0</v>
      </c>
      <c r="AW252" s="100">
        <f t="shared" si="309"/>
        <v>0</v>
      </c>
      <c r="AX252" s="100">
        <f t="shared" si="310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311"/>
        <v>0</v>
      </c>
      <c r="BD252" s="100">
        <f t="shared" si="312"/>
        <v>0</v>
      </c>
      <c r="BE252" s="100">
        <v>0</v>
      </c>
      <c r="BF252" s="100">
        <f>252</f>
        <v>252</v>
      </c>
      <c r="BH252" s="108">
        <f t="shared" si="313"/>
        <v>0</v>
      </c>
      <c r="BI252" s="108">
        <f t="shared" si="314"/>
        <v>0</v>
      </c>
      <c r="BJ252" s="108">
        <f t="shared" si="315"/>
        <v>0</v>
      </c>
    </row>
    <row r="253" spans="1:62" x14ac:dyDescent="0.2">
      <c r="A253" s="117" t="s">
        <v>215</v>
      </c>
      <c r="B253" s="117" t="s">
        <v>4086</v>
      </c>
      <c r="C253" s="304" t="s">
        <v>1305</v>
      </c>
      <c r="D253" s="305"/>
      <c r="E253" s="305"/>
      <c r="F253" s="117" t="s">
        <v>1644</v>
      </c>
      <c r="G253" s="116">
        <v>1</v>
      </c>
      <c r="H253" s="159"/>
      <c r="I253" s="108">
        <f t="shared" si="292"/>
        <v>0</v>
      </c>
      <c r="J253" s="108">
        <f t="shared" si="293"/>
        <v>0</v>
      </c>
      <c r="K253" s="108">
        <f t="shared" si="294"/>
        <v>0</v>
      </c>
      <c r="L253" s="111"/>
      <c r="Z253" s="100">
        <f t="shared" si="295"/>
        <v>0</v>
      </c>
      <c r="AB253" s="100">
        <f t="shared" si="296"/>
        <v>0</v>
      </c>
      <c r="AC253" s="100">
        <f t="shared" si="297"/>
        <v>0</v>
      </c>
      <c r="AD253" s="100">
        <f t="shared" si="298"/>
        <v>0</v>
      </c>
      <c r="AE253" s="100">
        <f t="shared" si="299"/>
        <v>0</v>
      </c>
      <c r="AF253" s="100">
        <f t="shared" si="300"/>
        <v>0</v>
      </c>
      <c r="AG253" s="100">
        <f t="shared" si="301"/>
        <v>0</v>
      </c>
      <c r="AH253" s="100">
        <f t="shared" si="302"/>
        <v>0</v>
      </c>
      <c r="AI253" s="109"/>
      <c r="AJ253" s="108">
        <f t="shared" si="303"/>
        <v>0</v>
      </c>
      <c r="AK253" s="108">
        <f t="shared" si="304"/>
        <v>0</v>
      </c>
      <c r="AL253" s="108">
        <f t="shared" si="305"/>
        <v>0</v>
      </c>
      <c r="AN253" s="100">
        <v>15</v>
      </c>
      <c r="AO253" s="100">
        <f t="shared" si="306"/>
        <v>0</v>
      </c>
      <c r="AP253" s="100">
        <f t="shared" si="307"/>
        <v>0</v>
      </c>
      <c r="AQ253" s="111" t="s">
        <v>13</v>
      </c>
      <c r="AV253" s="100">
        <f t="shared" si="308"/>
        <v>0</v>
      </c>
      <c r="AW253" s="100">
        <f t="shared" si="309"/>
        <v>0</v>
      </c>
      <c r="AX253" s="100">
        <f t="shared" si="310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311"/>
        <v>0</v>
      </c>
      <c r="BD253" s="100">
        <f t="shared" si="312"/>
        <v>0</v>
      </c>
      <c r="BE253" s="100">
        <v>0</v>
      </c>
      <c r="BF253" s="100">
        <f>253</f>
        <v>253</v>
      </c>
      <c r="BH253" s="108">
        <f t="shared" si="313"/>
        <v>0</v>
      </c>
      <c r="BI253" s="108">
        <f t="shared" si="314"/>
        <v>0</v>
      </c>
      <c r="BJ253" s="108">
        <f t="shared" si="315"/>
        <v>0</v>
      </c>
    </row>
    <row r="254" spans="1:62" x14ac:dyDescent="0.2">
      <c r="A254" s="117" t="s">
        <v>216</v>
      </c>
      <c r="B254" s="117" t="s">
        <v>4085</v>
      </c>
      <c r="C254" s="304" t="s">
        <v>1306</v>
      </c>
      <c r="D254" s="305"/>
      <c r="E254" s="305"/>
      <c r="F254" s="117" t="s">
        <v>1646</v>
      </c>
      <c r="G254" s="116">
        <v>15</v>
      </c>
      <c r="H254" s="159"/>
      <c r="I254" s="108">
        <f t="shared" si="292"/>
        <v>0</v>
      </c>
      <c r="J254" s="108">
        <f t="shared" si="293"/>
        <v>0</v>
      </c>
      <c r="K254" s="108">
        <f t="shared" si="294"/>
        <v>0</v>
      </c>
      <c r="L254" s="111"/>
      <c r="Z254" s="100">
        <f t="shared" si="295"/>
        <v>0</v>
      </c>
      <c r="AB254" s="100">
        <f t="shared" si="296"/>
        <v>0</v>
      </c>
      <c r="AC254" s="100">
        <f t="shared" si="297"/>
        <v>0</v>
      </c>
      <c r="AD254" s="100">
        <f t="shared" si="298"/>
        <v>0</v>
      </c>
      <c r="AE254" s="100">
        <f t="shared" si="299"/>
        <v>0</v>
      </c>
      <c r="AF254" s="100">
        <f t="shared" si="300"/>
        <v>0</v>
      </c>
      <c r="AG254" s="100">
        <f t="shared" si="301"/>
        <v>0</v>
      </c>
      <c r="AH254" s="100">
        <f t="shared" si="302"/>
        <v>0</v>
      </c>
      <c r="AI254" s="109"/>
      <c r="AJ254" s="108">
        <f t="shared" si="303"/>
        <v>0</v>
      </c>
      <c r="AK254" s="108">
        <f t="shared" si="304"/>
        <v>0</v>
      </c>
      <c r="AL254" s="108">
        <f t="shared" si="305"/>
        <v>0</v>
      </c>
      <c r="AN254" s="100">
        <v>15</v>
      </c>
      <c r="AO254" s="100">
        <f t="shared" si="306"/>
        <v>0</v>
      </c>
      <c r="AP254" s="100">
        <f t="shared" si="307"/>
        <v>0</v>
      </c>
      <c r="AQ254" s="111" t="s">
        <v>13</v>
      </c>
      <c r="AV254" s="100">
        <f t="shared" si="308"/>
        <v>0</v>
      </c>
      <c r="AW254" s="100">
        <f t="shared" si="309"/>
        <v>0</v>
      </c>
      <c r="AX254" s="100">
        <f t="shared" si="310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311"/>
        <v>0</v>
      </c>
      <c r="BD254" s="100">
        <f t="shared" si="312"/>
        <v>0</v>
      </c>
      <c r="BE254" s="100">
        <v>0</v>
      </c>
      <c r="BF254" s="100">
        <f>254</f>
        <v>254</v>
      </c>
      <c r="BH254" s="108">
        <f t="shared" si="313"/>
        <v>0</v>
      </c>
      <c r="BI254" s="108">
        <f t="shared" si="314"/>
        <v>0</v>
      </c>
      <c r="BJ254" s="108">
        <f t="shared" si="315"/>
        <v>0</v>
      </c>
    </row>
    <row r="255" spans="1:62" x14ac:dyDescent="0.2">
      <c r="A255" s="117" t="s">
        <v>217</v>
      </c>
      <c r="B255" s="117" t="s">
        <v>4084</v>
      </c>
      <c r="C255" s="304" t="s">
        <v>1286</v>
      </c>
      <c r="D255" s="305"/>
      <c r="E255" s="305"/>
      <c r="F255" s="117" t="s">
        <v>1644</v>
      </c>
      <c r="G255" s="116">
        <v>2</v>
      </c>
      <c r="H255" s="159"/>
      <c r="I255" s="108">
        <f t="shared" si="292"/>
        <v>0</v>
      </c>
      <c r="J255" s="108">
        <f t="shared" si="293"/>
        <v>0</v>
      </c>
      <c r="K255" s="108">
        <f t="shared" si="294"/>
        <v>0</v>
      </c>
      <c r="L255" s="111"/>
      <c r="Z255" s="100">
        <f t="shared" si="295"/>
        <v>0</v>
      </c>
      <c r="AB255" s="100">
        <f t="shared" si="296"/>
        <v>0</v>
      </c>
      <c r="AC255" s="100">
        <f t="shared" si="297"/>
        <v>0</v>
      </c>
      <c r="AD255" s="100">
        <f t="shared" si="298"/>
        <v>0</v>
      </c>
      <c r="AE255" s="100">
        <f t="shared" si="299"/>
        <v>0</v>
      </c>
      <c r="AF255" s="100">
        <f t="shared" si="300"/>
        <v>0</v>
      </c>
      <c r="AG255" s="100">
        <f t="shared" si="301"/>
        <v>0</v>
      </c>
      <c r="AH255" s="100">
        <f t="shared" si="302"/>
        <v>0</v>
      </c>
      <c r="AI255" s="109"/>
      <c r="AJ255" s="108">
        <f t="shared" si="303"/>
        <v>0</v>
      </c>
      <c r="AK255" s="108">
        <f t="shared" si="304"/>
        <v>0</v>
      </c>
      <c r="AL255" s="108">
        <f t="shared" si="305"/>
        <v>0</v>
      </c>
      <c r="AN255" s="100">
        <v>15</v>
      </c>
      <c r="AO255" s="100">
        <f t="shared" si="306"/>
        <v>0</v>
      </c>
      <c r="AP255" s="100">
        <f t="shared" si="307"/>
        <v>0</v>
      </c>
      <c r="AQ255" s="111" t="s">
        <v>13</v>
      </c>
      <c r="AV255" s="100">
        <f t="shared" si="308"/>
        <v>0</v>
      </c>
      <c r="AW255" s="100">
        <f t="shared" si="309"/>
        <v>0</v>
      </c>
      <c r="AX255" s="100">
        <f t="shared" si="310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311"/>
        <v>0</v>
      </c>
      <c r="BD255" s="100">
        <f t="shared" si="312"/>
        <v>0</v>
      </c>
      <c r="BE255" s="100">
        <v>0</v>
      </c>
      <c r="BF255" s="100">
        <f>255</f>
        <v>255</v>
      </c>
      <c r="BH255" s="108">
        <f t="shared" si="313"/>
        <v>0</v>
      </c>
      <c r="BI255" s="108">
        <f t="shared" si="314"/>
        <v>0</v>
      </c>
      <c r="BJ255" s="108">
        <f t="shared" si="315"/>
        <v>0</v>
      </c>
    </row>
    <row r="256" spans="1:62" x14ac:dyDescent="0.2">
      <c r="A256" s="117" t="s">
        <v>218</v>
      </c>
      <c r="B256" s="117" t="s">
        <v>4083</v>
      </c>
      <c r="C256" s="304" t="s">
        <v>1307</v>
      </c>
      <c r="D256" s="305"/>
      <c r="E256" s="305"/>
      <c r="F256" s="117" t="s">
        <v>1644</v>
      </c>
      <c r="G256" s="116">
        <v>1</v>
      </c>
      <c r="H256" s="159"/>
      <c r="I256" s="108">
        <f t="shared" si="292"/>
        <v>0</v>
      </c>
      <c r="J256" s="108">
        <f t="shared" si="293"/>
        <v>0</v>
      </c>
      <c r="K256" s="108">
        <f t="shared" si="294"/>
        <v>0</v>
      </c>
      <c r="L256" s="111"/>
      <c r="Z256" s="100">
        <f t="shared" si="295"/>
        <v>0</v>
      </c>
      <c r="AB256" s="100">
        <f t="shared" si="296"/>
        <v>0</v>
      </c>
      <c r="AC256" s="100">
        <f t="shared" si="297"/>
        <v>0</v>
      </c>
      <c r="AD256" s="100">
        <f t="shared" si="298"/>
        <v>0</v>
      </c>
      <c r="AE256" s="100">
        <f t="shared" si="299"/>
        <v>0</v>
      </c>
      <c r="AF256" s="100">
        <f t="shared" si="300"/>
        <v>0</v>
      </c>
      <c r="AG256" s="100">
        <f t="shared" si="301"/>
        <v>0</v>
      </c>
      <c r="AH256" s="100">
        <f t="shared" si="302"/>
        <v>0</v>
      </c>
      <c r="AI256" s="109"/>
      <c r="AJ256" s="108">
        <f t="shared" si="303"/>
        <v>0</v>
      </c>
      <c r="AK256" s="108">
        <f t="shared" si="304"/>
        <v>0</v>
      </c>
      <c r="AL256" s="108">
        <f t="shared" si="305"/>
        <v>0</v>
      </c>
      <c r="AN256" s="100">
        <v>15</v>
      </c>
      <c r="AO256" s="100">
        <f t="shared" si="306"/>
        <v>0</v>
      </c>
      <c r="AP256" s="100">
        <f t="shared" si="307"/>
        <v>0</v>
      </c>
      <c r="AQ256" s="111" t="s">
        <v>13</v>
      </c>
      <c r="AV256" s="100">
        <f t="shared" si="308"/>
        <v>0</v>
      </c>
      <c r="AW256" s="100">
        <f t="shared" si="309"/>
        <v>0</v>
      </c>
      <c r="AX256" s="100">
        <f t="shared" si="310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311"/>
        <v>0</v>
      </c>
      <c r="BD256" s="100">
        <f t="shared" si="312"/>
        <v>0</v>
      </c>
      <c r="BE256" s="100">
        <v>0</v>
      </c>
      <c r="BF256" s="100">
        <f>256</f>
        <v>256</v>
      </c>
      <c r="BH256" s="108">
        <f t="shared" si="313"/>
        <v>0</v>
      </c>
      <c r="BI256" s="108">
        <f t="shared" si="314"/>
        <v>0</v>
      </c>
      <c r="BJ256" s="108">
        <f t="shared" si="315"/>
        <v>0</v>
      </c>
    </row>
    <row r="257" spans="1:62" x14ac:dyDescent="0.2">
      <c r="A257" s="117" t="s">
        <v>219</v>
      </c>
      <c r="B257" s="117" t="s">
        <v>4082</v>
      </c>
      <c r="C257" s="304" t="s">
        <v>1308</v>
      </c>
      <c r="D257" s="305"/>
      <c r="E257" s="305"/>
      <c r="F257" s="117" t="s">
        <v>1644</v>
      </c>
      <c r="G257" s="116">
        <v>1</v>
      </c>
      <c r="H257" s="159"/>
      <c r="I257" s="108">
        <f t="shared" si="292"/>
        <v>0</v>
      </c>
      <c r="J257" s="108">
        <f t="shared" si="293"/>
        <v>0</v>
      </c>
      <c r="K257" s="108">
        <f t="shared" si="294"/>
        <v>0</v>
      </c>
      <c r="L257" s="111"/>
      <c r="Z257" s="100">
        <f t="shared" si="295"/>
        <v>0</v>
      </c>
      <c r="AB257" s="100">
        <f t="shared" si="296"/>
        <v>0</v>
      </c>
      <c r="AC257" s="100">
        <f t="shared" si="297"/>
        <v>0</v>
      </c>
      <c r="AD257" s="100">
        <f t="shared" si="298"/>
        <v>0</v>
      </c>
      <c r="AE257" s="100">
        <f t="shared" si="299"/>
        <v>0</v>
      </c>
      <c r="AF257" s="100">
        <f t="shared" si="300"/>
        <v>0</v>
      </c>
      <c r="AG257" s="100">
        <f t="shared" si="301"/>
        <v>0</v>
      </c>
      <c r="AH257" s="100">
        <f t="shared" si="302"/>
        <v>0</v>
      </c>
      <c r="AI257" s="109"/>
      <c r="AJ257" s="108">
        <f t="shared" si="303"/>
        <v>0</v>
      </c>
      <c r="AK257" s="108">
        <f t="shared" si="304"/>
        <v>0</v>
      </c>
      <c r="AL257" s="108">
        <f t="shared" si="305"/>
        <v>0</v>
      </c>
      <c r="AN257" s="100">
        <v>15</v>
      </c>
      <c r="AO257" s="100">
        <f t="shared" si="306"/>
        <v>0</v>
      </c>
      <c r="AP257" s="100">
        <f t="shared" si="307"/>
        <v>0</v>
      </c>
      <c r="AQ257" s="111" t="s">
        <v>13</v>
      </c>
      <c r="AV257" s="100">
        <f t="shared" si="308"/>
        <v>0</v>
      </c>
      <c r="AW257" s="100">
        <f t="shared" si="309"/>
        <v>0</v>
      </c>
      <c r="AX257" s="100">
        <f t="shared" si="310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311"/>
        <v>0</v>
      </c>
      <c r="BD257" s="100">
        <f t="shared" si="312"/>
        <v>0</v>
      </c>
      <c r="BE257" s="100">
        <v>0</v>
      </c>
      <c r="BF257" s="100">
        <f>257</f>
        <v>257</v>
      </c>
      <c r="BH257" s="108">
        <f t="shared" si="313"/>
        <v>0</v>
      </c>
      <c r="BI257" s="108">
        <f t="shared" si="314"/>
        <v>0</v>
      </c>
      <c r="BJ257" s="108">
        <f t="shared" si="315"/>
        <v>0</v>
      </c>
    </row>
    <row r="258" spans="1:62" x14ac:dyDescent="0.2">
      <c r="A258" s="117" t="s">
        <v>220</v>
      </c>
      <c r="B258" s="117" t="s">
        <v>4081</v>
      </c>
      <c r="C258" s="304" t="s">
        <v>1309</v>
      </c>
      <c r="D258" s="305"/>
      <c r="E258" s="305"/>
      <c r="F258" s="117" t="s">
        <v>1644</v>
      </c>
      <c r="G258" s="116">
        <v>1</v>
      </c>
      <c r="H258" s="159"/>
      <c r="I258" s="108">
        <f t="shared" si="292"/>
        <v>0</v>
      </c>
      <c r="J258" s="108">
        <f t="shared" si="293"/>
        <v>0</v>
      </c>
      <c r="K258" s="108">
        <f t="shared" si="294"/>
        <v>0</v>
      </c>
      <c r="L258" s="111"/>
      <c r="Z258" s="100">
        <f t="shared" si="295"/>
        <v>0</v>
      </c>
      <c r="AB258" s="100">
        <f t="shared" si="296"/>
        <v>0</v>
      </c>
      <c r="AC258" s="100">
        <f t="shared" si="297"/>
        <v>0</v>
      </c>
      <c r="AD258" s="100">
        <f t="shared" si="298"/>
        <v>0</v>
      </c>
      <c r="AE258" s="100">
        <f t="shared" si="299"/>
        <v>0</v>
      </c>
      <c r="AF258" s="100">
        <f t="shared" si="300"/>
        <v>0</v>
      </c>
      <c r="AG258" s="100">
        <f t="shared" si="301"/>
        <v>0</v>
      </c>
      <c r="AH258" s="100">
        <f t="shared" si="302"/>
        <v>0</v>
      </c>
      <c r="AI258" s="109"/>
      <c r="AJ258" s="108">
        <f t="shared" si="303"/>
        <v>0</v>
      </c>
      <c r="AK258" s="108">
        <f t="shared" si="304"/>
        <v>0</v>
      </c>
      <c r="AL258" s="108">
        <f t="shared" si="305"/>
        <v>0</v>
      </c>
      <c r="AN258" s="100">
        <v>15</v>
      </c>
      <c r="AO258" s="100">
        <f t="shared" si="306"/>
        <v>0</v>
      </c>
      <c r="AP258" s="100">
        <f t="shared" si="307"/>
        <v>0</v>
      </c>
      <c r="AQ258" s="111" t="s">
        <v>13</v>
      </c>
      <c r="AV258" s="100">
        <f t="shared" si="308"/>
        <v>0</v>
      </c>
      <c r="AW258" s="100">
        <f t="shared" si="309"/>
        <v>0</v>
      </c>
      <c r="AX258" s="100">
        <f t="shared" si="310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311"/>
        <v>0</v>
      </c>
      <c r="BD258" s="100">
        <f t="shared" si="312"/>
        <v>0</v>
      </c>
      <c r="BE258" s="100">
        <v>0</v>
      </c>
      <c r="BF258" s="100">
        <f>258</f>
        <v>258</v>
      </c>
      <c r="BH258" s="108">
        <f t="shared" si="313"/>
        <v>0</v>
      </c>
      <c r="BI258" s="108">
        <f t="shared" si="314"/>
        <v>0</v>
      </c>
      <c r="BJ258" s="108">
        <f t="shared" si="315"/>
        <v>0</v>
      </c>
    </row>
    <row r="259" spans="1:62" x14ac:dyDescent="0.2">
      <c r="A259" s="117" t="s">
        <v>221</v>
      </c>
      <c r="B259" s="117" t="s">
        <v>4080</v>
      </c>
      <c r="C259" s="304" t="s">
        <v>1310</v>
      </c>
      <c r="D259" s="305"/>
      <c r="E259" s="305"/>
      <c r="F259" s="117" t="s">
        <v>1644</v>
      </c>
      <c r="G259" s="116">
        <v>1</v>
      </c>
      <c r="H259" s="159"/>
      <c r="I259" s="108">
        <f t="shared" si="292"/>
        <v>0</v>
      </c>
      <c r="J259" s="108">
        <f t="shared" si="293"/>
        <v>0</v>
      </c>
      <c r="K259" s="108">
        <f t="shared" si="294"/>
        <v>0</v>
      </c>
      <c r="L259" s="111"/>
      <c r="Z259" s="100">
        <f t="shared" si="295"/>
        <v>0</v>
      </c>
      <c r="AB259" s="100">
        <f t="shared" si="296"/>
        <v>0</v>
      </c>
      <c r="AC259" s="100">
        <f t="shared" si="297"/>
        <v>0</v>
      </c>
      <c r="AD259" s="100">
        <f t="shared" si="298"/>
        <v>0</v>
      </c>
      <c r="AE259" s="100">
        <f t="shared" si="299"/>
        <v>0</v>
      </c>
      <c r="AF259" s="100">
        <f t="shared" si="300"/>
        <v>0</v>
      </c>
      <c r="AG259" s="100">
        <f t="shared" si="301"/>
        <v>0</v>
      </c>
      <c r="AH259" s="100">
        <f t="shared" si="302"/>
        <v>0</v>
      </c>
      <c r="AI259" s="109"/>
      <c r="AJ259" s="108">
        <f t="shared" si="303"/>
        <v>0</v>
      </c>
      <c r="AK259" s="108">
        <f t="shared" si="304"/>
        <v>0</v>
      </c>
      <c r="AL259" s="108">
        <f t="shared" si="305"/>
        <v>0</v>
      </c>
      <c r="AN259" s="100">
        <v>15</v>
      </c>
      <c r="AO259" s="100">
        <f t="shared" si="306"/>
        <v>0</v>
      </c>
      <c r="AP259" s="100">
        <f t="shared" si="307"/>
        <v>0</v>
      </c>
      <c r="AQ259" s="111" t="s">
        <v>13</v>
      </c>
      <c r="AV259" s="100">
        <f t="shared" si="308"/>
        <v>0</v>
      </c>
      <c r="AW259" s="100">
        <f t="shared" si="309"/>
        <v>0</v>
      </c>
      <c r="AX259" s="100">
        <f t="shared" si="310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311"/>
        <v>0</v>
      </c>
      <c r="BD259" s="100">
        <f t="shared" si="312"/>
        <v>0</v>
      </c>
      <c r="BE259" s="100">
        <v>0</v>
      </c>
      <c r="BF259" s="100">
        <f>259</f>
        <v>259</v>
      </c>
      <c r="BH259" s="108">
        <f t="shared" si="313"/>
        <v>0</v>
      </c>
      <c r="BI259" s="108">
        <f t="shared" si="314"/>
        <v>0</v>
      </c>
      <c r="BJ259" s="108">
        <f t="shared" si="315"/>
        <v>0</v>
      </c>
    </row>
    <row r="260" spans="1:62" x14ac:dyDescent="0.2">
      <c r="A260" s="117" t="s">
        <v>222</v>
      </c>
      <c r="B260" s="117" t="s">
        <v>4079</v>
      </c>
      <c r="C260" s="304" t="s">
        <v>1311</v>
      </c>
      <c r="D260" s="305"/>
      <c r="E260" s="305"/>
      <c r="F260" s="117" t="s">
        <v>1644</v>
      </c>
      <c r="G260" s="116">
        <v>1</v>
      </c>
      <c r="H260" s="159"/>
      <c r="I260" s="108">
        <f t="shared" si="292"/>
        <v>0</v>
      </c>
      <c r="J260" s="108">
        <f t="shared" si="293"/>
        <v>0</v>
      </c>
      <c r="K260" s="108">
        <f t="shared" si="294"/>
        <v>0</v>
      </c>
      <c r="L260" s="111"/>
      <c r="Z260" s="100">
        <f t="shared" si="295"/>
        <v>0</v>
      </c>
      <c r="AB260" s="100">
        <f t="shared" si="296"/>
        <v>0</v>
      </c>
      <c r="AC260" s="100">
        <f t="shared" si="297"/>
        <v>0</v>
      </c>
      <c r="AD260" s="100">
        <f t="shared" si="298"/>
        <v>0</v>
      </c>
      <c r="AE260" s="100">
        <f t="shared" si="299"/>
        <v>0</v>
      </c>
      <c r="AF260" s="100">
        <f t="shared" si="300"/>
        <v>0</v>
      </c>
      <c r="AG260" s="100">
        <f t="shared" si="301"/>
        <v>0</v>
      </c>
      <c r="AH260" s="100">
        <f t="shared" si="302"/>
        <v>0</v>
      </c>
      <c r="AI260" s="109"/>
      <c r="AJ260" s="108">
        <f t="shared" si="303"/>
        <v>0</v>
      </c>
      <c r="AK260" s="108">
        <f t="shared" si="304"/>
        <v>0</v>
      </c>
      <c r="AL260" s="108">
        <f t="shared" si="305"/>
        <v>0</v>
      </c>
      <c r="AN260" s="100">
        <v>15</v>
      </c>
      <c r="AO260" s="100">
        <f t="shared" si="306"/>
        <v>0</v>
      </c>
      <c r="AP260" s="100">
        <f t="shared" si="307"/>
        <v>0</v>
      </c>
      <c r="AQ260" s="111" t="s">
        <v>13</v>
      </c>
      <c r="AV260" s="100">
        <f t="shared" si="308"/>
        <v>0</v>
      </c>
      <c r="AW260" s="100">
        <f t="shared" si="309"/>
        <v>0</v>
      </c>
      <c r="AX260" s="100">
        <f t="shared" si="310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311"/>
        <v>0</v>
      </c>
      <c r="BD260" s="100">
        <f t="shared" si="312"/>
        <v>0</v>
      </c>
      <c r="BE260" s="100">
        <v>0</v>
      </c>
      <c r="BF260" s="100">
        <f>260</f>
        <v>260</v>
      </c>
      <c r="BH260" s="108">
        <f t="shared" si="313"/>
        <v>0</v>
      </c>
      <c r="BI260" s="108">
        <f t="shared" si="314"/>
        <v>0</v>
      </c>
      <c r="BJ260" s="108">
        <f t="shared" si="315"/>
        <v>0</v>
      </c>
    </row>
    <row r="261" spans="1:62" x14ac:dyDescent="0.2">
      <c r="A261" s="117" t="s">
        <v>223</v>
      </c>
      <c r="B261" s="117" t="s">
        <v>4078</v>
      </c>
      <c r="C261" s="304" t="s">
        <v>1312</v>
      </c>
      <c r="D261" s="305"/>
      <c r="E261" s="305"/>
      <c r="F261" s="117" t="s">
        <v>1644</v>
      </c>
      <c r="G261" s="116">
        <v>2</v>
      </c>
      <c r="H261" s="159"/>
      <c r="I261" s="108">
        <f t="shared" si="292"/>
        <v>0</v>
      </c>
      <c r="J261" s="108">
        <f t="shared" si="293"/>
        <v>0</v>
      </c>
      <c r="K261" s="108">
        <f t="shared" si="294"/>
        <v>0</v>
      </c>
      <c r="L261" s="111"/>
      <c r="Z261" s="100">
        <f t="shared" si="295"/>
        <v>0</v>
      </c>
      <c r="AB261" s="100">
        <f t="shared" si="296"/>
        <v>0</v>
      </c>
      <c r="AC261" s="100">
        <f t="shared" si="297"/>
        <v>0</v>
      </c>
      <c r="AD261" s="100">
        <f t="shared" si="298"/>
        <v>0</v>
      </c>
      <c r="AE261" s="100">
        <f t="shared" si="299"/>
        <v>0</v>
      </c>
      <c r="AF261" s="100">
        <f t="shared" si="300"/>
        <v>0</v>
      </c>
      <c r="AG261" s="100">
        <f t="shared" si="301"/>
        <v>0</v>
      </c>
      <c r="AH261" s="100">
        <f t="shared" si="302"/>
        <v>0</v>
      </c>
      <c r="AI261" s="109"/>
      <c r="AJ261" s="108">
        <f t="shared" si="303"/>
        <v>0</v>
      </c>
      <c r="AK261" s="108">
        <f t="shared" si="304"/>
        <v>0</v>
      </c>
      <c r="AL261" s="108">
        <f t="shared" si="305"/>
        <v>0</v>
      </c>
      <c r="AN261" s="100">
        <v>15</v>
      </c>
      <c r="AO261" s="100">
        <f t="shared" si="306"/>
        <v>0</v>
      </c>
      <c r="AP261" s="100">
        <f t="shared" si="307"/>
        <v>0</v>
      </c>
      <c r="AQ261" s="111" t="s">
        <v>13</v>
      </c>
      <c r="AV261" s="100">
        <f t="shared" si="308"/>
        <v>0</v>
      </c>
      <c r="AW261" s="100">
        <f t="shared" si="309"/>
        <v>0</v>
      </c>
      <c r="AX261" s="100">
        <f t="shared" si="310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311"/>
        <v>0</v>
      </c>
      <c r="BD261" s="100">
        <f t="shared" si="312"/>
        <v>0</v>
      </c>
      <c r="BE261" s="100">
        <v>0</v>
      </c>
      <c r="BF261" s="100">
        <f>261</f>
        <v>261</v>
      </c>
      <c r="BH261" s="108">
        <f t="shared" si="313"/>
        <v>0</v>
      </c>
      <c r="BI261" s="108">
        <f t="shared" si="314"/>
        <v>0</v>
      </c>
      <c r="BJ261" s="108">
        <f t="shared" si="315"/>
        <v>0</v>
      </c>
    </row>
    <row r="262" spans="1:62" x14ac:dyDescent="0.2">
      <c r="A262" s="117" t="s">
        <v>224</v>
      </c>
      <c r="B262" s="117" t="s">
        <v>4077</v>
      </c>
      <c r="C262" s="304" t="s">
        <v>1313</v>
      </c>
      <c r="D262" s="305"/>
      <c r="E262" s="305"/>
      <c r="F262" s="117" t="s">
        <v>1644</v>
      </c>
      <c r="G262" s="116">
        <v>2</v>
      </c>
      <c r="H262" s="159"/>
      <c r="I262" s="108">
        <f t="shared" si="292"/>
        <v>0</v>
      </c>
      <c r="J262" s="108">
        <f t="shared" si="293"/>
        <v>0</v>
      </c>
      <c r="K262" s="108">
        <f t="shared" si="294"/>
        <v>0</v>
      </c>
      <c r="L262" s="111"/>
      <c r="Z262" s="100">
        <f t="shared" si="295"/>
        <v>0</v>
      </c>
      <c r="AB262" s="100">
        <f t="shared" si="296"/>
        <v>0</v>
      </c>
      <c r="AC262" s="100">
        <f t="shared" si="297"/>
        <v>0</v>
      </c>
      <c r="AD262" s="100">
        <f t="shared" si="298"/>
        <v>0</v>
      </c>
      <c r="AE262" s="100">
        <f t="shared" si="299"/>
        <v>0</v>
      </c>
      <c r="AF262" s="100">
        <f t="shared" si="300"/>
        <v>0</v>
      </c>
      <c r="AG262" s="100">
        <f t="shared" si="301"/>
        <v>0</v>
      </c>
      <c r="AH262" s="100">
        <f t="shared" si="302"/>
        <v>0</v>
      </c>
      <c r="AI262" s="109"/>
      <c r="AJ262" s="108">
        <f t="shared" si="303"/>
        <v>0</v>
      </c>
      <c r="AK262" s="108">
        <f t="shared" si="304"/>
        <v>0</v>
      </c>
      <c r="AL262" s="108">
        <f t="shared" si="305"/>
        <v>0</v>
      </c>
      <c r="AN262" s="100">
        <v>15</v>
      </c>
      <c r="AO262" s="100">
        <f t="shared" si="306"/>
        <v>0</v>
      </c>
      <c r="AP262" s="100">
        <f t="shared" si="307"/>
        <v>0</v>
      </c>
      <c r="AQ262" s="111" t="s">
        <v>13</v>
      </c>
      <c r="AV262" s="100">
        <f t="shared" si="308"/>
        <v>0</v>
      </c>
      <c r="AW262" s="100">
        <f t="shared" si="309"/>
        <v>0</v>
      </c>
      <c r="AX262" s="100">
        <f t="shared" si="310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311"/>
        <v>0</v>
      </c>
      <c r="BD262" s="100">
        <f t="shared" si="312"/>
        <v>0</v>
      </c>
      <c r="BE262" s="100">
        <v>0</v>
      </c>
      <c r="BF262" s="100">
        <f>262</f>
        <v>262</v>
      </c>
      <c r="BH262" s="108">
        <f t="shared" si="313"/>
        <v>0</v>
      </c>
      <c r="BI262" s="108">
        <f t="shared" si="314"/>
        <v>0</v>
      </c>
      <c r="BJ262" s="108">
        <f t="shared" si="315"/>
        <v>0</v>
      </c>
    </row>
    <row r="263" spans="1:62" x14ac:dyDescent="0.2">
      <c r="A263" s="117" t="s">
        <v>225</v>
      </c>
      <c r="B263" s="117" t="s">
        <v>4076</v>
      </c>
      <c r="C263" s="304" t="s">
        <v>1314</v>
      </c>
      <c r="D263" s="305"/>
      <c r="E263" s="305"/>
      <c r="F263" s="117" t="s">
        <v>1644</v>
      </c>
      <c r="G263" s="116">
        <v>1</v>
      </c>
      <c r="H263" s="159"/>
      <c r="I263" s="108">
        <f t="shared" si="292"/>
        <v>0</v>
      </c>
      <c r="J263" s="108">
        <f t="shared" si="293"/>
        <v>0</v>
      </c>
      <c r="K263" s="108">
        <f t="shared" si="294"/>
        <v>0</v>
      </c>
      <c r="L263" s="111"/>
      <c r="Z263" s="100">
        <f t="shared" si="295"/>
        <v>0</v>
      </c>
      <c r="AB263" s="100">
        <f t="shared" si="296"/>
        <v>0</v>
      </c>
      <c r="AC263" s="100">
        <f t="shared" si="297"/>
        <v>0</v>
      </c>
      <c r="AD263" s="100">
        <f t="shared" si="298"/>
        <v>0</v>
      </c>
      <c r="AE263" s="100">
        <f t="shared" si="299"/>
        <v>0</v>
      </c>
      <c r="AF263" s="100">
        <f t="shared" si="300"/>
        <v>0</v>
      </c>
      <c r="AG263" s="100">
        <f t="shared" si="301"/>
        <v>0</v>
      </c>
      <c r="AH263" s="100">
        <f t="shared" si="302"/>
        <v>0</v>
      </c>
      <c r="AI263" s="109"/>
      <c r="AJ263" s="108">
        <f t="shared" si="303"/>
        <v>0</v>
      </c>
      <c r="AK263" s="108">
        <f t="shared" si="304"/>
        <v>0</v>
      </c>
      <c r="AL263" s="108">
        <f t="shared" si="305"/>
        <v>0</v>
      </c>
      <c r="AN263" s="100">
        <v>15</v>
      </c>
      <c r="AO263" s="100">
        <f t="shared" si="306"/>
        <v>0</v>
      </c>
      <c r="AP263" s="100">
        <f t="shared" si="307"/>
        <v>0</v>
      </c>
      <c r="AQ263" s="111" t="s">
        <v>13</v>
      </c>
      <c r="AV263" s="100">
        <f t="shared" si="308"/>
        <v>0</v>
      </c>
      <c r="AW263" s="100">
        <f t="shared" si="309"/>
        <v>0</v>
      </c>
      <c r="AX263" s="100">
        <f t="shared" si="310"/>
        <v>0</v>
      </c>
      <c r="AY263" s="110" t="s">
        <v>1709</v>
      </c>
      <c r="AZ263" s="110" t="s">
        <v>1733</v>
      </c>
      <c r="BA263" s="109" t="s">
        <v>1737</v>
      </c>
      <c r="BC263" s="100">
        <f t="shared" si="311"/>
        <v>0</v>
      </c>
      <c r="BD263" s="100">
        <f t="shared" si="312"/>
        <v>0</v>
      </c>
      <c r="BE263" s="100">
        <v>0</v>
      </c>
      <c r="BF263" s="100">
        <f>263</f>
        <v>263</v>
      </c>
      <c r="BH263" s="108">
        <f t="shared" si="313"/>
        <v>0</v>
      </c>
      <c r="BI263" s="108">
        <f t="shared" si="314"/>
        <v>0</v>
      </c>
      <c r="BJ263" s="108">
        <f t="shared" si="315"/>
        <v>0</v>
      </c>
    </row>
    <row r="264" spans="1:62" x14ac:dyDescent="0.2">
      <c r="A264" s="117" t="s">
        <v>226</v>
      </c>
      <c r="B264" s="117" t="s">
        <v>4075</v>
      </c>
      <c r="C264" s="304" t="s">
        <v>1315</v>
      </c>
      <c r="D264" s="305"/>
      <c r="E264" s="305"/>
      <c r="F264" s="117" t="s">
        <v>1644</v>
      </c>
      <c r="G264" s="116">
        <v>1</v>
      </c>
      <c r="H264" s="159"/>
      <c r="I264" s="108">
        <f t="shared" ref="I264:I295" si="316">G264*AO264</f>
        <v>0</v>
      </c>
      <c r="J264" s="108">
        <f t="shared" ref="J264:J295" si="317">G264*AP264</f>
        <v>0</v>
      </c>
      <c r="K264" s="108">
        <f t="shared" ref="K264:K295" si="318">G264*H264</f>
        <v>0</v>
      </c>
      <c r="L264" s="111"/>
      <c r="Z264" s="100">
        <f t="shared" ref="Z264:Z295" si="319">IF(AQ264="5",BJ264,0)</f>
        <v>0</v>
      </c>
      <c r="AB264" s="100">
        <f t="shared" ref="AB264:AB295" si="320">IF(AQ264="1",BH264,0)</f>
        <v>0</v>
      </c>
      <c r="AC264" s="100">
        <f t="shared" ref="AC264:AC295" si="321">IF(AQ264="1",BI264,0)</f>
        <v>0</v>
      </c>
      <c r="AD264" s="100">
        <f t="shared" ref="AD264:AD295" si="322">IF(AQ264="7",BH264,0)</f>
        <v>0</v>
      </c>
      <c r="AE264" s="100">
        <f t="shared" ref="AE264:AE295" si="323">IF(AQ264="7",BI264,0)</f>
        <v>0</v>
      </c>
      <c r="AF264" s="100">
        <f t="shared" ref="AF264:AF295" si="324">IF(AQ264="2",BH264,0)</f>
        <v>0</v>
      </c>
      <c r="AG264" s="100">
        <f t="shared" ref="AG264:AG295" si="325">IF(AQ264="2",BI264,0)</f>
        <v>0</v>
      </c>
      <c r="AH264" s="100">
        <f t="shared" ref="AH264:AH295" si="326">IF(AQ264="0",BJ264,0)</f>
        <v>0</v>
      </c>
      <c r="AI264" s="109"/>
      <c r="AJ264" s="108">
        <f t="shared" ref="AJ264:AJ295" si="327">IF(AN264=0,K264,0)</f>
        <v>0</v>
      </c>
      <c r="AK264" s="108">
        <f t="shared" ref="AK264:AK295" si="328">IF(AN264=15,K264,0)</f>
        <v>0</v>
      </c>
      <c r="AL264" s="108">
        <f t="shared" ref="AL264:AL295" si="329">IF(AN264=21,K264,0)</f>
        <v>0</v>
      </c>
      <c r="AN264" s="100">
        <v>15</v>
      </c>
      <c r="AO264" s="100">
        <f t="shared" ref="AO264:AO295" si="330">H264*0</f>
        <v>0</v>
      </c>
      <c r="AP264" s="100">
        <f t="shared" ref="AP264:AP295" si="331">H264*(1-0)</f>
        <v>0</v>
      </c>
      <c r="AQ264" s="111" t="s">
        <v>13</v>
      </c>
      <c r="AV264" s="100">
        <f t="shared" ref="AV264:AV295" si="332">AW264+AX264</f>
        <v>0</v>
      </c>
      <c r="AW264" s="100">
        <f t="shared" ref="AW264:AW295" si="333">G264*AO264</f>
        <v>0</v>
      </c>
      <c r="AX264" s="100">
        <f t="shared" ref="AX264:AX295" si="334">G264*AP264</f>
        <v>0</v>
      </c>
      <c r="AY264" s="110" t="s">
        <v>1709</v>
      </c>
      <c r="AZ264" s="110" t="s">
        <v>1733</v>
      </c>
      <c r="BA264" s="109" t="s">
        <v>1737</v>
      </c>
      <c r="BC264" s="100">
        <f t="shared" ref="BC264:BC295" si="335">AW264+AX264</f>
        <v>0</v>
      </c>
      <c r="BD264" s="100">
        <f t="shared" ref="BD264:BD295" si="336">H264/(100-BE264)*100</f>
        <v>0</v>
      </c>
      <c r="BE264" s="100">
        <v>0</v>
      </c>
      <c r="BF264" s="100">
        <f>264</f>
        <v>264</v>
      </c>
      <c r="BH264" s="108">
        <f t="shared" ref="BH264:BH295" si="337">G264*AO264</f>
        <v>0</v>
      </c>
      <c r="BI264" s="108">
        <f t="shared" ref="BI264:BI295" si="338">G264*AP264</f>
        <v>0</v>
      </c>
      <c r="BJ264" s="108">
        <f t="shared" ref="BJ264:BJ295" si="339">G264*H264</f>
        <v>0</v>
      </c>
    </row>
    <row r="265" spans="1:62" x14ac:dyDescent="0.2">
      <c r="A265" s="117" t="s">
        <v>227</v>
      </c>
      <c r="B265" s="117" t="s">
        <v>4074</v>
      </c>
      <c r="C265" s="304" t="s">
        <v>1316</v>
      </c>
      <c r="D265" s="305"/>
      <c r="E265" s="305"/>
      <c r="F265" s="117" t="s">
        <v>1644</v>
      </c>
      <c r="G265" s="116">
        <v>2</v>
      </c>
      <c r="H265" s="159"/>
      <c r="I265" s="108">
        <f t="shared" si="316"/>
        <v>0</v>
      </c>
      <c r="J265" s="108">
        <f t="shared" si="317"/>
        <v>0</v>
      </c>
      <c r="K265" s="108">
        <f t="shared" si="318"/>
        <v>0</v>
      </c>
      <c r="L265" s="111"/>
      <c r="Z265" s="100">
        <f t="shared" si="319"/>
        <v>0</v>
      </c>
      <c r="AB265" s="100">
        <f t="shared" si="320"/>
        <v>0</v>
      </c>
      <c r="AC265" s="100">
        <f t="shared" si="321"/>
        <v>0</v>
      </c>
      <c r="AD265" s="100">
        <f t="shared" si="322"/>
        <v>0</v>
      </c>
      <c r="AE265" s="100">
        <f t="shared" si="323"/>
        <v>0</v>
      </c>
      <c r="AF265" s="100">
        <f t="shared" si="324"/>
        <v>0</v>
      </c>
      <c r="AG265" s="100">
        <f t="shared" si="325"/>
        <v>0</v>
      </c>
      <c r="AH265" s="100">
        <f t="shared" si="326"/>
        <v>0</v>
      </c>
      <c r="AI265" s="109"/>
      <c r="AJ265" s="108">
        <f t="shared" si="327"/>
        <v>0</v>
      </c>
      <c r="AK265" s="108">
        <f t="shared" si="328"/>
        <v>0</v>
      </c>
      <c r="AL265" s="108">
        <f t="shared" si="329"/>
        <v>0</v>
      </c>
      <c r="AN265" s="100">
        <v>15</v>
      </c>
      <c r="AO265" s="100">
        <f t="shared" si="330"/>
        <v>0</v>
      </c>
      <c r="AP265" s="100">
        <f t="shared" si="331"/>
        <v>0</v>
      </c>
      <c r="AQ265" s="111" t="s">
        <v>13</v>
      </c>
      <c r="AV265" s="100">
        <f t="shared" si="332"/>
        <v>0</v>
      </c>
      <c r="AW265" s="100">
        <f t="shared" si="333"/>
        <v>0</v>
      </c>
      <c r="AX265" s="100">
        <f t="shared" si="334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335"/>
        <v>0</v>
      </c>
      <c r="BD265" s="100">
        <f t="shared" si="336"/>
        <v>0</v>
      </c>
      <c r="BE265" s="100">
        <v>0</v>
      </c>
      <c r="BF265" s="100">
        <f>265</f>
        <v>265</v>
      </c>
      <c r="BH265" s="108">
        <f t="shared" si="337"/>
        <v>0</v>
      </c>
      <c r="BI265" s="108">
        <f t="shared" si="338"/>
        <v>0</v>
      </c>
      <c r="BJ265" s="108">
        <f t="shared" si="339"/>
        <v>0</v>
      </c>
    </row>
    <row r="266" spans="1:62" x14ac:dyDescent="0.2">
      <c r="A266" s="117" t="s">
        <v>228</v>
      </c>
      <c r="B266" s="117" t="s">
        <v>4073</v>
      </c>
      <c r="C266" s="304" t="s">
        <v>1317</v>
      </c>
      <c r="D266" s="305"/>
      <c r="E266" s="305"/>
      <c r="F266" s="117" t="s">
        <v>1644</v>
      </c>
      <c r="G266" s="116">
        <v>1</v>
      </c>
      <c r="H266" s="159"/>
      <c r="I266" s="108">
        <f t="shared" si="316"/>
        <v>0</v>
      </c>
      <c r="J266" s="108">
        <f t="shared" si="317"/>
        <v>0</v>
      </c>
      <c r="K266" s="108">
        <f t="shared" si="318"/>
        <v>0</v>
      </c>
      <c r="L266" s="111"/>
      <c r="Z266" s="100">
        <f t="shared" si="319"/>
        <v>0</v>
      </c>
      <c r="AB266" s="100">
        <f t="shared" si="320"/>
        <v>0</v>
      </c>
      <c r="AC266" s="100">
        <f t="shared" si="321"/>
        <v>0</v>
      </c>
      <c r="AD266" s="100">
        <f t="shared" si="322"/>
        <v>0</v>
      </c>
      <c r="AE266" s="100">
        <f t="shared" si="323"/>
        <v>0</v>
      </c>
      <c r="AF266" s="100">
        <f t="shared" si="324"/>
        <v>0</v>
      </c>
      <c r="AG266" s="100">
        <f t="shared" si="325"/>
        <v>0</v>
      </c>
      <c r="AH266" s="100">
        <f t="shared" si="326"/>
        <v>0</v>
      </c>
      <c r="AI266" s="109"/>
      <c r="AJ266" s="108">
        <f t="shared" si="327"/>
        <v>0</v>
      </c>
      <c r="AK266" s="108">
        <f t="shared" si="328"/>
        <v>0</v>
      </c>
      <c r="AL266" s="108">
        <f t="shared" si="329"/>
        <v>0</v>
      </c>
      <c r="AN266" s="100">
        <v>15</v>
      </c>
      <c r="AO266" s="100">
        <f t="shared" si="330"/>
        <v>0</v>
      </c>
      <c r="AP266" s="100">
        <f t="shared" si="331"/>
        <v>0</v>
      </c>
      <c r="AQ266" s="111" t="s">
        <v>13</v>
      </c>
      <c r="AV266" s="100">
        <f t="shared" si="332"/>
        <v>0</v>
      </c>
      <c r="AW266" s="100">
        <f t="shared" si="333"/>
        <v>0</v>
      </c>
      <c r="AX266" s="100">
        <f t="shared" si="334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335"/>
        <v>0</v>
      </c>
      <c r="BD266" s="100">
        <f t="shared" si="336"/>
        <v>0</v>
      </c>
      <c r="BE266" s="100">
        <v>0</v>
      </c>
      <c r="BF266" s="100">
        <f>266</f>
        <v>266</v>
      </c>
      <c r="BH266" s="108">
        <f t="shared" si="337"/>
        <v>0</v>
      </c>
      <c r="BI266" s="108">
        <f t="shared" si="338"/>
        <v>0</v>
      </c>
      <c r="BJ266" s="108">
        <f t="shared" si="339"/>
        <v>0</v>
      </c>
    </row>
    <row r="267" spans="1:62" x14ac:dyDescent="0.2">
      <c r="A267" s="117" t="s">
        <v>229</v>
      </c>
      <c r="B267" s="117" t="s">
        <v>4072</v>
      </c>
      <c r="C267" s="304" t="s">
        <v>1318</v>
      </c>
      <c r="D267" s="305"/>
      <c r="E267" s="305"/>
      <c r="F267" s="117" t="s">
        <v>1644</v>
      </c>
      <c r="G267" s="116">
        <v>2</v>
      </c>
      <c r="H267" s="159"/>
      <c r="I267" s="108">
        <f t="shared" si="316"/>
        <v>0</v>
      </c>
      <c r="J267" s="108">
        <f t="shared" si="317"/>
        <v>0</v>
      </c>
      <c r="K267" s="108">
        <f t="shared" si="318"/>
        <v>0</v>
      </c>
      <c r="L267" s="111"/>
      <c r="Z267" s="100">
        <f t="shared" si="319"/>
        <v>0</v>
      </c>
      <c r="AB267" s="100">
        <f t="shared" si="320"/>
        <v>0</v>
      </c>
      <c r="AC267" s="100">
        <f t="shared" si="321"/>
        <v>0</v>
      </c>
      <c r="AD267" s="100">
        <f t="shared" si="322"/>
        <v>0</v>
      </c>
      <c r="AE267" s="100">
        <f t="shared" si="323"/>
        <v>0</v>
      </c>
      <c r="AF267" s="100">
        <f t="shared" si="324"/>
        <v>0</v>
      </c>
      <c r="AG267" s="100">
        <f t="shared" si="325"/>
        <v>0</v>
      </c>
      <c r="AH267" s="100">
        <f t="shared" si="326"/>
        <v>0</v>
      </c>
      <c r="AI267" s="109"/>
      <c r="AJ267" s="108">
        <f t="shared" si="327"/>
        <v>0</v>
      </c>
      <c r="AK267" s="108">
        <f t="shared" si="328"/>
        <v>0</v>
      </c>
      <c r="AL267" s="108">
        <f t="shared" si="329"/>
        <v>0</v>
      </c>
      <c r="AN267" s="100">
        <v>15</v>
      </c>
      <c r="AO267" s="100">
        <f t="shared" si="330"/>
        <v>0</v>
      </c>
      <c r="AP267" s="100">
        <f t="shared" si="331"/>
        <v>0</v>
      </c>
      <c r="AQ267" s="111" t="s">
        <v>13</v>
      </c>
      <c r="AV267" s="100">
        <f t="shared" si="332"/>
        <v>0</v>
      </c>
      <c r="AW267" s="100">
        <f t="shared" si="333"/>
        <v>0</v>
      </c>
      <c r="AX267" s="100">
        <f t="shared" si="334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335"/>
        <v>0</v>
      </c>
      <c r="BD267" s="100">
        <f t="shared" si="336"/>
        <v>0</v>
      </c>
      <c r="BE267" s="100">
        <v>0</v>
      </c>
      <c r="BF267" s="100">
        <f>267</f>
        <v>267</v>
      </c>
      <c r="BH267" s="108">
        <f t="shared" si="337"/>
        <v>0</v>
      </c>
      <c r="BI267" s="108">
        <f t="shared" si="338"/>
        <v>0</v>
      </c>
      <c r="BJ267" s="108">
        <f t="shared" si="339"/>
        <v>0</v>
      </c>
    </row>
    <row r="268" spans="1:62" x14ac:dyDescent="0.2">
      <c r="A268" s="117" t="s">
        <v>230</v>
      </c>
      <c r="B268" s="117" t="s">
        <v>4071</v>
      </c>
      <c r="C268" s="304" t="s">
        <v>1319</v>
      </c>
      <c r="D268" s="305"/>
      <c r="E268" s="305"/>
      <c r="F268" s="117" t="s">
        <v>1644</v>
      </c>
      <c r="G268" s="116">
        <v>6</v>
      </c>
      <c r="H268" s="159"/>
      <c r="I268" s="108">
        <f t="shared" si="316"/>
        <v>0</v>
      </c>
      <c r="J268" s="108">
        <f t="shared" si="317"/>
        <v>0</v>
      </c>
      <c r="K268" s="108">
        <f t="shared" si="318"/>
        <v>0</v>
      </c>
      <c r="L268" s="111"/>
      <c r="Z268" s="100">
        <f t="shared" si="319"/>
        <v>0</v>
      </c>
      <c r="AB268" s="100">
        <f t="shared" si="320"/>
        <v>0</v>
      </c>
      <c r="AC268" s="100">
        <f t="shared" si="321"/>
        <v>0</v>
      </c>
      <c r="AD268" s="100">
        <f t="shared" si="322"/>
        <v>0</v>
      </c>
      <c r="AE268" s="100">
        <f t="shared" si="323"/>
        <v>0</v>
      </c>
      <c r="AF268" s="100">
        <f t="shared" si="324"/>
        <v>0</v>
      </c>
      <c r="AG268" s="100">
        <f t="shared" si="325"/>
        <v>0</v>
      </c>
      <c r="AH268" s="100">
        <f t="shared" si="326"/>
        <v>0</v>
      </c>
      <c r="AI268" s="109"/>
      <c r="AJ268" s="108">
        <f t="shared" si="327"/>
        <v>0</v>
      </c>
      <c r="AK268" s="108">
        <f t="shared" si="328"/>
        <v>0</v>
      </c>
      <c r="AL268" s="108">
        <f t="shared" si="329"/>
        <v>0</v>
      </c>
      <c r="AN268" s="100">
        <v>15</v>
      </c>
      <c r="AO268" s="100">
        <f t="shared" si="330"/>
        <v>0</v>
      </c>
      <c r="AP268" s="100">
        <f t="shared" si="331"/>
        <v>0</v>
      </c>
      <c r="AQ268" s="111" t="s">
        <v>13</v>
      </c>
      <c r="AV268" s="100">
        <f t="shared" si="332"/>
        <v>0</v>
      </c>
      <c r="AW268" s="100">
        <f t="shared" si="333"/>
        <v>0</v>
      </c>
      <c r="AX268" s="100">
        <f t="shared" si="334"/>
        <v>0</v>
      </c>
      <c r="AY268" s="110" t="s">
        <v>1709</v>
      </c>
      <c r="AZ268" s="110" t="s">
        <v>1733</v>
      </c>
      <c r="BA268" s="109" t="s">
        <v>1737</v>
      </c>
      <c r="BC268" s="100">
        <f t="shared" si="335"/>
        <v>0</v>
      </c>
      <c r="BD268" s="100">
        <f t="shared" si="336"/>
        <v>0</v>
      </c>
      <c r="BE268" s="100">
        <v>0</v>
      </c>
      <c r="BF268" s="100">
        <f>268</f>
        <v>268</v>
      </c>
      <c r="BH268" s="108">
        <f t="shared" si="337"/>
        <v>0</v>
      </c>
      <c r="BI268" s="108">
        <f t="shared" si="338"/>
        <v>0</v>
      </c>
      <c r="BJ268" s="108">
        <f t="shared" si="339"/>
        <v>0</v>
      </c>
    </row>
    <row r="269" spans="1:62" x14ac:dyDescent="0.2">
      <c r="A269" s="117" t="s">
        <v>231</v>
      </c>
      <c r="B269" s="117" t="s">
        <v>4070</v>
      </c>
      <c r="C269" s="304" t="s">
        <v>1320</v>
      </c>
      <c r="D269" s="305"/>
      <c r="E269" s="305"/>
      <c r="F269" s="117" t="s">
        <v>1644</v>
      </c>
      <c r="G269" s="116">
        <v>14</v>
      </c>
      <c r="H269" s="159"/>
      <c r="I269" s="108">
        <f t="shared" si="316"/>
        <v>0</v>
      </c>
      <c r="J269" s="108">
        <f t="shared" si="317"/>
        <v>0</v>
      </c>
      <c r="K269" s="108">
        <f t="shared" si="318"/>
        <v>0</v>
      </c>
      <c r="L269" s="111"/>
      <c r="Z269" s="100">
        <f t="shared" si="319"/>
        <v>0</v>
      </c>
      <c r="AB269" s="100">
        <f t="shared" si="320"/>
        <v>0</v>
      </c>
      <c r="AC269" s="100">
        <f t="shared" si="321"/>
        <v>0</v>
      </c>
      <c r="AD269" s="100">
        <f t="shared" si="322"/>
        <v>0</v>
      </c>
      <c r="AE269" s="100">
        <f t="shared" si="323"/>
        <v>0</v>
      </c>
      <c r="AF269" s="100">
        <f t="shared" si="324"/>
        <v>0</v>
      </c>
      <c r="AG269" s="100">
        <f t="shared" si="325"/>
        <v>0</v>
      </c>
      <c r="AH269" s="100">
        <f t="shared" si="326"/>
        <v>0</v>
      </c>
      <c r="AI269" s="109"/>
      <c r="AJ269" s="108">
        <f t="shared" si="327"/>
        <v>0</v>
      </c>
      <c r="AK269" s="108">
        <f t="shared" si="328"/>
        <v>0</v>
      </c>
      <c r="AL269" s="108">
        <f t="shared" si="329"/>
        <v>0</v>
      </c>
      <c r="AN269" s="100">
        <v>15</v>
      </c>
      <c r="AO269" s="100">
        <f t="shared" si="330"/>
        <v>0</v>
      </c>
      <c r="AP269" s="100">
        <f t="shared" si="331"/>
        <v>0</v>
      </c>
      <c r="AQ269" s="111" t="s">
        <v>13</v>
      </c>
      <c r="AV269" s="100">
        <f t="shared" si="332"/>
        <v>0</v>
      </c>
      <c r="AW269" s="100">
        <f t="shared" si="333"/>
        <v>0</v>
      </c>
      <c r="AX269" s="100">
        <f t="shared" si="334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335"/>
        <v>0</v>
      </c>
      <c r="BD269" s="100">
        <f t="shared" si="336"/>
        <v>0</v>
      </c>
      <c r="BE269" s="100">
        <v>0</v>
      </c>
      <c r="BF269" s="100">
        <f>269</f>
        <v>269</v>
      </c>
      <c r="BH269" s="108">
        <f t="shared" si="337"/>
        <v>0</v>
      </c>
      <c r="BI269" s="108">
        <f t="shared" si="338"/>
        <v>0</v>
      </c>
      <c r="BJ269" s="108">
        <f t="shared" si="339"/>
        <v>0</v>
      </c>
    </row>
    <row r="270" spans="1:62" x14ac:dyDescent="0.2">
      <c r="A270" s="117" t="s">
        <v>232</v>
      </c>
      <c r="B270" s="117" t="s">
        <v>4069</v>
      </c>
      <c r="C270" s="304" t="s">
        <v>1321</v>
      </c>
      <c r="D270" s="305"/>
      <c r="E270" s="305"/>
      <c r="F270" s="117" t="s">
        <v>1644</v>
      </c>
      <c r="G270" s="116">
        <v>1</v>
      </c>
      <c r="H270" s="159"/>
      <c r="I270" s="108">
        <f t="shared" si="316"/>
        <v>0</v>
      </c>
      <c r="J270" s="108">
        <f t="shared" si="317"/>
        <v>0</v>
      </c>
      <c r="K270" s="108">
        <f t="shared" si="318"/>
        <v>0</v>
      </c>
      <c r="L270" s="111"/>
      <c r="Z270" s="100">
        <f t="shared" si="319"/>
        <v>0</v>
      </c>
      <c r="AB270" s="100">
        <f t="shared" si="320"/>
        <v>0</v>
      </c>
      <c r="AC270" s="100">
        <f t="shared" si="321"/>
        <v>0</v>
      </c>
      <c r="AD270" s="100">
        <f t="shared" si="322"/>
        <v>0</v>
      </c>
      <c r="AE270" s="100">
        <f t="shared" si="323"/>
        <v>0</v>
      </c>
      <c r="AF270" s="100">
        <f t="shared" si="324"/>
        <v>0</v>
      </c>
      <c r="AG270" s="100">
        <f t="shared" si="325"/>
        <v>0</v>
      </c>
      <c r="AH270" s="100">
        <f t="shared" si="326"/>
        <v>0</v>
      </c>
      <c r="AI270" s="109"/>
      <c r="AJ270" s="108">
        <f t="shared" si="327"/>
        <v>0</v>
      </c>
      <c r="AK270" s="108">
        <f t="shared" si="328"/>
        <v>0</v>
      </c>
      <c r="AL270" s="108">
        <f t="shared" si="329"/>
        <v>0</v>
      </c>
      <c r="AN270" s="100">
        <v>15</v>
      </c>
      <c r="AO270" s="100">
        <f t="shared" si="330"/>
        <v>0</v>
      </c>
      <c r="AP270" s="100">
        <f t="shared" si="331"/>
        <v>0</v>
      </c>
      <c r="AQ270" s="111" t="s">
        <v>13</v>
      </c>
      <c r="AV270" s="100">
        <f t="shared" si="332"/>
        <v>0</v>
      </c>
      <c r="AW270" s="100">
        <f t="shared" si="333"/>
        <v>0</v>
      </c>
      <c r="AX270" s="100">
        <f t="shared" si="334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335"/>
        <v>0</v>
      </c>
      <c r="BD270" s="100">
        <f t="shared" si="336"/>
        <v>0</v>
      </c>
      <c r="BE270" s="100">
        <v>0</v>
      </c>
      <c r="BF270" s="100">
        <f>270</f>
        <v>270</v>
      </c>
      <c r="BH270" s="108">
        <f t="shared" si="337"/>
        <v>0</v>
      </c>
      <c r="BI270" s="108">
        <f t="shared" si="338"/>
        <v>0</v>
      </c>
      <c r="BJ270" s="108">
        <f t="shared" si="339"/>
        <v>0</v>
      </c>
    </row>
    <row r="271" spans="1:62" x14ac:dyDescent="0.2">
      <c r="A271" s="117" t="s">
        <v>233</v>
      </c>
      <c r="B271" s="117" t="s">
        <v>4068</v>
      </c>
      <c r="C271" s="304" t="s">
        <v>1322</v>
      </c>
      <c r="D271" s="305"/>
      <c r="E271" s="305"/>
      <c r="F271" s="117" t="s">
        <v>1644</v>
      </c>
      <c r="G271" s="116">
        <v>2</v>
      </c>
      <c r="H271" s="159"/>
      <c r="I271" s="108">
        <f t="shared" si="316"/>
        <v>0</v>
      </c>
      <c r="J271" s="108">
        <f t="shared" si="317"/>
        <v>0</v>
      </c>
      <c r="K271" s="108">
        <f t="shared" si="318"/>
        <v>0</v>
      </c>
      <c r="L271" s="111"/>
      <c r="Z271" s="100">
        <f t="shared" si="319"/>
        <v>0</v>
      </c>
      <c r="AB271" s="100">
        <f t="shared" si="320"/>
        <v>0</v>
      </c>
      <c r="AC271" s="100">
        <f t="shared" si="321"/>
        <v>0</v>
      </c>
      <c r="AD271" s="100">
        <f t="shared" si="322"/>
        <v>0</v>
      </c>
      <c r="AE271" s="100">
        <f t="shared" si="323"/>
        <v>0</v>
      </c>
      <c r="AF271" s="100">
        <f t="shared" si="324"/>
        <v>0</v>
      </c>
      <c r="AG271" s="100">
        <f t="shared" si="325"/>
        <v>0</v>
      </c>
      <c r="AH271" s="100">
        <f t="shared" si="326"/>
        <v>0</v>
      </c>
      <c r="AI271" s="109"/>
      <c r="AJ271" s="108">
        <f t="shared" si="327"/>
        <v>0</v>
      </c>
      <c r="AK271" s="108">
        <f t="shared" si="328"/>
        <v>0</v>
      </c>
      <c r="AL271" s="108">
        <f t="shared" si="329"/>
        <v>0</v>
      </c>
      <c r="AN271" s="100">
        <v>15</v>
      </c>
      <c r="AO271" s="100">
        <f t="shared" si="330"/>
        <v>0</v>
      </c>
      <c r="AP271" s="100">
        <f t="shared" si="331"/>
        <v>0</v>
      </c>
      <c r="AQ271" s="111" t="s">
        <v>13</v>
      </c>
      <c r="AV271" s="100">
        <f t="shared" si="332"/>
        <v>0</v>
      </c>
      <c r="AW271" s="100">
        <f t="shared" si="333"/>
        <v>0</v>
      </c>
      <c r="AX271" s="100">
        <f t="shared" si="334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335"/>
        <v>0</v>
      </c>
      <c r="BD271" s="100">
        <f t="shared" si="336"/>
        <v>0</v>
      </c>
      <c r="BE271" s="100">
        <v>0</v>
      </c>
      <c r="BF271" s="100">
        <f>271</f>
        <v>271</v>
      </c>
      <c r="BH271" s="108">
        <f t="shared" si="337"/>
        <v>0</v>
      </c>
      <c r="BI271" s="108">
        <f t="shared" si="338"/>
        <v>0</v>
      </c>
      <c r="BJ271" s="108">
        <f t="shared" si="339"/>
        <v>0</v>
      </c>
    </row>
    <row r="272" spans="1:62" x14ac:dyDescent="0.2">
      <c r="A272" s="117" t="s">
        <v>234</v>
      </c>
      <c r="B272" s="117" t="s">
        <v>4067</v>
      </c>
      <c r="C272" s="304" t="s">
        <v>1323</v>
      </c>
      <c r="D272" s="305"/>
      <c r="E272" s="305"/>
      <c r="F272" s="117" t="s">
        <v>1644</v>
      </c>
      <c r="G272" s="116">
        <v>1</v>
      </c>
      <c r="H272" s="159"/>
      <c r="I272" s="108">
        <f t="shared" si="316"/>
        <v>0</v>
      </c>
      <c r="J272" s="108">
        <f t="shared" si="317"/>
        <v>0</v>
      </c>
      <c r="K272" s="108">
        <f t="shared" si="318"/>
        <v>0</v>
      </c>
      <c r="L272" s="111"/>
      <c r="Z272" s="100">
        <f t="shared" si="319"/>
        <v>0</v>
      </c>
      <c r="AB272" s="100">
        <f t="shared" si="320"/>
        <v>0</v>
      </c>
      <c r="AC272" s="100">
        <f t="shared" si="321"/>
        <v>0</v>
      </c>
      <c r="AD272" s="100">
        <f t="shared" si="322"/>
        <v>0</v>
      </c>
      <c r="AE272" s="100">
        <f t="shared" si="323"/>
        <v>0</v>
      </c>
      <c r="AF272" s="100">
        <f t="shared" si="324"/>
        <v>0</v>
      </c>
      <c r="AG272" s="100">
        <f t="shared" si="325"/>
        <v>0</v>
      </c>
      <c r="AH272" s="100">
        <f t="shared" si="326"/>
        <v>0</v>
      </c>
      <c r="AI272" s="109"/>
      <c r="AJ272" s="108">
        <f t="shared" si="327"/>
        <v>0</v>
      </c>
      <c r="AK272" s="108">
        <f t="shared" si="328"/>
        <v>0</v>
      </c>
      <c r="AL272" s="108">
        <f t="shared" si="329"/>
        <v>0</v>
      </c>
      <c r="AN272" s="100">
        <v>15</v>
      </c>
      <c r="AO272" s="100">
        <f t="shared" si="330"/>
        <v>0</v>
      </c>
      <c r="AP272" s="100">
        <f t="shared" si="331"/>
        <v>0</v>
      </c>
      <c r="AQ272" s="111" t="s">
        <v>13</v>
      </c>
      <c r="AV272" s="100">
        <f t="shared" si="332"/>
        <v>0</v>
      </c>
      <c r="AW272" s="100">
        <f t="shared" si="333"/>
        <v>0</v>
      </c>
      <c r="AX272" s="100">
        <f t="shared" si="334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335"/>
        <v>0</v>
      </c>
      <c r="BD272" s="100">
        <f t="shared" si="336"/>
        <v>0</v>
      </c>
      <c r="BE272" s="100">
        <v>0</v>
      </c>
      <c r="BF272" s="100">
        <f>272</f>
        <v>272</v>
      </c>
      <c r="BH272" s="108">
        <f t="shared" si="337"/>
        <v>0</v>
      </c>
      <c r="BI272" s="108">
        <f t="shared" si="338"/>
        <v>0</v>
      </c>
      <c r="BJ272" s="108">
        <f t="shared" si="339"/>
        <v>0</v>
      </c>
    </row>
    <row r="273" spans="1:62" x14ac:dyDescent="0.2">
      <c r="A273" s="117" t="s">
        <v>235</v>
      </c>
      <c r="B273" s="117" t="s">
        <v>4066</v>
      </c>
      <c r="C273" s="304" t="s">
        <v>1324</v>
      </c>
      <c r="D273" s="305"/>
      <c r="E273" s="305"/>
      <c r="F273" s="117" t="s">
        <v>1644</v>
      </c>
      <c r="G273" s="116">
        <v>2</v>
      </c>
      <c r="H273" s="159"/>
      <c r="I273" s="108">
        <f t="shared" si="316"/>
        <v>0</v>
      </c>
      <c r="J273" s="108">
        <f t="shared" si="317"/>
        <v>0</v>
      </c>
      <c r="K273" s="108">
        <f t="shared" si="318"/>
        <v>0</v>
      </c>
      <c r="L273" s="111"/>
      <c r="Z273" s="100">
        <f t="shared" si="319"/>
        <v>0</v>
      </c>
      <c r="AB273" s="100">
        <f t="shared" si="320"/>
        <v>0</v>
      </c>
      <c r="AC273" s="100">
        <f t="shared" si="321"/>
        <v>0</v>
      </c>
      <c r="AD273" s="100">
        <f t="shared" si="322"/>
        <v>0</v>
      </c>
      <c r="AE273" s="100">
        <f t="shared" si="323"/>
        <v>0</v>
      </c>
      <c r="AF273" s="100">
        <f t="shared" si="324"/>
        <v>0</v>
      </c>
      <c r="AG273" s="100">
        <f t="shared" si="325"/>
        <v>0</v>
      </c>
      <c r="AH273" s="100">
        <f t="shared" si="326"/>
        <v>0</v>
      </c>
      <c r="AI273" s="109"/>
      <c r="AJ273" s="108">
        <f t="shared" si="327"/>
        <v>0</v>
      </c>
      <c r="AK273" s="108">
        <f t="shared" si="328"/>
        <v>0</v>
      </c>
      <c r="AL273" s="108">
        <f t="shared" si="329"/>
        <v>0</v>
      </c>
      <c r="AN273" s="100">
        <v>15</v>
      </c>
      <c r="AO273" s="100">
        <f t="shared" si="330"/>
        <v>0</v>
      </c>
      <c r="AP273" s="100">
        <f t="shared" si="331"/>
        <v>0</v>
      </c>
      <c r="AQ273" s="111" t="s">
        <v>13</v>
      </c>
      <c r="AV273" s="100">
        <f t="shared" si="332"/>
        <v>0</v>
      </c>
      <c r="AW273" s="100">
        <f t="shared" si="333"/>
        <v>0</v>
      </c>
      <c r="AX273" s="100">
        <f t="shared" si="334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335"/>
        <v>0</v>
      </c>
      <c r="BD273" s="100">
        <f t="shared" si="336"/>
        <v>0</v>
      </c>
      <c r="BE273" s="100">
        <v>0</v>
      </c>
      <c r="BF273" s="100">
        <f>273</f>
        <v>273</v>
      </c>
      <c r="BH273" s="108">
        <f t="shared" si="337"/>
        <v>0</v>
      </c>
      <c r="BI273" s="108">
        <f t="shared" si="338"/>
        <v>0</v>
      </c>
      <c r="BJ273" s="108">
        <f t="shared" si="339"/>
        <v>0</v>
      </c>
    </row>
    <row r="274" spans="1:62" x14ac:dyDescent="0.2">
      <c r="A274" s="117" t="s">
        <v>236</v>
      </c>
      <c r="B274" s="117" t="s">
        <v>4065</v>
      </c>
      <c r="C274" s="304" t="s">
        <v>1325</v>
      </c>
      <c r="D274" s="305"/>
      <c r="E274" s="305"/>
      <c r="F274" s="117" t="s">
        <v>1644</v>
      </c>
      <c r="G274" s="116">
        <v>1</v>
      </c>
      <c r="H274" s="159"/>
      <c r="I274" s="108">
        <f t="shared" si="316"/>
        <v>0</v>
      </c>
      <c r="J274" s="108">
        <f t="shared" si="317"/>
        <v>0</v>
      </c>
      <c r="K274" s="108">
        <f t="shared" si="318"/>
        <v>0</v>
      </c>
      <c r="L274" s="111"/>
      <c r="Z274" s="100">
        <f t="shared" si="319"/>
        <v>0</v>
      </c>
      <c r="AB274" s="100">
        <f t="shared" si="320"/>
        <v>0</v>
      </c>
      <c r="AC274" s="100">
        <f t="shared" si="321"/>
        <v>0</v>
      </c>
      <c r="AD274" s="100">
        <f t="shared" si="322"/>
        <v>0</v>
      </c>
      <c r="AE274" s="100">
        <f t="shared" si="323"/>
        <v>0</v>
      </c>
      <c r="AF274" s="100">
        <f t="shared" si="324"/>
        <v>0</v>
      </c>
      <c r="AG274" s="100">
        <f t="shared" si="325"/>
        <v>0</v>
      </c>
      <c r="AH274" s="100">
        <f t="shared" si="326"/>
        <v>0</v>
      </c>
      <c r="AI274" s="109"/>
      <c r="AJ274" s="108">
        <f t="shared" si="327"/>
        <v>0</v>
      </c>
      <c r="AK274" s="108">
        <f t="shared" si="328"/>
        <v>0</v>
      </c>
      <c r="AL274" s="108">
        <f t="shared" si="329"/>
        <v>0</v>
      </c>
      <c r="AN274" s="100">
        <v>15</v>
      </c>
      <c r="AO274" s="100">
        <f t="shared" si="330"/>
        <v>0</v>
      </c>
      <c r="AP274" s="100">
        <f t="shared" si="331"/>
        <v>0</v>
      </c>
      <c r="AQ274" s="111" t="s">
        <v>13</v>
      </c>
      <c r="AV274" s="100">
        <f t="shared" si="332"/>
        <v>0</v>
      </c>
      <c r="AW274" s="100">
        <f t="shared" si="333"/>
        <v>0</v>
      </c>
      <c r="AX274" s="100">
        <f t="shared" si="334"/>
        <v>0</v>
      </c>
      <c r="AY274" s="110" t="s">
        <v>1709</v>
      </c>
      <c r="AZ274" s="110" t="s">
        <v>1733</v>
      </c>
      <c r="BA274" s="109" t="s">
        <v>1737</v>
      </c>
      <c r="BC274" s="100">
        <f t="shared" si="335"/>
        <v>0</v>
      </c>
      <c r="BD274" s="100">
        <f t="shared" si="336"/>
        <v>0</v>
      </c>
      <c r="BE274" s="100">
        <v>0</v>
      </c>
      <c r="BF274" s="100">
        <f>274</f>
        <v>274</v>
      </c>
      <c r="BH274" s="108">
        <f t="shared" si="337"/>
        <v>0</v>
      </c>
      <c r="BI274" s="108">
        <f t="shared" si="338"/>
        <v>0</v>
      </c>
      <c r="BJ274" s="108">
        <f t="shared" si="339"/>
        <v>0</v>
      </c>
    </row>
    <row r="275" spans="1:62" x14ac:dyDescent="0.2">
      <c r="A275" s="117" t="s">
        <v>237</v>
      </c>
      <c r="B275" s="117" t="s">
        <v>4064</v>
      </c>
      <c r="C275" s="304" t="s">
        <v>1297</v>
      </c>
      <c r="D275" s="305"/>
      <c r="E275" s="305"/>
      <c r="F275" s="117" t="s">
        <v>1644</v>
      </c>
      <c r="G275" s="116">
        <v>8</v>
      </c>
      <c r="H275" s="159"/>
      <c r="I275" s="108">
        <f t="shared" si="316"/>
        <v>0</v>
      </c>
      <c r="J275" s="108">
        <f t="shared" si="317"/>
        <v>0</v>
      </c>
      <c r="K275" s="108">
        <f t="shared" si="318"/>
        <v>0</v>
      </c>
      <c r="L275" s="111"/>
      <c r="Z275" s="100">
        <f t="shared" si="319"/>
        <v>0</v>
      </c>
      <c r="AB275" s="100">
        <f t="shared" si="320"/>
        <v>0</v>
      </c>
      <c r="AC275" s="100">
        <f t="shared" si="321"/>
        <v>0</v>
      </c>
      <c r="AD275" s="100">
        <f t="shared" si="322"/>
        <v>0</v>
      </c>
      <c r="AE275" s="100">
        <f t="shared" si="323"/>
        <v>0</v>
      </c>
      <c r="AF275" s="100">
        <f t="shared" si="324"/>
        <v>0</v>
      </c>
      <c r="AG275" s="100">
        <f t="shared" si="325"/>
        <v>0</v>
      </c>
      <c r="AH275" s="100">
        <f t="shared" si="326"/>
        <v>0</v>
      </c>
      <c r="AI275" s="109"/>
      <c r="AJ275" s="108">
        <f t="shared" si="327"/>
        <v>0</v>
      </c>
      <c r="AK275" s="108">
        <f t="shared" si="328"/>
        <v>0</v>
      </c>
      <c r="AL275" s="108">
        <f t="shared" si="329"/>
        <v>0</v>
      </c>
      <c r="AN275" s="100">
        <v>15</v>
      </c>
      <c r="AO275" s="100">
        <f t="shared" si="330"/>
        <v>0</v>
      </c>
      <c r="AP275" s="100">
        <f t="shared" si="331"/>
        <v>0</v>
      </c>
      <c r="AQ275" s="111" t="s">
        <v>13</v>
      </c>
      <c r="AV275" s="100">
        <f t="shared" si="332"/>
        <v>0</v>
      </c>
      <c r="AW275" s="100">
        <f t="shared" si="333"/>
        <v>0</v>
      </c>
      <c r="AX275" s="100">
        <f t="shared" si="334"/>
        <v>0</v>
      </c>
      <c r="AY275" s="110" t="s">
        <v>1709</v>
      </c>
      <c r="AZ275" s="110" t="s">
        <v>1733</v>
      </c>
      <c r="BA275" s="109" t="s">
        <v>1737</v>
      </c>
      <c r="BC275" s="100">
        <f t="shared" si="335"/>
        <v>0</v>
      </c>
      <c r="BD275" s="100">
        <f t="shared" si="336"/>
        <v>0</v>
      </c>
      <c r="BE275" s="100">
        <v>0</v>
      </c>
      <c r="BF275" s="100">
        <f>275</f>
        <v>275</v>
      </c>
      <c r="BH275" s="108">
        <f t="shared" si="337"/>
        <v>0</v>
      </c>
      <c r="BI275" s="108">
        <f t="shared" si="338"/>
        <v>0</v>
      </c>
      <c r="BJ275" s="108">
        <f t="shared" si="339"/>
        <v>0</v>
      </c>
    </row>
    <row r="276" spans="1:62" x14ac:dyDescent="0.2">
      <c r="A276" s="117" t="s">
        <v>238</v>
      </c>
      <c r="B276" s="117" t="s">
        <v>4063</v>
      </c>
      <c r="C276" s="304" t="s">
        <v>1326</v>
      </c>
      <c r="D276" s="305"/>
      <c r="E276" s="305"/>
      <c r="F276" s="117" t="s">
        <v>1644</v>
      </c>
      <c r="G276" s="116">
        <v>8</v>
      </c>
      <c r="H276" s="159"/>
      <c r="I276" s="108">
        <f t="shared" si="316"/>
        <v>0</v>
      </c>
      <c r="J276" s="108">
        <f t="shared" si="317"/>
        <v>0</v>
      </c>
      <c r="K276" s="108">
        <f t="shared" si="318"/>
        <v>0</v>
      </c>
      <c r="L276" s="111"/>
      <c r="Z276" s="100">
        <f t="shared" si="319"/>
        <v>0</v>
      </c>
      <c r="AB276" s="100">
        <f t="shared" si="320"/>
        <v>0</v>
      </c>
      <c r="AC276" s="100">
        <f t="shared" si="321"/>
        <v>0</v>
      </c>
      <c r="AD276" s="100">
        <f t="shared" si="322"/>
        <v>0</v>
      </c>
      <c r="AE276" s="100">
        <f t="shared" si="323"/>
        <v>0</v>
      </c>
      <c r="AF276" s="100">
        <f t="shared" si="324"/>
        <v>0</v>
      </c>
      <c r="AG276" s="100">
        <f t="shared" si="325"/>
        <v>0</v>
      </c>
      <c r="AH276" s="100">
        <f t="shared" si="326"/>
        <v>0</v>
      </c>
      <c r="AI276" s="109"/>
      <c r="AJ276" s="108">
        <f t="shared" si="327"/>
        <v>0</v>
      </c>
      <c r="AK276" s="108">
        <f t="shared" si="328"/>
        <v>0</v>
      </c>
      <c r="AL276" s="108">
        <f t="shared" si="329"/>
        <v>0</v>
      </c>
      <c r="AN276" s="100">
        <v>15</v>
      </c>
      <c r="AO276" s="100">
        <f t="shared" si="330"/>
        <v>0</v>
      </c>
      <c r="AP276" s="100">
        <f t="shared" si="331"/>
        <v>0</v>
      </c>
      <c r="AQ276" s="111" t="s">
        <v>13</v>
      </c>
      <c r="AV276" s="100">
        <f t="shared" si="332"/>
        <v>0</v>
      </c>
      <c r="AW276" s="100">
        <f t="shared" si="333"/>
        <v>0</v>
      </c>
      <c r="AX276" s="100">
        <f t="shared" si="334"/>
        <v>0</v>
      </c>
      <c r="AY276" s="110" t="s">
        <v>1709</v>
      </c>
      <c r="AZ276" s="110" t="s">
        <v>1733</v>
      </c>
      <c r="BA276" s="109" t="s">
        <v>1737</v>
      </c>
      <c r="BC276" s="100">
        <f t="shared" si="335"/>
        <v>0</v>
      </c>
      <c r="BD276" s="100">
        <f t="shared" si="336"/>
        <v>0</v>
      </c>
      <c r="BE276" s="100">
        <v>0</v>
      </c>
      <c r="BF276" s="100">
        <f>276</f>
        <v>276</v>
      </c>
      <c r="BH276" s="108">
        <f t="shared" si="337"/>
        <v>0</v>
      </c>
      <c r="BI276" s="108">
        <f t="shared" si="338"/>
        <v>0</v>
      </c>
      <c r="BJ276" s="108">
        <f t="shared" si="339"/>
        <v>0</v>
      </c>
    </row>
    <row r="277" spans="1:62" x14ac:dyDescent="0.2">
      <c r="A277" s="117" t="s">
        <v>239</v>
      </c>
      <c r="B277" s="117" t="s">
        <v>4062</v>
      </c>
      <c r="C277" s="304" t="s">
        <v>1327</v>
      </c>
      <c r="D277" s="305"/>
      <c r="E277" s="305"/>
      <c r="F277" s="117" t="s">
        <v>1644</v>
      </c>
      <c r="G277" s="116">
        <v>6</v>
      </c>
      <c r="H277" s="159"/>
      <c r="I277" s="108">
        <f t="shared" si="316"/>
        <v>0</v>
      </c>
      <c r="J277" s="108">
        <f t="shared" si="317"/>
        <v>0</v>
      </c>
      <c r="K277" s="108">
        <f t="shared" si="318"/>
        <v>0</v>
      </c>
      <c r="L277" s="111"/>
      <c r="Z277" s="100">
        <f t="shared" si="319"/>
        <v>0</v>
      </c>
      <c r="AB277" s="100">
        <f t="shared" si="320"/>
        <v>0</v>
      </c>
      <c r="AC277" s="100">
        <f t="shared" si="321"/>
        <v>0</v>
      </c>
      <c r="AD277" s="100">
        <f t="shared" si="322"/>
        <v>0</v>
      </c>
      <c r="AE277" s="100">
        <f t="shared" si="323"/>
        <v>0</v>
      </c>
      <c r="AF277" s="100">
        <f t="shared" si="324"/>
        <v>0</v>
      </c>
      <c r="AG277" s="100">
        <f t="shared" si="325"/>
        <v>0</v>
      </c>
      <c r="AH277" s="100">
        <f t="shared" si="326"/>
        <v>0</v>
      </c>
      <c r="AI277" s="109"/>
      <c r="AJ277" s="108">
        <f t="shared" si="327"/>
        <v>0</v>
      </c>
      <c r="AK277" s="108">
        <f t="shared" si="328"/>
        <v>0</v>
      </c>
      <c r="AL277" s="108">
        <f t="shared" si="329"/>
        <v>0</v>
      </c>
      <c r="AN277" s="100">
        <v>15</v>
      </c>
      <c r="AO277" s="100">
        <f t="shared" si="330"/>
        <v>0</v>
      </c>
      <c r="AP277" s="100">
        <f t="shared" si="331"/>
        <v>0</v>
      </c>
      <c r="AQ277" s="111" t="s">
        <v>13</v>
      </c>
      <c r="AV277" s="100">
        <f t="shared" si="332"/>
        <v>0</v>
      </c>
      <c r="AW277" s="100">
        <f t="shared" si="333"/>
        <v>0</v>
      </c>
      <c r="AX277" s="100">
        <f t="shared" si="334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335"/>
        <v>0</v>
      </c>
      <c r="BD277" s="100">
        <f t="shared" si="336"/>
        <v>0</v>
      </c>
      <c r="BE277" s="100">
        <v>0</v>
      </c>
      <c r="BF277" s="100">
        <f>277</f>
        <v>277</v>
      </c>
      <c r="BH277" s="108">
        <f t="shared" si="337"/>
        <v>0</v>
      </c>
      <c r="BI277" s="108">
        <f t="shared" si="338"/>
        <v>0</v>
      </c>
      <c r="BJ277" s="108">
        <f t="shared" si="339"/>
        <v>0</v>
      </c>
    </row>
    <row r="278" spans="1:62" x14ac:dyDescent="0.2">
      <c r="A278" s="117" t="s">
        <v>240</v>
      </c>
      <c r="B278" s="117" t="s">
        <v>4061</v>
      </c>
      <c r="C278" s="304" t="s">
        <v>1294</v>
      </c>
      <c r="D278" s="305"/>
      <c r="E278" s="305"/>
      <c r="F278" s="117" t="s">
        <v>1644</v>
      </c>
      <c r="G278" s="116">
        <v>2</v>
      </c>
      <c r="H278" s="159"/>
      <c r="I278" s="108">
        <f t="shared" si="316"/>
        <v>0</v>
      </c>
      <c r="J278" s="108">
        <f t="shared" si="317"/>
        <v>0</v>
      </c>
      <c r="K278" s="108">
        <f t="shared" si="318"/>
        <v>0</v>
      </c>
      <c r="L278" s="111"/>
      <c r="Z278" s="100">
        <f t="shared" si="319"/>
        <v>0</v>
      </c>
      <c r="AB278" s="100">
        <f t="shared" si="320"/>
        <v>0</v>
      </c>
      <c r="AC278" s="100">
        <f t="shared" si="321"/>
        <v>0</v>
      </c>
      <c r="AD278" s="100">
        <f t="shared" si="322"/>
        <v>0</v>
      </c>
      <c r="AE278" s="100">
        <f t="shared" si="323"/>
        <v>0</v>
      </c>
      <c r="AF278" s="100">
        <f t="shared" si="324"/>
        <v>0</v>
      </c>
      <c r="AG278" s="100">
        <f t="shared" si="325"/>
        <v>0</v>
      </c>
      <c r="AH278" s="100">
        <f t="shared" si="326"/>
        <v>0</v>
      </c>
      <c r="AI278" s="109"/>
      <c r="AJ278" s="108">
        <f t="shared" si="327"/>
        <v>0</v>
      </c>
      <c r="AK278" s="108">
        <f t="shared" si="328"/>
        <v>0</v>
      </c>
      <c r="AL278" s="108">
        <f t="shared" si="329"/>
        <v>0</v>
      </c>
      <c r="AN278" s="100">
        <v>15</v>
      </c>
      <c r="AO278" s="100">
        <f t="shared" si="330"/>
        <v>0</v>
      </c>
      <c r="AP278" s="100">
        <f t="shared" si="331"/>
        <v>0</v>
      </c>
      <c r="AQ278" s="111" t="s">
        <v>13</v>
      </c>
      <c r="AV278" s="100">
        <f t="shared" si="332"/>
        <v>0</v>
      </c>
      <c r="AW278" s="100">
        <f t="shared" si="333"/>
        <v>0</v>
      </c>
      <c r="AX278" s="100">
        <f t="shared" si="334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335"/>
        <v>0</v>
      </c>
      <c r="BD278" s="100">
        <f t="shared" si="336"/>
        <v>0</v>
      </c>
      <c r="BE278" s="100">
        <v>0</v>
      </c>
      <c r="BF278" s="100">
        <f>278</f>
        <v>278</v>
      </c>
      <c r="BH278" s="108">
        <f t="shared" si="337"/>
        <v>0</v>
      </c>
      <c r="BI278" s="108">
        <f t="shared" si="338"/>
        <v>0</v>
      </c>
      <c r="BJ278" s="108">
        <f t="shared" si="339"/>
        <v>0</v>
      </c>
    </row>
    <row r="279" spans="1:62" x14ac:dyDescent="0.2">
      <c r="A279" s="117" t="s">
        <v>241</v>
      </c>
      <c r="B279" s="117" t="s">
        <v>4060</v>
      </c>
      <c r="C279" s="304" t="s">
        <v>1295</v>
      </c>
      <c r="D279" s="305"/>
      <c r="E279" s="305"/>
      <c r="F279" s="117" t="s">
        <v>1644</v>
      </c>
      <c r="G279" s="116">
        <v>2</v>
      </c>
      <c r="H279" s="159"/>
      <c r="I279" s="108">
        <f t="shared" si="316"/>
        <v>0</v>
      </c>
      <c r="J279" s="108">
        <f t="shared" si="317"/>
        <v>0</v>
      </c>
      <c r="K279" s="108">
        <f t="shared" si="318"/>
        <v>0</v>
      </c>
      <c r="L279" s="111"/>
      <c r="Z279" s="100">
        <f t="shared" si="319"/>
        <v>0</v>
      </c>
      <c r="AB279" s="100">
        <f t="shared" si="320"/>
        <v>0</v>
      </c>
      <c r="AC279" s="100">
        <f t="shared" si="321"/>
        <v>0</v>
      </c>
      <c r="AD279" s="100">
        <f t="shared" si="322"/>
        <v>0</v>
      </c>
      <c r="AE279" s="100">
        <f t="shared" si="323"/>
        <v>0</v>
      </c>
      <c r="AF279" s="100">
        <f t="shared" si="324"/>
        <v>0</v>
      </c>
      <c r="AG279" s="100">
        <f t="shared" si="325"/>
        <v>0</v>
      </c>
      <c r="AH279" s="100">
        <f t="shared" si="326"/>
        <v>0</v>
      </c>
      <c r="AI279" s="109"/>
      <c r="AJ279" s="108">
        <f t="shared" si="327"/>
        <v>0</v>
      </c>
      <c r="AK279" s="108">
        <f t="shared" si="328"/>
        <v>0</v>
      </c>
      <c r="AL279" s="108">
        <f t="shared" si="329"/>
        <v>0</v>
      </c>
      <c r="AN279" s="100">
        <v>15</v>
      </c>
      <c r="AO279" s="100">
        <f t="shared" si="330"/>
        <v>0</v>
      </c>
      <c r="AP279" s="100">
        <f t="shared" si="331"/>
        <v>0</v>
      </c>
      <c r="AQ279" s="111" t="s">
        <v>13</v>
      </c>
      <c r="AV279" s="100">
        <f t="shared" si="332"/>
        <v>0</v>
      </c>
      <c r="AW279" s="100">
        <f t="shared" si="333"/>
        <v>0</v>
      </c>
      <c r="AX279" s="100">
        <f t="shared" si="334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335"/>
        <v>0</v>
      </c>
      <c r="BD279" s="100">
        <f t="shared" si="336"/>
        <v>0</v>
      </c>
      <c r="BE279" s="100">
        <v>0</v>
      </c>
      <c r="BF279" s="100">
        <f>279</f>
        <v>279</v>
      </c>
      <c r="BH279" s="108">
        <f t="shared" si="337"/>
        <v>0</v>
      </c>
      <c r="BI279" s="108">
        <f t="shared" si="338"/>
        <v>0</v>
      </c>
      <c r="BJ279" s="108">
        <f t="shared" si="339"/>
        <v>0</v>
      </c>
    </row>
    <row r="280" spans="1:62" x14ac:dyDescent="0.2">
      <c r="A280" s="117" t="s">
        <v>242</v>
      </c>
      <c r="B280" s="117" t="s">
        <v>4059</v>
      </c>
      <c r="C280" s="304" t="s">
        <v>1328</v>
      </c>
      <c r="D280" s="305"/>
      <c r="E280" s="305"/>
      <c r="F280" s="117" t="s">
        <v>1644</v>
      </c>
      <c r="G280" s="116">
        <v>22</v>
      </c>
      <c r="H280" s="159"/>
      <c r="I280" s="108">
        <f t="shared" si="316"/>
        <v>0</v>
      </c>
      <c r="J280" s="108">
        <f t="shared" si="317"/>
        <v>0</v>
      </c>
      <c r="K280" s="108">
        <f t="shared" si="318"/>
        <v>0</v>
      </c>
      <c r="L280" s="111"/>
      <c r="Z280" s="100">
        <f t="shared" si="319"/>
        <v>0</v>
      </c>
      <c r="AB280" s="100">
        <f t="shared" si="320"/>
        <v>0</v>
      </c>
      <c r="AC280" s="100">
        <f t="shared" si="321"/>
        <v>0</v>
      </c>
      <c r="AD280" s="100">
        <f t="shared" si="322"/>
        <v>0</v>
      </c>
      <c r="AE280" s="100">
        <f t="shared" si="323"/>
        <v>0</v>
      </c>
      <c r="AF280" s="100">
        <f t="shared" si="324"/>
        <v>0</v>
      </c>
      <c r="AG280" s="100">
        <f t="shared" si="325"/>
        <v>0</v>
      </c>
      <c r="AH280" s="100">
        <f t="shared" si="326"/>
        <v>0</v>
      </c>
      <c r="AI280" s="109"/>
      <c r="AJ280" s="108">
        <f t="shared" si="327"/>
        <v>0</v>
      </c>
      <c r="AK280" s="108">
        <f t="shared" si="328"/>
        <v>0</v>
      </c>
      <c r="AL280" s="108">
        <f t="shared" si="329"/>
        <v>0</v>
      </c>
      <c r="AN280" s="100">
        <v>15</v>
      </c>
      <c r="AO280" s="100">
        <f t="shared" si="330"/>
        <v>0</v>
      </c>
      <c r="AP280" s="100">
        <f t="shared" si="331"/>
        <v>0</v>
      </c>
      <c r="AQ280" s="111" t="s">
        <v>13</v>
      </c>
      <c r="AV280" s="100">
        <f t="shared" si="332"/>
        <v>0</v>
      </c>
      <c r="AW280" s="100">
        <f t="shared" si="333"/>
        <v>0</v>
      </c>
      <c r="AX280" s="100">
        <f t="shared" si="334"/>
        <v>0</v>
      </c>
      <c r="AY280" s="110" t="s">
        <v>1709</v>
      </c>
      <c r="AZ280" s="110" t="s">
        <v>1733</v>
      </c>
      <c r="BA280" s="109" t="s">
        <v>1737</v>
      </c>
      <c r="BC280" s="100">
        <f t="shared" si="335"/>
        <v>0</v>
      </c>
      <c r="BD280" s="100">
        <f t="shared" si="336"/>
        <v>0</v>
      </c>
      <c r="BE280" s="100">
        <v>0</v>
      </c>
      <c r="BF280" s="100">
        <f>280</f>
        <v>280</v>
      </c>
      <c r="BH280" s="108">
        <f t="shared" si="337"/>
        <v>0</v>
      </c>
      <c r="BI280" s="108">
        <f t="shared" si="338"/>
        <v>0</v>
      </c>
      <c r="BJ280" s="108">
        <f t="shared" si="339"/>
        <v>0</v>
      </c>
    </row>
    <row r="281" spans="1:62" x14ac:dyDescent="0.2">
      <c r="A281" s="117" t="s">
        <v>243</v>
      </c>
      <c r="B281" s="117" t="s">
        <v>4058</v>
      </c>
      <c r="C281" s="304" t="s">
        <v>1329</v>
      </c>
      <c r="D281" s="305"/>
      <c r="E281" s="305"/>
      <c r="F281" s="117" t="s">
        <v>1644</v>
      </c>
      <c r="G281" s="116">
        <v>1</v>
      </c>
      <c r="H281" s="159"/>
      <c r="I281" s="108">
        <f t="shared" si="316"/>
        <v>0</v>
      </c>
      <c r="J281" s="108">
        <f t="shared" si="317"/>
        <v>0</v>
      </c>
      <c r="K281" s="108">
        <f t="shared" si="318"/>
        <v>0</v>
      </c>
      <c r="L281" s="111"/>
      <c r="Z281" s="100">
        <f t="shared" si="319"/>
        <v>0</v>
      </c>
      <c r="AB281" s="100">
        <f t="shared" si="320"/>
        <v>0</v>
      </c>
      <c r="AC281" s="100">
        <f t="shared" si="321"/>
        <v>0</v>
      </c>
      <c r="AD281" s="100">
        <f t="shared" si="322"/>
        <v>0</v>
      </c>
      <c r="AE281" s="100">
        <f t="shared" si="323"/>
        <v>0</v>
      </c>
      <c r="AF281" s="100">
        <f t="shared" si="324"/>
        <v>0</v>
      </c>
      <c r="AG281" s="100">
        <f t="shared" si="325"/>
        <v>0</v>
      </c>
      <c r="AH281" s="100">
        <f t="shared" si="326"/>
        <v>0</v>
      </c>
      <c r="AI281" s="109"/>
      <c r="AJ281" s="108">
        <f t="shared" si="327"/>
        <v>0</v>
      </c>
      <c r="AK281" s="108">
        <f t="shared" si="328"/>
        <v>0</v>
      </c>
      <c r="AL281" s="108">
        <f t="shared" si="329"/>
        <v>0</v>
      </c>
      <c r="AN281" s="100">
        <v>15</v>
      </c>
      <c r="AO281" s="100">
        <f t="shared" si="330"/>
        <v>0</v>
      </c>
      <c r="AP281" s="100">
        <f t="shared" si="331"/>
        <v>0</v>
      </c>
      <c r="AQ281" s="111" t="s">
        <v>13</v>
      </c>
      <c r="AV281" s="100">
        <f t="shared" si="332"/>
        <v>0</v>
      </c>
      <c r="AW281" s="100">
        <f t="shared" si="333"/>
        <v>0</v>
      </c>
      <c r="AX281" s="100">
        <f t="shared" si="334"/>
        <v>0</v>
      </c>
      <c r="AY281" s="110" t="s">
        <v>1709</v>
      </c>
      <c r="AZ281" s="110" t="s">
        <v>1733</v>
      </c>
      <c r="BA281" s="109" t="s">
        <v>1737</v>
      </c>
      <c r="BC281" s="100">
        <f t="shared" si="335"/>
        <v>0</v>
      </c>
      <c r="BD281" s="100">
        <f t="shared" si="336"/>
        <v>0</v>
      </c>
      <c r="BE281" s="100">
        <v>0</v>
      </c>
      <c r="BF281" s="100">
        <f>281</f>
        <v>281</v>
      </c>
      <c r="BH281" s="108">
        <f t="shared" si="337"/>
        <v>0</v>
      </c>
      <c r="BI281" s="108">
        <f t="shared" si="338"/>
        <v>0</v>
      </c>
      <c r="BJ281" s="108">
        <f t="shared" si="339"/>
        <v>0</v>
      </c>
    </row>
    <row r="282" spans="1:62" x14ac:dyDescent="0.2">
      <c r="A282" s="117" t="s">
        <v>244</v>
      </c>
      <c r="B282" s="117" t="s">
        <v>4057</v>
      </c>
      <c r="C282" s="304" t="s">
        <v>1330</v>
      </c>
      <c r="D282" s="305"/>
      <c r="E282" s="305"/>
      <c r="F282" s="117" t="s">
        <v>1646</v>
      </c>
      <c r="G282" s="116">
        <v>50</v>
      </c>
      <c r="H282" s="159"/>
      <c r="I282" s="108">
        <f t="shared" si="316"/>
        <v>0</v>
      </c>
      <c r="J282" s="108">
        <f t="shared" si="317"/>
        <v>0</v>
      </c>
      <c r="K282" s="108">
        <f t="shared" si="318"/>
        <v>0</v>
      </c>
      <c r="L282" s="111"/>
      <c r="Z282" s="100">
        <f t="shared" si="319"/>
        <v>0</v>
      </c>
      <c r="AB282" s="100">
        <f t="shared" si="320"/>
        <v>0</v>
      </c>
      <c r="AC282" s="100">
        <f t="shared" si="321"/>
        <v>0</v>
      </c>
      <c r="AD282" s="100">
        <f t="shared" si="322"/>
        <v>0</v>
      </c>
      <c r="AE282" s="100">
        <f t="shared" si="323"/>
        <v>0</v>
      </c>
      <c r="AF282" s="100">
        <f t="shared" si="324"/>
        <v>0</v>
      </c>
      <c r="AG282" s="100">
        <f t="shared" si="325"/>
        <v>0</v>
      </c>
      <c r="AH282" s="100">
        <f t="shared" si="326"/>
        <v>0</v>
      </c>
      <c r="AI282" s="109"/>
      <c r="AJ282" s="108">
        <f t="shared" si="327"/>
        <v>0</v>
      </c>
      <c r="AK282" s="108">
        <f t="shared" si="328"/>
        <v>0</v>
      </c>
      <c r="AL282" s="108">
        <f t="shared" si="329"/>
        <v>0</v>
      </c>
      <c r="AN282" s="100">
        <v>15</v>
      </c>
      <c r="AO282" s="100">
        <f t="shared" si="330"/>
        <v>0</v>
      </c>
      <c r="AP282" s="100">
        <f t="shared" si="331"/>
        <v>0</v>
      </c>
      <c r="AQ282" s="111" t="s">
        <v>13</v>
      </c>
      <c r="AV282" s="100">
        <f t="shared" si="332"/>
        <v>0</v>
      </c>
      <c r="AW282" s="100">
        <f t="shared" si="333"/>
        <v>0</v>
      </c>
      <c r="AX282" s="100">
        <f t="shared" si="334"/>
        <v>0</v>
      </c>
      <c r="AY282" s="110" t="s">
        <v>1709</v>
      </c>
      <c r="AZ282" s="110" t="s">
        <v>1733</v>
      </c>
      <c r="BA282" s="109" t="s">
        <v>1737</v>
      </c>
      <c r="BC282" s="100">
        <f t="shared" si="335"/>
        <v>0</v>
      </c>
      <c r="BD282" s="100">
        <f t="shared" si="336"/>
        <v>0</v>
      </c>
      <c r="BE282" s="100">
        <v>0</v>
      </c>
      <c r="BF282" s="100">
        <f>282</f>
        <v>282</v>
      </c>
      <c r="BH282" s="108">
        <f t="shared" si="337"/>
        <v>0</v>
      </c>
      <c r="BI282" s="108">
        <f t="shared" si="338"/>
        <v>0</v>
      </c>
      <c r="BJ282" s="108">
        <f t="shared" si="339"/>
        <v>0</v>
      </c>
    </row>
    <row r="283" spans="1:62" x14ac:dyDescent="0.2">
      <c r="A283" s="117" t="s">
        <v>245</v>
      </c>
      <c r="B283" s="117" t="s">
        <v>4056</v>
      </c>
      <c r="C283" s="304" t="s">
        <v>1331</v>
      </c>
      <c r="D283" s="305"/>
      <c r="E283" s="305"/>
      <c r="F283" s="117" t="s">
        <v>1646</v>
      </c>
      <c r="G283" s="116">
        <v>20</v>
      </c>
      <c r="H283" s="159"/>
      <c r="I283" s="108">
        <f t="shared" si="316"/>
        <v>0</v>
      </c>
      <c r="J283" s="108">
        <f t="shared" si="317"/>
        <v>0</v>
      </c>
      <c r="K283" s="108">
        <f t="shared" si="318"/>
        <v>0</v>
      </c>
      <c r="L283" s="111"/>
      <c r="Z283" s="100">
        <f t="shared" si="319"/>
        <v>0</v>
      </c>
      <c r="AB283" s="100">
        <f t="shared" si="320"/>
        <v>0</v>
      </c>
      <c r="AC283" s="100">
        <f t="shared" si="321"/>
        <v>0</v>
      </c>
      <c r="AD283" s="100">
        <f t="shared" si="322"/>
        <v>0</v>
      </c>
      <c r="AE283" s="100">
        <f t="shared" si="323"/>
        <v>0</v>
      </c>
      <c r="AF283" s="100">
        <f t="shared" si="324"/>
        <v>0</v>
      </c>
      <c r="AG283" s="100">
        <f t="shared" si="325"/>
        <v>0</v>
      </c>
      <c r="AH283" s="100">
        <f t="shared" si="326"/>
        <v>0</v>
      </c>
      <c r="AI283" s="109"/>
      <c r="AJ283" s="108">
        <f t="shared" si="327"/>
        <v>0</v>
      </c>
      <c r="AK283" s="108">
        <f t="shared" si="328"/>
        <v>0</v>
      </c>
      <c r="AL283" s="108">
        <f t="shared" si="329"/>
        <v>0</v>
      </c>
      <c r="AN283" s="100">
        <v>15</v>
      </c>
      <c r="AO283" s="100">
        <f t="shared" si="330"/>
        <v>0</v>
      </c>
      <c r="AP283" s="100">
        <f t="shared" si="331"/>
        <v>0</v>
      </c>
      <c r="AQ283" s="111" t="s">
        <v>13</v>
      </c>
      <c r="AV283" s="100">
        <f t="shared" si="332"/>
        <v>0</v>
      </c>
      <c r="AW283" s="100">
        <f t="shared" si="333"/>
        <v>0</v>
      </c>
      <c r="AX283" s="100">
        <f t="shared" si="334"/>
        <v>0</v>
      </c>
      <c r="AY283" s="110" t="s">
        <v>1709</v>
      </c>
      <c r="AZ283" s="110" t="s">
        <v>1733</v>
      </c>
      <c r="BA283" s="109" t="s">
        <v>1737</v>
      </c>
      <c r="BC283" s="100">
        <f t="shared" si="335"/>
        <v>0</v>
      </c>
      <c r="BD283" s="100">
        <f t="shared" si="336"/>
        <v>0</v>
      </c>
      <c r="BE283" s="100">
        <v>0</v>
      </c>
      <c r="BF283" s="100">
        <f>283</f>
        <v>283</v>
      </c>
      <c r="BH283" s="108">
        <f t="shared" si="337"/>
        <v>0</v>
      </c>
      <c r="BI283" s="108">
        <f t="shared" si="338"/>
        <v>0</v>
      </c>
      <c r="BJ283" s="108">
        <f t="shared" si="339"/>
        <v>0</v>
      </c>
    </row>
    <row r="284" spans="1:62" x14ac:dyDescent="0.2">
      <c r="A284" s="117" t="s">
        <v>246</v>
      </c>
      <c r="B284" s="117" t="s">
        <v>4055</v>
      </c>
      <c r="C284" s="304" t="s">
        <v>1332</v>
      </c>
      <c r="D284" s="305"/>
      <c r="E284" s="305"/>
      <c r="F284" s="117" t="s">
        <v>1646</v>
      </c>
      <c r="G284" s="116">
        <v>6</v>
      </c>
      <c r="H284" s="159"/>
      <c r="I284" s="108">
        <f t="shared" si="316"/>
        <v>0</v>
      </c>
      <c r="J284" s="108">
        <f t="shared" si="317"/>
        <v>0</v>
      </c>
      <c r="K284" s="108">
        <f t="shared" si="318"/>
        <v>0</v>
      </c>
      <c r="L284" s="111"/>
      <c r="Z284" s="100">
        <f t="shared" si="319"/>
        <v>0</v>
      </c>
      <c r="AB284" s="100">
        <f t="shared" si="320"/>
        <v>0</v>
      </c>
      <c r="AC284" s="100">
        <f t="shared" si="321"/>
        <v>0</v>
      </c>
      <c r="AD284" s="100">
        <f t="shared" si="322"/>
        <v>0</v>
      </c>
      <c r="AE284" s="100">
        <f t="shared" si="323"/>
        <v>0</v>
      </c>
      <c r="AF284" s="100">
        <f t="shared" si="324"/>
        <v>0</v>
      </c>
      <c r="AG284" s="100">
        <f t="shared" si="325"/>
        <v>0</v>
      </c>
      <c r="AH284" s="100">
        <f t="shared" si="326"/>
        <v>0</v>
      </c>
      <c r="AI284" s="109"/>
      <c r="AJ284" s="108">
        <f t="shared" si="327"/>
        <v>0</v>
      </c>
      <c r="AK284" s="108">
        <f t="shared" si="328"/>
        <v>0</v>
      </c>
      <c r="AL284" s="108">
        <f t="shared" si="329"/>
        <v>0</v>
      </c>
      <c r="AN284" s="100">
        <v>15</v>
      </c>
      <c r="AO284" s="100">
        <f t="shared" si="330"/>
        <v>0</v>
      </c>
      <c r="AP284" s="100">
        <f t="shared" si="331"/>
        <v>0</v>
      </c>
      <c r="AQ284" s="111" t="s">
        <v>13</v>
      </c>
      <c r="AV284" s="100">
        <f t="shared" si="332"/>
        <v>0</v>
      </c>
      <c r="AW284" s="100">
        <f t="shared" si="333"/>
        <v>0</v>
      </c>
      <c r="AX284" s="100">
        <f t="shared" si="334"/>
        <v>0</v>
      </c>
      <c r="AY284" s="110" t="s">
        <v>1709</v>
      </c>
      <c r="AZ284" s="110" t="s">
        <v>1733</v>
      </c>
      <c r="BA284" s="109" t="s">
        <v>1737</v>
      </c>
      <c r="BC284" s="100">
        <f t="shared" si="335"/>
        <v>0</v>
      </c>
      <c r="BD284" s="100">
        <f t="shared" si="336"/>
        <v>0</v>
      </c>
      <c r="BE284" s="100">
        <v>0</v>
      </c>
      <c r="BF284" s="100">
        <f>284</f>
        <v>284</v>
      </c>
      <c r="BH284" s="108">
        <f t="shared" si="337"/>
        <v>0</v>
      </c>
      <c r="BI284" s="108">
        <f t="shared" si="338"/>
        <v>0</v>
      </c>
      <c r="BJ284" s="108">
        <f t="shared" si="339"/>
        <v>0</v>
      </c>
    </row>
    <row r="285" spans="1:62" x14ac:dyDescent="0.2">
      <c r="A285" s="117" t="s">
        <v>247</v>
      </c>
      <c r="B285" s="117" t="s">
        <v>4054</v>
      </c>
      <c r="C285" s="304" t="s">
        <v>1333</v>
      </c>
      <c r="D285" s="305"/>
      <c r="E285" s="305"/>
      <c r="F285" s="117" t="s">
        <v>1646</v>
      </c>
      <c r="G285" s="116">
        <v>50</v>
      </c>
      <c r="H285" s="159"/>
      <c r="I285" s="108">
        <f t="shared" si="316"/>
        <v>0</v>
      </c>
      <c r="J285" s="108">
        <f t="shared" si="317"/>
        <v>0</v>
      </c>
      <c r="K285" s="108">
        <f t="shared" si="318"/>
        <v>0</v>
      </c>
      <c r="L285" s="111"/>
      <c r="Z285" s="100">
        <f t="shared" si="319"/>
        <v>0</v>
      </c>
      <c r="AB285" s="100">
        <f t="shared" si="320"/>
        <v>0</v>
      </c>
      <c r="AC285" s="100">
        <f t="shared" si="321"/>
        <v>0</v>
      </c>
      <c r="AD285" s="100">
        <f t="shared" si="322"/>
        <v>0</v>
      </c>
      <c r="AE285" s="100">
        <f t="shared" si="323"/>
        <v>0</v>
      </c>
      <c r="AF285" s="100">
        <f t="shared" si="324"/>
        <v>0</v>
      </c>
      <c r="AG285" s="100">
        <f t="shared" si="325"/>
        <v>0</v>
      </c>
      <c r="AH285" s="100">
        <f t="shared" si="326"/>
        <v>0</v>
      </c>
      <c r="AI285" s="109"/>
      <c r="AJ285" s="108">
        <f t="shared" si="327"/>
        <v>0</v>
      </c>
      <c r="AK285" s="108">
        <f t="shared" si="328"/>
        <v>0</v>
      </c>
      <c r="AL285" s="108">
        <f t="shared" si="329"/>
        <v>0</v>
      </c>
      <c r="AN285" s="100">
        <v>15</v>
      </c>
      <c r="AO285" s="100">
        <f t="shared" si="330"/>
        <v>0</v>
      </c>
      <c r="AP285" s="100">
        <f t="shared" si="331"/>
        <v>0</v>
      </c>
      <c r="AQ285" s="111" t="s">
        <v>13</v>
      </c>
      <c r="AV285" s="100">
        <f t="shared" si="332"/>
        <v>0</v>
      </c>
      <c r="AW285" s="100">
        <f t="shared" si="333"/>
        <v>0</v>
      </c>
      <c r="AX285" s="100">
        <f t="shared" si="334"/>
        <v>0</v>
      </c>
      <c r="AY285" s="110" t="s">
        <v>1709</v>
      </c>
      <c r="AZ285" s="110" t="s">
        <v>1733</v>
      </c>
      <c r="BA285" s="109" t="s">
        <v>1737</v>
      </c>
      <c r="BC285" s="100">
        <f t="shared" si="335"/>
        <v>0</v>
      </c>
      <c r="BD285" s="100">
        <f t="shared" si="336"/>
        <v>0</v>
      </c>
      <c r="BE285" s="100">
        <v>0</v>
      </c>
      <c r="BF285" s="100">
        <f>285</f>
        <v>285</v>
      </c>
      <c r="BH285" s="108">
        <f t="shared" si="337"/>
        <v>0</v>
      </c>
      <c r="BI285" s="108">
        <f t="shared" si="338"/>
        <v>0</v>
      </c>
      <c r="BJ285" s="108">
        <f t="shared" si="339"/>
        <v>0</v>
      </c>
    </row>
    <row r="286" spans="1:62" x14ac:dyDescent="0.2">
      <c r="A286" s="117" t="s">
        <v>248</v>
      </c>
      <c r="B286" s="117" t="s">
        <v>4053</v>
      </c>
      <c r="C286" s="304" t="s">
        <v>1334</v>
      </c>
      <c r="D286" s="305"/>
      <c r="E286" s="305"/>
      <c r="F286" s="117" t="s">
        <v>1646</v>
      </c>
      <c r="G286" s="116">
        <v>20</v>
      </c>
      <c r="H286" s="159"/>
      <c r="I286" s="108">
        <f t="shared" si="316"/>
        <v>0</v>
      </c>
      <c r="J286" s="108">
        <f t="shared" si="317"/>
        <v>0</v>
      </c>
      <c r="K286" s="108">
        <f t="shared" si="318"/>
        <v>0</v>
      </c>
      <c r="L286" s="111"/>
      <c r="Z286" s="100">
        <f t="shared" si="319"/>
        <v>0</v>
      </c>
      <c r="AB286" s="100">
        <f t="shared" si="320"/>
        <v>0</v>
      </c>
      <c r="AC286" s="100">
        <f t="shared" si="321"/>
        <v>0</v>
      </c>
      <c r="AD286" s="100">
        <f t="shared" si="322"/>
        <v>0</v>
      </c>
      <c r="AE286" s="100">
        <f t="shared" si="323"/>
        <v>0</v>
      </c>
      <c r="AF286" s="100">
        <f t="shared" si="324"/>
        <v>0</v>
      </c>
      <c r="AG286" s="100">
        <f t="shared" si="325"/>
        <v>0</v>
      </c>
      <c r="AH286" s="100">
        <f t="shared" si="326"/>
        <v>0</v>
      </c>
      <c r="AI286" s="109"/>
      <c r="AJ286" s="108">
        <f t="shared" si="327"/>
        <v>0</v>
      </c>
      <c r="AK286" s="108">
        <f t="shared" si="328"/>
        <v>0</v>
      </c>
      <c r="AL286" s="108">
        <f t="shared" si="329"/>
        <v>0</v>
      </c>
      <c r="AN286" s="100">
        <v>15</v>
      </c>
      <c r="AO286" s="100">
        <f t="shared" si="330"/>
        <v>0</v>
      </c>
      <c r="AP286" s="100">
        <f t="shared" si="331"/>
        <v>0</v>
      </c>
      <c r="AQ286" s="111" t="s">
        <v>13</v>
      </c>
      <c r="AV286" s="100">
        <f t="shared" si="332"/>
        <v>0</v>
      </c>
      <c r="AW286" s="100">
        <f t="shared" si="333"/>
        <v>0</v>
      </c>
      <c r="AX286" s="100">
        <f t="shared" si="334"/>
        <v>0</v>
      </c>
      <c r="AY286" s="110" t="s">
        <v>1709</v>
      </c>
      <c r="AZ286" s="110" t="s">
        <v>1733</v>
      </c>
      <c r="BA286" s="109" t="s">
        <v>1737</v>
      </c>
      <c r="BC286" s="100">
        <f t="shared" si="335"/>
        <v>0</v>
      </c>
      <c r="BD286" s="100">
        <f t="shared" si="336"/>
        <v>0</v>
      </c>
      <c r="BE286" s="100">
        <v>0</v>
      </c>
      <c r="BF286" s="100">
        <f>286</f>
        <v>286</v>
      </c>
      <c r="BH286" s="108">
        <f t="shared" si="337"/>
        <v>0</v>
      </c>
      <c r="BI286" s="108">
        <f t="shared" si="338"/>
        <v>0</v>
      </c>
      <c r="BJ286" s="108">
        <f t="shared" si="339"/>
        <v>0</v>
      </c>
    </row>
    <row r="287" spans="1:62" x14ac:dyDescent="0.2">
      <c r="A287" s="117" t="s">
        <v>249</v>
      </c>
      <c r="B287" s="117" t="s">
        <v>4052</v>
      </c>
      <c r="C287" s="304" t="s">
        <v>1335</v>
      </c>
      <c r="D287" s="305"/>
      <c r="E287" s="305"/>
      <c r="F287" s="117" t="s">
        <v>1645</v>
      </c>
      <c r="G287" s="116">
        <v>0.7</v>
      </c>
      <c r="H287" s="159"/>
      <c r="I287" s="108">
        <f t="shared" si="316"/>
        <v>0</v>
      </c>
      <c r="J287" s="108">
        <f t="shared" si="317"/>
        <v>0</v>
      </c>
      <c r="K287" s="108">
        <f t="shared" si="318"/>
        <v>0</v>
      </c>
      <c r="L287" s="111"/>
      <c r="Z287" s="100">
        <f t="shared" si="319"/>
        <v>0</v>
      </c>
      <c r="AB287" s="100">
        <f t="shared" si="320"/>
        <v>0</v>
      </c>
      <c r="AC287" s="100">
        <f t="shared" si="321"/>
        <v>0</v>
      </c>
      <c r="AD287" s="100">
        <f t="shared" si="322"/>
        <v>0</v>
      </c>
      <c r="AE287" s="100">
        <f t="shared" si="323"/>
        <v>0</v>
      </c>
      <c r="AF287" s="100">
        <f t="shared" si="324"/>
        <v>0</v>
      </c>
      <c r="AG287" s="100">
        <f t="shared" si="325"/>
        <v>0</v>
      </c>
      <c r="AH287" s="100">
        <f t="shared" si="326"/>
        <v>0</v>
      </c>
      <c r="AI287" s="109"/>
      <c r="AJ287" s="108">
        <f t="shared" si="327"/>
        <v>0</v>
      </c>
      <c r="AK287" s="108">
        <f t="shared" si="328"/>
        <v>0</v>
      </c>
      <c r="AL287" s="108">
        <f t="shared" si="329"/>
        <v>0</v>
      </c>
      <c r="AN287" s="100">
        <v>15</v>
      </c>
      <c r="AO287" s="100">
        <f t="shared" si="330"/>
        <v>0</v>
      </c>
      <c r="AP287" s="100">
        <f t="shared" si="331"/>
        <v>0</v>
      </c>
      <c r="AQ287" s="111" t="s">
        <v>13</v>
      </c>
      <c r="AV287" s="100">
        <f t="shared" si="332"/>
        <v>0</v>
      </c>
      <c r="AW287" s="100">
        <f t="shared" si="333"/>
        <v>0</v>
      </c>
      <c r="AX287" s="100">
        <f t="shared" si="334"/>
        <v>0</v>
      </c>
      <c r="AY287" s="110" t="s">
        <v>1709</v>
      </c>
      <c r="AZ287" s="110" t="s">
        <v>1733</v>
      </c>
      <c r="BA287" s="109" t="s">
        <v>1737</v>
      </c>
      <c r="BC287" s="100">
        <f t="shared" si="335"/>
        <v>0</v>
      </c>
      <c r="BD287" s="100">
        <f t="shared" si="336"/>
        <v>0</v>
      </c>
      <c r="BE287" s="100">
        <v>0</v>
      </c>
      <c r="BF287" s="100">
        <f>287</f>
        <v>287</v>
      </c>
      <c r="BH287" s="108">
        <f t="shared" si="337"/>
        <v>0</v>
      </c>
      <c r="BI287" s="108">
        <f t="shared" si="338"/>
        <v>0</v>
      </c>
      <c r="BJ287" s="108">
        <f t="shared" si="339"/>
        <v>0</v>
      </c>
    </row>
    <row r="288" spans="1:62" x14ac:dyDescent="0.2">
      <c r="A288" s="117" t="s">
        <v>250</v>
      </c>
      <c r="B288" s="117" t="s">
        <v>4051</v>
      </c>
      <c r="C288" s="304" t="s">
        <v>1336</v>
      </c>
      <c r="D288" s="305"/>
      <c r="E288" s="305"/>
      <c r="F288" s="117" t="s">
        <v>1644</v>
      </c>
      <c r="G288" s="116">
        <v>1</v>
      </c>
      <c r="H288" s="159"/>
      <c r="I288" s="108">
        <f t="shared" si="316"/>
        <v>0</v>
      </c>
      <c r="J288" s="108">
        <f t="shared" si="317"/>
        <v>0</v>
      </c>
      <c r="K288" s="108">
        <f t="shared" si="318"/>
        <v>0</v>
      </c>
      <c r="L288" s="111"/>
      <c r="Z288" s="100">
        <f t="shared" si="319"/>
        <v>0</v>
      </c>
      <c r="AB288" s="100">
        <f t="shared" si="320"/>
        <v>0</v>
      </c>
      <c r="AC288" s="100">
        <f t="shared" si="321"/>
        <v>0</v>
      </c>
      <c r="AD288" s="100">
        <f t="shared" si="322"/>
        <v>0</v>
      </c>
      <c r="AE288" s="100">
        <f t="shared" si="323"/>
        <v>0</v>
      </c>
      <c r="AF288" s="100">
        <f t="shared" si="324"/>
        <v>0</v>
      </c>
      <c r="AG288" s="100">
        <f t="shared" si="325"/>
        <v>0</v>
      </c>
      <c r="AH288" s="100">
        <f t="shared" si="326"/>
        <v>0</v>
      </c>
      <c r="AI288" s="109"/>
      <c r="AJ288" s="108">
        <f t="shared" si="327"/>
        <v>0</v>
      </c>
      <c r="AK288" s="108">
        <f t="shared" si="328"/>
        <v>0</v>
      </c>
      <c r="AL288" s="108">
        <f t="shared" si="329"/>
        <v>0</v>
      </c>
      <c r="AN288" s="100">
        <v>15</v>
      </c>
      <c r="AO288" s="100">
        <f t="shared" si="330"/>
        <v>0</v>
      </c>
      <c r="AP288" s="100">
        <f t="shared" si="331"/>
        <v>0</v>
      </c>
      <c r="AQ288" s="111" t="s">
        <v>13</v>
      </c>
      <c r="AV288" s="100">
        <f t="shared" si="332"/>
        <v>0</v>
      </c>
      <c r="AW288" s="100">
        <f t="shared" si="333"/>
        <v>0</v>
      </c>
      <c r="AX288" s="100">
        <f t="shared" si="334"/>
        <v>0</v>
      </c>
      <c r="AY288" s="110" t="s">
        <v>1709</v>
      </c>
      <c r="AZ288" s="110" t="s">
        <v>1733</v>
      </c>
      <c r="BA288" s="109" t="s">
        <v>1737</v>
      </c>
      <c r="BC288" s="100">
        <f t="shared" si="335"/>
        <v>0</v>
      </c>
      <c r="BD288" s="100">
        <f t="shared" si="336"/>
        <v>0</v>
      </c>
      <c r="BE288" s="100">
        <v>0</v>
      </c>
      <c r="BF288" s="100">
        <f>288</f>
        <v>288</v>
      </c>
      <c r="BH288" s="108">
        <f t="shared" si="337"/>
        <v>0</v>
      </c>
      <c r="BI288" s="108">
        <f t="shared" si="338"/>
        <v>0</v>
      </c>
      <c r="BJ288" s="108">
        <f t="shared" si="339"/>
        <v>0</v>
      </c>
    </row>
    <row r="289" spans="1:62" x14ac:dyDescent="0.2">
      <c r="A289" s="117" t="s">
        <v>251</v>
      </c>
      <c r="B289" s="117" t="s">
        <v>4050</v>
      </c>
      <c r="C289" s="304" t="s">
        <v>1337</v>
      </c>
      <c r="D289" s="305"/>
      <c r="E289" s="305"/>
      <c r="F289" s="117" t="s">
        <v>1644</v>
      </c>
      <c r="G289" s="116">
        <v>1</v>
      </c>
      <c r="H289" s="159"/>
      <c r="I289" s="108">
        <f t="shared" si="316"/>
        <v>0</v>
      </c>
      <c r="J289" s="108">
        <f t="shared" si="317"/>
        <v>0</v>
      </c>
      <c r="K289" s="108">
        <f t="shared" si="318"/>
        <v>0</v>
      </c>
      <c r="L289" s="111"/>
      <c r="Z289" s="100">
        <f t="shared" si="319"/>
        <v>0</v>
      </c>
      <c r="AB289" s="100">
        <f t="shared" si="320"/>
        <v>0</v>
      </c>
      <c r="AC289" s="100">
        <f t="shared" si="321"/>
        <v>0</v>
      </c>
      <c r="AD289" s="100">
        <f t="shared" si="322"/>
        <v>0</v>
      </c>
      <c r="AE289" s="100">
        <f t="shared" si="323"/>
        <v>0</v>
      </c>
      <c r="AF289" s="100">
        <f t="shared" si="324"/>
        <v>0</v>
      </c>
      <c r="AG289" s="100">
        <f t="shared" si="325"/>
        <v>0</v>
      </c>
      <c r="AH289" s="100">
        <f t="shared" si="326"/>
        <v>0</v>
      </c>
      <c r="AI289" s="109"/>
      <c r="AJ289" s="108">
        <f t="shared" si="327"/>
        <v>0</v>
      </c>
      <c r="AK289" s="108">
        <f t="shared" si="328"/>
        <v>0</v>
      </c>
      <c r="AL289" s="108">
        <f t="shared" si="329"/>
        <v>0</v>
      </c>
      <c r="AN289" s="100">
        <v>15</v>
      </c>
      <c r="AO289" s="100">
        <f t="shared" si="330"/>
        <v>0</v>
      </c>
      <c r="AP289" s="100">
        <f t="shared" si="331"/>
        <v>0</v>
      </c>
      <c r="AQ289" s="111" t="s">
        <v>13</v>
      </c>
      <c r="AV289" s="100">
        <f t="shared" si="332"/>
        <v>0</v>
      </c>
      <c r="AW289" s="100">
        <f t="shared" si="333"/>
        <v>0</v>
      </c>
      <c r="AX289" s="100">
        <f t="shared" si="334"/>
        <v>0</v>
      </c>
      <c r="AY289" s="110" t="s">
        <v>1709</v>
      </c>
      <c r="AZ289" s="110" t="s">
        <v>1733</v>
      </c>
      <c r="BA289" s="109" t="s">
        <v>1737</v>
      </c>
      <c r="BC289" s="100">
        <f t="shared" si="335"/>
        <v>0</v>
      </c>
      <c r="BD289" s="100">
        <f t="shared" si="336"/>
        <v>0</v>
      </c>
      <c r="BE289" s="100">
        <v>0</v>
      </c>
      <c r="BF289" s="100">
        <f>289</f>
        <v>289</v>
      </c>
      <c r="BH289" s="108">
        <f t="shared" si="337"/>
        <v>0</v>
      </c>
      <c r="BI289" s="108">
        <f t="shared" si="338"/>
        <v>0</v>
      </c>
      <c r="BJ289" s="108">
        <f t="shared" si="339"/>
        <v>0</v>
      </c>
    </row>
    <row r="290" spans="1:62" x14ac:dyDescent="0.2">
      <c r="A290" s="117" t="s">
        <v>252</v>
      </c>
      <c r="B290" s="117" t="s">
        <v>4049</v>
      </c>
      <c r="C290" s="304" t="s">
        <v>1338</v>
      </c>
      <c r="D290" s="305"/>
      <c r="E290" s="305"/>
      <c r="F290" s="117" t="s">
        <v>1644</v>
      </c>
      <c r="G290" s="116">
        <v>1</v>
      </c>
      <c r="H290" s="159"/>
      <c r="I290" s="108">
        <f t="shared" si="316"/>
        <v>0</v>
      </c>
      <c r="J290" s="108">
        <f t="shared" si="317"/>
        <v>0</v>
      </c>
      <c r="K290" s="108">
        <f t="shared" si="318"/>
        <v>0</v>
      </c>
      <c r="L290" s="111"/>
      <c r="Z290" s="100">
        <f t="shared" si="319"/>
        <v>0</v>
      </c>
      <c r="AB290" s="100">
        <f t="shared" si="320"/>
        <v>0</v>
      </c>
      <c r="AC290" s="100">
        <f t="shared" si="321"/>
        <v>0</v>
      </c>
      <c r="AD290" s="100">
        <f t="shared" si="322"/>
        <v>0</v>
      </c>
      <c r="AE290" s="100">
        <f t="shared" si="323"/>
        <v>0</v>
      </c>
      <c r="AF290" s="100">
        <f t="shared" si="324"/>
        <v>0</v>
      </c>
      <c r="AG290" s="100">
        <f t="shared" si="325"/>
        <v>0</v>
      </c>
      <c r="AH290" s="100">
        <f t="shared" si="326"/>
        <v>0</v>
      </c>
      <c r="AI290" s="109"/>
      <c r="AJ290" s="108">
        <f t="shared" si="327"/>
        <v>0</v>
      </c>
      <c r="AK290" s="108">
        <f t="shared" si="328"/>
        <v>0</v>
      </c>
      <c r="AL290" s="108">
        <f t="shared" si="329"/>
        <v>0</v>
      </c>
      <c r="AN290" s="100">
        <v>15</v>
      </c>
      <c r="AO290" s="100">
        <f t="shared" si="330"/>
        <v>0</v>
      </c>
      <c r="AP290" s="100">
        <f t="shared" si="331"/>
        <v>0</v>
      </c>
      <c r="AQ290" s="111" t="s">
        <v>13</v>
      </c>
      <c r="AV290" s="100">
        <f t="shared" si="332"/>
        <v>0</v>
      </c>
      <c r="AW290" s="100">
        <f t="shared" si="333"/>
        <v>0</v>
      </c>
      <c r="AX290" s="100">
        <f t="shared" si="334"/>
        <v>0</v>
      </c>
      <c r="AY290" s="110" t="s">
        <v>1709</v>
      </c>
      <c r="AZ290" s="110" t="s">
        <v>1733</v>
      </c>
      <c r="BA290" s="109" t="s">
        <v>1737</v>
      </c>
      <c r="BC290" s="100">
        <f t="shared" si="335"/>
        <v>0</v>
      </c>
      <c r="BD290" s="100">
        <f t="shared" si="336"/>
        <v>0</v>
      </c>
      <c r="BE290" s="100">
        <v>0</v>
      </c>
      <c r="BF290" s="100">
        <f>290</f>
        <v>290</v>
      </c>
      <c r="BH290" s="108">
        <f t="shared" si="337"/>
        <v>0</v>
      </c>
      <c r="BI290" s="108">
        <f t="shared" si="338"/>
        <v>0</v>
      </c>
      <c r="BJ290" s="108">
        <f t="shared" si="339"/>
        <v>0</v>
      </c>
    </row>
    <row r="291" spans="1:62" x14ac:dyDescent="0.2">
      <c r="A291" s="117" t="s">
        <v>253</v>
      </c>
      <c r="B291" s="117" t="s">
        <v>4048</v>
      </c>
      <c r="C291" s="304" t="s">
        <v>1339</v>
      </c>
      <c r="D291" s="305"/>
      <c r="E291" s="305"/>
      <c r="F291" s="117" t="s">
        <v>1644</v>
      </c>
      <c r="G291" s="116">
        <v>1</v>
      </c>
      <c r="H291" s="159"/>
      <c r="I291" s="108">
        <f t="shared" si="316"/>
        <v>0</v>
      </c>
      <c r="J291" s="108">
        <f t="shared" si="317"/>
        <v>0</v>
      </c>
      <c r="K291" s="108">
        <f t="shared" si="318"/>
        <v>0</v>
      </c>
      <c r="L291" s="111"/>
      <c r="Z291" s="100">
        <f t="shared" si="319"/>
        <v>0</v>
      </c>
      <c r="AB291" s="100">
        <f t="shared" si="320"/>
        <v>0</v>
      </c>
      <c r="AC291" s="100">
        <f t="shared" si="321"/>
        <v>0</v>
      </c>
      <c r="AD291" s="100">
        <f t="shared" si="322"/>
        <v>0</v>
      </c>
      <c r="AE291" s="100">
        <f t="shared" si="323"/>
        <v>0</v>
      </c>
      <c r="AF291" s="100">
        <f t="shared" si="324"/>
        <v>0</v>
      </c>
      <c r="AG291" s="100">
        <f t="shared" si="325"/>
        <v>0</v>
      </c>
      <c r="AH291" s="100">
        <f t="shared" si="326"/>
        <v>0</v>
      </c>
      <c r="AI291" s="109"/>
      <c r="AJ291" s="108">
        <f t="shared" si="327"/>
        <v>0</v>
      </c>
      <c r="AK291" s="108">
        <f t="shared" si="328"/>
        <v>0</v>
      </c>
      <c r="AL291" s="108">
        <f t="shared" si="329"/>
        <v>0</v>
      </c>
      <c r="AN291" s="100">
        <v>15</v>
      </c>
      <c r="AO291" s="100">
        <f t="shared" si="330"/>
        <v>0</v>
      </c>
      <c r="AP291" s="100">
        <f t="shared" si="331"/>
        <v>0</v>
      </c>
      <c r="AQ291" s="111" t="s">
        <v>13</v>
      </c>
      <c r="AV291" s="100">
        <f t="shared" si="332"/>
        <v>0</v>
      </c>
      <c r="AW291" s="100">
        <f t="shared" si="333"/>
        <v>0</v>
      </c>
      <c r="AX291" s="100">
        <f t="shared" si="334"/>
        <v>0</v>
      </c>
      <c r="AY291" s="110" t="s">
        <v>1709</v>
      </c>
      <c r="AZ291" s="110" t="s">
        <v>1733</v>
      </c>
      <c r="BA291" s="109" t="s">
        <v>1737</v>
      </c>
      <c r="BC291" s="100">
        <f t="shared" si="335"/>
        <v>0</v>
      </c>
      <c r="BD291" s="100">
        <f t="shared" si="336"/>
        <v>0</v>
      </c>
      <c r="BE291" s="100">
        <v>0</v>
      </c>
      <c r="BF291" s="100">
        <f>291</f>
        <v>291</v>
      </c>
      <c r="BH291" s="108">
        <f t="shared" si="337"/>
        <v>0</v>
      </c>
      <c r="BI291" s="108">
        <f t="shared" si="338"/>
        <v>0</v>
      </c>
      <c r="BJ291" s="108">
        <f t="shared" si="339"/>
        <v>0</v>
      </c>
    </row>
    <row r="292" spans="1:62" x14ac:dyDescent="0.2">
      <c r="A292" s="117" t="s">
        <v>254</v>
      </c>
      <c r="B292" s="117" t="s">
        <v>4047</v>
      </c>
      <c r="C292" s="304" t="s">
        <v>1340</v>
      </c>
      <c r="D292" s="305"/>
      <c r="E292" s="305"/>
      <c r="F292" s="117" t="s">
        <v>1644</v>
      </c>
      <c r="G292" s="116">
        <v>3</v>
      </c>
      <c r="H292" s="159"/>
      <c r="I292" s="108">
        <f t="shared" si="316"/>
        <v>0</v>
      </c>
      <c r="J292" s="108">
        <f t="shared" si="317"/>
        <v>0</v>
      </c>
      <c r="K292" s="108">
        <f t="shared" si="318"/>
        <v>0</v>
      </c>
      <c r="L292" s="111"/>
      <c r="Z292" s="100">
        <f t="shared" si="319"/>
        <v>0</v>
      </c>
      <c r="AB292" s="100">
        <f t="shared" si="320"/>
        <v>0</v>
      </c>
      <c r="AC292" s="100">
        <f t="shared" si="321"/>
        <v>0</v>
      </c>
      <c r="AD292" s="100">
        <f t="shared" si="322"/>
        <v>0</v>
      </c>
      <c r="AE292" s="100">
        <f t="shared" si="323"/>
        <v>0</v>
      </c>
      <c r="AF292" s="100">
        <f t="shared" si="324"/>
        <v>0</v>
      </c>
      <c r="AG292" s="100">
        <f t="shared" si="325"/>
        <v>0</v>
      </c>
      <c r="AH292" s="100">
        <f t="shared" si="326"/>
        <v>0</v>
      </c>
      <c r="AI292" s="109"/>
      <c r="AJ292" s="108">
        <f t="shared" si="327"/>
        <v>0</v>
      </c>
      <c r="AK292" s="108">
        <f t="shared" si="328"/>
        <v>0</v>
      </c>
      <c r="AL292" s="108">
        <f t="shared" si="329"/>
        <v>0</v>
      </c>
      <c r="AN292" s="100">
        <v>15</v>
      </c>
      <c r="AO292" s="100">
        <f t="shared" si="330"/>
        <v>0</v>
      </c>
      <c r="AP292" s="100">
        <f t="shared" si="331"/>
        <v>0</v>
      </c>
      <c r="AQ292" s="111" t="s">
        <v>13</v>
      </c>
      <c r="AV292" s="100">
        <f t="shared" si="332"/>
        <v>0</v>
      </c>
      <c r="AW292" s="100">
        <f t="shared" si="333"/>
        <v>0</v>
      </c>
      <c r="AX292" s="100">
        <f t="shared" si="334"/>
        <v>0</v>
      </c>
      <c r="AY292" s="110" t="s">
        <v>1709</v>
      </c>
      <c r="AZ292" s="110" t="s">
        <v>1733</v>
      </c>
      <c r="BA292" s="109" t="s">
        <v>1737</v>
      </c>
      <c r="BC292" s="100">
        <f t="shared" si="335"/>
        <v>0</v>
      </c>
      <c r="BD292" s="100">
        <f t="shared" si="336"/>
        <v>0</v>
      </c>
      <c r="BE292" s="100">
        <v>0</v>
      </c>
      <c r="BF292" s="100">
        <f>292</f>
        <v>292</v>
      </c>
      <c r="BH292" s="108">
        <f t="shared" si="337"/>
        <v>0</v>
      </c>
      <c r="BI292" s="108">
        <f t="shared" si="338"/>
        <v>0</v>
      </c>
      <c r="BJ292" s="108">
        <f t="shared" si="339"/>
        <v>0</v>
      </c>
    </row>
    <row r="293" spans="1:62" x14ac:dyDescent="0.2">
      <c r="A293" s="117" t="s">
        <v>255</v>
      </c>
      <c r="B293" s="117" t="s">
        <v>4046</v>
      </c>
      <c r="C293" s="304" t="s">
        <v>1341</v>
      </c>
      <c r="D293" s="305"/>
      <c r="E293" s="305"/>
      <c r="F293" s="117" t="s">
        <v>1644</v>
      </c>
      <c r="G293" s="116">
        <v>1</v>
      </c>
      <c r="H293" s="159"/>
      <c r="I293" s="108">
        <f t="shared" si="316"/>
        <v>0</v>
      </c>
      <c r="J293" s="108">
        <f t="shared" si="317"/>
        <v>0</v>
      </c>
      <c r="K293" s="108">
        <f t="shared" si="318"/>
        <v>0</v>
      </c>
      <c r="L293" s="111"/>
      <c r="Z293" s="100">
        <f t="shared" si="319"/>
        <v>0</v>
      </c>
      <c r="AB293" s="100">
        <f t="shared" si="320"/>
        <v>0</v>
      </c>
      <c r="AC293" s="100">
        <f t="shared" si="321"/>
        <v>0</v>
      </c>
      <c r="AD293" s="100">
        <f t="shared" si="322"/>
        <v>0</v>
      </c>
      <c r="AE293" s="100">
        <f t="shared" si="323"/>
        <v>0</v>
      </c>
      <c r="AF293" s="100">
        <f t="shared" si="324"/>
        <v>0</v>
      </c>
      <c r="AG293" s="100">
        <f t="shared" si="325"/>
        <v>0</v>
      </c>
      <c r="AH293" s="100">
        <f t="shared" si="326"/>
        <v>0</v>
      </c>
      <c r="AI293" s="109"/>
      <c r="AJ293" s="108">
        <f t="shared" si="327"/>
        <v>0</v>
      </c>
      <c r="AK293" s="108">
        <f t="shared" si="328"/>
        <v>0</v>
      </c>
      <c r="AL293" s="108">
        <f t="shared" si="329"/>
        <v>0</v>
      </c>
      <c r="AN293" s="100">
        <v>15</v>
      </c>
      <c r="AO293" s="100">
        <f t="shared" si="330"/>
        <v>0</v>
      </c>
      <c r="AP293" s="100">
        <f t="shared" si="331"/>
        <v>0</v>
      </c>
      <c r="AQ293" s="111" t="s">
        <v>13</v>
      </c>
      <c r="AV293" s="100">
        <f t="shared" si="332"/>
        <v>0</v>
      </c>
      <c r="AW293" s="100">
        <f t="shared" si="333"/>
        <v>0</v>
      </c>
      <c r="AX293" s="100">
        <f t="shared" si="334"/>
        <v>0</v>
      </c>
      <c r="AY293" s="110" t="s">
        <v>1709</v>
      </c>
      <c r="AZ293" s="110" t="s">
        <v>1733</v>
      </c>
      <c r="BA293" s="109" t="s">
        <v>1737</v>
      </c>
      <c r="BC293" s="100">
        <f t="shared" si="335"/>
        <v>0</v>
      </c>
      <c r="BD293" s="100">
        <f t="shared" si="336"/>
        <v>0</v>
      </c>
      <c r="BE293" s="100">
        <v>0</v>
      </c>
      <c r="BF293" s="100">
        <f>293</f>
        <v>293</v>
      </c>
      <c r="BH293" s="108">
        <f t="shared" si="337"/>
        <v>0</v>
      </c>
      <c r="BI293" s="108">
        <f t="shared" si="338"/>
        <v>0</v>
      </c>
      <c r="BJ293" s="108">
        <f t="shared" si="339"/>
        <v>0</v>
      </c>
    </row>
    <row r="294" spans="1:62" x14ac:dyDescent="0.2">
      <c r="A294" s="117" t="s">
        <v>256</v>
      </c>
      <c r="B294" s="117" t="s">
        <v>4045</v>
      </c>
      <c r="C294" s="304" t="s">
        <v>1342</v>
      </c>
      <c r="D294" s="305"/>
      <c r="E294" s="305"/>
      <c r="F294" s="117" t="s">
        <v>1646</v>
      </c>
      <c r="G294" s="116">
        <v>5</v>
      </c>
      <c r="H294" s="159"/>
      <c r="I294" s="108">
        <f t="shared" si="316"/>
        <v>0</v>
      </c>
      <c r="J294" s="108">
        <f t="shared" si="317"/>
        <v>0</v>
      </c>
      <c r="K294" s="108">
        <f t="shared" si="318"/>
        <v>0</v>
      </c>
      <c r="L294" s="111"/>
      <c r="Z294" s="100">
        <f t="shared" si="319"/>
        <v>0</v>
      </c>
      <c r="AB294" s="100">
        <f t="shared" si="320"/>
        <v>0</v>
      </c>
      <c r="AC294" s="100">
        <f t="shared" si="321"/>
        <v>0</v>
      </c>
      <c r="AD294" s="100">
        <f t="shared" si="322"/>
        <v>0</v>
      </c>
      <c r="AE294" s="100">
        <f t="shared" si="323"/>
        <v>0</v>
      </c>
      <c r="AF294" s="100">
        <f t="shared" si="324"/>
        <v>0</v>
      </c>
      <c r="AG294" s="100">
        <f t="shared" si="325"/>
        <v>0</v>
      </c>
      <c r="AH294" s="100">
        <f t="shared" si="326"/>
        <v>0</v>
      </c>
      <c r="AI294" s="109"/>
      <c r="AJ294" s="108">
        <f t="shared" si="327"/>
        <v>0</v>
      </c>
      <c r="AK294" s="108">
        <f t="shared" si="328"/>
        <v>0</v>
      </c>
      <c r="AL294" s="108">
        <f t="shared" si="329"/>
        <v>0</v>
      </c>
      <c r="AN294" s="100">
        <v>15</v>
      </c>
      <c r="AO294" s="100">
        <f t="shared" si="330"/>
        <v>0</v>
      </c>
      <c r="AP294" s="100">
        <f t="shared" si="331"/>
        <v>0</v>
      </c>
      <c r="AQ294" s="111" t="s">
        <v>13</v>
      </c>
      <c r="AV294" s="100">
        <f t="shared" si="332"/>
        <v>0</v>
      </c>
      <c r="AW294" s="100">
        <f t="shared" si="333"/>
        <v>0</v>
      </c>
      <c r="AX294" s="100">
        <f t="shared" si="334"/>
        <v>0</v>
      </c>
      <c r="AY294" s="110" t="s">
        <v>1709</v>
      </c>
      <c r="AZ294" s="110" t="s">
        <v>1733</v>
      </c>
      <c r="BA294" s="109" t="s">
        <v>1737</v>
      </c>
      <c r="BC294" s="100">
        <f t="shared" si="335"/>
        <v>0</v>
      </c>
      <c r="BD294" s="100">
        <f t="shared" si="336"/>
        <v>0</v>
      </c>
      <c r="BE294" s="100">
        <v>0</v>
      </c>
      <c r="BF294" s="100">
        <f>294</f>
        <v>294</v>
      </c>
      <c r="BH294" s="108">
        <f t="shared" si="337"/>
        <v>0</v>
      </c>
      <c r="BI294" s="108">
        <f t="shared" si="338"/>
        <v>0</v>
      </c>
      <c r="BJ294" s="108">
        <f t="shared" si="339"/>
        <v>0</v>
      </c>
    </row>
    <row r="295" spans="1:62" x14ac:dyDescent="0.2">
      <c r="A295" s="117" t="s">
        <v>257</v>
      </c>
      <c r="B295" s="117" t="s">
        <v>4044</v>
      </c>
      <c r="C295" s="304" t="s">
        <v>1343</v>
      </c>
      <c r="D295" s="305"/>
      <c r="E295" s="305"/>
      <c r="F295" s="117" t="s">
        <v>1646</v>
      </c>
      <c r="G295" s="116">
        <v>9</v>
      </c>
      <c r="H295" s="159"/>
      <c r="I295" s="108">
        <f t="shared" si="316"/>
        <v>0</v>
      </c>
      <c r="J295" s="108">
        <f t="shared" si="317"/>
        <v>0</v>
      </c>
      <c r="K295" s="108">
        <f t="shared" si="318"/>
        <v>0</v>
      </c>
      <c r="L295" s="111"/>
      <c r="Z295" s="100">
        <f t="shared" si="319"/>
        <v>0</v>
      </c>
      <c r="AB295" s="100">
        <f t="shared" si="320"/>
        <v>0</v>
      </c>
      <c r="AC295" s="100">
        <f t="shared" si="321"/>
        <v>0</v>
      </c>
      <c r="AD295" s="100">
        <f t="shared" si="322"/>
        <v>0</v>
      </c>
      <c r="AE295" s="100">
        <f t="shared" si="323"/>
        <v>0</v>
      </c>
      <c r="AF295" s="100">
        <f t="shared" si="324"/>
        <v>0</v>
      </c>
      <c r="AG295" s="100">
        <f t="shared" si="325"/>
        <v>0</v>
      </c>
      <c r="AH295" s="100">
        <f t="shared" si="326"/>
        <v>0</v>
      </c>
      <c r="AI295" s="109"/>
      <c r="AJ295" s="108">
        <f t="shared" si="327"/>
        <v>0</v>
      </c>
      <c r="AK295" s="108">
        <f t="shared" si="328"/>
        <v>0</v>
      </c>
      <c r="AL295" s="108">
        <f t="shared" si="329"/>
        <v>0</v>
      </c>
      <c r="AN295" s="100">
        <v>15</v>
      </c>
      <c r="AO295" s="100">
        <f t="shared" si="330"/>
        <v>0</v>
      </c>
      <c r="AP295" s="100">
        <f t="shared" si="331"/>
        <v>0</v>
      </c>
      <c r="AQ295" s="111" t="s">
        <v>13</v>
      </c>
      <c r="AV295" s="100">
        <f t="shared" si="332"/>
        <v>0</v>
      </c>
      <c r="AW295" s="100">
        <f t="shared" si="333"/>
        <v>0</v>
      </c>
      <c r="AX295" s="100">
        <f t="shared" si="334"/>
        <v>0</v>
      </c>
      <c r="AY295" s="110" t="s">
        <v>1709</v>
      </c>
      <c r="AZ295" s="110" t="s">
        <v>1733</v>
      </c>
      <c r="BA295" s="109" t="s">
        <v>1737</v>
      </c>
      <c r="BC295" s="100">
        <f t="shared" si="335"/>
        <v>0</v>
      </c>
      <c r="BD295" s="100">
        <f t="shared" si="336"/>
        <v>0</v>
      </c>
      <c r="BE295" s="100">
        <v>0</v>
      </c>
      <c r="BF295" s="100">
        <f>295</f>
        <v>295</v>
      </c>
      <c r="BH295" s="108">
        <f t="shared" si="337"/>
        <v>0</v>
      </c>
      <c r="BI295" s="108">
        <f t="shared" si="338"/>
        <v>0</v>
      </c>
      <c r="BJ295" s="108">
        <f t="shared" si="339"/>
        <v>0</v>
      </c>
    </row>
    <row r="296" spans="1:62" x14ac:dyDescent="0.2">
      <c r="A296" s="117" t="s">
        <v>258</v>
      </c>
      <c r="B296" s="117" t="s">
        <v>4043</v>
      </c>
      <c r="C296" s="304" t="s">
        <v>4042</v>
      </c>
      <c r="D296" s="305"/>
      <c r="E296" s="305"/>
      <c r="F296" s="117" t="s">
        <v>1645</v>
      </c>
      <c r="G296" s="116">
        <v>3</v>
      </c>
      <c r="H296" s="159"/>
      <c r="I296" s="108">
        <f t="shared" ref="I296:I308" si="340">G296*AO296</f>
        <v>0</v>
      </c>
      <c r="J296" s="108">
        <f t="shared" ref="J296:J308" si="341">G296*AP296</f>
        <v>0</v>
      </c>
      <c r="K296" s="108">
        <f t="shared" ref="K296:K308" si="342">G296*H296</f>
        <v>0</v>
      </c>
      <c r="L296" s="111"/>
      <c r="Z296" s="100">
        <f t="shared" ref="Z296:Z308" si="343">IF(AQ296="5",BJ296,0)</f>
        <v>0</v>
      </c>
      <c r="AB296" s="100">
        <f t="shared" ref="AB296:AB308" si="344">IF(AQ296="1",BH296,0)</f>
        <v>0</v>
      </c>
      <c r="AC296" s="100">
        <f t="shared" ref="AC296:AC308" si="345">IF(AQ296="1",BI296,0)</f>
        <v>0</v>
      </c>
      <c r="AD296" s="100">
        <f t="shared" ref="AD296:AD308" si="346">IF(AQ296="7",BH296,0)</f>
        <v>0</v>
      </c>
      <c r="AE296" s="100">
        <f t="shared" ref="AE296:AE308" si="347">IF(AQ296="7",BI296,0)</f>
        <v>0</v>
      </c>
      <c r="AF296" s="100">
        <f t="shared" ref="AF296:AF308" si="348">IF(AQ296="2",BH296,0)</f>
        <v>0</v>
      </c>
      <c r="AG296" s="100">
        <f t="shared" ref="AG296:AG308" si="349">IF(AQ296="2",BI296,0)</f>
        <v>0</v>
      </c>
      <c r="AH296" s="100">
        <f t="shared" ref="AH296:AH308" si="350">IF(AQ296="0",BJ296,0)</f>
        <v>0</v>
      </c>
      <c r="AI296" s="109"/>
      <c r="AJ296" s="108">
        <f t="shared" ref="AJ296:AJ308" si="351">IF(AN296=0,K296,0)</f>
        <v>0</v>
      </c>
      <c r="AK296" s="108">
        <f t="shared" ref="AK296:AK308" si="352">IF(AN296=15,K296,0)</f>
        <v>0</v>
      </c>
      <c r="AL296" s="108">
        <f t="shared" ref="AL296:AL308" si="353">IF(AN296=21,K296,0)</f>
        <v>0</v>
      </c>
      <c r="AN296" s="100">
        <v>15</v>
      </c>
      <c r="AO296" s="100">
        <f t="shared" ref="AO296:AO308" si="354">H296*0</f>
        <v>0</v>
      </c>
      <c r="AP296" s="100">
        <f t="shared" ref="AP296:AP308" si="355">H296*(1-0)</f>
        <v>0</v>
      </c>
      <c r="AQ296" s="111" t="s">
        <v>13</v>
      </c>
      <c r="AV296" s="100">
        <f t="shared" ref="AV296:AV308" si="356">AW296+AX296</f>
        <v>0</v>
      </c>
      <c r="AW296" s="100">
        <f t="shared" ref="AW296:AW308" si="357">G296*AO296</f>
        <v>0</v>
      </c>
      <c r="AX296" s="100">
        <f t="shared" ref="AX296:AX308" si="358">G296*AP296</f>
        <v>0</v>
      </c>
      <c r="AY296" s="110" t="s">
        <v>1709</v>
      </c>
      <c r="AZ296" s="110" t="s">
        <v>1733</v>
      </c>
      <c r="BA296" s="109" t="s">
        <v>1737</v>
      </c>
      <c r="BC296" s="100">
        <f t="shared" ref="BC296:BC308" si="359">AW296+AX296</f>
        <v>0</v>
      </c>
      <c r="BD296" s="100">
        <f t="shared" ref="BD296:BD308" si="360">H296/(100-BE296)*100</f>
        <v>0</v>
      </c>
      <c r="BE296" s="100">
        <v>0</v>
      </c>
      <c r="BF296" s="100">
        <f>296</f>
        <v>296</v>
      </c>
      <c r="BH296" s="108">
        <f t="shared" ref="BH296:BH308" si="361">G296*AO296</f>
        <v>0</v>
      </c>
      <c r="BI296" s="108">
        <f t="shared" ref="BI296:BI308" si="362">G296*AP296</f>
        <v>0</v>
      </c>
      <c r="BJ296" s="108">
        <f t="shared" ref="BJ296:BJ308" si="363">G296*H296</f>
        <v>0</v>
      </c>
    </row>
    <row r="297" spans="1:62" x14ac:dyDescent="0.2">
      <c r="A297" s="117" t="s">
        <v>259</v>
      </c>
      <c r="B297" s="117" t="s">
        <v>4041</v>
      </c>
      <c r="C297" s="304" t="s">
        <v>1344</v>
      </c>
      <c r="D297" s="305"/>
      <c r="E297" s="305"/>
      <c r="F297" s="117" t="s">
        <v>1646</v>
      </c>
      <c r="G297" s="116">
        <v>20</v>
      </c>
      <c r="H297" s="159"/>
      <c r="I297" s="108">
        <f t="shared" si="340"/>
        <v>0</v>
      </c>
      <c r="J297" s="108">
        <f t="shared" si="341"/>
        <v>0</v>
      </c>
      <c r="K297" s="108">
        <f t="shared" si="342"/>
        <v>0</v>
      </c>
      <c r="L297" s="111"/>
      <c r="Z297" s="100">
        <f t="shared" si="343"/>
        <v>0</v>
      </c>
      <c r="AB297" s="100">
        <f t="shared" si="344"/>
        <v>0</v>
      </c>
      <c r="AC297" s="100">
        <f t="shared" si="345"/>
        <v>0</v>
      </c>
      <c r="AD297" s="100">
        <f t="shared" si="346"/>
        <v>0</v>
      </c>
      <c r="AE297" s="100">
        <f t="shared" si="347"/>
        <v>0</v>
      </c>
      <c r="AF297" s="100">
        <f t="shared" si="348"/>
        <v>0</v>
      </c>
      <c r="AG297" s="100">
        <f t="shared" si="349"/>
        <v>0</v>
      </c>
      <c r="AH297" s="100">
        <f t="shared" si="350"/>
        <v>0</v>
      </c>
      <c r="AI297" s="109"/>
      <c r="AJ297" s="108">
        <f t="shared" si="351"/>
        <v>0</v>
      </c>
      <c r="AK297" s="108">
        <f t="shared" si="352"/>
        <v>0</v>
      </c>
      <c r="AL297" s="108">
        <f t="shared" si="353"/>
        <v>0</v>
      </c>
      <c r="AN297" s="100">
        <v>15</v>
      </c>
      <c r="AO297" s="100">
        <f t="shared" si="354"/>
        <v>0</v>
      </c>
      <c r="AP297" s="100">
        <f t="shared" si="355"/>
        <v>0</v>
      </c>
      <c r="AQ297" s="111" t="s">
        <v>13</v>
      </c>
      <c r="AV297" s="100">
        <f t="shared" si="356"/>
        <v>0</v>
      </c>
      <c r="AW297" s="100">
        <f t="shared" si="357"/>
        <v>0</v>
      </c>
      <c r="AX297" s="100">
        <f t="shared" si="358"/>
        <v>0</v>
      </c>
      <c r="AY297" s="110" t="s">
        <v>1709</v>
      </c>
      <c r="AZ297" s="110" t="s">
        <v>1733</v>
      </c>
      <c r="BA297" s="109" t="s">
        <v>1737</v>
      </c>
      <c r="BC297" s="100">
        <f t="shared" si="359"/>
        <v>0</v>
      </c>
      <c r="BD297" s="100">
        <f t="shared" si="360"/>
        <v>0</v>
      </c>
      <c r="BE297" s="100">
        <v>0</v>
      </c>
      <c r="BF297" s="100">
        <f>297</f>
        <v>297</v>
      </c>
      <c r="BH297" s="108">
        <f t="shared" si="361"/>
        <v>0</v>
      </c>
      <c r="BI297" s="108">
        <f t="shared" si="362"/>
        <v>0</v>
      </c>
      <c r="BJ297" s="108">
        <f t="shared" si="363"/>
        <v>0</v>
      </c>
    </row>
    <row r="298" spans="1:62" x14ac:dyDescent="0.2">
      <c r="A298" s="117" t="s">
        <v>260</v>
      </c>
      <c r="B298" s="117" t="s">
        <v>4040</v>
      </c>
      <c r="C298" s="304" t="s">
        <v>1345</v>
      </c>
      <c r="D298" s="305"/>
      <c r="E298" s="305"/>
      <c r="F298" s="117" t="s">
        <v>1646</v>
      </c>
      <c r="G298" s="116">
        <v>20</v>
      </c>
      <c r="H298" s="159"/>
      <c r="I298" s="108">
        <f t="shared" si="340"/>
        <v>0</v>
      </c>
      <c r="J298" s="108">
        <f t="shared" si="341"/>
        <v>0</v>
      </c>
      <c r="K298" s="108">
        <f t="shared" si="342"/>
        <v>0</v>
      </c>
      <c r="L298" s="111"/>
      <c r="Z298" s="100">
        <f t="shared" si="343"/>
        <v>0</v>
      </c>
      <c r="AB298" s="100">
        <f t="shared" si="344"/>
        <v>0</v>
      </c>
      <c r="AC298" s="100">
        <f t="shared" si="345"/>
        <v>0</v>
      </c>
      <c r="AD298" s="100">
        <f t="shared" si="346"/>
        <v>0</v>
      </c>
      <c r="AE298" s="100">
        <f t="shared" si="347"/>
        <v>0</v>
      </c>
      <c r="AF298" s="100">
        <f t="shared" si="348"/>
        <v>0</v>
      </c>
      <c r="AG298" s="100">
        <f t="shared" si="349"/>
        <v>0</v>
      </c>
      <c r="AH298" s="100">
        <f t="shared" si="350"/>
        <v>0</v>
      </c>
      <c r="AI298" s="109"/>
      <c r="AJ298" s="108">
        <f t="shared" si="351"/>
        <v>0</v>
      </c>
      <c r="AK298" s="108">
        <f t="shared" si="352"/>
        <v>0</v>
      </c>
      <c r="AL298" s="108">
        <f t="shared" si="353"/>
        <v>0</v>
      </c>
      <c r="AN298" s="100">
        <v>15</v>
      </c>
      <c r="AO298" s="100">
        <f t="shared" si="354"/>
        <v>0</v>
      </c>
      <c r="AP298" s="100">
        <f t="shared" si="355"/>
        <v>0</v>
      </c>
      <c r="AQ298" s="111" t="s">
        <v>13</v>
      </c>
      <c r="AV298" s="100">
        <f t="shared" si="356"/>
        <v>0</v>
      </c>
      <c r="AW298" s="100">
        <f t="shared" si="357"/>
        <v>0</v>
      </c>
      <c r="AX298" s="100">
        <f t="shared" si="358"/>
        <v>0</v>
      </c>
      <c r="AY298" s="110" t="s">
        <v>1709</v>
      </c>
      <c r="AZ298" s="110" t="s">
        <v>1733</v>
      </c>
      <c r="BA298" s="109" t="s">
        <v>1737</v>
      </c>
      <c r="BC298" s="100">
        <f t="shared" si="359"/>
        <v>0</v>
      </c>
      <c r="BD298" s="100">
        <f t="shared" si="360"/>
        <v>0</v>
      </c>
      <c r="BE298" s="100">
        <v>0</v>
      </c>
      <c r="BF298" s="100">
        <f>298</f>
        <v>298</v>
      </c>
      <c r="BH298" s="108">
        <f t="shared" si="361"/>
        <v>0</v>
      </c>
      <c r="BI298" s="108">
        <f t="shared" si="362"/>
        <v>0</v>
      </c>
      <c r="BJ298" s="108">
        <f t="shared" si="363"/>
        <v>0</v>
      </c>
    </row>
    <row r="299" spans="1:62" x14ac:dyDescent="0.2">
      <c r="A299" s="117" t="s">
        <v>261</v>
      </c>
      <c r="B299" s="117" t="s">
        <v>4039</v>
      </c>
      <c r="C299" s="304" t="s">
        <v>1346</v>
      </c>
      <c r="D299" s="305"/>
      <c r="E299" s="305"/>
      <c r="F299" s="117" t="s">
        <v>1644</v>
      </c>
      <c r="G299" s="116">
        <v>1</v>
      </c>
      <c r="H299" s="159"/>
      <c r="I299" s="108">
        <f t="shared" si="340"/>
        <v>0</v>
      </c>
      <c r="J299" s="108">
        <f t="shared" si="341"/>
        <v>0</v>
      </c>
      <c r="K299" s="108">
        <f t="shared" si="342"/>
        <v>0</v>
      </c>
      <c r="L299" s="111"/>
      <c r="Z299" s="100">
        <f t="shared" si="343"/>
        <v>0</v>
      </c>
      <c r="AB299" s="100">
        <f t="shared" si="344"/>
        <v>0</v>
      </c>
      <c r="AC299" s="100">
        <f t="shared" si="345"/>
        <v>0</v>
      </c>
      <c r="AD299" s="100">
        <f t="shared" si="346"/>
        <v>0</v>
      </c>
      <c r="AE299" s="100">
        <f t="shared" si="347"/>
        <v>0</v>
      </c>
      <c r="AF299" s="100">
        <f t="shared" si="348"/>
        <v>0</v>
      </c>
      <c r="AG299" s="100">
        <f t="shared" si="349"/>
        <v>0</v>
      </c>
      <c r="AH299" s="100">
        <f t="shared" si="350"/>
        <v>0</v>
      </c>
      <c r="AI299" s="109"/>
      <c r="AJ299" s="108">
        <f t="shared" si="351"/>
        <v>0</v>
      </c>
      <c r="AK299" s="108">
        <f t="shared" si="352"/>
        <v>0</v>
      </c>
      <c r="AL299" s="108">
        <f t="shared" si="353"/>
        <v>0</v>
      </c>
      <c r="AN299" s="100">
        <v>15</v>
      </c>
      <c r="AO299" s="100">
        <f t="shared" si="354"/>
        <v>0</v>
      </c>
      <c r="AP299" s="100">
        <f t="shared" si="355"/>
        <v>0</v>
      </c>
      <c r="AQ299" s="111" t="s">
        <v>13</v>
      </c>
      <c r="AV299" s="100">
        <f t="shared" si="356"/>
        <v>0</v>
      </c>
      <c r="AW299" s="100">
        <f t="shared" si="357"/>
        <v>0</v>
      </c>
      <c r="AX299" s="100">
        <f t="shared" si="358"/>
        <v>0</v>
      </c>
      <c r="AY299" s="110" t="s">
        <v>1709</v>
      </c>
      <c r="AZ299" s="110" t="s">
        <v>1733</v>
      </c>
      <c r="BA299" s="109" t="s">
        <v>1737</v>
      </c>
      <c r="BC299" s="100">
        <f t="shared" si="359"/>
        <v>0</v>
      </c>
      <c r="BD299" s="100">
        <f t="shared" si="360"/>
        <v>0</v>
      </c>
      <c r="BE299" s="100">
        <v>0</v>
      </c>
      <c r="BF299" s="100">
        <f>299</f>
        <v>299</v>
      </c>
      <c r="BH299" s="108">
        <f t="shared" si="361"/>
        <v>0</v>
      </c>
      <c r="BI299" s="108">
        <f t="shared" si="362"/>
        <v>0</v>
      </c>
      <c r="BJ299" s="108">
        <f t="shared" si="363"/>
        <v>0</v>
      </c>
    </row>
    <row r="300" spans="1:62" x14ac:dyDescent="0.2">
      <c r="A300" s="117" t="s">
        <v>262</v>
      </c>
      <c r="B300" s="117" t="s">
        <v>4038</v>
      </c>
      <c r="C300" s="304" t="s">
        <v>1253</v>
      </c>
      <c r="D300" s="305"/>
      <c r="E300" s="305"/>
      <c r="F300" s="117" t="s">
        <v>1644</v>
      </c>
      <c r="G300" s="116">
        <v>1</v>
      </c>
      <c r="H300" s="159"/>
      <c r="I300" s="108">
        <f t="shared" si="340"/>
        <v>0</v>
      </c>
      <c r="J300" s="108">
        <f t="shared" si="341"/>
        <v>0</v>
      </c>
      <c r="K300" s="108">
        <f t="shared" si="342"/>
        <v>0</v>
      </c>
      <c r="L300" s="111"/>
      <c r="Z300" s="100">
        <f t="shared" si="343"/>
        <v>0</v>
      </c>
      <c r="AB300" s="100">
        <f t="shared" si="344"/>
        <v>0</v>
      </c>
      <c r="AC300" s="100">
        <f t="shared" si="345"/>
        <v>0</v>
      </c>
      <c r="AD300" s="100">
        <f t="shared" si="346"/>
        <v>0</v>
      </c>
      <c r="AE300" s="100">
        <f t="shared" si="347"/>
        <v>0</v>
      </c>
      <c r="AF300" s="100">
        <f t="shared" si="348"/>
        <v>0</v>
      </c>
      <c r="AG300" s="100">
        <f t="shared" si="349"/>
        <v>0</v>
      </c>
      <c r="AH300" s="100">
        <f t="shared" si="350"/>
        <v>0</v>
      </c>
      <c r="AI300" s="109"/>
      <c r="AJ300" s="108">
        <f t="shared" si="351"/>
        <v>0</v>
      </c>
      <c r="AK300" s="108">
        <f t="shared" si="352"/>
        <v>0</v>
      </c>
      <c r="AL300" s="108">
        <f t="shared" si="353"/>
        <v>0</v>
      </c>
      <c r="AN300" s="100">
        <v>15</v>
      </c>
      <c r="AO300" s="100">
        <f t="shared" si="354"/>
        <v>0</v>
      </c>
      <c r="AP300" s="100">
        <f t="shared" si="355"/>
        <v>0</v>
      </c>
      <c r="AQ300" s="111" t="s">
        <v>13</v>
      </c>
      <c r="AV300" s="100">
        <f t="shared" si="356"/>
        <v>0</v>
      </c>
      <c r="AW300" s="100">
        <f t="shared" si="357"/>
        <v>0</v>
      </c>
      <c r="AX300" s="100">
        <f t="shared" si="358"/>
        <v>0</v>
      </c>
      <c r="AY300" s="110" t="s">
        <v>1709</v>
      </c>
      <c r="AZ300" s="110" t="s">
        <v>1733</v>
      </c>
      <c r="BA300" s="109" t="s">
        <v>1737</v>
      </c>
      <c r="BC300" s="100">
        <f t="shared" si="359"/>
        <v>0</v>
      </c>
      <c r="BD300" s="100">
        <f t="shared" si="360"/>
        <v>0</v>
      </c>
      <c r="BE300" s="100">
        <v>0</v>
      </c>
      <c r="BF300" s="100">
        <f>300</f>
        <v>300</v>
      </c>
      <c r="BH300" s="108">
        <f t="shared" si="361"/>
        <v>0</v>
      </c>
      <c r="BI300" s="108">
        <f t="shared" si="362"/>
        <v>0</v>
      </c>
      <c r="BJ300" s="108">
        <f t="shared" si="363"/>
        <v>0</v>
      </c>
    </row>
    <row r="301" spans="1:62" x14ac:dyDescent="0.2">
      <c r="A301" s="117" t="s">
        <v>263</v>
      </c>
      <c r="B301" s="117" t="s">
        <v>4037</v>
      </c>
      <c r="C301" s="304" t="s">
        <v>1347</v>
      </c>
      <c r="D301" s="305"/>
      <c r="E301" s="305"/>
      <c r="F301" s="117" t="s">
        <v>1646</v>
      </c>
      <c r="G301" s="116">
        <v>92</v>
      </c>
      <c r="H301" s="159"/>
      <c r="I301" s="108">
        <f t="shared" si="340"/>
        <v>0</v>
      </c>
      <c r="J301" s="108">
        <f t="shared" si="341"/>
        <v>0</v>
      </c>
      <c r="K301" s="108">
        <f t="shared" si="342"/>
        <v>0</v>
      </c>
      <c r="L301" s="111"/>
      <c r="Z301" s="100">
        <f t="shared" si="343"/>
        <v>0</v>
      </c>
      <c r="AB301" s="100">
        <f t="shared" si="344"/>
        <v>0</v>
      </c>
      <c r="AC301" s="100">
        <f t="shared" si="345"/>
        <v>0</v>
      </c>
      <c r="AD301" s="100">
        <f t="shared" si="346"/>
        <v>0</v>
      </c>
      <c r="AE301" s="100">
        <f t="shared" si="347"/>
        <v>0</v>
      </c>
      <c r="AF301" s="100">
        <f t="shared" si="348"/>
        <v>0</v>
      </c>
      <c r="AG301" s="100">
        <f t="shared" si="349"/>
        <v>0</v>
      </c>
      <c r="AH301" s="100">
        <f t="shared" si="350"/>
        <v>0</v>
      </c>
      <c r="AI301" s="109"/>
      <c r="AJ301" s="108">
        <f t="shared" si="351"/>
        <v>0</v>
      </c>
      <c r="AK301" s="108">
        <f t="shared" si="352"/>
        <v>0</v>
      </c>
      <c r="AL301" s="108">
        <f t="shared" si="353"/>
        <v>0</v>
      </c>
      <c r="AN301" s="100">
        <v>15</v>
      </c>
      <c r="AO301" s="100">
        <f t="shared" si="354"/>
        <v>0</v>
      </c>
      <c r="AP301" s="100">
        <f t="shared" si="355"/>
        <v>0</v>
      </c>
      <c r="AQ301" s="111" t="s">
        <v>13</v>
      </c>
      <c r="AV301" s="100">
        <f t="shared" si="356"/>
        <v>0</v>
      </c>
      <c r="AW301" s="100">
        <f t="shared" si="357"/>
        <v>0</v>
      </c>
      <c r="AX301" s="100">
        <f t="shared" si="358"/>
        <v>0</v>
      </c>
      <c r="AY301" s="110" t="s">
        <v>1709</v>
      </c>
      <c r="AZ301" s="110" t="s">
        <v>1733</v>
      </c>
      <c r="BA301" s="109" t="s">
        <v>1737</v>
      </c>
      <c r="BC301" s="100">
        <f t="shared" si="359"/>
        <v>0</v>
      </c>
      <c r="BD301" s="100">
        <f t="shared" si="360"/>
        <v>0</v>
      </c>
      <c r="BE301" s="100">
        <v>0</v>
      </c>
      <c r="BF301" s="100">
        <f>301</f>
        <v>301</v>
      </c>
      <c r="BH301" s="108">
        <f t="shared" si="361"/>
        <v>0</v>
      </c>
      <c r="BI301" s="108">
        <f t="shared" si="362"/>
        <v>0</v>
      </c>
      <c r="BJ301" s="108">
        <f t="shared" si="363"/>
        <v>0</v>
      </c>
    </row>
    <row r="302" spans="1:62" x14ac:dyDescent="0.2">
      <c r="A302" s="117" t="s">
        <v>264</v>
      </c>
      <c r="B302" s="117" t="s">
        <v>4036</v>
      </c>
      <c r="C302" s="304" t="s">
        <v>1348</v>
      </c>
      <c r="D302" s="305"/>
      <c r="E302" s="305"/>
      <c r="F302" s="117" t="s">
        <v>1644</v>
      </c>
      <c r="G302" s="116">
        <v>1</v>
      </c>
      <c r="H302" s="159"/>
      <c r="I302" s="108">
        <f t="shared" si="340"/>
        <v>0</v>
      </c>
      <c r="J302" s="108">
        <f t="shared" si="341"/>
        <v>0</v>
      </c>
      <c r="K302" s="108">
        <f t="shared" si="342"/>
        <v>0</v>
      </c>
      <c r="L302" s="111"/>
      <c r="Z302" s="100">
        <f t="shared" si="343"/>
        <v>0</v>
      </c>
      <c r="AB302" s="100">
        <f t="shared" si="344"/>
        <v>0</v>
      </c>
      <c r="AC302" s="100">
        <f t="shared" si="345"/>
        <v>0</v>
      </c>
      <c r="AD302" s="100">
        <f t="shared" si="346"/>
        <v>0</v>
      </c>
      <c r="AE302" s="100">
        <f t="shared" si="347"/>
        <v>0</v>
      </c>
      <c r="AF302" s="100">
        <f t="shared" si="348"/>
        <v>0</v>
      </c>
      <c r="AG302" s="100">
        <f t="shared" si="349"/>
        <v>0</v>
      </c>
      <c r="AH302" s="100">
        <f t="shared" si="350"/>
        <v>0</v>
      </c>
      <c r="AI302" s="109"/>
      <c r="AJ302" s="108">
        <f t="shared" si="351"/>
        <v>0</v>
      </c>
      <c r="AK302" s="108">
        <f t="shared" si="352"/>
        <v>0</v>
      </c>
      <c r="AL302" s="108">
        <f t="shared" si="353"/>
        <v>0</v>
      </c>
      <c r="AN302" s="100">
        <v>15</v>
      </c>
      <c r="AO302" s="100">
        <f t="shared" si="354"/>
        <v>0</v>
      </c>
      <c r="AP302" s="100">
        <f t="shared" si="355"/>
        <v>0</v>
      </c>
      <c r="AQ302" s="111" t="s">
        <v>13</v>
      </c>
      <c r="AV302" s="100">
        <f t="shared" si="356"/>
        <v>0</v>
      </c>
      <c r="AW302" s="100">
        <f t="shared" si="357"/>
        <v>0</v>
      </c>
      <c r="AX302" s="100">
        <f t="shared" si="358"/>
        <v>0</v>
      </c>
      <c r="AY302" s="110" t="s">
        <v>1709</v>
      </c>
      <c r="AZ302" s="110" t="s">
        <v>1733</v>
      </c>
      <c r="BA302" s="109" t="s">
        <v>1737</v>
      </c>
      <c r="BC302" s="100">
        <f t="shared" si="359"/>
        <v>0</v>
      </c>
      <c r="BD302" s="100">
        <f t="shared" si="360"/>
        <v>0</v>
      </c>
      <c r="BE302" s="100">
        <v>0</v>
      </c>
      <c r="BF302" s="100">
        <f>302</f>
        <v>302</v>
      </c>
      <c r="BH302" s="108">
        <f t="shared" si="361"/>
        <v>0</v>
      </c>
      <c r="BI302" s="108">
        <f t="shared" si="362"/>
        <v>0</v>
      </c>
      <c r="BJ302" s="108">
        <f t="shared" si="363"/>
        <v>0</v>
      </c>
    </row>
    <row r="303" spans="1:62" x14ac:dyDescent="0.2">
      <c r="A303" s="117" t="s">
        <v>265</v>
      </c>
      <c r="B303" s="117" t="s">
        <v>4035</v>
      </c>
      <c r="C303" s="304" t="s">
        <v>1349</v>
      </c>
      <c r="D303" s="305"/>
      <c r="E303" s="305"/>
      <c r="F303" s="117" t="s">
        <v>1644</v>
      </c>
      <c r="G303" s="116">
        <v>2</v>
      </c>
      <c r="H303" s="159"/>
      <c r="I303" s="108">
        <f t="shared" si="340"/>
        <v>0</v>
      </c>
      <c r="J303" s="108">
        <f t="shared" si="341"/>
        <v>0</v>
      </c>
      <c r="K303" s="108">
        <f t="shared" si="342"/>
        <v>0</v>
      </c>
      <c r="L303" s="111"/>
      <c r="Z303" s="100">
        <f t="shared" si="343"/>
        <v>0</v>
      </c>
      <c r="AB303" s="100">
        <f t="shared" si="344"/>
        <v>0</v>
      </c>
      <c r="AC303" s="100">
        <f t="shared" si="345"/>
        <v>0</v>
      </c>
      <c r="AD303" s="100">
        <f t="shared" si="346"/>
        <v>0</v>
      </c>
      <c r="AE303" s="100">
        <f t="shared" si="347"/>
        <v>0</v>
      </c>
      <c r="AF303" s="100">
        <f t="shared" si="348"/>
        <v>0</v>
      </c>
      <c r="AG303" s="100">
        <f t="shared" si="349"/>
        <v>0</v>
      </c>
      <c r="AH303" s="100">
        <f t="shared" si="350"/>
        <v>0</v>
      </c>
      <c r="AI303" s="109"/>
      <c r="AJ303" s="108">
        <f t="shared" si="351"/>
        <v>0</v>
      </c>
      <c r="AK303" s="108">
        <f t="shared" si="352"/>
        <v>0</v>
      </c>
      <c r="AL303" s="108">
        <f t="shared" si="353"/>
        <v>0</v>
      </c>
      <c r="AN303" s="100">
        <v>15</v>
      </c>
      <c r="AO303" s="100">
        <f t="shared" si="354"/>
        <v>0</v>
      </c>
      <c r="AP303" s="100">
        <f t="shared" si="355"/>
        <v>0</v>
      </c>
      <c r="AQ303" s="111" t="s">
        <v>13</v>
      </c>
      <c r="AV303" s="100">
        <f t="shared" si="356"/>
        <v>0</v>
      </c>
      <c r="AW303" s="100">
        <f t="shared" si="357"/>
        <v>0</v>
      </c>
      <c r="AX303" s="100">
        <f t="shared" si="358"/>
        <v>0</v>
      </c>
      <c r="AY303" s="110" t="s">
        <v>1709</v>
      </c>
      <c r="AZ303" s="110" t="s">
        <v>1733</v>
      </c>
      <c r="BA303" s="109" t="s">
        <v>1737</v>
      </c>
      <c r="BC303" s="100">
        <f t="shared" si="359"/>
        <v>0</v>
      </c>
      <c r="BD303" s="100">
        <f t="shared" si="360"/>
        <v>0</v>
      </c>
      <c r="BE303" s="100">
        <v>0</v>
      </c>
      <c r="BF303" s="100">
        <f>303</f>
        <v>303</v>
      </c>
      <c r="BH303" s="108">
        <f t="shared" si="361"/>
        <v>0</v>
      </c>
      <c r="BI303" s="108">
        <f t="shared" si="362"/>
        <v>0</v>
      </c>
      <c r="BJ303" s="108">
        <f t="shared" si="363"/>
        <v>0</v>
      </c>
    </row>
    <row r="304" spans="1:62" x14ac:dyDescent="0.2">
      <c r="A304" s="117" t="s">
        <v>266</v>
      </c>
      <c r="B304" s="117" t="s">
        <v>4034</v>
      </c>
      <c r="C304" s="304" t="s">
        <v>1350</v>
      </c>
      <c r="D304" s="305"/>
      <c r="E304" s="305"/>
      <c r="F304" s="117" t="s">
        <v>1644</v>
      </c>
      <c r="G304" s="116">
        <v>1</v>
      </c>
      <c r="H304" s="159"/>
      <c r="I304" s="108">
        <f t="shared" si="340"/>
        <v>0</v>
      </c>
      <c r="J304" s="108">
        <f t="shared" si="341"/>
        <v>0</v>
      </c>
      <c r="K304" s="108">
        <f t="shared" si="342"/>
        <v>0</v>
      </c>
      <c r="L304" s="111"/>
      <c r="Z304" s="100">
        <f t="shared" si="343"/>
        <v>0</v>
      </c>
      <c r="AB304" s="100">
        <f t="shared" si="344"/>
        <v>0</v>
      </c>
      <c r="AC304" s="100">
        <f t="shared" si="345"/>
        <v>0</v>
      </c>
      <c r="AD304" s="100">
        <f t="shared" si="346"/>
        <v>0</v>
      </c>
      <c r="AE304" s="100">
        <f t="shared" si="347"/>
        <v>0</v>
      </c>
      <c r="AF304" s="100">
        <f t="shared" si="348"/>
        <v>0</v>
      </c>
      <c r="AG304" s="100">
        <f t="shared" si="349"/>
        <v>0</v>
      </c>
      <c r="AH304" s="100">
        <f t="shared" si="350"/>
        <v>0</v>
      </c>
      <c r="AI304" s="109"/>
      <c r="AJ304" s="108">
        <f t="shared" si="351"/>
        <v>0</v>
      </c>
      <c r="AK304" s="108">
        <f t="shared" si="352"/>
        <v>0</v>
      </c>
      <c r="AL304" s="108">
        <f t="shared" si="353"/>
        <v>0</v>
      </c>
      <c r="AN304" s="100">
        <v>15</v>
      </c>
      <c r="AO304" s="100">
        <f t="shared" si="354"/>
        <v>0</v>
      </c>
      <c r="AP304" s="100">
        <f t="shared" si="355"/>
        <v>0</v>
      </c>
      <c r="AQ304" s="111" t="s">
        <v>13</v>
      </c>
      <c r="AV304" s="100">
        <f t="shared" si="356"/>
        <v>0</v>
      </c>
      <c r="AW304" s="100">
        <f t="shared" si="357"/>
        <v>0</v>
      </c>
      <c r="AX304" s="100">
        <f t="shared" si="358"/>
        <v>0</v>
      </c>
      <c r="AY304" s="110" t="s">
        <v>1709</v>
      </c>
      <c r="AZ304" s="110" t="s">
        <v>1733</v>
      </c>
      <c r="BA304" s="109" t="s">
        <v>1737</v>
      </c>
      <c r="BC304" s="100">
        <f t="shared" si="359"/>
        <v>0</v>
      </c>
      <c r="BD304" s="100">
        <f t="shared" si="360"/>
        <v>0</v>
      </c>
      <c r="BE304" s="100">
        <v>0</v>
      </c>
      <c r="BF304" s="100">
        <f>304</f>
        <v>304</v>
      </c>
      <c r="BH304" s="108">
        <f t="shared" si="361"/>
        <v>0</v>
      </c>
      <c r="BI304" s="108">
        <f t="shared" si="362"/>
        <v>0</v>
      </c>
      <c r="BJ304" s="108">
        <f t="shared" si="363"/>
        <v>0</v>
      </c>
    </row>
    <row r="305" spans="1:62" x14ac:dyDescent="0.2">
      <c r="A305" s="117" t="s">
        <v>267</v>
      </c>
      <c r="B305" s="117" t="s">
        <v>4033</v>
      </c>
      <c r="C305" s="304" t="s">
        <v>1351</v>
      </c>
      <c r="D305" s="305"/>
      <c r="E305" s="305"/>
      <c r="F305" s="117" t="s">
        <v>1644</v>
      </c>
      <c r="G305" s="116">
        <v>1</v>
      </c>
      <c r="H305" s="159"/>
      <c r="I305" s="108">
        <f t="shared" si="340"/>
        <v>0</v>
      </c>
      <c r="J305" s="108">
        <f t="shared" si="341"/>
        <v>0</v>
      </c>
      <c r="K305" s="108">
        <f t="shared" si="342"/>
        <v>0</v>
      </c>
      <c r="L305" s="111"/>
      <c r="Z305" s="100">
        <f t="shared" si="343"/>
        <v>0</v>
      </c>
      <c r="AB305" s="100">
        <f t="shared" si="344"/>
        <v>0</v>
      </c>
      <c r="AC305" s="100">
        <f t="shared" si="345"/>
        <v>0</v>
      </c>
      <c r="AD305" s="100">
        <f t="shared" si="346"/>
        <v>0</v>
      </c>
      <c r="AE305" s="100">
        <f t="shared" si="347"/>
        <v>0</v>
      </c>
      <c r="AF305" s="100">
        <f t="shared" si="348"/>
        <v>0</v>
      </c>
      <c r="AG305" s="100">
        <f t="shared" si="349"/>
        <v>0</v>
      </c>
      <c r="AH305" s="100">
        <f t="shared" si="350"/>
        <v>0</v>
      </c>
      <c r="AI305" s="109"/>
      <c r="AJ305" s="108">
        <f t="shared" si="351"/>
        <v>0</v>
      </c>
      <c r="AK305" s="108">
        <f t="shared" si="352"/>
        <v>0</v>
      </c>
      <c r="AL305" s="108">
        <f t="shared" si="353"/>
        <v>0</v>
      </c>
      <c r="AN305" s="100">
        <v>15</v>
      </c>
      <c r="AO305" s="100">
        <f t="shared" si="354"/>
        <v>0</v>
      </c>
      <c r="AP305" s="100">
        <f t="shared" si="355"/>
        <v>0</v>
      </c>
      <c r="AQ305" s="111" t="s">
        <v>13</v>
      </c>
      <c r="AV305" s="100">
        <f t="shared" si="356"/>
        <v>0</v>
      </c>
      <c r="AW305" s="100">
        <f t="shared" si="357"/>
        <v>0</v>
      </c>
      <c r="AX305" s="100">
        <f t="shared" si="358"/>
        <v>0</v>
      </c>
      <c r="AY305" s="110" t="s">
        <v>1709</v>
      </c>
      <c r="AZ305" s="110" t="s">
        <v>1733</v>
      </c>
      <c r="BA305" s="109" t="s">
        <v>1737</v>
      </c>
      <c r="BC305" s="100">
        <f t="shared" si="359"/>
        <v>0</v>
      </c>
      <c r="BD305" s="100">
        <f t="shared" si="360"/>
        <v>0</v>
      </c>
      <c r="BE305" s="100">
        <v>0</v>
      </c>
      <c r="BF305" s="100">
        <f>305</f>
        <v>305</v>
      </c>
      <c r="BH305" s="108">
        <f t="shared" si="361"/>
        <v>0</v>
      </c>
      <c r="BI305" s="108">
        <f t="shared" si="362"/>
        <v>0</v>
      </c>
      <c r="BJ305" s="108">
        <f t="shared" si="363"/>
        <v>0</v>
      </c>
    </row>
    <row r="306" spans="1:62" x14ac:dyDescent="0.2">
      <c r="A306" s="117" t="s">
        <v>268</v>
      </c>
      <c r="B306" s="117" t="s">
        <v>4032</v>
      </c>
      <c r="C306" s="304" t="s">
        <v>1352</v>
      </c>
      <c r="D306" s="305"/>
      <c r="E306" s="305"/>
      <c r="F306" s="117" t="s">
        <v>1644</v>
      </c>
      <c r="G306" s="116">
        <v>16</v>
      </c>
      <c r="H306" s="159"/>
      <c r="I306" s="108">
        <f t="shared" si="340"/>
        <v>0</v>
      </c>
      <c r="J306" s="108">
        <f t="shared" si="341"/>
        <v>0</v>
      </c>
      <c r="K306" s="108">
        <f t="shared" si="342"/>
        <v>0</v>
      </c>
      <c r="L306" s="111"/>
      <c r="Z306" s="100">
        <f t="shared" si="343"/>
        <v>0</v>
      </c>
      <c r="AB306" s="100">
        <f t="shared" si="344"/>
        <v>0</v>
      </c>
      <c r="AC306" s="100">
        <f t="shared" si="345"/>
        <v>0</v>
      </c>
      <c r="AD306" s="100">
        <f t="shared" si="346"/>
        <v>0</v>
      </c>
      <c r="AE306" s="100">
        <f t="shared" si="347"/>
        <v>0</v>
      </c>
      <c r="AF306" s="100">
        <f t="shared" si="348"/>
        <v>0</v>
      </c>
      <c r="AG306" s="100">
        <f t="shared" si="349"/>
        <v>0</v>
      </c>
      <c r="AH306" s="100">
        <f t="shared" si="350"/>
        <v>0</v>
      </c>
      <c r="AI306" s="109"/>
      <c r="AJ306" s="108">
        <f t="shared" si="351"/>
        <v>0</v>
      </c>
      <c r="AK306" s="108">
        <f t="shared" si="352"/>
        <v>0</v>
      </c>
      <c r="AL306" s="108">
        <f t="shared" si="353"/>
        <v>0</v>
      </c>
      <c r="AN306" s="100">
        <v>15</v>
      </c>
      <c r="AO306" s="100">
        <f t="shared" si="354"/>
        <v>0</v>
      </c>
      <c r="AP306" s="100">
        <f t="shared" si="355"/>
        <v>0</v>
      </c>
      <c r="AQ306" s="111" t="s">
        <v>13</v>
      </c>
      <c r="AV306" s="100">
        <f t="shared" si="356"/>
        <v>0</v>
      </c>
      <c r="AW306" s="100">
        <f t="shared" si="357"/>
        <v>0</v>
      </c>
      <c r="AX306" s="100">
        <f t="shared" si="358"/>
        <v>0</v>
      </c>
      <c r="AY306" s="110" t="s">
        <v>1709</v>
      </c>
      <c r="AZ306" s="110" t="s">
        <v>1733</v>
      </c>
      <c r="BA306" s="109" t="s">
        <v>1737</v>
      </c>
      <c r="BC306" s="100">
        <f t="shared" si="359"/>
        <v>0</v>
      </c>
      <c r="BD306" s="100">
        <f t="shared" si="360"/>
        <v>0</v>
      </c>
      <c r="BE306" s="100">
        <v>0</v>
      </c>
      <c r="BF306" s="100">
        <f>306</f>
        <v>306</v>
      </c>
      <c r="BH306" s="108">
        <f t="shared" si="361"/>
        <v>0</v>
      </c>
      <c r="BI306" s="108">
        <f t="shared" si="362"/>
        <v>0</v>
      </c>
      <c r="BJ306" s="108">
        <f t="shared" si="363"/>
        <v>0</v>
      </c>
    </row>
    <row r="307" spans="1:62" x14ac:dyDescent="0.2">
      <c r="A307" s="117" t="s">
        <v>269</v>
      </c>
      <c r="B307" s="117" t="s">
        <v>4031</v>
      </c>
      <c r="C307" s="304" t="s">
        <v>1353</v>
      </c>
      <c r="D307" s="305"/>
      <c r="E307" s="305"/>
      <c r="F307" s="117" t="s">
        <v>1644</v>
      </c>
      <c r="G307" s="116">
        <v>1</v>
      </c>
      <c r="H307" s="159"/>
      <c r="I307" s="108">
        <f t="shared" si="340"/>
        <v>0</v>
      </c>
      <c r="J307" s="108">
        <f t="shared" si="341"/>
        <v>0</v>
      </c>
      <c r="K307" s="108">
        <f t="shared" si="342"/>
        <v>0</v>
      </c>
      <c r="L307" s="111"/>
      <c r="Z307" s="100">
        <f t="shared" si="343"/>
        <v>0</v>
      </c>
      <c r="AB307" s="100">
        <f t="shared" si="344"/>
        <v>0</v>
      </c>
      <c r="AC307" s="100">
        <f t="shared" si="345"/>
        <v>0</v>
      </c>
      <c r="AD307" s="100">
        <f t="shared" si="346"/>
        <v>0</v>
      </c>
      <c r="AE307" s="100">
        <f t="shared" si="347"/>
        <v>0</v>
      </c>
      <c r="AF307" s="100">
        <f t="shared" si="348"/>
        <v>0</v>
      </c>
      <c r="AG307" s="100">
        <f t="shared" si="349"/>
        <v>0</v>
      </c>
      <c r="AH307" s="100">
        <f t="shared" si="350"/>
        <v>0</v>
      </c>
      <c r="AI307" s="109"/>
      <c r="AJ307" s="108">
        <f t="shared" si="351"/>
        <v>0</v>
      </c>
      <c r="AK307" s="108">
        <f t="shared" si="352"/>
        <v>0</v>
      </c>
      <c r="AL307" s="108">
        <f t="shared" si="353"/>
        <v>0</v>
      </c>
      <c r="AN307" s="100">
        <v>15</v>
      </c>
      <c r="AO307" s="100">
        <f t="shared" si="354"/>
        <v>0</v>
      </c>
      <c r="AP307" s="100">
        <f t="shared" si="355"/>
        <v>0</v>
      </c>
      <c r="AQ307" s="111" t="s">
        <v>13</v>
      </c>
      <c r="AV307" s="100">
        <f t="shared" si="356"/>
        <v>0</v>
      </c>
      <c r="AW307" s="100">
        <f t="shared" si="357"/>
        <v>0</v>
      </c>
      <c r="AX307" s="100">
        <f t="shared" si="358"/>
        <v>0</v>
      </c>
      <c r="AY307" s="110" t="s">
        <v>1709</v>
      </c>
      <c r="AZ307" s="110" t="s">
        <v>1733</v>
      </c>
      <c r="BA307" s="109" t="s">
        <v>1737</v>
      </c>
      <c r="BC307" s="100">
        <f t="shared" si="359"/>
        <v>0</v>
      </c>
      <c r="BD307" s="100">
        <f t="shared" si="360"/>
        <v>0</v>
      </c>
      <c r="BE307" s="100">
        <v>0</v>
      </c>
      <c r="BF307" s="100">
        <f>307</f>
        <v>307</v>
      </c>
      <c r="BH307" s="108">
        <f t="shared" si="361"/>
        <v>0</v>
      </c>
      <c r="BI307" s="108">
        <f t="shared" si="362"/>
        <v>0</v>
      </c>
      <c r="BJ307" s="108">
        <f t="shared" si="363"/>
        <v>0</v>
      </c>
    </row>
    <row r="308" spans="1:62" x14ac:dyDescent="0.2">
      <c r="A308" s="117" t="s">
        <v>270</v>
      </c>
      <c r="B308" s="117" t="s">
        <v>4030</v>
      </c>
      <c r="C308" s="304" t="s">
        <v>1354</v>
      </c>
      <c r="D308" s="305"/>
      <c r="E308" s="305"/>
      <c r="F308" s="117" t="s">
        <v>1644</v>
      </c>
      <c r="G308" s="116">
        <v>1</v>
      </c>
      <c r="H308" s="159"/>
      <c r="I308" s="108">
        <f t="shared" si="340"/>
        <v>0</v>
      </c>
      <c r="J308" s="108">
        <f t="shared" si="341"/>
        <v>0</v>
      </c>
      <c r="K308" s="108">
        <f t="shared" si="342"/>
        <v>0</v>
      </c>
      <c r="L308" s="111"/>
      <c r="Z308" s="100">
        <f t="shared" si="343"/>
        <v>0</v>
      </c>
      <c r="AB308" s="100">
        <f t="shared" si="344"/>
        <v>0</v>
      </c>
      <c r="AC308" s="100">
        <f t="shared" si="345"/>
        <v>0</v>
      </c>
      <c r="AD308" s="100">
        <f t="shared" si="346"/>
        <v>0</v>
      </c>
      <c r="AE308" s="100">
        <f t="shared" si="347"/>
        <v>0</v>
      </c>
      <c r="AF308" s="100">
        <f t="shared" si="348"/>
        <v>0</v>
      </c>
      <c r="AG308" s="100">
        <f t="shared" si="349"/>
        <v>0</v>
      </c>
      <c r="AH308" s="100">
        <f t="shared" si="350"/>
        <v>0</v>
      </c>
      <c r="AI308" s="109"/>
      <c r="AJ308" s="108">
        <f t="shared" si="351"/>
        <v>0</v>
      </c>
      <c r="AK308" s="108">
        <f t="shared" si="352"/>
        <v>0</v>
      </c>
      <c r="AL308" s="108">
        <f t="shared" si="353"/>
        <v>0</v>
      </c>
      <c r="AN308" s="100">
        <v>15</v>
      </c>
      <c r="AO308" s="100">
        <f t="shared" si="354"/>
        <v>0</v>
      </c>
      <c r="AP308" s="100">
        <f t="shared" si="355"/>
        <v>0</v>
      </c>
      <c r="AQ308" s="111" t="s">
        <v>13</v>
      </c>
      <c r="AV308" s="100">
        <f t="shared" si="356"/>
        <v>0</v>
      </c>
      <c r="AW308" s="100">
        <f t="shared" si="357"/>
        <v>0</v>
      </c>
      <c r="AX308" s="100">
        <f t="shared" si="358"/>
        <v>0</v>
      </c>
      <c r="AY308" s="110" t="s">
        <v>1709</v>
      </c>
      <c r="AZ308" s="110" t="s">
        <v>1733</v>
      </c>
      <c r="BA308" s="109" t="s">
        <v>1737</v>
      </c>
      <c r="BC308" s="100">
        <f t="shared" si="359"/>
        <v>0</v>
      </c>
      <c r="BD308" s="100">
        <f t="shared" si="360"/>
        <v>0</v>
      </c>
      <c r="BE308" s="100">
        <v>0</v>
      </c>
      <c r="BF308" s="100">
        <f>308</f>
        <v>308</v>
      </c>
      <c r="BH308" s="108">
        <f t="shared" si="361"/>
        <v>0</v>
      </c>
      <c r="BI308" s="108">
        <f t="shared" si="362"/>
        <v>0</v>
      </c>
      <c r="BJ308" s="108">
        <f t="shared" si="363"/>
        <v>0</v>
      </c>
    </row>
    <row r="309" spans="1:62" x14ac:dyDescent="0.2">
      <c r="A309" s="119"/>
      <c r="B309" s="120" t="s">
        <v>772</v>
      </c>
      <c r="C309" s="306" t="s">
        <v>1355</v>
      </c>
      <c r="D309" s="307"/>
      <c r="E309" s="307"/>
      <c r="F309" s="119" t="s">
        <v>6</v>
      </c>
      <c r="G309" s="119" t="s">
        <v>6</v>
      </c>
      <c r="H309" s="119" t="s">
        <v>6</v>
      </c>
      <c r="I309" s="118">
        <f>SUM(I310:I326)</f>
        <v>0</v>
      </c>
      <c r="J309" s="118">
        <f>SUM(J310:J326)</f>
        <v>0</v>
      </c>
      <c r="K309" s="118">
        <f>SUM(K310:K326)</f>
        <v>0</v>
      </c>
      <c r="L309" s="109"/>
      <c r="AI309" s="109"/>
      <c r="AS309" s="118">
        <f>SUM(AJ310:AJ326)</f>
        <v>0</v>
      </c>
      <c r="AT309" s="118">
        <f>SUM(AK310:AK326)</f>
        <v>0</v>
      </c>
      <c r="AU309" s="118">
        <f>SUM(AL310:AL326)</f>
        <v>0</v>
      </c>
    </row>
    <row r="310" spans="1:62" x14ac:dyDescent="0.2">
      <c r="A310" s="117" t="s">
        <v>271</v>
      </c>
      <c r="B310" s="117" t="s">
        <v>4029</v>
      </c>
      <c r="C310" s="304" t="s">
        <v>1356</v>
      </c>
      <c r="D310" s="305"/>
      <c r="E310" s="305"/>
      <c r="F310" s="117" t="s">
        <v>1644</v>
      </c>
      <c r="G310" s="116">
        <v>1</v>
      </c>
      <c r="H310" s="159"/>
      <c r="I310" s="108">
        <f t="shared" ref="I310:I326" si="364">G310*AO310</f>
        <v>0</v>
      </c>
      <c r="J310" s="108">
        <f t="shared" ref="J310:J326" si="365">G310*AP310</f>
        <v>0</v>
      </c>
      <c r="K310" s="108">
        <f t="shared" ref="K310:K326" si="366">G310*H310</f>
        <v>0</v>
      </c>
      <c r="L310" s="111"/>
      <c r="Z310" s="100">
        <f t="shared" ref="Z310:Z326" si="367">IF(AQ310="5",BJ310,0)</f>
        <v>0</v>
      </c>
      <c r="AB310" s="100">
        <f t="shared" ref="AB310:AB326" si="368">IF(AQ310="1",BH310,0)</f>
        <v>0</v>
      </c>
      <c r="AC310" s="100">
        <f t="shared" ref="AC310:AC326" si="369">IF(AQ310="1",BI310,0)</f>
        <v>0</v>
      </c>
      <c r="AD310" s="100">
        <f t="shared" ref="AD310:AD326" si="370">IF(AQ310="7",BH310,0)</f>
        <v>0</v>
      </c>
      <c r="AE310" s="100">
        <f t="shared" ref="AE310:AE326" si="371">IF(AQ310="7",BI310,0)</f>
        <v>0</v>
      </c>
      <c r="AF310" s="100">
        <f t="shared" ref="AF310:AF326" si="372">IF(AQ310="2",BH310,0)</f>
        <v>0</v>
      </c>
      <c r="AG310" s="100">
        <f t="shared" ref="AG310:AG326" si="373">IF(AQ310="2",BI310,0)</f>
        <v>0</v>
      </c>
      <c r="AH310" s="100">
        <f t="shared" ref="AH310:AH326" si="374">IF(AQ310="0",BJ310,0)</f>
        <v>0</v>
      </c>
      <c r="AI310" s="109"/>
      <c r="AJ310" s="108">
        <f t="shared" ref="AJ310:AJ326" si="375">IF(AN310=0,K310,0)</f>
        <v>0</v>
      </c>
      <c r="AK310" s="108">
        <f t="shared" ref="AK310:AK326" si="376">IF(AN310=15,K310,0)</f>
        <v>0</v>
      </c>
      <c r="AL310" s="108">
        <f t="shared" ref="AL310:AL326" si="377">IF(AN310=21,K310,0)</f>
        <v>0</v>
      </c>
      <c r="AN310" s="100">
        <v>15</v>
      </c>
      <c r="AO310" s="100">
        <f t="shared" ref="AO310:AO326" si="378">H310*0</f>
        <v>0</v>
      </c>
      <c r="AP310" s="100">
        <f t="shared" ref="AP310:AP326" si="379">H310*(1-0)</f>
        <v>0</v>
      </c>
      <c r="AQ310" s="111" t="s">
        <v>13</v>
      </c>
      <c r="AV310" s="100">
        <f t="shared" ref="AV310:AV326" si="380">AW310+AX310</f>
        <v>0</v>
      </c>
      <c r="AW310" s="100">
        <f t="shared" ref="AW310:AW326" si="381">G310*AO310</f>
        <v>0</v>
      </c>
      <c r="AX310" s="100">
        <f t="shared" ref="AX310:AX326" si="382">G310*AP310</f>
        <v>0</v>
      </c>
      <c r="AY310" s="110" t="s">
        <v>1710</v>
      </c>
      <c r="AZ310" s="110" t="s">
        <v>1733</v>
      </c>
      <c r="BA310" s="109" t="s">
        <v>1737</v>
      </c>
      <c r="BC310" s="100">
        <f t="shared" ref="BC310:BC326" si="383">AW310+AX310</f>
        <v>0</v>
      </c>
      <c r="BD310" s="100">
        <f t="shared" ref="BD310:BD326" si="384">H310/(100-BE310)*100</f>
        <v>0</v>
      </c>
      <c r="BE310" s="100">
        <v>0</v>
      </c>
      <c r="BF310" s="100">
        <f>310</f>
        <v>310</v>
      </c>
      <c r="BH310" s="108">
        <f t="shared" ref="BH310:BH326" si="385">G310*AO310</f>
        <v>0</v>
      </c>
      <c r="BI310" s="108">
        <f t="shared" ref="BI310:BI326" si="386">G310*AP310</f>
        <v>0</v>
      </c>
      <c r="BJ310" s="108">
        <f t="shared" ref="BJ310:BJ326" si="387">G310*H310</f>
        <v>0</v>
      </c>
    </row>
    <row r="311" spans="1:62" x14ac:dyDescent="0.2">
      <c r="A311" s="117" t="s">
        <v>272</v>
      </c>
      <c r="B311" s="117" t="s">
        <v>4028</v>
      </c>
      <c r="C311" s="304" t="s">
        <v>1357</v>
      </c>
      <c r="D311" s="305"/>
      <c r="E311" s="305"/>
      <c r="F311" s="117" t="s">
        <v>1644</v>
      </c>
      <c r="G311" s="116">
        <v>1</v>
      </c>
      <c r="H311" s="159"/>
      <c r="I311" s="108">
        <f t="shared" si="364"/>
        <v>0</v>
      </c>
      <c r="J311" s="108">
        <f t="shared" si="365"/>
        <v>0</v>
      </c>
      <c r="K311" s="108">
        <f t="shared" si="366"/>
        <v>0</v>
      </c>
      <c r="L311" s="111"/>
      <c r="Z311" s="100">
        <f t="shared" si="367"/>
        <v>0</v>
      </c>
      <c r="AB311" s="100">
        <f t="shared" si="368"/>
        <v>0</v>
      </c>
      <c r="AC311" s="100">
        <f t="shared" si="369"/>
        <v>0</v>
      </c>
      <c r="AD311" s="100">
        <f t="shared" si="370"/>
        <v>0</v>
      </c>
      <c r="AE311" s="100">
        <f t="shared" si="371"/>
        <v>0</v>
      </c>
      <c r="AF311" s="100">
        <f t="shared" si="372"/>
        <v>0</v>
      </c>
      <c r="AG311" s="100">
        <f t="shared" si="373"/>
        <v>0</v>
      </c>
      <c r="AH311" s="100">
        <f t="shared" si="374"/>
        <v>0</v>
      </c>
      <c r="AI311" s="109"/>
      <c r="AJ311" s="108">
        <f t="shared" si="375"/>
        <v>0</v>
      </c>
      <c r="AK311" s="108">
        <f t="shared" si="376"/>
        <v>0</v>
      </c>
      <c r="AL311" s="108">
        <f t="shared" si="377"/>
        <v>0</v>
      </c>
      <c r="AN311" s="100">
        <v>15</v>
      </c>
      <c r="AO311" s="100">
        <f t="shared" si="378"/>
        <v>0</v>
      </c>
      <c r="AP311" s="100">
        <f t="shared" si="379"/>
        <v>0</v>
      </c>
      <c r="AQ311" s="111" t="s">
        <v>13</v>
      </c>
      <c r="AV311" s="100">
        <f t="shared" si="380"/>
        <v>0</v>
      </c>
      <c r="AW311" s="100">
        <f t="shared" si="381"/>
        <v>0</v>
      </c>
      <c r="AX311" s="100">
        <f t="shared" si="382"/>
        <v>0</v>
      </c>
      <c r="AY311" s="110" t="s">
        <v>1710</v>
      </c>
      <c r="AZ311" s="110" t="s">
        <v>1733</v>
      </c>
      <c r="BA311" s="109" t="s">
        <v>1737</v>
      </c>
      <c r="BC311" s="100">
        <f t="shared" si="383"/>
        <v>0</v>
      </c>
      <c r="BD311" s="100">
        <f t="shared" si="384"/>
        <v>0</v>
      </c>
      <c r="BE311" s="100">
        <v>0</v>
      </c>
      <c r="BF311" s="100">
        <f>311</f>
        <v>311</v>
      </c>
      <c r="BH311" s="108">
        <f t="shared" si="385"/>
        <v>0</v>
      </c>
      <c r="BI311" s="108">
        <f t="shared" si="386"/>
        <v>0</v>
      </c>
      <c r="BJ311" s="108">
        <f t="shared" si="387"/>
        <v>0</v>
      </c>
    </row>
    <row r="312" spans="1:62" x14ac:dyDescent="0.2">
      <c r="A312" s="117" t="s">
        <v>273</v>
      </c>
      <c r="B312" s="117" t="s">
        <v>4027</v>
      </c>
      <c r="C312" s="304" t="s">
        <v>1358</v>
      </c>
      <c r="D312" s="305"/>
      <c r="E312" s="305"/>
      <c r="F312" s="117" t="s">
        <v>1644</v>
      </c>
      <c r="G312" s="116">
        <v>1</v>
      </c>
      <c r="H312" s="159"/>
      <c r="I312" s="108">
        <f t="shared" si="364"/>
        <v>0</v>
      </c>
      <c r="J312" s="108">
        <f t="shared" si="365"/>
        <v>0</v>
      </c>
      <c r="K312" s="108">
        <f t="shared" si="366"/>
        <v>0</v>
      </c>
      <c r="L312" s="111"/>
      <c r="Z312" s="100">
        <f t="shared" si="367"/>
        <v>0</v>
      </c>
      <c r="AB312" s="100">
        <f t="shared" si="368"/>
        <v>0</v>
      </c>
      <c r="AC312" s="100">
        <f t="shared" si="369"/>
        <v>0</v>
      </c>
      <c r="AD312" s="100">
        <f t="shared" si="370"/>
        <v>0</v>
      </c>
      <c r="AE312" s="100">
        <f t="shared" si="371"/>
        <v>0</v>
      </c>
      <c r="AF312" s="100">
        <f t="shared" si="372"/>
        <v>0</v>
      </c>
      <c r="AG312" s="100">
        <f t="shared" si="373"/>
        <v>0</v>
      </c>
      <c r="AH312" s="100">
        <f t="shared" si="374"/>
        <v>0</v>
      </c>
      <c r="AI312" s="109"/>
      <c r="AJ312" s="108">
        <f t="shared" si="375"/>
        <v>0</v>
      </c>
      <c r="AK312" s="108">
        <f t="shared" si="376"/>
        <v>0</v>
      </c>
      <c r="AL312" s="108">
        <f t="shared" si="377"/>
        <v>0</v>
      </c>
      <c r="AN312" s="100">
        <v>15</v>
      </c>
      <c r="AO312" s="100">
        <f t="shared" si="378"/>
        <v>0</v>
      </c>
      <c r="AP312" s="100">
        <f t="shared" si="379"/>
        <v>0</v>
      </c>
      <c r="AQ312" s="111" t="s">
        <v>13</v>
      </c>
      <c r="AV312" s="100">
        <f t="shared" si="380"/>
        <v>0</v>
      </c>
      <c r="AW312" s="100">
        <f t="shared" si="381"/>
        <v>0</v>
      </c>
      <c r="AX312" s="100">
        <f t="shared" si="382"/>
        <v>0</v>
      </c>
      <c r="AY312" s="110" t="s">
        <v>1710</v>
      </c>
      <c r="AZ312" s="110" t="s">
        <v>1733</v>
      </c>
      <c r="BA312" s="109" t="s">
        <v>1737</v>
      </c>
      <c r="BC312" s="100">
        <f t="shared" si="383"/>
        <v>0</v>
      </c>
      <c r="BD312" s="100">
        <f t="shared" si="384"/>
        <v>0</v>
      </c>
      <c r="BE312" s="100">
        <v>0</v>
      </c>
      <c r="BF312" s="100">
        <f>312</f>
        <v>312</v>
      </c>
      <c r="BH312" s="108">
        <f t="shared" si="385"/>
        <v>0</v>
      </c>
      <c r="BI312" s="108">
        <f t="shared" si="386"/>
        <v>0</v>
      </c>
      <c r="BJ312" s="108">
        <f t="shared" si="387"/>
        <v>0</v>
      </c>
    </row>
    <row r="313" spans="1:62" x14ac:dyDescent="0.2">
      <c r="A313" s="117" t="s">
        <v>274</v>
      </c>
      <c r="B313" s="117" t="s">
        <v>4026</v>
      </c>
      <c r="C313" s="304" t="s">
        <v>1360</v>
      </c>
      <c r="D313" s="305"/>
      <c r="E313" s="305"/>
      <c r="F313" s="117" t="s">
        <v>1644</v>
      </c>
      <c r="G313" s="116">
        <v>1</v>
      </c>
      <c r="H313" s="159"/>
      <c r="I313" s="108">
        <f t="shared" si="364"/>
        <v>0</v>
      </c>
      <c r="J313" s="108">
        <f t="shared" si="365"/>
        <v>0</v>
      </c>
      <c r="K313" s="108">
        <f t="shared" si="366"/>
        <v>0</v>
      </c>
      <c r="L313" s="111"/>
      <c r="Z313" s="100">
        <f t="shared" si="367"/>
        <v>0</v>
      </c>
      <c r="AB313" s="100">
        <f t="shared" si="368"/>
        <v>0</v>
      </c>
      <c r="AC313" s="100">
        <f t="shared" si="369"/>
        <v>0</v>
      </c>
      <c r="AD313" s="100">
        <f t="shared" si="370"/>
        <v>0</v>
      </c>
      <c r="AE313" s="100">
        <f t="shared" si="371"/>
        <v>0</v>
      </c>
      <c r="AF313" s="100">
        <f t="shared" si="372"/>
        <v>0</v>
      </c>
      <c r="AG313" s="100">
        <f t="shared" si="373"/>
        <v>0</v>
      </c>
      <c r="AH313" s="100">
        <f t="shared" si="374"/>
        <v>0</v>
      </c>
      <c r="AI313" s="109"/>
      <c r="AJ313" s="108">
        <f t="shared" si="375"/>
        <v>0</v>
      </c>
      <c r="AK313" s="108">
        <f t="shared" si="376"/>
        <v>0</v>
      </c>
      <c r="AL313" s="108">
        <f t="shared" si="377"/>
        <v>0</v>
      </c>
      <c r="AN313" s="100">
        <v>15</v>
      </c>
      <c r="AO313" s="100">
        <f t="shared" si="378"/>
        <v>0</v>
      </c>
      <c r="AP313" s="100">
        <f t="shared" si="379"/>
        <v>0</v>
      </c>
      <c r="AQ313" s="111" t="s">
        <v>13</v>
      </c>
      <c r="AV313" s="100">
        <f t="shared" si="380"/>
        <v>0</v>
      </c>
      <c r="AW313" s="100">
        <f t="shared" si="381"/>
        <v>0</v>
      </c>
      <c r="AX313" s="100">
        <f t="shared" si="382"/>
        <v>0</v>
      </c>
      <c r="AY313" s="110" t="s">
        <v>1710</v>
      </c>
      <c r="AZ313" s="110" t="s">
        <v>1733</v>
      </c>
      <c r="BA313" s="109" t="s">
        <v>1737</v>
      </c>
      <c r="BC313" s="100">
        <f t="shared" si="383"/>
        <v>0</v>
      </c>
      <c r="BD313" s="100">
        <f t="shared" si="384"/>
        <v>0</v>
      </c>
      <c r="BE313" s="100">
        <v>0</v>
      </c>
      <c r="BF313" s="100">
        <f>313</f>
        <v>313</v>
      </c>
      <c r="BH313" s="108">
        <f t="shared" si="385"/>
        <v>0</v>
      </c>
      <c r="BI313" s="108">
        <f t="shared" si="386"/>
        <v>0</v>
      </c>
      <c r="BJ313" s="108">
        <f t="shared" si="387"/>
        <v>0</v>
      </c>
    </row>
    <row r="314" spans="1:62" x14ac:dyDescent="0.2">
      <c r="A314" s="117" t="s">
        <v>275</v>
      </c>
      <c r="B314" s="117" t="s">
        <v>4025</v>
      </c>
      <c r="C314" s="304" t="s">
        <v>1361</v>
      </c>
      <c r="D314" s="305"/>
      <c r="E314" s="305"/>
      <c r="F314" s="117" t="s">
        <v>1644</v>
      </c>
      <c r="G314" s="116">
        <v>1</v>
      </c>
      <c r="H314" s="159"/>
      <c r="I314" s="108">
        <f t="shared" si="364"/>
        <v>0</v>
      </c>
      <c r="J314" s="108">
        <f t="shared" si="365"/>
        <v>0</v>
      </c>
      <c r="K314" s="108">
        <f t="shared" si="366"/>
        <v>0</v>
      </c>
      <c r="L314" s="111"/>
      <c r="Z314" s="100">
        <f t="shared" si="367"/>
        <v>0</v>
      </c>
      <c r="AB314" s="100">
        <f t="shared" si="368"/>
        <v>0</v>
      </c>
      <c r="AC314" s="100">
        <f t="shared" si="369"/>
        <v>0</v>
      </c>
      <c r="AD314" s="100">
        <f t="shared" si="370"/>
        <v>0</v>
      </c>
      <c r="AE314" s="100">
        <f t="shared" si="371"/>
        <v>0</v>
      </c>
      <c r="AF314" s="100">
        <f t="shared" si="372"/>
        <v>0</v>
      </c>
      <c r="AG314" s="100">
        <f t="shared" si="373"/>
        <v>0</v>
      </c>
      <c r="AH314" s="100">
        <f t="shared" si="374"/>
        <v>0</v>
      </c>
      <c r="AI314" s="109"/>
      <c r="AJ314" s="108">
        <f t="shared" si="375"/>
        <v>0</v>
      </c>
      <c r="AK314" s="108">
        <f t="shared" si="376"/>
        <v>0</v>
      </c>
      <c r="AL314" s="108">
        <f t="shared" si="377"/>
        <v>0</v>
      </c>
      <c r="AN314" s="100">
        <v>15</v>
      </c>
      <c r="AO314" s="100">
        <f t="shared" si="378"/>
        <v>0</v>
      </c>
      <c r="AP314" s="100">
        <f t="shared" si="379"/>
        <v>0</v>
      </c>
      <c r="AQ314" s="111" t="s">
        <v>13</v>
      </c>
      <c r="AV314" s="100">
        <f t="shared" si="380"/>
        <v>0</v>
      </c>
      <c r="AW314" s="100">
        <f t="shared" si="381"/>
        <v>0</v>
      </c>
      <c r="AX314" s="100">
        <f t="shared" si="382"/>
        <v>0</v>
      </c>
      <c r="AY314" s="110" t="s">
        <v>1710</v>
      </c>
      <c r="AZ314" s="110" t="s">
        <v>1733</v>
      </c>
      <c r="BA314" s="109" t="s">
        <v>1737</v>
      </c>
      <c r="BC314" s="100">
        <f t="shared" si="383"/>
        <v>0</v>
      </c>
      <c r="BD314" s="100">
        <f t="shared" si="384"/>
        <v>0</v>
      </c>
      <c r="BE314" s="100">
        <v>0</v>
      </c>
      <c r="BF314" s="100">
        <f>314</f>
        <v>314</v>
      </c>
      <c r="BH314" s="108">
        <f t="shared" si="385"/>
        <v>0</v>
      </c>
      <c r="BI314" s="108">
        <f t="shared" si="386"/>
        <v>0</v>
      </c>
      <c r="BJ314" s="108">
        <f t="shared" si="387"/>
        <v>0</v>
      </c>
    </row>
    <row r="315" spans="1:62" x14ac:dyDescent="0.2">
      <c r="A315" s="117" t="s">
        <v>276</v>
      </c>
      <c r="B315" s="117" t="s">
        <v>4024</v>
      </c>
      <c r="C315" s="304" t="s">
        <v>1362</v>
      </c>
      <c r="D315" s="305"/>
      <c r="E315" s="305"/>
      <c r="F315" s="117" t="s">
        <v>1644</v>
      </c>
      <c r="G315" s="116">
        <v>1</v>
      </c>
      <c r="H315" s="159"/>
      <c r="I315" s="108">
        <f t="shared" si="364"/>
        <v>0</v>
      </c>
      <c r="J315" s="108">
        <f t="shared" si="365"/>
        <v>0</v>
      </c>
      <c r="K315" s="108">
        <f t="shared" si="366"/>
        <v>0</v>
      </c>
      <c r="L315" s="111"/>
      <c r="Z315" s="100">
        <f t="shared" si="367"/>
        <v>0</v>
      </c>
      <c r="AB315" s="100">
        <f t="shared" si="368"/>
        <v>0</v>
      </c>
      <c r="AC315" s="100">
        <f t="shared" si="369"/>
        <v>0</v>
      </c>
      <c r="AD315" s="100">
        <f t="shared" si="370"/>
        <v>0</v>
      </c>
      <c r="AE315" s="100">
        <f t="shared" si="371"/>
        <v>0</v>
      </c>
      <c r="AF315" s="100">
        <f t="shared" si="372"/>
        <v>0</v>
      </c>
      <c r="AG315" s="100">
        <f t="shared" si="373"/>
        <v>0</v>
      </c>
      <c r="AH315" s="100">
        <f t="shared" si="374"/>
        <v>0</v>
      </c>
      <c r="AI315" s="109"/>
      <c r="AJ315" s="108">
        <f t="shared" si="375"/>
        <v>0</v>
      </c>
      <c r="AK315" s="108">
        <f t="shared" si="376"/>
        <v>0</v>
      </c>
      <c r="AL315" s="108">
        <f t="shared" si="377"/>
        <v>0</v>
      </c>
      <c r="AN315" s="100">
        <v>15</v>
      </c>
      <c r="AO315" s="100">
        <f t="shared" si="378"/>
        <v>0</v>
      </c>
      <c r="AP315" s="100">
        <f t="shared" si="379"/>
        <v>0</v>
      </c>
      <c r="AQ315" s="111" t="s">
        <v>13</v>
      </c>
      <c r="AV315" s="100">
        <f t="shared" si="380"/>
        <v>0</v>
      </c>
      <c r="AW315" s="100">
        <f t="shared" si="381"/>
        <v>0</v>
      </c>
      <c r="AX315" s="100">
        <f t="shared" si="382"/>
        <v>0</v>
      </c>
      <c r="AY315" s="110" t="s">
        <v>1710</v>
      </c>
      <c r="AZ315" s="110" t="s">
        <v>1733</v>
      </c>
      <c r="BA315" s="109" t="s">
        <v>1737</v>
      </c>
      <c r="BC315" s="100">
        <f t="shared" si="383"/>
        <v>0</v>
      </c>
      <c r="BD315" s="100">
        <f t="shared" si="384"/>
        <v>0</v>
      </c>
      <c r="BE315" s="100">
        <v>0</v>
      </c>
      <c r="BF315" s="100">
        <f>315</f>
        <v>315</v>
      </c>
      <c r="BH315" s="108">
        <f t="shared" si="385"/>
        <v>0</v>
      </c>
      <c r="BI315" s="108">
        <f t="shared" si="386"/>
        <v>0</v>
      </c>
      <c r="BJ315" s="108">
        <f t="shared" si="387"/>
        <v>0</v>
      </c>
    </row>
    <row r="316" spans="1:62" x14ac:dyDescent="0.2">
      <c r="A316" s="117" t="s">
        <v>277</v>
      </c>
      <c r="B316" s="117" t="s">
        <v>4023</v>
      </c>
      <c r="C316" s="304" t="s">
        <v>1363</v>
      </c>
      <c r="D316" s="305"/>
      <c r="E316" s="305"/>
      <c r="F316" s="117" t="s">
        <v>1644</v>
      </c>
      <c r="G316" s="116">
        <v>1</v>
      </c>
      <c r="H316" s="159"/>
      <c r="I316" s="108">
        <f t="shared" si="364"/>
        <v>0</v>
      </c>
      <c r="J316" s="108">
        <f t="shared" si="365"/>
        <v>0</v>
      </c>
      <c r="K316" s="108">
        <f t="shared" si="366"/>
        <v>0</v>
      </c>
      <c r="L316" s="111"/>
      <c r="Z316" s="100">
        <f t="shared" si="367"/>
        <v>0</v>
      </c>
      <c r="AB316" s="100">
        <f t="shared" si="368"/>
        <v>0</v>
      </c>
      <c r="AC316" s="100">
        <f t="shared" si="369"/>
        <v>0</v>
      </c>
      <c r="AD316" s="100">
        <f t="shared" si="370"/>
        <v>0</v>
      </c>
      <c r="AE316" s="100">
        <f t="shared" si="371"/>
        <v>0</v>
      </c>
      <c r="AF316" s="100">
        <f t="shared" si="372"/>
        <v>0</v>
      </c>
      <c r="AG316" s="100">
        <f t="shared" si="373"/>
        <v>0</v>
      </c>
      <c r="AH316" s="100">
        <f t="shared" si="374"/>
        <v>0</v>
      </c>
      <c r="AI316" s="109"/>
      <c r="AJ316" s="108">
        <f t="shared" si="375"/>
        <v>0</v>
      </c>
      <c r="AK316" s="108">
        <f t="shared" si="376"/>
        <v>0</v>
      </c>
      <c r="AL316" s="108">
        <f t="shared" si="377"/>
        <v>0</v>
      </c>
      <c r="AN316" s="100">
        <v>15</v>
      </c>
      <c r="AO316" s="100">
        <f t="shared" si="378"/>
        <v>0</v>
      </c>
      <c r="AP316" s="100">
        <f t="shared" si="379"/>
        <v>0</v>
      </c>
      <c r="AQ316" s="111" t="s">
        <v>13</v>
      </c>
      <c r="AV316" s="100">
        <f t="shared" si="380"/>
        <v>0</v>
      </c>
      <c r="AW316" s="100">
        <f t="shared" si="381"/>
        <v>0</v>
      </c>
      <c r="AX316" s="100">
        <f t="shared" si="382"/>
        <v>0</v>
      </c>
      <c r="AY316" s="110" t="s">
        <v>1710</v>
      </c>
      <c r="AZ316" s="110" t="s">
        <v>1733</v>
      </c>
      <c r="BA316" s="109" t="s">
        <v>1737</v>
      </c>
      <c r="BC316" s="100">
        <f t="shared" si="383"/>
        <v>0</v>
      </c>
      <c r="BD316" s="100">
        <f t="shared" si="384"/>
        <v>0</v>
      </c>
      <c r="BE316" s="100">
        <v>0</v>
      </c>
      <c r="BF316" s="100">
        <f>316</f>
        <v>316</v>
      </c>
      <c r="BH316" s="108">
        <f t="shared" si="385"/>
        <v>0</v>
      </c>
      <c r="BI316" s="108">
        <f t="shared" si="386"/>
        <v>0</v>
      </c>
      <c r="BJ316" s="108">
        <f t="shared" si="387"/>
        <v>0</v>
      </c>
    </row>
    <row r="317" spans="1:62" x14ac:dyDescent="0.2">
      <c r="A317" s="117" t="s">
        <v>278</v>
      </c>
      <c r="B317" s="117" t="s">
        <v>4022</v>
      </c>
      <c r="C317" s="304" t="s">
        <v>1364</v>
      </c>
      <c r="D317" s="305"/>
      <c r="E317" s="305"/>
      <c r="F317" s="117" t="s">
        <v>1644</v>
      </c>
      <c r="G317" s="116">
        <v>2</v>
      </c>
      <c r="H317" s="159"/>
      <c r="I317" s="108">
        <f t="shared" si="364"/>
        <v>0</v>
      </c>
      <c r="J317" s="108">
        <f t="shared" si="365"/>
        <v>0</v>
      </c>
      <c r="K317" s="108">
        <f t="shared" si="366"/>
        <v>0</v>
      </c>
      <c r="L317" s="111"/>
      <c r="Z317" s="100">
        <f t="shared" si="367"/>
        <v>0</v>
      </c>
      <c r="AB317" s="100">
        <f t="shared" si="368"/>
        <v>0</v>
      </c>
      <c r="AC317" s="100">
        <f t="shared" si="369"/>
        <v>0</v>
      </c>
      <c r="AD317" s="100">
        <f t="shared" si="370"/>
        <v>0</v>
      </c>
      <c r="AE317" s="100">
        <f t="shared" si="371"/>
        <v>0</v>
      </c>
      <c r="AF317" s="100">
        <f t="shared" si="372"/>
        <v>0</v>
      </c>
      <c r="AG317" s="100">
        <f t="shared" si="373"/>
        <v>0</v>
      </c>
      <c r="AH317" s="100">
        <f t="shared" si="374"/>
        <v>0</v>
      </c>
      <c r="AI317" s="109"/>
      <c r="AJ317" s="108">
        <f t="shared" si="375"/>
        <v>0</v>
      </c>
      <c r="AK317" s="108">
        <f t="shared" si="376"/>
        <v>0</v>
      </c>
      <c r="AL317" s="108">
        <f t="shared" si="377"/>
        <v>0</v>
      </c>
      <c r="AN317" s="100">
        <v>15</v>
      </c>
      <c r="AO317" s="100">
        <f t="shared" si="378"/>
        <v>0</v>
      </c>
      <c r="AP317" s="100">
        <f t="shared" si="379"/>
        <v>0</v>
      </c>
      <c r="AQ317" s="111" t="s">
        <v>13</v>
      </c>
      <c r="AV317" s="100">
        <f t="shared" si="380"/>
        <v>0</v>
      </c>
      <c r="AW317" s="100">
        <f t="shared" si="381"/>
        <v>0</v>
      </c>
      <c r="AX317" s="100">
        <f t="shared" si="382"/>
        <v>0</v>
      </c>
      <c r="AY317" s="110" t="s">
        <v>1710</v>
      </c>
      <c r="AZ317" s="110" t="s">
        <v>1733</v>
      </c>
      <c r="BA317" s="109" t="s">
        <v>1737</v>
      </c>
      <c r="BC317" s="100">
        <f t="shared" si="383"/>
        <v>0</v>
      </c>
      <c r="BD317" s="100">
        <f t="shared" si="384"/>
        <v>0</v>
      </c>
      <c r="BE317" s="100">
        <v>0</v>
      </c>
      <c r="BF317" s="100">
        <f>317</f>
        <v>317</v>
      </c>
      <c r="BH317" s="108">
        <f t="shared" si="385"/>
        <v>0</v>
      </c>
      <c r="BI317" s="108">
        <f t="shared" si="386"/>
        <v>0</v>
      </c>
      <c r="BJ317" s="108">
        <f t="shared" si="387"/>
        <v>0</v>
      </c>
    </row>
    <row r="318" spans="1:62" x14ac:dyDescent="0.2">
      <c r="A318" s="117" t="s">
        <v>279</v>
      </c>
      <c r="B318" s="117" t="s">
        <v>4021</v>
      </c>
      <c r="C318" s="304" t="s">
        <v>1365</v>
      </c>
      <c r="D318" s="305"/>
      <c r="E318" s="305"/>
      <c r="F318" s="117" t="s">
        <v>1644</v>
      </c>
      <c r="G318" s="116">
        <v>1</v>
      </c>
      <c r="H318" s="159"/>
      <c r="I318" s="108">
        <f t="shared" si="364"/>
        <v>0</v>
      </c>
      <c r="J318" s="108">
        <f t="shared" si="365"/>
        <v>0</v>
      </c>
      <c r="K318" s="108">
        <f t="shared" si="366"/>
        <v>0</v>
      </c>
      <c r="L318" s="111"/>
      <c r="Z318" s="100">
        <f t="shared" si="367"/>
        <v>0</v>
      </c>
      <c r="AB318" s="100">
        <f t="shared" si="368"/>
        <v>0</v>
      </c>
      <c r="AC318" s="100">
        <f t="shared" si="369"/>
        <v>0</v>
      </c>
      <c r="AD318" s="100">
        <f t="shared" si="370"/>
        <v>0</v>
      </c>
      <c r="AE318" s="100">
        <f t="shared" si="371"/>
        <v>0</v>
      </c>
      <c r="AF318" s="100">
        <f t="shared" si="372"/>
        <v>0</v>
      </c>
      <c r="AG318" s="100">
        <f t="shared" si="373"/>
        <v>0</v>
      </c>
      <c r="AH318" s="100">
        <f t="shared" si="374"/>
        <v>0</v>
      </c>
      <c r="AI318" s="109"/>
      <c r="AJ318" s="108">
        <f t="shared" si="375"/>
        <v>0</v>
      </c>
      <c r="AK318" s="108">
        <f t="shared" si="376"/>
        <v>0</v>
      </c>
      <c r="AL318" s="108">
        <f t="shared" si="377"/>
        <v>0</v>
      </c>
      <c r="AN318" s="100">
        <v>15</v>
      </c>
      <c r="AO318" s="100">
        <f t="shared" si="378"/>
        <v>0</v>
      </c>
      <c r="AP318" s="100">
        <f t="shared" si="379"/>
        <v>0</v>
      </c>
      <c r="AQ318" s="111" t="s">
        <v>13</v>
      </c>
      <c r="AV318" s="100">
        <f t="shared" si="380"/>
        <v>0</v>
      </c>
      <c r="AW318" s="100">
        <f t="shared" si="381"/>
        <v>0</v>
      </c>
      <c r="AX318" s="100">
        <f t="shared" si="382"/>
        <v>0</v>
      </c>
      <c r="AY318" s="110" t="s">
        <v>1710</v>
      </c>
      <c r="AZ318" s="110" t="s">
        <v>1733</v>
      </c>
      <c r="BA318" s="109" t="s">
        <v>1737</v>
      </c>
      <c r="BC318" s="100">
        <f t="shared" si="383"/>
        <v>0</v>
      </c>
      <c r="BD318" s="100">
        <f t="shared" si="384"/>
        <v>0</v>
      </c>
      <c r="BE318" s="100">
        <v>0</v>
      </c>
      <c r="BF318" s="100">
        <f>318</f>
        <v>318</v>
      </c>
      <c r="BH318" s="108">
        <f t="shared" si="385"/>
        <v>0</v>
      </c>
      <c r="BI318" s="108">
        <f t="shared" si="386"/>
        <v>0</v>
      </c>
      <c r="BJ318" s="108">
        <f t="shared" si="387"/>
        <v>0</v>
      </c>
    </row>
    <row r="319" spans="1:62" x14ac:dyDescent="0.2">
      <c r="A319" s="117" t="s">
        <v>280</v>
      </c>
      <c r="B319" s="117" t="s">
        <v>4020</v>
      </c>
      <c r="C319" s="304" t="s">
        <v>1368</v>
      </c>
      <c r="D319" s="305"/>
      <c r="E319" s="305"/>
      <c r="F319" s="117" t="s">
        <v>1644</v>
      </c>
      <c r="G319" s="116">
        <v>5</v>
      </c>
      <c r="H319" s="159"/>
      <c r="I319" s="108">
        <f t="shared" si="364"/>
        <v>0</v>
      </c>
      <c r="J319" s="108">
        <f t="shared" si="365"/>
        <v>0</v>
      </c>
      <c r="K319" s="108">
        <f t="shared" si="366"/>
        <v>0</v>
      </c>
      <c r="L319" s="111"/>
      <c r="Z319" s="100">
        <f t="shared" si="367"/>
        <v>0</v>
      </c>
      <c r="AB319" s="100">
        <f t="shared" si="368"/>
        <v>0</v>
      </c>
      <c r="AC319" s="100">
        <f t="shared" si="369"/>
        <v>0</v>
      </c>
      <c r="AD319" s="100">
        <f t="shared" si="370"/>
        <v>0</v>
      </c>
      <c r="AE319" s="100">
        <f t="shared" si="371"/>
        <v>0</v>
      </c>
      <c r="AF319" s="100">
        <f t="shared" si="372"/>
        <v>0</v>
      </c>
      <c r="AG319" s="100">
        <f t="shared" si="373"/>
        <v>0</v>
      </c>
      <c r="AH319" s="100">
        <f t="shared" si="374"/>
        <v>0</v>
      </c>
      <c r="AI319" s="109"/>
      <c r="AJ319" s="108">
        <f t="shared" si="375"/>
        <v>0</v>
      </c>
      <c r="AK319" s="108">
        <f t="shared" si="376"/>
        <v>0</v>
      </c>
      <c r="AL319" s="108">
        <f t="shared" si="377"/>
        <v>0</v>
      </c>
      <c r="AN319" s="100">
        <v>15</v>
      </c>
      <c r="AO319" s="100">
        <f t="shared" si="378"/>
        <v>0</v>
      </c>
      <c r="AP319" s="100">
        <f t="shared" si="379"/>
        <v>0</v>
      </c>
      <c r="AQ319" s="111" t="s">
        <v>13</v>
      </c>
      <c r="AV319" s="100">
        <f t="shared" si="380"/>
        <v>0</v>
      </c>
      <c r="AW319" s="100">
        <f t="shared" si="381"/>
        <v>0</v>
      </c>
      <c r="AX319" s="100">
        <f t="shared" si="382"/>
        <v>0</v>
      </c>
      <c r="AY319" s="110" t="s">
        <v>1710</v>
      </c>
      <c r="AZ319" s="110" t="s">
        <v>1733</v>
      </c>
      <c r="BA319" s="109" t="s">
        <v>1737</v>
      </c>
      <c r="BC319" s="100">
        <f t="shared" si="383"/>
        <v>0</v>
      </c>
      <c r="BD319" s="100">
        <f t="shared" si="384"/>
        <v>0</v>
      </c>
      <c r="BE319" s="100">
        <v>0</v>
      </c>
      <c r="BF319" s="100">
        <f>319</f>
        <v>319</v>
      </c>
      <c r="BH319" s="108">
        <f t="shared" si="385"/>
        <v>0</v>
      </c>
      <c r="BI319" s="108">
        <f t="shared" si="386"/>
        <v>0</v>
      </c>
      <c r="BJ319" s="108">
        <f t="shared" si="387"/>
        <v>0</v>
      </c>
    </row>
    <row r="320" spans="1:62" x14ac:dyDescent="0.2">
      <c r="A320" s="117" t="s">
        <v>281</v>
      </c>
      <c r="B320" s="117" t="s">
        <v>4019</v>
      </c>
      <c r="C320" s="304" t="s">
        <v>1326</v>
      </c>
      <c r="D320" s="305"/>
      <c r="E320" s="305"/>
      <c r="F320" s="117" t="s">
        <v>1644</v>
      </c>
      <c r="G320" s="116">
        <v>1</v>
      </c>
      <c r="H320" s="159"/>
      <c r="I320" s="108">
        <f t="shared" si="364"/>
        <v>0</v>
      </c>
      <c r="J320" s="108">
        <f t="shared" si="365"/>
        <v>0</v>
      </c>
      <c r="K320" s="108">
        <f t="shared" si="366"/>
        <v>0</v>
      </c>
      <c r="L320" s="111"/>
      <c r="Z320" s="100">
        <f t="shared" si="367"/>
        <v>0</v>
      </c>
      <c r="AB320" s="100">
        <f t="shared" si="368"/>
        <v>0</v>
      </c>
      <c r="AC320" s="100">
        <f t="shared" si="369"/>
        <v>0</v>
      </c>
      <c r="AD320" s="100">
        <f t="shared" si="370"/>
        <v>0</v>
      </c>
      <c r="AE320" s="100">
        <f t="shared" si="371"/>
        <v>0</v>
      </c>
      <c r="AF320" s="100">
        <f t="shared" si="372"/>
        <v>0</v>
      </c>
      <c r="AG320" s="100">
        <f t="shared" si="373"/>
        <v>0</v>
      </c>
      <c r="AH320" s="100">
        <f t="shared" si="374"/>
        <v>0</v>
      </c>
      <c r="AI320" s="109"/>
      <c r="AJ320" s="108">
        <f t="shared" si="375"/>
        <v>0</v>
      </c>
      <c r="AK320" s="108">
        <f t="shared" si="376"/>
        <v>0</v>
      </c>
      <c r="AL320" s="108">
        <f t="shared" si="377"/>
        <v>0</v>
      </c>
      <c r="AN320" s="100">
        <v>15</v>
      </c>
      <c r="AO320" s="100">
        <f t="shared" si="378"/>
        <v>0</v>
      </c>
      <c r="AP320" s="100">
        <f t="shared" si="379"/>
        <v>0</v>
      </c>
      <c r="AQ320" s="111" t="s">
        <v>13</v>
      </c>
      <c r="AV320" s="100">
        <f t="shared" si="380"/>
        <v>0</v>
      </c>
      <c r="AW320" s="100">
        <f t="shared" si="381"/>
        <v>0</v>
      </c>
      <c r="AX320" s="100">
        <f t="shared" si="382"/>
        <v>0</v>
      </c>
      <c r="AY320" s="110" t="s">
        <v>1710</v>
      </c>
      <c r="AZ320" s="110" t="s">
        <v>1733</v>
      </c>
      <c r="BA320" s="109" t="s">
        <v>1737</v>
      </c>
      <c r="BC320" s="100">
        <f t="shared" si="383"/>
        <v>0</v>
      </c>
      <c r="BD320" s="100">
        <f t="shared" si="384"/>
        <v>0</v>
      </c>
      <c r="BE320" s="100">
        <v>0</v>
      </c>
      <c r="BF320" s="100">
        <f>320</f>
        <v>320</v>
      </c>
      <c r="BH320" s="108">
        <f t="shared" si="385"/>
        <v>0</v>
      </c>
      <c r="BI320" s="108">
        <f t="shared" si="386"/>
        <v>0</v>
      </c>
      <c r="BJ320" s="108">
        <f t="shared" si="387"/>
        <v>0</v>
      </c>
    </row>
    <row r="321" spans="1:62" x14ac:dyDescent="0.2">
      <c r="A321" s="117" t="s">
        <v>282</v>
      </c>
      <c r="B321" s="117" t="s">
        <v>4018</v>
      </c>
      <c r="C321" s="304" t="s">
        <v>1327</v>
      </c>
      <c r="D321" s="305"/>
      <c r="E321" s="305"/>
      <c r="F321" s="117" t="s">
        <v>1644</v>
      </c>
      <c r="G321" s="116">
        <v>1</v>
      </c>
      <c r="H321" s="159"/>
      <c r="I321" s="108">
        <f t="shared" si="364"/>
        <v>0</v>
      </c>
      <c r="J321" s="108">
        <f t="shared" si="365"/>
        <v>0</v>
      </c>
      <c r="K321" s="108">
        <f t="shared" si="366"/>
        <v>0</v>
      </c>
      <c r="L321" s="111"/>
      <c r="Z321" s="100">
        <f t="shared" si="367"/>
        <v>0</v>
      </c>
      <c r="AB321" s="100">
        <f t="shared" si="368"/>
        <v>0</v>
      </c>
      <c r="AC321" s="100">
        <f t="shared" si="369"/>
        <v>0</v>
      </c>
      <c r="AD321" s="100">
        <f t="shared" si="370"/>
        <v>0</v>
      </c>
      <c r="AE321" s="100">
        <f t="shared" si="371"/>
        <v>0</v>
      </c>
      <c r="AF321" s="100">
        <f t="shared" si="372"/>
        <v>0</v>
      </c>
      <c r="AG321" s="100">
        <f t="shared" si="373"/>
        <v>0</v>
      </c>
      <c r="AH321" s="100">
        <f t="shared" si="374"/>
        <v>0</v>
      </c>
      <c r="AI321" s="109"/>
      <c r="AJ321" s="108">
        <f t="shared" si="375"/>
        <v>0</v>
      </c>
      <c r="AK321" s="108">
        <f t="shared" si="376"/>
        <v>0</v>
      </c>
      <c r="AL321" s="108">
        <f t="shared" si="377"/>
        <v>0</v>
      </c>
      <c r="AN321" s="100">
        <v>15</v>
      </c>
      <c r="AO321" s="100">
        <f t="shared" si="378"/>
        <v>0</v>
      </c>
      <c r="AP321" s="100">
        <f t="shared" si="379"/>
        <v>0</v>
      </c>
      <c r="AQ321" s="111" t="s">
        <v>13</v>
      </c>
      <c r="AV321" s="100">
        <f t="shared" si="380"/>
        <v>0</v>
      </c>
      <c r="AW321" s="100">
        <f t="shared" si="381"/>
        <v>0</v>
      </c>
      <c r="AX321" s="100">
        <f t="shared" si="382"/>
        <v>0</v>
      </c>
      <c r="AY321" s="110" t="s">
        <v>1710</v>
      </c>
      <c r="AZ321" s="110" t="s">
        <v>1733</v>
      </c>
      <c r="BA321" s="109" t="s">
        <v>1737</v>
      </c>
      <c r="BC321" s="100">
        <f t="shared" si="383"/>
        <v>0</v>
      </c>
      <c r="BD321" s="100">
        <f t="shared" si="384"/>
        <v>0</v>
      </c>
      <c r="BE321" s="100">
        <v>0</v>
      </c>
      <c r="BF321" s="100">
        <f>321</f>
        <v>321</v>
      </c>
      <c r="BH321" s="108">
        <f t="shared" si="385"/>
        <v>0</v>
      </c>
      <c r="BI321" s="108">
        <f t="shared" si="386"/>
        <v>0</v>
      </c>
      <c r="BJ321" s="108">
        <f t="shared" si="387"/>
        <v>0</v>
      </c>
    </row>
    <row r="322" spans="1:62" x14ac:dyDescent="0.2">
      <c r="A322" s="117" t="s">
        <v>283</v>
      </c>
      <c r="B322" s="117" t="s">
        <v>4017</v>
      </c>
      <c r="C322" s="304" t="s">
        <v>1372</v>
      </c>
      <c r="D322" s="305"/>
      <c r="E322" s="305"/>
      <c r="F322" s="117" t="s">
        <v>1646</v>
      </c>
      <c r="G322" s="116">
        <v>22</v>
      </c>
      <c r="H322" s="159"/>
      <c r="I322" s="108">
        <f t="shared" si="364"/>
        <v>0</v>
      </c>
      <c r="J322" s="108">
        <f t="shared" si="365"/>
        <v>0</v>
      </c>
      <c r="K322" s="108">
        <f t="shared" si="366"/>
        <v>0</v>
      </c>
      <c r="L322" s="111"/>
      <c r="Z322" s="100">
        <f t="shared" si="367"/>
        <v>0</v>
      </c>
      <c r="AB322" s="100">
        <f t="shared" si="368"/>
        <v>0</v>
      </c>
      <c r="AC322" s="100">
        <f t="shared" si="369"/>
        <v>0</v>
      </c>
      <c r="AD322" s="100">
        <f t="shared" si="370"/>
        <v>0</v>
      </c>
      <c r="AE322" s="100">
        <f t="shared" si="371"/>
        <v>0</v>
      </c>
      <c r="AF322" s="100">
        <f t="shared" si="372"/>
        <v>0</v>
      </c>
      <c r="AG322" s="100">
        <f t="shared" si="373"/>
        <v>0</v>
      </c>
      <c r="AH322" s="100">
        <f t="shared" si="374"/>
        <v>0</v>
      </c>
      <c r="AI322" s="109"/>
      <c r="AJ322" s="108">
        <f t="shared" si="375"/>
        <v>0</v>
      </c>
      <c r="AK322" s="108">
        <f t="shared" si="376"/>
        <v>0</v>
      </c>
      <c r="AL322" s="108">
        <f t="shared" si="377"/>
        <v>0</v>
      </c>
      <c r="AN322" s="100">
        <v>15</v>
      </c>
      <c r="AO322" s="100">
        <f t="shared" si="378"/>
        <v>0</v>
      </c>
      <c r="AP322" s="100">
        <f t="shared" si="379"/>
        <v>0</v>
      </c>
      <c r="AQ322" s="111" t="s">
        <v>13</v>
      </c>
      <c r="AV322" s="100">
        <f t="shared" si="380"/>
        <v>0</v>
      </c>
      <c r="AW322" s="100">
        <f t="shared" si="381"/>
        <v>0</v>
      </c>
      <c r="AX322" s="100">
        <f t="shared" si="382"/>
        <v>0</v>
      </c>
      <c r="AY322" s="110" t="s">
        <v>1710</v>
      </c>
      <c r="AZ322" s="110" t="s">
        <v>1733</v>
      </c>
      <c r="BA322" s="109" t="s">
        <v>1737</v>
      </c>
      <c r="BC322" s="100">
        <f t="shared" si="383"/>
        <v>0</v>
      </c>
      <c r="BD322" s="100">
        <f t="shared" si="384"/>
        <v>0</v>
      </c>
      <c r="BE322" s="100">
        <v>0</v>
      </c>
      <c r="BF322" s="100">
        <f>322</f>
        <v>322</v>
      </c>
      <c r="BH322" s="108">
        <f t="shared" si="385"/>
        <v>0</v>
      </c>
      <c r="BI322" s="108">
        <f t="shared" si="386"/>
        <v>0</v>
      </c>
      <c r="BJ322" s="108">
        <f t="shared" si="387"/>
        <v>0</v>
      </c>
    </row>
    <row r="323" spans="1:62" x14ac:dyDescent="0.2">
      <c r="A323" s="117" t="s">
        <v>284</v>
      </c>
      <c r="B323" s="117" t="s">
        <v>4016</v>
      </c>
      <c r="C323" s="304" t="s">
        <v>1373</v>
      </c>
      <c r="D323" s="305"/>
      <c r="E323" s="305"/>
      <c r="F323" s="117" t="s">
        <v>1646</v>
      </c>
      <c r="G323" s="116">
        <v>8</v>
      </c>
      <c r="H323" s="159"/>
      <c r="I323" s="108">
        <f t="shared" si="364"/>
        <v>0</v>
      </c>
      <c r="J323" s="108">
        <f t="shared" si="365"/>
        <v>0</v>
      </c>
      <c r="K323" s="108">
        <f t="shared" si="366"/>
        <v>0</v>
      </c>
      <c r="L323" s="111"/>
      <c r="Z323" s="100">
        <f t="shared" si="367"/>
        <v>0</v>
      </c>
      <c r="AB323" s="100">
        <f t="shared" si="368"/>
        <v>0</v>
      </c>
      <c r="AC323" s="100">
        <f t="shared" si="369"/>
        <v>0</v>
      </c>
      <c r="AD323" s="100">
        <f t="shared" si="370"/>
        <v>0</v>
      </c>
      <c r="AE323" s="100">
        <f t="shared" si="371"/>
        <v>0</v>
      </c>
      <c r="AF323" s="100">
        <f t="shared" si="372"/>
        <v>0</v>
      </c>
      <c r="AG323" s="100">
        <f t="shared" si="373"/>
        <v>0</v>
      </c>
      <c r="AH323" s="100">
        <f t="shared" si="374"/>
        <v>0</v>
      </c>
      <c r="AI323" s="109"/>
      <c r="AJ323" s="108">
        <f t="shared" si="375"/>
        <v>0</v>
      </c>
      <c r="AK323" s="108">
        <f t="shared" si="376"/>
        <v>0</v>
      </c>
      <c r="AL323" s="108">
        <f t="shared" si="377"/>
        <v>0</v>
      </c>
      <c r="AN323" s="100">
        <v>15</v>
      </c>
      <c r="AO323" s="100">
        <f t="shared" si="378"/>
        <v>0</v>
      </c>
      <c r="AP323" s="100">
        <f t="shared" si="379"/>
        <v>0</v>
      </c>
      <c r="AQ323" s="111" t="s">
        <v>13</v>
      </c>
      <c r="AV323" s="100">
        <f t="shared" si="380"/>
        <v>0</v>
      </c>
      <c r="AW323" s="100">
        <f t="shared" si="381"/>
        <v>0</v>
      </c>
      <c r="AX323" s="100">
        <f t="shared" si="382"/>
        <v>0</v>
      </c>
      <c r="AY323" s="110" t="s">
        <v>1710</v>
      </c>
      <c r="AZ323" s="110" t="s">
        <v>1733</v>
      </c>
      <c r="BA323" s="109" t="s">
        <v>1737</v>
      </c>
      <c r="BC323" s="100">
        <f t="shared" si="383"/>
        <v>0</v>
      </c>
      <c r="BD323" s="100">
        <f t="shared" si="384"/>
        <v>0</v>
      </c>
      <c r="BE323" s="100">
        <v>0</v>
      </c>
      <c r="BF323" s="100">
        <f>323</f>
        <v>323</v>
      </c>
      <c r="BH323" s="108">
        <f t="shared" si="385"/>
        <v>0</v>
      </c>
      <c r="BI323" s="108">
        <f t="shared" si="386"/>
        <v>0</v>
      </c>
      <c r="BJ323" s="108">
        <f t="shared" si="387"/>
        <v>0</v>
      </c>
    </row>
    <row r="324" spans="1:62" x14ac:dyDescent="0.2">
      <c r="A324" s="117" t="s">
        <v>285</v>
      </c>
      <c r="B324" s="117" t="s">
        <v>4015</v>
      </c>
      <c r="C324" s="304" t="s">
        <v>1374</v>
      </c>
      <c r="D324" s="305"/>
      <c r="E324" s="305"/>
      <c r="F324" s="117" t="s">
        <v>1646</v>
      </c>
      <c r="G324" s="116">
        <v>5</v>
      </c>
      <c r="H324" s="159"/>
      <c r="I324" s="108">
        <f t="shared" si="364"/>
        <v>0</v>
      </c>
      <c r="J324" s="108">
        <f t="shared" si="365"/>
        <v>0</v>
      </c>
      <c r="K324" s="108">
        <f t="shared" si="366"/>
        <v>0</v>
      </c>
      <c r="L324" s="111"/>
      <c r="Z324" s="100">
        <f t="shared" si="367"/>
        <v>0</v>
      </c>
      <c r="AB324" s="100">
        <f t="shared" si="368"/>
        <v>0</v>
      </c>
      <c r="AC324" s="100">
        <f t="shared" si="369"/>
        <v>0</v>
      </c>
      <c r="AD324" s="100">
        <f t="shared" si="370"/>
        <v>0</v>
      </c>
      <c r="AE324" s="100">
        <f t="shared" si="371"/>
        <v>0</v>
      </c>
      <c r="AF324" s="100">
        <f t="shared" si="372"/>
        <v>0</v>
      </c>
      <c r="AG324" s="100">
        <f t="shared" si="373"/>
        <v>0</v>
      </c>
      <c r="AH324" s="100">
        <f t="shared" si="374"/>
        <v>0</v>
      </c>
      <c r="AI324" s="109"/>
      <c r="AJ324" s="108">
        <f t="shared" si="375"/>
        <v>0</v>
      </c>
      <c r="AK324" s="108">
        <f t="shared" si="376"/>
        <v>0</v>
      </c>
      <c r="AL324" s="108">
        <f t="shared" si="377"/>
        <v>0</v>
      </c>
      <c r="AN324" s="100">
        <v>15</v>
      </c>
      <c r="AO324" s="100">
        <f t="shared" si="378"/>
        <v>0</v>
      </c>
      <c r="AP324" s="100">
        <f t="shared" si="379"/>
        <v>0</v>
      </c>
      <c r="AQ324" s="111" t="s">
        <v>13</v>
      </c>
      <c r="AV324" s="100">
        <f t="shared" si="380"/>
        <v>0</v>
      </c>
      <c r="AW324" s="100">
        <f t="shared" si="381"/>
        <v>0</v>
      </c>
      <c r="AX324" s="100">
        <f t="shared" si="382"/>
        <v>0</v>
      </c>
      <c r="AY324" s="110" t="s">
        <v>1710</v>
      </c>
      <c r="AZ324" s="110" t="s">
        <v>1733</v>
      </c>
      <c r="BA324" s="109" t="s">
        <v>1737</v>
      </c>
      <c r="BC324" s="100">
        <f t="shared" si="383"/>
        <v>0</v>
      </c>
      <c r="BD324" s="100">
        <f t="shared" si="384"/>
        <v>0</v>
      </c>
      <c r="BE324" s="100">
        <v>0</v>
      </c>
      <c r="BF324" s="100">
        <f>324</f>
        <v>324</v>
      </c>
      <c r="BH324" s="108">
        <f t="shared" si="385"/>
        <v>0</v>
      </c>
      <c r="BI324" s="108">
        <f t="shared" si="386"/>
        <v>0</v>
      </c>
      <c r="BJ324" s="108">
        <f t="shared" si="387"/>
        <v>0</v>
      </c>
    </row>
    <row r="325" spans="1:62" x14ac:dyDescent="0.2">
      <c r="A325" s="117" t="s">
        <v>286</v>
      </c>
      <c r="B325" s="117" t="s">
        <v>4014</v>
      </c>
      <c r="C325" s="304" t="s">
        <v>1376</v>
      </c>
      <c r="D325" s="305"/>
      <c r="E325" s="305"/>
      <c r="F325" s="117" t="s">
        <v>1646</v>
      </c>
      <c r="G325" s="116">
        <v>8</v>
      </c>
      <c r="H325" s="159"/>
      <c r="I325" s="108">
        <f t="shared" si="364"/>
        <v>0</v>
      </c>
      <c r="J325" s="108">
        <f t="shared" si="365"/>
        <v>0</v>
      </c>
      <c r="K325" s="108">
        <f t="shared" si="366"/>
        <v>0</v>
      </c>
      <c r="L325" s="111"/>
      <c r="Z325" s="100">
        <f t="shared" si="367"/>
        <v>0</v>
      </c>
      <c r="AB325" s="100">
        <f t="shared" si="368"/>
        <v>0</v>
      </c>
      <c r="AC325" s="100">
        <f t="shared" si="369"/>
        <v>0</v>
      </c>
      <c r="AD325" s="100">
        <f t="shared" si="370"/>
        <v>0</v>
      </c>
      <c r="AE325" s="100">
        <f t="shared" si="371"/>
        <v>0</v>
      </c>
      <c r="AF325" s="100">
        <f t="shared" si="372"/>
        <v>0</v>
      </c>
      <c r="AG325" s="100">
        <f t="shared" si="373"/>
        <v>0</v>
      </c>
      <c r="AH325" s="100">
        <f t="shared" si="374"/>
        <v>0</v>
      </c>
      <c r="AI325" s="109"/>
      <c r="AJ325" s="108">
        <f t="shared" si="375"/>
        <v>0</v>
      </c>
      <c r="AK325" s="108">
        <f t="shared" si="376"/>
        <v>0</v>
      </c>
      <c r="AL325" s="108">
        <f t="shared" si="377"/>
        <v>0</v>
      </c>
      <c r="AN325" s="100">
        <v>15</v>
      </c>
      <c r="AO325" s="100">
        <f t="shared" si="378"/>
        <v>0</v>
      </c>
      <c r="AP325" s="100">
        <f t="shared" si="379"/>
        <v>0</v>
      </c>
      <c r="AQ325" s="111" t="s">
        <v>13</v>
      </c>
      <c r="AV325" s="100">
        <f t="shared" si="380"/>
        <v>0</v>
      </c>
      <c r="AW325" s="100">
        <f t="shared" si="381"/>
        <v>0</v>
      </c>
      <c r="AX325" s="100">
        <f t="shared" si="382"/>
        <v>0</v>
      </c>
      <c r="AY325" s="110" t="s">
        <v>1710</v>
      </c>
      <c r="AZ325" s="110" t="s">
        <v>1733</v>
      </c>
      <c r="BA325" s="109" t="s">
        <v>1737</v>
      </c>
      <c r="BC325" s="100">
        <f t="shared" si="383"/>
        <v>0</v>
      </c>
      <c r="BD325" s="100">
        <f t="shared" si="384"/>
        <v>0</v>
      </c>
      <c r="BE325" s="100">
        <v>0</v>
      </c>
      <c r="BF325" s="100">
        <f>325</f>
        <v>325</v>
      </c>
      <c r="BH325" s="108">
        <f t="shared" si="385"/>
        <v>0</v>
      </c>
      <c r="BI325" s="108">
        <f t="shared" si="386"/>
        <v>0</v>
      </c>
      <c r="BJ325" s="108">
        <f t="shared" si="387"/>
        <v>0</v>
      </c>
    </row>
    <row r="326" spans="1:62" x14ac:dyDescent="0.2">
      <c r="A326" s="117" t="s">
        <v>287</v>
      </c>
      <c r="B326" s="117" t="s">
        <v>4013</v>
      </c>
      <c r="C326" s="304" t="s">
        <v>1377</v>
      </c>
      <c r="D326" s="305"/>
      <c r="E326" s="305"/>
      <c r="F326" s="117" t="s">
        <v>1646</v>
      </c>
      <c r="G326" s="116">
        <v>27</v>
      </c>
      <c r="H326" s="159"/>
      <c r="I326" s="108">
        <f t="shared" si="364"/>
        <v>0</v>
      </c>
      <c r="J326" s="108">
        <f t="shared" si="365"/>
        <v>0</v>
      </c>
      <c r="K326" s="108">
        <f t="shared" si="366"/>
        <v>0</v>
      </c>
      <c r="L326" s="111"/>
      <c r="Z326" s="100">
        <f t="shared" si="367"/>
        <v>0</v>
      </c>
      <c r="AB326" s="100">
        <f t="shared" si="368"/>
        <v>0</v>
      </c>
      <c r="AC326" s="100">
        <f t="shared" si="369"/>
        <v>0</v>
      </c>
      <c r="AD326" s="100">
        <f t="shared" si="370"/>
        <v>0</v>
      </c>
      <c r="AE326" s="100">
        <f t="shared" si="371"/>
        <v>0</v>
      </c>
      <c r="AF326" s="100">
        <f t="shared" si="372"/>
        <v>0</v>
      </c>
      <c r="AG326" s="100">
        <f t="shared" si="373"/>
        <v>0</v>
      </c>
      <c r="AH326" s="100">
        <f t="shared" si="374"/>
        <v>0</v>
      </c>
      <c r="AI326" s="109"/>
      <c r="AJ326" s="108">
        <f t="shared" si="375"/>
        <v>0</v>
      </c>
      <c r="AK326" s="108">
        <f t="shared" si="376"/>
        <v>0</v>
      </c>
      <c r="AL326" s="108">
        <f t="shared" si="377"/>
        <v>0</v>
      </c>
      <c r="AN326" s="100">
        <v>15</v>
      </c>
      <c r="AO326" s="100">
        <f t="shared" si="378"/>
        <v>0</v>
      </c>
      <c r="AP326" s="100">
        <f t="shared" si="379"/>
        <v>0</v>
      </c>
      <c r="AQ326" s="111" t="s">
        <v>13</v>
      </c>
      <c r="AV326" s="100">
        <f t="shared" si="380"/>
        <v>0</v>
      </c>
      <c r="AW326" s="100">
        <f t="shared" si="381"/>
        <v>0</v>
      </c>
      <c r="AX326" s="100">
        <f t="shared" si="382"/>
        <v>0</v>
      </c>
      <c r="AY326" s="110" t="s">
        <v>1710</v>
      </c>
      <c r="AZ326" s="110" t="s">
        <v>1733</v>
      </c>
      <c r="BA326" s="109" t="s">
        <v>1737</v>
      </c>
      <c r="BC326" s="100">
        <f t="shared" si="383"/>
        <v>0</v>
      </c>
      <c r="BD326" s="100">
        <f t="shared" si="384"/>
        <v>0</v>
      </c>
      <c r="BE326" s="100">
        <v>0</v>
      </c>
      <c r="BF326" s="100">
        <f>326</f>
        <v>326</v>
      </c>
      <c r="BH326" s="108">
        <f t="shared" si="385"/>
        <v>0</v>
      </c>
      <c r="BI326" s="108">
        <f t="shared" si="386"/>
        <v>0</v>
      </c>
      <c r="BJ326" s="108">
        <f t="shared" si="387"/>
        <v>0</v>
      </c>
    </row>
    <row r="327" spans="1:62" x14ac:dyDescent="0.2">
      <c r="A327" s="119"/>
      <c r="B327" s="120" t="s">
        <v>798</v>
      </c>
      <c r="C327" s="306" t="s">
        <v>1379</v>
      </c>
      <c r="D327" s="307"/>
      <c r="E327" s="307"/>
      <c r="F327" s="119" t="s">
        <v>6</v>
      </c>
      <c r="G327" s="119" t="s">
        <v>6</v>
      </c>
      <c r="H327" s="119" t="s">
        <v>6</v>
      </c>
      <c r="I327" s="118">
        <f>SUM(I328:I349)</f>
        <v>0</v>
      </c>
      <c r="J327" s="118">
        <f>SUM(J328:J349)</f>
        <v>0</v>
      </c>
      <c r="K327" s="118">
        <f>SUM(K328:K349)</f>
        <v>0</v>
      </c>
      <c r="L327" s="109"/>
      <c r="AI327" s="109"/>
      <c r="AS327" s="118">
        <f>SUM(AJ328:AJ349)</f>
        <v>0</v>
      </c>
      <c r="AT327" s="118">
        <f>SUM(AK328:AK349)</f>
        <v>0</v>
      </c>
      <c r="AU327" s="118">
        <f>SUM(AL328:AL349)</f>
        <v>0</v>
      </c>
    </row>
    <row r="328" spans="1:62" x14ac:dyDescent="0.2">
      <c r="A328" s="117" t="s">
        <v>288</v>
      </c>
      <c r="B328" s="117" t="s">
        <v>4012</v>
      </c>
      <c r="C328" s="304" t="s">
        <v>1380</v>
      </c>
      <c r="D328" s="305"/>
      <c r="E328" s="305"/>
      <c r="F328" s="117" t="s">
        <v>1646</v>
      </c>
      <c r="G328" s="116">
        <v>6</v>
      </c>
      <c r="H328" s="159"/>
      <c r="I328" s="108">
        <f t="shared" ref="I328:I349" si="388">G328*AO328</f>
        <v>0</v>
      </c>
      <c r="J328" s="108">
        <f t="shared" ref="J328:J349" si="389">G328*AP328</f>
        <v>0</v>
      </c>
      <c r="K328" s="108">
        <f t="shared" ref="K328:K349" si="390">G328*H328</f>
        <v>0</v>
      </c>
      <c r="L328" s="111"/>
      <c r="Z328" s="100">
        <f t="shared" ref="Z328:Z349" si="391">IF(AQ328="5",BJ328,0)</f>
        <v>0</v>
      </c>
      <c r="AB328" s="100">
        <f t="shared" ref="AB328:AB349" si="392">IF(AQ328="1",BH328,0)</f>
        <v>0</v>
      </c>
      <c r="AC328" s="100">
        <f t="shared" ref="AC328:AC349" si="393">IF(AQ328="1",BI328,0)</f>
        <v>0</v>
      </c>
      <c r="AD328" s="100">
        <f t="shared" ref="AD328:AD349" si="394">IF(AQ328="7",BH328,0)</f>
        <v>0</v>
      </c>
      <c r="AE328" s="100">
        <f t="shared" ref="AE328:AE349" si="395">IF(AQ328="7",BI328,0)</f>
        <v>0</v>
      </c>
      <c r="AF328" s="100">
        <f t="shared" ref="AF328:AF349" si="396">IF(AQ328="2",BH328,0)</f>
        <v>0</v>
      </c>
      <c r="AG328" s="100">
        <f t="shared" ref="AG328:AG349" si="397">IF(AQ328="2",BI328,0)</f>
        <v>0</v>
      </c>
      <c r="AH328" s="100">
        <f t="shared" ref="AH328:AH349" si="398">IF(AQ328="0",BJ328,0)</f>
        <v>0</v>
      </c>
      <c r="AI328" s="109"/>
      <c r="AJ328" s="108">
        <f t="shared" ref="AJ328:AJ349" si="399">IF(AN328=0,K328,0)</f>
        <v>0</v>
      </c>
      <c r="AK328" s="108">
        <f t="shared" ref="AK328:AK349" si="400">IF(AN328=15,K328,0)</f>
        <v>0</v>
      </c>
      <c r="AL328" s="108">
        <f t="shared" ref="AL328:AL349" si="401">IF(AN328=21,K328,0)</f>
        <v>0</v>
      </c>
      <c r="AN328" s="100">
        <v>15</v>
      </c>
      <c r="AO328" s="100">
        <f t="shared" ref="AO328:AO349" si="402">H328*0</f>
        <v>0</v>
      </c>
      <c r="AP328" s="100">
        <f t="shared" ref="AP328:AP349" si="403">H328*(1-0)</f>
        <v>0</v>
      </c>
      <c r="AQ328" s="111" t="s">
        <v>13</v>
      </c>
      <c r="AV328" s="100">
        <f t="shared" ref="AV328:AV349" si="404">AW328+AX328</f>
        <v>0</v>
      </c>
      <c r="AW328" s="100">
        <f t="shared" ref="AW328:AW349" si="405">G328*AO328</f>
        <v>0</v>
      </c>
      <c r="AX328" s="100">
        <f t="shared" ref="AX328:AX349" si="406">G328*AP328</f>
        <v>0</v>
      </c>
      <c r="AY328" s="110" t="s">
        <v>1711</v>
      </c>
      <c r="AZ328" s="110" t="s">
        <v>1733</v>
      </c>
      <c r="BA328" s="109" t="s">
        <v>1737</v>
      </c>
      <c r="BC328" s="100">
        <f t="shared" ref="BC328:BC349" si="407">AW328+AX328</f>
        <v>0</v>
      </c>
      <c r="BD328" s="100">
        <f t="shared" ref="BD328:BD349" si="408">H328/(100-BE328)*100</f>
        <v>0</v>
      </c>
      <c r="BE328" s="100">
        <v>0</v>
      </c>
      <c r="BF328" s="100">
        <f>328</f>
        <v>328</v>
      </c>
      <c r="BH328" s="108">
        <f t="shared" ref="BH328:BH349" si="409">G328*AO328</f>
        <v>0</v>
      </c>
      <c r="BI328" s="108">
        <f t="shared" ref="BI328:BI349" si="410">G328*AP328</f>
        <v>0</v>
      </c>
      <c r="BJ328" s="108">
        <f t="shared" ref="BJ328:BJ349" si="411">G328*H328</f>
        <v>0</v>
      </c>
    </row>
    <row r="329" spans="1:62" x14ac:dyDescent="0.2">
      <c r="A329" s="117" t="s">
        <v>289</v>
      </c>
      <c r="B329" s="117" t="s">
        <v>4011</v>
      </c>
      <c r="C329" s="304" t="s">
        <v>1381</v>
      </c>
      <c r="D329" s="305"/>
      <c r="E329" s="305"/>
      <c r="F329" s="117" t="s">
        <v>1644</v>
      </c>
      <c r="G329" s="116">
        <v>1</v>
      </c>
      <c r="H329" s="159"/>
      <c r="I329" s="108">
        <f t="shared" si="388"/>
        <v>0</v>
      </c>
      <c r="J329" s="108">
        <f t="shared" si="389"/>
        <v>0</v>
      </c>
      <c r="K329" s="108">
        <f t="shared" si="390"/>
        <v>0</v>
      </c>
      <c r="L329" s="111"/>
      <c r="Z329" s="100">
        <f t="shared" si="391"/>
        <v>0</v>
      </c>
      <c r="AB329" s="100">
        <f t="shared" si="392"/>
        <v>0</v>
      </c>
      <c r="AC329" s="100">
        <f t="shared" si="393"/>
        <v>0</v>
      </c>
      <c r="AD329" s="100">
        <f t="shared" si="394"/>
        <v>0</v>
      </c>
      <c r="AE329" s="100">
        <f t="shared" si="395"/>
        <v>0</v>
      </c>
      <c r="AF329" s="100">
        <f t="shared" si="396"/>
        <v>0</v>
      </c>
      <c r="AG329" s="100">
        <f t="shared" si="397"/>
        <v>0</v>
      </c>
      <c r="AH329" s="100">
        <f t="shared" si="398"/>
        <v>0</v>
      </c>
      <c r="AI329" s="109"/>
      <c r="AJ329" s="108">
        <f t="shared" si="399"/>
        <v>0</v>
      </c>
      <c r="AK329" s="108">
        <f t="shared" si="400"/>
        <v>0</v>
      </c>
      <c r="AL329" s="108">
        <f t="shared" si="401"/>
        <v>0</v>
      </c>
      <c r="AN329" s="100">
        <v>15</v>
      </c>
      <c r="AO329" s="100">
        <f t="shared" si="402"/>
        <v>0</v>
      </c>
      <c r="AP329" s="100">
        <f t="shared" si="403"/>
        <v>0</v>
      </c>
      <c r="AQ329" s="111" t="s">
        <v>13</v>
      </c>
      <c r="AV329" s="100">
        <f t="shared" si="404"/>
        <v>0</v>
      </c>
      <c r="AW329" s="100">
        <f t="shared" si="405"/>
        <v>0</v>
      </c>
      <c r="AX329" s="100">
        <f t="shared" si="406"/>
        <v>0</v>
      </c>
      <c r="AY329" s="110" t="s">
        <v>1711</v>
      </c>
      <c r="AZ329" s="110" t="s">
        <v>1733</v>
      </c>
      <c r="BA329" s="109" t="s">
        <v>1737</v>
      </c>
      <c r="BC329" s="100">
        <f t="shared" si="407"/>
        <v>0</v>
      </c>
      <c r="BD329" s="100">
        <f t="shared" si="408"/>
        <v>0</v>
      </c>
      <c r="BE329" s="100">
        <v>0</v>
      </c>
      <c r="BF329" s="100">
        <f>329</f>
        <v>329</v>
      </c>
      <c r="BH329" s="108">
        <f t="shared" si="409"/>
        <v>0</v>
      </c>
      <c r="BI329" s="108">
        <f t="shared" si="410"/>
        <v>0</v>
      </c>
      <c r="BJ329" s="108">
        <f t="shared" si="411"/>
        <v>0</v>
      </c>
    </row>
    <row r="330" spans="1:62" x14ac:dyDescent="0.2">
      <c r="A330" s="117" t="s">
        <v>290</v>
      </c>
      <c r="B330" s="117" t="s">
        <v>4010</v>
      </c>
      <c r="C330" s="304" t="s">
        <v>1382</v>
      </c>
      <c r="D330" s="305"/>
      <c r="E330" s="305"/>
      <c r="F330" s="117" t="s">
        <v>1644</v>
      </c>
      <c r="G330" s="116">
        <v>2</v>
      </c>
      <c r="H330" s="159"/>
      <c r="I330" s="108">
        <f t="shared" si="388"/>
        <v>0</v>
      </c>
      <c r="J330" s="108">
        <f t="shared" si="389"/>
        <v>0</v>
      </c>
      <c r="K330" s="108">
        <f t="shared" si="390"/>
        <v>0</v>
      </c>
      <c r="L330" s="111"/>
      <c r="Z330" s="100">
        <f t="shared" si="391"/>
        <v>0</v>
      </c>
      <c r="AB330" s="100">
        <f t="shared" si="392"/>
        <v>0</v>
      </c>
      <c r="AC330" s="100">
        <f t="shared" si="393"/>
        <v>0</v>
      </c>
      <c r="AD330" s="100">
        <f t="shared" si="394"/>
        <v>0</v>
      </c>
      <c r="AE330" s="100">
        <f t="shared" si="395"/>
        <v>0</v>
      </c>
      <c r="AF330" s="100">
        <f t="shared" si="396"/>
        <v>0</v>
      </c>
      <c r="AG330" s="100">
        <f t="shared" si="397"/>
        <v>0</v>
      </c>
      <c r="AH330" s="100">
        <f t="shared" si="398"/>
        <v>0</v>
      </c>
      <c r="AI330" s="109"/>
      <c r="AJ330" s="108">
        <f t="shared" si="399"/>
        <v>0</v>
      </c>
      <c r="AK330" s="108">
        <f t="shared" si="400"/>
        <v>0</v>
      </c>
      <c r="AL330" s="108">
        <f t="shared" si="401"/>
        <v>0</v>
      </c>
      <c r="AN330" s="100">
        <v>15</v>
      </c>
      <c r="AO330" s="100">
        <f t="shared" si="402"/>
        <v>0</v>
      </c>
      <c r="AP330" s="100">
        <f t="shared" si="403"/>
        <v>0</v>
      </c>
      <c r="AQ330" s="111" t="s">
        <v>13</v>
      </c>
      <c r="AV330" s="100">
        <f t="shared" si="404"/>
        <v>0</v>
      </c>
      <c r="AW330" s="100">
        <f t="shared" si="405"/>
        <v>0</v>
      </c>
      <c r="AX330" s="100">
        <f t="shared" si="406"/>
        <v>0</v>
      </c>
      <c r="AY330" s="110" t="s">
        <v>1711</v>
      </c>
      <c r="AZ330" s="110" t="s">
        <v>1733</v>
      </c>
      <c r="BA330" s="109" t="s">
        <v>1737</v>
      </c>
      <c r="BC330" s="100">
        <f t="shared" si="407"/>
        <v>0</v>
      </c>
      <c r="BD330" s="100">
        <f t="shared" si="408"/>
        <v>0</v>
      </c>
      <c r="BE330" s="100">
        <v>0</v>
      </c>
      <c r="BF330" s="100">
        <f>330</f>
        <v>330</v>
      </c>
      <c r="BH330" s="108">
        <f t="shared" si="409"/>
        <v>0</v>
      </c>
      <c r="BI330" s="108">
        <f t="shared" si="410"/>
        <v>0</v>
      </c>
      <c r="BJ330" s="108">
        <f t="shared" si="411"/>
        <v>0</v>
      </c>
    </row>
    <row r="331" spans="1:62" x14ac:dyDescent="0.2">
      <c r="A331" s="117" t="s">
        <v>291</v>
      </c>
      <c r="B331" s="117" t="s">
        <v>4009</v>
      </c>
      <c r="C331" s="304" t="s">
        <v>3997</v>
      </c>
      <c r="D331" s="305"/>
      <c r="E331" s="305"/>
      <c r="F331" s="117" t="s">
        <v>1644</v>
      </c>
      <c r="G331" s="116">
        <v>1</v>
      </c>
      <c r="H331" s="159"/>
      <c r="I331" s="108">
        <f t="shared" si="388"/>
        <v>0</v>
      </c>
      <c r="J331" s="108">
        <f t="shared" si="389"/>
        <v>0</v>
      </c>
      <c r="K331" s="108">
        <f t="shared" si="390"/>
        <v>0</v>
      </c>
      <c r="L331" s="111"/>
      <c r="Z331" s="100">
        <f t="shared" si="391"/>
        <v>0</v>
      </c>
      <c r="AB331" s="100">
        <f t="shared" si="392"/>
        <v>0</v>
      </c>
      <c r="AC331" s="100">
        <f t="shared" si="393"/>
        <v>0</v>
      </c>
      <c r="AD331" s="100">
        <f t="shared" si="394"/>
        <v>0</v>
      </c>
      <c r="AE331" s="100">
        <f t="shared" si="395"/>
        <v>0</v>
      </c>
      <c r="AF331" s="100">
        <f t="shared" si="396"/>
        <v>0</v>
      </c>
      <c r="AG331" s="100">
        <f t="shared" si="397"/>
        <v>0</v>
      </c>
      <c r="AH331" s="100">
        <f t="shared" si="398"/>
        <v>0</v>
      </c>
      <c r="AI331" s="109"/>
      <c r="AJ331" s="108">
        <f t="shared" si="399"/>
        <v>0</v>
      </c>
      <c r="AK331" s="108">
        <f t="shared" si="400"/>
        <v>0</v>
      </c>
      <c r="AL331" s="108">
        <f t="shared" si="401"/>
        <v>0</v>
      </c>
      <c r="AN331" s="100">
        <v>15</v>
      </c>
      <c r="AO331" s="100">
        <f t="shared" si="402"/>
        <v>0</v>
      </c>
      <c r="AP331" s="100">
        <f t="shared" si="403"/>
        <v>0</v>
      </c>
      <c r="AQ331" s="111" t="s">
        <v>13</v>
      </c>
      <c r="AV331" s="100">
        <f t="shared" si="404"/>
        <v>0</v>
      </c>
      <c r="AW331" s="100">
        <f t="shared" si="405"/>
        <v>0</v>
      </c>
      <c r="AX331" s="100">
        <f t="shared" si="406"/>
        <v>0</v>
      </c>
      <c r="AY331" s="110" t="s">
        <v>1711</v>
      </c>
      <c r="AZ331" s="110" t="s">
        <v>1733</v>
      </c>
      <c r="BA331" s="109" t="s">
        <v>1737</v>
      </c>
      <c r="BC331" s="100">
        <f t="shared" si="407"/>
        <v>0</v>
      </c>
      <c r="BD331" s="100">
        <f t="shared" si="408"/>
        <v>0</v>
      </c>
      <c r="BE331" s="100">
        <v>0</v>
      </c>
      <c r="BF331" s="100">
        <f>331</f>
        <v>331</v>
      </c>
      <c r="BH331" s="108">
        <f t="shared" si="409"/>
        <v>0</v>
      </c>
      <c r="BI331" s="108">
        <f t="shared" si="410"/>
        <v>0</v>
      </c>
      <c r="BJ331" s="108">
        <f t="shared" si="411"/>
        <v>0</v>
      </c>
    </row>
    <row r="332" spans="1:62" x14ac:dyDescent="0.2">
      <c r="A332" s="117" t="s">
        <v>292</v>
      </c>
      <c r="B332" s="117" t="s">
        <v>4008</v>
      </c>
      <c r="C332" s="304" t="s">
        <v>3995</v>
      </c>
      <c r="D332" s="305"/>
      <c r="E332" s="305"/>
      <c r="F332" s="117" t="s">
        <v>1644</v>
      </c>
      <c r="G332" s="116">
        <v>1</v>
      </c>
      <c r="H332" s="159"/>
      <c r="I332" s="108">
        <f t="shared" si="388"/>
        <v>0</v>
      </c>
      <c r="J332" s="108">
        <f t="shared" si="389"/>
        <v>0</v>
      </c>
      <c r="K332" s="108">
        <f t="shared" si="390"/>
        <v>0</v>
      </c>
      <c r="L332" s="111"/>
      <c r="Z332" s="100">
        <f t="shared" si="391"/>
        <v>0</v>
      </c>
      <c r="AB332" s="100">
        <f t="shared" si="392"/>
        <v>0</v>
      </c>
      <c r="AC332" s="100">
        <f t="shared" si="393"/>
        <v>0</v>
      </c>
      <c r="AD332" s="100">
        <f t="shared" si="394"/>
        <v>0</v>
      </c>
      <c r="AE332" s="100">
        <f t="shared" si="395"/>
        <v>0</v>
      </c>
      <c r="AF332" s="100">
        <f t="shared" si="396"/>
        <v>0</v>
      </c>
      <c r="AG332" s="100">
        <f t="shared" si="397"/>
        <v>0</v>
      </c>
      <c r="AH332" s="100">
        <f t="shared" si="398"/>
        <v>0</v>
      </c>
      <c r="AI332" s="109"/>
      <c r="AJ332" s="108">
        <f t="shared" si="399"/>
        <v>0</v>
      </c>
      <c r="AK332" s="108">
        <f t="shared" si="400"/>
        <v>0</v>
      </c>
      <c r="AL332" s="108">
        <f t="shared" si="401"/>
        <v>0</v>
      </c>
      <c r="AN332" s="100">
        <v>15</v>
      </c>
      <c r="AO332" s="100">
        <f t="shared" si="402"/>
        <v>0</v>
      </c>
      <c r="AP332" s="100">
        <f t="shared" si="403"/>
        <v>0</v>
      </c>
      <c r="AQ332" s="111" t="s">
        <v>13</v>
      </c>
      <c r="AV332" s="100">
        <f t="shared" si="404"/>
        <v>0</v>
      </c>
      <c r="AW332" s="100">
        <f t="shared" si="405"/>
        <v>0</v>
      </c>
      <c r="AX332" s="100">
        <f t="shared" si="406"/>
        <v>0</v>
      </c>
      <c r="AY332" s="110" t="s">
        <v>1711</v>
      </c>
      <c r="AZ332" s="110" t="s">
        <v>1733</v>
      </c>
      <c r="BA332" s="109" t="s">
        <v>1737</v>
      </c>
      <c r="BC332" s="100">
        <f t="shared" si="407"/>
        <v>0</v>
      </c>
      <c r="BD332" s="100">
        <f t="shared" si="408"/>
        <v>0</v>
      </c>
      <c r="BE332" s="100">
        <v>0</v>
      </c>
      <c r="BF332" s="100">
        <f>332</f>
        <v>332</v>
      </c>
      <c r="BH332" s="108">
        <f t="shared" si="409"/>
        <v>0</v>
      </c>
      <c r="BI332" s="108">
        <f t="shared" si="410"/>
        <v>0</v>
      </c>
      <c r="BJ332" s="108">
        <f t="shared" si="411"/>
        <v>0</v>
      </c>
    </row>
    <row r="333" spans="1:62" x14ac:dyDescent="0.2">
      <c r="A333" s="117" t="s">
        <v>293</v>
      </c>
      <c r="B333" s="117" t="s">
        <v>4007</v>
      </c>
      <c r="C333" s="304" t="s">
        <v>3993</v>
      </c>
      <c r="D333" s="305"/>
      <c r="E333" s="305"/>
      <c r="F333" s="117" t="s">
        <v>1644</v>
      </c>
      <c r="G333" s="116">
        <v>9</v>
      </c>
      <c r="H333" s="159"/>
      <c r="I333" s="108">
        <f t="shared" si="388"/>
        <v>0</v>
      </c>
      <c r="J333" s="108">
        <f t="shared" si="389"/>
        <v>0</v>
      </c>
      <c r="K333" s="108">
        <f t="shared" si="390"/>
        <v>0</v>
      </c>
      <c r="L333" s="111"/>
      <c r="Z333" s="100">
        <f t="shared" si="391"/>
        <v>0</v>
      </c>
      <c r="AB333" s="100">
        <f t="shared" si="392"/>
        <v>0</v>
      </c>
      <c r="AC333" s="100">
        <f t="shared" si="393"/>
        <v>0</v>
      </c>
      <c r="AD333" s="100">
        <f t="shared" si="394"/>
        <v>0</v>
      </c>
      <c r="AE333" s="100">
        <f t="shared" si="395"/>
        <v>0</v>
      </c>
      <c r="AF333" s="100">
        <f t="shared" si="396"/>
        <v>0</v>
      </c>
      <c r="AG333" s="100">
        <f t="shared" si="397"/>
        <v>0</v>
      </c>
      <c r="AH333" s="100">
        <f t="shared" si="398"/>
        <v>0</v>
      </c>
      <c r="AI333" s="109"/>
      <c r="AJ333" s="108">
        <f t="shared" si="399"/>
        <v>0</v>
      </c>
      <c r="AK333" s="108">
        <f t="shared" si="400"/>
        <v>0</v>
      </c>
      <c r="AL333" s="108">
        <f t="shared" si="401"/>
        <v>0</v>
      </c>
      <c r="AN333" s="100">
        <v>15</v>
      </c>
      <c r="AO333" s="100">
        <f t="shared" si="402"/>
        <v>0</v>
      </c>
      <c r="AP333" s="100">
        <f t="shared" si="403"/>
        <v>0</v>
      </c>
      <c r="AQ333" s="111" t="s">
        <v>13</v>
      </c>
      <c r="AV333" s="100">
        <f t="shared" si="404"/>
        <v>0</v>
      </c>
      <c r="AW333" s="100">
        <f t="shared" si="405"/>
        <v>0</v>
      </c>
      <c r="AX333" s="100">
        <f t="shared" si="406"/>
        <v>0</v>
      </c>
      <c r="AY333" s="110" t="s">
        <v>1711</v>
      </c>
      <c r="AZ333" s="110" t="s">
        <v>1733</v>
      </c>
      <c r="BA333" s="109" t="s">
        <v>1737</v>
      </c>
      <c r="BC333" s="100">
        <f t="shared" si="407"/>
        <v>0</v>
      </c>
      <c r="BD333" s="100">
        <f t="shared" si="408"/>
        <v>0</v>
      </c>
      <c r="BE333" s="100">
        <v>0</v>
      </c>
      <c r="BF333" s="100">
        <f>333</f>
        <v>333</v>
      </c>
      <c r="BH333" s="108">
        <f t="shared" si="409"/>
        <v>0</v>
      </c>
      <c r="BI333" s="108">
        <f t="shared" si="410"/>
        <v>0</v>
      </c>
      <c r="BJ333" s="108">
        <f t="shared" si="411"/>
        <v>0</v>
      </c>
    </row>
    <row r="334" spans="1:62" x14ac:dyDescent="0.2">
      <c r="A334" s="117" t="s">
        <v>294</v>
      </c>
      <c r="B334" s="117" t="s">
        <v>4006</v>
      </c>
      <c r="C334" s="304" t="s">
        <v>3991</v>
      </c>
      <c r="D334" s="305"/>
      <c r="E334" s="305"/>
      <c r="F334" s="117" t="s">
        <v>1644</v>
      </c>
      <c r="G334" s="116">
        <v>1</v>
      </c>
      <c r="H334" s="159"/>
      <c r="I334" s="108">
        <f t="shared" si="388"/>
        <v>0</v>
      </c>
      <c r="J334" s="108">
        <f t="shared" si="389"/>
        <v>0</v>
      </c>
      <c r="K334" s="108">
        <f t="shared" si="390"/>
        <v>0</v>
      </c>
      <c r="L334" s="111"/>
      <c r="Z334" s="100">
        <f t="shared" si="391"/>
        <v>0</v>
      </c>
      <c r="AB334" s="100">
        <f t="shared" si="392"/>
        <v>0</v>
      </c>
      <c r="AC334" s="100">
        <f t="shared" si="393"/>
        <v>0</v>
      </c>
      <c r="AD334" s="100">
        <f t="shared" si="394"/>
        <v>0</v>
      </c>
      <c r="AE334" s="100">
        <f t="shared" si="395"/>
        <v>0</v>
      </c>
      <c r="AF334" s="100">
        <f t="shared" si="396"/>
        <v>0</v>
      </c>
      <c r="AG334" s="100">
        <f t="shared" si="397"/>
        <v>0</v>
      </c>
      <c r="AH334" s="100">
        <f t="shared" si="398"/>
        <v>0</v>
      </c>
      <c r="AI334" s="109"/>
      <c r="AJ334" s="108">
        <f t="shared" si="399"/>
        <v>0</v>
      </c>
      <c r="AK334" s="108">
        <f t="shared" si="400"/>
        <v>0</v>
      </c>
      <c r="AL334" s="108">
        <f t="shared" si="401"/>
        <v>0</v>
      </c>
      <c r="AN334" s="100">
        <v>15</v>
      </c>
      <c r="AO334" s="100">
        <f t="shared" si="402"/>
        <v>0</v>
      </c>
      <c r="AP334" s="100">
        <f t="shared" si="403"/>
        <v>0</v>
      </c>
      <c r="AQ334" s="111" t="s">
        <v>13</v>
      </c>
      <c r="AV334" s="100">
        <f t="shared" si="404"/>
        <v>0</v>
      </c>
      <c r="AW334" s="100">
        <f t="shared" si="405"/>
        <v>0</v>
      </c>
      <c r="AX334" s="100">
        <f t="shared" si="406"/>
        <v>0</v>
      </c>
      <c r="AY334" s="110" t="s">
        <v>1711</v>
      </c>
      <c r="AZ334" s="110" t="s">
        <v>1733</v>
      </c>
      <c r="BA334" s="109" t="s">
        <v>1737</v>
      </c>
      <c r="BC334" s="100">
        <f t="shared" si="407"/>
        <v>0</v>
      </c>
      <c r="BD334" s="100">
        <f t="shared" si="408"/>
        <v>0</v>
      </c>
      <c r="BE334" s="100">
        <v>0</v>
      </c>
      <c r="BF334" s="100">
        <f>334</f>
        <v>334</v>
      </c>
      <c r="BH334" s="108">
        <f t="shared" si="409"/>
        <v>0</v>
      </c>
      <c r="BI334" s="108">
        <f t="shared" si="410"/>
        <v>0</v>
      </c>
      <c r="BJ334" s="108">
        <f t="shared" si="411"/>
        <v>0</v>
      </c>
    </row>
    <row r="335" spans="1:62" x14ac:dyDescent="0.2">
      <c r="A335" s="117" t="s">
        <v>295</v>
      </c>
      <c r="B335" s="117" t="s">
        <v>4005</v>
      </c>
      <c r="C335" s="304" t="s">
        <v>3989</v>
      </c>
      <c r="D335" s="305"/>
      <c r="E335" s="305"/>
      <c r="F335" s="117" t="s">
        <v>1644</v>
      </c>
      <c r="G335" s="116">
        <v>1</v>
      </c>
      <c r="H335" s="159"/>
      <c r="I335" s="108">
        <f t="shared" si="388"/>
        <v>0</v>
      </c>
      <c r="J335" s="108">
        <f t="shared" si="389"/>
        <v>0</v>
      </c>
      <c r="K335" s="108">
        <f t="shared" si="390"/>
        <v>0</v>
      </c>
      <c r="L335" s="111"/>
      <c r="Z335" s="100">
        <f t="shared" si="391"/>
        <v>0</v>
      </c>
      <c r="AB335" s="100">
        <f t="shared" si="392"/>
        <v>0</v>
      </c>
      <c r="AC335" s="100">
        <f t="shared" si="393"/>
        <v>0</v>
      </c>
      <c r="AD335" s="100">
        <f t="shared" si="394"/>
        <v>0</v>
      </c>
      <c r="AE335" s="100">
        <f t="shared" si="395"/>
        <v>0</v>
      </c>
      <c r="AF335" s="100">
        <f t="shared" si="396"/>
        <v>0</v>
      </c>
      <c r="AG335" s="100">
        <f t="shared" si="397"/>
        <v>0</v>
      </c>
      <c r="AH335" s="100">
        <f t="shared" si="398"/>
        <v>0</v>
      </c>
      <c r="AI335" s="109"/>
      <c r="AJ335" s="108">
        <f t="shared" si="399"/>
        <v>0</v>
      </c>
      <c r="AK335" s="108">
        <f t="shared" si="400"/>
        <v>0</v>
      </c>
      <c r="AL335" s="108">
        <f t="shared" si="401"/>
        <v>0</v>
      </c>
      <c r="AN335" s="100">
        <v>15</v>
      </c>
      <c r="AO335" s="100">
        <f t="shared" si="402"/>
        <v>0</v>
      </c>
      <c r="AP335" s="100">
        <f t="shared" si="403"/>
        <v>0</v>
      </c>
      <c r="AQ335" s="111" t="s">
        <v>13</v>
      </c>
      <c r="AV335" s="100">
        <f t="shared" si="404"/>
        <v>0</v>
      </c>
      <c r="AW335" s="100">
        <f t="shared" si="405"/>
        <v>0</v>
      </c>
      <c r="AX335" s="100">
        <f t="shared" si="406"/>
        <v>0</v>
      </c>
      <c r="AY335" s="110" t="s">
        <v>1711</v>
      </c>
      <c r="AZ335" s="110" t="s">
        <v>1733</v>
      </c>
      <c r="BA335" s="109" t="s">
        <v>1737</v>
      </c>
      <c r="BC335" s="100">
        <f t="shared" si="407"/>
        <v>0</v>
      </c>
      <c r="BD335" s="100">
        <f t="shared" si="408"/>
        <v>0</v>
      </c>
      <c r="BE335" s="100">
        <v>0</v>
      </c>
      <c r="BF335" s="100">
        <f>335</f>
        <v>335</v>
      </c>
      <c r="BH335" s="108">
        <f t="shared" si="409"/>
        <v>0</v>
      </c>
      <c r="BI335" s="108">
        <f t="shared" si="410"/>
        <v>0</v>
      </c>
      <c r="BJ335" s="108">
        <f t="shared" si="411"/>
        <v>0</v>
      </c>
    </row>
    <row r="336" spans="1:62" x14ac:dyDescent="0.2">
      <c r="A336" s="117" t="s">
        <v>296</v>
      </c>
      <c r="B336" s="117" t="s">
        <v>4004</v>
      </c>
      <c r="C336" s="304" t="s">
        <v>1380</v>
      </c>
      <c r="D336" s="305"/>
      <c r="E336" s="305"/>
      <c r="F336" s="117" t="s">
        <v>1646</v>
      </c>
      <c r="G336" s="116">
        <v>8</v>
      </c>
      <c r="H336" s="159"/>
      <c r="I336" s="108">
        <f t="shared" si="388"/>
        <v>0</v>
      </c>
      <c r="J336" s="108">
        <f t="shared" si="389"/>
        <v>0</v>
      </c>
      <c r="K336" s="108">
        <f t="shared" si="390"/>
        <v>0</v>
      </c>
      <c r="L336" s="111"/>
      <c r="Z336" s="100">
        <f t="shared" si="391"/>
        <v>0</v>
      </c>
      <c r="AB336" s="100">
        <f t="shared" si="392"/>
        <v>0</v>
      </c>
      <c r="AC336" s="100">
        <f t="shared" si="393"/>
        <v>0</v>
      </c>
      <c r="AD336" s="100">
        <f t="shared" si="394"/>
        <v>0</v>
      </c>
      <c r="AE336" s="100">
        <f t="shared" si="395"/>
        <v>0</v>
      </c>
      <c r="AF336" s="100">
        <f t="shared" si="396"/>
        <v>0</v>
      </c>
      <c r="AG336" s="100">
        <f t="shared" si="397"/>
        <v>0</v>
      </c>
      <c r="AH336" s="100">
        <f t="shared" si="398"/>
        <v>0</v>
      </c>
      <c r="AI336" s="109"/>
      <c r="AJ336" s="108">
        <f t="shared" si="399"/>
        <v>0</v>
      </c>
      <c r="AK336" s="108">
        <f t="shared" si="400"/>
        <v>0</v>
      </c>
      <c r="AL336" s="108">
        <f t="shared" si="401"/>
        <v>0</v>
      </c>
      <c r="AN336" s="100">
        <v>15</v>
      </c>
      <c r="AO336" s="100">
        <f t="shared" si="402"/>
        <v>0</v>
      </c>
      <c r="AP336" s="100">
        <f t="shared" si="403"/>
        <v>0</v>
      </c>
      <c r="AQ336" s="111" t="s">
        <v>13</v>
      </c>
      <c r="AV336" s="100">
        <f t="shared" si="404"/>
        <v>0</v>
      </c>
      <c r="AW336" s="100">
        <f t="shared" si="405"/>
        <v>0</v>
      </c>
      <c r="AX336" s="100">
        <f t="shared" si="406"/>
        <v>0</v>
      </c>
      <c r="AY336" s="110" t="s">
        <v>1711</v>
      </c>
      <c r="AZ336" s="110" t="s">
        <v>1733</v>
      </c>
      <c r="BA336" s="109" t="s">
        <v>1737</v>
      </c>
      <c r="BC336" s="100">
        <f t="shared" si="407"/>
        <v>0</v>
      </c>
      <c r="BD336" s="100">
        <f t="shared" si="408"/>
        <v>0</v>
      </c>
      <c r="BE336" s="100">
        <v>0</v>
      </c>
      <c r="BF336" s="100">
        <f>336</f>
        <v>336</v>
      </c>
      <c r="BH336" s="108">
        <f t="shared" si="409"/>
        <v>0</v>
      </c>
      <c r="BI336" s="108">
        <f t="shared" si="410"/>
        <v>0</v>
      </c>
      <c r="BJ336" s="108">
        <f t="shared" si="411"/>
        <v>0</v>
      </c>
    </row>
    <row r="337" spans="1:62" x14ac:dyDescent="0.2">
      <c r="A337" s="117" t="s">
        <v>297</v>
      </c>
      <c r="B337" s="117" t="s">
        <v>4003</v>
      </c>
      <c r="C337" s="304" t="s">
        <v>1390</v>
      </c>
      <c r="D337" s="305"/>
      <c r="E337" s="305"/>
      <c r="F337" s="117" t="s">
        <v>1644</v>
      </c>
      <c r="G337" s="116">
        <v>1</v>
      </c>
      <c r="H337" s="159"/>
      <c r="I337" s="108">
        <f t="shared" si="388"/>
        <v>0</v>
      </c>
      <c r="J337" s="108">
        <f t="shared" si="389"/>
        <v>0</v>
      </c>
      <c r="K337" s="108">
        <f t="shared" si="390"/>
        <v>0</v>
      </c>
      <c r="L337" s="111"/>
      <c r="Z337" s="100">
        <f t="shared" si="391"/>
        <v>0</v>
      </c>
      <c r="AB337" s="100">
        <f t="shared" si="392"/>
        <v>0</v>
      </c>
      <c r="AC337" s="100">
        <f t="shared" si="393"/>
        <v>0</v>
      </c>
      <c r="AD337" s="100">
        <f t="shared" si="394"/>
        <v>0</v>
      </c>
      <c r="AE337" s="100">
        <f t="shared" si="395"/>
        <v>0</v>
      </c>
      <c r="AF337" s="100">
        <f t="shared" si="396"/>
        <v>0</v>
      </c>
      <c r="AG337" s="100">
        <f t="shared" si="397"/>
        <v>0</v>
      </c>
      <c r="AH337" s="100">
        <f t="shared" si="398"/>
        <v>0</v>
      </c>
      <c r="AI337" s="109"/>
      <c r="AJ337" s="108">
        <f t="shared" si="399"/>
        <v>0</v>
      </c>
      <c r="AK337" s="108">
        <f t="shared" si="400"/>
        <v>0</v>
      </c>
      <c r="AL337" s="108">
        <f t="shared" si="401"/>
        <v>0</v>
      </c>
      <c r="AN337" s="100">
        <v>15</v>
      </c>
      <c r="AO337" s="100">
        <f t="shared" si="402"/>
        <v>0</v>
      </c>
      <c r="AP337" s="100">
        <f t="shared" si="403"/>
        <v>0</v>
      </c>
      <c r="AQ337" s="111" t="s">
        <v>13</v>
      </c>
      <c r="AV337" s="100">
        <f t="shared" si="404"/>
        <v>0</v>
      </c>
      <c r="AW337" s="100">
        <f t="shared" si="405"/>
        <v>0</v>
      </c>
      <c r="AX337" s="100">
        <f t="shared" si="406"/>
        <v>0</v>
      </c>
      <c r="AY337" s="110" t="s">
        <v>1711</v>
      </c>
      <c r="AZ337" s="110" t="s">
        <v>1733</v>
      </c>
      <c r="BA337" s="109" t="s">
        <v>1737</v>
      </c>
      <c r="BC337" s="100">
        <f t="shared" si="407"/>
        <v>0</v>
      </c>
      <c r="BD337" s="100">
        <f t="shared" si="408"/>
        <v>0</v>
      </c>
      <c r="BE337" s="100">
        <v>0</v>
      </c>
      <c r="BF337" s="100">
        <f>337</f>
        <v>337</v>
      </c>
      <c r="BH337" s="108">
        <f t="shared" si="409"/>
        <v>0</v>
      </c>
      <c r="BI337" s="108">
        <f t="shared" si="410"/>
        <v>0</v>
      </c>
      <c r="BJ337" s="108">
        <f t="shared" si="411"/>
        <v>0</v>
      </c>
    </row>
    <row r="338" spans="1:62" x14ac:dyDescent="0.2">
      <c r="A338" s="117" t="s">
        <v>298</v>
      </c>
      <c r="B338" s="117" t="s">
        <v>4002</v>
      </c>
      <c r="C338" s="304" t="s">
        <v>1391</v>
      </c>
      <c r="D338" s="305"/>
      <c r="E338" s="305"/>
      <c r="F338" s="117" t="s">
        <v>1644</v>
      </c>
      <c r="G338" s="116">
        <v>3</v>
      </c>
      <c r="H338" s="159"/>
      <c r="I338" s="108">
        <f t="shared" si="388"/>
        <v>0</v>
      </c>
      <c r="J338" s="108">
        <f t="shared" si="389"/>
        <v>0</v>
      </c>
      <c r="K338" s="108">
        <f t="shared" si="390"/>
        <v>0</v>
      </c>
      <c r="L338" s="111"/>
      <c r="Z338" s="100">
        <f t="shared" si="391"/>
        <v>0</v>
      </c>
      <c r="AB338" s="100">
        <f t="shared" si="392"/>
        <v>0</v>
      </c>
      <c r="AC338" s="100">
        <f t="shared" si="393"/>
        <v>0</v>
      </c>
      <c r="AD338" s="100">
        <f t="shared" si="394"/>
        <v>0</v>
      </c>
      <c r="AE338" s="100">
        <f t="shared" si="395"/>
        <v>0</v>
      </c>
      <c r="AF338" s="100">
        <f t="shared" si="396"/>
        <v>0</v>
      </c>
      <c r="AG338" s="100">
        <f t="shared" si="397"/>
        <v>0</v>
      </c>
      <c r="AH338" s="100">
        <f t="shared" si="398"/>
        <v>0</v>
      </c>
      <c r="AI338" s="109"/>
      <c r="AJ338" s="108">
        <f t="shared" si="399"/>
        <v>0</v>
      </c>
      <c r="AK338" s="108">
        <f t="shared" si="400"/>
        <v>0</v>
      </c>
      <c r="AL338" s="108">
        <f t="shared" si="401"/>
        <v>0</v>
      </c>
      <c r="AN338" s="100">
        <v>15</v>
      </c>
      <c r="AO338" s="100">
        <f t="shared" si="402"/>
        <v>0</v>
      </c>
      <c r="AP338" s="100">
        <f t="shared" si="403"/>
        <v>0</v>
      </c>
      <c r="AQ338" s="111" t="s">
        <v>13</v>
      </c>
      <c r="AV338" s="100">
        <f t="shared" si="404"/>
        <v>0</v>
      </c>
      <c r="AW338" s="100">
        <f t="shared" si="405"/>
        <v>0</v>
      </c>
      <c r="AX338" s="100">
        <f t="shared" si="406"/>
        <v>0</v>
      </c>
      <c r="AY338" s="110" t="s">
        <v>1711</v>
      </c>
      <c r="AZ338" s="110" t="s">
        <v>1733</v>
      </c>
      <c r="BA338" s="109" t="s">
        <v>1737</v>
      </c>
      <c r="BC338" s="100">
        <f t="shared" si="407"/>
        <v>0</v>
      </c>
      <c r="BD338" s="100">
        <f t="shared" si="408"/>
        <v>0</v>
      </c>
      <c r="BE338" s="100">
        <v>0</v>
      </c>
      <c r="BF338" s="100">
        <f>338</f>
        <v>338</v>
      </c>
      <c r="BH338" s="108">
        <f t="shared" si="409"/>
        <v>0</v>
      </c>
      <c r="BI338" s="108">
        <f t="shared" si="410"/>
        <v>0</v>
      </c>
      <c r="BJ338" s="108">
        <f t="shared" si="411"/>
        <v>0</v>
      </c>
    </row>
    <row r="339" spans="1:62" x14ac:dyDescent="0.2">
      <c r="A339" s="117" t="s">
        <v>299</v>
      </c>
      <c r="B339" s="117" t="s">
        <v>4001</v>
      </c>
      <c r="C339" s="304" t="s">
        <v>1388</v>
      </c>
      <c r="D339" s="305"/>
      <c r="E339" s="305"/>
      <c r="F339" s="117" t="s">
        <v>1644</v>
      </c>
      <c r="G339" s="116">
        <v>2</v>
      </c>
      <c r="H339" s="159"/>
      <c r="I339" s="108">
        <f t="shared" si="388"/>
        <v>0</v>
      </c>
      <c r="J339" s="108">
        <f t="shared" si="389"/>
        <v>0</v>
      </c>
      <c r="K339" s="108">
        <f t="shared" si="390"/>
        <v>0</v>
      </c>
      <c r="L339" s="111"/>
      <c r="Z339" s="100">
        <f t="shared" si="391"/>
        <v>0</v>
      </c>
      <c r="AB339" s="100">
        <f t="shared" si="392"/>
        <v>0</v>
      </c>
      <c r="AC339" s="100">
        <f t="shared" si="393"/>
        <v>0</v>
      </c>
      <c r="AD339" s="100">
        <f t="shared" si="394"/>
        <v>0</v>
      </c>
      <c r="AE339" s="100">
        <f t="shared" si="395"/>
        <v>0</v>
      </c>
      <c r="AF339" s="100">
        <f t="shared" si="396"/>
        <v>0</v>
      </c>
      <c r="AG339" s="100">
        <f t="shared" si="397"/>
        <v>0</v>
      </c>
      <c r="AH339" s="100">
        <f t="shared" si="398"/>
        <v>0</v>
      </c>
      <c r="AI339" s="109"/>
      <c r="AJ339" s="108">
        <f t="shared" si="399"/>
        <v>0</v>
      </c>
      <c r="AK339" s="108">
        <f t="shared" si="400"/>
        <v>0</v>
      </c>
      <c r="AL339" s="108">
        <f t="shared" si="401"/>
        <v>0</v>
      </c>
      <c r="AN339" s="100">
        <v>15</v>
      </c>
      <c r="AO339" s="100">
        <f t="shared" si="402"/>
        <v>0</v>
      </c>
      <c r="AP339" s="100">
        <f t="shared" si="403"/>
        <v>0</v>
      </c>
      <c r="AQ339" s="111" t="s">
        <v>13</v>
      </c>
      <c r="AV339" s="100">
        <f t="shared" si="404"/>
        <v>0</v>
      </c>
      <c r="AW339" s="100">
        <f t="shared" si="405"/>
        <v>0</v>
      </c>
      <c r="AX339" s="100">
        <f t="shared" si="406"/>
        <v>0</v>
      </c>
      <c r="AY339" s="110" t="s">
        <v>1711</v>
      </c>
      <c r="AZ339" s="110" t="s">
        <v>1733</v>
      </c>
      <c r="BA339" s="109" t="s">
        <v>1737</v>
      </c>
      <c r="BC339" s="100">
        <f t="shared" si="407"/>
        <v>0</v>
      </c>
      <c r="BD339" s="100">
        <f t="shared" si="408"/>
        <v>0</v>
      </c>
      <c r="BE339" s="100">
        <v>0</v>
      </c>
      <c r="BF339" s="100">
        <f>339</f>
        <v>339</v>
      </c>
      <c r="BH339" s="108">
        <f t="shared" si="409"/>
        <v>0</v>
      </c>
      <c r="BI339" s="108">
        <f t="shared" si="410"/>
        <v>0</v>
      </c>
      <c r="BJ339" s="108">
        <f t="shared" si="411"/>
        <v>0</v>
      </c>
    </row>
    <row r="340" spans="1:62" x14ac:dyDescent="0.2">
      <c r="A340" s="117" t="s">
        <v>300</v>
      </c>
      <c r="B340" s="117" t="s">
        <v>4000</v>
      </c>
      <c r="C340" s="304" t="s">
        <v>1383</v>
      </c>
      <c r="D340" s="305"/>
      <c r="E340" s="305"/>
      <c r="F340" s="117" t="s">
        <v>1644</v>
      </c>
      <c r="G340" s="116">
        <v>1</v>
      </c>
      <c r="H340" s="159"/>
      <c r="I340" s="108">
        <f t="shared" si="388"/>
        <v>0</v>
      </c>
      <c r="J340" s="108">
        <f t="shared" si="389"/>
        <v>0</v>
      </c>
      <c r="K340" s="108">
        <f t="shared" si="390"/>
        <v>0</v>
      </c>
      <c r="L340" s="111"/>
      <c r="Z340" s="100">
        <f t="shared" si="391"/>
        <v>0</v>
      </c>
      <c r="AB340" s="100">
        <f t="shared" si="392"/>
        <v>0</v>
      </c>
      <c r="AC340" s="100">
        <f t="shared" si="393"/>
        <v>0</v>
      </c>
      <c r="AD340" s="100">
        <f t="shared" si="394"/>
        <v>0</v>
      </c>
      <c r="AE340" s="100">
        <f t="shared" si="395"/>
        <v>0</v>
      </c>
      <c r="AF340" s="100">
        <f t="shared" si="396"/>
        <v>0</v>
      </c>
      <c r="AG340" s="100">
        <f t="shared" si="397"/>
        <v>0</v>
      </c>
      <c r="AH340" s="100">
        <f t="shared" si="398"/>
        <v>0</v>
      </c>
      <c r="AI340" s="109"/>
      <c r="AJ340" s="108">
        <f t="shared" si="399"/>
        <v>0</v>
      </c>
      <c r="AK340" s="108">
        <f t="shared" si="400"/>
        <v>0</v>
      </c>
      <c r="AL340" s="108">
        <f t="shared" si="401"/>
        <v>0</v>
      </c>
      <c r="AN340" s="100">
        <v>15</v>
      </c>
      <c r="AO340" s="100">
        <f t="shared" si="402"/>
        <v>0</v>
      </c>
      <c r="AP340" s="100">
        <f t="shared" si="403"/>
        <v>0</v>
      </c>
      <c r="AQ340" s="111" t="s">
        <v>13</v>
      </c>
      <c r="AV340" s="100">
        <f t="shared" si="404"/>
        <v>0</v>
      </c>
      <c r="AW340" s="100">
        <f t="shared" si="405"/>
        <v>0</v>
      </c>
      <c r="AX340" s="100">
        <f t="shared" si="406"/>
        <v>0</v>
      </c>
      <c r="AY340" s="110" t="s">
        <v>1711</v>
      </c>
      <c r="AZ340" s="110" t="s">
        <v>1733</v>
      </c>
      <c r="BA340" s="109" t="s">
        <v>1737</v>
      </c>
      <c r="BC340" s="100">
        <f t="shared" si="407"/>
        <v>0</v>
      </c>
      <c r="BD340" s="100">
        <f t="shared" si="408"/>
        <v>0</v>
      </c>
      <c r="BE340" s="100">
        <v>0</v>
      </c>
      <c r="BF340" s="100">
        <f>340</f>
        <v>340</v>
      </c>
      <c r="BH340" s="108">
        <f t="shared" si="409"/>
        <v>0</v>
      </c>
      <c r="BI340" s="108">
        <f t="shared" si="410"/>
        <v>0</v>
      </c>
      <c r="BJ340" s="108">
        <f t="shared" si="411"/>
        <v>0</v>
      </c>
    </row>
    <row r="341" spans="1:62" x14ac:dyDescent="0.2">
      <c r="A341" s="117" t="s">
        <v>301</v>
      </c>
      <c r="B341" s="117" t="s">
        <v>3999</v>
      </c>
      <c r="C341" s="304" t="s">
        <v>1384</v>
      </c>
      <c r="D341" s="305"/>
      <c r="E341" s="305"/>
      <c r="F341" s="117" t="s">
        <v>1644</v>
      </c>
      <c r="G341" s="116">
        <v>1</v>
      </c>
      <c r="H341" s="159"/>
      <c r="I341" s="108">
        <f t="shared" si="388"/>
        <v>0</v>
      </c>
      <c r="J341" s="108">
        <f t="shared" si="389"/>
        <v>0</v>
      </c>
      <c r="K341" s="108">
        <f t="shared" si="390"/>
        <v>0</v>
      </c>
      <c r="L341" s="111"/>
      <c r="Z341" s="100">
        <f t="shared" si="391"/>
        <v>0</v>
      </c>
      <c r="AB341" s="100">
        <f t="shared" si="392"/>
        <v>0</v>
      </c>
      <c r="AC341" s="100">
        <f t="shared" si="393"/>
        <v>0</v>
      </c>
      <c r="AD341" s="100">
        <f t="shared" si="394"/>
        <v>0</v>
      </c>
      <c r="AE341" s="100">
        <f t="shared" si="395"/>
        <v>0</v>
      </c>
      <c r="AF341" s="100">
        <f t="shared" si="396"/>
        <v>0</v>
      </c>
      <c r="AG341" s="100">
        <f t="shared" si="397"/>
        <v>0</v>
      </c>
      <c r="AH341" s="100">
        <f t="shared" si="398"/>
        <v>0</v>
      </c>
      <c r="AI341" s="109"/>
      <c r="AJ341" s="108">
        <f t="shared" si="399"/>
        <v>0</v>
      </c>
      <c r="AK341" s="108">
        <f t="shared" si="400"/>
        <v>0</v>
      </c>
      <c r="AL341" s="108">
        <f t="shared" si="401"/>
        <v>0</v>
      </c>
      <c r="AN341" s="100">
        <v>15</v>
      </c>
      <c r="AO341" s="100">
        <f t="shared" si="402"/>
        <v>0</v>
      </c>
      <c r="AP341" s="100">
        <f t="shared" si="403"/>
        <v>0</v>
      </c>
      <c r="AQ341" s="111" t="s">
        <v>13</v>
      </c>
      <c r="AV341" s="100">
        <f t="shared" si="404"/>
        <v>0</v>
      </c>
      <c r="AW341" s="100">
        <f t="shared" si="405"/>
        <v>0</v>
      </c>
      <c r="AX341" s="100">
        <f t="shared" si="406"/>
        <v>0</v>
      </c>
      <c r="AY341" s="110" t="s">
        <v>1711</v>
      </c>
      <c r="AZ341" s="110" t="s">
        <v>1733</v>
      </c>
      <c r="BA341" s="109" t="s">
        <v>1737</v>
      </c>
      <c r="BC341" s="100">
        <f t="shared" si="407"/>
        <v>0</v>
      </c>
      <c r="BD341" s="100">
        <f t="shared" si="408"/>
        <v>0</v>
      </c>
      <c r="BE341" s="100">
        <v>0</v>
      </c>
      <c r="BF341" s="100">
        <f>341</f>
        <v>341</v>
      </c>
      <c r="BH341" s="108">
        <f t="shared" si="409"/>
        <v>0</v>
      </c>
      <c r="BI341" s="108">
        <f t="shared" si="410"/>
        <v>0</v>
      </c>
      <c r="BJ341" s="108">
        <f t="shared" si="411"/>
        <v>0</v>
      </c>
    </row>
    <row r="342" spans="1:62" x14ac:dyDescent="0.2">
      <c r="A342" s="117" t="s">
        <v>302</v>
      </c>
      <c r="B342" s="117" t="s">
        <v>3998</v>
      </c>
      <c r="C342" s="304" t="s">
        <v>3997</v>
      </c>
      <c r="D342" s="305"/>
      <c r="E342" s="305"/>
      <c r="F342" s="117" t="s">
        <v>1644</v>
      </c>
      <c r="G342" s="116">
        <v>1</v>
      </c>
      <c r="H342" s="159"/>
      <c r="I342" s="108">
        <f t="shared" si="388"/>
        <v>0</v>
      </c>
      <c r="J342" s="108">
        <f t="shared" si="389"/>
        <v>0</v>
      </c>
      <c r="K342" s="108">
        <f t="shared" si="390"/>
        <v>0</v>
      </c>
      <c r="L342" s="111"/>
      <c r="Z342" s="100">
        <f t="shared" si="391"/>
        <v>0</v>
      </c>
      <c r="AB342" s="100">
        <f t="shared" si="392"/>
        <v>0</v>
      </c>
      <c r="AC342" s="100">
        <f t="shared" si="393"/>
        <v>0</v>
      </c>
      <c r="AD342" s="100">
        <f t="shared" si="394"/>
        <v>0</v>
      </c>
      <c r="AE342" s="100">
        <f t="shared" si="395"/>
        <v>0</v>
      </c>
      <c r="AF342" s="100">
        <f t="shared" si="396"/>
        <v>0</v>
      </c>
      <c r="AG342" s="100">
        <f t="shared" si="397"/>
        <v>0</v>
      </c>
      <c r="AH342" s="100">
        <f t="shared" si="398"/>
        <v>0</v>
      </c>
      <c r="AI342" s="109"/>
      <c r="AJ342" s="108">
        <f t="shared" si="399"/>
        <v>0</v>
      </c>
      <c r="AK342" s="108">
        <f t="shared" si="400"/>
        <v>0</v>
      </c>
      <c r="AL342" s="108">
        <f t="shared" si="401"/>
        <v>0</v>
      </c>
      <c r="AN342" s="100">
        <v>15</v>
      </c>
      <c r="AO342" s="100">
        <f t="shared" si="402"/>
        <v>0</v>
      </c>
      <c r="AP342" s="100">
        <f t="shared" si="403"/>
        <v>0</v>
      </c>
      <c r="AQ342" s="111" t="s">
        <v>13</v>
      </c>
      <c r="AV342" s="100">
        <f t="shared" si="404"/>
        <v>0</v>
      </c>
      <c r="AW342" s="100">
        <f t="shared" si="405"/>
        <v>0</v>
      </c>
      <c r="AX342" s="100">
        <f t="shared" si="406"/>
        <v>0</v>
      </c>
      <c r="AY342" s="110" t="s">
        <v>1711</v>
      </c>
      <c r="AZ342" s="110" t="s">
        <v>1733</v>
      </c>
      <c r="BA342" s="109" t="s">
        <v>1737</v>
      </c>
      <c r="BC342" s="100">
        <f t="shared" si="407"/>
        <v>0</v>
      </c>
      <c r="BD342" s="100">
        <f t="shared" si="408"/>
        <v>0</v>
      </c>
      <c r="BE342" s="100">
        <v>0</v>
      </c>
      <c r="BF342" s="100">
        <f>342</f>
        <v>342</v>
      </c>
      <c r="BH342" s="108">
        <f t="shared" si="409"/>
        <v>0</v>
      </c>
      <c r="BI342" s="108">
        <f t="shared" si="410"/>
        <v>0</v>
      </c>
      <c r="BJ342" s="108">
        <f t="shared" si="411"/>
        <v>0</v>
      </c>
    </row>
    <row r="343" spans="1:62" x14ac:dyDescent="0.2">
      <c r="A343" s="117" t="s">
        <v>303</v>
      </c>
      <c r="B343" s="117" t="s">
        <v>3996</v>
      </c>
      <c r="C343" s="304" t="s">
        <v>3995</v>
      </c>
      <c r="D343" s="305"/>
      <c r="E343" s="305"/>
      <c r="F343" s="117" t="s">
        <v>1644</v>
      </c>
      <c r="G343" s="116">
        <v>1</v>
      </c>
      <c r="H343" s="159"/>
      <c r="I343" s="108">
        <f t="shared" si="388"/>
        <v>0</v>
      </c>
      <c r="J343" s="108">
        <f t="shared" si="389"/>
        <v>0</v>
      </c>
      <c r="K343" s="108">
        <f t="shared" si="390"/>
        <v>0</v>
      </c>
      <c r="L343" s="111"/>
      <c r="Z343" s="100">
        <f t="shared" si="391"/>
        <v>0</v>
      </c>
      <c r="AB343" s="100">
        <f t="shared" si="392"/>
        <v>0</v>
      </c>
      <c r="AC343" s="100">
        <f t="shared" si="393"/>
        <v>0</v>
      </c>
      <c r="AD343" s="100">
        <f t="shared" si="394"/>
        <v>0</v>
      </c>
      <c r="AE343" s="100">
        <f t="shared" si="395"/>
        <v>0</v>
      </c>
      <c r="AF343" s="100">
        <f t="shared" si="396"/>
        <v>0</v>
      </c>
      <c r="AG343" s="100">
        <f t="shared" si="397"/>
        <v>0</v>
      </c>
      <c r="AH343" s="100">
        <f t="shared" si="398"/>
        <v>0</v>
      </c>
      <c r="AI343" s="109"/>
      <c r="AJ343" s="108">
        <f t="shared" si="399"/>
        <v>0</v>
      </c>
      <c r="AK343" s="108">
        <f t="shared" si="400"/>
        <v>0</v>
      </c>
      <c r="AL343" s="108">
        <f t="shared" si="401"/>
        <v>0</v>
      </c>
      <c r="AN343" s="100">
        <v>15</v>
      </c>
      <c r="AO343" s="100">
        <f t="shared" si="402"/>
        <v>0</v>
      </c>
      <c r="AP343" s="100">
        <f t="shared" si="403"/>
        <v>0</v>
      </c>
      <c r="AQ343" s="111" t="s">
        <v>13</v>
      </c>
      <c r="AV343" s="100">
        <f t="shared" si="404"/>
        <v>0</v>
      </c>
      <c r="AW343" s="100">
        <f t="shared" si="405"/>
        <v>0</v>
      </c>
      <c r="AX343" s="100">
        <f t="shared" si="406"/>
        <v>0</v>
      </c>
      <c r="AY343" s="110" t="s">
        <v>1711</v>
      </c>
      <c r="AZ343" s="110" t="s">
        <v>1733</v>
      </c>
      <c r="BA343" s="109" t="s">
        <v>1737</v>
      </c>
      <c r="BC343" s="100">
        <f t="shared" si="407"/>
        <v>0</v>
      </c>
      <c r="BD343" s="100">
        <f t="shared" si="408"/>
        <v>0</v>
      </c>
      <c r="BE343" s="100">
        <v>0</v>
      </c>
      <c r="BF343" s="100">
        <f>343</f>
        <v>343</v>
      </c>
      <c r="BH343" s="108">
        <f t="shared" si="409"/>
        <v>0</v>
      </c>
      <c r="BI343" s="108">
        <f t="shared" si="410"/>
        <v>0</v>
      </c>
      <c r="BJ343" s="108">
        <f t="shared" si="411"/>
        <v>0</v>
      </c>
    </row>
    <row r="344" spans="1:62" x14ac:dyDescent="0.2">
      <c r="A344" s="117" t="s">
        <v>304</v>
      </c>
      <c r="B344" s="117" t="s">
        <v>3994</v>
      </c>
      <c r="C344" s="304" t="s">
        <v>3993</v>
      </c>
      <c r="D344" s="305"/>
      <c r="E344" s="305"/>
      <c r="F344" s="117" t="s">
        <v>1646</v>
      </c>
      <c r="G344" s="116">
        <v>9</v>
      </c>
      <c r="H344" s="159"/>
      <c r="I344" s="108">
        <f t="shared" si="388"/>
        <v>0</v>
      </c>
      <c r="J344" s="108">
        <f t="shared" si="389"/>
        <v>0</v>
      </c>
      <c r="K344" s="108">
        <f t="shared" si="390"/>
        <v>0</v>
      </c>
      <c r="L344" s="111"/>
      <c r="Z344" s="100">
        <f t="shared" si="391"/>
        <v>0</v>
      </c>
      <c r="AB344" s="100">
        <f t="shared" si="392"/>
        <v>0</v>
      </c>
      <c r="AC344" s="100">
        <f t="shared" si="393"/>
        <v>0</v>
      </c>
      <c r="AD344" s="100">
        <f t="shared" si="394"/>
        <v>0</v>
      </c>
      <c r="AE344" s="100">
        <f t="shared" si="395"/>
        <v>0</v>
      </c>
      <c r="AF344" s="100">
        <f t="shared" si="396"/>
        <v>0</v>
      </c>
      <c r="AG344" s="100">
        <f t="shared" si="397"/>
        <v>0</v>
      </c>
      <c r="AH344" s="100">
        <f t="shared" si="398"/>
        <v>0</v>
      </c>
      <c r="AI344" s="109"/>
      <c r="AJ344" s="108">
        <f t="shared" si="399"/>
        <v>0</v>
      </c>
      <c r="AK344" s="108">
        <f t="shared" si="400"/>
        <v>0</v>
      </c>
      <c r="AL344" s="108">
        <f t="shared" si="401"/>
        <v>0</v>
      </c>
      <c r="AN344" s="100">
        <v>15</v>
      </c>
      <c r="AO344" s="100">
        <f t="shared" si="402"/>
        <v>0</v>
      </c>
      <c r="AP344" s="100">
        <f t="shared" si="403"/>
        <v>0</v>
      </c>
      <c r="AQ344" s="111" t="s">
        <v>13</v>
      </c>
      <c r="AV344" s="100">
        <f t="shared" si="404"/>
        <v>0</v>
      </c>
      <c r="AW344" s="100">
        <f t="shared" si="405"/>
        <v>0</v>
      </c>
      <c r="AX344" s="100">
        <f t="shared" si="406"/>
        <v>0</v>
      </c>
      <c r="AY344" s="110" t="s">
        <v>1711</v>
      </c>
      <c r="AZ344" s="110" t="s">
        <v>1733</v>
      </c>
      <c r="BA344" s="109" t="s">
        <v>1737</v>
      </c>
      <c r="BC344" s="100">
        <f t="shared" si="407"/>
        <v>0</v>
      </c>
      <c r="BD344" s="100">
        <f t="shared" si="408"/>
        <v>0</v>
      </c>
      <c r="BE344" s="100">
        <v>0</v>
      </c>
      <c r="BF344" s="100">
        <f>344</f>
        <v>344</v>
      </c>
      <c r="BH344" s="108">
        <f t="shared" si="409"/>
        <v>0</v>
      </c>
      <c r="BI344" s="108">
        <f t="shared" si="410"/>
        <v>0</v>
      </c>
      <c r="BJ344" s="108">
        <f t="shared" si="411"/>
        <v>0</v>
      </c>
    </row>
    <row r="345" spans="1:62" x14ac:dyDescent="0.2">
      <c r="A345" s="117" t="s">
        <v>305</v>
      </c>
      <c r="B345" s="117" t="s">
        <v>3992</v>
      </c>
      <c r="C345" s="304" t="s">
        <v>3991</v>
      </c>
      <c r="D345" s="305"/>
      <c r="E345" s="305"/>
      <c r="F345" s="117" t="s">
        <v>1644</v>
      </c>
      <c r="G345" s="116">
        <v>1</v>
      </c>
      <c r="H345" s="159"/>
      <c r="I345" s="108">
        <f t="shared" si="388"/>
        <v>0</v>
      </c>
      <c r="J345" s="108">
        <f t="shared" si="389"/>
        <v>0</v>
      </c>
      <c r="K345" s="108">
        <f t="shared" si="390"/>
        <v>0</v>
      </c>
      <c r="L345" s="111"/>
      <c r="Z345" s="100">
        <f t="shared" si="391"/>
        <v>0</v>
      </c>
      <c r="AB345" s="100">
        <f t="shared" si="392"/>
        <v>0</v>
      </c>
      <c r="AC345" s="100">
        <f t="shared" si="393"/>
        <v>0</v>
      </c>
      <c r="AD345" s="100">
        <f t="shared" si="394"/>
        <v>0</v>
      </c>
      <c r="AE345" s="100">
        <f t="shared" si="395"/>
        <v>0</v>
      </c>
      <c r="AF345" s="100">
        <f t="shared" si="396"/>
        <v>0</v>
      </c>
      <c r="AG345" s="100">
        <f t="shared" si="397"/>
        <v>0</v>
      </c>
      <c r="AH345" s="100">
        <f t="shared" si="398"/>
        <v>0</v>
      </c>
      <c r="AI345" s="109"/>
      <c r="AJ345" s="108">
        <f t="shared" si="399"/>
        <v>0</v>
      </c>
      <c r="AK345" s="108">
        <f t="shared" si="400"/>
        <v>0</v>
      </c>
      <c r="AL345" s="108">
        <f t="shared" si="401"/>
        <v>0</v>
      </c>
      <c r="AN345" s="100">
        <v>15</v>
      </c>
      <c r="AO345" s="100">
        <f t="shared" si="402"/>
        <v>0</v>
      </c>
      <c r="AP345" s="100">
        <f t="shared" si="403"/>
        <v>0</v>
      </c>
      <c r="AQ345" s="111" t="s">
        <v>13</v>
      </c>
      <c r="AV345" s="100">
        <f t="shared" si="404"/>
        <v>0</v>
      </c>
      <c r="AW345" s="100">
        <f t="shared" si="405"/>
        <v>0</v>
      </c>
      <c r="AX345" s="100">
        <f t="shared" si="406"/>
        <v>0</v>
      </c>
      <c r="AY345" s="110" t="s">
        <v>1711</v>
      </c>
      <c r="AZ345" s="110" t="s">
        <v>1733</v>
      </c>
      <c r="BA345" s="109" t="s">
        <v>1737</v>
      </c>
      <c r="BC345" s="100">
        <f t="shared" si="407"/>
        <v>0</v>
      </c>
      <c r="BD345" s="100">
        <f t="shared" si="408"/>
        <v>0</v>
      </c>
      <c r="BE345" s="100">
        <v>0</v>
      </c>
      <c r="BF345" s="100">
        <f>345</f>
        <v>345</v>
      </c>
      <c r="BH345" s="108">
        <f t="shared" si="409"/>
        <v>0</v>
      </c>
      <c r="BI345" s="108">
        <f t="shared" si="410"/>
        <v>0</v>
      </c>
      <c r="BJ345" s="108">
        <f t="shared" si="411"/>
        <v>0</v>
      </c>
    </row>
    <row r="346" spans="1:62" x14ac:dyDescent="0.2">
      <c r="A346" s="117" t="s">
        <v>306</v>
      </c>
      <c r="B346" s="117" t="s">
        <v>3990</v>
      </c>
      <c r="C346" s="304" t="s">
        <v>3989</v>
      </c>
      <c r="D346" s="305"/>
      <c r="E346" s="305"/>
      <c r="F346" s="117" t="s">
        <v>1644</v>
      </c>
      <c r="G346" s="116">
        <v>1</v>
      </c>
      <c r="H346" s="159"/>
      <c r="I346" s="108">
        <f t="shared" si="388"/>
        <v>0</v>
      </c>
      <c r="J346" s="108">
        <f t="shared" si="389"/>
        <v>0</v>
      </c>
      <c r="K346" s="108">
        <f t="shared" si="390"/>
        <v>0</v>
      </c>
      <c r="L346" s="111"/>
      <c r="Z346" s="100">
        <f t="shared" si="391"/>
        <v>0</v>
      </c>
      <c r="AB346" s="100">
        <f t="shared" si="392"/>
        <v>0</v>
      </c>
      <c r="AC346" s="100">
        <f t="shared" si="393"/>
        <v>0</v>
      </c>
      <c r="AD346" s="100">
        <f t="shared" si="394"/>
        <v>0</v>
      </c>
      <c r="AE346" s="100">
        <f t="shared" si="395"/>
        <v>0</v>
      </c>
      <c r="AF346" s="100">
        <f t="shared" si="396"/>
        <v>0</v>
      </c>
      <c r="AG346" s="100">
        <f t="shared" si="397"/>
        <v>0</v>
      </c>
      <c r="AH346" s="100">
        <f t="shared" si="398"/>
        <v>0</v>
      </c>
      <c r="AI346" s="109"/>
      <c r="AJ346" s="108">
        <f t="shared" si="399"/>
        <v>0</v>
      </c>
      <c r="AK346" s="108">
        <f t="shared" si="400"/>
        <v>0</v>
      </c>
      <c r="AL346" s="108">
        <f t="shared" si="401"/>
        <v>0</v>
      </c>
      <c r="AN346" s="100">
        <v>15</v>
      </c>
      <c r="AO346" s="100">
        <f t="shared" si="402"/>
        <v>0</v>
      </c>
      <c r="AP346" s="100">
        <f t="shared" si="403"/>
        <v>0</v>
      </c>
      <c r="AQ346" s="111" t="s">
        <v>13</v>
      </c>
      <c r="AV346" s="100">
        <f t="shared" si="404"/>
        <v>0</v>
      </c>
      <c r="AW346" s="100">
        <f t="shared" si="405"/>
        <v>0</v>
      </c>
      <c r="AX346" s="100">
        <f t="shared" si="406"/>
        <v>0</v>
      </c>
      <c r="AY346" s="110" t="s">
        <v>1711</v>
      </c>
      <c r="AZ346" s="110" t="s">
        <v>1733</v>
      </c>
      <c r="BA346" s="109" t="s">
        <v>1737</v>
      </c>
      <c r="BC346" s="100">
        <f t="shared" si="407"/>
        <v>0</v>
      </c>
      <c r="BD346" s="100">
        <f t="shared" si="408"/>
        <v>0</v>
      </c>
      <c r="BE346" s="100">
        <v>0</v>
      </c>
      <c r="BF346" s="100">
        <f>346</f>
        <v>346</v>
      </c>
      <c r="BH346" s="108">
        <f t="shared" si="409"/>
        <v>0</v>
      </c>
      <c r="BI346" s="108">
        <f t="shared" si="410"/>
        <v>0</v>
      </c>
      <c r="BJ346" s="108">
        <f t="shared" si="411"/>
        <v>0</v>
      </c>
    </row>
    <row r="347" spans="1:62" x14ac:dyDescent="0.2">
      <c r="A347" s="117" t="s">
        <v>307</v>
      </c>
      <c r="B347" s="117" t="s">
        <v>3988</v>
      </c>
      <c r="C347" s="304" t="s">
        <v>1392</v>
      </c>
      <c r="D347" s="305"/>
      <c r="E347" s="305"/>
      <c r="F347" s="117" t="s">
        <v>1644</v>
      </c>
      <c r="G347" s="116">
        <v>1</v>
      </c>
      <c r="H347" s="159"/>
      <c r="I347" s="108">
        <f t="shared" si="388"/>
        <v>0</v>
      </c>
      <c r="J347" s="108">
        <f t="shared" si="389"/>
        <v>0</v>
      </c>
      <c r="K347" s="108">
        <f t="shared" si="390"/>
        <v>0</v>
      </c>
      <c r="L347" s="111"/>
      <c r="Z347" s="100">
        <f t="shared" si="391"/>
        <v>0</v>
      </c>
      <c r="AB347" s="100">
        <f t="shared" si="392"/>
        <v>0</v>
      </c>
      <c r="AC347" s="100">
        <f t="shared" si="393"/>
        <v>0</v>
      </c>
      <c r="AD347" s="100">
        <f t="shared" si="394"/>
        <v>0</v>
      </c>
      <c r="AE347" s="100">
        <f t="shared" si="395"/>
        <v>0</v>
      </c>
      <c r="AF347" s="100">
        <f t="shared" si="396"/>
        <v>0</v>
      </c>
      <c r="AG347" s="100">
        <f t="shared" si="397"/>
        <v>0</v>
      </c>
      <c r="AH347" s="100">
        <f t="shared" si="398"/>
        <v>0</v>
      </c>
      <c r="AI347" s="109"/>
      <c r="AJ347" s="108">
        <f t="shared" si="399"/>
        <v>0</v>
      </c>
      <c r="AK347" s="108">
        <f t="shared" si="400"/>
        <v>0</v>
      </c>
      <c r="AL347" s="108">
        <f t="shared" si="401"/>
        <v>0</v>
      </c>
      <c r="AN347" s="100">
        <v>15</v>
      </c>
      <c r="AO347" s="100">
        <f t="shared" si="402"/>
        <v>0</v>
      </c>
      <c r="AP347" s="100">
        <f t="shared" si="403"/>
        <v>0</v>
      </c>
      <c r="AQ347" s="111" t="s">
        <v>13</v>
      </c>
      <c r="AV347" s="100">
        <f t="shared" si="404"/>
        <v>0</v>
      </c>
      <c r="AW347" s="100">
        <f t="shared" si="405"/>
        <v>0</v>
      </c>
      <c r="AX347" s="100">
        <f t="shared" si="406"/>
        <v>0</v>
      </c>
      <c r="AY347" s="110" t="s">
        <v>1711</v>
      </c>
      <c r="AZ347" s="110" t="s">
        <v>1733</v>
      </c>
      <c r="BA347" s="109" t="s">
        <v>1737</v>
      </c>
      <c r="BC347" s="100">
        <f t="shared" si="407"/>
        <v>0</v>
      </c>
      <c r="BD347" s="100">
        <f t="shared" si="408"/>
        <v>0</v>
      </c>
      <c r="BE347" s="100">
        <v>0</v>
      </c>
      <c r="BF347" s="100">
        <f>347</f>
        <v>347</v>
      </c>
      <c r="BH347" s="108">
        <f t="shared" si="409"/>
        <v>0</v>
      </c>
      <c r="BI347" s="108">
        <f t="shared" si="410"/>
        <v>0</v>
      </c>
      <c r="BJ347" s="108">
        <f t="shared" si="411"/>
        <v>0</v>
      </c>
    </row>
    <row r="348" spans="1:62" x14ac:dyDescent="0.2">
      <c r="A348" s="117" t="s">
        <v>308</v>
      </c>
      <c r="B348" s="117" t="s">
        <v>3987</v>
      </c>
      <c r="C348" s="304" t="s">
        <v>1393</v>
      </c>
      <c r="D348" s="305"/>
      <c r="E348" s="305"/>
      <c r="F348" s="117" t="s">
        <v>1644</v>
      </c>
      <c r="G348" s="116">
        <v>1</v>
      </c>
      <c r="H348" s="159"/>
      <c r="I348" s="108">
        <f t="shared" si="388"/>
        <v>0</v>
      </c>
      <c r="J348" s="108">
        <f t="shared" si="389"/>
        <v>0</v>
      </c>
      <c r="K348" s="108">
        <f t="shared" si="390"/>
        <v>0</v>
      </c>
      <c r="L348" s="111"/>
      <c r="Z348" s="100">
        <f t="shared" si="391"/>
        <v>0</v>
      </c>
      <c r="AB348" s="100">
        <f t="shared" si="392"/>
        <v>0</v>
      </c>
      <c r="AC348" s="100">
        <f t="shared" si="393"/>
        <v>0</v>
      </c>
      <c r="AD348" s="100">
        <f t="shared" si="394"/>
        <v>0</v>
      </c>
      <c r="AE348" s="100">
        <f t="shared" si="395"/>
        <v>0</v>
      </c>
      <c r="AF348" s="100">
        <f t="shared" si="396"/>
        <v>0</v>
      </c>
      <c r="AG348" s="100">
        <f t="shared" si="397"/>
        <v>0</v>
      </c>
      <c r="AH348" s="100">
        <f t="shared" si="398"/>
        <v>0</v>
      </c>
      <c r="AI348" s="109"/>
      <c r="AJ348" s="108">
        <f t="shared" si="399"/>
        <v>0</v>
      </c>
      <c r="AK348" s="108">
        <f t="shared" si="400"/>
        <v>0</v>
      </c>
      <c r="AL348" s="108">
        <f t="shared" si="401"/>
        <v>0</v>
      </c>
      <c r="AN348" s="100">
        <v>15</v>
      </c>
      <c r="AO348" s="100">
        <f t="shared" si="402"/>
        <v>0</v>
      </c>
      <c r="AP348" s="100">
        <f t="shared" si="403"/>
        <v>0</v>
      </c>
      <c r="AQ348" s="111" t="s">
        <v>13</v>
      </c>
      <c r="AV348" s="100">
        <f t="shared" si="404"/>
        <v>0</v>
      </c>
      <c r="AW348" s="100">
        <f t="shared" si="405"/>
        <v>0</v>
      </c>
      <c r="AX348" s="100">
        <f t="shared" si="406"/>
        <v>0</v>
      </c>
      <c r="AY348" s="110" t="s">
        <v>1711</v>
      </c>
      <c r="AZ348" s="110" t="s">
        <v>1733</v>
      </c>
      <c r="BA348" s="109" t="s">
        <v>1737</v>
      </c>
      <c r="BC348" s="100">
        <f t="shared" si="407"/>
        <v>0</v>
      </c>
      <c r="BD348" s="100">
        <f t="shared" si="408"/>
        <v>0</v>
      </c>
      <c r="BE348" s="100">
        <v>0</v>
      </c>
      <c r="BF348" s="100">
        <f>348</f>
        <v>348</v>
      </c>
      <c r="BH348" s="108">
        <f t="shared" si="409"/>
        <v>0</v>
      </c>
      <c r="BI348" s="108">
        <f t="shared" si="410"/>
        <v>0</v>
      </c>
      <c r="BJ348" s="108">
        <f t="shared" si="411"/>
        <v>0</v>
      </c>
    </row>
    <row r="349" spans="1:62" x14ac:dyDescent="0.2">
      <c r="A349" s="117" t="s">
        <v>309</v>
      </c>
      <c r="B349" s="117" t="s">
        <v>3986</v>
      </c>
      <c r="C349" s="304" t="s">
        <v>1394</v>
      </c>
      <c r="D349" s="305"/>
      <c r="E349" s="305"/>
      <c r="F349" s="117" t="s">
        <v>1644</v>
      </c>
      <c r="G349" s="116">
        <v>1</v>
      </c>
      <c r="H349" s="159"/>
      <c r="I349" s="108">
        <f t="shared" si="388"/>
        <v>0</v>
      </c>
      <c r="J349" s="108">
        <f t="shared" si="389"/>
        <v>0</v>
      </c>
      <c r="K349" s="108">
        <f t="shared" si="390"/>
        <v>0</v>
      </c>
      <c r="L349" s="111"/>
      <c r="Z349" s="100">
        <f t="shared" si="391"/>
        <v>0</v>
      </c>
      <c r="AB349" s="100">
        <f t="shared" si="392"/>
        <v>0</v>
      </c>
      <c r="AC349" s="100">
        <f t="shared" si="393"/>
        <v>0</v>
      </c>
      <c r="AD349" s="100">
        <f t="shared" si="394"/>
        <v>0</v>
      </c>
      <c r="AE349" s="100">
        <f t="shared" si="395"/>
        <v>0</v>
      </c>
      <c r="AF349" s="100">
        <f t="shared" si="396"/>
        <v>0</v>
      </c>
      <c r="AG349" s="100">
        <f t="shared" si="397"/>
        <v>0</v>
      </c>
      <c r="AH349" s="100">
        <f t="shared" si="398"/>
        <v>0</v>
      </c>
      <c r="AI349" s="109"/>
      <c r="AJ349" s="108">
        <f t="shared" si="399"/>
        <v>0</v>
      </c>
      <c r="AK349" s="108">
        <f t="shared" si="400"/>
        <v>0</v>
      </c>
      <c r="AL349" s="108">
        <f t="shared" si="401"/>
        <v>0</v>
      </c>
      <c r="AN349" s="100">
        <v>15</v>
      </c>
      <c r="AO349" s="100">
        <f t="shared" si="402"/>
        <v>0</v>
      </c>
      <c r="AP349" s="100">
        <f t="shared" si="403"/>
        <v>0</v>
      </c>
      <c r="AQ349" s="111" t="s">
        <v>13</v>
      </c>
      <c r="AV349" s="100">
        <f t="shared" si="404"/>
        <v>0</v>
      </c>
      <c r="AW349" s="100">
        <f t="shared" si="405"/>
        <v>0</v>
      </c>
      <c r="AX349" s="100">
        <f t="shared" si="406"/>
        <v>0</v>
      </c>
      <c r="AY349" s="110" t="s">
        <v>1711</v>
      </c>
      <c r="AZ349" s="110" t="s">
        <v>1733</v>
      </c>
      <c r="BA349" s="109" t="s">
        <v>1737</v>
      </c>
      <c r="BC349" s="100">
        <f t="shared" si="407"/>
        <v>0</v>
      </c>
      <c r="BD349" s="100">
        <f t="shared" si="408"/>
        <v>0</v>
      </c>
      <c r="BE349" s="100">
        <v>0</v>
      </c>
      <c r="BF349" s="100">
        <f>349</f>
        <v>349</v>
      </c>
      <c r="BH349" s="108">
        <f t="shared" si="409"/>
        <v>0</v>
      </c>
      <c r="BI349" s="108">
        <f t="shared" si="410"/>
        <v>0</v>
      </c>
      <c r="BJ349" s="108">
        <f t="shared" si="411"/>
        <v>0</v>
      </c>
    </row>
    <row r="350" spans="1:62" x14ac:dyDescent="0.2">
      <c r="A350" s="119"/>
      <c r="B350" s="120" t="s">
        <v>822</v>
      </c>
      <c r="C350" s="306" t="s">
        <v>1395</v>
      </c>
      <c r="D350" s="307"/>
      <c r="E350" s="307"/>
      <c r="F350" s="119" t="s">
        <v>6</v>
      </c>
      <c r="G350" s="119" t="s">
        <v>6</v>
      </c>
      <c r="H350" s="119" t="s">
        <v>6</v>
      </c>
      <c r="I350" s="118">
        <f>SUM(I351:I378)</f>
        <v>0</v>
      </c>
      <c r="J350" s="118">
        <f>SUM(J351:J378)</f>
        <v>0</v>
      </c>
      <c r="K350" s="118">
        <f>SUM(K351:K378)</f>
        <v>0</v>
      </c>
      <c r="L350" s="109"/>
      <c r="AI350" s="109"/>
      <c r="AS350" s="118">
        <f>SUM(AJ351:AJ378)</f>
        <v>0</v>
      </c>
      <c r="AT350" s="118">
        <f>SUM(AK351:AK378)</f>
        <v>0</v>
      </c>
      <c r="AU350" s="118">
        <f>SUM(AL351:AL378)</f>
        <v>0</v>
      </c>
    </row>
    <row r="351" spans="1:62" x14ac:dyDescent="0.2">
      <c r="A351" s="117" t="s">
        <v>310</v>
      </c>
      <c r="B351" s="117" t="s">
        <v>117</v>
      </c>
      <c r="C351" s="304" t="s">
        <v>1396</v>
      </c>
      <c r="D351" s="305"/>
      <c r="E351" s="305"/>
      <c r="F351" s="117" t="s">
        <v>1652</v>
      </c>
      <c r="G351" s="116">
        <v>1</v>
      </c>
      <c r="H351" s="159"/>
      <c r="I351" s="108">
        <f t="shared" ref="I351:I378" si="412">G351*AO351</f>
        <v>0</v>
      </c>
      <c r="J351" s="108">
        <f t="shared" ref="J351:J378" si="413">G351*AP351</f>
        <v>0</v>
      </c>
      <c r="K351" s="108">
        <f t="shared" ref="K351:K378" si="414">G351*H351</f>
        <v>0</v>
      </c>
      <c r="L351" s="111"/>
      <c r="Z351" s="100">
        <f t="shared" ref="Z351:Z378" si="415">IF(AQ351="5",BJ351,0)</f>
        <v>0</v>
      </c>
      <c r="AB351" s="100">
        <f t="shared" ref="AB351:AB378" si="416">IF(AQ351="1",BH351,0)</f>
        <v>0</v>
      </c>
      <c r="AC351" s="100">
        <f t="shared" ref="AC351:AC378" si="417">IF(AQ351="1",BI351,0)</f>
        <v>0</v>
      </c>
      <c r="AD351" s="100">
        <f t="shared" ref="AD351:AD378" si="418">IF(AQ351="7",BH351,0)</f>
        <v>0</v>
      </c>
      <c r="AE351" s="100">
        <f t="shared" ref="AE351:AE378" si="419">IF(AQ351="7",BI351,0)</f>
        <v>0</v>
      </c>
      <c r="AF351" s="100">
        <f t="shared" ref="AF351:AF378" si="420">IF(AQ351="2",BH351,0)</f>
        <v>0</v>
      </c>
      <c r="AG351" s="100">
        <f t="shared" ref="AG351:AG378" si="421">IF(AQ351="2",BI351,0)</f>
        <v>0</v>
      </c>
      <c r="AH351" s="100">
        <f t="shared" ref="AH351:AH378" si="422">IF(AQ351="0",BJ351,0)</f>
        <v>0</v>
      </c>
      <c r="AI351" s="109"/>
      <c r="AJ351" s="108">
        <f t="shared" ref="AJ351:AJ378" si="423">IF(AN351=0,K351,0)</f>
        <v>0</v>
      </c>
      <c r="AK351" s="108">
        <f t="shared" ref="AK351:AK378" si="424">IF(AN351=15,K351,0)</f>
        <v>0</v>
      </c>
      <c r="AL351" s="108">
        <f t="shared" ref="AL351:AL378" si="425">IF(AN351=21,K351,0)</f>
        <v>0</v>
      </c>
      <c r="AN351" s="100">
        <v>15</v>
      </c>
      <c r="AO351" s="100">
        <f t="shared" ref="AO351:AO378" si="426">H351*0</f>
        <v>0</v>
      </c>
      <c r="AP351" s="100">
        <f t="shared" ref="AP351:AP378" si="427">H351*(1-0)</f>
        <v>0</v>
      </c>
      <c r="AQ351" s="111" t="s">
        <v>13</v>
      </c>
      <c r="AV351" s="100">
        <f t="shared" ref="AV351:AV378" si="428">AW351+AX351</f>
        <v>0</v>
      </c>
      <c r="AW351" s="100">
        <f t="shared" ref="AW351:AW378" si="429">G351*AO351</f>
        <v>0</v>
      </c>
      <c r="AX351" s="100">
        <f t="shared" ref="AX351:AX378" si="430">G351*AP351</f>
        <v>0</v>
      </c>
      <c r="AY351" s="110" t="s">
        <v>1712</v>
      </c>
      <c r="AZ351" s="110" t="s">
        <v>1733</v>
      </c>
      <c r="BA351" s="109" t="s">
        <v>1737</v>
      </c>
      <c r="BC351" s="100">
        <f t="shared" ref="BC351:BC378" si="431">AW351+AX351</f>
        <v>0</v>
      </c>
      <c r="BD351" s="100">
        <f t="shared" ref="BD351:BD378" si="432">H351/(100-BE351)*100</f>
        <v>0</v>
      </c>
      <c r="BE351" s="100">
        <v>0</v>
      </c>
      <c r="BF351" s="100">
        <f>351</f>
        <v>351</v>
      </c>
      <c r="BH351" s="108">
        <f t="shared" ref="BH351:BH378" si="433">G351*AO351</f>
        <v>0</v>
      </c>
      <c r="BI351" s="108">
        <f t="shared" ref="BI351:BI378" si="434">G351*AP351</f>
        <v>0</v>
      </c>
      <c r="BJ351" s="108">
        <f t="shared" ref="BJ351:BJ378" si="435">G351*H351</f>
        <v>0</v>
      </c>
    </row>
    <row r="352" spans="1:62" x14ac:dyDescent="0.2">
      <c r="A352" s="117" t="s">
        <v>311</v>
      </c>
      <c r="B352" s="117" t="s">
        <v>118</v>
      </c>
      <c r="C352" s="304" t="s">
        <v>1397</v>
      </c>
      <c r="D352" s="305"/>
      <c r="E352" s="305"/>
      <c r="F352" s="117" t="s">
        <v>1652</v>
      </c>
      <c r="G352" s="116">
        <v>1</v>
      </c>
      <c r="H352" s="159"/>
      <c r="I352" s="108">
        <f t="shared" si="412"/>
        <v>0</v>
      </c>
      <c r="J352" s="108">
        <f t="shared" si="413"/>
        <v>0</v>
      </c>
      <c r="K352" s="108">
        <f t="shared" si="414"/>
        <v>0</v>
      </c>
      <c r="L352" s="111"/>
      <c r="Z352" s="100">
        <f t="shared" si="415"/>
        <v>0</v>
      </c>
      <c r="AB352" s="100">
        <f t="shared" si="416"/>
        <v>0</v>
      </c>
      <c r="AC352" s="100">
        <f t="shared" si="417"/>
        <v>0</v>
      </c>
      <c r="AD352" s="100">
        <f t="shared" si="418"/>
        <v>0</v>
      </c>
      <c r="AE352" s="100">
        <f t="shared" si="419"/>
        <v>0</v>
      </c>
      <c r="AF352" s="100">
        <f t="shared" si="420"/>
        <v>0</v>
      </c>
      <c r="AG352" s="100">
        <f t="shared" si="421"/>
        <v>0</v>
      </c>
      <c r="AH352" s="100">
        <f t="shared" si="422"/>
        <v>0</v>
      </c>
      <c r="AI352" s="109"/>
      <c r="AJ352" s="108">
        <f t="shared" si="423"/>
        <v>0</v>
      </c>
      <c r="AK352" s="108">
        <f t="shared" si="424"/>
        <v>0</v>
      </c>
      <c r="AL352" s="108">
        <f t="shared" si="425"/>
        <v>0</v>
      </c>
      <c r="AN352" s="100">
        <v>15</v>
      </c>
      <c r="AO352" s="100">
        <f t="shared" si="426"/>
        <v>0</v>
      </c>
      <c r="AP352" s="100">
        <f t="shared" si="427"/>
        <v>0</v>
      </c>
      <c r="AQ352" s="111" t="s">
        <v>13</v>
      </c>
      <c r="AV352" s="100">
        <f t="shared" si="428"/>
        <v>0</v>
      </c>
      <c r="AW352" s="100">
        <f t="shared" si="429"/>
        <v>0</v>
      </c>
      <c r="AX352" s="100">
        <f t="shared" si="430"/>
        <v>0</v>
      </c>
      <c r="AY352" s="110" t="s">
        <v>1712</v>
      </c>
      <c r="AZ352" s="110" t="s">
        <v>1733</v>
      </c>
      <c r="BA352" s="109" t="s">
        <v>1737</v>
      </c>
      <c r="BC352" s="100">
        <f t="shared" si="431"/>
        <v>0</v>
      </c>
      <c r="BD352" s="100">
        <f t="shared" si="432"/>
        <v>0</v>
      </c>
      <c r="BE352" s="100">
        <v>0</v>
      </c>
      <c r="BF352" s="100">
        <f>352</f>
        <v>352</v>
      </c>
      <c r="BH352" s="108">
        <f t="shared" si="433"/>
        <v>0</v>
      </c>
      <c r="BI352" s="108">
        <f t="shared" si="434"/>
        <v>0</v>
      </c>
      <c r="BJ352" s="108">
        <f t="shared" si="435"/>
        <v>0</v>
      </c>
    </row>
    <row r="353" spans="1:62" x14ac:dyDescent="0.2">
      <c r="A353" s="117" t="s">
        <v>312</v>
      </c>
      <c r="B353" s="117" t="s">
        <v>119</v>
      </c>
      <c r="C353" s="304" t="s">
        <v>1398</v>
      </c>
      <c r="D353" s="305"/>
      <c r="E353" s="305"/>
      <c r="F353" s="117" t="s">
        <v>1652</v>
      </c>
      <c r="G353" s="116">
        <v>1</v>
      </c>
      <c r="H353" s="159"/>
      <c r="I353" s="108">
        <f t="shared" si="412"/>
        <v>0</v>
      </c>
      <c r="J353" s="108">
        <f t="shared" si="413"/>
        <v>0</v>
      </c>
      <c r="K353" s="108">
        <f t="shared" si="414"/>
        <v>0</v>
      </c>
      <c r="L353" s="111"/>
      <c r="Z353" s="100">
        <f t="shared" si="415"/>
        <v>0</v>
      </c>
      <c r="AB353" s="100">
        <f t="shared" si="416"/>
        <v>0</v>
      </c>
      <c r="AC353" s="100">
        <f t="shared" si="417"/>
        <v>0</v>
      </c>
      <c r="AD353" s="100">
        <f t="shared" si="418"/>
        <v>0</v>
      </c>
      <c r="AE353" s="100">
        <f t="shared" si="419"/>
        <v>0</v>
      </c>
      <c r="AF353" s="100">
        <f t="shared" si="420"/>
        <v>0</v>
      </c>
      <c r="AG353" s="100">
        <f t="shared" si="421"/>
        <v>0</v>
      </c>
      <c r="AH353" s="100">
        <f t="shared" si="422"/>
        <v>0</v>
      </c>
      <c r="AI353" s="109"/>
      <c r="AJ353" s="108">
        <f t="shared" si="423"/>
        <v>0</v>
      </c>
      <c r="AK353" s="108">
        <f t="shared" si="424"/>
        <v>0</v>
      </c>
      <c r="AL353" s="108">
        <f t="shared" si="425"/>
        <v>0</v>
      </c>
      <c r="AN353" s="100">
        <v>15</v>
      </c>
      <c r="AO353" s="100">
        <f t="shared" si="426"/>
        <v>0</v>
      </c>
      <c r="AP353" s="100">
        <f t="shared" si="427"/>
        <v>0</v>
      </c>
      <c r="AQ353" s="111" t="s">
        <v>13</v>
      </c>
      <c r="AV353" s="100">
        <f t="shared" si="428"/>
        <v>0</v>
      </c>
      <c r="AW353" s="100">
        <f t="shared" si="429"/>
        <v>0</v>
      </c>
      <c r="AX353" s="100">
        <f t="shared" si="430"/>
        <v>0</v>
      </c>
      <c r="AY353" s="110" t="s">
        <v>1712</v>
      </c>
      <c r="AZ353" s="110" t="s">
        <v>1733</v>
      </c>
      <c r="BA353" s="109" t="s">
        <v>1737</v>
      </c>
      <c r="BC353" s="100">
        <f t="shared" si="431"/>
        <v>0</v>
      </c>
      <c r="BD353" s="100">
        <f t="shared" si="432"/>
        <v>0</v>
      </c>
      <c r="BE353" s="100">
        <v>0</v>
      </c>
      <c r="BF353" s="100">
        <f>353</f>
        <v>353</v>
      </c>
      <c r="BH353" s="108">
        <f t="shared" si="433"/>
        <v>0</v>
      </c>
      <c r="BI353" s="108">
        <f t="shared" si="434"/>
        <v>0</v>
      </c>
      <c r="BJ353" s="108">
        <f t="shared" si="435"/>
        <v>0</v>
      </c>
    </row>
    <row r="354" spans="1:62" x14ac:dyDescent="0.2">
      <c r="A354" s="117" t="s">
        <v>313</v>
      </c>
      <c r="B354" s="117" t="s">
        <v>120</v>
      </c>
      <c r="C354" s="304" t="s">
        <v>1399</v>
      </c>
      <c r="D354" s="305"/>
      <c r="E354" s="305"/>
      <c r="F354" s="117" t="s">
        <v>1652</v>
      </c>
      <c r="G354" s="116">
        <v>1</v>
      </c>
      <c r="H354" s="159"/>
      <c r="I354" s="108">
        <f t="shared" si="412"/>
        <v>0</v>
      </c>
      <c r="J354" s="108">
        <f t="shared" si="413"/>
        <v>0</v>
      </c>
      <c r="K354" s="108">
        <f t="shared" si="414"/>
        <v>0</v>
      </c>
      <c r="L354" s="111"/>
      <c r="Z354" s="100">
        <f t="shared" si="415"/>
        <v>0</v>
      </c>
      <c r="AB354" s="100">
        <f t="shared" si="416"/>
        <v>0</v>
      </c>
      <c r="AC354" s="100">
        <f t="shared" si="417"/>
        <v>0</v>
      </c>
      <c r="AD354" s="100">
        <f t="shared" si="418"/>
        <v>0</v>
      </c>
      <c r="AE354" s="100">
        <f t="shared" si="419"/>
        <v>0</v>
      </c>
      <c r="AF354" s="100">
        <f t="shared" si="420"/>
        <v>0</v>
      </c>
      <c r="AG354" s="100">
        <f t="shared" si="421"/>
        <v>0</v>
      </c>
      <c r="AH354" s="100">
        <f t="shared" si="422"/>
        <v>0</v>
      </c>
      <c r="AI354" s="109"/>
      <c r="AJ354" s="108">
        <f t="shared" si="423"/>
        <v>0</v>
      </c>
      <c r="AK354" s="108">
        <f t="shared" si="424"/>
        <v>0</v>
      </c>
      <c r="AL354" s="108">
        <f t="shared" si="425"/>
        <v>0</v>
      </c>
      <c r="AN354" s="100">
        <v>15</v>
      </c>
      <c r="AO354" s="100">
        <f t="shared" si="426"/>
        <v>0</v>
      </c>
      <c r="AP354" s="100">
        <f t="shared" si="427"/>
        <v>0</v>
      </c>
      <c r="AQ354" s="111" t="s">
        <v>13</v>
      </c>
      <c r="AV354" s="100">
        <f t="shared" si="428"/>
        <v>0</v>
      </c>
      <c r="AW354" s="100">
        <f t="shared" si="429"/>
        <v>0</v>
      </c>
      <c r="AX354" s="100">
        <f t="shared" si="430"/>
        <v>0</v>
      </c>
      <c r="AY354" s="110" t="s">
        <v>1712</v>
      </c>
      <c r="AZ354" s="110" t="s">
        <v>1733</v>
      </c>
      <c r="BA354" s="109" t="s">
        <v>1737</v>
      </c>
      <c r="BC354" s="100">
        <f t="shared" si="431"/>
        <v>0</v>
      </c>
      <c r="BD354" s="100">
        <f t="shared" si="432"/>
        <v>0</v>
      </c>
      <c r="BE354" s="100">
        <v>0</v>
      </c>
      <c r="BF354" s="100">
        <f>354</f>
        <v>354</v>
      </c>
      <c r="BH354" s="108">
        <f t="shared" si="433"/>
        <v>0</v>
      </c>
      <c r="BI354" s="108">
        <f t="shared" si="434"/>
        <v>0</v>
      </c>
      <c r="BJ354" s="108">
        <f t="shared" si="435"/>
        <v>0</v>
      </c>
    </row>
    <row r="355" spans="1:62" x14ac:dyDescent="0.2">
      <c r="A355" s="117" t="s">
        <v>314</v>
      </c>
      <c r="B355" s="117" t="s">
        <v>121</v>
      </c>
      <c r="C355" s="304" t="s">
        <v>1400</v>
      </c>
      <c r="D355" s="305"/>
      <c r="E355" s="305"/>
      <c r="F355" s="117" t="s">
        <v>1652</v>
      </c>
      <c r="G355" s="116">
        <v>1</v>
      </c>
      <c r="H355" s="159"/>
      <c r="I355" s="108">
        <f t="shared" si="412"/>
        <v>0</v>
      </c>
      <c r="J355" s="108">
        <f t="shared" si="413"/>
        <v>0</v>
      </c>
      <c r="K355" s="108">
        <f t="shared" si="414"/>
        <v>0</v>
      </c>
      <c r="L355" s="111"/>
      <c r="Z355" s="100">
        <f t="shared" si="415"/>
        <v>0</v>
      </c>
      <c r="AB355" s="100">
        <f t="shared" si="416"/>
        <v>0</v>
      </c>
      <c r="AC355" s="100">
        <f t="shared" si="417"/>
        <v>0</v>
      </c>
      <c r="AD355" s="100">
        <f t="shared" si="418"/>
        <v>0</v>
      </c>
      <c r="AE355" s="100">
        <f t="shared" si="419"/>
        <v>0</v>
      </c>
      <c r="AF355" s="100">
        <f t="shared" si="420"/>
        <v>0</v>
      </c>
      <c r="AG355" s="100">
        <f t="shared" si="421"/>
        <v>0</v>
      </c>
      <c r="AH355" s="100">
        <f t="shared" si="422"/>
        <v>0</v>
      </c>
      <c r="AI355" s="109"/>
      <c r="AJ355" s="108">
        <f t="shared" si="423"/>
        <v>0</v>
      </c>
      <c r="AK355" s="108">
        <f t="shared" si="424"/>
        <v>0</v>
      </c>
      <c r="AL355" s="108">
        <f t="shared" si="425"/>
        <v>0</v>
      </c>
      <c r="AN355" s="100">
        <v>15</v>
      </c>
      <c r="AO355" s="100">
        <f t="shared" si="426"/>
        <v>0</v>
      </c>
      <c r="AP355" s="100">
        <f t="shared" si="427"/>
        <v>0</v>
      </c>
      <c r="AQ355" s="111" t="s">
        <v>13</v>
      </c>
      <c r="AV355" s="100">
        <f t="shared" si="428"/>
        <v>0</v>
      </c>
      <c r="AW355" s="100">
        <f t="shared" si="429"/>
        <v>0</v>
      </c>
      <c r="AX355" s="100">
        <f t="shared" si="430"/>
        <v>0</v>
      </c>
      <c r="AY355" s="110" t="s">
        <v>1712</v>
      </c>
      <c r="AZ355" s="110" t="s">
        <v>1733</v>
      </c>
      <c r="BA355" s="109" t="s">
        <v>1737</v>
      </c>
      <c r="BC355" s="100">
        <f t="shared" si="431"/>
        <v>0</v>
      </c>
      <c r="BD355" s="100">
        <f t="shared" si="432"/>
        <v>0</v>
      </c>
      <c r="BE355" s="100">
        <v>0</v>
      </c>
      <c r="BF355" s="100">
        <f>355</f>
        <v>355</v>
      </c>
      <c r="BH355" s="108">
        <f t="shared" si="433"/>
        <v>0</v>
      </c>
      <c r="BI355" s="108">
        <f t="shared" si="434"/>
        <v>0</v>
      </c>
      <c r="BJ355" s="108">
        <f t="shared" si="435"/>
        <v>0</v>
      </c>
    </row>
    <row r="356" spans="1:62" x14ac:dyDescent="0.2">
      <c r="A356" s="117" t="s">
        <v>315</v>
      </c>
      <c r="B356" s="117" t="s">
        <v>122</v>
      </c>
      <c r="C356" s="304" t="s">
        <v>1401</v>
      </c>
      <c r="D356" s="305"/>
      <c r="E356" s="305"/>
      <c r="F356" s="117" t="s">
        <v>1652</v>
      </c>
      <c r="G356" s="116">
        <v>1</v>
      </c>
      <c r="H356" s="159"/>
      <c r="I356" s="108">
        <f t="shared" si="412"/>
        <v>0</v>
      </c>
      <c r="J356" s="108">
        <f t="shared" si="413"/>
        <v>0</v>
      </c>
      <c r="K356" s="108">
        <f t="shared" si="414"/>
        <v>0</v>
      </c>
      <c r="L356" s="111"/>
      <c r="Z356" s="100">
        <f t="shared" si="415"/>
        <v>0</v>
      </c>
      <c r="AB356" s="100">
        <f t="shared" si="416"/>
        <v>0</v>
      </c>
      <c r="AC356" s="100">
        <f t="shared" si="417"/>
        <v>0</v>
      </c>
      <c r="AD356" s="100">
        <f t="shared" si="418"/>
        <v>0</v>
      </c>
      <c r="AE356" s="100">
        <f t="shared" si="419"/>
        <v>0</v>
      </c>
      <c r="AF356" s="100">
        <f t="shared" si="420"/>
        <v>0</v>
      </c>
      <c r="AG356" s="100">
        <f t="shared" si="421"/>
        <v>0</v>
      </c>
      <c r="AH356" s="100">
        <f t="shared" si="422"/>
        <v>0</v>
      </c>
      <c r="AI356" s="109"/>
      <c r="AJ356" s="108">
        <f t="shared" si="423"/>
        <v>0</v>
      </c>
      <c r="AK356" s="108">
        <f t="shared" si="424"/>
        <v>0</v>
      </c>
      <c r="AL356" s="108">
        <f t="shared" si="425"/>
        <v>0</v>
      </c>
      <c r="AN356" s="100">
        <v>15</v>
      </c>
      <c r="AO356" s="100">
        <f t="shared" si="426"/>
        <v>0</v>
      </c>
      <c r="AP356" s="100">
        <f t="shared" si="427"/>
        <v>0</v>
      </c>
      <c r="AQ356" s="111" t="s">
        <v>13</v>
      </c>
      <c r="AV356" s="100">
        <f t="shared" si="428"/>
        <v>0</v>
      </c>
      <c r="AW356" s="100">
        <f t="shared" si="429"/>
        <v>0</v>
      </c>
      <c r="AX356" s="100">
        <f t="shared" si="430"/>
        <v>0</v>
      </c>
      <c r="AY356" s="110" t="s">
        <v>1712</v>
      </c>
      <c r="AZ356" s="110" t="s">
        <v>1733</v>
      </c>
      <c r="BA356" s="109" t="s">
        <v>1737</v>
      </c>
      <c r="BC356" s="100">
        <f t="shared" si="431"/>
        <v>0</v>
      </c>
      <c r="BD356" s="100">
        <f t="shared" si="432"/>
        <v>0</v>
      </c>
      <c r="BE356" s="100">
        <v>0</v>
      </c>
      <c r="BF356" s="100">
        <f>356</f>
        <v>356</v>
      </c>
      <c r="BH356" s="108">
        <f t="shared" si="433"/>
        <v>0</v>
      </c>
      <c r="BI356" s="108">
        <f t="shared" si="434"/>
        <v>0</v>
      </c>
      <c r="BJ356" s="108">
        <f t="shared" si="435"/>
        <v>0</v>
      </c>
    </row>
    <row r="357" spans="1:62" x14ac:dyDescent="0.2">
      <c r="A357" s="117" t="s">
        <v>316</v>
      </c>
      <c r="B357" s="117" t="s">
        <v>123</v>
      </c>
      <c r="C357" s="304" t="s">
        <v>1402</v>
      </c>
      <c r="D357" s="305"/>
      <c r="E357" s="305"/>
      <c r="F357" s="117" t="s">
        <v>1652</v>
      </c>
      <c r="G357" s="116">
        <v>1</v>
      </c>
      <c r="H357" s="159"/>
      <c r="I357" s="108">
        <f t="shared" si="412"/>
        <v>0</v>
      </c>
      <c r="J357" s="108">
        <f t="shared" si="413"/>
        <v>0</v>
      </c>
      <c r="K357" s="108">
        <f t="shared" si="414"/>
        <v>0</v>
      </c>
      <c r="L357" s="111"/>
      <c r="Z357" s="100">
        <f t="shared" si="415"/>
        <v>0</v>
      </c>
      <c r="AB357" s="100">
        <f t="shared" si="416"/>
        <v>0</v>
      </c>
      <c r="AC357" s="100">
        <f t="shared" si="417"/>
        <v>0</v>
      </c>
      <c r="AD357" s="100">
        <f t="shared" si="418"/>
        <v>0</v>
      </c>
      <c r="AE357" s="100">
        <f t="shared" si="419"/>
        <v>0</v>
      </c>
      <c r="AF357" s="100">
        <f t="shared" si="420"/>
        <v>0</v>
      </c>
      <c r="AG357" s="100">
        <f t="shared" si="421"/>
        <v>0</v>
      </c>
      <c r="AH357" s="100">
        <f t="shared" si="422"/>
        <v>0</v>
      </c>
      <c r="AI357" s="109"/>
      <c r="AJ357" s="108">
        <f t="shared" si="423"/>
        <v>0</v>
      </c>
      <c r="AK357" s="108">
        <f t="shared" si="424"/>
        <v>0</v>
      </c>
      <c r="AL357" s="108">
        <f t="shared" si="425"/>
        <v>0</v>
      </c>
      <c r="AN357" s="100">
        <v>15</v>
      </c>
      <c r="AO357" s="100">
        <f t="shared" si="426"/>
        <v>0</v>
      </c>
      <c r="AP357" s="100">
        <f t="shared" si="427"/>
        <v>0</v>
      </c>
      <c r="AQ357" s="111" t="s">
        <v>13</v>
      </c>
      <c r="AV357" s="100">
        <f t="shared" si="428"/>
        <v>0</v>
      </c>
      <c r="AW357" s="100">
        <f t="shared" si="429"/>
        <v>0</v>
      </c>
      <c r="AX357" s="100">
        <f t="shared" si="430"/>
        <v>0</v>
      </c>
      <c r="AY357" s="110" t="s">
        <v>1712</v>
      </c>
      <c r="AZ357" s="110" t="s">
        <v>1733</v>
      </c>
      <c r="BA357" s="109" t="s">
        <v>1737</v>
      </c>
      <c r="BC357" s="100">
        <f t="shared" si="431"/>
        <v>0</v>
      </c>
      <c r="BD357" s="100">
        <f t="shared" si="432"/>
        <v>0</v>
      </c>
      <c r="BE357" s="100">
        <v>0</v>
      </c>
      <c r="BF357" s="100">
        <f>357</f>
        <v>357</v>
      </c>
      <c r="BH357" s="108">
        <f t="shared" si="433"/>
        <v>0</v>
      </c>
      <c r="BI357" s="108">
        <f t="shared" si="434"/>
        <v>0</v>
      </c>
      <c r="BJ357" s="108">
        <f t="shared" si="435"/>
        <v>0</v>
      </c>
    </row>
    <row r="358" spans="1:62" x14ac:dyDescent="0.2">
      <c r="A358" s="117" t="s">
        <v>317</v>
      </c>
      <c r="B358" s="117" t="s">
        <v>124</v>
      </c>
      <c r="C358" s="304" t="s">
        <v>1403</v>
      </c>
      <c r="D358" s="305"/>
      <c r="E358" s="305"/>
      <c r="F358" s="117" t="s">
        <v>1652</v>
      </c>
      <c r="G358" s="116">
        <v>1</v>
      </c>
      <c r="H358" s="159"/>
      <c r="I358" s="108">
        <f t="shared" si="412"/>
        <v>0</v>
      </c>
      <c r="J358" s="108">
        <f t="shared" si="413"/>
        <v>0</v>
      </c>
      <c r="K358" s="108">
        <f t="shared" si="414"/>
        <v>0</v>
      </c>
      <c r="L358" s="111"/>
      <c r="Z358" s="100">
        <f t="shared" si="415"/>
        <v>0</v>
      </c>
      <c r="AB358" s="100">
        <f t="shared" si="416"/>
        <v>0</v>
      </c>
      <c r="AC358" s="100">
        <f t="shared" si="417"/>
        <v>0</v>
      </c>
      <c r="AD358" s="100">
        <f t="shared" si="418"/>
        <v>0</v>
      </c>
      <c r="AE358" s="100">
        <f t="shared" si="419"/>
        <v>0</v>
      </c>
      <c r="AF358" s="100">
        <f t="shared" si="420"/>
        <v>0</v>
      </c>
      <c r="AG358" s="100">
        <f t="shared" si="421"/>
        <v>0</v>
      </c>
      <c r="AH358" s="100">
        <f t="shared" si="422"/>
        <v>0</v>
      </c>
      <c r="AI358" s="109"/>
      <c r="AJ358" s="108">
        <f t="shared" si="423"/>
        <v>0</v>
      </c>
      <c r="AK358" s="108">
        <f t="shared" si="424"/>
        <v>0</v>
      </c>
      <c r="AL358" s="108">
        <f t="shared" si="425"/>
        <v>0</v>
      </c>
      <c r="AN358" s="100">
        <v>15</v>
      </c>
      <c r="AO358" s="100">
        <f t="shared" si="426"/>
        <v>0</v>
      </c>
      <c r="AP358" s="100">
        <f t="shared" si="427"/>
        <v>0</v>
      </c>
      <c r="AQ358" s="111" t="s">
        <v>13</v>
      </c>
      <c r="AV358" s="100">
        <f t="shared" si="428"/>
        <v>0</v>
      </c>
      <c r="AW358" s="100">
        <f t="shared" si="429"/>
        <v>0</v>
      </c>
      <c r="AX358" s="100">
        <f t="shared" si="430"/>
        <v>0</v>
      </c>
      <c r="AY358" s="110" t="s">
        <v>1712</v>
      </c>
      <c r="AZ358" s="110" t="s">
        <v>1733</v>
      </c>
      <c r="BA358" s="109" t="s">
        <v>1737</v>
      </c>
      <c r="BC358" s="100">
        <f t="shared" si="431"/>
        <v>0</v>
      </c>
      <c r="BD358" s="100">
        <f t="shared" si="432"/>
        <v>0</v>
      </c>
      <c r="BE358" s="100">
        <v>0</v>
      </c>
      <c r="BF358" s="100">
        <f>358</f>
        <v>358</v>
      </c>
      <c r="BH358" s="108">
        <f t="shared" si="433"/>
        <v>0</v>
      </c>
      <c r="BI358" s="108">
        <f t="shared" si="434"/>
        <v>0</v>
      </c>
      <c r="BJ358" s="108">
        <f t="shared" si="435"/>
        <v>0</v>
      </c>
    </row>
    <row r="359" spans="1:62" x14ac:dyDescent="0.2">
      <c r="A359" s="117" t="s">
        <v>318</v>
      </c>
      <c r="B359" s="117" t="s">
        <v>125</v>
      </c>
      <c r="C359" s="304" t="s">
        <v>1404</v>
      </c>
      <c r="D359" s="305"/>
      <c r="E359" s="305"/>
      <c r="F359" s="117" t="s">
        <v>1646</v>
      </c>
      <c r="G359" s="116">
        <v>450</v>
      </c>
      <c r="H359" s="159"/>
      <c r="I359" s="108">
        <f t="shared" si="412"/>
        <v>0</v>
      </c>
      <c r="J359" s="108">
        <f t="shared" si="413"/>
        <v>0</v>
      </c>
      <c r="K359" s="108">
        <f t="shared" si="414"/>
        <v>0</v>
      </c>
      <c r="L359" s="111"/>
      <c r="Z359" s="100">
        <f t="shared" si="415"/>
        <v>0</v>
      </c>
      <c r="AB359" s="100">
        <f t="shared" si="416"/>
        <v>0</v>
      </c>
      <c r="AC359" s="100">
        <f t="shared" si="417"/>
        <v>0</v>
      </c>
      <c r="AD359" s="100">
        <f t="shared" si="418"/>
        <v>0</v>
      </c>
      <c r="AE359" s="100">
        <f t="shared" si="419"/>
        <v>0</v>
      </c>
      <c r="AF359" s="100">
        <f t="shared" si="420"/>
        <v>0</v>
      </c>
      <c r="AG359" s="100">
        <f t="shared" si="421"/>
        <v>0</v>
      </c>
      <c r="AH359" s="100">
        <f t="shared" si="422"/>
        <v>0</v>
      </c>
      <c r="AI359" s="109"/>
      <c r="AJ359" s="108">
        <f t="shared" si="423"/>
        <v>0</v>
      </c>
      <c r="AK359" s="108">
        <f t="shared" si="424"/>
        <v>0</v>
      </c>
      <c r="AL359" s="108">
        <f t="shared" si="425"/>
        <v>0</v>
      </c>
      <c r="AN359" s="100">
        <v>15</v>
      </c>
      <c r="AO359" s="100">
        <f t="shared" si="426"/>
        <v>0</v>
      </c>
      <c r="AP359" s="100">
        <f t="shared" si="427"/>
        <v>0</v>
      </c>
      <c r="AQ359" s="111" t="s">
        <v>13</v>
      </c>
      <c r="AV359" s="100">
        <f t="shared" si="428"/>
        <v>0</v>
      </c>
      <c r="AW359" s="100">
        <f t="shared" si="429"/>
        <v>0</v>
      </c>
      <c r="AX359" s="100">
        <f t="shared" si="430"/>
        <v>0</v>
      </c>
      <c r="AY359" s="110" t="s">
        <v>1712</v>
      </c>
      <c r="AZ359" s="110" t="s">
        <v>1733</v>
      </c>
      <c r="BA359" s="109" t="s">
        <v>1737</v>
      </c>
      <c r="BC359" s="100">
        <f t="shared" si="431"/>
        <v>0</v>
      </c>
      <c r="BD359" s="100">
        <f t="shared" si="432"/>
        <v>0</v>
      </c>
      <c r="BE359" s="100">
        <v>0</v>
      </c>
      <c r="BF359" s="100">
        <f>359</f>
        <v>359</v>
      </c>
      <c r="BH359" s="108">
        <f t="shared" si="433"/>
        <v>0</v>
      </c>
      <c r="BI359" s="108">
        <f t="shared" si="434"/>
        <v>0</v>
      </c>
      <c r="BJ359" s="108">
        <f t="shared" si="435"/>
        <v>0</v>
      </c>
    </row>
    <row r="360" spans="1:62" x14ac:dyDescent="0.2">
      <c r="A360" s="117" t="s">
        <v>319</v>
      </c>
      <c r="B360" s="117" t="s">
        <v>823</v>
      </c>
      <c r="C360" s="304" t="s">
        <v>1405</v>
      </c>
      <c r="D360" s="305"/>
      <c r="E360" s="305"/>
      <c r="F360" s="117" t="s">
        <v>1646</v>
      </c>
      <c r="G360" s="116">
        <v>180</v>
      </c>
      <c r="H360" s="159"/>
      <c r="I360" s="108">
        <f t="shared" si="412"/>
        <v>0</v>
      </c>
      <c r="J360" s="108">
        <f t="shared" si="413"/>
        <v>0</v>
      </c>
      <c r="K360" s="108">
        <f t="shared" si="414"/>
        <v>0</v>
      </c>
      <c r="L360" s="111"/>
      <c r="Z360" s="100">
        <f t="shared" si="415"/>
        <v>0</v>
      </c>
      <c r="AB360" s="100">
        <f t="shared" si="416"/>
        <v>0</v>
      </c>
      <c r="AC360" s="100">
        <f t="shared" si="417"/>
        <v>0</v>
      </c>
      <c r="AD360" s="100">
        <f t="shared" si="418"/>
        <v>0</v>
      </c>
      <c r="AE360" s="100">
        <f t="shared" si="419"/>
        <v>0</v>
      </c>
      <c r="AF360" s="100">
        <f t="shared" si="420"/>
        <v>0</v>
      </c>
      <c r="AG360" s="100">
        <f t="shared" si="421"/>
        <v>0</v>
      </c>
      <c r="AH360" s="100">
        <f t="shared" si="422"/>
        <v>0</v>
      </c>
      <c r="AI360" s="109"/>
      <c r="AJ360" s="108">
        <f t="shared" si="423"/>
        <v>0</v>
      </c>
      <c r="AK360" s="108">
        <f t="shared" si="424"/>
        <v>0</v>
      </c>
      <c r="AL360" s="108">
        <f t="shared" si="425"/>
        <v>0</v>
      </c>
      <c r="AN360" s="100">
        <v>15</v>
      </c>
      <c r="AO360" s="100">
        <f t="shared" si="426"/>
        <v>0</v>
      </c>
      <c r="AP360" s="100">
        <f t="shared" si="427"/>
        <v>0</v>
      </c>
      <c r="AQ360" s="111" t="s">
        <v>13</v>
      </c>
      <c r="AV360" s="100">
        <f t="shared" si="428"/>
        <v>0</v>
      </c>
      <c r="AW360" s="100">
        <f t="shared" si="429"/>
        <v>0</v>
      </c>
      <c r="AX360" s="100">
        <f t="shared" si="430"/>
        <v>0</v>
      </c>
      <c r="AY360" s="110" t="s">
        <v>1712</v>
      </c>
      <c r="AZ360" s="110" t="s">
        <v>1733</v>
      </c>
      <c r="BA360" s="109" t="s">
        <v>1737</v>
      </c>
      <c r="BC360" s="100">
        <f t="shared" si="431"/>
        <v>0</v>
      </c>
      <c r="BD360" s="100">
        <f t="shared" si="432"/>
        <v>0</v>
      </c>
      <c r="BE360" s="100">
        <v>0</v>
      </c>
      <c r="BF360" s="100">
        <f>360</f>
        <v>360</v>
      </c>
      <c r="BH360" s="108">
        <f t="shared" si="433"/>
        <v>0</v>
      </c>
      <c r="BI360" s="108">
        <f t="shared" si="434"/>
        <v>0</v>
      </c>
      <c r="BJ360" s="108">
        <f t="shared" si="435"/>
        <v>0</v>
      </c>
    </row>
    <row r="361" spans="1:62" x14ac:dyDescent="0.2">
      <c r="A361" s="117" t="s">
        <v>320</v>
      </c>
      <c r="B361" s="117" t="s">
        <v>824</v>
      </c>
      <c r="C361" s="304" t="s">
        <v>1406</v>
      </c>
      <c r="D361" s="305"/>
      <c r="E361" s="305"/>
      <c r="F361" s="117" t="s">
        <v>1652</v>
      </c>
      <c r="G361" s="116">
        <v>3</v>
      </c>
      <c r="H361" s="159"/>
      <c r="I361" s="108">
        <f t="shared" si="412"/>
        <v>0</v>
      </c>
      <c r="J361" s="108">
        <f t="shared" si="413"/>
        <v>0</v>
      </c>
      <c r="K361" s="108">
        <f t="shared" si="414"/>
        <v>0</v>
      </c>
      <c r="L361" s="111"/>
      <c r="Z361" s="100">
        <f t="shared" si="415"/>
        <v>0</v>
      </c>
      <c r="AB361" s="100">
        <f t="shared" si="416"/>
        <v>0</v>
      </c>
      <c r="AC361" s="100">
        <f t="shared" si="417"/>
        <v>0</v>
      </c>
      <c r="AD361" s="100">
        <f t="shared" si="418"/>
        <v>0</v>
      </c>
      <c r="AE361" s="100">
        <f t="shared" si="419"/>
        <v>0</v>
      </c>
      <c r="AF361" s="100">
        <f t="shared" si="420"/>
        <v>0</v>
      </c>
      <c r="AG361" s="100">
        <f t="shared" si="421"/>
        <v>0</v>
      </c>
      <c r="AH361" s="100">
        <f t="shared" si="422"/>
        <v>0</v>
      </c>
      <c r="AI361" s="109"/>
      <c r="AJ361" s="108">
        <f t="shared" si="423"/>
        <v>0</v>
      </c>
      <c r="AK361" s="108">
        <f t="shared" si="424"/>
        <v>0</v>
      </c>
      <c r="AL361" s="108">
        <f t="shared" si="425"/>
        <v>0</v>
      </c>
      <c r="AN361" s="100">
        <v>15</v>
      </c>
      <c r="AO361" s="100">
        <f t="shared" si="426"/>
        <v>0</v>
      </c>
      <c r="AP361" s="100">
        <f t="shared" si="427"/>
        <v>0</v>
      </c>
      <c r="AQ361" s="111" t="s">
        <v>13</v>
      </c>
      <c r="AV361" s="100">
        <f t="shared" si="428"/>
        <v>0</v>
      </c>
      <c r="AW361" s="100">
        <f t="shared" si="429"/>
        <v>0</v>
      </c>
      <c r="AX361" s="100">
        <f t="shared" si="430"/>
        <v>0</v>
      </c>
      <c r="AY361" s="110" t="s">
        <v>1712</v>
      </c>
      <c r="AZ361" s="110" t="s">
        <v>1733</v>
      </c>
      <c r="BA361" s="109" t="s">
        <v>1737</v>
      </c>
      <c r="BC361" s="100">
        <f t="shared" si="431"/>
        <v>0</v>
      </c>
      <c r="BD361" s="100">
        <f t="shared" si="432"/>
        <v>0</v>
      </c>
      <c r="BE361" s="100">
        <v>0</v>
      </c>
      <c r="BF361" s="100">
        <f>361</f>
        <v>361</v>
      </c>
      <c r="BH361" s="108">
        <f t="shared" si="433"/>
        <v>0</v>
      </c>
      <c r="BI361" s="108">
        <f t="shared" si="434"/>
        <v>0</v>
      </c>
      <c r="BJ361" s="108">
        <f t="shared" si="435"/>
        <v>0</v>
      </c>
    </row>
    <row r="362" spans="1:62" x14ac:dyDescent="0.2">
      <c r="A362" s="117" t="s">
        <v>321</v>
      </c>
      <c r="B362" s="117" t="s">
        <v>825</v>
      </c>
      <c r="C362" s="304" t="s">
        <v>1407</v>
      </c>
      <c r="D362" s="305"/>
      <c r="E362" s="305"/>
      <c r="F362" s="117" t="s">
        <v>1644</v>
      </c>
      <c r="G362" s="116">
        <v>3</v>
      </c>
      <c r="H362" s="159"/>
      <c r="I362" s="108">
        <f t="shared" si="412"/>
        <v>0</v>
      </c>
      <c r="J362" s="108">
        <f t="shared" si="413"/>
        <v>0</v>
      </c>
      <c r="K362" s="108">
        <f t="shared" si="414"/>
        <v>0</v>
      </c>
      <c r="L362" s="111"/>
      <c r="Z362" s="100">
        <f t="shared" si="415"/>
        <v>0</v>
      </c>
      <c r="AB362" s="100">
        <f t="shared" si="416"/>
        <v>0</v>
      </c>
      <c r="AC362" s="100">
        <f t="shared" si="417"/>
        <v>0</v>
      </c>
      <c r="AD362" s="100">
        <f t="shared" si="418"/>
        <v>0</v>
      </c>
      <c r="AE362" s="100">
        <f t="shared" si="419"/>
        <v>0</v>
      </c>
      <c r="AF362" s="100">
        <f t="shared" si="420"/>
        <v>0</v>
      </c>
      <c r="AG362" s="100">
        <f t="shared" si="421"/>
        <v>0</v>
      </c>
      <c r="AH362" s="100">
        <f t="shared" si="422"/>
        <v>0</v>
      </c>
      <c r="AI362" s="109"/>
      <c r="AJ362" s="108">
        <f t="shared" si="423"/>
        <v>0</v>
      </c>
      <c r="AK362" s="108">
        <f t="shared" si="424"/>
        <v>0</v>
      </c>
      <c r="AL362" s="108">
        <f t="shared" si="425"/>
        <v>0</v>
      </c>
      <c r="AN362" s="100">
        <v>15</v>
      </c>
      <c r="AO362" s="100">
        <f t="shared" si="426"/>
        <v>0</v>
      </c>
      <c r="AP362" s="100">
        <f t="shared" si="427"/>
        <v>0</v>
      </c>
      <c r="AQ362" s="111" t="s">
        <v>13</v>
      </c>
      <c r="AV362" s="100">
        <f t="shared" si="428"/>
        <v>0</v>
      </c>
      <c r="AW362" s="100">
        <f t="shared" si="429"/>
        <v>0</v>
      </c>
      <c r="AX362" s="100">
        <f t="shared" si="430"/>
        <v>0</v>
      </c>
      <c r="AY362" s="110" t="s">
        <v>1712</v>
      </c>
      <c r="AZ362" s="110" t="s">
        <v>1733</v>
      </c>
      <c r="BA362" s="109" t="s">
        <v>1737</v>
      </c>
      <c r="BC362" s="100">
        <f t="shared" si="431"/>
        <v>0</v>
      </c>
      <c r="BD362" s="100">
        <f t="shared" si="432"/>
        <v>0</v>
      </c>
      <c r="BE362" s="100">
        <v>0</v>
      </c>
      <c r="BF362" s="100">
        <f>362</f>
        <v>362</v>
      </c>
      <c r="BH362" s="108">
        <f t="shared" si="433"/>
        <v>0</v>
      </c>
      <c r="BI362" s="108">
        <f t="shared" si="434"/>
        <v>0</v>
      </c>
      <c r="BJ362" s="108">
        <f t="shared" si="435"/>
        <v>0</v>
      </c>
    </row>
    <row r="363" spans="1:62" x14ac:dyDescent="0.2">
      <c r="A363" s="117" t="s">
        <v>322</v>
      </c>
      <c r="B363" s="117" t="s">
        <v>826</v>
      </c>
      <c r="C363" s="304" t="s">
        <v>1408</v>
      </c>
      <c r="D363" s="305"/>
      <c r="E363" s="305"/>
      <c r="F363" s="117" t="s">
        <v>1644</v>
      </c>
      <c r="G363" s="116">
        <v>3</v>
      </c>
      <c r="H363" s="159"/>
      <c r="I363" s="108">
        <f t="shared" si="412"/>
        <v>0</v>
      </c>
      <c r="J363" s="108">
        <f t="shared" si="413"/>
        <v>0</v>
      </c>
      <c r="K363" s="108">
        <f t="shared" si="414"/>
        <v>0</v>
      </c>
      <c r="L363" s="111"/>
      <c r="Z363" s="100">
        <f t="shared" si="415"/>
        <v>0</v>
      </c>
      <c r="AB363" s="100">
        <f t="shared" si="416"/>
        <v>0</v>
      </c>
      <c r="AC363" s="100">
        <f t="shared" si="417"/>
        <v>0</v>
      </c>
      <c r="AD363" s="100">
        <f t="shared" si="418"/>
        <v>0</v>
      </c>
      <c r="AE363" s="100">
        <f t="shared" si="419"/>
        <v>0</v>
      </c>
      <c r="AF363" s="100">
        <f t="shared" si="420"/>
        <v>0</v>
      </c>
      <c r="AG363" s="100">
        <f t="shared" si="421"/>
        <v>0</v>
      </c>
      <c r="AH363" s="100">
        <f t="shared" si="422"/>
        <v>0</v>
      </c>
      <c r="AI363" s="109"/>
      <c r="AJ363" s="108">
        <f t="shared" si="423"/>
        <v>0</v>
      </c>
      <c r="AK363" s="108">
        <f t="shared" si="424"/>
        <v>0</v>
      </c>
      <c r="AL363" s="108">
        <f t="shared" si="425"/>
        <v>0</v>
      </c>
      <c r="AN363" s="100">
        <v>15</v>
      </c>
      <c r="AO363" s="100">
        <f t="shared" si="426"/>
        <v>0</v>
      </c>
      <c r="AP363" s="100">
        <f t="shared" si="427"/>
        <v>0</v>
      </c>
      <c r="AQ363" s="111" t="s">
        <v>13</v>
      </c>
      <c r="AV363" s="100">
        <f t="shared" si="428"/>
        <v>0</v>
      </c>
      <c r="AW363" s="100">
        <f t="shared" si="429"/>
        <v>0</v>
      </c>
      <c r="AX363" s="100">
        <f t="shared" si="430"/>
        <v>0</v>
      </c>
      <c r="AY363" s="110" t="s">
        <v>1712</v>
      </c>
      <c r="AZ363" s="110" t="s">
        <v>1733</v>
      </c>
      <c r="BA363" s="109" t="s">
        <v>1737</v>
      </c>
      <c r="BC363" s="100">
        <f t="shared" si="431"/>
        <v>0</v>
      </c>
      <c r="BD363" s="100">
        <f t="shared" si="432"/>
        <v>0</v>
      </c>
      <c r="BE363" s="100">
        <v>0</v>
      </c>
      <c r="BF363" s="100">
        <f>363</f>
        <v>363</v>
      </c>
      <c r="BH363" s="108">
        <f t="shared" si="433"/>
        <v>0</v>
      </c>
      <c r="BI363" s="108">
        <f t="shared" si="434"/>
        <v>0</v>
      </c>
      <c r="BJ363" s="108">
        <f t="shared" si="435"/>
        <v>0</v>
      </c>
    </row>
    <row r="364" spans="1:62" x14ac:dyDescent="0.2">
      <c r="A364" s="117" t="s">
        <v>323</v>
      </c>
      <c r="B364" s="117" t="s">
        <v>827</v>
      </c>
      <c r="C364" s="304" t="s">
        <v>1409</v>
      </c>
      <c r="D364" s="305"/>
      <c r="E364" s="305"/>
      <c r="F364" s="117" t="s">
        <v>1644</v>
      </c>
      <c r="G364" s="116">
        <v>3</v>
      </c>
      <c r="H364" s="159"/>
      <c r="I364" s="108">
        <f t="shared" si="412"/>
        <v>0</v>
      </c>
      <c r="J364" s="108">
        <f t="shared" si="413"/>
        <v>0</v>
      </c>
      <c r="K364" s="108">
        <f t="shared" si="414"/>
        <v>0</v>
      </c>
      <c r="L364" s="111"/>
      <c r="Z364" s="100">
        <f t="shared" si="415"/>
        <v>0</v>
      </c>
      <c r="AB364" s="100">
        <f t="shared" si="416"/>
        <v>0</v>
      </c>
      <c r="AC364" s="100">
        <f t="shared" si="417"/>
        <v>0</v>
      </c>
      <c r="AD364" s="100">
        <f t="shared" si="418"/>
        <v>0</v>
      </c>
      <c r="AE364" s="100">
        <f t="shared" si="419"/>
        <v>0</v>
      </c>
      <c r="AF364" s="100">
        <f t="shared" si="420"/>
        <v>0</v>
      </c>
      <c r="AG364" s="100">
        <f t="shared" si="421"/>
        <v>0</v>
      </c>
      <c r="AH364" s="100">
        <f t="shared" si="422"/>
        <v>0</v>
      </c>
      <c r="AI364" s="109"/>
      <c r="AJ364" s="108">
        <f t="shared" si="423"/>
        <v>0</v>
      </c>
      <c r="AK364" s="108">
        <f t="shared" si="424"/>
        <v>0</v>
      </c>
      <c r="AL364" s="108">
        <f t="shared" si="425"/>
        <v>0</v>
      </c>
      <c r="AN364" s="100">
        <v>15</v>
      </c>
      <c r="AO364" s="100">
        <f t="shared" si="426"/>
        <v>0</v>
      </c>
      <c r="AP364" s="100">
        <f t="shared" si="427"/>
        <v>0</v>
      </c>
      <c r="AQ364" s="111" t="s">
        <v>13</v>
      </c>
      <c r="AV364" s="100">
        <f t="shared" si="428"/>
        <v>0</v>
      </c>
      <c r="AW364" s="100">
        <f t="shared" si="429"/>
        <v>0</v>
      </c>
      <c r="AX364" s="100">
        <f t="shared" si="430"/>
        <v>0</v>
      </c>
      <c r="AY364" s="110" t="s">
        <v>1712</v>
      </c>
      <c r="AZ364" s="110" t="s">
        <v>1733</v>
      </c>
      <c r="BA364" s="109" t="s">
        <v>1737</v>
      </c>
      <c r="BC364" s="100">
        <f t="shared" si="431"/>
        <v>0</v>
      </c>
      <c r="BD364" s="100">
        <f t="shared" si="432"/>
        <v>0</v>
      </c>
      <c r="BE364" s="100">
        <v>0</v>
      </c>
      <c r="BF364" s="100">
        <f>364</f>
        <v>364</v>
      </c>
      <c r="BH364" s="108">
        <f t="shared" si="433"/>
        <v>0</v>
      </c>
      <c r="BI364" s="108">
        <f t="shared" si="434"/>
        <v>0</v>
      </c>
      <c r="BJ364" s="108">
        <f t="shared" si="435"/>
        <v>0</v>
      </c>
    </row>
    <row r="365" spans="1:62" x14ac:dyDescent="0.2">
      <c r="A365" s="117" t="s">
        <v>324</v>
      </c>
      <c r="B365" s="117" t="s">
        <v>828</v>
      </c>
      <c r="C365" s="304" t="s">
        <v>1410</v>
      </c>
      <c r="D365" s="305"/>
      <c r="E365" s="305"/>
      <c r="F365" s="117" t="s">
        <v>1652</v>
      </c>
      <c r="G365" s="116">
        <v>3</v>
      </c>
      <c r="H365" s="159"/>
      <c r="I365" s="108">
        <f t="shared" si="412"/>
        <v>0</v>
      </c>
      <c r="J365" s="108">
        <f t="shared" si="413"/>
        <v>0</v>
      </c>
      <c r="K365" s="108">
        <f t="shared" si="414"/>
        <v>0</v>
      </c>
      <c r="L365" s="111"/>
      <c r="Z365" s="100">
        <f t="shared" si="415"/>
        <v>0</v>
      </c>
      <c r="AB365" s="100">
        <f t="shared" si="416"/>
        <v>0</v>
      </c>
      <c r="AC365" s="100">
        <f t="shared" si="417"/>
        <v>0</v>
      </c>
      <c r="AD365" s="100">
        <f t="shared" si="418"/>
        <v>0</v>
      </c>
      <c r="AE365" s="100">
        <f t="shared" si="419"/>
        <v>0</v>
      </c>
      <c r="AF365" s="100">
        <f t="shared" si="420"/>
        <v>0</v>
      </c>
      <c r="AG365" s="100">
        <f t="shared" si="421"/>
        <v>0</v>
      </c>
      <c r="AH365" s="100">
        <f t="shared" si="422"/>
        <v>0</v>
      </c>
      <c r="AI365" s="109"/>
      <c r="AJ365" s="108">
        <f t="shared" si="423"/>
        <v>0</v>
      </c>
      <c r="AK365" s="108">
        <f t="shared" si="424"/>
        <v>0</v>
      </c>
      <c r="AL365" s="108">
        <f t="shared" si="425"/>
        <v>0</v>
      </c>
      <c r="AN365" s="100">
        <v>15</v>
      </c>
      <c r="AO365" s="100">
        <f t="shared" si="426"/>
        <v>0</v>
      </c>
      <c r="AP365" s="100">
        <f t="shared" si="427"/>
        <v>0</v>
      </c>
      <c r="AQ365" s="111" t="s">
        <v>13</v>
      </c>
      <c r="AV365" s="100">
        <f t="shared" si="428"/>
        <v>0</v>
      </c>
      <c r="AW365" s="100">
        <f t="shared" si="429"/>
        <v>0</v>
      </c>
      <c r="AX365" s="100">
        <f t="shared" si="430"/>
        <v>0</v>
      </c>
      <c r="AY365" s="110" t="s">
        <v>1712</v>
      </c>
      <c r="AZ365" s="110" t="s">
        <v>1733</v>
      </c>
      <c r="BA365" s="109" t="s">
        <v>1737</v>
      </c>
      <c r="BC365" s="100">
        <f t="shared" si="431"/>
        <v>0</v>
      </c>
      <c r="BD365" s="100">
        <f t="shared" si="432"/>
        <v>0</v>
      </c>
      <c r="BE365" s="100">
        <v>0</v>
      </c>
      <c r="BF365" s="100">
        <f>365</f>
        <v>365</v>
      </c>
      <c r="BH365" s="108">
        <f t="shared" si="433"/>
        <v>0</v>
      </c>
      <c r="BI365" s="108">
        <f t="shared" si="434"/>
        <v>0</v>
      </c>
      <c r="BJ365" s="108">
        <f t="shared" si="435"/>
        <v>0</v>
      </c>
    </row>
    <row r="366" spans="1:62" x14ac:dyDescent="0.2">
      <c r="A366" s="117" t="s">
        <v>325</v>
      </c>
      <c r="B366" s="117" t="s">
        <v>829</v>
      </c>
      <c r="C366" s="304" t="s">
        <v>1411</v>
      </c>
      <c r="D366" s="305"/>
      <c r="E366" s="305"/>
      <c r="F366" s="117" t="s">
        <v>1652</v>
      </c>
      <c r="G366" s="116">
        <v>3</v>
      </c>
      <c r="H366" s="159"/>
      <c r="I366" s="108">
        <f t="shared" si="412"/>
        <v>0</v>
      </c>
      <c r="J366" s="108">
        <f t="shared" si="413"/>
        <v>0</v>
      </c>
      <c r="K366" s="108">
        <f t="shared" si="414"/>
        <v>0</v>
      </c>
      <c r="L366" s="111"/>
      <c r="Z366" s="100">
        <f t="shared" si="415"/>
        <v>0</v>
      </c>
      <c r="AB366" s="100">
        <f t="shared" si="416"/>
        <v>0</v>
      </c>
      <c r="AC366" s="100">
        <f t="shared" si="417"/>
        <v>0</v>
      </c>
      <c r="AD366" s="100">
        <f t="shared" si="418"/>
        <v>0</v>
      </c>
      <c r="AE366" s="100">
        <f t="shared" si="419"/>
        <v>0</v>
      </c>
      <c r="AF366" s="100">
        <f t="shared" si="420"/>
        <v>0</v>
      </c>
      <c r="AG366" s="100">
        <f t="shared" si="421"/>
        <v>0</v>
      </c>
      <c r="AH366" s="100">
        <f t="shared" si="422"/>
        <v>0</v>
      </c>
      <c r="AI366" s="109"/>
      <c r="AJ366" s="108">
        <f t="shared" si="423"/>
        <v>0</v>
      </c>
      <c r="AK366" s="108">
        <f t="shared" si="424"/>
        <v>0</v>
      </c>
      <c r="AL366" s="108">
        <f t="shared" si="425"/>
        <v>0</v>
      </c>
      <c r="AN366" s="100">
        <v>15</v>
      </c>
      <c r="AO366" s="100">
        <f t="shared" si="426"/>
        <v>0</v>
      </c>
      <c r="AP366" s="100">
        <f t="shared" si="427"/>
        <v>0</v>
      </c>
      <c r="AQ366" s="111" t="s">
        <v>13</v>
      </c>
      <c r="AV366" s="100">
        <f t="shared" si="428"/>
        <v>0</v>
      </c>
      <c r="AW366" s="100">
        <f t="shared" si="429"/>
        <v>0</v>
      </c>
      <c r="AX366" s="100">
        <f t="shared" si="430"/>
        <v>0</v>
      </c>
      <c r="AY366" s="110" t="s">
        <v>1712</v>
      </c>
      <c r="AZ366" s="110" t="s">
        <v>1733</v>
      </c>
      <c r="BA366" s="109" t="s">
        <v>1737</v>
      </c>
      <c r="BC366" s="100">
        <f t="shared" si="431"/>
        <v>0</v>
      </c>
      <c r="BD366" s="100">
        <f t="shared" si="432"/>
        <v>0</v>
      </c>
      <c r="BE366" s="100">
        <v>0</v>
      </c>
      <c r="BF366" s="100">
        <f>366</f>
        <v>366</v>
      </c>
      <c r="BH366" s="108">
        <f t="shared" si="433"/>
        <v>0</v>
      </c>
      <c r="BI366" s="108">
        <f t="shared" si="434"/>
        <v>0</v>
      </c>
      <c r="BJ366" s="108">
        <f t="shared" si="435"/>
        <v>0</v>
      </c>
    </row>
    <row r="367" spans="1:62" x14ac:dyDescent="0.2">
      <c r="A367" s="117" t="s">
        <v>326</v>
      </c>
      <c r="B367" s="117" t="s">
        <v>830</v>
      </c>
      <c r="C367" s="304" t="s">
        <v>1412</v>
      </c>
      <c r="D367" s="305"/>
      <c r="E367" s="305"/>
      <c r="F367" s="117" t="s">
        <v>1647</v>
      </c>
      <c r="G367" s="116">
        <v>7</v>
      </c>
      <c r="H367" s="159"/>
      <c r="I367" s="108">
        <f t="shared" si="412"/>
        <v>0</v>
      </c>
      <c r="J367" s="108">
        <f t="shared" si="413"/>
        <v>0</v>
      </c>
      <c r="K367" s="108">
        <f t="shared" si="414"/>
        <v>0</v>
      </c>
      <c r="L367" s="111"/>
      <c r="Z367" s="100">
        <f t="shared" si="415"/>
        <v>0</v>
      </c>
      <c r="AB367" s="100">
        <f t="shared" si="416"/>
        <v>0</v>
      </c>
      <c r="AC367" s="100">
        <f t="shared" si="417"/>
        <v>0</v>
      </c>
      <c r="AD367" s="100">
        <f t="shared" si="418"/>
        <v>0</v>
      </c>
      <c r="AE367" s="100">
        <f t="shared" si="419"/>
        <v>0</v>
      </c>
      <c r="AF367" s="100">
        <f t="shared" si="420"/>
        <v>0</v>
      </c>
      <c r="AG367" s="100">
        <f t="shared" si="421"/>
        <v>0</v>
      </c>
      <c r="AH367" s="100">
        <f t="shared" si="422"/>
        <v>0</v>
      </c>
      <c r="AI367" s="109"/>
      <c r="AJ367" s="108">
        <f t="shared" si="423"/>
        <v>0</v>
      </c>
      <c r="AK367" s="108">
        <f t="shared" si="424"/>
        <v>0</v>
      </c>
      <c r="AL367" s="108">
        <f t="shared" si="425"/>
        <v>0</v>
      </c>
      <c r="AN367" s="100">
        <v>15</v>
      </c>
      <c r="AO367" s="100">
        <f t="shared" si="426"/>
        <v>0</v>
      </c>
      <c r="AP367" s="100">
        <f t="shared" si="427"/>
        <v>0</v>
      </c>
      <c r="AQ367" s="111" t="s">
        <v>13</v>
      </c>
      <c r="AV367" s="100">
        <f t="shared" si="428"/>
        <v>0</v>
      </c>
      <c r="AW367" s="100">
        <f t="shared" si="429"/>
        <v>0</v>
      </c>
      <c r="AX367" s="100">
        <f t="shared" si="430"/>
        <v>0</v>
      </c>
      <c r="AY367" s="110" t="s">
        <v>1712</v>
      </c>
      <c r="AZ367" s="110" t="s">
        <v>1733</v>
      </c>
      <c r="BA367" s="109" t="s">
        <v>1737</v>
      </c>
      <c r="BC367" s="100">
        <f t="shared" si="431"/>
        <v>0</v>
      </c>
      <c r="BD367" s="100">
        <f t="shared" si="432"/>
        <v>0</v>
      </c>
      <c r="BE367" s="100">
        <v>0</v>
      </c>
      <c r="BF367" s="100">
        <f>367</f>
        <v>367</v>
      </c>
      <c r="BH367" s="108">
        <f t="shared" si="433"/>
        <v>0</v>
      </c>
      <c r="BI367" s="108">
        <f t="shared" si="434"/>
        <v>0</v>
      </c>
      <c r="BJ367" s="108">
        <f t="shared" si="435"/>
        <v>0</v>
      </c>
    </row>
    <row r="368" spans="1:62" x14ac:dyDescent="0.2">
      <c r="A368" s="117" t="s">
        <v>327</v>
      </c>
      <c r="B368" s="117" t="s">
        <v>831</v>
      </c>
      <c r="C368" s="304" t="s">
        <v>1413</v>
      </c>
      <c r="D368" s="305"/>
      <c r="E368" s="305"/>
      <c r="F368" s="117" t="s">
        <v>1652</v>
      </c>
      <c r="G368" s="116">
        <v>1</v>
      </c>
      <c r="H368" s="159"/>
      <c r="I368" s="108">
        <f t="shared" si="412"/>
        <v>0</v>
      </c>
      <c r="J368" s="108">
        <f t="shared" si="413"/>
        <v>0</v>
      </c>
      <c r="K368" s="108">
        <f t="shared" si="414"/>
        <v>0</v>
      </c>
      <c r="L368" s="111"/>
      <c r="Z368" s="100">
        <f t="shared" si="415"/>
        <v>0</v>
      </c>
      <c r="AB368" s="100">
        <f t="shared" si="416"/>
        <v>0</v>
      </c>
      <c r="AC368" s="100">
        <f t="shared" si="417"/>
        <v>0</v>
      </c>
      <c r="AD368" s="100">
        <f t="shared" si="418"/>
        <v>0</v>
      </c>
      <c r="AE368" s="100">
        <f t="shared" si="419"/>
        <v>0</v>
      </c>
      <c r="AF368" s="100">
        <f t="shared" si="420"/>
        <v>0</v>
      </c>
      <c r="AG368" s="100">
        <f t="shared" si="421"/>
        <v>0</v>
      </c>
      <c r="AH368" s="100">
        <f t="shared" si="422"/>
        <v>0</v>
      </c>
      <c r="AI368" s="109"/>
      <c r="AJ368" s="108">
        <f t="shared" si="423"/>
        <v>0</v>
      </c>
      <c r="AK368" s="108">
        <f t="shared" si="424"/>
        <v>0</v>
      </c>
      <c r="AL368" s="108">
        <f t="shared" si="425"/>
        <v>0</v>
      </c>
      <c r="AN368" s="100">
        <v>15</v>
      </c>
      <c r="AO368" s="100">
        <f t="shared" si="426"/>
        <v>0</v>
      </c>
      <c r="AP368" s="100">
        <f t="shared" si="427"/>
        <v>0</v>
      </c>
      <c r="AQ368" s="111" t="s">
        <v>13</v>
      </c>
      <c r="AV368" s="100">
        <f t="shared" si="428"/>
        <v>0</v>
      </c>
      <c r="AW368" s="100">
        <f t="shared" si="429"/>
        <v>0</v>
      </c>
      <c r="AX368" s="100">
        <f t="shared" si="430"/>
        <v>0</v>
      </c>
      <c r="AY368" s="110" t="s">
        <v>1712</v>
      </c>
      <c r="AZ368" s="110" t="s">
        <v>1733</v>
      </c>
      <c r="BA368" s="109" t="s">
        <v>1737</v>
      </c>
      <c r="BC368" s="100">
        <f t="shared" si="431"/>
        <v>0</v>
      </c>
      <c r="BD368" s="100">
        <f t="shared" si="432"/>
        <v>0</v>
      </c>
      <c r="BE368" s="100">
        <v>0</v>
      </c>
      <c r="BF368" s="100">
        <f>368</f>
        <v>368</v>
      </c>
      <c r="BH368" s="108">
        <f t="shared" si="433"/>
        <v>0</v>
      </c>
      <c r="BI368" s="108">
        <f t="shared" si="434"/>
        <v>0</v>
      </c>
      <c r="BJ368" s="108">
        <f t="shared" si="435"/>
        <v>0</v>
      </c>
    </row>
    <row r="369" spans="1:62" x14ac:dyDescent="0.2">
      <c r="A369" s="117" t="s">
        <v>328</v>
      </c>
      <c r="B369" s="117" t="s">
        <v>832</v>
      </c>
      <c r="C369" s="304" t="s">
        <v>1414</v>
      </c>
      <c r="D369" s="305"/>
      <c r="E369" s="305"/>
      <c r="F369" s="117" t="s">
        <v>1652</v>
      </c>
      <c r="G369" s="116">
        <v>1</v>
      </c>
      <c r="H369" s="159"/>
      <c r="I369" s="108">
        <f t="shared" si="412"/>
        <v>0</v>
      </c>
      <c r="J369" s="108">
        <f t="shared" si="413"/>
        <v>0</v>
      </c>
      <c r="K369" s="108">
        <f t="shared" si="414"/>
        <v>0</v>
      </c>
      <c r="L369" s="111"/>
      <c r="Z369" s="100">
        <f t="shared" si="415"/>
        <v>0</v>
      </c>
      <c r="AB369" s="100">
        <f t="shared" si="416"/>
        <v>0</v>
      </c>
      <c r="AC369" s="100">
        <f t="shared" si="417"/>
        <v>0</v>
      </c>
      <c r="AD369" s="100">
        <f t="shared" si="418"/>
        <v>0</v>
      </c>
      <c r="AE369" s="100">
        <f t="shared" si="419"/>
        <v>0</v>
      </c>
      <c r="AF369" s="100">
        <f t="shared" si="420"/>
        <v>0</v>
      </c>
      <c r="AG369" s="100">
        <f t="shared" si="421"/>
        <v>0</v>
      </c>
      <c r="AH369" s="100">
        <f t="shared" si="422"/>
        <v>0</v>
      </c>
      <c r="AI369" s="109"/>
      <c r="AJ369" s="108">
        <f t="shared" si="423"/>
        <v>0</v>
      </c>
      <c r="AK369" s="108">
        <f t="shared" si="424"/>
        <v>0</v>
      </c>
      <c r="AL369" s="108">
        <f t="shared" si="425"/>
        <v>0</v>
      </c>
      <c r="AN369" s="100">
        <v>15</v>
      </c>
      <c r="AO369" s="100">
        <f t="shared" si="426"/>
        <v>0</v>
      </c>
      <c r="AP369" s="100">
        <f t="shared" si="427"/>
        <v>0</v>
      </c>
      <c r="AQ369" s="111" t="s">
        <v>13</v>
      </c>
      <c r="AV369" s="100">
        <f t="shared" si="428"/>
        <v>0</v>
      </c>
      <c r="AW369" s="100">
        <f t="shared" si="429"/>
        <v>0</v>
      </c>
      <c r="AX369" s="100">
        <f t="shared" si="430"/>
        <v>0</v>
      </c>
      <c r="AY369" s="110" t="s">
        <v>1712</v>
      </c>
      <c r="AZ369" s="110" t="s">
        <v>1733</v>
      </c>
      <c r="BA369" s="109" t="s">
        <v>1737</v>
      </c>
      <c r="BC369" s="100">
        <f t="shared" si="431"/>
        <v>0</v>
      </c>
      <c r="BD369" s="100">
        <f t="shared" si="432"/>
        <v>0</v>
      </c>
      <c r="BE369" s="100">
        <v>0</v>
      </c>
      <c r="BF369" s="100">
        <f>369</f>
        <v>369</v>
      </c>
      <c r="BH369" s="108">
        <f t="shared" si="433"/>
        <v>0</v>
      </c>
      <c r="BI369" s="108">
        <f t="shared" si="434"/>
        <v>0</v>
      </c>
      <c r="BJ369" s="108">
        <f t="shared" si="435"/>
        <v>0</v>
      </c>
    </row>
    <row r="370" spans="1:62" x14ac:dyDescent="0.2">
      <c r="A370" s="117" t="s">
        <v>329</v>
      </c>
      <c r="B370" s="117" t="s">
        <v>833</v>
      </c>
      <c r="C370" s="304" t="s">
        <v>1415</v>
      </c>
      <c r="D370" s="305"/>
      <c r="E370" s="305"/>
      <c r="F370" s="117" t="s">
        <v>1652</v>
      </c>
      <c r="G370" s="116">
        <v>1</v>
      </c>
      <c r="H370" s="159"/>
      <c r="I370" s="108">
        <f t="shared" si="412"/>
        <v>0</v>
      </c>
      <c r="J370" s="108">
        <f t="shared" si="413"/>
        <v>0</v>
      </c>
      <c r="K370" s="108">
        <f t="shared" si="414"/>
        <v>0</v>
      </c>
      <c r="L370" s="111"/>
      <c r="Z370" s="100">
        <f t="shared" si="415"/>
        <v>0</v>
      </c>
      <c r="AB370" s="100">
        <f t="shared" si="416"/>
        <v>0</v>
      </c>
      <c r="AC370" s="100">
        <f t="shared" si="417"/>
        <v>0</v>
      </c>
      <c r="AD370" s="100">
        <f t="shared" si="418"/>
        <v>0</v>
      </c>
      <c r="AE370" s="100">
        <f t="shared" si="419"/>
        <v>0</v>
      </c>
      <c r="AF370" s="100">
        <f t="shared" si="420"/>
        <v>0</v>
      </c>
      <c r="AG370" s="100">
        <f t="shared" si="421"/>
        <v>0</v>
      </c>
      <c r="AH370" s="100">
        <f t="shared" si="422"/>
        <v>0</v>
      </c>
      <c r="AI370" s="109"/>
      <c r="AJ370" s="108">
        <f t="shared" si="423"/>
        <v>0</v>
      </c>
      <c r="AK370" s="108">
        <f t="shared" si="424"/>
        <v>0</v>
      </c>
      <c r="AL370" s="108">
        <f t="shared" si="425"/>
        <v>0</v>
      </c>
      <c r="AN370" s="100">
        <v>15</v>
      </c>
      <c r="AO370" s="100">
        <f t="shared" si="426"/>
        <v>0</v>
      </c>
      <c r="AP370" s="100">
        <f t="shared" si="427"/>
        <v>0</v>
      </c>
      <c r="AQ370" s="111" t="s">
        <v>13</v>
      </c>
      <c r="AV370" s="100">
        <f t="shared" si="428"/>
        <v>0</v>
      </c>
      <c r="AW370" s="100">
        <f t="shared" si="429"/>
        <v>0</v>
      </c>
      <c r="AX370" s="100">
        <f t="shared" si="430"/>
        <v>0</v>
      </c>
      <c r="AY370" s="110" t="s">
        <v>1712</v>
      </c>
      <c r="AZ370" s="110" t="s">
        <v>1733</v>
      </c>
      <c r="BA370" s="109" t="s">
        <v>1737</v>
      </c>
      <c r="BC370" s="100">
        <f t="shared" si="431"/>
        <v>0</v>
      </c>
      <c r="BD370" s="100">
        <f t="shared" si="432"/>
        <v>0</v>
      </c>
      <c r="BE370" s="100">
        <v>0</v>
      </c>
      <c r="BF370" s="100">
        <f>370</f>
        <v>370</v>
      </c>
      <c r="BH370" s="108">
        <f t="shared" si="433"/>
        <v>0</v>
      </c>
      <c r="BI370" s="108">
        <f t="shared" si="434"/>
        <v>0</v>
      </c>
      <c r="BJ370" s="108">
        <f t="shared" si="435"/>
        <v>0</v>
      </c>
    </row>
    <row r="371" spans="1:62" x14ac:dyDescent="0.2">
      <c r="A371" s="117" t="s">
        <v>330</v>
      </c>
      <c r="B371" s="117" t="s">
        <v>834</v>
      </c>
      <c r="C371" s="304" t="s">
        <v>1416</v>
      </c>
      <c r="D371" s="305"/>
      <c r="E371" s="305"/>
      <c r="F371" s="117" t="s">
        <v>1652</v>
      </c>
      <c r="G371" s="116">
        <v>6</v>
      </c>
      <c r="H371" s="159"/>
      <c r="I371" s="108">
        <f t="shared" si="412"/>
        <v>0</v>
      </c>
      <c r="J371" s="108">
        <f t="shared" si="413"/>
        <v>0</v>
      </c>
      <c r="K371" s="108">
        <f t="shared" si="414"/>
        <v>0</v>
      </c>
      <c r="L371" s="111"/>
      <c r="Z371" s="100">
        <f t="shared" si="415"/>
        <v>0</v>
      </c>
      <c r="AB371" s="100">
        <f t="shared" si="416"/>
        <v>0</v>
      </c>
      <c r="AC371" s="100">
        <f t="shared" si="417"/>
        <v>0</v>
      </c>
      <c r="AD371" s="100">
        <f t="shared" si="418"/>
        <v>0</v>
      </c>
      <c r="AE371" s="100">
        <f t="shared" si="419"/>
        <v>0</v>
      </c>
      <c r="AF371" s="100">
        <f t="shared" si="420"/>
        <v>0</v>
      </c>
      <c r="AG371" s="100">
        <f t="shared" si="421"/>
        <v>0</v>
      </c>
      <c r="AH371" s="100">
        <f t="shared" si="422"/>
        <v>0</v>
      </c>
      <c r="AI371" s="109"/>
      <c r="AJ371" s="108">
        <f t="shared" si="423"/>
        <v>0</v>
      </c>
      <c r="AK371" s="108">
        <f t="shared" si="424"/>
        <v>0</v>
      </c>
      <c r="AL371" s="108">
        <f t="shared" si="425"/>
        <v>0</v>
      </c>
      <c r="AN371" s="100">
        <v>15</v>
      </c>
      <c r="AO371" s="100">
        <f t="shared" si="426"/>
        <v>0</v>
      </c>
      <c r="AP371" s="100">
        <f t="shared" si="427"/>
        <v>0</v>
      </c>
      <c r="AQ371" s="111" t="s">
        <v>13</v>
      </c>
      <c r="AV371" s="100">
        <f t="shared" si="428"/>
        <v>0</v>
      </c>
      <c r="AW371" s="100">
        <f t="shared" si="429"/>
        <v>0</v>
      </c>
      <c r="AX371" s="100">
        <f t="shared" si="430"/>
        <v>0</v>
      </c>
      <c r="AY371" s="110" t="s">
        <v>1712</v>
      </c>
      <c r="AZ371" s="110" t="s">
        <v>1733</v>
      </c>
      <c r="BA371" s="109" t="s">
        <v>1737</v>
      </c>
      <c r="BC371" s="100">
        <f t="shared" si="431"/>
        <v>0</v>
      </c>
      <c r="BD371" s="100">
        <f t="shared" si="432"/>
        <v>0</v>
      </c>
      <c r="BE371" s="100">
        <v>0</v>
      </c>
      <c r="BF371" s="100">
        <f>371</f>
        <v>371</v>
      </c>
      <c r="BH371" s="108">
        <f t="shared" si="433"/>
        <v>0</v>
      </c>
      <c r="BI371" s="108">
        <f t="shared" si="434"/>
        <v>0</v>
      </c>
      <c r="BJ371" s="108">
        <f t="shared" si="435"/>
        <v>0</v>
      </c>
    </row>
    <row r="372" spans="1:62" x14ac:dyDescent="0.2">
      <c r="A372" s="117" t="s">
        <v>331</v>
      </c>
      <c r="B372" s="117" t="s">
        <v>835</v>
      </c>
      <c r="C372" s="304" t="s">
        <v>1417</v>
      </c>
      <c r="D372" s="305"/>
      <c r="E372" s="305"/>
      <c r="F372" s="117" t="s">
        <v>1653</v>
      </c>
      <c r="G372" s="116">
        <v>6</v>
      </c>
      <c r="H372" s="159"/>
      <c r="I372" s="108">
        <f t="shared" si="412"/>
        <v>0</v>
      </c>
      <c r="J372" s="108">
        <f t="shared" si="413"/>
        <v>0</v>
      </c>
      <c r="K372" s="108">
        <f t="shared" si="414"/>
        <v>0</v>
      </c>
      <c r="L372" s="111"/>
      <c r="Z372" s="100">
        <f t="shared" si="415"/>
        <v>0</v>
      </c>
      <c r="AB372" s="100">
        <f t="shared" si="416"/>
        <v>0</v>
      </c>
      <c r="AC372" s="100">
        <f t="shared" si="417"/>
        <v>0</v>
      </c>
      <c r="AD372" s="100">
        <f t="shared" si="418"/>
        <v>0</v>
      </c>
      <c r="AE372" s="100">
        <f t="shared" si="419"/>
        <v>0</v>
      </c>
      <c r="AF372" s="100">
        <f t="shared" si="420"/>
        <v>0</v>
      </c>
      <c r="AG372" s="100">
        <f t="shared" si="421"/>
        <v>0</v>
      </c>
      <c r="AH372" s="100">
        <f t="shared" si="422"/>
        <v>0</v>
      </c>
      <c r="AI372" s="109"/>
      <c r="AJ372" s="108">
        <f t="shared" si="423"/>
        <v>0</v>
      </c>
      <c r="AK372" s="108">
        <f t="shared" si="424"/>
        <v>0</v>
      </c>
      <c r="AL372" s="108">
        <f t="shared" si="425"/>
        <v>0</v>
      </c>
      <c r="AN372" s="100">
        <v>15</v>
      </c>
      <c r="AO372" s="100">
        <f t="shared" si="426"/>
        <v>0</v>
      </c>
      <c r="AP372" s="100">
        <f t="shared" si="427"/>
        <v>0</v>
      </c>
      <c r="AQ372" s="111" t="s">
        <v>13</v>
      </c>
      <c r="AV372" s="100">
        <f t="shared" si="428"/>
        <v>0</v>
      </c>
      <c r="AW372" s="100">
        <f t="shared" si="429"/>
        <v>0</v>
      </c>
      <c r="AX372" s="100">
        <f t="shared" si="430"/>
        <v>0</v>
      </c>
      <c r="AY372" s="110" t="s">
        <v>1712</v>
      </c>
      <c r="AZ372" s="110" t="s">
        <v>1733</v>
      </c>
      <c r="BA372" s="109" t="s">
        <v>1737</v>
      </c>
      <c r="BC372" s="100">
        <f t="shared" si="431"/>
        <v>0</v>
      </c>
      <c r="BD372" s="100">
        <f t="shared" si="432"/>
        <v>0</v>
      </c>
      <c r="BE372" s="100">
        <v>0</v>
      </c>
      <c r="BF372" s="100">
        <f>372</f>
        <v>372</v>
      </c>
      <c r="BH372" s="108">
        <f t="shared" si="433"/>
        <v>0</v>
      </c>
      <c r="BI372" s="108">
        <f t="shared" si="434"/>
        <v>0</v>
      </c>
      <c r="BJ372" s="108">
        <f t="shared" si="435"/>
        <v>0</v>
      </c>
    </row>
    <row r="373" spans="1:62" x14ac:dyDescent="0.2">
      <c r="A373" s="117" t="s">
        <v>332</v>
      </c>
      <c r="B373" s="117" t="s">
        <v>836</v>
      </c>
      <c r="C373" s="304" t="s">
        <v>1418</v>
      </c>
      <c r="D373" s="305"/>
      <c r="E373" s="305"/>
      <c r="F373" s="117" t="s">
        <v>1652</v>
      </c>
      <c r="G373" s="116">
        <v>1</v>
      </c>
      <c r="H373" s="159"/>
      <c r="I373" s="108">
        <f t="shared" si="412"/>
        <v>0</v>
      </c>
      <c r="J373" s="108">
        <f t="shared" si="413"/>
        <v>0</v>
      </c>
      <c r="K373" s="108">
        <f t="shared" si="414"/>
        <v>0</v>
      </c>
      <c r="L373" s="111"/>
      <c r="Z373" s="100">
        <f t="shared" si="415"/>
        <v>0</v>
      </c>
      <c r="AB373" s="100">
        <f t="shared" si="416"/>
        <v>0</v>
      </c>
      <c r="AC373" s="100">
        <f t="shared" si="417"/>
        <v>0</v>
      </c>
      <c r="AD373" s="100">
        <f t="shared" si="418"/>
        <v>0</v>
      </c>
      <c r="AE373" s="100">
        <f t="shared" si="419"/>
        <v>0</v>
      </c>
      <c r="AF373" s="100">
        <f t="shared" si="420"/>
        <v>0</v>
      </c>
      <c r="AG373" s="100">
        <f t="shared" si="421"/>
        <v>0</v>
      </c>
      <c r="AH373" s="100">
        <f t="shared" si="422"/>
        <v>0</v>
      </c>
      <c r="AI373" s="109"/>
      <c r="AJ373" s="108">
        <f t="shared" si="423"/>
        <v>0</v>
      </c>
      <c r="AK373" s="108">
        <f t="shared" si="424"/>
        <v>0</v>
      </c>
      <c r="AL373" s="108">
        <f t="shared" si="425"/>
        <v>0</v>
      </c>
      <c r="AN373" s="100">
        <v>15</v>
      </c>
      <c r="AO373" s="100">
        <f t="shared" si="426"/>
        <v>0</v>
      </c>
      <c r="AP373" s="100">
        <f t="shared" si="427"/>
        <v>0</v>
      </c>
      <c r="AQ373" s="111" t="s">
        <v>13</v>
      </c>
      <c r="AV373" s="100">
        <f t="shared" si="428"/>
        <v>0</v>
      </c>
      <c r="AW373" s="100">
        <f t="shared" si="429"/>
        <v>0</v>
      </c>
      <c r="AX373" s="100">
        <f t="shared" si="430"/>
        <v>0</v>
      </c>
      <c r="AY373" s="110" t="s">
        <v>1712</v>
      </c>
      <c r="AZ373" s="110" t="s">
        <v>1733</v>
      </c>
      <c r="BA373" s="109" t="s">
        <v>1737</v>
      </c>
      <c r="BC373" s="100">
        <f t="shared" si="431"/>
        <v>0</v>
      </c>
      <c r="BD373" s="100">
        <f t="shared" si="432"/>
        <v>0</v>
      </c>
      <c r="BE373" s="100">
        <v>0</v>
      </c>
      <c r="BF373" s="100">
        <f>373</f>
        <v>373</v>
      </c>
      <c r="BH373" s="108">
        <f t="shared" si="433"/>
        <v>0</v>
      </c>
      <c r="BI373" s="108">
        <f t="shared" si="434"/>
        <v>0</v>
      </c>
      <c r="BJ373" s="108">
        <f t="shared" si="435"/>
        <v>0</v>
      </c>
    </row>
    <row r="374" spans="1:62" x14ac:dyDescent="0.2">
      <c r="A374" s="117" t="s">
        <v>333</v>
      </c>
      <c r="B374" s="117" t="s">
        <v>837</v>
      </c>
      <c r="C374" s="304" t="s">
        <v>1419</v>
      </c>
      <c r="D374" s="305"/>
      <c r="E374" s="305"/>
      <c r="F374" s="117" t="s">
        <v>1652</v>
      </c>
      <c r="G374" s="116">
        <v>1</v>
      </c>
      <c r="H374" s="159"/>
      <c r="I374" s="108">
        <f t="shared" si="412"/>
        <v>0</v>
      </c>
      <c r="J374" s="108">
        <f t="shared" si="413"/>
        <v>0</v>
      </c>
      <c r="K374" s="108">
        <f t="shared" si="414"/>
        <v>0</v>
      </c>
      <c r="L374" s="111"/>
      <c r="Z374" s="100">
        <f t="shared" si="415"/>
        <v>0</v>
      </c>
      <c r="AB374" s="100">
        <f t="shared" si="416"/>
        <v>0</v>
      </c>
      <c r="AC374" s="100">
        <f t="shared" si="417"/>
        <v>0</v>
      </c>
      <c r="AD374" s="100">
        <f t="shared" si="418"/>
        <v>0</v>
      </c>
      <c r="AE374" s="100">
        <f t="shared" si="419"/>
        <v>0</v>
      </c>
      <c r="AF374" s="100">
        <f t="shared" si="420"/>
        <v>0</v>
      </c>
      <c r="AG374" s="100">
        <f t="shared" si="421"/>
        <v>0</v>
      </c>
      <c r="AH374" s="100">
        <f t="shared" si="422"/>
        <v>0</v>
      </c>
      <c r="AI374" s="109"/>
      <c r="AJ374" s="108">
        <f t="shared" si="423"/>
        <v>0</v>
      </c>
      <c r="AK374" s="108">
        <f t="shared" si="424"/>
        <v>0</v>
      </c>
      <c r="AL374" s="108">
        <f t="shared" si="425"/>
        <v>0</v>
      </c>
      <c r="AN374" s="100">
        <v>15</v>
      </c>
      <c r="AO374" s="100">
        <f t="shared" si="426"/>
        <v>0</v>
      </c>
      <c r="AP374" s="100">
        <f t="shared" si="427"/>
        <v>0</v>
      </c>
      <c r="AQ374" s="111" t="s">
        <v>13</v>
      </c>
      <c r="AV374" s="100">
        <f t="shared" si="428"/>
        <v>0</v>
      </c>
      <c r="AW374" s="100">
        <f t="shared" si="429"/>
        <v>0</v>
      </c>
      <c r="AX374" s="100">
        <f t="shared" si="430"/>
        <v>0</v>
      </c>
      <c r="AY374" s="110" t="s">
        <v>1712</v>
      </c>
      <c r="AZ374" s="110" t="s">
        <v>1733</v>
      </c>
      <c r="BA374" s="109" t="s">
        <v>1737</v>
      </c>
      <c r="BC374" s="100">
        <f t="shared" si="431"/>
        <v>0</v>
      </c>
      <c r="BD374" s="100">
        <f t="shared" si="432"/>
        <v>0</v>
      </c>
      <c r="BE374" s="100">
        <v>0</v>
      </c>
      <c r="BF374" s="100">
        <f>374</f>
        <v>374</v>
      </c>
      <c r="BH374" s="108">
        <f t="shared" si="433"/>
        <v>0</v>
      </c>
      <c r="BI374" s="108">
        <f t="shared" si="434"/>
        <v>0</v>
      </c>
      <c r="BJ374" s="108">
        <f t="shared" si="435"/>
        <v>0</v>
      </c>
    </row>
    <row r="375" spans="1:62" x14ac:dyDescent="0.2">
      <c r="A375" s="117" t="s">
        <v>334</v>
      </c>
      <c r="B375" s="117" t="s">
        <v>838</v>
      </c>
      <c r="C375" s="304" t="s">
        <v>1420</v>
      </c>
      <c r="D375" s="305"/>
      <c r="E375" s="305"/>
      <c r="F375" s="117" t="s">
        <v>1652</v>
      </c>
      <c r="G375" s="116">
        <v>1</v>
      </c>
      <c r="H375" s="159"/>
      <c r="I375" s="108">
        <f t="shared" si="412"/>
        <v>0</v>
      </c>
      <c r="J375" s="108">
        <f t="shared" si="413"/>
        <v>0</v>
      </c>
      <c r="K375" s="108">
        <f t="shared" si="414"/>
        <v>0</v>
      </c>
      <c r="L375" s="111"/>
      <c r="Z375" s="100">
        <f t="shared" si="415"/>
        <v>0</v>
      </c>
      <c r="AB375" s="100">
        <f t="shared" si="416"/>
        <v>0</v>
      </c>
      <c r="AC375" s="100">
        <f t="shared" si="417"/>
        <v>0</v>
      </c>
      <c r="AD375" s="100">
        <f t="shared" si="418"/>
        <v>0</v>
      </c>
      <c r="AE375" s="100">
        <f t="shared" si="419"/>
        <v>0</v>
      </c>
      <c r="AF375" s="100">
        <f t="shared" si="420"/>
        <v>0</v>
      </c>
      <c r="AG375" s="100">
        <f t="shared" si="421"/>
        <v>0</v>
      </c>
      <c r="AH375" s="100">
        <f t="shared" si="422"/>
        <v>0</v>
      </c>
      <c r="AI375" s="109"/>
      <c r="AJ375" s="108">
        <f t="shared" si="423"/>
        <v>0</v>
      </c>
      <c r="AK375" s="108">
        <f t="shared" si="424"/>
        <v>0</v>
      </c>
      <c r="AL375" s="108">
        <f t="shared" si="425"/>
        <v>0</v>
      </c>
      <c r="AN375" s="100">
        <v>15</v>
      </c>
      <c r="AO375" s="100">
        <f t="shared" si="426"/>
        <v>0</v>
      </c>
      <c r="AP375" s="100">
        <f t="shared" si="427"/>
        <v>0</v>
      </c>
      <c r="AQ375" s="111" t="s">
        <v>13</v>
      </c>
      <c r="AV375" s="100">
        <f t="shared" si="428"/>
        <v>0</v>
      </c>
      <c r="AW375" s="100">
        <f t="shared" si="429"/>
        <v>0</v>
      </c>
      <c r="AX375" s="100">
        <f t="shared" si="430"/>
        <v>0</v>
      </c>
      <c r="AY375" s="110" t="s">
        <v>1712</v>
      </c>
      <c r="AZ375" s="110" t="s">
        <v>1733</v>
      </c>
      <c r="BA375" s="109" t="s">
        <v>1737</v>
      </c>
      <c r="BC375" s="100">
        <f t="shared" si="431"/>
        <v>0</v>
      </c>
      <c r="BD375" s="100">
        <f t="shared" si="432"/>
        <v>0</v>
      </c>
      <c r="BE375" s="100">
        <v>0</v>
      </c>
      <c r="BF375" s="100">
        <f>375</f>
        <v>375</v>
      </c>
      <c r="BH375" s="108">
        <f t="shared" si="433"/>
        <v>0</v>
      </c>
      <c r="BI375" s="108">
        <f t="shared" si="434"/>
        <v>0</v>
      </c>
      <c r="BJ375" s="108">
        <f t="shared" si="435"/>
        <v>0</v>
      </c>
    </row>
    <row r="376" spans="1:62" x14ac:dyDescent="0.2">
      <c r="A376" s="117" t="s">
        <v>335</v>
      </c>
      <c r="B376" s="117" t="s">
        <v>839</v>
      </c>
      <c r="C376" s="304" t="s">
        <v>1421</v>
      </c>
      <c r="D376" s="305"/>
      <c r="E376" s="305"/>
      <c r="F376" s="117" t="s">
        <v>1652</v>
      </c>
      <c r="G376" s="116">
        <v>1</v>
      </c>
      <c r="H376" s="159"/>
      <c r="I376" s="108">
        <f t="shared" si="412"/>
        <v>0</v>
      </c>
      <c r="J376" s="108">
        <f t="shared" si="413"/>
        <v>0</v>
      </c>
      <c r="K376" s="108">
        <f t="shared" si="414"/>
        <v>0</v>
      </c>
      <c r="L376" s="111"/>
      <c r="Z376" s="100">
        <f t="shared" si="415"/>
        <v>0</v>
      </c>
      <c r="AB376" s="100">
        <f t="shared" si="416"/>
        <v>0</v>
      </c>
      <c r="AC376" s="100">
        <f t="shared" si="417"/>
        <v>0</v>
      </c>
      <c r="AD376" s="100">
        <f t="shared" si="418"/>
        <v>0</v>
      </c>
      <c r="AE376" s="100">
        <f t="shared" si="419"/>
        <v>0</v>
      </c>
      <c r="AF376" s="100">
        <f t="shared" si="420"/>
        <v>0</v>
      </c>
      <c r="AG376" s="100">
        <f t="shared" si="421"/>
        <v>0</v>
      </c>
      <c r="AH376" s="100">
        <f t="shared" si="422"/>
        <v>0</v>
      </c>
      <c r="AI376" s="109"/>
      <c r="AJ376" s="108">
        <f t="shared" si="423"/>
        <v>0</v>
      </c>
      <c r="AK376" s="108">
        <f t="shared" si="424"/>
        <v>0</v>
      </c>
      <c r="AL376" s="108">
        <f t="shared" si="425"/>
        <v>0</v>
      </c>
      <c r="AN376" s="100">
        <v>15</v>
      </c>
      <c r="AO376" s="100">
        <f t="shared" si="426"/>
        <v>0</v>
      </c>
      <c r="AP376" s="100">
        <f t="shared" si="427"/>
        <v>0</v>
      </c>
      <c r="AQ376" s="111" t="s">
        <v>13</v>
      </c>
      <c r="AV376" s="100">
        <f t="shared" si="428"/>
        <v>0</v>
      </c>
      <c r="AW376" s="100">
        <f t="shared" si="429"/>
        <v>0</v>
      </c>
      <c r="AX376" s="100">
        <f t="shared" si="430"/>
        <v>0</v>
      </c>
      <c r="AY376" s="110" t="s">
        <v>1712</v>
      </c>
      <c r="AZ376" s="110" t="s">
        <v>1733</v>
      </c>
      <c r="BA376" s="109" t="s">
        <v>1737</v>
      </c>
      <c r="BC376" s="100">
        <f t="shared" si="431"/>
        <v>0</v>
      </c>
      <c r="BD376" s="100">
        <f t="shared" si="432"/>
        <v>0</v>
      </c>
      <c r="BE376" s="100">
        <v>0</v>
      </c>
      <c r="BF376" s="100">
        <f>376</f>
        <v>376</v>
      </c>
      <c r="BH376" s="108">
        <f t="shared" si="433"/>
        <v>0</v>
      </c>
      <c r="BI376" s="108">
        <f t="shared" si="434"/>
        <v>0</v>
      </c>
      <c r="BJ376" s="108">
        <f t="shared" si="435"/>
        <v>0</v>
      </c>
    </row>
    <row r="377" spans="1:62" x14ac:dyDescent="0.2">
      <c r="A377" s="117" t="s">
        <v>336</v>
      </c>
      <c r="B377" s="117" t="s">
        <v>840</v>
      </c>
      <c r="C377" s="304" t="s">
        <v>1422</v>
      </c>
      <c r="D377" s="305"/>
      <c r="E377" s="305"/>
      <c r="F377" s="117" t="s">
        <v>1652</v>
      </c>
      <c r="G377" s="116">
        <v>1</v>
      </c>
      <c r="H377" s="159"/>
      <c r="I377" s="108">
        <f t="shared" si="412"/>
        <v>0</v>
      </c>
      <c r="J377" s="108">
        <f t="shared" si="413"/>
        <v>0</v>
      </c>
      <c r="K377" s="108">
        <f t="shared" si="414"/>
        <v>0</v>
      </c>
      <c r="L377" s="111"/>
      <c r="Z377" s="100">
        <f t="shared" si="415"/>
        <v>0</v>
      </c>
      <c r="AB377" s="100">
        <f t="shared" si="416"/>
        <v>0</v>
      </c>
      <c r="AC377" s="100">
        <f t="shared" si="417"/>
        <v>0</v>
      </c>
      <c r="AD377" s="100">
        <f t="shared" si="418"/>
        <v>0</v>
      </c>
      <c r="AE377" s="100">
        <f t="shared" si="419"/>
        <v>0</v>
      </c>
      <c r="AF377" s="100">
        <f t="shared" si="420"/>
        <v>0</v>
      </c>
      <c r="AG377" s="100">
        <f t="shared" si="421"/>
        <v>0</v>
      </c>
      <c r="AH377" s="100">
        <f t="shared" si="422"/>
        <v>0</v>
      </c>
      <c r="AI377" s="109"/>
      <c r="AJ377" s="108">
        <f t="shared" si="423"/>
        <v>0</v>
      </c>
      <c r="AK377" s="108">
        <f t="shared" si="424"/>
        <v>0</v>
      </c>
      <c r="AL377" s="108">
        <f t="shared" si="425"/>
        <v>0</v>
      </c>
      <c r="AN377" s="100">
        <v>15</v>
      </c>
      <c r="AO377" s="100">
        <f t="shared" si="426"/>
        <v>0</v>
      </c>
      <c r="AP377" s="100">
        <f t="shared" si="427"/>
        <v>0</v>
      </c>
      <c r="AQ377" s="111" t="s">
        <v>13</v>
      </c>
      <c r="AV377" s="100">
        <f t="shared" si="428"/>
        <v>0</v>
      </c>
      <c r="AW377" s="100">
        <f t="shared" si="429"/>
        <v>0</v>
      </c>
      <c r="AX377" s="100">
        <f t="shared" si="430"/>
        <v>0</v>
      </c>
      <c r="AY377" s="110" t="s">
        <v>1712</v>
      </c>
      <c r="AZ377" s="110" t="s">
        <v>1733</v>
      </c>
      <c r="BA377" s="109" t="s">
        <v>1737</v>
      </c>
      <c r="BC377" s="100">
        <f t="shared" si="431"/>
        <v>0</v>
      </c>
      <c r="BD377" s="100">
        <f t="shared" si="432"/>
        <v>0</v>
      </c>
      <c r="BE377" s="100">
        <v>0</v>
      </c>
      <c r="BF377" s="100">
        <f>377</f>
        <v>377</v>
      </c>
      <c r="BH377" s="108">
        <f t="shared" si="433"/>
        <v>0</v>
      </c>
      <c r="BI377" s="108">
        <f t="shared" si="434"/>
        <v>0</v>
      </c>
      <c r="BJ377" s="108">
        <f t="shared" si="435"/>
        <v>0</v>
      </c>
    </row>
    <row r="378" spans="1:62" x14ac:dyDescent="0.2">
      <c r="A378" s="117" t="s">
        <v>337</v>
      </c>
      <c r="B378" s="117" t="s">
        <v>841</v>
      </c>
      <c r="C378" s="304" t="s">
        <v>1423</v>
      </c>
      <c r="D378" s="305"/>
      <c r="E378" s="305"/>
      <c r="F378" s="117" t="s">
        <v>1652</v>
      </c>
      <c r="G378" s="116">
        <v>1</v>
      </c>
      <c r="H378" s="159"/>
      <c r="I378" s="108">
        <f t="shared" si="412"/>
        <v>0</v>
      </c>
      <c r="J378" s="108">
        <f t="shared" si="413"/>
        <v>0</v>
      </c>
      <c r="K378" s="108">
        <f t="shared" si="414"/>
        <v>0</v>
      </c>
      <c r="L378" s="111"/>
      <c r="Z378" s="100">
        <f t="shared" si="415"/>
        <v>0</v>
      </c>
      <c r="AB378" s="100">
        <f t="shared" si="416"/>
        <v>0</v>
      </c>
      <c r="AC378" s="100">
        <f t="shared" si="417"/>
        <v>0</v>
      </c>
      <c r="AD378" s="100">
        <f t="shared" si="418"/>
        <v>0</v>
      </c>
      <c r="AE378" s="100">
        <f t="shared" si="419"/>
        <v>0</v>
      </c>
      <c r="AF378" s="100">
        <f t="shared" si="420"/>
        <v>0</v>
      </c>
      <c r="AG378" s="100">
        <f t="shared" si="421"/>
        <v>0</v>
      </c>
      <c r="AH378" s="100">
        <f t="shared" si="422"/>
        <v>0</v>
      </c>
      <c r="AI378" s="109"/>
      <c r="AJ378" s="108">
        <f t="shared" si="423"/>
        <v>0</v>
      </c>
      <c r="AK378" s="108">
        <f t="shared" si="424"/>
        <v>0</v>
      </c>
      <c r="AL378" s="108">
        <f t="shared" si="425"/>
        <v>0</v>
      </c>
      <c r="AN378" s="100">
        <v>15</v>
      </c>
      <c r="AO378" s="100">
        <f t="shared" si="426"/>
        <v>0</v>
      </c>
      <c r="AP378" s="100">
        <f t="shared" si="427"/>
        <v>0</v>
      </c>
      <c r="AQ378" s="111" t="s">
        <v>13</v>
      </c>
      <c r="AV378" s="100">
        <f t="shared" si="428"/>
        <v>0</v>
      </c>
      <c r="AW378" s="100">
        <f t="shared" si="429"/>
        <v>0</v>
      </c>
      <c r="AX378" s="100">
        <f t="shared" si="430"/>
        <v>0</v>
      </c>
      <c r="AY378" s="110" t="s">
        <v>1712</v>
      </c>
      <c r="AZ378" s="110" t="s">
        <v>1733</v>
      </c>
      <c r="BA378" s="109" t="s">
        <v>1737</v>
      </c>
      <c r="BC378" s="100">
        <f t="shared" si="431"/>
        <v>0</v>
      </c>
      <c r="BD378" s="100">
        <f t="shared" si="432"/>
        <v>0</v>
      </c>
      <c r="BE378" s="100">
        <v>0</v>
      </c>
      <c r="BF378" s="100">
        <f>378</f>
        <v>378</v>
      </c>
      <c r="BH378" s="108">
        <f t="shared" si="433"/>
        <v>0</v>
      </c>
      <c r="BI378" s="108">
        <f t="shared" si="434"/>
        <v>0</v>
      </c>
      <c r="BJ378" s="108">
        <f t="shared" si="435"/>
        <v>0</v>
      </c>
    </row>
    <row r="379" spans="1:62" x14ac:dyDescent="0.2">
      <c r="A379" s="119"/>
      <c r="B379" s="120" t="s">
        <v>842</v>
      </c>
      <c r="C379" s="306" t="s">
        <v>1424</v>
      </c>
      <c r="D379" s="307"/>
      <c r="E379" s="307"/>
      <c r="F379" s="119" t="s">
        <v>6</v>
      </c>
      <c r="G379" s="119" t="s">
        <v>6</v>
      </c>
      <c r="H379" s="119" t="s">
        <v>6</v>
      </c>
      <c r="I379" s="118">
        <f>SUM(I380:I417)</f>
        <v>0</v>
      </c>
      <c r="J379" s="118">
        <f>SUM(J380:J417)</f>
        <v>0</v>
      </c>
      <c r="K379" s="118">
        <f>SUM(K380:K417)</f>
        <v>0</v>
      </c>
      <c r="L379" s="109"/>
      <c r="AI379" s="109"/>
      <c r="AS379" s="118">
        <f>SUM(AJ380:AJ417)</f>
        <v>0</v>
      </c>
      <c r="AT379" s="118">
        <f>SUM(AK380:AK417)</f>
        <v>0</v>
      </c>
      <c r="AU379" s="118">
        <f>SUM(AL380:AL417)</f>
        <v>0</v>
      </c>
    </row>
    <row r="380" spans="1:62" x14ac:dyDescent="0.2">
      <c r="A380" s="117" t="s">
        <v>338</v>
      </c>
      <c r="B380" s="117" t="s">
        <v>127</v>
      </c>
      <c r="C380" s="304" t="s">
        <v>1425</v>
      </c>
      <c r="D380" s="305"/>
      <c r="E380" s="305"/>
      <c r="F380" s="117" t="s">
        <v>1644</v>
      </c>
      <c r="G380" s="116">
        <v>6</v>
      </c>
      <c r="H380" s="159"/>
      <c r="I380" s="108">
        <f t="shared" ref="I380:I417" si="436">G380*AO380</f>
        <v>0</v>
      </c>
      <c r="J380" s="108">
        <f t="shared" ref="J380:J417" si="437">G380*AP380</f>
        <v>0</v>
      </c>
      <c r="K380" s="108">
        <f t="shared" ref="K380:K417" si="438">G380*H380</f>
        <v>0</v>
      </c>
      <c r="L380" s="111"/>
      <c r="Z380" s="100">
        <f t="shared" ref="Z380:Z417" si="439">IF(AQ380="5",BJ380,0)</f>
        <v>0</v>
      </c>
      <c r="AB380" s="100">
        <f t="shared" ref="AB380:AB417" si="440">IF(AQ380="1",BH380,0)</f>
        <v>0</v>
      </c>
      <c r="AC380" s="100">
        <f t="shared" ref="AC380:AC417" si="441">IF(AQ380="1",BI380,0)</f>
        <v>0</v>
      </c>
      <c r="AD380" s="100">
        <f t="shared" ref="AD380:AD417" si="442">IF(AQ380="7",BH380,0)</f>
        <v>0</v>
      </c>
      <c r="AE380" s="100">
        <f t="shared" ref="AE380:AE417" si="443">IF(AQ380="7",BI380,0)</f>
        <v>0</v>
      </c>
      <c r="AF380" s="100">
        <f t="shared" ref="AF380:AF417" si="444">IF(AQ380="2",BH380,0)</f>
        <v>0</v>
      </c>
      <c r="AG380" s="100">
        <f t="shared" ref="AG380:AG417" si="445">IF(AQ380="2",BI380,0)</f>
        <v>0</v>
      </c>
      <c r="AH380" s="100">
        <f t="shared" ref="AH380:AH417" si="446">IF(AQ380="0",BJ380,0)</f>
        <v>0</v>
      </c>
      <c r="AI380" s="109"/>
      <c r="AJ380" s="108">
        <f t="shared" ref="AJ380:AJ417" si="447">IF(AN380=0,K380,0)</f>
        <v>0</v>
      </c>
      <c r="AK380" s="108">
        <f t="shared" ref="AK380:AK417" si="448">IF(AN380=15,K380,0)</f>
        <v>0</v>
      </c>
      <c r="AL380" s="108">
        <f t="shared" ref="AL380:AL417" si="449">IF(AN380=21,K380,0)</f>
        <v>0</v>
      </c>
      <c r="AN380" s="100">
        <v>15</v>
      </c>
      <c r="AO380" s="100">
        <f t="shared" ref="AO380:AO417" si="450">H380*0</f>
        <v>0</v>
      </c>
      <c r="AP380" s="100">
        <f t="shared" ref="AP380:AP417" si="451">H380*(1-0)</f>
        <v>0</v>
      </c>
      <c r="AQ380" s="111" t="s">
        <v>13</v>
      </c>
      <c r="AV380" s="100">
        <f t="shared" ref="AV380:AV417" si="452">AW380+AX380</f>
        <v>0</v>
      </c>
      <c r="AW380" s="100">
        <f t="shared" ref="AW380:AW417" si="453">G380*AO380</f>
        <v>0</v>
      </c>
      <c r="AX380" s="100">
        <f t="shared" ref="AX380:AX417" si="454">G380*AP380</f>
        <v>0</v>
      </c>
      <c r="AY380" s="110" t="s">
        <v>1713</v>
      </c>
      <c r="AZ380" s="110" t="s">
        <v>1733</v>
      </c>
      <c r="BA380" s="109" t="s">
        <v>1737</v>
      </c>
      <c r="BC380" s="100">
        <f t="shared" ref="BC380:BC417" si="455">AW380+AX380</f>
        <v>0</v>
      </c>
      <c r="BD380" s="100">
        <f t="shared" ref="BD380:BD417" si="456">H380/(100-BE380)*100</f>
        <v>0</v>
      </c>
      <c r="BE380" s="100">
        <v>0</v>
      </c>
      <c r="BF380" s="100">
        <f>380</f>
        <v>380</v>
      </c>
      <c r="BH380" s="108">
        <f t="shared" ref="BH380:BH417" si="457">G380*AO380</f>
        <v>0</v>
      </c>
      <c r="BI380" s="108">
        <f t="shared" ref="BI380:BI417" si="458">G380*AP380</f>
        <v>0</v>
      </c>
      <c r="BJ380" s="108">
        <f t="shared" ref="BJ380:BJ417" si="459">G380*H380</f>
        <v>0</v>
      </c>
    </row>
    <row r="381" spans="1:62" x14ac:dyDescent="0.2">
      <c r="A381" s="117" t="s">
        <v>339</v>
      </c>
      <c r="B381" s="117" t="s">
        <v>128</v>
      </c>
      <c r="C381" s="304" t="s">
        <v>1426</v>
      </c>
      <c r="D381" s="305"/>
      <c r="E381" s="305"/>
      <c r="F381" s="117" t="s">
        <v>1646</v>
      </c>
      <c r="G381" s="116">
        <v>95</v>
      </c>
      <c r="H381" s="159"/>
      <c r="I381" s="108">
        <f t="shared" si="436"/>
        <v>0</v>
      </c>
      <c r="J381" s="108">
        <f t="shared" si="437"/>
        <v>0</v>
      </c>
      <c r="K381" s="108">
        <f t="shared" si="438"/>
        <v>0</v>
      </c>
      <c r="L381" s="111"/>
      <c r="Z381" s="100">
        <f t="shared" si="439"/>
        <v>0</v>
      </c>
      <c r="AB381" s="100">
        <f t="shared" si="440"/>
        <v>0</v>
      </c>
      <c r="AC381" s="100">
        <f t="shared" si="441"/>
        <v>0</v>
      </c>
      <c r="AD381" s="100">
        <f t="shared" si="442"/>
        <v>0</v>
      </c>
      <c r="AE381" s="100">
        <f t="shared" si="443"/>
        <v>0</v>
      </c>
      <c r="AF381" s="100">
        <f t="shared" si="444"/>
        <v>0</v>
      </c>
      <c r="AG381" s="100">
        <f t="shared" si="445"/>
        <v>0</v>
      </c>
      <c r="AH381" s="100">
        <f t="shared" si="446"/>
        <v>0</v>
      </c>
      <c r="AI381" s="109"/>
      <c r="AJ381" s="108">
        <f t="shared" si="447"/>
        <v>0</v>
      </c>
      <c r="AK381" s="108">
        <f t="shared" si="448"/>
        <v>0</v>
      </c>
      <c r="AL381" s="108">
        <f t="shared" si="449"/>
        <v>0</v>
      </c>
      <c r="AN381" s="100">
        <v>15</v>
      </c>
      <c r="AO381" s="100">
        <f t="shared" si="450"/>
        <v>0</v>
      </c>
      <c r="AP381" s="100">
        <f t="shared" si="451"/>
        <v>0</v>
      </c>
      <c r="AQ381" s="111" t="s">
        <v>13</v>
      </c>
      <c r="AV381" s="100">
        <f t="shared" si="452"/>
        <v>0</v>
      </c>
      <c r="AW381" s="100">
        <f t="shared" si="453"/>
        <v>0</v>
      </c>
      <c r="AX381" s="100">
        <f t="shared" si="454"/>
        <v>0</v>
      </c>
      <c r="AY381" s="110" t="s">
        <v>1713</v>
      </c>
      <c r="AZ381" s="110" t="s">
        <v>1733</v>
      </c>
      <c r="BA381" s="109" t="s">
        <v>1737</v>
      </c>
      <c r="BC381" s="100">
        <f t="shared" si="455"/>
        <v>0</v>
      </c>
      <c r="BD381" s="100">
        <f t="shared" si="456"/>
        <v>0</v>
      </c>
      <c r="BE381" s="100">
        <v>0</v>
      </c>
      <c r="BF381" s="100">
        <f>381</f>
        <v>381</v>
      </c>
      <c r="BH381" s="108">
        <f t="shared" si="457"/>
        <v>0</v>
      </c>
      <c r="BI381" s="108">
        <f t="shared" si="458"/>
        <v>0</v>
      </c>
      <c r="BJ381" s="108">
        <f t="shared" si="459"/>
        <v>0</v>
      </c>
    </row>
    <row r="382" spans="1:62" x14ac:dyDescent="0.2">
      <c r="A382" s="117" t="s">
        <v>340</v>
      </c>
      <c r="B382" s="117" t="s">
        <v>129</v>
      </c>
      <c r="C382" s="304" t="s">
        <v>1427</v>
      </c>
      <c r="D382" s="305"/>
      <c r="E382" s="305"/>
      <c r="F382" s="117" t="s">
        <v>1644</v>
      </c>
      <c r="G382" s="116">
        <v>6</v>
      </c>
      <c r="H382" s="159"/>
      <c r="I382" s="108">
        <f t="shared" si="436"/>
        <v>0</v>
      </c>
      <c r="J382" s="108">
        <f t="shared" si="437"/>
        <v>0</v>
      </c>
      <c r="K382" s="108">
        <f t="shared" si="438"/>
        <v>0</v>
      </c>
      <c r="L382" s="111"/>
      <c r="Z382" s="100">
        <f t="shared" si="439"/>
        <v>0</v>
      </c>
      <c r="AB382" s="100">
        <f t="shared" si="440"/>
        <v>0</v>
      </c>
      <c r="AC382" s="100">
        <f t="shared" si="441"/>
        <v>0</v>
      </c>
      <c r="AD382" s="100">
        <f t="shared" si="442"/>
        <v>0</v>
      </c>
      <c r="AE382" s="100">
        <f t="shared" si="443"/>
        <v>0</v>
      </c>
      <c r="AF382" s="100">
        <f t="shared" si="444"/>
        <v>0</v>
      </c>
      <c r="AG382" s="100">
        <f t="shared" si="445"/>
        <v>0</v>
      </c>
      <c r="AH382" s="100">
        <f t="shared" si="446"/>
        <v>0</v>
      </c>
      <c r="AI382" s="109"/>
      <c r="AJ382" s="108">
        <f t="shared" si="447"/>
        <v>0</v>
      </c>
      <c r="AK382" s="108">
        <f t="shared" si="448"/>
        <v>0</v>
      </c>
      <c r="AL382" s="108">
        <f t="shared" si="449"/>
        <v>0</v>
      </c>
      <c r="AN382" s="100">
        <v>15</v>
      </c>
      <c r="AO382" s="100">
        <f t="shared" si="450"/>
        <v>0</v>
      </c>
      <c r="AP382" s="100">
        <f t="shared" si="451"/>
        <v>0</v>
      </c>
      <c r="AQ382" s="111" t="s">
        <v>13</v>
      </c>
      <c r="AV382" s="100">
        <f t="shared" si="452"/>
        <v>0</v>
      </c>
      <c r="AW382" s="100">
        <f t="shared" si="453"/>
        <v>0</v>
      </c>
      <c r="AX382" s="100">
        <f t="shared" si="454"/>
        <v>0</v>
      </c>
      <c r="AY382" s="110" t="s">
        <v>1713</v>
      </c>
      <c r="AZ382" s="110" t="s">
        <v>1733</v>
      </c>
      <c r="BA382" s="109" t="s">
        <v>1737</v>
      </c>
      <c r="BC382" s="100">
        <f t="shared" si="455"/>
        <v>0</v>
      </c>
      <c r="BD382" s="100">
        <f t="shared" si="456"/>
        <v>0</v>
      </c>
      <c r="BE382" s="100">
        <v>0</v>
      </c>
      <c r="BF382" s="100">
        <f>382</f>
        <v>382</v>
      </c>
      <c r="BH382" s="108">
        <f t="shared" si="457"/>
        <v>0</v>
      </c>
      <c r="BI382" s="108">
        <f t="shared" si="458"/>
        <v>0</v>
      </c>
      <c r="BJ382" s="108">
        <f t="shared" si="459"/>
        <v>0</v>
      </c>
    </row>
    <row r="383" spans="1:62" x14ac:dyDescent="0.2">
      <c r="A383" s="117" t="s">
        <v>341</v>
      </c>
      <c r="B383" s="117" t="s">
        <v>130</v>
      </c>
      <c r="C383" s="304" t="s">
        <v>1428</v>
      </c>
      <c r="D383" s="305"/>
      <c r="E383" s="305"/>
      <c r="F383" s="117" t="s">
        <v>1646</v>
      </c>
      <c r="G383" s="116">
        <v>10</v>
      </c>
      <c r="H383" s="159"/>
      <c r="I383" s="108">
        <f t="shared" si="436"/>
        <v>0</v>
      </c>
      <c r="J383" s="108">
        <f t="shared" si="437"/>
        <v>0</v>
      </c>
      <c r="K383" s="108">
        <f t="shared" si="438"/>
        <v>0</v>
      </c>
      <c r="L383" s="111"/>
      <c r="Z383" s="100">
        <f t="shared" si="439"/>
        <v>0</v>
      </c>
      <c r="AB383" s="100">
        <f t="shared" si="440"/>
        <v>0</v>
      </c>
      <c r="AC383" s="100">
        <f t="shared" si="441"/>
        <v>0</v>
      </c>
      <c r="AD383" s="100">
        <f t="shared" si="442"/>
        <v>0</v>
      </c>
      <c r="AE383" s="100">
        <f t="shared" si="443"/>
        <v>0</v>
      </c>
      <c r="AF383" s="100">
        <f t="shared" si="444"/>
        <v>0</v>
      </c>
      <c r="AG383" s="100">
        <f t="shared" si="445"/>
        <v>0</v>
      </c>
      <c r="AH383" s="100">
        <f t="shared" si="446"/>
        <v>0</v>
      </c>
      <c r="AI383" s="109"/>
      <c r="AJ383" s="108">
        <f t="shared" si="447"/>
        <v>0</v>
      </c>
      <c r="AK383" s="108">
        <f t="shared" si="448"/>
        <v>0</v>
      </c>
      <c r="AL383" s="108">
        <f t="shared" si="449"/>
        <v>0</v>
      </c>
      <c r="AN383" s="100">
        <v>15</v>
      </c>
      <c r="AO383" s="100">
        <f t="shared" si="450"/>
        <v>0</v>
      </c>
      <c r="AP383" s="100">
        <f t="shared" si="451"/>
        <v>0</v>
      </c>
      <c r="AQ383" s="111" t="s">
        <v>13</v>
      </c>
      <c r="AV383" s="100">
        <f t="shared" si="452"/>
        <v>0</v>
      </c>
      <c r="AW383" s="100">
        <f t="shared" si="453"/>
        <v>0</v>
      </c>
      <c r="AX383" s="100">
        <f t="shared" si="454"/>
        <v>0</v>
      </c>
      <c r="AY383" s="110" t="s">
        <v>1713</v>
      </c>
      <c r="AZ383" s="110" t="s">
        <v>1733</v>
      </c>
      <c r="BA383" s="109" t="s">
        <v>1737</v>
      </c>
      <c r="BC383" s="100">
        <f t="shared" si="455"/>
        <v>0</v>
      </c>
      <c r="BD383" s="100">
        <f t="shared" si="456"/>
        <v>0</v>
      </c>
      <c r="BE383" s="100">
        <v>0</v>
      </c>
      <c r="BF383" s="100">
        <f>383</f>
        <v>383</v>
      </c>
      <c r="BH383" s="108">
        <f t="shared" si="457"/>
        <v>0</v>
      </c>
      <c r="BI383" s="108">
        <f t="shared" si="458"/>
        <v>0</v>
      </c>
      <c r="BJ383" s="108">
        <f t="shared" si="459"/>
        <v>0</v>
      </c>
    </row>
    <row r="384" spans="1:62" x14ac:dyDescent="0.2">
      <c r="A384" s="117" t="s">
        <v>342</v>
      </c>
      <c r="B384" s="117" t="s">
        <v>131</v>
      </c>
      <c r="C384" s="304" t="s">
        <v>1429</v>
      </c>
      <c r="D384" s="305"/>
      <c r="E384" s="305"/>
      <c r="F384" s="117" t="s">
        <v>1646</v>
      </c>
      <c r="G384" s="116">
        <v>10</v>
      </c>
      <c r="H384" s="159"/>
      <c r="I384" s="108">
        <f t="shared" si="436"/>
        <v>0</v>
      </c>
      <c r="J384" s="108">
        <f t="shared" si="437"/>
        <v>0</v>
      </c>
      <c r="K384" s="108">
        <f t="shared" si="438"/>
        <v>0</v>
      </c>
      <c r="L384" s="111"/>
      <c r="Z384" s="100">
        <f t="shared" si="439"/>
        <v>0</v>
      </c>
      <c r="AB384" s="100">
        <f t="shared" si="440"/>
        <v>0</v>
      </c>
      <c r="AC384" s="100">
        <f t="shared" si="441"/>
        <v>0</v>
      </c>
      <c r="AD384" s="100">
        <f t="shared" si="442"/>
        <v>0</v>
      </c>
      <c r="AE384" s="100">
        <f t="shared" si="443"/>
        <v>0</v>
      </c>
      <c r="AF384" s="100">
        <f t="shared" si="444"/>
        <v>0</v>
      </c>
      <c r="AG384" s="100">
        <f t="shared" si="445"/>
        <v>0</v>
      </c>
      <c r="AH384" s="100">
        <f t="shared" si="446"/>
        <v>0</v>
      </c>
      <c r="AI384" s="109"/>
      <c r="AJ384" s="108">
        <f t="shared" si="447"/>
        <v>0</v>
      </c>
      <c r="AK384" s="108">
        <f t="shared" si="448"/>
        <v>0</v>
      </c>
      <c r="AL384" s="108">
        <f t="shared" si="449"/>
        <v>0</v>
      </c>
      <c r="AN384" s="100">
        <v>15</v>
      </c>
      <c r="AO384" s="100">
        <f t="shared" si="450"/>
        <v>0</v>
      </c>
      <c r="AP384" s="100">
        <f t="shared" si="451"/>
        <v>0</v>
      </c>
      <c r="AQ384" s="111" t="s">
        <v>13</v>
      </c>
      <c r="AV384" s="100">
        <f t="shared" si="452"/>
        <v>0</v>
      </c>
      <c r="AW384" s="100">
        <f t="shared" si="453"/>
        <v>0</v>
      </c>
      <c r="AX384" s="100">
        <f t="shared" si="454"/>
        <v>0</v>
      </c>
      <c r="AY384" s="110" t="s">
        <v>1713</v>
      </c>
      <c r="AZ384" s="110" t="s">
        <v>1733</v>
      </c>
      <c r="BA384" s="109" t="s">
        <v>1737</v>
      </c>
      <c r="BC384" s="100">
        <f t="shared" si="455"/>
        <v>0</v>
      </c>
      <c r="BD384" s="100">
        <f t="shared" si="456"/>
        <v>0</v>
      </c>
      <c r="BE384" s="100">
        <v>0</v>
      </c>
      <c r="BF384" s="100">
        <f>384</f>
        <v>384</v>
      </c>
      <c r="BH384" s="108">
        <f t="shared" si="457"/>
        <v>0</v>
      </c>
      <c r="BI384" s="108">
        <f t="shared" si="458"/>
        <v>0</v>
      </c>
      <c r="BJ384" s="108">
        <f t="shared" si="459"/>
        <v>0</v>
      </c>
    </row>
    <row r="385" spans="1:62" x14ac:dyDescent="0.2">
      <c r="A385" s="117" t="s">
        <v>343</v>
      </c>
      <c r="B385" s="117" t="s">
        <v>132</v>
      </c>
      <c r="C385" s="304" t="s">
        <v>1430</v>
      </c>
      <c r="D385" s="305"/>
      <c r="E385" s="305"/>
      <c r="F385" s="117" t="s">
        <v>1644</v>
      </c>
      <c r="G385" s="116">
        <v>1</v>
      </c>
      <c r="H385" s="159"/>
      <c r="I385" s="108">
        <f t="shared" si="436"/>
        <v>0</v>
      </c>
      <c r="J385" s="108">
        <f t="shared" si="437"/>
        <v>0</v>
      </c>
      <c r="K385" s="108">
        <f t="shared" si="438"/>
        <v>0</v>
      </c>
      <c r="L385" s="111"/>
      <c r="Z385" s="100">
        <f t="shared" si="439"/>
        <v>0</v>
      </c>
      <c r="AB385" s="100">
        <f t="shared" si="440"/>
        <v>0</v>
      </c>
      <c r="AC385" s="100">
        <f t="shared" si="441"/>
        <v>0</v>
      </c>
      <c r="AD385" s="100">
        <f t="shared" si="442"/>
        <v>0</v>
      </c>
      <c r="AE385" s="100">
        <f t="shared" si="443"/>
        <v>0</v>
      </c>
      <c r="AF385" s="100">
        <f t="shared" si="444"/>
        <v>0</v>
      </c>
      <c r="AG385" s="100">
        <f t="shared" si="445"/>
        <v>0</v>
      </c>
      <c r="AH385" s="100">
        <f t="shared" si="446"/>
        <v>0</v>
      </c>
      <c r="AI385" s="109"/>
      <c r="AJ385" s="108">
        <f t="shared" si="447"/>
        <v>0</v>
      </c>
      <c r="AK385" s="108">
        <f t="shared" si="448"/>
        <v>0</v>
      </c>
      <c r="AL385" s="108">
        <f t="shared" si="449"/>
        <v>0</v>
      </c>
      <c r="AN385" s="100">
        <v>15</v>
      </c>
      <c r="AO385" s="100">
        <f t="shared" si="450"/>
        <v>0</v>
      </c>
      <c r="AP385" s="100">
        <f t="shared" si="451"/>
        <v>0</v>
      </c>
      <c r="AQ385" s="111" t="s">
        <v>13</v>
      </c>
      <c r="AV385" s="100">
        <f t="shared" si="452"/>
        <v>0</v>
      </c>
      <c r="AW385" s="100">
        <f t="shared" si="453"/>
        <v>0</v>
      </c>
      <c r="AX385" s="100">
        <f t="shared" si="454"/>
        <v>0</v>
      </c>
      <c r="AY385" s="110" t="s">
        <v>1713</v>
      </c>
      <c r="AZ385" s="110" t="s">
        <v>1733</v>
      </c>
      <c r="BA385" s="109" t="s">
        <v>1737</v>
      </c>
      <c r="BC385" s="100">
        <f t="shared" si="455"/>
        <v>0</v>
      </c>
      <c r="BD385" s="100">
        <f t="shared" si="456"/>
        <v>0</v>
      </c>
      <c r="BE385" s="100">
        <v>0</v>
      </c>
      <c r="BF385" s="100">
        <f>385</f>
        <v>385</v>
      </c>
      <c r="BH385" s="108">
        <f t="shared" si="457"/>
        <v>0</v>
      </c>
      <c r="BI385" s="108">
        <f t="shared" si="458"/>
        <v>0</v>
      </c>
      <c r="BJ385" s="108">
        <f t="shared" si="459"/>
        <v>0</v>
      </c>
    </row>
    <row r="386" spans="1:62" x14ac:dyDescent="0.2">
      <c r="A386" s="117" t="s">
        <v>344</v>
      </c>
      <c r="B386" s="117" t="s">
        <v>133</v>
      </c>
      <c r="C386" s="304" t="s">
        <v>1431</v>
      </c>
      <c r="D386" s="305"/>
      <c r="E386" s="305"/>
      <c r="F386" s="117" t="s">
        <v>1646</v>
      </c>
      <c r="G386" s="116">
        <v>60</v>
      </c>
      <c r="H386" s="159"/>
      <c r="I386" s="108">
        <f t="shared" si="436"/>
        <v>0</v>
      </c>
      <c r="J386" s="108">
        <f t="shared" si="437"/>
        <v>0</v>
      </c>
      <c r="K386" s="108">
        <f t="shared" si="438"/>
        <v>0</v>
      </c>
      <c r="L386" s="111"/>
      <c r="Z386" s="100">
        <f t="shared" si="439"/>
        <v>0</v>
      </c>
      <c r="AB386" s="100">
        <f t="shared" si="440"/>
        <v>0</v>
      </c>
      <c r="AC386" s="100">
        <f t="shared" si="441"/>
        <v>0</v>
      </c>
      <c r="AD386" s="100">
        <f t="shared" si="442"/>
        <v>0</v>
      </c>
      <c r="AE386" s="100">
        <f t="shared" si="443"/>
        <v>0</v>
      </c>
      <c r="AF386" s="100">
        <f t="shared" si="444"/>
        <v>0</v>
      </c>
      <c r="AG386" s="100">
        <f t="shared" si="445"/>
        <v>0</v>
      </c>
      <c r="AH386" s="100">
        <f t="shared" si="446"/>
        <v>0</v>
      </c>
      <c r="AI386" s="109"/>
      <c r="AJ386" s="108">
        <f t="shared" si="447"/>
        <v>0</v>
      </c>
      <c r="AK386" s="108">
        <f t="shared" si="448"/>
        <v>0</v>
      </c>
      <c r="AL386" s="108">
        <f t="shared" si="449"/>
        <v>0</v>
      </c>
      <c r="AN386" s="100">
        <v>15</v>
      </c>
      <c r="AO386" s="100">
        <f t="shared" si="450"/>
        <v>0</v>
      </c>
      <c r="AP386" s="100">
        <f t="shared" si="451"/>
        <v>0</v>
      </c>
      <c r="AQ386" s="111" t="s">
        <v>13</v>
      </c>
      <c r="AV386" s="100">
        <f t="shared" si="452"/>
        <v>0</v>
      </c>
      <c r="AW386" s="100">
        <f t="shared" si="453"/>
        <v>0</v>
      </c>
      <c r="AX386" s="100">
        <f t="shared" si="454"/>
        <v>0</v>
      </c>
      <c r="AY386" s="110" t="s">
        <v>1713</v>
      </c>
      <c r="AZ386" s="110" t="s">
        <v>1733</v>
      </c>
      <c r="BA386" s="109" t="s">
        <v>1737</v>
      </c>
      <c r="BC386" s="100">
        <f t="shared" si="455"/>
        <v>0</v>
      </c>
      <c r="BD386" s="100">
        <f t="shared" si="456"/>
        <v>0</v>
      </c>
      <c r="BE386" s="100">
        <v>0</v>
      </c>
      <c r="BF386" s="100">
        <f>386</f>
        <v>386</v>
      </c>
      <c r="BH386" s="108">
        <f t="shared" si="457"/>
        <v>0</v>
      </c>
      <c r="BI386" s="108">
        <f t="shared" si="458"/>
        <v>0</v>
      </c>
      <c r="BJ386" s="108">
        <f t="shared" si="459"/>
        <v>0</v>
      </c>
    </row>
    <row r="387" spans="1:62" x14ac:dyDescent="0.2">
      <c r="A387" s="117" t="s">
        <v>345</v>
      </c>
      <c r="B387" s="117" t="s">
        <v>134</v>
      </c>
      <c r="C387" s="304" t="s">
        <v>1432</v>
      </c>
      <c r="D387" s="305"/>
      <c r="E387" s="305"/>
      <c r="F387" s="117" t="s">
        <v>1644</v>
      </c>
      <c r="G387" s="116">
        <v>4</v>
      </c>
      <c r="H387" s="159"/>
      <c r="I387" s="108">
        <f t="shared" si="436"/>
        <v>0</v>
      </c>
      <c r="J387" s="108">
        <f t="shared" si="437"/>
        <v>0</v>
      </c>
      <c r="K387" s="108">
        <f t="shared" si="438"/>
        <v>0</v>
      </c>
      <c r="L387" s="111"/>
      <c r="Z387" s="100">
        <f t="shared" si="439"/>
        <v>0</v>
      </c>
      <c r="AB387" s="100">
        <f t="shared" si="440"/>
        <v>0</v>
      </c>
      <c r="AC387" s="100">
        <f t="shared" si="441"/>
        <v>0</v>
      </c>
      <c r="AD387" s="100">
        <f t="shared" si="442"/>
        <v>0</v>
      </c>
      <c r="AE387" s="100">
        <f t="shared" si="443"/>
        <v>0</v>
      </c>
      <c r="AF387" s="100">
        <f t="shared" si="444"/>
        <v>0</v>
      </c>
      <c r="AG387" s="100">
        <f t="shared" si="445"/>
        <v>0</v>
      </c>
      <c r="AH387" s="100">
        <f t="shared" si="446"/>
        <v>0</v>
      </c>
      <c r="AI387" s="109"/>
      <c r="AJ387" s="108">
        <f t="shared" si="447"/>
        <v>0</v>
      </c>
      <c r="AK387" s="108">
        <f t="shared" si="448"/>
        <v>0</v>
      </c>
      <c r="AL387" s="108">
        <f t="shared" si="449"/>
        <v>0</v>
      </c>
      <c r="AN387" s="100">
        <v>15</v>
      </c>
      <c r="AO387" s="100">
        <f t="shared" si="450"/>
        <v>0</v>
      </c>
      <c r="AP387" s="100">
        <f t="shared" si="451"/>
        <v>0</v>
      </c>
      <c r="AQ387" s="111" t="s">
        <v>13</v>
      </c>
      <c r="AV387" s="100">
        <f t="shared" si="452"/>
        <v>0</v>
      </c>
      <c r="AW387" s="100">
        <f t="shared" si="453"/>
        <v>0</v>
      </c>
      <c r="AX387" s="100">
        <f t="shared" si="454"/>
        <v>0</v>
      </c>
      <c r="AY387" s="110" t="s">
        <v>1713</v>
      </c>
      <c r="AZ387" s="110" t="s">
        <v>1733</v>
      </c>
      <c r="BA387" s="109" t="s">
        <v>1737</v>
      </c>
      <c r="BC387" s="100">
        <f t="shared" si="455"/>
        <v>0</v>
      </c>
      <c r="BD387" s="100">
        <f t="shared" si="456"/>
        <v>0</v>
      </c>
      <c r="BE387" s="100">
        <v>0</v>
      </c>
      <c r="BF387" s="100">
        <f>387</f>
        <v>387</v>
      </c>
      <c r="BH387" s="108">
        <f t="shared" si="457"/>
        <v>0</v>
      </c>
      <c r="BI387" s="108">
        <f t="shared" si="458"/>
        <v>0</v>
      </c>
      <c r="BJ387" s="108">
        <f t="shared" si="459"/>
        <v>0</v>
      </c>
    </row>
    <row r="388" spans="1:62" x14ac:dyDescent="0.2">
      <c r="A388" s="117" t="s">
        <v>346</v>
      </c>
      <c r="B388" s="117" t="s">
        <v>135</v>
      </c>
      <c r="C388" s="304" t="s">
        <v>1995</v>
      </c>
      <c r="D388" s="305"/>
      <c r="E388" s="305"/>
      <c r="F388" s="117" t="s">
        <v>1644</v>
      </c>
      <c r="G388" s="116">
        <v>4</v>
      </c>
      <c r="H388" s="159"/>
      <c r="I388" s="108">
        <f t="shared" si="436"/>
        <v>0</v>
      </c>
      <c r="J388" s="108">
        <f t="shared" si="437"/>
        <v>0</v>
      </c>
      <c r="K388" s="108">
        <f t="shared" si="438"/>
        <v>0</v>
      </c>
      <c r="L388" s="111"/>
      <c r="Z388" s="100">
        <f t="shared" si="439"/>
        <v>0</v>
      </c>
      <c r="AB388" s="100">
        <f t="shared" si="440"/>
        <v>0</v>
      </c>
      <c r="AC388" s="100">
        <f t="shared" si="441"/>
        <v>0</v>
      </c>
      <c r="AD388" s="100">
        <f t="shared" si="442"/>
        <v>0</v>
      </c>
      <c r="AE388" s="100">
        <f t="shared" si="443"/>
        <v>0</v>
      </c>
      <c r="AF388" s="100">
        <f t="shared" si="444"/>
        <v>0</v>
      </c>
      <c r="AG388" s="100">
        <f t="shared" si="445"/>
        <v>0</v>
      </c>
      <c r="AH388" s="100">
        <f t="shared" si="446"/>
        <v>0</v>
      </c>
      <c r="AI388" s="109"/>
      <c r="AJ388" s="108">
        <f t="shared" si="447"/>
        <v>0</v>
      </c>
      <c r="AK388" s="108">
        <f t="shared" si="448"/>
        <v>0</v>
      </c>
      <c r="AL388" s="108">
        <f t="shared" si="449"/>
        <v>0</v>
      </c>
      <c r="AN388" s="100">
        <v>15</v>
      </c>
      <c r="AO388" s="100">
        <f t="shared" si="450"/>
        <v>0</v>
      </c>
      <c r="AP388" s="100">
        <f t="shared" si="451"/>
        <v>0</v>
      </c>
      <c r="AQ388" s="111" t="s">
        <v>13</v>
      </c>
      <c r="AV388" s="100">
        <f t="shared" si="452"/>
        <v>0</v>
      </c>
      <c r="AW388" s="100">
        <f t="shared" si="453"/>
        <v>0</v>
      </c>
      <c r="AX388" s="100">
        <f t="shared" si="454"/>
        <v>0</v>
      </c>
      <c r="AY388" s="110" t="s">
        <v>1713</v>
      </c>
      <c r="AZ388" s="110" t="s">
        <v>1733</v>
      </c>
      <c r="BA388" s="109" t="s">
        <v>1737</v>
      </c>
      <c r="BC388" s="100">
        <f t="shared" si="455"/>
        <v>0</v>
      </c>
      <c r="BD388" s="100">
        <f t="shared" si="456"/>
        <v>0</v>
      </c>
      <c r="BE388" s="100">
        <v>0</v>
      </c>
      <c r="BF388" s="100">
        <f>388</f>
        <v>388</v>
      </c>
      <c r="BH388" s="108">
        <f t="shared" si="457"/>
        <v>0</v>
      </c>
      <c r="BI388" s="108">
        <f t="shared" si="458"/>
        <v>0</v>
      </c>
      <c r="BJ388" s="108">
        <f t="shared" si="459"/>
        <v>0</v>
      </c>
    </row>
    <row r="389" spans="1:62" x14ac:dyDescent="0.2">
      <c r="A389" s="117" t="s">
        <v>347</v>
      </c>
      <c r="B389" s="117" t="s">
        <v>843</v>
      </c>
      <c r="C389" s="304" t="s">
        <v>1433</v>
      </c>
      <c r="D389" s="305"/>
      <c r="E389" s="305"/>
      <c r="F389" s="117" t="s">
        <v>1646</v>
      </c>
      <c r="G389" s="116">
        <v>60</v>
      </c>
      <c r="H389" s="159"/>
      <c r="I389" s="108">
        <f t="shared" si="436"/>
        <v>0</v>
      </c>
      <c r="J389" s="108">
        <f t="shared" si="437"/>
        <v>0</v>
      </c>
      <c r="K389" s="108">
        <f t="shared" si="438"/>
        <v>0</v>
      </c>
      <c r="L389" s="111"/>
      <c r="Z389" s="100">
        <f t="shared" si="439"/>
        <v>0</v>
      </c>
      <c r="AB389" s="100">
        <f t="shared" si="440"/>
        <v>0</v>
      </c>
      <c r="AC389" s="100">
        <f t="shared" si="441"/>
        <v>0</v>
      </c>
      <c r="AD389" s="100">
        <f t="shared" si="442"/>
        <v>0</v>
      </c>
      <c r="AE389" s="100">
        <f t="shared" si="443"/>
        <v>0</v>
      </c>
      <c r="AF389" s="100">
        <f t="shared" si="444"/>
        <v>0</v>
      </c>
      <c r="AG389" s="100">
        <f t="shared" si="445"/>
        <v>0</v>
      </c>
      <c r="AH389" s="100">
        <f t="shared" si="446"/>
        <v>0</v>
      </c>
      <c r="AI389" s="109"/>
      <c r="AJ389" s="108">
        <f t="shared" si="447"/>
        <v>0</v>
      </c>
      <c r="AK389" s="108">
        <f t="shared" si="448"/>
        <v>0</v>
      </c>
      <c r="AL389" s="108">
        <f t="shared" si="449"/>
        <v>0</v>
      </c>
      <c r="AN389" s="100">
        <v>15</v>
      </c>
      <c r="AO389" s="100">
        <f t="shared" si="450"/>
        <v>0</v>
      </c>
      <c r="AP389" s="100">
        <f t="shared" si="451"/>
        <v>0</v>
      </c>
      <c r="AQ389" s="111" t="s">
        <v>13</v>
      </c>
      <c r="AV389" s="100">
        <f t="shared" si="452"/>
        <v>0</v>
      </c>
      <c r="AW389" s="100">
        <f t="shared" si="453"/>
        <v>0</v>
      </c>
      <c r="AX389" s="100">
        <f t="shared" si="454"/>
        <v>0</v>
      </c>
      <c r="AY389" s="110" t="s">
        <v>1713</v>
      </c>
      <c r="AZ389" s="110" t="s">
        <v>1733</v>
      </c>
      <c r="BA389" s="109" t="s">
        <v>1737</v>
      </c>
      <c r="BC389" s="100">
        <f t="shared" si="455"/>
        <v>0</v>
      </c>
      <c r="BD389" s="100">
        <f t="shared" si="456"/>
        <v>0</v>
      </c>
      <c r="BE389" s="100">
        <v>0</v>
      </c>
      <c r="BF389" s="100">
        <f>389</f>
        <v>389</v>
      </c>
      <c r="BH389" s="108">
        <f t="shared" si="457"/>
        <v>0</v>
      </c>
      <c r="BI389" s="108">
        <f t="shared" si="458"/>
        <v>0</v>
      </c>
      <c r="BJ389" s="108">
        <f t="shared" si="459"/>
        <v>0</v>
      </c>
    </row>
    <row r="390" spans="1:62" x14ac:dyDescent="0.2">
      <c r="A390" s="117" t="s">
        <v>348</v>
      </c>
      <c r="B390" s="117" t="s">
        <v>844</v>
      </c>
      <c r="C390" s="304" t="s">
        <v>1434</v>
      </c>
      <c r="D390" s="305"/>
      <c r="E390" s="305"/>
      <c r="F390" s="117" t="s">
        <v>1646</v>
      </c>
      <c r="G390" s="116">
        <v>60</v>
      </c>
      <c r="H390" s="159"/>
      <c r="I390" s="108">
        <f t="shared" si="436"/>
        <v>0</v>
      </c>
      <c r="J390" s="108">
        <f t="shared" si="437"/>
        <v>0</v>
      </c>
      <c r="K390" s="108">
        <f t="shared" si="438"/>
        <v>0</v>
      </c>
      <c r="L390" s="111"/>
      <c r="Z390" s="100">
        <f t="shared" si="439"/>
        <v>0</v>
      </c>
      <c r="AB390" s="100">
        <f t="shared" si="440"/>
        <v>0</v>
      </c>
      <c r="AC390" s="100">
        <f t="shared" si="441"/>
        <v>0</v>
      </c>
      <c r="AD390" s="100">
        <f t="shared" si="442"/>
        <v>0</v>
      </c>
      <c r="AE390" s="100">
        <f t="shared" si="443"/>
        <v>0</v>
      </c>
      <c r="AF390" s="100">
        <f t="shared" si="444"/>
        <v>0</v>
      </c>
      <c r="AG390" s="100">
        <f t="shared" si="445"/>
        <v>0</v>
      </c>
      <c r="AH390" s="100">
        <f t="shared" si="446"/>
        <v>0</v>
      </c>
      <c r="AI390" s="109"/>
      <c r="AJ390" s="108">
        <f t="shared" si="447"/>
        <v>0</v>
      </c>
      <c r="AK390" s="108">
        <f t="shared" si="448"/>
        <v>0</v>
      </c>
      <c r="AL390" s="108">
        <f t="shared" si="449"/>
        <v>0</v>
      </c>
      <c r="AN390" s="100">
        <v>15</v>
      </c>
      <c r="AO390" s="100">
        <f t="shared" si="450"/>
        <v>0</v>
      </c>
      <c r="AP390" s="100">
        <f t="shared" si="451"/>
        <v>0</v>
      </c>
      <c r="AQ390" s="111" t="s">
        <v>13</v>
      </c>
      <c r="AV390" s="100">
        <f t="shared" si="452"/>
        <v>0</v>
      </c>
      <c r="AW390" s="100">
        <f t="shared" si="453"/>
        <v>0</v>
      </c>
      <c r="AX390" s="100">
        <f t="shared" si="454"/>
        <v>0</v>
      </c>
      <c r="AY390" s="110" t="s">
        <v>1713</v>
      </c>
      <c r="AZ390" s="110" t="s">
        <v>1733</v>
      </c>
      <c r="BA390" s="109" t="s">
        <v>1737</v>
      </c>
      <c r="BC390" s="100">
        <f t="shared" si="455"/>
        <v>0</v>
      </c>
      <c r="BD390" s="100">
        <f t="shared" si="456"/>
        <v>0</v>
      </c>
      <c r="BE390" s="100">
        <v>0</v>
      </c>
      <c r="BF390" s="100">
        <f>390</f>
        <v>390</v>
      </c>
      <c r="BH390" s="108">
        <f t="shared" si="457"/>
        <v>0</v>
      </c>
      <c r="BI390" s="108">
        <f t="shared" si="458"/>
        <v>0</v>
      </c>
      <c r="BJ390" s="108">
        <f t="shared" si="459"/>
        <v>0</v>
      </c>
    </row>
    <row r="391" spans="1:62" x14ac:dyDescent="0.2">
      <c r="A391" s="117" t="s">
        <v>349</v>
      </c>
      <c r="B391" s="117" t="s">
        <v>845</v>
      </c>
      <c r="C391" s="304" t="s">
        <v>1435</v>
      </c>
      <c r="D391" s="305"/>
      <c r="E391" s="305"/>
      <c r="F391" s="117" t="s">
        <v>1652</v>
      </c>
      <c r="G391" s="116">
        <v>1</v>
      </c>
      <c r="H391" s="159"/>
      <c r="I391" s="108">
        <f t="shared" si="436"/>
        <v>0</v>
      </c>
      <c r="J391" s="108">
        <f t="shared" si="437"/>
        <v>0</v>
      </c>
      <c r="K391" s="108">
        <f t="shared" si="438"/>
        <v>0</v>
      </c>
      <c r="L391" s="111"/>
      <c r="Z391" s="100">
        <f t="shared" si="439"/>
        <v>0</v>
      </c>
      <c r="AB391" s="100">
        <f t="shared" si="440"/>
        <v>0</v>
      </c>
      <c r="AC391" s="100">
        <f t="shared" si="441"/>
        <v>0</v>
      </c>
      <c r="AD391" s="100">
        <f t="shared" si="442"/>
        <v>0</v>
      </c>
      <c r="AE391" s="100">
        <f t="shared" si="443"/>
        <v>0</v>
      </c>
      <c r="AF391" s="100">
        <f t="shared" si="444"/>
        <v>0</v>
      </c>
      <c r="AG391" s="100">
        <f t="shared" si="445"/>
        <v>0</v>
      </c>
      <c r="AH391" s="100">
        <f t="shared" si="446"/>
        <v>0</v>
      </c>
      <c r="AI391" s="109"/>
      <c r="AJ391" s="108">
        <f t="shared" si="447"/>
        <v>0</v>
      </c>
      <c r="AK391" s="108">
        <f t="shared" si="448"/>
        <v>0</v>
      </c>
      <c r="AL391" s="108">
        <f t="shared" si="449"/>
        <v>0</v>
      </c>
      <c r="AN391" s="100">
        <v>15</v>
      </c>
      <c r="AO391" s="100">
        <f t="shared" si="450"/>
        <v>0</v>
      </c>
      <c r="AP391" s="100">
        <f t="shared" si="451"/>
        <v>0</v>
      </c>
      <c r="AQ391" s="111" t="s">
        <v>13</v>
      </c>
      <c r="AV391" s="100">
        <f t="shared" si="452"/>
        <v>0</v>
      </c>
      <c r="AW391" s="100">
        <f t="shared" si="453"/>
        <v>0</v>
      </c>
      <c r="AX391" s="100">
        <f t="shared" si="454"/>
        <v>0</v>
      </c>
      <c r="AY391" s="110" t="s">
        <v>1713</v>
      </c>
      <c r="AZ391" s="110" t="s">
        <v>1733</v>
      </c>
      <c r="BA391" s="109" t="s">
        <v>1737</v>
      </c>
      <c r="BC391" s="100">
        <f t="shared" si="455"/>
        <v>0</v>
      </c>
      <c r="BD391" s="100">
        <f t="shared" si="456"/>
        <v>0</v>
      </c>
      <c r="BE391" s="100">
        <v>0</v>
      </c>
      <c r="BF391" s="100">
        <f>391</f>
        <v>391</v>
      </c>
      <c r="BH391" s="108">
        <f t="shared" si="457"/>
        <v>0</v>
      </c>
      <c r="BI391" s="108">
        <f t="shared" si="458"/>
        <v>0</v>
      </c>
      <c r="BJ391" s="108">
        <f t="shared" si="459"/>
        <v>0</v>
      </c>
    </row>
    <row r="392" spans="1:62" x14ac:dyDescent="0.2">
      <c r="A392" s="117" t="s">
        <v>350</v>
      </c>
      <c r="B392" s="117" t="s">
        <v>846</v>
      </c>
      <c r="C392" s="304" t="s">
        <v>2327</v>
      </c>
      <c r="D392" s="305"/>
      <c r="E392" s="305"/>
      <c r="F392" s="117" t="s">
        <v>1652</v>
      </c>
      <c r="G392" s="116">
        <v>1</v>
      </c>
      <c r="H392" s="159"/>
      <c r="I392" s="108">
        <f t="shared" si="436"/>
        <v>0</v>
      </c>
      <c r="J392" s="108">
        <f t="shared" si="437"/>
        <v>0</v>
      </c>
      <c r="K392" s="108">
        <f t="shared" si="438"/>
        <v>0</v>
      </c>
      <c r="L392" s="111"/>
      <c r="Z392" s="100">
        <f t="shared" si="439"/>
        <v>0</v>
      </c>
      <c r="AB392" s="100">
        <f t="shared" si="440"/>
        <v>0</v>
      </c>
      <c r="AC392" s="100">
        <f t="shared" si="441"/>
        <v>0</v>
      </c>
      <c r="AD392" s="100">
        <f t="shared" si="442"/>
        <v>0</v>
      </c>
      <c r="AE392" s="100">
        <f t="shared" si="443"/>
        <v>0</v>
      </c>
      <c r="AF392" s="100">
        <f t="shared" si="444"/>
        <v>0</v>
      </c>
      <c r="AG392" s="100">
        <f t="shared" si="445"/>
        <v>0</v>
      </c>
      <c r="AH392" s="100">
        <f t="shared" si="446"/>
        <v>0</v>
      </c>
      <c r="AI392" s="109"/>
      <c r="AJ392" s="108">
        <f t="shared" si="447"/>
        <v>0</v>
      </c>
      <c r="AK392" s="108">
        <f t="shared" si="448"/>
        <v>0</v>
      </c>
      <c r="AL392" s="108">
        <f t="shared" si="449"/>
        <v>0</v>
      </c>
      <c r="AN392" s="100">
        <v>15</v>
      </c>
      <c r="AO392" s="100">
        <f t="shared" si="450"/>
        <v>0</v>
      </c>
      <c r="AP392" s="100">
        <f t="shared" si="451"/>
        <v>0</v>
      </c>
      <c r="AQ392" s="111" t="s">
        <v>13</v>
      </c>
      <c r="AV392" s="100">
        <f t="shared" si="452"/>
        <v>0</v>
      </c>
      <c r="AW392" s="100">
        <f t="shared" si="453"/>
        <v>0</v>
      </c>
      <c r="AX392" s="100">
        <f t="shared" si="454"/>
        <v>0</v>
      </c>
      <c r="AY392" s="110" t="s">
        <v>1713</v>
      </c>
      <c r="AZ392" s="110" t="s">
        <v>1733</v>
      </c>
      <c r="BA392" s="109" t="s">
        <v>1737</v>
      </c>
      <c r="BC392" s="100">
        <f t="shared" si="455"/>
        <v>0</v>
      </c>
      <c r="BD392" s="100">
        <f t="shared" si="456"/>
        <v>0</v>
      </c>
      <c r="BE392" s="100">
        <v>0</v>
      </c>
      <c r="BF392" s="100">
        <f>392</f>
        <v>392</v>
      </c>
      <c r="BH392" s="108">
        <f t="shared" si="457"/>
        <v>0</v>
      </c>
      <c r="BI392" s="108">
        <f t="shared" si="458"/>
        <v>0</v>
      </c>
      <c r="BJ392" s="108">
        <f t="shared" si="459"/>
        <v>0</v>
      </c>
    </row>
    <row r="393" spans="1:62" x14ac:dyDescent="0.2">
      <c r="A393" s="117" t="s">
        <v>351</v>
      </c>
      <c r="B393" s="117" t="s">
        <v>847</v>
      </c>
      <c r="C393" s="304" t="s">
        <v>1437</v>
      </c>
      <c r="D393" s="305"/>
      <c r="E393" s="305"/>
      <c r="F393" s="117" t="s">
        <v>1654</v>
      </c>
      <c r="G393" s="116">
        <v>380</v>
      </c>
      <c r="H393" s="159"/>
      <c r="I393" s="108">
        <f t="shared" si="436"/>
        <v>0</v>
      </c>
      <c r="J393" s="108">
        <f t="shared" si="437"/>
        <v>0</v>
      </c>
      <c r="K393" s="108">
        <f t="shared" si="438"/>
        <v>0</v>
      </c>
      <c r="L393" s="111"/>
      <c r="Z393" s="100">
        <f t="shared" si="439"/>
        <v>0</v>
      </c>
      <c r="AB393" s="100">
        <f t="shared" si="440"/>
        <v>0</v>
      </c>
      <c r="AC393" s="100">
        <f t="shared" si="441"/>
        <v>0</v>
      </c>
      <c r="AD393" s="100">
        <f t="shared" si="442"/>
        <v>0</v>
      </c>
      <c r="AE393" s="100">
        <f t="shared" si="443"/>
        <v>0</v>
      </c>
      <c r="AF393" s="100">
        <f t="shared" si="444"/>
        <v>0</v>
      </c>
      <c r="AG393" s="100">
        <f t="shared" si="445"/>
        <v>0</v>
      </c>
      <c r="AH393" s="100">
        <f t="shared" si="446"/>
        <v>0</v>
      </c>
      <c r="AI393" s="109"/>
      <c r="AJ393" s="108">
        <f t="shared" si="447"/>
        <v>0</v>
      </c>
      <c r="AK393" s="108">
        <f t="shared" si="448"/>
        <v>0</v>
      </c>
      <c r="AL393" s="108">
        <f t="shared" si="449"/>
        <v>0</v>
      </c>
      <c r="AN393" s="100">
        <v>15</v>
      </c>
      <c r="AO393" s="100">
        <f t="shared" si="450"/>
        <v>0</v>
      </c>
      <c r="AP393" s="100">
        <f t="shared" si="451"/>
        <v>0</v>
      </c>
      <c r="AQ393" s="111" t="s">
        <v>13</v>
      </c>
      <c r="AV393" s="100">
        <f t="shared" si="452"/>
        <v>0</v>
      </c>
      <c r="AW393" s="100">
        <f t="shared" si="453"/>
        <v>0</v>
      </c>
      <c r="AX393" s="100">
        <f t="shared" si="454"/>
        <v>0</v>
      </c>
      <c r="AY393" s="110" t="s">
        <v>1713</v>
      </c>
      <c r="AZ393" s="110" t="s">
        <v>1733</v>
      </c>
      <c r="BA393" s="109" t="s">
        <v>1737</v>
      </c>
      <c r="BC393" s="100">
        <f t="shared" si="455"/>
        <v>0</v>
      </c>
      <c r="BD393" s="100">
        <f t="shared" si="456"/>
        <v>0</v>
      </c>
      <c r="BE393" s="100">
        <v>0</v>
      </c>
      <c r="BF393" s="100">
        <f>393</f>
        <v>393</v>
      </c>
      <c r="BH393" s="108">
        <f t="shared" si="457"/>
        <v>0</v>
      </c>
      <c r="BI393" s="108">
        <f t="shared" si="458"/>
        <v>0</v>
      </c>
      <c r="BJ393" s="108">
        <f t="shared" si="459"/>
        <v>0</v>
      </c>
    </row>
    <row r="394" spans="1:62" x14ac:dyDescent="0.2">
      <c r="A394" s="117" t="s">
        <v>352</v>
      </c>
      <c r="B394" s="117" t="s">
        <v>848</v>
      </c>
      <c r="C394" s="304" t="s">
        <v>1438</v>
      </c>
      <c r="D394" s="305"/>
      <c r="E394" s="305"/>
      <c r="F394" s="117" t="s">
        <v>1652</v>
      </c>
      <c r="G394" s="116">
        <v>1</v>
      </c>
      <c r="H394" s="159"/>
      <c r="I394" s="108">
        <f t="shared" si="436"/>
        <v>0</v>
      </c>
      <c r="J394" s="108">
        <f t="shared" si="437"/>
        <v>0</v>
      </c>
      <c r="K394" s="108">
        <f t="shared" si="438"/>
        <v>0</v>
      </c>
      <c r="L394" s="111"/>
      <c r="Z394" s="100">
        <f t="shared" si="439"/>
        <v>0</v>
      </c>
      <c r="AB394" s="100">
        <f t="shared" si="440"/>
        <v>0</v>
      </c>
      <c r="AC394" s="100">
        <f t="shared" si="441"/>
        <v>0</v>
      </c>
      <c r="AD394" s="100">
        <f t="shared" si="442"/>
        <v>0</v>
      </c>
      <c r="AE394" s="100">
        <f t="shared" si="443"/>
        <v>0</v>
      </c>
      <c r="AF394" s="100">
        <f t="shared" si="444"/>
        <v>0</v>
      </c>
      <c r="AG394" s="100">
        <f t="shared" si="445"/>
        <v>0</v>
      </c>
      <c r="AH394" s="100">
        <f t="shared" si="446"/>
        <v>0</v>
      </c>
      <c r="AI394" s="109"/>
      <c r="AJ394" s="108">
        <f t="shared" si="447"/>
        <v>0</v>
      </c>
      <c r="AK394" s="108">
        <f t="shared" si="448"/>
        <v>0</v>
      </c>
      <c r="AL394" s="108">
        <f t="shared" si="449"/>
        <v>0</v>
      </c>
      <c r="AN394" s="100">
        <v>15</v>
      </c>
      <c r="AO394" s="100">
        <f t="shared" si="450"/>
        <v>0</v>
      </c>
      <c r="AP394" s="100">
        <f t="shared" si="451"/>
        <v>0</v>
      </c>
      <c r="AQ394" s="111" t="s">
        <v>13</v>
      </c>
      <c r="AV394" s="100">
        <f t="shared" si="452"/>
        <v>0</v>
      </c>
      <c r="AW394" s="100">
        <f t="shared" si="453"/>
        <v>0</v>
      </c>
      <c r="AX394" s="100">
        <f t="shared" si="454"/>
        <v>0</v>
      </c>
      <c r="AY394" s="110" t="s">
        <v>1713</v>
      </c>
      <c r="AZ394" s="110" t="s">
        <v>1733</v>
      </c>
      <c r="BA394" s="109" t="s">
        <v>1737</v>
      </c>
      <c r="BC394" s="100">
        <f t="shared" si="455"/>
        <v>0</v>
      </c>
      <c r="BD394" s="100">
        <f t="shared" si="456"/>
        <v>0</v>
      </c>
      <c r="BE394" s="100">
        <v>0</v>
      </c>
      <c r="BF394" s="100">
        <f>394</f>
        <v>394</v>
      </c>
      <c r="BH394" s="108">
        <f t="shared" si="457"/>
        <v>0</v>
      </c>
      <c r="BI394" s="108">
        <f t="shared" si="458"/>
        <v>0</v>
      </c>
      <c r="BJ394" s="108">
        <f t="shared" si="459"/>
        <v>0</v>
      </c>
    </row>
    <row r="395" spans="1:62" x14ac:dyDescent="0.2">
      <c r="A395" s="117" t="s">
        <v>353</v>
      </c>
      <c r="B395" s="117" t="s">
        <v>849</v>
      </c>
      <c r="C395" s="304" t="s">
        <v>1439</v>
      </c>
      <c r="D395" s="305"/>
      <c r="E395" s="305"/>
      <c r="F395" s="117" t="s">
        <v>1652</v>
      </c>
      <c r="G395" s="116">
        <v>1</v>
      </c>
      <c r="H395" s="159"/>
      <c r="I395" s="108">
        <f t="shared" si="436"/>
        <v>0</v>
      </c>
      <c r="J395" s="108">
        <f t="shared" si="437"/>
        <v>0</v>
      </c>
      <c r="K395" s="108">
        <f t="shared" si="438"/>
        <v>0</v>
      </c>
      <c r="L395" s="111"/>
      <c r="Z395" s="100">
        <f t="shared" si="439"/>
        <v>0</v>
      </c>
      <c r="AB395" s="100">
        <f t="shared" si="440"/>
        <v>0</v>
      </c>
      <c r="AC395" s="100">
        <f t="shared" si="441"/>
        <v>0</v>
      </c>
      <c r="AD395" s="100">
        <f t="shared" si="442"/>
        <v>0</v>
      </c>
      <c r="AE395" s="100">
        <f t="shared" si="443"/>
        <v>0</v>
      </c>
      <c r="AF395" s="100">
        <f t="shared" si="444"/>
        <v>0</v>
      </c>
      <c r="AG395" s="100">
        <f t="shared" si="445"/>
        <v>0</v>
      </c>
      <c r="AH395" s="100">
        <f t="shared" si="446"/>
        <v>0</v>
      </c>
      <c r="AI395" s="109"/>
      <c r="AJ395" s="108">
        <f t="shared" si="447"/>
        <v>0</v>
      </c>
      <c r="AK395" s="108">
        <f t="shared" si="448"/>
        <v>0</v>
      </c>
      <c r="AL395" s="108">
        <f t="shared" si="449"/>
        <v>0</v>
      </c>
      <c r="AN395" s="100">
        <v>15</v>
      </c>
      <c r="AO395" s="100">
        <f t="shared" si="450"/>
        <v>0</v>
      </c>
      <c r="AP395" s="100">
        <f t="shared" si="451"/>
        <v>0</v>
      </c>
      <c r="AQ395" s="111" t="s">
        <v>13</v>
      </c>
      <c r="AV395" s="100">
        <f t="shared" si="452"/>
        <v>0</v>
      </c>
      <c r="AW395" s="100">
        <f t="shared" si="453"/>
        <v>0</v>
      </c>
      <c r="AX395" s="100">
        <f t="shared" si="454"/>
        <v>0</v>
      </c>
      <c r="AY395" s="110" t="s">
        <v>1713</v>
      </c>
      <c r="AZ395" s="110" t="s">
        <v>1733</v>
      </c>
      <c r="BA395" s="109" t="s">
        <v>1737</v>
      </c>
      <c r="BC395" s="100">
        <f t="shared" si="455"/>
        <v>0</v>
      </c>
      <c r="BD395" s="100">
        <f t="shared" si="456"/>
        <v>0</v>
      </c>
      <c r="BE395" s="100">
        <v>0</v>
      </c>
      <c r="BF395" s="100">
        <f>395</f>
        <v>395</v>
      </c>
      <c r="BH395" s="108">
        <f t="shared" si="457"/>
        <v>0</v>
      </c>
      <c r="BI395" s="108">
        <f t="shared" si="458"/>
        <v>0</v>
      </c>
      <c r="BJ395" s="108">
        <f t="shared" si="459"/>
        <v>0</v>
      </c>
    </row>
    <row r="396" spans="1:62" x14ac:dyDescent="0.2">
      <c r="A396" s="117" t="s">
        <v>354</v>
      </c>
      <c r="B396" s="117" t="s">
        <v>850</v>
      </c>
      <c r="C396" s="304" t="s">
        <v>1440</v>
      </c>
      <c r="D396" s="305"/>
      <c r="E396" s="305"/>
      <c r="F396" s="117" t="s">
        <v>1652</v>
      </c>
      <c r="G396" s="116">
        <v>1</v>
      </c>
      <c r="H396" s="159"/>
      <c r="I396" s="108">
        <f t="shared" si="436"/>
        <v>0</v>
      </c>
      <c r="J396" s="108">
        <f t="shared" si="437"/>
        <v>0</v>
      </c>
      <c r="K396" s="108">
        <f t="shared" si="438"/>
        <v>0</v>
      </c>
      <c r="L396" s="111"/>
      <c r="Z396" s="100">
        <f t="shared" si="439"/>
        <v>0</v>
      </c>
      <c r="AB396" s="100">
        <f t="shared" si="440"/>
        <v>0</v>
      </c>
      <c r="AC396" s="100">
        <f t="shared" si="441"/>
        <v>0</v>
      </c>
      <c r="AD396" s="100">
        <f t="shared" si="442"/>
        <v>0</v>
      </c>
      <c r="AE396" s="100">
        <f t="shared" si="443"/>
        <v>0</v>
      </c>
      <c r="AF396" s="100">
        <f t="shared" si="444"/>
        <v>0</v>
      </c>
      <c r="AG396" s="100">
        <f t="shared" si="445"/>
        <v>0</v>
      </c>
      <c r="AH396" s="100">
        <f t="shared" si="446"/>
        <v>0</v>
      </c>
      <c r="AI396" s="109"/>
      <c r="AJ396" s="108">
        <f t="shared" si="447"/>
        <v>0</v>
      </c>
      <c r="AK396" s="108">
        <f t="shared" si="448"/>
        <v>0</v>
      </c>
      <c r="AL396" s="108">
        <f t="shared" si="449"/>
        <v>0</v>
      </c>
      <c r="AN396" s="100">
        <v>15</v>
      </c>
      <c r="AO396" s="100">
        <f t="shared" si="450"/>
        <v>0</v>
      </c>
      <c r="AP396" s="100">
        <f t="shared" si="451"/>
        <v>0</v>
      </c>
      <c r="AQ396" s="111" t="s">
        <v>13</v>
      </c>
      <c r="AV396" s="100">
        <f t="shared" si="452"/>
        <v>0</v>
      </c>
      <c r="AW396" s="100">
        <f t="shared" si="453"/>
        <v>0</v>
      </c>
      <c r="AX396" s="100">
        <f t="shared" si="454"/>
        <v>0</v>
      </c>
      <c r="AY396" s="110" t="s">
        <v>1713</v>
      </c>
      <c r="AZ396" s="110" t="s">
        <v>1733</v>
      </c>
      <c r="BA396" s="109" t="s">
        <v>1737</v>
      </c>
      <c r="BC396" s="100">
        <f t="shared" si="455"/>
        <v>0</v>
      </c>
      <c r="BD396" s="100">
        <f t="shared" si="456"/>
        <v>0</v>
      </c>
      <c r="BE396" s="100">
        <v>0</v>
      </c>
      <c r="BF396" s="100">
        <f>396</f>
        <v>396</v>
      </c>
      <c r="BH396" s="108">
        <f t="shared" si="457"/>
        <v>0</v>
      </c>
      <c r="BI396" s="108">
        <f t="shared" si="458"/>
        <v>0</v>
      </c>
      <c r="BJ396" s="108">
        <f t="shared" si="459"/>
        <v>0</v>
      </c>
    </row>
    <row r="397" spans="1:62" x14ac:dyDescent="0.2">
      <c r="A397" s="117" t="s">
        <v>355</v>
      </c>
      <c r="B397" s="117" t="s">
        <v>851</v>
      </c>
      <c r="C397" s="304" t="s">
        <v>1441</v>
      </c>
      <c r="D397" s="305"/>
      <c r="E397" s="305"/>
      <c r="F397" s="117" t="s">
        <v>1652</v>
      </c>
      <c r="G397" s="116">
        <v>1</v>
      </c>
      <c r="H397" s="159"/>
      <c r="I397" s="108">
        <f t="shared" si="436"/>
        <v>0</v>
      </c>
      <c r="J397" s="108">
        <f t="shared" si="437"/>
        <v>0</v>
      </c>
      <c r="K397" s="108">
        <f t="shared" si="438"/>
        <v>0</v>
      </c>
      <c r="L397" s="111"/>
      <c r="Z397" s="100">
        <f t="shared" si="439"/>
        <v>0</v>
      </c>
      <c r="AB397" s="100">
        <f t="shared" si="440"/>
        <v>0</v>
      </c>
      <c r="AC397" s="100">
        <f t="shared" si="441"/>
        <v>0</v>
      </c>
      <c r="AD397" s="100">
        <f t="shared" si="442"/>
        <v>0</v>
      </c>
      <c r="AE397" s="100">
        <f t="shared" si="443"/>
        <v>0</v>
      </c>
      <c r="AF397" s="100">
        <f t="shared" si="444"/>
        <v>0</v>
      </c>
      <c r="AG397" s="100">
        <f t="shared" si="445"/>
        <v>0</v>
      </c>
      <c r="AH397" s="100">
        <f t="shared" si="446"/>
        <v>0</v>
      </c>
      <c r="AI397" s="109"/>
      <c r="AJ397" s="108">
        <f t="shared" si="447"/>
        <v>0</v>
      </c>
      <c r="AK397" s="108">
        <f t="shared" si="448"/>
        <v>0</v>
      </c>
      <c r="AL397" s="108">
        <f t="shared" si="449"/>
        <v>0</v>
      </c>
      <c r="AN397" s="100">
        <v>15</v>
      </c>
      <c r="AO397" s="100">
        <f t="shared" si="450"/>
        <v>0</v>
      </c>
      <c r="AP397" s="100">
        <f t="shared" si="451"/>
        <v>0</v>
      </c>
      <c r="AQ397" s="111" t="s">
        <v>13</v>
      </c>
      <c r="AV397" s="100">
        <f t="shared" si="452"/>
        <v>0</v>
      </c>
      <c r="AW397" s="100">
        <f t="shared" si="453"/>
        <v>0</v>
      </c>
      <c r="AX397" s="100">
        <f t="shared" si="454"/>
        <v>0</v>
      </c>
      <c r="AY397" s="110" t="s">
        <v>1713</v>
      </c>
      <c r="AZ397" s="110" t="s">
        <v>1733</v>
      </c>
      <c r="BA397" s="109" t="s">
        <v>1737</v>
      </c>
      <c r="BC397" s="100">
        <f t="shared" si="455"/>
        <v>0</v>
      </c>
      <c r="BD397" s="100">
        <f t="shared" si="456"/>
        <v>0</v>
      </c>
      <c r="BE397" s="100">
        <v>0</v>
      </c>
      <c r="BF397" s="100">
        <f>397</f>
        <v>397</v>
      </c>
      <c r="BH397" s="108">
        <f t="shared" si="457"/>
        <v>0</v>
      </c>
      <c r="BI397" s="108">
        <f t="shared" si="458"/>
        <v>0</v>
      </c>
      <c r="BJ397" s="108">
        <f t="shared" si="459"/>
        <v>0</v>
      </c>
    </row>
    <row r="398" spans="1:62" x14ac:dyDescent="0.2">
      <c r="A398" s="117" t="s">
        <v>356</v>
      </c>
      <c r="B398" s="117" t="s">
        <v>852</v>
      </c>
      <c r="C398" s="304" t="s">
        <v>1442</v>
      </c>
      <c r="D398" s="305"/>
      <c r="E398" s="305"/>
      <c r="F398" s="117" t="s">
        <v>1652</v>
      </c>
      <c r="G398" s="116">
        <v>1</v>
      </c>
      <c r="H398" s="159"/>
      <c r="I398" s="108">
        <f t="shared" si="436"/>
        <v>0</v>
      </c>
      <c r="J398" s="108">
        <f t="shared" si="437"/>
        <v>0</v>
      </c>
      <c r="K398" s="108">
        <f t="shared" si="438"/>
        <v>0</v>
      </c>
      <c r="L398" s="111"/>
      <c r="Z398" s="100">
        <f t="shared" si="439"/>
        <v>0</v>
      </c>
      <c r="AB398" s="100">
        <f t="shared" si="440"/>
        <v>0</v>
      </c>
      <c r="AC398" s="100">
        <f t="shared" si="441"/>
        <v>0</v>
      </c>
      <c r="AD398" s="100">
        <f t="shared" si="442"/>
        <v>0</v>
      </c>
      <c r="AE398" s="100">
        <f t="shared" si="443"/>
        <v>0</v>
      </c>
      <c r="AF398" s="100">
        <f t="shared" si="444"/>
        <v>0</v>
      </c>
      <c r="AG398" s="100">
        <f t="shared" si="445"/>
        <v>0</v>
      </c>
      <c r="AH398" s="100">
        <f t="shared" si="446"/>
        <v>0</v>
      </c>
      <c r="AI398" s="109"/>
      <c r="AJ398" s="108">
        <f t="shared" si="447"/>
        <v>0</v>
      </c>
      <c r="AK398" s="108">
        <f t="shared" si="448"/>
        <v>0</v>
      </c>
      <c r="AL398" s="108">
        <f t="shared" si="449"/>
        <v>0</v>
      </c>
      <c r="AN398" s="100">
        <v>15</v>
      </c>
      <c r="AO398" s="100">
        <f t="shared" si="450"/>
        <v>0</v>
      </c>
      <c r="AP398" s="100">
        <f t="shared" si="451"/>
        <v>0</v>
      </c>
      <c r="AQ398" s="111" t="s">
        <v>13</v>
      </c>
      <c r="AV398" s="100">
        <f t="shared" si="452"/>
        <v>0</v>
      </c>
      <c r="AW398" s="100">
        <f t="shared" si="453"/>
        <v>0</v>
      </c>
      <c r="AX398" s="100">
        <f t="shared" si="454"/>
        <v>0</v>
      </c>
      <c r="AY398" s="110" t="s">
        <v>1713</v>
      </c>
      <c r="AZ398" s="110" t="s">
        <v>1733</v>
      </c>
      <c r="BA398" s="109" t="s">
        <v>1737</v>
      </c>
      <c r="BC398" s="100">
        <f t="shared" si="455"/>
        <v>0</v>
      </c>
      <c r="BD398" s="100">
        <f t="shared" si="456"/>
        <v>0</v>
      </c>
      <c r="BE398" s="100">
        <v>0</v>
      </c>
      <c r="BF398" s="100">
        <f>398</f>
        <v>398</v>
      </c>
      <c r="BH398" s="108">
        <f t="shared" si="457"/>
        <v>0</v>
      </c>
      <c r="BI398" s="108">
        <f t="shared" si="458"/>
        <v>0</v>
      </c>
      <c r="BJ398" s="108">
        <f t="shared" si="459"/>
        <v>0</v>
      </c>
    </row>
    <row r="399" spans="1:62" x14ac:dyDescent="0.2">
      <c r="A399" s="117" t="s">
        <v>357</v>
      </c>
      <c r="B399" s="117" t="s">
        <v>853</v>
      </c>
      <c r="C399" s="304" t="s">
        <v>1443</v>
      </c>
      <c r="D399" s="305"/>
      <c r="E399" s="305"/>
      <c r="F399" s="117" t="s">
        <v>1645</v>
      </c>
      <c r="G399" s="116">
        <v>15</v>
      </c>
      <c r="H399" s="159"/>
      <c r="I399" s="108">
        <f t="shared" si="436"/>
        <v>0</v>
      </c>
      <c r="J399" s="108">
        <f t="shared" si="437"/>
        <v>0</v>
      </c>
      <c r="K399" s="108">
        <f t="shared" si="438"/>
        <v>0</v>
      </c>
      <c r="L399" s="111"/>
      <c r="Z399" s="100">
        <f t="shared" si="439"/>
        <v>0</v>
      </c>
      <c r="AB399" s="100">
        <f t="shared" si="440"/>
        <v>0</v>
      </c>
      <c r="AC399" s="100">
        <f t="shared" si="441"/>
        <v>0</v>
      </c>
      <c r="AD399" s="100">
        <f t="shared" si="442"/>
        <v>0</v>
      </c>
      <c r="AE399" s="100">
        <f t="shared" si="443"/>
        <v>0</v>
      </c>
      <c r="AF399" s="100">
        <f t="shared" si="444"/>
        <v>0</v>
      </c>
      <c r="AG399" s="100">
        <f t="shared" si="445"/>
        <v>0</v>
      </c>
      <c r="AH399" s="100">
        <f t="shared" si="446"/>
        <v>0</v>
      </c>
      <c r="AI399" s="109"/>
      <c r="AJ399" s="108">
        <f t="shared" si="447"/>
        <v>0</v>
      </c>
      <c r="AK399" s="108">
        <f t="shared" si="448"/>
        <v>0</v>
      </c>
      <c r="AL399" s="108">
        <f t="shared" si="449"/>
        <v>0</v>
      </c>
      <c r="AN399" s="100">
        <v>15</v>
      </c>
      <c r="AO399" s="100">
        <f t="shared" si="450"/>
        <v>0</v>
      </c>
      <c r="AP399" s="100">
        <f t="shared" si="451"/>
        <v>0</v>
      </c>
      <c r="AQ399" s="111" t="s">
        <v>13</v>
      </c>
      <c r="AV399" s="100">
        <f t="shared" si="452"/>
        <v>0</v>
      </c>
      <c r="AW399" s="100">
        <f t="shared" si="453"/>
        <v>0</v>
      </c>
      <c r="AX399" s="100">
        <f t="shared" si="454"/>
        <v>0</v>
      </c>
      <c r="AY399" s="110" t="s">
        <v>1713</v>
      </c>
      <c r="AZ399" s="110" t="s">
        <v>1733</v>
      </c>
      <c r="BA399" s="109" t="s">
        <v>1737</v>
      </c>
      <c r="BC399" s="100">
        <f t="shared" si="455"/>
        <v>0</v>
      </c>
      <c r="BD399" s="100">
        <f t="shared" si="456"/>
        <v>0</v>
      </c>
      <c r="BE399" s="100">
        <v>0</v>
      </c>
      <c r="BF399" s="100">
        <f>399</f>
        <v>399</v>
      </c>
      <c r="BH399" s="108">
        <f t="shared" si="457"/>
        <v>0</v>
      </c>
      <c r="BI399" s="108">
        <f t="shared" si="458"/>
        <v>0</v>
      </c>
      <c r="BJ399" s="108">
        <f t="shared" si="459"/>
        <v>0</v>
      </c>
    </row>
    <row r="400" spans="1:62" x14ac:dyDescent="0.2">
      <c r="A400" s="117" t="s">
        <v>358</v>
      </c>
      <c r="B400" s="117" t="s">
        <v>854</v>
      </c>
      <c r="C400" s="304" t="s">
        <v>1994</v>
      </c>
      <c r="D400" s="305"/>
      <c r="E400" s="305"/>
      <c r="F400" s="117" t="s">
        <v>1645</v>
      </c>
      <c r="G400" s="116">
        <v>3</v>
      </c>
      <c r="H400" s="159"/>
      <c r="I400" s="108">
        <f t="shared" si="436"/>
        <v>0</v>
      </c>
      <c r="J400" s="108">
        <f t="shared" si="437"/>
        <v>0</v>
      </c>
      <c r="K400" s="108">
        <f t="shared" si="438"/>
        <v>0</v>
      </c>
      <c r="L400" s="111"/>
      <c r="Z400" s="100">
        <f t="shared" si="439"/>
        <v>0</v>
      </c>
      <c r="AB400" s="100">
        <f t="shared" si="440"/>
        <v>0</v>
      </c>
      <c r="AC400" s="100">
        <f t="shared" si="441"/>
        <v>0</v>
      </c>
      <c r="AD400" s="100">
        <f t="shared" si="442"/>
        <v>0</v>
      </c>
      <c r="AE400" s="100">
        <f t="shared" si="443"/>
        <v>0</v>
      </c>
      <c r="AF400" s="100">
        <f t="shared" si="444"/>
        <v>0</v>
      </c>
      <c r="AG400" s="100">
        <f t="shared" si="445"/>
        <v>0</v>
      </c>
      <c r="AH400" s="100">
        <f t="shared" si="446"/>
        <v>0</v>
      </c>
      <c r="AI400" s="109"/>
      <c r="AJ400" s="108">
        <f t="shared" si="447"/>
        <v>0</v>
      </c>
      <c r="AK400" s="108">
        <f t="shared" si="448"/>
        <v>0</v>
      </c>
      <c r="AL400" s="108">
        <f t="shared" si="449"/>
        <v>0</v>
      </c>
      <c r="AN400" s="100">
        <v>15</v>
      </c>
      <c r="AO400" s="100">
        <f t="shared" si="450"/>
        <v>0</v>
      </c>
      <c r="AP400" s="100">
        <f t="shared" si="451"/>
        <v>0</v>
      </c>
      <c r="AQ400" s="111" t="s">
        <v>13</v>
      </c>
      <c r="AV400" s="100">
        <f t="shared" si="452"/>
        <v>0</v>
      </c>
      <c r="AW400" s="100">
        <f t="shared" si="453"/>
        <v>0</v>
      </c>
      <c r="AX400" s="100">
        <f t="shared" si="454"/>
        <v>0</v>
      </c>
      <c r="AY400" s="110" t="s">
        <v>1713</v>
      </c>
      <c r="AZ400" s="110" t="s">
        <v>1733</v>
      </c>
      <c r="BA400" s="109" t="s">
        <v>1737</v>
      </c>
      <c r="BC400" s="100">
        <f t="shared" si="455"/>
        <v>0</v>
      </c>
      <c r="BD400" s="100">
        <f t="shared" si="456"/>
        <v>0</v>
      </c>
      <c r="BE400" s="100">
        <v>0</v>
      </c>
      <c r="BF400" s="100">
        <f>400</f>
        <v>400</v>
      </c>
      <c r="BH400" s="108">
        <f t="shared" si="457"/>
        <v>0</v>
      </c>
      <c r="BI400" s="108">
        <f t="shared" si="458"/>
        <v>0</v>
      </c>
      <c r="BJ400" s="108">
        <f t="shared" si="459"/>
        <v>0</v>
      </c>
    </row>
    <row r="401" spans="1:62" x14ac:dyDescent="0.2">
      <c r="A401" s="117" t="s">
        <v>359</v>
      </c>
      <c r="B401" s="117" t="s">
        <v>855</v>
      </c>
      <c r="C401" s="304" t="s">
        <v>1444</v>
      </c>
      <c r="D401" s="305"/>
      <c r="E401" s="305"/>
      <c r="F401" s="117" t="s">
        <v>1647</v>
      </c>
      <c r="G401" s="116">
        <v>17</v>
      </c>
      <c r="H401" s="159"/>
      <c r="I401" s="108">
        <f t="shared" si="436"/>
        <v>0</v>
      </c>
      <c r="J401" s="108">
        <f t="shared" si="437"/>
        <v>0</v>
      </c>
      <c r="K401" s="108">
        <f t="shared" si="438"/>
        <v>0</v>
      </c>
      <c r="L401" s="111"/>
      <c r="Z401" s="100">
        <f t="shared" si="439"/>
        <v>0</v>
      </c>
      <c r="AB401" s="100">
        <f t="shared" si="440"/>
        <v>0</v>
      </c>
      <c r="AC401" s="100">
        <f t="shared" si="441"/>
        <v>0</v>
      </c>
      <c r="AD401" s="100">
        <f t="shared" si="442"/>
        <v>0</v>
      </c>
      <c r="AE401" s="100">
        <f t="shared" si="443"/>
        <v>0</v>
      </c>
      <c r="AF401" s="100">
        <f t="shared" si="444"/>
        <v>0</v>
      </c>
      <c r="AG401" s="100">
        <f t="shared" si="445"/>
        <v>0</v>
      </c>
      <c r="AH401" s="100">
        <f t="shared" si="446"/>
        <v>0</v>
      </c>
      <c r="AI401" s="109"/>
      <c r="AJ401" s="108">
        <f t="shared" si="447"/>
        <v>0</v>
      </c>
      <c r="AK401" s="108">
        <f t="shared" si="448"/>
        <v>0</v>
      </c>
      <c r="AL401" s="108">
        <f t="shared" si="449"/>
        <v>0</v>
      </c>
      <c r="AN401" s="100">
        <v>15</v>
      </c>
      <c r="AO401" s="100">
        <f t="shared" si="450"/>
        <v>0</v>
      </c>
      <c r="AP401" s="100">
        <f t="shared" si="451"/>
        <v>0</v>
      </c>
      <c r="AQ401" s="111" t="s">
        <v>13</v>
      </c>
      <c r="AV401" s="100">
        <f t="shared" si="452"/>
        <v>0</v>
      </c>
      <c r="AW401" s="100">
        <f t="shared" si="453"/>
        <v>0</v>
      </c>
      <c r="AX401" s="100">
        <f t="shared" si="454"/>
        <v>0</v>
      </c>
      <c r="AY401" s="110" t="s">
        <v>1713</v>
      </c>
      <c r="AZ401" s="110" t="s">
        <v>1733</v>
      </c>
      <c r="BA401" s="109" t="s">
        <v>1737</v>
      </c>
      <c r="BC401" s="100">
        <f t="shared" si="455"/>
        <v>0</v>
      </c>
      <c r="BD401" s="100">
        <f t="shared" si="456"/>
        <v>0</v>
      </c>
      <c r="BE401" s="100">
        <v>0</v>
      </c>
      <c r="BF401" s="100">
        <f>401</f>
        <v>401</v>
      </c>
      <c r="BH401" s="108">
        <f t="shared" si="457"/>
        <v>0</v>
      </c>
      <c r="BI401" s="108">
        <f t="shared" si="458"/>
        <v>0</v>
      </c>
      <c r="BJ401" s="108">
        <f t="shared" si="459"/>
        <v>0</v>
      </c>
    </row>
    <row r="402" spans="1:62" x14ac:dyDescent="0.2">
      <c r="A402" s="117" t="s">
        <v>360</v>
      </c>
      <c r="B402" s="117" t="s">
        <v>856</v>
      </c>
      <c r="C402" s="304" t="s">
        <v>1445</v>
      </c>
      <c r="D402" s="305"/>
      <c r="E402" s="305"/>
      <c r="F402" s="117" t="s">
        <v>1647</v>
      </c>
      <c r="G402" s="116">
        <v>1</v>
      </c>
      <c r="H402" s="159"/>
      <c r="I402" s="108">
        <f t="shared" si="436"/>
        <v>0</v>
      </c>
      <c r="J402" s="108">
        <f t="shared" si="437"/>
        <v>0</v>
      </c>
      <c r="K402" s="108">
        <f t="shared" si="438"/>
        <v>0</v>
      </c>
      <c r="L402" s="111"/>
      <c r="Z402" s="100">
        <f t="shared" si="439"/>
        <v>0</v>
      </c>
      <c r="AB402" s="100">
        <f t="shared" si="440"/>
        <v>0</v>
      </c>
      <c r="AC402" s="100">
        <f t="shared" si="441"/>
        <v>0</v>
      </c>
      <c r="AD402" s="100">
        <f t="shared" si="442"/>
        <v>0</v>
      </c>
      <c r="AE402" s="100">
        <f t="shared" si="443"/>
        <v>0</v>
      </c>
      <c r="AF402" s="100">
        <f t="shared" si="444"/>
        <v>0</v>
      </c>
      <c r="AG402" s="100">
        <f t="shared" si="445"/>
        <v>0</v>
      </c>
      <c r="AH402" s="100">
        <f t="shared" si="446"/>
        <v>0</v>
      </c>
      <c r="AI402" s="109"/>
      <c r="AJ402" s="108">
        <f t="shared" si="447"/>
        <v>0</v>
      </c>
      <c r="AK402" s="108">
        <f t="shared" si="448"/>
        <v>0</v>
      </c>
      <c r="AL402" s="108">
        <f t="shared" si="449"/>
        <v>0</v>
      </c>
      <c r="AN402" s="100">
        <v>15</v>
      </c>
      <c r="AO402" s="100">
        <f t="shared" si="450"/>
        <v>0</v>
      </c>
      <c r="AP402" s="100">
        <f t="shared" si="451"/>
        <v>0</v>
      </c>
      <c r="AQ402" s="111" t="s">
        <v>13</v>
      </c>
      <c r="AV402" s="100">
        <f t="shared" si="452"/>
        <v>0</v>
      </c>
      <c r="AW402" s="100">
        <f t="shared" si="453"/>
        <v>0</v>
      </c>
      <c r="AX402" s="100">
        <f t="shared" si="454"/>
        <v>0</v>
      </c>
      <c r="AY402" s="110" t="s">
        <v>1713</v>
      </c>
      <c r="AZ402" s="110" t="s">
        <v>1733</v>
      </c>
      <c r="BA402" s="109" t="s">
        <v>1737</v>
      </c>
      <c r="BC402" s="100">
        <f t="shared" si="455"/>
        <v>0</v>
      </c>
      <c r="BD402" s="100">
        <f t="shared" si="456"/>
        <v>0</v>
      </c>
      <c r="BE402" s="100">
        <v>0</v>
      </c>
      <c r="BF402" s="100">
        <f>402</f>
        <v>402</v>
      </c>
      <c r="BH402" s="108">
        <f t="shared" si="457"/>
        <v>0</v>
      </c>
      <c r="BI402" s="108">
        <f t="shared" si="458"/>
        <v>0</v>
      </c>
      <c r="BJ402" s="108">
        <f t="shared" si="459"/>
        <v>0</v>
      </c>
    </row>
    <row r="403" spans="1:62" x14ac:dyDescent="0.2">
      <c r="A403" s="117" t="s">
        <v>361</v>
      </c>
      <c r="B403" s="117" t="s">
        <v>857</v>
      </c>
      <c r="C403" s="304" t="s">
        <v>1446</v>
      </c>
      <c r="D403" s="305"/>
      <c r="E403" s="305"/>
      <c r="F403" s="117" t="s">
        <v>1647</v>
      </c>
      <c r="G403" s="116">
        <v>18</v>
      </c>
      <c r="H403" s="159"/>
      <c r="I403" s="108">
        <f t="shared" si="436"/>
        <v>0</v>
      </c>
      <c r="J403" s="108">
        <f t="shared" si="437"/>
        <v>0</v>
      </c>
      <c r="K403" s="108">
        <f t="shared" si="438"/>
        <v>0</v>
      </c>
      <c r="L403" s="111"/>
      <c r="Z403" s="100">
        <f t="shared" si="439"/>
        <v>0</v>
      </c>
      <c r="AB403" s="100">
        <f t="shared" si="440"/>
        <v>0</v>
      </c>
      <c r="AC403" s="100">
        <f t="shared" si="441"/>
        <v>0</v>
      </c>
      <c r="AD403" s="100">
        <f t="shared" si="442"/>
        <v>0</v>
      </c>
      <c r="AE403" s="100">
        <f t="shared" si="443"/>
        <v>0</v>
      </c>
      <c r="AF403" s="100">
        <f t="shared" si="444"/>
        <v>0</v>
      </c>
      <c r="AG403" s="100">
        <f t="shared" si="445"/>
        <v>0</v>
      </c>
      <c r="AH403" s="100">
        <f t="shared" si="446"/>
        <v>0</v>
      </c>
      <c r="AI403" s="109"/>
      <c r="AJ403" s="108">
        <f t="shared" si="447"/>
        <v>0</v>
      </c>
      <c r="AK403" s="108">
        <f t="shared" si="448"/>
        <v>0</v>
      </c>
      <c r="AL403" s="108">
        <f t="shared" si="449"/>
        <v>0</v>
      </c>
      <c r="AN403" s="100">
        <v>15</v>
      </c>
      <c r="AO403" s="100">
        <f t="shared" si="450"/>
        <v>0</v>
      </c>
      <c r="AP403" s="100">
        <f t="shared" si="451"/>
        <v>0</v>
      </c>
      <c r="AQ403" s="111" t="s">
        <v>13</v>
      </c>
      <c r="AV403" s="100">
        <f t="shared" si="452"/>
        <v>0</v>
      </c>
      <c r="AW403" s="100">
        <f t="shared" si="453"/>
        <v>0</v>
      </c>
      <c r="AX403" s="100">
        <f t="shared" si="454"/>
        <v>0</v>
      </c>
      <c r="AY403" s="110" t="s">
        <v>1713</v>
      </c>
      <c r="AZ403" s="110" t="s">
        <v>1733</v>
      </c>
      <c r="BA403" s="109" t="s">
        <v>1737</v>
      </c>
      <c r="BC403" s="100">
        <f t="shared" si="455"/>
        <v>0</v>
      </c>
      <c r="BD403" s="100">
        <f t="shared" si="456"/>
        <v>0</v>
      </c>
      <c r="BE403" s="100">
        <v>0</v>
      </c>
      <c r="BF403" s="100">
        <f>403</f>
        <v>403</v>
      </c>
      <c r="BH403" s="108">
        <f t="shared" si="457"/>
        <v>0</v>
      </c>
      <c r="BI403" s="108">
        <f t="shared" si="458"/>
        <v>0</v>
      </c>
      <c r="BJ403" s="108">
        <f t="shared" si="459"/>
        <v>0</v>
      </c>
    </row>
    <row r="404" spans="1:62" x14ac:dyDescent="0.2">
      <c r="A404" s="117" t="s">
        <v>362</v>
      </c>
      <c r="B404" s="117" t="s">
        <v>858</v>
      </c>
      <c r="C404" s="304" t="s">
        <v>1447</v>
      </c>
      <c r="D404" s="305"/>
      <c r="E404" s="305"/>
      <c r="F404" s="117" t="s">
        <v>1647</v>
      </c>
      <c r="G404" s="116">
        <v>18</v>
      </c>
      <c r="H404" s="159"/>
      <c r="I404" s="108">
        <f t="shared" si="436"/>
        <v>0</v>
      </c>
      <c r="J404" s="108">
        <f t="shared" si="437"/>
        <v>0</v>
      </c>
      <c r="K404" s="108">
        <f t="shared" si="438"/>
        <v>0</v>
      </c>
      <c r="L404" s="111"/>
      <c r="Z404" s="100">
        <f t="shared" si="439"/>
        <v>0</v>
      </c>
      <c r="AB404" s="100">
        <f t="shared" si="440"/>
        <v>0</v>
      </c>
      <c r="AC404" s="100">
        <f t="shared" si="441"/>
        <v>0</v>
      </c>
      <c r="AD404" s="100">
        <f t="shared" si="442"/>
        <v>0</v>
      </c>
      <c r="AE404" s="100">
        <f t="shared" si="443"/>
        <v>0</v>
      </c>
      <c r="AF404" s="100">
        <f t="shared" si="444"/>
        <v>0</v>
      </c>
      <c r="AG404" s="100">
        <f t="shared" si="445"/>
        <v>0</v>
      </c>
      <c r="AH404" s="100">
        <f t="shared" si="446"/>
        <v>0</v>
      </c>
      <c r="AI404" s="109"/>
      <c r="AJ404" s="108">
        <f t="shared" si="447"/>
        <v>0</v>
      </c>
      <c r="AK404" s="108">
        <f t="shared" si="448"/>
        <v>0</v>
      </c>
      <c r="AL404" s="108">
        <f t="shared" si="449"/>
        <v>0</v>
      </c>
      <c r="AN404" s="100">
        <v>15</v>
      </c>
      <c r="AO404" s="100">
        <f t="shared" si="450"/>
        <v>0</v>
      </c>
      <c r="AP404" s="100">
        <f t="shared" si="451"/>
        <v>0</v>
      </c>
      <c r="AQ404" s="111" t="s">
        <v>13</v>
      </c>
      <c r="AV404" s="100">
        <f t="shared" si="452"/>
        <v>0</v>
      </c>
      <c r="AW404" s="100">
        <f t="shared" si="453"/>
        <v>0</v>
      </c>
      <c r="AX404" s="100">
        <f t="shared" si="454"/>
        <v>0</v>
      </c>
      <c r="AY404" s="110" t="s">
        <v>1713</v>
      </c>
      <c r="AZ404" s="110" t="s">
        <v>1733</v>
      </c>
      <c r="BA404" s="109" t="s">
        <v>1737</v>
      </c>
      <c r="BC404" s="100">
        <f t="shared" si="455"/>
        <v>0</v>
      </c>
      <c r="BD404" s="100">
        <f t="shared" si="456"/>
        <v>0</v>
      </c>
      <c r="BE404" s="100">
        <v>0</v>
      </c>
      <c r="BF404" s="100">
        <f>404</f>
        <v>404</v>
      </c>
      <c r="BH404" s="108">
        <f t="shared" si="457"/>
        <v>0</v>
      </c>
      <c r="BI404" s="108">
        <f t="shared" si="458"/>
        <v>0</v>
      </c>
      <c r="BJ404" s="108">
        <f t="shared" si="459"/>
        <v>0</v>
      </c>
    </row>
    <row r="405" spans="1:62" x14ac:dyDescent="0.2">
      <c r="A405" s="117" t="s">
        <v>363</v>
      </c>
      <c r="B405" s="117" t="s">
        <v>859</v>
      </c>
      <c r="C405" s="304" t="s">
        <v>1448</v>
      </c>
      <c r="D405" s="305"/>
      <c r="E405" s="305"/>
      <c r="F405" s="117" t="s">
        <v>1647</v>
      </c>
      <c r="G405" s="116">
        <v>4</v>
      </c>
      <c r="H405" s="159"/>
      <c r="I405" s="108">
        <f t="shared" si="436"/>
        <v>0</v>
      </c>
      <c r="J405" s="108">
        <f t="shared" si="437"/>
        <v>0</v>
      </c>
      <c r="K405" s="108">
        <f t="shared" si="438"/>
        <v>0</v>
      </c>
      <c r="L405" s="111"/>
      <c r="Z405" s="100">
        <f t="shared" si="439"/>
        <v>0</v>
      </c>
      <c r="AB405" s="100">
        <f t="shared" si="440"/>
        <v>0</v>
      </c>
      <c r="AC405" s="100">
        <f t="shared" si="441"/>
        <v>0</v>
      </c>
      <c r="AD405" s="100">
        <f t="shared" si="442"/>
        <v>0</v>
      </c>
      <c r="AE405" s="100">
        <f t="shared" si="443"/>
        <v>0</v>
      </c>
      <c r="AF405" s="100">
        <f t="shared" si="444"/>
        <v>0</v>
      </c>
      <c r="AG405" s="100">
        <f t="shared" si="445"/>
        <v>0</v>
      </c>
      <c r="AH405" s="100">
        <f t="shared" si="446"/>
        <v>0</v>
      </c>
      <c r="AI405" s="109"/>
      <c r="AJ405" s="108">
        <f t="shared" si="447"/>
        <v>0</v>
      </c>
      <c r="AK405" s="108">
        <f t="shared" si="448"/>
        <v>0</v>
      </c>
      <c r="AL405" s="108">
        <f t="shared" si="449"/>
        <v>0</v>
      </c>
      <c r="AN405" s="100">
        <v>15</v>
      </c>
      <c r="AO405" s="100">
        <f t="shared" si="450"/>
        <v>0</v>
      </c>
      <c r="AP405" s="100">
        <f t="shared" si="451"/>
        <v>0</v>
      </c>
      <c r="AQ405" s="111" t="s">
        <v>13</v>
      </c>
      <c r="AV405" s="100">
        <f t="shared" si="452"/>
        <v>0</v>
      </c>
      <c r="AW405" s="100">
        <f t="shared" si="453"/>
        <v>0</v>
      </c>
      <c r="AX405" s="100">
        <f t="shared" si="454"/>
        <v>0</v>
      </c>
      <c r="AY405" s="110" t="s">
        <v>1713</v>
      </c>
      <c r="AZ405" s="110" t="s">
        <v>1733</v>
      </c>
      <c r="BA405" s="109" t="s">
        <v>1737</v>
      </c>
      <c r="BC405" s="100">
        <f t="shared" si="455"/>
        <v>0</v>
      </c>
      <c r="BD405" s="100">
        <f t="shared" si="456"/>
        <v>0</v>
      </c>
      <c r="BE405" s="100">
        <v>0</v>
      </c>
      <c r="BF405" s="100">
        <f>405</f>
        <v>405</v>
      </c>
      <c r="BH405" s="108">
        <f t="shared" si="457"/>
        <v>0</v>
      </c>
      <c r="BI405" s="108">
        <f t="shared" si="458"/>
        <v>0</v>
      </c>
      <c r="BJ405" s="108">
        <f t="shared" si="459"/>
        <v>0</v>
      </c>
    </row>
    <row r="406" spans="1:62" x14ac:dyDescent="0.2">
      <c r="A406" s="117" t="s">
        <v>364</v>
      </c>
      <c r="B406" s="117" t="s">
        <v>860</v>
      </c>
      <c r="C406" s="304" t="s">
        <v>1449</v>
      </c>
      <c r="D406" s="305"/>
      <c r="E406" s="305"/>
      <c r="F406" s="117" t="s">
        <v>1647</v>
      </c>
      <c r="G406" s="116">
        <v>8</v>
      </c>
      <c r="H406" s="159"/>
      <c r="I406" s="108">
        <f t="shared" si="436"/>
        <v>0</v>
      </c>
      <c r="J406" s="108">
        <f t="shared" si="437"/>
        <v>0</v>
      </c>
      <c r="K406" s="108">
        <f t="shared" si="438"/>
        <v>0</v>
      </c>
      <c r="L406" s="111"/>
      <c r="Z406" s="100">
        <f t="shared" si="439"/>
        <v>0</v>
      </c>
      <c r="AB406" s="100">
        <f t="shared" si="440"/>
        <v>0</v>
      </c>
      <c r="AC406" s="100">
        <f t="shared" si="441"/>
        <v>0</v>
      </c>
      <c r="AD406" s="100">
        <f t="shared" si="442"/>
        <v>0</v>
      </c>
      <c r="AE406" s="100">
        <f t="shared" si="443"/>
        <v>0</v>
      </c>
      <c r="AF406" s="100">
        <f t="shared" si="444"/>
        <v>0</v>
      </c>
      <c r="AG406" s="100">
        <f t="shared" si="445"/>
        <v>0</v>
      </c>
      <c r="AH406" s="100">
        <f t="shared" si="446"/>
        <v>0</v>
      </c>
      <c r="AI406" s="109"/>
      <c r="AJ406" s="108">
        <f t="shared" si="447"/>
        <v>0</v>
      </c>
      <c r="AK406" s="108">
        <f t="shared" si="448"/>
        <v>0</v>
      </c>
      <c r="AL406" s="108">
        <f t="shared" si="449"/>
        <v>0</v>
      </c>
      <c r="AN406" s="100">
        <v>15</v>
      </c>
      <c r="AO406" s="100">
        <f t="shared" si="450"/>
        <v>0</v>
      </c>
      <c r="AP406" s="100">
        <f t="shared" si="451"/>
        <v>0</v>
      </c>
      <c r="AQ406" s="111" t="s">
        <v>13</v>
      </c>
      <c r="AV406" s="100">
        <f t="shared" si="452"/>
        <v>0</v>
      </c>
      <c r="AW406" s="100">
        <f t="shared" si="453"/>
        <v>0</v>
      </c>
      <c r="AX406" s="100">
        <f t="shared" si="454"/>
        <v>0</v>
      </c>
      <c r="AY406" s="110" t="s">
        <v>1713</v>
      </c>
      <c r="AZ406" s="110" t="s">
        <v>1733</v>
      </c>
      <c r="BA406" s="109" t="s">
        <v>1737</v>
      </c>
      <c r="BC406" s="100">
        <f t="shared" si="455"/>
        <v>0</v>
      </c>
      <c r="BD406" s="100">
        <f t="shared" si="456"/>
        <v>0</v>
      </c>
      <c r="BE406" s="100">
        <v>0</v>
      </c>
      <c r="BF406" s="100">
        <f>406</f>
        <v>406</v>
      </c>
      <c r="BH406" s="108">
        <f t="shared" si="457"/>
        <v>0</v>
      </c>
      <c r="BI406" s="108">
        <f t="shared" si="458"/>
        <v>0</v>
      </c>
      <c r="BJ406" s="108">
        <f t="shared" si="459"/>
        <v>0</v>
      </c>
    </row>
    <row r="407" spans="1:62" x14ac:dyDescent="0.2">
      <c r="A407" s="117" t="s">
        <v>365</v>
      </c>
      <c r="B407" s="117" t="s">
        <v>861</v>
      </c>
      <c r="C407" s="304" t="s">
        <v>1450</v>
      </c>
      <c r="D407" s="305"/>
      <c r="E407" s="305"/>
      <c r="F407" s="117" t="s">
        <v>1647</v>
      </c>
      <c r="G407" s="116">
        <v>4</v>
      </c>
      <c r="H407" s="159"/>
      <c r="I407" s="108">
        <f t="shared" si="436"/>
        <v>0</v>
      </c>
      <c r="J407" s="108">
        <f t="shared" si="437"/>
        <v>0</v>
      </c>
      <c r="K407" s="108">
        <f t="shared" si="438"/>
        <v>0</v>
      </c>
      <c r="L407" s="111"/>
      <c r="Z407" s="100">
        <f t="shared" si="439"/>
        <v>0</v>
      </c>
      <c r="AB407" s="100">
        <f t="shared" si="440"/>
        <v>0</v>
      </c>
      <c r="AC407" s="100">
        <f t="shared" si="441"/>
        <v>0</v>
      </c>
      <c r="AD407" s="100">
        <f t="shared" si="442"/>
        <v>0</v>
      </c>
      <c r="AE407" s="100">
        <f t="shared" si="443"/>
        <v>0</v>
      </c>
      <c r="AF407" s="100">
        <f t="shared" si="444"/>
        <v>0</v>
      </c>
      <c r="AG407" s="100">
        <f t="shared" si="445"/>
        <v>0</v>
      </c>
      <c r="AH407" s="100">
        <f t="shared" si="446"/>
        <v>0</v>
      </c>
      <c r="AI407" s="109"/>
      <c r="AJ407" s="108">
        <f t="shared" si="447"/>
        <v>0</v>
      </c>
      <c r="AK407" s="108">
        <f t="shared" si="448"/>
        <v>0</v>
      </c>
      <c r="AL407" s="108">
        <f t="shared" si="449"/>
        <v>0</v>
      </c>
      <c r="AN407" s="100">
        <v>15</v>
      </c>
      <c r="AO407" s="100">
        <f t="shared" si="450"/>
        <v>0</v>
      </c>
      <c r="AP407" s="100">
        <f t="shared" si="451"/>
        <v>0</v>
      </c>
      <c r="AQ407" s="111" t="s">
        <v>13</v>
      </c>
      <c r="AV407" s="100">
        <f t="shared" si="452"/>
        <v>0</v>
      </c>
      <c r="AW407" s="100">
        <f t="shared" si="453"/>
        <v>0</v>
      </c>
      <c r="AX407" s="100">
        <f t="shared" si="454"/>
        <v>0</v>
      </c>
      <c r="AY407" s="110" t="s">
        <v>1713</v>
      </c>
      <c r="AZ407" s="110" t="s">
        <v>1733</v>
      </c>
      <c r="BA407" s="109" t="s">
        <v>1737</v>
      </c>
      <c r="BC407" s="100">
        <f t="shared" si="455"/>
        <v>0</v>
      </c>
      <c r="BD407" s="100">
        <f t="shared" si="456"/>
        <v>0</v>
      </c>
      <c r="BE407" s="100">
        <v>0</v>
      </c>
      <c r="BF407" s="100">
        <f>407</f>
        <v>407</v>
      </c>
      <c r="BH407" s="108">
        <f t="shared" si="457"/>
        <v>0</v>
      </c>
      <c r="BI407" s="108">
        <f t="shared" si="458"/>
        <v>0</v>
      </c>
      <c r="BJ407" s="108">
        <f t="shared" si="459"/>
        <v>0</v>
      </c>
    </row>
    <row r="408" spans="1:62" x14ac:dyDescent="0.2">
      <c r="A408" s="117" t="s">
        <v>366</v>
      </c>
      <c r="B408" s="117" t="s">
        <v>862</v>
      </c>
      <c r="C408" s="304" t="s">
        <v>1451</v>
      </c>
      <c r="D408" s="305"/>
      <c r="E408" s="305"/>
      <c r="F408" s="117" t="s">
        <v>1647</v>
      </c>
      <c r="G408" s="116">
        <v>18</v>
      </c>
      <c r="H408" s="159"/>
      <c r="I408" s="108">
        <f t="shared" si="436"/>
        <v>0</v>
      </c>
      <c r="J408" s="108">
        <f t="shared" si="437"/>
        <v>0</v>
      </c>
      <c r="K408" s="108">
        <f t="shared" si="438"/>
        <v>0</v>
      </c>
      <c r="L408" s="111"/>
      <c r="Z408" s="100">
        <f t="shared" si="439"/>
        <v>0</v>
      </c>
      <c r="AB408" s="100">
        <f t="shared" si="440"/>
        <v>0</v>
      </c>
      <c r="AC408" s="100">
        <f t="shared" si="441"/>
        <v>0</v>
      </c>
      <c r="AD408" s="100">
        <f t="shared" si="442"/>
        <v>0</v>
      </c>
      <c r="AE408" s="100">
        <f t="shared" si="443"/>
        <v>0</v>
      </c>
      <c r="AF408" s="100">
        <f t="shared" si="444"/>
        <v>0</v>
      </c>
      <c r="AG408" s="100">
        <f t="shared" si="445"/>
        <v>0</v>
      </c>
      <c r="AH408" s="100">
        <f t="shared" si="446"/>
        <v>0</v>
      </c>
      <c r="AI408" s="109"/>
      <c r="AJ408" s="108">
        <f t="shared" si="447"/>
        <v>0</v>
      </c>
      <c r="AK408" s="108">
        <f t="shared" si="448"/>
        <v>0</v>
      </c>
      <c r="AL408" s="108">
        <f t="shared" si="449"/>
        <v>0</v>
      </c>
      <c r="AN408" s="100">
        <v>15</v>
      </c>
      <c r="AO408" s="100">
        <f t="shared" si="450"/>
        <v>0</v>
      </c>
      <c r="AP408" s="100">
        <f t="shared" si="451"/>
        <v>0</v>
      </c>
      <c r="AQ408" s="111" t="s">
        <v>13</v>
      </c>
      <c r="AV408" s="100">
        <f t="shared" si="452"/>
        <v>0</v>
      </c>
      <c r="AW408" s="100">
        <f t="shared" si="453"/>
        <v>0</v>
      </c>
      <c r="AX408" s="100">
        <f t="shared" si="454"/>
        <v>0</v>
      </c>
      <c r="AY408" s="110" t="s">
        <v>1713</v>
      </c>
      <c r="AZ408" s="110" t="s">
        <v>1733</v>
      </c>
      <c r="BA408" s="109" t="s">
        <v>1737</v>
      </c>
      <c r="BC408" s="100">
        <f t="shared" si="455"/>
        <v>0</v>
      </c>
      <c r="BD408" s="100">
        <f t="shared" si="456"/>
        <v>0</v>
      </c>
      <c r="BE408" s="100">
        <v>0</v>
      </c>
      <c r="BF408" s="100">
        <f>408</f>
        <v>408</v>
      </c>
      <c r="BH408" s="108">
        <f t="shared" si="457"/>
        <v>0</v>
      </c>
      <c r="BI408" s="108">
        <f t="shared" si="458"/>
        <v>0</v>
      </c>
      <c r="BJ408" s="108">
        <f t="shared" si="459"/>
        <v>0</v>
      </c>
    </row>
    <row r="409" spans="1:62" x14ac:dyDescent="0.2">
      <c r="A409" s="117" t="s">
        <v>367</v>
      </c>
      <c r="B409" s="117" t="s">
        <v>863</v>
      </c>
      <c r="C409" s="304" t="s">
        <v>1452</v>
      </c>
      <c r="D409" s="305"/>
      <c r="E409" s="305"/>
      <c r="F409" s="117" t="s">
        <v>1644</v>
      </c>
      <c r="G409" s="116">
        <v>1</v>
      </c>
      <c r="H409" s="159"/>
      <c r="I409" s="108">
        <f t="shared" si="436"/>
        <v>0</v>
      </c>
      <c r="J409" s="108">
        <f t="shared" si="437"/>
        <v>0</v>
      </c>
      <c r="K409" s="108">
        <f t="shared" si="438"/>
        <v>0</v>
      </c>
      <c r="L409" s="111"/>
      <c r="Z409" s="100">
        <f t="shared" si="439"/>
        <v>0</v>
      </c>
      <c r="AB409" s="100">
        <f t="shared" si="440"/>
        <v>0</v>
      </c>
      <c r="AC409" s="100">
        <f t="shared" si="441"/>
        <v>0</v>
      </c>
      <c r="AD409" s="100">
        <f t="shared" si="442"/>
        <v>0</v>
      </c>
      <c r="AE409" s="100">
        <f t="shared" si="443"/>
        <v>0</v>
      </c>
      <c r="AF409" s="100">
        <f t="shared" si="444"/>
        <v>0</v>
      </c>
      <c r="AG409" s="100">
        <f t="shared" si="445"/>
        <v>0</v>
      </c>
      <c r="AH409" s="100">
        <f t="shared" si="446"/>
        <v>0</v>
      </c>
      <c r="AI409" s="109"/>
      <c r="AJ409" s="108">
        <f t="shared" si="447"/>
        <v>0</v>
      </c>
      <c r="AK409" s="108">
        <f t="shared" si="448"/>
        <v>0</v>
      </c>
      <c r="AL409" s="108">
        <f t="shared" si="449"/>
        <v>0</v>
      </c>
      <c r="AN409" s="100">
        <v>15</v>
      </c>
      <c r="AO409" s="100">
        <f t="shared" si="450"/>
        <v>0</v>
      </c>
      <c r="AP409" s="100">
        <f t="shared" si="451"/>
        <v>0</v>
      </c>
      <c r="AQ409" s="111" t="s">
        <v>13</v>
      </c>
      <c r="AV409" s="100">
        <f t="shared" si="452"/>
        <v>0</v>
      </c>
      <c r="AW409" s="100">
        <f t="shared" si="453"/>
        <v>0</v>
      </c>
      <c r="AX409" s="100">
        <f t="shared" si="454"/>
        <v>0</v>
      </c>
      <c r="AY409" s="110" t="s">
        <v>1713</v>
      </c>
      <c r="AZ409" s="110" t="s">
        <v>1733</v>
      </c>
      <c r="BA409" s="109" t="s">
        <v>1737</v>
      </c>
      <c r="BC409" s="100">
        <f t="shared" si="455"/>
        <v>0</v>
      </c>
      <c r="BD409" s="100">
        <f t="shared" si="456"/>
        <v>0</v>
      </c>
      <c r="BE409" s="100">
        <v>0</v>
      </c>
      <c r="BF409" s="100">
        <f>409</f>
        <v>409</v>
      </c>
      <c r="BH409" s="108">
        <f t="shared" si="457"/>
        <v>0</v>
      </c>
      <c r="BI409" s="108">
        <f t="shared" si="458"/>
        <v>0</v>
      </c>
      <c r="BJ409" s="108">
        <f t="shared" si="459"/>
        <v>0</v>
      </c>
    </row>
    <row r="410" spans="1:62" x14ac:dyDescent="0.2">
      <c r="A410" s="117" t="s">
        <v>368</v>
      </c>
      <c r="B410" s="117" t="s">
        <v>864</v>
      </c>
      <c r="C410" s="304" t="s">
        <v>1453</v>
      </c>
      <c r="D410" s="305"/>
      <c r="E410" s="305"/>
      <c r="F410" s="117" t="s">
        <v>1645</v>
      </c>
      <c r="G410" s="116">
        <v>15</v>
      </c>
      <c r="H410" s="159"/>
      <c r="I410" s="108">
        <f t="shared" si="436"/>
        <v>0</v>
      </c>
      <c r="J410" s="108">
        <f t="shared" si="437"/>
        <v>0</v>
      </c>
      <c r="K410" s="108">
        <f t="shared" si="438"/>
        <v>0</v>
      </c>
      <c r="L410" s="111"/>
      <c r="Z410" s="100">
        <f t="shared" si="439"/>
        <v>0</v>
      </c>
      <c r="AB410" s="100">
        <f t="shared" si="440"/>
        <v>0</v>
      </c>
      <c r="AC410" s="100">
        <f t="shared" si="441"/>
        <v>0</v>
      </c>
      <c r="AD410" s="100">
        <f t="shared" si="442"/>
        <v>0</v>
      </c>
      <c r="AE410" s="100">
        <f t="shared" si="443"/>
        <v>0</v>
      </c>
      <c r="AF410" s="100">
        <f t="shared" si="444"/>
        <v>0</v>
      </c>
      <c r="AG410" s="100">
        <f t="shared" si="445"/>
        <v>0</v>
      </c>
      <c r="AH410" s="100">
        <f t="shared" si="446"/>
        <v>0</v>
      </c>
      <c r="AI410" s="109"/>
      <c r="AJ410" s="108">
        <f t="shared" si="447"/>
        <v>0</v>
      </c>
      <c r="AK410" s="108">
        <f t="shared" si="448"/>
        <v>0</v>
      </c>
      <c r="AL410" s="108">
        <f t="shared" si="449"/>
        <v>0</v>
      </c>
      <c r="AN410" s="100">
        <v>15</v>
      </c>
      <c r="AO410" s="100">
        <f t="shared" si="450"/>
        <v>0</v>
      </c>
      <c r="AP410" s="100">
        <f t="shared" si="451"/>
        <v>0</v>
      </c>
      <c r="AQ410" s="111" t="s">
        <v>13</v>
      </c>
      <c r="AV410" s="100">
        <f t="shared" si="452"/>
        <v>0</v>
      </c>
      <c r="AW410" s="100">
        <f t="shared" si="453"/>
        <v>0</v>
      </c>
      <c r="AX410" s="100">
        <f t="shared" si="454"/>
        <v>0</v>
      </c>
      <c r="AY410" s="110" t="s">
        <v>1713</v>
      </c>
      <c r="AZ410" s="110" t="s">
        <v>1733</v>
      </c>
      <c r="BA410" s="109" t="s">
        <v>1737</v>
      </c>
      <c r="BC410" s="100">
        <f t="shared" si="455"/>
        <v>0</v>
      </c>
      <c r="BD410" s="100">
        <f t="shared" si="456"/>
        <v>0</v>
      </c>
      <c r="BE410" s="100">
        <v>0</v>
      </c>
      <c r="BF410" s="100">
        <f>410</f>
        <v>410</v>
      </c>
      <c r="BH410" s="108">
        <f t="shared" si="457"/>
        <v>0</v>
      </c>
      <c r="BI410" s="108">
        <f t="shared" si="458"/>
        <v>0</v>
      </c>
      <c r="BJ410" s="108">
        <f t="shared" si="459"/>
        <v>0</v>
      </c>
    </row>
    <row r="411" spans="1:62" x14ac:dyDescent="0.2">
      <c r="A411" s="117" t="s">
        <v>369</v>
      </c>
      <c r="B411" s="117" t="s">
        <v>865</v>
      </c>
      <c r="C411" s="304" t="s">
        <v>1993</v>
      </c>
      <c r="D411" s="305"/>
      <c r="E411" s="305"/>
      <c r="F411" s="117" t="s">
        <v>1645</v>
      </c>
      <c r="G411" s="116">
        <v>3</v>
      </c>
      <c r="H411" s="159"/>
      <c r="I411" s="108">
        <f t="shared" si="436"/>
        <v>0</v>
      </c>
      <c r="J411" s="108">
        <f t="shared" si="437"/>
        <v>0</v>
      </c>
      <c r="K411" s="108">
        <f t="shared" si="438"/>
        <v>0</v>
      </c>
      <c r="L411" s="111"/>
      <c r="Z411" s="100">
        <f t="shared" si="439"/>
        <v>0</v>
      </c>
      <c r="AB411" s="100">
        <f t="shared" si="440"/>
        <v>0</v>
      </c>
      <c r="AC411" s="100">
        <f t="shared" si="441"/>
        <v>0</v>
      </c>
      <c r="AD411" s="100">
        <f t="shared" si="442"/>
        <v>0</v>
      </c>
      <c r="AE411" s="100">
        <f t="shared" si="443"/>
        <v>0</v>
      </c>
      <c r="AF411" s="100">
        <f t="shared" si="444"/>
        <v>0</v>
      </c>
      <c r="AG411" s="100">
        <f t="shared" si="445"/>
        <v>0</v>
      </c>
      <c r="AH411" s="100">
        <f t="shared" si="446"/>
        <v>0</v>
      </c>
      <c r="AI411" s="109"/>
      <c r="AJ411" s="108">
        <f t="shared" si="447"/>
        <v>0</v>
      </c>
      <c r="AK411" s="108">
        <f t="shared" si="448"/>
        <v>0</v>
      </c>
      <c r="AL411" s="108">
        <f t="shared" si="449"/>
        <v>0</v>
      </c>
      <c r="AN411" s="100">
        <v>15</v>
      </c>
      <c r="AO411" s="100">
        <f t="shared" si="450"/>
        <v>0</v>
      </c>
      <c r="AP411" s="100">
        <f t="shared" si="451"/>
        <v>0</v>
      </c>
      <c r="AQ411" s="111" t="s">
        <v>13</v>
      </c>
      <c r="AV411" s="100">
        <f t="shared" si="452"/>
        <v>0</v>
      </c>
      <c r="AW411" s="100">
        <f t="shared" si="453"/>
        <v>0</v>
      </c>
      <c r="AX411" s="100">
        <f t="shared" si="454"/>
        <v>0</v>
      </c>
      <c r="AY411" s="110" t="s">
        <v>1713</v>
      </c>
      <c r="AZ411" s="110" t="s">
        <v>1733</v>
      </c>
      <c r="BA411" s="109" t="s">
        <v>1737</v>
      </c>
      <c r="BC411" s="100">
        <f t="shared" si="455"/>
        <v>0</v>
      </c>
      <c r="BD411" s="100">
        <f t="shared" si="456"/>
        <v>0</v>
      </c>
      <c r="BE411" s="100">
        <v>0</v>
      </c>
      <c r="BF411" s="100">
        <f>411</f>
        <v>411</v>
      </c>
      <c r="BH411" s="108">
        <f t="shared" si="457"/>
        <v>0</v>
      </c>
      <c r="BI411" s="108">
        <f t="shared" si="458"/>
        <v>0</v>
      </c>
      <c r="BJ411" s="108">
        <f t="shared" si="459"/>
        <v>0</v>
      </c>
    </row>
    <row r="412" spans="1:62" x14ac:dyDescent="0.2">
      <c r="A412" s="117" t="s">
        <v>370</v>
      </c>
      <c r="B412" s="117" t="s">
        <v>866</v>
      </c>
      <c r="C412" s="304" t="s">
        <v>1454</v>
      </c>
      <c r="D412" s="305"/>
      <c r="E412" s="305"/>
      <c r="F412" s="117" t="s">
        <v>1652</v>
      </c>
      <c r="G412" s="116">
        <v>1</v>
      </c>
      <c r="H412" s="159"/>
      <c r="I412" s="108">
        <f t="shared" si="436"/>
        <v>0</v>
      </c>
      <c r="J412" s="108">
        <f t="shared" si="437"/>
        <v>0</v>
      </c>
      <c r="K412" s="108">
        <f t="shared" si="438"/>
        <v>0</v>
      </c>
      <c r="L412" s="111"/>
      <c r="Z412" s="100">
        <f t="shared" si="439"/>
        <v>0</v>
      </c>
      <c r="AB412" s="100">
        <f t="shared" si="440"/>
        <v>0</v>
      </c>
      <c r="AC412" s="100">
        <f t="shared" si="441"/>
        <v>0</v>
      </c>
      <c r="AD412" s="100">
        <f t="shared" si="442"/>
        <v>0</v>
      </c>
      <c r="AE412" s="100">
        <f t="shared" si="443"/>
        <v>0</v>
      </c>
      <c r="AF412" s="100">
        <f t="shared" si="444"/>
        <v>0</v>
      </c>
      <c r="AG412" s="100">
        <f t="shared" si="445"/>
        <v>0</v>
      </c>
      <c r="AH412" s="100">
        <f t="shared" si="446"/>
        <v>0</v>
      </c>
      <c r="AI412" s="109"/>
      <c r="AJ412" s="108">
        <f t="shared" si="447"/>
        <v>0</v>
      </c>
      <c r="AK412" s="108">
        <f t="shared" si="448"/>
        <v>0</v>
      </c>
      <c r="AL412" s="108">
        <f t="shared" si="449"/>
        <v>0</v>
      </c>
      <c r="AN412" s="100">
        <v>15</v>
      </c>
      <c r="AO412" s="100">
        <f t="shared" si="450"/>
        <v>0</v>
      </c>
      <c r="AP412" s="100">
        <f t="shared" si="451"/>
        <v>0</v>
      </c>
      <c r="AQ412" s="111" t="s">
        <v>13</v>
      </c>
      <c r="AV412" s="100">
        <f t="shared" si="452"/>
        <v>0</v>
      </c>
      <c r="AW412" s="100">
        <f t="shared" si="453"/>
        <v>0</v>
      </c>
      <c r="AX412" s="100">
        <f t="shared" si="454"/>
        <v>0</v>
      </c>
      <c r="AY412" s="110" t="s">
        <v>1713</v>
      </c>
      <c r="AZ412" s="110" t="s">
        <v>1733</v>
      </c>
      <c r="BA412" s="109" t="s">
        <v>1737</v>
      </c>
      <c r="BC412" s="100">
        <f t="shared" si="455"/>
        <v>0</v>
      </c>
      <c r="BD412" s="100">
        <f t="shared" si="456"/>
        <v>0</v>
      </c>
      <c r="BE412" s="100">
        <v>0</v>
      </c>
      <c r="BF412" s="100">
        <f>412</f>
        <v>412</v>
      </c>
      <c r="BH412" s="108">
        <f t="shared" si="457"/>
        <v>0</v>
      </c>
      <c r="BI412" s="108">
        <f t="shared" si="458"/>
        <v>0</v>
      </c>
      <c r="BJ412" s="108">
        <f t="shared" si="459"/>
        <v>0</v>
      </c>
    </row>
    <row r="413" spans="1:62" x14ac:dyDescent="0.2">
      <c r="A413" s="117" t="s">
        <v>371</v>
      </c>
      <c r="B413" s="117" t="s">
        <v>867</v>
      </c>
      <c r="C413" s="304" t="s">
        <v>1455</v>
      </c>
      <c r="D413" s="305"/>
      <c r="E413" s="305"/>
      <c r="F413" s="117" t="s">
        <v>1652</v>
      </c>
      <c r="G413" s="116">
        <v>1</v>
      </c>
      <c r="H413" s="159"/>
      <c r="I413" s="108">
        <f t="shared" si="436"/>
        <v>0</v>
      </c>
      <c r="J413" s="108">
        <f t="shared" si="437"/>
        <v>0</v>
      </c>
      <c r="K413" s="108">
        <f t="shared" si="438"/>
        <v>0</v>
      </c>
      <c r="L413" s="111"/>
      <c r="Z413" s="100">
        <f t="shared" si="439"/>
        <v>0</v>
      </c>
      <c r="AB413" s="100">
        <f t="shared" si="440"/>
        <v>0</v>
      </c>
      <c r="AC413" s="100">
        <f t="shared" si="441"/>
        <v>0</v>
      </c>
      <c r="AD413" s="100">
        <f t="shared" si="442"/>
        <v>0</v>
      </c>
      <c r="AE413" s="100">
        <f t="shared" si="443"/>
        <v>0</v>
      </c>
      <c r="AF413" s="100">
        <f t="shared" si="444"/>
        <v>0</v>
      </c>
      <c r="AG413" s="100">
        <f t="shared" si="445"/>
        <v>0</v>
      </c>
      <c r="AH413" s="100">
        <f t="shared" si="446"/>
        <v>0</v>
      </c>
      <c r="AI413" s="109"/>
      <c r="AJ413" s="108">
        <f t="shared" si="447"/>
        <v>0</v>
      </c>
      <c r="AK413" s="108">
        <f t="shared" si="448"/>
        <v>0</v>
      </c>
      <c r="AL413" s="108">
        <f t="shared" si="449"/>
        <v>0</v>
      </c>
      <c r="AN413" s="100">
        <v>15</v>
      </c>
      <c r="AO413" s="100">
        <f t="shared" si="450"/>
        <v>0</v>
      </c>
      <c r="AP413" s="100">
        <f t="shared" si="451"/>
        <v>0</v>
      </c>
      <c r="AQ413" s="111" t="s">
        <v>13</v>
      </c>
      <c r="AV413" s="100">
        <f t="shared" si="452"/>
        <v>0</v>
      </c>
      <c r="AW413" s="100">
        <f t="shared" si="453"/>
        <v>0</v>
      </c>
      <c r="AX413" s="100">
        <f t="shared" si="454"/>
        <v>0</v>
      </c>
      <c r="AY413" s="110" t="s">
        <v>1713</v>
      </c>
      <c r="AZ413" s="110" t="s">
        <v>1733</v>
      </c>
      <c r="BA413" s="109" t="s">
        <v>1737</v>
      </c>
      <c r="BC413" s="100">
        <f t="shared" si="455"/>
        <v>0</v>
      </c>
      <c r="BD413" s="100">
        <f t="shared" si="456"/>
        <v>0</v>
      </c>
      <c r="BE413" s="100">
        <v>0</v>
      </c>
      <c r="BF413" s="100">
        <f>413</f>
        <v>413</v>
      </c>
      <c r="BH413" s="108">
        <f t="shared" si="457"/>
        <v>0</v>
      </c>
      <c r="BI413" s="108">
        <f t="shared" si="458"/>
        <v>0</v>
      </c>
      <c r="BJ413" s="108">
        <f t="shared" si="459"/>
        <v>0</v>
      </c>
    </row>
    <row r="414" spans="1:62" x14ac:dyDescent="0.2">
      <c r="A414" s="117" t="s">
        <v>372</v>
      </c>
      <c r="B414" s="117" t="s">
        <v>868</v>
      </c>
      <c r="C414" s="304" t="s">
        <v>1456</v>
      </c>
      <c r="D414" s="305"/>
      <c r="E414" s="305"/>
      <c r="F414" s="117" t="s">
        <v>1652</v>
      </c>
      <c r="G414" s="116">
        <v>1</v>
      </c>
      <c r="H414" s="159"/>
      <c r="I414" s="108">
        <f t="shared" si="436"/>
        <v>0</v>
      </c>
      <c r="J414" s="108">
        <f t="shared" si="437"/>
        <v>0</v>
      </c>
      <c r="K414" s="108">
        <f t="shared" si="438"/>
        <v>0</v>
      </c>
      <c r="L414" s="111"/>
      <c r="Z414" s="100">
        <f t="shared" si="439"/>
        <v>0</v>
      </c>
      <c r="AB414" s="100">
        <f t="shared" si="440"/>
        <v>0</v>
      </c>
      <c r="AC414" s="100">
        <f t="shared" si="441"/>
        <v>0</v>
      </c>
      <c r="AD414" s="100">
        <f t="shared" si="442"/>
        <v>0</v>
      </c>
      <c r="AE414" s="100">
        <f t="shared" si="443"/>
        <v>0</v>
      </c>
      <c r="AF414" s="100">
        <f t="shared" si="444"/>
        <v>0</v>
      </c>
      <c r="AG414" s="100">
        <f t="shared" si="445"/>
        <v>0</v>
      </c>
      <c r="AH414" s="100">
        <f t="shared" si="446"/>
        <v>0</v>
      </c>
      <c r="AI414" s="109"/>
      <c r="AJ414" s="108">
        <f t="shared" si="447"/>
        <v>0</v>
      </c>
      <c r="AK414" s="108">
        <f t="shared" si="448"/>
        <v>0</v>
      </c>
      <c r="AL414" s="108">
        <f t="shared" si="449"/>
        <v>0</v>
      </c>
      <c r="AN414" s="100">
        <v>15</v>
      </c>
      <c r="AO414" s="100">
        <f t="shared" si="450"/>
        <v>0</v>
      </c>
      <c r="AP414" s="100">
        <f t="shared" si="451"/>
        <v>0</v>
      </c>
      <c r="AQ414" s="111" t="s">
        <v>13</v>
      </c>
      <c r="AV414" s="100">
        <f t="shared" si="452"/>
        <v>0</v>
      </c>
      <c r="AW414" s="100">
        <f t="shared" si="453"/>
        <v>0</v>
      </c>
      <c r="AX414" s="100">
        <f t="shared" si="454"/>
        <v>0</v>
      </c>
      <c r="AY414" s="110" t="s">
        <v>1713</v>
      </c>
      <c r="AZ414" s="110" t="s">
        <v>1733</v>
      </c>
      <c r="BA414" s="109" t="s">
        <v>1737</v>
      </c>
      <c r="BC414" s="100">
        <f t="shared" si="455"/>
        <v>0</v>
      </c>
      <c r="BD414" s="100">
        <f t="shared" si="456"/>
        <v>0</v>
      </c>
      <c r="BE414" s="100">
        <v>0</v>
      </c>
      <c r="BF414" s="100">
        <f>414</f>
        <v>414</v>
      </c>
      <c r="BH414" s="108">
        <f t="shared" si="457"/>
        <v>0</v>
      </c>
      <c r="BI414" s="108">
        <f t="shared" si="458"/>
        <v>0</v>
      </c>
      <c r="BJ414" s="108">
        <f t="shared" si="459"/>
        <v>0</v>
      </c>
    </row>
    <row r="415" spans="1:62" x14ac:dyDescent="0.2">
      <c r="A415" s="117" t="s">
        <v>373</v>
      </c>
      <c r="B415" s="117" t="s">
        <v>1992</v>
      </c>
      <c r="C415" s="304" t="s">
        <v>1420</v>
      </c>
      <c r="D415" s="305"/>
      <c r="E415" s="305"/>
      <c r="F415" s="117" t="s">
        <v>1652</v>
      </c>
      <c r="G415" s="116">
        <v>1</v>
      </c>
      <c r="H415" s="159"/>
      <c r="I415" s="108">
        <f t="shared" si="436"/>
        <v>0</v>
      </c>
      <c r="J415" s="108">
        <f t="shared" si="437"/>
        <v>0</v>
      </c>
      <c r="K415" s="108">
        <f t="shared" si="438"/>
        <v>0</v>
      </c>
      <c r="L415" s="111"/>
      <c r="Z415" s="100">
        <f t="shared" si="439"/>
        <v>0</v>
      </c>
      <c r="AB415" s="100">
        <f t="shared" si="440"/>
        <v>0</v>
      </c>
      <c r="AC415" s="100">
        <f t="shared" si="441"/>
        <v>0</v>
      </c>
      <c r="AD415" s="100">
        <f t="shared" si="442"/>
        <v>0</v>
      </c>
      <c r="AE415" s="100">
        <f t="shared" si="443"/>
        <v>0</v>
      </c>
      <c r="AF415" s="100">
        <f t="shared" si="444"/>
        <v>0</v>
      </c>
      <c r="AG415" s="100">
        <f t="shared" si="445"/>
        <v>0</v>
      </c>
      <c r="AH415" s="100">
        <f t="shared" si="446"/>
        <v>0</v>
      </c>
      <c r="AI415" s="109"/>
      <c r="AJ415" s="108">
        <f t="shared" si="447"/>
        <v>0</v>
      </c>
      <c r="AK415" s="108">
        <f t="shared" si="448"/>
        <v>0</v>
      </c>
      <c r="AL415" s="108">
        <f t="shared" si="449"/>
        <v>0</v>
      </c>
      <c r="AN415" s="100">
        <v>15</v>
      </c>
      <c r="AO415" s="100">
        <f t="shared" si="450"/>
        <v>0</v>
      </c>
      <c r="AP415" s="100">
        <f t="shared" si="451"/>
        <v>0</v>
      </c>
      <c r="AQ415" s="111" t="s">
        <v>13</v>
      </c>
      <c r="AV415" s="100">
        <f t="shared" si="452"/>
        <v>0</v>
      </c>
      <c r="AW415" s="100">
        <f t="shared" si="453"/>
        <v>0</v>
      </c>
      <c r="AX415" s="100">
        <f t="shared" si="454"/>
        <v>0</v>
      </c>
      <c r="AY415" s="110" t="s">
        <v>1713</v>
      </c>
      <c r="AZ415" s="110" t="s">
        <v>1733</v>
      </c>
      <c r="BA415" s="109" t="s">
        <v>1737</v>
      </c>
      <c r="BC415" s="100">
        <f t="shared" si="455"/>
        <v>0</v>
      </c>
      <c r="BD415" s="100">
        <f t="shared" si="456"/>
        <v>0</v>
      </c>
      <c r="BE415" s="100">
        <v>0</v>
      </c>
      <c r="BF415" s="100">
        <f>415</f>
        <v>415</v>
      </c>
      <c r="BH415" s="108">
        <f t="shared" si="457"/>
        <v>0</v>
      </c>
      <c r="BI415" s="108">
        <f t="shared" si="458"/>
        <v>0</v>
      </c>
      <c r="BJ415" s="108">
        <f t="shared" si="459"/>
        <v>0</v>
      </c>
    </row>
    <row r="416" spans="1:62" x14ac:dyDescent="0.2">
      <c r="A416" s="117" t="s">
        <v>374</v>
      </c>
      <c r="B416" s="117" t="s">
        <v>1991</v>
      </c>
      <c r="C416" s="304" t="s">
        <v>1421</v>
      </c>
      <c r="D416" s="305"/>
      <c r="E416" s="305"/>
      <c r="F416" s="117" t="s">
        <v>1652</v>
      </c>
      <c r="G416" s="116">
        <v>1</v>
      </c>
      <c r="H416" s="159"/>
      <c r="I416" s="108">
        <f t="shared" si="436"/>
        <v>0</v>
      </c>
      <c r="J416" s="108">
        <f t="shared" si="437"/>
        <v>0</v>
      </c>
      <c r="K416" s="108">
        <f t="shared" si="438"/>
        <v>0</v>
      </c>
      <c r="L416" s="111"/>
      <c r="Z416" s="100">
        <f t="shared" si="439"/>
        <v>0</v>
      </c>
      <c r="AB416" s="100">
        <f t="shared" si="440"/>
        <v>0</v>
      </c>
      <c r="AC416" s="100">
        <f t="shared" si="441"/>
        <v>0</v>
      </c>
      <c r="AD416" s="100">
        <f t="shared" si="442"/>
        <v>0</v>
      </c>
      <c r="AE416" s="100">
        <f t="shared" si="443"/>
        <v>0</v>
      </c>
      <c r="AF416" s="100">
        <f t="shared" si="444"/>
        <v>0</v>
      </c>
      <c r="AG416" s="100">
        <f t="shared" si="445"/>
        <v>0</v>
      </c>
      <c r="AH416" s="100">
        <f t="shared" si="446"/>
        <v>0</v>
      </c>
      <c r="AI416" s="109"/>
      <c r="AJ416" s="108">
        <f t="shared" si="447"/>
        <v>0</v>
      </c>
      <c r="AK416" s="108">
        <f t="shared" si="448"/>
        <v>0</v>
      </c>
      <c r="AL416" s="108">
        <f t="shared" si="449"/>
        <v>0</v>
      </c>
      <c r="AN416" s="100">
        <v>15</v>
      </c>
      <c r="AO416" s="100">
        <f t="shared" si="450"/>
        <v>0</v>
      </c>
      <c r="AP416" s="100">
        <f t="shared" si="451"/>
        <v>0</v>
      </c>
      <c r="AQ416" s="111" t="s">
        <v>13</v>
      </c>
      <c r="AV416" s="100">
        <f t="shared" si="452"/>
        <v>0</v>
      </c>
      <c r="AW416" s="100">
        <f t="shared" si="453"/>
        <v>0</v>
      </c>
      <c r="AX416" s="100">
        <f t="shared" si="454"/>
        <v>0</v>
      </c>
      <c r="AY416" s="110" t="s">
        <v>1713</v>
      </c>
      <c r="AZ416" s="110" t="s">
        <v>1733</v>
      </c>
      <c r="BA416" s="109" t="s">
        <v>1737</v>
      </c>
      <c r="BC416" s="100">
        <f t="shared" si="455"/>
        <v>0</v>
      </c>
      <c r="BD416" s="100">
        <f t="shared" si="456"/>
        <v>0</v>
      </c>
      <c r="BE416" s="100">
        <v>0</v>
      </c>
      <c r="BF416" s="100">
        <f>416</f>
        <v>416</v>
      </c>
      <c r="BH416" s="108">
        <f t="shared" si="457"/>
        <v>0</v>
      </c>
      <c r="BI416" s="108">
        <f t="shared" si="458"/>
        <v>0</v>
      </c>
      <c r="BJ416" s="108">
        <f t="shared" si="459"/>
        <v>0</v>
      </c>
    </row>
    <row r="417" spans="1:62" x14ac:dyDescent="0.2">
      <c r="A417" s="117" t="s">
        <v>375</v>
      </c>
      <c r="B417" s="117" t="s">
        <v>3985</v>
      </c>
      <c r="C417" s="304" t="s">
        <v>1457</v>
      </c>
      <c r="D417" s="305"/>
      <c r="E417" s="305"/>
      <c r="F417" s="117" t="s">
        <v>1652</v>
      </c>
      <c r="G417" s="116">
        <v>1</v>
      </c>
      <c r="H417" s="159"/>
      <c r="I417" s="108">
        <f t="shared" si="436"/>
        <v>0</v>
      </c>
      <c r="J417" s="108">
        <f t="shared" si="437"/>
        <v>0</v>
      </c>
      <c r="K417" s="108">
        <f t="shared" si="438"/>
        <v>0</v>
      </c>
      <c r="L417" s="111"/>
      <c r="Z417" s="100">
        <f t="shared" si="439"/>
        <v>0</v>
      </c>
      <c r="AB417" s="100">
        <f t="shared" si="440"/>
        <v>0</v>
      </c>
      <c r="AC417" s="100">
        <f t="shared" si="441"/>
        <v>0</v>
      </c>
      <c r="AD417" s="100">
        <f t="shared" si="442"/>
        <v>0</v>
      </c>
      <c r="AE417" s="100">
        <f t="shared" si="443"/>
        <v>0</v>
      </c>
      <c r="AF417" s="100">
        <f t="shared" si="444"/>
        <v>0</v>
      </c>
      <c r="AG417" s="100">
        <f t="shared" si="445"/>
        <v>0</v>
      </c>
      <c r="AH417" s="100">
        <f t="shared" si="446"/>
        <v>0</v>
      </c>
      <c r="AI417" s="109"/>
      <c r="AJ417" s="108">
        <f t="shared" si="447"/>
        <v>0</v>
      </c>
      <c r="AK417" s="108">
        <f t="shared" si="448"/>
        <v>0</v>
      </c>
      <c r="AL417" s="108">
        <f t="shared" si="449"/>
        <v>0</v>
      </c>
      <c r="AN417" s="100">
        <v>15</v>
      </c>
      <c r="AO417" s="100">
        <f t="shared" si="450"/>
        <v>0</v>
      </c>
      <c r="AP417" s="100">
        <f t="shared" si="451"/>
        <v>0</v>
      </c>
      <c r="AQ417" s="111" t="s">
        <v>13</v>
      </c>
      <c r="AV417" s="100">
        <f t="shared" si="452"/>
        <v>0</v>
      </c>
      <c r="AW417" s="100">
        <f t="shared" si="453"/>
        <v>0</v>
      </c>
      <c r="AX417" s="100">
        <f t="shared" si="454"/>
        <v>0</v>
      </c>
      <c r="AY417" s="110" t="s">
        <v>1713</v>
      </c>
      <c r="AZ417" s="110" t="s">
        <v>1733</v>
      </c>
      <c r="BA417" s="109" t="s">
        <v>1737</v>
      </c>
      <c r="BC417" s="100">
        <f t="shared" si="455"/>
        <v>0</v>
      </c>
      <c r="BD417" s="100">
        <f t="shared" si="456"/>
        <v>0</v>
      </c>
      <c r="BE417" s="100">
        <v>0</v>
      </c>
      <c r="BF417" s="100">
        <f>417</f>
        <v>417</v>
      </c>
      <c r="BH417" s="108">
        <f t="shared" si="457"/>
        <v>0</v>
      </c>
      <c r="BI417" s="108">
        <f t="shared" si="458"/>
        <v>0</v>
      </c>
      <c r="BJ417" s="108">
        <f t="shared" si="459"/>
        <v>0</v>
      </c>
    </row>
    <row r="418" spans="1:62" x14ac:dyDescent="0.2">
      <c r="A418" s="119"/>
      <c r="B418" s="120" t="s">
        <v>869</v>
      </c>
      <c r="C418" s="306" t="s">
        <v>1458</v>
      </c>
      <c r="D418" s="307"/>
      <c r="E418" s="307"/>
      <c r="F418" s="119" t="s">
        <v>6</v>
      </c>
      <c r="G418" s="119" t="s">
        <v>6</v>
      </c>
      <c r="H418" s="119" t="s">
        <v>6</v>
      </c>
      <c r="I418" s="118">
        <f>SUM(I419:I435)</f>
        <v>0</v>
      </c>
      <c r="J418" s="118">
        <f>SUM(J419:J435)</f>
        <v>0</v>
      </c>
      <c r="K418" s="118">
        <f>SUM(K419:K435)</f>
        <v>0</v>
      </c>
      <c r="L418" s="109"/>
      <c r="AI418" s="109"/>
      <c r="AS418" s="118">
        <f>SUM(AJ419:AJ435)</f>
        <v>0</v>
      </c>
      <c r="AT418" s="118">
        <f>SUM(AK419:AK435)</f>
        <v>0</v>
      </c>
      <c r="AU418" s="118">
        <f>SUM(AL419:AL435)</f>
        <v>0</v>
      </c>
    </row>
    <row r="419" spans="1:62" x14ac:dyDescent="0.2">
      <c r="A419" s="117" t="s">
        <v>376</v>
      </c>
      <c r="B419" s="117" t="s">
        <v>870</v>
      </c>
      <c r="C419" s="304" t="s">
        <v>1459</v>
      </c>
      <c r="D419" s="305"/>
      <c r="E419" s="305"/>
      <c r="F419" s="117" t="s">
        <v>1644</v>
      </c>
      <c r="G419" s="116">
        <v>3</v>
      </c>
      <c r="H419" s="159"/>
      <c r="I419" s="108">
        <f t="shared" ref="I419:I435" si="460">G419*AO419</f>
        <v>0</v>
      </c>
      <c r="J419" s="108">
        <f t="shared" ref="J419:J435" si="461">G419*AP419</f>
        <v>0</v>
      </c>
      <c r="K419" s="108">
        <f t="shared" ref="K419:K435" si="462">G419*H419</f>
        <v>0</v>
      </c>
      <c r="L419" s="111" t="s">
        <v>1671</v>
      </c>
      <c r="Z419" s="100">
        <f t="shared" ref="Z419:Z435" si="463">IF(AQ419="5",BJ419,0)</f>
        <v>0</v>
      </c>
      <c r="AB419" s="100">
        <f t="shared" ref="AB419:AB435" si="464">IF(AQ419="1",BH419,0)</f>
        <v>0</v>
      </c>
      <c r="AC419" s="100">
        <f t="shared" ref="AC419:AC435" si="465">IF(AQ419="1",BI419,0)</f>
        <v>0</v>
      </c>
      <c r="AD419" s="100">
        <f t="shared" ref="AD419:AD435" si="466">IF(AQ419="7",BH419,0)</f>
        <v>0</v>
      </c>
      <c r="AE419" s="100">
        <f t="shared" ref="AE419:AE435" si="467">IF(AQ419="7",BI419,0)</f>
        <v>0</v>
      </c>
      <c r="AF419" s="100">
        <f t="shared" ref="AF419:AF435" si="468">IF(AQ419="2",BH419,0)</f>
        <v>0</v>
      </c>
      <c r="AG419" s="100">
        <f t="shared" ref="AG419:AG435" si="469">IF(AQ419="2",BI419,0)</f>
        <v>0</v>
      </c>
      <c r="AH419" s="100">
        <f t="shared" ref="AH419:AH435" si="470">IF(AQ419="0",BJ419,0)</f>
        <v>0</v>
      </c>
      <c r="AI419" s="109"/>
      <c r="AJ419" s="108">
        <f t="shared" ref="AJ419:AJ435" si="471">IF(AN419=0,K419,0)</f>
        <v>0</v>
      </c>
      <c r="AK419" s="108">
        <f t="shared" ref="AK419:AK435" si="472">IF(AN419=15,K419,0)</f>
        <v>0</v>
      </c>
      <c r="AL419" s="108">
        <f t="shared" ref="AL419:AL435" si="473">IF(AN419=21,K419,0)</f>
        <v>0</v>
      </c>
      <c r="AN419" s="100">
        <v>15</v>
      </c>
      <c r="AO419" s="100">
        <f>H419*0.0692044609665427</f>
        <v>0</v>
      </c>
      <c r="AP419" s="100">
        <f>H419*(1-0.0692044609665427)</f>
        <v>0</v>
      </c>
      <c r="AQ419" s="111" t="s">
        <v>13</v>
      </c>
      <c r="AV419" s="100">
        <f t="shared" ref="AV419:AV435" si="474">AW419+AX419</f>
        <v>0</v>
      </c>
      <c r="AW419" s="100">
        <f t="shared" ref="AW419:AW435" si="475">G419*AO419</f>
        <v>0</v>
      </c>
      <c r="AX419" s="100">
        <f t="shared" ref="AX419:AX435" si="476">G419*AP419</f>
        <v>0</v>
      </c>
      <c r="AY419" s="110" t="s">
        <v>1714</v>
      </c>
      <c r="AZ419" s="110" t="s">
        <v>1734</v>
      </c>
      <c r="BA419" s="109" t="s">
        <v>1737</v>
      </c>
      <c r="BC419" s="100">
        <f t="shared" ref="BC419:BC435" si="477">AW419+AX419</f>
        <v>0</v>
      </c>
      <c r="BD419" s="100">
        <f t="shared" ref="BD419:BD435" si="478">H419/(100-BE419)*100</f>
        <v>0</v>
      </c>
      <c r="BE419" s="100">
        <v>0</v>
      </c>
      <c r="BF419" s="100">
        <f>419</f>
        <v>419</v>
      </c>
      <c r="BH419" s="108">
        <f t="shared" ref="BH419:BH435" si="479">G419*AO419</f>
        <v>0</v>
      </c>
      <c r="BI419" s="108">
        <f t="shared" ref="BI419:BI435" si="480">G419*AP419</f>
        <v>0</v>
      </c>
      <c r="BJ419" s="108">
        <f t="shared" ref="BJ419:BJ435" si="481">G419*H419</f>
        <v>0</v>
      </c>
    </row>
    <row r="420" spans="1:62" x14ac:dyDescent="0.2">
      <c r="A420" s="117" t="s">
        <v>377</v>
      </c>
      <c r="B420" s="117" t="s">
        <v>871</v>
      </c>
      <c r="C420" s="304" t="s">
        <v>3984</v>
      </c>
      <c r="D420" s="305"/>
      <c r="E420" s="305"/>
      <c r="F420" s="117" t="s">
        <v>1645</v>
      </c>
      <c r="G420" s="116">
        <v>424.964</v>
      </c>
      <c r="H420" s="159"/>
      <c r="I420" s="108">
        <f t="shared" si="460"/>
        <v>0</v>
      </c>
      <c r="J420" s="108">
        <f t="shared" si="461"/>
        <v>0</v>
      </c>
      <c r="K420" s="108">
        <f t="shared" si="462"/>
        <v>0</v>
      </c>
      <c r="L420" s="111" t="s">
        <v>1671</v>
      </c>
      <c r="Z420" s="100">
        <f t="shared" si="463"/>
        <v>0</v>
      </c>
      <c r="AB420" s="100">
        <f t="shared" si="464"/>
        <v>0</v>
      </c>
      <c r="AC420" s="100">
        <f t="shared" si="465"/>
        <v>0</v>
      </c>
      <c r="AD420" s="100">
        <f t="shared" si="466"/>
        <v>0</v>
      </c>
      <c r="AE420" s="100">
        <f t="shared" si="467"/>
        <v>0</v>
      </c>
      <c r="AF420" s="100">
        <f t="shared" si="468"/>
        <v>0</v>
      </c>
      <c r="AG420" s="100">
        <f t="shared" si="469"/>
        <v>0</v>
      </c>
      <c r="AH420" s="100">
        <f t="shared" si="470"/>
        <v>0</v>
      </c>
      <c r="AI420" s="109"/>
      <c r="AJ420" s="108">
        <f t="shared" si="471"/>
        <v>0</v>
      </c>
      <c r="AK420" s="108">
        <f t="shared" si="472"/>
        <v>0</v>
      </c>
      <c r="AL420" s="108">
        <f t="shared" si="473"/>
        <v>0</v>
      </c>
      <c r="AN420" s="100">
        <v>15</v>
      </c>
      <c r="AO420" s="100">
        <f>H420*0.493473684210526</f>
        <v>0</v>
      </c>
      <c r="AP420" s="100">
        <f>H420*(1-0.493473684210526)</f>
        <v>0</v>
      </c>
      <c r="AQ420" s="111" t="s">
        <v>13</v>
      </c>
      <c r="AV420" s="100">
        <f t="shared" si="474"/>
        <v>0</v>
      </c>
      <c r="AW420" s="100">
        <f t="shared" si="475"/>
        <v>0</v>
      </c>
      <c r="AX420" s="100">
        <f t="shared" si="476"/>
        <v>0</v>
      </c>
      <c r="AY420" s="110" t="s">
        <v>1714</v>
      </c>
      <c r="AZ420" s="110" t="s">
        <v>1734</v>
      </c>
      <c r="BA420" s="109" t="s">
        <v>1737</v>
      </c>
      <c r="BC420" s="100">
        <f t="shared" si="477"/>
        <v>0</v>
      </c>
      <c r="BD420" s="100">
        <f t="shared" si="478"/>
        <v>0</v>
      </c>
      <c r="BE420" s="100">
        <v>0</v>
      </c>
      <c r="BF420" s="100">
        <f>420</f>
        <v>420</v>
      </c>
      <c r="BH420" s="108">
        <f t="shared" si="479"/>
        <v>0</v>
      </c>
      <c r="BI420" s="108">
        <f t="shared" si="480"/>
        <v>0</v>
      </c>
      <c r="BJ420" s="108">
        <f t="shared" si="481"/>
        <v>0</v>
      </c>
    </row>
    <row r="421" spans="1:62" x14ac:dyDescent="0.2">
      <c r="A421" s="117" t="s">
        <v>378</v>
      </c>
      <c r="B421" s="117" t="s">
        <v>872</v>
      </c>
      <c r="C421" s="304" t="s">
        <v>1461</v>
      </c>
      <c r="D421" s="305"/>
      <c r="E421" s="305"/>
      <c r="F421" s="117" t="s">
        <v>1645</v>
      </c>
      <c r="G421" s="116">
        <v>477.50400000000002</v>
      </c>
      <c r="H421" s="159"/>
      <c r="I421" s="108">
        <f t="shared" si="460"/>
        <v>0</v>
      </c>
      <c r="J421" s="108">
        <f t="shared" si="461"/>
        <v>0</v>
      </c>
      <c r="K421" s="108">
        <f t="shared" si="462"/>
        <v>0</v>
      </c>
      <c r="L421" s="111" t="s">
        <v>1671</v>
      </c>
      <c r="Z421" s="100">
        <f t="shared" si="463"/>
        <v>0</v>
      </c>
      <c r="AB421" s="100">
        <f t="shared" si="464"/>
        <v>0</v>
      </c>
      <c r="AC421" s="100">
        <f t="shared" si="465"/>
        <v>0</v>
      </c>
      <c r="AD421" s="100">
        <f t="shared" si="466"/>
        <v>0</v>
      </c>
      <c r="AE421" s="100">
        <f t="shared" si="467"/>
        <v>0</v>
      </c>
      <c r="AF421" s="100">
        <f t="shared" si="468"/>
        <v>0</v>
      </c>
      <c r="AG421" s="100">
        <f t="shared" si="469"/>
        <v>0</v>
      </c>
      <c r="AH421" s="100">
        <f t="shared" si="470"/>
        <v>0</v>
      </c>
      <c r="AI421" s="109"/>
      <c r="AJ421" s="108">
        <f t="shared" si="471"/>
        <v>0</v>
      </c>
      <c r="AK421" s="108">
        <f t="shared" si="472"/>
        <v>0</v>
      </c>
      <c r="AL421" s="108">
        <f t="shared" si="473"/>
        <v>0</v>
      </c>
      <c r="AN421" s="100">
        <v>15</v>
      </c>
      <c r="AO421" s="100">
        <f>H421*0.493506493506494</f>
        <v>0</v>
      </c>
      <c r="AP421" s="100">
        <f>H421*(1-0.493506493506494)</f>
        <v>0</v>
      </c>
      <c r="AQ421" s="111" t="s">
        <v>13</v>
      </c>
      <c r="AV421" s="100">
        <f t="shared" si="474"/>
        <v>0</v>
      </c>
      <c r="AW421" s="100">
        <f t="shared" si="475"/>
        <v>0</v>
      </c>
      <c r="AX421" s="100">
        <f t="shared" si="476"/>
        <v>0</v>
      </c>
      <c r="AY421" s="110" t="s">
        <v>1714</v>
      </c>
      <c r="AZ421" s="110" t="s">
        <v>1734</v>
      </c>
      <c r="BA421" s="109" t="s">
        <v>1737</v>
      </c>
      <c r="BC421" s="100">
        <f t="shared" si="477"/>
        <v>0</v>
      </c>
      <c r="BD421" s="100">
        <f t="shared" si="478"/>
        <v>0</v>
      </c>
      <c r="BE421" s="100">
        <v>0</v>
      </c>
      <c r="BF421" s="100">
        <f>421</f>
        <v>421</v>
      </c>
      <c r="BH421" s="108">
        <f t="shared" si="479"/>
        <v>0</v>
      </c>
      <c r="BI421" s="108">
        <f t="shared" si="480"/>
        <v>0</v>
      </c>
      <c r="BJ421" s="108">
        <f t="shared" si="481"/>
        <v>0</v>
      </c>
    </row>
    <row r="422" spans="1:62" x14ac:dyDescent="0.2">
      <c r="A422" s="117" t="s">
        <v>379</v>
      </c>
      <c r="B422" s="117" t="s">
        <v>873</v>
      </c>
      <c r="C422" s="304" t="s">
        <v>1462</v>
      </c>
      <c r="D422" s="305"/>
      <c r="E422" s="305"/>
      <c r="F422" s="117" t="s">
        <v>1645</v>
      </c>
      <c r="G422" s="116">
        <v>477.50400000000002</v>
      </c>
      <c r="H422" s="159"/>
      <c r="I422" s="108">
        <f t="shared" si="460"/>
        <v>0</v>
      </c>
      <c r="J422" s="108">
        <f t="shared" si="461"/>
        <v>0</v>
      </c>
      <c r="K422" s="108">
        <f t="shared" si="462"/>
        <v>0</v>
      </c>
      <c r="L422" s="111" t="s">
        <v>1671</v>
      </c>
      <c r="Z422" s="100">
        <f t="shared" si="463"/>
        <v>0</v>
      </c>
      <c r="AB422" s="100">
        <f t="shared" si="464"/>
        <v>0</v>
      </c>
      <c r="AC422" s="100">
        <f t="shared" si="465"/>
        <v>0</v>
      </c>
      <c r="AD422" s="100">
        <f t="shared" si="466"/>
        <v>0</v>
      </c>
      <c r="AE422" s="100">
        <f t="shared" si="467"/>
        <v>0</v>
      </c>
      <c r="AF422" s="100">
        <f t="shared" si="468"/>
        <v>0</v>
      </c>
      <c r="AG422" s="100">
        <f t="shared" si="469"/>
        <v>0</v>
      </c>
      <c r="AH422" s="100">
        <f t="shared" si="470"/>
        <v>0</v>
      </c>
      <c r="AI422" s="109"/>
      <c r="AJ422" s="108">
        <f t="shared" si="471"/>
        <v>0</v>
      </c>
      <c r="AK422" s="108">
        <f t="shared" si="472"/>
        <v>0</v>
      </c>
      <c r="AL422" s="108">
        <f t="shared" si="473"/>
        <v>0</v>
      </c>
      <c r="AN422" s="100">
        <v>15</v>
      </c>
      <c r="AO422" s="100">
        <f>H422*0.493489093353656</f>
        <v>0</v>
      </c>
      <c r="AP422" s="100">
        <f>H422*(1-0.493489093353656)</f>
        <v>0</v>
      </c>
      <c r="AQ422" s="111" t="s">
        <v>13</v>
      </c>
      <c r="AV422" s="100">
        <f t="shared" si="474"/>
        <v>0</v>
      </c>
      <c r="AW422" s="100">
        <f t="shared" si="475"/>
        <v>0</v>
      </c>
      <c r="AX422" s="100">
        <f t="shared" si="476"/>
        <v>0</v>
      </c>
      <c r="AY422" s="110" t="s">
        <v>1714</v>
      </c>
      <c r="AZ422" s="110" t="s">
        <v>1734</v>
      </c>
      <c r="BA422" s="109" t="s">
        <v>1737</v>
      </c>
      <c r="BC422" s="100">
        <f t="shared" si="477"/>
        <v>0</v>
      </c>
      <c r="BD422" s="100">
        <f t="shared" si="478"/>
        <v>0</v>
      </c>
      <c r="BE422" s="100">
        <v>0</v>
      </c>
      <c r="BF422" s="100">
        <f>422</f>
        <v>422</v>
      </c>
      <c r="BH422" s="108">
        <f t="shared" si="479"/>
        <v>0</v>
      </c>
      <c r="BI422" s="108">
        <f t="shared" si="480"/>
        <v>0</v>
      </c>
      <c r="BJ422" s="108">
        <f t="shared" si="481"/>
        <v>0</v>
      </c>
    </row>
    <row r="423" spans="1:62" x14ac:dyDescent="0.2">
      <c r="A423" s="117" t="s">
        <v>380</v>
      </c>
      <c r="B423" s="117" t="s">
        <v>2324</v>
      </c>
      <c r="C423" s="304" t="s">
        <v>2323</v>
      </c>
      <c r="D423" s="305"/>
      <c r="E423" s="305"/>
      <c r="F423" s="117" t="s">
        <v>1645</v>
      </c>
      <c r="G423" s="116">
        <v>6.0750000000000002</v>
      </c>
      <c r="H423" s="159"/>
      <c r="I423" s="108">
        <f t="shared" si="460"/>
        <v>0</v>
      </c>
      <c r="J423" s="108">
        <f t="shared" si="461"/>
        <v>0</v>
      </c>
      <c r="K423" s="108">
        <f t="shared" si="462"/>
        <v>0</v>
      </c>
      <c r="L423" s="111" t="s">
        <v>1671</v>
      </c>
      <c r="Z423" s="100">
        <f t="shared" si="463"/>
        <v>0</v>
      </c>
      <c r="AB423" s="100">
        <f t="shared" si="464"/>
        <v>0</v>
      </c>
      <c r="AC423" s="100">
        <f t="shared" si="465"/>
        <v>0</v>
      </c>
      <c r="AD423" s="100">
        <f t="shared" si="466"/>
        <v>0</v>
      </c>
      <c r="AE423" s="100">
        <f t="shared" si="467"/>
        <v>0</v>
      </c>
      <c r="AF423" s="100">
        <f t="shared" si="468"/>
        <v>0</v>
      </c>
      <c r="AG423" s="100">
        <f t="shared" si="469"/>
        <v>0</v>
      </c>
      <c r="AH423" s="100">
        <f t="shared" si="470"/>
        <v>0</v>
      </c>
      <c r="AI423" s="109"/>
      <c r="AJ423" s="108">
        <f t="shared" si="471"/>
        <v>0</v>
      </c>
      <c r="AK423" s="108">
        <f t="shared" si="472"/>
        <v>0</v>
      </c>
      <c r="AL423" s="108">
        <f t="shared" si="473"/>
        <v>0</v>
      </c>
      <c r="AN423" s="100">
        <v>15</v>
      </c>
      <c r="AO423" s="100">
        <f>H423*0</f>
        <v>0</v>
      </c>
      <c r="AP423" s="100">
        <f>H423*(1-0)</f>
        <v>0</v>
      </c>
      <c r="AQ423" s="111" t="s">
        <v>13</v>
      </c>
      <c r="AV423" s="100">
        <f t="shared" si="474"/>
        <v>0</v>
      </c>
      <c r="AW423" s="100">
        <f t="shared" si="475"/>
        <v>0</v>
      </c>
      <c r="AX423" s="100">
        <f t="shared" si="476"/>
        <v>0</v>
      </c>
      <c r="AY423" s="110" t="s">
        <v>1714</v>
      </c>
      <c r="AZ423" s="110" t="s">
        <v>1734</v>
      </c>
      <c r="BA423" s="109" t="s">
        <v>1737</v>
      </c>
      <c r="BC423" s="100">
        <f t="shared" si="477"/>
        <v>0</v>
      </c>
      <c r="BD423" s="100">
        <f t="shared" si="478"/>
        <v>0</v>
      </c>
      <c r="BE423" s="100">
        <v>0</v>
      </c>
      <c r="BF423" s="100">
        <f>423</f>
        <v>423</v>
      </c>
      <c r="BH423" s="108">
        <f t="shared" si="479"/>
        <v>0</v>
      </c>
      <c r="BI423" s="108">
        <f t="shared" si="480"/>
        <v>0</v>
      </c>
      <c r="BJ423" s="108">
        <f t="shared" si="481"/>
        <v>0</v>
      </c>
    </row>
    <row r="424" spans="1:62" x14ac:dyDescent="0.2">
      <c r="A424" s="117" t="s">
        <v>381</v>
      </c>
      <c r="B424" s="117" t="s">
        <v>874</v>
      </c>
      <c r="C424" s="304" t="s">
        <v>3454</v>
      </c>
      <c r="D424" s="305"/>
      <c r="E424" s="305"/>
      <c r="F424" s="117" t="s">
        <v>1645</v>
      </c>
      <c r="G424" s="116">
        <v>477.50400000000002</v>
      </c>
      <c r="H424" s="159"/>
      <c r="I424" s="108">
        <f t="shared" si="460"/>
        <v>0</v>
      </c>
      <c r="J424" s="108">
        <f t="shared" si="461"/>
        <v>0</v>
      </c>
      <c r="K424" s="108">
        <f t="shared" si="462"/>
        <v>0</v>
      </c>
      <c r="L424" s="111" t="s">
        <v>1671</v>
      </c>
      <c r="Z424" s="100">
        <f t="shared" si="463"/>
        <v>0</v>
      </c>
      <c r="AB424" s="100">
        <f t="shared" si="464"/>
        <v>0</v>
      </c>
      <c r="AC424" s="100">
        <f t="shared" si="465"/>
        <v>0</v>
      </c>
      <c r="AD424" s="100">
        <f t="shared" si="466"/>
        <v>0</v>
      </c>
      <c r="AE424" s="100">
        <f t="shared" si="467"/>
        <v>0</v>
      </c>
      <c r="AF424" s="100">
        <f t="shared" si="468"/>
        <v>0</v>
      </c>
      <c r="AG424" s="100">
        <f t="shared" si="469"/>
        <v>0</v>
      </c>
      <c r="AH424" s="100">
        <f t="shared" si="470"/>
        <v>0</v>
      </c>
      <c r="AI424" s="109"/>
      <c r="AJ424" s="108">
        <f t="shared" si="471"/>
        <v>0</v>
      </c>
      <c r="AK424" s="108">
        <f t="shared" si="472"/>
        <v>0</v>
      </c>
      <c r="AL424" s="108">
        <f t="shared" si="473"/>
        <v>0</v>
      </c>
      <c r="AN424" s="100">
        <v>15</v>
      </c>
      <c r="AO424" s="100">
        <f>H424*0</f>
        <v>0</v>
      </c>
      <c r="AP424" s="100">
        <f>H424*(1-0)</f>
        <v>0</v>
      </c>
      <c r="AQ424" s="111" t="s">
        <v>13</v>
      </c>
      <c r="AV424" s="100">
        <f t="shared" si="474"/>
        <v>0</v>
      </c>
      <c r="AW424" s="100">
        <f t="shared" si="475"/>
        <v>0</v>
      </c>
      <c r="AX424" s="100">
        <f t="shared" si="476"/>
        <v>0</v>
      </c>
      <c r="AY424" s="110" t="s">
        <v>1714</v>
      </c>
      <c r="AZ424" s="110" t="s">
        <v>1734</v>
      </c>
      <c r="BA424" s="109" t="s">
        <v>1737</v>
      </c>
      <c r="BC424" s="100">
        <f t="shared" si="477"/>
        <v>0</v>
      </c>
      <c r="BD424" s="100">
        <f t="shared" si="478"/>
        <v>0</v>
      </c>
      <c r="BE424" s="100">
        <v>0</v>
      </c>
      <c r="BF424" s="100">
        <f>424</f>
        <v>424</v>
      </c>
      <c r="BH424" s="108">
        <f t="shared" si="479"/>
        <v>0</v>
      </c>
      <c r="BI424" s="108">
        <f t="shared" si="480"/>
        <v>0</v>
      </c>
      <c r="BJ424" s="108">
        <f t="shared" si="481"/>
        <v>0</v>
      </c>
    </row>
    <row r="425" spans="1:62" x14ac:dyDescent="0.2">
      <c r="A425" s="124" t="s">
        <v>382</v>
      </c>
      <c r="B425" s="124" t="s">
        <v>875</v>
      </c>
      <c r="C425" s="311" t="s">
        <v>1464</v>
      </c>
      <c r="D425" s="312"/>
      <c r="E425" s="312"/>
      <c r="F425" s="124" t="s">
        <v>1645</v>
      </c>
      <c r="G425" s="123">
        <v>501.37900000000002</v>
      </c>
      <c r="H425" s="160"/>
      <c r="I425" s="121">
        <f t="shared" si="460"/>
        <v>0</v>
      </c>
      <c r="J425" s="121">
        <f t="shared" si="461"/>
        <v>0</v>
      </c>
      <c r="K425" s="121">
        <f t="shared" si="462"/>
        <v>0</v>
      </c>
      <c r="L425" s="122" t="s">
        <v>1671</v>
      </c>
      <c r="Z425" s="100">
        <f t="shared" si="463"/>
        <v>0</v>
      </c>
      <c r="AB425" s="100">
        <f t="shared" si="464"/>
        <v>0</v>
      </c>
      <c r="AC425" s="100">
        <f t="shared" si="465"/>
        <v>0</v>
      </c>
      <c r="AD425" s="100">
        <f t="shared" si="466"/>
        <v>0</v>
      </c>
      <c r="AE425" s="100">
        <f t="shared" si="467"/>
        <v>0</v>
      </c>
      <c r="AF425" s="100">
        <f t="shared" si="468"/>
        <v>0</v>
      </c>
      <c r="AG425" s="100">
        <f t="shared" si="469"/>
        <v>0</v>
      </c>
      <c r="AH425" s="100">
        <f t="shared" si="470"/>
        <v>0</v>
      </c>
      <c r="AI425" s="109"/>
      <c r="AJ425" s="121">
        <f t="shared" si="471"/>
        <v>0</v>
      </c>
      <c r="AK425" s="121">
        <f t="shared" si="472"/>
        <v>0</v>
      </c>
      <c r="AL425" s="121">
        <f t="shared" si="473"/>
        <v>0</v>
      </c>
      <c r="AN425" s="100">
        <v>15</v>
      </c>
      <c r="AO425" s="100">
        <f>H425*1</f>
        <v>0</v>
      </c>
      <c r="AP425" s="100">
        <f>H425*(1-1)</f>
        <v>0</v>
      </c>
      <c r="AQ425" s="122" t="s">
        <v>13</v>
      </c>
      <c r="AV425" s="100">
        <f t="shared" si="474"/>
        <v>0</v>
      </c>
      <c r="AW425" s="100">
        <f t="shared" si="475"/>
        <v>0</v>
      </c>
      <c r="AX425" s="100">
        <f t="shared" si="476"/>
        <v>0</v>
      </c>
      <c r="AY425" s="110" t="s">
        <v>1714</v>
      </c>
      <c r="AZ425" s="110" t="s">
        <v>1734</v>
      </c>
      <c r="BA425" s="109" t="s">
        <v>1737</v>
      </c>
      <c r="BC425" s="100">
        <f t="shared" si="477"/>
        <v>0</v>
      </c>
      <c r="BD425" s="100">
        <f t="shared" si="478"/>
        <v>0</v>
      </c>
      <c r="BE425" s="100">
        <v>0</v>
      </c>
      <c r="BF425" s="100">
        <f>425</f>
        <v>425</v>
      </c>
      <c r="BH425" s="121">
        <f t="shared" si="479"/>
        <v>0</v>
      </c>
      <c r="BI425" s="121">
        <f t="shared" si="480"/>
        <v>0</v>
      </c>
      <c r="BJ425" s="121">
        <f t="shared" si="481"/>
        <v>0</v>
      </c>
    </row>
    <row r="426" spans="1:62" x14ac:dyDescent="0.2">
      <c r="A426" s="117" t="s">
        <v>383</v>
      </c>
      <c r="B426" s="117" t="s">
        <v>2322</v>
      </c>
      <c r="C426" s="304" t="s">
        <v>3983</v>
      </c>
      <c r="D426" s="305"/>
      <c r="E426" s="305"/>
      <c r="F426" s="117" t="s">
        <v>1645</v>
      </c>
      <c r="G426" s="116">
        <v>14.775</v>
      </c>
      <c r="H426" s="159"/>
      <c r="I426" s="108">
        <f t="shared" si="460"/>
        <v>0</v>
      </c>
      <c r="J426" s="108">
        <f t="shared" si="461"/>
        <v>0</v>
      </c>
      <c r="K426" s="108">
        <f t="shared" si="462"/>
        <v>0</v>
      </c>
      <c r="L426" s="111" t="s">
        <v>1671</v>
      </c>
      <c r="Z426" s="100">
        <f t="shared" si="463"/>
        <v>0</v>
      </c>
      <c r="AB426" s="100">
        <f t="shared" si="464"/>
        <v>0</v>
      </c>
      <c r="AC426" s="100">
        <f t="shared" si="465"/>
        <v>0</v>
      </c>
      <c r="AD426" s="100">
        <f t="shared" si="466"/>
        <v>0</v>
      </c>
      <c r="AE426" s="100">
        <f t="shared" si="467"/>
        <v>0</v>
      </c>
      <c r="AF426" s="100">
        <f t="shared" si="468"/>
        <v>0</v>
      </c>
      <c r="AG426" s="100">
        <f t="shared" si="469"/>
        <v>0</v>
      </c>
      <c r="AH426" s="100">
        <f t="shared" si="470"/>
        <v>0</v>
      </c>
      <c r="AI426" s="109"/>
      <c r="AJ426" s="108">
        <f t="shared" si="471"/>
        <v>0</v>
      </c>
      <c r="AK426" s="108">
        <f t="shared" si="472"/>
        <v>0</v>
      </c>
      <c r="AL426" s="108">
        <f t="shared" si="473"/>
        <v>0</v>
      </c>
      <c r="AN426" s="100">
        <v>15</v>
      </c>
      <c r="AO426" s="100">
        <f>H426*0</f>
        <v>0</v>
      </c>
      <c r="AP426" s="100">
        <f>H426*(1-0)</f>
        <v>0</v>
      </c>
      <c r="AQ426" s="111" t="s">
        <v>13</v>
      </c>
      <c r="AV426" s="100">
        <f t="shared" si="474"/>
        <v>0</v>
      </c>
      <c r="AW426" s="100">
        <f t="shared" si="475"/>
        <v>0</v>
      </c>
      <c r="AX426" s="100">
        <f t="shared" si="476"/>
        <v>0</v>
      </c>
      <c r="AY426" s="110" t="s">
        <v>1714</v>
      </c>
      <c r="AZ426" s="110" t="s">
        <v>1734</v>
      </c>
      <c r="BA426" s="109" t="s">
        <v>1737</v>
      </c>
      <c r="BC426" s="100">
        <f t="shared" si="477"/>
        <v>0</v>
      </c>
      <c r="BD426" s="100">
        <f t="shared" si="478"/>
        <v>0</v>
      </c>
      <c r="BE426" s="100">
        <v>0</v>
      </c>
      <c r="BF426" s="100">
        <f>426</f>
        <v>426</v>
      </c>
      <c r="BH426" s="108">
        <f t="shared" si="479"/>
        <v>0</v>
      </c>
      <c r="BI426" s="108">
        <f t="shared" si="480"/>
        <v>0</v>
      </c>
      <c r="BJ426" s="108">
        <f t="shared" si="481"/>
        <v>0</v>
      </c>
    </row>
    <row r="427" spans="1:62" x14ac:dyDescent="0.2">
      <c r="A427" s="124" t="s">
        <v>384</v>
      </c>
      <c r="B427" s="124" t="s">
        <v>2320</v>
      </c>
      <c r="C427" s="311" t="s">
        <v>2319</v>
      </c>
      <c r="D427" s="312"/>
      <c r="E427" s="312"/>
      <c r="F427" s="124" t="s">
        <v>1645</v>
      </c>
      <c r="G427" s="123">
        <v>16.253</v>
      </c>
      <c r="H427" s="160"/>
      <c r="I427" s="121">
        <f t="shared" si="460"/>
        <v>0</v>
      </c>
      <c r="J427" s="121">
        <f t="shared" si="461"/>
        <v>0</v>
      </c>
      <c r="K427" s="121">
        <f t="shared" si="462"/>
        <v>0</v>
      </c>
      <c r="L427" s="122" t="s">
        <v>1671</v>
      </c>
      <c r="Z427" s="100">
        <f t="shared" si="463"/>
        <v>0</v>
      </c>
      <c r="AB427" s="100">
        <f t="shared" si="464"/>
        <v>0</v>
      </c>
      <c r="AC427" s="100">
        <f t="shared" si="465"/>
        <v>0</v>
      </c>
      <c r="AD427" s="100">
        <f t="shared" si="466"/>
        <v>0</v>
      </c>
      <c r="AE427" s="100">
        <f t="shared" si="467"/>
        <v>0</v>
      </c>
      <c r="AF427" s="100">
        <f t="shared" si="468"/>
        <v>0</v>
      </c>
      <c r="AG427" s="100">
        <f t="shared" si="469"/>
        <v>0</v>
      </c>
      <c r="AH427" s="100">
        <f t="shared" si="470"/>
        <v>0</v>
      </c>
      <c r="AI427" s="109"/>
      <c r="AJ427" s="121">
        <f t="shared" si="471"/>
        <v>0</v>
      </c>
      <c r="AK427" s="121">
        <f t="shared" si="472"/>
        <v>0</v>
      </c>
      <c r="AL427" s="121">
        <f t="shared" si="473"/>
        <v>0</v>
      </c>
      <c r="AN427" s="100">
        <v>15</v>
      </c>
      <c r="AO427" s="100">
        <f>H427*1</f>
        <v>0</v>
      </c>
      <c r="AP427" s="100">
        <f>H427*(1-1)</f>
        <v>0</v>
      </c>
      <c r="AQ427" s="122" t="s">
        <v>13</v>
      </c>
      <c r="AV427" s="100">
        <f t="shared" si="474"/>
        <v>0</v>
      </c>
      <c r="AW427" s="100">
        <f t="shared" si="475"/>
        <v>0</v>
      </c>
      <c r="AX427" s="100">
        <f t="shared" si="476"/>
        <v>0</v>
      </c>
      <c r="AY427" s="110" t="s">
        <v>1714</v>
      </c>
      <c r="AZ427" s="110" t="s">
        <v>1734</v>
      </c>
      <c r="BA427" s="109" t="s">
        <v>1737</v>
      </c>
      <c r="BC427" s="100">
        <f t="shared" si="477"/>
        <v>0</v>
      </c>
      <c r="BD427" s="100">
        <f t="shared" si="478"/>
        <v>0</v>
      </c>
      <c r="BE427" s="100">
        <v>0</v>
      </c>
      <c r="BF427" s="100">
        <f>427</f>
        <v>427</v>
      </c>
      <c r="BH427" s="121">
        <f t="shared" si="479"/>
        <v>0</v>
      </c>
      <c r="BI427" s="121">
        <f t="shared" si="480"/>
        <v>0</v>
      </c>
      <c r="BJ427" s="121">
        <f t="shared" si="481"/>
        <v>0</v>
      </c>
    </row>
    <row r="428" spans="1:62" x14ac:dyDescent="0.2">
      <c r="A428" s="117" t="s">
        <v>385</v>
      </c>
      <c r="B428" s="117" t="s">
        <v>876</v>
      </c>
      <c r="C428" s="304" t="s">
        <v>3982</v>
      </c>
      <c r="D428" s="305"/>
      <c r="E428" s="305"/>
      <c r="F428" s="117" t="s">
        <v>1645</v>
      </c>
      <c r="G428" s="116">
        <v>486.20400000000001</v>
      </c>
      <c r="H428" s="159"/>
      <c r="I428" s="108">
        <f t="shared" si="460"/>
        <v>0</v>
      </c>
      <c r="J428" s="108">
        <f t="shared" si="461"/>
        <v>0</v>
      </c>
      <c r="K428" s="108">
        <f t="shared" si="462"/>
        <v>0</v>
      </c>
      <c r="L428" s="111" t="s">
        <v>1671</v>
      </c>
      <c r="Z428" s="100">
        <f t="shared" si="463"/>
        <v>0</v>
      </c>
      <c r="AB428" s="100">
        <f t="shared" si="464"/>
        <v>0</v>
      </c>
      <c r="AC428" s="100">
        <f t="shared" si="465"/>
        <v>0</v>
      </c>
      <c r="AD428" s="100">
        <f t="shared" si="466"/>
        <v>0</v>
      </c>
      <c r="AE428" s="100">
        <f t="shared" si="467"/>
        <v>0</v>
      </c>
      <c r="AF428" s="100">
        <f t="shared" si="468"/>
        <v>0</v>
      </c>
      <c r="AG428" s="100">
        <f t="shared" si="469"/>
        <v>0</v>
      </c>
      <c r="AH428" s="100">
        <f t="shared" si="470"/>
        <v>0</v>
      </c>
      <c r="AI428" s="109"/>
      <c r="AJ428" s="108">
        <f t="shared" si="471"/>
        <v>0</v>
      </c>
      <c r="AK428" s="108">
        <f t="shared" si="472"/>
        <v>0</v>
      </c>
      <c r="AL428" s="108">
        <f t="shared" si="473"/>
        <v>0</v>
      </c>
      <c r="AN428" s="100">
        <v>15</v>
      </c>
      <c r="AO428" s="100">
        <f>H428*0</f>
        <v>0</v>
      </c>
      <c r="AP428" s="100">
        <f>H428*(1-0)</f>
        <v>0</v>
      </c>
      <c r="AQ428" s="111" t="s">
        <v>13</v>
      </c>
      <c r="AV428" s="100">
        <f t="shared" si="474"/>
        <v>0</v>
      </c>
      <c r="AW428" s="100">
        <f t="shared" si="475"/>
        <v>0</v>
      </c>
      <c r="AX428" s="100">
        <f t="shared" si="476"/>
        <v>0</v>
      </c>
      <c r="AY428" s="110" t="s">
        <v>1714</v>
      </c>
      <c r="AZ428" s="110" t="s">
        <v>1734</v>
      </c>
      <c r="BA428" s="109" t="s">
        <v>1737</v>
      </c>
      <c r="BC428" s="100">
        <f t="shared" si="477"/>
        <v>0</v>
      </c>
      <c r="BD428" s="100">
        <f t="shared" si="478"/>
        <v>0</v>
      </c>
      <c r="BE428" s="100">
        <v>0</v>
      </c>
      <c r="BF428" s="100">
        <f>428</f>
        <v>428</v>
      </c>
      <c r="BH428" s="108">
        <f t="shared" si="479"/>
        <v>0</v>
      </c>
      <c r="BI428" s="108">
        <f t="shared" si="480"/>
        <v>0</v>
      </c>
      <c r="BJ428" s="108">
        <f t="shared" si="481"/>
        <v>0</v>
      </c>
    </row>
    <row r="429" spans="1:62" x14ac:dyDescent="0.2">
      <c r="A429" s="117" t="s">
        <v>386</v>
      </c>
      <c r="B429" s="117" t="s">
        <v>877</v>
      </c>
      <c r="C429" s="304" t="s">
        <v>1466</v>
      </c>
      <c r="D429" s="305"/>
      <c r="E429" s="305"/>
      <c r="F429" s="117" t="s">
        <v>1647</v>
      </c>
      <c r="G429" s="116">
        <v>10.86</v>
      </c>
      <c r="H429" s="159"/>
      <c r="I429" s="108">
        <f t="shared" si="460"/>
        <v>0</v>
      </c>
      <c r="J429" s="108">
        <f t="shared" si="461"/>
        <v>0</v>
      </c>
      <c r="K429" s="108">
        <f t="shared" si="462"/>
        <v>0</v>
      </c>
      <c r="L429" s="111" t="s">
        <v>1671</v>
      </c>
      <c r="Z429" s="100">
        <f t="shared" si="463"/>
        <v>0</v>
      </c>
      <c r="AB429" s="100">
        <f t="shared" si="464"/>
        <v>0</v>
      </c>
      <c r="AC429" s="100">
        <f t="shared" si="465"/>
        <v>0</v>
      </c>
      <c r="AD429" s="100">
        <f t="shared" si="466"/>
        <v>0</v>
      </c>
      <c r="AE429" s="100">
        <f t="shared" si="467"/>
        <v>0</v>
      </c>
      <c r="AF429" s="100">
        <f t="shared" si="468"/>
        <v>0</v>
      </c>
      <c r="AG429" s="100">
        <f t="shared" si="469"/>
        <v>0</v>
      </c>
      <c r="AH429" s="100">
        <f t="shared" si="470"/>
        <v>0</v>
      </c>
      <c r="AI429" s="109"/>
      <c r="AJ429" s="108">
        <f t="shared" si="471"/>
        <v>0</v>
      </c>
      <c r="AK429" s="108">
        <f t="shared" si="472"/>
        <v>0</v>
      </c>
      <c r="AL429" s="108">
        <f t="shared" si="473"/>
        <v>0</v>
      </c>
      <c r="AN429" s="100">
        <v>15</v>
      </c>
      <c r="AO429" s="100">
        <f>H429*1</f>
        <v>0</v>
      </c>
      <c r="AP429" s="100">
        <f>H429*(1-1)</f>
        <v>0</v>
      </c>
      <c r="AQ429" s="111" t="s">
        <v>13</v>
      </c>
      <c r="AV429" s="100">
        <f t="shared" si="474"/>
        <v>0</v>
      </c>
      <c r="AW429" s="100">
        <f t="shared" si="475"/>
        <v>0</v>
      </c>
      <c r="AX429" s="100">
        <f t="shared" si="476"/>
        <v>0</v>
      </c>
      <c r="AY429" s="110" t="s">
        <v>1714</v>
      </c>
      <c r="AZ429" s="110" t="s">
        <v>1734</v>
      </c>
      <c r="BA429" s="109" t="s">
        <v>1737</v>
      </c>
      <c r="BC429" s="100">
        <f t="shared" si="477"/>
        <v>0</v>
      </c>
      <c r="BD429" s="100">
        <f t="shared" si="478"/>
        <v>0</v>
      </c>
      <c r="BE429" s="100">
        <v>0</v>
      </c>
      <c r="BF429" s="100">
        <f>429</f>
        <v>429</v>
      </c>
      <c r="BH429" s="108">
        <f t="shared" si="479"/>
        <v>0</v>
      </c>
      <c r="BI429" s="108">
        <f t="shared" si="480"/>
        <v>0</v>
      </c>
      <c r="BJ429" s="108">
        <f t="shared" si="481"/>
        <v>0</v>
      </c>
    </row>
    <row r="430" spans="1:62" x14ac:dyDescent="0.2">
      <c r="A430" s="117" t="s">
        <v>387</v>
      </c>
      <c r="B430" s="117" t="s">
        <v>3981</v>
      </c>
      <c r="C430" s="304" t="s">
        <v>3980</v>
      </c>
      <c r="D430" s="305"/>
      <c r="E430" s="305"/>
      <c r="F430" s="117" t="s">
        <v>1645</v>
      </c>
      <c r="G430" s="116">
        <v>477.50400000000002</v>
      </c>
      <c r="H430" s="159"/>
      <c r="I430" s="108">
        <f t="shared" si="460"/>
        <v>0</v>
      </c>
      <c r="J430" s="108">
        <f t="shared" si="461"/>
        <v>0</v>
      </c>
      <c r="K430" s="108">
        <f t="shared" si="462"/>
        <v>0</v>
      </c>
      <c r="L430" s="111" t="s">
        <v>1671</v>
      </c>
      <c r="Z430" s="100">
        <f t="shared" si="463"/>
        <v>0</v>
      </c>
      <c r="AB430" s="100">
        <f t="shared" si="464"/>
        <v>0</v>
      </c>
      <c r="AC430" s="100">
        <f t="shared" si="465"/>
        <v>0</v>
      </c>
      <c r="AD430" s="100">
        <f t="shared" si="466"/>
        <v>0</v>
      </c>
      <c r="AE430" s="100">
        <f t="shared" si="467"/>
        <v>0</v>
      </c>
      <c r="AF430" s="100">
        <f t="shared" si="468"/>
        <v>0</v>
      </c>
      <c r="AG430" s="100">
        <f t="shared" si="469"/>
        <v>0</v>
      </c>
      <c r="AH430" s="100">
        <f t="shared" si="470"/>
        <v>0</v>
      </c>
      <c r="AI430" s="109"/>
      <c r="AJ430" s="108">
        <f t="shared" si="471"/>
        <v>0</v>
      </c>
      <c r="AK430" s="108">
        <f t="shared" si="472"/>
        <v>0</v>
      </c>
      <c r="AL430" s="108">
        <f t="shared" si="473"/>
        <v>0</v>
      </c>
      <c r="AN430" s="100">
        <v>15</v>
      </c>
      <c r="AO430" s="100">
        <f>H430*0</f>
        <v>0</v>
      </c>
      <c r="AP430" s="100">
        <f>H430*(1-0)</f>
        <v>0</v>
      </c>
      <c r="AQ430" s="111" t="s">
        <v>13</v>
      </c>
      <c r="AV430" s="100">
        <f t="shared" si="474"/>
        <v>0</v>
      </c>
      <c r="AW430" s="100">
        <f t="shared" si="475"/>
        <v>0</v>
      </c>
      <c r="AX430" s="100">
        <f t="shared" si="476"/>
        <v>0</v>
      </c>
      <c r="AY430" s="110" t="s">
        <v>1714</v>
      </c>
      <c r="AZ430" s="110" t="s">
        <v>1734</v>
      </c>
      <c r="BA430" s="109" t="s">
        <v>1737</v>
      </c>
      <c r="BC430" s="100">
        <f t="shared" si="477"/>
        <v>0</v>
      </c>
      <c r="BD430" s="100">
        <f t="shared" si="478"/>
        <v>0</v>
      </c>
      <c r="BE430" s="100">
        <v>0</v>
      </c>
      <c r="BF430" s="100">
        <f>430</f>
        <v>430</v>
      </c>
      <c r="BH430" s="108">
        <f t="shared" si="479"/>
        <v>0</v>
      </c>
      <c r="BI430" s="108">
        <f t="shared" si="480"/>
        <v>0</v>
      </c>
      <c r="BJ430" s="108">
        <f t="shared" si="481"/>
        <v>0</v>
      </c>
    </row>
    <row r="431" spans="1:62" x14ac:dyDescent="0.2">
      <c r="A431" s="117" t="s">
        <v>388</v>
      </c>
      <c r="B431" s="117" t="s">
        <v>3979</v>
      </c>
      <c r="C431" s="304" t="s">
        <v>3978</v>
      </c>
      <c r="D431" s="305"/>
      <c r="E431" s="305"/>
      <c r="F431" s="117" t="s">
        <v>1645</v>
      </c>
      <c r="G431" s="116">
        <v>477.50400000000002</v>
      </c>
      <c r="H431" s="159"/>
      <c r="I431" s="108">
        <f t="shared" si="460"/>
        <v>0</v>
      </c>
      <c r="J431" s="108">
        <f t="shared" si="461"/>
        <v>0</v>
      </c>
      <c r="K431" s="108">
        <f t="shared" si="462"/>
        <v>0</v>
      </c>
      <c r="L431" s="111" t="s">
        <v>1671</v>
      </c>
      <c r="Z431" s="100">
        <f t="shared" si="463"/>
        <v>0</v>
      </c>
      <c r="AB431" s="100">
        <f t="shared" si="464"/>
        <v>0</v>
      </c>
      <c r="AC431" s="100">
        <f t="shared" si="465"/>
        <v>0</v>
      </c>
      <c r="AD431" s="100">
        <f t="shared" si="466"/>
        <v>0</v>
      </c>
      <c r="AE431" s="100">
        <f t="shared" si="467"/>
        <v>0</v>
      </c>
      <c r="AF431" s="100">
        <f t="shared" si="468"/>
        <v>0</v>
      </c>
      <c r="AG431" s="100">
        <f t="shared" si="469"/>
        <v>0</v>
      </c>
      <c r="AH431" s="100">
        <f t="shared" si="470"/>
        <v>0</v>
      </c>
      <c r="AI431" s="109"/>
      <c r="AJ431" s="108">
        <f t="shared" si="471"/>
        <v>0</v>
      </c>
      <c r="AK431" s="108">
        <f t="shared" si="472"/>
        <v>0</v>
      </c>
      <c r="AL431" s="108">
        <f t="shared" si="473"/>
        <v>0</v>
      </c>
      <c r="AN431" s="100">
        <v>15</v>
      </c>
      <c r="AO431" s="100">
        <f>H431*0</f>
        <v>0</v>
      </c>
      <c r="AP431" s="100">
        <f>H431*(1-0)</f>
        <v>0</v>
      </c>
      <c r="AQ431" s="111" t="s">
        <v>13</v>
      </c>
      <c r="AV431" s="100">
        <f t="shared" si="474"/>
        <v>0</v>
      </c>
      <c r="AW431" s="100">
        <f t="shared" si="475"/>
        <v>0</v>
      </c>
      <c r="AX431" s="100">
        <f t="shared" si="476"/>
        <v>0</v>
      </c>
      <c r="AY431" s="110" t="s">
        <v>1714</v>
      </c>
      <c r="AZ431" s="110" t="s">
        <v>1734</v>
      </c>
      <c r="BA431" s="109" t="s">
        <v>1737</v>
      </c>
      <c r="BC431" s="100">
        <f t="shared" si="477"/>
        <v>0</v>
      </c>
      <c r="BD431" s="100">
        <f t="shared" si="478"/>
        <v>0</v>
      </c>
      <c r="BE431" s="100">
        <v>0</v>
      </c>
      <c r="BF431" s="100">
        <f>431</f>
        <v>431</v>
      </c>
      <c r="BH431" s="108">
        <f t="shared" si="479"/>
        <v>0</v>
      </c>
      <c r="BI431" s="108">
        <f t="shared" si="480"/>
        <v>0</v>
      </c>
      <c r="BJ431" s="108">
        <f t="shared" si="481"/>
        <v>0</v>
      </c>
    </row>
    <row r="432" spans="1:62" x14ac:dyDescent="0.2">
      <c r="A432" s="117" t="s">
        <v>389</v>
      </c>
      <c r="B432" s="117" t="s">
        <v>878</v>
      </c>
      <c r="C432" s="304" t="s">
        <v>1467</v>
      </c>
      <c r="D432" s="305"/>
      <c r="E432" s="305"/>
      <c r="F432" s="117" t="s">
        <v>1645</v>
      </c>
      <c r="G432" s="116">
        <v>54.9</v>
      </c>
      <c r="H432" s="159"/>
      <c r="I432" s="108">
        <f t="shared" si="460"/>
        <v>0</v>
      </c>
      <c r="J432" s="108">
        <f t="shared" si="461"/>
        <v>0</v>
      </c>
      <c r="K432" s="108">
        <f t="shared" si="462"/>
        <v>0</v>
      </c>
      <c r="L432" s="111" t="s">
        <v>1671</v>
      </c>
      <c r="Z432" s="100">
        <f t="shared" si="463"/>
        <v>0</v>
      </c>
      <c r="AB432" s="100">
        <f t="shared" si="464"/>
        <v>0</v>
      </c>
      <c r="AC432" s="100">
        <f t="shared" si="465"/>
        <v>0</v>
      </c>
      <c r="AD432" s="100">
        <f t="shared" si="466"/>
        <v>0</v>
      </c>
      <c r="AE432" s="100">
        <f t="shared" si="467"/>
        <v>0</v>
      </c>
      <c r="AF432" s="100">
        <f t="shared" si="468"/>
        <v>0</v>
      </c>
      <c r="AG432" s="100">
        <f t="shared" si="469"/>
        <v>0</v>
      </c>
      <c r="AH432" s="100">
        <f t="shared" si="470"/>
        <v>0</v>
      </c>
      <c r="AI432" s="109"/>
      <c r="AJ432" s="108">
        <f t="shared" si="471"/>
        <v>0</v>
      </c>
      <c r="AK432" s="108">
        <f t="shared" si="472"/>
        <v>0</v>
      </c>
      <c r="AL432" s="108">
        <f t="shared" si="473"/>
        <v>0</v>
      </c>
      <c r="AN432" s="100">
        <v>15</v>
      </c>
      <c r="AO432" s="100">
        <f>H432*0.650037878787879</f>
        <v>0</v>
      </c>
      <c r="AP432" s="100">
        <f>H432*(1-0.650037878787879)</f>
        <v>0</v>
      </c>
      <c r="AQ432" s="111" t="s">
        <v>13</v>
      </c>
      <c r="AV432" s="100">
        <f t="shared" si="474"/>
        <v>0</v>
      </c>
      <c r="AW432" s="100">
        <f t="shared" si="475"/>
        <v>0</v>
      </c>
      <c r="AX432" s="100">
        <f t="shared" si="476"/>
        <v>0</v>
      </c>
      <c r="AY432" s="110" t="s">
        <v>1714</v>
      </c>
      <c r="AZ432" s="110" t="s">
        <v>1734</v>
      </c>
      <c r="BA432" s="109" t="s">
        <v>1737</v>
      </c>
      <c r="BC432" s="100">
        <f t="shared" si="477"/>
        <v>0</v>
      </c>
      <c r="BD432" s="100">
        <f t="shared" si="478"/>
        <v>0</v>
      </c>
      <c r="BE432" s="100">
        <v>0</v>
      </c>
      <c r="BF432" s="100">
        <f>432</f>
        <v>432</v>
      </c>
      <c r="BH432" s="108">
        <f t="shared" si="479"/>
        <v>0</v>
      </c>
      <c r="BI432" s="108">
        <f t="shared" si="480"/>
        <v>0</v>
      </c>
      <c r="BJ432" s="108">
        <f t="shared" si="481"/>
        <v>0</v>
      </c>
    </row>
    <row r="433" spans="1:62" x14ac:dyDescent="0.2">
      <c r="A433" s="117" t="s">
        <v>390</v>
      </c>
      <c r="B433" s="117" t="s">
        <v>879</v>
      </c>
      <c r="C433" s="304" t="s">
        <v>1468</v>
      </c>
      <c r="D433" s="305"/>
      <c r="E433" s="305"/>
      <c r="F433" s="117" t="s">
        <v>1645</v>
      </c>
      <c r="G433" s="116">
        <v>54.9</v>
      </c>
      <c r="H433" s="159"/>
      <c r="I433" s="108">
        <f t="shared" si="460"/>
        <v>0</v>
      </c>
      <c r="J433" s="108">
        <f t="shared" si="461"/>
        <v>0</v>
      </c>
      <c r="K433" s="108">
        <f t="shared" si="462"/>
        <v>0</v>
      </c>
      <c r="L433" s="111" t="s">
        <v>1671</v>
      </c>
      <c r="Z433" s="100">
        <f t="shared" si="463"/>
        <v>0</v>
      </c>
      <c r="AB433" s="100">
        <f t="shared" si="464"/>
        <v>0</v>
      </c>
      <c r="AC433" s="100">
        <f t="shared" si="465"/>
        <v>0</v>
      </c>
      <c r="AD433" s="100">
        <f t="shared" si="466"/>
        <v>0</v>
      </c>
      <c r="AE433" s="100">
        <f t="shared" si="467"/>
        <v>0</v>
      </c>
      <c r="AF433" s="100">
        <f t="shared" si="468"/>
        <v>0</v>
      </c>
      <c r="AG433" s="100">
        <f t="shared" si="469"/>
        <v>0</v>
      </c>
      <c r="AH433" s="100">
        <f t="shared" si="470"/>
        <v>0</v>
      </c>
      <c r="AI433" s="109"/>
      <c r="AJ433" s="108">
        <f t="shared" si="471"/>
        <v>0</v>
      </c>
      <c r="AK433" s="108">
        <f t="shared" si="472"/>
        <v>0</v>
      </c>
      <c r="AL433" s="108">
        <f t="shared" si="473"/>
        <v>0</v>
      </c>
      <c r="AN433" s="100">
        <v>15</v>
      </c>
      <c r="AO433" s="100">
        <f>H433*0.0505464480874317</f>
        <v>0</v>
      </c>
      <c r="AP433" s="100">
        <f>H433*(1-0.0505464480874317)</f>
        <v>0</v>
      </c>
      <c r="AQ433" s="111" t="s">
        <v>13</v>
      </c>
      <c r="AV433" s="100">
        <f t="shared" si="474"/>
        <v>0</v>
      </c>
      <c r="AW433" s="100">
        <f t="shared" si="475"/>
        <v>0</v>
      </c>
      <c r="AX433" s="100">
        <f t="shared" si="476"/>
        <v>0</v>
      </c>
      <c r="AY433" s="110" t="s">
        <v>1714</v>
      </c>
      <c r="AZ433" s="110" t="s">
        <v>1734</v>
      </c>
      <c r="BA433" s="109" t="s">
        <v>1737</v>
      </c>
      <c r="BC433" s="100">
        <f t="shared" si="477"/>
        <v>0</v>
      </c>
      <c r="BD433" s="100">
        <f t="shared" si="478"/>
        <v>0</v>
      </c>
      <c r="BE433" s="100">
        <v>0</v>
      </c>
      <c r="BF433" s="100">
        <f>433</f>
        <v>433</v>
      </c>
      <c r="BH433" s="108">
        <f t="shared" si="479"/>
        <v>0</v>
      </c>
      <c r="BI433" s="108">
        <f t="shared" si="480"/>
        <v>0</v>
      </c>
      <c r="BJ433" s="108">
        <f t="shared" si="481"/>
        <v>0</v>
      </c>
    </row>
    <row r="434" spans="1:62" x14ac:dyDescent="0.2">
      <c r="A434" s="117" t="s">
        <v>391</v>
      </c>
      <c r="B434" s="117" t="s">
        <v>880</v>
      </c>
      <c r="C434" s="304" t="s">
        <v>1469</v>
      </c>
      <c r="D434" s="305"/>
      <c r="E434" s="305"/>
      <c r="F434" s="117" t="s">
        <v>1647</v>
      </c>
      <c r="G434" s="116">
        <v>1.0429999999999999</v>
      </c>
      <c r="H434" s="159"/>
      <c r="I434" s="108">
        <f t="shared" si="460"/>
        <v>0</v>
      </c>
      <c r="J434" s="108">
        <f t="shared" si="461"/>
        <v>0</v>
      </c>
      <c r="K434" s="108">
        <f t="shared" si="462"/>
        <v>0</v>
      </c>
      <c r="L434" s="111" t="s">
        <v>1671</v>
      </c>
      <c r="Z434" s="100">
        <f t="shared" si="463"/>
        <v>0</v>
      </c>
      <c r="AB434" s="100">
        <f t="shared" si="464"/>
        <v>0</v>
      </c>
      <c r="AC434" s="100">
        <f t="shared" si="465"/>
        <v>0</v>
      </c>
      <c r="AD434" s="100">
        <f t="shared" si="466"/>
        <v>0</v>
      </c>
      <c r="AE434" s="100">
        <f t="shared" si="467"/>
        <v>0</v>
      </c>
      <c r="AF434" s="100">
        <f t="shared" si="468"/>
        <v>0</v>
      </c>
      <c r="AG434" s="100">
        <f t="shared" si="469"/>
        <v>0</v>
      </c>
      <c r="AH434" s="100">
        <f t="shared" si="470"/>
        <v>0</v>
      </c>
      <c r="AI434" s="109"/>
      <c r="AJ434" s="108">
        <f t="shared" si="471"/>
        <v>0</v>
      </c>
      <c r="AK434" s="108">
        <f t="shared" si="472"/>
        <v>0</v>
      </c>
      <c r="AL434" s="108">
        <f t="shared" si="473"/>
        <v>0</v>
      </c>
      <c r="AN434" s="100">
        <v>15</v>
      </c>
      <c r="AO434" s="100">
        <f>H434*1.00000541682466</f>
        <v>0</v>
      </c>
      <c r="AP434" s="100">
        <f>H434*(1-1.00000541682466)</f>
        <v>0</v>
      </c>
      <c r="AQ434" s="111" t="s">
        <v>13</v>
      </c>
      <c r="AV434" s="100">
        <f t="shared" si="474"/>
        <v>0</v>
      </c>
      <c r="AW434" s="100">
        <f t="shared" si="475"/>
        <v>0</v>
      </c>
      <c r="AX434" s="100">
        <f t="shared" si="476"/>
        <v>0</v>
      </c>
      <c r="AY434" s="110" t="s">
        <v>1714</v>
      </c>
      <c r="AZ434" s="110" t="s">
        <v>1734</v>
      </c>
      <c r="BA434" s="109" t="s">
        <v>1737</v>
      </c>
      <c r="BC434" s="100">
        <f t="shared" si="477"/>
        <v>0</v>
      </c>
      <c r="BD434" s="100">
        <f t="shared" si="478"/>
        <v>0</v>
      </c>
      <c r="BE434" s="100">
        <v>0</v>
      </c>
      <c r="BF434" s="100">
        <f>434</f>
        <v>434</v>
      </c>
      <c r="BH434" s="108">
        <f t="shared" si="479"/>
        <v>0</v>
      </c>
      <c r="BI434" s="108">
        <f t="shared" si="480"/>
        <v>0</v>
      </c>
      <c r="BJ434" s="108">
        <f t="shared" si="481"/>
        <v>0</v>
      </c>
    </row>
    <row r="435" spans="1:62" x14ac:dyDescent="0.2">
      <c r="A435" s="117" t="s">
        <v>392</v>
      </c>
      <c r="B435" s="117" t="s">
        <v>881</v>
      </c>
      <c r="C435" s="304" t="s">
        <v>1470</v>
      </c>
      <c r="D435" s="305"/>
      <c r="E435" s="305"/>
      <c r="F435" s="117" t="s">
        <v>1648</v>
      </c>
      <c r="G435" s="116">
        <v>46.424999999999997</v>
      </c>
      <c r="H435" s="159"/>
      <c r="I435" s="108">
        <f t="shared" si="460"/>
        <v>0</v>
      </c>
      <c r="J435" s="108">
        <f t="shared" si="461"/>
        <v>0</v>
      </c>
      <c r="K435" s="108">
        <f t="shared" si="462"/>
        <v>0</v>
      </c>
      <c r="L435" s="111" t="s">
        <v>1671</v>
      </c>
      <c r="Z435" s="100">
        <f t="shared" si="463"/>
        <v>0</v>
      </c>
      <c r="AB435" s="100">
        <f t="shared" si="464"/>
        <v>0</v>
      </c>
      <c r="AC435" s="100">
        <f t="shared" si="465"/>
        <v>0</v>
      </c>
      <c r="AD435" s="100">
        <f t="shared" si="466"/>
        <v>0</v>
      </c>
      <c r="AE435" s="100">
        <f t="shared" si="467"/>
        <v>0</v>
      </c>
      <c r="AF435" s="100">
        <f t="shared" si="468"/>
        <v>0</v>
      </c>
      <c r="AG435" s="100">
        <f t="shared" si="469"/>
        <v>0</v>
      </c>
      <c r="AH435" s="100">
        <f t="shared" si="470"/>
        <v>0</v>
      </c>
      <c r="AI435" s="109"/>
      <c r="AJ435" s="108">
        <f t="shared" si="471"/>
        <v>0</v>
      </c>
      <c r="AK435" s="108">
        <f t="shared" si="472"/>
        <v>0</v>
      </c>
      <c r="AL435" s="108">
        <f t="shared" si="473"/>
        <v>0</v>
      </c>
      <c r="AN435" s="100">
        <v>15</v>
      </c>
      <c r="AO435" s="100">
        <f>H435*0</f>
        <v>0</v>
      </c>
      <c r="AP435" s="100">
        <f>H435*(1-0)</f>
        <v>0</v>
      </c>
      <c r="AQ435" s="111" t="s">
        <v>11</v>
      </c>
      <c r="AV435" s="100">
        <f t="shared" si="474"/>
        <v>0</v>
      </c>
      <c r="AW435" s="100">
        <f t="shared" si="475"/>
        <v>0</v>
      </c>
      <c r="AX435" s="100">
        <f t="shared" si="476"/>
        <v>0</v>
      </c>
      <c r="AY435" s="110" t="s">
        <v>1714</v>
      </c>
      <c r="AZ435" s="110" t="s">
        <v>1734</v>
      </c>
      <c r="BA435" s="109" t="s">
        <v>1737</v>
      </c>
      <c r="BC435" s="100">
        <f t="shared" si="477"/>
        <v>0</v>
      </c>
      <c r="BD435" s="100">
        <f t="shared" si="478"/>
        <v>0</v>
      </c>
      <c r="BE435" s="100">
        <v>0</v>
      </c>
      <c r="BF435" s="100">
        <f>435</f>
        <v>435</v>
      </c>
      <c r="BH435" s="108">
        <f t="shared" si="479"/>
        <v>0</v>
      </c>
      <c r="BI435" s="108">
        <f t="shared" si="480"/>
        <v>0</v>
      </c>
      <c r="BJ435" s="108">
        <f t="shared" si="481"/>
        <v>0</v>
      </c>
    </row>
    <row r="436" spans="1:62" x14ac:dyDescent="0.2">
      <c r="A436" s="119"/>
      <c r="B436" s="120" t="s">
        <v>882</v>
      </c>
      <c r="C436" s="306" t="s">
        <v>1471</v>
      </c>
      <c r="D436" s="307"/>
      <c r="E436" s="307"/>
      <c r="F436" s="119" t="s">
        <v>6</v>
      </c>
      <c r="G436" s="119" t="s">
        <v>6</v>
      </c>
      <c r="H436" s="119" t="s">
        <v>6</v>
      </c>
      <c r="I436" s="118">
        <f>SUM(I437:I463)</f>
        <v>0</v>
      </c>
      <c r="J436" s="118">
        <f>SUM(J437:J463)</f>
        <v>0</v>
      </c>
      <c r="K436" s="118">
        <f>SUM(K437:K463)</f>
        <v>0</v>
      </c>
      <c r="L436" s="109"/>
      <c r="AI436" s="109"/>
      <c r="AS436" s="118">
        <f>SUM(AJ437:AJ463)</f>
        <v>0</v>
      </c>
      <c r="AT436" s="118">
        <f>SUM(AK437:AK463)</f>
        <v>0</v>
      </c>
      <c r="AU436" s="118">
        <f>SUM(AL437:AL463)</f>
        <v>0</v>
      </c>
    </row>
    <row r="437" spans="1:62" x14ac:dyDescent="0.2">
      <c r="A437" s="117" t="s">
        <v>393</v>
      </c>
      <c r="B437" s="117" t="s">
        <v>883</v>
      </c>
      <c r="C437" s="304" t="s">
        <v>3977</v>
      </c>
      <c r="D437" s="305"/>
      <c r="E437" s="305"/>
      <c r="F437" s="117" t="s">
        <v>1645</v>
      </c>
      <c r="G437" s="116">
        <v>486.20400000000001</v>
      </c>
      <c r="H437" s="159"/>
      <c r="I437" s="108">
        <f t="shared" ref="I437:I463" si="482">G437*AO437</f>
        <v>0</v>
      </c>
      <c r="J437" s="108">
        <f t="shared" ref="J437:J463" si="483">G437*AP437</f>
        <v>0</v>
      </c>
      <c r="K437" s="108">
        <f t="shared" ref="K437:K463" si="484">G437*H437</f>
        <v>0</v>
      </c>
      <c r="L437" s="111" t="s">
        <v>1671</v>
      </c>
      <c r="Z437" s="100">
        <f t="shared" ref="Z437:Z463" si="485">IF(AQ437="5",BJ437,0)</f>
        <v>0</v>
      </c>
      <c r="AB437" s="100">
        <f t="shared" ref="AB437:AB463" si="486">IF(AQ437="1",BH437,0)</f>
        <v>0</v>
      </c>
      <c r="AC437" s="100">
        <f t="shared" ref="AC437:AC463" si="487">IF(AQ437="1",BI437,0)</f>
        <v>0</v>
      </c>
      <c r="AD437" s="100">
        <f t="shared" ref="AD437:AD463" si="488">IF(AQ437="7",BH437,0)</f>
        <v>0</v>
      </c>
      <c r="AE437" s="100">
        <f t="shared" ref="AE437:AE463" si="489">IF(AQ437="7",BI437,0)</f>
        <v>0</v>
      </c>
      <c r="AF437" s="100">
        <f t="shared" ref="AF437:AF463" si="490">IF(AQ437="2",BH437,0)</f>
        <v>0</v>
      </c>
      <c r="AG437" s="100">
        <f t="shared" ref="AG437:AG463" si="491">IF(AQ437="2",BI437,0)</f>
        <v>0</v>
      </c>
      <c r="AH437" s="100">
        <f t="shared" ref="AH437:AH463" si="492">IF(AQ437="0",BJ437,0)</f>
        <v>0</v>
      </c>
      <c r="AI437" s="109"/>
      <c r="AJ437" s="108">
        <f t="shared" ref="AJ437:AJ463" si="493">IF(AN437=0,K437,0)</f>
        <v>0</v>
      </c>
      <c r="AK437" s="108">
        <f t="shared" ref="AK437:AK463" si="494">IF(AN437=15,K437,0)</f>
        <v>0</v>
      </c>
      <c r="AL437" s="108">
        <f t="shared" ref="AL437:AL463" si="495">IF(AN437=21,K437,0)</f>
        <v>0</v>
      </c>
      <c r="AN437" s="100">
        <v>15</v>
      </c>
      <c r="AO437" s="100">
        <f t="shared" ref="AO437:AO442" si="496">H437*0</f>
        <v>0</v>
      </c>
      <c r="AP437" s="100">
        <f t="shared" ref="AP437:AP442" si="497">H437*(1-0)</f>
        <v>0</v>
      </c>
      <c r="AQ437" s="111" t="s">
        <v>13</v>
      </c>
      <c r="AV437" s="100">
        <f t="shared" ref="AV437:AV463" si="498">AW437+AX437</f>
        <v>0</v>
      </c>
      <c r="AW437" s="100">
        <f t="shared" ref="AW437:AW463" si="499">G437*AO437</f>
        <v>0</v>
      </c>
      <c r="AX437" s="100">
        <f t="shared" ref="AX437:AX463" si="500">G437*AP437</f>
        <v>0</v>
      </c>
      <c r="AY437" s="110" t="s">
        <v>1715</v>
      </c>
      <c r="AZ437" s="110" t="s">
        <v>1734</v>
      </c>
      <c r="BA437" s="109" t="s">
        <v>1737</v>
      </c>
      <c r="BC437" s="100">
        <f t="shared" ref="BC437:BC463" si="501">AW437+AX437</f>
        <v>0</v>
      </c>
      <c r="BD437" s="100">
        <f t="shared" ref="BD437:BD463" si="502">H437/(100-BE437)*100</f>
        <v>0</v>
      </c>
      <c r="BE437" s="100">
        <v>0</v>
      </c>
      <c r="BF437" s="100">
        <f>437</f>
        <v>437</v>
      </c>
      <c r="BH437" s="108">
        <f t="shared" ref="BH437:BH463" si="503">G437*AO437</f>
        <v>0</v>
      </c>
      <c r="BI437" s="108">
        <f t="shared" ref="BI437:BI463" si="504">G437*AP437</f>
        <v>0</v>
      </c>
      <c r="BJ437" s="108">
        <f t="shared" ref="BJ437:BJ463" si="505">G437*H437</f>
        <v>0</v>
      </c>
    </row>
    <row r="438" spans="1:62" x14ac:dyDescent="0.2">
      <c r="A438" s="117" t="s">
        <v>394</v>
      </c>
      <c r="B438" s="117" t="s">
        <v>884</v>
      </c>
      <c r="C438" s="304" t="s">
        <v>1473</v>
      </c>
      <c r="D438" s="305"/>
      <c r="E438" s="305"/>
      <c r="F438" s="117" t="s">
        <v>1646</v>
      </c>
      <c r="G438" s="116">
        <v>106</v>
      </c>
      <c r="H438" s="159"/>
      <c r="I438" s="108">
        <f t="shared" si="482"/>
        <v>0</v>
      </c>
      <c r="J438" s="108">
        <f t="shared" si="483"/>
        <v>0</v>
      </c>
      <c r="K438" s="108">
        <f t="shared" si="484"/>
        <v>0</v>
      </c>
      <c r="L438" s="111" t="s">
        <v>1671</v>
      </c>
      <c r="Z438" s="100">
        <f t="shared" si="485"/>
        <v>0</v>
      </c>
      <c r="AB438" s="100">
        <f t="shared" si="486"/>
        <v>0</v>
      </c>
      <c r="AC438" s="100">
        <f t="shared" si="487"/>
        <v>0</v>
      </c>
      <c r="AD438" s="100">
        <f t="shared" si="488"/>
        <v>0</v>
      </c>
      <c r="AE438" s="100">
        <f t="shared" si="489"/>
        <v>0</v>
      </c>
      <c r="AF438" s="100">
        <f t="shared" si="490"/>
        <v>0</v>
      </c>
      <c r="AG438" s="100">
        <f t="shared" si="491"/>
        <v>0</v>
      </c>
      <c r="AH438" s="100">
        <f t="shared" si="492"/>
        <v>0</v>
      </c>
      <c r="AI438" s="109"/>
      <c r="AJ438" s="108">
        <f t="shared" si="493"/>
        <v>0</v>
      </c>
      <c r="AK438" s="108">
        <f t="shared" si="494"/>
        <v>0</v>
      </c>
      <c r="AL438" s="108">
        <f t="shared" si="495"/>
        <v>0</v>
      </c>
      <c r="AN438" s="100">
        <v>15</v>
      </c>
      <c r="AO438" s="100">
        <f t="shared" si="496"/>
        <v>0</v>
      </c>
      <c r="AP438" s="100">
        <f t="shared" si="497"/>
        <v>0</v>
      </c>
      <c r="AQ438" s="111" t="s">
        <v>13</v>
      </c>
      <c r="AV438" s="100">
        <f t="shared" si="498"/>
        <v>0</v>
      </c>
      <c r="AW438" s="100">
        <f t="shared" si="499"/>
        <v>0</v>
      </c>
      <c r="AX438" s="100">
        <f t="shared" si="500"/>
        <v>0</v>
      </c>
      <c r="AY438" s="110" t="s">
        <v>1715</v>
      </c>
      <c r="AZ438" s="110" t="s">
        <v>1734</v>
      </c>
      <c r="BA438" s="109" t="s">
        <v>1737</v>
      </c>
      <c r="BC438" s="100">
        <f t="shared" si="501"/>
        <v>0</v>
      </c>
      <c r="BD438" s="100">
        <f t="shared" si="502"/>
        <v>0</v>
      </c>
      <c r="BE438" s="100">
        <v>0</v>
      </c>
      <c r="BF438" s="100">
        <f>438</f>
        <v>438</v>
      </c>
      <c r="BH438" s="108">
        <f t="shared" si="503"/>
        <v>0</v>
      </c>
      <c r="BI438" s="108">
        <f t="shared" si="504"/>
        <v>0</v>
      </c>
      <c r="BJ438" s="108">
        <f t="shared" si="505"/>
        <v>0</v>
      </c>
    </row>
    <row r="439" spans="1:62" x14ac:dyDescent="0.2">
      <c r="A439" s="117" t="s">
        <v>395</v>
      </c>
      <c r="B439" s="117" t="s">
        <v>885</v>
      </c>
      <c r="C439" s="304" t="s">
        <v>1474</v>
      </c>
      <c r="D439" s="305"/>
      <c r="E439" s="305"/>
      <c r="F439" s="117" t="s">
        <v>1645</v>
      </c>
      <c r="G439" s="116">
        <v>9.9179999999999993</v>
      </c>
      <c r="H439" s="159"/>
      <c r="I439" s="108">
        <f t="shared" si="482"/>
        <v>0</v>
      </c>
      <c r="J439" s="108">
        <f t="shared" si="483"/>
        <v>0</v>
      </c>
      <c r="K439" s="108">
        <f t="shared" si="484"/>
        <v>0</v>
      </c>
      <c r="L439" s="111" t="s">
        <v>1671</v>
      </c>
      <c r="Z439" s="100">
        <f t="shared" si="485"/>
        <v>0</v>
      </c>
      <c r="AB439" s="100">
        <f t="shared" si="486"/>
        <v>0</v>
      </c>
      <c r="AC439" s="100">
        <f t="shared" si="487"/>
        <v>0</v>
      </c>
      <c r="AD439" s="100">
        <f t="shared" si="488"/>
        <v>0</v>
      </c>
      <c r="AE439" s="100">
        <f t="shared" si="489"/>
        <v>0</v>
      </c>
      <c r="AF439" s="100">
        <f t="shared" si="490"/>
        <v>0</v>
      </c>
      <c r="AG439" s="100">
        <f t="shared" si="491"/>
        <v>0</v>
      </c>
      <c r="AH439" s="100">
        <f t="shared" si="492"/>
        <v>0</v>
      </c>
      <c r="AI439" s="109"/>
      <c r="AJ439" s="108">
        <f t="shared" si="493"/>
        <v>0</v>
      </c>
      <c r="AK439" s="108">
        <f t="shared" si="494"/>
        <v>0</v>
      </c>
      <c r="AL439" s="108">
        <f t="shared" si="495"/>
        <v>0</v>
      </c>
      <c r="AN439" s="100">
        <v>15</v>
      </c>
      <c r="AO439" s="100">
        <f t="shared" si="496"/>
        <v>0</v>
      </c>
      <c r="AP439" s="100">
        <f t="shared" si="497"/>
        <v>0</v>
      </c>
      <c r="AQ439" s="111" t="s">
        <v>13</v>
      </c>
      <c r="AV439" s="100">
        <f t="shared" si="498"/>
        <v>0</v>
      </c>
      <c r="AW439" s="100">
        <f t="shared" si="499"/>
        <v>0</v>
      </c>
      <c r="AX439" s="100">
        <f t="shared" si="500"/>
        <v>0</v>
      </c>
      <c r="AY439" s="110" t="s">
        <v>1715</v>
      </c>
      <c r="AZ439" s="110" t="s">
        <v>1734</v>
      </c>
      <c r="BA439" s="109" t="s">
        <v>1737</v>
      </c>
      <c r="BC439" s="100">
        <f t="shared" si="501"/>
        <v>0</v>
      </c>
      <c r="BD439" s="100">
        <f t="shared" si="502"/>
        <v>0</v>
      </c>
      <c r="BE439" s="100">
        <v>0</v>
      </c>
      <c r="BF439" s="100">
        <f>439</f>
        <v>439</v>
      </c>
      <c r="BH439" s="108">
        <f t="shared" si="503"/>
        <v>0</v>
      </c>
      <c r="BI439" s="108">
        <f t="shared" si="504"/>
        <v>0</v>
      </c>
      <c r="BJ439" s="108">
        <f t="shared" si="505"/>
        <v>0</v>
      </c>
    </row>
    <row r="440" spans="1:62" x14ac:dyDescent="0.2">
      <c r="A440" s="117" t="s">
        <v>396</v>
      </c>
      <c r="B440" s="117" t="s">
        <v>2318</v>
      </c>
      <c r="C440" s="304" t="s">
        <v>3976</v>
      </c>
      <c r="D440" s="305"/>
      <c r="E440" s="305"/>
      <c r="F440" s="117" t="s">
        <v>1646</v>
      </c>
      <c r="G440" s="116">
        <v>6</v>
      </c>
      <c r="H440" s="159"/>
      <c r="I440" s="108">
        <f t="shared" si="482"/>
        <v>0</v>
      </c>
      <c r="J440" s="108">
        <f t="shared" si="483"/>
        <v>0</v>
      </c>
      <c r="K440" s="108">
        <f t="shared" si="484"/>
        <v>0</v>
      </c>
      <c r="L440" s="111" t="s">
        <v>1671</v>
      </c>
      <c r="Z440" s="100">
        <f t="shared" si="485"/>
        <v>0</v>
      </c>
      <c r="AB440" s="100">
        <f t="shared" si="486"/>
        <v>0</v>
      </c>
      <c r="AC440" s="100">
        <f t="shared" si="487"/>
        <v>0</v>
      </c>
      <c r="AD440" s="100">
        <f t="shared" si="488"/>
        <v>0</v>
      </c>
      <c r="AE440" s="100">
        <f t="shared" si="489"/>
        <v>0</v>
      </c>
      <c r="AF440" s="100">
        <f t="shared" si="490"/>
        <v>0</v>
      </c>
      <c r="AG440" s="100">
        <f t="shared" si="491"/>
        <v>0</v>
      </c>
      <c r="AH440" s="100">
        <f t="shared" si="492"/>
        <v>0</v>
      </c>
      <c r="AI440" s="109"/>
      <c r="AJ440" s="108">
        <f t="shared" si="493"/>
        <v>0</v>
      </c>
      <c r="AK440" s="108">
        <f t="shared" si="494"/>
        <v>0</v>
      </c>
      <c r="AL440" s="108">
        <f t="shared" si="495"/>
        <v>0</v>
      </c>
      <c r="AN440" s="100">
        <v>15</v>
      </c>
      <c r="AO440" s="100">
        <f t="shared" si="496"/>
        <v>0</v>
      </c>
      <c r="AP440" s="100">
        <f t="shared" si="497"/>
        <v>0</v>
      </c>
      <c r="AQ440" s="111" t="s">
        <v>13</v>
      </c>
      <c r="AV440" s="100">
        <f t="shared" si="498"/>
        <v>0</v>
      </c>
      <c r="AW440" s="100">
        <f t="shared" si="499"/>
        <v>0</v>
      </c>
      <c r="AX440" s="100">
        <f t="shared" si="500"/>
        <v>0</v>
      </c>
      <c r="AY440" s="110" t="s">
        <v>1715</v>
      </c>
      <c r="AZ440" s="110" t="s">
        <v>1734</v>
      </c>
      <c r="BA440" s="109" t="s">
        <v>1737</v>
      </c>
      <c r="BC440" s="100">
        <f t="shared" si="501"/>
        <v>0</v>
      </c>
      <c r="BD440" s="100">
        <f t="shared" si="502"/>
        <v>0</v>
      </c>
      <c r="BE440" s="100">
        <v>0</v>
      </c>
      <c r="BF440" s="100">
        <f>440</f>
        <v>440</v>
      </c>
      <c r="BH440" s="108">
        <f t="shared" si="503"/>
        <v>0</v>
      </c>
      <c r="BI440" s="108">
        <f t="shared" si="504"/>
        <v>0</v>
      </c>
      <c r="BJ440" s="108">
        <f t="shared" si="505"/>
        <v>0</v>
      </c>
    </row>
    <row r="441" spans="1:62" x14ac:dyDescent="0.2">
      <c r="A441" s="117" t="s">
        <v>397</v>
      </c>
      <c r="B441" s="117" t="s">
        <v>886</v>
      </c>
      <c r="C441" s="304" t="s">
        <v>3034</v>
      </c>
      <c r="D441" s="305"/>
      <c r="E441" s="305"/>
      <c r="F441" s="117" t="s">
        <v>1646</v>
      </c>
      <c r="G441" s="116">
        <v>62.5</v>
      </c>
      <c r="H441" s="159"/>
      <c r="I441" s="108">
        <f t="shared" si="482"/>
        <v>0</v>
      </c>
      <c r="J441" s="108">
        <f t="shared" si="483"/>
        <v>0</v>
      </c>
      <c r="K441" s="108">
        <f t="shared" si="484"/>
        <v>0</v>
      </c>
      <c r="L441" s="111" t="s">
        <v>1671</v>
      </c>
      <c r="Z441" s="100">
        <f t="shared" si="485"/>
        <v>0</v>
      </c>
      <c r="AB441" s="100">
        <f t="shared" si="486"/>
        <v>0</v>
      </c>
      <c r="AC441" s="100">
        <f t="shared" si="487"/>
        <v>0</v>
      </c>
      <c r="AD441" s="100">
        <f t="shared" si="488"/>
        <v>0</v>
      </c>
      <c r="AE441" s="100">
        <f t="shared" si="489"/>
        <v>0</v>
      </c>
      <c r="AF441" s="100">
        <f t="shared" si="490"/>
        <v>0</v>
      </c>
      <c r="AG441" s="100">
        <f t="shared" si="491"/>
        <v>0</v>
      </c>
      <c r="AH441" s="100">
        <f t="shared" si="492"/>
        <v>0</v>
      </c>
      <c r="AI441" s="109"/>
      <c r="AJ441" s="108">
        <f t="shared" si="493"/>
        <v>0</v>
      </c>
      <c r="AK441" s="108">
        <f t="shared" si="494"/>
        <v>0</v>
      </c>
      <c r="AL441" s="108">
        <f t="shared" si="495"/>
        <v>0</v>
      </c>
      <c r="AN441" s="100">
        <v>15</v>
      </c>
      <c r="AO441" s="100">
        <f t="shared" si="496"/>
        <v>0</v>
      </c>
      <c r="AP441" s="100">
        <f t="shared" si="497"/>
        <v>0</v>
      </c>
      <c r="AQ441" s="111" t="s">
        <v>13</v>
      </c>
      <c r="AV441" s="100">
        <f t="shared" si="498"/>
        <v>0</v>
      </c>
      <c r="AW441" s="100">
        <f t="shared" si="499"/>
        <v>0</v>
      </c>
      <c r="AX441" s="100">
        <f t="shared" si="500"/>
        <v>0</v>
      </c>
      <c r="AY441" s="110" t="s">
        <v>1715</v>
      </c>
      <c r="AZ441" s="110" t="s">
        <v>1734</v>
      </c>
      <c r="BA441" s="109" t="s">
        <v>1737</v>
      </c>
      <c r="BC441" s="100">
        <f t="shared" si="501"/>
        <v>0</v>
      </c>
      <c r="BD441" s="100">
        <f t="shared" si="502"/>
        <v>0</v>
      </c>
      <c r="BE441" s="100">
        <v>0</v>
      </c>
      <c r="BF441" s="100">
        <f>441</f>
        <v>441</v>
      </c>
      <c r="BH441" s="108">
        <f t="shared" si="503"/>
        <v>0</v>
      </c>
      <c r="BI441" s="108">
        <f t="shared" si="504"/>
        <v>0</v>
      </c>
      <c r="BJ441" s="108">
        <f t="shared" si="505"/>
        <v>0</v>
      </c>
    </row>
    <row r="442" spans="1:62" x14ac:dyDescent="0.2">
      <c r="A442" s="117" t="s">
        <v>398</v>
      </c>
      <c r="B442" s="117" t="s">
        <v>887</v>
      </c>
      <c r="C442" s="304" t="s">
        <v>3033</v>
      </c>
      <c r="D442" s="305"/>
      <c r="E442" s="305"/>
      <c r="F442" s="117" t="s">
        <v>1644</v>
      </c>
      <c r="G442" s="116">
        <v>6</v>
      </c>
      <c r="H442" s="159"/>
      <c r="I442" s="108">
        <f t="shared" si="482"/>
        <v>0</v>
      </c>
      <c r="J442" s="108">
        <f t="shared" si="483"/>
        <v>0</v>
      </c>
      <c r="K442" s="108">
        <f t="shared" si="484"/>
        <v>0</v>
      </c>
      <c r="L442" s="111" t="s">
        <v>1671</v>
      </c>
      <c r="Z442" s="100">
        <f t="shared" si="485"/>
        <v>0</v>
      </c>
      <c r="AB442" s="100">
        <f t="shared" si="486"/>
        <v>0</v>
      </c>
      <c r="AC442" s="100">
        <f t="shared" si="487"/>
        <v>0</v>
      </c>
      <c r="AD442" s="100">
        <f t="shared" si="488"/>
        <v>0</v>
      </c>
      <c r="AE442" s="100">
        <f t="shared" si="489"/>
        <v>0</v>
      </c>
      <c r="AF442" s="100">
        <f t="shared" si="490"/>
        <v>0</v>
      </c>
      <c r="AG442" s="100">
        <f t="shared" si="491"/>
        <v>0</v>
      </c>
      <c r="AH442" s="100">
        <f t="shared" si="492"/>
        <v>0</v>
      </c>
      <c r="AI442" s="109"/>
      <c r="AJ442" s="108">
        <f t="shared" si="493"/>
        <v>0</v>
      </c>
      <c r="AK442" s="108">
        <f t="shared" si="494"/>
        <v>0</v>
      </c>
      <c r="AL442" s="108">
        <f t="shared" si="495"/>
        <v>0</v>
      </c>
      <c r="AN442" s="100">
        <v>15</v>
      </c>
      <c r="AO442" s="100">
        <f t="shared" si="496"/>
        <v>0</v>
      </c>
      <c r="AP442" s="100">
        <f t="shared" si="497"/>
        <v>0</v>
      </c>
      <c r="AQ442" s="111" t="s">
        <v>13</v>
      </c>
      <c r="AV442" s="100">
        <f t="shared" si="498"/>
        <v>0</v>
      </c>
      <c r="AW442" s="100">
        <f t="shared" si="499"/>
        <v>0</v>
      </c>
      <c r="AX442" s="100">
        <f t="shared" si="500"/>
        <v>0</v>
      </c>
      <c r="AY442" s="110" t="s">
        <v>1715</v>
      </c>
      <c r="AZ442" s="110" t="s">
        <v>1734</v>
      </c>
      <c r="BA442" s="109" t="s">
        <v>1737</v>
      </c>
      <c r="BC442" s="100">
        <f t="shared" si="501"/>
        <v>0</v>
      </c>
      <c r="BD442" s="100">
        <f t="shared" si="502"/>
        <v>0</v>
      </c>
      <c r="BE442" s="100">
        <v>0</v>
      </c>
      <c r="BF442" s="100">
        <f>442</f>
        <v>442</v>
      </c>
      <c r="BH442" s="108">
        <f t="shared" si="503"/>
        <v>0</v>
      </c>
      <c r="BI442" s="108">
        <f t="shared" si="504"/>
        <v>0</v>
      </c>
      <c r="BJ442" s="108">
        <f t="shared" si="505"/>
        <v>0</v>
      </c>
    </row>
    <row r="443" spans="1:62" x14ac:dyDescent="0.2">
      <c r="A443" s="117" t="s">
        <v>399</v>
      </c>
      <c r="B443" s="117" t="s">
        <v>888</v>
      </c>
      <c r="C443" s="304" t="s">
        <v>1477</v>
      </c>
      <c r="D443" s="305"/>
      <c r="E443" s="305"/>
      <c r="F443" s="117" t="s">
        <v>1644</v>
      </c>
      <c r="G443" s="116">
        <v>1</v>
      </c>
      <c r="H443" s="159"/>
      <c r="I443" s="108">
        <f t="shared" si="482"/>
        <v>0</v>
      </c>
      <c r="J443" s="108">
        <f t="shared" si="483"/>
        <v>0</v>
      </c>
      <c r="K443" s="108">
        <f t="shared" si="484"/>
        <v>0</v>
      </c>
      <c r="L443" s="111" t="s">
        <v>1671</v>
      </c>
      <c r="Z443" s="100">
        <f t="shared" si="485"/>
        <v>0</v>
      </c>
      <c r="AB443" s="100">
        <f t="shared" si="486"/>
        <v>0</v>
      </c>
      <c r="AC443" s="100">
        <f t="shared" si="487"/>
        <v>0</v>
      </c>
      <c r="AD443" s="100">
        <f t="shared" si="488"/>
        <v>0</v>
      </c>
      <c r="AE443" s="100">
        <f t="shared" si="489"/>
        <v>0</v>
      </c>
      <c r="AF443" s="100">
        <f t="shared" si="490"/>
        <v>0</v>
      </c>
      <c r="AG443" s="100">
        <f t="shared" si="491"/>
        <v>0</v>
      </c>
      <c r="AH443" s="100">
        <f t="shared" si="492"/>
        <v>0</v>
      </c>
      <c r="AI443" s="109"/>
      <c r="AJ443" s="108">
        <f t="shared" si="493"/>
        <v>0</v>
      </c>
      <c r="AK443" s="108">
        <f t="shared" si="494"/>
        <v>0</v>
      </c>
      <c r="AL443" s="108">
        <f t="shared" si="495"/>
        <v>0</v>
      </c>
      <c r="AN443" s="100">
        <v>15</v>
      </c>
      <c r="AO443" s="100">
        <f>H443*0.270879136690647</f>
        <v>0</v>
      </c>
      <c r="AP443" s="100">
        <f>H443*(1-0.270879136690647)</f>
        <v>0</v>
      </c>
      <c r="AQ443" s="111" t="s">
        <v>13</v>
      </c>
      <c r="AV443" s="100">
        <f t="shared" si="498"/>
        <v>0</v>
      </c>
      <c r="AW443" s="100">
        <f t="shared" si="499"/>
        <v>0</v>
      </c>
      <c r="AX443" s="100">
        <f t="shared" si="500"/>
        <v>0</v>
      </c>
      <c r="AY443" s="110" t="s">
        <v>1715</v>
      </c>
      <c r="AZ443" s="110" t="s">
        <v>1734</v>
      </c>
      <c r="BA443" s="109" t="s">
        <v>1737</v>
      </c>
      <c r="BC443" s="100">
        <f t="shared" si="501"/>
        <v>0</v>
      </c>
      <c r="BD443" s="100">
        <f t="shared" si="502"/>
        <v>0</v>
      </c>
      <c r="BE443" s="100">
        <v>0</v>
      </c>
      <c r="BF443" s="100">
        <f>443</f>
        <v>443</v>
      </c>
      <c r="BH443" s="108">
        <f t="shared" si="503"/>
        <v>0</v>
      </c>
      <c r="BI443" s="108">
        <f t="shared" si="504"/>
        <v>0</v>
      </c>
      <c r="BJ443" s="108">
        <f t="shared" si="505"/>
        <v>0</v>
      </c>
    </row>
    <row r="444" spans="1:62" x14ac:dyDescent="0.2">
      <c r="A444" s="117" t="s">
        <v>400</v>
      </c>
      <c r="B444" s="117" t="s">
        <v>889</v>
      </c>
      <c r="C444" s="304" t="s">
        <v>1478</v>
      </c>
      <c r="D444" s="305"/>
      <c r="E444" s="305"/>
      <c r="F444" s="117" t="s">
        <v>1646</v>
      </c>
      <c r="G444" s="116">
        <v>46.3</v>
      </c>
      <c r="H444" s="159"/>
      <c r="I444" s="108">
        <f t="shared" si="482"/>
        <v>0</v>
      </c>
      <c r="J444" s="108">
        <f t="shared" si="483"/>
        <v>0</v>
      </c>
      <c r="K444" s="108">
        <f t="shared" si="484"/>
        <v>0</v>
      </c>
      <c r="L444" s="111" t="s">
        <v>1671</v>
      </c>
      <c r="Z444" s="100">
        <f t="shared" si="485"/>
        <v>0</v>
      </c>
      <c r="AB444" s="100">
        <f t="shared" si="486"/>
        <v>0</v>
      </c>
      <c r="AC444" s="100">
        <f t="shared" si="487"/>
        <v>0</v>
      </c>
      <c r="AD444" s="100">
        <f t="shared" si="488"/>
        <v>0</v>
      </c>
      <c r="AE444" s="100">
        <f t="shared" si="489"/>
        <v>0</v>
      </c>
      <c r="AF444" s="100">
        <f t="shared" si="490"/>
        <v>0</v>
      </c>
      <c r="AG444" s="100">
        <f t="shared" si="491"/>
        <v>0</v>
      </c>
      <c r="AH444" s="100">
        <f t="shared" si="492"/>
        <v>0</v>
      </c>
      <c r="AI444" s="109"/>
      <c r="AJ444" s="108">
        <f t="shared" si="493"/>
        <v>0</v>
      </c>
      <c r="AK444" s="108">
        <f t="shared" si="494"/>
        <v>0</v>
      </c>
      <c r="AL444" s="108">
        <f t="shared" si="495"/>
        <v>0</v>
      </c>
      <c r="AN444" s="100">
        <v>15</v>
      </c>
      <c r="AO444" s="100">
        <f>H444*0.281701374477365</f>
        <v>0</v>
      </c>
      <c r="AP444" s="100">
        <f>H444*(1-0.281701374477365)</f>
        <v>0</v>
      </c>
      <c r="AQ444" s="111" t="s">
        <v>13</v>
      </c>
      <c r="AV444" s="100">
        <f t="shared" si="498"/>
        <v>0</v>
      </c>
      <c r="AW444" s="100">
        <f t="shared" si="499"/>
        <v>0</v>
      </c>
      <c r="AX444" s="100">
        <f t="shared" si="500"/>
        <v>0</v>
      </c>
      <c r="AY444" s="110" t="s">
        <v>1715</v>
      </c>
      <c r="AZ444" s="110" t="s">
        <v>1734</v>
      </c>
      <c r="BA444" s="109" t="s">
        <v>1737</v>
      </c>
      <c r="BC444" s="100">
        <f t="shared" si="501"/>
        <v>0</v>
      </c>
      <c r="BD444" s="100">
        <f t="shared" si="502"/>
        <v>0</v>
      </c>
      <c r="BE444" s="100">
        <v>0</v>
      </c>
      <c r="BF444" s="100">
        <f>444</f>
        <v>444</v>
      </c>
      <c r="BH444" s="108">
        <f t="shared" si="503"/>
        <v>0</v>
      </c>
      <c r="BI444" s="108">
        <f t="shared" si="504"/>
        <v>0</v>
      </c>
      <c r="BJ444" s="108">
        <f t="shared" si="505"/>
        <v>0</v>
      </c>
    </row>
    <row r="445" spans="1:62" x14ac:dyDescent="0.2">
      <c r="A445" s="117" t="s">
        <v>401</v>
      </c>
      <c r="B445" s="117" t="s">
        <v>890</v>
      </c>
      <c r="C445" s="304" t="s">
        <v>1479</v>
      </c>
      <c r="D445" s="305"/>
      <c r="E445" s="305"/>
      <c r="F445" s="117" t="s">
        <v>1646</v>
      </c>
      <c r="G445" s="116">
        <v>22.2</v>
      </c>
      <c r="H445" s="159"/>
      <c r="I445" s="108">
        <f t="shared" si="482"/>
        <v>0</v>
      </c>
      <c r="J445" s="108">
        <f t="shared" si="483"/>
        <v>0</v>
      </c>
      <c r="K445" s="108">
        <f t="shared" si="484"/>
        <v>0</v>
      </c>
      <c r="L445" s="111" t="s">
        <v>1671</v>
      </c>
      <c r="Z445" s="100">
        <f t="shared" si="485"/>
        <v>0</v>
      </c>
      <c r="AB445" s="100">
        <f t="shared" si="486"/>
        <v>0</v>
      </c>
      <c r="AC445" s="100">
        <f t="shared" si="487"/>
        <v>0</v>
      </c>
      <c r="AD445" s="100">
        <f t="shared" si="488"/>
        <v>0</v>
      </c>
      <c r="AE445" s="100">
        <f t="shared" si="489"/>
        <v>0</v>
      </c>
      <c r="AF445" s="100">
        <f t="shared" si="490"/>
        <v>0</v>
      </c>
      <c r="AG445" s="100">
        <f t="shared" si="491"/>
        <v>0</v>
      </c>
      <c r="AH445" s="100">
        <f t="shared" si="492"/>
        <v>0</v>
      </c>
      <c r="AI445" s="109"/>
      <c r="AJ445" s="108">
        <f t="shared" si="493"/>
        <v>0</v>
      </c>
      <c r="AK445" s="108">
        <f t="shared" si="494"/>
        <v>0</v>
      </c>
      <c r="AL445" s="108">
        <f t="shared" si="495"/>
        <v>0</v>
      </c>
      <c r="AN445" s="100">
        <v>15</v>
      </c>
      <c r="AO445" s="100">
        <f>H445*0.31016318537859</f>
        <v>0</v>
      </c>
      <c r="AP445" s="100">
        <f>H445*(1-0.31016318537859)</f>
        <v>0</v>
      </c>
      <c r="AQ445" s="111" t="s">
        <v>13</v>
      </c>
      <c r="AV445" s="100">
        <f t="shared" si="498"/>
        <v>0</v>
      </c>
      <c r="AW445" s="100">
        <f t="shared" si="499"/>
        <v>0</v>
      </c>
      <c r="AX445" s="100">
        <f t="shared" si="500"/>
        <v>0</v>
      </c>
      <c r="AY445" s="110" t="s">
        <v>1715</v>
      </c>
      <c r="AZ445" s="110" t="s">
        <v>1734</v>
      </c>
      <c r="BA445" s="109" t="s">
        <v>1737</v>
      </c>
      <c r="BC445" s="100">
        <f t="shared" si="501"/>
        <v>0</v>
      </c>
      <c r="BD445" s="100">
        <f t="shared" si="502"/>
        <v>0</v>
      </c>
      <c r="BE445" s="100">
        <v>0</v>
      </c>
      <c r="BF445" s="100">
        <f>445</f>
        <v>445</v>
      </c>
      <c r="BH445" s="108">
        <f t="shared" si="503"/>
        <v>0</v>
      </c>
      <c r="BI445" s="108">
        <f t="shared" si="504"/>
        <v>0</v>
      </c>
      <c r="BJ445" s="108">
        <f t="shared" si="505"/>
        <v>0</v>
      </c>
    </row>
    <row r="446" spans="1:62" x14ac:dyDescent="0.2">
      <c r="A446" s="117" t="s">
        <v>402</v>
      </c>
      <c r="B446" s="117" t="s">
        <v>891</v>
      </c>
      <c r="C446" s="304" t="s">
        <v>1480</v>
      </c>
      <c r="D446" s="305"/>
      <c r="E446" s="305"/>
      <c r="F446" s="117" t="s">
        <v>1646</v>
      </c>
      <c r="G446" s="116">
        <v>68.5</v>
      </c>
      <c r="H446" s="159"/>
      <c r="I446" s="108">
        <f t="shared" si="482"/>
        <v>0</v>
      </c>
      <c r="J446" s="108">
        <f t="shared" si="483"/>
        <v>0</v>
      </c>
      <c r="K446" s="108">
        <f t="shared" si="484"/>
        <v>0</v>
      </c>
      <c r="L446" s="111" t="s">
        <v>1671</v>
      </c>
      <c r="Z446" s="100">
        <f t="shared" si="485"/>
        <v>0</v>
      </c>
      <c r="AB446" s="100">
        <f t="shared" si="486"/>
        <v>0</v>
      </c>
      <c r="AC446" s="100">
        <f t="shared" si="487"/>
        <v>0</v>
      </c>
      <c r="AD446" s="100">
        <f t="shared" si="488"/>
        <v>0</v>
      </c>
      <c r="AE446" s="100">
        <f t="shared" si="489"/>
        <v>0</v>
      </c>
      <c r="AF446" s="100">
        <f t="shared" si="490"/>
        <v>0</v>
      </c>
      <c r="AG446" s="100">
        <f t="shared" si="491"/>
        <v>0</v>
      </c>
      <c r="AH446" s="100">
        <f t="shared" si="492"/>
        <v>0</v>
      </c>
      <c r="AI446" s="109"/>
      <c r="AJ446" s="108">
        <f t="shared" si="493"/>
        <v>0</v>
      </c>
      <c r="AK446" s="108">
        <f t="shared" si="494"/>
        <v>0</v>
      </c>
      <c r="AL446" s="108">
        <f t="shared" si="495"/>
        <v>0</v>
      </c>
      <c r="AN446" s="100">
        <v>15</v>
      </c>
      <c r="AO446" s="100">
        <f>H446*0</f>
        <v>0</v>
      </c>
      <c r="AP446" s="100">
        <f>H446*(1-0)</f>
        <v>0</v>
      </c>
      <c r="AQ446" s="111" t="s">
        <v>13</v>
      </c>
      <c r="AV446" s="100">
        <f t="shared" si="498"/>
        <v>0</v>
      </c>
      <c r="AW446" s="100">
        <f t="shared" si="499"/>
        <v>0</v>
      </c>
      <c r="AX446" s="100">
        <f t="shared" si="500"/>
        <v>0</v>
      </c>
      <c r="AY446" s="110" t="s">
        <v>1715</v>
      </c>
      <c r="AZ446" s="110" t="s">
        <v>1734</v>
      </c>
      <c r="BA446" s="109" t="s">
        <v>1737</v>
      </c>
      <c r="BC446" s="100">
        <f t="shared" si="501"/>
        <v>0</v>
      </c>
      <c r="BD446" s="100">
        <f t="shared" si="502"/>
        <v>0</v>
      </c>
      <c r="BE446" s="100">
        <v>0</v>
      </c>
      <c r="BF446" s="100">
        <f>446</f>
        <v>446</v>
      </c>
      <c r="BH446" s="108">
        <f t="shared" si="503"/>
        <v>0</v>
      </c>
      <c r="BI446" s="108">
        <f t="shared" si="504"/>
        <v>0</v>
      </c>
      <c r="BJ446" s="108">
        <f t="shared" si="505"/>
        <v>0</v>
      </c>
    </row>
    <row r="447" spans="1:62" x14ac:dyDescent="0.2">
      <c r="A447" s="117" t="s">
        <v>403</v>
      </c>
      <c r="B447" s="117" t="s">
        <v>892</v>
      </c>
      <c r="C447" s="304" t="s">
        <v>1481</v>
      </c>
      <c r="D447" s="305"/>
      <c r="E447" s="305"/>
      <c r="F447" s="117" t="s">
        <v>1646</v>
      </c>
      <c r="G447" s="116">
        <v>46.5</v>
      </c>
      <c r="H447" s="159"/>
      <c r="I447" s="108">
        <f t="shared" si="482"/>
        <v>0</v>
      </c>
      <c r="J447" s="108">
        <f t="shared" si="483"/>
        <v>0</v>
      </c>
      <c r="K447" s="108">
        <f t="shared" si="484"/>
        <v>0</v>
      </c>
      <c r="L447" s="111" t="s">
        <v>1671</v>
      </c>
      <c r="Z447" s="100">
        <f t="shared" si="485"/>
        <v>0</v>
      </c>
      <c r="AB447" s="100">
        <f t="shared" si="486"/>
        <v>0</v>
      </c>
      <c r="AC447" s="100">
        <f t="shared" si="487"/>
        <v>0</v>
      </c>
      <c r="AD447" s="100">
        <f t="shared" si="488"/>
        <v>0</v>
      </c>
      <c r="AE447" s="100">
        <f t="shared" si="489"/>
        <v>0</v>
      </c>
      <c r="AF447" s="100">
        <f t="shared" si="490"/>
        <v>0</v>
      </c>
      <c r="AG447" s="100">
        <f t="shared" si="491"/>
        <v>0</v>
      </c>
      <c r="AH447" s="100">
        <f t="shared" si="492"/>
        <v>0</v>
      </c>
      <c r="AI447" s="109"/>
      <c r="AJ447" s="108">
        <f t="shared" si="493"/>
        <v>0</v>
      </c>
      <c r="AK447" s="108">
        <f t="shared" si="494"/>
        <v>0</v>
      </c>
      <c r="AL447" s="108">
        <f t="shared" si="495"/>
        <v>0</v>
      </c>
      <c r="AN447" s="100">
        <v>15</v>
      </c>
      <c r="AO447" s="100">
        <f>H447*0</f>
        <v>0</v>
      </c>
      <c r="AP447" s="100">
        <f>H447*(1-0)</f>
        <v>0</v>
      </c>
      <c r="AQ447" s="111" t="s">
        <v>13</v>
      </c>
      <c r="AV447" s="100">
        <f t="shared" si="498"/>
        <v>0</v>
      </c>
      <c r="AW447" s="100">
        <f t="shared" si="499"/>
        <v>0</v>
      </c>
      <c r="AX447" s="100">
        <f t="shared" si="500"/>
        <v>0</v>
      </c>
      <c r="AY447" s="110" t="s">
        <v>1715</v>
      </c>
      <c r="AZ447" s="110" t="s">
        <v>1734</v>
      </c>
      <c r="BA447" s="109" t="s">
        <v>1737</v>
      </c>
      <c r="BC447" s="100">
        <f t="shared" si="501"/>
        <v>0</v>
      </c>
      <c r="BD447" s="100">
        <f t="shared" si="502"/>
        <v>0</v>
      </c>
      <c r="BE447" s="100">
        <v>0</v>
      </c>
      <c r="BF447" s="100">
        <f>447</f>
        <v>447</v>
      </c>
      <c r="BH447" s="108">
        <f t="shared" si="503"/>
        <v>0</v>
      </c>
      <c r="BI447" s="108">
        <f t="shared" si="504"/>
        <v>0</v>
      </c>
      <c r="BJ447" s="108">
        <f t="shared" si="505"/>
        <v>0</v>
      </c>
    </row>
    <row r="448" spans="1:62" x14ac:dyDescent="0.2">
      <c r="A448" s="117" t="s">
        <v>404</v>
      </c>
      <c r="B448" s="117" t="s">
        <v>2316</v>
      </c>
      <c r="C448" s="304" t="s">
        <v>2315</v>
      </c>
      <c r="D448" s="305"/>
      <c r="E448" s="305"/>
      <c r="F448" s="117" t="s">
        <v>1646</v>
      </c>
      <c r="G448" s="116">
        <v>6</v>
      </c>
      <c r="H448" s="159"/>
      <c r="I448" s="108">
        <f t="shared" si="482"/>
        <v>0</v>
      </c>
      <c r="J448" s="108">
        <f t="shared" si="483"/>
        <v>0</v>
      </c>
      <c r="K448" s="108">
        <f t="shared" si="484"/>
        <v>0</v>
      </c>
      <c r="L448" s="111" t="s">
        <v>1671</v>
      </c>
      <c r="Z448" s="100">
        <f t="shared" si="485"/>
        <v>0</v>
      </c>
      <c r="AB448" s="100">
        <f t="shared" si="486"/>
        <v>0</v>
      </c>
      <c r="AC448" s="100">
        <f t="shared" si="487"/>
        <v>0</v>
      </c>
      <c r="AD448" s="100">
        <f t="shared" si="488"/>
        <v>0</v>
      </c>
      <c r="AE448" s="100">
        <f t="shared" si="489"/>
        <v>0</v>
      </c>
      <c r="AF448" s="100">
        <f t="shared" si="490"/>
        <v>0</v>
      </c>
      <c r="AG448" s="100">
        <f t="shared" si="491"/>
        <v>0</v>
      </c>
      <c r="AH448" s="100">
        <f t="shared" si="492"/>
        <v>0</v>
      </c>
      <c r="AI448" s="109"/>
      <c r="AJ448" s="108">
        <f t="shared" si="493"/>
        <v>0</v>
      </c>
      <c r="AK448" s="108">
        <f t="shared" si="494"/>
        <v>0</v>
      </c>
      <c r="AL448" s="108">
        <f t="shared" si="495"/>
        <v>0</v>
      </c>
      <c r="AN448" s="100">
        <v>15</v>
      </c>
      <c r="AO448" s="100">
        <f>H448*0.57475113122172</f>
        <v>0</v>
      </c>
      <c r="AP448" s="100">
        <f>H448*(1-0.57475113122172)</f>
        <v>0</v>
      </c>
      <c r="AQ448" s="111" t="s">
        <v>13</v>
      </c>
      <c r="AV448" s="100">
        <f t="shared" si="498"/>
        <v>0</v>
      </c>
      <c r="AW448" s="100">
        <f t="shared" si="499"/>
        <v>0</v>
      </c>
      <c r="AX448" s="100">
        <f t="shared" si="500"/>
        <v>0</v>
      </c>
      <c r="AY448" s="110" t="s">
        <v>1715</v>
      </c>
      <c r="AZ448" s="110" t="s">
        <v>1734</v>
      </c>
      <c r="BA448" s="109" t="s">
        <v>1737</v>
      </c>
      <c r="BC448" s="100">
        <f t="shared" si="501"/>
        <v>0</v>
      </c>
      <c r="BD448" s="100">
        <f t="shared" si="502"/>
        <v>0</v>
      </c>
      <c r="BE448" s="100">
        <v>0</v>
      </c>
      <c r="BF448" s="100">
        <f>448</f>
        <v>448</v>
      </c>
      <c r="BH448" s="108">
        <f t="shared" si="503"/>
        <v>0</v>
      </c>
      <c r="BI448" s="108">
        <f t="shared" si="504"/>
        <v>0</v>
      </c>
      <c r="BJ448" s="108">
        <f t="shared" si="505"/>
        <v>0</v>
      </c>
    </row>
    <row r="449" spans="1:62" x14ac:dyDescent="0.2">
      <c r="A449" s="117" t="s">
        <v>405</v>
      </c>
      <c r="B449" s="117" t="s">
        <v>893</v>
      </c>
      <c r="C449" s="304" t="s">
        <v>1482</v>
      </c>
      <c r="D449" s="305"/>
      <c r="E449" s="305"/>
      <c r="F449" s="117" t="s">
        <v>1646</v>
      </c>
      <c r="G449" s="116">
        <v>62.5</v>
      </c>
      <c r="H449" s="159"/>
      <c r="I449" s="108">
        <f t="shared" si="482"/>
        <v>0</v>
      </c>
      <c r="J449" s="108">
        <f t="shared" si="483"/>
        <v>0</v>
      </c>
      <c r="K449" s="108">
        <f t="shared" si="484"/>
        <v>0</v>
      </c>
      <c r="L449" s="111" t="s">
        <v>1671</v>
      </c>
      <c r="Z449" s="100">
        <f t="shared" si="485"/>
        <v>0</v>
      </c>
      <c r="AB449" s="100">
        <f t="shared" si="486"/>
        <v>0</v>
      </c>
      <c r="AC449" s="100">
        <f t="shared" si="487"/>
        <v>0</v>
      </c>
      <c r="AD449" s="100">
        <f t="shared" si="488"/>
        <v>0</v>
      </c>
      <c r="AE449" s="100">
        <f t="shared" si="489"/>
        <v>0</v>
      </c>
      <c r="AF449" s="100">
        <f t="shared" si="490"/>
        <v>0</v>
      </c>
      <c r="AG449" s="100">
        <f t="shared" si="491"/>
        <v>0</v>
      </c>
      <c r="AH449" s="100">
        <f t="shared" si="492"/>
        <v>0</v>
      </c>
      <c r="AI449" s="109"/>
      <c r="AJ449" s="108">
        <f t="shared" si="493"/>
        <v>0</v>
      </c>
      <c r="AK449" s="108">
        <f t="shared" si="494"/>
        <v>0</v>
      </c>
      <c r="AL449" s="108">
        <f t="shared" si="495"/>
        <v>0</v>
      </c>
      <c r="AN449" s="100">
        <v>15</v>
      </c>
      <c r="AO449" s="100">
        <f>H449*0.603371428571429</f>
        <v>0</v>
      </c>
      <c r="AP449" s="100">
        <f>H449*(1-0.603371428571429)</f>
        <v>0</v>
      </c>
      <c r="AQ449" s="111" t="s">
        <v>13</v>
      </c>
      <c r="AV449" s="100">
        <f t="shared" si="498"/>
        <v>0</v>
      </c>
      <c r="AW449" s="100">
        <f t="shared" si="499"/>
        <v>0</v>
      </c>
      <c r="AX449" s="100">
        <f t="shared" si="500"/>
        <v>0</v>
      </c>
      <c r="AY449" s="110" t="s">
        <v>1715</v>
      </c>
      <c r="AZ449" s="110" t="s">
        <v>1734</v>
      </c>
      <c r="BA449" s="109" t="s">
        <v>1737</v>
      </c>
      <c r="BC449" s="100">
        <f t="shared" si="501"/>
        <v>0</v>
      </c>
      <c r="BD449" s="100">
        <f t="shared" si="502"/>
        <v>0</v>
      </c>
      <c r="BE449" s="100">
        <v>0</v>
      </c>
      <c r="BF449" s="100">
        <f>449</f>
        <v>449</v>
      </c>
      <c r="BH449" s="108">
        <f t="shared" si="503"/>
        <v>0</v>
      </c>
      <c r="BI449" s="108">
        <f t="shared" si="504"/>
        <v>0</v>
      </c>
      <c r="BJ449" s="108">
        <f t="shared" si="505"/>
        <v>0</v>
      </c>
    </row>
    <row r="450" spans="1:62" x14ac:dyDescent="0.2">
      <c r="A450" s="117" t="s">
        <v>406</v>
      </c>
      <c r="B450" s="117" t="s">
        <v>2314</v>
      </c>
      <c r="C450" s="304" t="s">
        <v>2313</v>
      </c>
      <c r="D450" s="305"/>
      <c r="E450" s="305"/>
      <c r="F450" s="117" t="s">
        <v>1644</v>
      </c>
      <c r="G450" s="116">
        <v>2</v>
      </c>
      <c r="H450" s="159"/>
      <c r="I450" s="108">
        <f t="shared" si="482"/>
        <v>0</v>
      </c>
      <c r="J450" s="108">
        <f t="shared" si="483"/>
        <v>0</v>
      </c>
      <c r="K450" s="108">
        <f t="shared" si="484"/>
        <v>0</v>
      </c>
      <c r="L450" s="111" t="s">
        <v>1671</v>
      </c>
      <c r="Z450" s="100">
        <f t="shared" si="485"/>
        <v>0</v>
      </c>
      <c r="AB450" s="100">
        <f t="shared" si="486"/>
        <v>0</v>
      </c>
      <c r="AC450" s="100">
        <f t="shared" si="487"/>
        <v>0</v>
      </c>
      <c r="AD450" s="100">
        <f t="shared" si="488"/>
        <v>0</v>
      </c>
      <c r="AE450" s="100">
        <f t="shared" si="489"/>
        <v>0</v>
      </c>
      <c r="AF450" s="100">
        <f t="shared" si="490"/>
        <v>0</v>
      </c>
      <c r="AG450" s="100">
        <f t="shared" si="491"/>
        <v>0</v>
      </c>
      <c r="AH450" s="100">
        <f t="shared" si="492"/>
        <v>0</v>
      </c>
      <c r="AI450" s="109"/>
      <c r="AJ450" s="108">
        <f t="shared" si="493"/>
        <v>0</v>
      </c>
      <c r="AK450" s="108">
        <f t="shared" si="494"/>
        <v>0</v>
      </c>
      <c r="AL450" s="108">
        <f t="shared" si="495"/>
        <v>0</v>
      </c>
      <c r="AN450" s="100">
        <v>15</v>
      </c>
      <c r="AO450" s="100">
        <f>H450*0.464767726161369</f>
        <v>0</v>
      </c>
      <c r="AP450" s="100">
        <f>H450*(1-0.464767726161369)</f>
        <v>0</v>
      </c>
      <c r="AQ450" s="111" t="s">
        <v>13</v>
      </c>
      <c r="AV450" s="100">
        <f t="shared" si="498"/>
        <v>0</v>
      </c>
      <c r="AW450" s="100">
        <f t="shared" si="499"/>
        <v>0</v>
      </c>
      <c r="AX450" s="100">
        <f t="shared" si="500"/>
        <v>0</v>
      </c>
      <c r="AY450" s="110" t="s">
        <v>1715</v>
      </c>
      <c r="AZ450" s="110" t="s">
        <v>1734</v>
      </c>
      <c r="BA450" s="109" t="s">
        <v>1737</v>
      </c>
      <c r="BC450" s="100">
        <f t="shared" si="501"/>
        <v>0</v>
      </c>
      <c r="BD450" s="100">
        <f t="shared" si="502"/>
        <v>0</v>
      </c>
      <c r="BE450" s="100">
        <v>0</v>
      </c>
      <c r="BF450" s="100">
        <f>450</f>
        <v>450</v>
      </c>
      <c r="BH450" s="108">
        <f t="shared" si="503"/>
        <v>0</v>
      </c>
      <c r="BI450" s="108">
        <f t="shared" si="504"/>
        <v>0</v>
      </c>
      <c r="BJ450" s="108">
        <f t="shared" si="505"/>
        <v>0</v>
      </c>
    </row>
    <row r="451" spans="1:62" x14ac:dyDescent="0.2">
      <c r="A451" s="117" t="s">
        <v>407</v>
      </c>
      <c r="B451" s="117" t="s">
        <v>894</v>
      </c>
      <c r="C451" s="304" t="s">
        <v>1483</v>
      </c>
      <c r="D451" s="305"/>
      <c r="E451" s="305"/>
      <c r="F451" s="117" t="s">
        <v>1644</v>
      </c>
      <c r="G451" s="116">
        <v>4</v>
      </c>
      <c r="H451" s="159"/>
      <c r="I451" s="108">
        <f t="shared" si="482"/>
        <v>0</v>
      </c>
      <c r="J451" s="108">
        <f t="shared" si="483"/>
        <v>0</v>
      </c>
      <c r="K451" s="108">
        <f t="shared" si="484"/>
        <v>0</v>
      </c>
      <c r="L451" s="111" t="s">
        <v>1671</v>
      </c>
      <c r="Z451" s="100">
        <f t="shared" si="485"/>
        <v>0</v>
      </c>
      <c r="AB451" s="100">
        <f t="shared" si="486"/>
        <v>0</v>
      </c>
      <c r="AC451" s="100">
        <f t="shared" si="487"/>
        <v>0</v>
      </c>
      <c r="AD451" s="100">
        <f t="shared" si="488"/>
        <v>0</v>
      </c>
      <c r="AE451" s="100">
        <f t="shared" si="489"/>
        <v>0</v>
      </c>
      <c r="AF451" s="100">
        <f t="shared" si="490"/>
        <v>0</v>
      </c>
      <c r="AG451" s="100">
        <f t="shared" si="491"/>
        <v>0</v>
      </c>
      <c r="AH451" s="100">
        <f t="shared" si="492"/>
        <v>0</v>
      </c>
      <c r="AI451" s="109"/>
      <c r="AJ451" s="108">
        <f t="shared" si="493"/>
        <v>0</v>
      </c>
      <c r="AK451" s="108">
        <f t="shared" si="494"/>
        <v>0</v>
      </c>
      <c r="AL451" s="108">
        <f t="shared" si="495"/>
        <v>0</v>
      </c>
      <c r="AN451" s="100">
        <v>15</v>
      </c>
      <c r="AO451" s="100">
        <f>H451*0.568224852071006</f>
        <v>0</v>
      </c>
      <c r="AP451" s="100">
        <f>H451*(1-0.568224852071006)</f>
        <v>0</v>
      </c>
      <c r="AQ451" s="111" t="s">
        <v>13</v>
      </c>
      <c r="AV451" s="100">
        <f t="shared" si="498"/>
        <v>0</v>
      </c>
      <c r="AW451" s="100">
        <f t="shared" si="499"/>
        <v>0</v>
      </c>
      <c r="AX451" s="100">
        <f t="shared" si="500"/>
        <v>0</v>
      </c>
      <c r="AY451" s="110" t="s">
        <v>1715</v>
      </c>
      <c r="AZ451" s="110" t="s">
        <v>1734</v>
      </c>
      <c r="BA451" s="109" t="s">
        <v>1737</v>
      </c>
      <c r="BC451" s="100">
        <f t="shared" si="501"/>
        <v>0</v>
      </c>
      <c r="BD451" s="100">
        <f t="shared" si="502"/>
        <v>0</v>
      </c>
      <c r="BE451" s="100">
        <v>0</v>
      </c>
      <c r="BF451" s="100">
        <f>451</f>
        <v>451</v>
      </c>
      <c r="BH451" s="108">
        <f t="shared" si="503"/>
        <v>0</v>
      </c>
      <c r="BI451" s="108">
        <f t="shared" si="504"/>
        <v>0</v>
      </c>
      <c r="BJ451" s="108">
        <f t="shared" si="505"/>
        <v>0</v>
      </c>
    </row>
    <row r="452" spans="1:62" x14ac:dyDescent="0.2">
      <c r="A452" s="117" t="s">
        <v>408</v>
      </c>
      <c r="B452" s="117" t="s">
        <v>2312</v>
      </c>
      <c r="C452" s="304" t="s">
        <v>2311</v>
      </c>
      <c r="D452" s="305"/>
      <c r="E452" s="305"/>
      <c r="F452" s="117" t="s">
        <v>1646</v>
      </c>
      <c r="G452" s="116">
        <v>15.5</v>
      </c>
      <c r="H452" s="159"/>
      <c r="I452" s="108">
        <f t="shared" si="482"/>
        <v>0</v>
      </c>
      <c r="J452" s="108">
        <f t="shared" si="483"/>
        <v>0</v>
      </c>
      <c r="K452" s="108">
        <f t="shared" si="484"/>
        <v>0</v>
      </c>
      <c r="L452" s="111" t="s">
        <v>1671</v>
      </c>
      <c r="Z452" s="100">
        <f t="shared" si="485"/>
        <v>0</v>
      </c>
      <c r="AB452" s="100">
        <f t="shared" si="486"/>
        <v>0</v>
      </c>
      <c r="AC452" s="100">
        <f t="shared" si="487"/>
        <v>0</v>
      </c>
      <c r="AD452" s="100">
        <f t="shared" si="488"/>
        <v>0</v>
      </c>
      <c r="AE452" s="100">
        <f t="shared" si="489"/>
        <v>0</v>
      </c>
      <c r="AF452" s="100">
        <f t="shared" si="490"/>
        <v>0</v>
      </c>
      <c r="AG452" s="100">
        <f t="shared" si="491"/>
        <v>0</v>
      </c>
      <c r="AH452" s="100">
        <f t="shared" si="492"/>
        <v>0</v>
      </c>
      <c r="AI452" s="109"/>
      <c r="AJ452" s="108">
        <f t="shared" si="493"/>
        <v>0</v>
      </c>
      <c r="AK452" s="108">
        <f t="shared" si="494"/>
        <v>0</v>
      </c>
      <c r="AL452" s="108">
        <f t="shared" si="495"/>
        <v>0</v>
      </c>
      <c r="AN452" s="100">
        <v>15</v>
      </c>
      <c r="AO452" s="100">
        <f>H452*0.664928366762178</f>
        <v>0</v>
      </c>
      <c r="AP452" s="100">
        <f>H452*(1-0.664928366762178)</f>
        <v>0</v>
      </c>
      <c r="AQ452" s="111" t="s">
        <v>13</v>
      </c>
      <c r="AV452" s="100">
        <f t="shared" si="498"/>
        <v>0</v>
      </c>
      <c r="AW452" s="100">
        <f t="shared" si="499"/>
        <v>0</v>
      </c>
      <c r="AX452" s="100">
        <f t="shared" si="500"/>
        <v>0</v>
      </c>
      <c r="AY452" s="110" t="s">
        <v>1715</v>
      </c>
      <c r="AZ452" s="110" t="s">
        <v>1734</v>
      </c>
      <c r="BA452" s="109" t="s">
        <v>1737</v>
      </c>
      <c r="BC452" s="100">
        <f t="shared" si="501"/>
        <v>0</v>
      </c>
      <c r="BD452" s="100">
        <f t="shared" si="502"/>
        <v>0</v>
      </c>
      <c r="BE452" s="100">
        <v>0</v>
      </c>
      <c r="BF452" s="100">
        <f>452</f>
        <v>452</v>
      </c>
      <c r="BH452" s="108">
        <f t="shared" si="503"/>
        <v>0</v>
      </c>
      <c r="BI452" s="108">
        <f t="shared" si="504"/>
        <v>0</v>
      </c>
      <c r="BJ452" s="108">
        <f t="shared" si="505"/>
        <v>0</v>
      </c>
    </row>
    <row r="453" spans="1:62" x14ac:dyDescent="0.2">
      <c r="A453" s="117" t="s">
        <v>409</v>
      </c>
      <c r="B453" s="117" t="s">
        <v>895</v>
      </c>
      <c r="C453" s="304" t="s">
        <v>1484</v>
      </c>
      <c r="D453" s="305"/>
      <c r="E453" s="305"/>
      <c r="F453" s="117" t="s">
        <v>1646</v>
      </c>
      <c r="G453" s="116">
        <v>31</v>
      </c>
      <c r="H453" s="159"/>
      <c r="I453" s="108">
        <f t="shared" si="482"/>
        <v>0</v>
      </c>
      <c r="J453" s="108">
        <f t="shared" si="483"/>
        <v>0</v>
      </c>
      <c r="K453" s="108">
        <f t="shared" si="484"/>
        <v>0</v>
      </c>
      <c r="L453" s="111" t="s">
        <v>1671</v>
      </c>
      <c r="Z453" s="100">
        <f t="shared" si="485"/>
        <v>0</v>
      </c>
      <c r="AB453" s="100">
        <f t="shared" si="486"/>
        <v>0</v>
      </c>
      <c r="AC453" s="100">
        <f t="shared" si="487"/>
        <v>0</v>
      </c>
      <c r="AD453" s="100">
        <f t="shared" si="488"/>
        <v>0</v>
      </c>
      <c r="AE453" s="100">
        <f t="shared" si="489"/>
        <v>0</v>
      </c>
      <c r="AF453" s="100">
        <f t="shared" si="490"/>
        <v>0</v>
      </c>
      <c r="AG453" s="100">
        <f t="shared" si="491"/>
        <v>0</v>
      </c>
      <c r="AH453" s="100">
        <f t="shared" si="492"/>
        <v>0</v>
      </c>
      <c r="AI453" s="109"/>
      <c r="AJ453" s="108">
        <f t="shared" si="493"/>
        <v>0</v>
      </c>
      <c r="AK453" s="108">
        <f t="shared" si="494"/>
        <v>0</v>
      </c>
      <c r="AL453" s="108">
        <f t="shared" si="495"/>
        <v>0</v>
      </c>
      <c r="AN453" s="100">
        <v>15</v>
      </c>
      <c r="AO453" s="100">
        <f>H453*0.772046783625731</f>
        <v>0</v>
      </c>
      <c r="AP453" s="100">
        <f>H453*(1-0.772046783625731)</f>
        <v>0</v>
      </c>
      <c r="AQ453" s="111" t="s">
        <v>13</v>
      </c>
      <c r="AV453" s="100">
        <f t="shared" si="498"/>
        <v>0</v>
      </c>
      <c r="AW453" s="100">
        <f t="shared" si="499"/>
        <v>0</v>
      </c>
      <c r="AX453" s="100">
        <f t="shared" si="500"/>
        <v>0</v>
      </c>
      <c r="AY453" s="110" t="s">
        <v>1715</v>
      </c>
      <c r="AZ453" s="110" t="s">
        <v>1734</v>
      </c>
      <c r="BA453" s="109" t="s">
        <v>1737</v>
      </c>
      <c r="BC453" s="100">
        <f t="shared" si="501"/>
        <v>0</v>
      </c>
      <c r="BD453" s="100">
        <f t="shared" si="502"/>
        <v>0</v>
      </c>
      <c r="BE453" s="100">
        <v>0</v>
      </c>
      <c r="BF453" s="100">
        <f>453</f>
        <v>453</v>
      </c>
      <c r="BH453" s="108">
        <f t="shared" si="503"/>
        <v>0</v>
      </c>
      <c r="BI453" s="108">
        <f t="shared" si="504"/>
        <v>0</v>
      </c>
      <c r="BJ453" s="108">
        <f t="shared" si="505"/>
        <v>0</v>
      </c>
    </row>
    <row r="454" spans="1:62" x14ac:dyDescent="0.2">
      <c r="A454" s="117" t="s">
        <v>410</v>
      </c>
      <c r="B454" s="117" t="s">
        <v>896</v>
      </c>
      <c r="C454" s="304" t="s">
        <v>1990</v>
      </c>
      <c r="D454" s="305"/>
      <c r="E454" s="305"/>
      <c r="F454" s="117" t="s">
        <v>1646</v>
      </c>
      <c r="G454" s="116">
        <v>106</v>
      </c>
      <c r="H454" s="159"/>
      <c r="I454" s="108">
        <f t="shared" si="482"/>
        <v>0</v>
      </c>
      <c r="J454" s="108">
        <f t="shared" si="483"/>
        <v>0</v>
      </c>
      <c r="K454" s="108">
        <f t="shared" si="484"/>
        <v>0</v>
      </c>
      <c r="L454" s="111" t="s">
        <v>1671</v>
      </c>
      <c r="Z454" s="100">
        <f t="shared" si="485"/>
        <v>0</v>
      </c>
      <c r="AB454" s="100">
        <f t="shared" si="486"/>
        <v>0</v>
      </c>
      <c r="AC454" s="100">
        <f t="shared" si="487"/>
        <v>0</v>
      </c>
      <c r="AD454" s="100">
        <f t="shared" si="488"/>
        <v>0</v>
      </c>
      <c r="AE454" s="100">
        <f t="shared" si="489"/>
        <v>0</v>
      </c>
      <c r="AF454" s="100">
        <f t="shared" si="490"/>
        <v>0</v>
      </c>
      <c r="AG454" s="100">
        <f t="shared" si="491"/>
        <v>0</v>
      </c>
      <c r="AH454" s="100">
        <f t="shared" si="492"/>
        <v>0</v>
      </c>
      <c r="AI454" s="109"/>
      <c r="AJ454" s="108">
        <f t="shared" si="493"/>
        <v>0</v>
      </c>
      <c r="AK454" s="108">
        <f t="shared" si="494"/>
        <v>0</v>
      </c>
      <c r="AL454" s="108">
        <f t="shared" si="495"/>
        <v>0</v>
      </c>
      <c r="AN454" s="100">
        <v>15</v>
      </c>
      <c r="AO454" s="100">
        <f>H454*0.816326164874552</f>
        <v>0</v>
      </c>
      <c r="AP454" s="100">
        <f>H454*(1-0.816326164874552)</f>
        <v>0</v>
      </c>
      <c r="AQ454" s="111" t="s">
        <v>13</v>
      </c>
      <c r="AV454" s="100">
        <f t="shared" si="498"/>
        <v>0</v>
      </c>
      <c r="AW454" s="100">
        <f t="shared" si="499"/>
        <v>0</v>
      </c>
      <c r="AX454" s="100">
        <f t="shared" si="500"/>
        <v>0</v>
      </c>
      <c r="AY454" s="110" t="s">
        <v>1715</v>
      </c>
      <c r="AZ454" s="110" t="s">
        <v>1734</v>
      </c>
      <c r="BA454" s="109" t="s">
        <v>1737</v>
      </c>
      <c r="BC454" s="100">
        <f t="shared" si="501"/>
        <v>0</v>
      </c>
      <c r="BD454" s="100">
        <f t="shared" si="502"/>
        <v>0</v>
      </c>
      <c r="BE454" s="100">
        <v>0</v>
      </c>
      <c r="BF454" s="100">
        <f>454</f>
        <v>454</v>
      </c>
      <c r="BH454" s="108">
        <f t="shared" si="503"/>
        <v>0</v>
      </c>
      <c r="BI454" s="108">
        <f t="shared" si="504"/>
        <v>0</v>
      </c>
      <c r="BJ454" s="108">
        <f t="shared" si="505"/>
        <v>0</v>
      </c>
    </row>
    <row r="455" spans="1:62" x14ac:dyDescent="0.2">
      <c r="A455" s="117" t="s">
        <v>411</v>
      </c>
      <c r="B455" s="117" t="s">
        <v>3975</v>
      </c>
      <c r="C455" s="304" t="s">
        <v>3974</v>
      </c>
      <c r="D455" s="305"/>
      <c r="E455" s="305"/>
      <c r="F455" s="117" t="s">
        <v>1646</v>
      </c>
      <c r="G455" s="116">
        <v>10</v>
      </c>
      <c r="H455" s="159"/>
      <c r="I455" s="108">
        <f t="shared" si="482"/>
        <v>0</v>
      </c>
      <c r="J455" s="108">
        <f t="shared" si="483"/>
        <v>0</v>
      </c>
      <c r="K455" s="108">
        <f t="shared" si="484"/>
        <v>0</v>
      </c>
      <c r="L455" s="111" t="s">
        <v>1671</v>
      </c>
      <c r="Z455" s="100">
        <f t="shared" si="485"/>
        <v>0</v>
      </c>
      <c r="AB455" s="100">
        <f t="shared" si="486"/>
        <v>0</v>
      </c>
      <c r="AC455" s="100">
        <f t="shared" si="487"/>
        <v>0</v>
      </c>
      <c r="AD455" s="100">
        <f t="shared" si="488"/>
        <v>0</v>
      </c>
      <c r="AE455" s="100">
        <f t="shared" si="489"/>
        <v>0</v>
      </c>
      <c r="AF455" s="100">
        <f t="shared" si="490"/>
        <v>0</v>
      </c>
      <c r="AG455" s="100">
        <f t="shared" si="491"/>
        <v>0</v>
      </c>
      <c r="AH455" s="100">
        <f t="shared" si="492"/>
        <v>0</v>
      </c>
      <c r="AI455" s="109"/>
      <c r="AJ455" s="108">
        <f t="shared" si="493"/>
        <v>0</v>
      </c>
      <c r="AK455" s="108">
        <f t="shared" si="494"/>
        <v>0</v>
      </c>
      <c r="AL455" s="108">
        <f t="shared" si="495"/>
        <v>0</v>
      </c>
      <c r="AN455" s="100">
        <v>15</v>
      </c>
      <c r="AO455" s="100">
        <f>H455*0.816369863013699</f>
        <v>0</v>
      </c>
      <c r="AP455" s="100">
        <f>H455*(1-0.816369863013699)</f>
        <v>0</v>
      </c>
      <c r="AQ455" s="111" t="s">
        <v>13</v>
      </c>
      <c r="AV455" s="100">
        <f t="shared" si="498"/>
        <v>0</v>
      </c>
      <c r="AW455" s="100">
        <f t="shared" si="499"/>
        <v>0</v>
      </c>
      <c r="AX455" s="100">
        <f t="shared" si="500"/>
        <v>0</v>
      </c>
      <c r="AY455" s="110" t="s">
        <v>1715</v>
      </c>
      <c r="AZ455" s="110" t="s">
        <v>1734</v>
      </c>
      <c r="BA455" s="109" t="s">
        <v>1737</v>
      </c>
      <c r="BC455" s="100">
        <f t="shared" si="501"/>
        <v>0</v>
      </c>
      <c r="BD455" s="100">
        <f t="shared" si="502"/>
        <v>0</v>
      </c>
      <c r="BE455" s="100">
        <v>0</v>
      </c>
      <c r="BF455" s="100">
        <f>455</f>
        <v>455</v>
      </c>
      <c r="BH455" s="108">
        <f t="shared" si="503"/>
        <v>0</v>
      </c>
      <c r="BI455" s="108">
        <f t="shared" si="504"/>
        <v>0</v>
      </c>
      <c r="BJ455" s="108">
        <f t="shared" si="505"/>
        <v>0</v>
      </c>
    </row>
    <row r="456" spans="1:62" x14ac:dyDescent="0.2">
      <c r="A456" s="117" t="s">
        <v>412</v>
      </c>
      <c r="B456" s="117" t="s">
        <v>896</v>
      </c>
      <c r="C456" s="304" t="s">
        <v>3973</v>
      </c>
      <c r="D456" s="305"/>
      <c r="E456" s="305"/>
      <c r="F456" s="117" t="s">
        <v>1646</v>
      </c>
      <c r="G456" s="116">
        <v>10</v>
      </c>
      <c r="H456" s="159"/>
      <c r="I456" s="108">
        <f t="shared" si="482"/>
        <v>0</v>
      </c>
      <c r="J456" s="108">
        <f t="shared" si="483"/>
        <v>0</v>
      </c>
      <c r="K456" s="108">
        <f t="shared" si="484"/>
        <v>0</v>
      </c>
      <c r="L456" s="111" t="s">
        <v>1671</v>
      </c>
      <c r="Z456" s="100">
        <f t="shared" si="485"/>
        <v>0</v>
      </c>
      <c r="AB456" s="100">
        <f t="shared" si="486"/>
        <v>0</v>
      </c>
      <c r="AC456" s="100">
        <f t="shared" si="487"/>
        <v>0</v>
      </c>
      <c r="AD456" s="100">
        <f t="shared" si="488"/>
        <v>0</v>
      </c>
      <c r="AE456" s="100">
        <f t="shared" si="489"/>
        <v>0</v>
      </c>
      <c r="AF456" s="100">
        <f t="shared" si="490"/>
        <v>0</v>
      </c>
      <c r="AG456" s="100">
        <f t="shared" si="491"/>
        <v>0</v>
      </c>
      <c r="AH456" s="100">
        <f t="shared" si="492"/>
        <v>0</v>
      </c>
      <c r="AI456" s="109"/>
      <c r="AJ456" s="108">
        <f t="shared" si="493"/>
        <v>0</v>
      </c>
      <c r="AK456" s="108">
        <f t="shared" si="494"/>
        <v>0</v>
      </c>
      <c r="AL456" s="108">
        <f t="shared" si="495"/>
        <v>0</v>
      </c>
      <c r="AN456" s="100">
        <v>15</v>
      </c>
      <c r="AO456" s="100">
        <f>H456*0.816326164874552</f>
        <v>0</v>
      </c>
      <c r="AP456" s="100">
        <f>H456*(1-0.816326164874552)</f>
        <v>0</v>
      </c>
      <c r="AQ456" s="111" t="s">
        <v>13</v>
      </c>
      <c r="AV456" s="100">
        <f t="shared" si="498"/>
        <v>0</v>
      </c>
      <c r="AW456" s="100">
        <f t="shared" si="499"/>
        <v>0</v>
      </c>
      <c r="AX456" s="100">
        <f t="shared" si="500"/>
        <v>0</v>
      </c>
      <c r="AY456" s="110" t="s">
        <v>1715</v>
      </c>
      <c r="AZ456" s="110" t="s">
        <v>1734</v>
      </c>
      <c r="BA456" s="109" t="s">
        <v>1737</v>
      </c>
      <c r="BC456" s="100">
        <f t="shared" si="501"/>
        <v>0</v>
      </c>
      <c r="BD456" s="100">
        <f t="shared" si="502"/>
        <v>0</v>
      </c>
      <c r="BE456" s="100">
        <v>0</v>
      </c>
      <c r="BF456" s="100">
        <f>456</f>
        <v>456</v>
      </c>
      <c r="BH456" s="108">
        <f t="shared" si="503"/>
        <v>0</v>
      </c>
      <c r="BI456" s="108">
        <f t="shared" si="504"/>
        <v>0</v>
      </c>
      <c r="BJ456" s="108">
        <f t="shared" si="505"/>
        <v>0</v>
      </c>
    </row>
    <row r="457" spans="1:62" x14ac:dyDescent="0.2">
      <c r="A457" s="117" t="s">
        <v>413</v>
      </c>
      <c r="B457" s="117" t="s">
        <v>898</v>
      </c>
      <c r="C457" s="304" t="s">
        <v>3972</v>
      </c>
      <c r="D457" s="305"/>
      <c r="E457" s="305"/>
      <c r="F457" s="117" t="s">
        <v>1646</v>
      </c>
      <c r="G457" s="116">
        <v>10</v>
      </c>
      <c r="H457" s="159"/>
      <c r="I457" s="108">
        <f t="shared" si="482"/>
        <v>0</v>
      </c>
      <c r="J457" s="108">
        <f t="shared" si="483"/>
        <v>0</v>
      </c>
      <c r="K457" s="108">
        <f t="shared" si="484"/>
        <v>0</v>
      </c>
      <c r="L457" s="111" t="s">
        <v>1671</v>
      </c>
      <c r="Z457" s="100">
        <f t="shared" si="485"/>
        <v>0</v>
      </c>
      <c r="AB457" s="100">
        <f t="shared" si="486"/>
        <v>0</v>
      </c>
      <c r="AC457" s="100">
        <f t="shared" si="487"/>
        <v>0</v>
      </c>
      <c r="AD457" s="100">
        <f t="shared" si="488"/>
        <v>0</v>
      </c>
      <c r="AE457" s="100">
        <f t="shared" si="489"/>
        <v>0</v>
      </c>
      <c r="AF457" s="100">
        <f t="shared" si="490"/>
        <v>0</v>
      </c>
      <c r="AG457" s="100">
        <f t="shared" si="491"/>
        <v>0</v>
      </c>
      <c r="AH457" s="100">
        <f t="shared" si="492"/>
        <v>0</v>
      </c>
      <c r="AI457" s="109"/>
      <c r="AJ457" s="108">
        <f t="shared" si="493"/>
        <v>0</v>
      </c>
      <c r="AK457" s="108">
        <f t="shared" si="494"/>
        <v>0</v>
      </c>
      <c r="AL457" s="108">
        <f t="shared" si="495"/>
        <v>0</v>
      </c>
      <c r="AN457" s="100">
        <v>15</v>
      </c>
      <c r="AO457" s="100">
        <f>H457*0.816330128205128</f>
        <v>0</v>
      </c>
      <c r="AP457" s="100">
        <f>H457*(1-0.816330128205128)</f>
        <v>0</v>
      </c>
      <c r="AQ457" s="111" t="s">
        <v>13</v>
      </c>
      <c r="AV457" s="100">
        <f t="shared" si="498"/>
        <v>0</v>
      </c>
      <c r="AW457" s="100">
        <f t="shared" si="499"/>
        <v>0</v>
      </c>
      <c r="AX457" s="100">
        <f t="shared" si="500"/>
        <v>0</v>
      </c>
      <c r="AY457" s="110" t="s">
        <v>1715</v>
      </c>
      <c r="AZ457" s="110" t="s">
        <v>1734</v>
      </c>
      <c r="BA457" s="109" t="s">
        <v>1737</v>
      </c>
      <c r="BC457" s="100">
        <f t="shared" si="501"/>
        <v>0</v>
      </c>
      <c r="BD457" s="100">
        <f t="shared" si="502"/>
        <v>0</v>
      </c>
      <c r="BE457" s="100">
        <v>0</v>
      </c>
      <c r="BF457" s="100">
        <f>457</f>
        <v>457</v>
      </c>
      <c r="BH457" s="108">
        <f t="shared" si="503"/>
        <v>0</v>
      </c>
      <c r="BI457" s="108">
        <f t="shared" si="504"/>
        <v>0</v>
      </c>
      <c r="BJ457" s="108">
        <f t="shared" si="505"/>
        <v>0</v>
      </c>
    </row>
    <row r="458" spans="1:62" x14ac:dyDescent="0.2">
      <c r="A458" s="117" t="s">
        <v>414</v>
      </c>
      <c r="B458" s="117" t="s">
        <v>3971</v>
      </c>
      <c r="C458" s="304" t="s">
        <v>3970</v>
      </c>
      <c r="D458" s="305"/>
      <c r="E458" s="305"/>
      <c r="F458" s="117" t="s">
        <v>1645</v>
      </c>
      <c r="G458" s="116">
        <v>0.64</v>
      </c>
      <c r="H458" s="159"/>
      <c r="I458" s="108">
        <f t="shared" si="482"/>
        <v>0</v>
      </c>
      <c r="J458" s="108">
        <f t="shared" si="483"/>
        <v>0</v>
      </c>
      <c r="K458" s="108">
        <f t="shared" si="484"/>
        <v>0</v>
      </c>
      <c r="L458" s="111" t="s">
        <v>1671</v>
      </c>
      <c r="Z458" s="100">
        <f t="shared" si="485"/>
        <v>0</v>
      </c>
      <c r="AB458" s="100">
        <f t="shared" si="486"/>
        <v>0</v>
      </c>
      <c r="AC458" s="100">
        <f t="shared" si="487"/>
        <v>0</v>
      </c>
      <c r="AD458" s="100">
        <f t="shared" si="488"/>
        <v>0</v>
      </c>
      <c r="AE458" s="100">
        <f t="shared" si="489"/>
        <v>0</v>
      </c>
      <c r="AF458" s="100">
        <f t="shared" si="490"/>
        <v>0</v>
      </c>
      <c r="AG458" s="100">
        <f t="shared" si="491"/>
        <v>0</v>
      </c>
      <c r="AH458" s="100">
        <f t="shared" si="492"/>
        <v>0</v>
      </c>
      <c r="AI458" s="109"/>
      <c r="AJ458" s="108">
        <f t="shared" si="493"/>
        <v>0</v>
      </c>
      <c r="AK458" s="108">
        <f t="shared" si="494"/>
        <v>0</v>
      </c>
      <c r="AL458" s="108">
        <f t="shared" si="495"/>
        <v>0</v>
      </c>
      <c r="AN458" s="100">
        <v>15</v>
      </c>
      <c r="AO458" s="100">
        <f>H458*0.816324561403509</f>
        <v>0</v>
      </c>
      <c r="AP458" s="100">
        <f>H458*(1-0.816324561403509)</f>
        <v>0</v>
      </c>
      <c r="AQ458" s="111" t="s">
        <v>13</v>
      </c>
      <c r="AV458" s="100">
        <f t="shared" si="498"/>
        <v>0</v>
      </c>
      <c r="AW458" s="100">
        <f t="shared" si="499"/>
        <v>0</v>
      </c>
      <c r="AX458" s="100">
        <f t="shared" si="500"/>
        <v>0</v>
      </c>
      <c r="AY458" s="110" t="s">
        <v>1715</v>
      </c>
      <c r="AZ458" s="110" t="s">
        <v>1734</v>
      </c>
      <c r="BA458" s="109" t="s">
        <v>1737</v>
      </c>
      <c r="BC458" s="100">
        <f t="shared" si="501"/>
        <v>0</v>
      </c>
      <c r="BD458" s="100">
        <f t="shared" si="502"/>
        <v>0</v>
      </c>
      <c r="BE458" s="100">
        <v>0</v>
      </c>
      <c r="BF458" s="100">
        <f>458</f>
        <v>458</v>
      </c>
      <c r="BH458" s="108">
        <f t="shared" si="503"/>
        <v>0</v>
      </c>
      <c r="BI458" s="108">
        <f t="shared" si="504"/>
        <v>0</v>
      </c>
      <c r="BJ458" s="108">
        <f t="shared" si="505"/>
        <v>0</v>
      </c>
    </row>
    <row r="459" spans="1:62" x14ac:dyDescent="0.2">
      <c r="A459" s="117" t="s">
        <v>415</v>
      </c>
      <c r="B459" s="117" t="s">
        <v>899</v>
      </c>
      <c r="C459" s="304" t="s">
        <v>2309</v>
      </c>
      <c r="D459" s="305"/>
      <c r="E459" s="305"/>
      <c r="F459" s="117" t="s">
        <v>1646</v>
      </c>
      <c r="G459" s="116">
        <v>33.159999999999997</v>
      </c>
      <c r="H459" s="159"/>
      <c r="I459" s="108">
        <f t="shared" si="482"/>
        <v>0</v>
      </c>
      <c r="J459" s="108">
        <f t="shared" si="483"/>
        <v>0</v>
      </c>
      <c r="K459" s="108">
        <f t="shared" si="484"/>
        <v>0</v>
      </c>
      <c r="L459" s="111" t="s">
        <v>1671</v>
      </c>
      <c r="Z459" s="100">
        <f t="shared" si="485"/>
        <v>0</v>
      </c>
      <c r="AB459" s="100">
        <f t="shared" si="486"/>
        <v>0</v>
      </c>
      <c r="AC459" s="100">
        <f t="shared" si="487"/>
        <v>0</v>
      </c>
      <c r="AD459" s="100">
        <f t="shared" si="488"/>
        <v>0</v>
      </c>
      <c r="AE459" s="100">
        <f t="shared" si="489"/>
        <v>0</v>
      </c>
      <c r="AF459" s="100">
        <f t="shared" si="490"/>
        <v>0</v>
      </c>
      <c r="AG459" s="100">
        <f t="shared" si="491"/>
        <v>0</v>
      </c>
      <c r="AH459" s="100">
        <f t="shared" si="492"/>
        <v>0</v>
      </c>
      <c r="AI459" s="109"/>
      <c r="AJ459" s="108">
        <f t="shared" si="493"/>
        <v>0</v>
      </c>
      <c r="AK459" s="108">
        <f t="shared" si="494"/>
        <v>0</v>
      </c>
      <c r="AL459" s="108">
        <f t="shared" si="495"/>
        <v>0</v>
      </c>
      <c r="AN459" s="100">
        <v>15</v>
      </c>
      <c r="AO459" s="100">
        <f>H459*0.857614814814815</f>
        <v>0</v>
      </c>
      <c r="AP459" s="100">
        <f>H459*(1-0.857614814814815)</f>
        <v>0</v>
      </c>
      <c r="AQ459" s="111" t="s">
        <v>13</v>
      </c>
      <c r="AV459" s="100">
        <f t="shared" si="498"/>
        <v>0</v>
      </c>
      <c r="AW459" s="100">
        <f t="shared" si="499"/>
        <v>0</v>
      </c>
      <c r="AX459" s="100">
        <f t="shared" si="500"/>
        <v>0</v>
      </c>
      <c r="AY459" s="110" t="s">
        <v>1715</v>
      </c>
      <c r="AZ459" s="110" t="s">
        <v>1734</v>
      </c>
      <c r="BA459" s="109" t="s">
        <v>1737</v>
      </c>
      <c r="BC459" s="100">
        <f t="shared" si="501"/>
        <v>0</v>
      </c>
      <c r="BD459" s="100">
        <f t="shared" si="502"/>
        <v>0</v>
      </c>
      <c r="BE459" s="100">
        <v>0</v>
      </c>
      <c r="BF459" s="100">
        <f>459</f>
        <v>459</v>
      </c>
      <c r="BH459" s="108">
        <f t="shared" si="503"/>
        <v>0</v>
      </c>
      <c r="BI459" s="108">
        <f t="shared" si="504"/>
        <v>0</v>
      </c>
      <c r="BJ459" s="108">
        <f t="shared" si="505"/>
        <v>0</v>
      </c>
    </row>
    <row r="460" spans="1:62" x14ac:dyDescent="0.2">
      <c r="A460" s="117" t="s">
        <v>416</v>
      </c>
      <c r="B460" s="117" t="s">
        <v>900</v>
      </c>
      <c r="C460" s="304" t="s">
        <v>1489</v>
      </c>
      <c r="D460" s="305"/>
      <c r="E460" s="305"/>
      <c r="F460" s="117" t="s">
        <v>1646</v>
      </c>
      <c r="G460" s="116">
        <v>33.159999999999997</v>
      </c>
      <c r="H460" s="159"/>
      <c r="I460" s="108">
        <f t="shared" si="482"/>
        <v>0</v>
      </c>
      <c r="J460" s="108">
        <f t="shared" si="483"/>
        <v>0</v>
      </c>
      <c r="K460" s="108">
        <f t="shared" si="484"/>
        <v>0</v>
      </c>
      <c r="L460" s="111" t="s">
        <v>1671</v>
      </c>
      <c r="Z460" s="100">
        <f t="shared" si="485"/>
        <v>0</v>
      </c>
      <c r="AB460" s="100">
        <f t="shared" si="486"/>
        <v>0</v>
      </c>
      <c r="AC460" s="100">
        <f t="shared" si="487"/>
        <v>0</v>
      </c>
      <c r="AD460" s="100">
        <f t="shared" si="488"/>
        <v>0</v>
      </c>
      <c r="AE460" s="100">
        <f t="shared" si="489"/>
        <v>0</v>
      </c>
      <c r="AF460" s="100">
        <f t="shared" si="490"/>
        <v>0</v>
      </c>
      <c r="AG460" s="100">
        <f t="shared" si="491"/>
        <v>0</v>
      </c>
      <c r="AH460" s="100">
        <f t="shared" si="492"/>
        <v>0</v>
      </c>
      <c r="AI460" s="109"/>
      <c r="AJ460" s="108">
        <f t="shared" si="493"/>
        <v>0</v>
      </c>
      <c r="AK460" s="108">
        <f t="shared" si="494"/>
        <v>0</v>
      </c>
      <c r="AL460" s="108">
        <f t="shared" si="495"/>
        <v>0</v>
      </c>
      <c r="AN460" s="100">
        <v>15</v>
      </c>
      <c r="AO460" s="100">
        <f>H460*0.417402597402597</f>
        <v>0</v>
      </c>
      <c r="AP460" s="100">
        <f>H460*(1-0.417402597402597)</f>
        <v>0</v>
      </c>
      <c r="AQ460" s="111" t="s">
        <v>13</v>
      </c>
      <c r="AV460" s="100">
        <f t="shared" si="498"/>
        <v>0</v>
      </c>
      <c r="AW460" s="100">
        <f t="shared" si="499"/>
        <v>0</v>
      </c>
      <c r="AX460" s="100">
        <f t="shared" si="500"/>
        <v>0</v>
      </c>
      <c r="AY460" s="110" t="s">
        <v>1715</v>
      </c>
      <c r="AZ460" s="110" t="s">
        <v>1734</v>
      </c>
      <c r="BA460" s="109" t="s">
        <v>1737</v>
      </c>
      <c r="BC460" s="100">
        <f t="shared" si="501"/>
        <v>0</v>
      </c>
      <c r="BD460" s="100">
        <f t="shared" si="502"/>
        <v>0</v>
      </c>
      <c r="BE460" s="100">
        <v>0</v>
      </c>
      <c r="BF460" s="100">
        <f>460</f>
        <v>460</v>
      </c>
      <c r="BH460" s="108">
        <f t="shared" si="503"/>
        <v>0</v>
      </c>
      <c r="BI460" s="108">
        <f t="shared" si="504"/>
        <v>0</v>
      </c>
      <c r="BJ460" s="108">
        <f t="shared" si="505"/>
        <v>0</v>
      </c>
    </row>
    <row r="461" spans="1:62" x14ac:dyDescent="0.2">
      <c r="A461" s="117" t="s">
        <v>417</v>
      </c>
      <c r="B461" s="117" t="s">
        <v>901</v>
      </c>
      <c r="C461" s="304" t="s">
        <v>1490</v>
      </c>
      <c r="D461" s="305"/>
      <c r="E461" s="305"/>
      <c r="F461" s="117" t="s">
        <v>1646</v>
      </c>
      <c r="G461" s="116">
        <v>62.5</v>
      </c>
      <c r="H461" s="159"/>
      <c r="I461" s="108">
        <f t="shared" si="482"/>
        <v>0</v>
      </c>
      <c r="J461" s="108">
        <f t="shared" si="483"/>
        <v>0</v>
      </c>
      <c r="K461" s="108">
        <f t="shared" si="484"/>
        <v>0</v>
      </c>
      <c r="L461" s="111" t="s">
        <v>1671</v>
      </c>
      <c r="Z461" s="100">
        <f t="shared" si="485"/>
        <v>0</v>
      </c>
      <c r="AB461" s="100">
        <f t="shared" si="486"/>
        <v>0</v>
      </c>
      <c r="AC461" s="100">
        <f t="shared" si="487"/>
        <v>0</v>
      </c>
      <c r="AD461" s="100">
        <f t="shared" si="488"/>
        <v>0</v>
      </c>
      <c r="AE461" s="100">
        <f t="shared" si="489"/>
        <v>0</v>
      </c>
      <c r="AF461" s="100">
        <f t="shared" si="490"/>
        <v>0</v>
      </c>
      <c r="AG461" s="100">
        <f t="shared" si="491"/>
        <v>0</v>
      </c>
      <c r="AH461" s="100">
        <f t="shared" si="492"/>
        <v>0</v>
      </c>
      <c r="AI461" s="109"/>
      <c r="AJ461" s="108">
        <f t="shared" si="493"/>
        <v>0</v>
      </c>
      <c r="AK461" s="108">
        <f t="shared" si="494"/>
        <v>0</v>
      </c>
      <c r="AL461" s="108">
        <f t="shared" si="495"/>
        <v>0</v>
      </c>
      <c r="AN461" s="100">
        <v>15</v>
      </c>
      <c r="AO461" s="100">
        <f>H461*0.41738255033557</f>
        <v>0</v>
      </c>
      <c r="AP461" s="100">
        <f>H461*(1-0.41738255033557)</f>
        <v>0</v>
      </c>
      <c r="AQ461" s="111" t="s">
        <v>13</v>
      </c>
      <c r="AV461" s="100">
        <f t="shared" si="498"/>
        <v>0</v>
      </c>
      <c r="AW461" s="100">
        <f t="shared" si="499"/>
        <v>0</v>
      </c>
      <c r="AX461" s="100">
        <f t="shared" si="500"/>
        <v>0</v>
      </c>
      <c r="AY461" s="110" t="s">
        <v>1715</v>
      </c>
      <c r="AZ461" s="110" t="s">
        <v>1734</v>
      </c>
      <c r="BA461" s="109" t="s">
        <v>1737</v>
      </c>
      <c r="BC461" s="100">
        <f t="shared" si="501"/>
        <v>0</v>
      </c>
      <c r="BD461" s="100">
        <f t="shared" si="502"/>
        <v>0</v>
      </c>
      <c r="BE461" s="100">
        <v>0</v>
      </c>
      <c r="BF461" s="100">
        <f>461</f>
        <v>461</v>
      </c>
      <c r="BH461" s="108">
        <f t="shared" si="503"/>
        <v>0</v>
      </c>
      <c r="BI461" s="108">
        <f t="shared" si="504"/>
        <v>0</v>
      </c>
      <c r="BJ461" s="108">
        <f t="shared" si="505"/>
        <v>0</v>
      </c>
    </row>
    <row r="462" spans="1:62" x14ac:dyDescent="0.2">
      <c r="A462" s="117" t="s">
        <v>418</v>
      </c>
      <c r="B462" s="117" t="s">
        <v>2308</v>
      </c>
      <c r="C462" s="304" t="s">
        <v>2307</v>
      </c>
      <c r="D462" s="305"/>
      <c r="E462" s="305"/>
      <c r="F462" s="117" t="s">
        <v>1646</v>
      </c>
      <c r="G462" s="116">
        <v>3.5</v>
      </c>
      <c r="H462" s="159"/>
      <c r="I462" s="108">
        <f t="shared" si="482"/>
        <v>0</v>
      </c>
      <c r="J462" s="108">
        <f t="shared" si="483"/>
        <v>0</v>
      </c>
      <c r="K462" s="108">
        <f t="shared" si="484"/>
        <v>0</v>
      </c>
      <c r="L462" s="111" t="s">
        <v>1671</v>
      </c>
      <c r="Z462" s="100">
        <f t="shared" si="485"/>
        <v>0</v>
      </c>
      <c r="AB462" s="100">
        <f t="shared" si="486"/>
        <v>0</v>
      </c>
      <c r="AC462" s="100">
        <f t="shared" si="487"/>
        <v>0</v>
      </c>
      <c r="AD462" s="100">
        <f t="shared" si="488"/>
        <v>0</v>
      </c>
      <c r="AE462" s="100">
        <f t="shared" si="489"/>
        <v>0</v>
      </c>
      <c r="AF462" s="100">
        <f t="shared" si="490"/>
        <v>0</v>
      </c>
      <c r="AG462" s="100">
        <f t="shared" si="491"/>
        <v>0</v>
      </c>
      <c r="AH462" s="100">
        <f t="shared" si="492"/>
        <v>0</v>
      </c>
      <c r="AI462" s="109"/>
      <c r="AJ462" s="108">
        <f t="shared" si="493"/>
        <v>0</v>
      </c>
      <c r="AK462" s="108">
        <f t="shared" si="494"/>
        <v>0</v>
      </c>
      <c r="AL462" s="108">
        <f t="shared" si="495"/>
        <v>0</v>
      </c>
      <c r="AN462" s="100">
        <v>15</v>
      </c>
      <c r="AO462" s="100">
        <f>H462*0.661990521327014</f>
        <v>0</v>
      </c>
      <c r="AP462" s="100">
        <f>H462*(1-0.661990521327014)</f>
        <v>0</v>
      </c>
      <c r="AQ462" s="111" t="s">
        <v>13</v>
      </c>
      <c r="AV462" s="100">
        <f t="shared" si="498"/>
        <v>0</v>
      </c>
      <c r="AW462" s="100">
        <f t="shared" si="499"/>
        <v>0</v>
      </c>
      <c r="AX462" s="100">
        <f t="shared" si="500"/>
        <v>0</v>
      </c>
      <c r="AY462" s="110" t="s">
        <v>1715</v>
      </c>
      <c r="AZ462" s="110" t="s">
        <v>1734</v>
      </c>
      <c r="BA462" s="109" t="s">
        <v>1737</v>
      </c>
      <c r="BC462" s="100">
        <f t="shared" si="501"/>
        <v>0</v>
      </c>
      <c r="BD462" s="100">
        <f t="shared" si="502"/>
        <v>0</v>
      </c>
      <c r="BE462" s="100">
        <v>0</v>
      </c>
      <c r="BF462" s="100">
        <f>462</f>
        <v>462</v>
      </c>
      <c r="BH462" s="108">
        <f t="shared" si="503"/>
        <v>0</v>
      </c>
      <c r="BI462" s="108">
        <f t="shared" si="504"/>
        <v>0</v>
      </c>
      <c r="BJ462" s="108">
        <f t="shared" si="505"/>
        <v>0</v>
      </c>
    </row>
    <row r="463" spans="1:62" x14ac:dyDescent="0.2">
      <c r="A463" s="117" t="s">
        <v>419</v>
      </c>
      <c r="B463" s="117" t="s">
        <v>902</v>
      </c>
      <c r="C463" s="304" t="s">
        <v>1491</v>
      </c>
      <c r="D463" s="305"/>
      <c r="E463" s="305"/>
      <c r="F463" s="117" t="s">
        <v>1648</v>
      </c>
      <c r="G463" s="116">
        <v>6.0460000000000003</v>
      </c>
      <c r="H463" s="159"/>
      <c r="I463" s="108">
        <f t="shared" si="482"/>
        <v>0</v>
      </c>
      <c r="J463" s="108">
        <f t="shared" si="483"/>
        <v>0</v>
      </c>
      <c r="K463" s="108">
        <f t="shared" si="484"/>
        <v>0</v>
      </c>
      <c r="L463" s="111" t="s">
        <v>1671</v>
      </c>
      <c r="Z463" s="100">
        <f t="shared" si="485"/>
        <v>0</v>
      </c>
      <c r="AB463" s="100">
        <f t="shared" si="486"/>
        <v>0</v>
      </c>
      <c r="AC463" s="100">
        <f t="shared" si="487"/>
        <v>0</v>
      </c>
      <c r="AD463" s="100">
        <f t="shared" si="488"/>
        <v>0</v>
      </c>
      <c r="AE463" s="100">
        <f t="shared" si="489"/>
        <v>0</v>
      </c>
      <c r="AF463" s="100">
        <f t="shared" si="490"/>
        <v>0</v>
      </c>
      <c r="AG463" s="100">
        <f t="shared" si="491"/>
        <v>0</v>
      </c>
      <c r="AH463" s="100">
        <f t="shared" si="492"/>
        <v>0</v>
      </c>
      <c r="AI463" s="109"/>
      <c r="AJ463" s="108">
        <f t="shared" si="493"/>
        <v>0</v>
      </c>
      <c r="AK463" s="108">
        <f t="shared" si="494"/>
        <v>0</v>
      </c>
      <c r="AL463" s="108">
        <f t="shared" si="495"/>
        <v>0</v>
      </c>
      <c r="AN463" s="100">
        <v>15</v>
      </c>
      <c r="AO463" s="100">
        <f>H463*0</f>
        <v>0</v>
      </c>
      <c r="AP463" s="100">
        <f>H463*(1-0)</f>
        <v>0</v>
      </c>
      <c r="AQ463" s="111" t="s">
        <v>11</v>
      </c>
      <c r="AV463" s="100">
        <f t="shared" si="498"/>
        <v>0</v>
      </c>
      <c r="AW463" s="100">
        <f t="shared" si="499"/>
        <v>0</v>
      </c>
      <c r="AX463" s="100">
        <f t="shared" si="500"/>
        <v>0</v>
      </c>
      <c r="AY463" s="110" t="s">
        <v>1715</v>
      </c>
      <c r="AZ463" s="110" t="s">
        <v>1734</v>
      </c>
      <c r="BA463" s="109" t="s">
        <v>1737</v>
      </c>
      <c r="BC463" s="100">
        <f t="shared" si="501"/>
        <v>0</v>
      </c>
      <c r="BD463" s="100">
        <f t="shared" si="502"/>
        <v>0</v>
      </c>
      <c r="BE463" s="100">
        <v>0</v>
      </c>
      <c r="BF463" s="100">
        <f>463</f>
        <v>463</v>
      </c>
      <c r="BH463" s="108">
        <f t="shared" si="503"/>
        <v>0</v>
      </c>
      <c r="BI463" s="108">
        <f t="shared" si="504"/>
        <v>0</v>
      </c>
      <c r="BJ463" s="108">
        <f t="shared" si="505"/>
        <v>0</v>
      </c>
    </row>
    <row r="464" spans="1:62" x14ac:dyDescent="0.2">
      <c r="A464" s="119"/>
      <c r="B464" s="120" t="s">
        <v>903</v>
      </c>
      <c r="C464" s="306" t="s">
        <v>1492</v>
      </c>
      <c r="D464" s="307"/>
      <c r="E464" s="307"/>
      <c r="F464" s="119" t="s">
        <v>6</v>
      </c>
      <c r="G464" s="119" t="s">
        <v>6</v>
      </c>
      <c r="H464" s="119" t="s">
        <v>6</v>
      </c>
      <c r="I464" s="118">
        <f>SUM(I465:I475)</f>
        <v>0</v>
      </c>
      <c r="J464" s="118">
        <f>SUM(J465:J475)</f>
        <v>0</v>
      </c>
      <c r="K464" s="118">
        <f>SUM(K465:K475)</f>
        <v>0</v>
      </c>
      <c r="L464" s="109"/>
      <c r="AI464" s="109"/>
      <c r="AS464" s="118">
        <f>SUM(AJ465:AJ475)</f>
        <v>0</v>
      </c>
      <c r="AT464" s="118">
        <f>SUM(AK465:AK475)</f>
        <v>0</v>
      </c>
      <c r="AU464" s="118">
        <f>SUM(AL465:AL475)</f>
        <v>0</v>
      </c>
    </row>
    <row r="465" spans="1:62" x14ac:dyDescent="0.2">
      <c r="A465" s="117" t="s">
        <v>420</v>
      </c>
      <c r="B465" s="117" t="s">
        <v>2306</v>
      </c>
      <c r="C465" s="304" t="s">
        <v>2305</v>
      </c>
      <c r="D465" s="305"/>
      <c r="E465" s="305"/>
      <c r="F465" s="117" t="s">
        <v>1645</v>
      </c>
      <c r="G465" s="116">
        <v>6.0750000000000002</v>
      </c>
      <c r="H465" s="159"/>
      <c r="I465" s="108">
        <f t="shared" ref="I465:I475" si="506">G465*AO465</f>
        <v>0</v>
      </c>
      <c r="J465" s="108">
        <f t="shared" ref="J465:J475" si="507">G465*AP465</f>
        <v>0</v>
      </c>
      <c r="K465" s="108">
        <f t="shared" ref="K465:K475" si="508">G465*H465</f>
        <v>0</v>
      </c>
      <c r="L465" s="111" t="s">
        <v>1671</v>
      </c>
      <c r="Z465" s="100">
        <f t="shared" ref="Z465:Z475" si="509">IF(AQ465="5",BJ465,0)</f>
        <v>0</v>
      </c>
      <c r="AB465" s="100">
        <f t="shared" ref="AB465:AB475" si="510">IF(AQ465="1",BH465,0)</f>
        <v>0</v>
      </c>
      <c r="AC465" s="100">
        <f t="shared" ref="AC465:AC475" si="511">IF(AQ465="1",BI465,0)</f>
        <v>0</v>
      </c>
      <c r="AD465" s="100">
        <f t="shared" ref="AD465:AD475" si="512">IF(AQ465="7",BH465,0)</f>
        <v>0</v>
      </c>
      <c r="AE465" s="100">
        <f t="shared" ref="AE465:AE475" si="513">IF(AQ465="7",BI465,0)</f>
        <v>0</v>
      </c>
      <c r="AF465" s="100">
        <f t="shared" ref="AF465:AF475" si="514">IF(AQ465="2",BH465,0)</f>
        <v>0</v>
      </c>
      <c r="AG465" s="100">
        <f t="shared" ref="AG465:AG475" si="515">IF(AQ465="2",BI465,0)</f>
        <v>0</v>
      </c>
      <c r="AH465" s="100">
        <f t="shared" ref="AH465:AH475" si="516">IF(AQ465="0",BJ465,0)</f>
        <v>0</v>
      </c>
      <c r="AI465" s="109"/>
      <c r="AJ465" s="108">
        <f t="shared" ref="AJ465:AJ475" si="517">IF(AN465=0,K465,0)</f>
        <v>0</v>
      </c>
      <c r="AK465" s="108">
        <f t="shared" ref="AK465:AK475" si="518">IF(AN465=15,K465,0)</f>
        <v>0</v>
      </c>
      <c r="AL465" s="108">
        <f t="shared" ref="AL465:AL475" si="519">IF(AN465=21,K465,0)</f>
        <v>0</v>
      </c>
      <c r="AN465" s="100">
        <v>15</v>
      </c>
      <c r="AO465" s="100">
        <f>H465*0.0288965003221022</f>
        <v>0</v>
      </c>
      <c r="AP465" s="100">
        <f>H465*(1-0.0288965003221022)</f>
        <v>0</v>
      </c>
      <c r="AQ465" s="111" t="s">
        <v>13</v>
      </c>
      <c r="AV465" s="100">
        <f t="shared" ref="AV465:AV475" si="520">AW465+AX465</f>
        <v>0</v>
      </c>
      <c r="AW465" s="100">
        <f t="shared" ref="AW465:AW475" si="521">G465*AO465</f>
        <v>0</v>
      </c>
      <c r="AX465" s="100">
        <f t="shared" ref="AX465:AX475" si="522">G465*AP465</f>
        <v>0</v>
      </c>
      <c r="AY465" s="110" t="s">
        <v>1716</v>
      </c>
      <c r="AZ465" s="110" t="s">
        <v>1734</v>
      </c>
      <c r="BA465" s="109" t="s">
        <v>1737</v>
      </c>
      <c r="BC465" s="100">
        <f t="shared" ref="BC465:BC475" si="523">AW465+AX465</f>
        <v>0</v>
      </c>
      <c r="BD465" s="100">
        <f t="shared" ref="BD465:BD475" si="524">H465/(100-BE465)*100</f>
        <v>0</v>
      </c>
      <c r="BE465" s="100">
        <v>0</v>
      </c>
      <c r="BF465" s="100">
        <f>465</f>
        <v>465</v>
      </c>
      <c r="BH465" s="108">
        <f t="shared" ref="BH465:BH475" si="525">G465*AO465</f>
        <v>0</v>
      </c>
      <c r="BI465" s="108">
        <f t="shared" ref="BI465:BI475" si="526">G465*AP465</f>
        <v>0</v>
      </c>
      <c r="BJ465" s="108">
        <f t="shared" ref="BJ465:BJ475" si="527">G465*H465</f>
        <v>0</v>
      </c>
    </row>
    <row r="466" spans="1:62" x14ac:dyDescent="0.2">
      <c r="A466" s="124" t="s">
        <v>421</v>
      </c>
      <c r="B466" s="124" t="s">
        <v>2304</v>
      </c>
      <c r="C466" s="311" t="s">
        <v>2303</v>
      </c>
      <c r="D466" s="312"/>
      <c r="E466" s="312"/>
      <c r="F466" s="124" t="s">
        <v>1645</v>
      </c>
      <c r="G466" s="123">
        <v>6.6829999999999998</v>
      </c>
      <c r="H466" s="160"/>
      <c r="I466" s="121">
        <f t="shared" si="506"/>
        <v>0</v>
      </c>
      <c r="J466" s="121">
        <f t="shared" si="507"/>
        <v>0</v>
      </c>
      <c r="K466" s="121">
        <f t="shared" si="508"/>
        <v>0</v>
      </c>
      <c r="L466" s="122" t="s">
        <v>1671</v>
      </c>
      <c r="Z466" s="100">
        <f t="shared" si="509"/>
        <v>0</v>
      </c>
      <c r="AB466" s="100">
        <f t="shared" si="510"/>
        <v>0</v>
      </c>
      <c r="AC466" s="100">
        <f t="shared" si="511"/>
        <v>0</v>
      </c>
      <c r="AD466" s="100">
        <f t="shared" si="512"/>
        <v>0</v>
      </c>
      <c r="AE466" s="100">
        <f t="shared" si="513"/>
        <v>0</v>
      </c>
      <c r="AF466" s="100">
        <f t="shared" si="514"/>
        <v>0</v>
      </c>
      <c r="AG466" s="100">
        <f t="shared" si="515"/>
        <v>0</v>
      </c>
      <c r="AH466" s="100">
        <f t="shared" si="516"/>
        <v>0</v>
      </c>
      <c r="AI466" s="109"/>
      <c r="AJ466" s="121">
        <f t="shared" si="517"/>
        <v>0</v>
      </c>
      <c r="AK466" s="121">
        <f t="shared" si="518"/>
        <v>0</v>
      </c>
      <c r="AL466" s="121">
        <f t="shared" si="519"/>
        <v>0</v>
      </c>
      <c r="AN466" s="100">
        <v>15</v>
      </c>
      <c r="AO466" s="100">
        <f>H466*1</f>
        <v>0</v>
      </c>
      <c r="AP466" s="100">
        <f>H466*(1-1)</f>
        <v>0</v>
      </c>
      <c r="AQ466" s="122" t="s">
        <v>13</v>
      </c>
      <c r="AV466" s="100">
        <f t="shared" si="520"/>
        <v>0</v>
      </c>
      <c r="AW466" s="100">
        <f t="shared" si="521"/>
        <v>0</v>
      </c>
      <c r="AX466" s="100">
        <f t="shared" si="522"/>
        <v>0</v>
      </c>
      <c r="AY466" s="110" t="s">
        <v>1716</v>
      </c>
      <c r="AZ466" s="110" t="s">
        <v>1734</v>
      </c>
      <c r="BA466" s="109" t="s">
        <v>1737</v>
      </c>
      <c r="BC466" s="100">
        <f t="shared" si="523"/>
        <v>0</v>
      </c>
      <c r="BD466" s="100">
        <f t="shared" si="524"/>
        <v>0</v>
      </c>
      <c r="BE466" s="100">
        <v>0</v>
      </c>
      <c r="BF466" s="100">
        <f>466</f>
        <v>466</v>
      </c>
      <c r="BH466" s="121">
        <f t="shared" si="525"/>
        <v>0</v>
      </c>
      <c r="BI466" s="121">
        <f t="shared" si="526"/>
        <v>0</v>
      </c>
      <c r="BJ466" s="121">
        <f t="shared" si="527"/>
        <v>0</v>
      </c>
    </row>
    <row r="467" spans="1:62" x14ac:dyDescent="0.2">
      <c r="A467" s="117" t="s">
        <v>422</v>
      </c>
      <c r="B467" s="117" t="s">
        <v>2689</v>
      </c>
      <c r="C467" s="304" t="s">
        <v>2688</v>
      </c>
      <c r="D467" s="305"/>
      <c r="E467" s="305"/>
      <c r="F467" s="117" t="s">
        <v>1646</v>
      </c>
      <c r="G467" s="116">
        <v>10.5</v>
      </c>
      <c r="H467" s="159"/>
      <c r="I467" s="108">
        <f t="shared" si="506"/>
        <v>0</v>
      </c>
      <c r="J467" s="108">
        <f t="shared" si="507"/>
        <v>0</v>
      </c>
      <c r="K467" s="108">
        <f t="shared" si="508"/>
        <v>0</v>
      </c>
      <c r="L467" s="111" t="s">
        <v>1671</v>
      </c>
      <c r="Z467" s="100">
        <f t="shared" si="509"/>
        <v>0</v>
      </c>
      <c r="AB467" s="100">
        <f t="shared" si="510"/>
        <v>0</v>
      </c>
      <c r="AC467" s="100">
        <f t="shared" si="511"/>
        <v>0</v>
      </c>
      <c r="AD467" s="100">
        <f t="shared" si="512"/>
        <v>0</v>
      </c>
      <c r="AE467" s="100">
        <f t="shared" si="513"/>
        <v>0</v>
      </c>
      <c r="AF467" s="100">
        <f t="shared" si="514"/>
        <v>0</v>
      </c>
      <c r="AG467" s="100">
        <f t="shared" si="515"/>
        <v>0</v>
      </c>
      <c r="AH467" s="100">
        <f t="shared" si="516"/>
        <v>0</v>
      </c>
      <c r="AI467" s="109"/>
      <c r="AJ467" s="108">
        <f t="shared" si="517"/>
        <v>0</v>
      </c>
      <c r="AK467" s="108">
        <f t="shared" si="518"/>
        <v>0</v>
      </c>
      <c r="AL467" s="108">
        <f t="shared" si="519"/>
        <v>0</v>
      </c>
      <c r="AN467" s="100">
        <v>15</v>
      </c>
      <c r="AO467" s="100">
        <f>H467*0.461013267386291</f>
        <v>0</v>
      </c>
      <c r="AP467" s="100">
        <f>H467*(1-0.461013267386291)</f>
        <v>0</v>
      </c>
      <c r="AQ467" s="111" t="s">
        <v>13</v>
      </c>
      <c r="AV467" s="100">
        <f t="shared" si="520"/>
        <v>0</v>
      </c>
      <c r="AW467" s="100">
        <f t="shared" si="521"/>
        <v>0</v>
      </c>
      <c r="AX467" s="100">
        <f t="shared" si="522"/>
        <v>0</v>
      </c>
      <c r="AY467" s="110" t="s">
        <v>1716</v>
      </c>
      <c r="AZ467" s="110" t="s">
        <v>1734</v>
      </c>
      <c r="BA467" s="109" t="s">
        <v>1737</v>
      </c>
      <c r="BC467" s="100">
        <f t="shared" si="523"/>
        <v>0</v>
      </c>
      <c r="BD467" s="100">
        <f t="shared" si="524"/>
        <v>0</v>
      </c>
      <c r="BE467" s="100">
        <v>0</v>
      </c>
      <c r="BF467" s="100">
        <f>467</f>
        <v>467</v>
      </c>
      <c r="BH467" s="108">
        <f t="shared" si="525"/>
        <v>0</v>
      </c>
      <c r="BI467" s="108">
        <f t="shared" si="526"/>
        <v>0</v>
      </c>
      <c r="BJ467" s="108">
        <f t="shared" si="527"/>
        <v>0</v>
      </c>
    </row>
    <row r="468" spans="1:62" x14ac:dyDescent="0.2">
      <c r="A468" s="117" t="s">
        <v>423</v>
      </c>
      <c r="B468" s="117" t="s">
        <v>2687</v>
      </c>
      <c r="C468" s="304" t="s">
        <v>2686</v>
      </c>
      <c r="D468" s="305"/>
      <c r="E468" s="305"/>
      <c r="F468" s="117" t="s">
        <v>1646</v>
      </c>
      <c r="G468" s="116">
        <v>4.5</v>
      </c>
      <c r="H468" s="159"/>
      <c r="I468" s="108">
        <f t="shared" si="506"/>
        <v>0</v>
      </c>
      <c r="J468" s="108">
        <f t="shared" si="507"/>
        <v>0</v>
      </c>
      <c r="K468" s="108">
        <f t="shared" si="508"/>
        <v>0</v>
      </c>
      <c r="L468" s="111" t="s">
        <v>1671</v>
      </c>
      <c r="Z468" s="100">
        <f t="shared" si="509"/>
        <v>0</v>
      </c>
      <c r="AB468" s="100">
        <f t="shared" si="510"/>
        <v>0</v>
      </c>
      <c r="AC468" s="100">
        <f t="shared" si="511"/>
        <v>0</v>
      </c>
      <c r="AD468" s="100">
        <f t="shared" si="512"/>
        <v>0</v>
      </c>
      <c r="AE468" s="100">
        <f t="shared" si="513"/>
        <v>0</v>
      </c>
      <c r="AF468" s="100">
        <f t="shared" si="514"/>
        <v>0</v>
      </c>
      <c r="AG468" s="100">
        <f t="shared" si="515"/>
        <v>0</v>
      </c>
      <c r="AH468" s="100">
        <f t="shared" si="516"/>
        <v>0</v>
      </c>
      <c r="AI468" s="109"/>
      <c r="AJ468" s="108">
        <f t="shared" si="517"/>
        <v>0</v>
      </c>
      <c r="AK468" s="108">
        <f t="shared" si="518"/>
        <v>0</v>
      </c>
      <c r="AL468" s="108">
        <f t="shared" si="519"/>
        <v>0</v>
      </c>
      <c r="AN468" s="100">
        <v>15</v>
      </c>
      <c r="AO468" s="100">
        <f>H468*0.40109649122807</f>
        <v>0</v>
      </c>
      <c r="AP468" s="100">
        <f>H468*(1-0.40109649122807)</f>
        <v>0</v>
      </c>
      <c r="AQ468" s="111" t="s">
        <v>13</v>
      </c>
      <c r="AV468" s="100">
        <f t="shared" si="520"/>
        <v>0</v>
      </c>
      <c r="AW468" s="100">
        <f t="shared" si="521"/>
        <v>0</v>
      </c>
      <c r="AX468" s="100">
        <f t="shared" si="522"/>
        <v>0</v>
      </c>
      <c r="AY468" s="110" t="s">
        <v>1716</v>
      </c>
      <c r="AZ468" s="110" t="s">
        <v>1734</v>
      </c>
      <c r="BA468" s="109" t="s">
        <v>1737</v>
      </c>
      <c r="BC468" s="100">
        <f t="shared" si="523"/>
        <v>0</v>
      </c>
      <c r="BD468" s="100">
        <f t="shared" si="524"/>
        <v>0</v>
      </c>
      <c r="BE468" s="100">
        <v>0</v>
      </c>
      <c r="BF468" s="100">
        <f>468</f>
        <v>468</v>
      </c>
      <c r="BH468" s="108">
        <f t="shared" si="525"/>
        <v>0</v>
      </c>
      <c r="BI468" s="108">
        <f t="shared" si="526"/>
        <v>0</v>
      </c>
      <c r="BJ468" s="108">
        <f t="shared" si="527"/>
        <v>0</v>
      </c>
    </row>
    <row r="469" spans="1:62" x14ac:dyDescent="0.2">
      <c r="A469" s="117" t="s">
        <v>424</v>
      </c>
      <c r="B469" s="117" t="s">
        <v>904</v>
      </c>
      <c r="C469" s="304" t="s">
        <v>1493</v>
      </c>
      <c r="D469" s="305"/>
      <c r="E469" s="305"/>
      <c r="F469" s="117" t="s">
        <v>1644</v>
      </c>
      <c r="G469" s="116">
        <v>1</v>
      </c>
      <c r="H469" s="159"/>
      <c r="I469" s="108">
        <f t="shared" si="506"/>
        <v>0</v>
      </c>
      <c r="J469" s="108">
        <f t="shared" si="507"/>
        <v>0</v>
      </c>
      <c r="K469" s="108">
        <f t="shared" si="508"/>
        <v>0</v>
      </c>
      <c r="L469" s="111" t="s">
        <v>1671</v>
      </c>
      <c r="Z469" s="100">
        <f t="shared" si="509"/>
        <v>0</v>
      </c>
      <c r="AB469" s="100">
        <f t="shared" si="510"/>
        <v>0</v>
      </c>
      <c r="AC469" s="100">
        <f t="shared" si="511"/>
        <v>0</v>
      </c>
      <c r="AD469" s="100">
        <f t="shared" si="512"/>
        <v>0</v>
      </c>
      <c r="AE469" s="100">
        <f t="shared" si="513"/>
        <v>0</v>
      </c>
      <c r="AF469" s="100">
        <f t="shared" si="514"/>
        <v>0</v>
      </c>
      <c r="AG469" s="100">
        <f t="shared" si="515"/>
        <v>0</v>
      </c>
      <c r="AH469" s="100">
        <f t="shared" si="516"/>
        <v>0</v>
      </c>
      <c r="AI469" s="109"/>
      <c r="AJ469" s="108">
        <f t="shared" si="517"/>
        <v>0</v>
      </c>
      <c r="AK469" s="108">
        <f t="shared" si="518"/>
        <v>0</v>
      </c>
      <c r="AL469" s="108">
        <f t="shared" si="519"/>
        <v>0</v>
      </c>
      <c r="AN469" s="100">
        <v>15</v>
      </c>
      <c r="AO469" s="100">
        <f>H469*0.007425</f>
        <v>0</v>
      </c>
      <c r="AP469" s="100">
        <f>H469*(1-0.007425)</f>
        <v>0</v>
      </c>
      <c r="AQ469" s="111" t="s">
        <v>13</v>
      </c>
      <c r="AV469" s="100">
        <f t="shared" si="520"/>
        <v>0</v>
      </c>
      <c r="AW469" s="100">
        <f t="shared" si="521"/>
        <v>0</v>
      </c>
      <c r="AX469" s="100">
        <f t="shared" si="522"/>
        <v>0</v>
      </c>
      <c r="AY469" s="110" t="s">
        <v>1716</v>
      </c>
      <c r="AZ469" s="110" t="s">
        <v>1734</v>
      </c>
      <c r="BA469" s="109" t="s">
        <v>1737</v>
      </c>
      <c r="BC469" s="100">
        <f t="shared" si="523"/>
        <v>0</v>
      </c>
      <c r="BD469" s="100">
        <f t="shared" si="524"/>
        <v>0</v>
      </c>
      <c r="BE469" s="100">
        <v>0</v>
      </c>
      <c r="BF469" s="100">
        <f>469</f>
        <v>469</v>
      </c>
      <c r="BH469" s="108">
        <f t="shared" si="525"/>
        <v>0</v>
      </c>
      <c r="BI469" s="108">
        <f t="shared" si="526"/>
        <v>0</v>
      </c>
      <c r="BJ469" s="108">
        <f t="shared" si="527"/>
        <v>0</v>
      </c>
    </row>
    <row r="470" spans="1:62" x14ac:dyDescent="0.2">
      <c r="A470" s="117" t="s">
        <v>425</v>
      </c>
      <c r="B470" s="117" t="s">
        <v>905</v>
      </c>
      <c r="C470" s="304" t="s">
        <v>3969</v>
      </c>
      <c r="D470" s="305"/>
      <c r="E470" s="305"/>
      <c r="F470" s="117" t="s">
        <v>1644</v>
      </c>
      <c r="G470" s="116">
        <v>1</v>
      </c>
      <c r="H470" s="159"/>
      <c r="I470" s="108">
        <f t="shared" si="506"/>
        <v>0</v>
      </c>
      <c r="J470" s="108">
        <f t="shared" si="507"/>
        <v>0</v>
      </c>
      <c r="K470" s="108">
        <f t="shared" si="508"/>
        <v>0</v>
      </c>
      <c r="L470" s="111" t="s">
        <v>1671</v>
      </c>
      <c r="Z470" s="100">
        <f t="shared" si="509"/>
        <v>0</v>
      </c>
      <c r="AB470" s="100">
        <f t="shared" si="510"/>
        <v>0</v>
      </c>
      <c r="AC470" s="100">
        <f t="shared" si="511"/>
        <v>0</v>
      </c>
      <c r="AD470" s="100">
        <f t="shared" si="512"/>
        <v>0</v>
      </c>
      <c r="AE470" s="100">
        <f t="shared" si="513"/>
        <v>0</v>
      </c>
      <c r="AF470" s="100">
        <f t="shared" si="514"/>
        <v>0</v>
      </c>
      <c r="AG470" s="100">
        <f t="shared" si="515"/>
        <v>0</v>
      </c>
      <c r="AH470" s="100">
        <f t="shared" si="516"/>
        <v>0</v>
      </c>
      <c r="AI470" s="109"/>
      <c r="AJ470" s="108">
        <f t="shared" si="517"/>
        <v>0</v>
      </c>
      <c r="AK470" s="108">
        <f t="shared" si="518"/>
        <v>0</v>
      </c>
      <c r="AL470" s="108">
        <f t="shared" si="519"/>
        <v>0</v>
      </c>
      <c r="AN470" s="100">
        <v>15</v>
      </c>
      <c r="AO470" s="100">
        <f>H470*0.0040695652173913</f>
        <v>0</v>
      </c>
      <c r="AP470" s="100">
        <f>H470*(1-0.0040695652173913)</f>
        <v>0</v>
      </c>
      <c r="AQ470" s="111" t="s">
        <v>13</v>
      </c>
      <c r="AV470" s="100">
        <f t="shared" si="520"/>
        <v>0</v>
      </c>
      <c r="AW470" s="100">
        <f t="shared" si="521"/>
        <v>0</v>
      </c>
      <c r="AX470" s="100">
        <f t="shared" si="522"/>
        <v>0</v>
      </c>
      <c r="AY470" s="110" t="s">
        <v>1716</v>
      </c>
      <c r="AZ470" s="110" t="s">
        <v>1734</v>
      </c>
      <c r="BA470" s="109" t="s">
        <v>1737</v>
      </c>
      <c r="BC470" s="100">
        <f t="shared" si="523"/>
        <v>0</v>
      </c>
      <c r="BD470" s="100">
        <f t="shared" si="524"/>
        <v>0</v>
      </c>
      <c r="BE470" s="100">
        <v>0</v>
      </c>
      <c r="BF470" s="100">
        <f>470</f>
        <v>470</v>
      </c>
      <c r="BH470" s="108">
        <f t="shared" si="525"/>
        <v>0</v>
      </c>
      <c r="BI470" s="108">
        <f t="shared" si="526"/>
        <v>0</v>
      </c>
      <c r="BJ470" s="108">
        <f t="shared" si="527"/>
        <v>0</v>
      </c>
    </row>
    <row r="471" spans="1:62" x14ac:dyDescent="0.2">
      <c r="A471" s="117" t="s">
        <v>426</v>
      </c>
      <c r="B471" s="117" t="s">
        <v>2685</v>
      </c>
      <c r="C471" s="304" t="s">
        <v>2684</v>
      </c>
      <c r="D471" s="305"/>
      <c r="E471" s="305"/>
      <c r="F471" s="117" t="s">
        <v>1644</v>
      </c>
      <c r="G471" s="116">
        <v>5</v>
      </c>
      <c r="H471" s="159"/>
      <c r="I471" s="108">
        <f t="shared" si="506"/>
        <v>0</v>
      </c>
      <c r="J471" s="108">
        <f t="shared" si="507"/>
        <v>0</v>
      </c>
      <c r="K471" s="108">
        <f t="shared" si="508"/>
        <v>0</v>
      </c>
      <c r="L471" s="111" t="s">
        <v>1671</v>
      </c>
      <c r="Z471" s="100">
        <f t="shared" si="509"/>
        <v>0</v>
      </c>
      <c r="AB471" s="100">
        <f t="shared" si="510"/>
        <v>0</v>
      </c>
      <c r="AC471" s="100">
        <f t="shared" si="511"/>
        <v>0</v>
      </c>
      <c r="AD471" s="100">
        <f t="shared" si="512"/>
        <v>0</v>
      </c>
      <c r="AE471" s="100">
        <f t="shared" si="513"/>
        <v>0</v>
      </c>
      <c r="AF471" s="100">
        <f t="shared" si="514"/>
        <v>0</v>
      </c>
      <c r="AG471" s="100">
        <f t="shared" si="515"/>
        <v>0</v>
      </c>
      <c r="AH471" s="100">
        <f t="shared" si="516"/>
        <v>0</v>
      </c>
      <c r="AI471" s="109"/>
      <c r="AJ471" s="108">
        <f t="shared" si="517"/>
        <v>0</v>
      </c>
      <c r="AK471" s="108">
        <f t="shared" si="518"/>
        <v>0</v>
      </c>
      <c r="AL471" s="108">
        <f t="shared" si="519"/>
        <v>0</v>
      </c>
      <c r="AN471" s="100">
        <v>15</v>
      </c>
      <c r="AO471" s="100">
        <f>H471*0.0607105719237435</f>
        <v>0</v>
      </c>
      <c r="AP471" s="100">
        <f>H471*(1-0.0607105719237435)</f>
        <v>0</v>
      </c>
      <c r="AQ471" s="111" t="s">
        <v>13</v>
      </c>
      <c r="AV471" s="100">
        <f t="shared" si="520"/>
        <v>0</v>
      </c>
      <c r="AW471" s="100">
        <f t="shared" si="521"/>
        <v>0</v>
      </c>
      <c r="AX471" s="100">
        <f t="shared" si="522"/>
        <v>0</v>
      </c>
      <c r="AY471" s="110" t="s">
        <v>1716</v>
      </c>
      <c r="AZ471" s="110" t="s">
        <v>1734</v>
      </c>
      <c r="BA471" s="109" t="s">
        <v>1737</v>
      </c>
      <c r="BC471" s="100">
        <f t="shared" si="523"/>
        <v>0</v>
      </c>
      <c r="BD471" s="100">
        <f t="shared" si="524"/>
        <v>0</v>
      </c>
      <c r="BE471" s="100">
        <v>0</v>
      </c>
      <c r="BF471" s="100">
        <f>471</f>
        <v>471</v>
      </c>
      <c r="BH471" s="108">
        <f t="shared" si="525"/>
        <v>0</v>
      </c>
      <c r="BI471" s="108">
        <f t="shared" si="526"/>
        <v>0</v>
      </c>
      <c r="BJ471" s="108">
        <f t="shared" si="527"/>
        <v>0</v>
      </c>
    </row>
    <row r="472" spans="1:62" x14ac:dyDescent="0.2">
      <c r="A472" s="124" t="s">
        <v>427</v>
      </c>
      <c r="B472" s="124" t="s">
        <v>3433</v>
      </c>
      <c r="C472" s="311" t="s">
        <v>3968</v>
      </c>
      <c r="D472" s="312"/>
      <c r="E472" s="312"/>
      <c r="F472" s="124" t="s">
        <v>1644</v>
      </c>
      <c r="G472" s="123">
        <v>1</v>
      </c>
      <c r="H472" s="160"/>
      <c r="I472" s="121">
        <f t="shared" si="506"/>
        <v>0</v>
      </c>
      <c r="J472" s="121">
        <f t="shared" si="507"/>
        <v>0</v>
      </c>
      <c r="K472" s="121">
        <f t="shared" si="508"/>
        <v>0</v>
      </c>
      <c r="L472" s="122" t="s">
        <v>1671</v>
      </c>
      <c r="Z472" s="100">
        <f t="shared" si="509"/>
        <v>0</v>
      </c>
      <c r="AB472" s="100">
        <f t="shared" si="510"/>
        <v>0</v>
      </c>
      <c r="AC472" s="100">
        <f t="shared" si="511"/>
        <v>0</v>
      </c>
      <c r="AD472" s="100">
        <f t="shared" si="512"/>
        <v>0</v>
      </c>
      <c r="AE472" s="100">
        <f t="shared" si="513"/>
        <v>0</v>
      </c>
      <c r="AF472" s="100">
        <f t="shared" si="514"/>
        <v>0</v>
      </c>
      <c r="AG472" s="100">
        <f t="shared" si="515"/>
        <v>0</v>
      </c>
      <c r="AH472" s="100">
        <f t="shared" si="516"/>
        <v>0</v>
      </c>
      <c r="AI472" s="109"/>
      <c r="AJ472" s="121">
        <f t="shared" si="517"/>
        <v>0</v>
      </c>
      <c r="AK472" s="121">
        <f t="shared" si="518"/>
        <v>0</v>
      </c>
      <c r="AL472" s="121">
        <f t="shared" si="519"/>
        <v>0</v>
      </c>
      <c r="AN472" s="100">
        <v>15</v>
      </c>
      <c r="AO472" s="100">
        <f>H472*1</f>
        <v>0</v>
      </c>
      <c r="AP472" s="100">
        <f>H472*(1-1)</f>
        <v>0</v>
      </c>
      <c r="AQ472" s="122" t="s">
        <v>13</v>
      </c>
      <c r="AV472" s="100">
        <f t="shared" si="520"/>
        <v>0</v>
      </c>
      <c r="AW472" s="100">
        <f t="shared" si="521"/>
        <v>0</v>
      </c>
      <c r="AX472" s="100">
        <f t="shared" si="522"/>
        <v>0</v>
      </c>
      <c r="AY472" s="110" t="s">
        <v>1716</v>
      </c>
      <c r="AZ472" s="110" t="s">
        <v>1734</v>
      </c>
      <c r="BA472" s="109" t="s">
        <v>1737</v>
      </c>
      <c r="BC472" s="100">
        <f t="shared" si="523"/>
        <v>0</v>
      </c>
      <c r="BD472" s="100">
        <f t="shared" si="524"/>
        <v>0</v>
      </c>
      <c r="BE472" s="100">
        <v>0</v>
      </c>
      <c r="BF472" s="100">
        <f>472</f>
        <v>472</v>
      </c>
      <c r="BH472" s="121">
        <f t="shared" si="525"/>
        <v>0</v>
      </c>
      <c r="BI472" s="121">
        <f t="shared" si="526"/>
        <v>0</v>
      </c>
      <c r="BJ472" s="121">
        <f t="shared" si="527"/>
        <v>0</v>
      </c>
    </row>
    <row r="473" spans="1:62" x14ac:dyDescent="0.2">
      <c r="A473" s="124" t="s">
        <v>428</v>
      </c>
      <c r="B473" s="124" t="s">
        <v>3431</v>
      </c>
      <c r="C473" s="311" t="s">
        <v>3967</v>
      </c>
      <c r="D473" s="312"/>
      <c r="E473" s="312"/>
      <c r="F473" s="124" t="s">
        <v>1644</v>
      </c>
      <c r="G473" s="123">
        <v>3</v>
      </c>
      <c r="H473" s="160"/>
      <c r="I473" s="121">
        <f t="shared" si="506"/>
        <v>0</v>
      </c>
      <c r="J473" s="121">
        <f t="shared" si="507"/>
        <v>0</v>
      </c>
      <c r="K473" s="121">
        <f t="shared" si="508"/>
        <v>0</v>
      </c>
      <c r="L473" s="122" t="s">
        <v>1671</v>
      </c>
      <c r="Z473" s="100">
        <f t="shared" si="509"/>
        <v>0</v>
      </c>
      <c r="AB473" s="100">
        <f t="shared" si="510"/>
        <v>0</v>
      </c>
      <c r="AC473" s="100">
        <f t="shared" si="511"/>
        <v>0</v>
      </c>
      <c r="AD473" s="100">
        <f t="shared" si="512"/>
        <v>0</v>
      </c>
      <c r="AE473" s="100">
        <f t="shared" si="513"/>
        <v>0</v>
      </c>
      <c r="AF473" s="100">
        <f t="shared" si="514"/>
        <v>0</v>
      </c>
      <c r="AG473" s="100">
        <f t="shared" si="515"/>
        <v>0</v>
      </c>
      <c r="AH473" s="100">
        <f t="shared" si="516"/>
        <v>0</v>
      </c>
      <c r="AI473" s="109"/>
      <c r="AJ473" s="121">
        <f t="shared" si="517"/>
        <v>0</v>
      </c>
      <c r="AK473" s="121">
        <f t="shared" si="518"/>
        <v>0</v>
      </c>
      <c r="AL473" s="121">
        <f t="shared" si="519"/>
        <v>0</v>
      </c>
      <c r="AN473" s="100">
        <v>15</v>
      </c>
      <c r="AO473" s="100">
        <f>H473*1</f>
        <v>0</v>
      </c>
      <c r="AP473" s="100">
        <f>H473*(1-1)</f>
        <v>0</v>
      </c>
      <c r="AQ473" s="122" t="s">
        <v>13</v>
      </c>
      <c r="AV473" s="100">
        <f t="shared" si="520"/>
        <v>0</v>
      </c>
      <c r="AW473" s="100">
        <f t="shared" si="521"/>
        <v>0</v>
      </c>
      <c r="AX473" s="100">
        <f t="shared" si="522"/>
        <v>0</v>
      </c>
      <c r="AY473" s="110" t="s">
        <v>1716</v>
      </c>
      <c r="AZ473" s="110" t="s">
        <v>1734</v>
      </c>
      <c r="BA473" s="109" t="s">
        <v>1737</v>
      </c>
      <c r="BC473" s="100">
        <f t="shared" si="523"/>
        <v>0</v>
      </c>
      <c r="BD473" s="100">
        <f t="shared" si="524"/>
        <v>0</v>
      </c>
      <c r="BE473" s="100">
        <v>0</v>
      </c>
      <c r="BF473" s="100">
        <f>473</f>
        <v>473</v>
      </c>
      <c r="BH473" s="121">
        <f t="shared" si="525"/>
        <v>0</v>
      </c>
      <c r="BI473" s="121">
        <f t="shared" si="526"/>
        <v>0</v>
      </c>
      <c r="BJ473" s="121">
        <f t="shared" si="527"/>
        <v>0</v>
      </c>
    </row>
    <row r="474" spans="1:62" x14ac:dyDescent="0.2">
      <c r="A474" s="124" t="s">
        <v>429</v>
      </c>
      <c r="B474" s="124" t="s">
        <v>3435</v>
      </c>
      <c r="C474" s="311" t="s">
        <v>3966</v>
      </c>
      <c r="D474" s="312"/>
      <c r="E474" s="312"/>
      <c r="F474" s="124" t="s">
        <v>1644</v>
      </c>
      <c r="G474" s="123">
        <v>1</v>
      </c>
      <c r="H474" s="160"/>
      <c r="I474" s="121">
        <f t="shared" si="506"/>
        <v>0</v>
      </c>
      <c r="J474" s="121">
        <f t="shared" si="507"/>
        <v>0</v>
      </c>
      <c r="K474" s="121">
        <f t="shared" si="508"/>
        <v>0</v>
      </c>
      <c r="L474" s="122" t="s">
        <v>1671</v>
      </c>
      <c r="Z474" s="100">
        <f t="shared" si="509"/>
        <v>0</v>
      </c>
      <c r="AB474" s="100">
        <f t="shared" si="510"/>
        <v>0</v>
      </c>
      <c r="AC474" s="100">
        <f t="shared" si="511"/>
        <v>0</v>
      </c>
      <c r="AD474" s="100">
        <f t="shared" si="512"/>
        <v>0</v>
      </c>
      <c r="AE474" s="100">
        <f t="shared" si="513"/>
        <v>0</v>
      </c>
      <c r="AF474" s="100">
        <f t="shared" si="514"/>
        <v>0</v>
      </c>
      <c r="AG474" s="100">
        <f t="shared" si="515"/>
        <v>0</v>
      </c>
      <c r="AH474" s="100">
        <f t="shared" si="516"/>
        <v>0</v>
      </c>
      <c r="AI474" s="109"/>
      <c r="AJ474" s="121">
        <f t="shared" si="517"/>
        <v>0</v>
      </c>
      <c r="AK474" s="121">
        <f t="shared" si="518"/>
        <v>0</v>
      </c>
      <c r="AL474" s="121">
        <f t="shared" si="519"/>
        <v>0</v>
      </c>
      <c r="AN474" s="100">
        <v>15</v>
      </c>
      <c r="AO474" s="100">
        <f>H474*1</f>
        <v>0</v>
      </c>
      <c r="AP474" s="100">
        <f>H474*(1-1)</f>
        <v>0</v>
      </c>
      <c r="AQ474" s="122" t="s">
        <v>13</v>
      </c>
      <c r="AV474" s="100">
        <f t="shared" si="520"/>
        <v>0</v>
      </c>
      <c r="AW474" s="100">
        <f t="shared" si="521"/>
        <v>0</v>
      </c>
      <c r="AX474" s="100">
        <f t="shared" si="522"/>
        <v>0</v>
      </c>
      <c r="AY474" s="110" t="s">
        <v>1716</v>
      </c>
      <c r="AZ474" s="110" t="s">
        <v>1734</v>
      </c>
      <c r="BA474" s="109" t="s">
        <v>1737</v>
      </c>
      <c r="BC474" s="100">
        <f t="shared" si="523"/>
        <v>0</v>
      </c>
      <c r="BD474" s="100">
        <f t="shared" si="524"/>
        <v>0</v>
      </c>
      <c r="BE474" s="100">
        <v>0</v>
      </c>
      <c r="BF474" s="100">
        <f>474</f>
        <v>474</v>
      </c>
      <c r="BH474" s="121">
        <f t="shared" si="525"/>
        <v>0</v>
      </c>
      <c r="BI474" s="121">
        <f t="shared" si="526"/>
        <v>0</v>
      </c>
      <c r="BJ474" s="121">
        <f t="shared" si="527"/>
        <v>0</v>
      </c>
    </row>
    <row r="475" spans="1:62" x14ac:dyDescent="0.2">
      <c r="A475" s="117" t="s">
        <v>430</v>
      </c>
      <c r="B475" s="117" t="s">
        <v>906</v>
      </c>
      <c r="C475" s="304" t="s">
        <v>1495</v>
      </c>
      <c r="D475" s="305"/>
      <c r="E475" s="305"/>
      <c r="F475" s="117" t="s">
        <v>1648</v>
      </c>
      <c r="G475" s="116">
        <v>0.23699999999999999</v>
      </c>
      <c r="H475" s="159"/>
      <c r="I475" s="108">
        <f t="shared" si="506"/>
        <v>0</v>
      </c>
      <c r="J475" s="108">
        <f t="shared" si="507"/>
        <v>0</v>
      </c>
      <c r="K475" s="108">
        <f t="shared" si="508"/>
        <v>0</v>
      </c>
      <c r="L475" s="111" t="s">
        <v>1671</v>
      </c>
      <c r="Z475" s="100">
        <f t="shared" si="509"/>
        <v>0</v>
      </c>
      <c r="AB475" s="100">
        <f t="shared" si="510"/>
        <v>0</v>
      </c>
      <c r="AC475" s="100">
        <f t="shared" si="511"/>
        <v>0</v>
      </c>
      <c r="AD475" s="100">
        <f t="shared" si="512"/>
        <v>0</v>
      </c>
      <c r="AE475" s="100">
        <f t="shared" si="513"/>
        <v>0</v>
      </c>
      <c r="AF475" s="100">
        <f t="shared" si="514"/>
        <v>0</v>
      </c>
      <c r="AG475" s="100">
        <f t="shared" si="515"/>
        <v>0</v>
      </c>
      <c r="AH475" s="100">
        <f t="shared" si="516"/>
        <v>0</v>
      </c>
      <c r="AI475" s="109"/>
      <c r="AJ475" s="108">
        <f t="shared" si="517"/>
        <v>0</v>
      </c>
      <c r="AK475" s="108">
        <f t="shared" si="518"/>
        <v>0</v>
      </c>
      <c r="AL475" s="108">
        <f t="shared" si="519"/>
        <v>0</v>
      </c>
      <c r="AN475" s="100">
        <v>15</v>
      </c>
      <c r="AO475" s="100">
        <f>H475*0</f>
        <v>0</v>
      </c>
      <c r="AP475" s="100">
        <f>H475*(1-0)</f>
        <v>0</v>
      </c>
      <c r="AQ475" s="111" t="s">
        <v>11</v>
      </c>
      <c r="AV475" s="100">
        <f t="shared" si="520"/>
        <v>0</v>
      </c>
      <c r="AW475" s="100">
        <f t="shared" si="521"/>
        <v>0</v>
      </c>
      <c r="AX475" s="100">
        <f t="shared" si="522"/>
        <v>0</v>
      </c>
      <c r="AY475" s="110" t="s">
        <v>1716</v>
      </c>
      <c r="AZ475" s="110" t="s">
        <v>1734</v>
      </c>
      <c r="BA475" s="109" t="s">
        <v>1737</v>
      </c>
      <c r="BC475" s="100">
        <f t="shared" si="523"/>
        <v>0</v>
      </c>
      <c r="BD475" s="100">
        <f t="shared" si="524"/>
        <v>0</v>
      </c>
      <c r="BE475" s="100">
        <v>0</v>
      </c>
      <c r="BF475" s="100">
        <f>475</f>
        <v>475</v>
      </c>
      <c r="BH475" s="108">
        <f t="shared" si="525"/>
        <v>0</v>
      </c>
      <c r="BI475" s="108">
        <f t="shared" si="526"/>
        <v>0</v>
      </c>
      <c r="BJ475" s="108">
        <f t="shared" si="527"/>
        <v>0</v>
      </c>
    </row>
    <row r="476" spans="1:62" x14ac:dyDescent="0.2">
      <c r="A476" s="119"/>
      <c r="B476" s="120" t="s">
        <v>907</v>
      </c>
      <c r="C476" s="306" t="s">
        <v>1496</v>
      </c>
      <c r="D476" s="307"/>
      <c r="E476" s="307"/>
      <c r="F476" s="119" t="s">
        <v>6</v>
      </c>
      <c r="G476" s="119" t="s">
        <v>6</v>
      </c>
      <c r="H476" s="119" t="s">
        <v>6</v>
      </c>
      <c r="I476" s="118">
        <f>SUM(I477:I493)</f>
        <v>0</v>
      </c>
      <c r="J476" s="118">
        <f>SUM(J477:J493)</f>
        <v>0</v>
      </c>
      <c r="K476" s="118">
        <f>SUM(K477:K493)</f>
        <v>0</v>
      </c>
      <c r="L476" s="109"/>
      <c r="AI476" s="109"/>
      <c r="AS476" s="118">
        <f>SUM(AJ477:AJ493)</f>
        <v>0</v>
      </c>
      <c r="AT476" s="118">
        <f>SUM(AK477:AK493)</f>
        <v>0</v>
      </c>
      <c r="AU476" s="118">
        <f>SUM(AL477:AL493)</f>
        <v>0</v>
      </c>
    </row>
    <row r="477" spans="1:62" x14ac:dyDescent="0.2">
      <c r="A477" s="117" t="s">
        <v>431</v>
      </c>
      <c r="B477" s="117" t="s">
        <v>3423</v>
      </c>
      <c r="C477" s="304" t="s">
        <v>3965</v>
      </c>
      <c r="D477" s="305"/>
      <c r="E477" s="305"/>
      <c r="F477" s="117" t="s">
        <v>1644</v>
      </c>
      <c r="G477" s="116">
        <v>2</v>
      </c>
      <c r="H477" s="159"/>
      <c r="I477" s="108">
        <f t="shared" ref="I477:I493" si="528">G477*AO477</f>
        <v>0</v>
      </c>
      <c r="J477" s="108">
        <f t="shared" ref="J477:J493" si="529">G477*AP477</f>
        <v>0</v>
      </c>
      <c r="K477" s="108">
        <f t="shared" ref="K477:K493" si="530">G477*H477</f>
        <v>0</v>
      </c>
      <c r="L477" s="111" t="s">
        <v>1671</v>
      </c>
      <c r="Z477" s="100">
        <f t="shared" ref="Z477:Z493" si="531">IF(AQ477="5",BJ477,0)</f>
        <v>0</v>
      </c>
      <c r="AB477" s="100">
        <f t="shared" ref="AB477:AB493" si="532">IF(AQ477="1",BH477,0)</f>
        <v>0</v>
      </c>
      <c r="AC477" s="100">
        <f t="shared" ref="AC477:AC493" si="533">IF(AQ477="1",BI477,0)</f>
        <v>0</v>
      </c>
      <c r="AD477" s="100">
        <f t="shared" ref="AD477:AD493" si="534">IF(AQ477="7",BH477,0)</f>
        <v>0</v>
      </c>
      <c r="AE477" s="100">
        <f t="shared" ref="AE477:AE493" si="535">IF(AQ477="7",BI477,0)</f>
        <v>0</v>
      </c>
      <c r="AF477" s="100">
        <f t="shared" ref="AF477:AF493" si="536">IF(AQ477="2",BH477,0)</f>
        <v>0</v>
      </c>
      <c r="AG477" s="100">
        <f t="shared" ref="AG477:AG493" si="537">IF(AQ477="2",BI477,0)</f>
        <v>0</v>
      </c>
      <c r="AH477" s="100">
        <f t="shared" ref="AH477:AH493" si="538">IF(AQ477="0",BJ477,0)</f>
        <v>0</v>
      </c>
      <c r="AI477" s="109"/>
      <c r="AJ477" s="108">
        <f t="shared" ref="AJ477:AJ493" si="539">IF(AN477=0,K477,0)</f>
        <v>0</v>
      </c>
      <c r="AK477" s="108">
        <f t="shared" ref="AK477:AK493" si="540">IF(AN477=15,K477,0)</f>
        <v>0</v>
      </c>
      <c r="AL477" s="108">
        <f t="shared" ref="AL477:AL493" si="541">IF(AN477=21,K477,0)</f>
        <v>0</v>
      </c>
      <c r="AN477" s="100">
        <v>15</v>
      </c>
      <c r="AO477" s="100">
        <f>H477*0</f>
        <v>0</v>
      </c>
      <c r="AP477" s="100">
        <f>H477*(1-0)</f>
        <v>0</v>
      </c>
      <c r="AQ477" s="111" t="s">
        <v>13</v>
      </c>
      <c r="AV477" s="100">
        <f t="shared" ref="AV477:AV493" si="542">AW477+AX477</f>
        <v>0</v>
      </c>
      <c r="AW477" s="100">
        <f t="shared" ref="AW477:AW493" si="543">G477*AO477</f>
        <v>0</v>
      </c>
      <c r="AX477" s="100">
        <f t="shared" ref="AX477:AX493" si="544">G477*AP477</f>
        <v>0</v>
      </c>
      <c r="AY477" s="110" t="s">
        <v>1717</v>
      </c>
      <c r="AZ477" s="110" t="s">
        <v>1734</v>
      </c>
      <c r="BA477" s="109" t="s">
        <v>1737</v>
      </c>
      <c r="BC477" s="100">
        <f t="shared" ref="BC477:BC493" si="545">AW477+AX477</f>
        <v>0</v>
      </c>
      <c r="BD477" s="100">
        <f t="shared" ref="BD477:BD493" si="546">H477/(100-BE477)*100</f>
        <v>0</v>
      </c>
      <c r="BE477" s="100">
        <v>0</v>
      </c>
      <c r="BF477" s="100">
        <f>477</f>
        <v>477</v>
      </c>
      <c r="BH477" s="108">
        <f t="shared" ref="BH477:BH493" si="547">G477*AO477</f>
        <v>0</v>
      </c>
      <c r="BI477" s="108">
        <f t="shared" ref="BI477:BI493" si="548">G477*AP477</f>
        <v>0</v>
      </c>
      <c r="BJ477" s="108">
        <f t="shared" ref="BJ477:BJ493" si="549">G477*H477</f>
        <v>0</v>
      </c>
    </row>
    <row r="478" spans="1:62" x14ac:dyDescent="0.2">
      <c r="A478" s="117" t="s">
        <v>432</v>
      </c>
      <c r="B478" s="117" t="s">
        <v>2302</v>
      </c>
      <c r="C478" s="304" t="s">
        <v>3964</v>
      </c>
      <c r="D478" s="305"/>
      <c r="E478" s="305"/>
      <c r="F478" s="117" t="s">
        <v>1644</v>
      </c>
      <c r="G478" s="116">
        <v>1</v>
      </c>
      <c r="H478" s="159"/>
      <c r="I478" s="108">
        <f t="shared" si="528"/>
        <v>0</v>
      </c>
      <c r="J478" s="108">
        <f t="shared" si="529"/>
        <v>0</v>
      </c>
      <c r="K478" s="108">
        <f t="shared" si="530"/>
        <v>0</v>
      </c>
      <c r="L478" s="111" t="s">
        <v>1671</v>
      </c>
      <c r="Z478" s="100">
        <f t="shared" si="531"/>
        <v>0</v>
      </c>
      <c r="AB478" s="100">
        <f t="shared" si="532"/>
        <v>0</v>
      </c>
      <c r="AC478" s="100">
        <f t="shared" si="533"/>
        <v>0</v>
      </c>
      <c r="AD478" s="100">
        <f t="shared" si="534"/>
        <v>0</v>
      </c>
      <c r="AE478" s="100">
        <f t="shared" si="535"/>
        <v>0</v>
      </c>
      <c r="AF478" s="100">
        <f t="shared" si="536"/>
        <v>0</v>
      </c>
      <c r="AG478" s="100">
        <f t="shared" si="537"/>
        <v>0</v>
      </c>
      <c r="AH478" s="100">
        <f t="shared" si="538"/>
        <v>0</v>
      </c>
      <c r="AI478" s="109"/>
      <c r="AJ478" s="108">
        <f t="shared" si="539"/>
        <v>0</v>
      </c>
      <c r="AK478" s="108">
        <f t="shared" si="540"/>
        <v>0</v>
      </c>
      <c r="AL478" s="108">
        <f t="shared" si="541"/>
        <v>0</v>
      </c>
      <c r="AN478" s="100">
        <v>15</v>
      </c>
      <c r="AO478" s="100">
        <f>H478*0.1341</f>
        <v>0</v>
      </c>
      <c r="AP478" s="100">
        <f>H478*(1-0.1341)</f>
        <v>0</v>
      </c>
      <c r="AQ478" s="111" t="s">
        <v>13</v>
      </c>
      <c r="AV478" s="100">
        <f t="shared" si="542"/>
        <v>0</v>
      </c>
      <c r="AW478" s="100">
        <f t="shared" si="543"/>
        <v>0</v>
      </c>
      <c r="AX478" s="100">
        <f t="shared" si="544"/>
        <v>0</v>
      </c>
      <c r="AY478" s="110" t="s">
        <v>1717</v>
      </c>
      <c r="AZ478" s="110" t="s">
        <v>1734</v>
      </c>
      <c r="BA478" s="109" t="s">
        <v>1737</v>
      </c>
      <c r="BC478" s="100">
        <f t="shared" si="545"/>
        <v>0</v>
      </c>
      <c r="BD478" s="100">
        <f t="shared" si="546"/>
        <v>0</v>
      </c>
      <c r="BE478" s="100">
        <v>0</v>
      </c>
      <c r="BF478" s="100">
        <f>478</f>
        <v>478</v>
      </c>
      <c r="BH478" s="108">
        <f t="shared" si="547"/>
        <v>0</v>
      </c>
      <c r="BI478" s="108">
        <f t="shared" si="548"/>
        <v>0</v>
      </c>
      <c r="BJ478" s="108">
        <f t="shared" si="549"/>
        <v>0</v>
      </c>
    </row>
    <row r="479" spans="1:62" x14ac:dyDescent="0.2">
      <c r="A479" s="117" t="s">
        <v>433</v>
      </c>
      <c r="B479" s="117" t="s">
        <v>2300</v>
      </c>
      <c r="C479" s="304" t="s">
        <v>3963</v>
      </c>
      <c r="D479" s="305"/>
      <c r="E479" s="305"/>
      <c r="F479" s="117" t="s">
        <v>1644</v>
      </c>
      <c r="G479" s="116">
        <v>4</v>
      </c>
      <c r="H479" s="159"/>
      <c r="I479" s="108">
        <f t="shared" si="528"/>
        <v>0</v>
      </c>
      <c r="J479" s="108">
        <f t="shared" si="529"/>
        <v>0</v>
      </c>
      <c r="K479" s="108">
        <f t="shared" si="530"/>
        <v>0</v>
      </c>
      <c r="L479" s="111" t="s">
        <v>1671</v>
      </c>
      <c r="Z479" s="100">
        <f t="shared" si="531"/>
        <v>0</v>
      </c>
      <c r="AB479" s="100">
        <f t="shared" si="532"/>
        <v>0</v>
      </c>
      <c r="AC479" s="100">
        <f t="shared" si="533"/>
        <v>0</v>
      </c>
      <c r="AD479" s="100">
        <f t="shared" si="534"/>
        <v>0</v>
      </c>
      <c r="AE479" s="100">
        <f t="shared" si="535"/>
        <v>0</v>
      </c>
      <c r="AF479" s="100">
        <f t="shared" si="536"/>
        <v>0</v>
      </c>
      <c r="AG479" s="100">
        <f t="shared" si="537"/>
        <v>0</v>
      </c>
      <c r="AH479" s="100">
        <f t="shared" si="538"/>
        <v>0</v>
      </c>
      <c r="AI479" s="109"/>
      <c r="AJ479" s="108">
        <f t="shared" si="539"/>
        <v>0</v>
      </c>
      <c r="AK479" s="108">
        <f t="shared" si="540"/>
        <v>0</v>
      </c>
      <c r="AL479" s="108">
        <f t="shared" si="541"/>
        <v>0</v>
      </c>
      <c r="AN479" s="100">
        <v>15</v>
      </c>
      <c r="AO479" s="100">
        <f>H479*0.1341</f>
        <v>0</v>
      </c>
      <c r="AP479" s="100">
        <f>H479*(1-0.1341)</f>
        <v>0</v>
      </c>
      <c r="AQ479" s="111" t="s">
        <v>13</v>
      </c>
      <c r="AV479" s="100">
        <f t="shared" si="542"/>
        <v>0</v>
      </c>
      <c r="AW479" s="100">
        <f t="shared" si="543"/>
        <v>0</v>
      </c>
      <c r="AX479" s="100">
        <f t="shared" si="544"/>
        <v>0</v>
      </c>
      <c r="AY479" s="110" t="s">
        <v>1717</v>
      </c>
      <c r="AZ479" s="110" t="s">
        <v>1734</v>
      </c>
      <c r="BA479" s="109" t="s">
        <v>1737</v>
      </c>
      <c r="BC479" s="100">
        <f t="shared" si="545"/>
        <v>0</v>
      </c>
      <c r="BD479" s="100">
        <f t="shared" si="546"/>
        <v>0</v>
      </c>
      <c r="BE479" s="100">
        <v>0</v>
      </c>
      <c r="BF479" s="100">
        <f>479</f>
        <v>479</v>
      </c>
      <c r="BH479" s="108">
        <f t="shared" si="547"/>
        <v>0</v>
      </c>
      <c r="BI479" s="108">
        <f t="shared" si="548"/>
        <v>0</v>
      </c>
      <c r="BJ479" s="108">
        <f t="shared" si="549"/>
        <v>0</v>
      </c>
    </row>
    <row r="480" spans="1:62" x14ac:dyDescent="0.2">
      <c r="A480" s="117" t="s">
        <v>434</v>
      </c>
      <c r="B480" s="117" t="s">
        <v>908</v>
      </c>
      <c r="C480" s="304" t="s">
        <v>1497</v>
      </c>
      <c r="D480" s="305"/>
      <c r="E480" s="305"/>
      <c r="F480" s="117" t="s">
        <v>1644</v>
      </c>
      <c r="G480" s="116">
        <v>2</v>
      </c>
      <c r="H480" s="159"/>
      <c r="I480" s="108">
        <f t="shared" si="528"/>
        <v>0</v>
      </c>
      <c r="J480" s="108">
        <f t="shared" si="529"/>
        <v>0</v>
      </c>
      <c r="K480" s="108">
        <f t="shared" si="530"/>
        <v>0</v>
      </c>
      <c r="L480" s="111" t="s">
        <v>1671</v>
      </c>
      <c r="Z480" s="100">
        <f t="shared" si="531"/>
        <v>0</v>
      </c>
      <c r="AB480" s="100">
        <f t="shared" si="532"/>
        <v>0</v>
      </c>
      <c r="AC480" s="100">
        <f t="shared" si="533"/>
        <v>0</v>
      </c>
      <c r="AD480" s="100">
        <f t="shared" si="534"/>
        <v>0</v>
      </c>
      <c r="AE480" s="100">
        <f t="shared" si="535"/>
        <v>0</v>
      </c>
      <c r="AF480" s="100">
        <f t="shared" si="536"/>
        <v>0</v>
      </c>
      <c r="AG480" s="100">
        <f t="shared" si="537"/>
        <v>0</v>
      </c>
      <c r="AH480" s="100">
        <f t="shared" si="538"/>
        <v>0</v>
      </c>
      <c r="AI480" s="109"/>
      <c r="AJ480" s="108">
        <f t="shared" si="539"/>
        <v>0</v>
      </c>
      <c r="AK480" s="108">
        <f t="shared" si="540"/>
        <v>0</v>
      </c>
      <c r="AL480" s="108">
        <f t="shared" si="541"/>
        <v>0</v>
      </c>
      <c r="AN480" s="100">
        <v>15</v>
      </c>
      <c r="AO480" s="100">
        <f>H480*0.0305007936507936</f>
        <v>0</v>
      </c>
      <c r="AP480" s="100">
        <f>H480*(1-0.0305007936507936)</f>
        <v>0</v>
      </c>
      <c r="AQ480" s="111" t="s">
        <v>13</v>
      </c>
      <c r="AV480" s="100">
        <f t="shared" si="542"/>
        <v>0</v>
      </c>
      <c r="AW480" s="100">
        <f t="shared" si="543"/>
        <v>0</v>
      </c>
      <c r="AX480" s="100">
        <f t="shared" si="544"/>
        <v>0</v>
      </c>
      <c r="AY480" s="110" t="s">
        <v>1717</v>
      </c>
      <c r="AZ480" s="110" t="s">
        <v>1734</v>
      </c>
      <c r="BA480" s="109" t="s">
        <v>1737</v>
      </c>
      <c r="BC480" s="100">
        <f t="shared" si="545"/>
        <v>0</v>
      </c>
      <c r="BD480" s="100">
        <f t="shared" si="546"/>
        <v>0</v>
      </c>
      <c r="BE480" s="100">
        <v>0</v>
      </c>
      <c r="BF480" s="100">
        <f>480</f>
        <v>480</v>
      </c>
      <c r="BH480" s="108">
        <f t="shared" si="547"/>
        <v>0</v>
      </c>
      <c r="BI480" s="108">
        <f t="shared" si="548"/>
        <v>0</v>
      </c>
      <c r="BJ480" s="108">
        <f t="shared" si="549"/>
        <v>0</v>
      </c>
    </row>
    <row r="481" spans="1:62" x14ac:dyDescent="0.2">
      <c r="A481" s="117" t="s">
        <v>435</v>
      </c>
      <c r="B481" s="117" t="s">
        <v>909</v>
      </c>
      <c r="C481" s="304" t="s">
        <v>1498</v>
      </c>
      <c r="D481" s="305"/>
      <c r="E481" s="305"/>
      <c r="F481" s="117" t="s">
        <v>1644</v>
      </c>
      <c r="G481" s="116">
        <v>1</v>
      </c>
      <c r="H481" s="159"/>
      <c r="I481" s="108">
        <f t="shared" si="528"/>
        <v>0</v>
      </c>
      <c r="J481" s="108">
        <f t="shared" si="529"/>
        <v>0</v>
      </c>
      <c r="K481" s="108">
        <f t="shared" si="530"/>
        <v>0</v>
      </c>
      <c r="L481" s="111" t="s">
        <v>1671</v>
      </c>
      <c r="Z481" s="100">
        <f t="shared" si="531"/>
        <v>0</v>
      </c>
      <c r="AB481" s="100">
        <f t="shared" si="532"/>
        <v>0</v>
      </c>
      <c r="AC481" s="100">
        <f t="shared" si="533"/>
        <v>0</v>
      </c>
      <c r="AD481" s="100">
        <f t="shared" si="534"/>
        <v>0</v>
      </c>
      <c r="AE481" s="100">
        <f t="shared" si="535"/>
        <v>0</v>
      </c>
      <c r="AF481" s="100">
        <f t="shared" si="536"/>
        <v>0</v>
      </c>
      <c r="AG481" s="100">
        <f t="shared" si="537"/>
        <v>0</v>
      </c>
      <c r="AH481" s="100">
        <f t="shared" si="538"/>
        <v>0</v>
      </c>
      <c r="AI481" s="109"/>
      <c r="AJ481" s="108">
        <f t="shared" si="539"/>
        <v>0</v>
      </c>
      <c r="AK481" s="108">
        <f t="shared" si="540"/>
        <v>0</v>
      </c>
      <c r="AL481" s="108">
        <f t="shared" si="541"/>
        <v>0</v>
      </c>
      <c r="AN481" s="100">
        <v>15</v>
      </c>
      <c r="AO481" s="100">
        <f t="shared" ref="AO481:AO486" si="550">H481*0</f>
        <v>0</v>
      </c>
      <c r="AP481" s="100">
        <f t="shared" ref="AP481:AP486" si="551">H481*(1-0)</f>
        <v>0</v>
      </c>
      <c r="AQ481" s="111" t="s">
        <v>13</v>
      </c>
      <c r="AV481" s="100">
        <f t="shared" si="542"/>
        <v>0</v>
      </c>
      <c r="AW481" s="100">
        <f t="shared" si="543"/>
        <v>0</v>
      </c>
      <c r="AX481" s="100">
        <f t="shared" si="544"/>
        <v>0</v>
      </c>
      <c r="AY481" s="110" t="s">
        <v>1717</v>
      </c>
      <c r="AZ481" s="110" t="s">
        <v>1734</v>
      </c>
      <c r="BA481" s="109" t="s">
        <v>1737</v>
      </c>
      <c r="BC481" s="100">
        <f t="shared" si="545"/>
        <v>0</v>
      </c>
      <c r="BD481" s="100">
        <f t="shared" si="546"/>
        <v>0</v>
      </c>
      <c r="BE481" s="100">
        <v>0</v>
      </c>
      <c r="BF481" s="100">
        <f>481</f>
        <v>481</v>
      </c>
      <c r="BH481" s="108">
        <f t="shared" si="547"/>
        <v>0</v>
      </c>
      <c r="BI481" s="108">
        <f t="shared" si="548"/>
        <v>0</v>
      </c>
      <c r="BJ481" s="108">
        <f t="shared" si="549"/>
        <v>0</v>
      </c>
    </row>
    <row r="482" spans="1:62" x14ac:dyDescent="0.2">
      <c r="A482" s="117" t="s">
        <v>436</v>
      </c>
      <c r="B482" s="117" t="s">
        <v>910</v>
      </c>
      <c r="C482" s="304" t="s">
        <v>1499</v>
      </c>
      <c r="D482" s="305"/>
      <c r="E482" s="305"/>
      <c r="F482" s="117" t="s">
        <v>1644</v>
      </c>
      <c r="G482" s="116">
        <v>1</v>
      </c>
      <c r="H482" s="159"/>
      <c r="I482" s="108">
        <f t="shared" si="528"/>
        <v>0</v>
      </c>
      <c r="J482" s="108">
        <f t="shared" si="529"/>
        <v>0</v>
      </c>
      <c r="K482" s="108">
        <f t="shared" si="530"/>
        <v>0</v>
      </c>
      <c r="L482" s="111" t="s">
        <v>1671</v>
      </c>
      <c r="Z482" s="100">
        <f t="shared" si="531"/>
        <v>0</v>
      </c>
      <c r="AB482" s="100">
        <f t="shared" si="532"/>
        <v>0</v>
      </c>
      <c r="AC482" s="100">
        <f t="shared" si="533"/>
        <v>0</v>
      </c>
      <c r="AD482" s="100">
        <f t="shared" si="534"/>
        <v>0</v>
      </c>
      <c r="AE482" s="100">
        <f t="shared" si="535"/>
        <v>0</v>
      </c>
      <c r="AF482" s="100">
        <f t="shared" si="536"/>
        <v>0</v>
      </c>
      <c r="AG482" s="100">
        <f t="shared" si="537"/>
        <v>0</v>
      </c>
      <c r="AH482" s="100">
        <f t="shared" si="538"/>
        <v>0</v>
      </c>
      <c r="AI482" s="109"/>
      <c r="AJ482" s="108">
        <f t="shared" si="539"/>
        <v>0</v>
      </c>
      <c r="AK482" s="108">
        <f t="shared" si="540"/>
        <v>0</v>
      </c>
      <c r="AL482" s="108">
        <f t="shared" si="541"/>
        <v>0</v>
      </c>
      <c r="AN482" s="100">
        <v>15</v>
      </c>
      <c r="AO482" s="100">
        <f t="shared" si="550"/>
        <v>0</v>
      </c>
      <c r="AP482" s="100">
        <f t="shared" si="551"/>
        <v>0</v>
      </c>
      <c r="AQ482" s="111" t="s">
        <v>13</v>
      </c>
      <c r="AV482" s="100">
        <f t="shared" si="542"/>
        <v>0</v>
      </c>
      <c r="AW482" s="100">
        <f t="shared" si="543"/>
        <v>0</v>
      </c>
      <c r="AX482" s="100">
        <f t="shared" si="544"/>
        <v>0</v>
      </c>
      <c r="AY482" s="110" t="s">
        <v>1717</v>
      </c>
      <c r="AZ482" s="110" t="s">
        <v>1734</v>
      </c>
      <c r="BA482" s="109" t="s">
        <v>1737</v>
      </c>
      <c r="BC482" s="100">
        <f t="shared" si="545"/>
        <v>0</v>
      </c>
      <c r="BD482" s="100">
        <f t="shared" si="546"/>
        <v>0</v>
      </c>
      <c r="BE482" s="100">
        <v>0</v>
      </c>
      <c r="BF482" s="100">
        <f>482</f>
        <v>482</v>
      </c>
      <c r="BH482" s="108">
        <f t="shared" si="547"/>
        <v>0</v>
      </c>
      <c r="BI482" s="108">
        <f t="shared" si="548"/>
        <v>0</v>
      </c>
      <c r="BJ482" s="108">
        <f t="shared" si="549"/>
        <v>0</v>
      </c>
    </row>
    <row r="483" spans="1:62" x14ac:dyDescent="0.2">
      <c r="A483" s="117" t="s">
        <v>437</v>
      </c>
      <c r="B483" s="117" t="s">
        <v>913</v>
      </c>
      <c r="C483" s="304" t="s">
        <v>1502</v>
      </c>
      <c r="D483" s="305"/>
      <c r="E483" s="305"/>
      <c r="F483" s="117" t="s">
        <v>1644</v>
      </c>
      <c r="G483" s="116">
        <v>4</v>
      </c>
      <c r="H483" s="159"/>
      <c r="I483" s="108">
        <f t="shared" si="528"/>
        <v>0</v>
      </c>
      <c r="J483" s="108">
        <f t="shared" si="529"/>
        <v>0</v>
      </c>
      <c r="K483" s="108">
        <f t="shared" si="530"/>
        <v>0</v>
      </c>
      <c r="L483" s="111" t="s">
        <v>1671</v>
      </c>
      <c r="Z483" s="100">
        <f t="shared" si="531"/>
        <v>0</v>
      </c>
      <c r="AB483" s="100">
        <f t="shared" si="532"/>
        <v>0</v>
      </c>
      <c r="AC483" s="100">
        <f t="shared" si="533"/>
        <v>0</v>
      </c>
      <c r="AD483" s="100">
        <f t="shared" si="534"/>
        <v>0</v>
      </c>
      <c r="AE483" s="100">
        <f t="shared" si="535"/>
        <v>0</v>
      </c>
      <c r="AF483" s="100">
        <f t="shared" si="536"/>
        <v>0</v>
      </c>
      <c r="AG483" s="100">
        <f t="shared" si="537"/>
        <v>0</v>
      </c>
      <c r="AH483" s="100">
        <f t="shared" si="538"/>
        <v>0</v>
      </c>
      <c r="AI483" s="109"/>
      <c r="AJ483" s="108">
        <f t="shared" si="539"/>
        <v>0</v>
      </c>
      <c r="AK483" s="108">
        <f t="shared" si="540"/>
        <v>0</v>
      </c>
      <c r="AL483" s="108">
        <f t="shared" si="541"/>
        <v>0</v>
      </c>
      <c r="AN483" s="100">
        <v>15</v>
      </c>
      <c r="AO483" s="100">
        <f t="shared" si="550"/>
        <v>0</v>
      </c>
      <c r="AP483" s="100">
        <f t="shared" si="551"/>
        <v>0</v>
      </c>
      <c r="AQ483" s="111" t="s">
        <v>13</v>
      </c>
      <c r="AV483" s="100">
        <f t="shared" si="542"/>
        <v>0</v>
      </c>
      <c r="AW483" s="100">
        <f t="shared" si="543"/>
        <v>0</v>
      </c>
      <c r="AX483" s="100">
        <f t="shared" si="544"/>
        <v>0</v>
      </c>
      <c r="AY483" s="110" t="s">
        <v>1717</v>
      </c>
      <c r="AZ483" s="110" t="s">
        <v>1734</v>
      </c>
      <c r="BA483" s="109" t="s">
        <v>1737</v>
      </c>
      <c r="BC483" s="100">
        <f t="shared" si="545"/>
        <v>0</v>
      </c>
      <c r="BD483" s="100">
        <f t="shared" si="546"/>
        <v>0</v>
      </c>
      <c r="BE483" s="100">
        <v>0</v>
      </c>
      <c r="BF483" s="100">
        <f>483</f>
        <v>483</v>
      </c>
      <c r="BH483" s="108">
        <f t="shared" si="547"/>
        <v>0</v>
      </c>
      <c r="BI483" s="108">
        <f t="shared" si="548"/>
        <v>0</v>
      </c>
      <c r="BJ483" s="108">
        <f t="shared" si="549"/>
        <v>0</v>
      </c>
    </row>
    <row r="484" spans="1:62" x14ac:dyDescent="0.2">
      <c r="A484" s="117" t="s">
        <v>438</v>
      </c>
      <c r="B484" s="117" t="s">
        <v>3029</v>
      </c>
      <c r="C484" s="304" t="s">
        <v>3028</v>
      </c>
      <c r="D484" s="305"/>
      <c r="E484" s="305"/>
      <c r="F484" s="117" t="s">
        <v>1644</v>
      </c>
      <c r="G484" s="116">
        <v>1</v>
      </c>
      <c r="H484" s="159"/>
      <c r="I484" s="108">
        <f t="shared" si="528"/>
        <v>0</v>
      </c>
      <c r="J484" s="108">
        <f t="shared" si="529"/>
        <v>0</v>
      </c>
      <c r="K484" s="108">
        <f t="shared" si="530"/>
        <v>0</v>
      </c>
      <c r="L484" s="111" t="s">
        <v>1671</v>
      </c>
      <c r="Z484" s="100">
        <f t="shared" si="531"/>
        <v>0</v>
      </c>
      <c r="AB484" s="100">
        <f t="shared" si="532"/>
        <v>0</v>
      </c>
      <c r="AC484" s="100">
        <f t="shared" si="533"/>
        <v>0</v>
      </c>
      <c r="AD484" s="100">
        <f t="shared" si="534"/>
        <v>0</v>
      </c>
      <c r="AE484" s="100">
        <f t="shared" si="535"/>
        <v>0</v>
      </c>
      <c r="AF484" s="100">
        <f t="shared" si="536"/>
        <v>0</v>
      </c>
      <c r="AG484" s="100">
        <f t="shared" si="537"/>
        <v>0</v>
      </c>
      <c r="AH484" s="100">
        <f t="shared" si="538"/>
        <v>0</v>
      </c>
      <c r="AI484" s="109"/>
      <c r="AJ484" s="108">
        <f t="shared" si="539"/>
        <v>0</v>
      </c>
      <c r="AK484" s="108">
        <f t="shared" si="540"/>
        <v>0</v>
      </c>
      <c r="AL484" s="108">
        <f t="shared" si="541"/>
        <v>0</v>
      </c>
      <c r="AN484" s="100">
        <v>15</v>
      </c>
      <c r="AO484" s="100">
        <f t="shared" si="550"/>
        <v>0</v>
      </c>
      <c r="AP484" s="100">
        <f t="shared" si="551"/>
        <v>0</v>
      </c>
      <c r="AQ484" s="111" t="s">
        <v>13</v>
      </c>
      <c r="AV484" s="100">
        <f t="shared" si="542"/>
        <v>0</v>
      </c>
      <c r="AW484" s="100">
        <f t="shared" si="543"/>
        <v>0</v>
      </c>
      <c r="AX484" s="100">
        <f t="shared" si="544"/>
        <v>0</v>
      </c>
      <c r="AY484" s="110" t="s">
        <v>1717</v>
      </c>
      <c r="AZ484" s="110" t="s">
        <v>1734</v>
      </c>
      <c r="BA484" s="109" t="s">
        <v>1737</v>
      </c>
      <c r="BC484" s="100">
        <f t="shared" si="545"/>
        <v>0</v>
      </c>
      <c r="BD484" s="100">
        <f t="shared" si="546"/>
        <v>0</v>
      </c>
      <c r="BE484" s="100">
        <v>0</v>
      </c>
      <c r="BF484" s="100">
        <f>484</f>
        <v>484</v>
      </c>
      <c r="BH484" s="108">
        <f t="shared" si="547"/>
        <v>0</v>
      </c>
      <c r="BI484" s="108">
        <f t="shared" si="548"/>
        <v>0</v>
      </c>
      <c r="BJ484" s="108">
        <f t="shared" si="549"/>
        <v>0</v>
      </c>
    </row>
    <row r="485" spans="1:62" x14ac:dyDescent="0.2">
      <c r="A485" s="117" t="s">
        <v>439</v>
      </c>
      <c r="B485" s="117" t="s">
        <v>3962</v>
      </c>
      <c r="C485" s="304" t="s">
        <v>3961</v>
      </c>
      <c r="D485" s="305"/>
      <c r="E485" s="305"/>
      <c r="F485" s="117" t="s">
        <v>1644</v>
      </c>
      <c r="G485" s="116">
        <v>2</v>
      </c>
      <c r="H485" s="159"/>
      <c r="I485" s="108">
        <f t="shared" si="528"/>
        <v>0</v>
      </c>
      <c r="J485" s="108">
        <f t="shared" si="529"/>
        <v>0</v>
      </c>
      <c r="K485" s="108">
        <f t="shared" si="530"/>
        <v>0</v>
      </c>
      <c r="L485" s="111" t="s">
        <v>1671</v>
      </c>
      <c r="Z485" s="100">
        <f t="shared" si="531"/>
        <v>0</v>
      </c>
      <c r="AB485" s="100">
        <f t="shared" si="532"/>
        <v>0</v>
      </c>
      <c r="AC485" s="100">
        <f t="shared" si="533"/>
        <v>0</v>
      </c>
      <c r="AD485" s="100">
        <f t="shared" si="534"/>
        <v>0</v>
      </c>
      <c r="AE485" s="100">
        <f t="shared" si="535"/>
        <v>0</v>
      </c>
      <c r="AF485" s="100">
        <f t="shared" si="536"/>
        <v>0</v>
      </c>
      <c r="AG485" s="100">
        <f t="shared" si="537"/>
        <v>0</v>
      </c>
      <c r="AH485" s="100">
        <f t="shared" si="538"/>
        <v>0</v>
      </c>
      <c r="AI485" s="109"/>
      <c r="AJ485" s="108">
        <f t="shared" si="539"/>
        <v>0</v>
      </c>
      <c r="AK485" s="108">
        <f t="shared" si="540"/>
        <v>0</v>
      </c>
      <c r="AL485" s="108">
        <f t="shared" si="541"/>
        <v>0</v>
      </c>
      <c r="AN485" s="100">
        <v>15</v>
      </c>
      <c r="AO485" s="100">
        <f t="shared" si="550"/>
        <v>0</v>
      </c>
      <c r="AP485" s="100">
        <f t="shared" si="551"/>
        <v>0</v>
      </c>
      <c r="AQ485" s="111" t="s">
        <v>13</v>
      </c>
      <c r="AV485" s="100">
        <f t="shared" si="542"/>
        <v>0</v>
      </c>
      <c r="AW485" s="100">
        <f t="shared" si="543"/>
        <v>0</v>
      </c>
      <c r="AX485" s="100">
        <f t="shared" si="544"/>
        <v>0</v>
      </c>
      <c r="AY485" s="110" t="s">
        <v>1717</v>
      </c>
      <c r="AZ485" s="110" t="s">
        <v>1734</v>
      </c>
      <c r="BA485" s="109" t="s">
        <v>1737</v>
      </c>
      <c r="BC485" s="100">
        <f t="shared" si="545"/>
        <v>0</v>
      </c>
      <c r="BD485" s="100">
        <f t="shared" si="546"/>
        <v>0</v>
      </c>
      <c r="BE485" s="100">
        <v>0</v>
      </c>
      <c r="BF485" s="100">
        <f>485</f>
        <v>485</v>
      </c>
      <c r="BH485" s="108">
        <f t="shared" si="547"/>
        <v>0</v>
      </c>
      <c r="BI485" s="108">
        <f t="shared" si="548"/>
        <v>0</v>
      </c>
      <c r="BJ485" s="108">
        <f t="shared" si="549"/>
        <v>0</v>
      </c>
    </row>
    <row r="486" spans="1:62" x14ac:dyDescent="0.2">
      <c r="A486" s="117" t="s">
        <v>440</v>
      </c>
      <c r="B486" s="117" t="s">
        <v>3960</v>
      </c>
      <c r="C486" s="304" t="s">
        <v>3959</v>
      </c>
      <c r="D486" s="305"/>
      <c r="E486" s="305"/>
      <c r="F486" s="117" t="s">
        <v>1644</v>
      </c>
      <c r="G486" s="116">
        <v>2</v>
      </c>
      <c r="H486" s="159"/>
      <c r="I486" s="108">
        <f t="shared" si="528"/>
        <v>0</v>
      </c>
      <c r="J486" s="108">
        <f t="shared" si="529"/>
        <v>0</v>
      </c>
      <c r="K486" s="108">
        <f t="shared" si="530"/>
        <v>0</v>
      </c>
      <c r="L486" s="111" t="s">
        <v>1671</v>
      </c>
      <c r="Z486" s="100">
        <f t="shared" si="531"/>
        <v>0</v>
      </c>
      <c r="AB486" s="100">
        <f t="shared" si="532"/>
        <v>0</v>
      </c>
      <c r="AC486" s="100">
        <f t="shared" si="533"/>
        <v>0</v>
      </c>
      <c r="AD486" s="100">
        <f t="shared" si="534"/>
        <v>0</v>
      </c>
      <c r="AE486" s="100">
        <f t="shared" si="535"/>
        <v>0</v>
      </c>
      <c r="AF486" s="100">
        <f t="shared" si="536"/>
        <v>0</v>
      </c>
      <c r="AG486" s="100">
        <f t="shared" si="537"/>
        <v>0</v>
      </c>
      <c r="AH486" s="100">
        <f t="shared" si="538"/>
        <v>0</v>
      </c>
      <c r="AI486" s="109"/>
      <c r="AJ486" s="108">
        <f t="shared" si="539"/>
        <v>0</v>
      </c>
      <c r="AK486" s="108">
        <f t="shared" si="540"/>
        <v>0</v>
      </c>
      <c r="AL486" s="108">
        <f t="shared" si="541"/>
        <v>0</v>
      </c>
      <c r="AN486" s="100">
        <v>15</v>
      </c>
      <c r="AO486" s="100">
        <f t="shared" si="550"/>
        <v>0</v>
      </c>
      <c r="AP486" s="100">
        <f t="shared" si="551"/>
        <v>0</v>
      </c>
      <c r="AQ486" s="111" t="s">
        <v>13</v>
      </c>
      <c r="AV486" s="100">
        <f t="shared" si="542"/>
        <v>0</v>
      </c>
      <c r="AW486" s="100">
        <f t="shared" si="543"/>
        <v>0</v>
      </c>
      <c r="AX486" s="100">
        <f t="shared" si="544"/>
        <v>0</v>
      </c>
      <c r="AY486" s="110" t="s">
        <v>1717</v>
      </c>
      <c r="AZ486" s="110" t="s">
        <v>1734</v>
      </c>
      <c r="BA486" s="109" t="s">
        <v>1737</v>
      </c>
      <c r="BC486" s="100">
        <f t="shared" si="545"/>
        <v>0</v>
      </c>
      <c r="BD486" s="100">
        <f t="shared" si="546"/>
        <v>0</v>
      </c>
      <c r="BE486" s="100">
        <v>0</v>
      </c>
      <c r="BF486" s="100">
        <f>486</f>
        <v>486</v>
      </c>
      <c r="BH486" s="108">
        <f t="shared" si="547"/>
        <v>0</v>
      </c>
      <c r="BI486" s="108">
        <f t="shared" si="548"/>
        <v>0</v>
      </c>
      <c r="BJ486" s="108">
        <f t="shared" si="549"/>
        <v>0</v>
      </c>
    </row>
    <row r="487" spans="1:62" x14ac:dyDescent="0.2">
      <c r="A487" s="117" t="s">
        <v>441</v>
      </c>
      <c r="B487" s="117" t="s">
        <v>916</v>
      </c>
      <c r="C487" s="304" t="s">
        <v>2298</v>
      </c>
      <c r="D487" s="305"/>
      <c r="E487" s="305"/>
      <c r="F487" s="117" t="s">
        <v>1644</v>
      </c>
      <c r="G487" s="116">
        <v>1</v>
      </c>
      <c r="H487" s="159"/>
      <c r="I487" s="108">
        <f t="shared" si="528"/>
        <v>0</v>
      </c>
      <c r="J487" s="108">
        <f t="shared" si="529"/>
        <v>0</v>
      </c>
      <c r="K487" s="108">
        <f t="shared" si="530"/>
        <v>0</v>
      </c>
      <c r="L487" s="111" t="s">
        <v>1671</v>
      </c>
      <c r="Z487" s="100">
        <f t="shared" si="531"/>
        <v>0</v>
      </c>
      <c r="AB487" s="100">
        <f t="shared" si="532"/>
        <v>0</v>
      </c>
      <c r="AC487" s="100">
        <f t="shared" si="533"/>
        <v>0</v>
      </c>
      <c r="AD487" s="100">
        <f t="shared" si="534"/>
        <v>0</v>
      </c>
      <c r="AE487" s="100">
        <f t="shared" si="535"/>
        <v>0</v>
      </c>
      <c r="AF487" s="100">
        <f t="shared" si="536"/>
        <v>0</v>
      </c>
      <c r="AG487" s="100">
        <f t="shared" si="537"/>
        <v>0</v>
      </c>
      <c r="AH487" s="100">
        <f t="shared" si="538"/>
        <v>0</v>
      </c>
      <c r="AI487" s="109"/>
      <c r="AJ487" s="108">
        <f t="shared" si="539"/>
        <v>0</v>
      </c>
      <c r="AK487" s="108">
        <f t="shared" si="540"/>
        <v>0</v>
      </c>
      <c r="AL487" s="108">
        <f t="shared" si="541"/>
        <v>0</v>
      </c>
      <c r="AN487" s="100">
        <v>15</v>
      </c>
      <c r="AO487" s="100">
        <f>H487*0.0282374100719424</f>
        <v>0</v>
      </c>
      <c r="AP487" s="100">
        <f>H487*(1-0.0282374100719424)</f>
        <v>0</v>
      </c>
      <c r="AQ487" s="111" t="s">
        <v>13</v>
      </c>
      <c r="AV487" s="100">
        <f t="shared" si="542"/>
        <v>0</v>
      </c>
      <c r="AW487" s="100">
        <f t="shared" si="543"/>
        <v>0</v>
      </c>
      <c r="AX487" s="100">
        <f t="shared" si="544"/>
        <v>0</v>
      </c>
      <c r="AY487" s="110" t="s">
        <v>1717</v>
      </c>
      <c r="AZ487" s="110" t="s">
        <v>1734</v>
      </c>
      <c r="BA487" s="109" t="s">
        <v>1737</v>
      </c>
      <c r="BC487" s="100">
        <f t="shared" si="545"/>
        <v>0</v>
      </c>
      <c r="BD487" s="100">
        <f t="shared" si="546"/>
        <v>0</v>
      </c>
      <c r="BE487" s="100">
        <v>0</v>
      </c>
      <c r="BF487" s="100">
        <f>487</f>
        <v>487</v>
      </c>
      <c r="BH487" s="108">
        <f t="shared" si="547"/>
        <v>0</v>
      </c>
      <c r="BI487" s="108">
        <f t="shared" si="548"/>
        <v>0</v>
      </c>
      <c r="BJ487" s="108">
        <f t="shared" si="549"/>
        <v>0</v>
      </c>
    </row>
    <row r="488" spans="1:62" x14ac:dyDescent="0.2">
      <c r="A488" s="117" t="s">
        <v>442</v>
      </c>
      <c r="B488" s="117" t="s">
        <v>918</v>
      </c>
      <c r="C488" s="304" t="s">
        <v>1986</v>
      </c>
      <c r="D488" s="305"/>
      <c r="E488" s="305"/>
      <c r="F488" s="117" t="s">
        <v>1644</v>
      </c>
      <c r="G488" s="116">
        <v>1</v>
      </c>
      <c r="H488" s="159"/>
      <c r="I488" s="108">
        <f t="shared" si="528"/>
        <v>0</v>
      </c>
      <c r="J488" s="108">
        <f t="shared" si="529"/>
        <v>0</v>
      </c>
      <c r="K488" s="108">
        <f t="shared" si="530"/>
        <v>0</v>
      </c>
      <c r="L488" s="111" t="s">
        <v>1671</v>
      </c>
      <c r="Z488" s="100">
        <f t="shared" si="531"/>
        <v>0</v>
      </c>
      <c r="AB488" s="100">
        <f t="shared" si="532"/>
        <v>0</v>
      </c>
      <c r="AC488" s="100">
        <f t="shared" si="533"/>
        <v>0</v>
      </c>
      <c r="AD488" s="100">
        <f t="shared" si="534"/>
        <v>0</v>
      </c>
      <c r="AE488" s="100">
        <f t="shared" si="535"/>
        <v>0</v>
      </c>
      <c r="AF488" s="100">
        <f t="shared" si="536"/>
        <v>0</v>
      </c>
      <c r="AG488" s="100">
        <f t="shared" si="537"/>
        <v>0</v>
      </c>
      <c r="AH488" s="100">
        <f t="shared" si="538"/>
        <v>0</v>
      </c>
      <c r="AI488" s="109"/>
      <c r="AJ488" s="108">
        <f t="shared" si="539"/>
        <v>0</v>
      </c>
      <c r="AK488" s="108">
        <f t="shared" si="540"/>
        <v>0</v>
      </c>
      <c r="AL488" s="108">
        <f t="shared" si="541"/>
        <v>0</v>
      </c>
      <c r="AN488" s="100">
        <v>15</v>
      </c>
      <c r="AO488" s="100">
        <f>H488*0.719816666666667</f>
        <v>0</v>
      </c>
      <c r="AP488" s="100">
        <f>H488*(1-0.719816666666667)</f>
        <v>0</v>
      </c>
      <c r="AQ488" s="111" t="s">
        <v>13</v>
      </c>
      <c r="AV488" s="100">
        <f t="shared" si="542"/>
        <v>0</v>
      </c>
      <c r="AW488" s="100">
        <f t="shared" si="543"/>
        <v>0</v>
      </c>
      <c r="AX488" s="100">
        <f t="shared" si="544"/>
        <v>0</v>
      </c>
      <c r="AY488" s="110" t="s">
        <v>1717</v>
      </c>
      <c r="AZ488" s="110" t="s">
        <v>1734</v>
      </c>
      <c r="BA488" s="109" t="s">
        <v>1737</v>
      </c>
      <c r="BC488" s="100">
        <f t="shared" si="545"/>
        <v>0</v>
      </c>
      <c r="BD488" s="100">
        <f t="shared" si="546"/>
        <v>0</v>
      </c>
      <c r="BE488" s="100">
        <v>0</v>
      </c>
      <c r="BF488" s="100">
        <f>488</f>
        <v>488</v>
      </c>
      <c r="BH488" s="108">
        <f t="shared" si="547"/>
        <v>0</v>
      </c>
      <c r="BI488" s="108">
        <f t="shared" si="548"/>
        <v>0</v>
      </c>
      <c r="BJ488" s="108">
        <f t="shared" si="549"/>
        <v>0</v>
      </c>
    </row>
    <row r="489" spans="1:62" x14ac:dyDescent="0.2">
      <c r="A489" s="117" t="s">
        <v>443</v>
      </c>
      <c r="B489" s="117" t="s">
        <v>919</v>
      </c>
      <c r="C489" s="304" t="s">
        <v>1508</v>
      </c>
      <c r="D489" s="305"/>
      <c r="E489" s="305"/>
      <c r="F489" s="117" t="s">
        <v>1644</v>
      </c>
      <c r="G489" s="116">
        <v>2</v>
      </c>
      <c r="H489" s="159"/>
      <c r="I489" s="108">
        <f t="shared" si="528"/>
        <v>0</v>
      </c>
      <c r="J489" s="108">
        <f t="shared" si="529"/>
        <v>0</v>
      </c>
      <c r="K489" s="108">
        <f t="shared" si="530"/>
        <v>0</v>
      </c>
      <c r="L489" s="111" t="s">
        <v>1671</v>
      </c>
      <c r="Z489" s="100">
        <f t="shared" si="531"/>
        <v>0</v>
      </c>
      <c r="AB489" s="100">
        <f t="shared" si="532"/>
        <v>0</v>
      </c>
      <c r="AC489" s="100">
        <f t="shared" si="533"/>
        <v>0</v>
      </c>
      <c r="AD489" s="100">
        <f t="shared" si="534"/>
        <v>0</v>
      </c>
      <c r="AE489" s="100">
        <f t="shared" si="535"/>
        <v>0</v>
      </c>
      <c r="AF489" s="100">
        <f t="shared" si="536"/>
        <v>0</v>
      </c>
      <c r="AG489" s="100">
        <f t="shared" si="537"/>
        <v>0</v>
      </c>
      <c r="AH489" s="100">
        <f t="shared" si="538"/>
        <v>0</v>
      </c>
      <c r="AI489" s="109"/>
      <c r="AJ489" s="108">
        <f t="shared" si="539"/>
        <v>0</v>
      </c>
      <c r="AK489" s="108">
        <f t="shared" si="540"/>
        <v>0</v>
      </c>
      <c r="AL489" s="108">
        <f t="shared" si="541"/>
        <v>0</v>
      </c>
      <c r="AN489" s="100">
        <v>15</v>
      </c>
      <c r="AO489" s="100">
        <f>H489*0.71976</f>
        <v>0</v>
      </c>
      <c r="AP489" s="100">
        <f>H489*(1-0.71976)</f>
        <v>0</v>
      </c>
      <c r="AQ489" s="111" t="s">
        <v>13</v>
      </c>
      <c r="AV489" s="100">
        <f t="shared" si="542"/>
        <v>0</v>
      </c>
      <c r="AW489" s="100">
        <f t="shared" si="543"/>
        <v>0</v>
      </c>
      <c r="AX489" s="100">
        <f t="shared" si="544"/>
        <v>0</v>
      </c>
      <c r="AY489" s="110" t="s">
        <v>1717</v>
      </c>
      <c r="AZ489" s="110" t="s">
        <v>1734</v>
      </c>
      <c r="BA489" s="109" t="s">
        <v>1737</v>
      </c>
      <c r="BC489" s="100">
        <f t="shared" si="545"/>
        <v>0</v>
      </c>
      <c r="BD489" s="100">
        <f t="shared" si="546"/>
        <v>0</v>
      </c>
      <c r="BE489" s="100">
        <v>0</v>
      </c>
      <c r="BF489" s="100">
        <f>489</f>
        <v>489</v>
      </c>
      <c r="BH489" s="108">
        <f t="shared" si="547"/>
        <v>0</v>
      </c>
      <c r="BI489" s="108">
        <f t="shared" si="548"/>
        <v>0</v>
      </c>
      <c r="BJ489" s="108">
        <f t="shared" si="549"/>
        <v>0</v>
      </c>
    </row>
    <row r="490" spans="1:62" x14ac:dyDescent="0.2">
      <c r="A490" s="117" t="s">
        <v>444</v>
      </c>
      <c r="B490" s="117" t="s">
        <v>917</v>
      </c>
      <c r="C490" s="304" t="s">
        <v>1506</v>
      </c>
      <c r="D490" s="305"/>
      <c r="E490" s="305"/>
      <c r="F490" s="117" t="s">
        <v>1644</v>
      </c>
      <c r="G490" s="116">
        <v>1</v>
      </c>
      <c r="H490" s="159"/>
      <c r="I490" s="108">
        <f t="shared" si="528"/>
        <v>0</v>
      </c>
      <c r="J490" s="108">
        <f t="shared" si="529"/>
        <v>0</v>
      </c>
      <c r="K490" s="108">
        <f t="shared" si="530"/>
        <v>0</v>
      </c>
      <c r="L490" s="111" t="s">
        <v>1671</v>
      </c>
      <c r="Z490" s="100">
        <f t="shared" si="531"/>
        <v>0</v>
      </c>
      <c r="AB490" s="100">
        <f t="shared" si="532"/>
        <v>0</v>
      </c>
      <c r="AC490" s="100">
        <f t="shared" si="533"/>
        <v>0</v>
      </c>
      <c r="AD490" s="100">
        <f t="shared" si="534"/>
        <v>0</v>
      </c>
      <c r="AE490" s="100">
        <f t="shared" si="535"/>
        <v>0</v>
      </c>
      <c r="AF490" s="100">
        <f t="shared" si="536"/>
        <v>0</v>
      </c>
      <c r="AG490" s="100">
        <f t="shared" si="537"/>
        <v>0</v>
      </c>
      <c r="AH490" s="100">
        <f t="shared" si="538"/>
        <v>0</v>
      </c>
      <c r="AI490" s="109"/>
      <c r="AJ490" s="108">
        <f t="shared" si="539"/>
        <v>0</v>
      </c>
      <c r="AK490" s="108">
        <f t="shared" si="540"/>
        <v>0</v>
      </c>
      <c r="AL490" s="108">
        <f t="shared" si="541"/>
        <v>0</v>
      </c>
      <c r="AN490" s="100">
        <v>15</v>
      </c>
      <c r="AO490" s="100">
        <f>H490*0.781246328125</f>
        <v>0</v>
      </c>
      <c r="AP490" s="100">
        <f>H490*(1-0.781246328125)</f>
        <v>0</v>
      </c>
      <c r="AQ490" s="111" t="s">
        <v>13</v>
      </c>
      <c r="AV490" s="100">
        <f t="shared" si="542"/>
        <v>0</v>
      </c>
      <c r="AW490" s="100">
        <f t="shared" si="543"/>
        <v>0</v>
      </c>
      <c r="AX490" s="100">
        <f t="shared" si="544"/>
        <v>0</v>
      </c>
      <c r="AY490" s="110" t="s">
        <v>1717</v>
      </c>
      <c r="AZ490" s="110" t="s">
        <v>1734</v>
      </c>
      <c r="BA490" s="109" t="s">
        <v>1737</v>
      </c>
      <c r="BC490" s="100">
        <f t="shared" si="545"/>
        <v>0</v>
      </c>
      <c r="BD490" s="100">
        <f t="shared" si="546"/>
        <v>0</v>
      </c>
      <c r="BE490" s="100">
        <v>0</v>
      </c>
      <c r="BF490" s="100">
        <f>490</f>
        <v>490</v>
      </c>
      <c r="BH490" s="108">
        <f t="shared" si="547"/>
        <v>0</v>
      </c>
      <c r="BI490" s="108">
        <f t="shared" si="548"/>
        <v>0</v>
      </c>
      <c r="BJ490" s="108">
        <f t="shared" si="549"/>
        <v>0</v>
      </c>
    </row>
    <row r="491" spans="1:62" x14ac:dyDescent="0.2">
      <c r="A491" s="117" t="s">
        <v>445</v>
      </c>
      <c r="B491" s="117" t="s">
        <v>920</v>
      </c>
      <c r="C491" s="304" t="s">
        <v>1509</v>
      </c>
      <c r="D491" s="305"/>
      <c r="E491" s="305"/>
      <c r="F491" s="117" t="s">
        <v>1644</v>
      </c>
      <c r="G491" s="116">
        <v>1</v>
      </c>
      <c r="H491" s="159"/>
      <c r="I491" s="108">
        <f t="shared" si="528"/>
        <v>0</v>
      </c>
      <c r="J491" s="108">
        <f t="shared" si="529"/>
        <v>0</v>
      </c>
      <c r="K491" s="108">
        <f t="shared" si="530"/>
        <v>0</v>
      </c>
      <c r="L491" s="111" t="s">
        <v>1671</v>
      </c>
      <c r="Z491" s="100">
        <f t="shared" si="531"/>
        <v>0</v>
      </c>
      <c r="AB491" s="100">
        <f t="shared" si="532"/>
        <v>0</v>
      </c>
      <c r="AC491" s="100">
        <f t="shared" si="533"/>
        <v>0</v>
      </c>
      <c r="AD491" s="100">
        <f t="shared" si="534"/>
        <v>0</v>
      </c>
      <c r="AE491" s="100">
        <f t="shared" si="535"/>
        <v>0</v>
      </c>
      <c r="AF491" s="100">
        <f t="shared" si="536"/>
        <v>0</v>
      </c>
      <c r="AG491" s="100">
        <f t="shared" si="537"/>
        <v>0</v>
      </c>
      <c r="AH491" s="100">
        <f t="shared" si="538"/>
        <v>0</v>
      </c>
      <c r="AI491" s="109"/>
      <c r="AJ491" s="108">
        <f t="shared" si="539"/>
        <v>0</v>
      </c>
      <c r="AK491" s="108">
        <f t="shared" si="540"/>
        <v>0</v>
      </c>
      <c r="AL491" s="108">
        <f t="shared" si="541"/>
        <v>0</v>
      </c>
      <c r="AN491" s="100">
        <v>15</v>
      </c>
      <c r="AO491" s="100">
        <f>H491*0</f>
        <v>0</v>
      </c>
      <c r="AP491" s="100">
        <f>H491*(1-0)</f>
        <v>0</v>
      </c>
      <c r="AQ491" s="111" t="s">
        <v>13</v>
      </c>
      <c r="AV491" s="100">
        <f t="shared" si="542"/>
        <v>0</v>
      </c>
      <c r="AW491" s="100">
        <f t="shared" si="543"/>
        <v>0</v>
      </c>
      <c r="AX491" s="100">
        <f t="shared" si="544"/>
        <v>0</v>
      </c>
      <c r="AY491" s="110" t="s">
        <v>1717</v>
      </c>
      <c r="AZ491" s="110" t="s">
        <v>1734</v>
      </c>
      <c r="BA491" s="109" t="s">
        <v>1737</v>
      </c>
      <c r="BC491" s="100">
        <f t="shared" si="545"/>
        <v>0</v>
      </c>
      <c r="BD491" s="100">
        <f t="shared" si="546"/>
        <v>0</v>
      </c>
      <c r="BE491" s="100">
        <v>0</v>
      </c>
      <c r="BF491" s="100">
        <f>491</f>
        <v>491</v>
      </c>
      <c r="BH491" s="108">
        <f t="shared" si="547"/>
        <v>0</v>
      </c>
      <c r="BI491" s="108">
        <f t="shared" si="548"/>
        <v>0</v>
      </c>
      <c r="BJ491" s="108">
        <f t="shared" si="549"/>
        <v>0</v>
      </c>
    </row>
    <row r="492" spans="1:62" x14ac:dyDescent="0.2">
      <c r="A492" s="117" t="s">
        <v>446</v>
      </c>
      <c r="B492" s="117" t="s">
        <v>2677</v>
      </c>
      <c r="C492" s="304" t="s">
        <v>3958</v>
      </c>
      <c r="D492" s="305"/>
      <c r="E492" s="305"/>
      <c r="F492" s="117" t="s">
        <v>1644</v>
      </c>
      <c r="G492" s="116">
        <v>1</v>
      </c>
      <c r="H492" s="159"/>
      <c r="I492" s="108">
        <f t="shared" si="528"/>
        <v>0</v>
      </c>
      <c r="J492" s="108">
        <f t="shared" si="529"/>
        <v>0</v>
      </c>
      <c r="K492" s="108">
        <f t="shared" si="530"/>
        <v>0</v>
      </c>
      <c r="L492" s="111" t="s">
        <v>1671</v>
      </c>
      <c r="Z492" s="100">
        <f t="shared" si="531"/>
        <v>0</v>
      </c>
      <c r="AB492" s="100">
        <f t="shared" si="532"/>
        <v>0</v>
      </c>
      <c r="AC492" s="100">
        <f t="shared" si="533"/>
        <v>0</v>
      </c>
      <c r="AD492" s="100">
        <f t="shared" si="534"/>
        <v>0</v>
      </c>
      <c r="AE492" s="100">
        <f t="shared" si="535"/>
        <v>0</v>
      </c>
      <c r="AF492" s="100">
        <f t="shared" si="536"/>
        <v>0</v>
      </c>
      <c r="AG492" s="100">
        <f t="shared" si="537"/>
        <v>0</v>
      </c>
      <c r="AH492" s="100">
        <f t="shared" si="538"/>
        <v>0</v>
      </c>
      <c r="AI492" s="109"/>
      <c r="AJ492" s="108">
        <f t="shared" si="539"/>
        <v>0</v>
      </c>
      <c r="AK492" s="108">
        <f t="shared" si="540"/>
        <v>0</v>
      </c>
      <c r="AL492" s="108">
        <f t="shared" si="541"/>
        <v>0</v>
      </c>
      <c r="AN492" s="100">
        <v>15</v>
      </c>
      <c r="AO492" s="100">
        <f>H492*0.0669529411764706</f>
        <v>0</v>
      </c>
      <c r="AP492" s="100">
        <f>H492*(1-0.0669529411764706)</f>
        <v>0</v>
      </c>
      <c r="AQ492" s="111" t="s">
        <v>13</v>
      </c>
      <c r="AV492" s="100">
        <f t="shared" si="542"/>
        <v>0</v>
      </c>
      <c r="AW492" s="100">
        <f t="shared" si="543"/>
        <v>0</v>
      </c>
      <c r="AX492" s="100">
        <f t="shared" si="544"/>
        <v>0</v>
      </c>
      <c r="AY492" s="110" t="s">
        <v>1717</v>
      </c>
      <c r="AZ492" s="110" t="s">
        <v>1734</v>
      </c>
      <c r="BA492" s="109" t="s">
        <v>1737</v>
      </c>
      <c r="BC492" s="100">
        <f t="shared" si="545"/>
        <v>0</v>
      </c>
      <c r="BD492" s="100">
        <f t="shared" si="546"/>
        <v>0</v>
      </c>
      <c r="BE492" s="100">
        <v>0</v>
      </c>
      <c r="BF492" s="100">
        <f>492</f>
        <v>492</v>
      </c>
      <c r="BH492" s="108">
        <f t="shared" si="547"/>
        <v>0</v>
      </c>
      <c r="BI492" s="108">
        <f t="shared" si="548"/>
        <v>0</v>
      </c>
      <c r="BJ492" s="108">
        <f t="shared" si="549"/>
        <v>0</v>
      </c>
    </row>
    <row r="493" spans="1:62" x14ac:dyDescent="0.2">
      <c r="A493" s="117" t="s">
        <v>447</v>
      </c>
      <c r="B493" s="117" t="s">
        <v>921</v>
      </c>
      <c r="C493" s="304" t="s">
        <v>1510</v>
      </c>
      <c r="D493" s="305"/>
      <c r="E493" s="305"/>
      <c r="F493" s="117" t="s">
        <v>1648</v>
      </c>
      <c r="G493" s="116">
        <v>0.94099999999999995</v>
      </c>
      <c r="H493" s="159"/>
      <c r="I493" s="108">
        <f t="shared" si="528"/>
        <v>0</v>
      </c>
      <c r="J493" s="108">
        <f t="shared" si="529"/>
        <v>0</v>
      </c>
      <c r="K493" s="108">
        <f t="shared" si="530"/>
        <v>0</v>
      </c>
      <c r="L493" s="111" t="s">
        <v>1671</v>
      </c>
      <c r="Z493" s="100">
        <f t="shared" si="531"/>
        <v>0</v>
      </c>
      <c r="AB493" s="100">
        <f t="shared" si="532"/>
        <v>0</v>
      </c>
      <c r="AC493" s="100">
        <f t="shared" si="533"/>
        <v>0</v>
      </c>
      <c r="AD493" s="100">
        <f t="shared" si="534"/>
        <v>0</v>
      </c>
      <c r="AE493" s="100">
        <f t="shared" si="535"/>
        <v>0</v>
      </c>
      <c r="AF493" s="100">
        <f t="shared" si="536"/>
        <v>0</v>
      </c>
      <c r="AG493" s="100">
        <f t="shared" si="537"/>
        <v>0</v>
      </c>
      <c r="AH493" s="100">
        <f t="shared" si="538"/>
        <v>0</v>
      </c>
      <c r="AI493" s="109"/>
      <c r="AJ493" s="108">
        <f t="shared" si="539"/>
        <v>0</v>
      </c>
      <c r="AK493" s="108">
        <f t="shared" si="540"/>
        <v>0</v>
      </c>
      <c r="AL493" s="108">
        <f t="shared" si="541"/>
        <v>0</v>
      </c>
      <c r="AN493" s="100">
        <v>15</v>
      </c>
      <c r="AO493" s="100">
        <f>H493*0</f>
        <v>0</v>
      </c>
      <c r="AP493" s="100">
        <f>H493*(1-0)</f>
        <v>0</v>
      </c>
      <c r="AQ493" s="111" t="s">
        <v>11</v>
      </c>
      <c r="AV493" s="100">
        <f t="shared" si="542"/>
        <v>0</v>
      </c>
      <c r="AW493" s="100">
        <f t="shared" si="543"/>
        <v>0</v>
      </c>
      <c r="AX493" s="100">
        <f t="shared" si="544"/>
        <v>0</v>
      </c>
      <c r="AY493" s="110" t="s">
        <v>1717</v>
      </c>
      <c r="AZ493" s="110" t="s">
        <v>1734</v>
      </c>
      <c r="BA493" s="109" t="s">
        <v>1737</v>
      </c>
      <c r="BC493" s="100">
        <f t="shared" si="545"/>
        <v>0</v>
      </c>
      <c r="BD493" s="100">
        <f t="shared" si="546"/>
        <v>0</v>
      </c>
      <c r="BE493" s="100">
        <v>0</v>
      </c>
      <c r="BF493" s="100">
        <f>493</f>
        <v>493</v>
      </c>
      <c r="BH493" s="108">
        <f t="shared" si="547"/>
        <v>0</v>
      </c>
      <c r="BI493" s="108">
        <f t="shared" si="548"/>
        <v>0</v>
      </c>
      <c r="BJ493" s="108">
        <f t="shared" si="549"/>
        <v>0</v>
      </c>
    </row>
    <row r="494" spans="1:62" x14ac:dyDescent="0.2">
      <c r="A494" s="119"/>
      <c r="B494" s="120" t="s">
        <v>922</v>
      </c>
      <c r="C494" s="306" t="s">
        <v>1511</v>
      </c>
      <c r="D494" s="307"/>
      <c r="E494" s="307"/>
      <c r="F494" s="119" t="s">
        <v>6</v>
      </c>
      <c r="G494" s="119" t="s">
        <v>6</v>
      </c>
      <c r="H494" s="119" t="s">
        <v>6</v>
      </c>
      <c r="I494" s="118">
        <f>SUM(I495:I501)</f>
        <v>0</v>
      </c>
      <c r="J494" s="118">
        <f>SUM(J495:J501)</f>
        <v>0</v>
      </c>
      <c r="K494" s="118">
        <f>SUM(K495:K501)</f>
        <v>0</v>
      </c>
      <c r="L494" s="109"/>
      <c r="AI494" s="109"/>
      <c r="AS494" s="118">
        <f>SUM(AJ495:AJ501)</f>
        <v>0</v>
      </c>
      <c r="AT494" s="118">
        <f>SUM(AK495:AK501)</f>
        <v>0</v>
      </c>
      <c r="AU494" s="118">
        <f>SUM(AL495:AL501)</f>
        <v>0</v>
      </c>
    </row>
    <row r="495" spans="1:62" x14ac:dyDescent="0.2">
      <c r="A495" s="117" t="s">
        <v>448</v>
      </c>
      <c r="B495" s="117" t="s">
        <v>923</v>
      </c>
      <c r="C495" s="304" t="s">
        <v>1512</v>
      </c>
      <c r="D495" s="305"/>
      <c r="E495" s="305"/>
      <c r="F495" s="117" t="s">
        <v>1645</v>
      </c>
      <c r="G495" s="116">
        <v>23.536000000000001</v>
      </c>
      <c r="H495" s="159"/>
      <c r="I495" s="108">
        <f t="shared" ref="I495:I501" si="552">G495*AO495</f>
        <v>0</v>
      </c>
      <c r="J495" s="108">
        <f t="shared" ref="J495:J501" si="553">G495*AP495</f>
        <v>0</v>
      </c>
      <c r="K495" s="108">
        <f t="shared" ref="K495:K501" si="554">G495*H495</f>
        <v>0</v>
      </c>
      <c r="L495" s="111" t="s">
        <v>1671</v>
      </c>
      <c r="Z495" s="100">
        <f t="shared" ref="Z495:Z501" si="555">IF(AQ495="5",BJ495,0)</f>
        <v>0</v>
      </c>
      <c r="AB495" s="100">
        <f t="shared" ref="AB495:AB501" si="556">IF(AQ495="1",BH495,0)</f>
        <v>0</v>
      </c>
      <c r="AC495" s="100">
        <f t="shared" ref="AC495:AC501" si="557">IF(AQ495="1",BI495,0)</f>
        <v>0</v>
      </c>
      <c r="AD495" s="100">
        <f t="shared" ref="AD495:AD501" si="558">IF(AQ495="7",BH495,0)</f>
        <v>0</v>
      </c>
      <c r="AE495" s="100">
        <f t="shared" ref="AE495:AE501" si="559">IF(AQ495="7",BI495,0)</f>
        <v>0</v>
      </c>
      <c r="AF495" s="100">
        <f t="shared" ref="AF495:AF501" si="560">IF(AQ495="2",BH495,0)</f>
        <v>0</v>
      </c>
      <c r="AG495" s="100">
        <f t="shared" ref="AG495:AG501" si="561">IF(AQ495="2",BI495,0)</f>
        <v>0</v>
      </c>
      <c r="AH495" s="100">
        <f t="shared" ref="AH495:AH501" si="562">IF(AQ495="0",BJ495,0)</f>
        <v>0</v>
      </c>
      <c r="AI495" s="109"/>
      <c r="AJ495" s="108">
        <f t="shared" ref="AJ495:AJ501" si="563">IF(AN495=0,K495,0)</f>
        <v>0</v>
      </c>
      <c r="AK495" s="108">
        <f t="shared" ref="AK495:AK501" si="564">IF(AN495=15,K495,0)</f>
        <v>0</v>
      </c>
      <c r="AL495" s="108">
        <f t="shared" ref="AL495:AL501" si="565">IF(AN495=21,K495,0)</f>
        <v>0</v>
      </c>
      <c r="AN495" s="100">
        <v>15</v>
      </c>
      <c r="AO495" s="100">
        <f>H495*0</f>
        <v>0</v>
      </c>
      <c r="AP495" s="100">
        <f>H495*(1-0)</f>
        <v>0</v>
      </c>
      <c r="AQ495" s="111" t="s">
        <v>13</v>
      </c>
      <c r="AV495" s="100">
        <f t="shared" ref="AV495:AV501" si="566">AW495+AX495</f>
        <v>0</v>
      </c>
      <c r="AW495" s="100">
        <f t="shared" ref="AW495:AW501" si="567">G495*AO495</f>
        <v>0</v>
      </c>
      <c r="AX495" s="100">
        <f t="shared" ref="AX495:AX501" si="568">G495*AP495</f>
        <v>0</v>
      </c>
      <c r="AY495" s="110" t="s">
        <v>1718</v>
      </c>
      <c r="AZ495" s="110" t="s">
        <v>1735</v>
      </c>
      <c r="BA495" s="109" t="s">
        <v>1737</v>
      </c>
      <c r="BC495" s="100">
        <f t="shared" ref="BC495:BC501" si="569">AW495+AX495</f>
        <v>0</v>
      </c>
      <c r="BD495" s="100">
        <f t="shared" ref="BD495:BD501" si="570">H495/(100-BE495)*100</f>
        <v>0</v>
      </c>
      <c r="BE495" s="100">
        <v>0</v>
      </c>
      <c r="BF495" s="100">
        <f>495</f>
        <v>495</v>
      </c>
      <c r="BH495" s="108">
        <f t="shared" ref="BH495:BH501" si="571">G495*AO495</f>
        <v>0</v>
      </c>
      <c r="BI495" s="108">
        <f t="shared" ref="BI495:BI501" si="572">G495*AP495</f>
        <v>0</v>
      </c>
      <c r="BJ495" s="108">
        <f t="shared" ref="BJ495:BJ501" si="573">G495*H495</f>
        <v>0</v>
      </c>
    </row>
    <row r="496" spans="1:62" x14ac:dyDescent="0.2">
      <c r="A496" s="117" t="s">
        <v>449</v>
      </c>
      <c r="B496" s="117" t="s">
        <v>924</v>
      </c>
      <c r="C496" s="304" t="s">
        <v>1513</v>
      </c>
      <c r="D496" s="305"/>
      <c r="E496" s="305"/>
      <c r="F496" s="117" t="s">
        <v>1645</v>
      </c>
      <c r="G496" s="116">
        <v>23.536000000000001</v>
      </c>
      <c r="H496" s="159"/>
      <c r="I496" s="108">
        <f t="shared" si="552"/>
        <v>0</v>
      </c>
      <c r="J496" s="108">
        <f t="shared" si="553"/>
        <v>0</v>
      </c>
      <c r="K496" s="108">
        <f t="shared" si="554"/>
        <v>0</v>
      </c>
      <c r="L496" s="111" t="s">
        <v>1671</v>
      </c>
      <c r="Z496" s="100">
        <f t="shared" si="555"/>
        <v>0</v>
      </c>
      <c r="AB496" s="100">
        <f t="shared" si="556"/>
        <v>0</v>
      </c>
      <c r="AC496" s="100">
        <f t="shared" si="557"/>
        <v>0</v>
      </c>
      <c r="AD496" s="100">
        <f t="shared" si="558"/>
        <v>0</v>
      </c>
      <c r="AE496" s="100">
        <f t="shared" si="559"/>
        <v>0</v>
      </c>
      <c r="AF496" s="100">
        <f t="shared" si="560"/>
        <v>0</v>
      </c>
      <c r="AG496" s="100">
        <f t="shared" si="561"/>
        <v>0</v>
      </c>
      <c r="AH496" s="100">
        <f t="shared" si="562"/>
        <v>0</v>
      </c>
      <c r="AI496" s="109"/>
      <c r="AJ496" s="108">
        <f t="shared" si="563"/>
        <v>0</v>
      </c>
      <c r="AK496" s="108">
        <f t="shared" si="564"/>
        <v>0</v>
      </c>
      <c r="AL496" s="108">
        <f t="shared" si="565"/>
        <v>0</v>
      </c>
      <c r="AN496" s="100">
        <v>15</v>
      </c>
      <c r="AO496" s="100">
        <f>H496*0.476938013842002</f>
        <v>0</v>
      </c>
      <c r="AP496" s="100">
        <f>H496*(1-0.476938013842002)</f>
        <v>0</v>
      </c>
      <c r="AQ496" s="111" t="s">
        <v>13</v>
      </c>
      <c r="AV496" s="100">
        <f t="shared" si="566"/>
        <v>0</v>
      </c>
      <c r="AW496" s="100">
        <f t="shared" si="567"/>
        <v>0</v>
      </c>
      <c r="AX496" s="100">
        <f t="shared" si="568"/>
        <v>0</v>
      </c>
      <c r="AY496" s="110" t="s">
        <v>1718</v>
      </c>
      <c r="AZ496" s="110" t="s">
        <v>1735</v>
      </c>
      <c r="BA496" s="109" t="s">
        <v>1737</v>
      </c>
      <c r="BC496" s="100">
        <f t="shared" si="569"/>
        <v>0</v>
      </c>
      <c r="BD496" s="100">
        <f t="shared" si="570"/>
        <v>0</v>
      </c>
      <c r="BE496" s="100">
        <v>0</v>
      </c>
      <c r="BF496" s="100">
        <f>496</f>
        <v>496</v>
      </c>
      <c r="BH496" s="108">
        <f t="shared" si="571"/>
        <v>0</v>
      </c>
      <c r="BI496" s="108">
        <f t="shared" si="572"/>
        <v>0</v>
      </c>
      <c r="BJ496" s="108">
        <f t="shared" si="573"/>
        <v>0</v>
      </c>
    </row>
    <row r="497" spans="1:62" x14ac:dyDescent="0.2">
      <c r="A497" s="117" t="s">
        <v>450</v>
      </c>
      <c r="B497" s="117" t="s">
        <v>925</v>
      </c>
      <c r="C497" s="304" t="s">
        <v>1514</v>
      </c>
      <c r="D497" s="305"/>
      <c r="E497" s="305"/>
      <c r="F497" s="117" t="s">
        <v>1645</v>
      </c>
      <c r="G497" s="116">
        <v>23.536000000000001</v>
      </c>
      <c r="H497" s="159"/>
      <c r="I497" s="108">
        <f t="shared" si="552"/>
        <v>0</v>
      </c>
      <c r="J497" s="108">
        <f t="shared" si="553"/>
        <v>0</v>
      </c>
      <c r="K497" s="108">
        <f t="shared" si="554"/>
        <v>0</v>
      </c>
      <c r="L497" s="111" t="s">
        <v>1671</v>
      </c>
      <c r="Z497" s="100">
        <f t="shared" si="555"/>
        <v>0</v>
      </c>
      <c r="AB497" s="100">
        <f t="shared" si="556"/>
        <v>0</v>
      </c>
      <c r="AC497" s="100">
        <f t="shared" si="557"/>
        <v>0</v>
      </c>
      <c r="AD497" s="100">
        <f t="shared" si="558"/>
        <v>0</v>
      </c>
      <c r="AE497" s="100">
        <f t="shared" si="559"/>
        <v>0</v>
      </c>
      <c r="AF497" s="100">
        <f t="shared" si="560"/>
        <v>0</v>
      </c>
      <c r="AG497" s="100">
        <f t="shared" si="561"/>
        <v>0</v>
      </c>
      <c r="AH497" s="100">
        <f t="shared" si="562"/>
        <v>0</v>
      </c>
      <c r="AI497" s="109"/>
      <c r="AJ497" s="108">
        <f t="shared" si="563"/>
        <v>0</v>
      </c>
      <c r="AK497" s="108">
        <f t="shared" si="564"/>
        <v>0</v>
      </c>
      <c r="AL497" s="108">
        <f t="shared" si="565"/>
        <v>0</v>
      </c>
      <c r="AN497" s="100">
        <v>15</v>
      </c>
      <c r="AO497" s="100">
        <f>H497*0</f>
        <v>0</v>
      </c>
      <c r="AP497" s="100">
        <f>H497*(1-0)</f>
        <v>0</v>
      </c>
      <c r="AQ497" s="111" t="s">
        <v>13</v>
      </c>
      <c r="AV497" s="100">
        <f t="shared" si="566"/>
        <v>0</v>
      </c>
      <c r="AW497" s="100">
        <f t="shared" si="567"/>
        <v>0</v>
      </c>
      <c r="AX497" s="100">
        <f t="shared" si="568"/>
        <v>0</v>
      </c>
      <c r="AY497" s="110" t="s">
        <v>1718</v>
      </c>
      <c r="AZ497" s="110" t="s">
        <v>1735</v>
      </c>
      <c r="BA497" s="109" t="s">
        <v>1737</v>
      </c>
      <c r="BC497" s="100">
        <f t="shared" si="569"/>
        <v>0</v>
      </c>
      <c r="BD497" s="100">
        <f t="shared" si="570"/>
        <v>0</v>
      </c>
      <c r="BE497" s="100">
        <v>0</v>
      </c>
      <c r="BF497" s="100">
        <f>497</f>
        <v>497</v>
      </c>
      <c r="BH497" s="108">
        <f t="shared" si="571"/>
        <v>0</v>
      </c>
      <c r="BI497" s="108">
        <f t="shared" si="572"/>
        <v>0</v>
      </c>
      <c r="BJ497" s="108">
        <f t="shared" si="573"/>
        <v>0</v>
      </c>
    </row>
    <row r="498" spans="1:62" x14ac:dyDescent="0.2">
      <c r="A498" s="124" t="s">
        <v>451</v>
      </c>
      <c r="B498" s="124" t="s">
        <v>926</v>
      </c>
      <c r="C498" s="311" t="s">
        <v>1515</v>
      </c>
      <c r="D498" s="312"/>
      <c r="E498" s="312"/>
      <c r="F498" s="124" t="s">
        <v>1645</v>
      </c>
      <c r="G498" s="123">
        <v>24.713000000000001</v>
      </c>
      <c r="H498" s="160"/>
      <c r="I498" s="121">
        <f t="shared" si="552"/>
        <v>0</v>
      </c>
      <c r="J498" s="121">
        <f t="shared" si="553"/>
        <v>0</v>
      </c>
      <c r="K498" s="121">
        <f t="shared" si="554"/>
        <v>0</v>
      </c>
      <c r="L498" s="122" t="s">
        <v>1671</v>
      </c>
      <c r="Z498" s="100">
        <f t="shared" si="555"/>
        <v>0</v>
      </c>
      <c r="AB498" s="100">
        <f t="shared" si="556"/>
        <v>0</v>
      </c>
      <c r="AC498" s="100">
        <f t="shared" si="557"/>
        <v>0</v>
      </c>
      <c r="AD498" s="100">
        <f t="shared" si="558"/>
        <v>0</v>
      </c>
      <c r="AE498" s="100">
        <f t="shared" si="559"/>
        <v>0</v>
      </c>
      <c r="AF498" s="100">
        <f t="shared" si="560"/>
        <v>0</v>
      </c>
      <c r="AG498" s="100">
        <f t="shared" si="561"/>
        <v>0</v>
      </c>
      <c r="AH498" s="100">
        <f t="shared" si="562"/>
        <v>0</v>
      </c>
      <c r="AI498" s="109"/>
      <c r="AJ498" s="121">
        <f t="shared" si="563"/>
        <v>0</v>
      </c>
      <c r="AK498" s="121">
        <f t="shared" si="564"/>
        <v>0</v>
      </c>
      <c r="AL498" s="121">
        <f t="shared" si="565"/>
        <v>0</v>
      </c>
      <c r="AN498" s="100">
        <v>15</v>
      </c>
      <c r="AO498" s="100">
        <f>H498*1</f>
        <v>0</v>
      </c>
      <c r="AP498" s="100">
        <f>H498*(1-1)</f>
        <v>0</v>
      </c>
      <c r="AQ498" s="122" t="s">
        <v>13</v>
      </c>
      <c r="AV498" s="100">
        <f t="shared" si="566"/>
        <v>0</v>
      </c>
      <c r="AW498" s="100">
        <f t="shared" si="567"/>
        <v>0</v>
      </c>
      <c r="AX498" s="100">
        <f t="shared" si="568"/>
        <v>0</v>
      </c>
      <c r="AY498" s="110" t="s">
        <v>1718</v>
      </c>
      <c r="AZ498" s="110" t="s">
        <v>1735</v>
      </c>
      <c r="BA498" s="109" t="s">
        <v>1737</v>
      </c>
      <c r="BC498" s="100">
        <f t="shared" si="569"/>
        <v>0</v>
      </c>
      <c r="BD498" s="100">
        <f t="shared" si="570"/>
        <v>0</v>
      </c>
      <c r="BE498" s="100">
        <v>0</v>
      </c>
      <c r="BF498" s="100">
        <f>498</f>
        <v>498</v>
      </c>
      <c r="BH498" s="121">
        <f t="shared" si="571"/>
        <v>0</v>
      </c>
      <c r="BI498" s="121">
        <f t="shared" si="572"/>
        <v>0</v>
      </c>
      <c r="BJ498" s="121">
        <f t="shared" si="573"/>
        <v>0</v>
      </c>
    </row>
    <row r="499" spans="1:62" x14ac:dyDescent="0.2">
      <c r="A499" s="117" t="s">
        <v>452</v>
      </c>
      <c r="B499" s="117" t="s">
        <v>927</v>
      </c>
      <c r="C499" s="304" t="s">
        <v>1516</v>
      </c>
      <c r="D499" s="305"/>
      <c r="E499" s="305"/>
      <c r="F499" s="117" t="s">
        <v>1646</v>
      </c>
      <c r="G499" s="116">
        <v>19.45</v>
      </c>
      <c r="H499" s="159"/>
      <c r="I499" s="108">
        <f t="shared" si="552"/>
        <v>0</v>
      </c>
      <c r="J499" s="108">
        <f t="shared" si="553"/>
        <v>0</v>
      </c>
      <c r="K499" s="108">
        <f t="shared" si="554"/>
        <v>0</v>
      </c>
      <c r="L499" s="111" t="s">
        <v>1671</v>
      </c>
      <c r="Z499" s="100">
        <f t="shared" si="555"/>
        <v>0</v>
      </c>
      <c r="AB499" s="100">
        <f t="shared" si="556"/>
        <v>0</v>
      </c>
      <c r="AC499" s="100">
        <f t="shared" si="557"/>
        <v>0</v>
      </c>
      <c r="AD499" s="100">
        <f t="shared" si="558"/>
        <v>0</v>
      </c>
      <c r="AE499" s="100">
        <f t="shared" si="559"/>
        <v>0</v>
      </c>
      <c r="AF499" s="100">
        <f t="shared" si="560"/>
        <v>0</v>
      </c>
      <c r="AG499" s="100">
        <f t="shared" si="561"/>
        <v>0</v>
      </c>
      <c r="AH499" s="100">
        <f t="shared" si="562"/>
        <v>0</v>
      </c>
      <c r="AI499" s="109"/>
      <c r="AJ499" s="108">
        <f t="shared" si="563"/>
        <v>0</v>
      </c>
      <c r="AK499" s="108">
        <f t="shared" si="564"/>
        <v>0</v>
      </c>
      <c r="AL499" s="108">
        <f t="shared" si="565"/>
        <v>0</v>
      </c>
      <c r="AN499" s="100">
        <v>15</v>
      </c>
      <c r="AO499" s="100">
        <f>H499*0.0774900398406374</f>
        <v>0</v>
      </c>
      <c r="AP499" s="100">
        <f>H499*(1-0.0774900398406374)</f>
        <v>0</v>
      </c>
      <c r="AQ499" s="111" t="s">
        <v>13</v>
      </c>
      <c r="AV499" s="100">
        <f t="shared" si="566"/>
        <v>0</v>
      </c>
      <c r="AW499" s="100">
        <f t="shared" si="567"/>
        <v>0</v>
      </c>
      <c r="AX499" s="100">
        <f t="shared" si="568"/>
        <v>0</v>
      </c>
      <c r="AY499" s="110" t="s">
        <v>1718</v>
      </c>
      <c r="AZ499" s="110" t="s">
        <v>1735</v>
      </c>
      <c r="BA499" s="109" t="s">
        <v>1737</v>
      </c>
      <c r="BC499" s="100">
        <f t="shared" si="569"/>
        <v>0</v>
      </c>
      <c r="BD499" s="100">
        <f t="shared" si="570"/>
        <v>0</v>
      </c>
      <c r="BE499" s="100">
        <v>0</v>
      </c>
      <c r="BF499" s="100">
        <f>499</f>
        <v>499</v>
      </c>
      <c r="BH499" s="108">
        <f t="shared" si="571"/>
        <v>0</v>
      </c>
      <c r="BI499" s="108">
        <f t="shared" si="572"/>
        <v>0</v>
      </c>
      <c r="BJ499" s="108">
        <f t="shared" si="573"/>
        <v>0</v>
      </c>
    </row>
    <row r="500" spans="1:62" x14ac:dyDescent="0.2">
      <c r="A500" s="124" t="s">
        <v>453</v>
      </c>
      <c r="B500" s="124" t="s">
        <v>928</v>
      </c>
      <c r="C500" s="311" t="s">
        <v>1517</v>
      </c>
      <c r="D500" s="312"/>
      <c r="E500" s="312"/>
      <c r="F500" s="124" t="s">
        <v>1645</v>
      </c>
      <c r="G500" s="123">
        <v>2.431</v>
      </c>
      <c r="H500" s="160"/>
      <c r="I500" s="121">
        <f t="shared" si="552"/>
        <v>0</v>
      </c>
      <c r="J500" s="121">
        <f t="shared" si="553"/>
        <v>0</v>
      </c>
      <c r="K500" s="121">
        <f t="shared" si="554"/>
        <v>0</v>
      </c>
      <c r="L500" s="122" t="s">
        <v>1671</v>
      </c>
      <c r="Z500" s="100">
        <f t="shared" si="555"/>
        <v>0</v>
      </c>
      <c r="AB500" s="100">
        <f t="shared" si="556"/>
        <v>0</v>
      </c>
      <c r="AC500" s="100">
        <f t="shared" si="557"/>
        <v>0</v>
      </c>
      <c r="AD500" s="100">
        <f t="shared" si="558"/>
        <v>0</v>
      </c>
      <c r="AE500" s="100">
        <f t="shared" si="559"/>
        <v>0</v>
      </c>
      <c r="AF500" s="100">
        <f t="shared" si="560"/>
        <v>0</v>
      </c>
      <c r="AG500" s="100">
        <f t="shared" si="561"/>
        <v>0</v>
      </c>
      <c r="AH500" s="100">
        <f t="shared" si="562"/>
        <v>0</v>
      </c>
      <c r="AI500" s="109"/>
      <c r="AJ500" s="121">
        <f t="shared" si="563"/>
        <v>0</v>
      </c>
      <c r="AK500" s="121">
        <f t="shared" si="564"/>
        <v>0</v>
      </c>
      <c r="AL500" s="121">
        <f t="shared" si="565"/>
        <v>0</v>
      </c>
      <c r="AN500" s="100">
        <v>15</v>
      </c>
      <c r="AO500" s="100">
        <f>H500*1</f>
        <v>0</v>
      </c>
      <c r="AP500" s="100">
        <f>H500*(1-1)</f>
        <v>0</v>
      </c>
      <c r="AQ500" s="122" t="s">
        <v>13</v>
      </c>
      <c r="AV500" s="100">
        <f t="shared" si="566"/>
        <v>0</v>
      </c>
      <c r="AW500" s="100">
        <f t="shared" si="567"/>
        <v>0</v>
      </c>
      <c r="AX500" s="100">
        <f t="shared" si="568"/>
        <v>0</v>
      </c>
      <c r="AY500" s="110" t="s">
        <v>1718</v>
      </c>
      <c r="AZ500" s="110" t="s">
        <v>1735</v>
      </c>
      <c r="BA500" s="109" t="s">
        <v>1737</v>
      </c>
      <c r="BC500" s="100">
        <f t="shared" si="569"/>
        <v>0</v>
      </c>
      <c r="BD500" s="100">
        <f t="shared" si="570"/>
        <v>0</v>
      </c>
      <c r="BE500" s="100">
        <v>0</v>
      </c>
      <c r="BF500" s="100">
        <f>500</f>
        <v>500</v>
      </c>
      <c r="BH500" s="121">
        <f t="shared" si="571"/>
        <v>0</v>
      </c>
      <c r="BI500" s="121">
        <f t="shared" si="572"/>
        <v>0</v>
      </c>
      <c r="BJ500" s="121">
        <f t="shared" si="573"/>
        <v>0</v>
      </c>
    </row>
    <row r="501" spans="1:62" x14ac:dyDescent="0.2">
      <c r="A501" s="117" t="s">
        <v>454</v>
      </c>
      <c r="B501" s="117" t="s">
        <v>929</v>
      </c>
      <c r="C501" s="304" t="s">
        <v>1518</v>
      </c>
      <c r="D501" s="305"/>
      <c r="E501" s="305"/>
      <c r="F501" s="117" t="s">
        <v>1648</v>
      </c>
      <c r="G501" s="116">
        <v>0.65</v>
      </c>
      <c r="H501" s="159"/>
      <c r="I501" s="108">
        <f t="shared" si="552"/>
        <v>0</v>
      </c>
      <c r="J501" s="108">
        <f t="shared" si="553"/>
        <v>0</v>
      </c>
      <c r="K501" s="108">
        <f t="shared" si="554"/>
        <v>0</v>
      </c>
      <c r="L501" s="111" t="s">
        <v>1671</v>
      </c>
      <c r="Z501" s="100">
        <f t="shared" si="555"/>
        <v>0</v>
      </c>
      <c r="AB501" s="100">
        <f t="shared" si="556"/>
        <v>0</v>
      </c>
      <c r="AC501" s="100">
        <f t="shared" si="557"/>
        <v>0</v>
      </c>
      <c r="AD501" s="100">
        <f t="shared" si="558"/>
        <v>0</v>
      </c>
      <c r="AE501" s="100">
        <f t="shared" si="559"/>
        <v>0</v>
      </c>
      <c r="AF501" s="100">
        <f t="shared" si="560"/>
        <v>0</v>
      </c>
      <c r="AG501" s="100">
        <f t="shared" si="561"/>
        <v>0</v>
      </c>
      <c r="AH501" s="100">
        <f t="shared" si="562"/>
        <v>0</v>
      </c>
      <c r="AI501" s="109"/>
      <c r="AJ501" s="108">
        <f t="shared" si="563"/>
        <v>0</v>
      </c>
      <c r="AK501" s="108">
        <f t="shared" si="564"/>
        <v>0</v>
      </c>
      <c r="AL501" s="108">
        <f t="shared" si="565"/>
        <v>0</v>
      </c>
      <c r="AN501" s="100">
        <v>15</v>
      </c>
      <c r="AO501" s="100">
        <f>H501*0</f>
        <v>0</v>
      </c>
      <c r="AP501" s="100">
        <f>H501*(1-0)</f>
        <v>0</v>
      </c>
      <c r="AQ501" s="111" t="s">
        <v>11</v>
      </c>
      <c r="AV501" s="100">
        <f t="shared" si="566"/>
        <v>0</v>
      </c>
      <c r="AW501" s="100">
        <f t="shared" si="567"/>
        <v>0</v>
      </c>
      <c r="AX501" s="100">
        <f t="shared" si="568"/>
        <v>0</v>
      </c>
      <c r="AY501" s="110" t="s">
        <v>1718</v>
      </c>
      <c r="AZ501" s="110" t="s">
        <v>1735</v>
      </c>
      <c r="BA501" s="109" t="s">
        <v>1737</v>
      </c>
      <c r="BC501" s="100">
        <f t="shared" si="569"/>
        <v>0</v>
      </c>
      <c r="BD501" s="100">
        <f t="shared" si="570"/>
        <v>0</v>
      </c>
      <c r="BE501" s="100">
        <v>0</v>
      </c>
      <c r="BF501" s="100">
        <f>501</f>
        <v>501</v>
      </c>
      <c r="BH501" s="108">
        <f t="shared" si="571"/>
        <v>0</v>
      </c>
      <c r="BI501" s="108">
        <f t="shared" si="572"/>
        <v>0</v>
      </c>
      <c r="BJ501" s="108">
        <f t="shared" si="573"/>
        <v>0</v>
      </c>
    </row>
    <row r="502" spans="1:62" x14ac:dyDescent="0.2">
      <c r="A502" s="119"/>
      <c r="B502" s="120" t="s">
        <v>930</v>
      </c>
      <c r="C502" s="306" t="s">
        <v>1519</v>
      </c>
      <c r="D502" s="307"/>
      <c r="E502" s="307"/>
      <c r="F502" s="119" t="s">
        <v>6</v>
      </c>
      <c r="G502" s="119" t="s">
        <v>6</v>
      </c>
      <c r="H502" s="119" t="s">
        <v>6</v>
      </c>
      <c r="I502" s="118">
        <f>SUM(I503:I507)</f>
        <v>0</v>
      </c>
      <c r="J502" s="118">
        <f>SUM(J503:J507)</f>
        <v>0</v>
      </c>
      <c r="K502" s="118">
        <f>SUM(K503:K507)</f>
        <v>0</v>
      </c>
      <c r="L502" s="109"/>
      <c r="AI502" s="109"/>
      <c r="AS502" s="118">
        <f>SUM(AJ503:AJ507)</f>
        <v>0</v>
      </c>
      <c r="AT502" s="118">
        <f>SUM(AK503:AK507)</f>
        <v>0</v>
      </c>
      <c r="AU502" s="118">
        <f>SUM(AL503:AL507)</f>
        <v>0</v>
      </c>
    </row>
    <row r="503" spans="1:62" x14ac:dyDescent="0.2">
      <c r="A503" s="117" t="s">
        <v>455</v>
      </c>
      <c r="B503" s="117" t="s">
        <v>931</v>
      </c>
      <c r="C503" s="304" t="s">
        <v>3957</v>
      </c>
      <c r="D503" s="305"/>
      <c r="E503" s="305"/>
      <c r="F503" s="117" t="s">
        <v>1645</v>
      </c>
      <c r="G503" s="116">
        <v>1305.3209999999999</v>
      </c>
      <c r="H503" s="159"/>
      <c r="I503" s="108">
        <f>G503*AO503</f>
        <v>0</v>
      </c>
      <c r="J503" s="108">
        <f>G503*AP503</f>
        <v>0</v>
      </c>
      <c r="K503" s="108">
        <f>G503*H503</f>
        <v>0</v>
      </c>
      <c r="L503" s="111" t="s">
        <v>1671</v>
      </c>
      <c r="Z503" s="100">
        <f>IF(AQ503="5",BJ503,0)</f>
        <v>0</v>
      </c>
      <c r="AB503" s="100">
        <f>IF(AQ503="1",BH503,0)</f>
        <v>0</v>
      </c>
      <c r="AC503" s="100">
        <f>IF(AQ503="1",BI503,0)</f>
        <v>0</v>
      </c>
      <c r="AD503" s="100">
        <f>IF(AQ503="7",BH503,0)</f>
        <v>0</v>
      </c>
      <c r="AE503" s="100">
        <f>IF(AQ503="7",BI503,0)</f>
        <v>0</v>
      </c>
      <c r="AF503" s="100">
        <f>IF(AQ503="2",BH503,0)</f>
        <v>0</v>
      </c>
      <c r="AG503" s="100">
        <f>IF(AQ503="2",BI503,0)</f>
        <v>0</v>
      </c>
      <c r="AH503" s="100">
        <f>IF(AQ503="0",BJ503,0)</f>
        <v>0</v>
      </c>
      <c r="AI503" s="109"/>
      <c r="AJ503" s="108">
        <f>IF(AN503=0,K503,0)</f>
        <v>0</v>
      </c>
      <c r="AK503" s="108">
        <f>IF(AN503=15,K503,0)</f>
        <v>0</v>
      </c>
      <c r="AL503" s="108">
        <f>IF(AN503=21,K503,0)</f>
        <v>0</v>
      </c>
      <c r="AN503" s="100">
        <v>15</v>
      </c>
      <c r="AO503" s="100">
        <f>H503*0</f>
        <v>0</v>
      </c>
      <c r="AP503" s="100">
        <f>H503*(1-0)</f>
        <v>0</v>
      </c>
      <c r="AQ503" s="111" t="s">
        <v>13</v>
      </c>
      <c r="AV503" s="100">
        <f>AW503+AX503</f>
        <v>0</v>
      </c>
      <c r="AW503" s="100">
        <f>G503*AO503</f>
        <v>0</v>
      </c>
      <c r="AX503" s="100">
        <f>G503*AP503</f>
        <v>0</v>
      </c>
      <c r="AY503" s="110" t="s">
        <v>1719</v>
      </c>
      <c r="AZ503" s="110" t="s">
        <v>1736</v>
      </c>
      <c r="BA503" s="109" t="s">
        <v>1737</v>
      </c>
      <c r="BC503" s="100">
        <f>AW503+AX503</f>
        <v>0</v>
      </c>
      <c r="BD503" s="100">
        <f>H503/(100-BE503)*100</f>
        <v>0</v>
      </c>
      <c r="BE503" s="100">
        <v>0</v>
      </c>
      <c r="BF503" s="100">
        <f>503</f>
        <v>503</v>
      </c>
      <c r="BH503" s="108">
        <f>G503*AO503</f>
        <v>0</v>
      </c>
      <c r="BI503" s="108">
        <f>G503*AP503</f>
        <v>0</v>
      </c>
      <c r="BJ503" s="108">
        <f>G503*H503</f>
        <v>0</v>
      </c>
    </row>
    <row r="504" spans="1:62" x14ac:dyDescent="0.2">
      <c r="A504" s="117" t="s">
        <v>456</v>
      </c>
      <c r="B504" s="117" t="s">
        <v>932</v>
      </c>
      <c r="C504" s="304" t="s">
        <v>1521</v>
      </c>
      <c r="D504" s="305"/>
      <c r="E504" s="305"/>
      <c r="F504" s="117" t="s">
        <v>1645</v>
      </c>
      <c r="G504" s="116">
        <v>545.15700000000004</v>
      </c>
      <c r="H504" s="159"/>
      <c r="I504" s="108">
        <f>G504*AO504</f>
        <v>0</v>
      </c>
      <c r="J504" s="108">
        <f>G504*AP504</f>
        <v>0</v>
      </c>
      <c r="K504" s="108">
        <f>G504*H504</f>
        <v>0</v>
      </c>
      <c r="L504" s="111" t="s">
        <v>1671</v>
      </c>
      <c r="Z504" s="100">
        <f>IF(AQ504="5",BJ504,0)</f>
        <v>0</v>
      </c>
      <c r="AB504" s="100">
        <f>IF(AQ504="1",BH504,0)</f>
        <v>0</v>
      </c>
      <c r="AC504" s="100">
        <f>IF(AQ504="1",BI504,0)</f>
        <v>0</v>
      </c>
      <c r="AD504" s="100">
        <f>IF(AQ504="7",BH504,0)</f>
        <v>0</v>
      </c>
      <c r="AE504" s="100">
        <f>IF(AQ504="7",BI504,0)</f>
        <v>0</v>
      </c>
      <c r="AF504" s="100">
        <f>IF(AQ504="2",BH504,0)</f>
        <v>0</v>
      </c>
      <c r="AG504" s="100">
        <f>IF(AQ504="2",BI504,0)</f>
        <v>0</v>
      </c>
      <c r="AH504" s="100">
        <f>IF(AQ504="0",BJ504,0)</f>
        <v>0</v>
      </c>
      <c r="AI504" s="109"/>
      <c r="AJ504" s="108">
        <f>IF(AN504=0,K504,0)</f>
        <v>0</v>
      </c>
      <c r="AK504" s="108">
        <f>IF(AN504=15,K504,0)</f>
        <v>0</v>
      </c>
      <c r="AL504" s="108">
        <f>IF(AN504=21,K504,0)</f>
        <v>0</v>
      </c>
      <c r="AN504" s="100">
        <v>15</v>
      </c>
      <c r="AO504" s="100">
        <f>H504*0.590822409747577</f>
        <v>0</v>
      </c>
      <c r="AP504" s="100">
        <f>H504*(1-0.590822409747577)</f>
        <v>0</v>
      </c>
      <c r="AQ504" s="111" t="s">
        <v>13</v>
      </c>
      <c r="AV504" s="100">
        <f>AW504+AX504</f>
        <v>0</v>
      </c>
      <c r="AW504" s="100">
        <f>G504*AO504</f>
        <v>0</v>
      </c>
      <c r="AX504" s="100">
        <f>G504*AP504</f>
        <v>0</v>
      </c>
      <c r="AY504" s="110" t="s">
        <v>1719</v>
      </c>
      <c r="AZ504" s="110" t="s">
        <v>1736</v>
      </c>
      <c r="BA504" s="109" t="s">
        <v>1737</v>
      </c>
      <c r="BC504" s="100">
        <f>AW504+AX504</f>
        <v>0</v>
      </c>
      <c r="BD504" s="100">
        <f>H504/(100-BE504)*100</f>
        <v>0</v>
      </c>
      <c r="BE504" s="100">
        <v>0</v>
      </c>
      <c r="BF504" s="100">
        <f>504</f>
        <v>504</v>
      </c>
      <c r="BH504" s="108">
        <f>G504*AO504</f>
        <v>0</v>
      </c>
      <c r="BI504" s="108">
        <f>G504*AP504</f>
        <v>0</v>
      </c>
      <c r="BJ504" s="108">
        <f>G504*H504</f>
        <v>0</v>
      </c>
    </row>
    <row r="505" spans="1:62" x14ac:dyDescent="0.2">
      <c r="A505" s="117" t="s">
        <v>457</v>
      </c>
      <c r="B505" s="117" t="s">
        <v>933</v>
      </c>
      <c r="C505" s="304" t="s">
        <v>3956</v>
      </c>
      <c r="D505" s="305"/>
      <c r="E505" s="305"/>
      <c r="F505" s="117" t="s">
        <v>1645</v>
      </c>
      <c r="G505" s="116">
        <v>1305.3209999999999</v>
      </c>
      <c r="H505" s="159"/>
      <c r="I505" s="108">
        <f>G505*AO505</f>
        <v>0</v>
      </c>
      <c r="J505" s="108">
        <f>G505*AP505</f>
        <v>0</v>
      </c>
      <c r="K505" s="108">
        <f>G505*H505</f>
        <v>0</v>
      </c>
      <c r="L505" s="111" t="s">
        <v>1671</v>
      </c>
      <c r="Z505" s="100">
        <f>IF(AQ505="5",BJ505,0)</f>
        <v>0</v>
      </c>
      <c r="AB505" s="100">
        <f>IF(AQ505="1",BH505,0)</f>
        <v>0</v>
      </c>
      <c r="AC505" s="100">
        <f>IF(AQ505="1",BI505,0)</f>
        <v>0</v>
      </c>
      <c r="AD505" s="100">
        <f>IF(AQ505="7",BH505,0)</f>
        <v>0</v>
      </c>
      <c r="AE505" s="100">
        <f>IF(AQ505="7",BI505,0)</f>
        <v>0</v>
      </c>
      <c r="AF505" s="100">
        <f>IF(AQ505="2",BH505,0)</f>
        <v>0</v>
      </c>
      <c r="AG505" s="100">
        <f>IF(AQ505="2",BI505,0)</f>
        <v>0</v>
      </c>
      <c r="AH505" s="100">
        <f>IF(AQ505="0",BJ505,0)</f>
        <v>0</v>
      </c>
      <c r="AI505" s="109"/>
      <c r="AJ505" s="108">
        <f>IF(AN505=0,K505,0)</f>
        <v>0</v>
      </c>
      <c r="AK505" s="108">
        <f>IF(AN505=15,K505,0)</f>
        <v>0</v>
      </c>
      <c r="AL505" s="108">
        <f>IF(AN505=21,K505,0)</f>
        <v>0</v>
      </c>
      <c r="AN505" s="100">
        <v>15</v>
      </c>
      <c r="AO505" s="100">
        <f>H505*0.400704240484809</f>
        <v>0</v>
      </c>
      <c r="AP505" s="100">
        <f>H505*(1-0.400704240484809)</f>
        <v>0</v>
      </c>
      <c r="AQ505" s="111" t="s">
        <v>13</v>
      </c>
      <c r="AV505" s="100">
        <f>AW505+AX505</f>
        <v>0</v>
      </c>
      <c r="AW505" s="100">
        <f>G505*AO505</f>
        <v>0</v>
      </c>
      <c r="AX505" s="100">
        <f>G505*AP505</f>
        <v>0</v>
      </c>
      <c r="AY505" s="110" t="s">
        <v>1719</v>
      </c>
      <c r="AZ505" s="110" t="s">
        <v>1736</v>
      </c>
      <c r="BA505" s="109" t="s">
        <v>1737</v>
      </c>
      <c r="BC505" s="100">
        <f>AW505+AX505</f>
        <v>0</v>
      </c>
      <c r="BD505" s="100">
        <f>H505/(100-BE505)*100</f>
        <v>0</v>
      </c>
      <c r="BE505" s="100">
        <v>0</v>
      </c>
      <c r="BF505" s="100">
        <f>505</f>
        <v>505</v>
      </c>
      <c r="BH505" s="108">
        <f>G505*AO505</f>
        <v>0</v>
      </c>
      <c r="BI505" s="108">
        <f>G505*AP505</f>
        <v>0</v>
      </c>
      <c r="BJ505" s="108">
        <f>G505*H505</f>
        <v>0</v>
      </c>
    </row>
    <row r="506" spans="1:62" x14ac:dyDescent="0.2">
      <c r="A506" s="117" t="s">
        <v>458</v>
      </c>
      <c r="B506" s="117" t="s">
        <v>934</v>
      </c>
      <c r="C506" s="304" t="s">
        <v>1523</v>
      </c>
      <c r="D506" s="305"/>
      <c r="E506" s="305"/>
      <c r="F506" s="117" t="s">
        <v>1645</v>
      </c>
      <c r="G506" s="116">
        <v>267.12400000000002</v>
      </c>
      <c r="H506" s="159"/>
      <c r="I506" s="108">
        <f>G506*AO506</f>
        <v>0</v>
      </c>
      <c r="J506" s="108">
        <f>G506*AP506</f>
        <v>0</v>
      </c>
      <c r="K506" s="108">
        <f>G506*H506</f>
        <v>0</v>
      </c>
      <c r="L506" s="111" t="s">
        <v>1671</v>
      </c>
      <c r="Z506" s="100">
        <f>IF(AQ506="5",BJ506,0)</f>
        <v>0</v>
      </c>
      <c r="AB506" s="100">
        <f>IF(AQ506="1",BH506,0)</f>
        <v>0</v>
      </c>
      <c r="AC506" s="100">
        <f>IF(AQ506="1",BI506,0)</f>
        <v>0</v>
      </c>
      <c r="AD506" s="100">
        <f>IF(AQ506="7",BH506,0)</f>
        <v>0</v>
      </c>
      <c r="AE506" s="100">
        <f>IF(AQ506="7",BI506,0)</f>
        <v>0</v>
      </c>
      <c r="AF506" s="100">
        <f>IF(AQ506="2",BH506,0)</f>
        <v>0</v>
      </c>
      <c r="AG506" s="100">
        <f>IF(AQ506="2",BI506,0)</f>
        <v>0</v>
      </c>
      <c r="AH506" s="100">
        <f>IF(AQ506="0",BJ506,0)</f>
        <v>0</v>
      </c>
      <c r="AI506" s="109"/>
      <c r="AJ506" s="108">
        <f>IF(AN506=0,K506,0)</f>
        <v>0</v>
      </c>
      <c r="AK506" s="108">
        <f>IF(AN506=15,K506,0)</f>
        <v>0</v>
      </c>
      <c r="AL506" s="108">
        <f>IF(AN506=21,K506,0)</f>
        <v>0</v>
      </c>
      <c r="AN506" s="100">
        <v>15</v>
      </c>
      <c r="AO506" s="100">
        <f>H506*0.122818181818182</f>
        <v>0</v>
      </c>
      <c r="AP506" s="100">
        <f>H506*(1-0.122818181818182)</f>
        <v>0</v>
      </c>
      <c r="AQ506" s="111" t="s">
        <v>13</v>
      </c>
      <c r="AV506" s="100">
        <f>AW506+AX506</f>
        <v>0</v>
      </c>
      <c r="AW506" s="100">
        <f>G506*AO506</f>
        <v>0</v>
      </c>
      <c r="AX506" s="100">
        <f>G506*AP506</f>
        <v>0</v>
      </c>
      <c r="AY506" s="110" t="s">
        <v>1719</v>
      </c>
      <c r="AZ506" s="110" t="s">
        <v>1736</v>
      </c>
      <c r="BA506" s="109" t="s">
        <v>1737</v>
      </c>
      <c r="BC506" s="100">
        <f>AW506+AX506</f>
        <v>0</v>
      </c>
      <c r="BD506" s="100">
        <f>H506/(100-BE506)*100</f>
        <v>0</v>
      </c>
      <c r="BE506" s="100">
        <v>0</v>
      </c>
      <c r="BF506" s="100">
        <f>506</f>
        <v>506</v>
      </c>
      <c r="BH506" s="108">
        <f>G506*AO506</f>
        <v>0</v>
      </c>
      <c r="BI506" s="108">
        <f>G506*AP506</f>
        <v>0</v>
      </c>
      <c r="BJ506" s="108">
        <f>G506*H506</f>
        <v>0</v>
      </c>
    </row>
    <row r="507" spans="1:62" x14ac:dyDescent="0.2">
      <c r="A507" s="117" t="s">
        <v>459</v>
      </c>
      <c r="B507" s="117" t="s">
        <v>935</v>
      </c>
      <c r="C507" s="304" t="s">
        <v>3955</v>
      </c>
      <c r="D507" s="305"/>
      <c r="E507" s="305"/>
      <c r="F507" s="117" t="s">
        <v>1645</v>
      </c>
      <c r="G507" s="116">
        <v>1038.1969999999999</v>
      </c>
      <c r="H507" s="159"/>
      <c r="I507" s="108">
        <f>G507*AO507</f>
        <v>0</v>
      </c>
      <c r="J507" s="108">
        <f>G507*AP507</f>
        <v>0</v>
      </c>
      <c r="K507" s="108">
        <f>G507*H507</f>
        <v>0</v>
      </c>
      <c r="L507" s="111" t="s">
        <v>1671</v>
      </c>
      <c r="Z507" s="100">
        <f>IF(AQ507="5",BJ507,0)</f>
        <v>0</v>
      </c>
      <c r="AB507" s="100">
        <f>IF(AQ507="1",BH507,0)</f>
        <v>0</v>
      </c>
      <c r="AC507" s="100">
        <f>IF(AQ507="1",BI507,0)</f>
        <v>0</v>
      </c>
      <c r="AD507" s="100">
        <f>IF(AQ507="7",BH507,0)</f>
        <v>0</v>
      </c>
      <c r="AE507" s="100">
        <f>IF(AQ507="7",BI507,0)</f>
        <v>0</v>
      </c>
      <c r="AF507" s="100">
        <f>IF(AQ507="2",BH507,0)</f>
        <v>0</v>
      </c>
      <c r="AG507" s="100">
        <f>IF(AQ507="2",BI507,0)</f>
        <v>0</v>
      </c>
      <c r="AH507" s="100">
        <f>IF(AQ507="0",BJ507,0)</f>
        <v>0</v>
      </c>
      <c r="AI507" s="109"/>
      <c r="AJ507" s="108">
        <f>IF(AN507=0,K507,0)</f>
        <v>0</v>
      </c>
      <c r="AK507" s="108">
        <f>IF(AN507=15,K507,0)</f>
        <v>0</v>
      </c>
      <c r="AL507" s="108">
        <f>IF(AN507=21,K507,0)</f>
        <v>0</v>
      </c>
      <c r="AN507" s="100">
        <v>15</v>
      </c>
      <c r="AO507" s="100">
        <f>H507*0.0909911565334446</f>
        <v>0</v>
      </c>
      <c r="AP507" s="100">
        <f>H507*(1-0.0909911565334446)</f>
        <v>0</v>
      </c>
      <c r="AQ507" s="111" t="s">
        <v>13</v>
      </c>
      <c r="AV507" s="100">
        <f>AW507+AX507</f>
        <v>0</v>
      </c>
      <c r="AW507" s="100">
        <f>G507*AO507</f>
        <v>0</v>
      </c>
      <c r="AX507" s="100">
        <f>G507*AP507</f>
        <v>0</v>
      </c>
      <c r="AY507" s="110" t="s">
        <v>1719</v>
      </c>
      <c r="AZ507" s="110" t="s">
        <v>1736</v>
      </c>
      <c r="BA507" s="109" t="s">
        <v>1737</v>
      </c>
      <c r="BC507" s="100">
        <f>AW507+AX507</f>
        <v>0</v>
      </c>
      <c r="BD507" s="100">
        <f>H507/(100-BE507)*100</f>
        <v>0</v>
      </c>
      <c r="BE507" s="100">
        <v>0</v>
      </c>
      <c r="BF507" s="100">
        <f>507</f>
        <v>507</v>
      </c>
      <c r="BH507" s="108">
        <f>G507*AO507</f>
        <v>0</v>
      </c>
      <c r="BI507" s="108">
        <f>G507*AP507</f>
        <v>0</v>
      </c>
      <c r="BJ507" s="108">
        <f>G507*H507</f>
        <v>0</v>
      </c>
    </row>
    <row r="508" spans="1:62" x14ac:dyDescent="0.2">
      <c r="A508" s="119"/>
      <c r="B508" s="120" t="s">
        <v>936</v>
      </c>
      <c r="C508" s="306" t="s">
        <v>1525</v>
      </c>
      <c r="D508" s="307"/>
      <c r="E508" s="307"/>
      <c r="F508" s="119" t="s">
        <v>6</v>
      </c>
      <c r="G508" s="119" t="s">
        <v>6</v>
      </c>
      <c r="H508" s="119" t="s">
        <v>6</v>
      </c>
      <c r="I508" s="118">
        <f>SUM(I509:I537)</f>
        <v>0</v>
      </c>
      <c r="J508" s="118">
        <f>SUM(J509:J537)</f>
        <v>0</v>
      </c>
      <c r="K508" s="118">
        <f>SUM(K509:K537)</f>
        <v>0</v>
      </c>
      <c r="L508" s="109"/>
      <c r="AI508" s="109"/>
      <c r="AS508" s="118">
        <f>SUM(AJ509:AJ537)</f>
        <v>0</v>
      </c>
      <c r="AT508" s="118">
        <f>SUM(AK509:AK537)</f>
        <v>0</v>
      </c>
      <c r="AU508" s="118">
        <f>SUM(AL509:AL537)</f>
        <v>0</v>
      </c>
    </row>
    <row r="509" spans="1:62" x14ac:dyDescent="0.2">
      <c r="A509" s="117" t="s">
        <v>460</v>
      </c>
      <c r="B509" s="117" t="s">
        <v>937</v>
      </c>
      <c r="C509" s="304" t="s">
        <v>1526</v>
      </c>
      <c r="D509" s="305"/>
      <c r="E509" s="305"/>
      <c r="F509" s="117" t="s">
        <v>1644</v>
      </c>
      <c r="G509" s="116">
        <v>1</v>
      </c>
      <c r="H509" s="159"/>
      <c r="I509" s="108">
        <f t="shared" ref="I509:I537" si="574">G509*AO509</f>
        <v>0</v>
      </c>
      <c r="J509" s="108">
        <f t="shared" ref="J509:J537" si="575">G509*AP509</f>
        <v>0</v>
      </c>
      <c r="K509" s="108">
        <f t="shared" ref="K509:K537" si="576">G509*H509</f>
        <v>0</v>
      </c>
      <c r="L509" s="111" t="s">
        <v>1671</v>
      </c>
      <c r="Z509" s="100">
        <f t="shared" ref="Z509:Z537" si="577">IF(AQ509="5",BJ509,0)</f>
        <v>0</v>
      </c>
      <c r="AB509" s="100">
        <f t="shared" ref="AB509:AB537" si="578">IF(AQ509="1",BH509,0)</f>
        <v>0</v>
      </c>
      <c r="AC509" s="100">
        <f t="shared" ref="AC509:AC537" si="579">IF(AQ509="1",BI509,0)</f>
        <v>0</v>
      </c>
      <c r="AD509" s="100">
        <f t="shared" ref="AD509:AD537" si="580">IF(AQ509="7",BH509,0)</f>
        <v>0</v>
      </c>
      <c r="AE509" s="100">
        <f t="shared" ref="AE509:AE537" si="581">IF(AQ509="7",BI509,0)</f>
        <v>0</v>
      </c>
      <c r="AF509" s="100">
        <f t="shared" ref="AF509:AF537" si="582">IF(AQ509="2",BH509,0)</f>
        <v>0</v>
      </c>
      <c r="AG509" s="100">
        <f t="shared" ref="AG509:AG537" si="583">IF(AQ509="2",BI509,0)</f>
        <v>0</v>
      </c>
      <c r="AH509" s="100">
        <f t="shared" ref="AH509:AH537" si="584">IF(AQ509="0",BJ509,0)</f>
        <v>0</v>
      </c>
      <c r="AI509" s="109"/>
      <c r="AJ509" s="108">
        <f t="shared" ref="AJ509:AJ537" si="585">IF(AN509=0,K509,0)</f>
        <v>0</v>
      </c>
      <c r="AK509" s="108">
        <f t="shared" ref="AK509:AK537" si="586">IF(AN509=15,K509,0)</f>
        <v>0</v>
      </c>
      <c r="AL509" s="108">
        <f t="shared" ref="AL509:AL537" si="587">IF(AN509=21,K509,0)</f>
        <v>0</v>
      </c>
      <c r="AN509" s="100">
        <v>15</v>
      </c>
      <c r="AO509" s="100">
        <f t="shared" ref="AO509:AO537" si="588">H509*0</f>
        <v>0</v>
      </c>
      <c r="AP509" s="100">
        <f t="shared" ref="AP509:AP537" si="589">H509*(1-0)</f>
        <v>0</v>
      </c>
      <c r="AQ509" s="111" t="s">
        <v>8</v>
      </c>
      <c r="AV509" s="100">
        <f t="shared" ref="AV509:AV537" si="590">AW509+AX509</f>
        <v>0</v>
      </c>
      <c r="AW509" s="100">
        <f t="shared" ref="AW509:AW537" si="591">G509*AO509</f>
        <v>0</v>
      </c>
      <c r="AX509" s="100">
        <f t="shared" ref="AX509:AX537" si="592">G509*AP509</f>
        <v>0</v>
      </c>
      <c r="AY509" s="110" t="s">
        <v>1720</v>
      </c>
      <c r="AZ509" s="110" t="s">
        <v>1730</v>
      </c>
      <c r="BA509" s="109" t="s">
        <v>1737</v>
      </c>
      <c r="BC509" s="100">
        <f t="shared" ref="BC509:BC537" si="593">AW509+AX509</f>
        <v>0</v>
      </c>
      <c r="BD509" s="100">
        <f t="shared" ref="BD509:BD537" si="594">H509/(100-BE509)*100</f>
        <v>0</v>
      </c>
      <c r="BE509" s="100">
        <v>0</v>
      </c>
      <c r="BF509" s="100">
        <f>509</f>
        <v>509</v>
      </c>
      <c r="BH509" s="108">
        <f t="shared" ref="BH509:BH537" si="595">G509*AO509</f>
        <v>0</v>
      </c>
      <c r="BI509" s="108">
        <f t="shared" ref="BI509:BI537" si="596">G509*AP509</f>
        <v>0</v>
      </c>
      <c r="BJ509" s="108">
        <f t="shared" ref="BJ509:BJ537" si="597">G509*H509</f>
        <v>0</v>
      </c>
    </row>
    <row r="510" spans="1:62" x14ac:dyDescent="0.2">
      <c r="A510" s="117" t="s">
        <v>461</v>
      </c>
      <c r="B510" s="117" t="s">
        <v>939</v>
      </c>
      <c r="C510" s="304" t="s">
        <v>1528</v>
      </c>
      <c r="D510" s="305"/>
      <c r="E510" s="305"/>
      <c r="F510" s="117" t="s">
        <v>1644</v>
      </c>
      <c r="G510" s="116">
        <v>1</v>
      </c>
      <c r="H510" s="159"/>
      <c r="I510" s="108">
        <f t="shared" si="574"/>
        <v>0</v>
      </c>
      <c r="J510" s="108">
        <f t="shared" si="575"/>
        <v>0</v>
      </c>
      <c r="K510" s="108">
        <f t="shared" si="576"/>
        <v>0</v>
      </c>
      <c r="L510" s="111" t="s">
        <v>1671</v>
      </c>
      <c r="Z510" s="100">
        <f t="shared" si="577"/>
        <v>0</v>
      </c>
      <c r="AB510" s="100">
        <f t="shared" si="578"/>
        <v>0</v>
      </c>
      <c r="AC510" s="100">
        <f t="shared" si="579"/>
        <v>0</v>
      </c>
      <c r="AD510" s="100">
        <f t="shared" si="580"/>
        <v>0</v>
      </c>
      <c r="AE510" s="100">
        <f t="shared" si="581"/>
        <v>0</v>
      </c>
      <c r="AF510" s="100">
        <f t="shared" si="582"/>
        <v>0</v>
      </c>
      <c r="AG510" s="100">
        <f t="shared" si="583"/>
        <v>0</v>
      </c>
      <c r="AH510" s="100">
        <f t="shared" si="584"/>
        <v>0</v>
      </c>
      <c r="AI510" s="109"/>
      <c r="AJ510" s="108">
        <f t="shared" si="585"/>
        <v>0</v>
      </c>
      <c r="AK510" s="108">
        <f t="shared" si="586"/>
        <v>0</v>
      </c>
      <c r="AL510" s="108">
        <f t="shared" si="587"/>
        <v>0</v>
      </c>
      <c r="AN510" s="100">
        <v>15</v>
      </c>
      <c r="AO510" s="100">
        <f t="shared" si="588"/>
        <v>0</v>
      </c>
      <c r="AP510" s="100">
        <f t="shared" si="589"/>
        <v>0</v>
      </c>
      <c r="AQ510" s="111" t="s">
        <v>8</v>
      </c>
      <c r="AV510" s="100">
        <f t="shared" si="590"/>
        <v>0</v>
      </c>
      <c r="AW510" s="100">
        <f t="shared" si="591"/>
        <v>0</v>
      </c>
      <c r="AX510" s="100">
        <f t="shared" si="592"/>
        <v>0</v>
      </c>
      <c r="AY510" s="110" t="s">
        <v>1720</v>
      </c>
      <c r="AZ510" s="110" t="s">
        <v>1730</v>
      </c>
      <c r="BA510" s="109" t="s">
        <v>1737</v>
      </c>
      <c r="BC510" s="100">
        <f t="shared" si="593"/>
        <v>0</v>
      </c>
      <c r="BD510" s="100">
        <f t="shared" si="594"/>
        <v>0</v>
      </c>
      <c r="BE510" s="100">
        <v>0</v>
      </c>
      <c r="BF510" s="100">
        <f>510</f>
        <v>510</v>
      </c>
      <c r="BH510" s="108">
        <f t="shared" si="595"/>
        <v>0</v>
      </c>
      <c r="BI510" s="108">
        <f t="shared" si="596"/>
        <v>0</v>
      </c>
      <c r="BJ510" s="108">
        <f t="shared" si="597"/>
        <v>0</v>
      </c>
    </row>
    <row r="511" spans="1:62" x14ac:dyDescent="0.2">
      <c r="A511" s="117" t="s">
        <v>462</v>
      </c>
      <c r="B511" s="117" t="s">
        <v>2673</v>
      </c>
      <c r="C511" s="304" t="s">
        <v>2672</v>
      </c>
      <c r="D511" s="305"/>
      <c r="E511" s="305"/>
      <c r="F511" s="117" t="s">
        <v>1644</v>
      </c>
      <c r="G511" s="116">
        <v>1</v>
      </c>
      <c r="H511" s="159"/>
      <c r="I511" s="108">
        <f t="shared" si="574"/>
        <v>0</v>
      </c>
      <c r="J511" s="108">
        <f t="shared" si="575"/>
        <v>0</v>
      </c>
      <c r="K511" s="108">
        <f t="shared" si="576"/>
        <v>0</v>
      </c>
      <c r="L511" s="111" t="s">
        <v>1671</v>
      </c>
      <c r="Z511" s="100">
        <f t="shared" si="577"/>
        <v>0</v>
      </c>
      <c r="AB511" s="100">
        <f t="shared" si="578"/>
        <v>0</v>
      </c>
      <c r="AC511" s="100">
        <f t="shared" si="579"/>
        <v>0</v>
      </c>
      <c r="AD511" s="100">
        <f t="shared" si="580"/>
        <v>0</v>
      </c>
      <c r="AE511" s="100">
        <f t="shared" si="581"/>
        <v>0</v>
      </c>
      <c r="AF511" s="100">
        <f t="shared" si="582"/>
        <v>0</v>
      </c>
      <c r="AG511" s="100">
        <f t="shared" si="583"/>
        <v>0</v>
      </c>
      <c r="AH511" s="100">
        <f t="shared" si="584"/>
        <v>0</v>
      </c>
      <c r="AI511" s="109"/>
      <c r="AJ511" s="108">
        <f t="shared" si="585"/>
        <v>0</v>
      </c>
      <c r="AK511" s="108">
        <f t="shared" si="586"/>
        <v>0</v>
      </c>
      <c r="AL511" s="108">
        <f t="shared" si="587"/>
        <v>0</v>
      </c>
      <c r="AN511" s="100">
        <v>15</v>
      </c>
      <c r="AO511" s="100">
        <f t="shared" si="588"/>
        <v>0</v>
      </c>
      <c r="AP511" s="100">
        <f t="shared" si="589"/>
        <v>0</v>
      </c>
      <c r="AQ511" s="111" t="s">
        <v>8</v>
      </c>
      <c r="AV511" s="100">
        <f t="shared" si="590"/>
        <v>0</v>
      </c>
      <c r="AW511" s="100">
        <f t="shared" si="591"/>
        <v>0</v>
      </c>
      <c r="AX511" s="100">
        <f t="shared" si="592"/>
        <v>0</v>
      </c>
      <c r="AY511" s="110" t="s">
        <v>1720</v>
      </c>
      <c r="AZ511" s="110" t="s">
        <v>1730</v>
      </c>
      <c r="BA511" s="109" t="s">
        <v>1737</v>
      </c>
      <c r="BC511" s="100">
        <f t="shared" si="593"/>
        <v>0</v>
      </c>
      <c r="BD511" s="100">
        <f t="shared" si="594"/>
        <v>0</v>
      </c>
      <c r="BE511" s="100">
        <v>0</v>
      </c>
      <c r="BF511" s="100">
        <f>511</f>
        <v>511</v>
      </c>
      <c r="BH511" s="108">
        <f t="shared" si="595"/>
        <v>0</v>
      </c>
      <c r="BI511" s="108">
        <f t="shared" si="596"/>
        <v>0</v>
      </c>
      <c r="BJ511" s="108">
        <f t="shared" si="597"/>
        <v>0</v>
      </c>
    </row>
    <row r="512" spans="1:62" x14ac:dyDescent="0.2">
      <c r="A512" s="117" t="s">
        <v>463</v>
      </c>
      <c r="B512" s="117" t="s">
        <v>940</v>
      </c>
      <c r="C512" s="304" t="s">
        <v>1529</v>
      </c>
      <c r="D512" s="305"/>
      <c r="E512" s="305"/>
      <c r="F512" s="117" t="s">
        <v>1644</v>
      </c>
      <c r="G512" s="116">
        <v>1</v>
      </c>
      <c r="H512" s="159"/>
      <c r="I512" s="108">
        <f t="shared" si="574"/>
        <v>0</v>
      </c>
      <c r="J512" s="108">
        <f t="shared" si="575"/>
        <v>0</v>
      </c>
      <c r="K512" s="108">
        <f t="shared" si="576"/>
        <v>0</v>
      </c>
      <c r="L512" s="111" t="s">
        <v>1671</v>
      </c>
      <c r="Z512" s="100">
        <f t="shared" si="577"/>
        <v>0</v>
      </c>
      <c r="AB512" s="100">
        <f t="shared" si="578"/>
        <v>0</v>
      </c>
      <c r="AC512" s="100">
        <f t="shared" si="579"/>
        <v>0</v>
      </c>
      <c r="AD512" s="100">
        <f t="shared" si="580"/>
        <v>0</v>
      </c>
      <c r="AE512" s="100">
        <f t="shared" si="581"/>
        <v>0</v>
      </c>
      <c r="AF512" s="100">
        <f t="shared" si="582"/>
        <v>0</v>
      </c>
      <c r="AG512" s="100">
        <f t="shared" si="583"/>
        <v>0</v>
      </c>
      <c r="AH512" s="100">
        <f t="shared" si="584"/>
        <v>0</v>
      </c>
      <c r="AI512" s="109"/>
      <c r="AJ512" s="108">
        <f t="shared" si="585"/>
        <v>0</v>
      </c>
      <c r="AK512" s="108">
        <f t="shared" si="586"/>
        <v>0</v>
      </c>
      <c r="AL512" s="108">
        <f t="shared" si="587"/>
        <v>0</v>
      </c>
      <c r="AN512" s="100">
        <v>15</v>
      </c>
      <c r="AO512" s="100">
        <f t="shared" si="588"/>
        <v>0</v>
      </c>
      <c r="AP512" s="100">
        <f t="shared" si="589"/>
        <v>0</v>
      </c>
      <c r="AQ512" s="111" t="s">
        <v>8</v>
      </c>
      <c r="AV512" s="100">
        <f t="shared" si="590"/>
        <v>0</v>
      </c>
      <c r="AW512" s="100">
        <f t="shared" si="591"/>
        <v>0</v>
      </c>
      <c r="AX512" s="100">
        <f t="shared" si="592"/>
        <v>0</v>
      </c>
      <c r="AY512" s="110" t="s">
        <v>1720</v>
      </c>
      <c r="AZ512" s="110" t="s">
        <v>1730</v>
      </c>
      <c r="BA512" s="109" t="s">
        <v>1737</v>
      </c>
      <c r="BC512" s="100">
        <f t="shared" si="593"/>
        <v>0</v>
      </c>
      <c r="BD512" s="100">
        <f t="shared" si="594"/>
        <v>0</v>
      </c>
      <c r="BE512" s="100">
        <v>0</v>
      </c>
      <c r="BF512" s="100">
        <f>512</f>
        <v>512</v>
      </c>
      <c r="BH512" s="108">
        <f t="shared" si="595"/>
        <v>0</v>
      </c>
      <c r="BI512" s="108">
        <f t="shared" si="596"/>
        <v>0</v>
      </c>
      <c r="BJ512" s="108">
        <f t="shared" si="597"/>
        <v>0</v>
      </c>
    </row>
    <row r="513" spans="1:62" x14ac:dyDescent="0.2">
      <c r="A513" s="117" t="s">
        <v>464</v>
      </c>
      <c r="B513" s="117" t="s">
        <v>3954</v>
      </c>
      <c r="C513" s="304" t="s">
        <v>1531</v>
      </c>
      <c r="D513" s="305"/>
      <c r="E513" s="305"/>
      <c r="F513" s="117" t="s">
        <v>1644</v>
      </c>
      <c r="G513" s="116">
        <v>1</v>
      </c>
      <c r="H513" s="159"/>
      <c r="I513" s="108">
        <f t="shared" si="574"/>
        <v>0</v>
      </c>
      <c r="J513" s="108">
        <f t="shared" si="575"/>
        <v>0</v>
      </c>
      <c r="K513" s="108">
        <f t="shared" si="576"/>
        <v>0</v>
      </c>
      <c r="L513" s="111"/>
      <c r="Z513" s="100">
        <f t="shared" si="577"/>
        <v>0</v>
      </c>
      <c r="AB513" s="100">
        <f t="shared" si="578"/>
        <v>0</v>
      </c>
      <c r="AC513" s="100">
        <f t="shared" si="579"/>
        <v>0</v>
      </c>
      <c r="AD513" s="100">
        <f t="shared" si="580"/>
        <v>0</v>
      </c>
      <c r="AE513" s="100">
        <f t="shared" si="581"/>
        <v>0</v>
      </c>
      <c r="AF513" s="100">
        <f t="shared" si="582"/>
        <v>0</v>
      </c>
      <c r="AG513" s="100">
        <f t="shared" si="583"/>
        <v>0</v>
      </c>
      <c r="AH513" s="100">
        <f t="shared" si="584"/>
        <v>0</v>
      </c>
      <c r="AI513" s="109"/>
      <c r="AJ513" s="108">
        <f t="shared" si="585"/>
        <v>0</v>
      </c>
      <c r="AK513" s="108">
        <f t="shared" si="586"/>
        <v>0</v>
      </c>
      <c r="AL513" s="108">
        <f t="shared" si="587"/>
        <v>0</v>
      </c>
      <c r="AN513" s="100">
        <v>15</v>
      </c>
      <c r="AO513" s="100">
        <f t="shared" si="588"/>
        <v>0</v>
      </c>
      <c r="AP513" s="100">
        <f t="shared" si="589"/>
        <v>0</v>
      </c>
      <c r="AQ513" s="111" t="s">
        <v>7</v>
      </c>
      <c r="AV513" s="100">
        <f t="shared" si="590"/>
        <v>0</v>
      </c>
      <c r="AW513" s="100">
        <f t="shared" si="591"/>
        <v>0</v>
      </c>
      <c r="AX513" s="100">
        <f t="shared" si="592"/>
        <v>0</v>
      </c>
      <c r="AY513" s="110" t="s">
        <v>1720</v>
      </c>
      <c r="AZ513" s="110" t="s">
        <v>1730</v>
      </c>
      <c r="BA513" s="109" t="s">
        <v>1737</v>
      </c>
      <c r="BC513" s="100">
        <f t="shared" si="593"/>
        <v>0</v>
      </c>
      <c r="BD513" s="100">
        <f t="shared" si="594"/>
        <v>0</v>
      </c>
      <c r="BE513" s="100">
        <v>0</v>
      </c>
      <c r="BF513" s="100">
        <f>513</f>
        <v>513</v>
      </c>
      <c r="BH513" s="108">
        <f t="shared" si="595"/>
        <v>0</v>
      </c>
      <c r="BI513" s="108">
        <f t="shared" si="596"/>
        <v>0</v>
      </c>
      <c r="BJ513" s="108">
        <f t="shared" si="597"/>
        <v>0</v>
      </c>
    </row>
    <row r="514" spans="1:62" x14ac:dyDescent="0.2">
      <c r="A514" s="117" t="s">
        <v>465</v>
      </c>
      <c r="B514" s="117" t="s">
        <v>3953</v>
      </c>
      <c r="C514" s="304" t="s">
        <v>1532</v>
      </c>
      <c r="D514" s="305"/>
      <c r="E514" s="305"/>
      <c r="F514" s="117" t="s">
        <v>1646</v>
      </c>
      <c r="G514" s="116">
        <v>80</v>
      </c>
      <c r="H514" s="159"/>
      <c r="I514" s="108">
        <f t="shared" si="574"/>
        <v>0</v>
      </c>
      <c r="J514" s="108">
        <f t="shared" si="575"/>
        <v>0</v>
      </c>
      <c r="K514" s="108">
        <f t="shared" si="576"/>
        <v>0</v>
      </c>
      <c r="L514" s="111"/>
      <c r="Z514" s="100">
        <f t="shared" si="577"/>
        <v>0</v>
      </c>
      <c r="AB514" s="100">
        <f t="shared" si="578"/>
        <v>0</v>
      </c>
      <c r="AC514" s="100">
        <f t="shared" si="579"/>
        <v>0</v>
      </c>
      <c r="AD514" s="100">
        <f t="shared" si="580"/>
        <v>0</v>
      </c>
      <c r="AE514" s="100">
        <f t="shared" si="581"/>
        <v>0</v>
      </c>
      <c r="AF514" s="100">
        <f t="shared" si="582"/>
        <v>0</v>
      </c>
      <c r="AG514" s="100">
        <f t="shared" si="583"/>
        <v>0</v>
      </c>
      <c r="AH514" s="100">
        <f t="shared" si="584"/>
        <v>0</v>
      </c>
      <c r="AI514" s="109"/>
      <c r="AJ514" s="108">
        <f t="shared" si="585"/>
        <v>0</v>
      </c>
      <c r="AK514" s="108">
        <f t="shared" si="586"/>
        <v>0</v>
      </c>
      <c r="AL514" s="108">
        <f t="shared" si="587"/>
        <v>0</v>
      </c>
      <c r="AN514" s="100">
        <v>15</v>
      </c>
      <c r="AO514" s="100">
        <f t="shared" si="588"/>
        <v>0</v>
      </c>
      <c r="AP514" s="100">
        <f t="shared" si="589"/>
        <v>0</v>
      </c>
      <c r="AQ514" s="111" t="s">
        <v>7</v>
      </c>
      <c r="AV514" s="100">
        <f t="shared" si="590"/>
        <v>0</v>
      </c>
      <c r="AW514" s="100">
        <f t="shared" si="591"/>
        <v>0</v>
      </c>
      <c r="AX514" s="100">
        <f t="shared" si="592"/>
        <v>0</v>
      </c>
      <c r="AY514" s="110" t="s">
        <v>1720</v>
      </c>
      <c r="AZ514" s="110" t="s">
        <v>1730</v>
      </c>
      <c r="BA514" s="109" t="s">
        <v>1737</v>
      </c>
      <c r="BC514" s="100">
        <f t="shared" si="593"/>
        <v>0</v>
      </c>
      <c r="BD514" s="100">
        <f t="shared" si="594"/>
        <v>0</v>
      </c>
      <c r="BE514" s="100">
        <v>0</v>
      </c>
      <c r="BF514" s="100">
        <f>514</f>
        <v>514</v>
      </c>
      <c r="BH514" s="108">
        <f t="shared" si="595"/>
        <v>0</v>
      </c>
      <c r="BI514" s="108">
        <f t="shared" si="596"/>
        <v>0</v>
      </c>
      <c r="BJ514" s="108">
        <f t="shared" si="597"/>
        <v>0</v>
      </c>
    </row>
    <row r="515" spans="1:62" x14ac:dyDescent="0.2">
      <c r="A515" s="117" t="s">
        <v>466</v>
      </c>
      <c r="B515" s="117" t="s">
        <v>3952</v>
      </c>
      <c r="C515" s="304" t="s">
        <v>1533</v>
      </c>
      <c r="D515" s="305"/>
      <c r="E515" s="305"/>
      <c r="F515" s="117" t="s">
        <v>1646</v>
      </c>
      <c r="G515" s="116">
        <v>30</v>
      </c>
      <c r="H515" s="159"/>
      <c r="I515" s="108">
        <f t="shared" si="574"/>
        <v>0</v>
      </c>
      <c r="J515" s="108">
        <f t="shared" si="575"/>
        <v>0</v>
      </c>
      <c r="K515" s="108">
        <f t="shared" si="576"/>
        <v>0</v>
      </c>
      <c r="L515" s="111"/>
      <c r="Z515" s="100">
        <f t="shared" si="577"/>
        <v>0</v>
      </c>
      <c r="AB515" s="100">
        <f t="shared" si="578"/>
        <v>0</v>
      </c>
      <c r="AC515" s="100">
        <f t="shared" si="579"/>
        <v>0</v>
      </c>
      <c r="AD515" s="100">
        <f t="shared" si="580"/>
        <v>0</v>
      </c>
      <c r="AE515" s="100">
        <f t="shared" si="581"/>
        <v>0</v>
      </c>
      <c r="AF515" s="100">
        <f t="shared" si="582"/>
        <v>0</v>
      </c>
      <c r="AG515" s="100">
        <f t="shared" si="583"/>
        <v>0</v>
      </c>
      <c r="AH515" s="100">
        <f t="shared" si="584"/>
        <v>0</v>
      </c>
      <c r="AI515" s="109"/>
      <c r="AJ515" s="108">
        <f t="shared" si="585"/>
        <v>0</v>
      </c>
      <c r="AK515" s="108">
        <f t="shared" si="586"/>
        <v>0</v>
      </c>
      <c r="AL515" s="108">
        <f t="shared" si="587"/>
        <v>0</v>
      </c>
      <c r="AN515" s="100">
        <v>15</v>
      </c>
      <c r="AO515" s="100">
        <f t="shared" si="588"/>
        <v>0</v>
      </c>
      <c r="AP515" s="100">
        <f t="shared" si="589"/>
        <v>0</v>
      </c>
      <c r="AQ515" s="111" t="s">
        <v>7</v>
      </c>
      <c r="AV515" s="100">
        <f t="shared" si="590"/>
        <v>0</v>
      </c>
      <c r="AW515" s="100">
        <f t="shared" si="591"/>
        <v>0</v>
      </c>
      <c r="AX515" s="100">
        <f t="shared" si="592"/>
        <v>0</v>
      </c>
      <c r="AY515" s="110" t="s">
        <v>1720</v>
      </c>
      <c r="AZ515" s="110" t="s">
        <v>1730</v>
      </c>
      <c r="BA515" s="109" t="s">
        <v>1737</v>
      </c>
      <c r="BC515" s="100">
        <f t="shared" si="593"/>
        <v>0</v>
      </c>
      <c r="BD515" s="100">
        <f t="shared" si="594"/>
        <v>0</v>
      </c>
      <c r="BE515" s="100">
        <v>0</v>
      </c>
      <c r="BF515" s="100">
        <f>515</f>
        <v>515</v>
      </c>
      <c r="BH515" s="108">
        <f t="shared" si="595"/>
        <v>0</v>
      </c>
      <c r="BI515" s="108">
        <f t="shared" si="596"/>
        <v>0</v>
      </c>
      <c r="BJ515" s="108">
        <f t="shared" si="597"/>
        <v>0</v>
      </c>
    </row>
    <row r="516" spans="1:62" x14ac:dyDescent="0.2">
      <c r="A516" s="117" t="s">
        <v>467</v>
      </c>
      <c r="B516" s="117" t="s">
        <v>3951</v>
      </c>
      <c r="C516" s="304" t="s">
        <v>1534</v>
      </c>
      <c r="D516" s="305"/>
      <c r="E516" s="305"/>
      <c r="F516" s="117" t="s">
        <v>1644</v>
      </c>
      <c r="G516" s="116">
        <v>5</v>
      </c>
      <c r="H516" s="159"/>
      <c r="I516" s="108">
        <f t="shared" si="574"/>
        <v>0</v>
      </c>
      <c r="J516" s="108">
        <f t="shared" si="575"/>
        <v>0</v>
      </c>
      <c r="K516" s="108">
        <f t="shared" si="576"/>
        <v>0</v>
      </c>
      <c r="L516" s="111"/>
      <c r="Z516" s="100">
        <f t="shared" si="577"/>
        <v>0</v>
      </c>
      <c r="AB516" s="100">
        <f t="shared" si="578"/>
        <v>0</v>
      </c>
      <c r="AC516" s="100">
        <f t="shared" si="579"/>
        <v>0</v>
      </c>
      <c r="AD516" s="100">
        <f t="shared" si="580"/>
        <v>0</v>
      </c>
      <c r="AE516" s="100">
        <f t="shared" si="581"/>
        <v>0</v>
      </c>
      <c r="AF516" s="100">
        <f t="shared" si="582"/>
        <v>0</v>
      </c>
      <c r="AG516" s="100">
        <f t="shared" si="583"/>
        <v>0</v>
      </c>
      <c r="AH516" s="100">
        <f t="shared" si="584"/>
        <v>0</v>
      </c>
      <c r="AI516" s="109"/>
      <c r="AJ516" s="108">
        <f t="shared" si="585"/>
        <v>0</v>
      </c>
      <c r="AK516" s="108">
        <f t="shared" si="586"/>
        <v>0</v>
      </c>
      <c r="AL516" s="108">
        <f t="shared" si="587"/>
        <v>0</v>
      </c>
      <c r="AN516" s="100">
        <v>15</v>
      </c>
      <c r="AO516" s="100">
        <f t="shared" si="588"/>
        <v>0</v>
      </c>
      <c r="AP516" s="100">
        <f t="shared" si="589"/>
        <v>0</v>
      </c>
      <c r="AQ516" s="111" t="s">
        <v>7</v>
      </c>
      <c r="AV516" s="100">
        <f t="shared" si="590"/>
        <v>0</v>
      </c>
      <c r="AW516" s="100">
        <f t="shared" si="591"/>
        <v>0</v>
      </c>
      <c r="AX516" s="100">
        <f t="shared" si="592"/>
        <v>0</v>
      </c>
      <c r="AY516" s="110" t="s">
        <v>1720</v>
      </c>
      <c r="AZ516" s="110" t="s">
        <v>1730</v>
      </c>
      <c r="BA516" s="109" t="s">
        <v>1737</v>
      </c>
      <c r="BC516" s="100">
        <f t="shared" si="593"/>
        <v>0</v>
      </c>
      <c r="BD516" s="100">
        <f t="shared" si="594"/>
        <v>0</v>
      </c>
      <c r="BE516" s="100">
        <v>0</v>
      </c>
      <c r="BF516" s="100">
        <f>516</f>
        <v>516</v>
      </c>
      <c r="BH516" s="108">
        <f t="shared" si="595"/>
        <v>0</v>
      </c>
      <c r="BI516" s="108">
        <f t="shared" si="596"/>
        <v>0</v>
      </c>
      <c r="BJ516" s="108">
        <f t="shared" si="597"/>
        <v>0</v>
      </c>
    </row>
    <row r="517" spans="1:62" x14ac:dyDescent="0.2">
      <c r="A517" s="117" t="s">
        <v>468</v>
      </c>
      <c r="B517" s="117" t="s">
        <v>3950</v>
      </c>
      <c r="C517" s="304" t="s">
        <v>1535</v>
      </c>
      <c r="D517" s="305"/>
      <c r="E517" s="305"/>
      <c r="F517" s="117" t="s">
        <v>1644</v>
      </c>
      <c r="G517" s="116">
        <v>3</v>
      </c>
      <c r="H517" s="159"/>
      <c r="I517" s="108">
        <f t="shared" si="574"/>
        <v>0</v>
      </c>
      <c r="J517" s="108">
        <f t="shared" si="575"/>
        <v>0</v>
      </c>
      <c r="K517" s="108">
        <f t="shared" si="576"/>
        <v>0</v>
      </c>
      <c r="L517" s="111"/>
      <c r="Z517" s="100">
        <f t="shared" si="577"/>
        <v>0</v>
      </c>
      <c r="AB517" s="100">
        <f t="shared" si="578"/>
        <v>0</v>
      </c>
      <c r="AC517" s="100">
        <f t="shared" si="579"/>
        <v>0</v>
      </c>
      <c r="AD517" s="100">
        <f t="shared" si="580"/>
        <v>0</v>
      </c>
      <c r="AE517" s="100">
        <f t="shared" si="581"/>
        <v>0</v>
      </c>
      <c r="AF517" s="100">
        <f t="shared" si="582"/>
        <v>0</v>
      </c>
      <c r="AG517" s="100">
        <f t="shared" si="583"/>
        <v>0</v>
      </c>
      <c r="AH517" s="100">
        <f t="shared" si="584"/>
        <v>0</v>
      </c>
      <c r="AI517" s="109"/>
      <c r="AJ517" s="108">
        <f t="shared" si="585"/>
        <v>0</v>
      </c>
      <c r="AK517" s="108">
        <f t="shared" si="586"/>
        <v>0</v>
      </c>
      <c r="AL517" s="108">
        <f t="shared" si="587"/>
        <v>0</v>
      </c>
      <c r="AN517" s="100">
        <v>15</v>
      </c>
      <c r="AO517" s="100">
        <f t="shared" si="588"/>
        <v>0</v>
      </c>
      <c r="AP517" s="100">
        <f t="shared" si="589"/>
        <v>0</v>
      </c>
      <c r="AQ517" s="111" t="s">
        <v>7</v>
      </c>
      <c r="AV517" s="100">
        <f t="shared" si="590"/>
        <v>0</v>
      </c>
      <c r="AW517" s="100">
        <f t="shared" si="591"/>
        <v>0</v>
      </c>
      <c r="AX517" s="100">
        <f t="shared" si="592"/>
        <v>0</v>
      </c>
      <c r="AY517" s="110" t="s">
        <v>1720</v>
      </c>
      <c r="AZ517" s="110" t="s">
        <v>1730</v>
      </c>
      <c r="BA517" s="109" t="s">
        <v>1737</v>
      </c>
      <c r="BC517" s="100">
        <f t="shared" si="593"/>
        <v>0</v>
      </c>
      <c r="BD517" s="100">
        <f t="shared" si="594"/>
        <v>0</v>
      </c>
      <c r="BE517" s="100">
        <v>0</v>
      </c>
      <c r="BF517" s="100">
        <f>517</f>
        <v>517</v>
      </c>
      <c r="BH517" s="108">
        <f t="shared" si="595"/>
        <v>0</v>
      </c>
      <c r="BI517" s="108">
        <f t="shared" si="596"/>
        <v>0</v>
      </c>
      <c r="BJ517" s="108">
        <f t="shared" si="597"/>
        <v>0</v>
      </c>
    </row>
    <row r="518" spans="1:62" x14ac:dyDescent="0.2">
      <c r="A518" s="117" t="s">
        <v>469</v>
      </c>
      <c r="B518" s="117" t="s">
        <v>3949</v>
      </c>
      <c r="C518" s="304" t="s">
        <v>1536</v>
      </c>
      <c r="D518" s="305"/>
      <c r="E518" s="305"/>
      <c r="F518" s="117" t="s">
        <v>1644</v>
      </c>
      <c r="G518" s="116">
        <v>24</v>
      </c>
      <c r="H518" s="159"/>
      <c r="I518" s="108">
        <f t="shared" si="574"/>
        <v>0</v>
      </c>
      <c r="J518" s="108">
        <f t="shared" si="575"/>
        <v>0</v>
      </c>
      <c r="K518" s="108">
        <f t="shared" si="576"/>
        <v>0</v>
      </c>
      <c r="L518" s="111"/>
      <c r="Z518" s="100">
        <f t="shared" si="577"/>
        <v>0</v>
      </c>
      <c r="AB518" s="100">
        <f t="shared" si="578"/>
        <v>0</v>
      </c>
      <c r="AC518" s="100">
        <f t="shared" si="579"/>
        <v>0</v>
      </c>
      <c r="AD518" s="100">
        <f t="shared" si="580"/>
        <v>0</v>
      </c>
      <c r="AE518" s="100">
        <f t="shared" si="581"/>
        <v>0</v>
      </c>
      <c r="AF518" s="100">
        <f t="shared" si="582"/>
        <v>0</v>
      </c>
      <c r="AG518" s="100">
        <f t="shared" si="583"/>
        <v>0</v>
      </c>
      <c r="AH518" s="100">
        <f t="shared" si="584"/>
        <v>0</v>
      </c>
      <c r="AI518" s="109"/>
      <c r="AJ518" s="108">
        <f t="shared" si="585"/>
        <v>0</v>
      </c>
      <c r="AK518" s="108">
        <f t="shared" si="586"/>
        <v>0</v>
      </c>
      <c r="AL518" s="108">
        <f t="shared" si="587"/>
        <v>0</v>
      </c>
      <c r="AN518" s="100">
        <v>15</v>
      </c>
      <c r="AO518" s="100">
        <f t="shared" si="588"/>
        <v>0</v>
      </c>
      <c r="AP518" s="100">
        <f t="shared" si="589"/>
        <v>0</v>
      </c>
      <c r="AQ518" s="111" t="s">
        <v>7</v>
      </c>
      <c r="AV518" s="100">
        <f t="shared" si="590"/>
        <v>0</v>
      </c>
      <c r="AW518" s="100">
        <f t="shared" si="591"/>
        <v>0</v>
      </c>
      <c r="AX518" s="100">
        <f t="shared" si="592"/>
        <v>0</v>
      </c>
      <c r="AY518" s="110" t="s">
        <v>1720</v>
      </c>
      <c r="AZ518" s="110" t="s">
        <v>1730</v>
      </c>
      <c r="BA518" s="109" t="s">
        <v>1737</v>
      </c>
      <c r="BC518" s="100">
        <f t="shared" si="593"/>
        <v>0</v>
      </c>
      <c r="BD518" s="100">
        <f t="shared" si="594"/>
        <v>0</v>
      </c>
      <c r="BE518" s="100">
        <v>0</v>
      </c>
      <c r="BF518" s="100">
        <f>518</f>
        <v>518</v>
      </c>
      <c r="BH518" s="108">
        <f t="shared" si="595"/>
        <v>0</v>
      </c>
      <c r="BI518" s="108">
        <f t="shared" si="596"/>
        <v>0</v>
      </c>
      <c r="BJ518" s="108">
        <f t="shared" si="597"/>
        <v>0</v>
      </c>
    </row>
    <row r="519" spans="1:62" x14ac:dyDescent="0.2">
      <c r="A519" s="117" t="s">
        <v>470</v>
      </c>
      <c r="B519" s="117" t="s">
        <v>3948</v>
      </c>
      <c r="C519" s="304" t="s">
        <v>1537</v>
      </c>
      <c r="D519" s="305"/>
      <c r="E519" s="305"/>
      <c r="F519" s="117" t="s">
        <v>1644</v>
      </c>
      <c r="G519" s="116">
        <v>1</v>
      </c>
      <c r="H519" s="159"/>
      <c r="I519" s="108">
        <f t="shared" si="574"/>
        <v>0</v>
      </c>
      <c r="J519" s="108">
        <f t="shared" si="575"/>
        <v>0</v>
      </c>
      <c r="K519" s="108">
        <f t="shared" si="576"/>
        <v>0</v>
      </c>
      <c r="L519" s="111"/>
      <c r="Z519" s="100">
        <f t="shared" si="577"/>
        <v>0</v>
      </c>
      <c r="AB519" s="100">
        <f t="shared" si="578"/>
        <v>0</v>
      </c>
      <c r="AC519" s="100">
        <f t="shared" si="579"/>
        <v>0</v>
      </c>
      <c r="AD519" s="100">
        <f t="shared" si="580"/>
        <v>0</v>
      </c>
      <c r="AE519" s="100">
        <f t="shared" si="581"/>
        <v>0</v>
      </c>
      <c r="AF519" s="100">
        <f t="shared" si="582"/>
        <v>0</v>
      </c>
      <c r="AG519" s="100">
        <f t="shared" si="583"/>
        <v>0</v>
      </c>
      <c r="AH519" s="100">
        <f t="shared" si="584"/>
        <v>0</v>
      </c>
      <c r="AI519" s="109"/>
      <c r="AJ519" s="108">
        <f t="shared" si="585"/>
        <v>0</v>
      </c>
      <c r="AK519" s="108">
        <f t="shared" si="586"/>
        <v>0</v>
      </c>
      <c r="AL519" s="108">
        <f t="shared" si="587"/>
        <v>0</v>
      </c>
      <c r="AN519" s="100">
        <v>15</v>
      </c>
      <c r="AO519" s="100">
        <f t="shared" si="588"/>
        <v>0</v>
      </c>
      <c r="AP519" s="100">
        <f t="shared" si="589"/>
        <v>0</v>
      </c>
      <c r="AQ519" s="111" t="s">
        <v>7</v>
      </c>
      <c r="AV519" s="100">
        <f t="shared" si="590"/>
        <v>0</v>
      </c>
      <c r="AW519" s="100">
        <f t="shared" si="591"/>
        <v>0</v>
      </c>
      <c r="AX519" s="100">
        <f t="shared" si="592"/>
        <v>0</v>
      </c>
      <c r="AY519" s="110" t="s">
        <v>1720</v>
      </c>
      <c r="AZ519" s="110" t="s">
        <v>1730</v>
      </c>
      <c r="BA519" s="109" t="s">
        <v>1737</v>
      </c>
      <c r="BC519" s="100">
        <f t="shared" si="593"/>
        <v>0</v>
      </c>
      <c r="BD519" s="100">
        <f t="shared" si="594"/>
        <v>0</v>
      </c>
      <c r="BE519" s="100">
        <v>0</v>
      </c>
      <c r="BF519" s="100">
        <f>519</f>
        <v>519</v>
      </c>
      <c r="BH519" s="108">
        <f t="shared" si="595"/>
        <v>0</v>
      </c>
      <c r="BI519" s="108">
        <f t="shared" si="596"/>
        <v>0</v>
      </c>
      <c r="BJ519" s="108">
        <f t="shared" si="597"/>
        <v>0</v>
      </c>
    </row>
    <row r="520" spans="1:62" x14ac:dyDescent="0.2">
      <c r="A520" s="117" t="s">
        <v>471</v>
      </c>
      <c r="B520" s="117" t="s">
        <v>3947</v>
      </c>
      <c r="C520" s="304" t="s">
        <v>1538</v>
      </c>
      <c r="D520" s="305"/>
      <c r="E520" s="305"/>
      <c r="F520" s="117" t="s">
        <v>1646</v>
      </c>
      <c r="G520" s="116">
        <v>20</v>
      </c>
      <c r="H520" s="159"/>
      <c r="I520" s="108">
        <f t="shared" si="574"/>
        <v>0</v>
      </c>
      <c r="J520" s="108">
        <f t="shared" si="575"/>
        <v>0</v>
      </c>
      <c r="K520" s="108">
        <f t="shared" si="576"/>
        <v>0</v>
      </c>
      <c r="L520" s="111"/>
      <c r="Z520" s="100">
        <f t="shared" si="577"/>
        <v>0</v>
      </c>
      <c r="AB520" s="100">
        <f t="shared" si="578"/>
        <v>0</v>
      </c>
      <c r="AC520" s="100">
        <f t="shared" si="579"/>
        <v>0</v>
      </c>
      <c r="AD520" s="100">
        <f t="shared" si="580"/>
        <v>0</v>
      </c>
      <c r="AE520" s="100">
        <f t="shared" si="581"/>
        <v>0</v>
      </c>
      <c r="AF520" s="100">
        <f t="shared" si="582"/>
        <v>0</v>
      </c>
      <c r="AG520" s="100">
        <f t="shared" si="583"/>
        <v>0</v>
      </c>
      <c r="AH520" s="100">
        <f t="shared" si="584"/>
        <v>0</v>
      </c>
      <c r="AI520" s="109"/>
      <c r="AJ520" s="108">
        <f t="shared" si="585"/>
        <v>0</v>
      </c>
      <c r="AK520" s="108">
        <f t="shared" si="586"/>
        <v>0</v>
      </c>
      <c r="AL520" s="108">
        <f t="shared" si="587"/>
        <v>0</v>
      </c>
      <c r="AN520" s="100">
        <v>15</v>
      </c>
      <c r="AO520" s="100">
        <f t="shared" si="588"/>
        <v>0</v>
      </c>
      <c r="AP520" s="100">
        <f t="shared" si="589"/>
        <v>0</v>
      </c>
      <c r="AQ520" s="111" t="s">
        <v>7</v>
      </c>
      <c r="AV520" s="100">
        <f t="shared" si="590"/>
        <v>0</v>
      </c>
      <c r="AW520" s="100">
        <f t="shared" si="591"/>
        <v>0</v>
      </c>
      <c r="AX520" s="100">
        <f t="shared" si="592"/>
        <v>0</v>
      </c>
      <c r="AY520" s="110" t="s">
        <v>1720</v>
      </c>
      <c r="AZ520" s="110" t="s">
        <v>1730</v>
      </c>
      <c r="BA520" s="109" t="s">
        <v>1737</v>
      </c>
      <c r="BC520" s="100">
        <f t="shared" si="593"/>
        <v>0</v>
      </c>
      <c r="BD520" s="100">
        <f t="shared" si="594"/>
        <v>0</v>
      </c>
      <c r="BE520" s="100">
        <v>0</v>
      </c>
      <c r="BF520" s="100">
        <f>520</f>
        <v>520</v>
      </c>
      <c r="BH520" s="108">
        <f t="shared" si="595"/>
        <v>0</v>
      </c>
      <c r="BI520" s="108">
        <f t="shared" si="596"/>
        <v>0</v>
      </c>
      <c r="BJ520" s="108">
        <f t="shared" si="597"/>
        <v>0</v>
      </c>
    </row>
    <row r="521" spans="1:62" x14ac:dyDescent="0.2">
      <c r="A521" s="117" t="s">
        <v>472</v>
      </c>
      <c r="B521" s="117" t="s">
        <v>3946</v>
      </c>
      <c r="C521" s="304" t="s">
        <v>1539</v>
      </c>
      <c r="D521" s="305"/>
      <c r="E521" s="305"/>
      <c r="F521" s="117" t="s">
        <v>1646</v>
      </c>
      <c r="G521" s="116">
        <v>30</v>
      </c>
      <c r="H521" s="159"/>
      <c r="I521" s="108">
        <f t="shared" si="574"/>
        <v>0</v>
      </c>
      <c r="J521" s="108">
        <f t="shared" si="575"/>
        <v>0</v>
      </c>
      <c r="K521" s="108">
        <f t="shared" si="576"/>
        <v>0</v>
      </c>
      <c r="L521" s="111"/>
      <c r="Z521" s="100">
        <f t="shared" si="577"/>
        <v>0</v>
      </c>
      <c r="AB521" s="100">
        <f t="shared" si="578"/>
        <v>0</v>
      </c>
      <c r="AC521" s="100">
        <f t="shared" si="579"/>
        <v>0</v>
      </c>
      <c r="AD521" s="100">
        <f t="shared" si="580"/>
        <v>0</v>
      </c>
      <c r="AE521" s="100">
        <f t="shared" si="581"/>
        <v>0</v>
      </c>
      <c r="AF521" s="100">
        <f t="shared" si="582"/>
        <v>0</v>
      </c>
      <c r="AG521" s="100">
        <f t="shared" si="583"/>
        <v>0</v>
      </c>
      <c r="AH521" s="100">
        <f t="shared" si="584"/>
        <v>0</v>
      </c>
      <c r="AI521" s="109"/>
      <c r="AJ521" s="108">
        <f t="shared" si="585"/>
        <v>0</v>
      </c>
      <c r="AK521" s="108">
        <f t="shared" si="586"/>
        <v>0</v>
      </c>
      <c r="AL521" s="108">
        <f t="shared" si="587"/>
        <v>0</v>
      </c>
      <c r="AN521" s="100">
        <v>15</v>
      </c>
      <c r="AO521" s="100">
        <f t="shared" si="588"/>
        <v>0</v>
      </c>
      <c r="AP521" s="100">
        <f t="shared" si="589"/>
        <v>0</v>
      </c>
      <c r="AQ521" s="111" t="s">
        <v>7</v>
      </c>
      <c r="AV521" s="100">
        <f t="shared" si="590"/>
        <v>0</v>
      </c>
      <c r="AW521" s="100">
        <f t="shared" si="591"/>
        <v>0</v>
      </c>
      <c r="AX521" s="100">
        <f t="shared" si="592"/>
        <v>0</v>
      </c>
      <c r="AY521" s="110" t="s">
        <v>1720</v>
      </c>
      <c r="AZ521" s="110" t="s">
        <v>1730</v>
      </c>
      <c r="BA521" s="109" t="s">
        <v>1737</v>
      </c>
      <c r="BC521" s="100">
        <f t="shared" si="593"/>
        <v>0</v>
      </c>
      <c r="BD521" s="100">
        <f t="shared" si="594"/>
        <v>0</v>
      </c>
      <c r="BE521" s="100">
        <v>0</v>
      </c>
      <c r="BF521" s="100">
        <f>521</f>
        <v>521</v>
      </c>
      <c r="BH521" s="108">
        <f t="shared" si="595"/>
        <v>0</v>
      </c>
      <c r="BI521" s="108">
        <f t="shared" si="596"/>
        <v>0</v>
      </c>
      <c r="BJ521" s="108">
        <f t="shared" si="597"/>
        <v>0</v>
      </c>
    </row>
    <row r="522" spans="1:62" x14ac:dyDescent="0.2">
      <c r="A522" s="117" t="s">
        <v>473</v>
      </c>
      <c r="B522" s="117" t="s">
        <v>3945</v>
      </c>
      <c r="C522" s="304" t="s">
        <v>1540</v>
      </c>
      <c r="D522" s="305"/>
      <c r="E522" s="305"/>
      <c r="F522" s="117" t="s">
        <v>1646</v>
      </c>
      <c r="G522" s="116">
        <v>40</v>
      </c>
      <c r="H522" s="159"/>
      <c r="I522" s="108">
        <f t="shared" si="574"/>
        <v>0</v>
      </c>
      <c r="J522" s="108">
        <f t="shared" si="575"/>
        <v>0</v>
      </c>
      <c r="K522" s="108">
        <f t="shared" si="576"/>
        <v>0</v>
      </c>
      <c r="L522" s="111"/>
      <c r="Z522" s="100">
        <f t="shared" si="577"/>
        <v>0</v>
      </c>
      <c r="AB522" s="100">
        <f t="shared" si="578"/>
        <v>0</v>
      </c>
      <c r="AC522" s="100">
        <f t="shared" si="579"/>
        <v>0</v>
      </c>
      <c r="AD522" s="100">
        <f t="shared" si="580"/>
        <v>0</v>
      </c>
      <c r="AE522" s="100">
        <f t="shared" si="581"/>
        <v>0</v>
      </c>
      <c r="AF522" s="100">
        <f t="shared" si="582"/>
        <v>0</v>
      </c>
      <c r="AG522" s="100">
        <f t="shared" si="583"/>
        <v>0</v>
      </c>
      <c r="AH522" s="100">
        <f t="shared" si="584"/>
        <v>0</v>
      </c>
      <c r="AI522" s="109"/>
      <c r="AJ522" s="108">
        <f t="shared" si="585"/>
        <v>0</v>
      </c>
      <c r="AK522" s="108">
        <f t="shared" si="586"/>
        <v>0</v>
      </c>
      <c r="AL522" s="108">
        <f t="shared" si="587"/>
        <v>0</v>
      </c>
      <c r="AN522" s="100">
        <v>15</v>
      </c>
      <c r="AO522" s="100">
        <f t="shared" si="588"/>
        <v>0</v>
      </c>
      <c r="AP522" s="100">
        <f t="shared" si="589"/>
        <v>0</v>
      </c>
      <c r="AQ522" s="111" t="s">
        <v>7</v>
      </c>
      <c r="AV522" s="100">
        <f t="shared" si="590"/>
        <v>0</v>
      </c>
      <c r="AW522" s="100">
        <f t="shared" si="591"/>
        <v>0</v>
      </c>
      <c r="AX522" s="100">
        <f t="shared" si="592"/>
        <v>0</v>
      </c>
      <c r="AY522" s="110" t="s">
        <v>1720</v>
      </c>
      <c r="AZ522" s="110" t="s">
        <v>1730</v>
      </c>
      <c r="BA522" s="109" t="s">
        <v>1737</v>
      </c>
      <c r="BC522" s="100">
        <f t="shared" si="593"/>
        <v>0</v>
      </c>
      <c r="BD522" s="100">
        <f t="shared" si="594"/>
        <v>0</v>
      </c>
      <c r="BE522" s="100">
        <v>0</v>
      </c>
      <c r="BF522" s="100">
        <f>522</f>
        <v>522</v>
      </c>
      <c r="BH522" s="108">
        <f t="shared" si="595"/>
        <v>0</v>
      </c>
      <c r="BI522" s="108">
        <f t="shared" si="596"/>
        <v>0</v>
      </c>
      <c r="BJ522" s="108">
        <f t="shared" si="597"/>
        <v>0</v>
      </c>
    </row>
    <row r="523" spans="1:62" x14ac:dyDescent="0.2">
      <c r="A523" s="117" t="s">
        <v>474</v>
      </c>
      <c r="B523" s="117" t="s">
        <v>3944</v>
      </c>
      <c r="C523" s="304" t="s">
        <v>1541</v>
      </c>
      <c r="D523" s="305"/>
      <c r="E523" s="305"/>
      <c r="F523" s="117" t="s">
        <v>1646</v>
      </c>
      <c r="G523" s="116">
        <v>40</v>
      </c>
      <c r="H523" s="159"/>
      <c r="I523" s="108">
        <f t="shared" si="574"/>
        <v>0</v>
      </c>
      <c r="J523" s="108">
        <f t="shared" si="575"/>
        <v>0</v>
      </c>
      <c r="K523" s="108">
        <f t="shared" si="576"/>
        <v>0</v>
      </c>
      <c r="L523" s="111"/>
      <c r="Z523" s="100">
        <f t="shared" si="577"/>
        <v>0</v>
      </c>
      <c r="AB523" s="100">
        <f t="shared" si="578"/>
        <v>0</v>
      </c>
      <c r="AC523" s="100">
        <f t="shared" si="579"/>
        <v>0</v>
      </c>
      <c r="AD523" s="100">
        <f t="shared" si="580"/>
        <v>0</v>
      </c>
      <c r="AE523" s="100">
        <f t="shared" si="581"/>
        <v>0</v>
      </c>
      <c r="AF523" s="100">
        <f t="shared" si="582"/>
        <v>0</v>
      </c>
      <c r="AG523" s="100">
        <f t="shared" si="583"/>
        <v>0</v>
      </c>
      <c r="AH523" s="100">
        <f t="shared" si="584"/>
        <v>0</v>
      </c>
      <c r="AI523" s="109"/>
      <c r="AJ523" s="108">
        <f t="shared" si="585"/>
        <v>0</v>
      </c>
      <c r="AK523" s="108">
        <f t="shared" si="586"/>
        <v>0</v>
      </c>
      <c r="AL523" s="108">
        <f t="shared" si="587"/>
        <v>0</v>
      </c>
      <c r="AN523" s="100">
        <v>15</v>
      </c>
      <c r="AO523" s="100">
        <f t="shared" si="588"/>
        <v>0</v>
      </c>
      <c r="AP523" s="100">
        <f t="shared" si="589"/>
        <v>0</v>
      </c>
      <c r="AQ523" s="111" t="s">
        <v>7</v>
      </c>
      <c r="AV523" s="100">
        <f t="shared" si="590"/>
        <v>0</v>
      </c>
      <c r="AW523" s="100">
        <f t="shared" si="591"/>
        <v>0</v>
      </c>
      <c r="AX523" s="100">
        <f t="shared" si="592"/>
        <v>0</v>
      </c>
      <c r="AY523" s="110" t="s">
        <v>1720</v>
      </c>
      <c r="AZ523" s="110" t="s">
        <v>1730</v>
      </c>
      <c r="BA523" s="109" t="s">
        <v>1737</v>
      </c>
      <c r="BC523" s="100">
        <f t="shared" si="593"/>
        <v>0</v>
      </c>
      <c r="BD523" s="100">
        <f t="shared" si="594"/>
        <v>0</v>
      </c>
      <c r="BE523" s="100">
        <v>0</v>
      </c>
      <c r="BF523" s="100">
        <f>523</f>
        <v>523</v>
      </c>
      <c r="BH523" s="108">
        <f t="shared" si="595"/>
        <v>0</v>
      </c>
      <c r="BI523" s="108">
        <f t="shared" si="596"/>
        <v>0</v>
      </c>
      <c r="BJ523" s="108">
        <f t="shared" si="597"/>
        <v>0</v>
      </c>
    </row>
    <row r="524" spans="1:62" x14ac:dyDescent="0.2">
      <c r="A524" s="117" t="s">
        <v>475</v>
      </c>
      <c r="B524" s="117" t="s">
        <v>3943</v>
      </c>
      <c r="C524" s="304" t="s">
        <v>1542</v>
      </c>
      <c r="D524" s="305"/>
      <c r="E524" s="305"/>
      <c r="F524" s="117" t="s">
        <v>1646</v>
      </c>
      <c r="G524" s="116">
        <v>30</v>
      </c>
      <c r="H524" s="159"/>
      <c r="I524" s="108">
        <f t="shared" si="574"/>
        <v>0</v>
      </c>
      <c r="J524" s="108">
        <f t="shared" si="575"/>
        <v>0</v>
      </c>
      <c r="K524" s="108">
        <f t="shared" si="576"/>
        <v>0</v>
      </c>
      <c r="L524" s="111"/>
      <c r="Z524" s="100">
        <f t="shared" si="577"/>
        <v>0</v>
      </c>
      <c r="AB524" s="100">
        <f t="shared" si="578"/>
        <v>0</v>
      </c>
      <c r="AC524" s="100">
        <f t="shared" si="579"/>
        <v>0</v>
      </c>
      <c r="AD524" s="100">
        <f t="shared" si="580"/>
        <v>0</v>
      </c>
      <c r="AE524" s="100">
        <f t="shared" si="581"/>
        <v>0</v>
      </c>
      <c r="AF524" s="100">
        <f t="shared" si="582"/>
        <v>0</v>
      </c>
      <c r="AG524" s="100">
        <f t="shared" si="583"/>
        <v>0</v>
      </c>
      <c r="AH524" s="100">
        <f t="shared" si="584"/>
        <v>0</v>
      </c>
      <c r="AI524" s="109"/>
      <c r="AJ524" s="108">
        <f t="shared" si="585"/>
        <v>0</v>
      </c>
      <c r="AK524" s="108">
        <f t="shared" si="586"/>
        <v>0</v>
      </c>
      <c r="AL524" s="108">
        <f t="shared" si="587"/>
        <v>0</v>
      </c>
      <c r="AN524" s="100">
        <v>15</v>
      </c>
      <c r="AO524" s="100">
        <f t="shared" si="588"/>
        <v>0</v>
      </c>
      <c r="AP524" s="100">
        <f t="shared" si="589"/>
        <v>0</v>
      </c>
      <c r="AQ524" s="111" t="s">
        <v>7</v>
      </c>
      <c r="AV524" s="100">
        <f t="shared" si="590"/>
        <v>0</v>
      </c>
      <c r="AW524" s="100">
        <f t="shared" si="591"/>
        <v>0</v>
      </c>
      <c r="AX524" s="100">
        <f t="shared" si="592"/>
        <v>0</v>
      </c>
      <c r="AY524" s="110" t="s">
        <v>1720</v>
      </c>
      <c r="AZ524" s="110" t="s">
        <v>1730</v>
      </c>
      <c r="BA524" s="109" t="s">
        <v>1737</v>
      </c>
      <c r="BC524" s="100">
        <f t="shared" si="593"/>
        <v>0</v>
      </c>
      <c r="BD524" s="100">
        <f t="shared" si="594"/>
        <v>0</v>
      </c>
      <c r="BE524" s="100">
        <v>0</v>
      </c>
      <c r="BF524" s="100">
        <f>524</f>
        <v>524</v>
      </c>
      <c r="BH524" s="108">
        <f t="shared" si="595"/>
        <v>0</v>
      </c>
      <c r="BI524" s="108">
        <f t="shared" si="596"/>
        <v>0</v>
      </c>
      <c r="BJ524" s="108">
        <f t="shared" si="597"/>
        <v>0</v>
      </c>
    </row>
    <row r="525" spans="1:62" x14ac:dyDescent="0.2">
      <c r="A525" s="117" t="s">
        <v>476</v>
      </c>
      <c r="B525" s="117" t="s">
        <v>3942</v>
      </c>
      <c r="C525" s="304" t="s">
        <v>1543</v>
      </c>
      <c r="D525" s="305"/>
      <c r="E525" s="305"/>
      <c r="F525" s="117" t="s">
        <v>1644</v>
      </c>
      <c r="G525" s="116">
        <v>1</v>
      </c>
      <c r="H525" s="159"/>
      <c r="I525" s="108">
        <f t="shared" si="574"/>
        <v>0</v>
      </c>
      <c r="J525" s="108">
        <f t="shared" si="575"/>
        <v>0</v>
      </c>
      <c r="K525" s="108">
        <f t="shared" si="576"/>
        <v>0</v>
      </c>
      <c r="L525" s="111"/>
      <c r="Z525" s="100">
        <f t="shared" si="577"/>
        <v>0</v>
      </c>
      <c r="AB525" s="100">
        <f t="shared" si="578"/>
        <v>0</v>
      </c>
      <c r="AC525" s="100">
        <f t="shared" si="579"/>
        <v>0</v>
      </c>
      <c r="AD525" s="100">
        <f t="shared" si="580"/>
        <v>0</v>
      </c>
      <c r="AE525" s="100">
        <f t="shared" si="581"/>
        <v>0</v>
      </c>
      <c r="AF525" s="100">
        <f t="shared" si="582"/>
        <v>0</v>
      </c>
      <c r="AG525" s="100">
        <f t="shared" si="583"/>
        <v>0</v>
      </c>
      <c r="AH525" s="100">
        <f t="shared" si="584"/>
        <v>0</v>
      </c>
      <c r="AI525" s="109"/>
      <c r="AJ525" s="108">
        <f t="shared" si="585"/>
        <v>0</v>
      </c>
      <c r="AK525" s="108">
        <f t="shared" si="586"/>
        <v>0</v>
      </c>
      <c r="AL525" s="108">
        <f t="shared" si="587"/>
        <v>0</v>
      </c>
      <c r="AN525" s="100">
        <v>15</v>
      </c>
      <c r="AO525" s="100">
        <f t="shared" si="588"/>
        <v>0</v>
      </c>
      <c r="AP525" s="100">
        <f t="shared" si="589"/>
        <v>0</v>
      </c>
      <c r="AQ525" s="111" t="s">
        <v>7</v>
      </c>
      <c r="AV525" s="100">
        <f t="shared" si="590"/>
        <v>0</v>
      </c>
      <c r="AW525" s="100">
        <f t="shared" si="591"/>
        <v>0</v>
      </c>
      <c r="AX525" s="100">
        <f t="shared" si="592"/>
        <v>0</v>
      </c>
      <c r="AY525" s="110" t="s">
        <v>1720</v>
      </c>
      <c r="AZ525" s="110" t="s">
        <v>1730</v>
      </c>
      <c r="BA525" s="109" t="s">
        <v>1737</v>
      </c>
      <c r="BC525" s="100">
        <f t="shared" si="593"/>
        <v>0</v>
      </c>
      <c r="BD525" s="100">
        <f t="shared" si="594"/>
        <v>0</v>
      </c>
      <c r="BE525" s="100">
        <v>0</v>
      </c>
      <c r="BF525" s="100">
        <f>525</f>
        <v>525</v>
      </c>
      <c r="BH525" s="108">
        <f t="shared" si="595"/>
        <v>0</v>
      </c>
      <c r="BI525" s="108">
        <f t="shared" si="596"/>
        <v>0</v>
      </c>
      <c r="BJ525" s="108">
        <f t="shared" si="597"/>
        <v>0</v>
      </c>
    </row>
    <row r="526" spans="1:62" x14ac:dyDescent="0.2">
      <c r="A526" s="117" t="s">
        <v>477</v>
      </c>
      <c r="B526" s="117" t="s">
        <v>3941</v>
      </c>
      <c r="C526" s="304" t="s">
        <v>3376</v>
      </c>
      <c r="D526" s="305"/>
      <c r="E526" s="305"/>
      <c r="F526" s="117" t="s">
        <v>1644</v>
      </c>
      <c r="G526" s="116">
        <v>6</v>
      </c>
      <c r="H526" s="159"/>
      <c r="I526" s="108">
        <f t="shared" si="574"/>
        <v>0</v>
      </c>
      <c r="J526" s="108">
        <f t="shared" si="575"/>
        <v>0</v>
      </c>
      <c r="K526" s="108">
        <f t="shared" si="576"/>
        <v>0</v>
      </c>
      <c r="L526" s="111"/>
      <c r="Z526" s="100">
        <f t="shared" si="577"/>
        <v>0</v>
      </c>
      <c r="AB526" s="100">
        <f t="shared" si="578"/>
        <v>0</v>
      </c>
      <c r="AC526" s="100">
        <f t="shared" si="579"/>
        <v>0</v>
      </c>
      <c r="AD526" s="100">
        <f t="shared" si="580"/>
        <v>0</v>
      </c>
      <c r="AE526" s="100">
        <f t="shared" si="581"/>
        <v>0</v>
      </c>
      <c r="AF526" s="100">
        <f t="shared" si="582"/>
        <v>0</v>
      </c>
      <c r="AG526" s="100">
        <f t="shared" si="583"/>
        <v>0</v>
      </c>
      <c r="AH526" s="100">
        <f t="shared" si="584"/>
        <v>0</v>
      </c>
      <c r="AI526" s="109"/>
      <c r="AJ526" s="108">
        <f t="shared" si="585"/>
        <v>0</v>
      </c>
      <c r="AK526" s="108">
        <f t="shared" si="586"/>
        <v>0</v>
      </c>
      <c r="AL526" s="108">
        <f t="shared" si="587"/>
        <v>0</v>
      </c>
      <c r="AN526" s="100">
        <v>15</v>
      </c>
      <c r="AO526" s="100">
        <f t="shared" si="588"/>
        <v>0</v>
      </c>
      <c r="AP526" s="100">
        <f t="shared" si="589"/>
        <v>0</v>
      </c>
      <c r="AQ526" s="111" t="s">
        <v>7</v>
      </c>
      <c r="AV526" s="100">
        <f t="shared" si="590"/>
        <v>0</v>
      </c>
      <c r="AW526" s="100">
        <f t="shared" si="591"/>
        <v>0</v>
      </c>
      <c r="AX526" s="100">
        <f t="shared" si="592"/>
        <v>0</v>
      </c>
      <c r="AY526" s="110" t="s">
        <v>1720</v>
      </c>
      <c r="AZ526" s="110" t="s">
        <v>1730</v>
      </c>
      <c r="BA526" s="109" t="s">
        <v>1737</v>
      </c>
      <c r="BC526" s="100">
        <f t="shared" si="593"/>
        <v>0</v>
      </c>
      <c r="BD526" s="100">
        <f t="shared" si="594"/>
        <v>0</v>
      </c>
      <c r="BE526" s="100">
        <v>0</v>
      </c>
      <c r="BF526" s="100">
        <f>526</f>
        <v>526</v>
      </c>
      <c r="BH526" s="108">
        <f t="shared" si="595"/>
        <v>0</v>
      </c>
      <c r="BI526" s="108">
        <f t="shared" si="596"/>
        <v>0</v>
      </c>
      <c r="BJ526" s="108">
        <f t="shared" si="597"/>
        <v>0</v>
      </c>
    </row>
    <row r="527" spans="1:62" x14ac:dyDescent="0.2">
      <c r="A527" s="117" t="s">
        <v>478</v>
      </c>
      <c r="B527" s="117" t="s">
        <v>3940</v>
      </c>
      <c r="C527" s="304" t="s">
        <v>1545</v>
      </c>
      <c r="D527" s="305"/>
      <c r="E527" s="305"/>
      <c r="F527" s="117" t="s">
        <v>1646</v>
      </c>
      <c r="G527" s="116">
        <v>210</v>
      </c>
      <c r="H527" s="159"/>
      <c r="I527" s="108">
        <f t="shared" si="574"/>
        <v>0</v>
      </c>
      <c r="J527" s="108">
        <f t="shared" si="575"/>
        <v>0</v>
      </c>
      <c r="K527" s="108">
        <f t="shared" si="576"/>
        <v>0</v>
      </c>
      <c r="L527" s="111"/>
      <c r="Z527" s="100">
        <f t="shared" si="577"/>
        <v>0</v>
      </c>
      <c r="AB527" s="100">
        <f t="shared" si="578"/>
        <v>0</v>
      </c>
      <c r="AC527" s="100">
        <f t="shared" si="579"/>
        <v>0</v>
      </c>
      <c r="AD527" s="100">
        <f t="shared" si="580"/>
        <v>0</v>
      </c>
      <c r="AE527" s="100">
        <f t="shared" si="581"/>
        <v>0</v>
      </c>
      <c r="AF527" s="100">
        <f t="shared" si="582"/>
        <v>0</v>
      </c>
      <c r="AG527" s="100">
        <f t="shared" si="583"/>
        <v>0</v>
      </c>
      <c r="AH527" s="100">
        <f t="shared" si="584"/>
        <v>0</v>
      </c>
      <c r="AI527" s="109"/>
      <c r="AJ527" s="108">
        <f t="shared" si="585"/>
        <v>0</v>
      </c>
      <c r="AK527" s="108">
        <f t="shared" si="586"/>
        <v>0</v>
      </c>
      <c r="AL527" s="108">
        <f t="shared" si="587"/>
        <v>0</v>
      </c>
      <c r="AN527" s="100">
        <v>15</v>
      </c>
      <c r="AO527" s="100">
        <f t="shared" si="588"/>
        <v>0</v>
      </c>
      <c r="AP527" s="100">
        <f t="shared" si="589"/>
        <v>0</v>
      </c>
      <c r="AQ527" s="111" t="s">
        <v>7</v>
      </c>
      <c r="AV527" s="100">
        <f t="shared" si="590"/>
        <v>0</v>
      </c>
      <c r="AW527" s="100">
        <f t="shared" si="591"/>
        <v>0</v>
      </c>
      <c r="AX527" s="100">
        <f t="shared" si="592"/>
        <v>0</v>
      </c>
      <c r="AY527" s="110" t="s">
        <v>1720</v>
      </c>
      <c r="AZ527" s="110" t="s">
        <v>1730</v>
      </c>
      <c r="BA527" s="109" t="s">
        <v>1737</v>
      </c>
      <c r="BC527" s="100">
        <f t="shared" si="593"/>
        <v>0</v>
      </c>
      <c r="BD527" s="100">
        <f t="shared" si="594"/>
        <v>0</v>
      </c>
      <c r="BE527" s="100">
        <v>0</v>
      </c>
      <c r="BF527" s="100">
        <f>527</f>
        <v>527</v>
      </c>
      <c r="BH527" s="108">
        <f t="shared" si="595"/>
        <v>0</v>
      </c>
      <c r="BI527" s="108">
        <f t="shared" si="596"/>
        <v>0</v>
      </c>
      <c r="BJ527" s="108">
        <f t="shared" si="597"/>
        <v>0</v>
      </c>
    </row>
    <row r="528" spans="1:62" x14ac:dyDescent="0.2">
      <c r="A528" s="117" t="s">
        <v>479</v>
      </c>
      <c r="B528" s="117" t="s">
        <v>3939</v>
      </c>
      <c r="C528" s="304" t="s">
        <v>1546</v>
      </c>
      <c r="D528" s="305"/>
      <c r="E528" s="305"/>
      <c r="F528" s="117" t="s">
        <v>1646</v>
      </c>
      <c r="G528" s="116">
        <v>40</v>
      </c>
      <c r="H528" s="159"/>
      <c r="I528" s="108">
        <f t="shared" si="574"/>
        <v>0</v>
      </c>
      <c r="J528" s="108">
        <f t="shared" si="575"/>
        <v>0</v>
      </c>
      <c r="K528" s="108">
        <f t="shared" si="576"/>
        <v>0</v>
      </c>
      <c r="L528" s="111"/>
      <c r="Z528" s="100">
        <f t="shared" si="577"/>
        <v>0</v>
      </c>
      <c r="AB528" s="100">
        <f t="shared" si="578"/>
        <v>0</v>
      </c>
      <c r="AC528" s="100">
        <f t="shared" si="579"/>
        <v>0</v>
      </c>
      <c r="AD528" s="100">
        <f t="shared" si="580"/>
        <v>0</v>
      </c>
      <c r="AE528" s="100">
        <f t="shared" si="581"/>
        <v>0</v>
      </c>
      <c r="AF528" s="100">
        <f t="shared" si="582"/>
        <v>0</v>
      </c>
      <c r="AG528" s="100">
        <f t="shared" si="583"/>
        <v>0</v>
      </c>
      <c r="AH528" s="100">
        <f t="shared" si="584"/>
        <v>0</v>
      </c>
      <c r="AI528" s="109"/>
      <c r="AJ528" s="108">
        <f t="shared" si="585"/>
        <v>0</v>
      </c>
      <c r="AK528" s="108">
        <f t="shared" si="586"/>
        <v>0</v>
      </c>
      <c r="AL528" s="108">
        <f t="shared" si="587"/>
        <v>0</v>
      </c>
      <c r="AN528" s="100">
        <v>15</v>
      </c>
      <c r="AO528" s="100">
        <f t="shared" si="588"/>
        <v>0</v>
      </c>
      <c r="AP528" s="100">
        <f t="shared" si="589"/>
        <v>0</v>
      </c>
      <c r="AQ528" s="111" t="s">
        <v>7</v>
      </c>
      <c r="AV528" s="100">
        <f t="shared" si="590"/>
        <v>0</v>
      </c>
      <c r="AW528" s="100">
        <f t="shared" si="591"/>
        <v>0</v>
      </c>
      <c r="AX528" s="100">
        <f t="shared" si="592"/>
        <v>0</v>
      </c>
      <c r="AY528" s="110" t="s">
        <v>1720</v>
      </c>
      <c r="AZ528" s="110" t="s">
        <v>1730</v>
      </c>
      <c r="BA528" s="109" t="s">
        <v>1737</v>
      </c>
      <c r="BC528" s="100">
        <f t="shared" si="593"/>
        <v>0</v>
      </c>
      <c r="BD528" s="100">
        <f t="shared" si="594"/>
        <v>0</v>
      </c>
      <c r="BE528" s="100">
        <v>0</v>
      </c>
      <c r="BF528" s="100">
        <f>528</f>
        <v>528</v>
      </c>
      <c r="BH528" s="108">
        <f t="shared" si="595"/>
        <v>0</v>
      </c>
      <c r="BI528" s="108">
        <f t="shared" si="596"/>
        <v>0</v>
      </c>
      <c r="BJ528" s="108">
        <f t="shared" si="597"/>
        <v>0</v>
      </c>
    </row>
    <row r="529" spans="1:62" x14ac:dyDescent="0.2">
      <c r="A529" s="117" t="s">
        <v>480</v>
      </c>
      <c r="B529" s="117" t="s">
        <v>3938</v>
      </c>
      <c r="C529" s="304" t="s">
        <v>1547</v>
      </c>
      <c r="D529" s="305"/>
      <c r="E529" s="305"/>
      <c r="F529" s="117" t="s">
        <v>1646</v>
      </c>
      <c r="G529" s="116">
        <v>120</v>
      </c>
      <c r="H529" s="159"/>
      <c r="I529" s="108">
        <f t="shared" si="574"/>
        <v>0</v>
      </c>
      <c r="J529" s="108">
        <f t="shared" si="575"/>
        <v>0</v>
      </c>
      <c r="K529" s="108">
        <f t="shared" si="576"/>
        <v>0</v>
      </c>
      <c r="L529" s="111"/>
      <c r="Z529" s="100">
        <f t="shared" si="577"/>
        <v>0</v>
      </c>
      <c r="AB529" s="100">
        <f t="shared" si="578"/>
        <v>0</v>
      </c>
      <c r="AC529" s="100">
        <f t="shared" si="579"/>
        <v>0</v>
      </c>
      <c r="AD529" s="100">
        <f t="shared" si="580"/>
        <v>0</v>
      </c>
      <c r="AE529" s="100">
        <f t="shared" si="581"/>
        <v>0</v>
      </c>
      <c r="AF529" s="100">
        <f t="shared" si="582"/>
        <v>0</v>
      </c>
      <c r="AG529" s="100">
        <f t="shared" si="583"/>
        <v>0</v>
      </c>
      <c r="AH529" s="100">
        <f t="shared" si="584"/>
        <v>0</v>
      </c>
      <c r="AI529" s="109"/>
      <c r="AJ529" s="108">
        <f t="shared" si="585"/>
        <v>0</v>
      </c>
      <c r="AK529" s="108">
        <f t="shared" si="586"/>
        <v>0</v>
      </c>
      <c r="AL529" s="108">
        <f t="shared" si="587"/>
        <v>0</v>
      </c>
      <c r="AN529" s="100">
        <v>15</v>
      </c>
      <c r="AO529" s="100">
        <f t="shared" si="588"/>
        <v>0</v>
      </c>
      <c r="AP529" s="100">
        <f t="shared" si="589"/>
        <v>0</v>
      </c>
      <c r="AQ529" s="111" t="s">
        <v>7</v>
      </c>
      <c r="AV529" s="100">
        <f t="shared" si="590"/>
        <v>0</v>
      </c>
      <c r="AW529" s="100">
        <f t="shared" si="591"/>
        <v>0</v>
      </c>
      <c r="AX529" s="100">
        <f t="shared" si="592"/>
        <v>0</v>
      </c>
      <c r="AY529" s="110" t="s">
        <v>1720</v>
      </c>
      <c r="AZ529" s="110" t="s">
        <v>1730</v>
      </c>
      <c r="BA529" s="109" t="s">
        <v>1737</v>
      </c>
      <c r="BC529" s="100">
        <f t="shared" si="593"/>
        <v>0</v>
      </c>
      <c r="BD529" s="100">
        <f t="shared" si="594"/>
        <v>0</v>
      </c>
      <c r="BE529" s="100">
        <v>0</v>
      </c>
      <c r="BF529" s="100">
        <f>529</f>
        <v>529</v>
      </c>
      <c r="BH529" s="108">
        <f t="shared" si="595"/>
        <v>0</v>
      </c>
      <c r="BI529" s="108">
        <f t="shared" si="596"/>
        <v>0</v>
      </c>
      <c r="BJ529" s="108">
        <f t="shared" si="597"/>
        <v>0</v>
      </c>
    </row>
    <row r="530" spans="1:62" x14ac:dyDescent="0.2">
      <c r="A530" s="117" t="s">
        <v>481</v>
      </c>
      <c r="B530" s="117" t="s">
        <v>3937</v>
      </c>
      <c r="C530" s="304" t="s">
        <v>1548</v>
      </c>
      <c r="D530" s="305"/>
      <c r="E530" s="305"/>
      <c r="F530" s="117" t="s">
        <v>1644</v>
      </c>
      <c r="G530" s="116">
        <v>6</v>
      </c>
      <c r="H530" s="159"/>
      <c r="I530" s="108">
        <f t="shared" si="574"/>
        <v>0</v>
      </c>
      <c r="J530" s="108">
        <f t="shared" si="575"/>
        <v>0</v>
      </c>
      <c r="K530" s="108">
        <f t="shared" si="576"/>
        <v>0</v>
      </c>
      <c r="L530" s="111"/>
      <c r="Z530" s="100">
        <f t="shared" si="577"/>
        <v>0</v>
      </c>
      <c r="AB530" s="100">
        <f t="shared" si="578"/>
        <v>0</v>
      </c>
      <c r="AC530" s="100">
        <f t="shared" si="579"/>
        <v>0</v>
      </c>
      <c r="AD530" s="100">
        <f t="shared" si="580"/>
        <v>0</v>
      </c>
      <c r="AE530" s="100">
        <f t="shared" si="581"/>
        <v>0</v>
      </c>
      <c r="AF530" s="100">
        <f t="shared" si="582"/>
        <v>0</v>
      </c>
      <c r="AG530" s="100">
        <f t="shared" si="583"/>
        <v>0</v>
      </c>
      <c r="AH530" s="100">
        <f t="shared" si="584"/>
        <v>0</v>
      </c>
      <c r="AI530" s="109"/>
      <c r="AJ530" s="108">
        <f t="shared" si="585"/>
        <v>0</v>
      </c>
      <c r="AK530" s="108">
        <f t="shared" si="586"/>
        <v>0</v>
      </c>
      <c r="AL530" s="108">
        <f t="shared" si="587"/>
        <v>0</v>
      </c>
      <c r="AN530" s="100">
        <v>15</v>
      </c>
      <c r="AO530" s="100">
        <f t="shared" si="588"/>
        <v>0</v>
      </c>
      <c r="AP530" s="100">
        <f t="shared" si="589"/>
        <v>0</v>
      </c>
      <c r="AQ530" s="111" t="s">
        <v>7</v>
      </c>
      <c r="AV530" s="100">
        <f t="shared" si="590"/>
        <v>0</v>
      </c>
      <c r="AW530" s="100">
        <f t="shared" si="591"/>
        <v>0</v>
      </c>
      <c r="AX530" s="100">
        <f t="shared" si="592"/>
        <v>0</v>
      </c>
      <c r="AY530" s="110" t="s">
        <v>1720</v>
      </c>
      <c r="AZ530" s="110" t="s">
        <v>1730</v>
      </c>
      <c r="BA530" s="109" t="s">
        <v>1737</v>
      </c>
      <c r="BC530" s="100">
        <f t="shared" si="593"/>
        <v>0</v>
      </c>
      <c r="BD530" s="100">
        <f t="shared" si="594"/>
        <v>0</v>
      </c>
      <c r="BE530" s="100">
        <v>0</v>
      </c>
      <c r="BF530" s="100">
        <f>530</f>
        <v>530</v>
      </c>
      <c r="BH530" s="108">
        <f t="shared" si="595"/>
        <v>0</v>
      </c>
      <c r="BI530" s="108">
        <f t="shared" si="596"/>
        <v>0</v>
      </c>
      <c r="BJ530" s="108">
        <f t="shared" si="597"/>
        <v>0</v>
      </c>
    </row>
    <row r="531" spans="1:62" x14ac:dyDescent="0.2">
      <c r="A531" s="117" t="s">
        <v>482</v>
      </c>
      <c r="B531" s="117" t="s">
        <v>3936</v>
      </c>
      <c r="C531" s="304" t="s">
        <v>1549</v>
      </c>
      <c r="D531" s="305"/>
      <c r="E531" s="305"/>
      <c r="F531" s="117" t="s">
        <v>1644</v>
      </c>
      <c r="G531" s="116">
        <v>8</v>
      </c>
      <c r="H531" s="159"/>
      <c r="I531" s="108">
        <f t="shared" si="574"/>
        <v>0</v>
      </c>
      <c r="J531" s="108">
        <f t="shared" si="575"/>
        <v>0</v>
      </c>
      <c r="K531" s="108">
        <f t="shared" si="576"/>
        <v>0</v>
      </c>
      <c r="L531" s="111"/>
      <c r="Z531" s="100">
        <f t="shared" si="577"/>
        <v>0</v>
      </c>
      <c r="AB531" s="100">
        <f t="shared" si="578"/>
        <v>0</v>
      </c>
      <c r="AC531" s="100">
        <f t="shared" si="579"/>
        <v>0</v>
      </c>
      <c r="AD531" s="100">
        <f t="shared" si="580"/>
        <v>0</v>
      </c>
      <c r="AE531" s="100">
        <f t="shared" si="581"/>
        <v>0</v>
      </c>
      <c r="AF531" s="100">
        <f t="shared" si="582"/>
        <v>0</v>
      </c>
      <c r="AG531" s="100">
        <f t="shared" si="583"/>
        <v>0</v>
      </c>
      <c r="AH531" s="100">
        <f t="shared" si="584"/>
        <v>0</v>
      </c>
      <c r="AI531" s="109"/>
      <c r="AJ531" s="108">
        <f t="shared" si="585"/>
        <v>0</v>
      </c>
      <c r="AK531" s="108">
        <f t="shared" si="586"/>
        <v>0</v>
      </c>
      <c r="AL531" s="108">
        <f t="shared" si="587"/>
        <v>0</v>
      </c>
      <c r="AN531" s="100">
        <v>15</v>
      </c>
      <c r="AO531" s="100">
        <f t="shared" si="588"/>
        <v>0</v>
      </c>
      <c r="AP531" s="100">
        <f t="shared" si="589"/>
        <v>0</v>
      </c>
      <c r="AQ531" s="111" t="s">
        <v>7</v>
      </c>
      <c r="AV531" s="100">
        <f t="shared" si="590"/>
        <v>0</v>
      </c>
      <c r="AW531" s="100">
        <f t="shared" si="591"/>
        <v>0</v>
      </c>
      <c r="AX531" s="100">
        <f t="shared" si="592"/>
        <v>0</v>
      </c>
      <c r="AY531" s="110" t="s">
        <v>1720</v>
      </c>
      <c r="AZ531" s="110" t="s">
        <v>1730</v>
      </c>
      <c r="BA531" s="109" t="s">
        <v>1737</v>
      </c>
      <c r="BC531" s="100">
        <f t="shared" si="593"/>
        <v>0</v>
      </c>
      <c r="BD531" s="100">
        <f t="shared" si="594"/>
        <v>0</v>
      </c>
      <c r="BE531" s="100">
        <v>0</v>
      </c>
      <c r="BF531" s="100">
        <f>531</f>
        <v>531</v>
      </c>
      <c r="BH531" s="108">
        <f t="shared" si="595"/>
        <v>0</v>
      </c>
      <c r="BI531" s="108">
        <f t="shared" si="596"/>
        <v>0</v>
      </c>
      <c r="BJ531" s="108">
        <f t="shared" si="597"/>
        <v>0</v>
      </c>
    </row>
    <row r="532" spans="1:62" x14ac:dyDescent="0.2">
      <c r="A532" s="117" t="s">
        <v>483</v>
      </c>
      <c r="B532" s="117" t="s">
        <v>3935</v>
      </c>
      <c r="C532" s="304" t="s">
        <v>1550</v>
      </c>
      <c r="D532" s="305"/>
      <c r="E532" s="305"/>
      <c r="F532" s="117" t="s">
        <v>1646</v>
      </c>
      <c r="G532" s="116">
        <v>140</v>
      </c>
      <c r="H532" s="159"/>
      <c r="I532" s="108">
        <f t="shared" si="574"/>
        <v>0</v>
      </c>
      <c r="J532" s="108">
        <f t="shared" si="575"/>
        <v>0</v>
      </c>
      <c r="K532" s="108">
        <f t="shared" si="576"/>
        <v>0</v>
      </c>
      <c r="L532" s="111"/>
      <c r="Z532" s="100">
        <f t="shared" si="577"/>
        <v>0</v>
      </c>
      <c r="AB532" s="100">
        <f t="shared" si="578"/>
        <v>0</v>
      </c>
      <c r="AC532" s="100">
        <f t="shared" si="579"/>
        <v>0</v>
      </c>
      <c r="AD532" s="100">
        <f t="shared" si="580"/>
        <v>0</v>
      </c>
      <c r="AE532" s="100">
        <f t="shared" si="581"/>
        <v>0</v>
      </c>
      <c r="AF532" s="100">
        <f t="shared" si="582"/>
        <v>0</v>
      </c>
      <c r="AG532" s="100">
        <f t="shared" si="583"/>
        <v>0</v>
      </c>
      <c r="AH532" s="100">
        <f t="shared" si="584"/>
        <v>0</v>
      </c>
      <c r="AI532" s="109"/>
      <c r="AJ532" s="108">
        <f t="shared" si="585"/>
        <v>0</v>
      </c>
      <c r="AK532" s="108">
        <f t="shared" si="586"/>
        <v>0</v>
      </c>
      <c r="AL532" s="108">
        <f t="shared" si="587"/>
        <v>0</v>
      </c>
      <c r="AN532" s="100">
        <v>15</v>
      </c>
      <c r="AO532" s="100">
        <f t="shared" si="588"/>
        <v>0</v>
      </c>
      <c r="AP532" s="100">
        <f t="shared" si="589"/>
        <v>0</v>
      </c>
      <c r="AQ532" s="111" t="s">
        <v>7</v>
      </c>
      <c r="AV532" s="100">
        <f t="shared" si="590"/>
        <v>0</v>
      </c>
      <c r="AW532" s="100">
        <f t="shared" si="591"/>
        <v>0</v>
      </c>
      <c r="AX532" s="100">
        <f t="shared" si="592"/>
        <v>0</v>
      </c>
      <c r="AY532" s="110" t="s">
        <v>1720</v>
      </c>
      <c r="AZ532" s="110" t="s">
        <v>1730</v>
      </c>
      <c r="BA532" s="109" t="s">
        <v>1737</v>
      </c>
      <c r="BC532" s="100">
        <f t="shared" si="593"/>
        <v>0</v>
      </c>
      <c r="BD532" s="100">
        <f t="shared" si="594"/>
        <v>0</v>
      </c>
      <c r="BE532" s="100">
        <v>0</v>
      </c>
      <c r="BF532" s="100">
        <f>532</f>
        <v>532</v>
      </c>
      <c r="BH532" s="108">
        <f t="shared" si="595"/>
        <v>0</v>
      </c>
      <c r="BI532" s="108">
        <f t="shared" si="596"/>
        <v>0</v>
      </c>
      <c r="BJ532" s="108">
        <f t="shared" si="597"/>
        <v>0</v>
      </c>
    </row>
    <row r="533" spans="1:62" x14ac:dyDescent="0.2">
      <c r="A533" s="117" t="s">
        <v>484</v>
      </c>
      <c r="B533" s="117" t="s">
        <v>3934</v>
      </c>
      <c r="C533" s="304" t="s">
        <v>1551</v>
      </c>
      <c r="D533" s="305"/>
      <c r="E533" s="305"/>
      <c r="F533" s="117" t="s">
        <v>1644</v>
      </c>
      <c r="G533" s="116">
        <v>1</v>
      </c>
      <c r="H533" s="159"/>
      <c r="I533" s="108">
        <f t="shared" si="574"/>
        <v>0</v>
      </c>
      <c r="J533" s="108">
        <f t="shared" si="575"/>
        <v>0</v>
      </c>
      <c r="K533" s="108">
        <f t="shared" si="576"/>
        <v>0</v>
      </c>
      <c r="L533" s="111"/>
      <c r="Z533" s="100">
        <f t="shared" si="577"/>
        <v>0</v>
      </c>
      <c r="AB533" s="100">
        <f t="shared" si="578"/>
        <v>0</v>
      </c>
      <c r="AC533" s="100">
        <f t="shared" si="579"/>
        <v>0</v>
      </c>
      <c r="AD533" s="100">
        <f t="shared" si="580"/>
        <v>0</v>
      </c>
      <c r="AE533" s="100">
        <f t="shared" si="581"/>
        <v>0</v>
      </c>
      <c r="AF533" s="100">
        <f t="shared" si="582"/>
        <v>0</v>
      </c>
      <c r="AG533" s="100">
        <f t="shared" si="583"/>
        <v>0</v>
      </c>
      <c r="AH533" s="100">
        <f t="shared" si="584"/>
        <v>0</v>
      </c>
      <c r="AI533" s="109"/>
      <c r="AJ533" s="108">
        <f t="shared" si="585"/>
        <v>0</v>
      </c>
      <c r="AK533" s="108">
        <f t="shared" si="586"/>
        <v>0</v>
      </c>
      <c r="AL533" s="108">
        <f t="shared" si="587"/>
        <v>0</v>
      </c>
      <c r="AN533" s="100">
        <v>15</v>
      </c>
      <c r="AO533" s="100">
        <f t="shared" si="588"/>
        <v>0</v>
      </c>
      <c r="AP533" s="100">
        <f t="shared" si="589"/>
        <v>0</v>
      </c>
      <c r="AQ533" s="111" t="s">
        <v>7</v>
      </c>
      <c r="AV533" s="100">
        <f t="shared" si="590"/>
        <v>0</v>
      </c>
      <c r="AW533" s="100">
        <f t="shared" si="591"/>
        <v>0</v>
      </c>
      <c r="AX533" s="100">
        <f t="shared" si="592"/>
        <v>0</v>
      </c>
      <c r="AY533" s="110" t="s">
        <v>1720</v>
      </c>
      <c r="AZ533" s="110" t="s">
        <v>1730</v>
      </c>
      <c r="BA533" s="109" t="s">
        <v>1737</v>
      </c>
      <c r="BC533" s="100">
        <f t="shared" si="593"/>
        <v>0</v>
      </c>
      <c r="BD533" s="100">
        <f t="shared" si="594"/>
        <v>0</v>
      </c>
      <c r="BE533" s="100">
        <v>0</v>
      </c>
      <c r="BF533" s="100">
        <f>533</f>
        <v>533</v>
      </c>
      <c r="BH533" s="108">
        <f t="shared" si="595"/>
        <v>0</v>
      </c>
      <c r="BI533" s="108">
        <f t="shared" si="596"/>
        <v>0</v>
      </c>
      <c r="BJ533" s="108">
        <f t="shared" si="597"/>
        <v>0</v>
      </c>
    </row>
    <row r="534" spans="1:62" x14ac:dyDescent="0.2">
      <c r="A534" s="117" t="s">
        <v>485</v>
      </c>
      <c r="B534" s="117" t="s">
        <v>3933</v>
      </c>
      <c r="C534" s="304" t="s">
        <v>1552</v>
      </c>
      <c r="D534" s="305"/>
      <c r="E534" s="305"/>
      <c r="F534" s="117" t="s">
        <v>1644</v>
      </c>
      <c r="G534" s="116">
        <v>1</v>
      </c>
      <c r="H534" s="159"/>
      <c r="I534" s="108">
        <f t="shared" si="574"/>
        <v>0</v>
      </c>
      <c r="J534" s="108">
        <f t="shared" si="575"/>
        <v>0</v>
      </c>
      <c r="K534" s="108">
        <f t="shared" si="576"/>
        <v>0</v>
      </c>
      <c r="L534" s="111"/>
      <c r="Z534" s="100">
        <f t="shared" si="577"/>
        <v>0</v>
      </c>
      <c r="AB534" s="100">
        <f t="shared" si="578"/>
        <v>0</v>
      </c>
      <c r="AC534" s="100">
        <f t="shared" si="579"/>
        <v>0</v>
      </c>
      <c r="AD534" s="100">
        <f t="shared" si="580"/>
        <v>0</v>
      </c>
      <c r="AE534" s="100">
        <f t="shared" si="581"/>
        <v>0</v>
      </c>
      <c r="AF534" s="100">
        <f t="shared" si="582"/>
        <v>0</v>
      </c>
      <c r="AG534" s="100">
        <f t="shared" si="583"/>
        <v>0</v>
      </c>
      <c r="AH534" s="100">
        <f t="shared" si="584"/>
        <v>0</v>
      </c>
      <c r="AI534" s="109"/>
      <c r="AJ534" s="108">
        <f t="shared" si="585"/>
        <v>0</v>
      </c>
      <c r="AK534" s="108">
        <f t="shared" si="586"/>
        <v>0</v>
      </c>
      <c r="AL534" s="108">
        <f t="shared" si="587"/>
        <v>0</v>
      </c>
      <c r="AN534" s="100">
        <v>15</v>
      </c>
      <c r="AO534" s="100">
        <f t="shared" si="588"/>
        <v>0</v>
      </c>
      <c r="AP534" s="100">
        <f t="shared" si="589"/>
        <v>0</v>
      </c>
      <c r="AQ534" s="111" t="s">
        <v>7</v>
      </c>
      <c r="AV534" s="100">
        <f t="shared" si="590"/>
        <v>0</v>
      </c>
      <c r="AW534" s="100">
        <f t="shared" si="591"/>
        <v>0</v>
      </c>
      <c r="AX534" s="100">
        <f t="shared" si="592"/>
        <v>0</v>
      </c>
      <c r="AY534" s="110" t="s">
        <v>1720</v>
      </c>
      <c r="AZ534" s="110" t="s">
        <v>1730</v>
      </c>
      <c r="BA534" s="109" t="s">
        <v>1737</v>
      </c>
      <c r="BC534" s="100">
        <f t="shared" si="593"/>
        <v>0</v>
      </c>
      <c r="BD534" s="100">
        <f t="shared" si="594"/>
        <v>0</v>
      </c>
      <c r="BE534" s="100">
        <v>0</v>
      </c>
      <c r="BF534" s="100">
        <f>534</f>
        <v>534</v>
      </c>
      <c r="BH534" s="108">
        <f t="shared" si="595"/>
        <v>0</v>
      </c>
      <c r="BI534" s="108">
        <f t="shared" si="596"/>
        <v>0</v>
      </c>
      <c r="BJ534" s="108">
        <f t="shared" si="597"/>
        <v>0</v>
      </c>
    </row>
    <row r="535" spans="1:62" x14ac:dyDescent="0.2">
      <c r="A535" s="117" t="s">
        <v>486</v>
      </c>
      <c r="B535" s="117" t="s">
        <v>3932</v>
      </c>
      <c r="C535" s="304" t="s">
        <v>1553</v>
      </c>
      <c r="D535" s="305"/>
      <c r="E535" s="305"/>
      <c r="F535" s="117" t="s">
        <v>1644</v>
      </c>
      <c r="G535" s="116">
        <v>1</v>
      </c>
      <c r="H535" s="159"/>
      <c r="I535" s="108">
        <f t="shared" si="574"/>
        <v>0</v>
      </c>
      <c r="J535" s="108">
        <f t="shared" si="575"/>
        <v>0</v>
      </c>
      <c r="K535" s="108">
        <f t="shared" si="576"/>
        <v>0</v>
      </c>
      <c r="L535" s="111"/>
      <c r="Z535" s="100">
        <f t="shared" si="577"/>
        <v>0</v>
      </c>
      <c r="AB535" s="100">
        <f t="shared" si="578"/>
        <v>0</v>
      </c>
      <c r="AC535" s="100">
        <f t="shared" si="579"/>
        <v>0</v>
      </c>
      <c r="AD535" s="100">
        <f t="shared" si="580"/>
        <v>0</v>
      </c>
      <c r="AE535" s="100">
        <f t="shared" si="581"/>
        <v>0</v>
      </c>
      <c r="AF535" s="100">
        <f t="shared" si="582"/>
        <v>0</v>
      </c>
      <c r="AG535" s="100">
        <f t="shared" si="583"/>
        <v>0</v>
      </c>
      <c r="AH535" s="100">
        <f t="shared" si="584"/>
        <v>0</v>
      </c>
      <c r="AI535" s="109"/>
      <c r="AJ535" s="108">
        <f t="shared" si="585"/>
        <v>0</v>
      </c>
      <c r="AK535" s="108">
        <f t="shared" si="586"/>
        <v>0</v>
      </c>
      <c r="AL535" s="108">
        <f t="shared" si="587"/>
        <v>0</v>
      </c>
      <c r="AN535" s="100">
        <v>15</v>
      </c>
      <c r="AO535" s="100">
        <f t="shared" si="588"/>
        <v>0</v>
      </c>
      <c r="AP535" s="100">
        <f t="shared" si="589"/>
        <v>0</v>
      </c>
      <c r="AQ535" s="111" t="s">
        <v>7</v>
      </c>
      <c r="AV535" s="100">
        <f t="shared" si="590"/>
        <v>0</v>
      </c>
      <c r="AW535" s="100">
        <f t="shared" si="591"/>
        <v>0</v>
      </c>
      <c r="AX535" s="100">
        <f t="shared" si="592"/>
        <v>0</v>
      </c>
      <c r="AY535" s="110" t="s">
        <v>1720</v>
      </c>
      <c r="AZ535" s="110" t="s">
        <v>1730</v>
      </c>
      <c r="BA535" s="109" t="s">
        <v>1737</v>
      </c>
      <c r="BC535" s="100">
        <f t="shared" si="593"/>
        <v>0</v>
      </c>
      <c r="BD535" s="100">
        <f t="shared" si="594"/>
        <v>0</v>
      </c>
      <c r="BE535" s="100">
        <v>0</v>
      </c>
      <c r="BF535" s="100">
        <f>535</f>
        <v>535</v>
      </c>
      <c r="BH535" s="108">
        <f t="shared" si="595"/>
        <v>0</v>
      </c>
      <c r="BI535" s="108">
        <f t="shared" si="596"/>
        <v>0</v>
      </c>
      <c r="BJ535" s="108">
        <f t="shared" si="597"/>
        <v>0</v>
      </c>
    </row>
    <row r="536" spans="1:62" x14ac:dyDescent="0.2">
      <c r="A536" s="117" t="s">
        <v>487</v>
      </c>
      <c r="B536" s="117" t="s">
        <v>3931</v>
      </c>
      <c r="C536" s="304" t="s">
        <v>1554</v>
      </c>
      <c r="D536" s="305"/>
      <c r="E536" s="305"/>
      <c r="F536" s="117" t="s">
        <v>1644</v>
      </c>
      <c r="G536" s="116">
        <v>1</v>
      </c>
      <c r="H536" s="159"/>
      <c r="I536" s="108">
        <f t="shared" si="574"/>
        <v>0</v>
      </c>
      <c r="J536" s="108">
        <f t="shared" si="575"/>
        <v>0</v>
      </c>
      <c r="K536" s="108">
        <f t="shared" si="576"/>
        <v>0</v>
      </c>
      <c r="L536" s="111"/>
      <c r="Z536" s="100">
        <f t="shared" si="577"/>
        <v>0</v>
      </c>
      <c r="AB536" s="100">
        <f t="shared" si="578"/>
        <v>0</v>
      </c>
      <c r="AC536" s="100">
        <f t="shared" si="579"/>
        <v>0</v>
      </c>
      <c r="AD536" s="100">
        <f t="shared" si="580"/>
        <v>0</v>
      </c>
      <c r="AE536" s="100">
        <f t="shared" si="581"/>
        <v>0</v>
      </c>
      <c r="AF536" s="100">
        <f t="shared" si="582"/>
        <v>0</v>
      </c>
      <c r="AG536" s="100">
        <f t="shared" si="583"/>
        <v>0</v>
      </c>
      <c r="AH536" s="100">
        <f t="shared" si="584"/>
        <v>0</v>
      </c>
      <c r="AI536" s="109"/>
      <c r="AJ536" s="108">
        <f t="shared" si="585"/>
        <v>0</v>
      </c>
      <c r="AK536" s="108">
        <f t="shared" si="586"/>
        <v>0</v>
      </c>
      <c r="AL536" s="108">
        <f t="shared" si="587"/>
        <v>0</v>
      </c>
      <c r="AN536" s="100">
        <v>15</v>
      </c>
      <c r="AO536" s="100">
        <f t="shared" si="588"/>
        <v>0</v>
      </c>
      <c r="AP536" s="100">
        <f t="shared" si="589"/>
        <v>0</v>
      </c>
      <c r="AQ536" s="111" t="s">
        <v>7</v>
      </c>
      <c r="AV536" s="100">
        <f t="shared" si="590"/>
        <v>0</v>
      </c>
      <c r="AW536" s="100">
        <f t="shared" si="591"/>
        <v>0</v>
      </c>
      <c r="AX536" s="100">
        <f t="shared" si="592"/>
        <v>0</v>
      </c>
      <c r="AY536" s="110" t="s">
        <v>1720</v>
      </c>
      <c r="AZ536" s="110" t="s">
        <v>1730</v>
      </c>
      <c r="BA536" s="109" t="s">
        <v>1737</v>
      </c>
      <c r="BC536" s="100">
        <f t="shared" si="593"/>
        <v>0</v>
      </c>
      <c r="BD536" s="100">
        <f t="shared" si="594"/>
        <v>0</v>
      </c>
      <c r="BE536" s="100">
        <v>0</v>
      </c>
      <c r="BF536" s="100">
        <f>536</f>
        <v>536</v>
      </c>
      <c r="BH536" s="108">
        <f t="shared" si="595"/>
        <v>0</v>
      </c>
      <c r="BI536" s="108">
        <f t="shared" si="596"/>
        <v>0</v>
      </c>
      <c r="BJ536" s="108">
        <f t="shared" si="597"/>
        <v>0</v>
      </c>
    </row>
    <row r="537" spans="1:62" x14ac:dyDescent="0.2">
      <c r="A537" s="117" t="s">
        <v>488</v>
      </c>
      <c r="B537" s="117" t="s">
        <v>3930</v>
      </c>
      <c r="C537" s="304" t="s">
        <v>1555</v>
      </c>
      <c r="D537" s="305"/>
      <c r="E537" s="305"/>
      <c r="F537" s="117" t="s">
        <v>1644</v>
      </c>
      <c r="G537" s="116">
        <v>1</v>
      </c>
      <c r="H537" s="159"/>
      <c r="I537" s="108">
        <f t="shared" si="574"/>
        <v>0</v>
      </c>
      <c r="J537" s="108">
        <f t="shared" si="575"/>
        <v>0</v>
      </c>
      <c r="K537" s="108">
        <f t="shared" si="576"/>
        <v>0</v>
      </c>
      <c r="L537" s="111"/>
      <c r="Z537" s="100">
        <f t="shared" si="577"/>
        <v>0</v>
      </c>
      <c r="AB537" s="100">
        <f t="shared" si="578"/>
        <v>0</v>
      </c>
      <c r="AC537" s="100">
        <f t="shared" si="579"/>
        <v>0</v>
      </c>
      <c r="AD537" s="100">
        <f t="shared" si="580"/>
        <v>0</v>
      </c>
      <c r="AE537" s="100">
        <f t="shared" si="581"/>
        <v>0</v>
      </c>
      <c r="AF537" s="100">
        <f t="shared" si="582"/>
        <v>0</v>
      </c>
      <c r="AG537" s="100">
        <f t="shared" si="583"/>
        <v>0</v>
      </c>
      <c r="AH537" s="100">
        <f t="shared" si="584"/>
        <v>0</v>
      </c>
      <c r="AI537" s="109"/>
      <c r="AJ537" s="108">
        <f t="shared" si="585"/>
        <v>0</v>
      </c>
      <c r="AK537" s="108">
        <f t="shared" si="586"/>
        <v>0</v>
      </c>
      <c r="AL537" s="108">
        <f t="shared" si="587"/>
        <v>0</v>
      </c>
      <c r="AN537" s="100">
        <v>15</v>
      </c>
      <c r="AO537" s="100">
        <f t="shared" si="588"/>
        <v>0</v>
      </c>
      <c r="AP537" s="100">
        <f t="shared" si="589"/>
        <v>0</v>
      </c>
      <c r="AQ537" s="111" t="s">
        <v>7</v>
      </c>
      <c r="AV537" s="100">
        <f t="shared" si="590"/>
        <v>0</v>
      </c>
      <c r="AW537" s="100">
        <f t="shared" si="591"/>
        <v>0</v>
      </c>
      <c r="AX537" s="100">
        <f t="shared" si="592"/>
        <v>0</v>
      </c>
      <c r="AY537" s="110" t="s">
        <v>1720</v>
      </c>
      <c r="AZ537" s="110" t="s">
        <v>1730</v>
      </c>
      <c r="BA537" s="109" t="s">
        <v>1737</v>
      </c>
      <c r="BC537" s="100">
        <f t="shared" si="593"/>
        <v>0</v>
      </c>
      <c r="BD537" s="100">
        <f t="shared" si="594"/>
        <v>0</v>
      </c>
      <c r="BE537" s="100">
        <v>0</v>
      </c>
      <c r="BF537" s="100">
        <f>537</f>
        <v>537</v>
      </c>
      <c r="BH537" s="108">
        <f t="shared" si="595"/>
        <v>0</v>
      </c>
      <c r="BI537" s="108">
        <f t="shared" si="596"/>
        <v>0</v>
      </c>
      <c r="BJ537" s="108">
        <f t="shared" si="597"/>
        <v>0</v>
      </c>
    </row>
    <row r="538" spans="1:62" x14ac:dyDescent="0.2">
      <c r="A538" s="119"/>
      <c r="B538" s="120" t="s">
        <v>967</v>
      </c>
      <c r="C538" s="306" t="s">
        <v>1556</v>
      </c>
      <c r="D538" s="307"/>
      <c r="E538" s="307"/>
      <c r="F538" s="119" t="s">
        <v>6</v>
      </c>
      <c r="G538" s="119" t="s">
        <v>6</v>
      </c>
      <c r="H538" s="119" t="s">
        <v>6</v>
      </c>
      <c r="I538" s="118">
        <f>SUM(I539:I540)</f>
        <v>0</v>
      </c>
      <c r="J538" s="118">
        <f>SUM(J539:J540)</f>
        <v>0</v>
      </c>
      <c r="K538" s="118">
        <f>SUM(K539:K540)</f>
        <v>0</v>
      </c>
      <c r="L538" s="109"/>
      <c r="AI538" s="109"/>
      <c r="AS538" s="118">
        <f>SUM(AJ539:AJ540)</f>
        <v>0</v>
      </c>
      <c r="AT538" s="118">
        <f>SUM(AK539:AK540)</f>
        <v>0</v>
      </c>
      <c r="AU538" s="118">
        <f>SUM(AL539:AL540)</f>
        <v>0</v>
      </c>
    </row>
    <row r="539" spans="1:62" x14ac:dyDescent="0.2">
      <c r="A539" s="117" t="s">
        <v>489</v>
      </c>
      <c r="B539" s="117" t="s">
        <v>968</v>
      </c>
      <c r="C539" s="304" t="s">
        <v>1557</v>
      </c>
      <c r="D539" s="305"/>
      <c r="E539" s="305"/>
      <c r="F539" s="117" t="s">
        <v>1644</v>
      </c>
      <c r="G539" s="116">
        <v>1</v>
      </c>
      <c r="H539" s="159"/>
      <c r="I539" s="108">
        <f>G539*AO539</f>
        <v>0</v>
      </c>
      <c r="J539" s="108">
        <f>G539*AP539</f>
        <v>0</v>
      </c>
      <c r="K539" s="108">
        <f>G539*H539</f>
        <v>0</v>
      </c>
      <c r="L539" s="111" t="s">
        <v>1671</v>
      </c>
      <c r="Z539" s="100">
        <f>IF(AQ539="5",BJ539,0)</f>
        <v>0</v>
      </c>
      <c r="AB539" s="100">
        <f>IF(AQ539="1",BH539,0)</f>
        <v>0</v>
      </c>
      <c r="AC539" s="100">
        <f>IF(AQ539="1",BI539,0)</f>
        <v>0</v>
      </c>
      <c r="AD539" s="100">
        <f>IF(AQ539="7",BH539,0)</f>
        <v>0</v>
      </c>
      <c r="AE539" s="100">
        <f>IF(AQ539="7",BI539,0)</f>
        <v>0</v>
      </c>
      <c r="AF539" s="100">
        <f>IF(AQ539="2",BH539,0)</f>
        <v>0</v>
      </c>
      <c r="AG539" s="100">
        <f>IF(AQ539="2",BI539,0)</f>
        <v>0</v>
      </c>
      <c r="AH539" s="100">
        <f>IF(AQ539="0",BJ539,0)</f>
        <v>0</v>
      </c>
      <c r="AI539" s="109"/>
      <c r="AJ539" s="108">
        <f>IF(AN539=0,K539,0)</f>
        <v>0</v>
      </c>
      <c r="AK539" s="108">
        <f>IF(AN539=15,K539,0)</f>
        <v>0</v>
      </c>
      <c r="AL539" s="108">
        <f>IF(AN539=21,K539,0)</f>
        <v>0</v>
      </c>
      <c r="AN539" s="100">
        <v>15</v>
      </c>
      <c r="AO539" s="100">
        <f>H539*0</f>
        <v>0</v>
      </c>
      <c r="AP539" s="100">
        <f>H539*(1-0)</f>
        <v>0</v>
      </c>
      <c r="AQ539" s="111" t="s">
        <v>8</v>
      </c>
      <c r="AV539" s="100">
        <f>AW539+AX539</f>
        <v>0</v>
      </c>
      <c r="AW539" s="100">
        <f>G539*AO539</f>
        <v>0</v>
      </c>
      <c r="AX539" s="100">
        <f>G539*AP539</f>
        <v>0</v>
      </c>
      <c r="AY539" s="110" t="s">
        <v>1721</v>
      </c>
      <c r="AZ539" s="110" t="s">
        <v>1730</v>
      </c>
      <c r="BA539" s="109" t="s">
        <v>1737</v>
      </c>
      <c r="BC539" s="100">
        <f>AW539+AX539</f>
        <v>0</v>
      </c>
      <c r="BD539" s="100">
        <f>H539/(100-BE539)*100</f>
        <v>0</v>
      </c>
      <c r="BE539" s="100">
        <v>0</v>
      </c>
      <c r="BF539" s="100">
        <f>539</f>
        <v>539</v>
      </c>
      <c r="BH539" s="108">
        <f>G539*AO539</f>
        <v>0</v>
      </c>
      <c r="BI539" s="108">
        <f>G539*AP539</f>
        <v>0</v>
      </c>
      <c r="BJ539" s="108">
        <f>G539*H539</f>
        <v>0</v>
      </c>
    </row>
    <row r="540" spans="1:62" x14ac:dyDescent="0.2">
      <c r="A540" s="117" t="s">
        <v>490</v>
      </c>
      <c r="B540" s="117" t="s">
        <v>969</v>
      </c>
      <c r="C540" s="304" t="s">
        <v>1558</v>
      </c>
      <c r="D540" s="305"/>
      <c r="E540" s="305"/>
      <c r="F540" s="117" t="s">
        <v>1644</v>
      </c>
      <c r="G540" s="116">
        <v>1</v>
      </c>
      <c r="H540" s="159"/>
      <c r="I540" s="108">
        <f>G540*AO540</f>
        <v>0</v>
      </c>
      <c r="J540" s="108">
        <f>G540*AP540</f>
        <v>0</v>
      </c>
      <c r="K540" s="108">
        <f>G540*H540</f>
        <v>0</v>
      </c>
      <c r="L540" s="111" t="s">
        <v>1671</v>
      </c>
      <c r="Z540" s="100">
        <f>IF(AQ540="5",BJ540,0)</f>
        <v>0</v>
      </c>
      <c r="AB540" s="100">
        <f>IF(AQ540="1",BH540,0)</f>
        <v>0</v>
      </c>
      <c r="AC540" s="100">
        <f>IF(AQ540="1",BI540,0)</f>
        <v>0</v>
      </c>
      <c r="AD540" s="100">
        <f>IF(AQ540="7",BH540,0)</f>
        <v>0</v>
      </c>
      <c r="AE540" s="100">
        <f>IF(AQ540="7",BI540,0)</f>
        <v>0</v>
      </c>
      <c r="AF540" s="100">
        <f>IF(AQ540="2",BH540,0)</f>
        <v>0</v>
      </c>
      <c r="AG540" s="100">
        <f>IF(AQ540="2",BI540,0)</f>
        <v>0</v>
      </c>
      <c r="AH540" s="100">
        <f>IF(AQ540="0",BJ540,0)</f>
        <v>0</v>
      </c>
      <c r="AI540" s="109"/>
      <c r="AJ540" s="108">
        <f>IF(AN540=0,K540,0)</f>
        <v>0</v>
      </c>
      <c r="AK540" s="108">
        <f>IF(AN540=15,K540,0)</f>
        <v>0</v>
      </c>
      <c r="AL540" s="108">
        <f>IF(AN540=21,K540,0)</f>
        <v>0</v>
      </c>
      <c r="AN540" s="100">
        <v>15</v>
      </c>
      <c r="AO540" s="100">
        <f>H540*0</f>
        <v>0</v>
      </c>
      <c r="AP540" s="100">
        <f>H540*(1-0)</f>
        <v>0</v>
      </c>
      <c r="AQ540" s="111" t="s">
        <v>8</v>
      </c>
      <c r="AV540" s="100">
        <f>AW540+AX540</f>
        <v>0</v>
      </c>
      <c r="AW540" s="100">
        <f>G540*AO540</f>
        <v>0</v>
      </c>
      <c r="AX540" s="100">
        <f>G540*AP540</f>
        <v>0</v>
      </c>
      <c r="AY540" s="110" t="s">
        <v>1721</v>
      </c>
      <c r="AZ540" s="110" t="s">
        <v>1730</v>
      </c>
      <c r="BA540" s="109" t="s">
        <v>1737</v>
      </c>
      <c r="BC540" s="100">
        <f>AW540+AX540</f>
        <v>0</v>
      </c>
      <c r="BD540" s="100">
        <f>H540/(100-BE540)*100</f>
        <v>0</v>
      </c>
      <c r="BE540" s="100">
        <v>0</v>
      </c>
      <c r="BF540" s="100">
        <f>540</f>
        <v>540</v>
      </c>
      <c r="BH540" s="108">
        <f>G540*AO540</f>
        <v>0</v>
      </c>
      <c r="BI540" s="108">
        <f>G540*AP540</f>
        <v>0</v>
      </c>
      <c r="BJ540" s="108">
        <f>G540*H540</f>
        <v>0</v>
      </c>
    </row>
    <row r="541" spans="1:62" x14ac:dyDescent="0.2">
      <c r="A541" s="119"/>
      <c r="B541" s="120" t="s">
        <v>970</v>
      </c>
      <c r="C541" s="306" t="s">
        <v>1559</v>
      </c>
      <c r="D541" s="307"/>
      <c r="E541" s="307"/>
      <c r="F541" s="119" t="s">
        <v>6</v>
      </c>
      <c r="G541" s="119" t="s">
        <v>6</v>
      </c>
      <c r="H541" s="119" t="s">
        <v>6</v>
      </c>
      <c r="I541" s="118">
        <f>SUM(I542:I613)</f>
        <v>0</v>
      </c>
      <c r="J541" s="118">
        <f>SUM(J542:J613)</f>
        <v>0</v>
      </c>
      <c r="K541" s="118">
        <f>SUM(K542:K613)</f>
        <v>0</v>
      </c>
      <c r="L541" s="109"/>
      <c r="AI541" s="109"/>
      <c r="AS541" s="118">
        <f>SUM(AJ542:AJ613)</f>
        <v>0</v>
      </c>
      <c r="AT541" s="118">
        <f>SUM(AK542:AK613)</f>
        <v>0</v>
      </c>
      <c r="AU541" s="118">
        <f>SUM(AL542:AL613)</f>
        <v>0</v>
      </c>
    </row>
    <row r="542" spans="1:62" x14ac:dyDescent="0.2">
      <c r="A542" s="117" t="s">
        <v>491</v>
      </c>
      <c r="B542" s="117" t="s">
        <v>3929</v>
      </c>
      <c r="C542" s="304" t="s">
        <v>1560</v>
      </c>
      <c r="D542" s="305"/>
      <c r="E542" s="305"/>
      <c r="F542" s="117" t="s">
        <v>1644</v>
      </c>
      <c r="G542" s="116">
        <v>1</v>
      </c>
      <c r="H542" s="159"/>
      <c r="I542" s="108">
        <f t="shared" ref="I542:I573" si="598">G542*AO542</f>
        <v>0</v>
      </c>
      <c r="J542" s="108">
        <f t="shared" ref="J542:J573" si="599">G542*AP542</f>
        <v>0</v>
      </c>
      <c r="K542" s="108">
        <f t="shared" ref="K542:K573" si="600">G542*H542</f>
        <v>0</v>
      </c>
      <c r="L542" s="111"/>
      <c r="Z542" s="100">
        <f t="shared" ref="Z542:Z573" si="601">IF(AQ542="5",BJ542,0)</f>
        <v>0</v>
      </c>
      <c r="AB542" s="100">
        <f t="shared" ref="AB542:AB573" si="602">IF(AQ542="1",BH542,0)</f>
        <v>0</v>
      </c>
      <c r="AC542" s="100">
        <f t="shared" ref="AC542:AC573" si="603">IF(AQ542="1",BI542,0)</f>
        <v>0</v>
      </c>
      <c r="AD542" s="100">
        <f t="shared" ref="AD542:AD573" si="604">IF(AQ542="7",BH542,0)</f>
        <v>0</v>
      </c>
      <c r="AE542" s="100">
        <f t="shared" ref="AE542:AE573" si="605">IF(AQ542="7",BI542,0)</f>
        <v>0</v>
      </c>
      <c r="AF542" s="100">
        <f t="shared" ref="AF542:AF573" si="606">IF(AQ542="2",BH542,0)</f>
        <v>0</v>
      </c>
      <c r="AG542" s="100">
        <f t="shared" ref="AG542:AG573" si="607">IF(AQ542="2",BI542,0)</f>
        <v>0</v>
      </c>
      <c r="AH542" s="100">
        <f t="shared" ref="AH542:AH573" si="608">IF(AQ542="0",BJ542,0)</f>
        <v>0</v>
      </c>
      <c r="AI542" s="109"/>
      <c r="AJ542" s="108">
        <f t="shared" ref="AJ542:AJ573" si="609">IF(AN542=0,K542,0)</f>
        <v>0</v>
      </c>
      <c r="AK542" s="108">
        <f t="shared" ref="AK542:AK573" si="610">IF(AN542=15,K542,0)</f>
        <v>0</v>
      </c>
      <c r="AL542" s="108">
        <f t="shared" ref="AL542:AL573" si="611">IF(AN542=21,K542,0)</f>
        <v>0</v>
      </c>
      <c r="AN542" s="100">
        <v>15</v>
      </c>
      <c r="AO542" s="100">
        <f t="shared" ref="AO542:AO573" si="612">H542*0</f>
        <v>0</v>
      </c>
      <c r="AP542" s="100">
        <f t="shared" ref="AP542:AP573" si="613">H542*(1-0)</f>
        <v>0</v>
      </c>
      <c r="AQ542" s="111" t="s">
        <v>7</v>
      </c>
      <c r="AV542" s="100">
        <f t="shared" ref="AV542:AV573" si="614">AW542+AX542</f>
        <v>0</v>
      </c>
      <c r="AW542" s="100">
        <f t="shared" ref="AW542:AW573" si="615">G542*AO542</f>
        <v>0</v>
      </c>
      <c r="AX542" s="100">
        <f t="shared" ref="AX542:AX573" si="616">G542*AP542</f>
        <v>0</v>
      </c>
      <c r="AY542" s="110" t="s">
        <v>1722</v>
      </c>
      <c r="AZ542" s="110" t="s">
        <v>1730</v>
      </c>
      <c r="BA542" s="109" t="s">
        <v>1737</v>
      </c>
      <c r="BC542" s="100">
        <f t="shared" ref="BC542:BC573" si="617">AW542+AX542</f>
        <v>0</v>
      </c>
      <c r="BD542" s="100">
        <f t="shared" ref="BD542:BD573" si="618">H542/(100-BE542)*100</f>
        <v>0</v>
      </c>
      <c r="BE542" s="100">
        <v>0</v>
      </c>
      <c r="BF542" s="100">
        <f>542</f>
        <v>542</v>
      </c>
      <c r="BH542" s="108">
        <f t="shared" ref="BH542:BH573" si="619">G542*AO542</f>
        <v>0</v>
      </c>
      <c r="BI542" s="108">
        <f t="shared" ref="BI542:BI573" si="620">G542*AP542</f>
        <v>0</v>
      </c>
      <c r="BJ542" s="108">
        <f t="shared" ref="BJ542:BJ573" si="621">G542*H542</f>
        <v>0</v>
      </c>
    </row>
    <row r="543" spans="1:62" x14ac:dyDescent="0.2">
      <c r="A543" s="117" t="s">
        <v>492</v>
      </c>
      <c r="B543" s="117" t="s">
        <v>3928</v>
      </c>
      <c r="C543" s="304" t="s">
        <v>1561</v>
      </c>
      <c r="D543" s="305"/>
      <c r="E543" s="305"/>
      <c r="F543" s="117" t="s">
        <v>1644</v>
      </c>
      <c r="G543" s="116">
        <v>1</v>
      </c>
      <c r="H543" s="159"/>
      <c r="I543" s="108">
        <f t="shared" si="598"/>
        <v>0</v>
      </c>
      <c r="J543" s="108">
        <f t="shared" si="599"/>
        <v>0</v>
      </c>
      <c r="K543" s="108">
        <f t="shared" si="600"/>
        <v>0</v>
      </c>
      <c r="L543" s="111"/>
      <c r="Z543" s="100">
        <f t="shared" si="601"/>
        <v>0</v>
      </c>
      <c r="AB543" s="100">
        <f t="shared" si="602"/>
        <v>0</v>
      </c>
      <c r="AC543" s="100">
        <f t="shared" si="603"/>
        <v>0</v>
      </c>
      <c r="AD543" s="100">
        <f t="shared" si="604"/>
        <v>0</v>
      </c>
      <c r="AE543" s="100">
        <f t="shared" si="605"/>
        <v>0</v>
      </c>
      <c r="AF543" s="100">
        <f t="shared" si="606"/>
        <v>0</v>
      </c>
      <c r="AG543" s="100">
        <f t="shared" si="607"/>
        <v>0</v>
      </c>
      <c r="AH543" s="100">
        <f t="shared" si="608"/>
        <v>0</v>
      </c>
      <c r="AI543" s="109"/>
      <c r="AJ543" s="108">
        <f t="shared" si="609"/>
        <v>0</v>
      </c>
      <c r="AK543" s="108">
        <f t="shared" si="610"/>
        <v>0</v>
      </c>
      <c r="AL543" s="108">
        <f t="shared" si="611"/>
        <v>0</v>
      </c>
      <c r="AN543" s="100">
        <v>15</v>
      </c>
      <c r="AO543" s="100">
        <f t="shared" si="612"/>
        <v>0</v>
      </c>
      <c r="AP543" s="100">
        <f t="shared" si="613"/>
        <v>0</v>
      </c>
      <c r="AQ543" s="111" t="s">
        <v>7</v>
      </c>
      <c r="AV543" s="100">
        <f t="shared" si="614"/>
        <v>0</v>
      </c>
      <c r="AW543" s="100">
        <f t="shared" si="615"/>
        <v>0</v>
      </c>
      <c r="AX543" s="100">
        <f t="shared" si="616"/>
        <v>0</v>
      </c>
      <c r="AY543" s="110" t="s">
        <v>1722</v>
      </c>
      <c r="AZ543" s="110" t="s">
        <v>1730</v>
      </c>
      <c r="BA543" s="109" t="s">
        <v>1737</v>
      </c>
      <c r="BC543" s="100">
        <f t="shared" si="617"/>
        <v>0</v>
      </c>
      <c r="BD543" s="100">
        <f t="shared" si="618"/>
        <v>0</v>
      </c>
      <c r="BE543" s="100">
        <v>0</v>
      </c>
      <c r="BF543" s="100">
        <f>543</f>
        <v>543</v>
      </c>
      <c r="BH543" s="108">
        <f t="shared" si="619"/>
        <v>0</v>
      </c>
      <c r="BI543" s="108">
        <f t="shared" si="620"/>
        <v>0</v>
      </c>
      <c r="BJ543" s="108">
        <f t="shared" si="621"/>
        <v>0</v>
      </c>
    </row>
    <row r="544" spans="1:62" x14ac:dyDescent="0.2">
      <c r="A544" s="117" t="s">
        <v>493</v>
      </c>
      <c r="B544" s="117" t="s">
        <v>973</v>
      </c>
      <c r="C544" s="304" t="s">
        <v>1562</v>
      </c>
      <c r="D544" s="305"/>
      <c r="E544" s="305"/>
      <c r="F544" s="117" t="s">
        <v>1644</v>
      </c>
      <c r="G544" s="116">
        <v>1</v>
      </c>
      <c r="H544" s="159"/>
      <c r="I544" s="108">
        <f t="shared" si="598"/>
        <v>0</v>
      </c>
      <c r="J544" s="108">
        <f t="shared" si="599"/>
        <v>0</v>
      </c>
      <c r="K544" s="108">
        <f t="shared" si="600"/>
        <v>0</v>
      </c>
      <c r="L544" s="111"/>
      <c r="Z544" s="100">
        <f t="shared" si="601"/>
        <v>0</v>
      </c>
      <c r="AB544" s="100">
        <f t="shared" si="602"/>
        <v>0</v>
      </c>
      <c r="AC544" s="100">
        <f t="shared" si="603"/>
        <v>0</v>
      </c>
      <c r="AD544" s="100">
        <f t="shared" si="604"/>
        <v>0</v>
      </c>
      <c r="AE544" s="100">
        <f t="shared" si="605"/>
        <v>0</v>
      </c>
      <c r="AF544" s="100">
        <f t="shared" si="606"/>
        <v>0</v>
      </c>
      <c r="AG544" s="100">
        <f t="shared" si="607"/>
        <v>0</v>
      </c>
      <c r="AH544" s="100">
        <f t="shared" si="608"/>
        <v>0</v>
      </c>
      <c r="AI544" s="109"/>
      <c r="AJ544" s="108">
        <f t="shared" si="609"/>
        <v>0</v>
      </c>
      <c r="AK544" s="108">
        <f t="shared" si="610"/>
        <v>0</v>
      </c>
      <c r="AL544" s="108">
        <f t="shared" si="611"/>
        <v>0</v>
      </c>
      <c r="AN544" s="100">
        <v>15</v>
      </c>
      <c r="AO544" s="100">
        <f t="shared" si="612"/>
        <v>0</v>
      </c>
      <c r="AP544" s="100">
        <f t="shared" si="613"/>
        <v>0</v>
      </c>
      <c r="AQ544" s="111" t="s">
        <v>7</v>
      </c>
      <c r="AV544" s="100">
        <f t="shared" si="614"/>
        <v>0</v>
      </c>
      <c r="AW544" s="100">
        <f t="shared" si="615"/>
        <v>0</v>
      </c>
      <c r="AX544" s="100">
        <f t="shared" si="616"/>
        <v>0</v>
      </c>
      <c r="AY544" s="110" t="s">
        <v>1722</v>
      </c>
      <c r="AZ544" s="110" t="s">
        <v>1730</v>
      </c>
      <c r="BA544" s="109" t="s">
        <v>1737</v>
      </c>
      <c r="BC544" s="100">
        <f t="shared" si="617"/>
        <v>0</v>
      </c>
      <c r="BD544" s="100">
        <f t="shared" si="618"/>
        <v>0</v>
      </c>
      <c r="BE544" s="100">
        <v>0</v>
      </c>
      <c r="BF544" s="100">
        <f>544</f>
        <v>544</v>
      </c>
      <c r="BH544" s="108">
        <f t="shared" si="619"/>
        <v>0</v>
      </c>
      <c r="BI544" s="108">
        <f t="shared" si="620"/>
        <v>0</v>
      </c>
      <c r="BJ544" s="108">
        <f t="shared" si="621"/>
        <v>0</v>
      </c>
    </row>
    <row r="545" spans="1:62" x14ac:dyDescent="0.2">
      <c r="A545" s="117" t="s">
        <v>494</v>
      </c>
      <c r="B545" s="117" t="s">
        <v>974</v>
      </c>
      <c r="C545" s="304" t="s">
        <v>1563</v>
      </c>
      <c r="D545" s="305"/>
      <c r="E545" s="305"/>
      <c r="F545" s="117" t="s">
        <v>1644</v>
      </c>
      <c r="G545" s="116">
        <v>1</v>
      </c>
      <c r="H545" s="159"/>
      <c r="I545" s="108">
        <f t="shared" si="598"/>
        <v>0</v>
      </c>
      <c r="J545" s="108">
        <f t="shared" si="599"/>
        <v>0</v>
      </c>
      <c r="K545" s="108">
        <f t="shared" si="600"/>
        <v>0</v>
      </c>
      <c r="L545" s="111"/>
      <c r="Z545" s="100">
        <f t="shared" si="601"/>
        <v>0</v>
      </c>
      <c r="AB545" s="100">
        <f t="shared" si="602"/>
        <v>0</v>
      </c>
      <c r="AC545" s="100">
        <f t="shared" si="603"/>
        <v>0</v>
      </c>
      <c r="AD545" s="100">
        <f t="shared" si="604"/>
        <v>0</v>
      </c>
      <c r="AE545" s="100">
        <f t="shared" si="605"/>
        <v>0</v>
      </c>
      <c r="AF545" s="100">
        <f t="shared" si="606"/>
        <v>0</v>
      </c>
      <c r="AG545" s="100">
        <f t="shared" si="607"/>
        <v>0</v>
      </c>
      <c r="AH545" s="100">
        <f t="shared" si="608"/>
        <v>0</v>
      </c>
      <c r="AI545" s="109"/>
      <c r="AJ545" s="108">
        <f t="shared" si="609"/>
        <v>0</v>
      </c>
      <c r="AK545" s="108">
        <f t="shared" si="610"/>
        <v>0</v>
      </c>
      <c r="AL545" s="108">
        <f t="shared" si="611"/>
        <v>0</v>
      </c>
      <c r="AN545" s="100">
        <v>15</v>
      </c>
      <c r="AO545" s="100">
        <f t="shared" si="612"/>
        <v>0</v>
      </c>
      <c r="AP545" s="100">
        <f t="shared" si="613"/>
        <v>0</v>
      </c>
      <c r="AQ545" s="111" t="s">
        <v>7</v>
      </c>
      <c r="AV545" s="100">
        <f t="shared" si="614"/>
        <v>0</v>
      </c>
      <c r="AW545" s="100">
        <f t="shared" si="615"/>
        <v>0</v>
      </c>
      <c r="AX545" s="100">
        <f t="shared" si="616"/>
        <v>0</v>
      </c>
      <c r="AY545" s="110" t="s">
        <v>1722</v>
      </c>
      <c r="AZ545" s="110" t="s">
        <v>1730</v>
      </c>
      <c r="BA545" s="109" t="s">
        <v>1737</v>
      </c>
      <c r="BC545" s="100">
        <f t="shared" si="617"/>
        <v>0</v>
      </c>
      <c r="BD545" s="100">
        <f t="shared" si="618"/>
        <v>0</v>
      </c>
      <c r="BE545" s="100">
        <v>0</v>
      </c>
      <c r="BF545" s="100">
        <f>545</f>
        <v>545</v>
      </c>
      <c r="BH545" s="108">
        <f t="shared" si="619"/>
        <v>0</v>
      </c>
      <c r="BI545" s="108">
        <f t="shared" si="620"/>
        <v>0</v>
      </c>
      <c r="BJ545" s="108">
        <f t="shared" si="621"/>
        <v>0</v>
      </c>
    </row>
    <row r="546" spans="1:62" x14ac:dyDescent="0.2">
      <c r="A546" s="117" t="s">
        <v>495</v>
      </c>
      <c r="B546" s="117" t="s">
        <v>975</v>
      </c>
      <c r="C546" s="304" t="s">
        <v>1564</v>
      </c>
      <c r="D546" s="305"/>
      <c r="E546" s="305"/>
      <c r="F546" s="117" t="s">
        <v>1644</v>
      </c>
      <c r="G546" s="116">
        <v>1</v>
      </c>
      <c r="H546" s="159"/>
      <c r="I546" s="108">
        <f t="shared" si="598"/>
        <v>0</v>
      </c>
      <c r="J546" s="108">
        <f t="shared" si="599"/>
        <v>0</v>
      </c>
      <c r="K546" s="108">
        <f t="shared" si="600"/>
        <v>0</v>
      </c>
      <c r="L546" s="111"/>
      <c r="Z546" s="100">
        <f t="shared" si="601"/>
        <v>0</v>
      </c>
      <c r="AB546" s="100">
        <f t="shared" si="602"/>
        <v>0</v>
      </c>
      <c r="AC546" s="100">
        <f t="shared" si="603"/>
        <v>0</v>
      </c>
      <c r="AD546" s="100">
        <f t="shared" si="604"/>
        <v>0</v>
      </c>
      <c r="AE546" s="100">
        <f t="shared" si="605"/>
        <v>0</v>
      </c>
      <c r="AF546" s="100">
        <f t="shared" si="606"/>
        <v>0</v>
      </c>
      <c r="AG546" s="100">
        <f t="shared" si="607"/>
        <v>0</v>
      </c>
      <c r="AH546" s="100">
        <f t="shared" si="608"/>
        <v>0</v>
      </c>
      <c r="AI546" s="109"/>
      <c r="AJ546" s="108">
        <f t="shared" si="609"/>
        <v>0</v>
      </c>
      <c r="AK546" s="108">
        <f t="shared" si="610"/>
        <v>0</v>
      </c>
      <c r="AL546" s="108">
        <f t="shared" si="611"/>
        <v>0</v>
      </c>
      <c r="AN546" s="100">
        <v>15</v>
      </c>
      <c r="AO546" s="100">
        <f t="shared" si="612"/>
        <v>0</v>
      </c>
      <c r="AP546" s="100">
        <f t="shared" si="613"/>
        <v>0</v>
      </c>
      <c r="AQ546" s="111" t="s">
        <v>7</v>
      </c>
      <c r="AV546" s="100">
        <f t="shared" si="614"/>
        <v>0</v>
      </c>
      <c r="AW546" s="100">
        <f t="shared" si="615"/>
        <v>0</v>
      </c>
      <c r="AX546" s="100">
        <f t="shared" si="616"/>
        <v>0</v>
      </c>
      <c r="AY546" s="110" t="s">
        <v>1722</v>
      </c>
      <c r="AZ546" s="110" t="s">
        <v>1730</v>
      </c>
      <c r="BA546" s="109" t="s">
        <v>1737</v>
      </c>
      <c r="BC546" s="100">
        <f t="shared" si="617"/>
        <v>0</v>
      </c>
      <c r="BD546" s="100">
        <f t="shared" si="618"/>
        <v>0</v>
      </c>
      <c r="BE546" s="100">
        <v>0</v>
      </c>
      <c r="BF546" s="100">
        <f>546</f>
        <v>546</v>
      </c>
      <c r="BH546" s="108">
        <f t="shared" si="619"/>
        <v>0</v>
      </c>
      <c r="BI546" s="108">
        <f t="shared" si="620"/>
        <v>0</v>
      </c>
      <c r="BJ546" s="108">
        <f t="shared" si="621"/>
        <v>0</v>
      </c>
    </row>
    <row r="547" spans="1:62" x14ac:dyDescent="0.2">
      <c r="A547" s="117" t="s">
        <v>496</v>
      </c>
      <c r="B547" s="117" t="s">
        <v>976</v>
      </c>
      <c r="C547" s="304" t="s">
        <v>1565</v>
      </c>
      <c r="D547" s="305"/>
      <c r="E547" s="305"/>
      <c r="F547" s="117" t="s">
        <v>1644</v>
      </c>
      <c r="G547" s="116">
        <v>2</v>
      </c>
      <c r="H547" s="159"/>
      <c r="I547" s="108">
        <f t="shared" si="598"/>
        <v>0</v>
      </c>
      <c r="J547" s="108">
        <f t="shared" si="599"/>
        <v>0</v>
      </c>
      <c r="K547" s="108">
        <f t="shared" si="600"/>
        <v>0</v>
      </c>
      <c r="L547" s="111"/>
      <c r="Z547" s="100">
        <f t="shared" si="601"/>
        <v>0</v>
      </c>
      <c r="AB547" s="100">
        <f t="shared" si="602"/>
        <v>0</v>
      </c>
      <c r="AC547" s="100">
        <f t="shared" si="603"/>
        <v>0</v>
      </c>
      <c r="AD547" s="100">
        <f t="shared" si="604"/>
        <v>0</v>
      </c>
      <c r="AE547" s="100">
        <f t="shared" si="605"/>
        <v>0</v>
      </c>
      <c r="AF547" s="100">
        <f t="shared" si="606"/>
        <v>0</v>
      </c>
      <c r="AG547" s="100">
        <f t="shared" si="607"/>
        <v>0</v>
      </c>
      <c r="AH547" s="100">
        <f t="shared" si="608"/>
        <v>0</v>
      </c>
      <c r="AI547" s="109"/>
      <c r="AJ547" s="108">
        <f t="shared" si="609"/>
        <v>0</v>
      </c>
      <c r="AK547" s="108">
        <f t="shared" si="610"/>
        <v>0</v>
      </c>
      <c r="AL547" s="108">
        <f t="shared" si="611"/>
        <v>0</v>
      </c>
      <c r="AN547" s="100">
        <v>15</v>
      </c>
      <c r="AO547" s="100">
        <f t="shared" si="612"/>
        <v>0</v>
      </c>
      <c r="AP547" s="100">
        <f t="shared" si="613"/>
        <v>0</v>
      </c>
      <c r="AQ547" s="111" t="s">
        <v>7</v>
      </c>
      <c r="AV547" s="100">
        <f t="shared" si="614"/>
        <v>0</v>
      </c>
      <c r="AW547" s="100">
        <f t="shared" si="615"/>
        <v>0</v>
      </c>
      <c r="AX547" s="100">
        <f t="shared" si="616"/>
        <v>0</v>
      </c>
      <c r="AY547" s="110" t="s">
        <v>1722</v>
      </c>
      <c r="AZ547" s="110" t="s">
        <v>1730</v>
      </c>
      <c r="BA547" s="109" t="s">
        <v>1737</v>
      </c>
      <c r="BC547" s="100">
        <f t="shared" si="617"/>
        <v>0</v>
      </c>
      <c r="BD547" s="100">
        <f t="shared" si="618"/>
        <v>0</v>
      </c>
      <c r="BE547" s="100">
        <v>0</v>
      </c>
      <c r="BF547" s="100">
        <f>547</f>
        <v>547</v>
      </c>
      <c r="BH547" s="108">
        <f t="shared" si="619"/>
        <v>0</v>
      </c>
      <c r="BI547" s="108">
        <f t="shared" si="620"/>
        <v>0</v>
      </c>
      <c r="BJ547" s="108">
        <f t="shared" si="621"/>
        <v>0</v>
      </c>
    </row>
    <row r="548" spans="1:62" x14ac:dyDescent="0.2">
      <c r="A548" s="117" t="s">
        <v>497</v>
      </c>
      <c r="B548" s="117" t="s">
        <v>977</v>
      </c>
      <c r="C548" s="304" t="s">
        <v>1566</v>
      </c>
      <c r="D548" s="305"/>
      <c r="E548" s="305"/>
      <c r="F548" s="117" t="s">
        <v>1644</v>
      </c>
      <c r="G548" s="116">
        <v>1</v>
      </c>
      <c r="H548" s="159"/>
      <c r="I548" s="108">
        <f t="shared" si="598"/>
        <v>0</v>
      </c>
      <c r="J548" s="108">
        <f t="shared" si="599"/>
        <v>0</v>
      </c>
      <c r="K548" s="108">
        <f t="shared" si="600"/>
        <v>0</v>
      </c>
      <c r="L548" s="111"/>
      <c r="Z548" s="100">
        <f t="shared" si="601"/>
        <v>0</v>
      </c>
      <c r="AB548" s="100">
        <f t="shared" si="602"/>
        <v>0</v>
      </c>
      <c r="AC548" s="100">
        <f t="shared" si="603"/>
        <v>0</v>
      </c>
      <c r="AD548" s="100">
        <f t="shared" si="604"/>
        <v>0</v>
      </c>
      <c r="AE548" s="100">
        <f t="shared" si="605"/>
        <v>0</v>
      </c>
      <c r="AF548" s="100">
        <f t="shared" si="606"/>
        <v>0</v>
      </c>
      <c r="AG548" s="100">
        <f t="shared" si="607"/>
        <v>0</v>
      </c>
      <c r="AH548" s="100">
        <f t="shared" si="608"/>
        <v>0</v>
      </c>
      <c r="AI548" s="109"/>
      <c r="AJ548" s="108">
        <f t="shared" si="609"/>
        <v>0</v>
      </c>
      <c r="AK548" s="108">
        <f t="shared" si="610"/>
        <v>0</v>
      </c>
      <c r="AL548" s="108">
        <f t="shared" si="611"/>
        <v>0</v>
      </c>
      <c r="AN548" s="100">
        <v>15</v>
      </c>
      <c r="AO548" s="100">
        <f t="shared" si="612"/>
        <v>0</v>
      </c>
      <c r="AP548" s="100">
        <f t="shared" si="613"/>
        <v>0</v>
      </c>
      <c r="AQ548" s="111" t="s">
        <v>7</v>
      </c>
      <c r="AV548" s="100">
        <f t="shared" si="614"/>
        <v>0</v>
      </c>
      <c r="AW548" s="100">
        <f t="shared" si="615"/>
        <v>0</v>
      </c>
      <c r="AX548" s="100">
        <f t="shared" si="616"/>
        <v>0</v>
      </c>
      <c r="AY548" s="110" t="s">
        <v>1722</v>
      </c>
      <c r="AZ548" s="110" t="s">
        <v>1730</v>
      </c>
      <c r="BA548" s="109" t="s">
        <v>1737</v>
      </c>
      <c r="BC548" s="100">
        <f t="shared" si="617"/>
        <v>0</v>
      </c>
      <c r="BD548" s="100">
        <f t="shared" si="618"/>
        <v>0</v>
      </c>
      <c r="BE548" s="100">
        <v>0</v>
      </c>
      <c r="BF548" s="100">
        <f>548</f>
        <v>548</v>
      </c>
      <c r="BH548" s="108">
        <f t="shared" si="619"/>
        <v>0</v>
      </c>
      <c r="BI548" s="108">
        <f t="shared" si="620"/>
        <v>0</v>
      </c>
      <c r="BJ548" s="108">
        <f t="shared" si="621"/>
        <v>0</v>
      </c>
    </row>
    <row r="549" spans="1:62" x14ac:dyDescent="0.2">
      <c r="A549" s="117" t="s">
        <v>498</v>
      </c>
      <c r="B549" s="117" t="s">
        <v>979</v>
      </c>
      <c r="C549" s="304" t="s">
        <v>1568</v>
      </c>
      <c r="D549" s="305"/>
      <c r="E549" s="305"/>
      <c r="F549" s="117" t="s">
        <v>1644</v>
      </c>
      <c r="G549" s="116">
        <v>1</v>
      </c>
      <c r="H549" s="159"/>
      <c r="I549" s="108">
        <f t="shared" si="598"/>
        <v>0</v>
      </c>
      <c r="J549" s="108">
        <f t="shared" si="599"/>
        <v>0</v>
      </c>
      <c r="K549" s="108">
        <f t="shared" si="600"/>
        <v>0</v>
      </c>
      <c r="L549" s="111"/>
      <c r="Z549" s="100">
        <f t="shared" si="601"/>
        <v>0</v>
      </c>
      <c r="AB549" s="100">
        <f t="shared" si="602"/>
        <v>0</v>
      </c>
      <c r="AC549" s="100">
        <f t="shared" si="603"/>
        <v>0</v>
      </c>
      <c r="AD549" s="100">
        <f t="shared" si="604"/>
        <v>0</v>
      </c>
      <c r="AE549" s="100">
        <f t="shared" si="605"/>
        <v>0</v>
      </c>
      <c r="AF549" s="100">
        <f t="shared" si="606"/>
        <v>0</v>
      </c>
      <c r="AG549" s="100">
        <f t="shared" si="607"/>
        <v>0</v>
      </c>
      <c r="AH549" s="100">
        <f t="shared" si="608"/>
        <v>0</v>
      </c>
      <c r="AI549" s="109"/>
      <c r="AJ549" s="108">
        <f t="shared" si="609"/>
        <v>0</v>
      </c>
      <c r="AK549" s="108">
        <f t="shared" si="610"/>
        <v>0</v>
      </c>
      <c r="AL549" s="108">
        <f t="shared" si="611"/>
        <v>0</v>
      </c>
      <c r="AN549" s="100">
        <v>15</v>
      </c>
      <c r="AO549" s="100">
        <f t="shared" si="612"/>
        <v>0</v>
      </c>
      <c r="AP549" s="100">
        <f t="shared" si="613"/>
        <v>0</v>
      </c>
      <c r="AQ549" s="111" t="s">
        <v>7</v>
      </c>
      <c r="AV549" s="100">
        <f t="shared" si="614"/>
        <v>0</v>
      </c>
      <c r="AW549" s="100">
        <f t="shared" si="615"/>
        <v>0</v>
      </c>
      <c r="AX549" s="100">
        <f t="shared" si="616"/>
        <v>0</v>
      </c>
      <c r="AY549" s="110" t="s">
        <v>1722</v>
      </c>
      <c r="AZ549" s="110" t="s">
        <v>1730</v>
      </c>
      <c r="BA549" s="109" t="s">
        <v>1737</v>
      </c>
      <c r="BC549" s="100">
        <f t="shared" si="617"/>
        <v>0</v>
      </c>
      <c r="BD549" s="100">
        <f t="shared" si="618"/>
        <v>0</v>
      </c>
      <c r="BE549" s="100">
        <v>0</v>
      </c>
      <c r="BF549" s="100">
        <f>549</f>
        <v>549</v>
      </c>
      <c r="BH549" s="108">
        <f t="shared" si="619"/>
        <v>0</v>
      </c>
      <c r="BI549" s="108">
        <f t="shared" si="620"/>
        <v>0</v>
      </c>
      <c r="BJ549" s="108">
        <f t="shared" si="621"/>
        <v>0</v>
      </c>
    </row>
    <row r="550" spans="1:62" x14ac:dyDescent="0.2">
      <c r="A550" s="117" t="s">
        <v>499</v>
      </c>
      <c r="B550" s="117" t="s">
        <v>3927</v>
      </c>
      <c r="C550" s="304" t="s">
        <v>1569</v>
      </c>
      <c r="D550" s="305"/>
      <c r="E550" s="305"/>
      <c r="F550" s="117" t="s">
        <v>1644</v>
      </c>
      <c r="G550" s="116">
        <v>1</v>
      </c>
      <c r="H550" s="159"/>
      <c r="I550" s="108">
        <f t="shared" si="598"/>
        <v>0</v>
      </c>
      <c r="J550" s="108">
        <f t="shared" si="599"/>
        <v>0</v>
      </c>
      <c r="K550" s="108">
        <f t="shared" si="600"/>
        <v>0</v>
      </c>
      <c r="L550" s="111"/>
      <c r="Z550" s="100">
        <f t="shared" si="601"/>
        <v>0</v>
      </c>
      <c r="AB550" s="100">
        <f t="shared" si="602"/>
        <v>0</v>
      </c>
      <c r="AC550" s="100">
        <f t="shared" si="603"/>
        <v>0</v>
      </c>
      <c r="AD550" s="100">
        <f t="shared" si="604"/>
        <v>0</v>
      </c>
      <c r="AE550" s="100">
        <f t="shared" si="605"/>
        <v>0</v>
      </c>
      <c r="AF550" s="100">
        <f t="shared" si="606"/>
        <v>0</v>
      </c>
      <c r="AG550" s="100">
        <f t="shared" si="607"/>
        <v>0</v>
      </c>
      <c r="AH550" s="100">
        <f t="shared" si="608"/>
        <v>0</v>
      </c>
      <c r="AI550" s="109"/>
      <c r="AJ550" s="108">
        <f t="shared" si="609"/>
        <v>0</v>
      </c>
      <c r="AK550" s="108">
        <f t="shared" si="610"/>
        <v>0</v>
      </c>
      <c r="AL550" s="108">
        <f t="shared" si="611"/>
        <v>0</v>
      </c>
      <c r="AN550" s="100">
        <v>15</v>
      </c>
      <c r="AO550" s="100">
        <f t="shared" si="612"/>
        <v>0</v>
      </c>
      <c r="AP550" s="100">
        <f t="shared" si="613"/>
        <v>0</v>
      </c>
      <c r="AQ550" s="111" t="s">
        <v>7</v>
      </c>
      <c r="AV550" s="100">
        <f t="shared" si="614"/>
        <v>0</v>
      </c>
      <c r="AW550" s="100">
        <f t="shared" si="615"/>
        <v>0</v>
      </c>
      <c r="AX550" s="100">
        <f t="shared" si="616"/>
        <v>0</v>
      </c>
      <c r="AY550" s="110" t="s">
        <v>1722</v>
      </c>
      <c r="AZ550" s="110" t="s">
        <v>1730</v>
      </c>
      <c r="BA550" s="109" t="s">
        <v>1737</v>
      </c>
      <c r="BC550" s="100">
        <f t="shared" si="617"/>
        <v>0</v>
      </c>
      <c r="BD550" s="100">
        <f t="shared" si="618"/>
        <v>0</v>
      </c>
      <c r="BE550" s="100">
        <v>0</v>
      </c>
      <c r="BF550" s="100">
        <f>550</f>
        <v>550</v>
      </c>
      <c r="BH550" s="108">
        <f t="shared" si="619"/>
        <v>0</v>
      </c>
      <c r="BI550" s="108">
        <f t="shared" si="620"/>
        <v>0</v>
      </c>
      <c r="BJ550" s="108">
        <f t="shared" si="621"/>
        <v>0</v>
      </c>
    </row>
    <row r="551" spans="1:62" x14ac:dyDescent="0.2">
      <c r="A551" s="117" t="s">
        <v>500</v>
      </c>
      <c r="B551" s="117" t="s">
        <v>3926</v>
      </c>
      <c r="C551" s="304" t="s">
        <v>1570</v>
      </c>
      <c r="D551" s="305"/>
      <c r="E551" s="305"/>
      <c r="F551" s="117" t="s">
        <v>1644</v>
      </c>
      <c r="G551" s="116">
        <v>1</v>
      </c>
      <c r="H551" s="159"/>
      <c r="I551" s="108">
        <f t="shared" si="598"/>
        <v>0</v>
      </c>
      <c r="J551" s="108">
        <f t="shared" si="599"/>
        <v>0</v>
      </c>
      <c r="K551" s="108">
        <f t="shared" si="600"/>
        <v>0</v>
      </c>
      <c r="L551" s="111"/>
      <c r="Z551" s="100">
        <f t="shared" si="601"/>
        <v>0</v>
      </c>
      <c r="AB551" s="100">
        <f t="shared" si="602"/>
        <v>0</v>
      </c>
      <c r="AC551" s="100">
        <f t="shared" si="603"/>
        <v>0</v>
      </c>
      <c r="AD551" s="100">
        <f t="shared" si="604"/>
        <v>0</v>
      </c>
      <c r="AE551" s="100">
        <f t="shared" si="605"/>
        <v>0</v>
      </c>
      <c r="AF551" s="100">
        <f t="shared" si="606"/>
        <v>0</v>
      </c>
      <c r="AG551" s="100">
        <f t="shared" si="607"/>
        <v>0</v>
      </c>
      <c r="AH551" s="100">
        <f t="shared" si="608"/>
        <v>0</v>
      </c>
      <c r="AI551" s="109"/>
      <c r="AJ551" s="108">
        <f t="shared" si="609"/>
        <v>0</v>
      </c>
      <c r="AK551" s="108">
        <f t="shared" si="610"/>
        <v>0</v>
      </c>
      <c r="AL551" s="108">
        <f t="shared" si="611"/>
        <v>0</v>
      </c>
      <c r="AN551" s="100">
        <v>15</v>
      </c>
      <c r="AO551" s="100">
        <f t="shared" si="612"/>
        <v>0</v>
      </c>
      <c r="AP551" s="100">
        <f t="shared" si="613"/>
        <v>0</v>
      </c>
      <c r="AQ551" s="111" t="s">
        <v>7</v>
      </c>
      <c r="AV551" s="100">
        <f t="shared" si="614"/>
        <v>0</v>
      </c>
      <c r="AW551" s="100">
        <f t="shared" si="615"/>
        <v>0</v>
      </c>
      <c r="AX551" s="100">
        <f t="shared" si="616"/>
        <v>0</v>
      </c>
      <c r="AY551" s="110" t="s">
        <v>1722</v>
      </c>
      <c r="AZ551" s="110" t="s">
        <v>1730</v>
      </c>
      <c r="BA551" s="109" t="s">
        <v>1737</v>
      </c>
      <c r="BC551" s="100">
        <f t="shared" si="617"/>
        <v>0</v>
      </c>
      <c r="BD551" s="100">
        <f t="shared" si="618"/>
        <v>0</v>
      </c>
      <c r="BE551" s="100">
        <v>0</v>
      </c>
      <c r="BF551" s="100">
        <f>551</f>
        <v>551</v>
      </c>
      <c r="BH551" s="108">
        <f t="shared" si="619"/>
        <v>0</v>
      </c>
      <c r="BI551" s="108">
        <f t="shared" si="620"/>
        <v>0</v>
      </c>
      <c r="BJ551" s="108">
        <f t="shared" si="621"/>
        <v>0</v>
      </c>
    </row>
    <row r="552" spans="1:62" x14ac:dyDescent="0.2">
      <c r="A552" s="117" t="s">
        <v>501</v>
      </c>
      <c r="B552" s="117" t="s">
        <v>3925</v>
      </c>
      <c r="C552" s="304" t="s">
        <v>1571</v>
      </c>
      <c r="D552" s="305"/>
      <c r="E552" s="305"/>
      <c r="F552" s="117" t="s">
        <v>1644</v>
      </c>
      <c r="G552" s="116">
        <v>1</v>
      </c>
      <c r="H552" s="159"/>
      <c r="I552" s="108">
        <f t="shared" si="598"/>
        <v>0</v>
      </c>
      <c r="J552" s="108">
        <f t="shared" si="599"/>
        <v>0</v>
      </c>
      <c r="K552" s="108">
        <f t="shared" si="600"/>
        <v>0</v>
      </c>
      <c r="L552" s="111"/>
      <c r="Z552" s="100">
        <f t="shared" si="601"/>
        <v>0</v>
      </c>
      <c r="AB552" s="100">
        <f t="shared" si="602"/>
        <v>0</v>
      </c>
      <c r="AC552" s="100">
        <f t="shared" si="603"/>
        <v>0</v>
      </c>
      <c r="AD552" s="100">
        <f t="shared" si="604"/>
        <v>0</v>
      </c>
      <c r="AE552" s="100">
        <f t="shared" si="605"/>
        <v>0</v>
      </c>
      <c r="AF552" s="100">
        <f t="shared" si="606"/>
        <v>0</v>
      </c>
      <c r="AG552" s="100">
        <f t="shared" si="607"/>
        <v>0</v>
      </c>
      <c r="AH552" s="100">
        <f t="shared" si="608"/>
        <v>0</v>
      </c>
      <c r="AI552" s="109"/>
      <c r="AJ552" s="108">
        <f t="shared" si="609"/>
        <v>0</v>
      </c>
      <c r="AK552" s="108">
        <f t="shared" si="610"/>
        <v>0</v>
      </c>
      <c r="AL552" s="108">
        <f t="shared" si="611"/>
        <v>0</v>
      </c>
      <c r="AN552" s="100">
        <v>15</v>
      </c>
      <c r="AO552" s="100">
        <f t="shared" si="612"/>
        <v>0</v>
      </c>
      <c r="AP552" s="100">
        <f t="shared" si="613"/>
        <v>0</v>
      </c>
      <c r="AQ552" s="111" t="s">
        <v>7</v>
      </c>
      <c r="AV552" s="100">
        <f t="shared" si="614"/>
        <v>0</v>
      </c>
      <c r="AW552" s="100">
        <f t="shared" si="615"/>
        <v>0</v>
      </c>
      <c r="AX552" s="100">
        <f t="shared" si="616"/>
        <v>0</v>
      </c>
      <c r="AY552" s="110" t="s">
        <v>1722</v>
      </c>
      <c r="AZ552" s="110" t="s">
        <v>1730</v>
      </c>
      <c r="BA552" s="109" t="s">
        <v>1737</v>
      </c>
      <c r="BC552" s="100">
        <f t="shared" si="617"/>
        <v>0</v>
      </c>
      <c r="BD552" s="100">
        <f t="shared" si="618"/>
        <v>0</v>
      </c>
      <c r="BE552" s="100">
        <v>0</v>
      </c>
      <c r="BF552" s="100">
        <f>552</f>
        <v>552</v>
      </c>
      <c r="BH552" s="108">
        <f t="shared" si="619"/>
        <v>0</v>
      </c>
      <c r="BI552" s="108">
        <f t="shared" si="620"/>
        <v>0</v>
      </c>
      <c r="BJ552" s="108">
        <f t="shared" si="621"/>
        <v>0</v>
      </c>
    </row>
    <row r="553" spans="1:62" x14ac:dyDescent="0.2">
      <c r="A553" s="117" t="s">
        <v>502</v>
      </c>
      <c r="B553" s="117" t="s">
        <v>3924</v>
      </c>
      <c r="C553" s="304" t="s">
        <v>1572</v>
      </c>
      <c r="D553" s="305"/>
      <c r="E553" s="305"/>
      <c r="F553" s="117" t="s">
        <v>1644</v>
      </c>
      <c r="G553" s="116">
        <v>1</v>
      </c>
      <c r="H553" s="159"/>
      <c r="I553" s="108">
        <f t="shared" si="598"/>
        <v>0</v>
      </c>
      <c r="J553" s="108">
        <f t="shared" si="599"/>
        <v>0</v>
      </c>
      <c r="K553" s="108">
        <f t="shared" si="600"/>
        <v>0</v>
      </c>
      <c r="L553" s="111"/>
      <c r="Z553" s="100">
        <f t="shared" si="601"/>
        <v>0</v>
      </c>
      <c r="AB553" s="100">
        <f t="shared" si="602"/>
        <v>0</v>
      </c>
      <c r="AC553" s="100">
        <f t="shared" si="603"/>
        <v>0</v>
      </c>
      <c r="AD553" s="100">
        <f t="shared" si="604"/>
        <v>0</v>
      </c>
      <c r="AE553" s="100">
        <f t="shared" si="605"/>
        <v>0</v>
      </c>
      <c r="AF553" s="100">
        <f t="shared" si="606"/>
        <v>0</v>
      </c>
      <c r="AG553" s="100">
        <f t="shared" si="607"/>
        <v>0</v>
      </c>
      <c r="AH553" s="100">
        <f t="shared" si="608"/>
        <v>0</v>
      </c>
      <c r="AI553" s="109"/>
      <c r="AJ553" s="108">
        <f t="shared" si="609"/>
        <v>0</v>
      </c>
      <c r="AK553" s="108">
        <f t="shared" si="610"/>
        <v>0</v>
      </c>
      <c r="AL553" s="108">
        <f t="shared" si="611"/>
        <v>0</v>
      </c>
      <c r="AN553" s="100">
        <v>15</v>
      </c>
      <c r="AO553" s="100">
        <f t="shared" si="612"/>
        <v>0</v>
      </c>
      <c r="AP553" s="100">
        <f t="shared" si="613"/>
        <v>0</v>
      </c>
      <c r="AQ553" s="111" t="s">
        <v>7</v>
      </c>
      <c r="AV553" s="100">
        <f t="shared" si="614"/>
        <v>0</v>
      </c>
      <c r="AW553" s="100">
        <f t="shared" si="615"/>
        <v>0</v>
      </c>
      <c r="AX553" s="100">
        <f t="shared" si="616"/>
        <v>0</v>
      </c>
      <c r="AY553" s="110" t="s">
        <v>1722</v>
      </c>
      <c r="AZ553" s="110" t="s">
        <v>1730</v>
      </c>
      <c r="BA553" s="109" t="s">
        <v>1737</v>
      </c>
      <c r="BC553" s="100">
        <f t="shared" si="617"/>
        <v>0</v>
      </c>
      <c r="BD553" s="100">
        <f t="shared" si="618"/>
        <v>0</v>
      </c>
      <c r="BE553" s="100">
        <v>0</v>
      </c>
      <c r="BF553" s="100">
        <f>553</f>
        <v>553</v>
      </c>
      <c r="BH553" s="108">
        <f t="shared" si="619"/>
        <v>0</v>
      </c>
      <c r="BI553" s="108">
        <f t="shared" si="620"/>
        <v>0</v>
      </c>
      <c r="BJ553" s="108">
        <f t="shared" si="621"/>
        <v>0</v>
      </c>
    </row>
    <row r="554" spans="1:62" x14ac:dyDescent="0.2">
      <c r="A554" s="117" t="s">
        <v>503</v>
      </c>
      <c r="B554" s="117" t="s">
        <v>3923</v>
      </c>
      <c r="C554" s="304" t="s">
        <v>1573</v>
      </c>
      <c r="D554" s="305"/>
      <c r="E554" s="305"/>
      <c r="F554" s="117" t="s">
        <v>1644</v>
      </c>
      <c r="G554" s="116">
        <v>1</v>
      </c>
      <c r="H554" s="159"/>
      <c r="I554" s="108">
        <f t="shared" si="598"/>
        <v>0</v>
      </c>
      <c r="J554" s="108">
        <f t="shared" si="599"/>
        <v>0</v>
      </c>
      <c r="K554" s="108">
        <f t="shared" si="600"/>
        <v>0</v>
      </c>
      <c r="L554" s="111"/>
      <c r="Z554" s="100">
        <f t="shared" si="601"/>
        <v>0</v>
      </c>
      <c r="AB554" s="100">
        <f t="shared" si="602"/>
        <v>0</v>
      </c>
      <c r="AC554" s="100">
        <f t="shared" si="603"/>
        <v>0</v>
      </c>
      <c r="AD554" s="100">
        <f t="shared" si="604"/>
        <v>0</v>
      </c>
      <c r="AE554" s="100">
        <f t="shared" si="605"/>
        <v>0</v>
      </c>
      <c r="AF554" s="100">
        <f t="shared" si="606"/>
        <v>0</v>
      </c>
      <c r="AG554" s="100">
        <f t="shared" si="607"/>
        <v>0</v>
      </c>
      <c r="AH554" s="100">
        <f t="shared" si="608"/>
        <v>0</v>
      </c>
      <c r="AI554" s="109"/>
      <c r="AJ554" s="108">
        <f t="shared" si="609"/>
        <v>0</v>
      </c>
      <c r="AK554" s="108">
        <f t="shared" si="610"/>
        <v>0</v>
      </c>
      <c r="AL554" s="108">
        <f t="shared" si="611"/>
        <v>0</v>
      </c>
      <c r="AN554" s="100">
        <v>15</v>
      </c>
      <c r="AO554" s="100">
        <f t="shared" si="612"/>
        <v>0</v>
      </c>
      <c r="AP554" s="100">
        <f t="shared" si="613"/>
        <v>0</v>
      </c>
      <c r="AQ554" s="111" t="s">
        <v>7</v>
      </c>
      <c r="AV554" s="100">
        <f t="shared" si="614"/>
        <v>0</v>
      </c>
      <c r="AW554" s="100">
        <f t="shared" si="615"/>
        <v>0</v>
      </c>
      <c r="AX554" s="100">
        <f t="shared" si="616"/>
        <v>0</v>
      </c>
      <c r="AY554" s="110" t="s">
        <v>1722</v>
      </c>
      <c r="AZ554" s="110" t="s">
        <v>1730</v>
      </c>
      <c r="BA554" s="109" t="s">
        <v>1737</v>
      </c>
      <c r="BC554" s="100">
        <f t="shared" si="617"/>
        <v>0</v>
      </c>
      <c r="BD554" s="100">
        <f t="shared" si="618"/>
        <v>0</v>
      </c>
      <c r="BE554" s="100">
        <v>0</v>
      </c>
      <c r="BF554" s="100">
        <f>554</f>
        <v>554</v>
      </c>
      <c r="BH554" s="108">
        <f t="shared" si="619"/>
        <v>0</v>
      </c>
      <c r="BI554" s="108">
        <f t="shared" si="620"/>
        <v>0</v>
      </c>
      <c r="BJ554" s="108">
        <f t="shared" si="621"/>
        <v>0</v>
      </c>
    </row>
    <row r="555" spans="1:62" x14ac:dyDescent="0.2">
      <c r="A555" s="117" t="s">
        <v>504</v>
      </c>
      <c r="B555" s="117" t="s">
        <v>3922</v>
      </c>
      <c r="C555" s="304" t="s">
        <v>1574</v>
      </c>
      <c r="D555" s="305"/>
      <c r="E555" s="305"/>
      <c r="F555" s="117" t="s">
        <v>1644</v>
      </c>
      <c r="G555" s="116">
        <v>1</v>
      </c>
      <c r="H555" s="159"/>
      <c r="I555" s="108">
        <f t="shared" si="598"/>
        <v>0</v>
      </c>
      <c r="J555" s="108">
        <f t="shared" si="599"/>
        <v>0</v>
      </c>
      <c r="K555" s="108">
        <f t="shared" si="600"/>
        <v>0</v>
      </c>
      <c r="L555" s="111"/>
      <c r="Z555" s="100">
        <f t="shared" si="601"/>
        <v>0</v>
      </c>
      <c r="AB555" s="100">
        <f t="shared" si="602"/>
        <v>0</v>
      </c>
      <c r="AC555" s="100">
        <f t="shared" si="603"/>
        <v>0</v>
      </c>
      <c r="AD555" s="100">
        <f t="shared" si="604"/>
        <v>0</v>
      </c>
      <c r="AE555" s="100">
        <f t="shared" si="605"/>
        <v>0</v>
      </c>
      <c r="AF555" s="100">
        <f t="shared" si="606"/>
        <v>0</v>
      </c>
      <c r="AG555" s="100">
        <f t="shared" si="607"/>
        <v>0</v>
      </c>
      <c r="AH555" s="100">
        <f t="shared" si="608"/>
        <v>0</v>
      </c>
      <c r="AI555" s="109"/>
      <c r="AJ555" s="108">
        <f t="shared" si="609"/>
        <v>0</v>
      </c>
      <c r="AK555" s="108">
        <f t="shared" si="610"/>
        <v>0</v>
      </c>
      <c r="AL555" s="108">
        <f t="shared" si="611"/>
        <v>0</v>
      </c>
      <c r="AN555" s="100">
        <v>15</v>
      </c>
      <c r="AO555" s="100">
        <f t="shared" si="612"/>
        <v>0</v>
      </c>
      <c r="AP555" s="100">
        <f t="shared" si="613"/>
        <v>0</v>
      </c>
      <c r="AQ555" s="111" t="s">
        <v>7</v>
      </c>
      <c r="AV555" s="100">
        <f t="shared" si="614"/>
        <v>0</v>
      </c>
      <c r="AW555" s="100">
        <f t="shared" si="615"/>
        <v>0</v>
      </c>
      <c r="AX555" s="100">
        <f t="shared" si="616"/>
        <v>0</v>
      </c>
      <c r="AY555" s="110" t="s">
        <v>1722</v>
      </c>
      <c r="AZ555" s="110" t="s">
        <v>1730</v>
      </c>
      <c r="BA555" s="109" t="s">
        <v>1737</v>
      </c>
      <c r="BC555" s="100">
        <f t="shared" si="617"/>
        <v>0</v>
      </c>
      <c r="BD555" s="100">
        <f t="shared" si="618"/>
        <v>0</v>
      </c>
      <c r="BE555" s="100">
        <v>0</v>
      </c>
      <c r="BF555" s="100">
        <f>555</f>
        <v>555</v>
      </c>
      <c r="BH555" s="108">
        <f t="shared" si="619"/>
        <v>0</v>
      </c>
      <c r="BI555" s="108">
        <f t="shared" si="620"/>
        <v>0</v>
      </c>
      <c r="BJ555" s="108">
        <f t="shared" si="621"/>
        <v>0</v>
      </c>
    </row>
    <row r="556" spans="1:62" x14ac:dyDescent="0.2">
      <c r="A556" s="117" t="s">
        <v>505</v>
      </c>
      <c r="B556" s="117" t="s">
        <v>3921</v>
      </c>
      <c r="C556" s="304" t="s">
        <v>1575</v>
      </c>
      <c r="D556" s="305"/>
      <c r="E556" s="305"/>
      <c r="F556" s="117" t="s">
        <v>1644</v>
      </c>
      <c r="G556" s="116">
        <v>1</v>
      </c>
      <c r="H556" s="159"/>
      <c r="I556" s="108">
        <f t="shared" si="598"/>
        <v>0</v>
      </c>
      <c r="J556" s="108">
        <f t="shared" si="599"/>
        <v>0</v>
      </c>
      <c r="K556" s="108">
        <f t="shared" si="600"/>
        <v>0</v>
      </c>
      <c r="L556" s="111"/>
      <c r="Z556" s="100">
        <f t="shared" si="601"/>
        <v>0</v>
      </c>
      <c r="AB556" s="100">
        <f t="shared" si="602"/>
        <v>0</v>
      </c>
      <c r="AC556" s="100">
        <f t="shared" si="603"/>
        <v>0</v>
      </c>
      <c r="AD556" s="100">
        <f t="shared" si="604"/>
        <v>0</v>
      </c>
      <c r="AE556" s="100">
        <f t="shared" si="605"/>
        <v>0</v>
      </c>
      <c r="AF556" s="100">
        <f t="shared" si="606"/>
        <v>0</v>
      </c>
      <c r="AG556" s="100">
        <f t="shared" si="607"/>
        <v>0</v>
      </c>
      <c r="AH556" s="100">
        <f t="shared" si="608"/>
        <v>0</v>
      </c>
      <c r="AI556" s="109"/>
      <c r="AJ556" s="108">
        <f t="shared" si="609"/>
        <v>0</v>
      </c>
      <c r="AK556" s="108">
        <f t="shared" si="610"/>
        <v>0</v>
      </c>
      <c r="AL556" s="108">
        <f t="shared" si="611"/>
        <v>0</v>
      </c>
      <c r="AN556" s="100">
        <v>15</v>
      </c>
      <c r="AO556" s="100">
        <f t="shared" si="612"/>
        <v>0</v>
      </c>
      <c r="AP556" s="100">
        <f t="shared" si="613"/>
        <v>0</v>
      </c>
      <c r="AQ556" s="111" t="s">
        <v>7</v>
      </c>
      <c r="AV556" s="100">
        <f t="shared" si="614"/>
        <v>0</v>
      </c>
      <c r="AW556" s="100">
        <f t="shared" si="615"/>
        <v>0</v>
      </c>
      <c r="AX556" s="100">
        <f t="shared" si="616"/>
        <v>0</v>
      </c>
      <c r="AY556" s="110" t="s">
        <v>1722</v>
      </c>
      <c r="AZ556" s="110" t="s">
        <v>1730</v>
      </c>
      <c r="BA556" s="109" t="s">
        <v>1737</v>
      </c>
      <c r="BC556" s="100">
        <f t="shared" si="617"/>
        <v>0</v>
      </c>
      <c r="BD556" s="100">
        <f t="shared" si="618"/>
        <v>0</v>
      </c>
      <c r="BE556" s="100">
        <v>0</v>
      </c>
      <c r="BF556" s="100">
        <f>556</f>
        <v>556</v>
      </c>
      <c r="BH556" s="108">
        <f t="shared" si="619"/>
        <v>0</v>
      </c>
      <c r="BI556" s="108">
        <f t="shared" si="620"/>
        <v>0</v>
      </c>
      <c r="BJ556" s="108">
        <f t="shared" si="621"/>
        <v>0</v>
      </c>
    </row>
    <row r="557" spans="1:62" x14ac:dyDescent="0.2">
      <c r="A557" s="117" t="s">
        <v>506</v>
      </c>
      <c r="B557" s="117" t="s">
        <v>3920</v>
      </c>
      <c r="C557" s="304" t="s">
        <v>1576</v>
      </c>
      <c r="D557" s="305"/>
      <c r="E557" s="305"/>
      <c r="F557" s="117" t="s">
        <v>1644</v>
      </c>
      <c r="G557" s="116">
        <v>1</v>
      </c>
      <c r="H557" s="159"/>
      <c r="I557" s="108">
        <f t="shared" si="598"/>
        <v>0</v>
      </c>
      <c r="J557" s="108">
        <f t="shared" si="599"/>
        <v>0</v>
      </c>
      <c r="K557" s="108">
        <f t="shared" si="600"/>
        <v>0</v>
      </c>
      <c r="L557" s="111"/>
      <c r="Z557" s="100">
        <f t="shared" si="601"/>
        <v>0</v>
      </c>
      <c r="AB557" s="100">
        <f t="shared" si="602"/>
        <v>0</v>
      </c>
      <c r="AC557" s="100">
        <f t="shared" si="603"/>
        <v>0</v>
      </c>
      <c r="AD557" s="100">
        <f t="shared" si="604"/>
        <v>0</v>
      </c>
      <c r="AE557" s="100">
        <f t="shared" si="605"/>
        <v>0</v>
      </c>
      <c r="AF557" s="100">
        <f t="shared" si="606"/>
        <v>0</v>
      </c>
      <c r="AG557" s="100">
        <f t="shared" si="607"/>
        <v>0</v>
      </c>
      <c r="AH557" s="100">
        <f t="shared" si="608"/>
        <v>0</v>
      </c>
      <c r="AI557" s="109"/>
      <c r="AJ557" s="108">
        <f t="shared" si="609"/>
        <v>0</v>
      </c>
      <c r="AK557" s="108">
        <f t="shared" si="610"/>
        <v>0</v>
      </c>
      <c r="AL557" s="108">
        <f t="shared" si="611"/>
        <v>0</v>
      </c>
      <c r="AN557" s="100">
        <v>15</v>
      </c>
      <c r="AO557" s="100">
        <f t="shared" si="612"/>
        <v>0</v>
      </c>
      <c r="AP557" s="100">
        <f t="shared" si="613"/>
        <v>0</v>
      </c>
      <c r="AQ557" s="111" t="s">
        <v>7</v>
      </c>
      <c r="AV557" s="100">
        <f t="shared" si="614"/>
        <v>0</v>
      </c>
      <c r="AW557" s="100">
        <f t="shared" si="615"/>
        <v>0</v>
      </c>
      <c r="AX557" s="100">
        <f t="shared" si="616"/>
        <v>0</v>
      </c>
      <c r="AY557" s="110" t="s">
        <v>1722</v>
      </c>
      <c r="AZ557" s="110" t="s">
        <v>1730</v>
      </c>
      <c r="BA557" s="109" t="s">
        <v>1737</v>
      </c>
      <c r="BC557" s="100">
        <f t="shared" si="617"/>
        <v>0</v>
      </c>
      <c r="BD557" s="100">
        <f t="shared" si="618"/>
        <v>0</v>
      </c>
      <c r="BE557" s="100">
        <v>0</v>
      </c>
      <c r="BF557" s="100">
        <f>557</f>
        <v>557</v>
      </c>
      <c r="BH557" s="108">
        <f t="shared" si="619"/>
        <v>0</v>
      </c>
      <c r="BI557" s="108">
        <f t="shared" si="620"/>
        <v>0</v>
      </c>
      <c r="BJ557" s="108">
        <f t="shared" si="621"/>
        <v>0</v>
      </c>
    </row>
    <row r="558" spans="1:62" x14ac:dyDescent="0.2">
      <c r="A558" s="117" t="s">
        <v>507</v>
      </c>
      <c r="B558" s="117" t="s">
        <v>973</v>
      </c>
      <c r="C558" s="304" t="s">
        <v>1577</v>
      </c>
      <c r="D558" s="305"/>
      <c r="E558" s="305"/>
      <c r="F558" s="117" t="s">
        <v>1644</v>
      </c>
      <c r="G558" s="116">
        <v>1</v>
      </c>
      <c r="H558" s="159"/>
      <c r="I558" s="108">
        <f t="shared" si="598"/>
        <v>0</v>
      </c>
      <c r="J558" s="108">
        <f t="shared" si="599"/>
        <v>0</v>
      </c>
      <c r="K558" s="108">
        <f t="shared" si="600"/>
        <v>0</v>
      </c>
      <c r="L558" s="111"/>
      <c r="Z558" s="100">
        <f t="shared" si="601"/>
        <v>0</v>
      </c>
      <c r="AB558" s="100">
        <f t="shared" si="602"/>
        <v>0</v>
      </c>
      <c r="AC558" s="100">
        <f t="shared" si="603"/>
        <v>0</v>
      </c>
      <c r="AD558" s="100">
        <f t="shared" si="604"/>
        <v>0</v>
      </c>
      <c r="AE558" s="100">
        <f t="shared" si="605"/>
        <v>0</v>
      </c>
      <c r="AF558" s="100">
        <f t="shared" si="606"/>
        <v>0</v>
      </c>
      <c r="AG558" s="100">
        <f t="shared" si="607"/>
        <v>0</v>
      </c>
      <c r="AH558" s="100">
        <f t="shared" si="608"/>
        <v>0</v>
      </c>
      <c r="AI558" s="109"/>
      <c r="AJ558" s="108">
        <f t="shared" si="609"/>
        <v>0</v>
      </c>
      <c r="AK558" s="108">
        <f t="shared" si="610"/>
        <v>0</v>
      </c>
      <c r="AL558" s="108">
        <f t="shared" si="611"/>
        <v>0</v>
      </c>
      <c r="AN558" s="100">
        <v>15</v>
      </c>
      <c r="AO558" s="100">
        <f t="shared" si="612"/>
        <v>0</v>
      </c>
      <c r="AP558" s="100">
        <f t="shared" si="613"/>
        <v>0</v>
      </c>
      <c r="AQ558" s="111" t="s">
        <v>7</v>
      </c>
      <c r="AV558" s="100">
        <f t="shared" si="614"/>
        <v>0</v>
      </c>
      <c r="AW558" s="100">
        <f t="shared" si="615"/>
        <v>0</v>
      </c>
      <c r="AX558" s="100">
        <f t="shared" si="616"/>
        <v>0</v>
      </c>
      <c r="AY558" s="110" t="s">
        <v>1722</v>
      </c>
      <c r="AZ558" s="110" t="s">
        <v>1730</v>
      </c>
      <c r="BA558" s="109" t="s">
        <v>1737</v>
      </c>
      <c r="BC558" s="100">
        <f t="shared" si="617"/>
        <v>0</v>
      </c>
      <c r="BD558" s="100">
        <f t="shared" si="618"/>
        <v>0</v>
      </c>
      <c r="BE558" s="100">
        <v>0</v>
      </c>
      <c r="BF558" s="100">
        <f>558</f>
        <v>558</v>
      </c>
      <c r="BH558" s="108">
        <f t="shared" si="619"/>
        <v>0</v>
      </c>
      <c r="BI558" s="108">
        <f t="shared" si="620"/>
        <v>0</v>
      </c>
      <c r="BJ558" s="108">
        <f t="shared" si="621"/>
        <v>0</v>
      </c>
    </row>
    <row r="559" spans="1:62" x14ac:dyDescent="0.2">
      <c r="A559" s="117" t="s">
        <v>508</v>
      </c>
      <c r="B559" s="117" t="s">
        <v>988</v>
      </c>
      <c r="C559" s="304" t="s">
        <v>1578</v>
      </c>
      <c r="D559" s="305"/>
      <c r="E559" s="305"/>
      <c r="F559" s="117" t="s">
        <v>1644</v>
      </c>
      <c r="G559" s="116">
        <v>1</v>
      </c>
      <c r="H559" s="159"/>
      <c r="I559" s="108">
        <f t="shared" si="598"/>
        <v>0</v>
      </c>
      <c r="J559" s="108">
        <f t="shared" si="599"/>
        <v>0</v>
      </c>
      <c r="K559" s="108">
        <f t="shared" si="600"/>
        <v>0</v>
      </c>
      <c r="L559" s="111"/>
      <c r="Z559" s="100">
        <f t="shared" si="601"/>
        <v>0</v>
      </c>
      <c r="AB559" s="100">
        <f t="shared" si="602"/>
        <v>0</v>
      </c>
      <c r="AC559" s="100">
        <f t="shared" si="603"/>
        <v>0</v>
      </c>
      <c r="AD559" s="100">
        <f t="shared" si="604"/>
        <v>0</v>
      </c>
      <c r="AE559" s="100">
        <f t="shared" si="605"/>
        <v>0</v>
      </c>
      <c r="AF559" s="100">
        <f t="shared" si="606"/>
        <v>0</v>
      </c>
      <c r="AG559" s="100">
        <f t="shared" si="607"/>
        <v>0</v>
      </c>
      <c r="AH559" s="100">
        <f t="shared" si="608"/>
        <v>0</v>
      </c>
      <c r="AI559" s="109"/>
      <c r="AJ559" s="108">
        <f t="shared" si="609"/>
        <v>0</v>
      </c>
      <c r="AK559" s="108">
        <f t="shared" si="610"/>
        <v>0</v>
      </c>
      <c r="AL559" s="108">
        <f t="shared" si="611"/>
        <v>0</v>
      </c>
      <c r="AN559" s="100">
        <v>15</v>
      </c>
      <c r="AO559" s="100">
        <f t="shared" si="612"/>
        <v>0</v>
      </c>
      <c r="AP559" s="100">
        <f t="shared" si="613"/>
        <v>0</v>
      </c>
      <c r="AQ559" s="111" t="s">
        <v>7</v>
      </c>
      <c r="AV559" s="100">
        <f t="shared" si="614"/>
        <v>0</v>
      </c>
      <c r="AW559" s="100">
        <f t="shared" si="615"/>
        <v>0</v>
      </c>
      <c r="AX559" s="100">
        <f t="shared" si="616"/>
        <v>0</v>
      </c>
      <c r="AY559" s="110" t="s">
        <v>1722</v>
      </c>
      <c r="AZ559" s="110" t="s">
        <v>1730</v>
      </c>
      <c r="BA559" s="109" t="s">
        <v>1737</v>
      </c>
      <c r="BC559" s="100">
        <f t="shared" si="617"/>
        <v>0</v>
      </c>
      <c r="BD559" s="100">
        <f t="shared" si="618"/>
        <v>0</v>
      </c>
      <c r="BE559" s="100">
        <v>0</v>
      </c>
      <c r="BF559" s="100">
        <f>559</f>
        <v>559</v>
      </c>
      <c r="BH559" s="108">
        <f t="shared" si="619"/>
        <v>0</v>
      </c>
      <c r="BI559" s="108">
        <f t="shared" si="620"/>
        <v>0</v>
      </c>
      <c r="BJ559" s="108">
        <f t="shared" si="621"/>
        <v>0</v>
      </c>
    </row>
    <row r="560" spans="1:62" x14ac:dyDescent="0.2">
      <c r="A560" s="117" t="s">
        <v>509</v>
      </c>
      <c r="B560" s="117" t="s">
        <v>989</v>
      </c>
      <c r="C560" s="304" t="s">
        <v>1579</v>
      </c>
      <c r="D560" s="305"/>
      <c r="E560" s="305"/>
      <c r="F560" s="117" t="s">
        <v>1644</v>
      </c>
      <c r="G560" s="116">
        <v>1</v>
      </c>
      <c r="H560" s="159"/>
      <c r="I560" s="108">
        <f t="shared" si="598"/>
        <v>0</v>
      </c>
      <c r="J560" s="108">
        <f t="shared" si="599"/>
        <v>0</v>
      </c>
      <c r="K560" s="108">
        <f t="shared" si="600"/>
        <v>0</v>
      </c>
      <c r="L560" s="111"/>
      <c r="Z560" s="100">
        <f t="shared" si="601"/>
        <v>0</v>
      </c>
      <c r="AB560" s="100">
        <f t="shared" si="602"/>
        <v>0</v>
      </c>
      <c r="AC560" s="100">
        <f t="shared" si="603"/>
        <v>0</v>
      </c>
      <c r="AD560" s="100">
        <f t="shared" si="604"/>
        <v>0</v>
      </c>
      <c r="AE560" s="100">
        <f t="shared" si="605"/>
        <v>0</v>
      </c>
      <c r="AF560" s="100">
        <f t="shared" si="606"/>
        <v>0</v>
      </c>
      <c r="AG560" s="100">
        <f t="shared" si="607"/>
        <v>0</v>
      </c>
      <c r="AH560" s="100">
        <f t="shared" si="608"/>
        <v>0</v>
      </c>
      <c r="AI560" s="109"/>
      <c r="AJ560" s="108">
        <f t="shared" si="609"/>
        <v>0</v>
      </c>
      <c r="AK560" s="108">
        <f t="shared" si="610"/>
        <v>0</v>
      </c>
      <c r="AL560" s="108">
        <f t="shared" si="611"/>
        <v>0</v>
      </c>
      <c r="AN560" s="100">
        <v>15</v>
      </c>
      <c r="AO560" s="100">
        <f t="shared" si="612"/>
        <v>0</v>
      </c>
      <c r="AP560" s="100">
        <f t="shared" si="613"/>
        <v>0</v>
      </c>
      <c r="AQ560" s="111" t="s">
        <v>7</v>
      </c>
      <c r="AV560" s="100">
        <f t="shared" si="614"/>
        <v>0</v>
      </c>
      <c r="AW560" s="100">
        <f t="shared" si="615"/>
        <v>0</v>
      </c>
      <c r="AX560" s="100">
        <f t="shared" si="616"/>
        <v>0</v>
      </c>
      <c r="AY560" s="110" t="s">
        <v>1722</v>
      </c>
      <c r="AZ560" s="110" t="s">
        <v>1730</v>
      </c>
      <c r="BA560" s="109" t="s">
        <v>1737</v>
      </c>
      <c r="BC560" s="100">
        <f t="shared" si="617"/>
        <v>0</v>
      </c>
      <c r="BD560" s="100">
        <f t="shared" si="618"/>
        <v>0</v>
      </c>
      <c r="BE560" s="100">
        <v>0</v>
      </c>
      <c r="BF560" s="100">
        <f>560</f>
        <v>560</v>
      </c>
      <c r="BH560" s="108">
        <f t="shared" si="619"/>
        <v>0</v>
      </c>
      <c r="BI560" s="108">
        <f t="shared" si="620"/>
        <v>0</v>
      </c>
      <c r="BJ560" s="108">
        <f t="shared" si="621"/>
        <v>0</v>
      </c>
    </row>
    <row r="561" spans="1:62" x14ac:dyDescent="0.2">
      <c r="A561" s="117" t="s">
        <v>510</v>
      </c>
      <c r="B561" s="117" t="s">
        <v>990</v>
      </c>
      <c r="C561" s="304" t="s">
        <v>1580</v>
      </c>
      <c r="D561" s="305"/>
      <c r="E561" s="305"/>
      <c r="F561" s="117" t="s">
        <v>1644</v>
      </c>
      <c r="G561" s="116">
        <v>1</v>
      </c>
      <c r="H561" s="159"/>
      <c r="I561" s="108">
        <f t="shared" si="598"/>
        <v>0</v>
      </c>
      <c r="J561" s="108">
        <f t="shared" si="599"/>
        <v>0</v>
      </c>
      <c r="K561" s="108">
        <f t="shared" si="600"/>
        <v>0</v>
      </c>
      <c r="L561" s="111"/>
      <c r="Z561" s="100">
        <f t="shared" si="601"/>
        <v>0</v>
      </c>
      <c r="AB561" s="100">
        <f t="shared" si="602"/>
        <v>0</v>
      </c>
      <c r="AC561" s="100">
        <f t="shared" si="603"/>
        <v>0</v>
      </c>
      <c r="AD561" s="100">
        <f t="shared" si="604"/>
        <v>0</v>
      </c>
      <c r="AE561" s="100">
        <f t="shared" si="605"/>
        <v>0</v>
      </c>
      <c r="AF561" s="100">
        <f t="shared" si="606"/>
        <v>0</v>
      </c>
      <c r="AG561" s="100">
        <f t="shared" si="607"/>
        <v>0</v>
      </c>
      <c r="AH561" s="100">
        <f t="shared" si="608"/>
        <v>0</v>
      </c>
      <c r="AI561" s="109"/>
      <c r="AJ561" s="108">
        <f t="shared" si="609"/>
        <v>0</v>
      </c>
      <c r="AK561" s="108">
        <f t="shared" si="610"/>
        <v>0</v>
      </c>
      <c r="AL561" s="108">
        <f t="shared" si="611"/>
        <v>0</v>
      </c>
      <c r="AN561" s="100">
        <v>15</v>
      </c>
      <c r="AO561" s="100">
        <f t="shared" si="612"/>
        <v>0</v>
      </c>
      <c r="AP561" s="100">
        <f t="shared" si="613"/>
        <v>0</v>
      </c>
      <c r="AQ561" s="111" t="s">
        <v>7</v>
      </c>
      <c r="AV561" s="100">
        <f t="shared" si="614"/>
        <v>0</v>
      </c>
      <c r="AW561" s="100">
        <f t="shared" si="615"/>
        <v>0</v>
      </c>
      <c r="AX561" s="100">
        <f t="shared" si="616"/>
        <v>0</v>
      </c>
      <c r="AY561" s="110" t="s">
        <v>1722</v>
      </c>
      <c r="AZ561" s="110" t="s">
        <v>1730</v>
      </c>
      <c r="BA561" s="109" t="s">
        <v>1737</v>
      </c>
      <c r="BC561" s="100">
        <f t="shared" si="617"/>
        <v>0</v>
      </c>
      <c r="BD561" s="100">
        <f t="shared" si="618"/>
        <v>0</v>
      </c>
      <c r="BE561" s="100">
        <v>0</v>
      </c>
      <c r="BF561" s="100">
        <f>561</f>
        <v>561</v>
      </c>
      <c r="BH561" s="108">
        <f t="shared" si="619"/>
        <v>0</v>
      </c>
      <c r="BI561" s="108">
        <f t="shared" si="620"/>
        <v>0</v>
      </c>
      <c r="BJ561" s="108">
        <f t="shared" si="621"/>
        <v>0</v>
      </c>
    </row>
    <row r="562" spans="1:62" x14ac:dyDescent="0.2">
      <c r="A562" s="117" t="s">
        <v>511</v>
      </c>
      <c r="B562" s="117" t="s">
        <v>991</v>
      </c>
      <c r="C562" s="304" t="s">
        <v>1581</v>
      </c>
      <c r="D562" s="305"/>
      <c r="E562" s="305"/>
      <c r="F562" s="117" t="s">
        <v>1644</v>
      </c>
      <c r="G562" s="116">
        <v>2</v>
      </c>
      <c r="H562" s="159"/>
      <c r="I562" s="108">
        <f t="shared" si="598"/>
        <v>0</v>
      </c>
      <c r="J562" s="108">
        <f t="shared" si="599"/>
        <v>0</v>
      </c>
      <c r="K562" s="108">
        <f t="shared" si="600"/>
        <v>0</v>
      </c>
      <c r="L562" s="111"/>
      <c r="Z562" s="100">
        <f t="shared" si="601"/>
        <v>0</v>
      </c>
      <c r="AB562" s="100">
        <f t="shared" si="602"/>
        <v>0</v>
      </c>
      <c r="AC562" s="100">
        <f t="shared" si="603"/>
        <v>0</v>
      </c>
      <c r="AD562" s="100">
        <f t="shared" si="604"/>
        <v>0</v>
      </c>
      <c r="AE562" s="100">
        <f t="shared" si="605"/>
        <v>0</v>
      </c>
      <c r="AF562" s="100">
        <f t="shared" si="606"/>
        <v>0</v>
      </c>
      <c r="AG562" s="100">
        <f t="shared" si="607"/>
        <v>0</v>
      </c>
      <c r="AH562" s="100">
        <f t="shared" si="608"/>
        <v>0</v>
      </c>
      <c r="AI562" s="109"/>
      <c r="AJ562" s="108">
        <f t="shared" si="609"/>
        <v>0</v>
      </c>
      <c r="AK562" s="108">
        <f t="shared" si="610"/>
        <v>0</v>
      </c>
      <c r="AL562" s="108">
        <f t="shared" si="611"/>
        <v>0</v>
      </c>
      <c r="AN562" s="100">
        <v>15</v>
      </c>
      <c r="AO562" s="100">
        <f t="shared" si="612"/>
        <v>0</v>
      </c>
      <c r="AP562" s="100">
        <f t="shared" si="613"/>
        <v>0</v>
      </c>
      <c r="AQ562" s="111" t="s">
        <v>7</v>
      </c>
      <c r="AV562" s="100">
        <f t="shared" si="614"/>
        <v>0</v>
      </c>
      <c r="AW562" s="100">
        <f t="shared" si="615"/>
        <v>0</v>
      </c>
      <c r="AX562" s="100">
        <f t="shared" si="616"/>
        <v>0</v>
      </c>
      <c r="AY562" s="110" t="s">
        <v>1722</v>
      </c>
      <c r="AZ562" s="110" t="s">
        <v>1730</v>
      </c>
      <c r="BA562" s="109" t="s">
        <v>1737</v>
      </c>
      <c r="BC562" s="100">
        <f t="shared" si="617"/>
        <v>0</v>
      </c>
      <c r="BD562" s="100">
        <f t="shared" si="618"/>
        <v>0</v>
      </c>
      <c r="BE562" s="100">
        <v>0</v>
      </c>
      <c r="BF562" s="100">
        <f>562</f>
        <v>562</v>
      </c>
      <c r="BH562" s="108">
        <f t="shared" si="619"/>
        <v>0</v>
      </c>
      <c r="BI562" s="108">
        <f t="shared" si="620"/>
        <v>0</v>
      </c>
      <c r="BJ562" s="108">
        <f t="shared" si="621"/>
        <v>0</v>
      </c>
    </row>
    <row r="563" spans="1:62" x14ac:dyDescent="0.2">
      <c r="A563" s="117" t="s">
        <v>512</v>
      </c>
      <c r="B563" s="117" t="s">
        <v>992</v>
      </c>
      <c r="C563" s="304" t="s">
        <v>1582</v>
      </c>
      <c r="D563" s="305"/>
      <c r="E563" s="305"/>
      <c r="F563" s="117" t="s">
        <v>1644</v>
      </c>
      <c r="G563" s="116">
        <v>1</v>
      </c>
      <c r="H563" s="159"/>
      <c r="I563" s="108">
        <f t="shared" si="598"/>
        <v>0</v>
      </c>
      <c r="J563" s="108">
        <f t="shared" si="599"/>
        <v>0</v>
      </c>
      <c r="K563" s="108">
        <f t="shared" si="600"/>
        <v>0</v>
      </c>
      <c r="L563" s="111"/>
      <c r="Z563" s="100">
        <f t="shared" si="601"/>
        <v>0</v>
      </c>
      <c r="AB563" s="100">
        <f t="shared" si="602"/>
        <v>0</v>
      </c>
      <c r="AC563" s="100">
        <f t="shared" si="603"/>
        <v>0</v>
      </c>
      <c r="AD563" s="100">
        <f t="shared" si="604"/>
        <v>0</v>
      </c>
      <c r="AE563" s="100">
        <f t="shared" si="605"/>
        <v>0</v>
      </c>
      <c r="AF563" s="100">
        <f t="shared" si="606"/>
        <v>0</v>
      </c>
      <c r="AG563" s="100">
        <f t="shared" si="607"/>
        <v>0</v>
      </c>
      <c r="AH563" s="100">
        <f t="shared" si="608"/>
        <v>0</v>
      </c>
      <c r="AI563" s="109"/>
      <c r="AJ563" s="108">
        <f t="shared" si="609"/>
        <v>0</v>
      </c>
      <c r="AK563" s="108">
        <f t="shared" si="610"/>
        <v>0</v>
      </c>
      <c r="AL563" s="108">
        <f t="shared" si="611"/>
        <v>0</v>
      </c>
      <c r="AN563" s="100">
        <v>15</v>
      </c>
      <c r="AO563" s="100">
        <f t="shared" si="612"/>
        <v>0</v>
      </c>
      <c r="AP563" s="100">
        <f t="shared" si="613"/>
        <v>0</v>
      </c>
      <c r="AQ563" s="111" t="s">
        <v>7</v>
      </c>
      <c r="AV563" s="100">
        <f t="shared" si="614"/>
        <v>0</v>
      </c>
      <c r="AW563" s="100">
        <f t="shared" si="615"/>
        <v>0</v>
      </c>
      <c r="AX563" s="100">
        <f t="shared" si="616"/>
        <v>0</v>
      </c>
      <c r="AY563" s="110" t="s">
        <v>1722</v>
      </c>
      <c r="AZ563" s="110" t="s">
        <v>1730</v>
      </c>
      <c r="BA563" s="109" t="s">
        <v>1737</v>
      </c>
      <c r="BC563" s="100">
        <f t="shared" si="617"/>
        <v>0</v>
      </c>
      <c r="BD563" s="100">
        <f t="shared" si="618"/>
        <v>0</v>
      </c>
      <c r="BE563" s="100">
        <v>0</v>
      </c>
      <c r="BF563" s="100">
        <f>563</f>
        <v>563</v>
      </c>
      <c r="BH563" s="108">
        <f t="shared" si="619"/>
        <v>0</v>
      </c>
      <c r="BI563" s="108">
        <f t="shared" si="620"/>
        <v>0</v>
      </c>
      <c r="BJ563" s="108">
        <f t="shared" si="621"/>
        <v>0</v>
      </c>
    </row>
    <row r="564" spans="1:62" x14ac:dyDescent="0.2">
      <c r="A564" s="117" t="s">
        <v>513</v>
      </c>
      <c r="B564" s="117" t="s">
        <v>975</v>
      </c>
      <c r="C564" s="304" t="s">
        <v>1583</v>
      </c>
      <c r="D564" s="305"/>
      <c r="E564" s="305"/>
      <c r="F564" s="117" t="s">
        <v>1644</v>
      </c>
      <c r="G564" s="116">
        <v>1</v>
      </c>
      <c r="H564" s="159"/>
      <c r="I564" s="108">
        <f t="shared" si="598"/>
        <v>0</v>
      </c>
      <c r="J564" s="108">
        <f t="shared" si="599"/>
        <v>0</v>
      </c>
      <c r="K564" s="108">
        <f t="shared" si="600"/>
        <v>0</v>
      </c>
      <c r="L564" s="111"/>
      <c r="Z564" s="100">
        <f t="shared" si="601"/>
        <v>0</v>
      </c>
      <c r="AB564" s="100">
        <f t="shared" si="602"/>
        <v>0</v>
      </c>
      <c r="AC564" s="100">
        <f t="shared" si="603"/>
        <v>0</v>
      </c>
      <c r="AD564" s="100">
        <f t="shared" si="604"/>
        <v>0</v>
      </c>
      <c r="AE564" s="100">
        <f t="shared" si="605"/>
        <v>0</v>
      </c>
      <c r="AF564" s="100">
        <f t="shared" si="606"/>
        <v>0</v>
      </c>
      <c r="AG564" s="100">
        <f t="shared" si="607"/>
        <v>0</v>
      </c>
      <c r="AH564" s="100">
        <f t="shared" si="608"/>
        <v>0</v>
      </c>
      <c r="AI564" s="109"/>
      <c r="AJ564" s="108">
        <f t="shared" si="609"/>
        <v>0</v>
      </c>
      <c r="AK564" s="108">
        <f t="shared" si="610"/>
        <v>0</v>
      </c>
      <c r="AL564" s="108">
        <f t="shared" si="611"/>
        <v>0</v>
      </c>
      <c r="AN564" s="100">
        <v>15</v>
      </c>
      <c r="AO564" s="100">
        <f t="shared" si="612"/>
        <v>0</v>
      </c>
      <c r="AP564" s="100">
        <f t="shared" si="613"/>
        <v>0</v>
      </c>
      <c r="AQ564" s="111" t="s">
        <v>7</v>
      </c>
      <c r="AV564" s="100">
        <f t="shared" si="614"/>
        <v>0</v>
      </c>
      <c r="AW564" s="100">
        <f t="shared" si="615"/>
        <v>0</v>
      </c>
      <c r="AX564" s="100">
        <f t="shared" si="616"/>
        <v>0</v>
      </c>
      <c r="AY564" s="110" t="s">
        <v>1722</v>
      </c>
      <c r="AZ564" s="110" t="s">
        <v>1730</v>
      </c>
      <c r="BA564" s="109" t="s">
        <v>1737</v>
      </c>
      <c r="BC564" s="100">
        <f t="shared" si="617"/>
        <v>0</v>
      </c>
      <c r="BD564" s="100">
        <f t="shared" si="618"/>
        <v>0</v>
      </c>
      <c r="BE564" s="100">
        <v>0</v>
      </c>
      <c r="BF564" s="100">
        <f>564</f>
        <v>564</v>
      </c>
      <c r="BH564" s="108">
        <f t="shared" si="619"/>
        <v>0</v>
      </c>
      <c r="BI564" s="108">
        <f t="shared" si="620"/>
        <v>0</v>
      </c>
      <c r="BJ564" s="108">
        <f t="shared" si="621"/>
        <v>0</v>
      </c>
    </row>
    <row r="565" spans="1:62" x14ac:dyDescent="0.2">
      <c r="A565" s="117" t="s">
        <v>514</v>
      </c>
      <c r="B565" s="117" t="s">
        <v>993</v>
      </c>
      <c r="C565" s="304" t="s">
        <v>1581</v>
      </c>
      <c r="D565" s="305"/>
      <c r="E565" s="305"/>
      <c r="F565" s="117" t="s">
        <v>1644</v>
      </c>
      <c r="G565" s="116">
        <v>1</v>
      </c>
      <c r="H565" s="159"/>
      <c r="I565" s="108">
        <f t="shared" si="598"/>
        <v>0</v>
      </c>
      <c r="J565" s="108">
        <f t="shared" si="599"/>
        <v>0</v>
      </c>
      <c r="K565" s="108">
        <f t="shared" si="600"/>
        <v>0</v>
      </c>
      <c r="L565" s="111"/>
      <c r="Z565" s="100">
        <f t="shared" si="601"/>
        <v>0</v>
      </c>
      <c r="AB565" s="100">
        <f t="shared" si="602"/>
        <v>0</v>
      </c>
      <c r="AC565" s="100">
        <f t="shared" si="603"/>
        <v>0</v>
      </c>
      <c r="AD565" s="100">
        <f t="shared" si="604"/>
        <v>0</v>
      </c>
      <c r="AE565" s="100">
        <f t="shared" si="605"/>
        <v>0</v>
      </c>
      <c r="AF565" s="100">
        <f t="shared" si="606"/>
        <v>0</v>
      </c>
      <c r="AG565" s="100">
        <f t="shared" si="607"/>
        <v>0</v>
      </c>
      <c r="AH565" s="100">
        <f t="shared" si="608"/>
        <v>0</v>
      </c>
      <c r="AI565" s="109"/>
      <c r="AJ565" s="108">
        <f t="shared" si="609"/>
        <v>0</v>
      </c>
      <c r="AK565" s="108">
        <f t="shared" si="610"/>
        <v>0</v>
      </c>
      <c r="AL565" s="108">
        <f t="shared" si="611"/>
        <v>0</v>
      </c>
      <c r="AN565" s="100">
        <v>15</v>
      </c>
      <c r="AO565" s="100">
        <f t="shared" si="612"/>
        <v>0</v>
      </c>
      <c r="AP565" s="100">
        <f t="shared" si="613"/>
        <v>0</v>
      </c>
      <c r="AQ565" s="111" t="s">
        <v>7</v>
      </c>
      <c r="AV565" s="100">
        <f t="shared" si="614"/>
        <v>0</v>
      </c>
      <c r="AW565" s="100">
        <f t="shared" si="615"/>
        <v>0</v>
      </c>
      <c r="AX565" s="100">
        <f t="shared" si="616"/>
        <v>0</v>
      </c>
      <c r="AY565" s="110" t="s">
        <v>1722</v>
      </c>
      <c r="AZ565" s="110" t="s">
        <v>1730</v>
      </c>
      <c r="BA565" s="109" t="s">
        <v>1737</v>
      </c>
      <c r="BC565" s="100">
        <f t="shared" si="617"/>
        <v>0</v>
      </c>
      <c r="BD565" s="100">
        <f t="shared" si="618"/>
        <v>0</v>
      </c>
      <c r="BE565" s="100">
        <v>0</v>
      </c>
      <c r="BF565" s="100">
        <f>565</f>
        <v>565</v>
      </c>
      <c r="BH565" s="108">
        <f t="shared" si="619"/>
        <v>0</v>
      </c>
      <c r="BI565" s="108">
        <f t="shared" si="620"/>
        <v>0</v>
      </c>
      <c r="BJ565" s="108">
        <f t="shared" si="621"/>
        <v>0</v>
      </c>
    </row>
    <row r="566" spans="1:62" x14ac:dyDescent="0.2">
      <c r="A566" s="117" t="s">
        <v>515</v>
      </c>
      <c r="B566" s="117" t="s">
        <v>994</v>
      </c>
      <c r="C566" s="304" t="s">
        <v>1584</v>
      </c>
      <c r="D566" s="305"/>
      <c r="E566" s="305"/>
      <c r="F566" s="117" t="s">
        <v>1644</v>
      </c>
      <c r="G566" s="116">
        <v>2</v>
      </c>
      <c r="H566" s="159"/>
      <c r="I566" s="108">
        <f t="shared" si="598"/>
        <v>0</v>
      </c>
      <c r="J566" s="108">
        <f t="shared" si="599"/>
        <v>0</v>
      </c>
      <c r="K566" s="108">
        <f t="shared" si="600"/>
        <v>0</v>
      </c>
      <c r="L566" s="111"/>
      <c r="Z566" s="100">
        <f t="shared" si="601"/>
        <v>0</v>
      </c>
      <c r="AB566" s="100">
        <f t="shared" si="602"/>
        <v>0</v>
      </c>
      <c r="AC566" s="100">
        <f t="shared" si="603"/>
        <v>0</v>
      </c>
      <c r="AD566" s="100">
        <f t="shared" si="604"/>
        <v>0</v>
      </c>
      <c r="AE566" s="100">
        <f t="shared" si="605"/>
        <v>0</v>
      </c>
      <c r="AF566" s="100">
        <f t="shared" si="606"/>
        <v>0</v>
      </c>
      <c r="AG566" s="100">
        <f t="shared" si="607"/>
        <v>0</v>
      </c>
      <c r="AH566" s="100">
        <f t="shared" si="608"/>
        <v>0</v>
      </c>
      <c r="AI566" s="109"/>
      <c r="AJ566" s="108">
        <f t="shared" si="609"/>
        <v>0</v>
      </c>
      <c r="AK566" s="108">
        <f t="shared" si="610"/>
        <v>0</v>
      </c>
      <c r="AL566" s="108">
        <f t="shared" si="611"/>
        <v>0</v>
      </c>
      <c r="AN566" s="100">
        <v>15</v>
      </c>
      <c r="AO566" s="100">
        <f t="shared" si="612"/>
        <v>0</v>
      </c>
      <c r="AP566" s="100">
        <f t="shared" si="613"/>
        <v>0</v>
      </c>
      <c r="AQ566" s="111" t="s">
        <v>7</v>
      </c>
      <c r="AV566" s="100">
        <f t="shared" si="614"/>
        <v>0</v>
      </c>
      <c r="AW566" s="100">
        <f t="shared" si="615"/>
        <v>0</v>
      </c>
      <c r="AX566" s="100">
        <f t="shared" si="616"/>
        <v>0</v>
      </c>
      <c r="AY566" s="110" t="s">
        <v>1722</v>
      </c>
      <c r="AZ566" s="110" t="s">
        <v>1730</v>
      </c>
      <c r="BA566" s="109" t="s">
        <v>1737</v>
      </c>
      <c r="BC566" s="100">
        <f t="shared" si="617"/>
        <v>0</v>
      </c>
      <c r="BD566" s="100">
        <f t="shared" si="618"/>
        <v>0</v>
      </c>
      <c r="BE566" s="100">
        <v>0</v>
      </c>
      <c r="BF566" s="100">
        <f>566</f>
        <v>566</v>
      </c>
      <c r="BH566" s="108">
        <f t="shared" si="619"/>
        <v>0</v>
      </c>
      <c r="BI566" s="108">
        <f t="shared" si="620"/>
        <v>0</v>
      </c>
      <c r="BJ566" s="108">
        <f t="shared" si="621"/>
        <v>0</v>
      </c>
    </row>
    <row r="567" spans="1:62" x14ac:dyDescent="0.2">
      <c r="A567" s="117" t="s">
        <v>516</v>
      </c>
      <c r="B567" s="117" t="s">
        <v>995</v>
      </c>
      <c r="C567" s="304" t="s">
        <v>1585</v>
      </c>
      <c r="D567" s="305"/>
      <c r="E567" s="305"/>
      <c r="F567" s="117" t="s">
        <v>1644</v>
      </c>
      <c r="G567" s="116">
        <v>1</v>
      </c>
      <c r="H567" s="159"/>
      <c r="I567" s="108">
        <f t="shared" si="598"/>
        <v>0</v>
      </c>
      <c r="J567" s="108">
        <f t="shared" si="599"/>
        <v>0</v>
      </c>
      <c r="K567" s="108">
        <f t="shared" si="600"/>
        <v>0</v>
      </c>
      <c r="L567" s="111"/>
      <c r="Z567" s="100">
        <f t="shared" si="601"/>
        <v>0</v>
      </c>
      <c r="AB567" s="100">
        <f t="shared" si="602"/>
        <v>0</v>
      </c>
      <c r="AC567" s="100">
        <f t="shared" si="603"/>
        <v>0</v>
      </c>
      <c r="AD567" s="100">
        <f t="shared" si="604"/>
        <v>0</v>
      </c>
      <c r="AE567" s="100">
        <f t="shared" si="605"/>
        <v>0</v>
      </c>
      <c r="AF567" s="100">
        <f t="shared" si="606"/>
        <v>0</v>
      </c>
      <c r="AG567" s="100">
        <f t="shared" si="607"/>
        <v>0</v>
      </c>
      <c r="AH567" s="100">
        <f t="shared" si="608"/>
        <v>0</v>
      </c>
      <c r="AI567" s="109"/>
      <c r="AJ567" s="108">
        <f t="shared" si="609"/>
        <v>0</v>
      </c>
      <c r="AK567" s="108">
        <f t="shared" si="610"/>
        <v>0</v>
      </c>
      <c r="AL567" s="108">
        <f t="shared" si="611"/>
        <v>0</v>
      </c>
      <c r="AN567" s="100">
        <v>15</v>
      </c>
      <c r="AO567" s="100">
        <f t="shared" si="612"/>
        <v>0</v>
      </c>
      <c r="AP567" s="100">
        <f t="shared" si="613"/>
        <v>0</v>
      </c>
      <c r="AQ567" s="111" t="s">
        <v>7</v>
      </c>
      <c r="AV567" s="100">
        <f t="shared" si="614"/>
        <v>0</v>
      </c>
      <c r="AW567" s="100">
        <f t="shared" si="615"/>
        <v>0</v>
      </c>
      <c r="AX567" s="100">
        <f t="shared" si="616"/>
        <v>0</v>
      </c>
      <c r="AY567" s="110" t="s">
        <v>1722</v>
      </c>
      <c r="AZ567" s="110" t="s">
        <v>1730</v>
      </c>
      <c r="BA567" s="109" t="s">
        <v>1737</v>
      </c>
      <c r="BC567" s="100">
        <f t="shared" si="617"/>
        <v>0</v>
      </c>
      <c r="BD567" s="100">
        <f t="shared" si="618"/>
        <v>0</v>
      </c>
      <c r="BE567" s="100">
        <v>0</v>
      </c>
      <c r="BF567" s="100">
        <f>567</f>
        <v>567</v>
      </c>
      <c r="BH567" s="108">
        <f t="shared" si="619"/>
        <v>0</v>
      </c>
      <c r="BI567" s="108">
        <f t="shared" si="620"/>
        <v>0</v>
      </c>
      <c r="BJ567" s="108">
        <f t="shared" si="621"/>
        <v>0</v>
      </c>
    </row>
    <row r="568" spans="1:62" x14ac:dyDescent="0.2">
      <c r="A568" s="117" t="s">
        <v>517</v>
      </c>
      <c r="B568" s="117" t="s">
        <v>996</v>
      </c>
      <c r="C568" s="304" t="s">
        <v>1586</v>
      </c>
      <c r="D568" s="305"/>
      <c r="E568" s="305"/>
      <c r="F568" s="117" t="s">
        <v>1644</v>
      </c>
      <c r="G568" s="116">
        <v>1</v>
      </c>
      <c r="H568" s="159"/>
      <c r="I568" s="108">
        <f t="shared" si="598"/>
        <v>0</v>
      </c>
      <c r="J568" s="108">
        <f t="shared" si="599"/>
        <v>0</v>
      </c>
      <c r="K568" s="108">
        <f t="shared" si="600"/>
        <v>0</v>
      </c>
      <c r="L568" s="111"/>
      <c r="Z568" s="100">
        <f t="shared" si="601"/>
        <v>0</v>
      </c>
      <c r="AB568" s="100">
        <f t="shared" si="602"/>
        <v>0</v>
      </c>
      <c r="AC568" s="100">
        <f t="shared" si="603"/>
        <v>0</v>
      </c>
      <c r="AD568" s="100">
        <f t="shared" si="604"/>
        <v>0</v>
      </c>
      <c r="AE568" s="100">
        <f t="shared" si="605"/>
        <v>0</v>
      </c>
      <c r="AF568" s="100">
        <f t="shared" si="606"/>
        <v>0</v>
      </c>
      <c r="AG568" s="100">
        <f t="shared" si="607"/>
        <v>0</v>
      </c>
      <c r="AH568" s="100">
        <f t="shared" si="608"/>
        <v>0</v>
      </c>
      <c r="AI568" s="109"/>
      <c r="AJ568" s="108">
        <f t="shared" si="609"/>
        <v>0</v>
      </c>
      <c r="AK568" s="108">
        <f t="shared" si="610"/>
        <v>0</v>
      </c>
      <c r="AL568" s="108">
        <f t="shared" si="611"/>
        <v>0</v>
      </c>
      <c r="AN568" s="100">
        <v>15</v>
      </c>
      <c r="AO568" s="100">
        <f t="shared" si="612"/>
        <v>0</v>
      </c>
      <c r="AP568" s="100">
        <f t="shared" si="613"/>
        <v>0</v>
      </c>
      <c r="AQ568" s="111" t="s">
        <v>7</v>
      </c>
      <c r="AV568" s="100">
        <f t="shared" si="614"/>
        <v>0</v>
      </c>
      <c r="AW568" s="100">
        <f t="shared" si="615"/>
        <v>0</v>
      </c>
      <c r="AX568" s="100">
        <f t="shared" si="616"/>
        <v>0</v>
      </c>
      <c r="AY568" s="110" t="s">
        <v>1722</v>
      </c>
      <c r="AZ568" s="110" t="s">
        <v>1730</v>
      </c>
      <c r="BA568" s="109" t="s">
        <v>1737</v>
      </c>
      <c r="BC568" s="100">
        <f t="shared" si="617"/>
        <v>0</v>
      </c>
      <c r="BD568" s="100">
        <f t="shared" si="618"/>
        <v>0</v>
      </c>
      <c r="BE568" s="100">
        <v>0</v>
      </c>
      <c r="BF568" s="100">
        <f>568</f>
        <v>568</v>
      </c>
      <c r="BH568" s="108">
        <f t="shared" si="619"/>
        <v>0</v>
      </c>
      <c r="BI568" s="108">
        <f t="shared" si="620"/>
        <v>0</v>
      </c>
      <c r="BJ568" s="108">
        <f t="shared" si="621"/>
        <v>0</v>
      </c>
    </row>
    <row r="569" spans="1:62" x14ac:dyDescent="0.2">
      <c r="A569" s="117" t="s">
        <v>518</v>
      </c>
      <c r="B569" s="117" t="s">
        <v>996</v>
      </c>
      <c r="C569" s="304" t="s">
        <v>1587</v>
      </c>
      <c r="D569" s="305"/>
      <c r="E569" s="305"/>
      <c r="F569" s="117" t="s">
        <v>1644</v>
      </c>
      <c r="G569" s="116">
        <v>1</v>
      </c>
      <c r="H569" s="159"/>
      <c r="I569" s="108">
        <f t="shared" si="598"/>
        <v>0</v>
      </c>
      <c r="J569" s="108">
        <f t="shared" si="599"/>
        <v>0</v>
      </c>
      <c r="K569" s="108">
        <f t="shared" si="600"/>
        <v>0</v>
      </c>
      <c r="L569" s="111"/>
      <c r="Z569" s="100">
        <f t="shared" si="601"/>
        <v>0</v>
      </c>
      <c r="AB569" s="100">
        <f t="shared" si="602"/>
        <v>0</v>
      </c>
      <c r="AC569" s="100">
        <f t="shared" si="603"/>
        <v>0</v>
      </c>
      <c r="AD569" s="100">
        <f t="shared" si="604"/>
        <v>0</v>
      </c>
      <c r="AE569" s="100">
        <f t="shared" si="605"/>
        <v>0</v>
      </c>
      <c r="AF569" s="100">
        <f t="shared" si="606"/>
        <v>0</v>
      </c>
      <c r="AG569" s="100">
        <f t="shared" si="607"/>
        <v>0</v>
      </c>
      <c r="AH569" s="100">
        <f t="shared" si="608"/>
        <v>0</v>
      </c>
      <c r="AI569" s="109"/>
      <c r="AJ569" s="108">
        <f t="shared" si="609"/>
        <v>0</v>
      </c>
      <c r="AK569" s="108">
        <f t="shared" si="610"/>
        <v>0</v>
      </c>
      <c r="AL569" s="108">
        <f t="shared" si="611"/>
        <v>0</v>
      </c>
      <c r="AN569" s="100">
        <v>15</v>
      </c>
      <c r="AO569" s="100">
        <f t="shared" si="612"/>
        <v>0</v>
      </c>
      <c r="AP569" s="100">
        <f t="shared" si="613"/>
        <v>0</v>
      </c>
      <c r="AQ569" s="111" t="s">
        <v>7</v>
      </c>
      <c r="AV569" s="100">
        <f t="shared" si="614"/>
        <v>0</v>
      </c>
      <c r="AW569" s="100">
        <f t="shared" si="615"/>
        <v>0</v>
      </c>
      <c r="AX569" s="100">
        <f t="shared" si="616"/>
        <v>0</v>
      </c>
      <c r="AY569" s="110" t="s">
        <v>1722</v>
      </c>
      <c r="AZ569" s="110" t="s">
        <v>1730</v>
      </c>
      <c r="BA569" s="109" t="s">
        <v>1737</v>
      </c>
      <c r="BC569" s="100">
        <f t="shared" si="617"/>
        <v>0</v>
      </c>
      <c r="BD569" s="100">
        <f t="shared" si="618"/>
        <v>0</v>
      </c>
      <c r="BE569" s="100">
        <v>0</v>
      </c>
      <c r="BF569" s="100">
        <f>569</f>
        <v>569</v>
      </c>
      <c r="BH569" s="108">
        <f t="shared" si="619"/>
        <v>0</v>
      </c>
      <c r="BI569" s="108">
        <f t="shared" si="620"/>
        <v>0</v>
      </c>
      <c r="BJ569" s="108">
        <f t="shared" si="621"/>
        <v>0</v>
      </c>
    </row>
    <row r="570" spans="1:62" x14ac:dyDescent="0.2">
      <c r="A570" s="117" t="s">
        <v>519</v>
      </c>
      <c r="B570" s="117" t="s">
        <v>997</v>
      </c>
      <c r="C570" s="304" t="s">
        <v>1588</v>
      </c>
      <c r="D570" s="305"/>
      <c r="E570" s="305"/>
      <c r="F570" s="117" t="s">
        <v>1644</v>
      </c>
      <c r="G570" s="116">
        <v>1</v>
      </c>
      <c r="H570" s="159"/>
      <c r="I570" s="108">
        <f t="shared" si="598"/>
        <v>0</v>
      </c>
      <c r="J570" s="108">
        <f t="shared" si="599"/>
        <v>0</v>
      </c>
      <c r="K570" s="108">
        <f t="shared" si="600"/>
        <v>0</v>
      </c>
      <c r="L570" s="111"/>
      <c r="Z570" s="100">
        <f t="shared" si="601"/>
        <v>0</v>
      </c>
      <c r="AB570" s="100">
        <f t="shared" si="602"/>
        <v>0</v>
      </c>
      <c r="AC570" s="100">
        <f t="shared" si="603"/>
        <v>0</v>
      </c>
      <c r="AD570" s="100">
        <f t="shared" si="604"/>
        <v>0</v>
      </c>
      <c r="AE570" s="100">
        <f t="shared" si="605"/>
        <v>0</v>
      </c>
      <c r="AF570" s="100">
        <f t="shared" si="606"/>
        <v>0</v>
      </c>
      <c r="AG570" s="100">
        <f t="shared" si="607"/>
        <v>0</v>
      </c>
      <c r="AH570" s="100">
        <f t="shared" si="608"/>
        <v>0</v>
      </c>
      <c r="AI570" s="109"/>
      <c r="AJ570" s="108">
        <f t="shared" si="609"/>
        <v>0</v>
      </c>
      <c r="AK570" s="108">
        <f t="shared" si="610"/>
        <v>0</v>
      </c>
      <c r="AL570" s="108">
        <f t="shared" si="611"/>
        <v>0</v>
      </c>
      <c r="AN570" s="100">
        <v>15</v>
      </c>
      <c r="AO570" s="100">
        <f t="shared" si="612"/>
        <v>0</v>
      </c>
      <c r="AP570" s="100">
        <f t="shared" si="613"/>
        <v>0</v>
      </c>
      <c r="AQ570" s="111" t="s">
        <v>7</v>
      </c>
      <c r="AV570" s="100">
        <f t="shared" si="614"/>
        <v>0</v>
      </c>
      <c r="AW570" s="100">
        <f t="shared" si="615"/>
        <v>0</v>
      </c>
      <c r="AX570" s="100">
        <f t="shared" si="616"/>
        <v>0</v>
      </c>
      <c r="AY570" s="110" t="s">
        <v>1722</v>
      </c>
      <c r="AZ570" s="110" t="s">
        <v>1730</v>
      </c>
      <c r="BA570" s="109" t="s">
        <v>1737</v>
      </c>
      <c r="BC570" s="100">
        <f t="shared" si="617"/>
        <v>0</v>
      </c>
      <c r="BD570" s="100">
        <f t="shared" si="618"/>
        <v>0</v>
      </c>
      <c r="BE570" s="100">
        <v>0</v>
      </c>
      <c r="BF570" s="100">
        <f>570</f>
        <v>570</v>
      </c>
      <c r="BH570" s="108">
        <f t="shared" si="619"/>
        <v>0</v>
      </c>
      <c r="BI570" s="108">
        <f t="shared" si="620"/>
        <v>0</v>
      </c>
      <c r="BJ570" s="108">
        <f t="shared" si="621"/>
        <v>0</v>
      </c>
    </row>
    <row r="571" spans="1:62" x14ac:dyDescent="0.2">
      <c r="A571" s="117" t="s">
        <v>520</v>
      </c>
      <c r="B571" s="117" t="s">
        <v>997</v>
      </c>
      <c r="C571" s="304" t="s">
        <v>1589</v>
      </c>
      <c r="D571" s="305"/>
      <c r="E571" s="305"/>
      <c r="F571" s="117" t="s">
        <v>1644</v>
      </c>
      <c r="G571" s="116">
        <v>1</v>
      </c>
      <c r="H571" s="159"/>
      <c r="I571" s="108">
        <f t="shared" si="598"/>
        <v>0</v>
      </c>
      <c r="J571" s="108">
        <f t="shared" si="599"/>
        <v>0</v>
      </c>
      <c r="K571" s="108">
        <f t="shared" si="600"/>
        <v>0</v>
      </c>
      <c r="L571" s="111"/>
      <c r="Z571" s="100">
        <f t="shared" si="601"/>
        <v>0</v>
      </c>
      <c r="AB571" s="100">
        <f t="shared" si="602"/>
        <v>0</v>
      </c>
      <c r="AC571" s="100">
        <f t="shared" si="603"/>
        <v>0</v>
      </c>
      <c r="AD571" s="100">
        <f t="shared" si="604"/>
        <v>0</v>
      </c>
      <c r="AE571" s="100">
        <f t="shared" si="605"/>
        <v>0</v>
      </c>
      <c r="AF571" s="100">
        <f t="shared" si="606"/>
        <v>0</v>
      </c>
      <c r="AG571" s="100">
        <f t="shared" si="607"/>
        <v>0</v>
      </c>
      <c r="AH571" s="100">
        <f t="shared" si="608"/>
        <v>0</v>
      </c>
      <c r="AI571" s="109"/>
      <c r="AJ571" s="108">
        <f t="shared" si="609"/>
        <v>0</v>
      </c>
      <c r="AK571" s="108">
        <f t="shared" si="610"/>
        <v>0</v>
      </c>
      <c r="AL571" s="108">
        <f t="shared" si="611"/>
        <v>0</v>
      </c>
      <c r="AN571" s="100">
        <v>15</v>
      </c>
      <c r="AO571" s="100">
        <f t="shared" si="612"/>
        <v>0</v>
      </c>
      <c r="AP571" s="100">
        <f t="shared" si="613"/>
        <v>0</v>
      </c>
      <c r="AQ571" s="111" t="s">
        <v>7</v>
      </c>
      <c r="AV571" s="100">
        <f t="shared" si="614"/>
        <v>0</v>
      </c>
      <c r="AW571" s="100">
        <f t="shared" si="615"/>
        <v>0</v>
      </c>
      <c r="AX571" s="100">
        <f t="shared" si="616"/>
        <v>0</v>
      </c>
      <c r="AY571" s="110" t="s">
        <v>1722</v>
      </c>
      <c r="AZ571" s="110" t="s">
        <v>1730</v>
      </c>
      <c r="BA571" s="109" t="s">
        <v>1737</v>
      </c>
      <c r="BC571" s="100">
        <f t="shared" si="617"/>
        <v>0</v>
      </c>
      <c r="BD571" s="100">
        <f t="shared" si="618"/>
        <v>0</v>
      </c>
      <c r="BE571" s="100">
        <v>0</v>
      </c>
      <c r="BF571" s="100">
        <f>571</f>
        <v>571</v>
      </c>
      <c r="BH571" s="108">
        <f t="shared" si="619"/>
        <v>0</v>
      </c>
      <c r="BI571" s="108">
        <f t="shared" si="620"/>
        <v>0</v>
      </c>
      <c r="BJ571" s="108">
        <f t="shared" si="621"/>
        <v>0</v>
      </c>
    </row>
    <row r="572" spans="1:62" x14ac:dyDescent="0.2">
      <c r="A572" s="117" t="s">
        <v>521</v>
      </c>
      <c r="B572" s="117" t="s">
        <v>977</v>
      </c>
      <c r="C572" s="304" t="s">
        <v>1590</v>
      </c>
      <c r="D572" s="305"/>
      <c r="E572" s="305"/>
      <c r="F572" s="117" t="s">
        <v>1644</v>
      </c>
      <c r="G572" s="116">
        <v>1</v>
      </c>
      <c r="H572" s="159"/>
      <c r="I572" s="108">
        <f t="shared" si="598"/>
        <v>0</v>
      </c>
      <c r="J572" s="108">
        <f t="shared" si="599"/>
        <v>0</v>
      </c>
      <c r="K572" s="108">
        <f t="shared" si="600"/>
        <v>0</v>
      </c>
      <c r="L572" s="111"/>
      <c r="Z572" s="100">
        <f t="shared" si="601"/>
        <v>0</v>
      </c>
      <c r="AB572" s="100">
        <f t="shared" si="602"/>
        <v>0</v>
      </c>
      <c r="AC572" s="100">
        <f t="shared" si="603"/>
        <v>0</v>
      </c>
      <c r="AD572" s="100">
        <f t="shared" si="604"/>
        <v>0</v>
      </c>
      <c r="AE572" s="100">
        <f t="shared" si="605"/>
        <v>0</v>
      </c>
      <c r="AF572" s="100">
        <f t="shared" si="606"/>
        <v>0</v>
      </c>
      <c r="AG572" s="100">
        <f t="shared" si="607"/>
        <v>0</v>
      </c>
      <c r="AH572" s="100">
        <f t="shared" si="608"/>
        <v>0</v>
      </c>
      <c r="AI572" s="109"/>
      <c r="AJ572" s="108">
        <f t="shared" si="609"/>
        <v>0</v>
      </c>
      <c r="AK572" s="108">
        <f t="shared" si="610"/>
        <v>0</v>
      </c>
      <c r="AL572" s="108">
        <f t="shared" si="611"/>
        <v>0</v>
      </c>
      <c r="AN572" s="100">
        <v>15</v>
      </c>
      <c r="AO572" s="100">
        <f t="shared" si="612"/>
        <v>0</v>
      </c>
      <c r="AP572" s="100">
        <f t="shared" si="613"/>
        <v>0</v>
      </c>
      <c r="AQ572" s="111" t="s">
        <v>7</v>
      </c>
      <c r="AV572" s="100">
        <f t="shared" si="614"/>
        <v>0</v>
      </c>
      <c r="AW572" s="100">
        <f t="shared" si="615"/>
        <v>0</v>
      </c>
      <c r="AX572" s="100">
        <f t="shared" si="616"/>
        <v>0</v>
      </c>
      <c r="AY572" s="110" t="s">
        <v>1722</v>
      </c>
      <c r="AZ572" s="110" t="s">
        <v>1730</v>
      </c>
      <c r="BA572" s="109" t="s">
        <v>1737</v>
      </c>
      <c r="BC572" s="100">
        <f t="shared" si="617"/>
        <v>0</v>
      </c>
      <c r="BD572" s="100">
        <f t="shared" si="618"/>
        <v>0</v>
      </c>
      <c r="BE572" s="100">
        <v>0</v>
      </c>
      <c r="BF572" s="100">
        <f>572</f>
        <v>572</v>
      </c>
      <c r="BH572" s="108">
        <f t="shared" si="619"/>
        <v>0</v>
      </c>
      <c r="BI572" s="108">
        <f t="shared" si="620"/>
        <v>0</v>
      </c>
      <c r="BJ572" s="108">
        <f t="shared" si="621"/>
        <v>0</v>
      </c>
    </row>
    <row r="573" spans="1:62" x14ac:dyDescent="0.2">
      <c r="A573" s="117" t="s">
        <v>522</v>
      </c>
      <c r="B573" s="117" t="s">
        <v>998</v>
      </c>
      <c r="C573" s="304" t="s">
        <v>1591</v>
      </c>
      <c r="D573" s="305"/>
      <c r="E573" s="305"/>
      <c r="F573" s="117" t="s">
        <v>1644</v>
      </c>
      <c r="G573" s="116">
        <v>1</v>
      </c>
      <c r="H573" s="159"/>
      <c r="I573" s="108">
        <f t="shared" si="598"/>
        <v>0</v>
      </c>
      <c r="J573" s="108">
        <f t="shared" si="599"/>
        <v>0</v>
      </c>
      <c r="K573" s="108">
        <f t="shared" si="600"/>
        <v>0</v>
      </c>
      <c r="L573" s="111"/>
      <c r="Z573" s="100">
        <f t="shared" si="601"/>
        <v>0</v>
      </c>
      <c r="AB573" s="100">
        <f t="shared" si="602"/>
        <v>0</v>
      </c>
      <c r="AC573" s="100">
        <f t="shared" si="603"/>
        <v>0</v>
      </c>
      <c r="AD573" s="100">
        <f t="shared" si="604"/>
        <v>0</v>
      </c>
      <c r="AE573" s="100">
        <f t="shared" si="605"/>
        <v>0</v>
      </c>
      <c r="AF573" s="100">
        <f t="shared" si="606"/>
        <v>0</v>
      </c>
      <c r="AG573" s="100">
        <f t="shared" si="607"/>
        <v>0</v>
      </c>
      <c r="AH573" s="100">
        <f t="shared" si="608"/>
        <v>0</v>
      </c>
      <c r="AI573" s="109"/>
      <c r="AJ573" s="108">
        <f t="shared" si="609"/>
        <v>0</v>
      </c>
      <c r="AK573" s="108">
        <f t="shared" si="610"/>
        <v>0</v>
      </c>
      <c r="AL573" s="108">
        <f t="shared" si="611"/>
        <v>0</v>
      </c>
      <c r="AN573" s="100">
        <v>15</v>
      </c>
      <c r="AO573" s="100">
        <f t="shared" si="612"/>
        <v>0</v>
      </c>
      <c r="AP573" s="100">
        <f t="shared" si="613"/>
        <v>0</v>
      </c>
      <c r="AQ573" s="111" t="s">
        <v>7</v>
      </c>
      <c r="AV573" s="100">
        <f t="shared" si="614"/>
        <v>0</v>
      </c>
      <c r="AW573" s="100">
        <f t="shared" si="615"/>
        <v>0</v>
      </c>
      <c r="AX573" s="100">
        <f t="shared" si="616"/>
        <v>0</v>
      </c>
      <c r="AY573" s="110" t="s">
        <v>1722</v>
      </c>
      <c r="AZ573" s="110" t="s">
        <v>1730</v>
      </c>
      <c r="BA573" s="109" t="s">
        <v>1737</v>
      </c>
      <c r="BC573" s="100">
        <f t="shared" si="617"/>
        <v>0</v>
      </c>
      <c r="BD573" s="100">
        <f t="shared" si="618"/>
        <v>0</v>
      </c>
      <c r="BE573" s="100">
        <v>0</v>
      </c>
      <c r="BF573" s="100">
        <f>573</f>
        <v>573</v>
      </c>
      <c r="BH573" s="108">
        <f t="shared" si="619"/>
        <v>0</v>
      </c>
      <c r="BI573" s="108">
        <f t="shared" si="620"/>
        <v>0</v>
      </c>
      <c r="BJ573" s="108">
        <f t="shared" si="621"/>
        <v>0</v>
      </c>
    </row>
    <row r="574" spans="1:62" x14ac:dyDescent="0.2">
      <c r="A574" s="117" t="s">
        <v>523</v>
      </c>
      <c r="B574" s="117" t="s">
        <v>999</v>
      </c>
      <c r="C574" s="304" t="s">
        <v>1586</v>
      </c>
      <c r="D574" s="305"/>
      <c r="E574" s="305"/>
      <c r="F574" s="117" t="s">
        <v>1644</v>
      </c>
      <c r="G574" s="116">
        <v>2</v>
      </c>
      <c r="H574" s="159"/>
      <c r="I574" s="108">
        <f t="shared" ref="I574:I605" si="622">G574*AO574</f>
        <v>0</v>
      </c>
      <c r="J574" s="108">
        <f t="shared" ref="J574:J605" si="623">G574*AP574</f>
        <v>0</v>
      </c>
      <c r="K574" s="108">
        <f t="shared" ref="K574:K605" si="624">G574*H574</f>
        <v>0</v>
      </c>
      <c r="L574" s="111"/>
      <c r="Z574" s="100">
        <f t="shared" ref="Z574:Z605" si="625">IF(AQ574="5",BJ574,0)</f>
        <v>0</v>
      </c>
      <c r="AB574" s="100">
        <f t="shared" ref="AB574:AB605" si="626">IF(AQ574="1",BH574,0)</f>
        <v>0</v>
      </c>
      <c r="AC574" s="100">
        <f t="shared" ref="AC574:AC605" si="627">IF(AQ574="1",BI574,0)</f>
        <v>0</v>
      </c>
      <c r="AD574" s="100">
        <f t="shared" ref="AD574:AD605" si="628">IF(AQ574="7",BH574,0)</f>
        <v>0</v>
      </c>
      <c r="AE574" s="100">
        <f t="shared" ref="AE574:AE605" si="629">IF(AQ574="7",BI574,0)</f>
        <v>0</v>
      </c>
      <c r="AF574" s="100">
        <f t="shared" ref="AF574:AF605" si="630">IF(AQ574="2",BH574,0)</f>
        <v>0</v>
      </c>
      <c r="AG574" s="100">
        <f t="shared" ref="AG574:AG605" si="631">IF(AQ574="2",BI574,0)</f>
        <v>0</v>
      </c>
      <c r="AH574" s="100">
        <f t="shared" ref="AH574:AH605" si="632">IF(AQ574="0",BJ574,0)</f>
        <v>0</v>
      </c>
      <c r="AI574" s="109"/>
      <c r="AJ574" s="108">
        <f t="shared" ref="AJ574:AJ605" si="633">IF(AN574=0,K574,0)</f>
        <v>0</v>
      </c>
      <c r="AK574" s="108">
        <f t="shared" ref="AK574:AK605" si="634">IF(AN574=15,K574,0)</f>
        <v>0</v>
      </c>
      <c r="AL574" s="108">
        <f t="shared" ref="AL574:AL605" si="635">IF(AN574=21,K574,0)</f>
        <v>0</v>
      </c>
      <c r="AN574" s="100">
        <v>15</v>
      </c>
      <c r="AO574" s="100">
        <f t="shared" ref="AO574:AO605" si="636">H574*0</f>
        <v>0</v>
      </c>
      <c r="AP574" s="100">
        <f t="shared" ref="AP574:AP605" si="637">H574*(1-0)</f>
        <v>0</v>
      </c>
      <c r="AQ574" s="111" t="s">
        <v>7</v>
      </c>
      <c r="AV574" s="100">
        <f t="shared" ref="AV574:AV605" si="638">AW574+AX574</f>
        <v>0</v>
      </c>
      <c r="AW574" s="100">
        <f t="shared" ref="AW574:AW605" si="639">G574*AO574</f>
        <v>0</v>
      </c>
      <c r="AX574" s="100">
        <f t="shared" ref="AX574:AX605" si="640">G574*AP574</f>
        <v>0</v>
      </c>
      <c r="AY574" s="110" t="s">
        <v>1722</v>
      </c>
      <c r="AZ574" s="110" t="s">
        <v>1730</v>
      </c>
      <c r="BA574" s="109" t="s">
        <v>1737</v>
      </c>
      <c r="BC574" s="100">
        <f t="shared" ref="BC574:BC605" si="641">AW574+AX574</f>
        <v>0</v>
      </c>
      <c r="BD574" s="100">
        <f t="shared" ref="BD574:BD605" si="642">H574/(100-BE574)*100</f>
        <v>0</v>
      </c>
      <c r="BE574" s="100">
        <v>0</v>
      </c>
      <c r="BF574" s="100">
        <f>574</f>
        <v>574</v>
      </c>
      <c r="BH574" s="108">
        <f t="shared" ref="BH574:BH605" si="643">G574*AO574</f>
        <v>0</v>
      </c>
      <c r="BI574" s="108">
        <f t="shared" ref="BI574:BI605" si="644">G574*AP574</f>
        <v>0</v>
      </c>
      <c r="BJ574" s="108">
        <f t="shared" ref="BJ574:BJ605" si="645">G574*H574</f>
        <v>0</v>
      </c>
    </row>
    <row r="575" spans="1:62" x14ac:dyDescent="0.2">
      <c r="A575" s="117" t="s">
        <v>524</v>
      </c>
      <c r="B575" s="117" t="s">
        <v>999</v>
      </c>
      <c r="C575" s="304" t="s">
        <v>1587</v>
      </c>
      <c r="D575" s="305"/>
      <c r="E575" s="305"/>
      <c r="F575" s="117" t="s">
        <v>1644</v>
      </c>
      <c r="G575" s="116">
        <v>2</v>
      </c>
      <c r="H575" s="159"/>
      <c r="I575" s="108">
        <f t="shared" si="622"/>
        <v>0</v>
      </c>
      <c r="J575" s="108">
        <f t="shared" si="623"/>
        <v>0</v>
      </c>
      <c r="K575" s="108">
        <f t="shared" si="624"/>
        <v>0</v>
      </c>
      <c r="L575" s="111"/>
      <c r="Z575" s="100">
        <f t="shared" si="625"/>
        <v>0</v>
      </c>
      <c r="AB575" s="100">
        <f t="shared" si="626"/>
        <v>0</v>
      </c>
      <c r="AC575" s="100">
        <f t="shared" si="627"/>
        <v>0</v>
      </c>
      <c r="AD575" s="100">
        <f t="shared" si="628"/>
        <v>0</v>
      </c>
      <c r="AE575" s="100">
        <f t="shared" si="629"/>
        <v>0</v>
      </c>
      <c r="AF575" s="100">
        <f t="shared" si="630"/>
        <v>0</v>
      </c>
      <c r="AG575" s="100">
        <f t="shared" si="631"/>
        <v>0</v>
      </c>
      <c r="AH575" s="100">
        <f t="shared" si="632"/>
        <v>0</v>
      </c>
      <c r="AI575" s="109"/>
      <c r="AJ575" s="108">
        <f t="shared" si="633"/>
        <v>0</v>
      </c>
      <c r="AK575" s="108">
        <f t="shared" si="634"/>
        <v>0</v>
      </c>
      <c r="AL575" s="108">
        <f t="shared" si="635"/>
        <v>0</v>
      </c>
      <c r="AN575" s="100">
        <v>15</v>
      </c>
      <c r="AO575" s="100">
        <f t="shared" si="636"/>
        <v>0</v>
      </c>
      <c r="AP575" s="100">
        <f t="shared" si="637"/>
        <v>0</v>
      </c>
      <c r="AQ575" s="111" t="s">
        <v>7</v>
      </c>
      <c r="AV575" s="100">
        <f t="shared" si="638"/>
        <v>0</v>
      </c>
      <c r="AW575" s="100">
        <f t="shared" si="639"/>
        <v>0</v>
      </c>
      <c r="AX575" s="100">
        <f t="shared" si="640"/>
        <v>0</v>
      </c>
      <c r="AY575" s="110" t="s">
        <v>1722</v>
      </c>
      <c r="AZ575" s="110" t="s">
        <v>1730</v>
      </c>
      <c r="BA575" s="109" t="s">
        <v>1737</v>
      </c>
      <c r="BC575" s="100">
        <f t="shared" si="641"/>
        <v>0</v>
      </c>
      <c r="BD575" s="100">
        <f t="shared" si="642"/>
        <v>0</v>
      </c>
      <c r="BE575" s="100">
        <v>0</v>
      </c>
      <c r="BF575" s="100">
        <f>575</f>
        <v>575</v>
      </c>
      <c r="BH575" s="108">
        <f t="shared" si="643"/>
        <v>0</v>
      </c>
      <c r="BI575" s="108">
        <f t="shared" si="644"/>
        <v>0</v>
      </c>
      <c r="BJ575" s="108">
        <f t="shared" si="645"/>
        <v>0</v>
      </c>
    </row>
    <row r="576" spans="1:62" x14ac:dyDescent="0.2">
      <c r="A576" s="117" t="s">
        <v>525</v>
      </c>
      <c r="B576" s="117" t="s">
        <v>1000</v>
      </c>
      <c r="C576" s="304" t="s">
        <v>1581</v>
      </c>
      <c r="D576" s="305"/>
      <c r="E576" s="305"/>
      <c r="F576" s="117" t="s">
        <v>1644</v>
      </c>
      <c r="G576" s="116">
        <v>1</v>
      </c>
      <c r="H576" s="159"/>
      <c r="I576" s="108">
        <f t="shared" si="622"/>
        <v>0</v>
      </c>
      <c r="J576" s="108">
        <f t="shared" si="623"/>
        <v>0</v>
      </c>
      <c r="K576" s="108">
        <f t="shared" si="624"/>
        <v>0</v>
      </c>
      <c r="L576" s="111"/>
      <c r="Z576" s="100">
        <f t="shared" si="625"/>
        <v>0</v>
      </c>
      <c r="AB576" s="100">
        <f t="shared" si="626"/>
        <v>0</v>
      </c>
      <c r="AC576" s="100">
        <f t="shared" si="627"/>
        <v>0</v>
      </c>
      <c r="AD576" s="100">
        <f t="shared" si="628"/>
        <v>0</v>
      </c>
      <c r="AE576" s="100">
        <f t="shared" si="629"/>
        <v>0</v>
      </c>
      <c r="AF576" s="100">
        <f t="shared" si="630"/>
        <v>0</v>
      </c>
      <c r="AG576" s="100">
        <f t="shared" si="631"/>
        <v>0</v>
      </c>
      <c r="AH576" s="100">
        <f t="shared" si="632"/>
        <v>0</v>
      </c>
      <c r="AI576" s="109"/>
      <c r="AJ576" s="108">
        <f t="shared" si="633"/>
        <v>0</v>
      </c>
      <c r="AK576" s="108">
        <f t="shared" si="634"/>
        <v>0</v>
      </c>
      <c r="AL576" s="108">
        <f t="shared" si="635"/>
        <v>0</v>
      </c>
      <c r="AN576" s="100">
        <v>15</v>
      </c>
      <c r="AO576" s="100">
        <f t="shared" si="636"/>
        <v>0</v>
      </c>
      <c r="AP576" s="100">
        <f t="shared" si="637"/>
        <v>0</v>
      </c>
      <c r="AQ576" s="111" t="s">
        <v>7</v>
      </c>
      <c r="AV576" s="100">
        <f t="shared" si="638"/>
        <v>0</v>
      </c>
      <c r="AW576" s="100">
        <f t="shared" si="639"/>
        <v>0</v>
      </c>
      <c r="AX576" s="100">
        <f t="shared" si="640"/>
        <v>0</v>
      </c>
      <c r="AY576" s="110" t="s">
        <v>1722</v>
      </c>
      <c r="AZ576" s="110" t="s">
        <v>1730</v>
      </c>
      <c r="BA576" s="109" t="s">
        <v>1737</v>
      </c>
      <c r="BC576" s="100">
        <f t="shared" si="641"/>
        <v>0</v>
      </c>
      <c r="BD576" s="100">
        <f t="shared" si="642"/>
        <v>0</v>
      </c>
      <c r="BE576" s="100">
        <v>0</v>
      </c>
      <c r="BF576" s="100">
        <f>576</f>
        <v>576</v>
      </c>
      <c r="BH576" s="108">
        <f t="shared" si="643"/>
        <v>0</v>
      </c>
      <c r="BI576" s="108">
        <f t="shared" si="644"/>
        <v>0</v>
      </c>
      <c r="BJ576" s="108">
        <f t="shared" si="645"/>
        <v>0</v>
      </c>
    </row>
    <row r="577" spans="1:62" x14ac:dyDescent="0.2">
      <c r="A577" s="117" t="s">
        <v>526</v>
      </c>
      <c r="B577" s="117" t="s">
        <v>1003</v>
      </c>
      <c r="C577" s="304" t="s">
        <v>1594</v>
      </c>
      <c r="D577" s="305"/>
      <c r="E577" s="305"/>
      <c r="F577" s="117" t="s">
        <v>1644</v>
      </c>
      <c r="G577" s="116">
        <v>1</v>
      </c>
      <c r="H577" s="159"/>
      <c r="I577" s="108">
        <f t="shared" si="622"/>
        <v>0</v>
      </c>
      <c r="J577" s="108">
        <f t="shared" si="623"/>
        <v>0</v>
      </c>
      <c r="K577" s="108">
        <f t="shared" si="624"/>
        <v>0</v>
      </c>
      <c r="L577" s="111"/>
      <c r="Z577" s="100">
        <f t="shared" si="625"/>
        <v>0</v>
      </c>
      <c r="AB577" s="100">
        <f t="shared" si="626"/>
        <v>0</v>
      </c>
      <c r="AC577" s="100">
        <f t="shared" si="627"/>
        <v>0</v>
      </c>
      <c r="AD577" s="100">
        <f t="shared" si="628"/>
        <v>0</v>
      </c>
      <c r="AE577" s="100">
        <f t="shared" si="629"/>
        <v>0</v>
      </c>
      <c r="AF577" s="100">
        <f t="shared" si="630"/>
        <v>0</v>
      </c>
      <c r="AG577" s="100">
        <f t="shared" si="631"/>
        <v>0</v>
      </c>
      <c r="AH577" s="100">
        <f t="shared" si="632"/>
        <v>0</v>
      </c>
      <c r="AI577" s="109"/>
      <c r="AJ577" s="108">
        <f t="shared" si="633"/>
        <v>0</v>
      </c>
      <c r="AK577" s="108">
        <f t="shared" si="634"/>
        <v>0</v>
      </c>
      <c r="AL577" s="108">
        <f t="shared" si="635"/>
        <v>0</v>
      </c>
      <c r="AN577" s="100">
        <v>15</v>
      </c>
      <c r="AO577" s="100">
        <f t="shared" si="636"/>
        <v>0</v>
      </c>
      <c r="AP577" s="100">
        <f t="shared" si="637"/>
        <v>0</v>
      </c>
      <c r="AQ577" s="111" t="s">
        <v>7</v>
      </c>
      <c r="AV577" s="100">
        <f t="shared" si="638"/>
        <v>0</v>
      </c>
      <c r="AW577" s="100">
        <f t="shared" si="639"/>
        <v>0</v>
      </c>
      <c r="AX577" s="100">
        <f t="shared" si="640"/>
        <v>0</v>
      </c>
      <c r="AY577" s="110" t="s">
        <v>1722</v>
      </c>
      <c r="AZ577" s="110" t="s">
        <v>1730</v>
      </c>
      <c r="BA577" s="109" t="s">
        <v>1737</v>
      </c>
      <c r="BC577" s="100">
        <f t="shared" si="641"/>
        <v>0</v>
      </c>
      <c r="BD577" s="100">
        <f t="shared" si="642"/>
        <v>0</v>
      </c>
      <c r="BE577" s="100">
        <v>0</v>
      </c>
      <c r="BF577" s="100">
        <f>577</f>
        <v>577</v>
      </c>
      <c r="BH577" s="108">
        <f t="shared" si="643"/>
        <v>0</v>
      </c>
      <c r="BI577" s="108">
        <f t="shared" si="644"/>
        <v>0</v>
      </c>
      <c r="BJ577" s="108">
        <f t="shared" si="645"/>
        <v>0</v>
      </c>
    </row>
    <row r="578" spans="1:62" x14ac:dyDescent="0.2">
      <c r="A578" s="117" t="s">
        <v>527</v>
      </c>
      <c r="B578" s="117" t="s">
        <v>1003</v>
      </c>
      <c r="C578" s="304" t="s">
        <v>1595</v>
      </c>
      <c r="D578" s="305"/>
      <c r="E578" s="305"/>
      <c r="F578" s="117" t="s">
        <v>1644</v>
      </c>
      <c r="G578" s="116">
        <v>1</v>
      </c>
      <c r="H578" s="159"/>
      <c r="I578" s="108">
        <f t="shared" si="622"/>
        <v>0</v>
      </c>
      <c r="J578" s="108">
        <f t="shared" si="623"/>
        <v>0</v>
      </c>
      <c r="K578" s="108">
        <f t="shared" si="624"/>
        <v>0</v>
      </c>
      <c r="L578" s="111"/>
      <c r="Z578" s="100">
        <f t="shared" si="625"/>
        <v>0</v>
      </c>
      <c r="AB578" s="100">
        <f t="shared" si="626"/>
        <v>0</v>
      </c>
      <c r="AC578" s="100">
        <f t="shared" si="627"/>
        <v>0</v>
      </c>
      <c r="AD578" s="100">
        <f t="shared" si="628"/>
        <v>0</v>
      </c>
      <c r="AE578" s="100">
        <f t="shared" si="629"/>
        <v>0</v>
      </c>
      <c r="AF578" s="100">
        <f t="shared" si="630"/>
        <v>0</v>
      </c>
      <c r="AG578" s="100">
        <f t="shared" si="631"/>
        <v>0</v>
      </c>
      <c r="AH578" s="100">
        <f t="shared" si="632"/>
        <v>0</v>
      </c>
      <c r="AI578" s="109"/>
      <c r="AJ578" s="108">
        <f t="shared" si="633"/>
        <v>0</v>
      </c>
      <c r="AK578" s="108">
        <f t="shared" si="634"/>
        <v>0</v>
      </c>
      <c r="AL578" s="108">
        <f t="shared" si="635"/>
        <v>0</v>
      </c>
      <c r="AN578" s="100">
        <v>15</v>
      </c>
      <c r="AO578" s="100">
        <f t="shared" si="636"/>
        <v>0</v>
      </c>
      <c r="AP578" s="100">
        <f t="shared" si="637"/>
        <v>0</v>
      </c>
      <c r="AQ578" s="111" t="s">
        <v>7</v>
      </c>
      <c r="AV578" s="100">
        <f t="shared" si="638"/>
        <v>0</v>
      </c>
      <c r="AW578" s="100">
        <f t="shared" si="639"/>
        <v>0</v>
      </c>
      <c r="AX578" s="100">
        <f t="shared" si="640"/>
        <v>0</v>
      </c>
      <c r="AY578" s="110" t="s">
        <v>1722</v>
      </c>
      <c r="AZ578" s="110" t="s">
        <v>1730</v>
      </c>
      <c r="BA578" s="109" t="s">
        <v>1737</v>
      </c>
      <c r="BC578" s="100">
        <f t="shared" si="641"/>
        <v>0</v>
      </c>
      <c r="BD578" s="100">
        <f t="shared" si="642"/>
        <v>0</v>
      </c>
      <c r="BE578" s="100">
        <v>0</v>
      </c>
      <c r="BF578" s="100">
        <f>578</f>
        <v>578</v>
      </c>
      <c r="BH578" s="108">
        <f t="shared" si="643"/>
        <v>0</v>
      </c>
      <c r="BI578" s="108">
        <f t="shared" si="644"/>
        <v>0</v>
      </c>
      <c r="BJ578" s="108">
        <f t="shared" si="645"/>
        <v>0</v>
      </c>
    </row>
    <row r="579" spans="1:62" x14ac:dyDescent="0.2">
      <c r="A579" s="117" t="s">
        <v>528</v>
      </c>
      <c r="B579" s="117" t="s">
        <v>1004</v>
      </c>
      <c r="C579" s="304" t="s">
        <v>1596</v>
      </c>
      <c r="D579" s="305"/>
      <c r="E579" s="305"/>
      <c r="F579" s="117" t="s">
        <v>1644</v>
      </c>
      <c r="G579" s="116">
        <v>1</v>
      </c>
      <c r="H579" s="159"/>
      <c r="I579" s="108">
        <f t="shared" si="622"/>
        <v>0</v>
      </c>
      <c r="J579" s="108">
        <f t="shared" si="623"/>
        <v>0</v>
      </c>
      <c r="K579" s="108">
        <f t="shared" si="624"/>
        <v>0</v>
      </c>
      <c r="L579" s="111"/>
      <c r="Z579" s="100">
        <f t="shared" si="625"/>
        <v>0</v>
      </c>
      <c r="AB579" s="100">
        <f t="shared" si="626"/>
        <v>0</v>
      </c>
      <c r="AC579" s="100">
        <f t="shared" si="627"/>
        <v>0</v>
      </c>
      <c r="AD579" s="100">
        <f t="shared" si="628"/>
        <v>0</v>
      </c>
      <c r="AE579" s="100">
        <f t="shared" si="629"/>
        <v>0</v>
      </c>
      <c r="AF579" s="100">
        <f t="shared" si="630"/>
        <v>0</v>
      </c>
      <c r="AG579" s="100">
        <f t="shared" si="631"/>
        <v>0</v>
      </c>
      <c r="AH579" s="100">
        <f t="shared" si="632"/>
        <v>0</v>
      </c>
      <c r="AI579" s="109"/>
      <c r="AJ579" s="108">
        <f t="shared" si="633"/>
        <v>0</v>
      </c>
      <c r="AK579" s="108">
        <f t="shared" si="634"/>
        <v>0</v>
      </c>
      <c r="AL579" s="108">
        <f t="shared" si="635"/>
        <v>0</v>
      </c>
      <c r="AN579" s="100">
        <v>15</v>
      </c>
      <c r="AO579" s="100">
        <f t="shared" si="636"/>
        <v>0</v>
      </c>
      <c r="AP579" s="100">
        <f t="shared" si="637"/>
        <v>0</v>
      </c>
      <c r="AQ579" s="111" t="s">
        <v>7</v>
      </c>
      <c r="AV579" s="100">
        <f t="shared" si="638"/>
        <v>0</v>
      </c>
      <c r="AW579" s="100">
        <f t="shared" si="639"/>
        <v>0</v>
      </c>
      <c r="AX579" s="100">
        <f t="shared" si="640"/>
        <v>0</v>
      </c>
      <c r="AY579" s="110" t="s">
        <v>1722</v>
      </c>
      <c r="AZ579" s="110" t="s">
        <v>1730</v>
      </c>
      <c r="BA579" s="109" t="s">
        <v>1737</v>
      </c>
      <c r="BC579" s="100">
        <f t="shared" si="641"/>
        <v>0</v>
      </c>
      <c r="BD579" s="100">
        <f t="shared" si="642"/>
        <v>0</v>
      </c>
      <c r="BE579" s="100">
        <v>0</v>
      </c>
      <c r="BF579" s="100">
        <f>579</f>
        <v>579</v>
      </c>
      <c r="BH579" s="108">
        <f t="shared" si="643"/>
        <v>0</v>
      </c>
      <c r="BI579" s="108">
        <f t="shared" si="644"/>
        <v>0</v>
      </c>
      <c r="BJ579" s="108">
        <f t="shared" si="645"/>
        <v>0</v>
      </c>
    </row>
    <row r="580" spans="1:62" x14ac:dyDescent="0.2">
      <c r="A580" s="117" t="s">
        <v>529</v>
      </c>
      <c r="B580" s="117" t="s">
        <v>1005</v>
      </c>
      <c r="C580" s="304" t="s">
        <v>1597</v>
      </c>
      <c r="D580" s="305"/>
      <c r="E580" s="305"/>
      <c r="F580" s="117" t="s">
        <v>1644</v>
      </c>
      <c r="G580" s="116">
        <v>1</v>
      </c>
      <c r="H580" s="159"/>
      <c r="I580" s="108">
        <f t="shared" si="622"/>
        <v>0</v>
      </c>
      <c r="J580" s="108">
        <f t="shared" si="623"/>
        <v>0</v>
      </c>
      <c r="K580" s="108">
        <f t="shared" si="624"/>
        <v>0</v>
      </c>
      <c r="L580" s="111"/>
      <c r="Z580" s="100">
        <f t="shared" si="625"/>
        <v>0</v>
      </c>
      <c r="AB580" s="100">
        <f t="shared" si="626"/>
        <v>0</v>
      </c>
      <c r="AC580" s="100">
        <f t="shared" si="627"/>
        <v>0</v>
      </c>
      <c r="AD580" s="100">
        <f t="shared" si="628"/>
        <v>0</v>
      </c>
      <c r="AE580" s="100">
        <f t="shared" si="629"/>
        <v>0</v>
      </c>
      <c r="AF580" s="100">
        <f t="shared" si="630"/>
        <v>0</v>
      </c>
      <c r="AG580" s="100">
        <f t="shared" si="631"/>
        <v>0</v>
      </c>
      <c r="AH580" s="100">
        <f t="shared" si="632"/>
        <v>0</v>
      </c>
      <c r="AI580" s="109"/>
      <c r="AJ580" s="108">
        <f t="shared" si="633"/>
        <v>0</v>
      </c>
      <c r="AK580" s="108">
        <f t="shared" si="634"/>
        <v>0</v>
      </c>
      <c r="AL580" s="108">
        <f t="shared" si="635"/>
        <v>0</v>
      </c>
      <c r="AN580" s="100">
        <v>15</v>
      </c>
      <c r="AO580" s="100">
        <f t="shared" si="636"/>
        <v>0</v>
      </c>
      <c r="AP580" s="100">
        <f t="shared" si="637"/>
        <v>0</v>
      </c>
      <c r="AQ580" s="111" t="s">
        <v>7</v>
      </c>
      <c r="AV580" s="100">
        <f t="shared" si="638"/>
        <v>0</v>
      </c>
      <c r="AW580" s="100">
        <f t="shared" si="639"/>
        <v>0</v>
      </c>
      <c r="AX580" s="100">
        <f t="shared" si="640"/>
        <v>0</v>
      </c>
      <c r="AY580" s="110" t="s">
        <v>1722</v>
      </c>
      <c r="AZ580" s="110" t="s">
        <v>1730</v>
      </c>
      <c r="BA580" s="109" t="s">
        <v>1737</v>
      </c>
      <c r="BC580" s="100">
        <f t="shared" si="641"/>
        <v>0</v>
      </c>
      <c r="BD580" s="100">
        <f t="shared" si="642"/>
        <v>0</v>
      </c>
      <c r="BE580" s="100">
        <v>0</v>
      </c>
      <c r="BF580" s="100">
        <f>580</f>
        <v>580</v>
      </c>
      <c r="BH580" s="108">
        <f t="shared" si="643"/>
        <v>0</v>
      </c>
      <c r="BI580" s="108">
        <f t="shared" si="644"/>
        <v>0</v>
      </c>
      <c r="BJ580" s="108">
        <f t="shared" si="645"/>
        <v>0</v>
      </c>
    </row>
    <row r="581" spans="1:62" x14ac:dyDescent="0.2">
      <c r="A581" s="117" t="s">
        <v>530</v>
      </c>
      <c r="B581" s="117" t="s">
        <v>1006</v>
      </c>
      <c r="C581" s="304" t="s">
        <v>1598</v>
      </c>
      <c r="D581" s="305"/>
      <c r="E581" s="305"/>
      <c r="F581" s="117" t="s">
        <v>1644</v>
      </c>
      <c r="G581" s="116">
        <v>1</v>
      </c>
      <c r="H581" s="159"/>
      <c r="I581" s="108">
        <f t="shared" si="622"/>
        <v>0</v>
      </c>
      <c r="J581" s="108">
        <f t="shared" si="623"/>
        <v>0</v>
      </c>
      <c r="K581" s="108">
        <f t="shared" si="624"/>
        <v>0</v>
      </c>
      <c r="L581" s="111"/>
      <c r="Z581" s="100">
        <f t="shared" si="625"/>
        <v>0</v>
      </c>
      <c r="AB581" s="100">
        <f t="shared" si="626"/>
        <v>0</v>
      </c>
      <c r="AC581" s="100">
        <f t="shared" si="627"/>
        <v>0</v>
      </c>
      <c r="AD581" s="100">
        <f t="shared" si="628"/>
        <v>0</v>
      </c>
      <c r="AE581" s="100">
        <f t="shared" si="629"/>
        <v>0</v>
      </c>
      <c r="AF581" s="100">
        <f t="shared" si="630"/>
        <v>0</v>
      </c>
      <c r="AG581" s="100">
        <f t="shared" si="631"/>
        <v>0</v>
      </c>
      <c r="AH581" s="100">
        <f t="shared" si="632"/>
        <v>0</v>
      </c>
      <c r="AI581" s="109"/>
      <c r="AJ581" s="108">
        <f t="shared" si="633"/>
        <v>0</v>
      </c>
      <c r="AK581" s="108">
        <f t="shared" si="634"/>
        <v>0</v>
      </c>
      <c r="AL581" s="108">
        <f t="shared" si="635"/>
        <v>0</v>
      </c>
      <c r="AN581" s="100">
        <v>15</v>
      </c>
      <c r="AO581" s="100">
        <f t="shared" si="636"/>
        <v>0</v>
      </c>
      <c r="AP581" s="100">
        <f t="shared" si="637"/>
        <v>0</v>
      </c>
      <c r="AQ581" s="111" t="s">
        <v>7</v>
      </c>
      <c r="AV581" s="100">
        <f t="shared" si="638"/>
        <v>0</v>
      </c>
      <c r="AW581" s="100">
        <f t="shared" si="639"/>
        <v>0</v>
      </c>
      <c r="AX581" s="100">
        <f t="shared" si="640"/>
        <v>0</v>
      </c>
      <c r="AY581" s="110" t="s">
        <v>1722</v>
      </c>
      <c r="AZ581" s="110" t="s">
        <v>1730</v>
      </c>
      <c r="BA581" s="109" t="s">
        <v>1737</v>
      </c>
      <c r="BC581" s="100">
        <f t="shared" si="641"/>
        <v>0</v>
      </c>
      <c r="BD581" s="100">
        <f t="shared" si="642"/>
        <v>0</v>
      </c>
      <c r="BE581" s="100">
        <v>0</v>
      </c>
      <c r="BF581" s="100">
        <f>581</f>
        <v>581</v>
      </c>
      <c r="BH581" s="108">
        <f t="shared" si="643"/>
        <v>0</v>
      </c>
      <c r="BI581" s="108">
        <f t="shared" si="644"/>
        <v>0</v>
      </c>
      <c r="BJ581" s="108">
        <f t="shared" si="645"/>
        <v>0</v>
      </c>
    </row>
    <row r="582" spans="1:62" x14ac:dyDescent="0.2">
      <c r="A582" s="117" t="s">
        <v>531</v>
      </c>
      <c r="B582" s="117" t="s">
        <v>1007</v>
      </c>
      <c r="C582" s="304" t="s">
        <v>1599</v>
      </c>
      <c r="D582" s="305"/>
      <c r="E582" s="305"/>
      <c r="F582" s="117" t="s">
        <v>1644</v>
      </c>
      <c r="G582" s="116">
        <v>1</v>
      </c>
      <c r="H582" s="159"/>
      <c r="I582" s="108">
        <f t="shared" si="622"/>
        <v>0</v>
      </c>
      <c r="J582" s="108">
        <f t="shared" si="623"/>
        <v>0</v>
      </c>
      <c r="K582" s="108">
        <f t="shared" si="624"/>
        <v>0</v>
      </c>
      <c r="L582" s="111"/>
      <c r="Z582" s="100">
        <f t="shared" si="625"/>
        <v>0</v>
      </c>
      <c r="AB582" s="100">
        <f t="shared" si="626"/>
        <v>0</v>
      </c>
      <c r="AC582" s="100">
        <f t="shared" si="627"/>
        <v>0</v>
      </c>
      <c r="AD582" s="100">
        <f t="shared" si="628"/>
        <v>0</v>
      </c>
      <c r="AE582" s="100">
        <f t="shared" si="629"/>
        <v>0</v>
      </c>
      <c r="AF582" s="100">
        <f t="shared" si="630"/>
        <v>0</v>
      </c>
      <c r="AG582" s="100">
        <f t="shared" si="631"/>
        <v>0</v>
      </c>
      <c r="AH582" s="100">
        <f t="shared" si="632"/>
        <v>0</v>
      </c>
      <c r="AI582" s="109"/>
      <c r="AJ582" s="108">
        <f t="shared" si="633"/>
        <v>0</v>
      </c>
      <c r="AK582" s="108">
        <f t="shared" si="634"/>
        <v>0</v>
      </c>
      <c r="AL582" s="108">
        <f t="shared" si="635"/>
        <v>0</v>
      </c>
      <c r="AN582" s="100">
        <v>15</v>
      </c>
      <c r="AO582" s="100">
        <f t="shared" si="636"/>
        <v>0</v>
      </c>
      <c r="AP582" s="100">
        <f t="shared" si="637"/>
        <v>0</v>
      </c>
      <c r="AQ582" s="111" t="s">
        <v>7</v>
      </c>
      <c r="AV582" s="100">
        <f t="shared" si="638"/>
        <v>0</v>
      </c>
      <c r="AW582" s="100">
        <f t="shared" si="639"/>
        <v>0</v>
      </c>
      <c r="AX582" s="100">
        <f t="shared" si="640"/>
        <v>0</v>
      </c>
      <c r="AY582" s="110" t="s">
        <v>1722</v>
      </c>
      <c r="AZ582" s="110" t="s">
        <v>1730</v>
      </c>
      <c r="BA582" s="109" t="s">
        <v>1737</v>
      </c>
      <c r="BC582" s="100">
        <f t="shared" si="641"/>
        <v>0</v>
      </c>
      <c r="BD582" s="100">
        <f t="shared" si="642"/>
        <v>0</v>
      </c>
      <c r="BE582" s="100">
        <v>0</v>
      </c>
      <c r="BF582" s="100">
        <f>582</f>
        <v>582</v>
      </c>
      <c r="BH582" s="108">
        <f t="shared" si="643"/>
        <v>0</v>
      </c>
      <c r="BI582" s="108">
        <f t="shared" si="644"/>
        <v>0</v>
      </c>
      <c r="BJ582" s="108">
        <f t="shared" si="645"/>
        <v>0</v>
      </c>
    </row>
    <row r="583" spans="1:62" x14ac:dyDescent="0.2">
      <c r="A583" s="117" t="s">
        <v>532</v>
      </c>
      <c r="B583" s="117" t="s">
        <v>1008</v>
      </c>
      <c r="C583" s="304" t="s">
        <v>1600</v>
      </c>
      <c r="D583" s="305"/>
      <c r="E583" s="305"/>
      <c r="F583" s="117" t="s">
        <v>1644</v>
      </c>
      <c r="G583" s="116">
        <v>1</v>
      </c>
      <c r="H583" s="159"/>
      <c r="I583" s="108">
        <f t="shared" si="622"/>
        <v>0</v>
      </c>
      <c r="J583" s="108">
        <f t="shared" si="623"/>
        <v>0</v>
      </c>
      <c r="K583" s="108">
        <f t="shared" si="624"/>
        <v>0</v>
      </c>
      <c r="L583" s="111"/>
      <c r="Z583" s="100">
        <f t="shared" si="625"/>
        <v>0</v>
      </c>
      <c r="AB583" s="100">
        <f t="shared" si="626"/>
        <v>0</v>
      </c>
      <c r="AC583" s="100">
        <f t="shared" si="627"/>
        <v>0</v>
      </c>
      <c r="AD583" s="100">
        <f t="shared" si="628"/>
        <v>0</v>
      </c>
      <c r="AE583" s="100">
        <f t="shared" si="629"/>
        <v>0</v>
      </c>
      <c r="AF583" s="100">
        <f t="shared" si="630"/>
        <v>0</v>
      </c>
      <c r="AG583" s="100">
        <f t="shared" si="631"/>
        <v>0</v>
      </c>
      <c r="AH583" s="100">
        <f t="shared" si="632"/>
        <v>0</v>
      </c>
      <c r="AI583" s="109"/>
      <c r="AJ583" s="108">
        <f t="shared" si="633"/>
        <v>0</v>
      </c>
      <c r="AK583" s="108">
        <f t="shared" si="634"/>
        <v>0</v>
      </c>
      <c r="AL583" s="108">
        <f t="shared" si="635"/>
        <v>0</v>
      </c>
      <c r="AN583" s="100">
        <v>15</v>
      </c>
      <c r="AO583" s="100">
        <f t="shared" si="636"/>
        <v>0</v>
      </c>
      <c r="AP583" s="100">
        <f t="shared" si="637"/>
        <v>0</v>
      </c>
      <c r="AQ583" s="111" t="s">
        <v>7</v>
      </c>
      <c r="AV583" s="100">
        <f t="shared" si="638"/>
        <v>0</v>
      </c>
      <c r="AW583" s="100">
        <f t="shared" si="639"/>
        <v>0</v>
      </c>
      <c r="AX583" s="100">
        <f t="shared" si="640"/>
        <v>0</v>
      </c>
      <c r="AY583" s="110" t="s">
        <v>1722</v>
      </c>
      <c r="AZ583" s="110" t="s">
        <v>1730</v>
      </c>
      <c r="BA583" s="109" t="s">
        <v>1737</v>
      </c>
      <c r="BC583" s="100">
        <f t="shared" si="641"/>
        <v>0</v>
      </c>
      <c r="BD583" s="100">
        <f t="shared" si="642"/>
        <v>0</v>
      </c>
      <c r="BE583" s="100">
        <v>0</v>
      </c>
      <c r="BF583" s="100">
        <f>583</f>
        <v>583</v>
      </c>
      <c r="BH583" s="108">
        <f t="shared" si="643"/>
        <v>0</v>
      </c>
      <c r="BI583" s="108">
        <f t="shared" si="644"/>
        <v>0</v>
      </c>
      <c r="BJ583" s="108">
        <f t="shared" si="645"/>
        <v>0</v>
      </c>
    </row>
    <row r="584" spans="1:62" x14ac:dyDescent="0.2">
      <c r="A584" s="117" t="s">
        <v>533</v>
      </c>
      <c r="B584" s="117" t="s">
        <v>1009</v>
      </c>
      <c r="C584" s="304" t="s">
        <v>1601</v>
      </c>
      <c r="D584" s="305"/>
      <c r="E584" s="305"/>
      <c r="F584" s="117" t="s">
        <v>1644</v>
      </c>
      <c r="G584" s="116">
        <v>1</v>
      </c>
      <c r="H584" s="159"/>
      <c r="I584" s="108">
        <f t="shared" si="622"/>
        <v>0</v>
      </c>
      <c r="J584" s="108">
        <f t="shared" si="623"/>
        <v>0</v>
      </c>
      <c r="K584" s="108">
        <f t="shared" si="624"/>
        <v>0</v>
      </c>
      <c r="L584" s="111"/>
      <c r="Z584" s="100">
        <f t="shared" si="625"/>
        <v>0</v>
      </c>
      <c r="AB584" s="100">
        <f t="shared" si="626"/>
        <v>0</v>
      </c>
      <c r="AC584" s="100">
        <f t="shared" si="627"/>
        <v>0</v>
      </c>
      <c r="AD584" s="100">
        <f t="shared" si="628"/>
        <v>0</v>
      </c>
      <c r="AE584" s="100">
        <f t="shared" si="629"/>
        <v>0</v>
      </c>
      <c r="AF584" s="100">
        <f t="shared" si="630"/>
        <v>0</v>
      </c>
      <c r="AG584" s="100">
        <f t="shared" si="631"/>
        <v>0</v>
      </c>
      <c r="AH584" s="100">
        <f t="shared" si="632"/>
        <v>0</v>
      </c>
      <c r="AI584" s="109"/>
      <c r="AJ584" s="108">
        <f t="shared" si="633"/>
        <v>0</v>
      </c>
      <c r="AK584" s="108">
        <f t="shared" si="634"/>
        <v>0</v>
      </c>
      <c r="AL584" s="108">
        <f t="shared" si="635"/>
        <v>0</v>
      </c>
      <c r="AN584" s="100">
        <v>15</v>
      </c>
      <c r="AO584" s="100">
        <f t="shared" si="636"/>
        <v>0</v>
      </c>
      <c r="AP584" s="100">
        <f t="shared" si="637"/>
        <v>0</v>
      </c>
      <c r="AQ584" s="111" t="s">
        <v>7</v>
      </c>
      <c r="AV584" s="100">
        <f t="shared" si="638"/>
        <v>0</v>
      </c>
      <c r="AW584" s="100">
        <f t="shared" si="639"/>
        <v>0</v>
      </c>
      <c r="AX584" s="100">
        <f t="shared" si="640"/>
        <v>0</v>
      </c>
      <c r="AY584" s="110" t="s">
        <v>1722</v>
      </c>
      <c r="AZ584" s="110" t="s">
        <v>1730</v>
      </c>
      <c r="BA584" s="109" t="s">
        <v>1737</v>
      </c>
      <c r="BC584" s="100">
        <f t="shared" si="641"/>
        <v>0</v>
      </c>
      <c r="BD584" s="100">
        <f t="shared" si="642"/>
        <v>0</v>
      </c>
      <c r="BE584" s="100">
        <v>0</v>
      </c>
      <c r="BF584" s="100">
        <f>584</f>
        <v>584</v>
      </c>
      <c r="BH584" s="108">
        <f t="shared" si="643"/>
        <v>0</v>
      </c>
      <c r="BI584" s="108">
        <f t="shared" si="644"/>
        <v>0</v>
      </c>
      <c r="BJ584" s="108">
        <f t="shared" si="645"/>
        <v>0</v>
      </c>
    </row>
    <row r="585" spans="1:62" x14ac:dyDescent="0.2">
      <c r="A585" s="117" t="s">
        <v>534</v>
      </c>
      <c r="B585" s="117" t="s">
        <v>3919</v>
      </c>
      <c r="C585" s="304" t="s">
        <v>1602</v>
      </c>
      <c r="D585" s="305"/>
      <c r="E585" s="305"/>
      <c r="F585" s="117" t="s">
        <v>1646</v>
      </c>
      <c r="G585" s="116">
        <v>20</v>
      </c>
      <c r="H585" s="159"/>
      <c r="I585" s="108">
        <f t="shared" si="622"/>
        <v>0</v>
      </c>
      <c r="J585" s="108">
        <f t="shared" si="623"/>
        <v>0</v>
      </c>
      <c r="K585" s="108">
        <f t="shared" si="624"/>
        <v>0</v>
      </c>
      <c r="L585" s="111"/>
      <c r="Z585" s="100">
        <f t="shared" si="625"/>
        <v>0</v>
      </c>
      <c r="AB585" s="100">
        <f t="shared" si="626"/>
        <v>0</v>
      </c>
      <c r="AC585" s="100">
        <f t="shared" si="627"/>
        <v>0</v>
      </c>
      <c r="AD585" s="100">
        <f t="shared" si="628"/>
        <v>0</v>
      </c>
      <c r="AE585" s="100">
        <f t="shared" si="629"/>
        <v>0</v>
      </c>
      <c r="AF585" s="100">
        <f t="shared" si="630"/>
        <v>0</v>
      </c>
      <c r="AG585" s="100">
        <f t="shared" si="631"/>
        <v>0</v>
      </c>
      <c r="AH585" s="100">
        <f t="shared" si="632"/>
        <v>0</v>
      </c>
      <c r="AI585" s="109"/>
      <c r="AJ585" s="108">
        <f t="shared" si="633"/>
        <v>0</v>
      </c>
      <c r="AK585" s="108">
        <f t="shared" si="634"/>
        <v>0</v>
      </c>
      <c r="AL585" s="108">
        <f t="shared" si="635"/>
        <v>0</v>
      </c>
      <c r="AN585" s="100">
        <v>15</v>
      </c>
      <c r="AO585" s="100">
        <f t="shared" si="636"/>
        <v>0</v>
      </c>
      <c r="AP585" s="100">
        <f t="shared" si="637"/>
        <v>0</v>
      </c>
      <c r="AQ585" s="111" t="s">
        <v>7</v>
      </c>
      <c r="AV585" s="100">
        <f t="shared" si="638"/>
        <v>0</v>
      </c>
      <c r="AW585" s="100">
        <f t="shared" si="639"/>
        <v>0</v>
      </c>
      <c r="AX585" s="100">
        <f t="shared" si="640"/>
        <v>0</v>
      </c>
      <c r="AY585" s="110" t="s">
        <v>1722</v>
      </c>
      <c r="AZ585" s="110" t="s">
        <v>1730</v>
      </c>
      <c r="BA585" s="109" t="s">
        <v>1737</v>
      </c>
      <c r="BC585" s="100">
        <f t="shared" si="641"/>
        <v>0</v>
      </c>
      <c r="BD585" s="100">
        <f t="shared" si="642"/>
        <v>0</v>
      </c>
      <c r="BE585" s="100">
        <v>0</v>
      </c>
      <c r="BF585" s="100">
        <f>585</f>
        <v>585</v>
      </c>
      <c r="BH585" s="108">
        <f t="shared" si="643"/>
        <v>0</v>
      </c>
      <c r="BI585" s="108">
        <f t="shared" si="644"/>
        <v>0</v>
      </c>
      <c r="BJ585" s="108">
        <f t="shared" si="645"/>
        <v>0</v>
      </c>
    </row>
    <row r="586" spans="1:62" x14ac:dyDescent="0.2">
      <c r="A586" s="117" t="s">
        <v>535</v>
      </c>
      <c r="B586" s="117" t="s">
        <v>3918</v>
      </c>
      <c r="C586" s="304" t="s">
        <v>1603</v>
      </c>
      <c r="D586" s="305"/>
      <c r="E586" s="305"/>
      <c r="F586" s="117" t="s">
        <v>1646</v>
      </c>
      <c r="G586" s="116">
        <v>10</v>
      </c>
      <c r="H586" s="159"/>
      <c r="I586" s="108">
        <f t="shared" si="622"/>
        <v>0</v>
      </c>
      <c r="J586" s="108">
        <f t="shared" si="623"/>
        <v>0</v>
      </c>
      <c r="K586" s="108">
        <f t="shared" si="624"/>
        <v>0</v>
      </c>
      <c r="L586" s="111"/>
      <c r="Z586" s="100">
        <f t="shared" si="625"/>
        <v>0</v>
      </c>
      <c r="AB586" s="100">
        <f t="shared" si="626"/>
        <v>0</v>
      </c>
      <c r="AC586" s="100">
        <f t="shared" si="627"/>
        <v>0</v>
      </c>
      <c r="AD586" s="100">
        <f t="shared" si="628"/>
        <v>0</v>
      </c>
      <c r="AE586" s="100">
        <f t="shared" si="629"/>
        <v>0</v>
      </c>
      <c r="AF586" s="100">
        <f t="shared" si="630"/>
        <v>0</v>
      </c>
      <c r="AG586" s="100">
        <f t="shared" si="631"/>
        <v>0</v>
      </c>
      <c r="AH586" s="100">
        <f t="shared" si="632"/>
        <v>0</v>
      </c>
      <c r="AI586" s="109"/>
      <c r="AJ586" s="108">
        <f t="shared" si="633"/>
        <v>0</v>
      </c>
      <c r="AK586" s="108">
        <f t="shared" si="634"/>
        <v>0</v>
      </c>
      <c r="AL586" s="108">
        <f t="shared" si="635"/>
        <v>0</v>
      </c>
      <c r="AN586" s="100">
        <v>15</v>
      </c>
      <c r="AO586" s="100">
        <f t="shared" si="636"/>
        <v>0</v>
      </c>
      <c r="AP586" s="100">
        <f t="shared" si="637"/>
        <v>0</v>
      </c>
      <c r="AQ586" s="111" t="s">
        <v>7</v>
      </c>
      <c r="AV586" s="100">
        <f t="shared" si="638"/>
        <v>0</v>
      </c>
      <c r="AW586" s="100">
        <f t="shared" si="639"/>
        <v>0</v>
      </c>
      <c r="AX586" s="100">
        <f t="shared" si="640"/>
        <v>0</v>
      </c>
      <c r="AY586" s="110" t="s">
        <v>1722</v>
      </c>
      <c r="AZ586" s="110" t="s">
        <v>1730</v>
      </c>
      <c r="BA586" s="109" t="s">
        <v>1737</v>
      </c>
      <c r="BC586" s="100">
        <f t="shared" si="641"/>
        <v>0</v>
      </c>
      <c r="BD586" s="100">
        <f t="shared" si="642"/>
        <v>0</v>
      </c>
      <c r="BE586" s="100">
        <v>0</v>
      </c>
      <c r="BF586" s="100">
        <f>586</f>
        <v>586</v>
      </c>
      <c r="BH586" s="108">
        <f t="shared" si="643"/>
        <v>0</v>
      </c>
      <c r="BI586" s="108">
        <f t="shared" si="644"/>
        <v>0</v>
      </c>
      <c r="BJ586" s="108">
        <f t="shared" si="645"/>
        <v>0</v>
      </c>
    </row>
    <row r="587" spans="1:62" x14ac:dyDescent="0.2">
      <c r="A587" s="117" t="s">
        <v>536</v>
      </c>
      <c r="B587" s="117" t="s">
        <v>3917</v>
      </c>
      <c r="C587" s="304" t="s">
        <v>1604</v>
      </c>
      <c r="D587" s="305"/>
      <c r="E587" s="305"/>
      <c r="F587" s="117" t="s">
        <v>1646</v>
      </c>
      <c r="G587" s="116">
        <v>5</v>
      </c>
      <c r="H587" s="159"/>
      <c r="I587" s="108">
        <f t="shared" si="622"/>
        <v>0</v>
      </c>
      <c r="J587" s="108">
        <f t="shared" si="623"/>
        <v>0</v>
      </c>
      <c r="K587" s="108">
        <f t="shared" si="624"/>
        <v>0</v>
      </c>
      <c r="L587" s="111"/>
      <c r="Z587" s="100">
        <f t="shared" si="625"/>
        <v>0</v>
      </c>
      <c r="AB587" s="100">
        <f t="shared" si="626"/>
        <v>0</v>
      </c>
      <c r="AC587" s="100">
        <f t="shared" si="627"/>
        <v>0</v>
      </c>
      <c r="AD587" s="100">
        <f t="shared" si="628"/>
        <v>0</v>
      </c>
      <c r="AE587" s="100">
        <f t="shared" si="629"/>
        <v>0</v>
      </c>
      <c r="AF587" s="100">
        <f t="shared" si="630"/>
        <v>0</v>
      </c>
      <c r="AG587" s="100">
        <f t="shared" si="631"/>
        <v>0</v>
      </c>
      <c r="AH587" s="100">
        <f t="shared" si="632"/>
        <v>0</v>
      </c>
      <c r="AI587" s="109"/>
      <c r="AJ587" s="108">
        <f t="shared" si="633"/>
        <v>0</v>
      </c>
      <c r="AK587" s="108">
        <f t="shared" si="634"/>
        <v>0</v>
      </c>
      <c r="AL587" s="108">
        <f t="shared" si="635"/>
        <v>0</v>
      </c>
      <c r="AN587" s="100">
        <v>15</v>
      </c>
      <c r="AO587" s="100">
        <f t="shared" si="636"/>
        <v>0</v>
      </c>
      <c r="AP587" s="100">
        <f t="shared" si="637"/>
        <v>0</v>
      </c>
      <c r="AQ587" s="111" t="s">
        <v>7</v>
      </c>
      <c r="AV587" s="100">
        <f t="shared" si="638"/>
        <v>0</v>
      </c>
      <c r="AW587" s="100">
        <f t="shared" si="639"/>
        <v>0</v>
      </c>
      <c r="AX587" s="100">
        <f t="shared" si="640"/>
        <v>0</v>
      </c>
      <c r="AY587" s="110" t="s">
        <v>1722</v>
      </c>
      <c r="AZ587" s="110" t="s">
        <v>1730</v>
      </c>
      <c r="BA587" s="109" t="s">
        <v>1737</v>
      </c>
      <c r="BC587" s="100">
        <f t="shared" si="641"/>
        <v>0</v>
      </c>
      <c r="BD587" s="100">
        <f t="shared" si="642"/>
        <v>0</v>
      </c>
      <c r="BE587" s="100">
        <v>0</v>
      </c>
      <c r="BF587" s="100">
        <f>587</f>
        <v>587</v>
      </c>
      <c r="BH587" s="108">
        <f t="shared" si="643"/>
        <v>0</v>
      </c>
      <c r="BI587" s="108">
        <f t="shared" si="644"/>
        <v>0</v>
      </c>
      <c r="BJ587" s="108">
        <f t="shared" si="645"/>
        <v>0</v>
      </c>
    </row>
    <row r="588" spans="1:62" x14ac:dyDescent="0.2">
      <c r="A588" s="117" t="s">
        <v>537</v>
      </c>
      <c r="B588" s="117" t="s">
        <v>3916</v>
      </c>
      <c r="C588" s="304" t="s">
        <v>1605</v>
      </c>
      <c r="D588" s="305"/>
      <c r="E588" s="305"/>
      <c r="F588" s="117" t="s">
        <v>1646</v>
      </c>
      <c r="G588" s="116">
        <v>5</v>
      </c>
      <c r="H588" s="159"/>
      <c r="I588" s="108">
        <f t="shared" si="622"/>
        <v>0</v>
      </c>
      <c r="J588" s="108">
        <f t="shared" si="623"/>
        <v>0</v>
      </c>
      <c r="K588" s="108">
        <f t="shared" si="624"/>
        <v>0</v>
      </c>
      <c r="L588" s="111"/>
      <c r="Z588" s="100">
        <f t="shared" si="625"/>
        <v>0</v>
      </c>
      <c r="AB588" s="100">
        <f t="shared" si="626"/>
        <v>0</v>
      </c>
      <c r="AC588" s="100">
        <f t="shared" si="627"/>
        <v>0</v>
      </c>
      <c r="AD588" s="100">
        <f t="shared" si="628"/>
        <v>0</v>
      </c>
      <c r="AE588" s="100">
        <f t="shared" si="629"/>
        <v>0</v>
      </c>
      <c r="AF588" s="100">
        <f t="shared" si="630"/>
        <v>0</v>
      </c>
      <c r="AG588" s="100">
        <f t="shared" si="631"/>
        <v>0</v>
      </c>
      <c r="AH588" s="100">
        <f t="shared" si="632"/>
        <v>0</v>
      </c>
      <c r="AI588" s="109"/>
      <c r="AJ588" s="108">
        <f t="shared" si="633"/>
        <v>0</v>
      </c>
      <c r="AK588" s="108">
        <f t="shared" si="634"/>
        <v>0</v>
      </c>
      <c r="AL588" s="108">
        <f t="shared" si="635"/>
        <v>0</v>
      </c>
      <c r="AN588" s="100">
        <v>15</v>
      </c>
      <c r="AO588" s="100">
        <f t="shared" si="636"/>
        <v>0</v>
      </c>
      <c r="AP588" s="100">
        <f t="shared" si="637"/>
        <v>0</v>
      </c>
      <c r="AQ588" s="111" t="s">
        <v>7</v>
      </c>
      <c r="AV588" s="100">
        <f t="shared" si="638"/>
        <v>0</v>
      </c>
      <c r="AW588" s="100">
        <f t="shared" si="639"/>
        <v>0</v>
      </c>
      <c r="AX588" s="100">
        <f t="shared" si="640"/>
        <v>0</v>
      </c>
      <c r="AY588" s="110" t="s">
        <v>1722</v>
      </c>
      <c r="AZ588" s="110" t="s">
        <v>1730</v>
      </c>
      <c r="BA588" s="109" t="s">
        <v>1737</v>
      </c>
      <c r="BC588" s="100">
        <f t="shared" si="641"/>
        <v>0</v>
      </c>
      <c r="BD588" s="100">
        <f t="shared" si="642"/>
        <v>0</v>
      </c>
      <c r="BE588" s="100">
        <v>0</v>
      </c>
      <c r="BF588" s="100">
        <f>588</f>
        <v>588</v>
      </c>
      <c r="BH588" s="108">
        <f t="shared" si="643"/>
        <v>0</v>
      </c>
      <c r="BI588" s="108">
        <f t="shared" si="644"/>
        <v>0</v>
      </c>
      <c r="BJ588" s="108">
        <f t="shared" si="645"/>
        <v>0</v>
      </c>
    </row>
    <row r="589" spans="1:62" x14ac:dyDescent="0.2">
      <c r="A589" s="117" t="s">
        <v>538</v>
      </c>
      <c r="B589" s="117" t="s">
        <v>3915</v>
      </c>
      <c r="C589" s="304" t="s">
        <v>1606</v>
      </c>
      <c r="D589" s="305"/>
      <c r="E589" s="305"/>
      <c r="F589" s="117" t="s">
        <v>1646</v>
      </c>
      <c r="G589" s="116">
        <v>20</v>
      </c>
      <c r="H589" s="159"/>
      <c r="I589" s="108">
        <f t="shared" si="622"/>
        <v>0</v>
      </c>
      <c r="J589" s="108">
        <f t="shared" si="623"/>
        <v>0</v>
      </c>
      <c r="K589" s="108">
        <f t="shared" si="624"/>
        <v>0</v>
      </c>
      <c r="L589" s="111"/>
      <c r="Z589" s="100">
        <f t="shared" si="625"/>
        <v>0</v>
      </c>
      <c r="AB589" s="100">
        <f t="shared" si="626"/>
        <v>0</v>
      </c>
      <c r="AC589" s="100">
        <f t="shared" si="627"/>
        <v>0</v>
      </c>
      <c r="AD589" s="100">
        <f t="shared" si="628"/>
        <v>0</v>
      </c>
      <c r="AE589" s="100">
        <f t="shared" si="629"/>
        <v>0</v>
      </c>
      <c r="AF589" s="100">
        <f t="shared" si="630"/>
        <v>0</v>
      </c>
      <c r="AG589" s="100">
        <f t="shared" si="631"/>
        <v>0</v>
      </c>
      <c r="AH589" s="100">
        <f t="shared" si="632"/>
        <v>0</v>
      </c>
      <c r="AI589" s="109"/>
      <c r="AJ589" s="108">
        <f t="shared" si="633"/>
        <v>0</v>
      </c>
      <c r="AK589" s="108">
        <f t="shared" si="634"/>
        <v>0</v>
      </c>
      <c r="AL589" s="108">
        <f t="shared" si="635"/>
        <v>0</v>
      </c>
      <c r="AN589" s="100">
        <v>15</v>
      </c>
      <c r="AO589" s="100">
        <f t="shared" si="636"/>
        <v>0</v>
      </c>
      <c r="AP589" s="100">
        <f t="shared" si="637"/>
        <v>0</v>
      </c>
      <c r="AQ589" s="111" t="s">
        <v>7</v>
      </c>
      <c r="AV589" s="100">
        <f t="shared" si="638"/>
        <v>0</v>
      </c>
      <c r="AW589" s="100">
        <f t="shared" si="639"/>
        <v>0</v>
      </c>
      <c r="AX589" s="100">
        <f t="shared" si="640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641"/>
        <v>0</v>
      </c>
      <c r="BD589" s="100">
        <f t="shared" si="642"/>
        <v>0</v>
      </c>
      <c r="BE589" s="100">
        <v>0</v>
      </c>
      <c r="BF589" s="100">
        <f>589</f>
        <v>589</v>
      </c>
      <c r="BH589" s="108">
        <f t="shared" si="643"/>
        <v>0</v>
      </c>
      <c r="BI589" s="108">
        <f t="shared" si="644"/>
        <v>0</v>
      </c>
      <c r="BJ589" s="108">
        <f t="shared" si="645"/>
        <v>0</v>
      </c>
    </row>
    <row r="590" spans="1:62" x14ac:dyDescent="0.2">
      <c r="A590" s="117" t="s">
        <v>539</v>
      </c>
      <c r="B590" s="117" t="s">
        <v>3914</v>
      </c>
      <c r="C590" s="304" t="s">
        <v>1607</v>
      </c>
      <c r="D590" s="305"/>
      <c r="E590" s="305"/>
      <c r="F590" s="117" t="s">
        <v>1646</v>
      </c>
      <c r="G590" s="116">
        <v>10</v>
      </c>
      <c r="H590" s="159"/>
      <c r="I590" s="108">
        <f t="shared" si="622"/>
        <v>0</v>
      </c>
      <c r="J590" s="108">
        <f t="shared" si="623"/>
        <v>0</v>
      </c>
      <c r="K590" s="108">
        <f t="shared" si="624"/>
        <v>0</v>
      </c>
      <c r="L590" s="111"/>
      <c r="Z590" s="100">
        <f t="shared" si="625"/>
        <v>0</v>
      </c>
      <c r="AB590" s="100">
        <f t="shared" si="626"/>
        <v>0</v>
      </c>
      <c r="AC590" s="100">
        <f t="shared" si="627"/>
        <v>0</v>
      </c>
      <c r="AD590" s="100">
        <f t="shared" si="628"/>
        <v>0</v>
      </c>
      <c r="AE590" s="100">
        <f t="shared" si="629"/>
        <v>0</v>
      </c>
      <c r="AF590" s="100">
        <f t="shared" si="630"/>
        <v>0</v>
      </c>
      <c r="AG590" s="100">
        <f t="shared" si="631"/>
        <v>0</v>
      </c>
      <c r="AH590" s="100">
        <f t="shared" si="632"/>
        <v>0</v>
      </c>
      <c r="AI590" s="109"/>
      <c r="AJ590" s="108">
        <f t="shared" si="633"/>
        <v>0</v>
      </c>
      <c r="AK590" s="108">
        <f t="shared" si="634"/>
        <v>0</v>
      </c>
      <c r="AL590" s="108">
        <f t="shared" si="635"/>
        <v>0</v>
      </c>
      <c r="AN590" s="100">
        <v>15</v>
      </c>
      <c r="AO590" s="100">
        <f t="shared" si="636"/>
        <v>0</v>
      </c>
      <c r="AP590" s="100">
        <f t="shared" si="637"/>
        <v>0</v>
      </c>
      <c r="AQ590" s="111" t="s">
        <v>7</v>
      </c>
      <c r="AV590" s="100">
        <f t="shared" si="638"/>
        <v>0</v>
      </c>
      <c r="AW590" s="100">
        <f t="shared" si="639"/>
        <v>0</v>
      </c>
      <c r="AX590" s="100">
        <f t="shared" si="640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641"/>
        <v>0</v>
      </c>
      <c r="BD590" s="100">
        <f t="shared" si="642"/>
        <v>0</v>
      </c>
      <c r="BE590" s="100">
        <v>0</v>
      </c>
      <c r="BF590" s="100">
        <f>590</f>
        <v>590</v>
      </c>
      <c r="BH590" s="108">
        <f t="shared" si="643"/>
        <v>0</v>
      </c>
      <c r="BI590" s="108">
        <f t="shared" si="644"/>
        <v>0</v>
      </c>
      <c r="BJ590" s="108">
        <f t="shared" si="645"/>
        <v>0</v>
      </c>
    </row>
    <row r="591" spans="1:62" x14ac:dyDescent="0.2">
      <c r="A591" s="117" t="s">
        <v>540</v>
      </c>
      <c r="B591" s="117" t="s">
        <v>3913</v>
      </c>
      <c r="C591" s="304" t="s">
        <v>1608</v>
      </c>
      <c r="D591" s="305"/>
      <c r="E591" s="305"/>
      <c r="F591" s="117" t="s">
        <v>1644</v>
      </c>
      <c r="G591" s="116">
        <v>70</v>
      </c>
      <c r="H591" s="159"/>
      <c r="I591" s="108">
        <f t="shared" si="622"/>
        <v>0</v>
      </c>
      <c r="J591" s="108">
        <f t="shared" si="623"/>
        <v>0</v>
      </c>
      <c r="K591" s="108">
        <f t="shared" si="624"/>
        <v>0</v>
      </c>
      <c r="L591" s="111"/>
      <c r="Z591" s="100">
        <f t="shared" si="625"/>
        <v>0</v>
      </c>
      <c r="AB591" s="100">
        <f t="shared" si="626"/>
        <v>0</v>
      </c>
      <c r="AC591" s="100">
        <f t="shared" si="627"/>
        <v>0</v>
      </c>
      <c r="AD591" s="100">
        <f t="shared" si="628"/>
        <v>0</v>
      </c>
      <c r="AE591" s="100">
        <f t="shared" si="629"/>
        <v>0</v>
      </c>
      <c r="AF591" s="100">
        <f t="shared" si="630"/>
        <v>0</v>
      </c>
      <c r="AG591" s="100">
        <f t="shared" si="631"/>
        <v>0</v>
      </c>
      <c r="AH591" s="100">
        <f t="shared" si="632"/>
        <v>0</v>
      </c>
      <c r="AI591" s="109"/>
      <c r="AJ591" s="108">
        <f t="shared" si="633"/>
        <v>0</v>
      </c>
      <c r="AK591" s="108">
        <f t="shared" si="634"/>
        <v>0</v>
      </c>
      <c r="AL591" s="108">
        <f t="shared" si="635"/>
        <v>0</v>
      </c>
      <c r="AN591" s="100">
        <v>15</v>
      </c>
      <c r="AO591" s="100">
        <f t="shared" si="636"/>
        <v>0</v>
      </c>
      <c r="AP591" s="100">
        <f t="shared" si="637"/>
        <v>0</v>
      </c>
      <c r="AQ591" s="111" t="s">
        <v>7</v>
      </c>
      <c r="AV591" s="100">
        <f t="shared" si="638"/>
        <v>0</v>
      </c>
      <c r="AW591" s="100">
        <f t="shared" si="639"/>
        <v>0</v>
      </c>
      <c r="AX591" s="100">
        <f t="shared" si="640"/>
        <v>0</v>
      </c>
      <c r="AY591" s="110" t="s">
        <v>1722</v>
      </c>
      <c r="AZ591" s="110" t="s">
        <v>1730</v>
      </c>
      <c r="BA591" s="109" t="s">
        <v>1737</v>
      </c>
      <c r="BC591" s="100">
        <f t="shared" si="641"/>
        <v>0</v>
      </c>
      <c r="BD591" s="100">
        <f t="shared" si="642"/>
        <v>0</v>
      </c>
      <c r="BE591" s="100">
        <v>0</v>
      </c>
      <c r="BF591" s="100">
        <f>591</f>
        <v>591</v>
      </c>
      <c r="BH591" s="108">
        <f t="shared" si="643"/>
        <v>0</v>
      </c>
      <c r="BI591" s="108">
        <f t="shared" si="644"/>
        <v>0</v>
      </c>
      <c r="BJ591" s="108">
        <f t="shared" si="645"/>
        <v>0</v>
      </c>
    </row>
    <row r="592" spans="1:62" x14ac:dyDescent="0.2">
      <c r="A592" s="117" t="s">
        <v>541</v>
      </c>
      <c r="B592" s="117" t="s">
        <v>3912</v>
      </c>
      <c r="C592" s="304" t="s">
        <v>1609</v>
      </c>
      <c r="D592" s="305"/>
      <c r="E592" s="305"/>
      <c r="F592" s="117" t="s">
        <v>1644</v>
      </c>
      <c r="G592" s="116">
        <v>3</v>
      </c>
      <c r="H592" s="159"/>
      <c r="I592" s="108">
        <f t="shared" si="622"/>
        <v>0</v>
      </c>
      <c r="J592" s="108">
        <f t="shared" si="623"/>
        <v>0</v>
      </c>
      <c r="K592" s="108">
        <f t="shared" si="624"/>
        <v>0</v>
      </c>
      <c r="L592" s="111"/>
      <c r="Z592" s="100">
        <f t="shared" si="625"/>
        <v>0</v>
      </c>
      <c r="AB592" s="100">
        <f t="shared" si="626"/>
        <v>0</v>
      </c>
      <c r="AC592" s="100">
        <f t="shared" si="627"/>
        <v>0</v>
      </c>
      <c r="AD592" s="100">
        <f t="shared" si="628"/>
        <v>0</v>
      </c>
      <c r="AE592" s="100">
        <f t="shared" si="629"/>
        <v>0</v>
      </c>
      <c r="AF592" s="100">
        <f t="shared" si="630"/>
        <v>0</v>
      </c>
      <c r="AG592" s="100">
        <f t="shared" si="631"/>
        <v>0</v>
      </c>
      <c r="AH592" s="100">
        <f t="shared" si="632"/>
        <v>0</v>
      </c>
      <c r="AI592" s="109"/>
      <c r="AJ592" s="108">
        <f t="shared" si="633"/>
        <v>0</v>
      </c>
      <c r="AK592" s="108">
        <f t="shared" si="634"/>
        <v>0</v>
      </c>
      <c r="AL592" s="108">
        <f t="shared" si="635"/>
        <v>0</v>
      </c>
      <c r="AN592" s="100">
        <v>15</v>
      </c>
      <c r="AO592" s="100">
        <f t="shared" si="636"/>
        <v>0</v>
      </c>
      <c r="AP592" s="100">
        <f t="shared" si="637"/>
        <v>0</v>
      </c>
      <c r="AQ592" s="111" t="s">
        <v>7</v>
      </c>
      <c r="AV592" s="100">
        <f t="shared" si="638"/>
        <v>0</v>
      </c>
      <c r="AW592" s="100">
        <f t="shared" si="639"/>
        <v>0</v>
      </c>
      <c r="AX592" s="100">
        <f t="shared" si="640"/>
        <v>0</v>
      </c>
      <c r="AY592" s="110" t="s">
        <v>1722</v>
      </c>
      <c r="AZ592" s="110" t="s">
        <v>1730</v>
      </c>
      <c r="BA592" s="109" t="s">
        <v>1737</v>
      </c>
      <c r="BC592" s="100">
        <f t="shared" si="641"/>
        <v>0</v>
      </c>
      <c r="BD592" s="100">
        <f t="shared" si="642"/>
        <v>0</v>
      </c>
      <c r="BE592" s="100">
        <v>0</v>
      </c>
      <c r="BF592" s="100">
        <f>592</f>
        <v>592</v>
      </c>
      <c r="BH592" s="108">
        <f t="shared" si="643"/>
        <v>0</v>
      </c>
      <c r="BI592" s="108">
        <f t="shared" si="644"/>
        <v>0</v>
      </c>
      <c r="BJ592" s="108">
        <f t="shared" si="645"/>
        <v>0</v>
      </c>
    </row>
    <row r="593" spans="1:62" x14ac:dyDescent="0.2">
      <c r="A593" s="117" t="s">
        <v>542</v>
      </c>
      <c r="B593" s="117" t="s">
        <v>3911</v>
      </c>
      <c r="C593" s="304" t="s">
        <v>1610</v>
      </c>
      <c r="D593" s="305"/>
      <c r="E593" s="305"/>
      <c r="F593" s="117" t="s">
        <v>1644</v>
      </c>
      <c r="G593" s="116">
        <v>1</v>
      </c>
      <c r="H593" s="159"/>
      <c r="I593" s="108">
        <f t="shared" si="622"/>
        <v>0</v>
      </c>
      <c r="J593" s="108">
        <f t="shared" si="623"/>
        <v>0</v>
      </c>
      <c r="K593" s="108">
        <f t="shared" si="624"/>
        <v>0</v>
      </c>
      <c r="L593" s="111"/>
      <c r="Z593" s="100">
        <f t="shared" si="625"/>
        <v>0</v>
      </c>
      <c r="AB593" s="100">
        <f t="shared" si="626"/>
        <v>0</v>
      </c>
      <c r="AC593" s="100">
        <f t="shared" si="627"/>
        <v>0</v>
      </c>
      <c r="AD593" s="100">
        <f t="shared" si="628"/>
        <v>0</v>
      </c>
      <c r="AE593" s="100">
        <f t="shared" si="629"/>
        <v>0</v>
      </c>
      <c r="AF593" s="100">
        <f t="shared" si="630"/>
        <v>0</v>
      </c>
      <c r="AG593" s="100">
        <f t="shared" si="631"/>
        <v>0</v>
      </c>
      <c r="AH593" s="100">
        <f t="shared" si="632"/>
        <v>0</v>
      </c>
      <c r="AI593" s="109"/>
      <c r="AJ593" s="108">
        <f t="shared" si="633"/>
        <v>0</v>
      </c>
      <c r="AK593" s="108">
        <f t="shared" si="634"/>
        <v>0</v>
      </c>
      <c r="AL593" s="108">
        <f t="shared" si="635"/>
        <v>0</v>
      </c>
      <c r="AN593" s="100">
        <v>15</v>
      </c>
      <c r="AO593" s="100">
        <f t="shared" si="636"/>
        <v>0</v>
      </c>
      <c r="AP593" s="100">
        <f t="shared" si="637"/>
        <v>0</v>
      </c>
      <c r="AQ593" s="111" t="s">
        <v>7</v>
      </c>
      <c r="AV593" s="100">
        <f t="shared" si="638"/>
        <v>0</v>
      </c>
      <c r="AW593" s="100">
        <f t="shared" si="639"/>
        <v>0</v>
      </c>
      <c r="AX593" s="100">
        <f t="shared" si="640"/>
        <v>0</v>
      </c>
      <c r="AY593" s="110" t="s">
        <v>1722</v>
      </c>
      <c r="AZ593" s="110" t="s">
        <v>1730</v>
      </c>
      <c r="BA593" s="109" t="s">
        <v>1737</v>
      </c>
      <c r="BC593" s="100">
        <f t="shared" si="641"/>
        <v>0</v>
      </c>
      <c r="BD593" s="100">
        <f t="shared" si="642"/>
        <v>0</v>
      </c>
      <c r="BE593" s="100">
        <v>0</v>
      </c>
      <c r="BF593" s="100">
        <f>593</f>
        <v>593</v>
      </c>
      <c r="BH593" s="108">
        <f t="shared" si="643"/>
        <v>0</v>
      </c>
      <c r="BI593" s="108">
        <f t="shared" si="644"/>
        <v>0</v>
      </c>
      <c r="BJ593" s="108">
        <f t="shared" si="645"/>
        <v>0</v>
      </c>
    </row>
    <row r="594" spans="1:62" x14ac:dyDescent="0.2">
      <c r="A594" s="117" t="s">
        <v>543</v>
      </c>
      <c r="B594" s="117" t="s">
        <v>3910</v>
      </c>
      <c r="C594" s="304" t="s">
        <v>1611</v>
      </c>
      <c r="D594" s="305"/>
      <c r="E594" s="305"/>
      <c r="F594" s="117" t="s">
        <v>1651</v>
      </c>
      <c r="G594" s="116">
        <v>1</v>
      </c>
      <c r="H594" s="159"/>
      <c r="I594" s="108">
        <f t="shared" si="622"/>
        <v>0</v>
      </c>
      <c r="J594" s="108">
        <f t="shared" si="623"/>
        <v>0</v>
      </c>
      <c r="K594" s="108">
        <f t="shared" si="624"/>
        <v>0</v>
      </c>
      <c r="L594" s="111"/>
      <c r="Z594" s="100">
        <f t="shared" si="625"/>
        <v>0</v>
      </c>
      <c r="AB594" s="100">
        <f t="shared" si="626"/>
        <v>0</v>
      </c>
      <c r="AC594" s="100">
        <f t="shared" si="627"/>
        <v>0</v>
      </c>
      <c r="AD594" s="100">
        <f t="shared" si="628"/>
        <v>0</v>
      </c>
      <c r="AE594" s="100">
        <f t="shared" si="629"/>
        <v>0</v>
      </c>
      <c r="AF594" s="100">
        <f t="shared" si="630"/>
        <v>0</v>
      </c>
      <c r="AG594" s="100">
        <f t="shared" si="631"/>
        <v>0</v>
      </c>
      <c r="AH594" s="100">
        <f t="shared" si="632"/>
        <v>0</v>
      </c>
      <c r="AI594" s="109"/>
      <c r="AJ594" s="108">
        <f t="shared" si="633"/>
        <v>0</v>
      </c>
      <c r="AK594" s="108">
        <f t="shared" si="634"/>
        <v>0</v>
      </c>
      <c r="AL594" s="108">
        <f t="shared" si="635"/>
        <v>0</v>
      </c>
      <c r="AN594" s="100">
        <v>15</v>
      </c>
      <c r="AO594" s="100">
        <f t="shared" si="636"/>
        <v>0</v>
      </c>
      <c r="AP594" s="100">
        <f t="shared" si="637"/>
        <v>0</v>
      </c>
      <c r="AQ594" s="111" t="s">
        <v>7</v>
      </c>
      <c r="AV594" s="100">
        <f t="shared" si="638"/>
        <v>0</v>
      </c>
      <c r="AW594" s="100">
        <f t="shared" si="639"/>
        <v>0</v>
      </c>
      <c r="AX594" s="100">
        <f t="shared" si="640"/>
        <v>0</v>
      </c>
      <c r="AY594" s="110" t="s">
        <v>1722</v>
      </c>
      <c r="AZ594" s="110" t="s">
        <v>1730</v>
      </c>
      <c r="BA594" s="109" t="s">
        <v>1737</v>
      </c>
      <c r="BC594" s="100">
        <f t="shared" si="641"/>
        <v>0</v>
      </c>
      <c r="BD594" s="100">
        <f t="shared" si="642"/>
        <v>0</v>
      </c>
      <c r="BE594" s="100">
        <v>0</v>
      </c>
      <c r="BF594" s="100">
        <f>594</f>
        <v>594</v>
      </c>
      <c r="BH594" s="108">
        <f t="shared" si="643"/>
        <v>0</v>
      </c>
      <c r="BI594" s="108">
        <f t="shared" si="644"/>
        <v>0</v>
      </c>
      <c r="BJ594" s="108">
        <f t="shared" si="645"/>
        <v>0</v>
      </c>
    </row>
    <row r="595" spans="1:62" x14ac:dyDescent="0.2">
      <c r="A595" s="117" t="s">
        <v>544</v>
      </c>
      <c r="B595" s="117" t="s">
        <v>3909</v>
      </c>
      <c r="C595" s="304" t="s">
        <v>1612</v>
      </c>
      <c r="D595" s="305"/>
      <c r="E595" s="305"/>
      <c r="F595" s="117" t="s">
        <v>1646</v>
      </c>
      <c r="G595" s="116">
        <v>160</v>
      </c>
      <c r="H595" s="159"/>
      <c r="I595" s="108">
        <f t="shared" si="622"/>
        <v>0</v>
      </c>
      <c r="J595" s="108">
        <f t="shared" si="623"/>
        <v>0</v>
      </c>
      <c r="K595" s="108">
        <f t="shared" si="624"/>
        <v>0</v>
      </c>
      <c r="L595" s="111"/>
      <c r="Z595" s="100">
        <f t="shared" si="625"/>
        <v>0</v>
      </c>
      <c r="AB595" s="100">
        <f t="shared" si="626"/>
        <v>0</v>
      </c>
      <c r="AC595" s="100">
        <f t="shared" si="627"/>
        <v>0</v>
      </c>
      <c r="AD595" s="100">
        <f t="shared" si="628"/>
        <v>0</v>
      </c>
      <c r="AE595" s="100">
        <f t="shared" si="629"/>
        <v>0</v>
      </c>
      <c r="AF595" s="100">
        <f t="shared" si="630"/>
        <v>0</v>
      </c>
      <c r="AG595" s="100">
        <f t="shared" si="631"/>
        <v>0</v>
      </c>
      <c r="AH595" s="100">
        <f t="shared" si="632"/>
        <v>0</v>
      </c>
      <c r="AI595" s="109"/>
      <c r="AJ595" s="108">
        <f t="shared" si="633"/>
        <v>0</v>
      </c>
      <c r="AK595" s="108">
        <f t="shared" si="634"/>
        <v>0</v>
      </c>
      <c r="AL595" s="108">
        <f t="shared" si="635"/>
        <v>0</v>
      </c>
      <c r="AN595" s="100">
        <v>15</v>
      </c>
      <c r="AO595" s="100">
        <f t="shared" si="636"/>
        <v>0</v>
      </c>
      <c r="AP595" s="100">
        <f t="shared" si="637"/>
        <v>0</v>
      </c>
      <c r="AQ595" s="111" t="s">
        <v>7</v>
      </c>
      <c r="AV595" s="100">
        <f t="shared" si="638"/>
        <v>0</v>
      </c>
      <c r="AW595" s="100">
        <f t="shared" si="639"/>
        <v>0</v>
      </c>
      <c r="AX595" s="100">
        <f t="shared" si="640"/>
        <v>0</v>
      </c>
      <c r="AY595" s="110" t="s">
        <v>1722</v>
      </c>
      <c r="AZ595" s="110" t="s">
        <v>1730</v>
      </c>
      <c r="BA595" s="109" t="s">
        <v>1737</v>
      </c>
      <c r="BC595" s="100">
        <f t="shared" si="641"/>
        <v>0</v>
      </c>
      <c r="BD595" s="100">
        <f t="shared" si="642"/>
        <v>0</v>
      </c>
      <c r="BE595" s="100">
        <v>0</v>
      </c>
      <c r="BF595" s="100">
        <f>595</f>
        <v>595</v>
      </c>
      <c r="BH595" s="108">
        <f t="shared" si="643"/>
        <v>0</v>
      </c>
      <c r="BI595" s="108">
        <f t="shared" si="644"/>
        <v>0</v>
      </c>
      <c r="BJ595" s="108">
        <f t="shared" si="645"/>
        <v>0</v>
      </c>
    </row>
    <row r="596" spans="1:62" x14ac:dyDescent="0.2">
      <c r="A596" s="117" t="s">
        <v>545</v>
      </c>
      <c r="B596" s="117" t="s">
        <v>3908</v>
      </c>
      <c r="C596" s="304" t="s">
        <v>1613</v>
      </c>
      <c r="D596" s="305"/>
      <c r="E596" s="305"/>
      <c r="F596" s="117" t="s">
        <v>1646</v>
      </c>
      <c r="G596" s="116">
        <v>40</v>
      </c>
      <c r="H596" s="159"/>
      <c r="I596" s="108">
        <f t="shared" si="622"/>
        <v>0</v>
      </c>
      <c r="J596" s="108">
        <f t="shared" si="623"/>
        <v>0</v>
      </c>
      <c r="K596" s="108">
        <f t="shared" si="624"/>
        <v>0</v>
      </c>
      <c r="L596" s="111"/>
      <c r="Z596" s="100">
        <f t="shared" si="625"/>
        <v>0</v>
      </c>
      <c r="AB596" s="100">
        <f t="shared" si="626"/>
        <v>0</v>
      </c>
      <c r="AC596" s="100">
        <f t="shared" si="627"/>
        <v>0</v>
      </c>
      <c r="AD596" s="100">
        <f t="shared" si="628"/>
        <v>0</v>
      </c>
      <c r="AE596" s="100">
        <f t="shared" si="629"/>
        <v>0</v>
      </c>
      <c r="AF596" s="100">
        <f t="shared" si="630"/>
        <v>0</v>
      </c>
      <c r="AG596" s="100">
        <f t="shared" si="631"/>
        <v>0</v>
      </c>
      <c r="AH596" s="100">
        <f t="shared" si="632"/>
        <v>0</v>
      </c>
      <c r="AI596" s="109"/>
      <c r="AJ596" s="108">
        <f t="shared" si="633"/>
        <v>0</v>
      </c>
      <c r="AK596" s="108">
        <f t="shared" si="634"/>
        <v>0</v>
      </c>
      <c r="AL596" s="108">
        <f t="shared" si="635"/>
        <v>0</v>
      </c>
      <c r="AN596" s="100">
        <v>15</v>
      </c>
      <c r="AO596" s="100">
        <f t="shared" si="636"/>
        <v>0</v>
      </c>
      <c r="AP596" s="100">
        <f t="shared" si="637"/>
        <v>0</v>
      </c>
      <c r="AQ596" s="111" t="s">
        <v>7</v>
      </c>
      <c r="AV596" s="100">
        <f t="shared" si="638"/>
        <v>0</v>
      </c>
      <c r="AW596" s="100">
        <f t="shared" si="639"/>
        <v>0</v>
      </c>
      <c r="AX596" s="100">
        <f t="shared" si="640"/>
        <v>0</v>
      </c>
      <c r="AY596" s="110" t="s">
        <v>1722</v>
      </c>
      <c r="AZ596" s="110" t="s">
        <v>1730</v>
      </c>
      <c r="BA596" s="109" t="s">
        <v>1737</v>
      </c>
      <c r="BC596" s="100">
        <f t="shared" si="641"/>
        <v>0</v>
      </c>
      <c r="BD596" s="100">
        <f t="shared" si="642"/>
        <v>0</v>
      </c>
      <c r="BE596" s="100">
        <v>0</v>
      </c>
      <c r="BF596" s="100">
        <f>596</f>
        <v>596</v>
      </c>
      <c r="BH596" s="108">
        <f t="shared" si="643"/>
        <v>0</v>
      </c>
      <c r="BI596" s="108">
        <f t="shared" si="644"/>
        <v>0</v>
      </c>
      <c r="BJ596" s="108">
        <f t="shared" si="645"/>
        <v>0</v>
      </c>
    </row>
    <row r="597" spans="1:62" x14ac:dyDescent="0.2">
      <c r="A597" s="117" t="s">
        <v>546</v>
      </c>
      <c r="B597" s="117" t="s">
        <v>3907</v>
      </c>
      <c r="C597" s="304" t="s">
        <v>1614</v>
      </c>
      <c r="D597" s="305"/>
      <c r="E597" s="305"/>
      <c r="F597" s="117" t="s">
        <v>1646</v>
      </c>
      <c r="G597" s="116">
        <v>65</v>
      </c>
      <c r="H597" s="159"/>
      <c r="I597" s="108">
        <f t="shared" si="622"/>
        <v>0</v>
      </c>
      <c r="J597" s="108">
        <f t="shared" si="623"/>
        <v>0</v>
      </c>
      <c r="K597" s="108">
        <f t="shared" si="624"/>
        <v>0</v>
      </c>
      <c r="L597" s="111"/>
      <c r="Z597" s="100">
        <f t="shared" si="625"/>
        <v>0</v>
      </c>
      <c r="AB597" s="100">
        <f t="shared" si="626"/>
        <v>0</v>
      </c>
      <c r="AC597" s="100">
        <f t="shared" si="627"/>
        <v>0</v>
      </c>
      <c r="AD597" s="100">
        <f t="shared" si="628"/>
        <v>0</v>
      </c>
      <c r="AE597" s="100">
        <f t="shared" si="629"/>
        <v>0</v>
      </c>
      <c r="AF597" s="100">
        <f t="shared" si="630"/>
        <v>0</v>
      </c>
      <c r="AG597" s="100">
        <f t="shared" si="631"/>
        <v>0</v>
      </c>
      <c r="AH597" s="100">
        <f t="shared" si="632"/>
        <v>0</v>
      </c>
      <c r="AI597" s="109"/>
      <c r="AJ597" s="108">
        <f t="shared" si="633"/>
        <v>0</v>
      </c>
      <c r="AK597" s="108">
        <f t="shared" si="634"/>
        <v>0</v>
      </c>
      <c r="AL597" s="108">
        <f t="shared" si="635"/>
        <v>0</v>
      </c>
      <c r="AN597" s="100">
        <v>15</v>
      </c>
      <c r="AO597" s="100">
        <f t="shared" si="636"/>
        <v>0</v>
      </c>
      <c r="AP597" s="100">
        <f t="shared" si="637"/>
        <v>0</v>
      </c>
      <c r="AQ597" s="111" t="s">
        <v>7</v>
      </c>
      <c r="AV597" s="100">
        <f t="shared" si="638"/>
        <v>0</v>
      </c>
      <c r="AW597" s="100">
        <f t="shared" si="639"/>
        <v>0</v>
      </c>
      <c r="AX597" s="100">
        <f t="shared" si="640"/>
        <v>0</v>
      </c>
      <c r="AY597" s="110" t="s">
        <v>1722</v>
      </c>
      <c r="AZ597" s="110" t="s">
        <v>1730</v>
      </c>
      <c r="BA597" s="109" t="s">
        <v>1737</v>
      </c>
      <c r="BC597" s="100">
        <f t="shared" si="641"/>
        <v>0</v>
      </c>
      <c r="BD597" s="100">
        <f t="shared" si="642"/>
        <v>0</v>
      </c>
      <c r="BE597" s="100">
        <v>0</v>
      </c>
      <c r="BF597" s="100">
        <f>597</f>
        <v>597</v>
      </c>
      <c r="BH597" s="108">
        <f t="shared" si="643"/>
        <v>0</v>
      </c>
      <c r="BI597" s="108">
        <f t="shared" si="644"/>
        <v>0</v>
      </c>
      <c r="BJ597" s="108">
        <f t="shared" si="645"/>
        <v>0</v>
      </c>
    </row>
    <row r="598" spans="1:62" x14ac:dyDescent="0.2">
      <c r="A598" s="117" t="s">
        <v>547</v>
      </c>
      <c r="B598" s="117" t="s">
        <v>3906</v>
      </c>
      <c r="C598" s="304" t="s">
        <v>1615</v>
      </c>
      <c r="D598" s="305"/>
      <c r="E598" s="305"/>
      <c r="F598" s="117" t="s">
        <v>1646</v>
      </c>
      <c r="G598" s="116">
        <v>30</v>
      </c>
      <c r="H598" s="159"/>
      <c r="I598" s="108">
        <f t="shared" si="622"/>
        <v>0</v>
      </c>
      <c r="J598" s="108">
        <f t="shared" si="623"/>
        <v>0</v>
      </c>
      <c r="K598" s="108">
        <f t="shared" si="624"/>
        <v>0</v>
      </c>
      <c r="L598" s="111"/>
      <c r="Z598" s="100">
        <f t="shared" si="625"/>
        <v>0</v>
      </c>
      <c r="AB598" s="100">
        <f t="shared" si="626"/>
        <v>0</v>
      </c>
      <c r="AC598" s="100">
        <f t="shared" si="627"/>
        <v>0</v>
      </c>
      <c r="AD598" s="100">
        <f t="shared" si="628"/>
        <v>0</v>
      </c>
      <c r="AE598" s="100">
        <f t="shared" si="629"/>
        <v>0</v>
      </c>
      <c r="AF598" s="100">
        <f t="shared" si="630"/>
        <v>0</v>
      </c>
      <c r="AG598" s="100">
        <f t="shared" si="631"/>
        <v>0</v>
      </c>
      <c r="AH598" s="100">
        <f t="shared" si="632"/>
        <v>0</v>
      </c>
      <c r="AI598" s="109"/>
      <c r="AJ598" s="108">
        <f t="shared" si="633"/>
        <v>0</v>
      </c>
      <c r="AK598" s="108">
        <f t="shared" si="634"/>
        <v>0</v>
      </c>
      <c r="AL598" s="108">
        <f t="shared" si="635"/>
        <v>0</v>
      </c>
      <c r="AN598" s="100">
        <v>15</v>
      </c>
      <c r="AO598" s="100">
        <f t="shared" si="636"/>
        <v>0</v>
      </c>
      <c r="AP598" s="100">
        <f t="shared" si="637"/>
        <v>0</v>
      </c>
      <c r="AQ598" s="111" t="s">
        <v>7</v>
      </c>
      <c r="AV598" s="100">
        <f t="shared" si="638"/>
        <v>0</v>
      </c>
      <c r="AW598" s="100">
        <f t="shared" si="639"/>
        <v>0</v>
      </c>
      <c r="AX598" s="100">
        <f t="shared" si="640"/>
        <v>0</v>
      </c>
      <c r="AY598" s="110" t="s">
        <v>1722</v>
      </c>
      <c r="AZ598" s="110" t="s">
        <v>1730</v>
      </c>
      <c r="BA598" s="109" t="s">
        <v>1737</v>
      </c>
      <c r="BC598" s="100">
        <f t="shared" si="641"/>
        <v>0</v>
      </c>
      <c r="BD598" s="100">
        <f t="shared" si="642"/>
        <v>0</v>
      </c>
      <c r="BE598" s="100">
        <v>0</v>
      </c>
      <c r="BF598" s="100">
        <f>598</f>
        <v>598</v>
      </c>
      <c r="BH598" s="108">
        <f t="shared" si="643"/>
        <v>0</v>
      </c>
      <c r="BI598" s="108">
        <f t="shared" si="644"/>
        <v>0</v>
      </c>
      <c r="BJ598" s="108">
        <f t="shared" si="645"/>
        <v>0</v>
      </c>
    </row>
    <row r="599" spans="1:62" x14ac:dyDescent="0.2">
      <c r="A599" s="117" t="s">
        <v>548</v>
      </c>
      <c r="B599" s="117" t="s">
        <v>3905</v>
      </c>
      <c r="C599" s="304" t="s">
        <v>1616</v>
      </c>
      <c r="D599" s="305"/>
      <c r="E599" s="305"/>
      <c r="F599" s="117" t="s">
        <v>1646</v>
      </c>
      <c r="G599" s="116">
        <v>35</v>
      </c>
      <c r="H599" s="159"/>
      <c r="I599" s="108">
        <f t="shared" si="622"/>
        <v>0</v>
      </c>
      <c r="J599" s="108">
        <f t="shared" si="623"/>
        <v>0</v>
      </c>
      <c r="K599" s="108">
        <f t="shared" si="624"/>
        <v>0</v>
      </c>
      <c r="L599" s="111"/>
      <c r="Z599" s="100">
        <f t="shared" si="625"/>
        <v>0</v>
      </c>
      <c r="AB599" s="100">
        <f t="shared" si="626"/>
        <v>0</v>
      </c>
      <c r="AC599" s="100">
        <f t="shared" si="627"/>
        <v>0</v>
      </c>
      <c r="AD599" s="100">
        <f t="shared" si="628"/>
        <v>0</v>
      </c>
      <c r="AE599" s="100">
        <f t="shared" si="629"/>
        <v>0</v>
      </c>
      <c r="AF599" s="100">
        <f t="shared" si="630"/>
        <v>0</v>
      </c>
      <c r="AG599" s="100">
        <f t="shared" si="631"/>
        <v>0</v>
      </c>
      <c r="AH599" s="100">
        <f t="shared" si="632"/>
        <v>0</v>
      </c>
      <c r="AI599" s="109"/>
      <c r="AJ599" s="108">
        <f t="shared" si="633"/>
        <v>0</v>
      </c>
      <c r="AK599" s="108">
        <f t="shared" si="634"/>
        <v>0</v>
      </c>
      <c r="AL599" s="108">
        <f t="shared" si="635"/>
        <v>0</v>
      </c>
      <c r="AN599" s="100">
        <v>15</v>
      </c>
      <c r="AO599" s="100">
        <f t="shared" si="636"/>
        <v>0</v>
      </c>
      <c r="AP599" s="100">
        <f t="shared" si="637"/>
        <v>0</v>
      </c>
      <c r="AQ599" s="111" t="s">
        <v>7</v>
      </c>
      <c r="AV599" s="100">
        <f t="shared" si="638"/>
        <v>0</v>
      </c>
      <c r="AW599" s="100">
        <f t="shared" si="639"/>
        <v>0</v>
      </c>
      <c r="AX599" s="100">
        <f t="shared" si="640"/>
        <v>0</v>
      </c>
      <c r="AY599" s="110" t="s">
        <v>1722</v>
      </c>
      <c r="AZ599" s="110" t="s">
        <v>1730</v>
      </c>
      <c r="BA599" s="109" t="s">
        <v>1737</v>
      </c>
      <c r="BC599" s="100">
        <f t="shared" si="641"/>
        <v>0</v>
      </c>
      <c r="BD599" s="100">
        <f t="shared" si="642"/>
        <v>0</v>
      </c>
      <c r="BE599" s="100">
        <v>0</v>
      </c>
      <c r="BF599" s="100">
        <f>599</f>
        <v>599</v>
      </c>
      <c r="BH599" s="108">
        <f t="shared" si="643"/>
        <v>0</v>
      </c>
      <c r="BI599" s="108">
        <f t="shared" si="644"/>
        <v>0</v>
      </c>
      <c r="BJ599" s="108">
        <f t="shared" si="645"/>
        <v>0</v>
      </c>
    </row>
    <row r="600" spans="1:62" x14ac:dyDescent="0.2">
      <c r="A600" s="117" t="s">
        <v>549</v>
      </c>
      <c r="B600" s="117" t="s">
        <v>3904</v>
      </c>
      <c r="C600" s="304" t="s">
        <v>1617</v>
      </c>
      <c r="D600" s="305"/>
      <c r="E600" s="305"/>
      <c r="F600" s="117" t="s">
        <v>1646</v>
      </c>
      <c r="G600" s="116">
        <v>40</v>
      </c>
      <c r="H600" s="159"/>
      <c r="I600" s="108">
        <f t="shared" si="622"/>
        <v>0</v>
      </c>
      <c r="J600" s="108">
        <f t="shared" si="623"/>
        <v>0</v>
      </c>
      <c r="K600" s="108">
        <f t="shared" si="624"/>
        <v>0</v>
      </c>
      <c r="L600" s="111"/>
      <c r="Z600" s="100">
        <f t="shared" si="625"/>
        <v>0</v>
      </c>
      <c r="AB600" s="100">
        <f t="shared" si="626"/>
        <v>0</v>
      </c>
      <c r="AC600" s="100">
        <f t="shared" si="627"/>
        <v>0</v>
      </c>
      <c r="AD600" s="100">
        <f t="shared" si="628"/>
        <v>0</v>
      </c>
      <c r="AE600" s="100">
        <f t="shared" si="629"/>
        <v>0</v>
      </c>
      <c r="AF600" s="100">
        <f t="shared" si="630"/>
        <v>0</v>
      </c>
      <c r="AG600" s="100">
        <f t="shared" si="631"/>
        <v>0</v>
      </c>
      <c r="AH600" s="100">
        <f t="shared" si="632"/>
        <v>0</v>
      </c>
      <c r="AI600" s="109"/>
      <c r="AJ600" s="108">
        <f t="shared" si="633"/>
        <v>0</v>
      </c>
      <c r="AK600" s="108">
        <f t="shared" si="634"/>
        <v>0</v>
      </c>
      <c r="AL600" s="108">
        <f t="shared" si="635"/>
        <v>0</v>
      </c>
      <c r="AN600" s="100">
        <v>15</v>
      </c>
      <c r="AO600" s="100">
        <f t="shared" si="636"/>
        <v>0</v>
      </c>
      <c r="AP600" s="100">
        <f t="shared" si="637"/>
        <v>0</v>
      </c>
      <c r="AQ600" s="111" t="s">
        <v>7</v>
      </c>
      <c r="AV600" s="100">
        <f t="shared" si="638"/>
        <v>0</v>
      </c>
      <c r="AW600" s="100">
        <f t="shared" si="639"/>
        <v>0</v>
      </c>
      <c r="AX600" s="100">
        <f t="shared" si="640"/>
        <v>0</v>
      </c>
      <c r="AY600" s="110" t="s">
        <v>1722</v>
      </c>
      <c r="AZ600" s="110" t="s">
        <v>1730</v>
      </c>
      <c r="BA600" s="109" t="s">
        <v>1737</v>
      </c>
      <c r="BC600" s="100">
        <f t="shared" si="641"/>
        <v>0</v>
      </c>
      <c r="BD600" s="100">
        <f t="shared" si="642"/>
        <v>0</v>
      </c>
      <c r="BE600" s="100">
        <v>0</v>
      </c>
      <c r="BF600" s="100">
        <f>600</f>
        <v>600</v>
      </c>
      <c r="BH600" s="108">
        <f t="shared" si="643"/>
        <v>0</v>
      </c>
      <c r="BI600" s="108">
        <f t="shared" si="644"/>
        <v>0</v>
      </c>
      <c r="BJ600" s="108">
        <f t="shared" si="645"/>
        <v>0</v>
      </c>
    </row>
    <row r="601" spans="1:62" x14ac:dyDescent="0.2">
      <c r="A601" s="117" t="s">
        <v>550</v>
      </c>
      <c r="B601" s="117" t="s">
        <v>3903</v>
      </c>
      <c r="C601" s="304" t="s">
        <v>1618</v>
      </c>
      <c r="D601" s="305"/>
      <c r="E601" s="305"/>
      <c r="F601" s="117" t="s">
        <v>1646</v>
      </c>
      <c r="G601" s="116">
        <v>25</v>
      </c>
      <c r="H601" s="159"/>
      <c r="I601" s="108">
        <f t="shared" si="622"/>
        <v>0</v>
      </c>
      <c r="J601" s="108">
        <f t="shared" si="623"/>
        <v>0</v>
      </c>
      <c r="K601" s="108">
        <f t="shared" si="624"/>
        <v>0</v>
      </c>
      <c r="L601" s="111"/>
      <c r="Z601" s="100">
        <f t="shared" si="625"/>
        <v>0</v>
      </c>
      <c r="AB601" s="100">
        <f t="shared" si="626"/>
        <v>0</v>
      </c>
      <c r="AC601" s="100">
        <f t="shared" si="627"/>
        <v>0</v>
      </c>
      <c r="AD601" s="100">
        <f t="shared" si="628"/>
        <v>0</v>
      </c>
      <c r="AE601" s="100">
        <f t="shared" si="629"/>
        <v>0</v>
      </c>
      <c r="AF601" s="100">
        <f t="shared" si="630"/>
        <v>0</v>
      </c>
      <c r="AG601" s="100">
        <f t="shared" si="631"/>
        <v>0</v>
      </c>
      <c r="AH601" s="100">
        <f t="shared" si="632"/>
        <v>0</v>
      </c>
      <c r="AI601" s="109"/>
      <c r="AJ601" s="108">
        <f t="shared" si="633"/>
        <v>0</v>
      </c>
      <c r="AK601" s="108">
        <f t="shared" si="634"/>
        <v>0</v>
      </c>
      <c r="AL601" s="108">
        <f t="shared" si="635"/>
        <v>0</v>
      </c>
      <c r="AN601" s="100">
        <v>15</v>
      </c>
      <c r="AO601" s="100">
        <f t="shared" si="636"/>
        <v>0</v>
      </c>
      <c r="AP601" s="100">
        <f t="shared" si="637"/>
        <v>0</v>
      </c>
      <c r="AQ601" s="111" t="s">
        <v>7</v>
      </c>
      <c r="AV601" s="100">
        <f t="shared" si="638"/>
        <v>0</v>
      </c>
      <c r="AW601" s="100">
        <f t="shared" si="639"/>
        <v>0</v>
      </c>
      <c r="AX601" s="100">
        <f t="shared" si="640"/>
        <v>0</v>
      </c>
      <c r="AY601" s="110" t="s">
        <v>1722</v>
      </c>
      <c r="AZ601" s="110" t="s">
        <v>1730</v>
      </c>
      <c r="BA601" s="109" t="s">
        <v>1737</v>
      </c>
      <c r="BC601" s="100">
        <f t="shared" si="641"/>
        <v>0</v>
      </c>
      <c r="BD601" s="100">
        <f t="shared" si="642"/>
        <v>0</v>
      </c>
      <c r="BE601" s="100">
        <v>0</v>
      </c>
      <c r="BF601" s="100">
        <f>601</f>
        <v>601</v>
      </c>
      <c r="BH601" s="108">
        <f t="shared" si="643"/>
        <v>0</v>
      </c>
      <c r="BI601" s="108">
        <f t="shared" si="644"/>
        <v>0</v>
      </c>
      <c r="BJ601" s="108">
        <f t="shared" si="645"/>
        <v>0</v>
      </c>
    </row>
    <row r="602" spans="1:62" x14ac:dyDescent="0.2">
      <c r="A602" s="117" t="s">
        <v>551</v>
      </c>
      <c r="B602" s="117" t="s">
        <v>3902</v>
      </c>
      <c r="C602" s="304" t="s">
        <v>1619</v>
      </c>
      <c r="D602" s="305"/>
      <c r="E602" s="305"/>
      <c r="F602" s="117" t="s">
        <v>1644</v>
      </c>
      <c r="G602" s="116">
        <v>1</v>
      </c>
      <c r="H602" s="159"/>
      <c r="I602" s="108">
        <f t="shared" si="622"/>
        <v>0</v>
      </c>
      <c r="J602" s="108">
        <f t="shared" si="623"/>
        <v>0</v>
      </c>
      <c r="K602" s="108">
        <f t="shared" si="624"/>
        <v>0</v>
      </c>
      <c r="L602" s="111"/>
      <c r="Z602" s="100">
        <f t="shared" si="625"/>
        <v>0</v>
      </c>
      <c r="AB602" s="100">
        <f t="shared" si="626"/>
        <v>0</v>
      </c>
      <c r="AC602" s="100">
        <f t="shared" si="627"/>
        <v>0</v>
      </c>
      <c r="AD602" s="100">
        <f t="shared" si="628"/>
        <v>0</v>
      </c>
      <c r="AE602" s="100">
        <f t="shared" si="629"/>
        <v>0</v>
      </c>
      <c r="AF602" s="100">
        <f t="shared" si="630"/>
        <v>0</v>
      </c>
      <c r="AG602" s="100">
        <f t="shared" si="631"/>
        <v>0</v>
      </c>
      <c r="AH602" s="100">
        <f t="shared" si="632"/>
        <v>0</v>
      </c>
      <c r="AI602" s="109"/>
      <c r="AJ602" s="108">
        <f t="shared" si="633"/>
        <v>0</v>
      </c>
      <c r="AK602" s="108">
        <f t="shared" si="634"/>
        <v>0</v>
      </c>
      <c r="AL602" s="108">
        <f t="shared" si="635"/>
        <v>0</v>
      </c>
      <c r="AN602" s="100">
        <v>15</v>
      </c>
      <c r="AO602" s="100">
        <f t="shared" si="636"/>
        <v>0</v>
      </c>
      <c r="AP602" s="100">
        <f t="shared" si="637"/>
        <v>0</v>
      </c>
      <c r="AQ602" s="111" t="s">
        <v>7</v>
      </c>
      <c r="AV602" s="100">
        <f t="shared" si="638"/>
        <v>0</v>
      </c>
      <c r="AW602" s="100">
        <f t="shared" si="639"/>
        <v>0</v>
      </c>
      <c r="AX602" s="100">
        <f t="shared" si="640"/>
        <v>0</v>
      </c>
      <c r="AY602" s="110" t="s">
        <v>1722</v>
      </c>
      <c r="AZ602" s="110" t="s">
        <v>1730</v>
      </c>
      <c r="BA602" s="109" t="s">
        <v>1737</v>
      </c>
      <c r="BC602" s="100">
        <f t="shared" si="641"/>
        <v>0</v>
      </c>
      <c r="BD602" s="100">
        <f t="shared" si="642"/>
        <v>0</v>
      </c>
      <c r="BE602" s="100">
        <v>0</v>
      </c>
      <c r="BF602" s="100">
        <f>602</f>
        <v>602</v>
      </c>
      <c r="BH602" s="108">
        <f t="shared" si="643"/>
        <v>0</v>
      </c>
      <c r="BI602" s="108">
        <f t="shared" si="644"/>
        <v>0</v>
      </c>
      <c r="BJ602" s="108">
        <f t="shared" si="645"/>
        <v>0</v>
      </c>
    </row>
    <row r="603" spans="1:62" x14ac:dyDescent="0.2">
      <c r="A603" s="117" t="s">
        <v>552</v>
      </c>
      <c r="B603" s="117" t="s">
        <v>3901</v>
      </c>
      <c r="C603" s="304" t="s">
        <v>1620</v>
      </c>
      <c r="D603" s="305"/>
      <c r="E603" s="305"/>
      <c r="F603" s="117" t="s">
        <v>1644</v>
      </c>
      <c r="G603" s="116">
        <v>1</v>
      </c>
      <c r="H603" s="159"/>
      <c r="I603" s="108">
        <f t="shared" si="622"/>
        <v>0</v>
      </c>
      <c r="J603" s="108">
        <f t="shared" si="623"/>
        <v>0</v>
      </c>
      <c r="K603" s="108">
        <f t="shared" si="624"/>
        <v>0</v>
      </c>
      <c r="L603" s="111"/>
      <c r="Z603" s="100">
        <f t="shared" si="625"/>
        <v>0</v>
      </c>
      <c r="AB603" s="100">
        <f t="shared" si="626"/>
        <v>0</v>
      </c>
      <c r="AC603" s="100">
        <f t="shared" si="627"/>
        <v>0</v>
      </c>
      <c r="AD603" s="100">
        <f t="shared" si="628"/>
        <v>0</v>
      </c>
      <c r="AE603" s="100">
        <f t="shared" si="629"/>
        <v>0</v>
      </c>
      <c r="AF603" s="100">
        <f t="shared" si="630"/>
        <v>0</v>
      </c>
      <c r="AG603" s="100">
        <f t="shared" si="631"/>
        <v>0</v>
      </c>
      <c r="AH603" s="100">
        <f t="shared" si="632"/>
        <v>0</v>
      </c>
      <c r="AI603" s="109"/>
      <c r="AJ603" s="108">
        <f t="shared" si="633"/>
        <v>0</v>
      </c>
      <c r="AK603" s="108">
        <f t="shared" si="634"/>
        <v>0</v>
      </c>
      <c r="AL603" s="108">
        <f t="shared" si="635"/>
        <v>0</v>
      </c>
      <c r="AN603" s="100">
        <v>15</v>
      </c>
      <c r="AO603" s="100">
        <f t="shared" si="636"/>
        <v>0</v>
      </c>
      <c r="AP603" s="100">
        <f t="shared" si="637"/>
        <v>0</v>
      </c>
      <c r="AQ603" s="111" t="s">
        <v>7</v>
      </c>
      <c r="AV603" s="100">
        <f t="shared" si="638"/>
        <v>0</v>
      </c>
      <c r="AW603" s="100">
        <f t="shared" si="639"/>
        <v>0</v>
      </c>
      <c r="AX603" s="100">
        <f t="shared" si="640"/>
        <v>0</v>
      </c>
      <c r="AY603" s="110" t="s">
        <v>1722</v>
      </c>
      <c r="AZ603" s="110" t="s">
        <v>1730</v>
      </c>
      <c r="BA603" s="109" t="s">
        <v>1737</v>
      </c>
      <c r="BC603" s="100">
        <f t="shared" si="641"/>
        <v>0</v>
      </c>
      <c r="BD603" s="100">
        <f t="shared" si="642"/>
        <v>0</v>
      </c>
      <c r="BE603" s="100">
        <v>0</v>
      </c>
      <c r="BF603" s="100">
        <f>603</f>
        <v>603</v>
      </c>
      <c r="BH603" s="108">
        <f t="shared" si="643"/>
        <v>0</v>
      </c>
      <c r="BI603" s="108">
        <f t="shared" si="644"/>
        <v>0</v>
      </c>
      <c r="BJ603" s="108">
        <f t="shared" si="645"/>
        <v>0</v>
      </c>
    </row>
    <row r="604" spans="1:62" x14ac:dyDescent="0.2">
      <c r="A604" s="117" t="s">
        <v>553</v>
      </c>
      <c r="B604" s="117" t="s">
        <v>3900</v>
      </c>
      <c r="C604" s="304" t="s">
        <v>1621</v>
      </c>
      <c r="D604" s="305"/>
      <c r="E604" s="305"/>
      <c r="F604" s="117" t="s">
        <v>1644</v>
      </c>
      <c r="G604" s="116">
        <v>1</v>
      </c>
      <c r="H604" s="159"/>
      <c r="I604" s="108">
        <f t="shared" si="622"/>
        <v>0</v>
      </c>
      <c r="J604" s="108">
        <f t="shared" si="623"/>
        <v>0</v>
      </c>
      <c r="K604" s="108">
        <f t="shared" si="624"/>
        <v>0</v>
      </c>
      <c r="L604" s="111"/>
      <c r="Z604" s="100">
        <f t="shared" si="625"/>
        <v>0</v>
      </c>
      <c r="AB604" s="100">
        <f t="shared" si="626"/>
        <v>0</v>
      </c>
      <c r="AC604" s="100">
        <f t="shared" si="627"/>
        <v>0</v>
      </c>
      <c r="AD604" s="100">
        <f t="shared" si="628"/>
        <v>0</v>
      </c>
      <c r="AE604" s="100">
        <f t="shared" si="629"/>
        <v>0</v>
      </c>
      <c r="AF604" s="100">
        <f t="shared" si="630"/>
        <v>0</v>
      </c>
      <c r="AG604" s="100">
        <f t="shared" si="631"/>
        <v>0</v>
      </c>
      <c r="AH604" s="100">
        <f t="shared" si="632"/>
        <v>0</v>
      </c>
      <c r="AI604" s="109"/>
      <c r="AJ604" s="108">
        <f t="shared" si="633"/>
        <v>0</v>
      </c>
      <c r="AK604" s="108">
        <f t="shared" si="634"/>
        <v>0</v>
      </c>
      <c r="AL604" s="108">
        <f t="shared" si="635"/>
        <v>0</v>
      </c>
      <c r="AN604" s="100">
        <v>15</v>
      </c>
      <c r="AO604" s="100">
        <f t="shared" si="636"/>
        <v>0</v>
      </c>
      <c r="AP604" s="100">
        <f t="shared" si="637"/>
        <v>0</v>
      </c>
      <c r="AQ604" s="111" t="s">
        <v>7</v>
      </c>
      <c r="AV604" s="100">
        <f t="shared" si="638"/>
        <v>0</v>
      </c>
      <c r="AW604" s="100">
        <f t="shared" si="639"/>
        <v>0</v>
      </c>
      <c r="AX604" s="100">
        <f t="shared" si="640"/>
        <v>0</v>
      </c>
      <c r="AY604" s="110" t="s">
        <v>1722</v>
      </c>
      <c r="AZ604" s="110" t="s">
        <v>1730</v>
      </c>
      <c r="BA604" s="109" t="s">
        <v>1737</v>
      </c>
      <c r="BC604" s="100">
        <f t="shared" si="641"/>
        <v>0</v>
      </c>
      <c r="BD604" s="100">
        <f t="shared" si="642"/>
        <v>0</v>
      </c>
      <c r="BE604" s="100">
        <v>0</v>
      </c>
      <c r="BF604" s="100">
        <f>604</f>
        <v>604</v>
      </c>
      <c r="BH604" s="108">
        <f t="shared" si="643"/>
        <v>0</v>
      </c>
      <c r="BI604" s="108">
        <f t="shared" si="644"/>
        <v>0</v>
      </c>
      <c r="BJ604" s="108">
        <f t="shared" si="645"/>
        <v>0</v>
      </c>
    </row>
    <row r="605" spans="1:62" x14ac:dyDescent="0.2">
      <c r="A605" s="117" t="s">
        <v>554</v>
      </c>
      <c r="B605" s="117" t="s">
        <v>3899</v>
      </c>
      <c r="C605" s="304" t="s">
        <v>1622</v>
      </c>
      <c r="D605" s="305"/>
      <c r="E605" s="305"/>
      <c r="F605" s="117" t="s">
        <v>1644</v>
      </c>
      <c r="G605" s="116">
        <v>1</v>
      </c>
      <c r="H605" s="162"/>
      <c r="I605" s="108">
        <f t="shared" si="622"/>
        <v>0</v>
      </c>
      <c r="J605" s="108">
        <f t="shared" si="623"/>
        <v>0</v>
      </c>
      <c r="K605" s="108">
        <f t="shared" si="624"/>
        <v>0</v>
      </c>
      <c r="L605" s="111"/>
      <c r="Z605" s="100">
        <f t="shared" si="625"/>
        <v>0</v>
      </c>
      <c r="AB605" s="100">
        <f t="shared" si="626"/>
        <v>0</v>
      </c>
      <c r="AC605" s="100">
        <f t="shared" si="627"/>
        <v>0</v>
      </c>
      <c r="AD605" s="100">
        <f t="shared" si="628"/>
        <v>0</v>
      </c>
      <c r="AE605" s="100">
        <f t="shared" si="629"/>
        <v>0</v>
      </c>
      <c r="AF605" s="100">
        <f t="shared" si="630"/>
        <v>0</v>
      </c>
      <c r="AG605" s="100">
        <f t="shared" si="631"/>
        <v>0</v>
      </c>
      <c r="AH605" s="100">
        <f t="shared" si="632"/>
        <v>0</v>
      </c>
      <c r="AI605" s="109"/>
      <c r="AJ605" s="108">
        <f t="shared" si="633"/>
        <v>0</v>
      </c>
      <c r="AK605" s="108">
        <f t="shared" si="634"/>
        <v>0</v>
      </c>
      <c r="AL605" s="108">
        <f t="shared" si="635"/>
        <v>0</v>
      </c>
      <c r="AN605" s="100">
        <v>15</v>
      </c>
      <c r="AO605" s="100">
        <f t="shared" si="636"/>
        <v>0</v>
      </c>
      <c r="AP605" s="100">
        <f t="shared" si="637"/>
        <v>0</v>
      </c>
      <c r="AQ605" s="111" t="s">
        <v>7</v>
      </c>
      <c r="AV605" s="100">
        <f t="shared" si="638"/>
        <v>0</v>
      </c>
      <c r="AW605" s="100">
        <f t="shared" si="639"/>
        <v>0</v>
      </c>
      <c r="AX605" s="100">
        <f t="shared" si="640"/>
        <v>0</v>
      </c>
      <c r="AY605" s="110" t="s">
        <v>1722</v>
      </c>
      <c r="AZ605" s="110" t="s">
        <v>1730</v>
      </c>
      <c r="BA605" s="109" t="s">
        <v>1737</v>
      </c>
      <c r="BC605" s="100">
        <f t="shared" si="641"/>
        <v>0</v>
      </c>
      <c r="BD605" s="100">
        <f t="shared" si="642"/>
        <v>0</v>
      </c>
      <c r="BE605" s="100">
        <v>0</v>
      </c>
      <c r="BF605" s="100">
        <f>605</f>
        <v>605</v>
      </c>
      <c r="BH605" s="108">
        <f t="shared" si="643"/>
        <v>0</v>
      </c>
      <c r="BI605" s="108">
        <f t="shared" si="644"/>
        <v>0</v>
      </c>
      <c r="BJ605" s="108">
        <f t="shared" si="645"/>
        <v>0</v>
      </c>
    </row>
    <row r="606" spans="1:62" x14ac:dyDescent="0.2">
      <c r="A606" s="117" t="s">
        <v>555</v>
      </c>
      <c r="B606" s="117" t="s">
        <v>3898</v>
      </c>
      <c r="C606" s="304" t="s">
        <v>1623</v>
      </c>
      <c r="D606" s="305"/>
      <c r="E606" s="305"/>
      <c r="F606" s="117" t="s">
        <v>1644</v>
      </c>
      <c r="G606" s="116">
        <v>1</v>
      </c>
      <c r="H606" s="159"/>
      <c r="I606" s="108">
        <f t="shared" ref="I606:I613" si="646">G606*AO606</f>
        <v>0</v>
      </c>
      <c r="J606" s="108">
        <f t="shared" ref="J606:J613" si="647">G606*AP606</f>
        <v>0</v>
      </c>
      <c r="K606" s="108">
        <f t="shared" ref="K606:K613" si="648">G606*H606</f>
        <v>0</v>
      </c>
      <c r="L606" s="111"/>
      <c r="Z606" s="100">
        <f t="shared" ref="Z606:Z613" si="649">IF(AQ606="5",BJ606,0)</f>
        <v>0</v>
      </c>
      <c r="AB606" s="100">
        <f t="shared" ref="AB606:AB613" si="650">IF(AQ606="1",BH606,0)</f>
        <v>0</v>
      </c>
      <c r="AC606" s="100">
        <f t="shared" ref="AC606:AC613" si="651">IF(AQ606="1",BI606,0)</f>
        <v>0</v>
      </c>
      <c r="AD606" s="100">
        <f t="shared" ref="AD606:AD613" si="652">IF(AQ606="7",BH606,0)</f>
        <v>0</v>
      </c>
      <c r="AE606" s="100">
        <f t="shared" ref="AE606:AE613" si="653">IF(AQ606="7",BI606,0)</f>
        <v>0</v>
      </c>
      <c r="AF606" s="100">
        <f t="shared" ref="AF606:AF613" si="654">IF(AQ606="2",BH606,0)</f>
        <v>0</v>
      </c>
      <c r="AG606" s="100">
        <f t="shared" ref="AG606:AG613" si="655">IF(AQ606="2",BI606,0)</f>
        <v>0</v>
      </c>
      <c r="AH606" s="100">
        <f t="shared" ref="AH606:AH613" si="656">IF(AQ606="0",BJ606,0)</f>
        <v>0</v>
      </c>
      <c r="AI606" s="109"/>
      <c r="AJ606" s="108">
        <f t="shared" ref="AJ606:AJ613" si="657">IF(AN606=0,K606,0)</f>
        <v>0</v>
      </c>
      <c r="AK606" s="108">
        <f t="shared" ref="AK606:AK613" si="658">IF(AN606=15,K606,0)</f>
        <v>0</v>
      </c>
      <c r="AL606" s="108">
        <f t="shared" ref="AL606:AL613" si="659">IF(AN606=21,K606,0)</f>
        <v>0</v>
      </c>
      <c r="AN606" s="100">
        <v>15</v>
      </c>
      <c r="AO606" s="100">
        <f t="shared" ref="AO606:AO613" si="660">H606*0</f>
        <v>0</v>
      </c>
      <c r="AP606" s="100">
        <f t="shared" ref="AP606:AP613" si="661">H606*(1-0)</f>
        <v>0</v>
      </c>
      <c r="AQ606" s="111" t="s">
        <v>7</v>
      </c>
      <c r="AV606" s="100">
        <f t="shared" ref="AV606:AV613" si="662">AW606+AX606</f>
        <v>0</v>
      </c>
      <c r="AW606" s="100">
        <f t="shared" ref="AW606:AW613" si="663">G606*AO606</f>
        <v>0</v>
      </c>
      <c r="AX606" s="100">
        <f t="shared" ref="AX606:AX613" si="664">G606*AP606</f>
        <v>0</v>
      </c>
      <c r="AY606" s="110" t="s">
        <v>1722</v>
      </c>
      <c r="AZ606" s="110" t="s">
        <v>1730</v>
      </c>
      <c r="BA606" s="109" t="s">
        <v>1737</v>
      </c>
      <c r="BC606" s="100">
        <f t="shared" ref="BC606:BC613" si="665">AW606+AX606</f>
        <v>0</v>
      </c>
      <c r="BD606" s="100">
        <f t="shared" ref="BD606:BD613" si="666">H606/(100-BE606)*100</f>
        <v>0</v>
      </c>
      <c r="BE606" s="100">
        <v>0</v>
      </c>
      <c r="BF606" s="100">
        <f>606</f>
        <v>606</v>
      </c>
      <c r="BH606" s="108">
        <f t="shared" ref="BH606:BH613" si="667">G606*AO606</f>
        <v>0</v>
      </c>
      <c r="BI606" s="108">
        <f t="shared" ref="BI606:BI613" si="668">G606*AP606</f>
        <v>0</v>
      </c>
      <c r="BJ606" s="108">
        <f t="shared" ref="BJ606:BJ613" si="669">G606*H606</f>
        <v>0</v>
      </c>
    </row>
    <row r="607" spans="1:62" x14ac:dyDescent="0.2">
      <c r="A607" s="117" t="s">
        <v>556</v>
      </c>
      <c r="B607" s="117" t="s">
        <v>3897</v>
      </c>
      <c r="C607" s="304" t="s">
        <v>1624</v>
      </c>
      <c r="D607" s="305"/>
      <c r="E607" s="305"/>
      <c r="F607" s="117" t="s">
        <v>1644</v>
      </c>
      <c r="G607" s="116">
        <v>1</v>
      </c>
      <c r="H607" s="159"/>
      <c r="I607" s="108">
        <f t="shared" si="646"/>
        <v>0</v>
      </c>
      <c r="J607" s="108">
        <f t="shared" si="647"/>
        <v>0</v>
      </c>
      <c r="K607" s="108">
        <f t="shared" si="648"/>
        <v>0</v>
      </c>
      <c r="L607" s="111"/>
      <c r="Z607" s="100">
        <f t="shared" si="649"/>
        <v>0</v>
      </c>
      <c r="AB607" s="100">
        <f t="shared" si="650"/>
        <v>0</v>
      </c>
      <c r="AC607" s="100">
        <f t="shared" si="651"/>
        <v>0</v>
      </c>
      <c r="AD607" s="100">
        <f t="shared" si="652"/>
        <v>0</v>
      </c>
      <c r="AE607" s="100">
        <f t="shared" si="653"/>
        <v>0</v>
      </c>
      <c r="AF607" s="100">
        <f t="shared" si="654"/>
        <v>0</v>
      </c>
      <c r="AG607" s="100">
        <f t="shared" si="655"/>
        <v>0</v>
      </c>
      <c r="AH607" s="100">
        <f t="shared" si="656"/>
        <v>0</v>
      </c>
      <c r="AI607" s="109"/>
      <c r="AJ607" s="108">
        <f t="shared" si="657"/>
        <v>0</v>
      </c>
      <c r="AK607" s="108">
        <f t="shared" si="658"/>
        <v>0</v>
      </c>
      <c r="AL607" s="108">
        <f t="shared" si="659"/>
        <v>0</v>
      </c>
      <c r="AN607" s="100">
        <v>15</v>
      </c>
      <c r="AO607" s="100">
        <f t="shared" si="660"/>
        <v>0</v>
      </c>
      <c r="AP607" s="100">
        <f t="shared" si="661"/>
        <v>0</v>
      </c>
      <c r="AQ607" s="111" t="s">
        <v>7</v>
      </c>
      <c r="AV607" s="100">
        <f t="shared" si="662"/>
        <v>0</v>
      </c>
      <c r="AW607" s="100">
        <f t="shared" si="663"/>
        <v>0</v>
      </c>
      <c r="AX607" s="100">
        <f t="shared" si="664"/>
        <v>0</v>
      </c>
      <c r="AY607" s="110" t="s">
        <v>1722</v>
      </c>
      <c r="AZ607" s="110" t="s">
        <v>1730</v>
      </c>
      <c r="BA607" s="109" t="s">
        <v>1737</v>
      </c>
      <c r="BC607" s="100">
        <f t="shared" si="665"/>
        <v>0</v>
      </c>
      <c r="BD607" s="100">
        <f t="shared" si="666"/>
        <v>0</v>
      </c>
      <c r="BE607" s="100">
        <v>0</v>
      </c>
      <c r="BF607" s="100">
        <f>607</f>
        <v>607</v>
      </c>
      <c r="BH607" s="108">
        <f t="shared" si="667"/>
        <v>0</v>
      </c>
      <c r="BI607" s="108">
        <f t="shared" si="668"/>
        <v>0</v>
      </c>
      <c r="BJ607" s="108">
        <f t="shared" si="669"/>
        <v>0</v>
      </c>
    </row>
    <row r="608" spans="1:62" x14ac:dyDescent="0.2">
      <c r="A608" s="117" t="s">
        <v>557</v>
      </c>
      <c r="B608" s="117" t="s">
        <v>3896</v>
      </c>
      <c r="C608" s="304" t="s">
        <v>1625</v>
      </c>
      <c r="D608" s="305"/>
      <c r="E608" s="305"/>
      <c r="F608" s="117" t="s">
        <v>1644</v>
      </c>
      <c r="G608" s="116">
        <v>1</v>
      </c>
      <c r="H608" s="159"/>
      <c r="I608" s="108">
        <f t="shared" si="646"/>
        <v>0</v>
      </c>
      <c r="J608" s="108">
        <f t="shared" si="647"/>
        <v>0</v>
      </c>
      <c r="K608" s="108">
        <f t="shared" si="648"/>
        <v>0</v>
      </c>
      <c r="L608" s="111"/>
      <c r="Z608" s="100">
        <f t="shared" si="649"/>
        <v>0</v>
      </c>
      <c r="AB608" s="100">
        <f t="shared" si="650"/>
        <v>0</v>
      </c>
      <c r="AC608" s="100">
        <f t="shared" si="651"/>
        <v>0</v>
      </c>
      <c r="AD608" s="100">
        <f t="shared" si="652"/>
        <v>0</v>
      </c>
      <c r="AE608" s="100">
        <f t="shared" si="653"/>
        <v>0</v>
      </c>
      <c r="AF608" s="100">
        <f t="shared" si="654"/>
        <v>0</v>
      </c>
      <c r="AG608" s="100">
        <f t="shared" si="655"/>
        <v>0</v>
      </c>
      <c r="AH608" s="100">
        <f t="shared" si="656"/>
        <v>0</v>
      </c>
      <c r="AI608" s="109"/>
      <c r="AJ608" s="108">
        <f t="shared" si="657"/>
        <v>0</v>
      </c>
      <c r="AK608" s="108">
        <f t="shared" si="658"/>
        <v>0</v>
      </c>
      <c r="AL608" s="108">
        <f t="shared" si="659"/>
        <v>0</v>
      </c>
      <c r="AN608" s="100">
        <v>15</v>
      </c>
      <c r="AO608" s="100">
        <f t="shared" si="660"/>
        <v>0</v>
      </c>
      <c r="AP608" s="100">
        <f t="shared" si="661"/>
        <v>0</v>
      </c>
      <c r="AQ608" s="111" t="s">
        <v>7</v>
      </c>
      <c r="AV608" s="100">
        <f t="shared" si="662"/>
        <v>0</v>
      </c>
      <c r="AW608" s="100">
        <f t="shared" si="663"/>
        <v>0</v>
      </c>
      <c r="AX608" s="100">
        <f t="shared" si="664"/>
        <v>0</v>
      </c>
      <c r="AY608" s="110" t="s">
        <v>1722</v>
      </c>
      <c r="AZ608" s="110" t="s">
        <v>1730</v>
      </c>
      <c r="BA608" s="109" t="s">
        <v>1737</v>
      </c>
      <c r="BC608" s="100">
        <f t="shared" si="665"/>
        <v>0</v>
      </c>
      <c r="BD608" s="100">
        <f t="shared" si="666"/>
        <v>0</v>
      </c>
      <c r="BE608" s="100">
        <v>0</v>
      </c>
      <c r="BF608" s="100">
        <f>608</f>
        <v>608</v>
      </c>
      <c r="BH608" s="108">
        <f t="shared" si="667"/>
        <v>0</v>
      </c>
      <c r="BI608" s="108">
        <f t="shared" si="668"/>
        <v>0</v>
      </c>
      <c r="BJ608" s="108">
        <f t="shared" si="669"/>
        <v>0</v>
      </c>
    </row>
    <row r="609" spans="1:62" x14ac:dyDescent="0.2">
      <c r="A609" s="117" t="s">
        <v>558</v>
      </c>
      <c r="B609" s="117" t="s">
        <v>3895</v>
      </c>
      <c r="C609" s="304" t="s">
        <v>1626</v>
      </c>
      <c r="D609" s="305"/>
      <c r="E609" s="305"/>
      <c r="F609" s="117" t="s">
        <v>1644</v>
      </c>
      <c r="G609" s="116">
        <v>1</v>
      </c>
      <c r="H609" s="159"/>
      <c r="I609" s="108">
        <f t="shared" si="646"/>
        <v>0</v>
      </c>
      <c r="J609" s="108">
        <f t="shared" si="647"/>
        <v>0</v>
      </c>
      <c r="K609" s="108">
        <f t="shared" si="648"/>
        <v>0</v>
      </c>
      <c r="L609" s="111"/>
      <c r="Z609" s="100">
        <f t="shared" si="649"/>
        <v>0</v>
      </c>
      <c r="AB609" s="100">
        <f t="shared" si="650"/>
        <v>0</v>
      </c>
      <c r="AC609" s="100">
        <f t="shared" si="651"/>
        <v>0</v>
      </c>
      <c r="AD609" s="100">
        <f t="shared" si="652"/>
        <v>0</v>
      </c>
      <c r="AE609" s="100">
        <f t="shared" si="653"/>
        <v>0</v>
      </c>
      <c r="AF609" s="100">
        <f t="shared" si="654"/>
        <v>0</v>
      </c>
      <c r="AG609" s="100">
        <f t="shared" si="655"/>
        <v>0</v>
      </c>
      <c r="AH609" s="100">
        <f t="shared" si="656"/>
        <v>0</v>
      </c>
      <c r="AI609" s="109"/>
      <c r="AJ609" s="108">
        <f t="shared" si="657"/>
        <v>0</v>
      </c>
      <c r="AK609" s="108">
        <f t="shared" si="658"/>
        <v>0</v>
      </c>
      <c r="AL609" s="108">
        <f t="shared" si="659"/>
        <v>0</v>
      </c>
      <c r="AN609" s="100">
        <v>15</v>
      </c>
      <c r="AO609" s="100">
        <f t="shared" si="660"/>
        <v>0</v>
      </c>
      <c r="AP609" s="100">
        <f t="shared" si="661"/>
        <v>0</v>
      </c>
      <c r="AQ609" s="111" t="s">
        <v>7</v>
      </c>
      <c r="AV609" s="100">
        <f t="shared" si="662"/>
        <v>0</v>
      </c>
      <c r="AW609" s="100">
        <f t="shared" si="663"/>
        <v>0</v>
      </c>
      <c r="AX609" s="100">
        <f t="shared" si="664"/>
        <v>0</v>
      </c>
      <c r="AY609" s="110" t="s">
        <v>1722</v>
      </c>
      <c r="AZ609" s="110" t="s">
        <v>1730</v>
      </c>
      <c r="BA609" s="109" t="s">
        <v>1737</v>
      </c>
      <c r="BC609" s="100">
        <f t="shared" si="665"/>
        <v>0</v>
      </c>
      <c r="BD609" s="100">
        <f t="shared" si="666"/>
        <v>0</v>
      </c>
      <c r="BE609" s="100">
        <v>0</v>
      </c>
      <c r="BF609" s="100">
        <f>609</f>
        <v>609</v>
      </c>
      <c r="BH609" s="108">
        <f t="shared" si="667"/>
        <v>0</v>
      </c>
      <c r="BI609" s="108">
        <f t="shared" si="668"/>
        <v>0</v>
      </c>
      <c r="BJ609" s="108">
        <f t="shared" si="669"/>
        <v>0</v>
      </c>
    </row>
    <row r="610" spans="1:62" x14ac:dyDescent="0.2">
      <c r="A610" s="117" t="s">
        <v>559</v>
      </c>
      <c r="B610" s="117" t="s">
        <v>3894</v>
      </c>
      <c r="C610" s="304" t="s">
        <v>1627</v>
      </c>
      <c r="D610" s="305"/>
      <c r="E610" s="305"/>
      <c r="F610" s="117" t="s">
        <v>1644</v>
      </c>
      <c r="G610" s="116">
        <v>1</v>
      </c>
      <c r="H610" s="159"/>
      <c r="I610" s="108">
        <f t="shared" si="646"/>
        <v>0</v>
      </c>
      <c r="J610" s="108">
        <f t="shared" si="647"/>
        <v>0</v>
      </c>
      <c r="K610" s="108">
        <f t="shared" si="648"/>
        <v>0</v>
      </c>
      <c r="L610" s="111"/>
      <c r="Z610" s="100">
        <f t="shared" si="649"/>
        <v>0</v>
      </c>
      <c r="AB610" s="100">
        <f t="shared" si="650"/>
        <v>0</v>
      </c>
      <c r="AC610" s="100">
        <f t="shared" si="651"/>
        <v>0</v>
      </c>
      <c r="AD610" s="100">
        <f t="shared" si="652"/>
        <v>0</v>
      </c>
      <c r="AE610" s="100">
        <f t="shared" si="653"/>
        <v>0</v>
      </c>
      <c r="AF610" s="100">
        <f t="shared" si="654"/>
        <v>0</v>
      </c>
      <c r="AG610" s="100">
        <f t="shared" si="655"/>
        <v>0</v>
      </c>
      <c r="AH610" s="100">
        <f t="shared" si="656"/>
        <v>0</v>
      </c>
      <c r="AI610" s="109"/>
      <c r="AJ610" s="108">
        <f t="shared" si="657"/>
        <v>0</v>
      </c>
      <c r="AK610" s="108">
        <f t="shared" si="658"/>
        <v>0</v>
      </c>
      <c r="AL610" s="108">
        <f t="shared" si="659"/>
        <v>0</v>
      </c>
      <c r="AN610" s="100">
        <v>15</v>
      </c>
      <c r="AO610" s="100">
        <f t="shared" si="660"/>
        <v>0</v>
      </c>
      <c r="AP610" s="100">
        <f t="shared" si="661"/>
        <v>0</v>
      </c>
      <c r="AQ610" s="111" t="s">
        <v>7</v>
      </c>
      <c r="AV610" s="100">
        <f t="shared" si="662"/>
        <v>0</v>
      </c>
      <c r="AW610" s="100">
        <f t="shared" si="663"/>
        <v>0</v>
      </c>
      <c r="AX610" s="100">
        <f t="shared" si="664"/>
        <v>0</v>
      </c>
      <c r="AY610" s="110" t="s">
        <v>1722</v>
      </c>
      <c r="AZ610" s="110" t="s">
        <v>1730</v>
      </c>
      <c r="BA610" s="109" t="s">
        <v>1737</v>
      </c>
      <c r="BC610" s="100">
        <f t="shared" si="665"/>
        <v>0</v>
      </c>
      <c r="BD610" s="100">
        <f t="shared" si="666"/>
        <v>0</v>
      </c>
      <c r="BE610" s="100">
        <v>0</v>
      </c>
      <c r="BF610" s="100">
        <f>610</f>
        <v>610</v>
      </c>
      <c r="BH610" s="108">
        <f t="shared" si="667"/>
        <v>0</v>
      </c>
      <c r="BI610" s="108">
        <f t="shared" si="668"/>
        <v>0</v>
      </c>
      <c r="BJ610" s="108">
        <f t="shared" si="669"/>
        <v>0</v>
      </c>
    </row>
    <row r="611" spans="1:62" x14ac:dyDescent="0.2">
      <c r="A611" s="117" t="s">
        <v>560</v>
      </c>
      <c r="B611" s="117" t="s">
        <v>3893</v>
      </c>
      <c r="C611" s="304" t="s">
        <v>1628</v>
      </c>
      <c r="D611" s="305"/>
      <c r="E611" s="305"/>
      <c r="F611" s="117" t="s">
        <v>1644</v>
      </c>
      <c r="G611" s="116">
        <v>1</v>
      </c>
      <c r="H611" s="159"/>
      <c r="I611" s="108">
        <f t="shared" si="646"/>
        <v>0</v>
      </c>
      <c r="J611" s="108">
        <f t="shared" si="647"/>
        <v>0</v>
      </c>
      <c r="K611" s="108">
        <f t="shared" si="648"/>
        <v>0</v>
      </c>
      <c r="L611" s="111"/>
      <c r="Z611" s="100">
        <f t="shared" si="649"/>
        <v>0</v>
      </c>
      <c r="AB611" s="100">
        <f t="shared" si="650"/>
        <v>0</v>
      </c>
      <c r="AC611" s="100">
        <f t="shared" si="651"/>
        <v>0</v>
      </c>
      <c r="AD611" s="100">
        <f t="shared" si="652"/>
        <v>0</v>
      </c>
      <c r="AE611" s="100">
        <f t="shared" si="653"/>
        <v>0</v>
      </c>
      <c r="AF611" s="100">
        <f t="shared" si="654"/>
        <v>0</v>
      </c>
      <c r="AG611" s="100">
        <f t="shared" si="655"/>
        <v>0</v>
      </c>
      <c r="AH611" s="100">
        <f t="shared" si="656"/>
        <v>0</v>
      </c>
      <c r="AI611" s="109"/>
      <c r="AJ611" s="108">
        <f t="shared" si="657"/>
        <v>0</v>
      </c>
      <c r="AK611" s="108">
        <f t="shared" si="658"/>
        <v>0</v>
      </c>
      <c r="AL611" s="108">
        <f t="shared" si="659"/>
        <v>0</v>
      </c>
      <c r="AN611" s="100">
        <v>15</v>
      </c>
      <c r="AO611" s="100">
        <f t="shared" si="660"/>
        <v>0</v>
      </c>
      <c r="AP611" s="100">
        <f t="shared" si="661"/>
        <v>0</v>
      </c>
      <c r="AQ611" s="111" t="s">
        <v>7</v>
      </c>
      <c r="AV611" s="100">
        <f t="shared" si="662"/>
        <v>0</v>
      </c>
      <c r="AW611" s="100">
        <f t="shared" si="663"/>
        <v>0</v>
      </c>
      <c r="AX611" s="100">
        <f t="shared" si="664"/>
        <v>0</v>
      </c>
      <c r="AY611" s="110" t="s">
        <v>1722</v>
      </c>
      <c r="AZ611" s="110" t="s">
        <v>1730</v>
      </c>
      <c r="BA611" s="109" t="s">
        <v>1737</v>
      </c>
      <c r="BC611" s="100">
        <f t="shared" si="665"/>
        <v>0</v>
      </c>
      <c r="BD611" s="100">
        <f t="shared" si="666"/>
        <v>0</v>
      </c>
      <c r="BE611" s="100">
        <v>0</v>
      </c>
      <c r="BF611" s="100">
        <f>611</f>
        <v>611</v>
      </c>
      <c r="BH611" s="108">
        <f t="shared" si="667"/>
        <v>0</v>
      </c>
      <c r="BI611" s="108">
        <f t="shared" si="668"/>
        <v>0</v>
      </c>
      <c r="BJ611" s="108">
        <f t="shared" si="669"/>
        <v>0</v>
      </c>
    </row>
    <row r="612" spans="1:62" x14ac:dyDescent="0.2">
      <c r="A612" s="117" t="s">
        <v>561</v>
      </c>
      <c r="B612" s="117" t="s">
        <v>3892</v>
      </c>
      <c r="C612" s="304" t="s">
        <v>1629</v>
      </c>
      <c r="D612" s="305"/>
      <c r="E612" s="305"/>
      <c r="F612" s="117" t="s">
        <v>1644</v>
      </c>
      <c r="G612" s="116">
        <v>1</v>
      </c>
      <c r="H612" s="159"/>
      <c r="I612" s="108">
        <f t="shared" si="646"/>
        <v>0</v>
      </c>
      <c r="J612" s="108">
        <f t="shared" si="647"/>
        <v>0</v>
      </c>
      <c r="K612" s="108">
        <f t="shared" si="648"/>
        <v>0</v>
      </c>
      <c r="L612" s="111"/>
      <c r="Z612" s="100">
        <f t="shared" si="649"/>
        <v>0</v>
      </c>
      <c r="AB612" s="100">
        <f t="shared" si="650"/>
        <v>0</v>
      </c>
      <c r="AC612" s="100">
        <f t="shared" si="651"/>
        <v>0</v>
      </c>
      <c r="AD612" s="100">
        <f t="shared" si="652"/>
        <v>0</v>
      </c>
      <c r="AE612" s="100">
        <f t="shared" si="653"/>
        <v>0</v>
      </c>
      <c r="AF612" s="100">
        <f t="shared" si="654"/>
        <v>0</v>
      </c>
      <c r="AG612" s="100">
        <f t="shared" si="655"/>
        <v>0</v>
      </c>
      <c r="AH612" s="100">
        <f t="shared" si="656"/>
        <v>0</v>
      </c>
      <c r="AI612" s="109"/>
      <c r="AJ612" s="108">
        <f t="shared" si="657"/>
        <v>0</v>
      </c>
      <c r="AK612" s="108">
        <f t="shared" si="658"/>
        <v>0</v>
      </c>
      <c r="AL612" s="108">
        <f t="shared" si="659"/>
        <v>0</v>
      </c>
      <c r="AN612" s="100">
        <v>15</v>
      </c>
      <c r="AO612" s="100">
        <f t="shared" si="660"/>
        <v>0</v>
      </c>
      <c r="AP612" s="100">
        <f t="shared" si="661"/>
        <v>0</v>
      </c>
      <c r="AQ612" s="111" t="s">
        <v>7</v>
      </c>
      <c r="AV612" s="100">
        <f t="shared" si="662"/>
        <v>0</v>
      </c>
      <c r="AW612" s="100">
        <f t="shared" si="663"/>
        <v>0</v>
      </c>
      <c r="AX612" s="100">
        <f t="shared" si="664"/>
        <v>0</v>
      </c>
      <c r="AY612" s="110" t="s">
        <v>1722</v>
      </c>
      <c r="AZ612" s="110" t="s">
        <v>1730</v>
      </c>
      <c r="BA612" s="109" t="s">
        <v>1737</v>
      </c>
      <c r="BC612" s="100">
        <f t="shared" si="665"/>
        <v>0</v>
      </c>
      <c r="BD612" s="100">
        <f t="shared" si="666"/>
        <v>0</v>
      </c>
      <c r="BE612" s="100">
        <v>0</v>
      </c>
      <c r="BF612" s="100">
        <f>612</f>
        <v>612</v>
      </c>
      <c r="BH612" s="108">
        <f t="shared" si="667"/>
        <v>0</v>
      </c>
      <c r="BI612" s="108">
        <f t="shared" si="668"/>
        <v>0</v>
      </c>
      <c r="BJ612" s="108">
        <f t="shared" si="669"/>
        <v>0</v>
      </c>
    </row>
    <row r="613" spans="1:62" x14ac:dyDescent="0.2">
      <c r="A613" s="117" t="s">
        <v>562</v>
      </c>
      <c r="B613" s="117" t="s">
        <v>3891</v>
      </c>
      <c r="C613" s="304" t="s">
        <v>1630</v>
      </c>
      <c r="D613" s="305"/>
      <c r="E613" s="305"/>
      <c r="F613" s="117" t="s">
        <v>1644</v>
      </c>
      <c r="G613" s="116">
        <v>1</v>
      </c>
      <c r="H613" s="159"/>
      <c r="I613" s="108">
        <f t="shared" si="646"/>
        <v>0</v>
      </c>
      <c r="J613" s="108">
        <f t="shared" si="647"/>
        <v>0</v>
      </c>
      <c r="K613" s="108">
        <f t="shared" si="648"/>
        <v>0</v>
      </c>
      <c r="L613" s="111"/>
      <c r="Z613" s="100">
        <f t="shared" si="649"/>
        <v>0</v>
      </c>
      <c r="AB613" s="100">
        <f t="shared" si="650"/>
        <v>0</v>
      </c>
      <c r="AC613" s="100">
        <f t="shared" si="651"/>
        <v>0</v>
      </c>
      <c r="AD613" s="100">
        <f t="shared" si="652"/>
        <v>0</v>
      </c>
      <c r="AE613" s="100">
        <f t="shared" si="653"/>
        <v>0</v>
      </c>
      <c r="AF613" s="100">
        <f t="shared" si="654"/>
        <v>0</v>
      </c>
      <c r="AG613" s="100">
        <f t="shared" si="655"/>
        <v>0</v>
      </c>
      <c r="AH613" s="100">
        <f t="shared" si="656"/>
        <v>0</v>
      </c>
      <c r="AI613" s="109"/>
      <c r="AJ613" s="108">
        <f t="shared" si="657"/>
        <v>0</v>
      </c>
      <c r="AK613" s="108">
        <f t="shared" si="658"/>
        <v>0</v>
      </c>
      <c r="AL613" s="108">
        <f t="shared" si="659"/>
        <v>0</v>
      </c>
      <c r="AN613" s="100">
        <v>15</v>
      </c>
      <c r="AO613" s="100">
        <f t="shared" si="660"/>
        <v>0</v>
      </c>
      <c r="AP613" s="100">
        <f t="shared" si="661"/>
        <v>0</v>
      </c>
      <c r="AQ613" s="111" t="s">
        <v>7</v>
      </c>
      <c r="AV613" s="100">
        <f t="shared" si="662"/>
        <v>0</v>
      </c>
      <c r="AW613" s="100">
        <f t="shared" si="663"/>
        <v>0</v>
      </c>
      <c r="AX613" s="100">
        <f t="shared" si="664"/>
        <v>0</v>
      </c>
      <c r="AY613" s="110" t="s">
        <v>1722</v>
      </c>
      <c r="AZ613" s="110" t="s">
        <v>1730</v>
      </c>
      <c r="BA613" s="109" t="s">
        <v>1737</v>
      </c>
      <c r="BC613" s="100">
        <f t="shared" si="665"/>
        <v>0</v>
      </c>
      <c r="BD613" s="100">
        <f t="shared" si="666"/>
        <v>0</v>
      </c>
      <c r="BE613" s="100">
        <v>0</v>
      </c>
      <c r="BF613" s="100">
        <f>613</f>
        <v>613</v>
      </c>
      <c r="BH613" s="108">
        <f t="shared" si="667"/>
        <v>0</v>
      </c>
      <c r="BI613" s="108">
        <f t="shared" si="668"/>
        <v>0</v>
      </c>
      <c r="BJ613" s="108">
        <f t="shared" si="669"/>
        <v>0</v>
      </c>
    </row>
    <row r="614" spans="1:62" x14ac:dyDescent="0.2">
      <c r="A614" s="119"/>
      <c r="B614" s="120" t="s">
        <v>1039</v>
      </c>
      <c r="C614" s="306" t="s">
        <v>1631</v>
      </c>
      <c r="D614" s="307"/>
      <c r="E614" s="307"/>
      <c r="F614" s="119" t="s">
        <v>6</v>
      </c>
      <c r="G614" s="119" t="s">
        <v>6</v>
      </c>
      <c r="H614" s="119" t="s">
        <v>6</v>
      </c>
      <c r="I614" s="118">
        <f>SUM(I615:I621)</f>
        <v>0</v>
      </c>
      <c r="J614" s="118">
        <f>SUM(J615:J621)</f>
        <v>0</v>
      </c>
      <c r="K614" s="118">
        <f>SUM(K615:K621)</f>
        <v>0</v>
      </c>
      <c r="L614" s="109"/>
      <c r="AI614" s="109"/>
      <c r="AS614" s="118">
        <f>SUM(AJ615:AJ621)</f>
        <v>0</v>
      </c>
      <c r="AT614" s="118">
        <f>SUM(AK615:AK621)</f>
        <v>0</v>
      </c>
      <c r="AU614" s="118">
        <f>SUM(AL615:AL621)</f>
        <v>0</v>
      </c>
    </row>
    <row r="615" spans="1:62" x14ac:dyDescent="0.2">
      <c r="A615" s="117" t="s">
        <v>563</v>
      </c>
      <c r="B615" s="117" t="s">
        <v>1040</v>
      </c>
      <c r="C615" s="304" t="s">
        <v>1632</v>
      </c>
      <c r="D615" s="305"/>
      <c r="E615" s="305"/>
      <c r="F615" s="117" t="s">
        <v>1644</v>
      </c>
      <c r="G615" s="116">
        <v>1</v>
      </c>
      <c r="H615" s="159"/>
      <c r="I615" s="108">
        <f t="shared" ref="I615:I621" si="670">G615*AO615</f>
        <v>0</v>
      </c>
      <c r="J615" s="108">
        <f t="shared" ref="J615:J621" si="671">G615*AP615</f>
        <v>0</v>
      </c>
      <c r="K615" s="108">
        <f t="shared" ref="K615:K621" si="672">G615*H615</f>
        <v>0</v>
      </c>
      <c r="L615" s="111" t="s">
        <v>1671</v>
      </c>
      <c r="Z615" s="100">
        <f t="shared" ref="Z615:Z621" si="673">IF(AQ615="5",BJ615,0)</f>
        <v>0</v>
      </c>
      <c r="AB615" s="100">
        <f t="shared" ref="AB615:AB621" si="674">IF(AQ615="1",BH615,0)</f>
        <v>0</v>
      </c>
      <c r="AC615" s="100">
        <f t="shared" ref="AC615:AC621" si="675">IF(AQ615="1",BI615,0)</f>
        <v>0</v>
      </c>
      <c r="AD615" s="100">
        <f t="shared" ref="AD615:AD621" si="676">IF(AQ615="7",BH615,0)</f>
        <v>0</v>
      </c>
      <c r="AE615" s="100">
        <f t="shared" ref="AE615:AE621" si="677">IF(AQ615="7",BI615,0)</f>
        <v>0</v>
      </c>
      <c r="AF615" s="100">
        <f t="shared" ref="AF615:AF621" si="678">IF(AQ615="2",BH615,0)</f>
        <v>0</v>
      </c>
      <c r="AG615" s="100">
        <f t="shared" ref="AG615:AG621" si="679">IF(AQ615="2",BI615,0)</f>
        <v>0</v>
      </c>
      <c r="AH615" s="100">
        <f t="shared" ref="AH615:AH621" si="680">IF(AQ615="0",BJ615,0)</f>
        <v>0</v>
      </c>
      <c r="AI615" s="109"/>
      <c r="AJ615" s="108">
        <f t="shared" ref="AJ615:AJ621" si="681">IF(AN615=0,K615,0)</f>
        <v>0</v>
      </c>
      <c r="AK615" s="108">
        <f t="shared" ref="AK615:AK621" si="682">IF(AN615=15,K615,0)</f>
        <v>0</v>
      </c>
      <c r="AL615" s="108">
        <f t="shared" ref="AL615:AL621" si="683">IF(AN615=21,K615,0)</f>
        <v>0</v>
      </c>
      <c r="AN615" s="100">
        <v>15</v>
      </c>
      <c r="AO615" s="100">
        <f t="shared" ref="AO615:AO621" si="684">H615*0</f>
        <v>0</v>
      </c>
      <c r="AP615" s="100">
        <f t="shared" ref="AP615:AP621" si="685">H615*(1-0)</f>
        <v>0</v>
      </c>
      <c r="AQ615" s="111" t="s">
        <v>7</v>
      </c>
      <c r="AV615" s="100">
        <f t="shared" ref="AV615:AV621" si="686">AW615+AX615</f>
        <v>0</v>
      </c>
      <c r="AW615" s="100">
        <f t="shared" ref="AW615:AW621" si="687">G615*AO615</f>
        <v>0</v>
      </c>
      <c r="AX615" s="100">
        <f t="shared" ref="AX615:AX621" si="688">G615*AP615</f>
        <v>0</v>
      </c>
      <c r="AY615" s="110" t="s">
        <v>1723</v>
      </c>
      <c r="AZ615" s="110" t="s">
        <v>1730</v>
      </c>
      <c r="BA615" s="109" t="s">
        <v>1737</v>
      </c>
      <c r="BC615" s="100">
        <f t="shared" ref="BC615:BC621" si="689">AW615+AX615</f>
        <v>0</v>
      </c>
      <c r="BD615" s="100">
        <f t="shared" ref="BD615:BD621" si="690">H615/(100-BE615)*100</f>
        <v>0</v>
      </c>
      <c r="BE615" s="100">
        <v>0</v>
      </c>
      <c r="BF615" s="100">
        <f>615</f>
        <v>615</v>
      </c>
      <c r="BH615" s="108">
        <f t="shared" ref="BH615:BH621" si="691">G615*AO615</f>
        <v>0</v>
      </c>
      <c r="BI615" s="108">
        <f t="shared" ref="BI615:BI621" si="692">G615*AP615</f>
        <v>0</v>
      </c>
      <c r="BJ615" s="108">
        <f t="shared" ref="BJ615:BJ621" si="693">G615*H615</f>
        <v>0</v>
      </c>
    </row>
    <row r="616" spans="1:62" x14ac:dyDescent="0.2">
      <c r="A616" s="117" t="s">
        <v>564</v>
      </c>
      <c r="B616" s="117" t="s">
        <v>1041</v>
      </c>
      <c r="C616" s="304" t="s">
        <v>1633</v>
      </c>
      <c r="D616" s="305"/>
      <c r="E616" s="305"/>
      <c r="F616" s="117" t="s">
        <v>1644</v>
      </c>
      <c r="G616" s="116">
        <v>1</v>
      </c>
      <c r="H616" s="159"/>
      <c r="I616" s="108">
        <f t="shared" si="670"/>
        <v>0</v>
      </c>
      <c r="J616" s="108">
        <f t="shared" si="671"/>
        <v>0</v>
      </c>
      <c r="K616" s="108">
        <f t="shared" si="672"/>
        <v>0</v>
      </c>
      <c r="L616" s="111" t="s">
        <v>1671</v>
      </c>
      <c r="Z616" s="100">
        <f t="shared" si="673"/>
        <v>0</v>
      </c>
      <c r="AB616" s="100">
        <f t="shared" si="674"/>
        <v>0</v>
      </c>
      <c r="AC616" s="100">
        <f t="shared" si="675"/>
        <v>0</v>
      </c>
      <c r="AD616" s="100">
        <f t="shared" si="676"/>
        <v>0</v>
      </c>
      <c r="AE616" s="100">
        <f t="shared" si="677"/>
        <v>0</v>
      </c>
      <c r="AF616" s="100">
        <f t="shared" si="678"/>
        <v>0</v>
      </c>
      <c r="AG616" s="100">
        <f t="shared" si="679"/>
        <v>0</v>
      </c>
      <c r="AH616" s="100">
        <f t="shared" si="680"/>
        <v>0</v>
      </c>
      <c r="AI616" s="109"/>
      <c r="AJ616" s="108">
        <f t="shared" si="681"/>
        <v>0</v>
      </c>
      <c r="AK616" s="108">
        <f t="shared" si="682"/>
        <v>0</v>
      </c>
      <c r="AL616" s="108">
        <f t="shared" si="683"/>
        <v>0</v>
      </c>
      <c r="AN616" s="100">
        <v>15</v>
      </c>
      <c r="AO616" s="100">
        <f t="shared" si="684"/>
        <v>0</v>
      </c>
      <c r="AP616" s="100">
        <f t="shared" si="685"/>
        <v>0</v>
      </c>
      <c r="AQ616" s="111" t="s">
        <v>7</v>
      </c>
      <c r="AV616" s="100">
        <f t="shared" si="686"/>
        <v>0</v>
      </c>
      <c r="AW616" s="100">
        <f t="shared" si="687"/>
        <v>0</v>
      </c>
      <c r="AX616" s="100">
        <f t="shared" si="688"/>
        <v>0</v>
      </c>
      <c r="AY616" s="110" t="s">
        <v>1723</v>
      </c>
      <c r="AZ616" s="110" t="s">
        <v>1730</v>
      </c>
      <c r="BA616" s="109" t="s">
        <v>1737</v>
      </c>
      <c r="BC616" s="100">
        <f t="shared" si="689"/>
        <v>0</v>
      </c>
      <c r="BD616" s="100">
        <f t="shared" si="690"/>
        <v>0</v>
      </c>
      <c r="BE616" s="100">
        <v>0</v>
      </c>
      <c r="BF616" s="100">
        <f>616</f>
        <v>616</v>
      </c>
      <c r="BH616" s="108">
        <f t="shared" si="691"/>
        <v>0</v>
      </c>
      <c r="BI616" s="108">
        <f t="shared" si="692"/>
        <v>0</v>
      </c>
      <c r="BJ616" s="108">
        <f t="shared" si="693"/>
        <v>0</v>
      </c>
    </row>
    <row r="617" spans="1:62" x14ac:dyDescent="0.2">
      <c r="A617" s="117" t="s">
        <v>565</v>
      </c>
      <c r="B617" s="117" t="s">
        <v>1042</v>
      </c>
      <c r="C617" s="304" t="s">
        <v>1634</v>
      </c>
      <c r="D617" s="305"/>
      <c r="E617" s="305"/>
      <c r="F617" s="117" t="s">
        <v>1644</v>
      </c>
      <c r="G617" s="116">
        <v>1</v>
      </c>
      <c r="H617" s="159"/>
      <c r="I617" s="108">
        <f t="shared" si="670"/>
        <v>0</v>
      </c>
      <c r="J617" s="108">
        <f t="shared" si="671"/>
        <v>0</v>
      </c>
      <c r="K617" s="108">
        <f t="shared" si="672"/>
        <v>0</v>
      </c>
      <c r="L617" s="111" t="s">
        <v>1671</v>
      </c>
      <c r="Z617" s="100">
        <f t="shared" si="673"/>
        <v>0</v>
      </c>
      <c r="AB617" s="100">
        <f t="shared" si="674"/>
        <v>0</v>
      </c>
      <c r="AC617" s="100">
        <f t="shared" si="675"/>
        <v>0</v>
      </c>
      <c r="AD617" s="100">
        <f t="shared" si="676"/>
        <v>0</v>
      </c>
      <c r="AE617" s="100">
        <f t="shared" si="677"/>
        <v>0</v>
      </c>
      <c r="AF617" s="100">
        <f t="shared" si="678"/>
        <v>0</v>
      </c>
      <c r="AG617" s="100">
        <f t="shared" si="679"/>
        <v>0</v>
      </c>
      <c r="AH617" s="100">
        <f t="shared" si="680"/>
        <v>0</v>
      </c>
      <c r="AI617" s="109"/>
      <c r="AJ617" s="108">
        <f t="shared" si="681"/>
        <v>0</v>
      </c>
      <c r="AK617" s="108">
        <f t="shared" si="682"/>
        <v>0</v>
      </c>
      <c r="AL617" s="108">
        <f t="shared" si="683"/>
        <v>0</v>
      </c>
      <c r="AN617" s="100">
        <v>15</v>
      </c>
      <c r="AO617" s="100">
        <f t="shared" si="684"/>
        <v>0</v>
      </c>
      <c r="AP617" s="100">
        <f t="shared" si="685"/>
        <v>0</v>
      </c>
      <c r="AQ617" s="111" t="s">
        <v>7</v>
      </c>
      <c r="AV617" s="100">
        <f t="shared" si="686"/>
        <v>0</v>
      </c>
      <c r="AW617" s="100">
        <f t="shared" si="687"/>
        <v>0</v>
      </c>
      <c r="AX617" s="100">
        <f t="shared" si="688"/>
        <v>0</v>
      </c>
      <c r="AY617" s="110" t="s">
        <v>1723</v>
      </c>
      <c r="AZ617" s="110" t="s">
        <v>1730</v>
      </c>
      <c r="BA617" s="109" t="s">
        <v>1737</v>
      </c>
      <c r="BC617" s="100">
        <f t="shared" si="689"/>
        <v>0</v>
      </c>
      <c r="BD617" s="100">
        <f t="shared" si="690"/>
        <v>0</v>
      </c>
      <c r="BE617" s="100">
        <v>0</v>
      </c>
      <c r="BF617" s="100">
        <f>617</f>
        <v>617</v>
      </c>
      <c r="BH617" s="108">
        <f t="shared" si="691"/>
        <v>0</v>
      </c>
      <c r="BI617" s="108">
        <f t="shared" si="692"/>
        <v>0</v>
      </c>
      <c r="BJ617" s="108">
        <f t="shared" si="693"/>
        <v>0</v>
      </c>
    </row>
    <row r="618" spans="1:62" x14ac:dyDescent="0.2">
      <c r="A618" s="117" t="s">
        <v>566</v>
      </c>
      <c r="B618" s="117" t="s">
        <v>1043</v>
      </c>
      <c r="C618" s="304" t="s">
        <v>1635</v>
      </c>
      <c r="D618" s="305"/>
      <c r="E618" s="305"/>
      <c r="F618" s="117" t="s">
        <v>1644</v>
      </c>
      <c r="G618" s="116">
        <v>1</v>
      </c>
      <c r="H618" s="159"/>
      <c r="I618" s="108">
        <f t="shared" si="670"/>
        <v>0</v>
      </c>
      <c r="J618" s="108">
        <f t="shared" si="671"/>
        <v>0</v>
      </c>
      <c r="K618" s="108">
        <f t="shared" si="672"/>
        <v>0</v>
      </c>
      <c r="L618" s="111" t="s">
        <v>1671</v>
      </c>
      <c r="Z618" s="100">
        <f t="shared" si="673"/>
        <v>0</v>
      </c>
      <c r="AB618" s="100">
        <f t="shared" si="674"/>
        <v>0</v>
      </c>
      <c r="AC618" s="100">
        <f t="shared" si="675"/>
        <v>0</v>
      </c>
      <c r="AD618" s="100">
        <f t="shared" si="676"/>
        <v>0</v>
      </c>
      <c r="AE618" s="100">
        <f t="shared" si="677"/>
        <v>0</v>
      </c>
      <c r="AF618" s="100">
        <f t="shared" si="678"/>
        <v>0</v>
      </c>
      <c r="AG618" s="100">
        <f t="shared" si="679"/>
        <v>0</v>
      </c>
      <c r="AH618" s="100">
        <f t="shared" si="680"/>
        <v>0</v>
      </c>
      <c r="AI618" s="109"/>
      <c r="AJ618" s="108">
        <f t="shared" si="681"/>
        <v>0</v>
      </c>
      <c r="AK618" s="108">
        <f t="shared" si="682"/>
        <v>0</v>
      </c>
      <c r="AL618" s="108">
        <f t="shared" si="683"/>
        <v>0</v>
      </c>
      <c r="AN618" s="100">
        <v>15</v>
      </c>
      <c r="AO618" s="100">
        <f t="shared" si="684"/>
        <v>0</v>
      </c>
      <c r="AP618" s="100">
        <f t="shared" si="685"/>
        <v>0</v>
      </c>
      <c r="AQ618" s="111" t="s">
        <v>7</v>
      </c>
      <c r="AV618" s="100">
        <f t="shared" si="686"/>
        <v>0</v>
      </c>
      <c r="AW618" s="100">
        <f t="shared" si="687"/>
        <v>0</v>
      </c>
      <c r="AX618" s="100">
        <f t="shared" si="688"/>
        <v>0</v>
      </c>
      <c r="AY618" s="110" t="s">
        <v>1723</v>
      </c>
      <c r="AZ618" s="110" t="s">
        <v>1730</v>
      </c>
      <c r="BA618" s="109" t="s">
        <v>1737</v>
      </c>
      <c r="BC618" s="100">
        <f t="shared" si="689"/>
        <v>0</v>
      </c>
      <c r="BD618" s="100">
        <f t="shared" si="690"/>
        <v>0</v>
      </c>
      <c r="BE618" s="100">
        <v>0</v>
      </c>
      <c r="BF618" s="100">
        <f>618</f>
        <v>618</v>
      </c>
      <c r="BH618" s="108">
        <f t="shared" si="691"/>
        <v>0</v>
      </c>
      <c r="BI618" s="108">
        <f t="shared" si="692"/>
        <v>0</v>
      </c>
      <c r="BJ618" s="108">
        <f t="shared" si="693"/>
        <v>0</v>
      </c>
    </row>
    <row r="619" spans="1:62" x14ac:dyDescent="0.2">
      <c r="A619" s="117" t="s">
        <v>567</v>
      </c>
      <c r="B619" s="117" t="s">
        <v>1044</v>
      </c>
      <c r="C619" s="304" t="s">
        <v>1636</v>
      </c>
      <c r="D619" s="305"/>
      <c r="E619" s="305"/>
      <c r="F619" s="117" t="s">
        <v>1644</v>
      </c>
      <c r="G619" s="116">
        <v>1</v>
      </c>
      <c r="H619" s="159"/>
      <c r="I619" s="108">
        <f t="shared" si="670"/>
        <v>0</v>
      </c>
      <c r="J619" s="108">
        <f t="shared" si="671"/>
        <v>0</v>
      </c>
      <c r="K619" s="108">
        <f t="shared" si="672"/>
        <v>0</v>
      </c>
      <c r="L619" s="111" t="s">
        <v>1671</v>
      </c>
      <c r="Z619" s="100">
        <f t="shared" si="673"/>
        <v>0</v>
      </c>
      <c r="AB619" s="100">
        <f t="shared" si="674"/>
        <v>0</v>
      </c>
      <c r="AC619" s="100">
        <f t="shared" si="675"/>
        <v>0</v>
      </c>
      <c r="AD619" s="100">
        <f t="shared" si="676"/>
        <v>0</v>
      </c>
      <c r="AE619" s="100">
        <f t="shared" si="677"/>
        <v>0</v>
      </c>
      <c r="AF619" s="100">
        <f t="shared" si="678"/>
        <v>0</v>
      </c>
      <c r="AG619" s="100">
        <f t="shared" si="679"/>
        <v>0</v>
      </c>
      <c r="AH619" s="100">
        <f t="shared" si="680"/>
        <v>0</v>
      </c>
      <c r="AI619" s="109"/>
      <c r="AJ619" s="108">
        <f t="shared" si="681"/>
        <v>0</v>
      </c>
      <c r="AK619" s="108">
        <f t="shared" si="682"/>
        <v>0</v>
      </c>
      <c r="AL619" s="108">
        <f t="shared" si="683"/>
        <v>0</v>
      </c>
      <c r="AN619" s="100">
        <v>15</v>
      </c>
      <c r="AO619" s="100">
        <f t="shared" si="684"/>
        <v>0</v>
      </c>
      <c r="AP619" s="100">
        <f t="shared" si="685"/>
        <v>0</v>
      </c>
      <c r="AQ619" s="111" t="s">
        <v>7</v>
      </c>
      <c r="AV619" s="100">
        <f t="shared" si="686"/>
        <v>0</v>
      </c>
      <c r="AW619" s="100">
        <f t="shared" si="687"/>
        <v>0</v>
      </c>
      <c r="AX619" s="100">
        <f t="shared" si="688"/>
        <v>0</v>
      </c>
      <c r="AY619" s="110" t="s">
        <v>1723</v>
      </c>
      <c r="AZ619" s="110" t="s">
        <v>1730</v>
      </c>
      <c r="BA619" s="109" t="s">
        <v>1737</v>
      </c>
      <c r="BC619" s="100">
        <f t="shared" si="689"/>
        <v>0</v>
      </c>
      <c r="BD619" s="100">
        <f t="shared" si="690"/>
        <v>0</v>
      </c>
      <c r="BE619" s="100">
        <v>0</v>
      </c>
      <c r="BF619" s="100">
        <f>619</f>
        <v>619</v>
      </c>
      <c r="BH619" s="108">
        <f t="shared" si="691"/>
        <v>0</v>
      </c>
      <c r="BI619" s="108">
        <f t="shared" si="692"/>
        <v>0</v>
      </c>
      <c r="BJ619" s="108">
        <f t="shared" si="693"/>
        <v>0</v>
      </c>
    </row>
    <row r="620" spans="1:62" x14ac:dyDescent="0.2">
      <c r="A620" s="117" t="s">
        <v>568</v>
      </c>
      <c r="B620" s="117" t="s">
        <v>1045</v>
      </c>
      <c r="C620" s="304" t="s">
        <v>1637</v>
      </c>
      <c r="D620" s="305"/>
      <c r="E620" s="305"/>
      <c r="F620" s="117" t="s">
        <v>1644</v>
      </c>
      <c r="G620" s="116">
        <v>1</v>
      </c>
      <c r="H620" s="159"/>
      <c r="I620" s="108">
        <f t="shared" si="670"/>
        <v>0</v>
      </c>
      <c r="J620" s="108">
        <f t="shared" si="671"/>
        <v>0</v>
      </c>
      <c r="K620" s="108">
        <f t="shared" si="672"/>
        <v>0</v>
      </c>
      <c r="L620" s="111" t="s">
        <v>1671</v>
      </c>
      <c r="Z620" s="100">
        <f t="shared" si="673"/>
        <v>0</v>
      </c>
      <c r="AB620" s="100">
        <f t="shared" si="674"/>
        <v>0</v>
      </c>
      <c r="AC620" s="100">
        <f t="shared" si="675"/>
        <v>0</v>
      </c>
      <c r="AD620" s="100">
        <f t="shared" si="676"/>
        <v>0</v>
      </c>
      <c r="AE620" s="100">
        <f t="shared" si="677"/>
        <v>0</v>
      </c>
      <c r="AF620" s="100">
        <f t="shared" si="678"/>
        <v>0</v>
      </c>
      <c r="AG620" s="100">
        <f t="shared" si="679"/>
        <v>0</v>
      </c>
      <c r="AH620" s="100">
        <f t="shared" si="680"/>
        <v>0</v>
      </c>
      <c r="AI620" s="109"/>
      <c r="AJ620" s="108">
        <f t="shared" si="681"/>
        <v>0</v>
      </c>
      <c r="AK620" s="108">
        <f t="shared" si="682"/>
        <v>0</v>
      </c>
      <c r="AL620" s="108">
        <f t="shared" si="683"/>
        <v>0</v>
      </c>
      <c r="AN620" s="100">
        <v>15</v>
      </c>
      <c r="AO620" s="100">
        <f t="shared" si="684"/>
        <v>0</v>
      </c>
      <c r="AP620" s="100">
        <f t="shared" si="685"/>
        <v>0</v>
      </c>
      <c r="AQ620" s="111" t="s">
        <v>7</v>
      </c>
      <c r="AV620" s="100">
        <f t="shared" si="686"/>
        <v>0</v>
      </c>
      <c r="AW620" s="100">
        <f t="shared" si="687"/>
        <v>0</v>
      </c>
      <c r="AX620" s="100">
        <f t="shared" si="688"/>
        <v>0</v>
      </c>
      <c r="AY620" s="110" t="s">
        <v>1723</v>
      </c>
      <c r="AZ620" s="110" t="s">
        <v>1730</v>
      </c>
      <c r="BA620" s="109" t="s">
        <v>1737</v>
      </c>
      <c r="BC620" s="100">
        <f t="shared" si="689"/>
        <v>0</v>
      </c>
      <c r="BD620" s="100">
        <f t="shared" si="690"/>
        <v>0</v>
      </c>
      <c r="BE620" s="100">
        <v>0</v>
      </c>
      <c r="BF620" s="100">
        <f>620</f>
        <v>620</v>
      </c>
      <c r="BH620" s="108">
        <f t="shared" si="691"/>
        <v>0</v>
      </c>
      <c r="BI620" s="108">
        <f t="shared" si="692"/>
        <v>0</v>
      </c>
      <c r="BJ620" s="108">
        <f t="shared" si="693"/>
        <v>0</v>
      </c>
    </row>
    <row r="621" spans="1:62" x14ac:dyDescent="0.2">
      <c r="A621" s="115" t="s">
        <v>2231</v>
      </c>
      <c r="B621" s="115" t="s">
        <v>1046</v>
      </c>
      <c r="C621" s="308" t="s">
        <v>1638</v>
      </c>
      <c r="D621" s="309"/>
      <c r="E621" s="309"/>
      <c r="F621" s="115" t="s">
        <v>1644</v>
      </c>
      <c r="G621" s="114">
        <v>1</v>
      </c>
      <c r="H621" s="161"/>
      <c r="I621" s="113">
        <f t="shared" si="670"/>
        <v>0</v>
      </c>
      <c r="J621" s="113">
        <f t="shared" si="671"/>
        <v>0</v>
      </c>
      <c r="K621" s="113">
        <f t="shared" si="672"/>
        <v>0</v>
      </c>
      <c r="L621" s="112" t="s">
        <v>1671</v>
      </c>
      <c r="Z621" s="100">
        <f t="shared" si="673"/>
        <v>0</v>
      </c>
      <c r="AB621" s="100">
        <f t="shared" si="674"/>
        <v>0</v>
      </c>
      <c r="AC621" s="100">
        <f t="shared" si="675"/>
        <v>0</v>
      </c>
      <c r="AD621" s="100">
        <f t="shared" si="676"/>
        <v>0</v>
      </c>
      <c r="AE621" s="100">
        <f t="shared" si="677"/>
        <v>0</v>
      </c>
      <c r="AF621" s="100">
        <f t="shared" si="678"/>
        <v>0</v>
      </c>
      <c r="AG621" s="100">
        <f t="shared" si="679"/>
        <v>0</v>
      </c>
      <c r="AH621" s="100">
        <f t="shared" si="680"/>
        <v>0</v>
      </c>
      <c r="AI621" s="109"/>
      <c r="AJ621" s="108">
        <f t="shared" si="681"/>
        <v>0</v>
      </c>
      <c r="AK621" s="108">
        <f t="shared" si="682"/>
        <v>0</v>
      </c>
      <c r="AL621" s="108">
        <f t="shared" si="683"/>
        <v>0</v>
      </c>
      <c r="AN621" s="100">
        <v>15</v>
      </c>
      <c r="AO621" s="100">
        <f t="shared" si="684"/>
        <v>0</v>
      </c>
      <c r="AP621" s="100">
        <f t="shared" si="685"/>
        <v>0</v>
      </c>
      <c r="AQ621" s="111" t="s">
        <v>7</v>
      </c>
      <c r="AV621" s="100">
        <f t="shared" si="686"/>
        <v>0</v>
      </c>
      <c r="AW621" s="100">
        <f t="shared" si="687"/>
        <v>0</v>
      </c>
      <c r="AX621" s="100">
        <f t="shared" si="688"/>
        <v>0</v>
      </c>
      <c r="AY621" s="110" t="s">
        <v>1723</v>
      </c>
      <c r="AZ621" s="110" t="s">
        <v>1730</v>
      </c>
      <c r="BA621" s="109" t="s">
        <v>1737</v>
      </c>
      <c r="BC621" s="100">
        <f t="shared" si="689"/>
        <v>0</v>
      </c>
      <c r="BD621" s="100">
        <f t="shared" si="690"/>
        <v>0</v>
      </c>
      <c r="BE621" s="100">
        <v>0</v>
      </c>
      <c r="BF621" s="100">
        <f>621</f>
        <v>621</v>
      </c>
      <c r="BH621" s="108">
        <f t="shared" si="691"/>
        <v>0</v>
      </c>
      <c r="BI621" s="108">
        <f t="shared" si="692"/>
        <v>0</v>
      </c>
      <c r="BJ621" s="108">
        <f t="shared" si="693"/>
        <v>0</v>
      </c>
    </row>
    <row r="622" spans="1:62" x14ac:dyDescent="0.2">
      <c r="A622" s="84"/>
      <c r="B622" s="84"/>
      <c r="C622" s="84"/>
      <c r="D622" s="84"/>
      <c r="E622" s="84"/>
      <c r="F622" s="84"/>
      <c r="G622" s="84"/>
      <c r="H622" s="84"/>
      <c r="I622" s="310" t="s">
        <v>1666</v>
      </c>
      <c r="J622" s="291"/>
      <c r="K622" s="107">
        <f>K12+K20+K22+K26+K30+K34+K36+K39+K41+K45+K49+K53+K63+K99+K101+K104+K107+K110+K118+K130+K148+K177+K194+K196+K203+K214+K231+K309+K327+K350+K379+K418+K436+K464+K476+K494+K502+K508+K538+K541+K614</f>
        <v>0</v>
      </c>
      <c r="L622" s="84"/>
    </row>
    <row r="623" spans="1:62" ht="11.25" customHeight="1" x14ac:dyDescent="0.2">
      <c r="A623" s="106" t="s">
        <v>569</v>
      </c>
    </row>
    <row r="624" spans="1:62" x14ac:dyDescent="0.2">
      <c r="A624" s="255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  <c r="L624" s="256"/>
    </row>
  </sheetData>
  <sheetProtection algorithmName="SHA-512" hashValue="a0+RN4di/eDu/UBlKc3eUxKoOBVNCH/oO5glk82TCnvBjMt0x1aL9CwiB0aJ/BoXWKnzeJO9i+sJtcqPl6EWbg==" saltValue="gLz3M6NfGtmrxINdRfBqQg==" spinCount="100000" sheet="1" objects="1" scenarios="1"/>
  <mergeCells count="634">
    <mergeCell ref="C621:E621"/>
    <mergeCell ref="I622:J622"/>
    <mergeCell ref="A624:L624"/>
    <mergeCell ref="C615:E615"/>
    <mergeCell ref="C616:E616"/>
    <mergeCell ref="C617:E617"/>
    <mergeCell ref="C618:E618"/>
    <mergeCell ref="C619:E619"/>
    <mergeCell ref="C620:E620"/>
    <mergeCell ref="C612:E612"/>
    <mergeCell ref="C613:E613"/>
    <mergeCell ref="C614:E614"/>
    <mergeCell ref="C591:E591"/>
    <mergeCell ref="C592:E592"/>
    <mergeCell ref="C593:E593"/>
    <mergeCell ref="C594:E594"/>
    <mergeCell ref="C595:E595"/>
    <mergeCell ref="C596:E596"/>
    <mergeCell ref="C597:E597"/>
    <mergeCell ref="C598:E598"/>
    <mergeCell ref="C599:E599"/>
    <mergeCell ref="C600:E600"/>
    <mergeCell ref="C601:E601"/>
    <mergeCell ref="C602:E602"/>
    <mergeCell ref="C603:E603"/>
    <mergeCell ref="C604:E604"/>
    <mergeCell ref="C605:E605"/>
    <mergeCell ref="C606:E606"/>
    <mergeCell ref="C607:E607"/>
    <mergeCell ref="C608:E608"/>
    <mergeCell ref="C609:E609"/>
    <mergeCell ref="C610:E610"/>
    <mergeCell ref="C611:E611"/>
    <mergeCell ref="C588:E588"/>
    <mergeCell ref="C589:E589"/>
    <mergeCell ref="C590:E590"/>
    <mergeCell ref="C567:E567"/>
    <mergeCell ref="C568:E568"/>
    <mergeCell ref="C569:E569"/>
    <mergeCell ref="C570:E570"/>
    <mergeCell ref="C571:E571"/>
    <mergeCell ref="C572:E572"/>
    <mergeCell ref="C573:E573"/>
    <mergeCell ref="C574:E574"/>
    <mergeCell ref="C575:E575"/>
    <mergeCell ref="C576:E576"/>
    <mergeCell ref="C577:E577"/>
    <mergeCell ref="C578:E578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64:E564"/>
    <mergeCell ref="C565:E565"/>
    <mergeCell ref="C566:E566"/>
    <mergeCell ref="C543:E543"/>
    <mergeCell ref="C544:E544"/>
    <mergeCell ref="C545:E545"/>
    <mergeCell ref="C546:E546"/>
    <mergeCell ref="C547:E547"/>
    <mergeCell ref="C548:E548"/>
    <mergeCell ref="C549:E549"/>
    <mergeCell ref="C550:E550"/>
    <mergeCell ref="C551:E551"/>
    <mergeCell ref="C552:E552"/>
    <mergeCell ref="C553:E553"/>
    <mergeCell ref="C554:E554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40:E540"/>
    <mergeCell ref="C541:E541"/>
    <mergeCell ref="C542:E542"/>
    <mergeCell ref="C519:E519"/>
    <mergeCell ref="C520:E520"/>
    <mergeCell ref="C521:E521"/>
    <mergeCell ref="C522:E522"/>
    <mergeCell ref="C523:E523"/>
    <mergeCell ref="C524:E524"/>
    <mergeCell ref="C525:E525"/>
    <mergeCell ref="C526:E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C537:E537"/>
    <mergeCell ref="C538:E538"/>
    <mergeCell ref="C539:E539"/>
    <mergeCell ref="C516:E516"/>
    <mergeCell ref="C517:E517"/>
    <mergeCell ref="C518:E518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C503:E503"/>
    <mergeCell ref="C504:E504"/>
    <mergeCell ref="C505:E505"/>
    <mergeCell ref="C506:E506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492:E492"/>
    <mergeCell ref="C493:E493"/>
    <mergeCell ref="C494:E494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C479:E479"/>
    <mergeCell ref="C480:E480"/>
    <mergeCell ref="C481:E481"/>
    <mergeCell ref="C482:E482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68:E468"/>
    <mergeCell ref="C469:E469"/>
    <mergeCell ref="C470:E470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44:E444"/>
    <mergeCell ref="C445:E445"/>
    <mergeCell ref="C446:E446"/>
    <mergeCell ref="C423:E423"/>
    <mergeCell ref="C424:E424"/>
    <mergeCell ref="C425:E425"/>
    <mergeCell ref="C426:E426"/>
    <mergeCell ref="C427:E427"/>
    <mergeCell ref="C428:E428"/>
    <mergeCell ref="C429:E429"/>
    <mergeCell ref="C430:E430"/>
    <mergeCell ref="C431:E431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20:E420"/>
    <mergeCell ref="C421:E421"/>
    <mergeCell ref="C422:E422"/>
    <mergeCell ref="C399:E399"/>
    <mergeCell ref="C400:E400"/>
    <mergeCell ref="C401:E401"/>
    <mergeCell ref="C402:E402"/>
    <mergeCell ref="C403:E403"/>
    <mergeCell ref="C404:E404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396:E396"/>
    <mergeCell ref="C397:E397"/>
    <mergeCell ref="C398:E398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72:E372"/>
    <mergeCell ref="C373:E373"/>
    <mergeCell ref="C374:E374"/>
    <mergeCell ref="C351:E351"/>
    <mergeCell ref="C352:E352"/>
    <mergeCell ref="C353:E353"/>
    <mergeCell ref="C354:E354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48:E348"/>
    <mergeCell ref="C349:E349"/>
    <mergeCell ref="C350:E350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24:E324"/>
    <mergeCell ref="C325:E325"/>
    <mergeCell ref="C326:E326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00:E300"/>
    <mergeCell ref="C301:E301"/>
    <mergeCell ref="C302:E302"/>
    <mergeCell ref="C279:E279"/>
    <mergeCell ref="C280:E280"/>
    <mergeCell ref="C281:E28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276:E276"/>
    <mergeCell ref="C277:E277"/>
    <mergeCell ref="C278:E278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52:E252"/>
    <mergeCell ref="C253:E253"/>
    <mergeCell ref="C254:E254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28:E228"/>
    <mergeCell ref="C229:E229"/>
    <mergeCell ref="C230:E230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04:E204"/>
    <mergeCell ref="C205:E205"/>
    <mergeCell ref="C206:E206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180:E180"/>
    <mergeCell ref="C181:E181"/>
    <mergeCell ref="C182:E182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56:E156"/>
    <mergeCell ref="C157:E157"/>
    <mergeCell ref="C158:E158"/>
    <mergeCell ref="C135:E135"/>
    <mergeCell ref="C136:E136"/>
    <mergeCell ref="C137:E137"/>
    <mergeCell ref="C138:E138"/>
    <mergeCell ref="C139:E139"/>
    <mergeCell ref="C140:E140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32:E132"/>
    <mergeCell ref="C133:E133"/>
    <mergeCell ref="C134:E134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08:E108"/>
    <mergeCell ref="C109:E109"/>
    <mergeCell ref="C110:E110"/>
    <mergeCell ref="C88:E88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84:E84"/>
    <mergeCell ref="C85:E85"/>
    <mergeCell ref="C86:E86"/>
    <mergeCell ref="C63:E63"/>
    <mergeCell ref="C64:E64"/>
    <mergeCell ref="C65:E65"/>
    <mergeCell ref="C66:E66"/>
    <mergeCell ref="C67:E67"/>
    <mergeCell ref="C68:E68"/>
    <mergeCell ref="C69:E69"/>
    <mergeCell ref="C70:E70"/>
    <mergeCell ref="C71:E71"/>
    <mergeCell ref="C72:E72"/>
    <mergeCell ref="C74:E74"/>
    <mergeCell ref="C76:E76"/>
    <mergeCell ref="C78:E78"/>
    <mergeCell ref="C80:E80"/>
    <mergeCell ref="C81:E81"/>
    <mergeCell ref="C82:E82"/>
    <mergeCell ref="C83:E83"/>
    <mergeCell ref="C60:E60"/>
    <mergeCell ref="C61:E61"/>
    <mergeCell ref="C62:E62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36:E36"/>
    <mergeCell ref="C37:E37"/>
    <mergeCell ref="C38:E38"/>
    <mergeCell ref="C15:E15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14:E14"/>
    <mergeCell ref="A4:B5"/>
    <mergeCell ref="C4:C5"/>
    <mergeCell ref="D4:E5"/>
    <mergeCell ref="F4:G5"/>
    <mergeCell ref="H4:H5"/>
    <mergeCell ref="I4:L5"/>
    <mergeCell ref="A6:B7"/>
    <mergeCell ref="C6:C7"/>
    <mergeCell ref="D6:E7"/>
    <mergeCell ref="F6:G7"/>
    <mergeCell ref="H6:H7"/>
    <mergeCell ref="I6:L7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A1:L1"/>
    <mergeCell ref="A2:B3"/>
    <mergeCell ref="C2:C3"/>
    <mergeCell ref="D2:E3"/>
    <mergeCell ref="F2:G3"/>
    <mergeCell ref="H2:H3"/>
    <mergeCell ref="I2:L3"/>
    <mergeCell ref="C12:E12"/>
    <mergeCell ref="C13:E1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FA2C-E16D-4341-97D5-ED6871741EEA}">
  <sheetPr>
    <pageSetUpPr fitToPage="1"/>
  </sheetPr>
  <dimension ref="A1:I907"/>
  <sheetViews>
    <sheetView workbookViewId="0">
      <pane ySplit="10" topLeftCell="A11" activePane="bottomLeft" state="frozenSplit"/>
      <selection pane="bottomLeft" activeCell="A2" sqref="A2:B3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6.28515625" style="75" customWidth="1"/>
    <col min="7" max="7" width="13.14062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rozpočet-SO08'!C2</f>
        <v>Snížení energetické.náročnosti objektů Domova Kladno-Švermov</v>
      </c>
      <c r="D2" s="291"/>
      <c r="E2" s="293" t="s">
        <v>1657</v>
      </c>
      <c r="F2" s="293" t="str">
        <f>'Stavební rozpočet-SO08'!I2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rozpočet-SO08'!C4</f>
        <v>SO 08 - OBJEKT 8 - č.p.1033</v>
      </c>
      <c r="D4" s="256"/>
      <c r="E4" s="255" t="s">
        <v>1658</v>
      </c>
      <c r="F4" s="255">
        <f>'Stavební rozpočet-SO08'!I4</f>
        <v>0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rozpočet-SO08'!C6</f>
        <v xml:space="preserve"> </v>
      </c>
      <c r="D6" s="256"/>
      <c r="E6" s="255" t="s">
        <v>1659</v>
      </c>
      <c r="F6" s="255" t="str">
        <f>'Stavební rozpočet-SO08'!I6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rozpočet-SO08'!I8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572</v>
      </c>
      <c r="D14" s="304" t="s">
        <v>1053</v>
      </c>
      <c r="E14" s="305"/>
      <c r="F14" s="117" t="s">
        <v>1644</v>
      </c>
      <c r="G14" s="116">
        <v>1</v>
      </c>
      <c r="H14" s="108">
        <v>0</v>
      </c>
    </row>
    <row r="15" spans="1:9" ht="12.2" customHeight="1" x14ac:dyDescent="0.2">
      <c r="D15" s="334" t="s">
        <v>1749</v>
      </c>
      <c r="E15" s="335"/>
      <c r="F15" s="335"/>
      <c r="G15" s="143">
        <v>1</v>
      </c>
    </row>
    <row r="16" spans="1:9" x14ac:dyDescent="0.2">
      <c r="A16" s="117" t="s">
        <v>9</v>
      </c>
      <c r="B16" s="117"/>
      <c r="C16" s="117" t="s">
        <v>573</v>
      </c>
      <c r="D16" s="304" t="s">
        <v>1054</v>
      </c>
      <c r="E16" s="305"/>
      <c r="F16" s="117" t="s">
        <v>1645</v>
      </c>
      <c r="G16" s="116">
        <v>59.451000000000001</v>
      </c>
      <c r="H16" s="108">
        <v>0</v>
      </c>
    </row>
    <row r="17" spans="1:8" ht="12.2" customHeight="1" x14ac:dyDescent="0.2">
      <c r="D17" s="334" t="s">
        <v>4281</v>
      </c>
      <c r="E17" s="335"/>
      <c r="F17" s="335"/>
      <c r="G17" s="143">
        <v>59.451000000000001</v>
      </c>
    </row>
    <row r="18" spans="1:8" x14ac:dyDescent="0.2">
      <c r="A18" s="117" t="s">
        <v>10</v>
      </c>
      <c r="B18" s="117"/>
      <c r="C18" s="117" t="s">
        <v>574</v>
      </c>
      <c r="D18" s="304" t="s">
        <v>1056</v>
      </c>
      <c r="E18" s="305"/>
      <c r="F18" s="117" t="s">
        <v>1645</v>
      </c>
      <c r="G18" s="116">
        <v>17.120999999999999</v>
      </c>
      <c r="H18" s="108">
        <v>0</v>
      </c>
    </row>
    <row r="19" spans="1:8" ht="12.2" customHeight="1" x14ac:dyDescent="0.2">
      <c r="D19" s="334" t="s">
        <v>4279</v>
      </c>
      <c r="E19" s="335"/>
      <c r="F19" s="335"/>
      <c r="G19" s="143">
        <v>17.120999999999999</v>
      </c>
    </row>
    <row r="20" spans="1:8" x14ac:dyDescent="0.2">
      <c r="A20" s="117" t="s">
        <v>11</v>
      </c>
      <c r="B20" s="117"/>
      <c r="C20" s="117" t="s">
        <v>2867</v>
      </c>
      <c r="D20" s="304" t="s">
        <v>4156</v>
      </c>
      <c r="E20" s="305"/>
      <c r="F20" s="117" t="s">
        <v>1645</v>
      </c>
      <c r="G20" s="116">
        <v>30.965</v>
      </c>
      <c r="H20" s="108">
        <v>0</v>
      </c>
    </row>
    <row r="21" spans="1:8" ht="12.2" customHeight="1" x14ac:dyDescent="0.2">
      <c r="D21" s="334" t="s">
        <v>4280</v>
      </c>
      <c r="E21" s="335"/>
      <c r="F21" s="335"/>
      <c r="G21" s="143">
        <v>30.965</v>
      </c>
    </row>
    <row r="22" spans="1:8" x14ac:dyDescent="0.2">
      <c r="A22" s="117" t="s">
        <v>12</v>
      </c>
      <c r="B22" s="117"/>
      <c r="C22" s="117" t="s">
        <v>3745</v>
      </c>
      <c r="D22" s="304" t="s">
        <v>3744</v>
      </c>
      <c r="E22" s="305"/>
      <c r="F22" s="117" t="s">
        <v>1645</v>
      </c>
      <c r="G22" s="116">
        <v>17.120999999999999</v>
      </c>
      <c r="H22" s="108">
        <v>0</v>
      </c>
    </row>
    <row r="23" spans="1:8" ht="12.2" customHeight="1" x14ac:dyDescent="0.2">
      <c r="D23" s="334" t="s">
        <v>4279</v>
      </c>
      <c r="E23" s="335"/>
      <c r="F23" s="335"/>
      <c r="G23" s="143">
        <v>17.120999999999999</v>
      </c>
    </row>
    <row r="24" spans="1:8" x14ac:dyDescent="0.2">
      <c r="A24" s="117" t="s">
        <v>13</v>
      </c>
      <c r="B24" s="117"/>
      <c r="C24" s="117" t="s">
        <v>575</v>
      </c>
      <c r="D24" s="304" t="s">
        <v>1057</v>
      </c>
      <c r="E24" s="305"/>
      <c r="F24" s="117" t="s">
        <v>1646</v>
      </c>
      <c r="G24" s="116">
        <v>82.6</v>
      </c>
      <c r="H24" s="108">
        <v>0</v>
      </c>
    </row>
    <row r="25" spans="1:8" ht="12.2" customHeight="1" x14ac:dyDescent="0.2">
      <c r="D25" s="334" t="s">
        <v>4245</v>
      </c>
      <c r="E25" s="335"/>
      <c r="F25" s="335"/>
      <c r="G25" s="143">
        <v>82.6</v>
      </c>
    </row>
    <row r="26" spans="1:8" x14ac:dyDescent="0.2">
      <c r="A26" s="120"/>
      <c r="B26" s="120"/>
      <c r="C26" s="120" t="s">
        <v>18</v>
      </c>
      <c r="D26" s="306" t="s">
        <v>1059</v>
      </c>
      <c r="E26" s="307"/>
      <c r="F26" s="120"/>
      <c r="G26" s="142"/>
      <c r="H26" s="109"/>
    </row>
    <row r="27" spans="1:8" x14ac:dyDescent="0.2">
      <c r="A27" s="117" t="s">
        <v>14</v>
      </c>
      <c r="B27" s="117"/>
      <c r="C27" s="117" t="s">
        <v>577</v>
      </c>
      <c r="D27" s="304" t="s">
        <v>1060</v>
      </c>
      <c r="E27" s="305"/>
      <c r="F27" s="117" t="s">
        <v>1647</v>
      </c>
      <c r="G27" s="116">
        <v>7.6459999999999999</v>
      </c>
      <c r="H27" s="108">
        <v>0</v>
      </c>
    </row>
    <row r="28" spans="1:8" ht="12.2" customHeight="1" x14ac:dyDescent="0.2">
      <c r="D28" s="334" t="s">
        <v>4278</v>
      </c>
      <c r="E28" s="335"/>
      <c r="F28" s="335"/>
      <c r="G28" s="143">
        <v>7.6459999999999999</v>
      </c>
    </row>
    <row r="29" spans="1:8" x14ac:dyDescent="0.2">
      <c r="A29" s="120"/>
      <c r="B29" s="120"/>
      <c r="C29" s="120" t="s">
        <v>19</v>
      </c>
      <c r="D29" s="306" t="s">
        <v>1061</v>
      </c>
      <c r="E29" s="307"/>
      <c r="F29" s="120"/>
      <c r="G29" s="142"/>
      <c r="H29" s="109"/>
    </row>
    <row r="30" spans="1:8" x14ac:dyDescent="0.2">
      <c r="A30" s="117" t="s">
        <v>15</v>
      </c>
      <c r="B30" s="117"/>
      <c r="C30" s="117" t="s">
        <v>578</v>
      </c>
      <c r="D30" s="304" t="s">
        <v>1062</v>
      </c>
      <c r="E30" s="305"/>
      <c r="F30" s="117" t="s">
        <v>1647</v>
      </c>
      <c r="G30" s="116">
        <v>136.81</v>
      </c>
      <c r="H30" s="108">
        <v>0</v>
      </c>
    </row>
    <row r="31" spans="1:8" ht="12.2" customHeight="1" x14ac:dyDescent="0.2">
      <c r="D31" s="334" t="s">
        <v>4277</v>
      </c>
      <c r="E31" s="335"/>
      <c r="F31" s="335"/>
      <c r="G31" s="143">
        <v>115.139</v>
      </c>
    </row>
    <row r="32" spans="1:8" ht="12.2" customHeight="1" x14ac:dyDescent="0.2">
      <c r="A32" s="117"/>
      <c r="B32" s="117"/>
      <c r="C32" s="117"/>
      <c r="D32" s="334" t="s">
        <v>4276</v>
      </c>
      <c r="E32" s="335"/>
      <c r="F32" s="334"/>
      <c r="G32" s="144">
        <v>21.670999999999999</v>
      </c>
      <c r="H32" s="111"/>
    </row>
    <row r="33" spans="1:8" x14ac:dyDescent="0.2">
      <c r="A33" s="117" t="s">
        <v>16</v>
      </c>
      <c r="B33" s="117"/>
      <c r="C33" s="117" t="s">
        <v>579</v>
      </c>
      <c r="D33" s="304" t="s">
        <v>1063</v>
      </c>
      <c r="E33" s="305"/>
      <c r="F33" s="117" t="s">
        <v>1647</v>
      </c>
      <c r="G33" s="116">
        <v>136.81</v>
      </c>
      <c r="H33" s="108">
        <v>0</v>
      </c>
    </row>
    <row r="34" spans="1:8" ht="12.2" customHeight="1" x14ac:dyDescent="0.2">
      <c r="D34" s="334" t="s">
        <v>4275</v>
      </c>
      <c r="E34" s="335"/>
      <c r="F34" s="335"/>
      <c r="G34" s="143">
        <v>136.81</v>
      </c>
    </row>
    <row r="35" spans="1:8" x14ac:dyDescent="0.2">
      <c r="A35" s="117" t="s">
        <v>17</v>
      </c>
      <c r="B35" s="117"/>
      <c r="C35" s="117" t="s">
        <v>580</v>
      </c>
      <c r="D35" s="304" t="s">
        <v>4155</v>
      </c>
      <c r="E35" s="305"/>
      <c r="F35" s="117" t="s">
        <v>1647</v>
      </c>
      <c r="G35" s="116">
        <v>1</v>
      </c>
      <c r="H35" s="108">
        <v>0</v>
      </c>
    </row>
    <row r="36" spans="1:8" ht="12.2" customHeight="1" x14ac:dyDescent="0.2">
      <c r="D36" s="334" t="s">
        <v>4274</v>
      </c>
      <c r="E36" s="335"/>
      <c r="F36" s="335"/>
      <c r="G36" s="143">
        <v>1</v>
      </c>
    </row>
    <row r="37" spans="1:8" x14ac:dyDescent="0.2">
      <c r="A37" s="120"/>
      <c r="B37" s="120"/>
      <c r="C37" s="120" t="s">
        <v>22</v>
      </c>
      <c r="D37" s="306" t="s">
        <v>1066</v>
      </c>
      <c r="E37" s="307"/>
      <c r="F37" s="120"/>
      <c r="G37" s="142"/>
      <c r="H37" s="109"/>
    </row>
    <row r="38" spans="1:8" x14ac:dyDescent="0.2">
      <c r="A38" s="117" t="s">
        <v>18</v>
      </c>
      <c r="B38" s="117"/>
      <c r="C38" s="117" t="s">
        <v>581</v>
      </c>
      <c r="D38" s="304" t="s">
        <v>1067</v>
      </c>
      <c r="E38" s="305"/>
      <c r="F38" s="117" t="s">
        <v>1647</v>
      </c>
      <c r="G38" s="116">
        <v>52.820999999999998</v>
      </c>
      <c r="H38" s="108">
        <v>0</v>
      </c>
    </row>
    <row r="39" spans="1:8" ht="12.2" customHeight="1" x14ac:dyDescent="0.2">
      <c r="D39" s="334" t="s">
        <v>4272</v>
      </c>
      <c r="E39" s="335"/>
      <c r="F39" s="335"/>
      <c r="G39" s="143">
        <v>52.820999999999998</v>
      </c>
    </row>
    <row r="40" spans="1:8" x14ac:dyDescent="0.2">
      <c r="A40" s="117" t="s">
        <v>19</v>
      </c>
      <c r="B40" s="117"/>
      <c r="C40" s="117" t="s">
        <v>582</v>
      </c>
      <c r="D40" s="304" t="s">
        <v>1068</v>
      </c>
      <c r="E40" s="305"/>
      <c r="F40" s="117" t="s">
        <v>1648</v>
      </c>
      <c r="G40" s="116">
        <v>92.436999999999998</v>
      </c>
      <c r="H40" s="108">
        <v>0</v>
      </c>
    </row>
    <row r="41" spans="1:8" ht="12.2" customHeight="1" x14ac:dyDescent="0.2">
      <c r="D41" s="334" t="s">
        <v>4273</v>
      </c>
      <c r="E41" s="335"/>
      <c r="F41" s="335"/>
      <c r="G41" s="143">
        <v>92.436999999999998</v>
      </c>
    </row>
    <row r="42" spans="1:8" x14ac:dyDescent="0.2">
      <c r="A42" s="117" t="s">
        <v>20</v>
      </c>
      <c r="B42" s="117"/>
      <c r="C42" s="117" t="s">
        <v>583</v>
      </c>
      <c r="D42" s="304" t="s">
        <v>1069</v>
      </c>
      <c r="E42" s="305"/>
      <c r="F42" s="117" t="s">
        <v>1647</v>
      </c>
      <c r="G42" s="116">
        <v>52.820999999999998</v>
      </c>
      <c r="H42" s="108">
        <v>0</v>
      </c>
    </row>
    <row r="43" spans="1:8" ht="12.2" customHeight="1" x14ac:dyDescent="0.2">
      <c r="D43" s="334" t="s">
        <v>4272</v>
      </c>
      <c r="E43" s="335"/>
      <c r="F43" s="335"/>
      <c r="G43" s="143">
        <v>52.820999999999998</v>
      </c>
    </row>
    <row r="44" spans="1:8" x14ac:dyDescent="0.2">
      <c r="A44" s="120"/>
      <c r="B44" s="120"/>
      <c r="C44" s="120" t="s">
        <v>23</v>
      </c>
      <c r="D44" s="306" t="s">
        <v>1070</v>
      </c>
      <c r="E44" s="307"/>
      <c r="F44" s="120"/>
      <c r="G44" s="142"/>
      <c r="H44" s="109"/>
    </row>
    <row r="45" spans="1:8" x14ac:dyDescent="0.2">
      <c r="A45" s="117" t="s">
        <v>21</v>
      </c>
      <c r="B45" s="117"/>
      <c r="C45" s="117" t="s">
        <v>584</v>
      </c>
      <c r="D45" s="304" t="s">
        <v>1071</v>
      </c>
      <c r="E45" s="305"/>
      <c r="F45" s="117" t="s">
        <v>1647</v>
      </c>
      <c r="G45" s="116">
        <v>52.820999999999998</v>
      </c>
      <c r="H45" s="108">
        <v>0</v>
      </c>
    </row>
    <row r="46" spans="1:8" ht="12.2" customHeight="1" x14ac:dyDescent="0.2">
      <c r="D46" s="334" t="s">
        <v>4272</v>
      </c>
      <c r="E46" s="335"/>
      <c r="F46" s="335"/>
      <c r="G46" s="143">
        <v>52.820999999999998</v>
      </c>
    </row>
    <row r="47" spans="1:8" x14ac:dyDescent="0.2">
      <c r="A47" s="117" t="s">
        <v>22</v>
      </c>
      <c r="B47" s="117"/>
      <c r="C47" s="117" t="s">
        <v>585</v>
      </c>
      <c r="D47" s="304" t="s">
        <v>1072</v>
      </c>
      <c r="E47" s="305"/>
      <c r="F47" s="117" t="s">
        <v>1647</v>
      </c>
      <c r="G47" s="116">
        <v>84.088999999999999</v>
      </c>
      <c r="H47" s="108">
        <v>0</v>
      </c>
    </row>
    <row r="48" spans="1:8" ht="12.2" customHeight="1" x14ac:dyDescent="0.2">
      <c r="D48" s="334" t="s">
        <v>4271</v>
      </c>
      <c r="E48" s="335"/>
      <c r="F48" s="335"/>
      <c r="G48" s="143">
        <v>70.343999999999994</v>
      </c>
    </row>
    <row r="49" spans="1:8" ht="12.2" customHeight="1" x14ac:dyDescent="0.2">
      <c r="A49" s="117"/>
      <c r="B49" s="117"/>
      <c r="C49" s="117"/>
      <c r="D49" s="334" t="s">
        <v>4270</v>
      </c>
      <c r="E49" s="335"/>
      <c r="F49" s="334"/>
      <c r="G49" s="144">
        <v>13.744999999999999</v>
      </c>
      <c r="H49" s="111"/>
    </row>
    <row r="50" spans="1:8" x14ac:dyDescent="0.2">
      <c r="A50" s="117" t="s">
        <v>23</v>
      </c>
      <c r="B50" s="117"/>
      <c r="C50" s="117" t="s">
        <v>586</v>
      </c>
      <c r="D50" s="304" t="s">
        <v>4154</v>
      </c>
      <c r="E50" s="305"/>
      <c r="F50" s="117" t="s">
        <v>1647</v>
      </c>
      <c r="G50" s="116">
        <v>0.9</v>
      </c>
      <c r="H50" s="108">
        <v>0</v>
      </c>
    </row>
    <row r="51" spans="1:8" ht="12.2" customHeight="1" x14ac:dyDescent="0.2">
      <c r="D51" s="334" t="s">
        <v>4269</v>
      </c>
      <c r="E51" s="335"/>
      <c r="F51" s="335"/>
      <c r="G51" s="143">
        <v>0.9</v>
      </c>
    </row>
    <row r="52" spans="1:8" x14ac:dyDescent="0.2">
      <c r="A52" s="120"/>
      <c r="B52" s="120"/>
      <c r="C52" s="120" t="s">
        <v>24</v>
      </c>
      <c r="D52" s="306" t="s">
        <v>1076</v>
      </c>
      <c r="E52" s="307"/>
      <c r="F52" s="120"/>
      <c r="G52" s="142"/>
      <c r="H52" s="109"/>
    </row>
    <row r="53" spans="1:8" x14ac:dyDescent="0.2">
      <c r="A53" s="117" t="s">
        <v>24</v>
      </c>
      <c r="B53" s="117"/>
      <c r="C53" s="117" t="s">
        <v>587</v>
      </c>
      <c r="D53" s="304" t="s">
        <v>1077</v>
      </c>
      <c r="E53" s="305"/>
      <c r="F53" s="117" t="s">
        <v>1645</v>
      </c>
      <c r="G53" s="116">
        <v>138.232</v>
      </c>
      <c r="H53" s="108">
        <v>0</v>
      </c>
    </row>
    <row r="54" spans="1:8" ht="12.2" customHeight="1" x14ac:dyDescent="0.2">
      <c r="D54" s="334" t="s">
        <v>4268</v>
      </c>
      <c r="E54" s="335"/>
      <c r="F54" s="335"/>
      <c r="G54" s="143">
        <v>38.231999999999999</v>
      </c>
    </row>
    <row r="55" spans="1:8" ht="12.2" customHeight="1" x14ac:dyDescent="0.2">
      <c r="A55" s="117"/>
      <c r="B55" s="117"/>
      <c r="C55" s="117"/>
      <c r="D55" s="334" t="s">
        <v>1769</v>
      </c>
      <c r="E55" s="335"/>
      <c r="F55" s="334"/>
      <c r="G55" s="144">
        <v>100</v>
      </c>
      <c r="H55" s="111"/>
    </row>
    <row r="56" spans="1:8" x14ac:dyDescent="0.2">
      <c r="A56" s="120"/>
      <c r="B56" s="120"/>
      <c r="C56" s="120" t="s">
        <v>27</v>
      </c>
      <c r="D56" s="306" t="s">
        <v>1078</v>
      </c>
      <c r="E56" s="307"/>
      <c r="F56" s="120"/>
      <c r="G56" s="142"/>
      <c r="H56" s="109"/>
    </row>
    <row r="57" spans="1:8" x14ac:dyDescent="0.2">
      <c r="A57" s="117" t="s">
        <v>25</v>
      </c>
      <c r="B57" s="117"/>
      <c r="C57" s="117" t="s">
        <v>588</v>
      </c>
      <c r="D57" s="304" t="s">
        <v>1079</v>
      </c>
      <c r="E57" s="305"/>
      <c r="F57" s="117" t="s">
        <v>1646</v>
      </c>
      <c r="G57" s="116">
        <v>88.965000000000003</v>
      </c>
      <c r="H57" s="108">
        <v>0</v>
      </c>
    </row>
    <row r="58" spans="1:8" ht="12.2" customHeight="1" x14ac:dyDescent="0.2">
      <c r="D58" s="334" t="s">
        <v>4267</v>
      </c>
      <c r="E58" s="335"/>
      <c r="F58" s="335"/>
      <c r="G58" s="143">
        <v>88.965000000000003</v>
      </c>
    </row>
    <row r="59" spans="1:8" x14ac:dyDescent="0.2">
      <c r="A59" s="117" t="s">
        <v>26</v>
      </c>
      <c r="B59" s="117"/>
      <c r="C59" s="117" t="s">
        <v>589</v>
      </c>
      <c r="D59" s="304" t="s">
        <v>1080</v>
      </c>
      <c r="E59" s="305"/>
      <c r="F59" s="117" t="s">
        <v>1646</v>
      </c>
      <c r="G59" s="116">
        <v>88.965000000000003</v>
      </c>
      <c r="H59" s="108">
        <v>0</v>
      </c>
    </row>
    <row r="60" spans="1:8" ht="12.2" customHeight="1" x14ac:dyDescent="0.2">
      <c r="D60" s="334" t="s">
        <v>4267</v>
      </c>
      <c r="E60" s="335"/>
      <c r="F60" s="335"/>
      <c r="G60" s="143">
        <v>88.965000000000003</v>
      </c>
    </row>
    <row r="61" spans="1:8" x14ac:dyDescent="0.2">
      <c r="A61" s="120"/>
      <c r="B61" s="120"/>
      <c r="C61" s="120" t="s">
        <v>33</v>
      </c>
      <c r="D61" s="306" t="s">
        <v>1081</v>
      </c>
      <c r="E61" s="307"/>
      <c r="F61" s="120"/>
      <c r="G61" s="142"/>
      <c r="H61" s="109"/>
    </row>
    <row r="62" spans="1:8" x14ac:dyDescent="0.2">
      <c r="A62" s="117" t="s">
        <v>27</v>
      </c>
      <c r="B62" s="117"/>
      <c r="C62" s="117" t="s">
        <v>591</v>
      </c>
      <c r="D62" s="304" t="s">
        <v>1083</v>
      </c>
      <c r="E62" s="305"/>
      <c r="F62" s="117" t="s">
        <v>1647</v>
      </c>
      <c r="G62" s="116">
        <v>0.12</v>
      </c>
      <c r="H62" s="108">
        <v>0</v>
      </c>
    </row>
    <row r="63" spans="1:8" ht="12.2" customHeight="1" x14ac:dyDescent="0.2">
      <c r="D63" s="334" t="s">
        <v>3230</v>
      </c>
      <c r="E63" s="335"/>
      <c r="F63" s="335"/>
      <c r="G63" s="143">
        <v>0.12</v>
      </c>
    </row>
    <row r="64" spans="1:8" x14ac:dyDescent="0.2">
      <c r="A64" s="120"/>
      <c r="B64" s="120"/>
      <c r="C64" s="120" t="s">
        <v>37</v>
      </c>
      <c r="D64" s="306" t="s">
        <v>1084</v>
      </c>
      <c r="E64" s="307"/>
      <c r="F64" s="120"/>
      <c r="G64" s="142"/>
      <c r="H64" s="109"/>
    </row>
    <row r="65" spans="1:8" x14ac:dyDescent="0.2">
      <c r="A65" s="117" t="s">
        <v>28</v>
      </c>
      <c r="B65" s="117"/>
      <c r="C65" s="117" t="s">
        <v>2157</v>
      </c>
      <c r="D65" s="304" t="s">
        <v>2156</v>
      </c>
      <c r="E65" s="305"/>
      <c r="F65" s="117" t="s">
        <v>1645</v>
      </c>
      <c r="G65" s="116">
        <v>7.95</v>
      </c>
      <c r="H65" s="108">
        <v>0</v>
      </c>
    </row>
    <row r="66" spans="1:8" ht="12.2" customHeight="1" x14ac:dyDescent="0.2">
      <c r="D66" s="334" t="s">
        <v>4266</v>
      </c>
      <c r="E66" s="335"/>
      <c r="F66" s="335"/>
      <c r="G66" s="143">
        <v>7.95</v>
      </c>
    </row>
    <row r="67" spans="1:8" x14ac:dyDescent="0.2">
      <c r="A67" s="117" t="s">
        <v>29</v>
      </c>
      <c r="B67" s="117"/>
      <c r="C67" s="117" t="s">
        <v>594</v>
      </c>
      <c r="D67" s="304" t="s">
        <v>1088</v>
      </c>
      <c r="E67" s="305"/>
      <c r="F67" s="117" t="s">
        <v>1648</v>
      </c>
      <c r="G67" s="116">
        <v>4.2999999999999997E-2</v>
      </c>
      <c r="H67" s="108">
        <v>0</v>
      </c>
    </row>
    <row r="68" spans="1:8" ht="12.2" customHeight="1" x14ac:dyDescent="0.2">
      <c r="D68" s="334" t="s">
        <v>4265</v>
      </c>
      <c r="E68" s="335"/>
      <c r="F68" s="335"/>
      <c r="G68" s="143">
        <v>4.2999999999999997E-2</v>
      </c>
    </row>
    <row r="69" spans="1:8" x14ac:dyDescent="0.2">
      <c r="A69" s="117" t="s">
        <v>30</v>
      </c>
      <c r="B69" s="117"/>
      <c r="C69" s="117" t="s">
        <v>595</v>
      </c>
      <c r="D69" s="304" t="s">
        <v>1089</v>
      </c>
      <c r="E69" s="305"/>
      <c r="F69" s="117" t="s">
        <v>1646</v>
      </c>
      <c r="G69" s="116">
        <v>100</v>
      </c>
      <c r="H69" s="108">
        <v>0</v>
      </c>
    </row>
    <row r="70" spans="1:8" ht="12.2" customHeight="1" x14ac:dyDescent="0.2">
      <c r="D70" s="334" t="s">
        <v>1769</v>
      </c>
      <c r="E70" s="335"/>
      <c r="F70" s="335"/>
      <c r="G70" s="143">
        <v>100</v>
      </c>
    </row>
    <row r="71" spans="1:8" x14ac:dyDescent="0.2">
      <c r="A71" s="120"/>
      <c r="B71" s="120"/>
      <c r="C71" s="120" t="s">
        <v>62</v>
      </c>
      <c r="D71" s="306" t="s">
        <v>1090</v>
      </c>
      <c r="E71" s="307"/>
      <c r="F71" s="120"/>
      <c r="G71" s="142"/>
      <c r="H71" s="109"/>
    </row>
    <row r="72" spans="1:8" x14ac:dyDescent="0.2">
      <c r="A72" s="117" t="s">
        <v>31</v>
      </c>
      <c r="B72" s="117"/>
      <c r="C72" s="117" t="s">
        <v>596</v>
      </c>
      <c r="D72" s="304" t="s">
        <v>1091</v>
      </c>
      <c r="E72" s="305"/>
      <c r="F72" s="117" t="s">
        <v>1645</v>
      </c>
      <c r="G72" s="116">
        <v>45.155000000000001</v>
      </c>
      <c r="H72" s="108">
        <v>0</v>
      </c>
    </row>
    <row r="73" spans="1:8" ht="12.2" customHeight="1" x14ac:dyDescent="0.2">
      <c r="D73" s="334" t="s">
        <v>4262</v>
      </c>
      <c r="E73" s="335"/>
      <c r="F73" s="335"/>
      <c r="G73" s="143">
        <v>45.155000000000001</v>
      </c>
    </row>
    <row r="74" spans="1:8" x14ac:dyDescent="0.2">
      <c r="A74" s="117" t="s">
        <v>32</v>
      </c>
      <c r="B74" s="117"/>
      <c r="C74" s="117" t="s">
        <v>597</v>
      </c>
      <c r="D74" s="304" t="s">
        <v>1092</v>
      </c>
      <c r="E74" s="305"/>
      <c r="F74" s="117" t="s">
        <v>1645</v>
      </c>
      <c r="G74" s="116">
        <v>45.155000000000001</v>
      </c>
      <c r="H74" s="108">
        <v>0</v>
      </c>
    </row>
    <row r="75" spans="1:8" ht="12.2" customHeight="1" x14ac:dyDescent="0.2">
      <c r="D75" s="334" t="s">
        <v>4262</v>
      </c>
      <c r="E75" s="335"/>
      <c r="F75" s="335"/>
      <c r="G75" s="143">
        <v>45.155000000000001</v>
      </c>
    </row>
    <row r="76" spans="1:8" x14ac:dyDescent="0.2">
      <c r="A76" s="117" t="s">
        <v>33</v>
      </c>
      <c r="B76" s="117"/>
      <c r="C76" s="117" t="s">
        <v>598</v>
      </c>
      <c r="D76" s="304" t="s">
        <v>1093</v>
      </c>
      <c r="E76" s="305"/>
      <c r="F76" s="117" t="s">
        <v>1645</v>
      </c>
      <c r="G76" s="116">
        <v>45.155000000000001</v>
      </c>
      <c r="H76" s="108">
        <v>0</v>
      </c>
    </row>
    <row r="77" spans="1:8" ht="12.2" customHeight="1" x14ac:dyDescent="0.2">
      <c r="D77" s="334" t="s">
        <v>4262</v>
      </c>
      <c r="E77" s="335"/>
      <c r="F77" s="335"/>
      <c r="G77" s="143">
        <v>45.155000000000001</v>
      </c>
    </row>
    <row r="78" spans="1:8" x14ac:dyDescent="0.2">
      <c r="A78" s="120"/>
      <c r="B78" s="120"/>
      <c r="C78" s="120" t="s">
        <v>65</v>
      </c>
      <c r="D78" s="306" t="s">
        <v>1094</v>
      </c>
      <c r="E78" s="307"/>
      <c r="F78" s="120"/>
      <c r="G78" s="142"/>
      <c r="H78" s="109"/>
    </row>
    <row r="79" spans="1:8" x14ac:dyDescent="0.2">
      <c r="A79" s="117" t="s">
        <v>34</v>
      </c>
      <c r="B79" s="117"/>
      <c r="C79" s="117" t="s">
        <v>599</v>
      </c>
      <c r="D79" s="304" t="s">
        <v>1095</v>
      </c>
      <c r="E79" s="305"/>
      <c r="F79" s="117" t="s">
        <v>1645</v>
      </c>
      <c r="G79" s="116">
        <v>22.27</v>
      </c>
      <c r="H79" s="108">
        <v>0</v>
      </c>
    </row>
    <row r="80" spans="1:8" ht="12.2" customHeight="1" x14ac:dyDescent="0.2">
      <c r="D80" s="334" t="s">
        <v>4264</v>
      </c>
      <c r="E80" s="335"/>
      <c r="F80" s="335"/>
      <c r="G80" s="143">
        <v>22.27</v>
      </c>
    </row>
    <row r="81" spans="1:8" x14ac:dyDescent="0.2">
      <c r="A81" s="117" t="s">
        <v>35</v>
      </c>
      <c r="B81" s="117"/>
      <c r="C81" s="117" t="s">
        <v>2865</v>
      </c>
      <c r="D81" s="304" t="s">
        <v>2864</v>
      </c>
      <c r="E81" s="305"/>
      <c r="F81" s="117" t="s">
        <v>1645</v>
      </c>
      <c r="G81" s="116">
        <v>26.632999999999999</v>
      </c>
      <c r="H81" s="108">
        <v>0</v>
      </c>
    </row>
    <row r="82" spans="1:8" ht="12.2" customHeight="1" x14ac:dyDescent="0.2">
      <c r="D82" s="334" t="s">
        <v>4263</v>
      </c>
      <c r="E82" s="335"/>
      <c r="F82" s="335"/>
      <c r="G82" s="143">
        <v>26.632999999999999</v>
      </c>
    </row>
    <row r="83" spans="1:8" x14ac:dyDescent="0.2">
      <c r="A83" s="117" t="s">
        <v>36</v>
      </c>
      <c r="B83" s="117"/>
      <c r="C83" s="117" t="s">
        <v>600</v>
      </c>
      <c r="D83" s="304" t="s">
        <v>1096</v>
      </c>
      <c r="E83" s="305"/>
      <c r="F83" s="117" t="s">
        <v>1645</v>
      </c>
      <c r="G83" s="116">
        <v>45.155000000000001</v>
      </c>
      <c r="H83" s="108">
        <v>0</v>
      </c>
    </row>
    <row r="84" spans="1:8" ht="12.2" customHeight="1" x14ac:dyDescent="0.2">
      <c r="D84" s="334" t="s">
        <v>4262</v>
      </c>
      <c r="E84" s="335"/>
      <c r="F84" s="335"/>
      <c r="G84" s="143">
        <v>45.155000000000001</v>
      </c>
    </row>
    <row r="85" spans="1:8" x14ac:dyDescent="0.2">
      <c r="A85" s="120"/>
      <c r="B85" s="120"/>
      <c r="C85" s="120" t="s">
        <v>67</v>
      </c>
      <c r="D85" s="306" t="s">
        <v>1097</v>
      </c>
      <c r="E85" s="307"/>
      <c r="F85" s="120"/>
      <c r="G85" s="142"/>
      <c r="H85" s="109"/>
    </row>
    <row r="86" spans="1:8" x14ac:dyDescent="0.2">
      <c r="A86" s="117" t="s">
        <v>37</v>
      </c>
      <c r="B86" s="117"/>
      <c r="C86" s="117" t="s">
        <v>601</v>
      </c>
      <c r="D86" s="304" t="s">
        <v>1098</v>
      </c>
      <c r="E86" s="305"/>
      <c r="F86" s="117" t="s">
        <v>1645</v>
      </c>
      <c r="G86" s="116">
        <v>23.151</v>
      </c>
      <c r="H86" s="108">
        <v>0</v>
      </c>
    </row>
    <row r="87" spans="1:8" ht="12.2" customHeight="1" x14ac:dyDescent="0.2">
      <c r="D87" s="334" t="s">
        <v>4230</v>
      </c>
      <c r="E87" s="335"/>
      <c r="F87" s="335"/>
      <c r="G87" s="143">
        <v>23.151</v>
      </c>
    </row>
    <row r="88" spans="1:8" x14ac:dyDescent="0.2">
      <c r="A88" s="117" t="s">
        <v>38</v>
      </c>
      <c r="B88" s="117"/>
      <c r="C88" s="117" t="s">
        <v>601</v>
      </c>
      <c r="D88" s="304" t="s">
        <v>4153</v>
      </c>
      <c r="E88" s="305"/>
      <c r="F88" s="117" t="s">
        <v>1645</v>
      </c>
      <c r="G88" s="116">
        <v>33.088999999999999</v>
      </c>
      <c r="H88" s="108">
        <v>0</v>
      </c>
    </row>
    <row r="89" spans="1:8" ht="12.2" customHeight="1" x14ac:dyDescent="0.2">
      <c r="D89" s="334" t="s">
        <v>4229</v>
      </c>
      <c r="E89" s="335"/>
      <c r="F89" s="335"/>
      <c r="G89" s="143">
        <v>33.088999999999999</v>
      </c>
    </row>
    <row r="90" spans="1:8" x14ac:dyDescent="0.2">
      <c r="A90" s="117" t="s">
        <v>39</v>
      </c>
      <c r="B90" s="117"/>
      <c r="C90" s="117" t="s">
        <v>604</v>
      </c>
      <c r="D90" s="304" t="s">
        <v>1101</v>
      </c>
      <c r="E90" s="305"/>
      <c r="F90" s="117" t="s">
        <v>1645</v>
      </c>
      <c r="G90" s="116">
        <v>34.86</v>
      </c>
      <c r="H90" s="108">
        <v>0</v>
      </c>
    </row>
    <row r="91" spans="1:8" ht="12.2" customHeight="1" x14ac:dyDescent="0.2">
      <c r="D91" s="334" t="s">
        <v>4226</v>
      </c>
      <c r="E91" s="335"/>
      <c r="F91" s="335"/>
      <c r="G91" s="143">
        <v>34.86</v>
      </c>
    </row>
    <row r="92" spans="1:8" x14ac:dyDescent="0.2">
      <c r="A92" s="117" t="s">
        <v>40</v>
      </c>
      <c r="B92" s="117"/>
      <c r="C92" s="117" t="s">
        <v>604</v>
      </c>
      <c r="D92" s="304" t="s">
        <v>4152</v>
      </c>
      <c r="E92" s="305"/>
      <c r="F92" s="117" t="s">
        <v>1645</v>
      </c>
      <c r="G92" s="116">
        <v>44.831000000000003</v>
      </c>
      <c r="H92" s="108">
        <v>0</v>
      </c>
    </row>
    <row r="93" spans="1:8" ht="12.2" customHeight="1" x14ac:dyDescent="0.2">
      <c r="D93" s="334" t="s">
        <v>4225</v>
      </c>
      <c r="E93" s="335"/>
      <c r="F93" s="335"/>
      <c r="G93" s="143">
        <v>44.831000000000003</v>
      </c>
    </row>
    <row r="94" spans="1:8" x14ac:dyDescent="0.2">
      <c r="A94" s="117" t="s">
        <v>41</v>
      </c>
      <c r="B94" s="117"/>
      <c r="C94" s="117" t="s">
        <v>2862</v>
      </c>
      <c r="D94" s="304" t="s">
        <v>2861</v>
      </c>
      <c r="E94" s="305"/>
      <c r="F94" s="117" t="s">
        <v>1646</v>
      </c>
      <c r="G94" s="116">
        <v>10.5</v>
      </c>
      <c r="H94" s="108">
        <v>0</v>
      </c>
    </row>
    <row r="95" spans="1:8" ht="12.2" customHeight="1" x14ac:dyDescent="0.2">
      <c r="D95" s="334" t="s">
        <v>4179</v>
      </c>
      <c r="E95" s="335"/>
      <c r="F95" s="335"/>
      <c r="G95" s="143">
        <v>10.5</v>
      </c>
    </row>
    <row r="96" spans="1:8" x14ac:dyDescent="0.2">
      <c r="A96" s="117" t="s">
        <v>42</v>
      </c>
      <c r="B96" s="117"/>
      <c r="C96" s="117" t="s">
        <v>605</v>
      </c>
      <c r="D96" s="304" t="s">
        <v>1102</v>
      </c>
      <c r="E96" s="305"/>
      <c r="F96" s="117" t="s">
        <v>1645</v>
      </c>
      <c r="G96" s="116">
        <v>393.14699999999999</v>
      </c>
      <c r="H96" s="108">
        <v>0</v>
      </c>
    </row>
    <row r="97" spans="1:8" ht="12.2" customHeight="1" x14ac:dyDescent="0.2">
      <c r="D97" s="334" t="s">
        <v>4158</v>
      </c>
      <c r="E97" s="335"/>
      <c r="F97" s="335"/>
      <c r="G97" s="143">
        <v>393.14699999999999</v>
      </c>
    </row>
    <row r="98" spans="1:8" x14ac:dyDescent="0.2">
      <c r="A98" s="117" t="s">
        <v>43</v>
      </c>
      <c r="B98" s="117"/>
      <c r="C98" s="117" t="s">
        <v>3739</v>
      </c>
      <c r="D98" s="304" t="s">
        <v>4151</v>
      </c>
      <c r="E98" s="305"/>
      <c r="F98" s="117" t="s">
        <v>1645</v>
      </c>
      <c r="G98" s="116">
        <v>0.79200000000000004</v>
      </c>
      <c r="H98" s="108">
        <v>0</v>
      </c>
    </row>
    <row r="99" spans="1:8" ht="12.2" customHeight="1" x14ac:dyDescent="0.2">
      <c r="D99" s="334" t="s">
        <v>4261</v>
      </c>
      <c r="E99" s="335"/>
      <c r="F99" s="335"/>
      <c r="G99" s="143">
        <v>0.79200000000000004</v>
      </c>
    </row>
    <row r="100" spans="1:8" x14ac:dyDescent="0.2">
      <c r="A100" s="117" t="s">
        <v>44</v>
      </c>
      <c r="B100" s="117"/>
      <c r="C100" s="117" t="s">
        <v>606</v>
      </c>
      <c r="D100" s="304" t="s">
        <v>4150</v>
      </c>
      <c r="E100" s="305"/>
      <c r="F100" s="117" t="s">
        <v>1645</v>
      </c>
      <c r="G100" s="116">
        <v>29.175000000000001</v>
      </c>
      <c r="H100" s="108">
        <v>0</v>
      </c>
    </row>
    <row r="101" spans="1:8" ht="12.2" customHeight="1" x14ac:dyDescent="0.2">
      <c r="D101" s="334" t="s">
        <v>4228</v>
      </c>
      <c r="E101" s="335"/>
      <c r="F101" s="335"/>
      <c r="G101" s="143">
        <v>29.175000000000001</v>
      </c>
    </row>
    <row r="102" spans="1:8" x14ac:dyDescent="0.2">
      <c r="A102" s="117" t="s">
        <v>45</v>
      </c>
      <c r="B102" s="117"/>
      <c r="C102" s="117" t="s">
        <v>606</v>
      </c>
      <c r="D102" s="304" t="s">
        <v>4149</v>
      </c>
      <c r="E102" s="305"/>
      <c r="F102" s="117" t="s">
        <v>1645</v>
      </c>
      <c r="G102" s="116">
        <v>112.108</v>
      </c>
      <c r="H102" s="108">
        <v>0</v>
      </c>
    </row>
    <row r="103" spans="1:8" ht="12.2" customHeight="1" x14ac:dyDescent="0.2">
      <c r="D103" s="334" t="s">
        <v>4227</v>
      </c>
      <c r="E103" s="335"/>
      <c r="F103" s="335"/>
      <c r="G103" s="143">
        <v>112.108</v>
      </c>
    </row>
    <row r="104" spans="1:8" x14ac:dyDescent="0.2">
      <c r="A104" s="120"/>
      <c r="B104" s="120"/>
      <c r="C104" s="120" t="s">
        <v>68</v>
      </c>
      <c r="D104" s="306" t="s">
        <v>1104</v>
      </c>
      <c r="E104" s="307"/>
      <c r="F104" s="120"/>
      <c r="G104" s="142"/>
      <c r="H104" s="109"/>
    </row>
    <row r="105" spans="1:8" x14ac:dyDescent="0.2">
      <c r="A105" s="117" t="s">
        <v>46</v>
      </c>
      <c r="B105" s="117"/>
      <c r="C105" s="117" t="s">
        <v>607</v>
      </c>
      <c r="D105" s="304" t="s">
        <v>1105</v>
      </c>
      <c r="E105" s="305"/>
      <c r="F105" s="117" t="s">
        <v>1645</v>
      </c>
      <c r="G105" s="116">
        <v>103.16</v>
      </c>
      <c r="H105" s="108">
        <v>0</v>
      </c>
    </row>
    <row r="106" spans="1:8" ht="12.2" customHeight="1" x14ac:dyDescent="0.2">
      <c r="D106" s="334" t="s">
        <v>4241</v>
      </c>
      <c r="E106" s="335"/>
      <c r="F106" s="335"/>
      <c r="G106" s="143">
        <v>16.739999999999998</v>
      </c>
    </row>
    <row r="107" spans="1:8" ht="12.2" customHeight="1" x14ac:dyDescent="0.2">
      <c r="A107" s="117"/>
      <c r="B107" s="117"/>
      <c r="C107" s="117"/>
      <c r="D107" s="334" t="s">
        <v>4240</v>
      </c>
      <c r="E107" s="335"/>
      <c r="F107" s="334"/>
      <c r="G107" s="144">
        <v>86.42</v>
      </c>
      <c r="H107" s="111"/>
    </row>
    <row r="108" spans="1:8" x14ac:dyDescent="0.2">
      <c r="A108" s="117" t="s">
        <v>47</v>
      </c>
      <c r="B108" s="117"/>
      <c r="C108" s="117" t="s">
        <v>608</v>
      </c>
      <c r="D108" s="304" t="s">
        <v>3737</v>
      </c>
      <c r="E108" s="305"/>
      <c r="F108" s="117" t="s">
        <v>1645</v>
      </c>
      <c r="G108" s="116">
        <v>88.555999999999997</v>
      </c>
      <c r="H108" s="108">
        <v>0</v>
      </c>
    </row>
    <row r="109" spans="1:8" ht="12.2" customHeight="1" x14ac:dyDescent="0.2">
      <c r="D109" s="334" t="s">
        <v>4259</v>
      </c>
      <c r="E109" s="335"/>
      <c r="F109" s="335"/>
      <c r="G109" s="143">
        <v>49.052</v>
      </c>
    </row>
    <row r="110" spans="1:8" ht="12.2" customHeight="1" x14ac:dyDescent="0.2">
      <c r="A110" s="117"/>
      <c r="B110" s="117"/>
      <c r="C110" s="117"/>
      <c r="D110" s="334" t="s">
        <v>4258</v>
      </c>
      <c r="E110" s="335"/>
      <c r="F110" s="334"/>
      <c r="G110" s="144">
        <v>39.503999999999998</v>
      </c>
      <c r="H110" s="111"/>
    </row>
    <row r="111" spans="1:8" x14ac:dyDescent="0.2">
      <c r="A111" s="117" t="s">
        <v>48</v>
      </c>
      <c r="B111" s="117"/>
      <c r="C111" s="117" t="s">
        <v>608</v>
      </c>
      <c r="D111" s="304" t="s">
        <v>3736</v>
      </c>
      <c r="E111" s="305"/>
      <c r="F111" s="117" t="s">
        <v>1645</v>
      </c>
      <c r="G111" s="116">
        <v>145.624</v>
      </c>
      <c r="H111" s="108">
        <v>0</v>
      </c>
    </row>
    <row r="112" spans="1:8" ht="12.2" customHeight="1" x14ac:dyDescent="0.2">
      <c r="D112" s="334" t="s">
        <v>4221</v>
      </c>
      <c r="E112" s="335"/>
      <c r="F112" s="335"/>
      <c r="G112" s="143">
        <v>145.624</v>
      </c>
    </row>
    <row r="113" spans="1:8" x14ac:dyDescent="0.2">
      <c r="A113" s="117" t="s">
        <v>49</v>
      </c>
      <c r="B113" s="117"/>
      <c r="C113" s="117" t="s">
        <v>608</v>
      </c>
      <c r="D113" s="304" t="s">
        <v>3735</v>
      </c>
      <c r="E113" s="305"/>
      <c r="F113" s="117" t="s">
        <v>1645</v>
      </c>
      <c r="G113" s="116">
        <v>541.01900000000001</v>
      </c>
      <c r="H113" s="108">
        <v>0</v>
      </c>
    </row>
    <row r="114" spans="1:8" ht="12.2" customHeight="1" x14ac:dyDescent="0.2">
      <c r="D114" s="334" t="s">
        <v>4257</v>
      </c>
      <c r="E114" s="335"/>
      <c r="F114" s="335"/>
      <c r="G114" s="143">
        <v>359.24299999999999</v>
      </c>
    </row>
    <row r="115" spans="1:8" ht="12.2" customHeight="1" x14ac:dyDescent="0.2">
      <c r="A115" s="117"/>
      <c r="B115" s="117"/>
      <c r="C115" s="117"/>
      <c r="D115" s="334" t="s">
        <v>4256</v>
      </c>
      <c r="E115" s="335"/>
      <c r="F115" s="334"/>
      <c r="G115" s="144">
        <v>181.77600000000001</v>
      </c>
      <c r="H115" s="111"/>
    </row>
    <row r="116" spans="1:8" x14ac:dyDescent="0.2">
      <c r="A116" s="117" t="s">
        <v>50</v>
      </c>
      <c r="B116" s="117"/>
      <c r="C116" s="117" t="s">
        <v>608</v>
      </c>
      <c r="D116" s="304" t="s">
        <v>2505</v>
      </c>
      <c r="E116" s="305"/>
      <c r="F116" s="117" t="s">
        <v>1645</v>
      </c>
      <c r="G116" s="116">
        <v>155.173</v>
      </c>
      <c r="H116" s="108">
        <v>0</v>
      </c>
    </row>
    <row r="117" spans="1:8" ht="12.2" customHeight="1" x14ac:dyDescent="0.2">
      <c r="D117" s="334" t="s">
        <v>4222</v>
      </c>
      <c r="E117" s="335"/>
      <c r="F117" s="335"/>
      <c r="G117" s="143">
        <v>24.158000000000001</v>
      </c>
    </row>
    <row r="118" spans="1:8" ht="12.2" customHeight="1" x14ac:dyDescent="0.2">
      <c r="A118" s="117"/>
      <c r="B118" s="117"/>
      <c r="C118" s="117"/>
      <c r="D118" s="334" t="s">
        <v>4224</v>
      </c>
      <c r="E118" s="335"/>
      <c r="F118" s="334"/>
      <c r="G118" s="144">
        <v>69.548000000000002</v>
      </c>
      <c r="H118" s="111"/>
    </row>
    <row r="119" spans="1:8" ht="12.2" customHeight="1" x14ac:dyDescent="0.2">
      <c r="A119" s="117"/>
      <c r="B119" s="117"/>
      <c r="C119" s="117"/>
      <c r="D119" s="334" t="s">
        <v>4255</v>
      </c>
      <c r="E119" s="335"/>
      <c r="F119" s="334"/>
      <c r="G119" s="144">
        <v>61.466999999999999</v>
      </c>
      <c r="H119" s="111"/>
    </row>
    <row r="120" spans="1:8" x14ac:dyDescent="0.2">
      <c r="A120" s="117" t="s">
        <v>51</v>
      </c>
      <c r="B120" s="117"/>
      <c r="C120" s="117" t="s">
        <v>609</v>
      </c>
      <c r="D120" s="304" t="s">
        <v>1107</v>
      </c>
      <c r="E120" s="305"/>
      <c r="F120" s="117" t="s">
        <v>1646</v>
      </c>
      <c r="G120" s="116">
        <v>40</v>
      </c>
      <c r="H120" s="108">
        <v>0</v>
      </c>
    </row>
    <row r="121" spans="1:8" ht="12.2" customHeight="1" x14ac:dyDescent="0.2">
      <c r="D121" s="334" t="s">
        <v>1786</v>
      </c>
      <c r="E121" s="335"/>
      <c r="F121" s="335"/>
      <c r="G121" s="143">
        <v>40</v>
      </c>
    </row>
    <row r="122" spans="1:8" x14ac:dyDescent="0.2">
      <c r="A122" s="117" t="s">
        <v>52</v>
      </c>
      <c r="B122" s="117"/>
      <c r="C122" s="117" t="s">
        <v>610</v>
      </c>
      <c r="D122" s="304" t="s">
        <v>1108</v>
      </c>
      <c r="E122" s="305"/>
      <c r="F122" s="117" t="s">
        <v>1646</v>
      </c>
      <c r="G122" s="116">
        <v>93.52</v>
      </c>
      <c r="H122" s="108">
        <v>0</v>
      </c>
    </row>
    <row r="123" spans="1:8" ht="12.2" customHeight="1" x14ac:dyDescent="0.2">
      <c r="D123" s="334" t="s">
        <v>4260</v>
      </c>
      <c r="E123" s="335"/>
      <c r="F123" s="335"/>
      <c r="G123" s="143">
        <v>93.52</v>
      </c>
    </row>
    <row r="124" spans="1:8" x14ac:dyDescent="0.2">
      <c r="A124" s="117" t="s">
        <v>53</v>
      </c>
      <c r="B124" s="117"/>
      <c r="C124" s="117" t="s">
        <v>611</v>
      </c>
      <c r="D124" s="304" t="s">
        <v>1109</v>
      </c>
      <c r="E124" s="305"/>
      <c r="F124" s="117" t="s">
        <v>1646</v>
      </c>
      <c r="G124" s="116">
        <v>15.7</v>
      </c>
      <c r="H124" s="108">
        <v>0</v>
      </c>
    </row>
    <row r="125" spans="1:8" ht="12.2" customHeight="1" x14ac:dyDescent="0.2">
      <c r="D125" s="334" t="s">
        <v>1788</v>
      </c>
      <c r="E125" s="335"/>
      <c r="F125" s="335"/>
      <c r="G125" s="143">
        <v>15.7</v>
      </c>
    </row>
    <row r="126" spans="1:8" x14ac:dyDescent="0.2">
      <c r="A126" s="117" t="s">
        <v>54</v>
      </c>
      <c r="B126" s="117"/>
      <c r="C126" s="117" t="s">
        <v>612</v>
      </c>
      <c r="D126" s="304" t="s">
        <v>1110</v>
      </c>
      <c r="E126" s="305"/>
      <c r="F126" s="117" t="s">
        <v>1645</v>
      </c>
      <c r="G126" s="116">
        <v>145.624</v>
      </c>
      <c r="H126" s="108">
        <v>0</v>
      </c>
    </row>
    <row r="127" spans="1:8" ht="12.2" customHeight="1" x14ac:dyDescent="0.2">
      <c r="D127" s="334" t="s">
        <v>4221</v>
      </c>
      <c r="E127" s="335"/>
      <c r="F127" s="335"/>
      <c r="G127" s="143">
        <v>145.624</v>
      </c>
    </row>
    <row r="128" spans="1:8" x14ac:dyDescent="0.2">
      <c r="A128" s="117" t="s">
        <v>55</v>
      </c>
      <c r="B128" s="117"/>
      <c r="C128" s="117" t="s">
        <v>614</v>
      </c>
      <c r="D128" s="304" t="s">
        <v>1112</v>
      </c>
      <c r="E128" s="305"/>
      <c r="F128" s="117" t="s">
        <v>1645</v>
      </c>
      <c r="G128" s="116">
        <v>88.555999999999997</v>
      </c>
      <c r="H128" s="108">
        <v>0</v>
      </c>
    </row>
    <row r="129" spans="1:8" ht="12.2" customHeight="1" x14ac:dyDescent="0.2">
      <c r="D129" s="334" t="s">
        <v>4259</v>
      </c>
      <c r="E129" s="335"/>
      <c r="F129" s="335"/>
      <c r="G129" s="143">
        <v>49.052</v>
      </c>
    </row>
    <row r="130" spans="1:8" ht="12.2" customHeight="1" x14ac:dyDescent="0.2">
      <c r="A130" s="117"/>
      <c r="B130" s="117"/>
      <c r="C130" s="117"/>
      <c r="D130" s="334" t="s">
        <v>4258</v>
      </c>
      <c r="E130" s="335"/>
      <c r="F130" s="334"/>
      <c r="G130" s="144">
        <v>39.503999999999998</v>
      </c>
      <c r="H130" s="111"/>
    </row>
    <row r="131" spans="1:8" x14ac:dyDescent="0.2">
      <c r="A131" s="117" t="s">
        <v>56</v>
      </c>
      <c r="B131" s="117"/>
      <c r="C131" s="117" t="s">
        <v>615</v>
      </c>
      <c r="D131" s="304" t="s">
        <v>1114</v>
      </c>
      <c r="E131" s="305"/>
      <c r="F131" s="117" t="s">
        <v>1645</v>
      </c>
      <c r="G131" s="116">
        <v>541.01900000000001</v>
      </c>
      <c r="H131" s="108">
        <v>0</v>
      </c>
    </row>
    <row r="132" spans="1:8" ht="12.2" customHeight="1" x14ac:dyDescent="0.2">
      <c r="D132" s="334" t="s">
        <v>4257</v>
      </c>
      <c r="E132" s="335"/>
      <c r="F132" s="335"/>
      <c r="G132" s="143">
        <v>359.24299999999999</v>
      </c>
    </row>
    <row r="133" spans="1:8" ht="12.2" customHeight="1" x14ac:dyDescent="0.2">
      <c r="A133" s="117"/>
      <c r="B133" s="117"/>
      <c r="C133" s="117"/>
      <c r="D133" s="334" t="s">
        <v>4256</v>
      </c>
      <c r="E133" s="335"/>
      <c r="F133" s="334"/>
      <c r="G133" s="144">
        <v>181.77600000000001</v>
      </c>
      <c r="H133" s="111"/>
    </row>
    <row r="134" spans="1:8" x14ac:dyDescent="0.2">
      <c r="A134" s="117" t="s">
        <v>57</v>
      </c>
      <c r="B134" s="117"/>
      <c r="C134" s="117" t="s">
        <v>616</v>
      </c>
      <c r="D134" s="304" t="s">
        <v>1116</v>
      </c>
      <c r="E134" s="305"/>
      <c r="F134" s="117" t="s">
        <v>1645</v>
      </c>
      <c r="G134" s="116">
        <v>61.466999999999999</v>
      </c>
      <c r="H134" s="108">
        <v>0</v>
      </c>
    </row>
    <row r="135" spans="1:8" ht="12.2" customHeight="1" x14ac:dyDescent="0.2">
      <c r="D135" s="334" t="s">
        <v>4255</v>
      </c>
      <c r="E135" s="335"/>
      <c r="F135" s="335"/>
      <c r="G135" s="143">
        <v>61.466999999999999</v>
      </c>
    </row>
    <row r="136" spans="1:8" x14ac:dyDescent="0.2">
      <c r="A136" s="117" t="s">
        <v>58</v>
      </c>
      <c r="B136" s="117"/>
      <c r="C136" s="117" t="s">
        <v>617</v>
      </c>
      <c r="D136" s="304" t="s">
        <v>1118</v>
      </c>
      <c r="E136" s="305"/>
      <c r="F136" s="117" t="s">
        <v>1646</v>
      </c>
      <c r="G136" s="116">
        <v>68.5</v>
      </c>
      <c r="H136" s="108">
        <v>0</v>
      </c>
    </row>
    <row r="137" spans="1:8" ht="12.2" customHeight="1" x14ac:dyDescent="0.2">
      <c r="D137" s="334" t="s">
        <v>4253</v>
      </c>
      <c r="E137" s="335"/>
      <c r="F137" s="335"/>
      <c r="G137" s="143">
        <v>68.5</v>
      </c>
    </row>
    <row r="138" spans="1:8" x14ac:dyDescent="0.2">
      <c r="A138" s="117" t="s">
        <v>59</v>
      </c>
      <c r="B138" s="117"/>
      <c r="C138" s="117" t="s">
        <v>618</v>
      </c>
      <c r="D138" s="304" t="s">
        <v>1119</v>
      </c>
      <c r="E138" s="305"/>
      <c r="F138" s="117" t="s">
        <v>1645</v>
      </c>
      <c r="G138" s="116">
        <v>836.66600000000005</v>
      </c>
      <c r="H138" s="108">
        <v>0</v>
      </c>
    </row>
    <row r="139" spans="1:8" ht="12.2" customHeight="1" x14ac:dyDescent="0.2">
      <c r="D139" s="334" t="s">
        <v>4254</v>
      </c>
      <c r="E139" s="335"/>
      <c r="F139" s="335"/>
      <c r="G139" s="143">
        <v>836.66600000000005</v>
      </c>
    </row>
    <row r="140" spans="1:8" x14ac:dyDescent="0.2">
      <c r="A140" s="117" t="s">
        <v>60</v>
      </c>
      <c r="B140" s="117"/>
      <c r="C140" s="117" t="s">
        <v>619</v>
      </c>
      <c r="D140" s="304" t="s">
        <v>1120</v>
      </c>
      <c r="E140" s="305"/>
      <c r="F140" s="117" t="s">
        <v>1646</v>
      </c>
      <c r="G140" s="116">
        <v>226.2</v>
      </c>
      <c r="H140" s="108">
        <v>0</v>
      </c>
    </row>
    <row r="141" spans="1:8" ht="12.2" customHeight="1" x14ac:dyDescent="0.2">
      <c r="D141" s="334" t="s">
        <v>4252</v>
      </c>
      <c r="E141" s="335"/>
      <c r="F141" s="335"/>
      <c r="G141" s="143">
        <v>226.2</v>
      </c>
    </row>
    <row r="142" spans="1:8" x14ac:dyDescent="0.2">
      <c r="A142" s="117" t="s">
        <v>61</v>
      </c>
      <c r="B142" s="117"/>
      <c r="C142" s="117" t="s">
        <v>620</v>
      </c>
      <c r="D142" s="304" t="s">
        <v>1121</v>
      </c>
      <c r="E142" s="305"/>
      <c r="F142" s="117" t="s">
        <v>1646</v>
      </c>
      <c r="G142" s="116">
        <v>68.5</v>
      </c>
      <c r="H142" s="108">
        <v>0</v>
      </c>
    </row>
    <row r="143" spans="1:8" ht="12.2" customHeight="1" x14ac:dyDescent="0.2">
      <c r="D143" s="334" t="s">
        <v>4253</v>
      </c>
      <c r="E143" s="335"/>
      <c r="F143" s="335"/>
      <c r="G143" s="143">
        <v>68.5</v>
      </c>
    </row>
    <row r="144" spans="1:8" x14ac:dyDescent="0.2">
      <c r="A144" s="117" t="s">
        <v>62</v>
      </c>
      <c r="B144" s="117"/>
      <c r="C144" s="117" t="s">
        <v>2504</v>
      </c>
      <c r="D144" s="304" t="s">
        <v>2503</v>
      </c>
      <c r="E144" s="305"/>
      <c r="F144" s="117" t="s">
        <v>1645</v>
      </c>
      <c r="G144" s="116">
        <v>24.158000000000001</v>
      </c>
      <c r="H144" s="108">
        <v>0</v>
      </c>
    </row>
    <row r="145" spans="1:8" ht="12.2" customHeight="1" x14ac:dyDescent="0.2">
      <c r="D145" s="334" t="s">
        <v>4222</v>
      </c>
      <c r="E145" s="335"/>
      <c r="F145" s="335"/>
      <c r="G145" s="143">
        <v>24.158000000000001</v>
      </c>
    </row>
    <row r="146" spans="1:8" x14ac:dyDescent="0.2">
      <c r="A146" s="117" t="s">
        <v>63</v>
      </c>
      <c r="B146" s="117"/>
      <c r="C146" s="117" t="s">
        <v>621</v>
      </c>
      <c r="D146" s="304" t="s">
        <v>1122</v>
      </c>
      <c r="E146" s="305"/>
      <c r="F146" s="117" t="s">
        <v>1645</v>
      </c>
      <c r="G146" s="116">
        <v>145.624</v>
      </c>
      <c r="H146" s="108">
        <v>0</v>
      </c>
    </row>
    <row r="147" spans="1:8" ht="12.2" customHeight="1" x14ac:dyDescent="0.2">
      <c r="D147" s="334" t="s">
        <v>4221</v>
      </c>
      <c r="E147" s="335"/>
      <c r="F147" s="335"/>
      <c r="G147" s="143">
        <v>145.624</v>
      </c>
    </row>
    <row r="148" spans="1:8" x14ac:dyDescent="0.2">
      <c r="A148" s="117" t="s">
        <v>64</v>
      </c>
      <c r="B148" s="117"/>
      <c r="C148" s="117" t="s">
        <v>2502</v>
      </c>
      <c r="D148" s="304" t="s">
        <v>2501</v>
      </c>
      <c r="E148" s="305"/>
      <c r="F148" s="117" t="s">
        <v>1645</v>
      </c>
      <c r="G148" s="116">
        <v>24.158000000000001</v>
      </c>
      <c r="H148" s="108">
        <v>0</v>
      </c>
    </row>
    <row r="149" spans="1:8" ht="12.2" customHeight="1" x14ac:dyDescent="0.2">
      <c r="D149" s="334" t="s">
        <v>4222</v>
      </c>
      <c r="E149" s="335"/>
      <c r="F149" s="335"/>
      <c r="G149" s="143">
        <v>24.158000000000001</v>
      </c>
    </row>
    <row r="150" spans="1:8" x14ac:dyDescent="0.2">
      <c r="A150" s="117" t="s">
        <v>65</v>
      </c>
      <c r="B150" s="117"/>
      <c r="C150" s="117" t="s">
        <v>2500</v>
      </c>
      <c r="D150" s="304" t="s">
        <v>2499</v>
      </c>
      <c r="E150" s="305"/>
      <c r="F150" s="117" t="s">
        <v>1645</v>
      </c>
      <c r="G150" s="116">
        <v>69.548000000000002</v>
      </c>
      <c r="H150" s="108">
        <v>0</v>
      </c>
    </row>
    <row r="151" spans="1:8" ht="12.2" customHeight="1" x14ac:dyDescent="0.2">
      <c r="D151" s="334" t="s">
        <v>4224</v>
      </c>
      <c r="E151" s="335"/>
      <c r="F151" s="335"/>
      <c r="G151" s="143">
        <v>69.548000000000002</v>
      </c>
    </row>
    <row r="152" spans="1:8" x14ac:dyDescent="0.2">
      <c r="A152" s="117" t="s">
        <v>66</v>
      </c>
      <c r="B152" s="117"/>
      <c r="C152" s="117" t="s">
        <v>622</v>
      </c>
      <c r="D152" s="304" t="s">
        <v>1123</v>
      </c>
      <c r="E152" s="305"/>
      <c r="F152" s="117" t="s">
        <v>1646</v>
      </c>
      <c r="G152" s="116">
        <v>226.2</v>
      </c>
      <c r="H152" s="108">
        <v>0</v>
      </c>
    </row>
    <row r="153" spans="1:8" ht="12.2" customHeight="1" x14ac:dyDescent="0.2">
      <c r="D153" s="334" t="s">
        <v>4252</v>
      </c>
      <c r="E153" s="335"/>
      <c r="F153" s="335"/>
      <c r="G153" s="143">
        <v>226.2</v>
      </c>
    </row>
    <row r="154" spans="1:8" x14ac:dyDescent="0.2">
      <c r="A154" s="117" t="s">
        <v>67</v>
      </c>
      <c r="B154" s="117"/>
      <c r="C154" s="117" t="s">
        <v>623</v>
      </c>
      <c r="D154" s="304" t="s">
        <v>2497</v>
      </c>
      <c r="E154" s="305"/>
      <c r="F154" s="117" t="s">
        <v>1645</v>
      </c>
      <c r="G154" s="116">
        <v>775.19899999999996</v>
      </c>
      <c r="H154" s="108">
        <v>0</v>
      </c>
    </row>
    <row r="155" spans="1:8" ht="12.2" customHeight="1" x14ac:dyDescent="0.2">
      <c r="D155" s="334" t="s">
        <v>4251</v>
      </c>
      <c r="E155" s="335"/>
      <c r="F155" s="335"/>
      <c r="G155" s="143">
        <v>775.19899999999996</v>
      </c>
    </row>
    <row r="156" spans="1:8" x14ac:dyDescent="0.2">
      <c r="A156" s="117" t="s">
        <v>68</v>
      </c>
      <c r="B156" s="117"/>
      <c r="C156" s="117" t="s">
        <v>623</v>
      </c>
      <c r="D156" s="304" t="s">
        <v>2496</v>
      </c>
      <c r="E156" s="305"/>
      <c r="F156" s="117" t="s">
        <v>1645</v>
      </c>
      <c r="G156" s="116">
        <v>155.173</v>
      </c>
      <c r="H156" s="108">
        <v>0</v>
      </c>
    </row>
    <row r="157" spans="1:8" ht="12.2" customHeight="1" x14ac:dyDescent="0.2">
      <c r="D157" s="334" t="s">
        <v>4250</v>
      </c>
      <c r="E157" s="335"/>
      <c r="F157" s="335"/>
      <c r="G157" s="143">
        <v>155.173</v>
      </c>
    </row>
    <row r="158" spans="1:8" x14ac:dyDescent="0.2">
      <c r="A158" s="117" t="s">
        <v>69</v>
      </c>
      <c r="B158" s="117"/>
      <c r="C158" s="117" t="s">
        <v>624</v>
      </c>
      <c r="D158" s="304" t="s">
        <v>2495</v>
      </c>
      <c r="E158" s="305"/>
      <c r="F158" s="117" t="s">
        <v>1645</v>
      </c>
      <c r="G158" s="116">
        <v>775.19899999999996</v>
      </c>
      <c r="H158" s="108">
        <v>0</v>
      </c>
    </row>
    <row r="159" spans="1:8" ht="12.2" customHeight="1" x14ac:dyDescent="0.2">
      <c r="D159" s="334" t="s">
        <v>4251</v>
      </c>
      <c r="E159" s="335"/>
      <c r="F159" s="335"/>
      <c r="G159" s="143">
        <v>775.19899999999996</v>
      </c>
    </row>
    <row r="160" spans="1:8" x14ac:dyDescent="0.2">
      <c r="A160" s="117" t="s">
        <v>70</v>
      </c>
      <c r="B160" s="117"/>
      <c r="C160" s="117" t="s">
        <v>624</v>
      </c>
      <c r="D160" s="304" t="s">
        <v>2494</v>
      </c>
      <c r="E160" s="305"/>
      <c r="F160" s="117" t="s">
        <v>1645</v>
      </c>
      <c r="G160" s="116">
        <v>155.173</v>
      </c>
      <c r="H160" s="108">
        <v>0</v>
      </c>
    </row>
    <row r="161" spans="1:8" ht="12.2" customHeight="1" x14ac:dyDescent="0.2">
      <c r="D161" s="334" t="s">
        <v>4250</v>
      </c>
      <c r="E161" s="335"/>
      <c r="F161" s="335"/>
      <c r="G161" s="143">
        <v>155.173</v>
      </c>
    </row>
    <row r="162" spans="1:8" x14ac:dyDescent="0.2">
      <c r="A162" s="117" t="s">
        <v>71</v>
      </c>
      <c r="B162" s="117"/>
      <c r="C162" s="117" t="s">
        <v>625</v>
      </c>
      <c r="D162" s="304" t="s">
        <v>2493</v>
      </c>
      <c r="E162" s="305"/>
      <c r="F162" s="117" t="s">
        <v>1645</v>
      </c>
      <c r="G162" s="116">
        <v>387.6</v>
      </c>
      <c r="H162" s="108">
        <v>0</v>
      </c>
    </row>
    <row r="163" spans="1:8" ht="12.2" customHeight="1" x14ac:dyDescent="0.2">
      <c r="D163" s="334" t="s">
        <v>4249</v>
      </c>
      <c r="E163" s="335"/>
      <c r="F163" s="335"/>
      <c r="G163" s="143">
        <v>387.6</v>
      </c>
    </row>
    <row r="164" spans="1:8" x14ac:dyDescent="0.2">
      <c r="A164" s="117" t="s">
        <v>72</v>
      </c>
      <c r="B164" s="117"/>
      <c r="C164" s="117" t="s">
        <v>625</v>
      </c>
      <c r="D164" s="304" t="s">
        <v>2492</v>
      </c>
      <c r="E164" s="305"/>
      <c r="F164" s="117" t="s">
        <v>1645</v>
      </c>
      <c r="G164" s="116">
        <v>77.587000000000003</v>
      </c>
      <c r="H164" s="108">
        <v>0</v>
      </c>
    </row>
    <row r="165" spans="1:8" ht="12.2" customHeight="1" x14ac:dyDescent="0.2">
      <c r="D165" s="334" t="s">
        <v>4248</v>
      </c>
      <c r="E165" s="335"/>
      <c r="F165" s="335"/>
      <c r="G165" s="143">
        <v>77.587000000000003</v>
      </c>
    </row>
    <row r="166" spans="1:8" x14ac:dyDescent="0.2">
      <c r="A166" s="117" t="s">
        <v>73</v>
      </c>
      <c r="B166" s="117"/>
      <c r="C166" s="117" t="s">
        <v>626</v>
      </c>
      <c r="D166" s="304" t="s">
        <v>2491</v>
      </c>
      <c r="E166" s="305"/>
      <c r="F166" s="117" t="s">
        <v>1645</v>
      </c>
      <c r="G166" s="116">
        <v>387.6</v>
      </c>
      <c r="H166" s="108">
        <v>0</v>
      </c>
    </row>
    <row r="167" spans="1:8" ht="12.2" customHeight="1" x14ac:dyDescent="0.2">
      <c r="D167" s="334" t="s">
        <v>4249</v>
      </c>
      <c r="E167" s="335"/>
      <c r="F167" s="335"/>
      <c r="G167" s="143">
        <v>387.6</v>
      </c>
    </row>
    <row r="168" spans="1:8" x14ac:dyDescent="0.2">
      <c r="A168" s="117" t="s">
        <v>74</v>
      </c>
      <c r="B168" s="117"/>
      <c r="C168" s="117" t="s">
        <v>626</v>
      </c>
      <c r="D168" s="304" t="s">
        <v>2490</v>
      </c>
      <c r="E168" s="305"/>
      <c r="F168" s="117" t="s">
        <v>1645</v>
      </c>
      <c r="G168" s="116">
        <v>77.587000000000003</v>
      </c>
      <c r="H168" s="108">
        <v>0</v>
      </c>
    </row>
    <row r="169" spans="1:8" ht="12.2" customHeight="1" x14ac:dyDescent="0.2">
      <c r="D169" s="334" t="s">
        <v>4248</v>
      </c>
      <c r="E169" s="335"/>
      <c r="F169" s="335"/>
      <c r="G169" s="143">
        <v>77.587000000000003</v>
      </c>
    </row>
    <row r="170" spans="1:8" x14ac:dyDescent="0.2">
      <c r="A170" s="120"/>
      <c r="B170" s="120"/>
      <c r="C170" s="120" t="s">
        <v>70</v>
      </c>
      <c r="D170" s="306" t="s">
        <v>2575</v>
      </c>
      <c r="E170" s="307"/>
      <c r="F170" s="120"/>
      <c r="G170" s="142"/>
      <c r="H170" s="109"/>
    </row>
    <row r="171" spans="1:8" x14ac:dyDescent="0.2">
      <c r="A171" s="117" t="s">
        <v>75</v>
      </c>
      <c r="B171" s="117"/>
      <c r="C171" s="117" t="s">
        <v>2854</v>
      </c>
      <c r="D171" s="304" t="s">
        <v>4148</v>
      </c>
      <c r="E171" s="305"/>
      <c r="F171" s="117" t="s">
        <v>1646</v>
      </c>
      <c r="G171" s="116">
        <v>1.2</v>
      </c>
      <c r="H171" s="108">
        <v>0</v>
      </c>
    </row>
    <row r="172" spans="1:8" ht="12.2" customHeight="1" x14ac:dyDescent="0.2">
      <c r="D172" s="334" t="s">
        <v>4247</v>
      </c>
      <c r="E172" s="335"/>
      <c r="F172" s="335"/>
      <c r="G172" s="143">
        <v>1.2</v>
      </c>
    </row>
    <row r="173" spans="1:8" x14ac:dyDescent="0.2">
      <c r="A173" s="120"/>
      <c r="B173" s="120"/>
      <c r="C173" s="120" t="s">
        <v>89</v>
      </c>
      <c r="D173" s="306" t="s">
        <v>1130</v>
      </c>
      <c r="E173" s="307"/>
      <c r="F173" s="120"/>
      <c r="G173" s="142"/>
      <c r="H173" s="109"/>
    </row>
    <row r="174" spans="1:8" x14ac:dyDescent="0.2">
      <c r="A174" s="117" t="s">
        <v>76</v>
      </c>
      <c r="B174" s="117"/>
      <c r="C174" s="117" t="s">
        <v>628</v>
      </c>
      <c r="D174" s="304" t="s">
        <v>4147</v>
      </c>
      <c r="E174" s="305"/>
      <c r="F174" s="117" t="s">
        <v>1644</v>
      </c>
      <c r="G174" s="116">
        <v>6</v>
      </c>
      <c r="H174" s="108">
        <v>0</v>
      </c>
    </row>
    <row r="175" spans="1:8" ht="12.2" customHeight="1" x14ac:dyDescent="0.2">
      <c r="D175" s="334" t="s">
        <v>1806</v>
      </c>
      <c r="E175" s="335"/>
      <c r="F175" s="335"/>
      <c r="G175" s="143">
        <v>6</v>
      </c>
    </row>
    <row r="176" spans="1:8" x14ac:dyDescent="0.2">
      <c r="A176" s="117" t="s">
        <v>77</v>
      </c>
      <c r="B176" s="117"/>
      <c r="C176" s="117" t="s">
        <v>629</v>
      </c>
      <c r="D176" s="304" t="s">
        <v>1132</v>
      </c>
      <c r="E176" s="305"/>
      <c r="F176" s="117" t="s">
        <v>1646</v>
      </c>
      <c r="G176" s="116">
        <v>40</v>
      </c>
      <c r="H176" s="108">
        <v>0</v>
      </c>
    </row>
    <row r="177" spans="1:8" ht="12.2" customHeight="1" x14ac:dyDescent="0.2">
      <c r="D177" s="334" t="s">
        <v>1786</v>
      </c>
      <c r="E177" s="335"/>
      <c r="F177" s="335"/>
      <c r="G177" s="143">
        <v>40</v>
      </c>
    </row>
    <row r="178" spans="1:8" x14ac:dyDescent="0.2">
      <c r="A178" s="120"/>
      <c r="B178" s="120"/>
      <c r="C178" s="120" t="s">
        <v>95</v>
      </c>
      <c r="D178" s="306" t="s">
        <v>1133</v>
      </c>
      <c r="E178" s="307"/>
      <c r="F178" s="120"/>
      <c r="G178" s="142"/>
      <c r="H178" s="109"/>
    </row>
    <row r="179" spans="1:8" x14ac:dyDescent="0.2">
      <c r="A179" s="117" t="s">
        <v>78</v>
      </c>
      <c r="B179" s="117"/>
      <c r="C179" s="117" t="s">
        <v>630</v>
      </c>
      <c r="D179" s="304" t="s">
        <v>4146</v>
      </c>
      <c r="E179" s="305"/>
      <c r="F179" s="117" t="s">
        <v>1644</v>
      </c>
      <c r="G179" s="116">
        <v>9</v>
      </c>
      <c r="H179" s="108">
        <v>0</v>
      </c>
    </row>
    <row r="180" spans="1:8" ht="12.2" customHeight="1" x14ac:dyDescent="0.2">
      <c r="D180" s="334" t="s">
        <v>4246</v>
      </c>
      <c r="E180" s="335"/>
      <c r="F180" s="335"/>
      <c r="G180" s="143">
        <v>9</v>
      </c>
    </row>
    <row r="181" spans="1:8" x14ac:dyDescent="0.2">
      <c r="A181" s="117" t="s">
        <v>79</v>
      </c>
      <c r="B181" s="117"/>
      <c r="C181" s="117" t="s">
        <v>631</v>
      </c>
      <c r="D181" s="304" t="s">
        <v>1135</v>
      </c>
      <c r="E181" s="305"/>
      <c r="F181" s="117" t="s">
        <v>1644</v>
      </c>
      <c r="G181" s="116">
        <v>3</v>
      </c>
      <c r="H181" s="108">
        <v>0</v>
      </c>
    </row>
    <row r="182" spans="1:8" ht="12.2" customHeight="1" x14ac:dyDescent="0.2">
      <c r="D182" s="334" t="s">
        <v>1797</v>
      </c>
      <c r="E182" s="335"/>
      <c r="F182" s="335"/>
      <c r="G182" s="143">
        <v>3</v>
      </c>
    </row>
    <row r="183" spans="1:8" x14ac:dyDescent="0.2">
      <c r="A183" s="120"/>
      <c r="B183" s="120"/>
      <c r="C183" s="120" t="s">
        <v>97</v>
      </c>
      <c r="D183" s="306" t="s">
        <v>1136</v>
      </c>
      <c r="E183" s="307"/>
      <c r="F183" s="120"/>
      <c r="G183" s="142"/>
      <c r="H183" s="109"/>
    </row>
    <row r="184" spans="1:8" x14ac:dyDescent="0.2">
      <c r="A184" s="117" t="s">
        <v>80</v>
      </c>
      <c r="B184" s="117"/>
      <c r="C184" s="117" t="s">
        <v>632</v>
      </c>
      <c r="D184" s="304" t="s">
        <v>1137</v>
      </c>
      <c r="E184" s="305"/>
      <c r="F184" s="117" t="s">
        <v>1646</v>
      </c>
      <c r="G184" s="116">
        <v>82.6</v>
      </c>
      <c r="H184" s="108">
        <v>0</v>
      </c>
    </row>
    <row r="185" spans="1:8" ht="12.2" customHeight="1" x14ac:dyDescent="0.2">
      <c r="D185" s="334" t="s">
        <v>4245</v>
      </c>
      <c r="E185" s="335"/>
      <c r="F185" s="335"/>
      <c r="G185" s="143">
        <v>82.6</v>
      </c>
    </row>
    <row r="186" spans="1:8" x14ac:dyDescent="0.2">
      <c r="A186" s="117" t="s">
        <v>81</v>
      </c>
      <c r="B186" s="117"/>
      <c r="C186" s="117" t="s">
        <v>633</v>
      </c>
      <c r="D186" s="304" t="s">
        <v>1138</v>
      </c>
      <c r="E186" s="305"/>
      <c r="F186" s="117" t="s">
        <v>1647</v>
      </c>
      <c r="G186" s="116">
        <v>3.7170000000000001</v>
      </c>
      <c r="H186" s="108">
        <v>0</v>
      </c>
    </row>
    <row r="187" spans="1:8" ht="12.2" customHeight="1" x14ac:dyDescent="0.2">
      <c r="D187" s="334" t="s">
        <v>4244</v>
      </c>
      <c r="E187" s="335"/>
      <c r="F187" s="335"/>
      <c r="G187" s="143">
        <v>3.7170000000000001</v>
      </c>
    </row>
    <row r="188" spans="1:8" x14ac:dyDescent="0.2">
      <c r="A188" s="120"/>
      <c r="B188" s="120"/>
      <c r="C188" s="120" t="s">
        <v>100</v>
      </c>
      <c r="D188" s="306" t="s">
        <v>1139</v>
      </c>
      <c r="E188" s="307"/>
      <c r="F188" s="120"/>
      <c r="G188" s="142"/>
      <c r="H188" s="109"/>
    </row>
    <row r="189" spans="1:8" x14ac:dyDescent="0.2">
      <c r="A189" s="117" t="s">
        <v>82</v>
      </c>
      <c r="B189" s="117"/>
      <c r="C189" s="117" t="s">
        <v>634</v>
      </c>
      <c r="D189" s="304" t="s">
        <v>1140</v>
      </c>
      <c r="E189" s="305"/>
      <c r="F189" s="117" t="s">
        <v>1645</v>
      </c>
      <c r="G189" s="116">
        <v>928.64099999999996</v>
      </c>
      <c r="H189" s="108">
        <v>0</v>
      </c>
    </row>
    <row r="190" spans="1:8" ht="12.2" customHeight="1" x14ac:dyDescent="0.2">
      <c r="D190" s="334" t="s">
        <v>4242</v>
      </c>
      <c r="E190" s="335"/>
      <c r="F190" s="335"/>
      <c r="G190" s="143">
        <v>928.64099999999996</v>
      </c>
    </row>
    <row r="191" spans="1:8" x14ac:dyDescent="0.2">
      <c r="A191" s="117" t="s">
        <v>83</v>
      </c>
      <c r="B191" s="117"/>
      <c r="C191" s="117" t="s">
        <v>635</v>
      </c>
      <c r="D191" s="304" t="s">
        <v>1141</v>
      </c>
      <c r="E191" s="305"/>
      <c r="F191" s="117" t="s">
        <v>1645</v>
      </c>
      <c r="G191" s="116">
        <v>1857.2819999999999</v>
      </c>
      <c r="H191" s="108">
        <v>0</v>
      </c>
    </row>
    <row r="192" spans="1:8" ht="12.2" customHeight="1" x14ac:dyDescent="0.2">
      <c r="D192" s="334" t="s">
        <v>4243</v>
      </c>
      <c r="E192" s="335"/>
      <c r="F192" s="335"/>
      <c r="G192" s="143">
        <v>1857.2819999999999</v>
      </c>
    </row>
    <row r="193" spans="1:8" x14ac:dyDescent="0.2">
      <c r="A193" s="117" t="s">
        <v>84</v>
      </c>
      <c r="B193" s="117"/>
      <c r="C193" s="117" t="s">
        <v>636</v>
      </c>
      <c r="D193" s="304" t="s">
        <v>1142</v>
      </c>
      <c r="E193" s="305"/>
      <c r="F193" s="117" t="s">
        <v>1645</v>
      </c>
      <c r="G193" s="116">
        <v>928.64099999999996</v>
      </c>
      <c r="H193" s="108">
        <v>0</v>
      </c>
    </row>
    <row r="194" spans="1:8" ht="12.2" customHeight="1" x14ac:dyDescent="0.2">
      <c r="D194" s="334" t="s">
        <v>4242</v>
      </c>
      <c r="E194" s="335"/>
      <c r="F194" s="335"/>
      <c r="G194" s="143">
        <v>928.64099999999996</v>
      </c>
    </row>
    <row r="195" spans="1:8" x14ac:dyDescent="0.2">
      <c r="A195" s="117" t="s">
        <v>85</v>
      </c>
      <c r="B195" s="117"/>
      <c r="C195" s="117" t="s">
        <v>637</v>
      </c>
      <c r="D195" s="304" t="s">
        <v>1143</v>
      </c>
      <c r="E195" s="305"/>
      <c r="F195" s="117" t="s">
        <v>1645</v>
      </c>
      <c r="G195" s="116">
        <v>928.64099999999996</v>
      </c>
      <c r="H195" s="108">
        <v>0</v>
      </c>
    </row>
    <row r="196" spans="1:8" ht="12.2" customHeight="1" x14ac:dyDescent="0.2">
      <c r="D196" s="334" t="s">
        <v>4242</v>
      </c>
      <c r="E196" s="335"/>
      <c r="F196" s="335"/>
      <c r="G196" s="143">
        <v>928.64099999999996</v>
      </c>
    </row>
    <row r="197" spans="1:8" x14ac:dyDescent="0.2">
      <c r="A197" s="117" t="s">
        <v>86</v>
      </c>
      <c r="B197" s="117"/>
      <c r="C197" s="117" t="s">
        <v>638</v>
      </c>
      <c r="D197" s="304" t="s">
        <v>1144</v>
      </c>
      <c r="E197" s="305"/>
      <c r="F197" s="117" t="s">
        <v>1645</v>
      </c>
      <c r="G197" s="116">
        <v>1857.2819999999999</v>
      </c>
      <c r="H197" s="108">
        <v>0</v>
      </c>
    </row>
    <row r="198" spans="1:8" ht="12.2" customHeight="1" x14ac:dyDescent="0.2">
      <c r="D198" s="334" t="s">
        <v>4243</v>
      </c>
      <c r="E198" s="335"/>
      <c r="F198" s="335"/>
      <c r="G198" s="143">
        <v>1857.2819999999999</v>
      </c>
    </row>
    <row r="199" spans="1:8" x14ac:dyDescent="0.2">
      <c r="A199" s="117" t="s">
        <v>87</v>
      </c>
      <c r="B199" s="117"/>
      <c r="C199" s="117" t="s">
        <v>639</v>
      </c>
      <c r="D199" s="304" t="s">
        <v>1145</v>
      </c>
      <c r="E199" s="305"/>
      <c r="F199" s="117" t="s">
        <v>1645</v>
      </c>
      <c r="G199" s="116">
        <v>928.64099999999996</v>
      </c>
      <c r="H199" s="108">
        <v>0</v>
      </c>
    </row>
    <row r="200" spans="1:8" ht="12.2" customHeight="1" x14ac:dyDescent="0.2">
      <c r="D200" s="334" t="s">
        <v>4242</v>
      </c>
      <c r="E200" s="335"/>
      <c r="F200" s="335"/>
      <c r="G200" s="143">
        <v>928.64099999999996</v>
      </c>
    </row>
    <row r="201" spans="1:8" x14ac:dyDescent="0.2">
      <c r="A201" s="117" t="s">
        <v>88</v>
      </c>
      <c r="B201" s="117"/>
      <c r="C201" s="117" t="s">
        <v>640</v>
      </c>
      <c r="D201" s="304" t="s">
        <v>1146</v>
      </c>
      <c r="E201" s="305"/>
      <c r="F201" s="117" t="s">
        <v>1649</v>
      </c>
      <c r="G201" s="116">
        <v>20</v>
      </c>
      <c r="H201" s="108">
        <v>0</v>
      </c>
    </row>
    <row r="202" spans="1:8" ht="12.2" customHeight="1" x14ac:dyDescent="0.2">
      <c r="D202" s="334" t="s">
        <v>1802</v>
      </c>
      <c r="E202" s="335"/>
      <c r="F202" s="335"/>
      <c r="G202" s="143">
        <v>20</v>
      </c>
    </row>
    <row r="203" spans="1:8" x14ac:dyDescent="0.2">
      <c r="A203" s="120"/>
      <c r="B203" s="120"/>
      <c r="C203" s="120" t="s">
        <v>101</v>
      </c>
      <c r="D203" s="306" t="s">
        <v>1147</v>
      </c>
      <c r="E203" s="307"/>
      <c r="F203" s="120"/>
      <c r="G203" s="142"/>
      <c r="H203" s="109"/>
    </row>
    <row r="204" spans="1:8" x14ac:dyDescent="0.2">
      <c r="A204" s="117" t="s">
        <v>89</v>
      </c>
      <c r="B204" s="117"/>
      <c r="C204" s="117" t="s">
        <v>641</v>
      </c>
      <c r="D204" s="304" t="s">
        <v>1148</v>
      </c>
      <c r="E204" s="305"/>
      <c r="F204" s="117" t="s">
        <v>1645</v>
      </c>
      <c r="G204" s="116">
        <v>103.16</v>
      </c>
      <c r="H204" s="108">
        <v>0</v>
      </c>
    </row>
    <row r="205" spans="1:8" ht="12.2" customHeight="1" x14ac:dyDescent="0.2">
      <c r="D205" s="334" t="s">
        <v>4241</v>
      </c>
      <c r="E205" s="335"/>
      <c r="F205" s="335"/>
      <c r="G205" s="143">
        <v>16.739999999999998</v>
      </c>
    </row>
    <row r="206" spans="1:8" ht="12.2" customHeight="1" x14ac:dyDescent="0.2">
      <c r="A206" s="117"/>
      <c r="B206" s="117"/>
      <c r="C206" s="117"/>
      <c r="D206" s="334" t="s">
        <v>4240</v>
      </c>
      <c r="E206" s="335"/>
      <c r="F206" s="334"/>
      <c r="G206" s="144">
        <v>86.42</v>
      </c>
      <c r="H206" s="111"/>
    </row>
    <row r="207" spans="1:8" x14ac:dyDescent="0.2">
      <c r="A207" s="117" t="s">
        <v>90</v>
      </c>
      <c r="B207" s="117"/>
      <c r="C207" s="117" t="s">
        <v>642</v>
      </c>
      <c r="D207" s="304" t="s">
        <v>1149</v>
      </c>
      <c r="E207" s="305"/>
      <c r="F207" s="117" t="s">
        <v>1645</v>
      </c>
      <c r="G207" s="116">
        <v>23.536000000000001</v>
      </c>
      <c r="H207" s="108">
        <v>0</v>
      </c>
    </row>
    <row r="208" spans="1:8" ht="12.2" customHeight="1" x14ac:dyDescent="0.2">
      <c r="D208" s="334" t="s">
        <v>4173</v>
      </c>
      <c r="E208" s="335"/>
      <c r="F208" s="335"/>
      <c r="G208" s="143">
        <v>23.536000000000001</v>
      </c>
    </row>
    <row r="209" spans="1:8" x14ac:dyDescent="0.2">
      <c r="A209" s="117" t="s">
        <v>91</v>
      </c>
      <c r="B209" s="117"/>
      <c r="C209" s="117" t="s">
        <v>4145</v>
      </c>
      <c r="D209" s="304" t="s">
        <v>4144</v>
      </c>
      <c r="E209" s="305"/>
      <c r="F209" s="117" t="s">
        <v>1645</v>
      </c>
      <c r="G209" s="116">
        <v>33.088999999999999</v>
      </c>
      <c r="H209" s="108">
        <v>0</v>
      </c>
    </row>
    <row r="210" spans="1:8" ht="12.2" customHeight="1" x14ac:dyDescent="0.2">
      <c r="D210" s="334" t="s">
        <v>4229</v>
      </c>
      <c r="E210" s="335"/>
      <c r="F210" s="335"/>
      <c r="G210" s="143">
        <v>33.088999999999999</v>
      </c>
    </row>
    <row r="211" spans="1:8" x14ac:dyDescent="0.2">
      <c r="A211" s="117" t="s">
        <v>92</v>
      </c>
      <c r="B211" s="117"/>
      <c r="C211" s="117" t="s">
        <v>643</v>
      </c>
      <c r="D211" s="304" t="s">
        <v>1150</v>
      </c>
      <c r="E211" s="305"/>
      <c r="F211" s="117" t="s">
        <v>1645</v>
      </c>
      <c r="G211" s="116">
        <v>477.50400000000002</v>
      </c>
      <c r="H211" s="108">
        <v>0</v>
      </c>
    </row>
    <row r="212" spans="1:8" ht="12.2" customHeight="1" x14ac:dyDescent="0.2">
      <c r="D212" s="334" t="s">
        <v>4191</v>
      </c>
      <c r="E212" s="335"/>
      <c r="F212" s="335"/>
      <c r="G212" s="143">
        <v>477.50400000000002</v>
      </c>
    </row>
    <row r="213" spans="1:8" x14ac:dyDescent="0.2">
      <c r="A213" s="117" t="s">
        <v>93</v>
      </c>
      <c r="B213" s="117"/>
      <c r="C213" s="117" t="s">
        <v>3180</v>
      </c>
      <c r="D213" s="304" t="s">
        <v>4143</v>
      </c>
      <c r="E213" s="305"/>
      <c r="F213" s="117" t="s">
        <v>1644</v>
      </c>
      <c r="G213" s="116">
        <v>1</v>
      </c>
      <c r="H213" s="108">
        <v>0</v>
      </c>
    </row>
    <row r="214" spans="1:8" ht="12.2" customHeight="1" x14ac:dyDescent="0.2">
      <c r="D214" s="334" t="s">
        <v>1749</v>
      </c>
      <c r="E214" s="335"/>
      <c r="F214" s="335"/>
      <c r="G214" s="143">
        <v>1</v>
      </c>
    </row>
    <row r="215" spans="1:8" x14ac:dyDescent="0.2">
      <c r="A215" s="117" t="s">
        <v>94</v>
      </c>
      <c r="B215" s="117"/>
      <c r="C215" s="117" t="s">
        <v>644</v>
      </c>
      <c r="D215" s="304" t="s">
        <v>1151</v>
      </c>
      <c r="E215" s="305"/>
      <c r="F215" s="117" t="s">
        <v>1644</v>
      </c>
      <c r="G215" s="116">
        <v>1</v>
      </c>
      <c r="H215" s="108">
        <v>0</v>
      </c>
    </row>
    <row r="216" spans="1:8" ht="12.2" customHeight="1" x14ac:dyDescent="0.2">
      <c r="D216" s="334" t="s">
        <v>1749</v>
      </c>
      <c r="E216" s="335"/>
      <c r="F216" s="335"/>
      <c r="G216" s="143">
        <v>1</v>
      </c>
    </row>
    <row r="217" spans="1:8" x14ac:dyDescent="0.2">
      <c r="A217" s="117" t="s">
        <v>95</v>
      </c>
      <c r="B217" s="117"/>
      <c r="C217" s="117" t="s">
        <v>646</v>
      </c>
      <c r="D217" s="304" t="s">
        <v>1153</v>
      </c>
      <c r="E217" s="305"/>
      <c r="F217" s="117" t="s">
        <v>1650</v>
      </c>
      <c r="G217" s="116">
        <v>150</v>
      </c>
      <c r="H217" s="108">
        <v>0</v>
      </c>
    </row>
    <row r="218" spans="1:8" ht="12.2" customHeight="1" x14ac:dyDescent="0.2">
      <c r="D218" s="334" t="s">
        <v>1805</v>
      </c>
      <c r="E218" s="335"/>
      <c r="F218" s="335"/>
      <c r="G218" s="143">
        <v>150</v>
      </c>
    </row>
    <row r="219" spans="1:8" x14ac:dyDescent="0.2">
      <c r="A219" s="117" t="s">
        <v>96</v>
      </c>
      <c r="B219" s="117"/>
      <c r="C219" s="117" t="s">
        <v>647</v>
      </c>
      <c r="D219" s="304" t="s">
        <v>1154</v>
      </c>
      <c r="E219" s="305"/>
      <c r="F219" s="117" t="s">
        <v>1644</v>
      </c>
      <c r="G219" s="116">
        <v>6</v>
      </c>
      <c r="H219" s="108">
        <v>0</v>
      </c>
    </row>
    <row r="220" spans="1:8" ht="12.2" customHeight="1" x14ac:dyDescent="0.2">
      <c r="D220" s="334" t="s">
        <v>1806</v>
      </c>
      <c r="E220" s="335"/>
      <c r="F220" s="335"/>
      <c r="G220" s="143">
        <v>6</v>
      </c>
    </row>
    <row r="221" spans="1:8" x14ac:dyDescent="0.2">
      <c r="A221" s="117" t="s">
        <v>97</v>
      </c>
      <c r="B221" s="117"/>
      <c r="C221" s="117" t="s">
        <v>648</v>
      </c>
      <c r="D221" s="304" t="s">
        <v>1155</v>
      </c>
      <c r="E221" s="305"/>
      <c r="F221" s="117" t="s">
        <v>1644</v>
      </c>
      <c r="G221" s="116">
        <v>1</v>
      </c>
      <c r="H221" s="108">
        <v>0</v>
      </c>
    </row>
    <row r="222" spans="1:8" ht="12.2" customHeight="1" x14ac:dyDescent="0.2">
      <c r="D222" s="334" t="s">
        <v>1749</v>
      </c>
      <c r="E222" s="335"/>
      <c r="F222" s="335"/>
      <c r="G222" s="143">
        <v>1</v>
      </c>
    </row>
    <row r="223" spans="1:8" x14ac:dyDescent="0.2">
      <c r="A223" s="117" t="s">
        <v>98</v>
      </c>
      <c r="B223" s="117"/>
      <c r="C223" s="117" t="s">
        <v>649</v>
      </c>
      <c r="D223" s="304" t="s">
        <v>1156</v>
      </c>
      <c r="E223" s="305"/>
      <c r="F223" s="117" t="s">
        <v>1644</v>
      </c>
      <c r="G223" s="116">
        <v>1</v>
      </c>
      <c r="H223" s="108">
        <v>0</v>
      </c>
    </row>
    <row r="224" spans="1:8" ht="12.2" customHeight="1" x14ac:dyDescent="0.2">
      <c r="D224" s="334" t="s">
        <v>1749</v>
      </c>
      <c r="E224" s="335"/>
      <c r="F224" s="335"/>
      <c r="G224" s="143">
        <v>1</v>
      </c>
    </row>
    <row r="225" spans="1:8" x14ac:dyDescent="0.2">
      <c r="A225" s="117" t="s">
        <v>99</v>
      </c>
      <c r="B225" s="117"/>
      <c r="C225" s="117" t="s">
        <v>650</v>
      </c>
      <c r="D225" s="304" t="s">
        <v>1157</v>
      </c>
      <c r="E225" s="305"/>
      <c r="F225" s="117" t="s">
        <v>1644</v>
      </c>
      <c r="G225" s="116">
        <v>1</v>
      </c>
      <c r="H225" s="108">
        <v>0</v>
      </c>
    </row>
    <row r="226" spans="1:8" ht="12.2" customHeight="1" x14ac:dyDescent="0.2">
      <c r="D226" s="334" t="s">
        <v>1749</v>
      </c>
      <c r="E226" s="335"/>
      <c r="F226" s="335"/>
      <c r="G226" s="143">
        <v>1</v>
      </c>
    </row>
    <row r="227" spans="1:8" x14ac:dyDescent="0.2">
      <c r="A227" s="120"/>
      <c r="B227" s="120"/>
      <c r="C227" s="120" t="s">
        <v>102</v>
      </c>
      <c r="D227" s="306" t="s">
        <v>1158</v>
      </c>
      <c r="E227" s="307"/>
      <c r="F227" s="120"/>
      <c r="G227" s="142"/>
      <c r="H227" s="109"/>
    </row>
    <row r="228" spans="1:8" x14ac:dyDescent="0.2">
      <c r="A228" s="117" t="s">
        <v>100</v>
      </c>
      <c r="B228" s="117"/>
      <c r="C228" s="117" t="s">
        <v>651</v>
      </c>
      <c r="D228" s="304" t="s">
        <v>1159</v>
      </c>
      <c r="E228" s="305"/>
      <c r="F228" s="117" t="s">
        <v>1645</v>
      </c>
      <c r="G228" s="116">
        <v>145.624</v>
      </c>
      <c r="H228" s="108">
        <v>0</v>
      </c>
    </row>
    <row r="229" spans="1:8" ht="12.2" customHeight="1" x14ac:dyDescent="0.2">
      <c r="D229" s="334" t="s">
        <v>4221</v>
      </c>
      <c r="E229" s="335"/>
      <c r="F229" s="335"/>
      <c r="G229" s="143">
        <v>145.624</v>
      </c>
    </row>
    <row r="230" spans="1:8" x14ac:dyDescent="0.2">
      <c r="A230" s="117" t="s">
        <v>101</v>
      </c>
      <c r="B230" s="117"/>
      <c r="C230" s="117" t="s">
        <v>652</v>
      </c>
      <c r="D230" s="304" t="s">
        <v>1160</v>
      </c>
      <c r="E230" s="305"/>
      <c r="F230" s="117" t="s">
        <v>1644</v>
      </c>
      <c r="G230" s="116">
        <v>6</v>
      </c>
      <c r="H230" s="108">
        <v>0</v>
      </c>
    </row>
    <row r="231" spans="1:8" ht="12.2" customHeight="1" x14ac:dyDescent="0.2">
      <c r="D231" s="334" t="s">
        <v>1806</v>
      </c>
      <c r="E231" s="335"/>
      <c r="F231" s="335"/>
      <c r="G231" s="143">
        <v>6</v>
      </c>
    </row>
    <row r="232" spans="1:8" x14ac:dyDescent="0.2">
      <c r="A232" s="117" t="s">
        <v>102</v>
      </c>
      <c r="B232" s="117"/>
      <c r="C232" s="117" t="s">
        <v>653</v>
      </c>
      <c r="D232" s="304" t="s">
        <v>1161</v>
      </c>
      <c r="E232" s="305"/>
      <c r="F232" s="117" t="s">
        <v>1647</v>
      </c>
      <c r="G232" s="116">
        <v>0.29599999999999999</v>
      </c>
      <c r="H232" s="108">
        <v>0</v>
      </c>
    </row>
    <row r="233" spans="1:8" ht="12.2" customHeight="1" x14ac:dyDescent="0.2">
      <c r="D233" s="334" t="s">
        <v>4239</v>
      </c>
      <c r="E233" s="335"/>
      <c r="F233" s="335"/>
      <c r="G233" s="143">
        <v>0.29599999999999999</v>
      </c>
    </row>
    <row r="234" spans="1:8" x14ac:dyDescent="0.2">
      <c r="A234" s="117" t="s">
        <v>103</v>
      </c>
      <c r="B234" s="117"/>
      <c r="C234" s="117" t="s">
        <v>654</v>
      </c>
      <c r="D234" s="304" t="s">
        <v>1162</v>
      </c>
      <c r="E234" s="305"/>
      <c r="F234" s="117" t="s">
        <v>1645</v>
      </c>
      <c r="G234" s="116">
        <v>145.624</v>
      </c>
      <c r="H234" s="108">
        <v>0</v>
      </c>
    </row>
    <row r="235" spans="1:8" ht="12.2" customHeight="1" x14ac:dyDescent="0.2">
      <c r="D235" s="334" t="s">
        <v>4221</v>
      </c>
      <c r="E235" s="335"/>
      <c r="F235" s="335"/>
      <c r="G235" s="143">
        <v>145.624</v>
      </c>
    </row>
    <row r="236" spans="1:8" x14ac:dyDescent="0.2">
      <c r="A236" s="117" t="s">
        <v>104</v>
      </c>
      <c r="B236" s="117"/>
      <c r="C236" s="117" t="s">
        <v>655</v>
      </c>
      <c r="D236" s="304" t="s">
        <v>1163</v>
      </c>
      <c r="E236" s="305"/>
      <c r="F236" s="117" t="s">
        <v>1647</v>
      </c>
      <c r="G236" s="116">
        <v>1.123</v>
      </c>
      <c r="H236" s="108">
        <v>0</v>
      </c>
    </row>
    <row r="237" spans="1:8" ht="12.2" customHeight="1" x14ac:dyDescent="0.2">
      <c r="D237" s="334" t="s">
        <v>4238</v>
      </c>
      <c r="E237" s="335"/>
      <c r="F237" s="335"/>
      <c r="G237" s="143">
        <v>1.123</v>
      </c>
    </row>
    <row r="238" spans="1:8" x14ac:dyDescent="0.2">
      <c r="A238" s="117" t="s">
        <v>105</v>
      </c>
      <c r="B238" s="117"/>
      <c r="C238" s="117" t="s">
        <v>658</v>
      </c>
      <c r="D238" s="304" t="s">
        <v>4142</v>
      </c>
      <c r="E238" s="305"/>
      <c r="F238" s="117" t="s">
        <v>1645</v>
      </c>
      <c r="G238" s="116">
        <v>23.536000000000001</v>
      </c>
      <c r="H238" s="108">
        <v>0</v>
      </c>
    </row>
    <row r="239" spans="1:8" ht="12.2" customHeight="1" x14ac:dyDescent="0.2">
      <c r="D239" s="334" t="s">
        <v>4173</v>
      </c>
      <c r="E239" s="335"/>
      <c r="F239" s="335"/>
      <c r="G239" s="143">
        <v>23.536000000000001</v>
      </c>
    </row>
    <row r="240" spans="1:8" x14ac:dyDescent="0.2">
      <c r="A240" s="117" t="s">
        <v>106</v>
      </c>
      <c r="B240" s="117"/>
      <c r="C240" s="117" t="s">
        <v>659</v>
      </c>
      <c r="D240" s="304" t="s">
        <v>2487</v>
      </c>
      <c r="E240" s="305"/>
      <c r="F240" s="117" t="s">
        <v>1646</v>
      </c>
      <c r="G240" s="116">
        <v>19.45</v>
      </c>
      <c r="H240" s="108">
        <v>0</v>
      </c>
    </row>
    <row r="241" spans="1:8" ht="12.2" customHeight="1" x14ac:dyDescent="0.2">
      <c r="D241" s="334" t="s">
        <v>4170</v>
      </c>
      <c r="E241" s="335"/>
      <c r="F241" s="335"/>
      <c r="G241" s="143">
        <v>19.45</v>
      </c>
    </row>
    <row r="242" spans="1:8" x14ac:dyDescent="0.2">
      <c r="A242" s="117" t="s">
        <v>107</v>
      </c>
      <c r="B242" s="117"/>
      <c r="C242" s="117" t="s">
        <v>660</v>
      </c>
      <c r="D242" s="304" t="s">
        <v>4141</v>
      </c>
      <c r="E242" s="305"/>
      <c r="F242" s="117" t="s">
        <v>1645</v>
      </c>
      <c r="G242" s="116">
        <v>23.536000000000001</v>
      </c>
      <c r="H242" s="108">
        <v>0</v>
      </c>
    </row>
    <row r="243" spans="1:8" ht="12.2" customHeight="1" x14ac:dyDescent="0.2">
      <c r="D243" s="334" t="s">
        <v>4173</v>
      </c>
      <c r="E243" s="335"/>
      <c r="F243" s="335"/>
      <c r="G243" s="143">
        <v>23.536000000000001</v>
      </c>
    </row>
    <row r="244" spans="1:8" x14ac:dyDescent="0.2">
      <c r="A244" s="117" t="s">
        <v>108</v>
      </c>
      <c r="B244" s="117"/>
      <c r="C244" s="117" t="s">
        <v>662</v>
      </c>
      <c r="D244" s="304" t="s">
        <v>1170</v>
      </c>
      <c r="E244" s="305"/>
      <c r="F244" s="117" t="s">
        <v>1644</v>
      </c>
      <c r="G244" s="116">
        <v>1</v>
      </c>
      <c r="H244" s="108">
        <v>0</v>
      </c>
    </row>
    <row r="245" spans="1:8" ht="12.2" customHeight="1" x14ac:dyDescent="0.2">
      <c r="D245" s="334" t="s">
        <v>1749</v>
      </c>
      <c r="E245" s="335"/>
      <c r="F245" s="335"/>
      <c r="G245" s="143">
        <v>1</v>
      </c>
    </row>
    <row r="246" spans="1:8" x14ac:dyDescent="0.2">
      <c r="A246" s="117" t="s">
        <v>109</v>
      </c>
      <c r="B246" s="117"/>
      <c r="C246" s="117" t="s">
        <v>2145</v>
      </c>
      <c r="D246" s="304" t="s">
        <v>2144</v>
      </c>
      <c r="E246" s="305"/>
      <c r="F246" s="117" t="s">
        <v>1644</v>
      </c>
      <c r="G246" s="116">
        <v>1</v>
      </c>
      <c r="H246" s="108">
        <v>0</v>
      </c>
    </row>
    <row r="247" spans="1:8" ht="12.2" customHeight="1" x14ac:dyDescent="0.2">
      <c r="D247" s="334" t="s">
        <v>1749</v>
      </c>
      <c r="E247" s="335"/>
      <c r="F247" s="335"/>
      <c r="G247" s="143">
        <v>1</v>
      </c>
    </row>
    <row r="248" spans="1:8" x14ac:dyDescent="0.2">
      <c r="A248" s="117" t="s">
        <v>110</v>
      </c>
      <c r="B248" s="117"/>
      <c r="C248" s="117" t="s">
        <v>663</v>
      </c>
      <c r="D248" s="304" t="s">
        <v>1171</v>
      </c>
      <c r="E248" s="305"/>
      <c r="F248" s="117" t="s">
        <v>1644</v>
      </c>
      <c r="G248" s="116">
        <v>10</v>
      </c>
      <c r="H248" s="108">
        <v>0</v>
      </c>
    </row>
    <row r="249" spans="1:8" ht="12.2" customHeight="1" x14ac:dyDescent="0.2">
      <c r="D249" s="334" t="s">
        <v>2177</v>
      </c>
      <c r="E249" s="335"/>
      <c r="F249" s="335"/>
      <c r="G249" s="143">
        <v>10</v>
      </c>
    </row>
    <row r="250" spans="1:8" x14ac:dyDescent="0.2">
      <c r="A250" s="117" t="s">
        <v>111</v>
      </c>
      <c r="B250" s="117"/>
      <c r="C250" s="117" t="s">
        <v>665</v>
      </c>
      <c r="D250" s="304" t="s">
        <v>1173</v>
      </c>
      <c r="E250" s="305"/>
      <c r="F250" s="117" t="s">
        <v>1645</v>
      </c>
      <c r="G250" s="116">
        <v>101.937</v>
      </c>
      <c r="H250" s="108">
        <v>0</v>
      </c>
    </row>
    <row r="251" spans="1:8" ht="12.2" customHeight="1" x14ac:dyDescent="0.2">
      <c r="D251" s="334" t="s">
        <v>4237</v>
      </c>
      <c r="E251" s="335"/>
      <c r="F251" s="335"/>
      <c r="G251" s="143">
        <v>101.937</v>
      </c>
    </row>
    <row r="252" spans="1:8" x14ac:dyDescent="0.2">
      <c r="A252" s="117" t="s">
        <v>112</v>
      </c>
      <c r="B252" s="117"/>
      <c r="C252" s="117" t="s">
        <v>666</v>
      </c>
      <c r="D252" s="304" t="s">
        <v>1174</v>
      </c>
      <c r="E252" s="305"/>
      <c r="F252" s="117" t="s">
        <v>1645</v>
      </c>
      <c r="G252" s="116">
        <v>43.686999999999998</v>
      </c>
      <c r="H252" s="108">
        <v>0</v>
      </c>
    </row>
    <row r="253" spans="1:8" ht="12.2" customHeight="1" x14ac:dyDescent="0.2">
      <c r="D253" s="334" t="s">
        <v>4236</v>
      </c>
      <c r="E253" s="335"/>
      <c r="F253" s="335"/>
      <c r="G253" s="143">
        <v>43.686999999999998</v>
      </c>
    </row>
    <row r="254" spans="1:8" x14ac:dyDescent="0.2">
      <c r="A254" s="117" t="s">
        <v>113</v>
      </c>
      <c r="B254" s="117"/>
      <c r="C254" s="117" t="s">
        <v>2844</v>
      </c>
      <c r="D254" s="304" t="s">
        <v>2843</v>
      </c>
      <c r="E254" s="305"/>
      <c r="F254" s="117" t="s">
        <v>1644</v>
      </c>
      <c r="G254" s="116">
        <v>5</v>
      </c>
      <c r="H254" s="108">
        <v>0</v>
      </c>
    </row>
    <row r="255" spans="1:8" ht="12.2" customHeight="1" x14ac:dyDescent="0.2">
      <c r="D255" s="334" t="s">
        <v>4177</v>
      </c>
      <c r="E255" s="335"/>
      <c r="F255" s="335"/>
      <c r="G255" s="143">
        <v>5</v>
      </c>
    </row>
    <row r="256" spans="1:8" x14ac:dyDescent="0.2">
      <c r="A256" s="117" t="s">
        <v>114</v>
      </c>
      <c r="B256" s="117"/>
      <c r="C256" s="117" t="s">
        <v>2842</v>
      </c>
      <c r="D256" s="304" t="s">
        <v>2841</v>
      </c>
      <c r="E256" s="305"/>
      <c r="F256" s="117" t="s">
        <v>1645</v>
      </c>
      <c r="G256" s="116">
        <v>2.7</v>
      </c>
      <c r="H256" s="108">
        <v>0</v>
      </c>
    </row>
    <row r="257" spans="1:8" ht="12.2" customHeight="1" x14ac:dyDescent="0.2">
      <c r="D257" s="334" t="s">
        <v>4235</v>
      </c>
      <c r="E257" s="335"/>
      <c r="F257" s="335"/>
      <c r="G257" s="143">
        <v>2.7</v>
      </c>
    </row>
    <row r="258" spans="1:8" x14ac:dyDescent="0.2">
      <c r="A258" s="117" t="s">
        <v>115</v>
      </c>
      <c r="B258" s="117"/>
      <c r="C258" s="117" t="s">
        <v>667</v>
      </c>
      <c r="D258" s="304" t="s">
        <v>2143</v>
      </c>
      <c r="E258" s="305"/>
      <c r="F258" s="117" t="s">
        <v>1644</v>
      </c>
      <c r="G258" s="116">
        <v>2</v>
      </c>
      <c r="H258" s="108">
        <v>0</v>
      </c>
    </row>
    <row r="259" spans="1:8" ht="12.2" customHeight="1" x14ac:dyDescent="0.2">
      <c r="D259" s="334" t="s">
        <v>1849</v>
      </c>
      <c r="E259" s="335"/>
      <c r="F259" s="335"/>
      <c r="G259" s="143">
        <v>2</v>
      </c>
    </row>
    <row r="260" spans="1:8" x14ac:dyDescent="0.2">
      <c r="A260" s="117" t="s">
        <v>116</v>
      </c>
      <c r="B260" s="117"/>
      <c r="C260" s="117" t="s">
        <v>668</v>
      </c>
      <c r="D260" s="304" t="s">
        <v>1176</v>
      </c>
      <c r="E260" s="305"/>
      <c r="F260" s="117" t="s">
        <v>1645</v>
      </c>
      <c r="G260" s="116">
        <v>0.9</v>
      </c>
      <c r="H260" s="108">
        <v>0</v>
      </c>
    </row>
    <row r="261" spans="1:8" ht="12.2" customHeight="1" x14ac:dyDescent="0.2">
      <c r="D261" s="334" t="s">
        <v>4234</v>
      </c>
      <c r="E261" s="335"/>
      <c r="F261" s="335"/>
      <c r="G261" s="143">
        <v>0.9</v>
      </c>
    </row>
    <row r="262" spans="1:8" x14ac:dyDescent="0.2">
      <c r="A262" s="120"/>
      <c r="B262" s="120"/>
      <c r="C262" s="120" t="s">
        <v>103</v>
      </c>
      <c r="D262" s="306" t="s">
        <v>1178</v>
      </c>
      <c r="E262" s="307"/>
      <c r="F262" s="120"/>
      <c r="G262" s="142"/>
      <c r="H262" s="109"/>
    </row>
    <row r="263" spans="1:8" x14ac:dyDescent="0.2">
      <c r="A263" s="117" t="s">
        <v>117</v>
      </c>
      <c r="B263" s="117"/>
      <c r="C263" s="117" t="s">
        <v>2485</v>
      </c>
      <c r="D263" s="304" t="s">
        <v>2484</v>
      </c>
      <c r="E263" s="305"/>
      <c r="F263" s="117" t="s">
        <v>1646</v>
      </c>
      <c r="G263" s="116">
        <v>0.45</v>
      </c>
      <c r="H263" s="108">
        <v>0</v>
      </c>
    </row>
    <row r="264" spans="1:8" ht="12.2" customHeight="1" x14ac:dyDescent="0.2">
      <c r="D264" s="334" t="s">
        <v>2546</v>
      </c>
      <c r="E264" s="335"/>
      <c r="F264" s="335"/>
      <c r="G264" s="143">
        <v>0.45</v>
      </c>
    </row>
    <row r="265" spans="1:8" x14ac:dyDescent="0.2">
      <c r="A265" s="117" t="s">
        <v>118</v>
      </c>
      <c r="B265" s="117"/>
      <c r="C265" s="117" t="s">
        <v>2483</v>
      </c>
      <c r="D265" s="304" t="s">
        <v>2482</v>
      </c>
      <c r="E265" s="305"/>
      <c r="F265" s="117" t="s">
        <v>1646</v>
      </c>
      <c r="G265" s="116">
        <v>0.45</v>
      </c>
      <c r="H265" s="108">
        <v>0</v>
      </c>
    </row>
    <row r="266" spans="1:8" ht="12.2" customHeight="1" x14ac:dyDescent="0.2">
      <c r="D266" s="334" t="s">
        <v>2546</v>
      </c>
      <c r="E266" s="335"/>
      <c r="F266" s="335"/>
      <c r="G266" s="143">
        <v>0.45</v>
      </c>
    </row>
    <row r="267" spans="1:8" x14ac:dyDescent="0.2">
      <c r="A267" s="117" t="s">
        <v>119</v>
      </c>
      <c r="B267" s="117"/>
      <c r="C267" s="117" t="s">
        <v>2481</v>
      </c>
      <c r="D267" s="304" t="s">
        <v>2480</v>
      </c>
      <c r="E267" s="305"/>
      <c r="F267" s="117" t="s">
        <v>1646</v>
      </c>
      <c r="G267" s="116">
        <v>0.45</v>
      </c>
      <c r="H267" s="108">
        <v>0</v>
      </c>
    </row>
    <row r="268" spans="1:8" ht="12.2" customHeight="1" x14ac:dyDescent="0.2">
      <c r="D268" s="334" t="s">
        <v>2546</v>
      </c>
      <c r="E268" s="335"/>
      <c r="F268" s="335"/>
      <c r="G268" s="143">
        <v>0.45</v>
      </c>
    </row>
    <row r="269" spans="1:8" x14ac:dyDescent="0.2">
      <c r="A269" s="117" t="s">
        <v>120</v>
      </c>
      <c r="B269" s="117"/>
      <c r="C269" s="117" t="s">
        <v>670</v>
      </c>
      <c r="D269" s="304" t="s">
        <v>1179</v>
      </c>
      <c r="E269" s="305"/>
      <c r="F269" s="117" t="s">
        <v>1646</v>
      </c>
      <c r="G269" s="116">
        <v>0.3</v>
      </c>
      <c r="H269" s="108">
        <v>0</v>
      </c>
    </row>
    <row r="270" spans="1:8" ht="12.2" customHeight="1" x14ac:dyDescent="0.2">
      <c r="D270" s="334" t="s">
        <v>4233</v>
      </c>
      <c r="E270" s="335"/>
      <c r="F270" s="335"/>
      <c r="G270" s="143">
        <v>0.3</v>
      </c>
    </row>
    <row r="271" spans="1:8" x14ac:dyDescent="0.2">
      <c r="A271" s="117" t="s">
        <v>121</v>
      </c>
      <c r="B271" s="117"/>
      <c r="C271" s="117" t="s">
        <v>671</v>
      </c>
      <c r="D271" s="304" t="s">
        <v>1180</v>
      </c>
      <c r="E271" s="305"/>
      <c r="F271" s="117" t="s">
        <v>1646</v>
      </c>
      <c r="G271" s="116">
        <v>0.3</v>
      </c>
      <c r="H271" s="108">
        <v>0</v>
      </c>
    </row>
    <row r="272" spans="1:8" ht="12.2" customHeight="1" x14ac:dyDescent="0.2">
      <c r="D272" s="334" t="s">
        <v>4233</v>
      </c>
      <c r="E272" s="335"/>
      <c r="F272" s="335"/>
      <c r="G272" s="143">
        <v>0.3</v>
      </c>
    </row>
    <row r="273" spans="1:8" x14ac:dyDescent="0.2">
      <c r="A273" s="117" t="s">
        <v>122</v>
      </c>
      <c r="B273" s="117"/>
      <c r="C273" s="117" t="s">
        <v>672</v>
      </c>
      <c r="D273" s="304" t="s">
        <v>1181</v>
      </c>
      <c r="E273" s="305"/>
      <c r="F273" s="117" t="s">
        <v>1646</v>
      </c>
      <c r="G273" s="116">
        <v>0.3</v>
      </c>
      <c r="H273" s="108">
        <v>0</v>
      </c>
    </row>
    <row r="274" spans="1:8" ht="12.2" customHeight="1" x14ac:dyDescent="0.2">
      <c r="D274" s="334" t="s">
        <v>4233</v>
      </c>
      <c r="E274" s="335"/>
      <c r="F274" s="335"/>
      <c r="G274" s="143">
        <v>0.3</v>
      </c>
    </row>
    <row r="275" spans="1:8" x14ac:dyDescent="0.2">
      <c r="A275" s="117" t="s">
        <v>123</v>
      </c>
      <c r="B275" s="117"/>
      <c r="C275" s="117" t="s">
        <v>2479</v>
      </c>
      <c r="D275" s="304" t="s">
        <v>2478</v>
      </c>
      <c r="E275" s="305"/>
      <c r="F275" s="117" t="s">
        <v>1646</v>
      </c>
      <c r="G275" s="116">
        <v>0.9</v>
      </c>
      <c r="H275" s="108">
        <v>0</v>
      </c>
    </row>
    <row r="276" spans="1:8" ht="12.2" customHeight="1" x14ac:dyDescent="0.2">
      <c r="D276" s="334" t="s">
        <v>4232</v>
      </c>
      <c r="E276" s="335"/>
      <c r="F276" s="335"/>
      <c r="G276" s="143">
        <v>0.9</v>
      </c>
    </row>
    <row r="277" spans="1:8" x14ac:dyDescent="0.2">
      <c r="A277" s="117" t="s">
        <v>124</v>
      </c>
      <c r="B277" s="117"/>
      <c r="C277" s="117" t="s">
        <v>3721</v>
      </c>
      <c r="D277" s="304" t="s">
        <v>3720</v>
      </c>
      <c r="E277" s="305"/>
      <c r="F277" s="117" t="s">
        <v>1646</v>
      </c>
      <c r="G277" s="116">
        <v>0.9</v>
      </c>
      <c r="H277" s="108">
        <v>0</v>
      </c>
    </row>
    <row r="278" spans="1:8" ht="12.2" customHeight="1" x14ac:dyDescent="0.2">
      <c r="D278" s="334" t="s">
        <v>4232</v>
      </c>
      <c r="E278" s="335"/>
      <c r="F278" s="335"/>
      <c r="G278" s="143">
        <v>0.9</v>
      </c>
    </row>
    <row r="279" spans="1:8" x14ac:dyDescent="0.2">
      <c r="A279" s="117" t="s">
        <v>125</v>
      </c>
      <c r="B279" s="117"/>
      <c r="C279" s="117" t="s">
        <v>2477</v>
      </c>
      <c r="D279" s="304" t="s">
        <v>2476</v>
      </c>
      <c r="E279" s="305"/>
      <c r="F279" s="117" t="s">
        <v>1646</v>
      </c>
      <c r="G279" s="116">
        <v>0.9</v>
      </c>
      <c r="H279" s="108">
        <v>0</v>
      </c>
    </row>
    <row r="280" spans="1:8" ht="12.2" customHeight="1" x14ac:dyDescent="0.2">
      <c r="D280" s="334" t="s">
        <v>4232</v>
      </c>
      <c r="E280" s="335"/>
      <c r="F280" s="335"/>
      <c r="G280" s="143">
        <v>0.9</v>
      </c>
    </row>
    <row r="281" spans="1:8" x14ac:dyDescent="0.2">
      <c r="A281" s="117" t="s">
        <v>126</v>
      </c>
      <c r="B281" s="117"/>
      <c r="C281" s="117" t="s">
        <v>673</v>
      </c>
      <c r="D281" s="304" t="s">
        <v>1182</v>
      </c>
      <c r="E281" s="305"/>
      <c r="F281" s="117" t="s">
        <v>1644</v>
      </c>
      <c r="G281" s="116">
        <v>10</v>
      </c>
      <c r="H281" s="108">
        <v>0</v>
      </c>
    </row>
    <row r="282" spans="1:8" ht="12.2" customHeight="1" x14ac:dyDescent="0.2">
      <c r="D282" s="334" t="s">
        <v>3829</v>
      </c>
      <c r="E282" s="335"/>
      <c r="F282" s="335"/>
      <c r="G282" s="143">
        <v>10</v>
      </c>
    </row>
    <row r="283" spans="1:8" x14ac:dyDescent="0.2">
      <c r="A283" s="117" t="s">
        <v>127</v>
      </c>
      <c r="B283" s="117"/>
      <c r="C283" s="117" t="s">
        <v>3719</v>
      </c>
      <c r="D283" s="304" t="s">
        <v>4140</v>
      </c>
      <c r="E283" s="305"/>
      <c r="F283" s="117" t="s">
        <v>1646</v>
      </c>
      <c r="G283" s="116">
        <v>1.5</v>
      </c>
      <c r="H283" s="108">
        <v>0</v>
      </c>
    </row>
    <row r="284" spans="1:8" ht="12.2" customHeight="1" x14ac:dyDescent="0.2">
      <c r="D284" s="334" t="s">
        <v>2545</v>
      </c>
      <c r="E284" s="335"/>
      <c r="F284" s="335"/>
      <c r="G284" s="143">
        <v>1.5</v>
      </c>
    </row>
    <row r="285" spans="1:8" x14ac:dyDescent="0.2">
      <c r="A285" s="117" t="s">
        <v>128</v>
      </c>
      <c r="B285" s="117"/>
      <c r="C285" s="117" t="s">
        <v>4139</v>
      </c>
      <c r="D285" s="304" t="s">
        <v>4138</v>
      </c>
      <c r="E285" s="305"/>
      <c r="F285" s="117" t="s">
        <v>1647</v>
      </c>
      <c r="G285" s="116">
        <v>6.3E-2</v>
      </c>
      <c r="H285" s="108">
        <v>0</v>
      </c>
    </row>
    <row r="286" spans="1:8" ht="12.2" customHeight="1" x14ac:dyDescent="0.2">
      <c r="D286" s="334" t="s">
        <v>4231</v>
      </c>
      <c r="E286" s="335"/>
      <c r="F286" s="335"/>
      <c r="G286" s="143">
        <v>6.3E-2</v>
      </c>
    </row>
    <row r="287" spans="1:8" x14ac:dyDescent="0.2">
      <c r="A287" s="117" t="s">
        <v>129</v>
      </c>
      <c r="B287" s="117"/>
      <c r="C287" s="117" t="s">
        <v>676</v>
      </c>
      <c r="D287" s="304" t="s">
        <v>1185</v>
      </c>
      <c r="E287" s="305"/>
      <c r="F287" s="117" t="s">
        <v>1645</v>
      </c>
      <c r="G287" s="116">
        <v>393.14699999999999</v>
      </c>
      <c r="H287" s="108">
        <v>0</v>
      </c>
    </row>
    <row r="288" spans="1:8" ht="12.2" customHeight="1" x14ac:dyDescent="0.2">
      <c r="D288" s="334" t="s">
        <v>4158</v>
      </c>
      <c r="E288" s="335"/>
      <c r="F288" s="335"/>
      <c r="G288" s="143">
        <v>393.14699999999999</v>
      </c>
    </row>
    <row r="289" spans="1:8" x14ac:dyDescent="0.2">
      <c r="A289" s="117" t="s">
        <v>130</v>
      </c>
      <c r="B289" s="117"/>
      <c r="C289" s="117" t="s">
        <v>677</v>
      </c>
      <c r="D289" s="304" t="s">
        <v>4137</v>
      </c>
      <c r="E289" s="305"/>
      <c r="F289" s="117" t="s">
        <v>1645</v>
      </c>
      <c r="G289" s="116">
        <v>23.151</v>
      </c>
      <c r="H289" s="108">
        <v>0</v>
      </c>
    </row>
    <row r="290" spans="1:8" ht="12.2" customHeight="1" x14ac:dyDescent="0.2">
      <c r="D290" s="334" t="s">
        <v>4230</v>
      </c>
      <c r="E290" s="335"/>
      <c r="F290" s="335"/>
      <c r="G290" s="143">
        <v>23.151</v>
      </c>
    </row>
    <row r="291" spans="1:8" x14ac:dyDescent="0.2">
      <c r="A291" s="117" t="s">
        <v>131</v>
      </c>
      <c r="B291" s="117"/>
      <c r="C291" s="117" t="s">
        <v>677</v>
      </c>
      <c r="D291" s="304" t="s">
        <v>4136</v>
      </c>
      <c r="E291" s="305"/>
      <c r="F291" s="117" t="s">
        <v>1645</v>
      </c>
      <c r="G291" s="116">
        <v>33.088999999999999</v>
      </c>
      <c r="H291" s="108">
        <v>0</v>
      </c>
    </row>
    <row r="292" spans="1:8" ht="12.2" customHeight="1" x14ac:dyDescent="0.2">
      <c r="D292" s="334" t="s">
        <v>4229</v>
      </c>
      <c r="E292" s="335"/>
      <c r="F292" s="335"/>
      <c r="G292" s="143">
        <v>33.088999999999999</v>
      </c>
    </row>
    <row r="293" spans="1:8" x14ac:dyDescent="0.2">
      <c r="A293" s="117" t="s">
        <v>132</v>
      </c>
      <c r="B293" s="117"/>
      <c r="C293" s="117" t="s">
        <v>678</v>
      </c>
      <c r="D293" s="304" t="s">
        <v>4135</v>
      </c>
      <c r="E293" s="305"/>
      <c r="F293" s="117" t="s">
        <v>1645</v>
      </c>
      <c r="G293" s="116">
        <v>29.175000000000001</v>
      </c>
      <c r="H293" s="108">
        <v>0</v>
      </c>
    </row>
    <row r="294" spans="1:8" ht="12.2" customHeight="1" x14ac:dyDescent="0.2">
      <c r="D294" s="334" t="s">
        <v>4228</v>
      </c>
      <c r="E294" s="335"/>
      <c r="F294" s="335"/>
      <c r="G294" s="143">
        <v>29.175000000000001</v>
      </c>
    </row>
    <row r="295" spans="1:8" x14ac:dyDescent="0.2">
      <c r="A295" s="117" t="s">
        <v>133</v>
      </c>
      <c r="B295" s="117"/>
      <c r="C295" s="117" t="s">
        <v>678</v>
      </c>
      <c r="D295" s="304" t="s">
        <v>4134</v>
      </c>
      <c r="E295" s="305"/>
      <c r="F295" s="117" t="s">
        <v>1645</v>
      </c>
      <c r="G295" s="116">
        <v>112.108</v>
      </c>
      <c r="H295" s="108">
        <v>0</v>
      </c>
    </row>
    <row r="296" spans="1:8" ht="12.2" customHeight="1" x14ac:dyDescent="0.2">
      <c r="D296" s="334" t="s">
        <v>4227</v>
      </c>
      <c r="E296" s="335"/>
      <c r="F296" s="335"/>
      <c r="G296" s="143">
        <v>112.108</v>
      </c>
    </row>
    <row r="297" spans="1:8" x14ac:dyDescent="0.2">
      <c r="A297" s="117" t="s">
        <v>134</v>
      </c>
      <c r="B297" s="117"/>
      <c r="C297" s="117" t="s">
        <v>679</v>
      </c>
      <c r="D297" s="304" t="s">
        <v>4133</v>
      </c>
      <c r="E297" s="305"/>
      <c r="F297" s="117" t="s">
        <v>1645</v>
      </c>
      <c r="G297" s="116">
        <v>34.86</v>
      </c>
      <c r="H297" s="108">
        <v>0</v>
      </c>
    </row>
    <row r="298" spans="1:8" ht="12.2" customHeight="1" x14ac:dyDescent="0.2">
      <c r="D298" s="334" t="s">
        <v>4226</v>
      </c>
      <c r="E298" s="335"/>
      <c r="F298" s="335"/>
      <c r="G298" s="143">
        <v>34.86</v>
      </c>
    </row>
    <row r="299" spans="1:8" x14ac:dyDescent="0.2">
      <c r="A299" s="117" t="s">
        <v>135</v>
      </c>
      <c r="B299" s="117"/>
      <c r="C299" s="117" t="s">
        <v>679</v>
      </c>
      <c r="D299" s="304" t="s">
        <v>4132</v>
      </c>
      <c r="E299" s="305"/>
      <c r="F299" s="117" t="s">
        <v>1645</v>
      </c>
      <c r="G299" s="116">
        <v>44.831000000000003</v>
      </c>
      <c r="H299" s="108">
        <v>0</v>
      </c>
    </row>
    <row r="300" spans="1:8" ht="12.2" customHeight="1" x14ac:dyDescent="0.2">
      <c r="D300" s="334" t="s">
        <v>4225</v>
      </c>
      <c r="E300" s="335"/>
      <c r="F300" s="335"/>
      <c r="G300" s="143">
        <v>44.831000000000003</v>
      </c>
    </row>
    <row r="301" spans="1:8" x14ac:dyDescent="0.2">
      <c r="A301" s="117" t="s">
        <v>136</v>
      </c>
      <c r="B301" s="117"/>
      <c r="C301" s="117" t="s">
        <v>680</v>
      </c>
      <c r="D301" s="304" t="s">
        <v>2472</v>
      </c>
      <c r="E301" s="305"/>
      <c r="F301" s="117" t="s">
        <v>1645</v>
      </c>
      <c r="G301" s="116">
        <v>69.548000000000002</v>
      </c>
      <c r="H301" s="108">
        <v>0</v>
      </c>
    </row>
    <row r="302" spans="1:8" ht="12.2" customHeight="1" x14ac:dyDescent="0.2">
      <c r="D302" s="334" t="s">
        <v>4224</v>
      </c>
      <c r="E302" s="335"/>
      <c r="F302" s="335"/>
      <c r="G302" s="143">
        <v>69.548000000000002</v>
      </c>
    </row>
    <row r="303" spans="1:8" x14ac:dyDescent="0.2">
      <c r="A303" s="117" t="s">
        <v>137</v>
      </c>
      <c r="B303" s="117"/>
      <c r="C303" s="117" t="s">
        <v>680</v>
      </c>
      <c r="D303" s="304" t="s">
        <v>1189</v>
      </c>
      <c r="E303" s="305"/>
      <c r="F303" s="117" t="s">
        <v>1645</v>
      </c>
      <c r="G303" s="116">
        <v>541.01900000000001</v>
      </c>
      <c r="H303" s="108">
        <v>0</v>
      </c>
    </row>
    <row r="304" spans="1:8" ht="12.2" customHeight="1" x14ac:dyDescent="0.2">
      <c r="D304" s="334" t="s">
        <v>4223</v>
      </c>
      <c r="E304" s="335"/>
      <c r="F304" s="335"/>
      <c r="G304" s="143">
        <v>541.01900000000001</v>
      </c>
    </row>
    <row r="305" spans="1:8" x14ac:dyDescent="0.2">
      <c r="A305" s="117" t="s">
        <v>138</v>
      </c>
      <c r="B305" s="117"/>
      <c r="C305" s="117" t="s">
        <v>681</v>
      </c>
      <c r="D305" s="304" t="s">
        <v>1190</v>
      </c>
      <c r="E305" s="305"/>
      <c r="F305" s="117" t="s">
        <v>1645</v>
      </c>
      <c r="G305" s="116">
        <v>541.01900000000001</v>
      </c>
      <c r="H305" s="108">
        <v>0</v>
      </c>
    </row>
    <row r="306" spans="1:8" ht="12.2" customHeight="1" x14ac:dyDescent="0.2">
      <c r="D306" s="334" t="s">
        <v>4223</v>
      </c>
      <c r="E306" s="335"/>
      <c r="F306" s="335"/>
      <c r="G306" s="143">
        <v>541.01900000000001</v>
      </c>
    </row>
    <row r="307" spans="1:8" x14ac:dyDescent="0.2">
      <c r="A307" s="117" t="s">
        <v>139</v>
      </c>
      <c r="B307" s="117"/>
      <c r="C307" s="117" t="s">
        <v>2471</v>
      </c>
      <c r="D307" s="304" t="s">
        <v>2470</v>
      </c>
      <c r="E307" s="305"/>
      <c r="F307" s="117" t="s">
        <v>1645</v>
      </c>
      <c r="G307" s="116">
        <v>24.158000000000001</v>
      </c>
      <c r="H307" s="108">
        <v>0</v>
      </c>
    </row>
    <row r="308" spans="1:8" ht="12.2" customHeight="1" x14ac:dyDescent="0.2">
      <c r="D308" s="334" t="s">
        <v>4222</v>
      </c>
      <c r="E308" s="335"/>
      <c r="F308" s="335"/>
      <c r="G308" s="143">
        <v>24.158000000000001</v>
      </c>
    </row>
    <row r="309" spans="1:8" x14ac:dyDescent="0.2">
      <c r="A309" s="117" t="s">
        <v>140</v>
      </c>
      <c r="B309" s="117"/>
      <c r="C309" s="117" t="s">
        <v>682</v>
      </c>
      <c r="D309" s="304" t="s">
        <v>1191</v>
      </c>
      <c r="E309" s="305"/>
      <c r="F309" s="117" t="s">
        <v>1645</v>
      </c>
      <c r="G309" s="116">
        <v>145.624</v>
      </c>
      <c r="H309" s="108">
        <v>0</v>
      </c>
    </row>
    <row r="310" spans="1:8" ht="12.2" customHeight="1" x14ac:dyDescent="0.2">
      <c r="D310" s="334" t="s">
        <v>4221</v>
      </c>
      <c r="E310" s="335"/>
      <c r="F310" s="335"/>
      <c r="G310" s="143">
        <v>145.624</v>
      </c>
    </row>
    <row r="311" spans="1:8" x14ac:dyDescent="0.2">
      <c r="A311" s="117" t="s">
        <v>141</v>
      </c>
      <c r="B311" s="117"/>
      <c r="C311" s="117" t="s">
        <v>682</v>
      </c>
      <c r="D311" s="304" t="s">
        <v>2837</v>
      </c>
      <c r="E311" s="305"/>
      <c r="F311" s="117" t="s">
        <v>1645</v>
      </c>
      <c r="G311" s="116">
        <v>88.555999999999997</v>
      </c>
      <c r="H311" s="108">
        <v>0</v>
      </c>
    </row>
    <row r="312" spans="1:8" ht="12.2" customHeight="1" x14ac:dyDescent="0.2">
      <c r="D312" s="334" t="s">
        <v>4218</v>
      </c>
      <c r="E312" s="335"/>
      <c r="F312" s="335"/>
      <c r="G312" s="143">
        <v>88.555999999999997</v>
      </c>
    </row>
    <row r="313" spans="1:8" x14ac:dyDescent="0.2">
      <c r="A313" s="117" t="s">
        <v>142</v>
      </c>
      <c r="B313" s="117"/>
      <c r="C313" s="117" t="s">
        <v>683</v>
      </c>
      <c r="D313" s="304" t="s">
        <v>4131</v>
      </c>
      <c r="E313" s="305"/>
      <c r="F313" s="117" t="s">
        <v>1645</v>
      </c>
      <c r="G313" s="116">
        <v>141.28299999999999</v>
      </c>
      <c r="H313" s="108">
        <v>0</v>
      </c>
    </row>
    <row r="314" spans="1:8" ht="12.2" customHeight="1" x14ac:dyDescent="0.2">
      <c r="D314" s="334" t="s">
        <v>4220</v>
      </c>
      <c r="E314" s="335"/>
      <c r="F314" s="335"/>
      <c r="G314" s="143">
        <v>141.28299999999999</v>
      </c>
    </row>
    <row r="315" spans="1:8" x14ac:dyDescent="0.2">
      <c r="A315" s="117" t="s">
        <v>143</v>
      </c>
      <c r="B315" s="117"/>
      <c r="C315" s="117" t="s">
        <v>2836</v>
      </c>
      <c r="D315" s="304" t="s">
        <v>2835</v>
      </c>
      <c r="E315" s="305"/>
      <c r="F315" s="117" t="s">
        <v>1645</v>
      </c>
      <c r="G315" s="116">
        <v>16.460999999999999</v>
      </c>
      <c r="H315" s="108">
        <v>0</v>
      </c>
    </row>
    <row r="316" spans="1:8" ht="12.2" customHeight="1" x14ac:dyDescent="0.2">
      <c r="D316" s="334" t="s">
        <v>4219</v>
      </c>
      <c r="E316" s="335"/>
      <c r="F316" s="335"/>
      <c r="G316" s="143">
        <v>16.460999999999999</v>
      </c>
    </row>
    <row r="317" spans="1:8" x14ac:dyDescent="0.2">
      <c r="A317" s="117" t="s">
        <v>144</v>
      </c>
      <c r="B317" s="117"/>
      <c r="C317" s="117" t="s">
        <v>2834</v>
      </c>
      <c r="D317" s="304" t="s">
        <v>2833</v>
      </c>
      <c r="E317" s="305"/>
      <c r="F317" s="117" t="s">
        <v>1645</v>
      </c>
      <c r="G317" s="116">
        <v>88.555999999999997</v>
      </c>
      <c r="H317" s="108">
        <v>0</v>
      </c>
    </row>
    <row r="318" spans="1:8" ht="12.2" customHeight="1" x14ac:dyDescent="0.2">
      <c r="D318" s="334" t="s">
        <v>4218</v>
      </c>
      <c r="E318" s="335"/>
      <c r="F318" s="335"/>
      <c r="G318" s="143">
        <v>88.555999999999997</v>
      </c>
    </row>
    <row r="319" spans="1:8" x14ac:dyDescent="0.2">
      <c r="A319" s="120"/>
      <c r="B319" s="120"/>
      <c r="C319" s="120" t="s">
        <v>686</v>
      </c>
      <c r="D319" s="306" t="s">
        <v>1198</v>
      </c>
      <c r="E319" s="307"/>
      <c r="F319" s="120"/>
      <c r="G319" s="142"/>
      <c r="H319" s="109"/>
    </row>
    <row r="320" spans="1:8" x14ac:dyDescent="0.2">
      <c r="A320" s="117" t="s">
        <v>145</v>
      </c>
      <c r="B320" s="117"/>
      <c r="C320" s="117" t="s">
        <v>687</v>
      </c>
      <c r="D320" s="304" t="s">
        <v>1199</v>
      </c>
      <c r="E320" s="305"/>
      <c r="F320" s="117" t="s">
        <v>1648</v>
      </c>
      <c r="G320" s="116">
        <v>49.703000000000003</v>
      </c>
      <c r="H320" s="108">
        <v>0</v>
      </c>
    </row>
    <row r="321" spans="1:8" ht="12.2" customHeight="1" x14ac:dyDescent="0.2">
      <c r="D321" s="334" t="s">
        <v>4217</v>
      </c>
      <c r="E321" s="335"/>
      <c r="F321" s="335"/>
      <c r="G321" s="143">
        <v>49.703000000000003</v>
      </c>
    </row>
    <row r="322" spans="1:8" x14ac:dyDescent="0.2">
      <c r="A322" s="117" t="s">
        <v>146</v>
      </c>
      <c r="B322" s="117"/>
      <c r="C322" s="117" t="s">
        <v>688</v>
      </c>
      <c r="D322" s="304" t="s">
        <v>1200</v>
      </c>
      <c r="E322" s="305"/>
      <c r="F322" s="117" t="s">
        <v>1648</v>
      </c>
      <c r="G322" s="116">
        <v>29.821999999999999</v>
      </c>
      <c r="H322" s="108">
        <v>0</v>
      </c>
    </row>
    <row r="323" spans="1:8" ht="12.2" customHeight="1" x14ac:dyDescent="0.2">
      <c r="D323" s="334" t="s">
        <v>4216</v>
      </c>
      <c r="E323" s="335"/>
      <c r="F323" s="335"/>
      <c r="G323" s="143">
        <v>29.821999999999999</v>
      </c>
    </row>
    <row r="324" spans="1:8" x14ac:dyDescent="0.2">
      <c r="A324" s="117" t="s">
        <v>147</v>
      </c>
      <c r="B324" s="117"/>
      <c r="C324" s="117" t="s">
        <v>689</v>
      </c>
      <c r="D324" s="304" t="s">
        <v>1201</v>
      </c>
      <c r="E324" s="305"/>
      <c r="F324" s="117" t="s">
        <v>1648</v>
      </c>
      <c r="G324" s="116">
        <v>149.108</v>
      </c>
      <c r="H324" s="108">
        <v>0</v>
      </c>
    </row>
    <row r="325" spans="1:8" ht="12.2" customHeight="1" x14ac:dyDescent="0.2">
      <c r="D325" s="334" t="s">
        <v>4213</v>
      </c>
      <c r="E325" s="335"/>
      <c r="F325" s="335"/>
      <c r="G325" s="143">
        <v>149.108</v>
      </c>
    </row>
    <row r="326" spans="1:8" x14ac:dyDescent="0.2">
      <c r="A326" s="117" t="s">
        <v>148</v>
      </c>
      <c r="B326" s="117"/>
      <c r="C326" s="117" t="s">
        <v>690</v>
      </c>
      <c r="D326" s="304" t="s">
        <v>1202</v>
      </c>
      <c r="E326" s="305"/>
      <c r="F326" s="117" t="s">
        <v>1648</v>
      </c>
      <c r="G326" s="116">
        <v>1341.972</v>
      </c>
      <c r="H326" s="108">
        <v>0</v>
      </c>
    </row>
    <row r="327" spans="1:8" ht="12.2" customHeight="1" x14ac:dyDescent="0.2">
      <c r="D327" s="334" t="s">
        <v>4215</v>
      </c>
      <c r="E327" s="335"/>
      <c r="F327" s="335"/>
      <c r="G327" s="143">
        <v>1341.972</v>
      </c>
    </row>
    <row r="328" spans="1:8" x14ac:dyDescent="0.2">
      <c r="A328" s="117" t="s">
        <v>149</v>
      </c>
      <c r="B328" s="117"/>
      <c r="C328" s="117" t="s">
        <v>691</v>
      </c>
      <c r="D328" s="304" t="s">
        <v>1203</v>
      </c>
      <c r="E328" s="305"/>
      <c r="F328" s="117" t="s">
        <v>1648</v>
      </c>
      <c r="G328" s="116">
        <v>149.108</v>
      </c>
      <c r="H328" s="108">
        <v>0</v>
      </c>
    </row>
    <row r="329" spans="1:8" ht="12.2" customHeight="1" x14ac:dyDescent="0.2">
      <c r="D329" s="334" t="s">
        <v>4213</v>
      </c>
      <c r="E329" s="335"/>
      <c r="F329" s="335"/>
      <c r="G329" s="143">
        <v>149.108</v>
      </c>
    </row>
    <row r="330" spans="1:8" x14ac:dyDescent="0.2">
      <c r="A330" s="117" t="s">
        <v>150</v>
      </c>
      <c r="B330" s="117"/>
      <c r="C330" s="117" t="s">
        <v>692</v>
      </c>
      <c r="D330" s="304" t="s">
        <v>1204</v>
      </c>
      <c r="E330" s="305"/>
      <c r="F330" s="117" t="s">
        <v>1648</v>
      </c>
      <c r="G330" s="116">
        <v>596.43200000000002</v>
      </c>
      <c r="H330" s="108">
        <v>0</v>
      </c>
    </row>
    <row r="331" spans="1:8" ht="12.2" customHeight="1" x14ac:dyDescent="0.2">
      <c r="D331" s="334" t="s">
        <v>4214</v>
      </c>
      <c r="E331" s="335"/>
      <c r="F331" s="335"/>
      <c r="G331" s="143">
        <v>596.43200000000002</v>
      </c>
    </row>
    <row r="332" spans="1:8" x14ac:dyDescent="0.2">
      <c r="A332" s="117" t="s">
        <v>151</v>
      </c>
      <c r="B332" s="117"/>
      <c r="C332" s="117" t="s">
        <v>693</v>
      </c>
      <c r="D332" s="304" t="s">
        <v>1205</v>
      </c>
      <c r="E332" s="305"/>
      <c r="F332" s="117" t="s">
        <v>1648</v>
      </c>
      <c r="G332" s="116">
        <v>149.108</v>
      </c>
      <c r="H332" s="108">
        <v>0</v>
      </c>
    </row>
    <row r="333" spans="1:8" ht="12.2" customHeight="1" x14ac:dyDescent="0.2">
      <c r="D333" s="334" t="s">
        <v>4213</v>
      </c>
      <c r="E333" s="335"/>
      <c r="F333" s="335"/>
      <c r="G333" s="143">
        <v>149.108</v>
      </c>
    </row>
    <row r="334" spans="1:8" x14ac:dyDescent="0.2">
      <c r="A334" s="117" t="s">
        <v>152</v>
      </c>
      <c r="B334" s="117"/>
      <c r="C334" s="117" t="s">
        <v>694</v>
      </c>
      <c r="D334" s="304" t="s">
        <v>1206</v>
      </c>
      <c r="E334" s="305"/>
      <c r="F334" s="117" t="s">
        <v>1648</v>
      </c>
      <c r="G334" s="116">
        <v>149.108</v>
      </c>
      <c r="H334" s="108">
        <v>0</v>
      </c>
    </row>
    <row r="335" spans="1:8" ht="12.2" customHeight="1" x14ac:dyDescent="0.2">
      <c r="D335" s="334" t="s">
        <v>4213</v>
      </c>
      <c r="E335" s="335"/>
      <c r="F335" s="335"/>
      <c r="G335" s="143">
        <v>149.108</v>
      </c>
    </row>
    <row r="336" spans="1:8" x14ac:dyDescent="0.2">
      <c r="A336" s="117" t="s">
        <v>153</v>
      </c>
      <c r="B336" s="117"/>
      <c r="C336" s="117" t="s">
        <v>695</v>
      </c>
      <c r="D336" s="304" t="s">
        <v>1207</v>
      </c>
      <c r="E336" s="305"/>
      <c r="F336" s="117" t="s">
        <v>1648</v>
      </c>
      <c r="G336" s="116">
        <v>4.492</v>
      </c>
      <c r="H336" s="108">
        <v>0</v>
      </c>
    </row>
    <row r="337" spans="1:8" ht="12.2" customHeight="1" x14ac:dyDescent="0.2">
      <c r="D337" s="334" t="s">
        <v>4212</v>
      </c>
      <c r="E337" s="335"/>
      <c r="F337" s="335"/>
      <c r="G337" s="143">
        <v>4.492</v>
      </c>
    </row>
    <row r="338" spans="1:8" x14ac:dyDescent="0.2">
      <c r="A338" s="117" t="s">
        <v>154</v>
      </c>
      <c r="B338" s="117"/>
      <c r="C338" s="117" t="s">
        <v>696</v>
      </c>
      <c r="D338" s="304" t="s">
        <v>1208</v>
      </c>
      <c r="E338" s="305"/>
      <c r="F338" s="117" t="s">
        <v>1648</v>
      </c>
      <c r="G338" s="116">
        <v>23.347999999999999</v>
      </c>
      <c r="H338" s="108">
        <v>0</v>
      </c>
    </row>
    <row r="339" spans="1:8" ht="12.2" customHeight="1" x14ac:dyDescent="0.2">
      <c r="D339" s="334" t="s">
        <v>4211</v>
      </c>
      <c r="E339" s="335"/>
      <c r="F339" s="335"/>
      <c r="G339" s="143">
        <v>23.347999999999999</v>
      </c>
    </row>
    <row r="340" spans="1:8" x14ac:dyDescent="0.2">
      <c r="A340" s="117" t="s">
        <v>155</v>
      </c>
      <c r="B340" s="117"/>
      <c r="C340" s="117" t="s">
        <v>697</v>
      </c>
      <c r="D340" s="304" t="s">
        <v>1209</v>
      </c>
      <c r="E340" s="305"/>
      <c r="F340" s="117" t="s">
        <v>1648</v>
      </c>
      <c r="G340" s="116">
        <v>39.573</v>
      </c>
      <c r="H340" s="108">
        <v>0</v>
      </c>
    </row>
    <row r="341" spans="1:8" ht="12.2" customHeight="1" x14ac:dyDescent="0.2">
      <c r="D341" s="334" t="s">
        <v>4210</v>
      </c>
      <c r="E341" s="335"/>
      <c r="F341" s="335"/>
      <c r="G341" s="143">
        <v>39.573</v>
      </c>
    </row>
    <row r="342" spans="1:8" x14ac:dyDescent="0.2">
      <c r="A342" s="117" t="s">
        <v>156</v>
      </c>
      <c r="B342" s="117"/>
      <c r="C342" s="117" t="s">
        <v>698</v>
      </c>
      <c r="D342" s="304" t="s">
        <v>4130</v>
      </c>
      <c r="E342" s="305"/>
      <c r="F342" s="117" t="s">
        <v>1648</v>
      </c>
      <c r="G342" s="116">
        <v>50.572000000000003</v>
      </c>
      <c r="H342" s="108">
        <v>0</v>
      </c>
    </row>
    <row r="343" spans="1:8" ht="12.2" customHeight="1" x14ac:dyDescent="0.2">
      <c r="D343" s="334" t="s">
        <v>4209</v>
      </c>
      <c r="E343" s="335"/>
      <c r="F343" s="335"/>
      <c r="G343" s="143">
        <v>50.572000000000003</v>
      </c>
    </row>
    <row r="344" spans="1:8" x14ac:dyDescent="0.2">
      <c r="A344" s="117" t="s">
        <v>157</v>
      </c>
      <c r="B344" s="117"/>
      <c r="C344" s="117" t="s">
        <v>700</v>
      </c>
      <c r="D344" s="304" t="s">
        <v>1212</v>
      </c>
      <c r="E344" s="305"/>
      <c r="F344" s="117" t="s">
        <v>1648</v>
      </c>
      <c r="G344" s="116">
        <v>9.8249999999999993</v>
      </c>
      <c r="H344" s="108">
        <v>0</v>
      </c>
    </row>
    <row r="345" spans="1:8" ht="12.2" customHeight="1" x14ac:dyDescent="0.2">
      <c r="D345" s="334" t="s">
        <v>4208</v>
      </c>
      <c r="E345" s="335"/>
      <c r="F345" s="335"/>
      <c r="G345" s="143">
        <v>9.8249999999999993</v>
      </c>
    </row>
    <row r="346" spans="1:8" x14ac:dyDescent="0.2">
      <c r="A346" s="117" t="s">
        <v>158</v>
      </c>
      <c r="B346" s="117"/>
      <c r="C346" s="117" t="s">
        <v>701</v>
      </c>
      <c r="D346" s="304" t="s">
        <v>1213</v>
      </c>
      <c r="E346" s="305"/>
      <c r="F346" s="117" t="s">
        <v>1648</v>
      </c>
      <c r="G346" s="116">
        <v>6.2750000000000004</v>
      </c>
      <c r="H346" s="108">
        <v>0</v>
      </c>
    </row>
    <row r="347" spans="1:8" ht="12.2" customHeight="1" x14ac:dyDescent="0.2">
      <c r="D347" s="334" t="s">
        <v>4207</v>
      </c>
      <c r="E347" s="335"/>
      <c r="F347" s="335"/>
      <c r="G347" s="143">
        <v>6.2750000000000004</v>
      </c>
    </row>
    <row r="348" spans="1:8" x14ac:dyDescent="0.2">
      <c r="A348" s="117" t="s">
        <v>159</v>
      </c>
      <c r="B348" s="117"/>
      <c r="C348" s="117" t="s">
        <v>3714</v>
      </c>
      <c r="D348" s="304" t="s">
        <v>3713</v>
      </c>
      <c r="E348" s="305"/>
      <c r="F348" s="117" t="s">
        <v>1648</v>
      </c>
      <c r="G348" s="116">
        <v>1.7</v>
      </c>
      <c r="H348" s="108">
        <v>0</v>
      </c>
    </row>
    <row r="349" spans="1:8" ht="12.2" customHeight="1" x14ac:dyDescent="0.2">
      <c r="D349" s="334" t="s">
        <v>4206</v>
      </c>
      <c r="E349" s="335"/>
      <c r="F349" s="335"/>
      <c r="G349" s="143">
        <v>1.7</v>
      </c>
    </row>
    <row r="350" spans="1:8" x14ac:dyDescent="0.2">
      <c r="A350" s="117" t="s">
        <v>160</v>
      </c>
      <c r="B350" s="117"/>
      <c r="C350" s="117" t="s">
        <v>702</v>
      </c>
      <c r="D350" s="304" t="s">
        <v>1214</v>
      </c>
      <c r="E350" s="305"/>
      <c r="F350" s="117" t="s">
        <v>1648</v>
      </c>
      <c r="G350" s="116">
        <v>13.323</v>
      </c>
      <c r="H350" s="108">
        <v>0</v>
      </c>
    </row>
    <row r="351" spans="1:8" ht="12.2" customHeight="1" x14ac:dyDescent="0.2">
      <c r="D351" s="334" t="s">
        <v>4205</v>
      </c>
      <c r="E351" s="335"/>
      <c r="F351" s="335"/>
      <c r="G351" s="143">
        <v>13.323</v>
      </c>
    </row>
    <row r="352" spans="1:8" x14ac:dyDescent="0.2">
      <c r="A352" s="120"/>
      <c r="B352" s="120"/>
      <c r="C352" s="120" t="s">
        <v>703</v>
      </c>
      <c r="D352" s="306" t="s">
        <v>1215</v>
      </c>
      <c r="E352" s="307"/>
      <c r="F352" s="120"/>
      <c r="G352" s="142"/>
      <c r="H352" s="109"/>
    </row>
    <row r="353" spans="1:8" x14ac:dyDescent="0.2">
      <c r="A353" s="117" t="s">
        <v>161</v>
      </c>
      <c r="B353" s="117"/>
      <c r="C353" s="117" t="s">
        <v>704</v>
      </c>
      <c r="D353" s="304" t="s">
        <v>1216</v>
      </c>
      <c r="E353" s="305"/>
      <c r="F353" s="117" t="s">
        <v>1648</v>
      </c>
      <c r="G353" s="116">
        <v>243.97499999999999</v>
      </c>
      <c r="H353" s="108">
        <v>0</v>
      </c>
    </row>
    <row r="354" spans="1:8" ht="12.2" customHeight="1" x14ac:dyDescent="0.2">
      <c r="D354" s="334" t="s">
        <v>4204</v>
      </c>
      <c r="E354" s="335"/>
      <c r="F354" s="335"/>
      <c r="G354" s="143">
        <v>243.97499999999999</v>
      </c>
    </row>
    <row r="355" spans="1:8" x14ac:dyDescent="0.2">
      <c r="A355" s="120"/>
      <c r="B355" s="120"/>
      <c r="C355" s="120" t="s">
        <v>705</v>
      </c>
      <c r="D355" s="306" t="s">
        <v>1217</v>
      </c>
      <c r="E355" s="307"/>
      <c r="F355" s="120"/>
      <c r="G355" s="142"/>
      <c r="H355" s="109"/>
    </row>
    <row r="356" spans="1:8" x14ac:dyDescent="0.2">
      <c r="A356" s="117" t="s">
        <v>162</v>
      </c>
      <c r="B356" s="117"/>
      <c r="C356" s="117" t="s">
        <v>706</v>
      </c>
      <c r="D356" s="304" t="s">
        <v>4129</v>
      </c>
      <c r="E356" s="305"/>
      <c r="F356" s="117" t="s">
        <v>1645</v>
      </c>
      <c r="G356" s="116">
        <v>477.50400000000002</v>
      </c>
      <c r="H356" s="108">
        <v>0</v>
      </c>
    </row>
    <row r="357" spans="1:8" ht="12.2" customHeight="1" x14ac:dyDescent="0.2">
      <c r="D357" s="334" t="s">
        <v>4191</v>
      </c>
      <c r="E357" s="335"/>
      <c r="F357" s="335"/>
      <c r="G357" s="143">
        <v>477.50400000000002</v>
      </c>
    </row>
    <row r="358" spans="1:8" x14ac:dyDescent="0.2">
      <c r="A358" s="117" t="s">
        <v>163</v>
      </c>
      <c r="B358" s="117"/>
      <c r="C358" s="117" t="s">
        <v>707</v>
      </c>
      <c r="D358" s="304" t="s">
        <v>1219</v>
      </c>
      <c r="E358" s="305"/>
      <c r="F358" s="117" t="s">
        <v>1644</v>
      </c>
      <c r="G358" s="116">
        <v>6</v>
      </c>
      <c r="H358" s="108">
        <v>0</v>
      </c>
    </row>
    <row r="359" spans="1:8" ht="12.2" customHeight="1" x14ac:dyDescent="0.2">
      <c r="D359" s="334" t="s">
        <v>1806</v>
      </c>
      <c r="E359" s="335"/>
      <c r="F359" s="335"/>
      <c r="G359" s="143">
        <v>6</v>
      </c>
    </row>
    <row r="360" spans="1:8" x14ac:dyDescent="0.2">
      <c r="A360" s="117" t="s">
        <v>164</v>
      </c>
      <c r="B360" s="117"/>
      <c r="C360" s="117" t="s">
        <v>2467</v>
      </c>
      <c r="D360" s="304" t="s">
        <v>2468</v>
      </c>
      <c r="E360" s="305"/>
      <c r="F360" s="117" t="s">
        <v>1645</v>
      </c>
      <c r="G360" s="116">
        <v>6.0750000000000002</v>
      </c>
      <c r="H360" s="108">
        <v>0</v>
      </c>
    </row>
    <row r="361" spans="1:8" ht="12.2" customHeight="1" x14ac:dyDescent="0.2">
      <c r="D361" s="334" t="s">
        <v>4182</v>
      </c>
      <c r="E361" s="335"/>
      <c r="F361" s="335"/>
      <c r="G361" s="143">
        <v>6.0750000000000002</v>
      </c>
    </row>
    <row r="362" spans="1:8" x14ac:dyDescent="0.2">
      <c r="A362" s="117" t="s">
        <v>165</v>
      </c>
      <c r="B362" s="117"/>
      <c r="C362" s="117" t="s">
        <v>2467</v>
      </c>
      <c r="D362" s="304" t="s">
        <v>2466</v>
      </c>
      <c r="E362" s="305"/>
      <c r="F362" s="117" t="s">
        <v>1645</v>
      </c>
      <c r="G362" s="116">
        <v>8.6999999999999993</v>
      </c>
      <c r="H362" s="108">
        <v>0</v>
      </c>
    </row>
    <row r="363" spans="1:8" ht="12.2" customHeight="1" x14ac:dyDescent="0.2">
      <c r="D363" s="334" t="s">
        <v>4190</v>
      </c>
      <c r="E363" s="335"/>
      <c r="F363" s="335"/>
      <c r="G363" s="143">
        <v>8.6999999999999993</v>
      </c>
    </row>
    <row r="364" spans="1:8" x14ac:dyDescent="0.2">
      <c r="A364" s="117" t="s">
        <v>166</v>
      </c>
      <c r="B364" s="117"/>
      <c r="C364" s="117" t="s">
        <v>708</v>
      </c>
      <c r="D364" s="304" t="s">
        <v>3712</v>
      </c>
      <c r="E364" s="305"/>
      <c r="F364" s="117" t="s">
        <v>1645</v>
      </c>
      <c r="G364" s="116">
        <v>477.50400000000002</v>
      </c>
      <c r="H364" s="108">
        <v>0</v>
      </c>
    </row>
    <row r="365" spans="1:8" ht="12.2" customHeight="1" x14ac:dyDescent="0.2">
      <c r="D365" s="334" t="s">
        <v>4193</v>
      </c>
      <c r="E365" s="335"/>
      <c r="F365" s="335"/>
      <c r="G365" s="143">
        <v>477.50400000000002</v>
      </c>
    </row>
    <row r="366" spans="1:8" x14ac:dyDescent="0.2">
      <c r="A366" s="117" t="s">
        <v>167</v>
      </c>
      <c r="B366" s="117"/>
      <c r="C366" s="117" t="s">
        <v>709</v>
      </c>
      <c r="D366" s="304" t="s">
        <v>1221</v>
      </c>
      <c r="E366" s="305"/>
      <c r="F366" s="117" t="s">
        <v>1648</v>
      </c>
      <c r="G366" s="116">
        <v>5.8879999999999999</v>
      </c>
      <c r="H366" s="108">
        <v>0</v>
      </c>
    </row>
    <row r="367" spans="1:8" ht="12.2" customHeight="1" x14ac:dyDescent="0.2">
      <c r="D367" s="334" t="s">
        <v>4203</v>
      </c>
      <c r="E367" s="335"/>
      <c r="F367" s="335"/>
      <c r="G367" s="143">
        <v>5.8879999999999999</v>
      </c>
    </row>
    <row r="368" spans="1:8" x14ac:dyDescent="0.2">
      <c r="A368" s="120"/>
      <c r="B368" s="120"/>
      <c r="C368" s="120" t="s">
        <v>710</v>
      </c>
      <c r="D368" s="306" t="s">
        <v>1222</v>
      </c>
      <c r="E368" s="307"/>
      <c r="F368" s="120"/>
      <c r="G368" s="142"/>
      <c r="H368" s="109"/>
    </row>
    <row r="369" spans="1:8" x14ac:dyDescent="0.2">
      <c r="A369" s="117" t="s">
        <v>168</v>
      </c>
      <c r="B369" s="117"/>
      <c r="C369" s="117" t="s">
        <v>3711</v>
      </c>
      <c r="D369" s="304" t="s">
        <v>4128</v>
      </c>
      <c r="E369" s="305"/>
      <c r="F369" s="117" t="s">
        <v>1645</v>
      </c>
      <c r="G369" s="116">
        <v>424.964</v>
      </c>
      <c r="H369" s="108">
        <v>0</v>
      </c>
    </row>
    <row r="370" spans="1:8" ht="12.2" customHeight="1" x14ac:dyDescent="0.2">
      <c r="D370" s="334" t="s">
        <v>4202</v>
      </c>
      <c r="E370" s="335"/>
      <c r="F370" s="335"/>
      <c r="G370" s="143">
        <v>424.964</v>
      </c>
    </row>
    <row r="371" spans="1:8" x14ac:dyDescent="0.2">
      <c r="A371" s="117" t="s">
        <v>169</v>
      </c>
      <c r="B371" s="117"/>
      <c r="C371" s="117" t="s">
        <v>711</v>
      </c>
      <c r="D371" s="304" t="s">
        <v>4127</v>
      </c>
      <c r="E371" s="305"/>
      <c r="F371" s="117" t="s">
        <v>1645</v>
      </c>
      <c r="G371" s="116">
        <v>424.964</v>
      </c>
      <c r="H371" s="108">
        <v>0</v>
      </c>
    </row>
    <row r="372" spans="1:8" ht="12.2" customHeight="1" x14ac:dyDescent="0.2">
      <c r="D372" s="334" t="s">
        <v>4199</v>
      </c>
      <c r="E372" s="335"/>
      <c r="F372" s="335"/>
      <c r="G372" s="143">
        <v>424.964</v>
      </c>
    </row>
    <row r="373" spans="1:8" x14ac:dyDescent="0.2">
      <c r="A373" s="124" t="s">
        <v>170</v>
      </c>
      <c r="B373" s="124"/>
      <c r="C373" s="124" t="s">
        <v>712</v>
      </c>
      <c r="D373" s="311" t="s">
        <v>1224</v>
      </c>
      <c r="E373" s="312"/>
      <c r="F373" s="124" t="s">
        <v>1645</v>
      </c>
      <c r="G373" s="123">
        <v>467.46</v>
      </c>
      <c r="H373" s="121">
        <v>0</v>
      </c>
    </row>
    <row r="374" spans="1:8" ht="12.2" customHeight="1" x14ac:dyDescent="0.2">
      <c r="D374" s="336" t="s">
        <v>4199</v>
      </c>
      <c r="E374" s="337"/>
      <c r="F374" s="337"/>
      <c r="G374" s="146">
        <v>424.964</v>
      </c>
    </row>
    <row r="375" spans="1:8" ht="12.2" customHeight="1" x14ac:dyDescent="0.2">
      <c r="A375" s="124"/>
      <c r="B375" s="124"/>
      <c r="C375" s="124"/>
      <c r="D375" s="336" t="s">
        <v>4201</v>
      </c>
      <c r="E375" s="337"/>
      <c r="F375" s="336"/>
      <c r="G375" s="145">
        <v>42.496000000000002</v>
      </c>
      <c r="H375" s="122"/>
    </row>
    <row r="376" spans="1:8" x14ac:dyDescent="0.2">
      <c r="A376" s="124" t="s">
        <v>171</v>
      </c>
      <c r="B376" s="124"/>
      <c r="C376" s="124" t="s">
        <v>713</v>
      </c>
      <c r="D376" s="311" t="s">
        <v>1225</v>
      </c>
      <c r="E376" s="312"/>
      <c r="F376" s="124" t="s">
        <v>1645</v>
      </c>
      <c r="G376" s="123">
        <v>467.46</v>
      </c>
      <c r="H376" s="121">
        <v>0</v>
      </c>
    </row>
    <row r="377" spans="1:8" ht="12.2" customHeight="1" x14ac:dyDescent="0.2">
      <c r="D377" s="336" t="s">
        <v>4199</v>
      </c>
      <c r="E377" s="337"/>
      <c r="F377" s="337"/>
      <c r="G377" s="146">
        <v>424.964</v>
      </c>
    </row>
    <row r="378" spans="1:8" ht="12.2" customHeight="1" x14ac:dyDescent="0.2">
      <c r="A378" s="124"/>
      <c r="B378" s="124"/>
      <c r="C378" s="124"/>
      <c r="D378" s="336" t="s">
        <v>4201</v>
      </c>
      <c r="E378" s="337"/>
      <c r="F378" s="336"/>
      <c r="G378" s="145">
        <v>42.496000000000002</v>
      </c>
      <c r="H378" s="122"/>
    </row>
    <row r="379" spans="1:8" x14ac:dyDescent="0.2">
      <c r="A379" s="117" t="s">
        <v>172</v>
      </c>
      <c r="B379" s="117"/>
      <c r="C379" s="117" t="s">
        <v>714</v>
      </c>
      <c r="D379" s="304" t="s">
        <v>1226</v>
      </c>
      <c r="E379" s="305"/>
      <c r="F379" s="117" t="s">
        <v>1646</v>
      </c>
      <c r="G379" s="116">
        <v>62.5</v>
      </c>
      <c r="H379" s="108">
        <v>0</v>
      </c>
    </row>
    <row r="380" spans="1:8" ht="12.2" customHeight="1" x14ac:dyDescent="0.2">
      <c r="D380" s="334" t="s">
        <v>1847</v>
      </c>
      <c r="E380" s="335"/>
      <c r="F380" s="335"/>
      <c r="G380" s="143">
        <v>62.5</v>
      </c>
    </row>
    <row r="381" spans="1:8" x14ac:dyDescent="0.2">
      <c r="A381" s="117" t="s">
        <v>173</v>
      </c>
      <c r="B381" s="117"/>
      <c r="C381" s="117" t="s">
        <v>3708</v>
      </c>
      <c r="D381" s="304" t="s">
        <v>4126</v>
      </c>
      <c r="E381" s="305"/>
      <c r="F381" s="117" t="s">
        <v>1645</v>
      </c>
      <c r="G381" s="116">
        <v>424.964</v>
      </c>
      <c r="H381" s="108">
        <v>0</v>
      </c>
    </row>
    <row r="382" spans="1:8" ht="12.2" customHeight="1" x14ac:dyDescent="0.2">
      <c r="D382" s="334" t="s">
        <v>4199</v>
      </c>
      <c r="E382" s="335"/>
      <c r="F382" s="335"/>
      <c r="G382" s="143">
        <v>424.964</v>
      </c>
    </row>
    <row r="383" spans="1:8" x14ac:dyDescent="0.2">
      <c r="A383" s="117" t="s">
        <v>174</v>
      </c>
      <c r="B383" s="117"/>
      <c r="C383" s="117" t="s">
        <v>715</v>
      </c>
      <c r="D383" s="304" t="s">
        <v>3706</v>
      </c>
      <c r="E383" s="305"/>
      <c r="F383" s="117" t="s">
        <v>1645</v>
      </c>
      <c r="G383" s="116">
        <v>424.964</v>
      </c>
      <c r="H383" s="108">
        <v>0</v>
      </c>
    </row>
    <row r="384" spans="1:8" ht="12.2" customHeight="1" x14ac:dyDescent="0.2">
      <c r="D384" s="334" t="s">
        <v>4199</v>
      </c>
      <c r="E384" s="335"/>
      <c r="F384" s="335"/>
      <c r="G384" s="143">
        <v>424.964</v>
      </c>
    </row>
    <row r="385" spans="1:8" x14ac:dyDescent="0.2">
      <c r="A385" s="117" t="s">
        <v>175</v>
      </c>
      <c r="B385" s="117"/>
      <c r="C385" s="117" t="s">
        <v>716</v>
      </c>
      <c r="D385" s="304" t="s">
        <v>3705</v>
      </c>
      <c r="E385" s="305"/>
      <c r="F385" s="117" t="s">
        <v>1645</v>
      </c>
      <c r="G385" s="116">
        <v>424.964</v>
      </c>
      <c r="H385" s="108">
        <v>0</v>
      </c>
    </row>
    <row r="386" spans="1:8" ht="12.2" customHeight="1" x14ac:dyDescent="0.2">
      <c r="D386" s="334" t="s">
        <v>4199</v>
      </c>
      <c r="E386" s="335"/>
      <c r="F386" s="335"/>
      <c r="G386" s="143">
        <v>424.964</v>
      </c>
    </row>
    <row r="387" spans="1:8" x14ac:dyDescent="0.2">
      <c r="A387" s="117" t="s">
        <v>176</v>
      </c>
      <c r="B387" s="117"/>
      <c r="C387" s="117" t="s">
        <v>717</v>
      </c>
      <c r="D387" s="304" t="s">
        <v>4125</v>
      </c>
      <c r="E387" s="305"/>
      <c r="F387" s="117" t="s">
        <v>1645</v>
      </c>
      <c r="G387" s="116">
        <v>439.73899999999998</v>
      </c>
      <c r="H387" s="108">
        <v>0</v>
      </c>
    </row>
    <row r="388" spans="1:8" ht="12.2" customHeight="1" x14ac:dyDescent="0.2">
      <c r="D388" s="334" t="s">
        <v>4199</v>
      </c>
      <c r="E388" s="335"/>
      <c r="F388" s="335"/>
      <c r="G388" s="143">
        <v>424.964</v>
      </c>
    </row>
    <row r="389" spans="1:8" ht="12.2" customHeight="1" x14ac:dyDescent="0.2">
      <c r="A389" s="117"/>
      <c r="B389" s="117"/>
      <c r="C389" s="117"/>
      <c r="D389" s="334" t="s">
        <v>4182</v>
      </c>
      <c r="E389" s="335"/>
      <c r="F389" s="334"/>
      <c r="G389" s="144">
        <v>6.0750000000000002</v>
      </c>
      <c r="H389" s="111"/>
    </row>
    <row r="390" spans="1:8" ht="12.2" customHeight="1" x14ac:dyDescent="0.2">
      <c r="A390" s="117"/>
      <c r="B390" s="117"/>
      <c r="C390" s="117"/>
      <c r="D390" s="334" t="s">
        <v>4190</v>
      </c>
      <c r="E390" s="335"/>
      <c r="F390" s="334"/>
      <c r="G390" s="144">
        <v>8.6999999999999993</v>
      </c>
      <c r="H390" s="111"/>
    </row>
    <row r="391" spans="1:8" x14ac:dyDescent="0.2">
      <c r="A391" s="117" t="s">
        <v>177</v>
      </c>
      <c r="B391" s="117"/>
      <c r="C391" s="117" t="s">
        <v>718</v>
      </c>
      <c r="D391" s="304" t="s">
        <v>1230</v>
      </c>
      <c r="E391" s="305"/>
      <c r="F391" s="117" t="s">
        <v>1648</v>
      </c>
      <c r="G391" s="116">
        <v>3.8919999999999999</v>
      </c>
      <c r="H391" s="108">
        <v>0</v>
      </c>
    </row>
    <row r="392" spans="1:8" ht="12.2" customHeight="1" x14ac:dyDescent="0.2">
      <c r="D392" s="334" t="s">
        <v>4200</v>
      </c>
      <c r="E392" s="335"/>
      <c r="F392" s="335"/>
      <c r="G392" s="143">
        <v>3.8919999999999999</v>
      </c>
    </row>
    <row r="393" spans="1:8" x14ac:dyDescent="0.2">
      <c r="A393" s="120"/>
      <c r="B393" s="120"/>
      <c r="C393" s="120" t="s">
        <v>744</v>
      </c>
      <c r="D393" s="306" t="s">
        <v>1256</v>
      </c>
      <c r="E393" s="307"/>
      <c r="F393" s="120"/>
      <c r="G393" s="142"/>
      <c r="H393" s="109"/>
    </row>
    <row r="394" spans="1:8" x14ac:dyDescent="0.2">
      <c r="A394" s="117" t="s">
        <v>178</v>
      </c>
      <c r="B394" s="117"/>
      <c r="C394" s="117" t="s">
        <v>4124</v>
      </c>
      <c r="D394" s="304" t="s">
        <v>1257</v>
      </c>
      <c r="E394" s="305"/>
      <c r="F394" s="117" t="s">
        <v>1646</v>
      </c>
      <c r="G394" s="116">
        <v>3</v>
      </c>
      <c r="H394" s="108">
        <v>0</v>
      </c>
    </row>
    <row r="395" spans="1:8" x14ac:dyDescent="0.2">
      <c r="A395" s="117" t="s">
        <v>179</v>
      </c>
      <c r="B395" s="117"/>
      <c r="C395" s="117" t="s">
        <v>4123</v>
      </c>
      <c r="D395" s="304" t="s">
        <v>1258</v>
      </c>
      <c r="E395" s="305"/>
      <c r="F395" s="117" t="s">
        <v>1646</v>
      </c>
      <c r="G395" s="116">
        <v>0.5</v>
      </c>
      <c r="H395" s="108">
        <v>0</v>
      </c>
    </row>
    <row r="396" spans="1:8" x14ac:dyDescent="0.2">
      <c r="A396" s="117" t="s">
        <v>180</v>
      </c>
      <c r="B396" s="117"/>
      <c r="C396" s="117" t="s">
        <v>4122</v>
      </c>
      <c r="D396" s="304" t="s">
        <v>2133</v>
      </c>
      <c r="E396" s="305"/>
      <c r="F396" s="117" t="s">
        <v>1646</v>
      </c>
      <c r="G396" s="116">
        <v>2</v>
      </c>
      <c r="H396" s="108">
        <v>0</v>
      </c>
    </row>
    <row r="397" spans="1:8" x14ac:dyDescent="0.2">
      <c r="A397" s="117" t="s">
        <v>181</v>
      </c>
      <c r="B397" s="117"/>
      <c r="C397" s="117" t="s">
        <v>4121</v>
      </c>
      <c r="D397" s="304" t="s">
        <v>1262</v>
      </c>
      <c r="E397" s="305"/>
      <c r="F397" s="117" t="s">
        <v>1644</v>
      </c>
      <c r="G397" s="116">
        <v>2</v>
      </c>
      <c r="H397" s="108">
        <v>0</v>
      </c>
    </row>
    <row r="398" spans="1:8" x14ac:dyDescent="0.2">
      <c r="A398" s="117" t="s">
        <v>182</v>
      </c>
      <c r="B398" s="117"/>
      <c r="C398" s="117" t="s">
        <v>4120</v>
      </c>
      <c r="D398" s="304" t="s">
        <v>1263</v>
      </c>
      <c r="E398" s="305"/>
      <c r="F398" s="117" t="s">
        <v>1644</v>
      </c>
      <c r="G398" s="116">
        <v>2</v>
      </c>
      <c r="H398" s="108">
        <v>0</v>
      </c>
    </row>
    <row r="399" spans="1:8" x14ac:dyDescent="0.2">
      <c r="A399" s="117" t="s">
        <v>183</v>
      </c>
      <c r="B399" s="117"/>
      <c r="C399" s="117" t="s">
        <v>4119</v>
      </c>
      <c r="D399" s="304" t="s">
        <v>1264</v>
      </c>
      <c r="E399" s="305"/>
      <c r="F399" s="117" t="s">
        <v>1644</v>
      </c>
      <c r="G399" s="116">
        <v>1</v>
      </c>
      <c r="H399" s="108">
        <v>0</v>
      </c>
    </row>
    <row r="400" spans="1:8" x14ac:dyDescent="0.2">
      <c r="A400" s="117" t="s">
        <v>184</v>
      </c>
      <c r="B400" s="117"/>
      <c r="C400" s="117" t="s">
        <v>4118</v>
      </c>
      <c r="D400" s="304" t="s">
        <v>1269</v>
      </c>
      <c r="E400" s="305"/>
      <c r="F400" s="117" t="s">
        <v>1644</v>
      </c>
      <c r="G400" s="116">
        <v>1</v>
      </c>
      <c r="H400" s="108">
        <v>0</v>
      </c>
    </row>
    <row r="401" spans="1:8" x14ac:dyDescent="0.2">
      <c r="A401" s="117" t="s">
        <v>185</v>
      </c>
      <c r="B401" s="117"/>
      <c r="C401" s="117" t="s">
        <v>4117</v>
      </c>
      <c r="D401" s="304" t="s">
        <v>1270</v>
      </c>
      <c r="E401" s="305"/>
      <c r="F401" s="117" t="s">
        <v>1644</v>
      </c>
      <c r="G401" s="116">
        <v>1</v>
      </c>
      <c r="H401" s="108">
        <v>0</v>
      </c>
    </row>
    <row r="402" spans="1:8" x14ac:dyDescent="0.2">
      <c r="A402" s="117" t="s">
        <v>186</v>
      </c>
      <c r="B402" s="117"/>
      <c r="C402" s="117" t="s">
        <v>4116</v>
      </c>
      <c r="D402" s="304" t="s">
        <v>1271</v>
      </c>
      <c r="E402" s="305"/>
      <c r="F402" s="117" t="s">
        <v>1644</v>
      </c>
      <c r="G402" s="116">
        <v>1</v>
      </c>
      <c r="H402" s="108">
        <v>0</v>
      </c>
    </row>
    <row r="403" spans="1:8" x14ac:dyDescent="0.2">
      <c r="A403" s="117" t="s">
        <v>187</v>
      </c>
      <c r="B403" s="117"/>
      <c r="C403" s="117" t="s">
        <v>4115</v>
      </c>
      <c r="D403" s="304" t="s">
        <v>1272</v>
      </c>
      <c r="E403" s="305"/>
      <c r="F403" s="117" t="s">
        <v>1644</v>
      </c>
      <c r="G403" s="116">
        <v>1</v>
      </c>
      <c r="H403" s="108">
        <v>0</v>
      </c>
    </row>
    <row r="404" spans="1:8" x14ac:dyDescent="0.2">
      <c r="A404" s="117" t="s">
        <v>188</v>
      </c>
      <c r="B404" s="117"/>
      <c r="C404" s="117" t="s">
        <v>4114</v>
      </c>
      <c r="D404" s="304" t="s">
        <v>1276</v>
      </c>
      <c r="E404" s="305"/>
      <c r="F404" s="117" t="s">
        <v>1644</v>
      </c>
      <c r="G404" s="116">
        <v>1</v>
      </c>
      <c r="H404" s="108">
        <v>0</v>
      </c>
    </row>
    <row r="405" spans="1:8" x14ac:dyDescent="0.2">
      <c r="A405" s="117" t="s">
        <v>189</v>
      </c>
      <c r="B405" s="117"/>
      <c r="C405" s="117" t="s">
        <v>4113</v>
      </c>
      <c r="D405" s="304" t="s">
        <v>4112</v>
      </c>
      <c r="E405" s="305"/>
      <c r="F405" s="117" t="s">
        <v>1644</v>
      </c>
      <c r="G405" s="116">
        <v>2</v>
      </c>
      <c r="H405" s="108">
        <v>0</v>
      </c>
    </row>
    <row r="406" spans="1:8" x14ac:dyDescent="0.2">
      <c r="A406" s="117" t="s">
        <v>190</v>
      </c>
      <c r="B406" s="117"/>
      <c r="C406" s="117" t="s">
        <v>4111</v>
      </c>
      <c r="D406" s="304" t="s">
        <v>2123</v>
      </c>
      <c r="E406" s="305"/>
      <c r="F406" s="117" t="s">
        <v>1644</v>
      </c>
      <c r="G406" s="116">
        <v>1</v>
      </c>
      <c r="H406" s="108">
        <v>0</v>
      </c>
    </row>
    <row r="407" spans="1:8" x14ac:dyDescent="0.2">
      <c r="A407" s="117" t="s">
        <v>191</v>
      </c>
      <c r="B407" s="117"/>
      <c r="C407" s="117" t="s">
        <v>4110</v>
      </c>
      <c r="D407" s="304" t="s">
        <v>1280</v>
      </c>
      <c r="E407" s="305"/>
      <c r="F407" s="117" t="s">
        <v>1646</v>
      </c>
      <c r="G407" s="116">
        <v>10</v>
      </c>
      <c r="H407" s="108">
        <v>0</v>
      </c>
    </row>
    <row r="408" spans="1:8" x14ac:dyDescent="0.2">
      <c r="A408" s="117" t="s">
        <v>192</v>
      </c>
      <c r="B408" s="117"/>
      <c r="C408" s="117" t="s">
        <v>4109</v>
      </c>
      <c r="D408" s="304" t="s">
        <v>1281</v>
      </c>
      <c r="E408" s="305"/>
      <c r="F408" s="117" t="s">
        <v>1646</v>
      </c>
      <c r="G408" s="116">
        <v>4</v>
      </c>
      <c r="H408" s="108">
        <v>0</v>
      </c>
    </row>
    <row r="409" spans="1:8" x14ac:dyDescent="0.2">
      <c r="A409" s="117" t="s">
        <v>193</v>
      </c>
      <c r="B409" s="117"/>
      <c r="C409" s="117" t="s">
        <v>4108</v>
      </c>
      <c r="D409" s="304" t="s">
        <v>1282</v>
      </c>
      <c r="E409" s="305"/>
      <c r="F409" s="117" t="s">
        <v>1644</v>
      </c>
      <c r="G409" s="116">
        <v>1</v>
      </c>
      <c r="H409" s="108">
        <v>0</v>
      </c>
    </row>
    <row r="410" spans="1:8" x14ac:dyDescent="0.2">
      <c r="A410" s="120"/>
      <c r="B410" s="120"/>
      <c r="C410" s="120" t="s">
        <v>771</v>
      </c>
      <c r="D410" s="306" t="s">
        <v>1283</v>
      </c>
      <c r="E410" s="307"/>
      <c r="F410" s="120"/>
      <c r="G410" s="142"/>
      <c r="H410" s="109"/>
    </row>
    <row r="411" spans="1:8" x14ac:dyDescent="0.2">
      <c r="A411" s="117" t="s">
        <v>194</v>
      </c>
      <c r="B411" s="117"/>
      <c r="C411" s="117" t="s">
        <v>4107</v>
      </c>
      <c r="D411" s="304" t="s">
        <v>1284</v>
      </c>
      <c r="E411" s="305"/>
      <c r="F411" s="117" t="s">
        <v>1644</v>
      </c>
      <c r="G411" s="116">
        <v>1</v>
      </c>
      <c r="H411" s="108">
        <v>0</v>
      </c>
    </row>
    <row r="412" spans="1:8" x14ac:dyDescent="0.2">
      <c r="A412" s="117" t="s">
        <v>195</v>
      </c>
      <c r="B412" s="117"/>
      <c r="C412" s="117" t="s">
        <v>4106</v>
      </c>
      <c r="D412" s="304" t="s">
        <v>1285</v>
      </c>
      <c r="E412" s="305"/>
      <c r="F412" s="117" t="s">
        <v>1644</v>
      </c>
      <c r="G412" s="116">
        <v>1</v>
      </c>
      <c r="H412" s="108">
        <v>0</v>
      </c>
    </row>
    <row r="413" spans="1:8" x14ac:dyDescent="0.2">
      <c r="A413" s="117" t="s">
        <v>196</v>
      </c>
      <c r="B413" s="117"/>
      <c r="C413" s="117" t="s">
        <v>4105</v>
      </c>
      <c r="D413" s="304" t="s">
        <v>1286</v>
      </c>
      <c r="E413" s="305"/>
      <c r="F413" s="117" t="s">
        <v>1644</v>
      </c>
      <c r="G413" s="116">
        <v>2</v>
      </c>
      <c r="H413" s="108">
        <v>0</v>
      </c>
    </row>
    <row r="414" spans="1:8" x14ac:dyDescent="0.2">
      <c r="A414" s="117" t="s">
        <v>197</v>
      </c>
      <c r="B414" s="117"/>
      <c r="C414" s="117" t="s">
        <v>4104</v>
      </c>
      <c r="D414" s="304" t="s">
        <v>1287</v>
      </c>
      <c r="E414" s="305"/>
      <c r="F414" s="117" t="s">
        <v>1644</v>
      </c>
      <c r="G414" s="116">
        <v>1</v>
      </c>
      <c r="H414" s="108">
        <v>0</v>
      </c>
    </row>
    <row r="415" spans="1:8" x14ac:dyDescent="0.2">
      <c r="A415" s="117" t="s">
        <v>198</v>
      </c>
      <c r="B415" s="117"/>
      <c r="C415" s="117" t="s">
        <v>4103</v>
      </c>
      <c r="D415" s="304" t="s">
        <v>1288</v>
      </c>
      <c r="E415" s="305"/>
      <c r="F415" s="117" t="s">
        <v>1644</v>
      </c>
      <c r="G415" s="116">
        <v>1</v>
      </c>
      <c r="H415" s="108">
        <v>0</v>
      </c>
    </row>
    <row r="416" spans="1:8" x14ac:dyDescent="0.2">
      <c r="A416" s="117" t="s">
        <v>199</v>
      </c>
      <c r="B416" s="117"/>
      <c r="C416" s="117" t="s">
        <v>4102</v>
      </c>
      <c r="D416" s="304" t="s">
        <v>1289</v>
      </c>
      <c r="E416" s="305"/>
      <c r="F416" s="117" t="s">
        <v>1644</v>
      </c>
      <c r="G416" s="116">
        <v>3</v>
      </c>
      <c r="H416" s="108">
        <v>0</v>
      </c>
    </row>
    <row r="417" spans="1:8" x14ac:dyDescent="0.2">
      <c r="A417" s="117" t="s">
        <v>200</v>
      </c>
      <c r="B417" s="117"/>
      <c r="C417" s="117" t="s">
        <v>4101</v>
      </c>
      <c r="D417" s="304" t="s">
        <v>1290</v>
      </c>
      <c r="E417" s="305"/>
      <c r="F417" s="117" t="s">
        <v>1644</v>
      </c>
      <c r="G417" s="116">
        <v>2</v>
      </c>
      <c r="H417" s="108">
        <v>0</v>
      </c>
    </row>
    <row r="418" spans="1:8" x14ac:dyDescent="0.2">
      <c r="A418" s="117" t="s">
        <v>201</v>
      </c>
      <c r="B418" s="117"/>
      <c r="C418" s="117" t="s">
        <v>4100</v>
      </c>
      <c r="D418" s="304" t="s">
        <v>1291</v>
      </c>
      <c r="E418" s="305"/>
      <c r="F418" s="117" t="s">
        <v>1644</v>
      </c>
      <c r="G418" s="116">
        <v>2</v>
      </c>
      <c r="H418" s="108">
        <v>0</v>
      </c>
    </row>
    <row r="419" spans="1:8" x14ac:dyDescent="0.2">
      <c r="A419" s="117" t="s">
        <v>202</v>
      </c>
      <c r="B419" s="117"/>
      <c r="C419" s="117" t="s">
        <v>4099</v>
      </c>
      <c r="D419" s="304" t="s">
        <v>1292</v>
      </c>
      <c r="E419" s="305"/>
      <c r="F419" s="117" t="s">
        <v>1644</v>
      </c>
      <c r="G419" s="116">
        <v>1</v>
      </c>
      <c r="H419" s="108">
        <v>0</v>
      </c>
    </row>
    <row r="420" spans="1:8" x14ac:dyDescent="0.2">
      <c r="A420" s="117" t="s">
        <v>203</v>
      </c>
      <c r="B420" s="117"/>
      <c r="C420" s="117" t="s">
        <v>4098</v>
      </c>
      <c r="D420" s="304" t="s">
        <v>1293</v>
      </c>
      <c r="E420" s="305"/>
      <c r="F420" s="117" t="s">
        <v>1644</v>
      </c>
      <c r="G420" s="116">
        <v>1</v>
      </c>
      <c r="H420" s="108">
        <v>0</v>
      </c>
    </row>
    <row r="421" spans="1:8" x14ac:dyDescent="0.2">
      <c r="A421" s="117" t="s">
        <v>204</v>
      </c>
      <c r="B421" s="117"/>
      <c r="C421" s="117" t="s">
        <v>4097</v>
      </c>
      <c r="D421" s="304" t="s">
        <v>1294</v>
      </c>
      <c r="E421" s="305"/>
      <c r="F421" s="117" t="s">
        <v>1644</v>
      </c>
      <c r="G421" s="116">
        <v>1</v>
      </c>
      <c r="H421" s="108">
        <v>0</v>
      </c>
    </row>
    <row r="422" spans="1:8" x14ac:dyDescent="0.2">
      <c r="A422" s="117" t="s">
        <v>205</v>
      </c>
      <c r="B422" s="117"/>
      <c r="C422" s="117" t="s">
        <v>4096</v>
      </c>
      <c r="D422" s="304" t="s">
        <v>1295</v>
      </c>
      <c r="E422" s="305"/>
      <c r="F422" s="117" t="s">
        <v>1644</v>
      </c>
      <c r="G422" s="116">
        <v>1</v>
      </c>
      <c r="H422" s="108">
        <v>0</v>
      </c>
    </row>
    <row r="423" spans="1:8" x14ac:dyDescent="0.2">
      <c r="A423" s="117" t="s">
        <v>206</v>
      </c>
      <c r="B423" s="117"/>
      <c r="C423" s="117" t="s">
        <v>4095</v>
      </c>
      <c r="D423" s="304" t="s">
        <v>1296</v>
      </c>
      <c r="E423" s="305"/>
      <c r="F423" s="117" t="s">
        <v>1644</v>
      </c>
      <c r="G423" s="116">
        <v>2</v>
      </c>
      <c r="H423" s="108">
        <v>0</v>
      </c>
    </row>
    <row r="424" spans="1:8" x14ac:dyDescent="0.2">
      <c r="A424" s="117" t="s">
        <v>207</v>
      </c>
      <c r="B424" s="117"/>
      <c r="C424" s="117" t="s">
        <v>4094</v>
      </c>
      <c r="D424" s="304" t="s">
        <v>1297</v>
      </c>
      <c r="E424" s="305"/>
      <c r="F424" s="117" t="s">
        <v>1644</v>
      </c>
      <c r="G424" s="116">
        <v>2</v>
      </c>
      <c r="H424" s="108">
        <v>0</v>
      </c>
    </row>
    <row r="425" spans="1:8" x14ac:dyDescent="0.2">
      <c r="A425" s="117" t="s">
        <v>208</v>
      </c>
      <c r="B425" s="117"/>
      <c r="C425" s="117" t="s">
        <v>4093</v>
      </c>
      <c r="D425" s="304" t="s">
        <v>1298</v>
      </c>
      <c r="E425" s="305"/>
      <c r="F425" s="117" t="s">
        <v>1644</v>
      </c>
      <c r="G425" s="116">
        <v>1</v>
      </c>
      <c r="H425" s="108">
        <v>0</v>
      </c>
    </row>
    <row r="426" spans="1:8" x14ac:dyDescent="0.2">
      <c r="A426" s="117" t="s">
        <v>209</v>
      </c>
      <c r="B426" s="117"/>
      <c r="C426" s="117" t="s">
        <v>4092</v>
      </c>
      <c r="D426" s="304" t="s">
        <v>1299</v>
      </c>
      <c r="E426" s="305"/>
      <c r="F426" s="117" t="s">
        <v>1646</v>
      </c>
      <c r="G426" s="116">
        <v>10</v>
      </c>
      <c r="H426" s="108">
        <v>0</v>
      </c>
    </row>
    <row r="427" spans="1:8" x14ac:dyDescent="0.2">
      <c r="A427" s="117" t="s">
        <v>210</v>
      </c>
      <c r="B427" s="117"/>
      <c r="C427" s="117" t="s">
        <v>4091</v>
      </c>
      <c r="D427" s="304" t="s">
        <v>1300</v>
      </c>
      <c r="E427" s="305"/>
      <c r="F427" s="117" t="s">
        <v>1646</v>
      </c>
      <c r="G427" s="116">
        <v>16</v>
      </c>
      <c r="H427" s="108">
        <v>0</v>
      </c>
    </row>
    <row r="428" spans="1:8" x14ac:dyDescent="0.2">
      <c r="A428" s="117" t="s">
        <v>211</v>
      </c>
      <c r="B428" s="117"/>
      <c r="C428" s="117" t="s">
        <v>4090</v>
      </c>
      <c r="D428" s="304" t="s">
        <v>1301</v>
      </c>
      <c r="E428" s="305"/>
      <c r="F428" s="117" t="s">
        <v>1646</v>
      </c>
      <c r="G428" s="116">
        <v>10</v>
      </c>
      <c r="H428" s="108">
        <v>0</v>
      </c>
    </row>
    <row r="429" spans="1:8" x14ac:dyDescent="0.2">
      <c r="A429" s="117" t="s">
        <v>212</v>
      </c>
      <c r="B429" s="117"/>
      <c r="C429" s="117" t="s">
        <v>4089</v>
      </c>
      <c r="D429" s="304" t="s">
        <v>1302</v>
      </c>
      <c r="E429" s="305"/>
      <c r="F429" s="117" t="s">
        <v>1644</v>
      </c>
      <c r="G429" s="116">
        <v>1</v>
      </c>
      <c r="H429" s="108">
        <v>0</v>
      </c>
    </row>
    <row r="430" spans="1:8" x14ac:dyDescent="0.2">
      <c r="A430" s="117" t="s">
        <v>213</v>
      </c>
      <c r="B430" s="117"/>
      <c r="C430" s="117" t="s">
        <v>4088</v>
      </c>
      <c r="D430" s="304" t="s">
        <v>1303</v>
      </c>
      <c r="E430" s="305"/>
      <c r="F430" s="117" t="s">
        <v>1644</v>
      </c>
      <c r="G430" s="116">
        <v>1</v>
      </c>
      <c r="H430" s="108">
        <v>0</v>
      </c>
    </row>
    <row r="431" spans="1:8" x14ac:dyDescent="0.2">
      <c r="A431" s="117" t="s">
        <v>214</v>
      </c>
      <c r="B431" s="117"/>
      <c r="C431" s="117" t="s">
        <v>4087</v>
      </c>
      <c r="D431" s="304" t="s">
        <v>1304</v>
      </c>
      <c r="E431" s="305"/>
      <c r="F431" s="117" t="s">
        <v>1644</v>
      </c>
      <c r="G431" s="116">
        <v>1</v>
      </c>
      <c r="H431" s="108">
        <v>0</v>
      </c>
    </row>
    <row r="432" spans="1:8" x14ac:dyDescent="0.2">
      <c r="A432" s="117" t="s">
        <v>215</v>
      </c>
      <c r="B432" s="117"/>
      <c r="C432" s="117" t="s">
        <v>4086</v>
      </c>
      <c r="D432" s="304" t="s">
        <v>1305</v>
      </c>
      <c r="E432" s="305"/>
      <c r="F432" s="117" t="s">
        <v>1644</v>
      </c>
      <c r="G432" s="116">
        <v>1</v>
      </c>
      <c r="H432" s="108">
        <v>0</v>
      </c>
    </row>
    <row r="433" spans="1:8" x14ac:dyDescent="0.2">
      <c r="A433" s="117" t="s">
        <v>216</v>
      </c>
      <c r="B433" s="117"/>
      <c r="C433" s="117" t="s">
        <v>4085</v>
      </c>
      <c r="D433" s="304" t="s">
        <v>1306</v>
      </c>
      <c r="E433" s="305"/>
      <c r="F433" s="117" t="s">
        <v>1646</v>
      </c>
      <c r="G433" s="116">
        <v>15</v>
      </c>
      <c r="H433" s="108">
        <v>0</v>
      </c>
    </row>
    <row r="434" spans="1:8" x14ac:dyDescent="0.2">
      <c r="A434" s="117" t="s">
        <v>217</v>
      </c>
      <c r="B434" s="117"/>
      <c r="C434" s="117" t="s">
        <v>4084</v>
      </c>
      <c r="D434" s="304" t="s">
        <v>1286</v>
      </c>
      <c r="E434" s="305"/>
      <c r="F434" s="117" t="s">
        <v>1644</v>
      </c>
      <c r="G434" s="116">
        <v>2</v>
      </c>
      <c r="H434" s="108">
        <v>0</v>
      </c>
    </row>
    <row r="435" spans="1:8" x14ac:dyDescent="0.2">
      <c r="A435" s="117" t="s">
        <v>218</v>
      </c>
      <c r="B435" s="117"/>
      <c r="C435" s="117" t="s">
        <v>4083</v>
      </c>
      <c r="D435" s="304" t="s">
        <v>1307</v>
      </c>
      <c r="E435" s="305"/>
      <c r="F435" s="117" t="s">
        <v>1644</v>
      </c>
      <c r="G435" s="116">
        <v>1</v>
      </c>
      <c r="H435" s="108">
        <v>0</v>
      </c>
    </row>
    <row r="436" spans="1:8" x14ac:dyDescent="0.2">
      <c r="A436" s="117" t="s">
        <v>219</v>
      </c>
      <c r="B436" s="117"/>
      <c r="C436" s="117" t="s">
        <v>4082</v>
      </c>
      <c r="D436" s="304" t="s">
        <v>1308</v>
      </c>
      <c r="E436" s="305"/>
      <c r="F436" s="117" t="s">
        <v>1644</v>
      </c>
      <c r="G436" s="116">
        <v>1</v>
      </c>
      <c r="H436" s="108">
        <v>0</v>
      </c>
    </row>
    <row r="437" spans="1:8" x14ac:dyDescent="0.2">
      <c r="A437" s="117" t="s">
        <v>220</v>
      </c>
      <c r="B437" s="117"/>
      <c r="C437" s="117" t="s">
        <v>4081</v>
      </c>
      <c r="D437" s="304" t="s">
        <v>1309</v>
      </c>
      <c r="E437" s="305"/>
      <c r="F437" s="117" t="s">
        <v>1644</v>
      </c>
      <c r="G437" s="116">
        <v>1</v>
      </c>
      <c r="H437" s="108">
        <v>0</v>
      </c>
    </row>
    <row r="438" spans="1:8" x14ac:dyDescent="0.2">
      <c r="A438" s="117" t="s">
        <v>221</v>
      </c>
      <c r="B438" s="117"/>
      <c r="C438" s="117" t="s">
        <v>4080</v>
      </c>
      <c r="D438" s="304" t="s">
        <v>1310</v>
      </c>
      <c r="E438" s="305"/>
      <c r="F438" s="117" t="s">
        <v>1644</v>
      </c>
      <c r="G438" s="116">
        <v>1</v>
      </c>
      <c r="H438" s="108">
        <v>0</v>
      </c>
    </row>
    <row r="439" spans="1:8" x14ac:dyDescent="0.2">
      <c r="A439" s="117" t="s">
        <v>222</v>
      </c>
      <c r="B439" s="117"/>
      <c r="C439" s="117" t="s">
        <v>4079</v>
      </c>
      <c r="D439" s="304" t="s">
        <v>1311</v>
      </c>
      <c r="E439" s="305"/>
      <c r="F439" s="117" t="s">
        <v>1644</v>
      </c>
      <c r="G439" s="116">
        <v>1</v>
      </c>
      <c r="H439" s="108">
        <v>0</v>
      </c>
    </row>
    <row r="440" spans="1:8" x14ac:dyDescent="0.2">
      <c r="A440" s="117" t="s">
        <v>223</v>
      </c>
      <c r="B440" s="117"/>
      <c r="C440" s="117" t="s">
        <v>4078</v>
      </c>
      <c r="D440" s="304" t="s">
        <v>1312</v>
      </c>
      <c r="E440" s="305"/>
      <c r="F440" s="117" t="s">
        <v>1644</v>
      </c>
      <c r="G440" s="116">
        <v>2</v>
      </c>
      <c r="H440" s="108">
        <v>0</v>
      </c>
    </row>
    <row r="441" spans="1:8" x14ac:dyDescent="0.2">
      <c r="A441" s="117" t="s">
        <v>224</v>
      </c>
      <c r="B441" s="117"/>
      <c r="C441" s="117" t="s">
        <v>4077</v>
      </c>
      <c r="D441" s="304" t="s">
        <v>1313</v>
      </c>
      <c r="E441" s="305"/>
      <c r="F441" s="117" t="s">
        <v>1644</v>
      </c>
      <c r="G441" s="116">
        <v>2</v>
      </c>
      <c r="H441" s="108">
        <v>0</v>
      </c>
    </row>
    <row r="442" spans="1:8" x14ac:dyDescent="0.2">
      <c r="A442" s="117" t="s">
        <v>225</v>
      </c>
      <c r="B442" s="117"/>
      <c r="C442" s="117" t="s">
        <v>4076</v>
      </c>
      <c r="D442" s="304" t="s">
        <v>1314</v>
      </c>
      <c r="E442" s="305"/>
      <c r="F442" s="117" t="s">
        <v>1644</v>
      </c>
      <c r="G442" s="116">
        <v>1</v>
      </c>
      <c r="H442" s="108">
        <v>0</v>
      </c>
    </row>
    <row r="443" spans="1:8" x14ac:dyDescent="0.2">
      <c r="A443" s="117" t="s">
        <v>226</v>
      </c>
      <c r="B443" s="117"/>
      <c r="C443" s="117" t="s">
        <v>4075</v>
      </c>
      <c r="D443" s="304" t="s">
        <v>1315</v>
      </c>
      <c r="E443" s="305"/>
      <c r="F443" s="117" t="s">
        <v>1644</v>
      </c>
      <c r="G443" s="116">
        <v>1</v>
      </c>
      <c r="H443" s="108">
        <v>0</v>
      </c>
    </row>
    <row r="444" spans="1:8" x14ac:dyDescent="0.2">
      <c r="A444" s="117" t="s">
        <v>227</v>
      </c>
      <c r="B444" s="117"/>
      <c r="C444" s="117" t="s">
        <v>4074</v>
      </c>
      <c r="D444" s="304" t="s">
        <v>1316</v>
      </c>
      <c r="E444" s="305"/>
      <c r="F444" s="117" t="s">
        <v>1644</v>
      </c>
      <c r="G444" s="116">
        <v>2</v>
      </c>
      <c r="H444" s="108">
        <v>0</v>
      </c>
    </row>
    <row r="445" spans="1:8" x14ac:dyDescent="0.2">
      <c r="A445" s="117" t="s">
        <v>228</v>
      </c>
      <c r="B445" s="117"/>
      <c r="C445" s="117" t="s">
        <v>4073</v>
      </c>
      <c r="D445" s="304" t="s">
        <v>1317</v>
      </c>
      <c r="E445" s="305"/>
      <c r="F445" s="117" t="s">
        <v>1644</v>
      </c>
      <c r="G445" s="116">
        <v>1</v>
      </c>
      <c r="H445" s="108">
        <v>0</v>
      </c>
    </row>
    <row r="446" spans="1:8" x14ac:dyDescent="0.2">
      <c r="A446" s="117" t="s">
        <v>229</v>
      </c>
      <c r="B446" s="117"/>
      <c r="C446" s="117" t="s">
        <v>4072</v>
      </c>
      <c r="D446" s="304" t="s">
        <v>1318</v>
      </c>
      <c r="E446" s="305"/>
      <c r="F446" s="117" t="s">
        <v>1644</v>
      </c>
      <c r="G446" s="116">
        <v>2</v>
      </c>
      <c r="H446" s="108">
        <v>0</v>
      </c>
    </row>
    <row r="447" spans="1:8" x14ac:dyDescent="0.2">
      <c r="A447" s="117" t="s">
        <v>230</v>
      </c>
      <c r="B447" s="117"/>
      <c r="C447" s="117" t="s">
        <v>4071</v>
      </c>
      <c r="D447" s="304" t="s">
        <v>1319</v>
      </c>
      <c r="E447" s="305"/>
      <c r="F447" s="117" t="s">
        <v>1644</v>
      </c>
      <c r="G447" s="116">
        <v>6</v>
      </c>
      <c r="H447" s="108">
        <v>0</v>
      </c>
    </row>
    <row r="448" spans="1:8" x14ac:dyDescent="0.2">
      <c r="A448" s="117" t="s">
        <v>231</v>
      </c>
      <c r="B448" s="117"/>
      <c r="C448" s="117" t="s">
        <v>4070</v>
      </c>
      <c r="D448" s="304" t="s">
        <v>1320</v>
      </c>
      <c r="E448" s="305"/>
      <c r="F448" s="117" t="s">
        <v>1644</v>
      </c>
      <c r="G448" s="116">
        <v>14</v>
      </c>
      <c r="H448" s="108">
        <v>0</v>
      </c>
    </row>
    <row r="449" spans="1:8" x14ac:dyDescent="0.2">
      <c r="A449" s="117" t="s">
        <v>232</v>
      </c>
      <c r="B449" s="117"/>
      <c r="C449" s="117" t="s">
        <v>4069</v>
      </c>
      <c r="D449" s="304" t="s">
        <v>1321</v>
      </c>
      <c r="E449" s="305"/>
      <c r="F449" s="117" t="s">
        <v>1644</v>
      </c>
      <c r="G449" s="116">
        <v>1</v>
      </c>
      <c r="H449" s="108">
        <v>0</v>
      </c>
    </row>
    <row r="450" spans="1:8" x14ac:dyDescent="0.2">
      <c r="A450" s="117" t="s">
        <v>233</v>
      </c>
      <c r="B450" s="117"/>
      <c r="C450" s="117" t="s">
        <v>4068</v>
      </c>
      <c r="D450" s="304" t="s">
        <v>1322</v>
      </c>
      <c r="E450" s="305"/>
      <c r="F450" s="117" t="s">
        <v>1644</v>
      </c>
      <c r="G450" s="116">
        <v>2</v>
      </c>
      <c r="H450" s="108">
        <v>0</v>
      </c>
    </row>
    <row r="451" spans="1:8" x14ac:dyDescent="0.2">
      <c r="A451" s="117" t="s">
        <v>234</v>
      </c>
      <c r="B451" s="117"/>
      <c r="C451" s="117" t="s">
        <v>4067</v>
      </c>
      <c r="D451" s="304" t="s">
        <v>1323</v>
      </c>
      <c r="E451" s="305"/>
      <c r="F451" s="117" t="s">
        <v>1644</v>
      </c>
      <c r="G451" s="116">
        <v>1</v>
      </c>
      <c r="H451" s="108">
        <v>0</v>
      </c>
    </row>
    <row r="452" spans="1:8" x14ac:dyDescent="0.2">
      <c r="A452" s="117" t="s">
        <v>235</v>
      </c>
      <c r="B452" s="117"/>
      <c r="C452" s="117" t="s">
        <v>4066</v>
      </c>
      <c r="D452" s="304" t="s">
        <v>1324</v>
      </c>
      <c r="E452" s="305"/>
      <c r="F452" s="117" t="s">
        <v>1644</v>
      </c>
      <c r="G452" s="116">
        <v>2</v>
      </c>
      <c r="H452" s="108">
        <v>0</v>
      </c>
    </row>
    <row r="453" spans="1:8" x14ac:dyDescent="0.2">
      <c r="A453" s="117" t="s">
        <v>236</v>
      </c>
      <c r="B453" s="117"/>
      <c r="C453" s="117" t="s">
        <v>4065</v>
      </c>
      <c r="D453" s="304" t="s">
        <v>1325</v>
      </c>
      <c r="E453" s="305"/>
      <c r="F453" s="117" t="s">
        <v>1644</v>
      </c>
      <c r="G453" s="116">
        <v>1</v>
      </c>
      <c r="H453" s="108">
        <v>0</v>
      </c>
    </row>
    <row r="454" spans="1:8" x14ac:dyDescent="0.2">
      <c r="A454" s="117" t="s">
        <v>237</v>
      </c>
      <c r="B454" s="117"/>
      <c r="C454" s="117" t="s">
        <v>4064</v>
      </c>
      <c r="D454" s="304" t="s">
        <v>1297</v>
      </c>
      <c r="E454" s="305"/>
      <c r="F454" s="117" t="s">
        <v>1644</v>
      </c>
      <c r="G454" s="116">
        <v>8</v>
      </c>
      <c r="H454" s="108">
        <v>0</v>
      </c>
    </row>
    <row r="455" spans="1:8" x14ac:dyDescent="0.2">
      <c r="A455" s="117" t="s">
        <v>238</v>
      </c>
      <c r="B455" s="117"/>
      <c r="C455" s="117" t="s">
        <v>4063</v>
      </c>
      <c r="D455" s="304" t="s">
        <v>1326</v>
      </c>
      <c r="E455" s="305"/>
      <c r="F455" s="117" t="s">
        <v>1644</v>
      </c>
      <c r="G455" s="116">
        <v>8</v>
      </c>
      <c r="H455" s="108">
        <v>0</v>
      </c>
    </row>
    <row r="456" spans="1:8" x14ac:dyDescent="0.2">
      <c r="A456" s="117" t="s">
        <v>239</v>
      </c>
      <c r="B456" s="117"/>
      <c r="C456" s="117" t="s">
        <v>4062</v>
      </c>
      <c r="D456" s="304" t="s">
        <v>1327</v>
      </c>
      <c r="E456" s="305"/>
      <c r="F456" s="117" t="s">
        <v>1644</v>
      </c>
      <c r="G456" s="116">
        <v>6</v>
      </c>
      <c r="H456" s="108">
        <v>0</v>
      </c>
    </row>
    <row r="457" spans="1:8" x14ac:dyDescent="0.2">
      <c r="A457" s="117" t="s">
        <v>240</v>
      </c>
      <c r="B457" s="117"/>
      <c r="C457" s="117" t="s">
        <v>4061</v>
      </c>
      <c r="D457" s="304" t="s">
        <v>1294</v>
      </c>
      <c r="E457" s="305"/>
      <c r="F457" s="117" t="s">
        <v>1644</v>
      </c>
      <c r="G457" s="116">
        <v>2</v>
      </c>
      <c r="H457" s="108">
        <v>0</v>
      </c>
    </row>
    <row r="458" spans="1:8" x14ac:dyDescent="0.2">
      <c r="A458" s="117" t="s">
        <v>241</v>
      </c>
      <c r="B458" s="117"/>
      <c r="C458" s="117" t="s">
        <v>4060</v>
      </c>
      <c r="D458" s="304" t="s">
        <v>1295</v>
      </c>
      <c r="E458" s="305"/>
      <c r="F458" s="117" t="s">
        <v>1644</v>
      </c>
      <c r="G458" s="116">
        <v>2</v>
      </c>
      <c r="H458" s="108">
        <v>0</v>
      </c>
    </row>
    <row r="459" spans="1:8" x14ac:dyDescent="0.2">
      <c r="A459" s="117" t="s">
        <v>242</v>
      </c>
      <c r="B459" s="117"/>
      <c r="C459" s="117" t="s">
        <v>4059</v>
      </c>
      <c r="D459" s="304" t="s">
        <v>1328</v>
      </c>
      <c r="E459" s="305"/>
      <c r="F459" s="117" t="s">
        <v>1644</v>
      </c>
      <c r="G459" s="116">
        <v>22</v>
      </c>
      <c r="H459" s="108">
        <v>0</v>
      </c>
    </row>
    <row r="460" spans="1:8" x14ac:dyDescent="0.2">
      <c r="A460" s="117" t="s">
        <v>243</v>
      </c>
      <c r="B460" s="117"/>
      <c r="C460" s="117" t="s">
        <v>4058</v>
      </c>
      <c r="D460" s="304" t="s">
        <v>1329</v>
      </c>
      <c r="E460" s="305"/>
      <c r="F460" s="117" t="s">
        <v>1644</v>
      </c>
      <c r="G460" s="116">
        <v>1</v>
      </c>
      <c r="H460" s="108">
        <v>0</v>
      </c>
    </row>
    <row r="461" spans="1:8" x14ac:dyDescent="0.2">
      <c r="A461" s="117" t="s">
        <v>244</v>
      </c>
      <c r="B461" s="117"/>
      <c r="C461" s="117" t="s">
        <v>4057</v>
      </c>
      <c r="D461" s="304" t="s">
        <v>1330</v>
      </c>
      <c r="E461" s="305"/>
      <c r="F461" s="117" t="s">
        <v>1646</v>
      </c>
      <c r="G461" s="116">
        <v>50</v>
      </c>
      <c r="H461" s="108">
        <v>0</v>
      </c>
    </row>
    <row r="462" spans="1:8" x14ac:dyDescent="0.2">
      <c r="A462" s="117" t="s">
        <v>245</v>
      </c>
      <c r="B462" s="117"/>
      <c r="C462" s="117" t="s">
        <v>4056</v>
      </c>
      <c r="D462" s="304" t="s">
        <v>1331</v>
      </c>
      <c r="E462" s="305"/>
      <c r="F462" s="117" t="s">
        <v>1646</v>
      </c>
      <c r="G462" s="116">
        <v>20</v>
      </c>
      <c r="H462" s="108">
        <v>0</v>
      </c>
    </row>
    <row r="463" spans="1:8" x14ac:dyDescent="0.2">
      <c r="A463" s="117" t="s">
        <v>246</v>
      </c>
      <c r="B463" s="117"/>
      <c r="C463" s="117" t="s">
        <v>4055</v>
      </c>
      <c r="D463" s="304" t="s">
        <v>1332</v>
      </c>
      <c r="E463" s="305"/>
      <c r="F463" s="117" t="s">
        <v>1646</v>
      </c>
      <c r="G463" s="116">
        <v>6</v>
      </c>
      <c r="H463" s="108">
        <v>0</v>
      </c>
    </row>
    <row r="464" spans="1:8" x14ac:dyDescent="0.2">
      <c r="A464" s="117" t="s">
        <v>247</v>
      </c>
      <c r="B464" s="117"/>
      <c r="C464" s="117" t="s">
        <v>4054</v>
      </c>
      <c r="D464" s="304" t="s">
        <v>1333</v>
      </c>
      <c r="E464" s="305"/>
      <c r="F464" s="117" t="s">
        <v>1646</v>
      </c>
      <c r="G464" s="116">
        <v>50</v>
      </c>
      <c r="H464" s="108">
        <v>0</v>
      </c>
    </row>
    <row r="465" spans="1:8" x14ac:dyDescent="0.2">
      <c r="A465" s="117" t="s">
        <v>248</v>
      </c>
      <c r="B465" s="117"/>
      <c r="C465" s="117" t="s">
        <v>4053</v>
      </c>
      <c r="D465" s="304" t="s">
        <v>1334</v>
      </c>
      <c r="E465" s="305"/>
      <c r="F465" s="117" t="s">
        <v>1646</v>
      </c>
      <c r="G465" s="116">
        <v>20</v>
      </c>
      <c r="H465" s="108">
        <v>0</v>
      </c>
    </row>
    <row r="466" spans="1:8" x14ac:dyDescent="0.2">
      <c r="A466" s="117" t="s">
        <v>249</v>
      </c>
      <c r="B466" s="117"/>
      <c r="C466" s="117" t="s">
        <v>4052</v>
      </c>
      <c r="D466" s="304" t="s">
        <v>1335</v>
      </c>
      <c r="E466" s="305"/>
      <c r="F466" s="117" t="s">
        <v>1645</v>
      </c>
      <c r="G466" s="116">
        <v>0.7</v>
      </c>
      <c r="H466" s="108">
        <v>0</v>
      </c>
    </row>
    <row r="467" spans="1:8" x14ac:dyDescent="0.2">
      <c r="A467" s="117" t="s">
        <v>250</v>
      </c>
      <c r="B467" s="117"/>
      <c r="C467" s="117" t="s">
        <v>4051</v>
      </c>
      <c r="D467" s="304" t="s">
        <v>1336</v>
      </c>
      <c r="E467" s="305"/>
      <c r="F467" s="117" t="s">
        <v>1644</v>
      </c>
      <c r="G467" s="116">
        <v>1</v>
      </c>
      <c r="H467" s="108">
        <v>0</v>
      </c>
    </row>
    <row r="468" spans="1:8" x14ac:dyDescent="0.2">
      <c r="A468" s="117" t="s">
        <v>251</v>
      </c>
      <c r="B468" s="117"/>
      <c r="C468" s="117" t="s">
        <v>4050</v>
      </c>
      <c r="D468" s="304" t="s">
        <v>1337</v>
      </c>
      <c r="E468" s="305"/>
      <c r="F468" s="117" t="s">
        <v>1644</v>
      </c>
      <c r="G468" s="116">
        <v>1</v>
      </c>
      <c r="H468" s="108">
        <v>0</v>
      </c>
    </row>
    <row r="469" spans="1:8" x14ac:dyDescent="0.2">
      <c r="A469" s="117" t="s">
        <v>252</v>
      </c>
      <c r="B469" s="117"/>
      <c r="C469" s="117" t="s">
        <v>4049</v>
      </c>
      <c r="D469" s="304" t="s">
        <v>1338</v>
      </c>
      <c r="E469" s="305"/>
      <c r="F469" s="117" t="s">
        <v>1644</v>
      </c>
      <c r="G469" s="116">
        <v>1</v>
      </c>
      <c r="H469" s="108">
        <v>0</v>
      </c>
    </row>
    <row r="470" spans="1:8" x14ac:dyDescent="0.2">
      <c r="A470" s="117" t="s">
        <v>253</v>
      </c>
      <c r="B470" s="117"/>
      <c r="C470" s="117" t="s">
        <v>4048</v>
      </c>
      <c r="D470" s="304" t="s">
        <v>1339</v>
      </c>
      <c r="E470" s="305"/>
      <c r="F470" s="117" t="s">
        <v>1644</v>
      </c>
      <c r="G470" s="116">
        <v>1</v>
      </c>
      <c r="H470" s="108">
        <v>0</v>
      </c>
    </row>
    <row r="471" spans="1:8" x14ac:dyDescent="0.2">
      <c r="A471" s="117" t="s">
        <v>254</v>
      </c>
      <c r="B471" s="117"/>
      <c r="C471" s="117" t="s">
        <v>4047</v>
      </c>
      <c r="D471" s="304" t="s">
        <v>1340</v>
      </c>
      <c r="E471" s="305"/>
      <c r="F471" s="117" t="s">
        <v>1644</v>
      </c>
      <c r="G471" s="116">
        <v>3</v>
      </c>
      <c r="H471" s="108">
        <v>0</v>
      </c>
    </row>
    <row r="472" spans="1:8" x14ac:dyDescent="0.2">
      <c r="A472" s="117" t="s">
        <v>255</v>
      </c>
      <c r="B472" s="117"/>
      <c r="C472" s="117" t="s">
        <v>4046</v>
      </c>
      <c r="D472" s="304" t="s">
        <v>1341</v>
      </c>
      <c r="E472" s="305"/>
      <c r="F472" s="117" t="s">
        <v>1644</v>
      </c>
      <c r="G472" s="116">
        <v>1</v>
      </c>
      <c r="H472" s="108">
        <v>0</v>
      </c>
    </row>
    <row r="473" spans="1:8" x14ac:dyDescent="0.2">
      <c r="A473" s="117" t="s">
        <v>256</v>
      </c>
      <c r="B473" s="117"/>
      <c r="C473" s="117" t="s">
        <v>4045</v>
      </c>
      <c r="D473" s="304" t="s">
        <v>1342</v>
      </c>
      <c r="E473" s="305"/>
      <c r="F473" s="117" t="s">
        <v>1646</v>
      </c>
      <c r="G473" s="116">
        <v>5</v>
      </c>
      <c r="H473" s="108">
        <v>0</v>
      </c>
    </row>
    <row r="474" spans="1:8" x14ac:dyDescent="0.2">
      <c r="A474" s="117" t="s">
        <v>257</v>
      </c>
      <c r="B474" s="117"/>
      <c r="C474" s="117" t="s">
        <v>4044</v>
      </c>
      <c r="D474" s="304" t="s">
        <v>1343</v>
      </c>
      <c r="E474" s="305"/>
      <c r="F474" s="117" t="s">
        <v>1646</v>
      </c>
      <c r="G474" s="116">
        <v>9</v>
      </c>
      <c r="H474" s="108">
        <v>0</v>
      </c>
    </row>
    <row r="475" spans="1:8" x14ac:dyDescent="0.2">
      <c r="A475" s="117" t="s">
        <v>258</v>
      </c>
      <c r="B475" s="117"/>
      <c r="C475" s="117" t="s">
        <v>4043</v>
      </c>
      <c r="D475" s="304" t="s">
        <v>4042</v>
      </c>
      <c r="E475" s="305"/>
      <c r="F475" s="117" t="s">
        <v>1645</v>
      </c>
      <c r="G475" s="116">
        <v>3</v>
      </c>
      <c r="H475" s="108">
        <v>0</v>
      </c>
    </row>
    <row r="476" spans="1:8" x14ac:dyDescent="0.2">
      <c r="A476" s="117" t="s">
        <v>259</v>
      </c>
      <c r="B476" s="117"/>
      <c r="C476" s="117" t="s">
        <v>4041</v>
      </c>
      <c r="D476" s="304" t="s">
        <v>1344</v>
      </c>
      <c r="E476" s="305"/>
      <c r="F476" s="117" t="s">
        <v>1646</v>
      </c>
      <c r="G476" s="116">
        <v>20</v>
      </c>
      <c r="H476" s="108">
        <v>0</v>
      </c>
    </row>
    <row r="477" spans="1:8" x14ac:dyDescent="0.2">
      <c r="A477" s="117" t="s">
        <v>260</v>
      </c>
      <c r="B477" s="117"/>
      <c r="C477" s="117" t="s">
        <v>4040</v>
      </c>
      <c r="D477" s="304" t="s">
        <v>1345</v>
      </c>
      <c r="E477" s="305"/>
      <c r="F477" s="117" t="s">
        <v>1646</v>
      </c>
      <c r="G477" s="116">
        <v>20</v>
      </c>
      <c r="H477" s="108">
        <v>0</v>
      </c>
    </row>
    <row r="478" spans="1:8" x14ac:dyDescent="0.2">
      <c r="A478" s="117" t="s">
        <v>261</v>
      </c>
      <c r="B478" s="117"/>
      <c r="C478" s="117" t="s">
        <v>4039</v>
      </c>
      <c r="D478" s="304" t="s">
        <v>1346</v>
      </c>
      <c r="E478" s="305"/>
      <c r="F478" s="117" t="s">
        <v>1644</v>
      </c>
      <c r="G478" s="116">
        <v>1</v>
      </c>
      <c r="H478" s="108">
        <v>0</v>
      </c>
    </row>
    <row r="479" spans="1:8" x14ac:dyDescent="0.2">
      <c r="A479" s="117" t="s">
        <v>262</v>
      </c>
      <c r="B479" s="117"/>
      <c r="C479" s="117" t="s">
        <v>4038</v>
      </c>
      <c r="D479" s="304" t="s">
        <v>1253</v>
      </c>
      <c r="E479" s="305"/>
      <c r="F479" s="117" t="s">
        <v>1644</v>
      </c>
      <c r="G479" s="116">
        <v>1</v>
      </c>
      <c r="H479" s="108">
        <v>0</v>
      </c>
    </row>
    <row r="480" spans="1:8" x14ac:dyDescent="0.2">
      <c r="A480" s="117" t="s">
        <v>263</v>
      </c>
      <c r="B480" s="117"/>
      <c r="C480" s="117" t="s">
        <v>4037</v>
      </c>
      <c r="D480" s="304" t="s">
        <v>1347</v>
      </c>
      <c r="E480" s="305"/>
      <c r="F480" s="117" t="s">
        <v>1646</v>
      </c>
      <c r="G480" s="116">
        <v>92</v>
      </c>
      <c r="H480" s="108">
        <v>0</v>
      </c>
    </row>
    <row r="481" spans="1:8" x14ac:dyDescent="0.2">
      <c r="A481" s="117" t="s">
        <v>264</v>
      </c>
      <c r="B481" s="117"/>
      <c r="C481" s="117" t="s">
        <v>4036</v>
      </c>
      <c r="D481" s="304" t="s">
        <v>1348</v>
      </c>
      <c r="E481" s="305"/>
      <c r="F481" s="117" t="s">
        <v>1644</v>
      </c>
      <c r="G481" s="116">
        <v>1</v>
      </c>
      <c r="H481" s="108">
        <v>0</v>
      </c>
    </row>
    <row r="482" spans="1:8" x14ac:dyDescent="0.2">
      <c r="A482" s="117" t="s">
        <v>265</v>
      </c>
      <c r="B482" s="117"/>
      <c r="C482" s="117" t="s">
        <v>4035</v>
      </c>
      <c r="D482" s="304" t="s">
        <v>1349</v>
      </c>
      <c r="E482" s="305"/>
      <c r="F482" s="117" t="s">
        <v>1644</v>
      </c>
      <c r="G482" s="116">
        <v>2</v>
      </c>
      <c r="H482" s="108">
        <v>0</v>
      </c>
    </row>
    <row r="483" spans="1:8" x14ac:dyDescent="0.2">
      <c r="A483" s="117" t="s">
        <v>266</v>
      </c>
      <c r="B483" s="117"/>
      <c r="C483" s="117" t="s">
        <v>4034</v>
      </c>
      <c r="D483" s="304" t="s">
        <v>1350</v>
      </c>
      <c r="E483" s="305"/>
      <c r="F483" s="117" t="s">
        <v>1644</v>
      </c>
      <c r="G483" s="116">
        <v>1</v>
      </c>
      <c r="H483" s="108">
        <v>0</v>
      </c>
    </row>
    <row r="484" spans="1:8" x14ac:dyDescent="0.2">
      <c r="A484" s="117" t="s">
        <v>267</v>
      </c>
      <c r="B484" s="117"/>
      <c r="C484" s="117" t="s">
        <v>4033</v>
      </c>
      <c r="D484" s="304" t="s">
        <v>1351</v>
      </c>
      <c r="E484" s="305"/>
      <c r="F484" s="117" t="s">
        <v>1644</v>
      </c>
      <c r="G484" s="116">
        <v>1</v>
      </c>
      <c r="H484" s="108">
        <v>0</v>
      </c>
    </row>
    <row r="485" spans="1:8" x14ac:dyDescent="0.2">
      <c r="A485" s="117" t="s">
        <v>268</v>
      </c>
      <c r="B485" s="117"/>
      <c r="C485" s="117" t="s">
        <v>4032</v>
      </c>
      <c r="D485" s="304" t="s">
        <v>1352</v>
      </c>
      <c r="E485" s="305"/>
      <c r="F485" s="117" t="s">
        <v>1644</v>
      </c>
      <c r="G485" s="116">
        <v>16</v>
      </c>
      <c r="H485" s="108">
        <v>0</v>
      </c>
    </row>
    <row r="486" spans="1:8" x14ac:dyDescent="0.2">
      <c r="A486" s="117" t="s">
        <v>269</v>
      </c>
      <c r="B486" s="117"/>
      <c r="C486" s="117" t="s">
        <v>4031</v>
      </c>
      <c r="D486" s="304" t="s">
        <v>1353</v>
      </c>
      <c r="E486" s="305"/>
      <c r="F486" s="117" t="s">
        <v>1644</v>
      </c>
      <c r="G486" s="116">
        <v>1</v>
      </c>
      <c r="H486" s="108">
        <v>0</v>
      </c>
    </row>
    <row r="487" spans="1:8" x14ac:dyDescent="0.2">
      <c r="A487" s="117" t="s">
        <v>270</v>
      </c>
      <c r="B487" s="117"/>
      <c r="C487" s="117" t="s">
        <v>4030</v>
      </c>
      <c r="D487" s="304" t="s">
        <v>1354</v>
      </c>
      <c r="E487" s="305"/>
      <c r="F487" s="117" t="s">
        <v>1644</v>
      </c>
      <c r="G487" s="116">
        <v>1</v>
      </c>
      <c r="H487" s="108">
        <v>0</v>
      </c>
    </row>
    <row r="488" spans="1:8" x14ac:dyDescent="0.2">
      <c r="A488" s="120"/>
      <c r="B488" s="120"/>
      <c r="C488" s="120" t="s">
        <v>772</v>
      </c>
      <c r="D488" s="306" t="s">
        <v>1355</v>
      </c>
      <c r="E488" s="307"/>
      <c r="F488" s="120"/>
      <c r="G488" s="142"/>
      <c r="H488" s="109"/>
    </row>
    <row r="489" spans="1:8" x14ac:dyDescent="0.2">
      <c r="A489" s="117" t="s">
        <v>271</v>
      </c>
      <c r="B489" s="117"/>
      <c r="C489" s="117" t="s">
        <v>4029</v>
      </c>
      <c r="D489" s="304" t="s">
        <v>1356</v>
      </c>
      <c r="E489" s="305"/>
      <c r="F489" s="117" t="s">
        <v>1644</v>
      </c>
      <c r="G489" s="116">
        <v>1</v>
      </c>
      <c r="H489" s="108">
        <v>0</v>
      </c>
    </row>
    <row r="490" spans="1:8" x14ac:dyDescent="0.2">
      <c r="A490" s="117" t="s">
        <v>272</v>
      </c>
      <c r="B490" s="117"/>
      <c r="C490" s="117" t="s">
        <v>4028</v>
      </c>
      <c r="D490" s="304" t="s">
        <v>1357</v>
      </c>
      <c r="E490" s="305"/>
      <c r="F490" s="117" t="s">
        <v>1644</v>
      </c>
      <c r="G490" s="116">
        <v>1</v>
      </c>
      <c r="H490" s="108">
        <v>0</v>
      </c>
    </row>
    <row r="491" spans="1:8" x14ac:dyDescent="0.2">
      <c r="A491" s="117" t="s">
        <v>273</v>
      </c>
      <c r="B491" s="117"/>
      <c r="C491" s="117" t="s">
        <v>4027</v>
      </c>
      <c r="D491" s="304" t="s">
        <v>1358</v>
      </c>
      <c r="E491" s="305"/>
      <c r="F491" s="117" t="s">
        <v>1644</v>
      </c>
      <c r="G491" s="116">
        <v>1</v>
      </c>
      <c r="H491" s="108">
        <v>0</v>
      </c>
    </row>
    <row r="492" spans="1:8" x14ac:dyDescent="0.2">
      <c r="A492" s="117" t="s">
        <v>274</v>
      </c>
      <c r="B492" s="117"/>
      <c r="C492" s="117" t="s">
        <v>4026</v>
      </c>
      <c r="D492" s="304" t="s">
        <v>1360</v>
      </c>
      <c r="E492" s="305"/>
      <c r="F492" s="117" t="s">
        <v>1644</v>
      </c>
      <c r="G492" s="116">
        <v>1</v>
      </c>
      <c r="H492" s="108">
        <v>0</v>
      </c>
    </row>
    <row r="493" spans="1:8" x14ac:dyDescent="0.2">
      <c r="A493" s="117" t="s">
        <v>275</v>
      </c>
      <c r="B493" s="117"/>
      <c r="C493" s="117" t="s">
        <v>4025</v>
      </c>
      <c r="D493" s="304" t="s">
        <v>1361</v>
      </c>
      <c r="E493" s="305"/>
      <c r="F493" s="117" t="s">
        <v>1644</v>
      </c>
      <c r="G493" s="116">
        <v>1</v>
      </c>
      <c r="H493" s="108">
        <v>0</v>
      </c>
    </row>
    <row r="494" spans="1:8" x14ac:dyDescent="0.2">
      <c r="A494" s="117" t="s">
        <v>276</v>
      </c>
      <c r="B494" s="117"/>
      <c r="C494" s="117" t="s">
        <v>4024</v>
      </c>
      <c r="D494" s="304" t="s">
        <v>1362</v>
      </c>
      <c r="E494" s="305"/>
      <c r="F494" s="117" t="s">
        <v>1644</v>
      </c>
      <c r="G494" s="116">
        <v>1</v>
      </c>
      <c r="H494" s="108">
        <v>0</v>
      </c>
    </row>
    <row r="495" spans="1:8" x14ac:dyDescent="0.2">
      <c r="A495" s="117" t="s">
        <v>277</v>
      </c>
      <c r="B495" s="117"/>
      <c r="C495" s="117" t="s">
        <v>4023</v>
      </c>
      <c r="D495" s="304" t="s">
        <v>1363</v>
      </c>
      <c r="E495" s="305"/>
      <c r="F495" s="117" t="s">
        <v>1644</v>
      </c>
      <c r="G495" s="116">
        <v>1</v>
      </c>
      <c r="H495" s="108">
        <v>0</v>
      </c>
    </row>
    <row r="496" spans="1:8" x14ac:dyDescent="0.2">
      <c r="A496" s="117" t="s">
        <v>278</v>
      </c>
      <c r="B496" s="117"/>
      <c r="C496" s="117" t="s">
        <v>4022</v>
      </c>
      <c r="D496" s="304" t="s">
        <v>1364</v>
      </c>
      <c r="E496" s="305"/>
      <c r="F496" s="117" t="s">
        <v>1644</v>
      </c>
      <c r="G496" s="116">
        <v>2</v>
      </c>
      <c r="H496" s="108">
        <v>0</v>
      </c>
    </row>
    <row r="497" spans="1:8" x14ac:dyDescent="0.2">
      <c r="A497" s="117" t="s">
        <v>279</v>
      </c>
      <c r="B497" s="117"/>
      <c r="C497" s="117" t="s">
        <v>4021</v>
      </c>
      <c r="D497" s="304" t="s">
        <v>1365</v>
      </c>
      <c r="E497" s="305"/>
      <c r="F497" s="117" t="s">
        <v>1644</v>
      </c>
      <c r="G497" s="116">
        <v>1</v>
      </c>
      <c r="H497" s="108">
        <v>0</v>
      </c>
    </row>
    <row r="498" spans="1:8" x14ac:dyDescent="0.2">
      <c r="A498" s="117" t="s">
        <v>280</v>
      </c>
      <c r="B498" s="117"/>
      <c r="C498" s="117" t="s">
        <v>4020</v>
      </c>
      <c r="D498" s="304" t="s">
        <v>1368</v>
      </c>
      <c r="E498" s="305"/>
      <c r="F498" s="117" t="s">
        <v>1644</v>
      </c>
      <c r="G498" s="116">
        <v>5</v>
      </c>
      <c r="H498" s="108">
        <v>0</v>
      </c>
    </row>
    <row r="499" spans="1:8" x14ac:dyDescent="0.2">
      <c r="A499" s="117" t="s">
        <v>281</v>
      </c>
      <c r="B499" s="117"/>
      <c r="C499" s="117" t="s">
        <v>4019</v>
      </c>
      <c r="D499" s="304" t="s">
        <v>1326</v>
      </c>
      <c r="E499" s="305"/>
      <c r="F499" s="117" t="s">
        <v>1644</v>
      </c>
      <c r="G499" s="116">
        <v>1</v>
      </c>
      <c r="H499" s="108">
        <v>0</v>
      </c>
    </row>
    <row r="500" spans="1:8" x14ac:dyDescent="0.2">
      <c r="A500" s="117" t="s">
        <v>282</v>
      </c>
      <c r="B500" s="117"/>
      <c r="C500" s="117" t="s">
        <v>4018</v>
      </c>
      <c r="D500" s="304" t="s">
        <v>1327</v>
      </c>
      <c r="E500" s="305"/>
      <c r="F500" s="117" t="s">
        <v>1644</v>
      </c>
      <c r="G500" s="116">
        <v>1</v>
      </c>
      <c r="H500" s="108">
        <v>0</v>
      </c>
    </row>
    <row r="501" spans="1:8" x14ac:dyDescent="0.2">
      <c r="A501" s="117" t="s">
        <v>283</v>
      </c>
      <c r="B501" s="117"/>
      <c r="C501" s="117" t="s">
        <v>4017</v>
      </c>
      <c r="D501" s="304" t="s">
        <v>1372</v>
      </c>
      <c r="E501" s="305"/>
      <c r="F501" s="117" t="s">
        <v>1646</v>
      </c>
      <c r="G501" s="116">
        <v>22</v>
      </c>
      <c r="H501" s="108">
        <v>0</v>
      </c>
    </row>
    <row r="502" spans="1:8" x14ac:dyDescent="0.2">
      <c r="A502" s="117" t="s">
        <v>284</v>
      </c>
      <c r="B502" s="117"/>
      <c r="C502" s="117" t="s">
        <v>4016</v>
      </c>
      <c r="D502" s="304" t="s">
        <v>1373</v>
      </c>
      <c r="E502" s="305"/>
      <c r="F502" s="117" t="s">
        <v>1646</v>
      </c>
      <c r="G502" s="116">
        <v>8</v>
      </c>
      <c r="H502" s="108">
        <v>0</v>
      </c>
    </row>
    <row r="503" spans="1:8" x14ac:dyDescent="0.2">
      <c r="A503" s="117" t="s">
        <v>285</v>
      </c>
      <c r="B503" s="117"/>
      <c r="C503" s="117" t="s">
        <v>4015</v>
      </c>
      <c r="D503" s="304" t="s">
        <v>1374</v>
      </c>
      <c r="E503" s="305"/>
      <c r="F503" s="117" t="s">
        <v>1646</v>
      </c>
      <c r="G503" s="116">
        <v>5</v>
      </c>
      <c r="H503" s="108">
        <v>0</v>
      </c>
    </row>
    <row r="504" spans="1:8" x14ac:dyDescent="0.2">
      <c r="A504" s="117" t="s">
        <v>286</v>
      </c>
      <c r="B504" s="117"/>
      <c r="C504" s="117" t="s">
        <v>4014</v>
      </c>
      <c r="D504" s="304" t="s">
        <v>1376</v>
      </c>
      <c r="E504" s="305"/>
      <c r="F504" s="117" t="s">
        <v>1646</v>
      </c>
      <c r="G504" s="116">
        <v>8</v>
      </c>
      <c r="H504" s="108">
        <v>0</v>
      </c>
    </row>
    <row r="505" spans="1:8" x14ac:dyDescent="0.2">
      <c r="A505" s="117" t="s">
        <v>287</v>
      </c>
      <c r="B505" s="117"/>
      <c r="C505" s="117" t="s">
        <v>4013</v>
      </c>
      <c r="D505" s="304" t="s">
        <v>1377</v>
      </c>
      <c r="E505" s="305"/>
      <c r="F505" s="117" t="s">
        <v>1646</v>
      </c>
      <c r="G505" s="116">
        <v>27</v>
      </c>
      <c r="H505" s="108">
        <v>0</v>
      </c>
    </row>
    <row r="506" spans="1:8" x14ac:dyDescent="0.2">
      <c r="A506" s="120"/>
      <c r="B506" s="120"/>
      <c r="C506" s="120" t="s">
        <v>798</v>
      </c>
      <c r="D506" s="306" t="s">
        <v>1379</v>
      </c>
      <c r="E506" s="307"/>
      <c r="F506" s="120"/>
      <c r="G506" s="142"/>
      <c r="H506" s="109"/>
    </row>
    <row r="507" spans="1:8" x14ac:dyDescent="0.2">
      <c r="A507" s="117" t="s">
        <v>288</v>
      </c>
      <c r="B507" s="117"/>
      <c r="C507" s="117" t="s">
        <v>4012</v>
      </c>
      <c r="D507" s="304" t="s">
        <v>1380</v>
      </c>
      <c r="E507" s="305"/>
      <c r="F507" s="117" t="s">
        <v>1646</v>
      </c>
      <c r="G507" s="116">
        <v>6</v>
      </c>
      <c r="H507" s="108">
        <v>0</v>
      </c>
    </row>
    <row r="508" spans="1:8" x14ac:dyDescent="0.2">
      <c r="A508" s="117" t="s">
        <v>289</v>
      </c>
      <c r="B508" s="117"/>
      <c r="C508" s="117" t="s">
        <v>4011</v>
      </c>
      <c r="D508" s="304" t="s">
        <v>1381</v>
      </c>
      <c r="E508" s="305"/>
      <c r="F508" s="117" t="s">
        <v>1644</v>
      </c>
      <c r="G508" s="116">
        <v>1</v>
      </c>
      <c r="H508" s="108">
        <v>0</v>
      </c>
    </row>
    <row r="509" spans="1:8" x14ac:dyDescent="0.2">
      <c r="A509" s="117" t="s">
        <v>290</v>
      </c>
      <c r="B509" s="117"/>
      <c r="C509" s="117" t="s">
        <v>4010</v>
      </c>
      <c r="D509" s="304" t="s">
        <v>1382</v>
      </c>
      <c r="E509" s="305"/>
      <c r="F509" s="117" t="s">
        <v>1644</v>
      </c>
      <c r="G509" s="116">
        <v>2</v>
      </c>
      <c r="H509" s="108">
        <v>0</v>
      </c>
    </row>
    <row r="510" spans="1:8" x14ac:dyDescent="0.2">
      <c r="A510" s="117" t="s">
        <v>291</v>
      </c>
      <c r="B510" s="117"/>
      <c r="C510" s="117" t="s">
        <v>4009</v>
      </c>
      <c r="D510" s="304" t="s">
        <v>3997</v>
      </c>
      <c r="E510" s="305"/>
      <c r="F510" s="117" t="s">
        <v>1644</v>
      </c>
      <c r="G510" s="116">
        <v>1</v>
      </c>
      <c r="H510" s="108">
        <v>0</v>
      </c>
    </row>
    <row r="511" spans="1:8" x14ac:dyDescent="0.2">
      <c r="A511" s="117" t="s">
        <v>292</v>
      </c>
      <c r="B511" s="117"/>
      <c r="C511" s="117" t="s">
        <v>4008</v>
      </c>
      <c r="D511" s="304" t="s">
        <v>3995</v>
      </c>
      <c r="E511" s="305"/>
      <c r="F511" s="117" t="s">
        <v>1644</v>
      </c>
      <c r="G511" s="116">
        <v>1</v>
      </c>
      <c r="H511" s="108">
        <v>0</v>
      </c>
    </row>
    <row r="512" spans="1:8" x14ac:dyDescent="0.2">
      <c r="A512" s="117" t="s">
        <v>293</v>
      </c>
      <c r="B512" s="117"/>
      <c r="C512" s="117" t="s">
        <v>4007</v>
      </c>
      <c r="D512" s="304" t="s">
        <v>3993</v>
      </c>
      <c r="E512" s="305"/>
      <c r="F512" s="117" t="s">
        <v>1644</v>
      </c>
      <c r="G512" s="116">
        <v>9</v>
      </c>
      <c r="H512" s="108">
        <v>0</v>
      </c>
    </row>
    <row r="513" spans="1:8" x14ac:dyDescent="0.2">
      <c r="A513" s="117" t="s">
        <v>294</v>
      </c>
      <c r="B513" s="117"/>
      <c r="C513" s="117" t="s">
        <v>4006</v>
      </c>
      <c r="D513" s="304" t="s">
        <v>3991</v>
      </c>
      <c r="E513" s="305"/>
      <c r="F513" s="117" t="s">
        <v>1644</v>
      </c>
      <c r="G513" s="116">
        <v>1</v>
      </c>
      <c r="H513" s="108">
        <v>0</v>
      </c>
    </row>
    <row r="514" spans="1:8" x14ac:dyDescent="0.2">
      <c r="A514" s="117" t="s">
        <v>295</v>
      </c>
      <c r="B514" s="117"/>
      <c r="C514" s="117" t="s">
        <v>4005</v>
      </c>
      <c r="D514" s="304" t="s">
        <v>3989</v>
      </c>
      <c r="E514" s="305"/>
      <c r="F514" s="117" t="s">
        <v>1644</v>
      </c>
      <c r="G514" s="116">
        <v>1</v>
      </c>
      <c r="H514" s="108">
        <v>0</v>
      </c>
    </row>
    <row r="515" spans="1:8" x14ac:dyDescent="0.2">
      <c r="A515" s="117" t="s">
        <v>296</v>
      </c>
      <c r="B515" s="117"/>
      <c r="C515" s="117" t="s">
        <v>4004</v>
      </c>
      <c r="D515" s="304" t="s">
        <v>1380</v>
      </c>
      <c r="E515" s="305"/>
      <c r="F515" s="117" t="s">
        <v>1646</v>
      </c>
      <c r="G515" s="116">
        <v>8</v>
      </c>
      <c r="H515" s="108">
        <v>0</v>
      </c>
    </row>
    <row r="516" spans="1:8" x14ac:dyDescent="0.2">
      <c r="A516" s="117" t="s">
        <v>297</v>
      </c>
      <c r="B516" s="117"/>
      <c r="C516" s="117" t="s">
        <v>4003</v>
      </c>
      <c r="D516" s="304" t="s">
        <v>1390</v>
      </c>
      <c r="E516" s="305"/>
      <c r="F516" s="117" t="s">
        <v>1644</v>
      </c>
      <c r="G516" s="116">
        <v>1</v>
      </c>
      <c r="H516" s="108">
        <v>0</v>
      </c>
    </row>
    <row r="517" spans="1:8" x14ac:dyDescent="0.2">
      <c r="A517" s="117" t="s">
        <v>298</v>
      </c>
      <c r="B517" s="117"/>
      <c r="C517" s="117" t="s">
        <v>4002</v>
      </c>
      <c r="D517" s="304" t="s">
        <v>1391</v>
      </c>
      <c r="E517" s="305"/>
      <c r="F517" s="117" t="s">
        <v>1644</v>
      </c>
      <c r="G517" s="116">
        <v>3</v>
      </c>
      <c r="H517" s="108">
        <v>0</v>
      </c>
    </row>
    <row r="518" spans="1:8" x14ac:dyDescent="0.2">
      <c r="A518" s="117" t="s">
        <v>299</v>
      </c>
      <c r="B518" s="117"/>
      <c r="C518" s="117" t="s">
        <v>4001</v>
      </c>
      <c r="D518" s="304" t="s">
        <v>1388</v>
      </c>
      <c r="E518" s="305"/>
      <c r="F518" s="117" t="s">
        <v>1644</v>
      </c>
      <c r="G518" s="116">
        <v>2</v>
      </c>
      <c r="H518" s="108">
        <v>0</v>
      </c>
    </row>
    <row r="519" spans="1:8" x14ac:dyDescent="0.2">
      <c r="A519" s="117" t="s">
        <v>300</v>
      </c>
      <c r="B519" s="117"/>
      <c r="C519" s="117" t="s">
        <v>4000</v>
      </c>
      <c r="D519" s="304" t="s">
        <v>1383</v>
      </c>
      <c r="E519" s="305"/>
      <c r="F519" s="117" t="s">
        <v>1644</v>
      </c>
      <c r="G519" s="116">
        <v>1</v>
      </c>
      <c r="H519" s="108">
        <v>0</v>
      </c>
    </row>
    <row r="520" spans="1:8" x14ac:dyDescent="0.2">
      <c r="A520" s="117" t="s">
        <v>301</v>
      </c>
      <c r="B520" s="117"/>
      <c r="C520" s="117" t="s">
        <v>3999</v>
      </c>
      <c r="D520" s="304" t="s">
        <v>1384</v>
      </c>
      <c r="E520" s="305"/>
      <c r="F520" s="117" t="s">
        <v>1644</v>
      </c>
      <c r="G520" s="116">
        <v>1</v>
      </c>
      <c r="H520" s="108">
        <v>0</v>
      </c>
    </row>
    <row r="521" spans="1:8" x14ac:dyDescent="0.2">
      <c r="A521" s="117" t="s">
        <v>302</v>
      </c>
      <c r="B521" s="117"/>
      <c r="C521" s="117" t="s">
        <v>3998</v>
      </c>
      <c r="D521" s="304" t="s">
        <v>3997</v>
      </c>
      <c r="E521" s="305"/>
      <c r="F521" s="117" t="s">
        <v>1644</v>
      </c>
      <c r="G521" s="116">
        <v>1</v>
      </c>
      <c r="H521" s="108">
        <v>0</v>
      </c>
    </row>
    <row r="522" spans="1:8" x14ac:dyDescent="0.2">
      <c r="A522" s="117" t="s">
        <v>303</v>
      </c>
      <c r="B522" s="117"/>
      <c r="C522" s="117" t="s">
        <v>3996</v>
      </c>
      <c r="D522" s="304" t="s">
        <v>3995</v>
      </c>
      <c r="E522" s="305"/>
      <c r="F522" s="117" t="s">
        <v>1644</v>
      </c>
      <c r="G522" s="116">
        <v>1</v>
      </c>
      <c r="H522" s="108">
        <v>0</v>
      </c>
    </row>
    <row r="523" spans="1:8" x14ac:dyDescent="0.2">
      <c r="A523" s="117" t="s">
        <v>304</v>
      </c>
      <c r="B523" s="117"/>
      <c r="C523" s="117" t="s">
        <v>3994</v>
      </c>
      <c r="D523" s="304" t="s">
        <v>3993</v>
      </c>
      <c r="E523" s="305"/>
      <c r="F523" s="117" t="s">
        <v>1646</v>
      </c>
      <c r="G523" s="116">
        <v>9</v>
      </c>
      <c r="H523" s="108">
        <v>0</v>
      </c>
    </row>
    <row r="524" spans="1:8" x14ac:dyDescent="0.2">
      <c r="A524" s="117" t="s">
        <v>305</v>
      </c>
      <c r="B524" s="117"/>
      <c r="C524" s="117" t="s">
        <v>3992</v>
      </c>
      <c r="D524" s="304" t="s">
        <v>3991</v>
      </c>
      <c r="E524" s="305"/>
      <c r="F524" s="117" t="s">
        <v>1644</v>
      </c>
      <c r="G524" s="116">
        <v>1</v>
      </c>
      <c r="H524" s="108">
        <v>0</v>
      </c>
    </row>
    <row r="525" spans="1:8" x14ac:dyDescent="0.2">
      <c r="A525" s="117" t="s">
        <v>306</v>
      </c>
      <c r="B525" s="117"/>
      <c r="C525" s="117" t="s">
        <v>3990</v>
      </c>
      <c r="D525" s="304" t="s">
        <v>3989</v>
      </c>
      <c r="E525" s="305"/>
      <c r="F525" s="117" t="s">
        <v>1644</v>
      </c>
      <c r="G525" s="116">
        <v>1</v>
      </c>
      <c r="H525" s="108">
        <v>0</v>
      </c>
    </row>
    <row r="526" spans="1:8" x14ac:dyDescent="0.2">
      <c r="A526" s="117" t="s">
        <v>307</v>
      </c>
      <c r="B526" s="117"/>
      <c r="C526" s="117" t="s">
        <v>3988</v>
      </c>
      <c r="D526" s="304" t="s">
        <v>1392</v>
      </c>
      <c r="E526" s="305"/>
      <c r="F526" s="117" t="s">
        <v>1644</v>
      </c>
      <c r="G526" s="116">
        <v>1</v>
      </c>
      <c r="H526" s="108">
        <v>0</v>
      </c>
    </row>
    <row r="527" spans="1:8" x14ac:dyDescent="0.2">
      <c r="A527" s="117" t="s">
        <v>308</v>
      </c>
      <c r="B527" s="117"/>
      <c r="C527" s="117" t="s">
        <v>3987</v>
      </c>
      <c r="D527" s="304" t="s">
        <v>1393</v>
      </c>
      <c r="E527" s="305"/>
      <c r="F527" s="117" t="s">
        <v>1644</v>
      </c>
      <c r="G527" s="116">
        <v>1</v>
      </c>
      <c r="H527" s="108">
        <v>0</v>
      </c>
    </row>
    <row r="528" spans="1:8" x14ac:dyDescent="0.2">
      <c r="A528" s="117" t="s">
        <v>309</v>
      </c>
      <c r="B528" s="117"/>
      <c r="C528" s="117" t="s">
        <v>3986</v>
      </c>
      <c r="D528" s="304" t="s">
        <v>1394</v>
      </c>
      <c r="E528" s="305"/>
      <c r="F528" s="117" t="s">
        <v>1644</v>
      </c>
      <c r="G528" s="116">
        <v>1</v>
      </c>
      <c r="H528" s="108">
        <v>0</v>
      </c>
    </row>
    <row r="529" spans="1:8" x14ac:dyDescent="0.2">
      <c r="A529" s="120"/>
      <c r="B529" s="120"/>
      <c r="C529" s="120" t="s">
        <v>822</v>
      </c>
      <c r="D529" s="306" t="s">
        <v>1395</v>
      </c>
      <c r="E529" s="307"/>
      <c r="F529" s="120"/>
      <c r="G529" s="142"/>
      <c r="H529" s="109"/>
    </row>
    <row r="530" spans="1:8" x14ac:dyDescent="0.2">
      <c r="A530" s="117" t="s">
        <v>310</v>
      </c>
      <c r="B530" s="117"/>
      <c r="C530" s="117" t="s">
        <v>117</v>
      </c>
      <c r="D530" s="304" t="s">
        <v>1396</v>
      </c>
      <c r="E530" s="305"/>
      <c r="F530" s="117" t="s">
        <v>1652</v>
      </c>
      <c r="G530" s="116">
        <v>1</v>
      </c>
      <c r="H530" s="108">
        <v>0</v>
      </c>
    </row>
    <row r="531" spans="1:8" x14ac:dyDescent="0.2">
      <c r="A531" s="117" t="s">
        <v>311</v>
      </c>
      <c r="B531" s="117"/>
      <c r="C531" s="117" t="s">
        <v>118</v>
      </c>
      <c r="D531" s="304" t="s">
        <v>1397</v>
      </c>
      <c r="E531" s="305"/>
      <c r="F531" s="117" t="s">
        <v>1652</v>
      </c>
      <c r="G531" s="116">
        <v>1</v>
      </c>
      <c r="H531" s="108">
        <v>0</v>
      </c>
    </row>
    <row r="532" spans="1:8" x14ac:dyDescent="0.2">
      <c r="A532" s="117" t="s">
        <v>312</v>
      </c>
      <c r="B532" s="117"/>
      <c r="C532" s="117" t="s">
        <v>119</v>
      </c>
      <c r="D532" s="304" t="s">
        <v>1398</v>
      </c>
      <c r="E532" s="305"/>
      <c r="F532" s="117" t="s">
        <v>1652</v>
      </c>
      <c r="G532" s="116">
        <v>1</v>
      </c>
      <c r="H532" s="108">
        <v>0</v>
      </c>
    </row>
    <row r="533" spans="1:8" x14ac:dyDescent="0.2">
      <c r="A533" s="117" t="s">
        <v>313</v>
      </c>
      <c r="B533" s="117"/>
      <c r="C533" s="117" t="s">
        <v>120</v>
      </c>
      <c r="D533" s="304" t="s">
        <v>1399</v>
      </c>
      <c r="E533" s="305"/>
      <c r="F533" s="117" t="s">
        <v>1652</v>
      </c>
      <c r="G533" s="116">
        <v>1</v>
      </c>
      <c r="H533" s="108">
        <v>0</v>
      </c>
    </row>
    <row r="534" spans="1:8" x14ac:dyDescent="0.2">
      <c r="A534" s="117" t="s">
        <v>314</v>
      </c>
      <c r="B534" s="117"/>
      <c r="C534" s="117" t="s">
        <v>121</v>
      </c>
      <c r="D534" s="304" t="s">
        <v>1400</v>
      </c>
      <c r="E534" s="305"/>
      <c r="F534" s="117" t="s">
        <v>1652</v>
      </c>
      <c r="G534" s="116">
        <v>1</v>
      </c>
      <c r="H534" s="108">
        <v>0</v>
      </c>
    </row>
    <row r="535" spans="1:8" x14ac:dyDescent="0.2">
      <c r="A535" s="117" t="s">
        <v>315</v>
      </c>
      <c r="B535" s="117"/>
      <c r="C535" s="117" t="s">
        <v>122</v>
      </c>
      <c r="D535" s="304" t="s">
        <v>1401</v>
      </c>
      <c r="E535" s="305"/>
      <c r="F535" s="117" t="s">
        <v>1652</v>
      </c>
      <c r="G535" s="116">
        <v>1</v>
      </c>
      <c r="H535" s="108">
        <v>0</v>
      </c>
    </row>
    <row r="536" spans="1:8" x14ac:dyDescent="0.2">
      <c r="A536" s="117" t="s">
        <v>316</v>
      </c>
      <c r="B536" s="117"/>
      <c r="C536" s="117" t="s">
        <v>123</v>
      </c>
      <c r="D536" s="304" t="s">
        <v>1402</v>
      </c>
      <c r="E536" s="305"/>
      <c r="F536" s="117" t="s">
        <v>1652</v>
      </c>
      <c r="G536" s="116">
        <v>1</v>
      </c>
      <c r="H536" s="108">
        <v>0</v>
      </c>
    </row>
    <row r="537" spans="1:8" x14ac:dyDescent="0.2">
      <c r="A537" s="117" t="s">
        <v>317</v>
      </c>
      <c r="B537" s="117"/>
      <c r="C537" s="117" t="s">
        <v>124</v>
      </c>
      <c r="D537" s="304" t="s">
        <v>1403</v>
      </c>
      <c r="E537" s="305"/>
      <c r="F537" s="117" t="s">
        <v>1652</v>
      </c>
      <c r="G537" s="116">
        <v>1</v>
      </c>
      <c r="H537" s="108">
        <v>0</v>
      </c>
    </row>
    <row r="538" spans="1:8" x14ac:dyDescent="0.2">
      <c r="A538" s="117" t="s">
        <v>318</v>
      </c>
      <c r="B538" s="117"/>
      <c r="C538" s="117" t="s">
        <v>125</v>
      </c>
      <c r="D538" s="304" t="s">
        <v>1404</v>
      </c>
      <c r="E538" s="305"/>
      <c r="F538" s="117" t="s">
        <v>1646</v>
      </c>
      <c r="G538" s="116">
        <v>450</v>
      </c>
      <c r="H538" s="108">
        <v>0</v>
      </c>
    </row>
    <row r="539" spans="1:8" x14ac:dyDescent="0.2">
      <c r="A539" s="117" t="s">
        <v>319</v>
      </c>
      <c r="B539" s="117"/>
      <c r="C539" s="117" t="s">
        <v>823</v>
      </c>
      <c r="D539" s="304" t="s">
        <v>1405</v>
      </c>
      <c r="E539" s="305"/>
      <c r="F539" s="117" t="s">
        <v>1646</v>
      </c>
      <c r="G539" s="116">
        <v>180</v>
      </c>
      <c r="H539" s="108">
        <v>0</v>
      </c>
    </row>
    <row r="540" spans="1:8" x14ac:dyDescent="0.2">
      <c r="A540" s="117" t="s">
        <v>320</v>
      </c>
      <c r="B540" s="117"/>
      <c r="C540" s="117" t="s">
        <v>824</v>
      </c>
      <c r="D540" s="304" t="s">
        <v>1406</v>
      </c>
      <c r="E540" s="305"/>
      <c r="F540" s="117" t="s">
        <v>1652</v>
      </c>
      <c r="G540" s="116">
        <v>3</v>
      </c>
      <c r="H540" s="108">
        <v>0</v>
      </c>
    </row>
    <row r="541" spans="1:8" x14ac:dyDescent="0.2">
      <c r="A541" s="117" t="s">
        <v>321</v>
      </c>
      <c r="B541" s="117"/>
      <c r="C541" s="117" t="s">
        <v>825</v>
      </c>
      <c r="D541" s="304" t="s">
        <v>1407</v>
      </c>
      <c r="E541" s="305"/>
      <c r="F541" s="117" t="s">
        <v>1644</v>
      </c>
      <c r="G541" s="116">
        <v>3</v>
      </c>
      <c r="H541" s="108">
        <v>0</v>
      </c>
    </row>
    <row r="542" spans="1:8" x14ac:dyDescent="0.2">
      <c r="A542" s="117" t="s">
        <v>322</v>
      </c>
      <c r="B542" s="117"/>
      <c r="C542" s="117" t="s">
        <v>826</v>
      </c>
      <c r="D542" s="304" t="s">
        <v>1408</v>
      </c>
      <c r="E542" s="305"/>
      <c r="F542" s="117" t="s">
        <v>1644</v>
      </c>
      <c r="G542" s="116">
        <v>3</v>
      </c>
      <c r="H542" s="108">
        <v>0</v>
      </c>
    </row>
    <row r="543" spans="1:8" x14ac:dyDescent="0.2">
      <c r="A543" s="117" t="s">
        <v>323</v>
      </c>
      <c r="B543" s="117"/>
      <c r="C543" s="117" t="s">
        <v>827</v>
      </c>
      <c r="D543" s="304" t="s">
        <v>1409</v>
      </c>
      <c r="E543" s="305"/>
      <c r="F543" s="117" t="s">
        <v>1644</v>
      </c>
      <c r="G543" s="116">
        <v>3</v>
      </c>
      <c r="H543" s="108">
        <v>0</v>
      </c>
    </row>
    <row r="544" spans="1:8" x14ac:dyDescent="0.2">
      <c r="A544" s="117" t="s">
        <v>324</v>
      </c>
      <c r="B544" s="117"/>
      <c r="C544" s="117" t="s">
        <v>828</v>
      </c>
      <c r="D544" s="304" t="s">
        <v>1410</v>
      </c>
      <c r="E544" s="305"/>
      <c r="F544" s="117" t="s">
        <v>1652</v>
      </c>
      <c r="G544" s="116">
        <v>3</v>
      </c>
      <c r="H544" s="108">
        <v>0</v>
      </c>
    </row>
    <row r="545" spans="1:8" x14ac:dyDescent="0.2">
      <c r="A545" s="117" t="s">
        <v>325</v>
      </c>
      <c r="B545" s="117"/>
      <c r="C545" s="117" t="s">
        <v>829</v>
      </c>
      <c r="D545" s="304" t="s">
        <v>1411</v>
      </c>
      <c r="E545" s="305"/>
      <c r="F545" s="117" t="s">
        <v>1652</v>
      </c>
      <c r="G545" s="116">
        <v>3</v>
      </c>
      <c r="H545" s="108">
        <v>0</v>
      </c>
    </row>
    <row r="546" spans="1:8" x14ac:dyDescent="0.2">
      <c r="A546" s="117" t="s">
        <v>326</v>
      </c>
      <c r="B546" s="117"/>
      <c r="C546" s="117" t="s">
        <v>830</v>
      </c>
      <c r="D546" s="304" t="s">
        <v>1412</v>
      </c>
      <c r="E546" s="305"/>
      <c r="F546" s="117" t="s">
        <v>1647</v>
      </c>
      <c r="G546" s="116">
        <v>7</v>
      </c>
      <c r="H546" s="108">
        <v>0</v>
      </c>
    </row>
    <row r="547" spans="1:8" x14ac:dyDescent="0.2">
      <c r="A547" s="117" t="s">
        <v>327</v>
      </c>
      <c r="B547" s="117"/>
      <c r="C547" s="117" t="s">
        <v>831</v>
      </c>
      <c r="D547" s="304" t="s">
        <v>1413</v>
      </c>
      <c r="E547" s="305"/>
      <c r="F547" s="117" t="s">
        <v>1652</v>
      </c>
      <c r="G547" s="116">
        <v>1</v>
      </c>
      <c r="H547" s="108">
        <v>0</v>
      </c>
    </row>
    <row r="548" spans="1:8" x14ac:dyDescent="0.2">
      <c r="A548" s="117" t="s">
        <v>328</v>
      </c>
      <c r="B548" s="117"/>
      <c r="C548" s="117" t="s">
        <v>832</v>
      </c>
      <c r="D548" s="304" t="s">
        <v>1414</v>
      </c>
      <c r="E548" s="305"/>
      <c r="F548" s="117" t="s">
        <v>1652</v>
      </c>
      <c r="G548" s="116">
        <v>1</v>
      </c>
      <c r="H548" s="108">
        <v>0</v>
      </c>
    </row>
    <row r="549" spans="1:8" x14ac:dyDescent="0.2">
      <c r="A549" s="117" t="s">
        <v>329</v>
      </c>
      <c r="B549" s="117"/>
      <c r="C549" s="117" t="s">
        <v>833</v>
      </c>
      <c r="D549" s="304" t="s">
        <v>1415</v>
      </c>
      <c r="E549" s="305"/>
      <c r="F549" s="117" t="s">
        <v>1652</v>
      </c>
      <c r="G549" s="116">
        <v>1</v>
      </c>
      <c r="H549" s="108">
        <v>0</v>
      </c>
    </row>
    <row r="550" spans="1:8" x14ac:dyDescent="0.2">
      <c r="A550" s="117" t="s">
        <v>330</v>
      </c>
      <c r="B550" s="117"/>
      <c r="C550" s="117" t="s">
        <v>834</v>
      </c>
      <c r="D550" s="304" t="s">
        <v>1416</v>
      </c>
      <c r="E550" s="305"/>
      <c r="F550" s="117" t="s">
        <v>1652</v>
      </c>
      <c r="G550" s="116">
        <v>6</v>
      </c>
      <c r="H550" s="108">
        <v>0</v>
      </c>
    </row>
    <row r="551" spans="1:8" x14ac:dyDescent="0.2">
      <c r="A551" s="117" t="s">
        <v>331</v>
      </c>
      <c r="B551" s="117"/>
      <c r="C551" s="117" t="s">
        <v>835</v>
      </c>
      <c r="D551" s="304" t="s">
        <v>1417</v>
      </c>
      <c r="E551" s="305"/>
      <c r="F551" s="117" t="s">
        <v>1653</v>
      </c>
      <c r="G551" s="116">
        <v>6</v>
      </c>
      <c r="H551" s="108">
        <v>0</v>
      </c>
    </row>
    <row r="552" spans="1:8" x14ac:dyDescent="0.2">
      <c r="A552" s="117" t="s">
        <v>332</v>
      </c>
      <c r="B552" s="117"/>
      <c r="C552" s="117" t="s">
        <v>836</v>
      </c>
      <c r="D552" s="304" t="s">
        <v>1418</v>
      </c>
      <c r="E552" s="305"/>
      <c r="F552" s="117" t="s">
        <v>1652</v>
      </c>
      <c r="G552" s="116">
        <v>1</v>
      </c>
      <c r="H552" s="108">
        <v>0</v>
      </c>
    </row>
    <row r="553" spans="1:8" x14ac:dyDescent="0.2">
      <c r="A553" s="117" t="s">
        <v>333</v>
      </c>
      <c r="B553" s="117"/>
      <c r="C553" s="117" t="s">
        <v>837</v>
      </c>
      <c r="D553" s="304" t="s">
        <v>1419</v>
      </c>
      <c r="E553" s="305"/>
      <c r="F553" s="117" t="s">
        <v>1652</v>
      </c>
      <c r="G553" s="116">
        <v>1</v>
      </c>
      <c r="H553" s="108">
        <v>0</v>
      </c>
    </row>
    <row r="554" spans="1:8" x14ac:dyDescent="0.2">
      <c r="A554" s="117" t="s">
        <v>334</v>
      </c>
      <c r="B554" s="117"/>
      <c r="C554" s="117" t="s">
        <v>838</v>
      </c>
      <c r="D554" s="304" t="s">
        <v>1420</v>
      </c>
      <c r="E554" s="305"/>
      <c r="F554" s="117" t="s">
        <v>1652</v>
      </c>
      <c r="G554" s="116">
        <v>1</v>
      </c>
      <c r="H554" s="108">
        <v>0</v>
      </c>
    </row>
    <row r="555" spans="1:8" x14ac:dyDescent="0.2">
      <c r="A555" s="117" t="s">
        <v>335</v>
      </c>
      <c r="B555" s="117"/>
      <c r="C555" s="117" t="s">
        <v>839</v>
      </c>
      <c r="D555" s="304" t="s">
        <v>1421</v>
      </c>
      <c r="E555" s="305"/>
      <c r="F555" s="117" t="s">
        <v>1652</v>
      </c>
      <c r="G555" s="116">
        <v>1</v>
      </c>
      <c r="H555" s="108">
        <v>0</v>
      </c>
    </row>
    <row r="556" spans="1:8" x14ac:dyDescent="0.2">
      <c r="A556" s="117" t="s">
        <v>336</v>
      </c>
      <c r="B556" s="117"/>
      <c r="C556" s="117" t="s">
        <v>840</v>
      </c>
      <c r="D556" s="304" t="s">
        <v>1422</v>
      </c>
      <c r="E556" s="305"/>
      <c r="F556" s="117" t="s">
        <v>1652</v>
      </c>
      <c r="G556" s="116">
        <v>1</v>
      </c>
      <c r="H556" s="108">
        <v>0</v>
      </c>
    </row>
    <row r="557" spans="1:8" x14ac:dyDescent="0.2">
      <c r="A557" s="117" t="s">
        <v>337</v>
      </c>
      <c r="B557" s="117"/>
      <c r="C557" s="117" t="s">
        <v>841</v>
      </c>
      <c r="D557" s="304" t="s">
        <v>1423</v>
      </c>
      <c r="E557" s="305"/>
      <c r="F557" s="117" t="s">
        <v>1652</v>
      </c>
      <c r="G557" s="116">
        <v>1</v>
      </c>
      <c r="H557" s="108">
        <v>0</v>
      </c>
    </row>
    <row r="558" spans="1:8" x14ac:dyDescent="0.2">
      <c r="A558" s="120"/>
      <c r="B558" s="120"/>
      <c r="C558" s="120" t="s">
        <v>842</v>
      </c>
      <c r="D558" s="306" t="s">
        <v>1424</v>
      </c>
      <c r="E558" s="307"/>
      <c r="F558" s="120"/>
      <c r="G558" s="142"/>
      <c r="H558" s="109"/>
    </row>
    <row r="559" spans="1:8" x14ac:dyDescent="0.2">
      <c r="A559" s="117" t="s">
        <v>338</v>
      </c>
      <c r="B559" s="117"/>
      <c r="C559" s="117" t="s">
        <v>127</v>
      </c>
      <c r="D559" s="304" t="s">
        <v>1425</v>
      </c>
      <c r="E559" s="305"/>
      <c r="F559" s="117" t="s">
        <v>1644</v>
      </c>
      <c r="G559" s="116">
        <v>6</v>
      </c>
      <c r="H559" s="108">
        <v>0</v>
      </c>
    </row>
    <row r="560" spans="1:8" x14ac:dyDescent="0.2">
      <c r="A560" s="117" t="s">
        <v>339</v>
      </c>
      <c r="B560" s="117"/>
      <c r="C560" s="117" t="s">
        <v>128</v>
      </c>
      <c r="D560" s="304" t="s">
        <v>1426</v>
      </c>
      <c r="E560" s="305"/>
      <c r="F560" s="117" t="s">
        <v>1646</v>
      </c>
      <c r="G560" s="116">
        <v>95</v>
      </c>
      <c r="H560" s="108">
        <v>0</v>
      </c>
    </row>
    <row r="561" spans="1:8" x14ac:dyDescent="0.2">
      <c r="A561" s="117" t="s">
        <v>340</v>
      </c>
      <c r="B561" s="117"/>
      <c r="C561" s="117" t="s">
        <v>129</v>
      </c>
      <c r="D561" s="304" t="s">
        <v>1427</v>
      </c>
      <c r="E561" s="305"/>
      <c r="F561" s="117" t="s">
        <v>1644</v>
      </c>
      <c r="G561" s="116">
        <v>6</v>
      </c>
      <c r="H561" s="108">
        <v>0</v>
      </c>
    </row>
    <row r="562" spans="1:8" x14ac:dyDescent="0.2">
      <c r="A562" s="117" t="s">
        <v>341</v>
      </c>
      <c r="B562" s="117"/>
      <c r="C562" s="117" t="s">
        <v>130</v>
      </c>
      <c r="D562" s="304" t="s">
        <v>1428</v>
      </c>
      <c r="E562" s="305"/>
      <c r="F562" s="117" t="s">
        <v>1646</v>
      </c>
      <c r="G562" s="116">
        <v>10</v>
      </c>
      <c r="H562" s="108">
        <v>0</v>
      </c>
    </row>
    <row r="563" spans="1:8" x14ac:dyDescent="0.2">
      <c r="A563" s="117" t="s">
        <v>342</v>
      </c>
      <c r="B563" s="117"/>
      <c r="C563" s="117" t="s">
        <v>131</v>
      </c>
      <c r="D563" s="304" t="s">
        <v>1429</v>
      </c>
      <c r="E563" s="305"/>
      <c r="F563" s="117" t="s">
        <v>1646</v>
      </c>
      <c r="G563" s="116">
        <v>10</v>
      </c>
      <c r="H563" s="108">
        <v>0</v>
      </c>
    </row>
    <row r="564" spans="1:8" x14ac:dyDescent="0.2">
      <c r="A564" s="117" t="s">
        <v>343</v>
      </c>
      <c r="B564" s="117"/>
      <c r="C564" s="117" t="s">
        <v>132</v>
      </c>
      <c r="D564" s="304" t="s">
        <v>1430</v>
      </c>
      <c r="E564" s="305"/>
      <c r="F564" s="117" t="s">
        <v>1644</v>
      </c>
      <c r="G564" s="116">
        <v>1</v>
      </c>
      <c r="H564" s="108">
        <v>0</v>
      </c>
    </row>
    <row r="565" spans="1:8" x14ac:dyDescent="0.2">
      <c r="A565" s="117" t="s">
        <v>344</v>
      </c>
      <c r="B565" s="117"/>
      <c r="C565" s="117" t="s">
        <v>133</v>
      </c>
      <c r="D565" s="304" t="s">
        <v>1431</v>
      </c>
      <c r="E565" s="305"/>
      <c r="F565" s="117" t="s">
        <v>1646</v>
      </c>
      <c r="G565" s="116">
        <v>60</v>
      </c>
      <c r="H565" s="108">
        <v>0</v>
      </c>
    </row>
    <row r="566" spans="1:8" x14ac:dyDescent="0.2">
      <c r="A566" s="117" t="s">
        <v>345</v>
      </c>
      <c r="B566" s="117"/>
      <c r="C566" s="117" t="s">
        <v>134</v>
      </c>
      <c r="D566" s="304" t="s">
        <v>1432</v>
      </c>
      <c r="E566" s="305"/>
      <c r="F566" s="117" t="s">
        <v>1644</v>
      </c>
      <c r="G566" s="116">
        <v>4</v>
      </c>
      <c r="H566" s="108">
        <v>0</v>
      </c>
    </row>
    <row r="567" spans="1:8" x14ac:dyDescent="0.2">
      <c r="A567" s="117" t="s">
        <v>346</v>
      </c>
      <c r="B567" s="117"/>
      <c r="C567" s="117" t="s">
        <v>135</v>
      </c>
      <c r="D567" s="304" t="s">
        <v>1995</v>
      </c>
      <c r="E567" s="305"/>
      <c r="F567" s="117" t="s">
        <v>1644</v>
      </c>
      <c r="G567" s="116">
        <v>4</v>
      </c>
      <c r="H567" s="108">
        <v>0</v>
      </c>
    </row>
    <row r="568" spans="1:8" x14ac:dyDescent="0.2">
      <c r="A568" s="117" t="s">
        <v>347</v>
      </c>
      <c r="B568" s="117"/>
      <c r="C568" s="117" t="s">
        <v>843</v>
      </c>
      <c r="D568" s="304" t="s">
        <v>1433</v>
      </c>
      <c r="E568" s="305"/>
      <c r="F568" s="117" t="s">
        <v>1646</v>
      </c>
      <c r="G568" s="116">
        <v>60</v>
      </c>
      <c r="H568" s="108">
        <v>0</v>
      </c>
    </row>
    <row r="569" spans="1:8" x14ac:dyDescent="0.2">
      <c r="A569" s="117" t="s">
        <v>348</v>
      </c>
      <c r="B569" s="117"/>
      <c r="C569" s="117" t="s">
        <v>844</v>
      </c>
      <c r="D569" s="304" t="s">
        <v>1434</v>
      </c>
      <c r="E569" s="305"/>
      <c r="F569" s="117" t="s">
        <v>1646</v>
      </c>
      <c r="G569" s="116">
        <v>60</v>
      </c>
      <c r="H569" s="108">
        <v>0</v>
      </c>
    </row>
    <row r="570" spans="1:8" x14ac:dyDescent="0.2">
      <c r="A570" s="117" t="s">
        <v>349</v>
      </c>
      <c r="B570" s="117"/>
      <c r="C570" s="117" t="s">
        <v>845</v>
      </c>
      <c r="D570" s="304" t="s">
        <v>1435</v>
      </c>
      <c r="E570" s="305"/>
      <c r="F570" s="117" t="s">
        <v>1652</v>
      </c>
      <c r="G570" s="116">
        <v>1</v>
      </c>
      <c r="H570" s="108">
        <v>0</v>
      </c>
    </row>
    <row r="571" spans="1:8" x14ac:dyDescent="0.2">
      <c r="A571" s="117" t="s">
        <v>350</v>
      </c>
      <c r="B571" s="117"/>
      <c r="C571" s="117" t="s">
        <v>846</v>
      </c>
      <c r="D571" s="304" t="s">
        <v>2327</v>
      </c>
      <c r="E571" s="305"/>
      <c r="F571" s="117" t="s">
        <v>1652</v>
      </c>
      <c r="G571" s="116">
        <v>1</v>
      </c>
      <c r="H571" s="108">
        <v>0</v>
      </c>
    </row>
    <row r="572" spans="1:8" x14ac:dyDescent="0.2">
      <c r="A572" s="117" t="s">
        <v>351</v>
      </c>
      <c r="B572" s="117"/>
      <c r="C572" s="117" t="s">
        <v>847</v>
      </c>
      <c r="D572" s="304" t="s">
        <v>1437</v>
      </c>
      <c r="E572" s="305"/>
      <c r="F572" s="117" t="s">
        <v>1654</v>
      </c>
      <c r="G572" s="116">
        <v>380</v>
      </c>
      <c r="H572" s="108">
        <v>0</v>
      </c>
    </row>
    <row r="573" spans="1:8" x14ac:dyDescent="0.2">
      <c r="A573" s="117" t="s">
        <v>352</v>
      </c>
      <c r="B573" s="117"/>
      <c r="C573" s="117" t="s">
        <v>848</v>
      </c>
      <c r="D573" s="304" t="s">
        <v>1438</v>
      </c>
      <c r="E573" s="305"/>
      <c r="F573" s="117" t="s">
        <v>1652</v>
      </c>
      <c r="G573" s="116">
        <v>1</v>
      </c>
      <c r="H573" s="108">
        <v>0</v>
      </c>
    </row>
    <row r="574" spans="1:8" x14ac:dyDescent="0.2">
      <c r="A574" s="117" t="s">
        <v>353</v>
      </c>
      <c r="B574" s="117"/>
      <c r="C574" s="117" t="s">
        <v>849</v>
      </c>
      <c r="D574" s="304" t="s">
        <v>1439</v>
      </c>
      <c r="E574" s="305"/>
      <c r="F574" s="117" t="s">
        <v>1652</v>
      </c>
      <c r="G574" s="116">
        <v>1</v>
      </c>
      <c r="H574" s="108">
        <v>0</v>
      </c>
    </row>
    <row r="575" spans="1:8" x14ac:dyDescent="0.2">
      <c r="A575" s="117" t="s">
        <v>354</v>
      </c>
      <c r="B575" s="117"/>
      <c r="C575" s="117" t="s">
        <v>850</v>
      </c>
      <c r="D575" s="304" t="s">
        <v>1440</v>
      </c>
      <c r="E575" s="305"/>
      <c r="F575" s="117" t="s">
        <v>1652</v>
      </c>
      <c r="G575" s="116">
        <v>1</v>
      </c>
      <c r="H575" s="108">
        <v>0</v>
      </c>
    </row>
    <row r="576" spans="1:8" x14ac:dyDescent="0.2">
      <c r="A576" s="117" t="s">
        <v>355</v>
      </c>
      <c r="B576" s="117"/>
      <c r="C576" s="117" t="s">
        <v>851</v>
      </c>
      <c r="D576" s="304" t="s">
        <v>1441</v>
      </c>
      <c r="E576" s="305"/>
      <c r="F576" s="117" t="s">
        <v>1652</v>
      </c>
      <c r="G576" s="116">
        <v>1</v>
      </c>
      <c r="H576" s="108">
        <v>0</v>
      </c>
    </row>
    <row r="577" spans="1:8" x14ac:dyDescent="0.2">
      <c r="A577" s="117" t="s">
        <v>356</v>
      </c>
      <c r="B577" s="117"/>
      <c r="C577" s="117" t="s">
        <v>852</v>
      </c>
      <c r="D577" s="304" t="s">
        <v>1442</v>
      </c>
      <c r="E577" s="305"/>
      <c r="F577" s="117" t="s">
        <v>1652</v>
      </c>
      <c r="G577" s="116">
        <v>1</v>
      </c>
      <c r="H577" s="108">
        <v>0</v>
      </c>
    </row>
    <row r="578" spans="1:8" x14ac:dyDescent="0.2">
      <c r="A578" s="117" t="s">
        <v>357</v>
      </c>
      <c r="B578" s="117"/>
      <c r="C578" s="117" t="s">
        <v>853</v>
      </c>
      <c r="D578" s="304" t="s">
        <v>1443</v>
      </c>
      <c r="E578" s="305"/>
      <c r="F578" s="117" t="s">
        <v>1645</v>
      </c>
      <c r="G578" s="116">
        <v>15</v>
      </c>
      <c r="H578" s="108">
        <v>0</v>
      </c>
    </row>
    <row r="579" spans="1:8" x14ac:dyDescent="0.2">
      <c r="A579" s="117" t="s">
        <v>358</v>
      </c>
      <c r="B579" s="117"/>
      <c r="C579" s="117" t="s">
        <v>854</v>
      </c>
      <c r="D579" s="304" t="s">
        <v>1994</v>
      </c>
      <c r="E579" s="305"/>
      <c r="F579" s="117" t="s">
        <v>1645</v>
      </c>
      <c r="G579" s="116">
        <v>3</v>
      </c>
      <c r="H579" s="108">
        <v>0</v>
      </c>
    </row>
    <row r="580" spans="1:8" x14ac:dyDescent="0.2">
      <c r="A580" s="117" t="s">
        <v>359</v>
      </c>
      <c r="B580" s="117"/>
      <c r="C580" s="117" t="s">
        <v>855</v>
      </c>
      <c r="D580" s="304" t="s">
        <v>1444</v>
      </c>
      <c r="E580" s="305"/>
      <c r="F580" s="117" t="s">
        <v>1647</v>
      </c>
      <c r="G580" s="116">
        <v>17</v>
      </c>
      <c r="H580" s="108">
        <v>0</v>
      </c>
    </row>
    <row r="581" spans="1:8" x14ac:dyDescent="0.2">
      <c r="A581" s="117" t="s">
        <v>360</v>
      </c>
      <c r="B581" s="117"/>
      <c r="C581" s="117" t="s">
        <v>856</v>
      </c>
      <c r="D581" s="304" t="s">
        <v>1445</v>
      </c>
      <c r="E581" s="305"/>
      <c r="F581" s="117" t="s">
        <v>1647</v>
      </c>
      <c r="G581" s="116">
        <v>1</v>
      </c>
      <c r="H581" s="108">
        <v>0</v>
      </c>
    </row>
    <row r="582" spans="1:8" x14ac:dyDescent="0.2">
      <c r="A582" s="117" t="s">
        <v>361</v>
      </c>
      <c r="B582" s="117"/>
      <c r="C582" s="117" t="s">
        <v>857</v>
      </c>
      <c r="D582" s="304" t="s">
        <v>1446</v>
      </c>
      <c r="E582" s="305"/>
      <c r="F582" s="117" t="s">
        <v>1647</v>
      </c>
      <c r="G582" s="116">
        <v>18</v>
      </c>
      <c r="H582" s="108">
        <v>0</v>
      </c>
    </row>
    <row r="583" spans="1:8" x14ac:dyDescent="0.2">
      <c r="A583" s="117" t="s">
        <v>362</v>
      </c>
      <c r="B583" s="117"/>
      <c r="C583" s="117" t="s">
        <v>858</v>
      </c>
      <c r="D583" s="304" t="s">
        <v>1447</v>
      </c>
      <c r="E583" s="305"/>
      <c r="F583" s="117" t="s">
        <v>1647</v>
      </c>
      <c r="G583" s="116">
        <v>18</v>
      </c>
      <c r="H583" s="108">
        <v>0</v>
      </c>
    </row>
    <row r="584" spans="1:8" x14ac:dyDescent="0.2">
      <c r="A584" s="117" t="s">
        <v>363</v>
      </c>
      <c r="B584" s="117"/>
      <c r="C584" s="117" t="s">
        <v>859</v>
      </c>
      <c r="D584" s="304" t="s">
        <v>1448</v>
      </c>
      <c r="E584" s="305"/>
      <c r="F584" s="117" t="s">
        <v>1647</v>
      </c>
      <c r="G584" s="116">
        <v>4</v>
      </c>
      <c r="H584" s="108">
        <v>0</v>
      </c>
    </row>
    <row r="585" spans="1:8" x14ac:dyDescent="0.2">
      <c r="A585" s="117" t="s">
        <v>364</v>
      </c>
      <c r="B585" s="117"/>
      <c r="C585" s="117" t="s">
        <v>860</v>
      </c>
      <c r="D585" s="304" t="s">
        <v>1449</v>
      </c>
      <c r="E585" s="305"/>
      <c r="F585" s="117" t="s">
        <v>1647</v>
      </c>
      <c r="G585" s="116">
        <v>8</v>
      </c>
      <c r="H585" s="108">
        <v>0</v>
      </c>
    </row>
    <row r="586" spans="1:8" x14ac:dyDescent="0.2">
      <c r="A586" s="117" t="s">
        <v>365</v>
      </c>
      <c r="B586" s="117"/>
      <c r="C586" s="117" t="s">
        <v>861</v>
      </c>
      <c r="D586" s="304" t="s">
        <v>1450</v>
      </c>
      <c r="E586" s="305"/>
      <c r="F586" s="117" t="s">
        <v>1647</v>
      </c>
      <c r="G586" s="116">
        <v>4</v>
      </c>
      <c r="H586" s="108">
        <v>0</v>
      </c>
    </row>
    <row r="587" spans="1:8" x14ac:dyDescent="0.2">
      <c r="A587" s="117" t="s">
        <v>366</v>
      </c>
      <c r="B587" s="117"/>
      <c r="C587" s="117" t="s">
        <v>862</v>
      </c>
      <c r="D587" s="304" t="s">
        <v>1451</v>
      </c>
      <c r="E587" s="305"/>
      <c r="F587" s="117" t="s">
        <v>1647</v>
      </c>
      <c r="G587" s="116">
        <v>18</v>
      </c>
      <c r="H587" s="108">
        <v>0</v>
      </c>
    </row>
    <row r="588" spans="1:8" x14ac:dyDescent="0.2">
      <c r="A588" s="117" t="s">
        <v>367</v>
      </c>
      <c r="B588" s="117"/>
      <c r="C588" s="117" t="s">
        <v>863</v>
      </c>
      <c r="D588" s="304" t="s">
        <v>1452</v>
      </c>
      <c r="E588" s="305"/>
      <c r="F588" s="117" t="s">
        <v>1644</v>
      </c>
      <c r="G588" s="116">
        <v>1</v>
      </c>
      <c r="H588" s="108">
        <v>0</v>
      </c>
    </row>
    <row r="589" spans="1:8" x14ac:dyDescent="0.2">
      <c r="A589" s="117" t="s">
        <v>368</v>
      </c>
      <c r="B589" s="117"/>
      <c r="C589" s="117" t="s">
        <v>864</v>
      </c>
      <c r="D589" s="304" t="s">
        <v>1453</v>
      </c>
      <c r="E589" s="305"/>
      <c r="F589" s="117" t="s">
        <v>1645</v>
      </c>
      <c r="G589" s="116">
        <v>15</v>
      </c>
      <c r="H589" s="108">
        <v>0</v>
      </c>
    </row>
    <row r="590" spans="1:8" x14ac:dyDescent="0.2">
      <c r="A590" s="117" t="s">
        <v>369</v>
      </c>
      <c r="B590" s="117"/>
      <c r="C590" s="117" t="s">
        <v>865</v>
      </c>
      <c r="D590" s="304" t="s">
        <v>1993</v>
      </c>
      <c r="E590" s="305"/>
      <c r="F590" s="117" t="s">
        <v>1645</v>
      </c>
      <c r="G590" s="116">
        <v>3</v>
      </c>
      <c r="H590" s="108">
        <v>0</v>
      </c>
    </row>
    <row r="591" spans="1:8" x14ac:dyDescent="0.2">
      <c r="A591" s="117" t="s">
        <v>370</v>
      </c>
      <c r="B591" s="117"/>
      <c r="C591" s="117" t="s">
        <v>866</v>
      </c>
      <c r="D591" s="304" t="s">
        <v>1454</v>
      </c>
      <c r="E591" s="305"/>
      <c r="F591" s="117" t="s">
        <v>1652</v>
      </c>
      <c r="G591" s="116">
        <v>1</v>
      </c>
      <c r="H591" s="108">
        <v>0</v>
      </c>
    </row>
    <row r="592" spans="1:8" x14ac:dyDescent="0.2">
      <c r="A592" s="117" t="s">
        <v>371</v>
      </c>
      <c r="B592" s="117"/>
      <c r="C592" s="117" t="s">
        <v>867</v>
      </c>
      <c r="D592" s="304" t="s">
        <v>1455</v>
      </c>
      <c r="E592" s="305"/>
      <c r="F592" s="117" t="s">
        <v>1652</v>
      </c>
      <c r="G592" s="116">
        <v>1</v>
      </c>
      <c r="H592" s="108">
        <v>0</v>
      </c>
    </row>
    <row r="593" spans="1:8" x14ac:dyDescent="0.2">
      <c r="A593" s="117" t="s">
        <v>372</v>
      </c>
      <c r="B593" s="117"/>
      <c r="C593" s="117" t="s">
        <v>868</v>
      </c>
      <c r="D593" s="304" t="s">
        <v>1456</v>
      </c>
      <c r="E593" s="305"/>
      <c r="F593" s="117" t="s">
        <v>1652</v>
      </c>
      <c r="G593" s="116">
        <v>1</v>
      </c>
      <c r="H593" s="108">
        <v>0</v>
      </c>
    </row>
    <row r="594" spans="1:8" x14ac:dyDescent="0.2">
      <c r="A594" s="117" t="s">
        <v>373</v>
      </c>
      <c r="B594" s="117"/>
      <c r="C594" s="117" t="s">
        <v>1992</v>
      </c>
      <c r="D594" s="304" t="s">
        <v>1420</v>
      </c>
      <c r="E594" s="305"/>
      <c r="F594" s="117" t="s">
        <v>1652</v>
      </c>
      <c r="G594" s="116">
        <v>1</v>
      </c>
      <c r="H594" s="108">
        <v>0</v>
      </c>
    </row>
    <row r="595" spans="1:8" x14ac:dyDescent="0.2">
      <c r="A595" s="117" t="s">
        <v>374</v>
      </c>
      <c r="B595" s="117"/>
      <c r="C595" s="117" t="s">
        <v>1991</v>
      </c>
      <c r="D595" s="304" t="s">
        <v>1421</v>
      </c>
      <c r="E595" s="305"/>
      <c r="F595" s="117" t="s">
        <v>1652</v>
      </c>
      <c r="G595" s="116">
        <v>1</v>
      </c>
      <c r="H595" s="108">
        <v>0</v>
      </c>
    </row>
    <row r="596" spans="1:8" x14ac:dyDescent="0.2">
      <c r="A596" s="117" t="s">
        <v>375</v>
      </c>
      <c r="B596" s="117"/>
      <c r="C596" s="117" t="s">
        <v>3985</v>
      </c>
      <c r="D596" s="304" t="s">
        <v>1457</v>
      </c>
      <c r="E596" s="305"/>
      <c r="F596" s="117" t="s">
        <v>1652</v>
      </c>
      <c r="G596" s="116">
        <v>1</v>
      </c>
      <c r="H596" s="108">
        <v>0</v>
      </c>
    </row>
    <row r="597" spans="1:8" x14ac:dyDescent="0.2">
      <c r="A597" s="120"/>
      <c r="B597" s="120"/>
      <c r="C597" s="120" t="s">
        <v>869</v>
      </c>
      <c r="D597" s="306" t="s">
        <v>1458</v>
      </c>
      <c r="E597" s="307"/>
      <c r="F597" s="120"/>
      <c r="G597" s="142"/>
      <c r="H597" s="109"/>
    </row>
    <row r="598" spans="1:8" x14ac:dyDescent="0.2">
      <c r="A598" s="117" t="s">
        <v>376</v>
      </c>
      <c r="B598" s="117"/>
      <c r="C598" s="117" t="s">
        <v>870</v>
      </c>
      <c r="D598" s="304" t="s">
        <v>1459</v>
      </c>
      <c r="E598" s="305"/>
      <c r="F598" s="117" t="s">
        <v>1644</v>
      </c>
      <c r="G598" s="116">
        <v>3</v>
      </c>
      <c r="H598" s="108">
        <v>0</v>
      </c>
    </row>
    <row r="599" spans="1:8" ht="12.2" customHeight="1" x14ac:dyDescent="0.2">
      <c r="D599" s="334" t="s">
        <v>1797</v>
      </c>
      <c r="E599" s="335"/>
      <c r="F599" s="335"/>
      <c r="G599" s="143">
        <v>3</v>
      </c>
    </row>
    <row r="600" spans="1:8" x14ac:dyDescent="0.2">
      <c r="A600" s="117" t="s">
        <v>377</v>
      </c>
      <c r="B600" s="117"/>
      <c r="C600" s="117" t="s">
        <v>871</v>
      </c>
      <c r="D600" s="304" t="s">
        <v>3984</v>
      </c>
      <c r="E600" s="305"/>
      <c r="F600" s="117" t="s">
        <v>1645</v>
      </c>
      <c r="G600" s="116">
        <v>424.964</v>
      </c>
      <c r="H600" s="108">
        <v>0</v>
      </c>
    </row>
    <row r="601" spans="1:8" ht="12.2" customHeight="1" x14ac:dyDescent="0.2">
      <c r="D601" s="334" t="s">
        <v>4199</v>
      </c>
      <c r="E601" s="335"/>
      <c r="F601" s="335"/>
      <c r="G601" s="143">
        <v>424.964</v>
      </c>
    </row>
    <row r="602" spans="1:8" x14ac:dyDescent="0.2">
      <c r="A602" s="117" t="s">
        <v>378</v>
      </c>
      <c r="B602" s="117"/>
      <c r="C602" s="117" t="s">
        <v>872</v>
      </c>
      <c r="D602" s="304" t="s">
        <v>1461</v>
      </c>
      <c r="E602" s="305"/>
      <c r="F602" s="117" t="s">
        <v>1645</v>
      </c>
      <c r="G602" s="116">
        <v>477.50400000000002</v>
      </c>
      <c r="H602" s="108">
        <v>0</v>
      </c>
    </row>
    <row r="603" spans="1:8" ht="12.2" customHeight="1" x14ac:dyDescent="0.2">
      <c r="D603" s="334" t="s">
        <v>4191</v>
      </c>
      <c r="E603" s="335"/>
      <c r="F603" s="335"/>
      <c r="G603" s="143">
        <v>477.50400000000002</v>
      </c>
    </row>
    <row r="604" spans="1:8" x14ac:dyDescent="0.2">
      <c r="A604" s="117" t="s">
        <v>379</v>
      </c>
      <c r="B604" s="117"/>
      <c r="C604" s="117" t="s">
        <v>873</v>
      </c>
      <c r="D604" s="304" t="s">
        <v>1462</v>
      </c>
      <c r="E604" s="305"/>
      <c r="F604" s="117" t="s">
        <v>1645</v>
      </c>
      <c r="G604" s="116">
        <v>477.50400000000002</v>
      </c>
      <c r="H604" s="108">
        <v>0</v>
      </c>
    </row>
    <row r="605" spans="1:8" ht="12.2" customHeight="1" x14ac:dyDescent="0.2">
      <c r="D605" s="334" t="s">
        <v>4191</v>
      </c>
      <c r="E605" s="335"/>
      <c r="F605" s="335"/>
      <c r="G605" s="143">
        <v>477.50400000000002</v>
      </c>
    </row>
    <row r="606" spans="1:8" x14ac:dyDescent="0.2">
      <c r="A606" s="117" t="s">
        <v>380</v>
      </c>
      <c r="B606" s="117"/>
      <c r="C606" s="117" t="s">
        <v>2324</v>
      </c>
      <c r="D606" s="304" t="s">
        <v>2323</v>
      </c>
      <c r="E606" s="305"/>
      <c r="F606" s="117" t="s">
        <v>1645</v>
      </c>
      <c r="G606" s="116">
        <v>6.0750000000000002</v>
      </c>
      <c r="H606" s="108">
        <v>0</v>
      </c>
    </row>
    <row r="607" spans="1:8" ht="12.2" customHeight="1" x14ac:dyDescent="0.2">
      <c r="D607" s="334" t="s">
        <v>4182</v>
      </c>
      <c r="E607" s="335"/>
      <c r="F607" s="335"/>
      <c r="G607" s="143">
        <v>6.0750000000000002</v>
      </c>
    </row>
    <row r="608" spans="1:8" x14ac:dyDescent="0.2">
      <c r="A608" s="117" t="s">
        <v>381</v>
      </c>
      <c r="B608" s="117"/>
      <c r="C608" s="117" t="s">
        <v>874</v>
      </c>
      <c r="D608" s="304" t="s">
        <v>3454</v>
      </c>
      <c r="E608" s="305"/>
      <c r="F608" s="117" t="s">
        <v>1645</v>
      </c>
      <c r="G608" s="116">
        <v>477.50400000000002</v>
      </c>
      <c r="H608" s="108">
        <v>0</v>
      </c>
    </row>
    <row r="609" spans="1:8" ht="12.2" customHeight="1" x14ac:dyDescent="0.2">
      <c r="D609" s="334" t="s">
        <v>4191</v>
      </c>
      <c r="E609" s="335"/>
      <c r="F609" s="335"/>
      <c r="G609" s="143">
        <v>477.50400000000002</v>
      </c>
    </row>
    <row r="610" spans="1:8" x14ac:dyDescent="0.2">
      <c r="A610" s="124" t="s">
        <v>382</v>
      </c>
      <c r="B610" s="124"/>
      <c r="C610" s="124" t="s">
        <v>875</v>
      </c>
      <c r="D610" s="311" t="s">
        <v>1464</v>
      </c>
      <c r="E610" s="312"/>
      <c r="F610" s="124" t="s">
        <v>1645</v>
      </c>
      <c r="G610" s="123">
        <v>501.37900000000002</v>
      </c>
      <c r="H610" s="121">
        <v>0</v>
      </c>
    </row>
    <row r="611" spans="1:8" ht="12.2" customHeight="1" x14ac:dyDescent="0.2">
      <c r="D611" s="336" t="s">
        <v>4198</v>
      </c>
      <c r="E611" s="337"/>
      <c r="F611" s="337"/>
      <c r="G611" s="146">
        <v>477.50400000000002</v>
      </c>
    </row>
    <row r="612" spans="1:8" ht="12.2" customHeight="1" x14ac:dyDescent="0.2">
      <c r="A612" s="124"/>
      <c r="B612" s="124"/>
      <c r="C612" s="124"/>
      <c r="D612" s="336" t="s">
        <v>4197</v>
      </c>
      <c r="E612" s="337"/>
      <c r="F612" s="336"/>
      <c r="G612" s="145">
        <v>23.875</v>
      </c>
      <c r="H612" s="122"/>
    </row>
    <row r="613" spans="1:8" x14ac:dyDescent="0.2">
      <c r="A613" s="117" t="s">
        <v>383</v>
      </c>
      <c r="B613" s="117"/>
      <c r="C613" s="117" t="s">
        <v>2322</v>
      </c>
      <c r="D613" s="304" t="s">
        <v>3983</v>
      </c>
      <c r="E613" s="305"/>
      <c r="F613" s="117" t="s">
        <v>1645</v>
      </c>
      <c r="G613" s="116">
        <v>14.775</v>
      </c>
      <c r="H613" s="108">
        <v>0</v>
      </c>
    </row>
    <row r="614" spans="1:8" ht="12.2" customHeight="1" x14ac:dyDescent="0.2">
      <c r="D614" s="334" t="s">
        <v>4182</v>
      </c>
      <c r="E614" s="335"/>
      <c r="F614" s="335"/>
      <c r="G614" s="143">
        <v>6.0750000000000002</v>
      </c>
    </row>
    <row r="615" spans="1:8" ht="12.2" customHeight="1" x14ac:dyDescent="0.2">
      <c r="A615" s="117"/>
      <c r="B615" s="117"/>
      <c r="C615" s="117"/>
      <c r="D615" s="334" t="s">
        <v>4190</v>
      </c>
      <c r="E615" s="335"/>
      <c r="F615" s="334"/>
      <c r="G615" s="144">
        <v>8.6999999999999993</v>
      </c>
      <c r="H615" s="111"/>
    </row>
    <row r="616" spans="1:8" x14ac:dyDescent="0.2">
      <c r="A616" s="124" t="s">
        <v>384</v>
      </c>
      <c r="B616" s="124"/>
      <c r="C616" s="124" t="s">
        <v>2320</v>
      </c>
      <c r="D616" s="311" t="s">
        <v>2319</v>
      </c>
      <c r="E616" s="312"/>
      <c r="F616" s="124" t="s">
        <v>1645</v>
      </c>
      <c r="G616" s="123">
        <v>16.253</v>
      </c>
      <c r="H616" s="121">
        <v>0</v>
      </c>
    </row>
    <row r="617" spans="1:8" ht="12.2" customHeight="1" x14ac:dyDescent="0.2">
      <c r="D617" s="336" t="s">
        <v>4196</v>
      </c>
      <c r="E617" s="337"/>
      <c r="F617" s="337"/>
      <c r="G617" s="146">
        <v>14.775</v>
      </c>
    </row>
    <row r="618" spans="1:8" ht="12.2" customHeight="1" x14ac:dyDescent="0.2">
      <c r="A618" s="124"/>
      <c r="B618" s="124"/>
      <c r="C618" s="124"/>
      <c r="D618" s="336" t="s">
        <v>4195</v>
      </c>
      <c r="E618" s="337"/>
      <c r="F618" s="336"/>
      <c r="G618" s="145">
        <v>1.478</v>
      </c>
      <c r="H618" s="122"/>
    </row>
    <row r="619" spans="1:8" x14ac:dyDescent="0.2">
      <c r="A619" s="117" t="s">
        <v>385</v>
      </c>
      <c r="B619" s="117"/>
      <c r="C619" s="117" t="s">
        <v>876</v>
      </c>
      <c r="D619" s="304" t="s">
        <v>3982</v>
      </c>
      <c r="E619" s="305"/>
      <c r="F619" s="117" t="s">
        <v>1645</v>
      </c>
      <c r="G619" s="116">
        <v>486.20400000000001</v>
      </c>
      <c r="H619" s="108">
        <v>0</v>
      </c>
    </row>
    <row r="620" spans="1:8" ht="12.2" customHeight="1" x14ac:dyDescent="0.2">
      <c r="D620" s="334" t="s">
        <v>4193</v>
      </c>
      <c r="E620" s="335"/>
      <c r="F620" s="335"/>
      <c r="G620" s="143">
        <v>477.50400000000002</v>
      </c>
    </row>
    <row r="621" spans="1:8" ht="12.2" customHeight="1" x14ac:dyDescent="0.2">
      <c r="A621" s="117"/>
      <c r="B621" s="117"/>
      <c r="C621" s="117"/>
      <c r="D621" s="334" t="s">
        <v>4190</v>
      </c>
      <c r="E621" s="335"/>
      <c r="F621" s="334"/>
      <c r="G621" s="144">
        <v>8.6999999999999993</v>
      </c>
      <c r="H621" s="111"/>
    </row>
    <row r="622" spans="1:8" x14ac:dyDescent="0.2">
      <c r="A622" s="117" t="s">
        <v>386</v>
      </c>
      <c r="B622" s="117"/>
      <c r="C622" s="117" t="s">
        <v>877</v>
      </c>
      <c r="D622" s="304" t="s">
        <v>1466</v>
      </c>
      <c r="E622" s="305"/>
      <c r="F622" s="117" t="s">
        <v>1647</v>
      </c>
      <c r="G622" s="116">
        <v>10.86</v>
      </c>
      <c r="H622" s="108">
        <v>0</v>
      </c>
    </row>
    <row r="623" spans="1:8" ht="12.2" customHeight="1" x14ac:dyDescent="0.2">
      <c r="D623" s="334" t="s">
        <v>4194</v>
      </c>
      <c r="E623" s="335"/>
      <c r="F623" s="335"/>
      <c r="G623" s="143">
        <v>10.86</v>
      </c>
    </row>
    <row r="624" spans="1:8" x14ac:dyDescent="0.2">
      <c r="A624" s="117" t="s">
        <v>387</v>
      </c>
      <c r="B624" s="117"/>
      <c r="C624" s="117" t="s">
        <v>3981</v>
      </c>
      <c r="D624" s="304" t="s">
        <v>3980</v>
      </c>
      <c r="E624" s="305"/>
      <c r="F624" s="117" t="s">
        <v>1645</v>
      </c>
      <c r="G624" s="116">
        <v>477.50400000000002</v>
      </c>
      <c r="H624" s="108">
        <v>0</v>
      </c>
    </row>
    <row r="625" spans="1:8" ht="12.2" customHeight="1" x14ac:dyDescent="0.2">
      <c r="D625" s="334" t="s">
        <v>4193</v>
      </c>
      <c r="E625" s="335"/>
      <c r="F625" s="335"/>
      <c r="G625" s="143">
        <v>477.50400000000002</v>
      </c>
    </row>
    <row r="626" spans="1:8" x14ac:dyDescent="0.2">
      <c r="A626" s="117" t="s">
        <v>388</v>
      </c>
      <c r="B626" s="117"/>
      <c r="C626" s="117" t="s">
        <v>3979</v>
      </c>
      <c r="D626" s="304" t="s">
        <v>3978</v>
      </c>
      <c r="E626" s="305"/>
      <c r="F626" s="117" t="s">
        <v>1645</v>
      </c>
      <c r="G626" s="116">
        <v>477.50400000000002</v>
      </c>
      <c r="H626" s="108">
        <v>0</v>
      </c>
    </row>
    <row r="627" spans="1:8" ht="12.2" customHeight="1" x14ac:dyDescent="0.2">
      <c r="D627" s="334" t="s">
        <v>4193</v>
      </c>
      <c r="E627" s="335"/>
      <c r="F627" s="335"/>
      <c r="G627" s="143">
        <v>477.50400000000002</v>
      </c>
    </row>
    <row r="628" spans="1:8" x14ac:dyDescent="0.2">
      <c r="A628" s="117" t="s">
        <v>389</v>
      </c>
      <c r="B628" s="117"/>
      <c r="C628" s="117" t="s">
        <v>878</v>
      </c>
      <c r="D628" s="304" t="s">
        <v>1467</v>
      </c>
      <c r="E628" s="305"/>
      <c r="F628" s="117" t="s">
        <v>1645</v>
      </c>
      <c r="G628" s="116">
        <v>54.9</v>
      </c>
      <c r="H628" s="108">
        <v>0</v>
      </c>
    </row>
    <row r="629" spans="1:8" ht="12.2" customHeight="1" x14ac:dyDescent="0.2">
      <c r="D629" s="334" t="s">
        <v>1853</v>
      </c>
      <c r="E629" s="335"/>
      <c r="F629" s="335"/>
      <c r="G629" s="143">
        <v>54.9</v>
      </c>
    </row>
    <row r="630" spans="1:8" x14ac:dyDescent="0.2">
      <c r="A630" s="117" t="s">
        <v>390</v>
      </c>
      <c r="B630" s="117"/>
      <c r="C630" s="117" t="s">
        <v>879</v>
      </c>
      <c r="D630" s="304" t="s">
        <v>1468</v>
      </c>
      <c r="E630" s="305"/>
      <c r="F630" s="117" t="s">
        <v>1645</v>
      </c>
      <c r="G630" s="116">
        <v>54.9</v>
      </c>
      <c r="H630" s="108">
        <v>0</v>
      </c>
    </row>
    <row r="631" spans="1:8" ht="12.2" customHeight="1" x14ac:dyDescent="0.2">
      <c r="D631" s="334" t="s">
        <v>1853</v>
      </c>
      <c r="E631" s="335"/>
      <c r="F631" s="335"/>
      <c r="G631" s="143">
        <v>54.9</v>
      </c>
    </row>
    <row r="632" spans="1:8" x14ac:dyDescent="0.2">
      <c r="A632" s="117" t="s">
        <v>391</v>
      </c>
      <c r="B632" s="117"/>
      <c r="C632" s="117" t="s">
        <v>880</v>
      </c>
      <c r="D632" s="304" t="s">
        <v>1469</v>
      </c>
      <c r="E632" s="305"/>
      <c r="F632" s="117" t="s">
        <v>1647</v>
      </c>
      <c r="G632" s="116">
        <v>1.0429999999999999</v>
      </c>
      <c r="H632" s="108">
        <v>0</v>
      </c>
    </row>
    <row r="633" spans="1:8" ht="12.2" customHeight="1" x14ac:dyDescent="0.2">
      <c r="D633" s="334" t="s">
        <v>1854</v>
      </c>
      <c r="E633" s="335"/>
      <c r="F633" s="335"/>
      <c r="G633" s="143">
        <v>1.0429999999999999</v>
      </c>
    </row>
    <row r="634" spans="1:8" x14ac:dyDescent="0.2">
      <c r="A634" s="117" t="s">
        <v>392</v>
      </c>
      <c r="B634" s="117"/>
      <c r="C634" s="117" t="s">
        <v>881</v>
      </c>
      <c r="D634" s="304" t="s">
        <v>1470</v>
      </c>
      <c r="E634" s="305"/>
      <c r="F634" s="117" t="s">
        <v>1648</v>
      </c>
      <c r="G634" s="116">
        <v>46.424999999999997</v>
      </c>
      <c r="H634" s="108">
        <v>0</v>
      </c>
    </row>
    <row r="635" spans="1:8" ht="12.2" customHeight="1" x14ac:dyDescent="0.2">
      <c r="D635" s="334" t="s">
        <v>4192</v>
      </c>
      <c r="E635" s="335"/>
      <c r="F635" s="335"/>
      <c r="G635" s="143">
        <v>46.424999999999997</v>
      </c>
    </row>
    <row r="636" spans="1:8" x14ac:dyDescent="0.2">
      <c r="A636" s="120"/>
      <c r="B636" s="120"/>
      <c r="C636" s="120" t="s">
        <v>882</v>
      </c>
      <c r="D636" s="306" t="s">
        <v>1471</v>
      </c>
      <c r="E636" s="307"/>
      <c r="F636" s="120"/>
      <c r="G636" s="142"/>
      <c r="H636" s="109"/>
    </row>
    <row r="637" spans="1:8" x14ac:dyDescent="0.2">
      <c r="A637" s="117" t="s">
        <v>393</v>
      </c>
      <c r="B637" s="117"/>
      <c r="C637" s="117" t="s">
        <v>883</v>
      </c>
      <c r="D637" s="304" t="s">
        <v>3977</v>
      </c>
      <c r="E637" s="305"/>
      <c r="F637" s="117" t="s">
        <v>1645</v>
      </c>
      <c r="G637" s="116">
        <v>486.20400000000001</v>
      </c>
      <c r="H637" s="108">
        <v>0</v>
      </c>
    </row>
    <row r="638" spans="1:8" ht="12.2" customHeight="1" x14ac:dyDescent="0.2">
      <c r="D638" s="334" t="s">
        <v>4191</v>
      </c>
      <c r="E638" s="335"/>
      <c r="F638" s="335"/>
      <c r="G638" s="143">
        <v>477.50400000000002</v>
      </c>
    </row>
    <row r="639" spans="1:8" ht="12.2" customHeight="1" x14ac:dyDescent="0.2">
      <c r="A639" s="117"/>
      <c r="B639" s="117"/>
      <c r="C639" s="117"/>
      <c r="D639" s="334" t="s">
        <v>4190</v>
      </c>
      <c r="E639" s="335"/>
      <c r="F639" s="334"/>
      <c r="G639" s="144">
        <v>8.6999999999999993</v>
      </c>
      <c r="H639" s="111"/>
    </row>
    <row r="640" spans="1:8" x14ac:dyDescent="0.2">
      <c r="A640" s="117" t="s">
        <v>394</v>
      </c>
      <c r="B640" s="117"/>
      <c r="C640" s="117" t="s">
        <v>884</v>
      </c>
      <c r="D640" s="304" t="s">
        <v>1473</v>
      </c>
      <c r="E640" s="305"/>
      <c r="F640" s="117" t="s">
        <v>1646</v>
      </c>
      <c r="G640" s="116">
        <v>106</v>
      </c>
      <c r="H640" s="108">
        <v>0</v>
      </c>
    </row>
    <row r="641" spans="1:8" ht="12.2" customHeight="1" x14ac:dyDescent="0.2">
      <c r="D641" s="334" t="s">
        <v>1856</v>
      </c>
      <c r="E641" s="335"/>
      <c r="F641" s="335"/>
      <c r="G641" s="143">
        <v>106</v>
      </c>
    </row>
    <row r="642" spans="1:8" x14ac:dyDescent="0.2">
      <c r="A642" s="117" t="s">
        <v>395</v>
      </c>
      <c r="B642" s="117"/>
      <c r="C642" s="117" t="s">
        <v>885</v>
      </c>
      <c r="D642" s="304" t="s">
        <v>1474</v>
      </c>
      <c r="E642" s="305"/>
      <c r="F642" s="117" t="s">
        <v>1645</v>
      </c>
      <c r="G642" s="116">
        <v>9.9179999999999993</v>
      </c>
      <c r="H642" s="108">
        <v>0</v>
      </c>
    </row>
    <row r="643" spans="1:8" ht="12.2" customHeight="1" x14ac:dyDescent="0.2">
      <c r="D643" s="334" t="s">
        <v>4189</v>
      </c>
      <c r="E643" s="335"/>
      <c r="F643" s="335"/>
      <c r="G643" s="143">
        <v>9.9179999999999993</v>
      </c>
    </row>
    <row r="644" spans="1:8" x14ac:dyDescent="0.2">
      <c r="A644" s="117" t="s">
        <v>396</v>
      </c>
      <c r="B644" s="117"/>
      <c r="C644" s="117" t="s">
        <v>2318</v>
      </c>
      <c r="D644" s="304" t="s">
        <v>3976</v>
      </c>
      <c r="E644" s="305"/>
      <c r="F644" s="117" t="s">
        <v>1646</v>
      </c>
      <c r="G644" s="116">
        <v>6</v>
      </c>
      <c r="H644" s="108">
        <v>0</v>
      </c>
    </row>
    <row r="645" spans="1:8" ht="12.2" customHeight="1" x14ac:dyDescent="0.2">
      <c r="D645" s="334" t="s">
        <v>1806</v>
      </c>
      <c r="E645" s="335"/>
      <c r="F645" s="335"/>
      <c r="G645" s="143">
        <v>6</v>
      </c>
    </row>
    <row r="646" spans="1:8" x14ac:dyDescent="0.2">
      <c r="A646" s="117" t="s">
        <v>397</v>
      </c>
      <c r="B646" s="117"/>
      <c r="C646" s="117" t="s">
        <v>886</v>
      </c>
      <c r="D646" s="304" t="s">
        <v>3034</v>
      </c>
      <c r="E646" s="305"/>
      <c r="F646" s="117" t="s">
        <v>1646</v>
      </c>
      <c r="G646" s="116">
        <v>62.5</v>
      </c>
      <c r="H646" s="108">
        <v>0</v>
      </c>
    </row>
    <row r="647" spans="1:8" ht="12.2" customHeight="1" x14ac:dyDescent="0.2">
      <c r="D647" s="334" t="s">
        <v>1847</v>
      </c>
      <c r="E647" s="335"/>
      <c r="F647" s="335"/>
      <c r="G647" s="143">
        <v>62.5</v>
      </c>
    </row>
    <row r="648" spans="1:8" x14ac:dyDescent="0.2">
      <c r="A648" s="117" t="s">
        <v>398</v>
      </c>
      <c r="B648" s="117"/>
      <c r="C648" s="117" t="s">
        <v>887</v>
      </c>
      <c r="D648" s="304" t="s">
        <v>3033</v>
      </c>
      <c r="E648" s="305"/>
      <c r="F648" s="117" t="s">
        <v>1644</v>
      </c>
      <c r="G648" s="116">
        <v>6</v>
      </c>
      <c r="H648" s="108">
        <v>0</v>
      </c>
    </row>
    <row r="649" spans="1:8" ht="12.2" customHeight="1" x14ac:dyDescent="0.2">
      <c r="D649" s="334" t="s">
        <v>2526</v>
      </c>
      <c r="E649" s="335"/>
      <c r="F649" s="335"/>
      <c r="G649" s="143">
        <v>6</v>
      </c>
    </row>
    <row r="650" spans="1:8" x14ac:dyDescent="0.2">
      <c r="A650" s="117" t="s">
        <v>399</v>
      </c>
      <c r="B650" s="117"/>
      <c r="C650" s="117" t="s">
        <v>888</v>
      </c>
      <c r="D650" s="304" t="s">
        <v>1477</v>
      </c>
      <c r="E650" s="305"/>
      <c r="F650" s="117" t="s">
        <v>1644</v>
      </c>
      <c r="G650" s="116">
        <v>1</v>
      </c>
      <c r="H650" s="108">
        <v>0</v>
      </c>
    </row>
    <row r="651" spans="1:8" ht="12.2" customHeight="1" x14ac:dyDescent="0.2">
      <c r="D651" s="334" t="s">
        <v>1749</v>
      </c>
      <c r="E651" s="335"/>
      <c r="F651" s="335"/>
      <c r="G651" s="143">
        <v>1</v>
      </c>
    </row>
    <row r="652" spans="1:8" x14ac:dyDescent="0.2">
      <c r="A652" s="117" t="s">
        <v>400</v>
      </c>
      <c r="B652" s="117"/>
      <c r="C652" s="117" t="s">
        <v>889</v>
      </c>
      <c r="D652" s="304" t="s">
        <v>1478</v>
      </c>
      <c r="E652" s="305"/>
      <c r="F652" s="117" t="s">
        <v>1646</v>
      </c>
      <c r="G652" s="116">
        <v>46.3</v>
      </c>
      <c r="H652" s="108">
        <v>0</v>
      </c>
    </row>
    <row r="653" spans="1:8" ht="12.2" customHeight="1" x14ac:dyDescent="0.2">
      <c r="D653" s="334" t="s">
        <v>4188</v>
      </c>
      <c r="E653" s="335"/>
      <c r="F653" s="335"/>
      <c r="G653" s="143">
        <v>46.3</v>
      </c>
    </row>
    <row r="654" spans="1:8" x14ac:dyDescent="0.2">
      <c r="A654" s="117" t="s">
        <v>401</v>
      </c>
      <c r="B654" s="117"/>
      <c r="C654" s="117" t="s">
        <v>890</v>
      </c>
      <c r="D654" s="304" t="s">
        <v>1479</v>
      </c>
      <c r="E654" s="305"/>
      <c r="F654" s="117" t="s">
        <v>1646</v>
      </c>
      <c r="G654" s="116">
        <v>22.2</v>
      </c>
      <c r="H654" s="108">
        <v>0</v>
      </c>
    </row>
    <row r="655" spans="1:8" ht="12.2" customHeight="1" x14ac:dyDescent="0.2">
      <c r="D655" s="334" t="s">
        <v>4187</v>
      </c>
      <c r="E655" s="335"/>
      <c r="F655" s="335"/>
      <c r="G655" s="143">
        <v>22.2</v>
      </c>
    </row>
    <row r="656" spans="1:8" x14ac:dyDescent="0.2">
      <c r="A656" s="117" t="s">
        <v>402</v>
      </c>
      <c r="B656" s="117"/>
      <c r="C656" s="117" t="s">
        <v>891</v>
      </c>
      <c r="D656" s="304" t="s">
        <v>1480</v>
      </c>
      <c r="E656" s="305"/>
      <c r="F656" s="117" t="s">
        <v>1646</v>
      </c>
      <c r="G656" s="116">
        <v>68.5</v>
      </c>
      <c r="H656" s="108">
        <v>0</v>
      </c>
    </row>
    <row r="657" spans="1:8" ht="12.2" customHeight="1" x14ac:dyDescent="0.2">
      <c r="D657" s="334" t="s">
        <v>4186</v>
      </c>
      <c r="E657" s="335"/>
      <c r="F657" s="335"/>
      <c r="G657" s="143">
        <v>68.5</v>
      </c>
    </row>
    <row r="658" spans="1:8" x14ac:dyDescent="0.2">
      <c r="A658" s="117" t="s">
        <v>403</v>
      </c>
      <c r="B658" s="117"/>
      <c r="C658" s="117" t="s">
        <v>892</v>
      </c>
      <c r="D658" s="304" t="s">
        <v>1481</v>
      </c>
      <c r="E658" s="305"/>
      <c r="F658" s="117" t="s">
        <v>1646</v>
      </c>
      <c r="G658" s="116">
        <v>46.5</v>
      </c>
      <c r="H658" s="108">
        <v>0</v>
      </c>
    </row>
    <row r="659" spans="1:8" ht="12.2" customHeight="1" x14ac:dyDescent="0.2">
      <c r="D659" s="334" t="s">
        <v>2525</v>
      </c>
      <c r="E659" s="335"/>
      <c r="F659" s="335"/>
      <c r="G659" s="143">
        <v>46.5</v>
      </c>
    </row>
    <row r="660" spans="1:8" x14ac:dyDescent="0.2">
      <c r="A660" s="117" t="s">
        <v>404</v>
      </c>
      <c r="B660" s="117"/>
      <c r="C660" s="117" t="s">
        <v>2316</v>
      </c>
      <c r="D660" s="304" t="s">
        <v>2315</v>
      </c>
      <c r="E660" s="305"/>
      <c r="F660" s="117" t="s">
        <v>1646</v>
      </c>
      <c r="G660" s="116">
        <v>6</v>
      </c>
      <c r="H660" s="108">
        <v>0</v>
      </c>
    </row>
    <row r="661" spans="1:8" ht="12.2" customHeight="1" x14ac:dyDescent="0.2">
      <c r="D661" s="334" t="s">
        <v>1806</v>
      </c>
      <c r="E661" s="335"/>
      <c r="F661" s="335"/>
      <c r="G661" s="143">
        <v>6</v>
      </c>
    </row>
    <row r="662" spans="1:8" x14ac:dyDescent="0.2">
      <c r="A662" s="117" t="s">
        <v>405</v>
      </c>
      <c r="B662" s="117"/>
      <c r="C662" s="117" t="s">
        <v>893</v>
      </c>
      <c r="D662" s="304" t="s">
        <v>1482</v>
      </c>
      <c r="E662" s="305"/>
      <c r="F662" s="117" t="s">
        <v>1646</v>
      </c>
      <c r="G662" s="116">
        <v>62.5</v>
      </c>
      <c r="H662" s="108">
        <v>0</v>
      </c>
    </row>
    <row r="663" spans="1:8" ht="12.2" customHeight="1" x14ac:dyDescent="0.2">
      <c r="D663" s="334" t="s">
        <v>1847</v>
      </c>
      <c r="E663" s="335"/>
      <c r="F663" s="335"/>
      <c r="G663" s="143">
        <v>62.5</v>
      </c>
    </row>
    <row r="664" spans="1:8" x14ac:dyDescent="0.2">
      <c r="A664" s="117" t="s">
        <v>406</v>
      </c>
      <c r="B664" s="117"/>
      <c r="C664" s="117" t="s">
        <v>2314</v>
      </c>
      <c r="D664" s="304" t="s">
        <v>2313</v>
      </c>
      <c r="E664" s="305"/>
      <c r="F664" s="117" t="s">
        <v>1644</v>
      </c>
      <c r="G664" s="116">
        <v>2</v>
      </c>
      <c r="H664" s="108">
        <v>0</v>
      </c>
    </row>
    <row r="665" spans="1:8" ht="12.2" customHeight="1" x14ac:dyDescent="0.2">
      <c r="D665" s="334" t="s">
        <v>1849</v>
      </c>
      <c r="E665" s="335"/>
      <c r="F665" s="335"/>
      <c r="G665" s="143">
        <v>2</v>
      </c>
    </row>
    <row r="666" spans="1:8" x14ac:dyDescent="0.2">
      <c r="A666" s="117" t="s">
        <v>407</v>
      </c>
      <c r="B666" s="117"/>
      <c r="C666" s="117" t="s">
        <v>894</v>
      </c>
      <c r="D666" s="304" t="s">
        <v>1483</v>
      </c>
      <c r="E666" s="305"/>
      <c r="F666" s="117" t="s">
        <v>1644</v>
      </c>
      <c r="G666" s="116">
        <v>4</v>
      </c>
      <c r="H666" s="108">
        <v>0</v>
      </c>
    </row>
    <row r="667" spans="1:8" ht="12.2" customHeight="1" x14ac:dyDescent="0.2">
      <c r="D667" s="334" t="s">
        <v>1795</v>
      </c>
      <c r="E667" s="335"/>
      <c r="F667" s="335"/>
      <c r="G667" s="143">
        <v>4</v>
      </c>
    </row>
    <row r="668" spans="1:8" x14ac:dyDescent="0.2">
      <c r="A668" s="117" t="s">
        <v>408</v>
      </c>
      <c r="B668" s="117"/>
      <c r="C668" s="117" t="s">
        <v>2312</v>
      </c>
      <c r="D668" s="304" t="s">
        <v>2311</v>
      </c>
      <c r="E668" s="305"/>
      <c r="F668" s="117" t="s">
        <v>1646</v>
      </c>
      <c r="G668" s="116">
        <v>15.5</v>
      </c>
      <c r="H668" s="108">
        <v>0</v>
      </c>
    </row>
    <row r="669" spans="1:8" ht="12.2" customHeight="1" x14ac:dyDescent="0.2">
      <c r="D669" s="334" t="s">
        <v>2524</v>
      </c>
      <c r="E669" s="335"/>
      <c r="F669" s="335"/>
      <c r="G669" s="143">
        <v>15.5</v>
      </c>
    </row>
    <row r="670" spans="1:8" x14ac:dyDescent="0.2">
      <c r="A670" s="117" t="s">
        <v>409</v>
      </c>
      <c r="B670" s="117"/>
      <c r="C670" s="117" t="s">
        <v>895</v>
      </c>
      <c r="D670" s="304" t="s">
        <v>1484</v>
      </c>
      <c r="E670" s="305"/>
      <c r="F670" s="117" t="s">
        <v>1646</v>
      </c>
      <c r="G670" s="116">
        <v>31</v>
      </c>
      <c r="H670" s="108">
        <v>0</v>
      </c>
    </row>
    <row r="671" spans="1:8" ht="12.2" customHeight="1" x14ac:dyDescent="0.2">
      <c r="D671" s="334" t="s">
        <v>1861</v>
      </c>
      <c r="E671" s="335"/>
      <c r="F671" s="335"/>
      <c r="G671" s="143">
        <v>31</v>
      </c>
    </row>
    <row r="672" spans="1:8" x14ac:dyDescent="0.2">
      <c r="A672" s="117" t="s">
        <v>410</v>
      </c>
      <c r="B672" s="117"/>
      <c r="C672" s="117" t="s">
        <v>896</v>
      </c>
      <c r="D672" s="304" t="s">
        <v>1990</v>
      </c>
      <c r="E672" s="305"/>
      <c r="F672" s="117" t="s">
        <v>1646</v>
      </c>
      <c r="G672" s="116">
        <v>106</v>
      </c>
      <c r="H672" s="108">
        <v>0</v>
      </c>
    </row>
    <row r="673" spans="1:8" ht="12.2" customHeight="1" x14ac:dyDescent="0.2">
      <c r="D673" s="334" t="s">
        <v>1862</v>
      </c>
      <c r="E673" s="335"/>
      <c r="F673" s="335"/>
      <c r="G673" s="143">
        <v>106</v>
      </c>
    </row>
    <row r="674" spans="1:8" x14ac:dyDescent="0.2">
      <c r="A674" s="117" t="s">
        <v>411</v>
      </c>
      <c r="B674" s="117"/>
      <c r="C674" s="117" t="s">
        <v>3975</v>
      </c>
      <c r="D674" s="304" t="s">
        <v>3974</v>
      </c>
      <c r="E674" s="305"/>
      <c r="F674" s="117" t="s">
        <v>1646</v>
      </c>
      <c r="G674" s="116">
        <v>10</v>
      </c>
      <c r="H674" s="108">
        <v>0</v>
      </c>
    </row>
    <row r="675" spans="1:8" ht="12.2" customHeight="1" x14ac:dyDescent="0.2">
      <c r="D675" s="334" t="s">
        <v>2177</v>
      </c>
      <c r="E675" s="335"/>
      <c r="F675" s="335"/>
      <c r="G675" s="143">
        <v>10</v>
      </c>
    </row>
    <row r="676" spans="1:8" x14ac:dyDescent="0.2">
      <c r="A676" s="117" t="s">
        <v>412</v>
      </c>
      <c r="B676" s="117"/>
      <c r="C676" s="117" t="s">
        <v>896</v>
      </c>
      <c r="D676" s="304" t="s">
        <v>3973</v>
      </c>
      <c r="E676" s="305"/>
      <c r="F676" s="117" t="s">
        <v>1646</v>
      </c>
      <c r="G676" s="116">
        <v>10</v>
      </c>
      <c r="H676" s="108">
        <v>0</v>
      </c>
    </row>
    <row r="677" spans="1:8" ht="12.2" customHeight="1" x14ac:dyDescent="0.2">
      <c r="D677" s="334" t="s">
        <v>2177</v>
      </c>
      <c r="E677" s="335"/>
      <c r="F677" s="335"/>
      <c r="G677" s="143">
        <v>10</v>
      </c>
    </row>
    <row r="678" spans="1:8" x14ac:dyDescent="0.2">
      <c r="A678" s="117" t="s">
        <v>413</v>
      </c>
      <c r="B678" s="117"/>
      <c r="C678" s="117" t="s">
        <v>898</v>
      </c>
      <c r="D678" s="304" t="s">
        <v>3972</v>
      </c>
      <c r="E678" s="305"/>
      <c r="F678" s="117" t="s">
        <v>1646</v>
      </c>
      <c r="G678" s="116">
        <v>10</v>
      </c>
      <c r="H678" s="108">
        <v>0</v>
      </c>
    </row>
    <row r="679" spans="1:8" ht="12.2" customHeight="1" x14ac:dyDescent="0.2">
      <c r="D679" s="334" t="s">
        <v>2177</v>
      </c>
      <c r="E679" s="335"/>
      <c r="F679" s="335"/>
      <c r="G679" s="143">
        <v>10</v>
      </c>
    </row>
    <row r="680" spans="1:8" x14ac:dyDescent="0.2">
      <c r="A680" s="117" t="s">
        <v>414</v>
      </c>
      <c r="B680" s="117"/>
      <c r="C680" s="117" t="s">
        <v>3971</v>
      </c>
      <c r="D680" s="304" t="s">
        <v>3970</v>
      </c>
      <c r="E680" s="305"/>
      <c r="F680" s="117" t="s">
        <v>1645</v>
      </c>
      <c r="G680" s="116">
        <v>0.64</v>
      </c>
      <c r="H680" s="108">
        <v>0</v>
      </c>
    </row>
    <row r="681" spans="1:8" ht="12.2" customHeight="1" x14ac:dyDescent="0.2">
      <c r="D681" s="334" t="s">
        <v>4185</v>
      </c>
      <c r="E681" s="335"/>
      <c r="F681" s="335"/>
      <c r="G681" s="143">
        <v>0.64</v>
      </c>
    </row>
    <row r="682" spans="1:8" x14ac:dyDescent="0.2">
      <c r="A682" s="117" t="s">
        <v>415</v>
      </c>
      <c r="B682" s="117"/>
      <c r="C682" s="117" t="s">
        <v>899</v>
      </c>
      <c r="D682" s="304" t="s">
        <v>2309</v>
      </c>
      <c r="E682" s="305"/>
      <c r="F682" s="117" t="s">
        <v>1646</v>
      </c>
      <c r="G682" s="116">
        <v>33.159999999999997</v>
      </c>
      <c r="H682" s="108">
        <v>0</v>
      </c>
    </row>
    <row r="683" spans="1:8" ht="12.2" customHeight="1" x14ac:dyDescent="0.2">
      <c r="D683" s="334" t="s">
        <v>4184</v>
      </c>
      <c r="E683" s="335"/>
      <c r="F683" s="335"/>
      <c r="G683" s="143">
        <v>33.159999999999997</v>
      </c>
    </row>
    <row r="684" spans="1:8" x14ac:dyDescent="0.2">
      <c r="A684" s="117" t="s">
        <v>416</v>
      </c>
      <c r="B684" s="117"/>
      <c r="C684" s="117" t="s">
        <v>900</v>
      </c>
      <c r="D684" s="304" t="s">
        <v>1489</v>
      </c>
      <c r="E684" s="305"/>
      <c r="F684" s="117" t="s">
        <v>1646</v>
      </c>
      <c r="G684" s="116">
        <v>33.159999999999997</v>
      </c>
      <c r="H684" s="108">
        <v>0</v>
      </c>
    </row>
    <row r="685" spans="1:8" ht="12.2" customHeight="1" x14ac:dyDescent="0.2">
      <c r="D685" s="334" t="s">
        <v>4184</v>
      </c>
      <c r="E685" s="335"/>
      <c r="F685" s="335"/>
      <c r="G685" s="143">
        <v>33.159999999999997</v>
      </c>
    </row>
    <row r="686" spans="1:8" x14ac:dyDescent="0.2">
      <c r="A686" s="117" t="s">
        <v>417</v>
      </c>
      <c r="B686" s="117"/>
      <c r="C686" s="117" t="s">
        <v>901</v>
      </c>
      <c r="D686" s="304" t="s">
        <v>1490</v>
      </c>
      <c r="E686" s="305"/>
      <c r="F686" s="117" t="s">
        <v>1646</v>
      </c>
      <c r="G686" s="116">
        <v>62.5</v>
      </c>
      <c r="H686" s="108">
        <v>0</v>
      </c>
    </row>
    <row r="687" spans="1:8" ht="12.2" customHeight="1" x14ac:dyDescent="0.2">
      <c r="D687" s="334" t="s">
        <v>1847</v>
      </c>
      <c r="E687" s="335"/>
      <c r="F687" s="335"/>
      <c r="G687" s="143">
        <v>62.5</v>
      </c>
    </row>
    <row r="688" spans="1:8" x14ac:dyDescent="0.2">
      <c r="A688" s="117" t="s">
        <v>418</v>
      </c>
      <c r="B688" s="117"/>
      <c r="C688" s="117" t="s">
        <v>2308</v>
      </c>
      <c r="D688" s="304" t="s">
        <v>2307</v>
      </c>
      <c r="E688" s="305"/>
      <c r="F688" s="117" t="s">
        <v>1646</v>
      </c>
      <c r="G688" s="116">
        <v>3.5</v>
      </c>
      <c r="H688" s="108">
        <v>0</v>
      </c>
    </row>
    <row r="689" spans="1:8" ht="12.2" customHeight="1" x14ac:dyDescent="0.2">
      <c r="D689" s="334" t="s">
        <v>2522</v>
      </c>
      <c r="E689" s="335"/>
      <c r="F689" s="335"/>
      <c r="G689" s="143">
        <v>3.5</v>
      </c>
    </row>
    <row r="690" spans="1:8" x14ac:dyDescent="0.2">
      <c r="A690" s="117" t="s">
        <v>419</v>
      </c>
      <c r="B690" s="117"/>
      <c r="C690" s="117" t="s">
        <v>902</v>
      </c>
      <c r="D690" s="304" t="s">
        <v>1491</v>
      </c>
      <c r="E690" s="305"/>
      <c r="F690" s="117" t="s">
        <v>1648</v>
      </c>
      <c r="G690" s="116">
        <v>6.0460000000000003</v>
      </c>
      <c r="H690" s="108">
        <v>0</v>
      </c>
    </row>
    <row r="691" spans="1:8" ht="12.2" customHeight="1" x14ac:dyDescent="0.2">
      <c r="D691" s="334" t="s">
        <v>4183</v>
      </c>
      <c r="E691" s="335"/>
      <c r="F691" s="335"/>
      <c r="G691" s="143">
        <v>6.0460000000000003</v>
      </c>
    </row>
    <row r="692" spans="1:8" x14ac:dyDescent="0.2">
      <c r="A692" s="120"/>
      <c r="B692" s="120"/>
      <c r="C692" s="120" t="s">
        <v>903</v>
      </c>
      <c r="D692" s="306" t="s">
        <v>1492</v>
      </c>
      <c r="E692" s="307"/>
      <c r="F692" s="120"/>
      <c r="G692" s="142"/>
      <c r="H692" s="109"/>
    </row>
    <row r="693" spans="1:8" x14ac:dyDescent="0.2">
      <c r="A693" s="117" t="s">
        <v>420</v>
      </c>
      <c r="B693" s="117"/>
      <c r="C693" s="117" t="s">
        <v>2306</v>
      </c>
      <c r="D693" s="304" t="s">
        <v>2305</v>
      </c>
      <c r="E693" s="305"/>
      <c r="F693" s="117" t="s">
        <v>1645</v>
      </c>
      <c r="G693" s="116">
        <v>6.0750000000000002</v>
      </c>
      <c r="H693" s="108">
        <v>0</v>
      </c>
    </row>
    <row r="694" spans="1:8" ht="12.2" customHeight="1" x14ac:dyDescent="0.2">
      <c r="D694" s="334" t="s">
        <v>4182</v>
      </c>
      <c r="E694" s="335"/>
      <c r="F694" s="335"/>
      <c r="G694" s="143">
        <v>6.0750000000000002</v>
      </c>
    </row>
    <row r="695" spans="1:8" x14ac:dyDescent="0.2">
      <c r="A695" s="124" t="s">
        <v>421</v>
      </c>
      <c r="B695" s="124"/>
      <c r="C695" s="124" t="s">
        <v>2304</v>
      </c>
      <c r="D695" s="311" t="s">
        <v>2303</v>
      </c>
      <c r="E695" s="312"/>
      <c r="F695" s="124" t="s">
        <v>1645</v>
      </c>
      <c r="G695" s="123">
        <v>6.6829999999999998</v>
      </c>
      <c r="H695" s="121">
        <v>0</v>
      </c>
    </row>
    <row r="696" spans="1:8" ht="12.2" customHeight="1" x14ac:dyDescent="0.2">
      <c r="D696" s="336" t="s">
        <v>4181</v>
      </c>
      <c r="E696" s="337"/>
      <c r="F696" s="337"/>
      <c r="G696" s="146">
        <v>6.0750000000000002</v>
      </c>
    </row>
    <row r="697" spans="1:8" ht="12.2" customHeight="1" x14ac:dyDescent="0.2">
      <c r="A697" s="124"/>
      <c r="B697" s="124"/>
      <c r="C697" s="124"/>
      <c r="D697" s="336" t="s">
        <v>4180</v>
      </c>
      <c r="E697" s="337"/>
      <c r="F697" s="336"/>
      <c r="G697" s="145">
        <v>0.60799999999999998</v>
      </c>
      <c r="H697" s="122"/>
    </row>
    <row r="698" spans="1:8" x14ac:dyDescent="0.2">
      <c r="A698" s="117" t="s">
        <v>422</v>
      </c>
      <c r="B698" s="117"/>
      <c r="C698" s="117" t="s">
        <v>2689</v>
      </c>
      <c r="D698" s="304" t="s">
        <v>2688</v>
      </c>
      <c r="E698" s="305"/>
      <c r="F698" s="117" t="s">
        <v>1646</v>
      </c>
      <c r="G698" s="116">
        <v>10.5</v>
      </c>
      <c r="H698" s="108">
        <v>0</v>
      </c>
    </row>
    <row r="699" spans="1:8" ht="12.2" customHeight="1" x14ac:dyDescent="0.2">
      <c r="D699" s="334" t="s">
        <v>4179</v>
      </c>
      <c r="E699" s="335"/>
      <c r="F699" s="335"/>
      <c r="G699" s="143">
        <v>10.5</v>
      </c>
    </row>
    <row r="700" spans="1:8" x14ac:dyDescent="0.2">
      <c r="A700" s="117" t="s">
        <v>423</v>
      </c>
      <c r="B700" s="117"/>
      <c r="C700" s="117" t="s">
        <v>2687</v>
      </c>
      <c r="D700" s="304" t="s">
        <v>2686</v>
      </c>
      <c r="E700" s="305"/>
      <c r="F700" s="117" t="s">
        <v>1646</v>
      </c>
      <c r="G700" s="116">
        <v>4.5</v>
      </c>
      <c r="H700" s="108">
        <v>0</v>
      </c>
    </row>
    <row r="701" spans="1:8" ht="12.2" customHeight="1" x14ac:dyDescent="0.2">
      <c r="D701" s="334" t="s">
        <v>4178</v>
      </c>
      <c r="E701" s="335"/>
      <c r="F701" s="335"/>
      <c r="G701" s="143">
        <v>4.5</v>
      </c>
    </row>
    <row r="702" spans="1:8" x14ac:dyDescent="0.2">
      <c r="A702" s="117" t="s">
        <v>424</v>
      </c>
      <c r="B702" s="117"/>
      <c r="C702" s="117" t="s">
        <v>904</v>
      </c>
      <c r="D702" s="304" t="s">
        <v>1493</v>
      </c>
      <c r="E702" s="305"/>
      <c r="F702" s="117" t="s">
        <v>1644</v>
      </c>
      <c r="G702" s="116">
        <v>1</v>
      </c>
      <c r="H702" s="108">
        <v>0</v>
      </c>
    </row>
    <row r="703" spans="1:8" ht="12.2" customHeight="1" x14ac:dyDescent="0.2">
      <c r="D703" s="334" t="s">
        <v>1749</v>
      </c>
      <c r="E703" s="335"/>
      <c r="F703" s="335"/>
      <c r="G703" s="143">
        <v>1</v>
      </c>
    </row>
    <row r="704" spans="1:8" x14ac:dyDescent="0.2">
      <c r="A704" s="117" t="s">
        <v>425</v>
      </c>
      <c r="B704" s="117"/>
      <c r="C704" s="117" t="s">
        <v>905</v>
      </c>
      <c r="D704" s="304" t="s">
        <v>3969</v>
      </c>
      <c r="E704" s="305"/>
      <c r="F704" s="117" t="s">
        <v>1644</v>
      </c>
      <c r="G704" s="116">
        <v>1</v>
      </c>
      <c r="H704" s="108">
        <v>0</v>
      </c>
    </row>
    <row r="705" spans="1:8" ht="12.2" customHeight="1" x14ac:dyDescent="0.2">
      <c r="D705" s="334" t="s">
        <v>1749</v>
      </c>
      <c r="E705" s="335"/>
      <c r="F705" s="335"/>
      <c r="G705" s="143">
        <v>1</v>
      </c>
    </row>
    <row r="706" spans="1:8" x14ac:dyDescent="0.2">
      <c r="A706" s="117" t="s">
        <v>426</v>
      </c>
      <c r="B706" s="117"/>
      <c r="C706" s="117" t="s">
        <v>2685</v>
      </c>
      <c r="D706" s="304" t="s">
        <v>2684</v>
      </c>
      <c r="E706" s="305"/>
      <c r="F706" s="117" t="s">
        <v>1644</v>
      </c>
      <c r="G706" s="116">
        <v>5</v>
      </c>
      <c r="H706" s="108">
        <v>0</v>
      </c>
    </row>
    <row r="707" spans="1:8" ht="12.2" customHeight="1" x14ac:dyDescent="0.2">
      <c r="D707" s="334" t="s">
        <v>4177</v>
      </c>
      <c r="E707" s="335"/>
      <c r="F707" s="335"/>
      <c r="G707" s="143">
        <v>5</v>
      </c>
    </row>
    <row r="708" spans="1:8" x14ac:dyDescent="0.2">
      <c r="A708" s="124" t="s">
        <v>427</v>
      </c>
      <c r="B708" s="124"/>
      <c r="C708" s="124" t="s">
        <v>3433</v>
      </c>
      <c r="D708" s="311" t="s">
        <v>3968</v>
      </c>
      <c r="E708" s="312"/>
      <c r="F708" s="124" t="s">
        <v>1644</v>
      </c>
      <c r="G708" s="123">
        <v>1</v>
      </c>
      <c r="H708" s="121">
        <v>0</v>
      </c>
    </row>
    <row r="709" spans="1:8" ht="12.2" customHeight="1" x14ac:dyDescent="0.2">
      <c r="D709" s="336" t="s">
        <v>1749</v>
      </c>
      <c r="E709" s="337"/>
      <c r="F709" s="337"/>
      <c r="G709" s="146">
        <v>1</v>
      </c>
    </row>
    <row r="710" spans="1:8" x14ac:dyDescent="0.2">
      <c r="A710" s="124" t="s">
        <v>428</v>
      </c>
      <c r="B710" s="124"/>
      <c r="C710" s="124" t="s">
        <v>3431</v>
      </c>
      <c r="D710" s="311" t="s">
        <v>3967</v>
      </c>
      <c r="E710" s="312"/>
      <c r="F710" s="124" t="s">
        <v>1644</v>
      </c>
      <c r="G710" s="123">
        <v>3</v>
      </c>
      <c r="H710" s="121">
        <v>0</v>
      </c>
    </row>
    <row r="711" spans="1:8" ht="12.2" customHeight="1" x14ac:dyDescent="0.2">
      <c r="D711" s="336" t="s">
        <v>1797</v>
      </c>
      <c r="E711" s="337"/>
      <c r="F711" s="337"/>
      <c r="G711" s="146">
        <v>3</v>
      </c>
    </row>
    <row r="712" spans="1:8" x14ac:dyDescent="0.2">
      <c r="A712" s="124" t="s">
        <v>429</v>
      </c>
      <c r="B712" s="124"/>
      <c r="C712" s="124" t="s">
        <v>3435</v>
      </c>
      <c r="D712" s="311" t="s">
        <v>3966</v>
      </c>
      <c r="E712" s="312"/>
      <c r="F712" s="124" t="s">
        <v>1644</v>
      </c>
      <c r="G712" s="123">
        <v>1</v>
      </c>
      <c r="H712" s="121">
        <v>0</v>
      </c>
    </row>
    <row r="713" spans="1:8" ht="12.2" customHeight="1" x14ac:dyDescent="0.2">
      <c r="D713" s="336" t="s">
        <v>1749</v>
      </c>
      <c r="E713" s="337"/>
      <c r="F713" s="337"/>
      <c r="G713" s="146">
        <v>1</v>
      </c>
    </row>
    <row r="714" spans="1:8" x14ac:dyDescent="0.2">
      <c r="A714" s="117" t="s">
        <v>430</v>
      </c>
      <c r="B714" s="117"/>
      <c r="C714" s="117" t="s">
        <v>906</v>
      </c>
      <c r="D714" s="304" t="s">
        <v>1495</v>
      </c>
      <c r="E714" s="305"/>
      <c r="F714" s="117" t="s">
        <v>1648</v>
      </c>
      <c r="G714" s="116">
        <v>0.23699999999999999</v>
      </c>
      <c r="H714" s="108">
        <v>0</v>
      </c>
    </row>
    <row r="715" spans="1:8" ht="12.2" customHeight="1" x14ac:dyDescent="0.2">
      <c r="D715" s="334" t="s">
        <v>4176</v>
      </c>
      <c r="E715" s="335"/>
      <c r="F715" s="335"/>
      <c r="G715" s="143">
        <v>0.23699999999999999</v>
      </c>
    </row>
    <row r="716" spans="1:8" x14ac:dyDescent="0.2">
      <c r="A716" s="120"/>
      <c r="B716" s="120"/>
      <c r="C716" s="120" t="s">
        <v>907</v>
      </c>
      <c r="D716" s="306" t="s">
        <v>1496</v>
      </c>
      <c r="E716" s="307"/>
      <c r="F716" s="120"/>
      <c r="G716" s="142"/>
      <c r="H716" s="109"/>
    </row>
    <row r="717" spans="1:8" x14ac:dyDescent="0.2">
      <c r="A717" s="117" t="s">
        <v>431</v>
      </c>
      <c r="B717" s="117"/>
      <c r="C717" s="117" t="s">
        <v>3423</v>
      </c>
      <c r="D717" s="304" t="s">
        <v>3965</v>
      </c>
      <c r="E717" s="305"/>
      <c r="F717" s="117" t="s">
        <v>1644</v>
      </c>
      <c r="G717" s="116">
        <v>2</v>
      </c>
      <c r="H717" s="108">
        <v>0</v>
      </c>
    </row>
    <row r="718" spans="1:8" ht="12.2" customHeight="1" x14ac:dyDescent="0.2">
      <c r="D718" s="334" t="s">
        <v>1849</v>
      </c>
      <c r="E718" s="335"/>
      <c r="F718" s="335"/>
      <c r="G718" s="143">
        <v>2</v>
      </c>
    </row>
    <row r="719" spans="1:8" x14ac:dyDescent="0.2">
      <c r="A719" s="117" t="s">
        <v>432</v>
      </c>
      <c r="B719" s="117"/>
      <c r="C719" s="117" t="s">
        <v>2302</v>
      </c>
      <c r="D719" s="304" t="s">
        <v>3964</v>
      </c>
      <c r="E719" s="305"/>
      <c r="F719" s="117" t="s">
        <v>1644</v>
      </c>
      <c r="G719" s="116">
        <v>1</v>
      </c>
      <c r="H719" s="108">
        <v>0</v>
      </c>
    </row>
    <row r="720" spans="1:8" ht="12.2" customHeight="1" x14ac:dyDescent="0.2">
      <c r="D720" s="334" t="s">
        <v>1749</v>
      </c>
      <c r="E720" s="335"/>
      <c r="F720" s="335"/>
      <c r="G720" s="143">
        <v>1</v>
      </c>
    </row>
    <row r="721" spans="1:8" x14ac:dyDescent="0.2">
      <c r="A721" s="117" t="s">
        <v>433</v>
      </c>
      <c r="B721" s="117"/>
      <c r="C721" s="117" t="s">
        <v>2300</v>
      </c>
      <c r="D721" s="304" t="s">
        <v>3963</v>
      </c>
      <c r="E721" s="305"/>
      <c r="F721" s="117" t="s">
        <v>1644</v>
      </c>
      <c r="G721" s="116">
        <v>4</v>
      </c>
      <c r="H721" s="108">
        <v>0</v>
      </c>
    </row>
    <row r="722" spans="1:8" ht="12.2" customHeight="1" x14ac:dyDescent="0.2">
      <c r="D722" s="334" t="s">
        <v>4175</v>
      </c>
      <c r="E722" s="335"/>
      <c r="F722" s="335"/>
      <c r="G722" s="143">
        <v>4</v>
      </c>
    </row>
    <row r="723" spans="1:8" x14ac:dyDescent="0.2">
      <c r="A723" s="117" t="s">
        <v>434</v>
      </c>
      <c r="B723" s="117"/>
      <c r="C723" s="117" t="s">
        <v>908</v>
      </c>
      <c r="D723" s="304" t="s">
        <v>1497</v>
      </c>
      <c r="E723" s="305"/>
      <c r="F723" s="117" t="s">
        <v>1644</v>
      </c>
      <c r="G723" s="116">
        <v>2</v>
      </c>
      <c r="H723" s="108">
        <v>0</v>
      </c>
    </row>
    <row r="724" spans="1:8" ht="12.2" customHeight="1" x14ac:dyDescent="0.2">
      <c r="D724" s="334" t="s">
        <v>1849</v>
      </c>
      <c r="E724" s="335"/>
      <c r="F724" s="335"/>
      <c r="G724" s="143">
        <v>2</v>
      </c>
    </row>
    <row r="725" spans="1:8" x14ac:dyDescent="0.2">
      <c r="A725" s="117" t="s">
        <v>435</v>
      </c>
      <c r="B725" s="117"/>
      <c r="C725" s="117" t="s">
        <v>909</v>
      </c>
      <c r="D725" s="304" t="s">
        <v>1498</v>
      </c>
      <c r="E725" s="305"/>
      <c r="F725" s="117" t="s">
        <v>1644</v>
      </c>
      <c r="G725" s="116">
        <v>1</v>
      </c>
      <c r="H725" s="108">
        <v>0</v>
      </c>
    </row>
    <row r="726" spans="1:8" ht="12.2" customHeight="1" x14ac:dyDescent="0.2">
      <c r="D726" s="334" t="s">
        <v>1749</v>
      </c>
      <c r="E726" s="335"/>
      <c r="F726" s="335"/>
      <c r="G726" s="143">
        <v>1</v>
      </c>
    </row>
    <row r="727" spans="1:8" x14ac:dyDescent="0.2">
      <c r="A727" s="117" t="s">
        <v>436</v>
      </c>
      <c r="B727" s="117"/>
      <c r="C727" s="117" t="s">
        <v>910</v>
      </c>
      <c r="D727" s="304" t="s">
        <v>1499</v>
      </c>
      <c r="E727" s="305"/>
      <c r="F727" s="117" t="s">
        <v>1644</v>
      </c>
      <c r="G727" s="116">
        <v>1</v>
      </c>
      <c r="H727" s="108">
        <v>0</v>
      </c>
    </row>
    <row r="728" spans="1:8" ht="12.2" customHeight="1" x14ac:dyDescent="0.2">
      <c r="D728" s="334" t="s">
        <v>1749</v>
      </c>
      <c r="E728" s="335"/>
      <c r="F728" s="335"/>
      <c r="G728" s="143">
        <v>1</v>
      </c>
    </row>
    <row r="729" spans="1:8" x14ac:dyDescent="0.2">
      <c r="A729" s="117" t="s">
        <v>437</v>
      </c>
      <c r="B729" s="117"/>
      <c r="C729" s="117" t="s">
        <v>913</v>
      </c>
      <c r="D729" s="304" t="s">
        <v>1502</v>
      </c>
      <c r="E729" s="305"/>
      <c r="F729" s="117" t="s">
        <v>1644</v>
      </c>
      <c r="G729" s="116">
        <v>4</v>
      </c>
      <c r="H729" s="108">
        <v>0</v>
      </c>
    </row>
    <row r="730" spans="1:8" ht="12.2" customHeight="1" x14ac:dyDescent="0.2">
      <c r="D730" s="334" t="s">
        <v>1795</v>
      </c>
      <c r="E730" s="335"/>
      <c r="F730" s="335"/>
      <c r="G730" s="143">
        <v>4</v>
      </c>
    </row>
    <row r="731" spans="1:8" x14ac:dyDescent="0.2">
      <c r="A731" s="117" t="s">
        <v>438</v>
      </c>
      <c r="B731" s="117"/>
      <c r="C731" s="117" t="s">
        <v>3029</v>
      </c>
      <c r="D731" s="304" t="s">
        <v>3028</v>
      </c>
      <c r="E731" s="305"/>
      <c r="F731" s="117" t="s">
        <v>1644</v>
      </c>
      <c r="G731" s="116">
        <v>1</v>
      </c>
      <c r="H731" s="108">
        <v>0</v>
      </c>
    </row>
    <row r="732" spans="1:8" ht="12.2" customHeight="1" x14ac:dyDescent="0.2">
      <c r="D732" s="334" t="s">
        <v>1749</v>
      </c>
      <c r="E732" s="335"/>
      <c r="F732" s="335"/>
      <c r="G732" s="143">
        <v>1</v>
      </c>
    </row>
    <row r="733" spans="1:8" x14ac:dyDescent="0.2">
      <c r="A733" s="117" t="s">
        <v>439</v>
      </c>
      <c r="B733" s="117"/>
      <c r="C733" s="117" t="s">
        <v>3962</v>
      </c>
      <c r="D733" s="304" t="s">
        <v>3961</v>
      </c>
      <c r="E733" s="305"/>
      <c r="F733" s="117" t="s">
        <v>1644</v>
      </c>
      <c r="G733" s="116">
        <v>2</v>
      </c>
      <c r="H733" s="108">
        <v>0</v>
      </c>
    </row>
    <row r="734" spans="1:8" ht="12.2" customHeight="1" x14ac:dyDescent="0.2">
      <c r="D734" s="334" t="s">
        <v>1849</v>
      </c>
      <c r="E734" s="335"/>
      <c r="F734" s="335"/>
      <c r="G734" s="143">
        <v>2</v>
      </c>
    </row>
    <row r="735" spans="1:8" x14ac:dyDescent="0.2">
      <c r="A735" s="117" t="s">
        <v>440</v>
      </c>
      <c r="B735" s="117"/>
      <c r="C735" s="117" t="s">
        <v>3960</v>
      </c>
      <c r="D735" s="304" t="s">
        <v>3959</v>
      </c>
      <c r="E735" s="305"/>
      <c r="F735" s="117" t="s">
        <v>1644</v>
      </c>
      <c r="G735" s="116">
        <v>2</v>
      </c>
      <c r="H735" s="108">
        <v>0</v>
      </c>
    </row>
    <row r="736" spans="1:8" ht="12.2" customHeight="1" x14ac:dyDescent="0.2">
      <c r="D736" s="334" t="s">
        <v>1849</v>
      </c>
      <c r="E736" s="335"/>
      <c r="F736" s="335"/>
      <c r="G736" s="143">
        <v>2</v>
      </c>
    </row>
    <row r="737" spans="1:8" x14ac:dyDescent="0.2">
      <c r="A737" s="117" t="s">
        <v>441</v>
      </c>
      <c r="B737" s="117"/>
      <c r="C737" s="117" t="s">
        <v>916</v>
      </c>
      <c r="D737" s="304" t="s">
        <v>2298</v>
      </c>
      <c r="E737" s="305"/>
      <c r="F737" s="117" t="s">
        <v>1644</v>
      </c>
      <c r="G737" s="116">
        <v>1</v>
      </c>
      <c r="H737" s="108">
        <v>0</v>
      </c>
    </row>
    <row r="738" spans="1:8" ht="12.2" customHeight="1" x14ac:dyDescent="0.2">
      <c r="D738" s="334" t="s">
        <v>1749</v>
      </c>
      <c r="E738" s="335"/>
      <c r="F738" s="335"/>
      <c r="G738" s="143">
        <v>1</v>
      </c>
    </row>
    <row r="739" spans="1:8" x14ac:dyDescent="0.2">
      <c r="A739" s="117" t="s">
        <v>442</v>
      </c>
      <c r="B739" s="117"/>
      <c r="C739" s="117" t="s">
        <v>918</v>
      </c>
      <c r="D739" s="304" t="s">
        <v>1986</v>
      </c>
      <c r="E739" s="305"/>
      <c r="F739" s="117" t="s">
        <v>1644</v>
      </c>
      <c r="G739" s="116">
        <v>1</v>
      </c>
      <c r="H739" s="108">
        <v>0</v>
      </c>
    </row>
    <row r="740" spans="1:8" ht="12.2" customHeight="1" x14ac:dyDescent="0.2">
      <c r="D740" s="334" t="s">
        <v>1749</v>
      </c>
      <c r="E740" s="335"/>
      <c r="F740" s="335"/>
      <c r="G740" s="143">
        <v>1</v>
      </c>
    </row>
    <row r="741" spans="1:8" x14ac:dyDescent="0.2">
      <c r="A741" s="117" t="s">
        <v>443</v>
      </c>
      <c r="B741" s="117"/>
      <c r="C741" s="117" t="s">
        <v>919</v>
      </c>
      <c r="D741" s="304" t="s">
        <v>1508</v>
      </c>
      <c r="E741" s="305"/>
      <c r="F741" s="117" t="s">
        <v>1644</v>
      </c>
      <c r="G741" s="116">
        <v>2</v>
      </c>
      <c r="H741" s="108">
        <v>0</v>
      </c>
    </row>
    <row r="742" spans="1:8" ht="12.2" customHeight="1" x14ac:dyDescent="0.2">
      <c r="D742" s="334" t="s">
        <v>1849</v>
      </c>
      <c r="E742" s="335"/>
      <c r="F742" s="335"/>
      <c r="G742" s="143">
        <v>2</v>
      </c>
    </row>
    <row r="743" spans="1:8" x14ac:dyDescent="0.2">
      <c r="A743" s="117" t="s">
        <v>444</v>
      </c>
      <c r="B743" s="117"/>
      <c r="C743" s="117" t="s">
        <v>917</v>
      </c>
      <c r="D743" s="304" t="s">
        <v>1506</v>
      </c>
      <c r="E743" s="305"/>
      <c r="F743" s="117" t="s">
        <v>1644</v>
      </c>
      <c r="G743" s="116">
        <v>1</v>
      </c>
      <c r="H743" s="108">
        <v>0</v>
      </c>
    </row>
    <row r="744" spans="1:8" ht="12.2" customHeight="1" x14ac:dyDescent="0.2">
      <c r="D744" s="334" t="s">
        <v>1749</v>
      </c>
      <c r="E744" s="335"/>
      <c r="F744" s="335"/>
      <c r="G744" s="143">
        <v>1</v>
      </c>
    </row>
    <row r="745" spans="1:8" x14ac:dyDescent="0.2">
      <c r="A745" s="117" t="s">
        <v>445</v>
      </c>
      <c r="B745" s="117"/>
      <c r="C745" s="117" t="s">
        <v>920</v>
      </c>
      <c r="D745" s="304" t="s">
        <v>1509</v>
      </c>
      <c r="E745" s="305"/>
      <c r="F745" s="117" t="s">
        <v>1644</v>
      </c>
      <c r="G745" s="116">
        <v>1</v>
      </c>
      <c r="H745" s="108">
        <v>0</v>
      </c>
    </row>
    <row r="746" spans="1:8" ht="12.2" customHeight="1" x14ac:dyDescent="0.2">
      <c r="D746" s="334" t="s">
        <v>1749</v>
      </c>
      <c r="E746" s="335"/>
      <c r="F746" s="335"/>
      <c r="G746" s="143">
        <v>1</v>
      </c>
    </row>
    <row r="747" spans="1:8" x14ac:dyDescent="0.2">
      <c r="A747" s="117" t="s">
        <v>446</v>
      </c>
      <c r="B747" s="117"/>
      <c r="C747" s="117" t="s">
        <v>2677</v>
      </c>
      <c r="D747" s="304" t="s">
        <v>3958</v>
      </c>
      <c r="E747" s="305"/>
      <c r="F747" s="117" t="s">
        <v>1644</v>
      </c>
      <c r="G747" s="116">
        <v>1</v>
      </c>
      <c r="H747" s="108">
        <v>0</v>
      </c>
    </row>
    <row r="748" spans="1:8" ht="12.2" customHeight="1" x14ac:dyDescent="0.2">
      <c r="D748" s="334" t="s">
        <v>1749</v>
      </c>
      <c r="E748" s="335"/>
      <c r="F748" s="335"/>
      <c r="G748" s="143">
        <v>1</v>
      </c>
    </row>
    <row r="749" spans="1:8" x14ac:dyDescent="0.2">
      <c r="A749" s="117" t="s">
        <v>447</v>
      </c>
      <c r="B749" s="117"/>
      <c r="C749" s="117" t="s">
        <v>921</v>
      </c>
      <c r="D749" s="304" t="s">
        <v>1510</v>
      </c>
      <c r="E749" s="305"/>
      <c r="F749" s="117" t="s">
        <v>1648</v>
      </c>
      <c r="G749" s="116">
        <v>0.94099999999999995</v>
      </c>
      <c r="H749" s="108">
        <v>0</v>
      </c>
    </row>
    <row r="750" spans="1:8" ht="12.2" customHeight="1" x14ac:dyDescent="0.2">
      <c r="D750" s="334" t="s">
        <v>4174</v>
      </c>
      <c r="E750" s="335"/>
      <c r="F750" s="335"/>
      <c r="G750" s="143">
        <v>0.94099999999999995</v>
      </c>
    </row>
    <row r="751" spans="1:8" x14ac:dyDescent="0.2">
      <c r="A751" s="120"/>
      <c r="B751" s="120"/>
      <c r="C751" s="120" t="s">
        <v>922</v>
      </c>
      <c r="D751" s="306" t="s">
        <v>1511</v>
      </c>
      <c r="E751" s="307"/>
      <c r="F751" s="120"/>
      <c r="G751" s="142"/>
      <c r="H751" s="109"/>
    </row>
    <row r="752" spans="1:8" x14ac:dyDescent="0.2">
      <c r="A752" s="117" t="s">
        <v>448</v>
      </c>
      <c r="B752" s="117"/>
      <c r="C752" s="117" t="s">
        <v>923</v>
      </c>
      <c r="D752" s="304" t="s">
        <v>1512</v>
      </c>
      <c r="E752" s="305"/>
      <c r="F752" s="117" t="s">
        <v>1645</v>
      </c>
      <c r="G752" s="116">
        <v>23.536000000000001</v>
      </c>
      <c r="H752" s="108">
        <v>0</v>
      </c>
    </row>
    <row r="753" spans="1:8" ht="12.2" customHeight="1" x14ac:dyDescent="0.2">
      <c r="D753" s="334" t="s">
        <v>4173</v>
      </c>
      <c r="E753" s="335"/>
      <c r="F753" s="335"/>
      <c r="G753" s="143">
        <v>23.536000000000001</v>
      </c>
    </row>
    <row r="754" spans="1:8" x14ac:dyDescent="0.2">
      <c r="A754" s="117" t="s">
        <v>449</v>
      </c>
      <c r="B754" s="117"/>
      <c r="C754" s="117" t="s">
        <v>924</v>
      </c>
      <c r="D754" s="304" t="s">
        <v>1513</v>
      </c>
      <c r="E754" s="305"/>
      <c r="F754" s="117" t="s">
        <v>1645</v>
      </c>
      <c r="G754" s="116">
        <v>23.536000000000001</v>
      </c>
      <c r="H754" s="108">
        <v>0</v>
      </c>
    </row>
    <row r="755" spans="1:8" ht="12.2" customHeight="1" x14ac:dyDescent="0.2">
      <c r="D755" s="334" t="s">
        <v>4173</v>
      </c>
      <c r="E755" s="335"/>
      <c r="F755" s="335"/>
      <c r="G755" s="143">
        <v>23.536000000000001</v>
      </c>
    </row>
    <row r="756" spans="1:8" x14ac:dyDescent="0.2">
      <c r="A756" s="117" t="s">
        <v>450</v>
      </c>
      <c r="B756" s="117"/>
      <c r="C756" s="117" t="s">
        <v>925</v>
      </c>
      <c r="D756" s="304" t="s">
        <v>1514</v>
      </c>
      <c r="E756" s="305"/>
      <c r="F756" s="117" t="s">
        <v>1645</v>
      </c>
      <c r="G756" s="116">
        <v>23.536000000000001</v>
      </c>
      <c r="H756" s="108">
        <v>0</v>
      </c>
    </row>
    <row r="757" spans="1:8" ht="12.2" customHeight="1" x14ac:dyDescent="0.2">
      <c r="D757" s="334" t="s">
        <v>4173</v>
      </c>
      <c r="E757" s="335"/>
      <c r="F757" s="335"/>
      <c r="G757" s="143">
        <v>23.536000000000001</v>
      </c>
    </row>
    <row r="758" spans="1:8" x14ac:dyDescent="0.2">
      <c r="A758" s="124" t="s">
        <v>451</v>
      </c>
      <c r="B758" s="124"/>
      <c r="C758" s="124" t="s">
        <v>926</v>
      </c>
      <c r="D758" s="311" t="s">
        <v>1515</v>
      </c>
      <c r="E758" s="312"/>
      <c r="F758" s="124" t="s">
        <v>1645</v>
      </c>
      <c r="G758" s="123">
        <v>24.713000000000001</v>
      </c>
      <c r="H758" s="121">
        <v>0</v>
      </c>
    </row>
    <row r="759" spans="1:8" ht="12.2" customHeight="1" x14ac:dyDescent="0.2">
      <c r="D759" s="336" t="s">
        <v>4172</v>
      </c>
      <c r="E759" s="337"/>
      <c r="F759" s="337"/>
      <c r="G759" s="146">
        <v>23.536000000000001</v>
      </c>
    </row>
    <row r="760" spans="1:8" ht="12.2" customHeight="1" x14ac:dyDescent="0.2">
      <c r="A760" s="124"/>
      <c r="B760" s="124"/>
      <c r="C760" s="124"/>
      <c r="D760" s="336" t="s">
        <v>4171</v>
      </c>
      <c r="E760" s="337"/>
      <c r="F760" s="336"/>
      <c r="G760" s="145">
        <v>1.177</v>
      </c>
      <c r="H760" s="122"/>
    </row>
    <row r="761" spans="1:8" x14ac:dyDescent="0.2">
      <c r="A761" s="117" t="s">
        <v>452</v>
      </c>
      <c r="B761" s="117"/>
      <c r="C761" s="117" t="s">
        <v>927</v>
      </c>
      <c r="D761" s="304" t="s">
        <v>1516</v>
      </c>
      <c r="E761" s="305"/>
      <c r="F761" s="117" t="s">
        <v>1646</v>
      </c>
      <c r="G761" s="116">
        <v>19.45</v>
      </c>
      <c r="H761" s="108">
        <v>0</v>
      </c>
    </row>
    <row r="762" spans="1:8" ht="12.2" customHeight="1" x14ac:dyDescent="0.2">
      <c r="D762" s="334" t="s">
        <v>4170</v>
      </c>
      <c r="E762" s="335"/>
      <c r="F762" s="335"/>
      <c r="G762" s="143">
        <v>19.45</v>
      </c>
    </row>
    <row r="763" spans="1:8" x14ac:dyDescent="0.2">
      <c r="A763" s="124" t="s">
        <v>453</v>
      </c>
      <c r="B763" s="124"/>
      <c r="C763" s="124" t="s">
        <v>928</v>
      </c>
      <c r="D763" s="311" t="s">
        <v>1517</v>
      </c>
      <c r="E763" s="312"/>
      <c r="F763" s="124" t="s">
        <v>1645</v>
      </c>
      <c r="G763" s="123">
        <v>2.431</v>
      </c>
      <c r="H763" s="121">
        <v>0</v>
      </c>
    </row>
    <row r="764" spans="1:8" ht="12.2" customHeight="1" x14ac:dyDescent="0.2">
      <c r="D764" s="336" t="s">
        <v>4169</v>
      </c>
      <c r="E764" s="337"/>
      <c r="F764" s="337"/>
      <c r="G764" s="146">
        <v>1.9450000000000001</v>
      </c>
    </row>
    <row r="765" spans="1:8" ht="12.2" customHeight="1" x14ac:dyDescent="0.2">
      <c r="A765" s="124"/>
      <c r="B765" s="124"/>
      <c r="C765" s="124"/>
      <c r="D765" s="336" t="s">
        <v>4168</v>
      </c>
      <c r="E765" s="337"/>
      <c r="F765" s="336"/>
      <c r="G765" s="145">
        <v>0.48599999999999999</v>
      </c>
      <c r="H765" s="122"/>
    </row>
    <row r="766" spans="1:8" x14ac:dyDescent="0.2">
      <c r="A766" s="117" t="s">
        <v>454</v>
      </c>
      <c r="B766" s="117"/>
      <c r="C766" s="117" t="s">
        <v>929</v>
      </c>
      <c r="D766" s="304" t="s">
        <v>1518</v>
      </c>
      <c r="E766" s="305"/>
      <c r="F766" s="117" t="s">
        <v>1648</v>
      </c>
      <c r="G766" s="116">
        <v>0.65</v>
      </c>
      <c r="H766" s="108">
        <v>0</v>
      </c>
    </row>
    <row r="767" spans="1:8" ht="12.2" customHeight="1" x14ac:dyDescent="0.2">
      <c r="D767" s="334" t="s">
        <v>4167</v>
      </c>
      <c r="E767" s="335"/>
      <c r="F767" s="335"/>
      <c r="G767" s="143">
        <v>0.65</v>
      </c>
    </row>
    <row r="768" spans="1:8" x14ac:dyDescent="0.2">
      <c r="A768" s="120"/>
      <c r="B768" s="120"/>
      <c r="C768" s="120" t="s">
        <v>930</v>
      </c>
      <c r="D768" s="306" t="s">
        <v>1519</v>
      </c>
      <c r="E768" s="307"/>
      <c r="F768" s="120"/>
      <c r="G768" s="142"/>
      <c r="H768" s="109"/>
    </row>
    <row r="769" spans="1:8" x14ac:dyDescent="0.2">
      <c r="A769" s="117" t="s">
        <v>455</v>
      </c>
      <c r="B769" s="117"/>
      <c r="C769" s="117" t="s">
        <v>931</v>
      </c>
      <c r="D769" s="304" t="s">
        <v>3957</v>
      </c>
      <c r="E769" s="305"/>
      <c r="F769" s="117" t="s">
        <v>1645</v>
      </c>
      <c r="G769" s="116">
        <v>1305.3209999999999</v>
      </c>
      <c r="H769" s="108">
        <v>0</v>
      </c>
    </row>
    <row r="770" spans="1:8" ht="12.2" customHeight="1" x14ac:dyDescent="0.2">
      <c r="D770" s="334" t="s">
        <v>4164</v>
      </c>
      <c r="E770" s="335"/>
      <c r="F770" s="335"/>
      <c r="G770" s="143">
        <v>1305.3209999999999</v>
      </c>
    </row>
    <row r="771" spans="1:8" x14ac:dyDescent="0.2">
      <c r="A771" s="117" t="s">
        <v>456</v>
      </c>
      <c r="B771" s="117"/>
      <c r="C771" s="117" t="s">
        <v>932</v>
      </c>
      <c r="D771" s="304" t="s">
        <v>1521</v>
      </c>
      <c r="E771" s="305"/>
      <c r="F771" s="117" t="s">
        <v>1645</v>
      </c>
      <c r="G771" s="116">
        <v>545.15700000000004</v>
      </c>
      <c r="H771" s="108">
        <v>0</v>
      </c>
    </row>
    <row r="772" spans="1:8" ht="12.2" customHeight="1" x14ac:dyDescent="0.2">
      <c r="D772" s="334" t="s">
        <v>4158</v>
      </c>
      <c r="E772" s="335"/>
      <c r="F772" s="335"/>
      <c r="G772" s="143">
        <v>393.14699999999999</v>
      </c>
    </row>
    <row r="773" spans="1:8" ht="12.2" customHeight="1" x14ac:dyDescent="0.2">
      <c r="A773" s="117"/>
      <c r="B773" s="117"/>
      <c r="C773" s="117"/>
      <c r="D773" s="334" t="s">
        <v>4166</v>
      </c>
      <c r="E773" s="335"/>
      <c r="F773" s="334"/>
      <c r="G773" s="144">
        <v>95.385000000000005</v>
      </c>
      <c r="H773" s="111"/>
    </row>
    <row r="774" spans="1:8" ht="12.2" customHeight="1" x14ac:dyDescent="0.2">
      <c r="A774" s="117"/>
      <c r="B774" s="117"/>
      <c r="C774" s="117"/>
      <c r="D774" s="334" t="s">
        <v>4165</v>
      </c>
      <c r="E774" s="335"/>
      <c r="F774" s="334"/>
      <c r="G774" s="144">
        <v>56.625</v>
      </c>
      <c r="H774" s="111"/>
    </row>
    <row r="775" spans="1:8" x14ac:dyDescent="0.2">
      <c r="A775" s="117" t="s">
        <v>457</v>
      </c>
      <c r="B775" s="117"/>
      <c r="C775" s="117" t="s">
        <v>933</v>
      </c>
      <c r="D775" s="304" t="s">
        <v>3956</v>
      </c>
      <c r="E775" s="305"/>
      <c r="F775" s="117" t="s">
        <v>1645</v>
      </c>
      <c r="G775" s="116">
        <v>1305.3209999999999</v>
      </c>
      <c r="H775" s="108">
        <v>0</v>
      </c>
    </row>
    <row r="776" spans="1:8" ht="12.2" customHeight="1" x14ac:dyDescent="0.2">
      <c r="D776" s="334" t="s">
        <v>4164</v>
      </c>
      <c r="E776" s="335"/>
      <c r="F776" s="335"/>
      <c r="G776" s="143">
        <v>1305.3209999999999</v>
      </c>
    </row>
    <row r="777" spans="1:8" x14ac:dyDescent="0.2">
      <c r="A777" s="117" t="s">
        <v>458</v>
      </c>
      <c r="B777" s="117"/>
      <c r="C777" s="117" t="s">
        <v>934</v>
      </c>
      <c r="D777" s="304" t="s">
        <v>1523</v>
      </c>
      <c r="E777" s="305"/>
      <c r="F777" s="117" t="s">
        <v>1645</v>
      </c>
      <c r="G777" s="116">
        <v>267.12400000000002</v>
      </c>
      <c r="H777" s="108">
        <v>0</v>
      </c>
    </row>
    <row r="778" spans="1:8" ht="12.2" customHeight="1" x14ac:dyDescent="0.2">
      <c r="D778" s="334" t="s">
        <v>4163</v>
      </c>
      <c r="E778" s="335"/>
      <c r="F778" s="335"/>
      <c r="G778" s="143">
        <v>231.738</v>
      </c>
    </row>
    <row r="779" spans="1:8" ht="12.2" customHeight="1" x14ac:dyDescent="0.2">
      <c r="A779" s="117"/>
      <c r="B779" s="117"/>
      <c r="C779" s="117"/>
      <c r="D779" s="334" t="s">
        <v>4162</v>
      </c>
      <c r="E779" s="335"/>
      <c r="F779" s="334"/>
      <c r="G779" s="144">
        <v>35.386000000000003</v>
      </c>
      <c r="H779" s="111"/>
    </row>
    <row r="780" spans="1:8" x14ac:dyDescent="0.2">
      <c r="A780" s="117" t="s">
        <v>459</v>
      </c>
      <c r="B780" s="117"/>
      <c r="C780" s="117" t="s">
        <v>935</v>
      </c>
      <c r="D780" s="304" t="s">
        <v>3955</v>
      </c>
      <c r="E780" s="305"/>
      <c r="F780" s="117" t="s">
        <v>1645</v>
      </c>
      <c r="G780" s="116">
        <v>1038.1969999999999</v>
      </c>
      <c r="H780" s="108">
        <v>0</v>
      </c>
    </row>
    <row r="781" spans="1:8" ht="12.2" customHeight="1" x14ac:dyDescent="0.2">
      <c r="D781" s="334" t="s">
        <v>4161</v>
      </c>
      <c r="E781" s="335"/>
      <c r="F781" s="335"/>
      <c r="G781" s="143">
        <v>277.214</v>
      </c>
    </row>
    <row r="782" spans="1:8" ht="12.2" customHeight="1" x14ac:dyDescent="0.2">
      <c r="A782" s="117"/>
      <c r="B782" s="117"/>
      <c r="C782" s="117"/>
      <c r="D782" s="334" t="s">
        <v>4160</v>
      </c>
      <c r="E782" s="335"/>
      <c r="F782" s="334"/>
      <c r="G782" s="144">
        <v>283.61799999999999</v>
      </c>
      <c r="H782" s="111"/>
    </row>
    <row r="783" spans="1:8" ht="12.2" customHeight="1" x14ac:dyDescent="0.2">
      <c r="A783" s="117"/>
      <c r="B783" s="117"/>
      <c r="C783" s="117"/>
      <c r="D783" s="334" t="s">
        <v>4159</v>
      </c>
      <c r="E783" s="335"/>
      <c r="F783" s="334"/>
      <c r="G783" s="144">
        <v>84.218000000000004</v>
      </c>
      <c r="H783" s="111"/>
    </row>
    <row r="784" spans="1:8" ht="12.2" customHeight="1" x14ac:dyDescent="0.2">
      <c r="A784" s="117"/>
      <c r="B784" s="117"/>
      <c r="C784" s="117"/>
      <c r="D784" s="334" t="s">
        <v>4158</v>
      </c>
      <c r="E784" s="335"/>
      <c r="F784" s="334"/>
      <c r="G784" s="144">
        <v>393.14699999999999</v>
      </c>
      <c r="H784" s="111"/>
    </row>
    <row r="785" spans="1:8" x14ac:dyDescent="0.2">
      <c r="A785" s="120"/>
      <c r="B785" s="120"/>
      <c r="C785" s="120" t="s">
        <v>936</v>
      </c>
      <c r="D785" s="306" t="s">
        <v>1525</v>
      </c>
      <c r="E785" s="307"/>
      <c r="F785" s="120"/>
      <c r="G785" s="142"/>
      <c r="H785" s="109"/>
    </row>
    <row r="786" spans="1:8" x14ac:dyDescent="0.2">
      <c r="A786" s="117" t="s">
        <v>460</v>
      </c>
      <c r="B786" s="117"/>
      <c r="C786" s="117" t="s">
        <v>937</v>
      </c>
      <c r="D786" s="304" t="s">
        <v>1526</v>
      </c>
      <c r="E786" s="305"/>
      <c r="F786" s="117" t="s">
        <v>1644</v>
      </c>
      <c r="G786" s="116">
        <v>1</v>
      </c>
      <c r="H786" s="108">
        <v>0</v>
      </c>
    </row>
    <row r="787" spans="1:8" ht="12.2" customHeight="1" x14ac:dyDescent="0.2">
      <c r="D787" s="334" t="s">
        <v>1749</v>
      </c>
      <c r="E787" s="335"/>
      <c r="F787" s="335"/>
      <c r="G787" s="143">
        <v>1</v>
      </c>
    </row>
    <row r="788" spans="1:8" x14ac:dyDescent="0.2">
      <c r="A788" s="117" t="s">
        <v>461</v>
      </c>
      <c r="B788" s="117"/>
      <c r="C788" s="117" t="s">
        <v>939</v>
      </c>
      <c r="D788" s="304" t="s">
        <v>1528</v>
      </c>
      <c r="E788" s="305"/>
      <c r="F788" s="117" t="s">
        <v>1644</v>
      </c>
      <c r="G788" s="116">
        <v>1</v>
      </c>
      <c r="H788" s="108">
        <v>0</v>
      </c>
    </row>
    <row r="789" spans="1:8" ht="12.2" customHeight="1" x14ac:dyDescent="0.2">
      <c r="D789" s="334" t="s">
        <v>1749</v>
      </c>
      <c r="E789" s="335"/>
      <c r="F789" s="335"/>
      <c r="G789" s="143">
        <v>1</v>
      </c>
    </row>
    <row r="790" spans="1:8" x14ac:dyDescent="0.2">
      <c r="A790" s="117" t="s">
        <v>462</v>
      </c>
      <c r="B790" s="117"/>
      <c r="C790" s="117" t="s">
        <v>2673</v>
      </c>
      <c r="D790" s="304" t="s">
        <v>2672</v>
      </c>
      <c r="E790" s="305"/>
      <c r="F790" s="117" t="s">
        <v>1644</v>
      </c>
      <c r="G790" s="116">
        <v>1</v>
      </c>
      <c r="H790" s="108">
        <v>0</v>
      </c>
    </row>
    <row r="791" spans="1:8" ht="12.2" customHeight="1" x14ac:dyDescent="0.2">
      <c r="D791" s="334" t="s">
        <v>1749</v>
      </c>
      <c r="E791" s="335"/>
      <c r="F791" s="335"/>
      <c r="G791" s="143">
        <v>1</v>
      </c>
    </row>
    <row r="792" spans="1:8" x14ac:dyDescent="0.2">
      <c r="A792" s="117" t="s">
        <v>463</v>
      </c>
      <c r="B792" s="117"/>
      <c r="C792" s="117" t="s">
        <v>940</v>
      </c>
      <c r="D792" s="304" t="s">
        <v>1529</v>
      </c>
      <c r="E792" s="305"/>
      <c r="F792" s="117" t="s">
        <v>1644</v>
      </c>
      <c r="G792" s="116">
        <v>1</v>
      </c>
      <c r="H792" s="108">
        <v>0</v>
      </c>
    </row>
    <row r="793" spans="1:8" ht="12.2" customHeight="1" x14ac:dyDescent="0.2">
      <c r="D793" s="334" t="s">
        <v>1749</v>
      </c>
      <c r="E793" s="335"/>
      <c r="F793" s="335"/>
      <c r="G793" s="143">
        <v>1</v>
      </c>
    </row>
    <row r="794" spans="1:8" x14ac:dyDescent="0.2">
      <c r="A794" s="117" t="s">
        <v>464</v>
      </c>
      <c r="B794" s="117"/>
      <c r="C794" s="117" t="s">
        <v>3954</v>
      </c>
      <c r="D794" s="304" t="s">
        <v>1531</v>
      </c>
      <c r="E794" s="305"/>
      <c r="F794" s="117" t="s">
        <v>1644</v>
      </c>
      <c r="G794" s="116">
        <v>1</v>
      </c>
      <c r="H794" s="108">
        <v>0</v>
      </c>
    </row>
    <row r="795" spans="1:8" x14ac:dyDescent="0.2">
      <c r="A795" s="117" t="s">
        <v>465</v>
      </c>
      <c r="B795" s="117"/>
      <c r="C795" s="117" t="s">
        <v>3953</v>
      </c>
      <c r="D795" s="304" t="s">
        <v>1532</v>
      </c>
      <c r="E795" s="305"/>
      <c r="F795" s="117" t="s">
        <v>1646</v>
      </c>
      <c r="G795" s="116">
        <v>80</v>
      </c>
      <c r="H795" s="108">
        <v>0</v>
      </c>
    </row>
    <row r="796" spans="1:8" x14ac:dyDescent="0.2">
      <c r="A796" s="117" t="s">
        <v>466</v>
      </c>
      <c r="B796" s="117"/>
      <c r="C796" s="117" t="s">
        <v>3952</v>
      </c>
      <c r="D796" s="304" t="s">
        <v>1533</v>
      </c>
      <c r="E796" s="305"/>
      <c r="F796" s="117" t="s">
        <v>1646</v>
      </c>
      <c r="G796" s="116">
        <v>30</v>
      </c>
      <c r="H796" s="108">
        <v>0</v>
      </c>
    </row>
    <row r="797" spans="1:8" x14ac:dyDescent="0.2">
      <c r="A797" s="117" t="s">
        <v>467</v>
      </c>
      <c r="B797" s="117"/>
      <c r="C797" s="117" t="s">
        <v>3951</v>
      </c>
      <c r="D797" s="304" t="s">
        <v>1534</v>
      </c>
      <c r="E797" s="305"/>
      <c r="F797" s="117" t="s">
        <v>1644</v>
      </c>
      <c r="G797" s="116">
        <v>5</v>
      </c>
      <c r="H797" s="108">
        <v>0</v>
      </c>
    </row>
    <row r="798" spans="1:8" x14ac:dyDescent="0.2">
      <c r="A798" s="117" t="s">
        <v>468</v>
      </c>
      <c r="B798" s="117"/>
      <c r="C798" s="117" t="s">
        <v>3950</v>
      </c>
      <c r="D798" s="304" t="s">
        <v>1535</v>
      </c>
      <c r="E798" s="305"/>
      <c r="F798" s="117" t="s">
        <v>1644</v>
      </c>
      <c r="G798" s="116">
        <v>3</v>
      </c>
      <c r="H798" s="108">
        <v>0</v>
      </c>
    </row>
    <row r="799" spans="1:8" x14ac:dyDescent="0.2">
      <c r="A799" s="117" t="s">
        <v>469</v>
      </c>
      <c r="B799" s="117"/>
      <c r="C799" s="117" t="s">
        <v>3949</v>
      </c>
      <c r="D799" s="304" t="s">
        <v>1536</v>
      </c>
      <c r="E799" s="305"/>
      <c r="F799" s="117" t="s">
        <v>1644</v>
      </c>
      <c r="G799" s="116">
        <v>24</v>
      </c>
      <c r="H799" s="108">
        <v>0</v>
      </c>
    </row>
    <row r="800" spans="1:8" x14ac:dyDescent="0.2">
      <c r="A800" s="117" t="s">
        <v>470</v>
      </c>
      <c r="B800" s="117"/>
      <c r="C800" s="117" t="s">
        <v>3948</v>
      </c>
      <c r="D800" s="304" t="s">
        <v>1537</v>
      </c>
      <c r="E800" s="305"/>
      <c r="F800" s="117" t="s">
        <v>1644</v>
      </c>
      <c r="G800" s="116">
        <v>1</v>
      </c>
      <c r="H800" s="108">
        <v>0</v>
      </c>
    </row>
    <row r="801" spans="1:8" x14ac:dyDescent="0.2">
      <c r="A801" s="117" t="s">
        <v>471</v>
      </c>
      <c r="B801" s="117"/>
      <c r="C801" s="117" t="s">
        <v>3947</v>
      </c>
      <c r="D801" s="304" t="s">
        <v>1538</v>
      </c>
      <c r="E801" s="305"/>
      <c r="F801" s="117" t="s">
        <v>1646</v>
      </c>
      <c r="G801" s="116">
        <v>20</v>
      </c>
      <c r="H801" s="108">
        <v>0</v>
      </c>
    </row>
    <row r="802" spans="1:8" x14ac:dyDescent="0.2">
      <c r="A802" s="117" t="s">
        <v>472</v>
      </c>
      <c r="B802" s="117"/>
      <c r="C802" s="117" t="s">
        <v>3946</v>
      </c>
      <c r="D802" s="304" t="s">
        <v>1539</v>
      </c>
      <c r="E802" s="305"/>
      <c r="F802" s="117" t="s">
        <v>1646</v>
      </c>
      <c r="G802" s="116">
        <v>30</v>
      </c>
      <c r="H802" s="108">
        <v>0</v>
      </c>
    </row>
    <row r="803" spans="1:8" x14ac:dyDescent="0.2">
      <c r="A803" s="117" t="s">
        <v>473</v>
      </c>
      <c r="B803" s="117"/>
      <c r="C803" s="117" t="s">
        <v>3945</v>
      </c>
      <c r="D803" s="304" t="s">
        <v>1540</v>
      </c>
      <c r="E803" s="305"/>
      <c r="F803" s="117" t="s">
        <v>1646</v>
      </c>
      <c r="G803" s="116">
        <v>40</v>
      </c>
      <c r="H803" s="108">
        <v>0</v>
      </c>
    </row>
    <row r="804" spans="1:8" x14ac:dyDescent="0.2">
      <c r="A804" s="117" t="s">
        <v>474</v>
      </c>
      <c r="B804" s="117"/>
      <c r="C804" s="117" t="s">
        <v>3944</v>
      </c>
      <c r="D804" s="304" t="s">
        <v>1541</v>
      </c>
      <c r="E804" s="305"/>
      <c r="F804" s="117" t="s">
        <v>1646</v>
      </c>
      <c r="G804" s="116">
        <v>40</v>
      </c>
      <c r="H804" s="108">
        <v>0</v>
      </c>
    </row>
    <row r="805" spans="1:8" x14ac:dyDescent="0.2">
      <c r="A805" s="117" t="s">
        <v>475</v>
      </c>
      <c r="B805" s="117"/>
      <c r="C805" s="117" t="s">
        <v>3943</v>
      </c>
      <c r="D805" s="304" t="s">
        <v>1542</v>
      </c>
      <c r="E805" s="305"/>
      <c r="F805" s="117" t="s">
        <v>1646</v>
      </c>
      <c r="G805" s="116">
        <v>30</v>
      </c>
      <c r="H805" s="108">
        <v>0</v>
      </c>
    </row>
    <row r="806" spans="1:8" x14ac:dyDescent="0.2">
      <c r="A806" s="117" t="s">
        <v>476</v>
      </c>
      <c r="B806" s="117"/>
      <c r="C806" s="117" t="s">
        <v>3942</v>
      </c>
      <c r="D806" s="304" t="s">
        <v>1543</v>
      </c>
      <c r="E806" s="305"/>
      <c r="F806" s="117" t="s">
        <v>1644</v>
      </c>
      <c r="G806" s="116">
        <v>1</v>
      </c>
      <c r="H806" s="108">
        <v>0</v>
      </c>
    </row>
    <row r="807" spans="1:8" x14ac:dyDescent="0.2">
      <c r="A807" s="117" t="s">
        <v>477</v>
      </c>
      <c r="B807" s="117"/>
      <c r="C807" s="117" t="s">
        <v>3941</v>
      </c>
      <c r="D807" s="304" t="s">
        <v>3376</v>
      </c>
      <c r="E807" s="305"/>
      <c r="F807" s="117" t="s">
        <v>1644</v>
      </c>
      <c r="G807" s="116">
        <v>6</v>
      </c>
      <c r="H807" s="108">
        <v>0</v>
      </c>
    </row>
    <row r="808" spans="1:8" x14ac:dyDescent="0.2">
      <c r="A808" s="117" t="s">
        <v>478</v>
      </c>
      <c r="B808" s="117"/>
      <c r="C808" s="117" t="s">
        <v>3940</v>
      </c>
      <c r="D808" s="304" t="s">
        <v>1545</v>
      </c>
      <c r="E808" s="305"/>
      <c r="F808" s="117" t="s">
        <v>1646</v>
      </c>
      <c r="G808" s="116">
        <v>210</v>
      </c>
      <c r="H808" s="108">
        <v>0</v>
      </c>
    </row>
    <row r="809" spans="1:8" x14ac:dyDescent="0.2">
      <c r="A809" s="117" t="s">
        <v>479</v>
      </c>
      <c r="B809" s="117"/>
      <c r="C809" s="117" t="s">
        <v>3939</v>
      </c>
      <c r="D809" s="304" t="s">
        <v>1546</v>
      </c>
      <c r="E809" s="305"/>
      <c r="F809" s="117" t="s">
        <v>1646</v>
      </c>
      <c r="G809" s="116">
        <v>40</v>
      </c>
      <c r="H809" s="108">
        <v>0</v>
      </c>
    </row>
    <row r="810" spans="1:8" x14ac:dyDescent="0.2">
      <c r="A810" s="117" t="s">
        <v>480</v>
      </c>
      <c r="B810" s="117"/>
      <c r="C810" s="117" t="s">
        <v>3938</v>
      </c>
      <c r="D810" s="304" t="s">
        <v>1547</v>
      </c>
      <c r="E810" s="305"/>
      <c r="F810" s="117" t="s">
        <v>1646</v>
      </c>
      <c r="G810" s="116">
        <v>120</v>
      </c>
      <c r="H810" s="108">
        <v>0</v>
      </c>
    </row>
    <row r="811" spans="1:8" x14ac:dyDescent="0.2">
      <c r="A811" s="117" t="s">
        <v>481</v>
      </c>
      <c r="B811" s="117"/>
      <c r="C811" s="117" t="s">
        <v>3937</v>
      </c>
      <c r="D811" s="304" t="s">
        <v>1548</v>
      </c>
      <c r="E811" s="305"/>
      <c r="F811" s="117" t="s">
        <v>1644</v>
      </c>
      <c r="G811" s="116">
        <v>6</v>
      </c>
      <c r="H811" s="108">
        <v>0</v>
      </c>
    </row>
    <row r="812" spans="1:8" x14ac:dyDescent="0.2">
      <c r="A812" s="117" t="s">
        <v>482</v>
      </c>
      <c r="B812" s="117"/>
      <c r="C812" s="117" t="s">
        <v>3936</v>
      </c>
      <c r="D812" s="304" t="s">
        <v>1549</v>
      </c>
      <c r="E812" s="305"/>
      <c r="F812" s="117" t="s">
        <v>1644</v>
      </c>
      <c r="G812" s="116">
        <v>8</v>
      </c>
      <c r="H812" s="108">
        <v>0</v>
      </c>
    </row>
    <row r="813" spans="1:8" x14ac:dyDescent="0.2">
      <c r="A813" s="117" t="s">
        <v>483</v>
      </c>
      <c r="B813" s="117"/>
      <c r="C813" s="117" t="s">
        <v>3935</v>
      </c>
      <c r="D813" s="304" t="s">
        <v>1550</v>
      </c>
      <c r="E813" s="305"/>
      <c r="F813" s="117" t="s">
        <v>1646</v>
      </c>
      <c r="G813" s="116">
        <v>140</v>
      </c>
      <c r="H813" s="108">
        <v>0</v>
      </c>
    </row>
    <row r="814" spans="1:8" x14ac:dyDescent="0.2">
      <c r="A814" s="117" t="s">
        <v>484</v>
      </c>
      <c r="B814" s="117"/>
      <c r="C814" s="117" t="s">
        <v>3934</v>
      </c>
      <c r="D814" s="304" t="s">
        <v>1551</v>
      </c>
      <c r="E814" s="305"/>
      <c r="F814" s="117" t="s">
        <v>1644</v>
      </c>
      <c r="G814" s="116">
        <v>1</v>
      </c>
      <c r="H814" s="108">
        <v>0</v>
      </c>
    </row>
    <row r="815" spans="1:8" x14ac:dyDescent="0.2">
      <c r="A815" s="117" t="s">
        <v>485</v>
      </c>
      <c r="B815" s="117"/>
      <c r="C815" s="117" t="s">
        <v>3933</v>
      </c>
      <c r="D815" s="304" t="s">
        <v>1552</v>
      </c>
      <c r="E815" s="305"/>
      <c r="F815" s="117" t="s">
        <v>1644</v>
      </c>
      <c r="G815" s="116">
        <v>1</v>
      </c>
      <c r="H815" s="108">
        <v>0</v>
      </c>
    </row>
    <row r="816" spans="1:8" x14ac:dyDescent="0.2">
      <c r="A816" s="117" t="s">
        <v>486</v>
      </c>
      <c r="B816" s="117"/>
      <c r="C816" s="117" t="s">
        <v>3932</v>
      </c>
      <c r="D816" s="304" t="s">
        <v>1553</v>
      </c>
      <c r="E816" s="305"/>
      <c r="F816" s="117" t="s">
        <v>1644</v>
      </c>
      <c r="G816" s="116">
        <v>1</v>
      </c>
      <c r="H816" s="108">
        <v>0</v>
      </c>
    </row>
    <row r="817" spans="1:8" x14ac:dyDescent="0.2">
      <c r="A817" s="117" t="s">
        <v>487</v>
      </c>
      <c r="B817" s="117"/>
      <c r="C817" s="117" t="s">
        <v>3931</v>
      </c>
      <c r="D817" s="304" t="s">
        <v>1554</v>
      </c>
      <c r="E817" s="305"/>
      <c r="F817" s="117" t="s">
        <v>1644</v>
      </c>
      <c r="G817" s="116">
        <v>1</v>
      </c>
      <c r="H817" s="108">
        <v>0</v>
      </c>
    </row>
    <row r="818" spans="1:8" x14ac:dyDescent="0.2">
      <c r="A818" s="117" t="s">
        <v>488</v>
      </c>
      <c r="B818" s="117"/>
      <c r="C818" s="117" t="s">
        <v>3930</v>
      </c>
      <c r="D818" s="304" t="s">
        <v>1555</v>
      </c>
      <c r="E818" s="305"/>
      <c r="F818" s="117" t="s">
        <v>1644</v>
      </c>
      <c r="G818" s="116">
        <v>1</v>
      </c>
      <c r="H818" s="108">
        <v>0</v>
      </c>
    </row>
    <row r="819" spans="1:8" x14ac:dyDescent="0.2">
      <c r="A819" s="120"/>
      <c r="B819" s="120"/>
      <c r="C819" s="120" t="s">
        <v>967</v>
      </c>
      <c r="D819" s="306" t="s">
        <v>1556</v>
      </c>
      <c r="E819" s="307"/>
      <c r="F819" s="120"/>
      <c r="G819" s="142"/>
      <c r="H819" s="109"/>
    </row>
    <row r="820" spans="1:8" x14ac:dyDescent="0.2">
      <c r="A820" s="117" t="s">
        <v>489</v>
      </c>
      <c r="B820" s="117"/>
      <c r="C820" s="117" t="s">
        <v>968</v>
      </c>
      <c r="D820" s="304" t="s">
        <v>1557</v>
      </c>
      <c r="E820" s="305"/>
      <c r="F820" s="117" t="s">
        <v>1644</v>
      </c>
      <c r="G820" s="116">
        <v>1</v>
      </c>
      <c r="H820" s="108">
        <v>0</v>
      </c>
    </row>
    <row r="821" spans="1:8" ht="12.2" customHeight="1" x14ac:dyDescent="0.2">
      <c r="D821" s="334" t="s">
        <v>1749</v>
      </c>
      <c r="E821" s="335"/>
      <c r="F821" s="335"/>
      <c r="G821" s="143">
        <v>1</v>
      </c>
    </row>
    <row r="822" spans="1:8" x14ac:dyDescent="0.2">
      <c r="A822" s="117" t="s">
        <v>490</v>
      </c>
      <c r="B822" s="117"/>
      <c r="C822" s="117" t="s">
        <v>969</v>
      </c>
      <c r="D822" s="304" t="s">
        <v>1558</v>
      </c>
      <c r="E822" s="305"/>
      <c r="F822" s="117" t="s">
        <v>1644</v>
      </c>
      <c r="G822" s="116">
        <v>1</v>
      </c>
      <c r="H822" s="108">
        <v>0</v>
      </c>
    </row>
    <row r="823" spans="1:8" ht="12.2" customHeight="1" x14ac:dyDescent="0.2">
      <c r="D823" s="334" t="s">
        <v>1749</v>
      </c>
      <c r="E823" s="335"/>
      <c r="F823" s="335"/>
      <c r="G823" s="143">
        <v>1</v>
      </c>
    </row>
    <row r="824" spans="1:8" x14ac:dyDescent="0.2">
      <c r="A824" s="120"/>
      <c r="B824" s="120"/>
      <c r="C824" s="120" t="s">
        <v>970</v>
      </c>
      <c r="D824" s="306" t="s">
        <v>1559</v>
      </c>
      <c r="E824" s="307"/>
      <c r="F824" s="120"/>
      <c r="G824" s="142"/>
      <c r="H824" s="109"/>
    </row>
    <row r="825" spans="1:8" x14ac:dyDescent="0.2">
      <c r="A825" s="117" t="s">
        <v>491</v>
      </c>
      <c r="B825" s="117"/>
      <c r="C825" s="117" t="s">
        <v>3929</v>
      </c>
      <c r="D825" s="304" t="s">
        <v>1560</v>
      </c>
      <c r="E825" s="305"/>
      <c r="F825" s="117" t="s">
        <v>1644</v>
      </c>
      <c r="G825" s="116">
        <v>1</v>
      </c>
      <c r="H825" s="108">
        <v>0</v>
      </c>
    </row>
    <row r="826" spans="1:8" x14ac:dyDescent="0.2">
      <c r="A826" s="117" t="s">
        <v>492</v>
      </c>
      <c r="B826" s="117"/>
      <c r="C826" s="117" t="s">
        <v>3928</v>
      </c>
      <c r="D826" s="304" t="s">
        <v>1561</v>
      </c>
      <c r="E826" s="305"/>
      <c r="F826" s="117" t="s">
        <v>1644</v>
      </c>
      <c r="G826" s="116">
        <v>1</v>
      </c>
      <c r="H826" s="108">
        <v>0</v>
      </c>
    </row>
    <row r="827" spans="1:8" x14ac:dyDescent="0.2">
      <c r="A827" s="117" t="s">
        <v>493</v>
      </c>
      <c r="B827" s="117"/>
      <c r="C827" s="117" t="s">
        <v>973</v>
      </c>
      <c r="D827" s="304" t="s">
        <v>1562</v>
      </c>
      <c r="E827" s="305"/>
      <c r="F827" s="117" t="s">
        <v>1644</v>
      </c>
      <c r="G827" s="116">
        <v>1</v>
      </c>
      <c r="H827" s="108">
        <v>0</v>
      </c>
    </row>
    <row r="828" spans="1:8" x14ac:dyDescent="0.2">
      <c r="A828" s="117" t="s">
        <v>494</v>
      </c>
      <c r="B828" s="117"/>
      <c r="C828" s="117" t="s">
        <v>974</v>
      </c>
      <c r="D828" s="304" t="s">
        <v>1563</v>
      </c>
      <c r="E828" s="305"/>
      <c r="F828" s="117" t="s">
        <v>1644</v>
      </c>
      <c r="G828" s="116">
        <v>1</v>
      </c>
      <c r="H828" s="108">
        <v>0</v>
      </c>
    </row>
    <row r="829" spans="1:8" x14ac:dyDescent="0.2">
      <c r="A829" s="117" t="s">
        <v>495</v>
      </c>
      <c r="B829" s="117"/>
      <c r="C829" s="117" t="s">
        <v>975</v>
      </c>
      <c r="D829" s="304" t="s">
        <v>1564</v>
      </c>
      <c r="E829" s="305"/>
      <c r="F829" s="117" t="s">
        <v>1644</v>
      </c>
      <c r="G829" s="116">
        <v>1</v>
      </c>
      <c r="H829" s="108">
        <v>0</v>
      </c>
    </row>
    <row r="830" spans="1:8" x14ac:dyDescent="0.2">
      <c r="A830" s="117" t="s">
        <v>496</v>
      </c>
      <c r="B830" s="117"/>
      <c r="C830" s="117" t="s">
        <v>976</v>
      </c>
      <c r="D830" s="304" t="s">
        <v>1565</v>
      </c>
      <c r="E830" s="305"/>
      <c r="F830" s="117" t="s">
        <v>1644</v>
      </c>
      <c r="G830" s="116">
        <v>2</v>
      </c>
      <c r="H830" s="108">
        <v>0</v>
      </c>
    </row>
    <row r="831" spans="1:8" x14ac:dyDescent="0.2">
      <c r="A831" s="117" t="s">
        <v>497</v>
      </c>
      <c r="B831" s="117"/>
      <c r="C831" s="117" t="s">
        <v>977</v>
      </c>
      <c r="D831" s="304" t="s">
        <v>1566</v>
      </c>
      <c r="E831" s="305"/>
      <c r="F831" s="117" t="s">
        <v>1644</v>
      </c>
      <c r="G831" s="116">
        <v>1</v>
      </c>
      <c r="H831" s="108">
        <v>0</v>
      </c>
    </row>
    <row r="832" spans="1:8" x14ac:dyDescent="0.2">
      <c r="A832" s="117" t="s">
        <v>498</v>
      </c>
      <c r="B832" s="117"/>
      <c r="C832" s="117" t="s">
        <v>979</v>
      </c>
      <c r="D832" s="304" t="s">
        <v>1568</v>
      </c>
      <c r="E832" s="305"/>
      <c r="F832" s="117" t="s">
        <v>1644</v>
      </c>
      <c r="G832" s="116">
        <v>1</v>
      </c>
      <c r="H832" s="108">
        <v>0</v>
      </c>
    </row>
    <row r="833" spans="1:8" x14ac:dyDescent="0.2">
      <c r="A833" s="117" t="s">
        <v>499</v>
      </c>
      <c r="B833" s="117"/>
      <c r="C833" s="117" t="s">
        <v>3927</v>
      </c>
      <c r="D833" s="304" t="s">
        <v>1569</v>
      </c>
      <c r="E833" s="305"/>
      <c r="F833" s="117" t="s">
        <v>1644</v>
      </c>
      <c r="G833" s="116">
        <v>1</v>
      </c>
      <c r="H833" s="108">
        <v>0</v>
      </c>
    </row>
    <row r="834" spans="1:8" x14ac:dyDescent="0.2">
      <c r="A834" s="117" t="s">
        <v>500</v>
      </c>
      <c r="B834" s="117"/>
      <c r="C834" s="117" t="s">
        <v>3926</v>
      </c>
      <c r="D834" s="304" t="s">
        <v>1570</v>
      </c>
      <c r="E834" s="305"/>
      <c r="F834" s="117" t="s">
        <v>1644</v>
      </c>
      <c r="G834" s="116">
        <v>1</v>
      </c>
      <c r="H834" s="108">
        <v>0</v>
      </c>
    </row>
    <row r="835" spans="1:8" x14ac:dyDescent="0.2">
      <c r="A835" s="117" t="s">
        <v>501</v>
      </c>
      <c r="B835" s="117"/>
      <c r="C835" s="117" t="s">
        <v>3925</v>
      </c>
      <c r="D835" s="304" t="s">
        <v>1571</v>
      </c>
      <c r="E835" s="305"/>
      <c r="F835" s="117" t="s">
        <v>1644</v>
      </c>
      <c r="G835" s="116">
        <v>1</v>
      </c>
      <c r="H835" s="108">
        <v>0</v>
      </c>
    </row>
    <row r="836" spans="1:8" x14ac:dyDescent="0.2">
      <c r="A836" s="117" t="s">
        <v>502</v>
      </c>
      <c r="B836" s="117"/>
      <c r="C836" s="117" t="s">
        <v>3924</v>
      </c>
      <c r="D836" s="304" t="s">
        <v>1572</v>
      </c>
      <c r="E836" s="305"/>
      <c r="F836" s="117" t="s">
        <v>1644</v>
      </c>
      <c r="G836" s="116">
        <v>1</v>
      </c>
      <c r="H836" s="108">
        <v>0</v>
      </c>
    </row>
    <row r="837" spans="1:8" x14ac:dyDescent="0.2">
      <c r="A837" s="117" t="s">
        <v>503</v>
      </c>
      <c r="B837" s="117"/>
      <c r="C837" s="117" t="s">
        <v>3923</v>
      </c>
      <c r="D837" s="304" t="s">
        <v>1573</v>
      </c>
      <c r="E837" s="305"/>
      <c r="F837" s="117" t="s">
        <v>1644</v>
      </c>
      <c r="G837" s="116">
        <v>1</v>
      </c>
      <c r="H837" s="108">
        <v>0</v>
      </c>
    </row>
    <row r="838" spans="1:8" x14ac:dyDescent="0.2">
      <c r="A838" s="117" t="s">
        <v>504</v>
      </c>
      <c r="B838" s="117"/>
      <c r="C838" s="117" t="s">
        <v>3922</v>
      </c>
      <c r="D838" s="304" t="s">
        <v>1574</v>
      </c>
      <c r="E838" s="305"/>
      <c r="F838" s="117" t="s">
        <v>1644</v>
      </c>
      <c r="G838" s="116">
        <v>1</v>
      </c>
      <c r="H838" s="108">
        <v>0</v>
      </c>
    </row>
    <row r="839" spans="1:8" x14ac:dyDescent="0.2">
      <c r="A839" s="117" t="s">
        <v>505</v>
      </c>
      <c r="B839" s="117"/>
      <c r="C839" s="117" t="s">
        <v>3921</v>
      </c>
      <c r="D839" s="304" t="s">
        <v>1575</v>
      </c>
      <c r="E839" s="305"/>
      <c r="F839" s="117" t="s">
        <v>1644</v>
      </c>
      <c r="G839" s="116">
        <v>1</v>
      </c>
      <c r="H839" s="108">
        <v>0</v>
      </c>
    </row>
    <row r="840" spans="1:8" x14ac:dyDescent="0.2">
      <c r="A840" s="117" t="s">
        <v>506</v>
      </c>
      <c r="B840" s="117"/>
      <c r="C840" s="117" t="s">
        <v>3920</v>
      </c>
      <c r="D840" s="304" t="s">
        <v>1576</v>
      </c>
      <c r="E840" s="305"/>
      <c r="F840" s="117" t="s">
        <v>1644</v>
      </c>
      <c r="G840" s="116">
        <v>1</v>
      </c>
      <c r="H840" s="108">
        <v>0</v>
      </c>
    </row>
    <row r="841" spans="1:8" x14ac:dyDescent="0.2">
      <c r="A841" s="117" t="s">
        <v>507</v>
      </c>
      <c r="B841" s="117"/>
      <c r="C841" s="117" t="s">
        <v>973</v>
      </c>
      <c r="D841" s="304" t="s">
        <v>1577</v>
      </c>
      <c r="E841" s="305"/>
      <c r="F841" s="117" t="s">
        <v>1644</v>
      </c>
      <c r="G841" s="116">
        <v>1</v>
      </c>
      <c r="H841" s="108">
        <v>0</v>
      </c>
    </row>
    <row r="842" spans="1:8" x14ac:dyDescent="0.2">
      <c r="A842" s="117" t="s">
        <v>508</v>
      </c>
      <c r="B842" s="117"/>
      <c r="C842" s="117" t="s">
        <v>988</v>
      </c>
      <c r="D842" s="304" t="s">
        <v>1578</v>
      </c>
      <c r="E842" s="305"/>
      <c r="F842" s="117" t="s">
        <v>1644</v>
      </c>
      <c r="G842" s="116">
        <v>1</v>
      </c>
      <c r="H842" s="108">
        <v>0</v>
      </c>
    </row>
    <row r="843" spans="1:8" x14ac:dyDescent="0.2">
      <c r="A843" s="117" t="s">
        <v>509</v>
      </c>
      <c r="B843" s="117"/>
      <c r="C843" s="117" t="s">
        <v>989</v>
      </c>
      <c r="D843" s="304" t="s">
        <v>1579</v>
      </c>
      <c r="E843" s="305"/>
      <c r="F843" s="117" t="s">
        <v>1644</v>
      </c>
      <c r="G843" s="116">
        <v>1</v>
      </c>
      <c r="H843" s="108">
        <v>0</v>
      </c>
    </row>
    <row r="844" spans="1:8" x14ac:dyDescent="0.2">
      <c r="A844" s="117" t="s">
        <v>510</v>
      </c>
      <c r="B844" s="117"/>
      <c r="C844" s="117" t="s">
        <v>990</v>
      </c>
      <c r="D844" s="304" t="s">
        <v>1580</v>
      </c>
      <c r="E844" s="305"/>
      <c r="F844" s="117" t="s">
        <v>1644</v>
      </c>
      <c r="G844" s="116">
        <v>1</v>
      </c>
      <c r="H844" s="108">
        <v>0</v>
      </c>
    </row>
    <row r="845" spans="1:8" x14ac:dyDescent="0.2">
      <c r="A845" s="117" t="s">
        <v>511</v>
      </c>
      <c r="B845" s="117"/>
      <c r="C845" s="117" t="s">
        <v>991</v>
      </c>
      <c r="D845" s="304" t="s">
        <v>1581</v>
      </c>
      <c r="E845" s="305"/>
      <c r="F845" s="117" t="s">
        <v>1644</v>
      </c>
      <c r="G845" s="116">
        <v>2</v>
      </c>
      <c r="H845" s="108">
        <v>0</v>
      </c>
    </row>
    <row r="846" spans="1:8" x14ac:dyDescent="0.2">
      <c r="A846" s="117" t="s">
        <v>512</v>
      </c>
      <c r="B846" s="117"/>
      <c r="C846" s="117" t="s">
        <v>992</v>
      </c>
      <c r="D846" s="304" t="s">
        <v>1582</v>
      </c>
      <c r="E846" s="305"/>
      <c r="F846" s="117" t="s">
        <v>1644</v>
      </c>
      <c r="G846" s="116">
        <v>1</v>
      </c>
      <c r="H846" s="108">
        <v>0</v>
      </c>
    </row>
    <row r="847" spans="1:8" x14ac:dyDescent="0.2">
      <c r="A847" s="117" t="s">
        <v>513</v>
      </c>
      <c r="B847" s="117"/>
      <c r="C847" s="117" t="s">
        <v>975</v>
      </c>
      <c r="D847" s="304" t="s">
        <v>1583</v>
      </c>
      <c r="E847" s="305"/>
      <c r="F847" s="117" t="s">
        <v>1644</v>
      </c>
      <c r="G847" s="116">
        <v>1</v>
      </c>
      <c r="H847" s="108">
        <v>0</v>
      </c>
    </row>
    <row r="848" spans="1:8" x14ac:dyDescent="0.2">
      <c r="A848" s="117" t="s">
        <v>514</v>
      </c>
      <c r="B848" s="117"/>
      <c r="C848" s="117" t="s">
        <v>993</v>
      </c>
      <c r="D848" s="304" t="s">
        <v>1581</v>
      </c>
      <c r="E848" s="305"/>
      <c r="F848" s="117" t="s">
        <v>1644</v>
      </c>
      <c r="G848" s="116">
        <v>1</v>
      </c>
      <c r="H848" s="108">
        <v>0</v>
      </c>
    </row>
    <row r="849" spans="1:8" x14ac:dyDescent="0.2">
      <c r="A849" s="117" t="s">
        <v>515</v>
      </c>
      <c r="B849" s="117"/>
      <c r="C849" s="117" t="s">
        <v>994</v>
      </c>
      <c r="D849" s="304" t="s">
        <v>1584</v>
      </c>
      <c r="E849" s="305"/>
      <c r="F849" s="117" t="s">
        <v>1644</v>
      </c>
      <c r="G849" s="116">
        <v>2</v>
      </c>
      <c r="H849" s="108">
        <v>0</v>
      </c>
    </row>
    <row r="850" spans="1:8" x14ac:dyDescent="0.2">
      <c r="A850" s="117" t="s">
        <v>516</v>
      </c>
      <c r="B850" s="117"/>
      <c r="C850" s="117" t="s">
        <v>995</v>
      </c>
      <c r="D850" s="304" t="s">
        <v>1585</v>
      </c>
      <c r="E850" s="305"/>
      <c r="F850" s="117" t="s">
        <v>1644</v>
      </c>
      <c r="G850" s="116">
        <v>1</v>
      </c>
      <c r="H850" s="108">
        <v>0</v>
      </c>
    </row>
    <row r="851" spans="1:8" x14ac:dyDescent="0.2">
      <c r="A851" s="117" t="s">
        <v>517</v>
      </c>
      <c r="B851" s="117"/>
      <c r="C851" s="117" t="s">
        <v>996</v>
      </c>
      <c r="D851" s="304" t="s">
        <v>1586</v>
      </c>
      <c r="E851" s="305"/>
      <c r="F851" s="117" t="s">
        <v>1644</v>
      </c>
      <c r="G851" s="116">
        <v>1</v>
      </c>
      <c r="H851" s="108">
        <v>0</v>
      </c>
    </row>
    <row r="852" spans="1:8" x14ac:dyDescent="0.2">
      <c r="A852" s="117" t="s">
        <v>518</v>
      </c>
      <c r="B852" s="117"/>
      <c r="C852" s="117" t="s">
        <v>996</v>
      </c>
      <c r="D852" s="304" t="s">
        <v>1587</v>
      </c>
      <c r="E852" s="305"/>
      <c r="F852" s="117" t="s">
        <v>1644</v>
      </c>
      <c r="G852" s="116">
        <v>1</v>
      </c>
      <c r="H852" s="108">
        <v>0</v>
      </c>
    </row>
    <row r="853" spans="1:8" x14ac:dyDescent="0.2">
      <c r="A853" s="117" t="s">
        <v>519</v>
      </c>
      <c r="B853" s="117"/>
      <c r="C853" s="117" t="s">
        <v>997</v>
      </c>
      <c r="D853" s="304" t="s">
        <v>1588</v>
      </c>
      <c r="E853" s="305"/>
      <c r="F853" s="117" t="s">
        <v>1644</v>
      </c>
      <c r="G853" s="116">
        <v>1</v>
      </c>
      <c r="H853" s="108">
        <v>0</v>
      </c>
    </row>
    <row r="854" spans="1:8" x14ac:dyDescent="0.2">
      <c r="A854" s="117" t="s">
        <v>520</v>
      </c>
      <c r="B854" s="117"/>
      <c r="C854" s="117" t="s">
        <v>997</v>
      </c>
      <c r="D854" s="304" t="s">
        <v>1589</v>
      </c>
      <c r="E854" s="305"/>
      <c r="F854" s="117" t="s">
        <v>1644</v>
      </c>
      <c r="G854" s="116">
        <v>1</v>
      </c>
      <c r="H854" s="108">
        <v>0</v>
      </c>
    </row>
    <row r="855" spans="1:8" x14ac:dyDescent="0.2">
      <c r="A855" s="117" t="s">
        <v>521</v>
      </c>
      <c r="B855" s="117"/>
      <c r="C855" s="117" t="s">
        <v>977</v>
      </c>
      <c r="D855" s="304" t="s">
        <v>1590</v>
      </c>
      <c r="E855" s="305"/>
      <c r="F855" s="117" t="s">
        <v>1644</v>
      </c>
      <c r="G855" s="116">
        <v>1</v>
      </c>
      <c r="H855" s="108">
        <v>0</v>
      </c>
    </row>
    <row r="856" spans="1:8" x14ac:dyDescent="0.2">
      <c r="A856" s="117" t="s">
        <v>522</v>
      </c>
      <c r="B856" s="117"/>
      <c r="C856" s="117" t="s">
        <v>998</v>
      </c>
      <c r="D856" s="304" t="s">
        <v>1591</v>
      </c>
      <c r="E856" s="305"/>
      <c r="F856" s="117" t="s">
        <v>1644</v>
      </c>
      <c r="G856" s="116">
        <v>1</v>
      </c>
      <c r="H856" s="108">
        <v>0</v>
      </c>
    </row>
    <row r="857" spans="1:8" x14ac:dyDescent="0.2">
      <c r="A857" s="117" t="s">
        <v>523</v>
      </c>
      <c r="B857" s="117"/>
      <c r="C857" s="117" t="s">
        <v>999</v>
      </c>
      <c r="D857" s="304" t="s">
        <v>1586</v>
      </c>
      <c r="E857" s="305"/>
      <c r="F857" s="117" t="s">
        <v>1644</v>
      </c>
      <c r="G857" s="116">
        <v>2</v>
      </c>
      <c r="H857" s="108">
        <v>0</v>
      </c>
    </row>
    <row r="858" spans="1:8" x14ac:dyDescent="0.2">
      <c r="A858" s="117" t="s">
        <v>524</v>
      </c>
      <c r="B858" s="117"/>
      <c r="C858" s="117" t="s">
        <v>999</v>
      </c>
      <c r="D858" s="304" t="s">
        <v>1587</v>
      </c>
      <c r="E858" s="305"/>
      <c r="F858" s="117" t="s">
        <v>1644</v>
      </c>
      <c r="G858" s="116">
        <v>2</v>
      </c>
      <c r="H858" s="108">
        <v>0</v>
      </c>
    </row>
    <row r="859" spans="1:8" x14ac:dyDescent="0.2">
      <c r="A859" s="117" t="s">
        <v>525</v>
      </c>
      <c r="B859" s="117"/>
      <c r="C859" s="117" t="s">
        <v>1000</v>
      </c>
      <c r="D859" s="304" t="s">
        <v>1581</v>
      </c>
      <c r="E859" s="305"/>
      <c r="F859" s="117" t="s">
        <v>1644</v>
      </c>
      <c r="G859" s="116">
        <v>1</v>
      </c>
      <c r="H859" s="108">
        <v>0</v>
      </c>
    </row>
    <row r="860" spans="1:8" x14ac:dyDescent="0.2">
      <c r="A860" s="117" t="s">
        <v>526</v>
      </c>
      <c r="B860" s="117"/>
      <c r="C860" s="117" t="s">
        <v>1003</v>
      </c>
      <c r="D860" s="304" t="s">
        <v>1594</v>
      </c>
      <c r="E860" s="305"/>
      <c r="F860" s="117" t="s">
        <v>1644</v>
      </c>
      <c r="G860" s="116">
        <v>1</v>
      </c>
      <c r="H860" s="108">
        <v>0</v>
      </c>
    </row>
    <row r="861" spans="1:8" x14ac:dyDescent="0.2">
      <c r="A861" s="117" t="s">
        <v>527</v>
      </c>
      <c r="B861" s="117"/>
      <c r="C861" s="117" t="s">
        <v>1003</v>
      </c>
      <c r="D861" s="304" t="s">
        <v>1595</v>
      </c>
      <c r="E861" s="305"/>
      <c r="F861" s="117" t="s">
        <v>1644</v>
      </c>
      <c r="G861" s="116">
        <v>1</v>
      </c>
      <c r="H861" s="108">
        <v>0</v>
      </c>
    </row>
    <row r="862" spans="1:8" x14ac:dyDescent="0.2">
      <c r="A862" s="117" t="s">
        <v>528</v>
      </c>
      <c r="B862" s="117"/>
      <c r="C862" s="117" t="s">
        <v>1004</v>
      </c>
      <c r="D862" s="304" t="s">
        <v>1596</v>
      </c>
      <c r="E862" s="305"/>
      <c r="F862" s="117" t="s">
        <v>1644</v>
      </c>
      <c r="G862" s="116">
        <v>1</v>
      </c>
      <c r="H862" s="108">
        <v>0</v>
      </c>
    </row>
    <row r="863" spans="1:8" x14ac:dyDescent="0.2">
      <c r="A863" s="117" t="s">
        <v>529</v>
      </c>
      <c r="B863" s="117"/>
      <c r="C863" s="117" t="s">
        <v>1005</v>
      </c>
      <c r="D863" s="304" t="s">
        <v>1597</v>
      </c>
      <c r="E863" s="305"/>
      <c r="F863" s="117" t="s">
        <v>1644</v>
      </c>
      <c r="G863" s="116">
        <v>1</v>
      </c>
      <c r="H863" s="108">
        <v>0</v>
      </c>
    </row>
    <row r="864" spans="1:8" x14ac:dyDescent="0.2">
      <c r="A864" s="117" t="s">
        <v>530</v>
      </c>
      <c r="B864" s="117"/>
      <c r="C864" s="117" t="s">
        <v>1006</v>
      </c>
      <c r="D864" s="304" t="s">
        <v>1598</v>
      </c>
      <c r="E864" s="305"/>
      <c r="F864" s="117" t="s">
        <v>1644</v>
      </c>
      <c r="G864" s="116">
        <v>1</v>
      </c>
      <c r="H864" s="108">
        <v>0</v>
      </c>
    </row>
    <row r="865" spans="1:8" x14ac:dyDescent="0.2">
      <c r="A865" s="117" t="s">
        <v>531</v>
      </c>
      <c r="B865" s="117"/>
      <c r="C865" s="117" t="s">
        <v>1007</v>
      </c>
      <c r="D865" s="304" t="s">
        <v>1599</v>
      </c>
      <c r="E865" s="305"/>
      <c r="F865" s="117" t="s">
        <v>1644</v>
      </c>
      <c r="G865" s="116">
        <v>1</v>
      </c>
      <c r="H865" s="108">
        <v>0</v>
      </c>
    </row>
    <row r="866" spans="1:8" x14ac:dyDescent="0.2">
      <c r="A866" s="117" t="s">
        <v>532</v>
      </c>
      <c r="B866" s="117"/>
      <c r="C866" s="117" t="s">
        <v>1008</v>
      </c>
      <c r="D866" s="304" t="s">
        <v>1600</v>
      </c>
      <c r="E866" s="305"/>
      <c r="F866" s="117" t="s">
        <v>1644</v>
      </c>
      <c r="G866" s="116">
        <v>1</v>
      </c>
      <c r="H866" s="108">
        <v>0</v>
      </c>
    </row>
    <row r="867" spans="1:8" x14ac:dyDescent="0.2">
      <c r="A867" s="117" t="s">
        <v>533</v>
      </c>
      <c r="B867" s="117"/>
      <c r="C867" s="117" t="s">
        <v>1009</v>
      </c>
      <c r="D867" s="304" t="s">
        <v>1601</v>
      </c>
      <c r="E867" s="305"/>
      <c r="F867" s="117" t="s">
        <v>1644</v>
      </c>
      <c r="G867" s="116">
        <v>1</v>
      </c>
      <c r="H867" s="108">
        <v>0</v>
      </c>
    </row>
    <row r="868" spans="1:8" x14ac:dyDescent="0.2">
      <c r="A868" s="117" t="s">
        <v>534</v>
      </c>
      <c r="B868" s="117"/>
      <c r="C868" s="117" t="s">
        <v>3919</v>
      </c>
      <c r="D868" s="304" t="s">
        <v>1602</v>
      </c>
      <c r="E868" s="305"/>
      <c r="F868" s="117" t="s">
        <v>1646</v>
      </c>
      <c r="G868" s="116">
        <v>20</v>
      </c>
      <c r="H868" s="108">
        <v>0</v>
      </c>
    </row>
    <row r="869" spans="1:8" x14ac:dyDescent="0.2">
      <c r="A869" s="117" t="s">
        <v>535</v>
      </c>
      <c r="B869" s="117"/>
      <c r="C869" s="117" t="s">
        <v>3918</v>
      </c>
      <c r="D869" s="304" t="s">
        <v>1603</v>
      </c>
      <c r="E869" s="305"/>
      <c r="F869" s="117" t="s">
        <v>1646</v>
      </c>
      <c r="G869" s="116">
        <v>10</v>
      </c>
      <c r="H869" s="108">
        <v>0</v>
      </c>
    </row>
    <row r="870" spans="1:8" x14ac:dyDescent="0.2">
      <c r="A870" s="117" t="s">
        <v>536</v>
      </c>
      <c r="B870" s="117"/>
      <c r="C870" s="117" t="s">
        <v>3917</v>
      </c>
      <c r="D870" s="304" t="s">
        <v>1604</v>
      </c>
      <c r="E870" s="305"/>
      <c r="F870" s="117" t="s">
        <v>1646</v>
      </c>
      <c r="G870" s="116">
        <v>5</v>
      </c>
      <c r="H870" s="108">
        <v>0</v>
      </c>
    </row>
    <row r="871" spans="1:8" x14ac:dyDescent="0.2">
      <c r="A871" s="117" t="s">
        <v>537</v>
      </c>
      <c r="B871" s="117"/>
      <c r="C871" s="117" t="s">
        <v>3916</v>
      </c>
      <c r="D871" s="304" t="s">
        <v>1605</v>
      </c>
      <c r="E871" s="305"/>
      <c r="F871" s="117" t="s">
        <v>1646</v>
      </c>
      <c r="G871" s="116">
        <v>5</v>
      </c>
      <c r="H871" s="108">
        <v>0</v>
      </c>
    </row>
    <row r="872" spans="1:8" x14ac:dyDescent="0.2">
      <c r="A872" s="117" t="s">
        <v>538</v>
      </c>
      <c r="B872" s="117"/>
      <c r="C872" s="117" t="s">
        <v>3915</v>
      </c>
      <c r="D872" s="304" t="s">
        <v>1606</v>
      </c>
      <c r="E872" s="305"/>
      <c r="F872" s="117" t="s">
        <v>1646</v>
      </c>
      <c r="G872" s="116">
        <v>20</v>
      </c>
      <c r="H872" s="108">
        <v>0</v>
      </c>
    </row>
    <row r="873" spans="1:8" x14ac:dyDescent="0.2">
      <c r="A873" s="117" t="s">
        <v>539</v>
      </c>
      <c r="B873" s="117"/>
      <c r="C873" s="117" t="s">
        <v>3914</v>
      </c>
      <c r="D873" s="304" t="s">
        <v>1607</v>
      </c>
      <c r="E873" s="305"/>
      <c r="F873" s="117" t="s">
        <v>1646</v>
      </c>
      <c r="G873" s="116">
        <v>10</v>
      </c>
      <c r="H873" s="108">
        <v>0</v>
      </c>
    </row>
    <row r="874" spans="1:8" x14ac:dyDescent="0.2">
      <c r="A874" s="117" t="s">
        <v>540</v>
      </c>
      <c r="B874" s="117"/>
      <c r="C874" s="117" t="s">
        <v>3913</v>
      </c>
      <c r="D874" s="304" t="s">
        <v>1608</v>
      </c>
      <c r="E874" s="305"/>
      <c r="F874" s="117" t="s">
        <v>1644</v>
      </c>
      <c r="G874" s="116">
        <v>70</v>
      </c>
      <c r="H874" s="108">
        <v>0</v>
      </c>
    </row>
    <row r="875" spans="1:8" x14ac:dyDescent="0.2">
      <c r="A875" s="117" t="s">
        <v>541</v>
      </c>
      <c r="B875" s="117"/>
      <c r="C875" s="117" t="s">
        <v>3912</v>
      </c>
      <c r="D875" s="304" t="s">
        <v>1609</v>
      </c>
      <c r="E875" s="305"/>
      <c r="F875" s="117" t="s">
        <v>1644</v>
      </c>
      <c r="G875" s="116">
        <v>3</v>
      </c>
      <c r="H875" s="108">
        <v>0</v>
      </c>
    </row>
    <row r="876" spans="1:8" x14ac:dyDescent="0.2">
      <c r="A876" s="117" t="s">
        <v>542</v>
      </c>
      <c r="B876" s="117"/>
      <c r="C876" s="117" t="s">
        <v>3911</v>
      </c>
      <c r="D876" s="304" t="s">
        <v>1610</v>
      </c>
      <c r="E876" s="305"/>
      <c r="F876" s="117" t="s">
        <v>1644</v>
      </c>
      <c r="G876" s="116">
        <v>1</v>
      </c>
      <c r="H876" s="108">
        <v>0</v>
      </c>
    </row>
    <row r="877" spans="1:8" x14ac:dyDescent="0.2">
      <c r="A877" s="117" t="s">
        <v>543</v>
      </c>
      <c r="B877" s="117"/>
      <c r="C877" s="117" t="s">
        <v>3910</v>
      </c>
      <c r="D877" s="304" t="s">
        <v>1611</v>
      </c>
      <c r="E877" s="305"/>
      <c r="F877" s="117" t="s">
        <v>1651</v>
      </c>
      <c r="G877" s="116">
        <v>1</v>
      </c>
      <c r="H877" s="108">
        <v>0</v>
      </c>
    </row>
    <row r="878" spans="1:8" x14ac:dyDescent="0.2">
      <c r="A878" s="117" t="s">
        <v>544</v>
      </c>
      <c r="B878" s="117"/>
      <c r="C878" s="117" t="s">
        <v>3909</v>
      </c>
      <c r="D878" s="304" t="s">
        <v>1612</v>
      </c>
      <c r="E878" s="305"/>
      <c r="F878" s="117" t="s">
        <v>1646</v>
      </c>
      <c r="G878" s="116">
        <v>160</v>
      </c>
      <c r="H878" s="108">
        <v>0</v>
      </c>
    </row>
    <row r="879" spans="1:8" x14ac:dyDescent="0.2">
      <c r="A879" s="117" t="s">
        <v>545</v>
      </c>
      <c r="B879" s="117"/>
      <c r="C879" s="117" t="s">
        <v>3908</v>
      </c>
      <c r="D879" s="304" t="s">
        <v>1613</v>
      </c>
      <c r="E879" s="305"/>
      <c r="F879" s="117" t="s">
        <v>1646</v>
      </c>
      <c r="G879" s="116">
        <v>40</v>
      </c>
      <c r="H879" s="108">
        <v>0</v>
      </c>
    </row>
    <row r="880" spans="1:8" x14ac:dyDescent="0.2">
      <c r="A880" s="117" t="s">
        <v>546</v>
      </c>
      <c r="B880" s="117"/>
      <c r="C880" s="117" t="s">
        <v>3907</v>
      </c>
      <c r="D880" s="304" t="s">
        <v>1614</v>
      </c>
      <c r="E880" s="305"/>
      <c r="F880" s="117" t="s">
        <v>1646</v>
      </c>
      <c r="G880" s="116">
        <v>65</v>
      </c>
      <c r="H880" s="108">
        <v>0</v>
      </c>
    </row>
    <row r="881" spans="1:8" x14ac:dyDescent="0.2">
      <c r="A881" s="117" t="s">
        <v>547</v>
      </c>
      <c r="B881" s="117"/>
      <c r="C881" s="117" t="s">
        <v>3906</v>
      </c>
      <c r="D881" s="304" t="s">
        <v>1615</v>
      </c>
      <c r="E881" s="305"/>
      <c r="F881" s="117" t="s">
        <v>1646</v>
      </c>
      <c r="G881" s="116">
        <v>30</v>
      </c>
      <c r="H881" s="108">
        <v>0</v>
      </c>
    </row>
    <row r="882" spans="1:8" x14ac:dyDescent="0.2">
      <c r="A882" s="117" t="s">
        <v>548</v>
      </c>
      <c r="B882" s="117"/>
      <c r="C882" s="117" t="s">
        <v>3905</v>
      </c>
      <c r="D882" s="304" t="s">
        <v>1616</v>
      </c>
      <c r="E882" s="305"/>
      <c r="F882" s="117" t="s">
        <v>1646</v>
      </c>
      <c r="G882" s="116">
        <v>35</v>
      </c>
      <c r="H882" s="108">
        <v>0</v>
      </c>
    </row>
    <row r="883" spans="1:8" x14ac:dyDescent="0.2">
      <c r="A883" s="117" t="s">
        <v>549</v>
      </c>
      <c r="B883" s="117"/>
      <c r="C883" s="117" t="s">
        <v>3904</v>
      </c>
      <c r="D883" s="304" t="s">
        <v>1617</v>
      </c>
      <c r="E883" s="305"/>
      <c r="F883" s="117" t="s">
        <v>1646</v>
      </c>
      <c r="G883" s="116">
        <v>40</v>
      </c>
      <c r="H883" s="108">
        <v>0</v>
      </c>
    </row>
    <row r="884" spans="1:8" x14ac:dyDescent="0.2">
      <c r="A884" s="117" t="s">
        <v>550</v>
      </c>
      <c r="B884" s="117"/>
      <c r="C884" s="117" t="s">
        <v>3903</v>
      </c>
      <c r="D884" s="304" t="s">
        <v>1618</v>
      </c>
      <c r="E884" s="305"/>
      <c r="F884" s="117" t="s">
        <v>1646</v>
      </c>
      <c r="G884" s="116">
        <v>25</v>
      </c>
      <c r="H884" s="108">
        <v>0</v>
      </c>
    </row>
    <row r="885" spans="1:8" x14ac:dyDescent="0.2">
      <c r="A885" s="117" t="s">
        <v>551</v>
      </c>
      <c r="B885" s="117"/>
      <c r="C885" s="117" t="s">
        <v>3902</v>
      </c>
      <c r="D885" s="304" t="s">
        <v>1619</v>
      </c>
      <c r="E885" s="305"/>
      <c r="F885" s="117" t="s">
        <v>1644</v>
      </c>
      <c r="G885" s="116">
        <v>1</v>
      </c>
      <c r="H885" s="108">
        <v>0</v>
      </c>
    </row>
    <row r="886" spans="1:8" x14ac:dyDescent="0.2">
      <c r="A886" s="117" t="s">
        <v>552</v>
      </c>
      <c r="B886" s="117"/>
      <c r="C886" s="117" t="s">
        <v>3901</v>
      </c>
      <c r="D886" s="304" t="s">
        <v>1620</v>
      </c>
      <c r="E886" s="305"/>
      <c r="F886" s="117" t="s">
        <v>1644</v>
      </c>
      <c r="G886" s="116">
        <v>1</v>
      </c>
      <c r="H886" s="108">
        <v>0</v>
      </c>
    </row>
    <row r="887" spans="1:8" x14ac:dyDescent="0.2">
      <c r="A887" s="117" t="s">
        <v>553</v>
      </c>
      <c r="B887" s="117"/>
      <c r="C887" s="117" t="s">
        <v>3900</v>
      </c>
      <c r="D887" s="304" t="s">
        <v>1621</v>
      </c>
      <c r="E887" s="305"/>
      <c r="F887" s="117" t="s">
        <v>1644</v>
      </c>
      <c r="G887" s="116">
        <v>1</v>
      </c>
      <c r="H887" s="108">
        <v>0</v>
      </c>
    </row>
    <row r="888" spans="1:8" x14ac:dyDescent="0.2">
      <c r="A888" s="117" t="s">
        <v>554</v>
      </c>
      <c r="B888" s="117"/>
      <c r="C888" s="117" t="s">
        <v>3899</v>
      </c>
      <c r="D888" s="304" t="s">
        <v>1622</v>
      </c>
      <c r="E888" s="305"/>
      <c r="F888" s="117" t="s">
        <v>1644</v>
      </c>
      <c r="G888" s="116">
        <v>1</v>
      </c>
      <c r="H888" s="108">
        <v>0</v>
      </c>
    </row>
    <row r="889" spans="1:8" x14ac:dyDescent="0.2">
      <c r="A889" s="117" t="s">
        <v>555</v>
      </c>
      <c r="B889" s="117"/>
      <c r="C889" s="117" t="s">
        <v>3898</v>
      </c>
      <c r="D889" s="304" t="s">
        <v>1623</v>
      </c>
      <c r="E889" s="305"/>
      <c r="F889" s="117" t="s">
        <v>1644</v>
      </c>
      <c r="G889" s="116">
        <v>1</v>
      </c>
      <c r="H889" s="108">
        <v>0</v>
      </c>
    </row>
    <row r="890" spans="1:8" x14ac:dyDescent="0.2">
      <c r="A890" s="117" t="s">
        <v>556</v>
      </c>
      <c r="B890" s="117"/>
      <c r="C890" s="117" t="s">
        <v>3897</v>
      </c>
      <c r="D890" s="304" t="s">
        <v>1624</v>
      </c>
      <c r="E890" s="305"/>
      <c r="F890" s="117" t="s">
        <v>1644</v>
      </c>
      <c r="G890" s="116">
        <v>1</v>
      </c>
      <c r="H890" s="108">
        <v>0</v>
      </c>
    </row>
    <row r="891" spans="1:8" x14ac:dyDescent="0.2">
      <c r="A891" s="117" t="s">
        <v>557</v>
      </c>
      <c r="B891" s="117"/>
      <c r="C891" s="117" t="s">
        <v>3896</v>
      </c>
      <c r="D891" s="304" t="s">
        <v>1625</v>
      </c>
      <c r="E891" s="305"/>
      <c r="F891" s="117" t="s">
        <v>1644</v>
      </c>
      <c r="G891" s="116">
        <v>1</v>
      </c>
      <c r="H891" s="108">
        <v>0</v>
      </c>
    </row>
    <row r="892" spans="1:8" x14ac:dyDescent="0.2">
      <c r="A892" s="117" t="s">
        <v>558</v>
      </c>
      <c r="B892" s="117"/>
      <c r="C892" s="117" t="s">
        <v>3895</v>
      </c>
      <c r="D892" s="304" t="s">
        <v>1626</v>
      </c>
      <c r="E892" s="305"/>
      <c r="F892" s="117" t="s">
        <v>1644</v>
      </c>
      <c r="G892" s="116">
        <v>1</v>
      </c>
      <c r="H892" s="108">
        <v>0</v>
      </c>
    </row>
    <row r="893" spans="1:8" x14ac:dyDescent="0.2">
      <c r="A893" s="117" t="s">
        <v>559</v>
      </c>
      <c r="B893" s="117"/>
      <c r="C893" s="117" t="s">
        <v>3894</v>
      </c>
      <c r="D893" s="304" t="s">
        <v>1627</v>
      </c>
      <c r="E893" s="305"/>
      <c r="F893" s="117" t="s">
        <v>1644</v>
      </c>
      <c r="G893" s="116">
        <v>1</v>
      </c>
      <c r="H893" s="108">
        <v>0</v>
      </c>
    </row>
    <row r="894" spans="1:8" x14ac:dyDescent="0.2">
      <c r="A894" s="117" t="s">
        <v>560</v>
      </c>
      <c r="B894" s="117"/>
      <c r="C894" s="117" t="s">
        <v>3893</v>
      </c>
      <c r="D894" s="304" t="s">
        <v>1628</v>
      </c>
      <c r="E894" s="305"/>
      <c r="F894" s="117" t="s">
        <v>1644</v>
      </c>
      <c r="G894" s="116">
        <v>1</v>
      </c>
      <c r="H894" s="108">
        <v>0</v>
      </c>
    </row>
    <row r="895" spans="1:8" x14ac:dyDescent="0.2">
      <c r="A895" s="117" t="s">
        <v>561</v>
      </c>
      <c r="B895" s="117"/>
      <c r="C895" s="117" t="s">
        <v>3892</v>
      </c>
      <c r="D895" s="304" t="s">
        <v>1629</v>
      </c>
      <c r="E895" s="305"/>
      <c r="F895" s="117" t="s">
        <v>1644</v>
      </c>
      <c r="G895" s="116">
        <v>1</v>
      </c>
      <c r="H895" s="108">
        <v>0</v>
      </c>
    </row>
    <row r="896" spans="1:8" x14ac:dyDescent="0.2">
      <c r="A896" s="117" t="s">
        <v>562</v>
      </c>
      <c r="B896" s="117"/>
      <c r="C896" s="117" t="s">
        <v>3891</v>
      </c>
      <c r="D896" s="304" t="s">
        <v>1630</v>
      </c>
      <c r="E896" s="305"/>
      <c r="F896" s="117" t="s">
        <v>1644</v>
      </c>
      <c r="G896" s="116">
        <v>1</v>
      </c>
      <c r="H896" s="108">
        <v>0</v>
      </c>
    </row>
    <row r="897" spans="1:8" x14ac:dyDescent="0.2">
      <c r="A897" s="120"/>
      <c r="B897" s="120"/>
      <c r="C897" s="120" t="s">
        <v>1039</v>
      </c>
      <c r="D897" s="306" t="s">
        <v>1631</v>
      </c>
      <c r="E897" s="307"/>
      <c r="F897" s="120"/>
      <c r="G897" s="142"/>
      <c r="H897" s="109"/>
    </row>
    <row r="898" spans="1:8" x14ac:dyDescent="0.2">
      <c r="A898" s="117" t="s">
        <v>563</v>
      </c>
      <c r="B898" s="117"/>
      <c r="C898" s="117" t="s">
        <v>1040</v>
      </c>
      <c r="D898" s="304" t="s">
        <v>1632</v>
      </c>
      <c r="E898" s="305"/>
      <c r="F898" s="117" t="s">
        <v>1644</v>
      </c>
      <c r="G898" s="116">
        <v>1</v>
      </c>
      <c r="H898" s="108">
        <v>0</v>
      </c>
    </row>
    <row r="899" spans="1:8" x14ac:dyDescent="0.2">
      <c r="A899" s="117" t="s">
        <v>564</v>
      </c>
      <c r="B899" s="117"/>
      <c r="C899" s="117" t="s">
        <v>1041</v>
      </c>
      <c r="D899" s="304" t="s">
        <v>1633</v>
      </c>
      <c r="E899" s="305"/>
      <c r="F899" s="117" t="s">
        <v>1644</v>
      </c>
      <c r="G899" s="116">
        <v>1</v>
      </c>
      <c r="H899" s="108">
        <v>0</v>
      </c>
    </row>
    <row r="900" spans="1:8" x14ac:dyDescent="0.2">
      <c r="A900" s="117" t="s">
        <v>565</v>
      </c>
      <c r="B900" s="117"/>
      <c r="C900" s="117" t="s">
        <v>1042</v>
      </c>
      <c r="D900" s="304" t="s">
        <v>1634</v>
      </c>
      <c r="E900" s="305"/>
      <c r="F900" s="117" t="s">
        <v>1644</v>
      </c>
      <c r="G900" s="116">
        <v>1</v>
      </c>
      <c r="H900" s="108">
        <v>0</v>
      </c>
    </row>
    <row r="901" spans="1:8" x14ac:dyDescent="0.2">
      <c r="A901" s="117" t="s">
        <v>566</v>
      </c>
      <c r="B901" s="117"/>
      <c r="C901" s="117" t="s">
        <v>1043</v>
      </c>
      <c r="D901" s="304" t="s">
        <v>1635</v>
      </c>
      <c r="E901" s="305"/>
      <c r="F901" s="117" t="s">
        <v>1644</v>
      </c>
      <c r="G901" s="116">
        <v>1</v>
      </c>
      <c r="H901" s="108">
        <v>0</v>
      </c>
    </row>
    <row r="902" spans="1:8" x14ac:dyDescent="0.2">
      <c r="A902" s="117" t="s">
        <v>567</v>
      </c>
      <c r="B902" s="117"/>
      <c r="C902" s="117" t="s">
        <v>1044</v>
      </c>
      <c r="D902" s="304" t="s">
        <v>1636</v>
      </c>
      <c r="E902" s="305"/>
      <c r="F902" s="117" t="s">
        <v>1644</v>
      </c>
      <c r="G902" s="116">
        <v>1</v>
      </c>
      <c r="H902" s="108">
        <v>0</v>
      </c>
    </row>
    <row r="903" spans="1:8" x14ac:dyDescent="0.2">
      <c r="A903" s="117" t="s">
        <v>568</v>
      </c>
      <c r="B903" s="117"/>
      <c r="C903" s="117" t="s">
        <v>1045</v>
      </c>
      <c r="D903" s="304" t="s">
        <v>1637</v>
      </c>
      <c r="E903" s="305"/>
      <c r="F903" s="117" t="s">
        <v>1644</v>
      </c>
      <c r="G903" s="116">
        <v>1</v>
      </c>
      <c r="H903" s="108">
        <v>0</v>
      </c>
    </row>
    <row r="904" spans="1:8" x14ac:dyDescent="0.2">
      <c r="A904" s="117" t="s">
        <v>2231</v>
      </c>
      <c r="B904" s="117"/>
      <c r="C904" s="117" t="s">
        <v>1046</v>
      </c>
      <c r="D904" s="304" t="s">
        <v>1638</v>
      </c>
      <c r="E904" s="305"/>
      <c r="F904" s="117" t="s">
        <v>1644</v>
      </c>
      <c r="G904" s="116">
        <v>1</v>
      </c>
      <c r="H904" s="108">
        <v>0</v>
      </c>
    </row>
    <row r="906" spans="1:8" ht="11.25" customHeight="1" x14ac:dyDescent="0.2">
      <c r="A906" s="106" t="s">
        <v>569</v>
      </c>
    </row>
    <row r="907" spans="1:8" x14ac:dyDescent="0.2">
      <c r="A907" s="255"/>
      <c r="B907" s="256"/>
      <c r="C907" s="256"/>
      <c r="D907" s="256"/>
      <c r="E907" s="256"/>
      <c r="F907" s="256"/>
      <c r="G907" s="256"/>
    </row>
  </sheetData>
  <sheetProtection algorithmName="SHA-512" hashValue="Dnsks0cPfwS+ES37qYmdXKxcUiXNVesa5I70W6J06UcENQxWGnnguod7tXHq0ahJDlXyOw1An23HSdfUraWSCw==" saltValue="a+UuHCWnuBDD3+GGmqytPA==" spinCount="100000" sheet="1" objects="1" scenarios="1"/>
  <mergeCells count="913">
    <mergeCell ref="A907:G907"/>
    <mergeCell ref="D898:E898"/>
    <mergeCell ref="D899:E899"/>
    <mergeCell ref="D900:E900"/>
    <mergeCell ref="D901:E901"/>
    <mergeCell ref="D902:E902"/>
    <mergeCell ref="D903:E903"/>
    <mergeCell ref="D887:E887"/>
    <mergeCell ref="D888:E888"/>
    <mergeCell ref="D892:E892"/>
    <mergeCell ref="D893:E893"/>
    <mergeCell ref="D894:E894"/>
    <mergeCell ref="D895:E895"/>
    <mergeCell ref="D896:E896"/>
    <mergeCell ref="D897:E897"/>
    <mergeCell ref="D904:E904"/>
    <mergeCell ref="D863:E863"/>
    <mergeCell ref="D864:E864"/>
    <mergeCell ref="D889:E889"/>
    <mergeCell ref="D890:E890"/>
    <mergeCell ref="D891:E891"/>
    <mergeCell ref="D868:E868"/>
    <mergeCell ref="D869:E869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39:E839"/>
    <mergeCell ref="D840:E840"/>
    <mergeCell ref="D865:E865"/>
    <mergeCell ref="D866:E866"/>
    <mergeCell ref="D867:E867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15:E815"/>
    <mergeCell ref="D816:E816"/>
    <mergeCell ref="D841:E841"/>
    <mergeCell ref="D842:E842"/>
    <mergeCell ref="D843:E843"/>
    <mergeCell ref="D820:E820"/>
    <mergeCell ref="D821:F821"/>
    <mergeCell ref="D822:E822"/>
    <mergeCell ref="D823:F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38:E838"/>
    <mergeCell ref="D791:F791"/>
    <mergeCell ref="D792:E792"/>
    <mergeCell ref="D817:E817"/>
    <mergeCell ref="D818:E818"/>
    <mergeCell ref="D819:E819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767:F767"/>
    <mergeCell ref="D768:E768"/>
    <mergeCell ref="D793:F793"/>
    <mergeCell ref="D794:E794"/>
    <mergeCell ref="D795:E795"/>
    <mergeCell ref="D772:F772"/>
    <mergeCell ref="D773:F773"/>
    <mergeCell ref="D774:F774"/>
    <mergeCell ref="D775:E775"/>
    <mergeCell ref="D776:F776"/>
    <mergeCell ref="D777:E777"/>
    <mergeCell ref="D778:F778"/>
    <mergeCell ref="D779:F779"/>
    <mergeCell ref="D780:E780"/>
    <mergeCell ref="D781:F781"/>
    <mergeCell ref="D782:F782"/>
    <mergeCell ref="D783:F783"/>
    <mergeCell ref="D784:F784"/>
    <mergeCell ref="D785:E785"/>
    <mergeCell ref="D786:E786"/>
    <mergeCell ref="D787:F787"/>
    <mergeCell ref="D788:E788"/>
    <mergeCell ref="D789:F789"/>
    <mergeCell ref="D790:E790"/>
    <mergeCell ref="D743:E743"/>
    <mergeCell ref="D744:F744"/>
    <mergeCell ref="D769:E769"/>
    <mergeCell ref="D770:F770"/>
    <mergeCell ref="D771:E771"/>
    <mergeCell ref="D748:F748"/>
    <mergeCell ref="D749:E749"/>
    <mergeCell ref="D750:F750"/>
    <mergeCell ref="D751:E751"/>
    <mergeCell ref="D752:E752"/>
    <mergeCell ref="D753:F753"/>
    <mergeCell ref="D754:E754"/>
    <mergeCell ref="D755:F755"/>
    <mergeCell ref="D756:E756"/>
    <mergeCell ref="D757:F757"/>
    <mergeCell ref="D758:E758"/>
    <mergeCell ref="D759:F759"/>
    <mergeCell ref="D760:F760"/>
    <mergeCell ref="D761:E761"/>
    <mergeCell ref="D762:F762"/>
    <mergeCell ref="D763:E763"/>
    <mergeCell ref="D764:F764"/>
    <mergeCell ref="D765:F765"/>
    <mergeCell ref="D766:E766"/>
    <mergeCell ref="D719:E719"/>
    <mergeCell ref="D720:F720"/>
    <mergeCell ref="D745:E745"/>
    <mergeCell ref="D746:F746"/>
    <mergeCell ref="D747:E747"/>
    <mergeCell ref="D724:F724"/>
    <mergeCell ref="D725:E725"/>
    <mergeCell ref="D726:F726"/>
    <mergeCell ref="D727:E727"/>
    <mergeCell ref="D728:F728"/>
    <mergeCell ref="D729:E729"/>
    <mergeCell ref="D730:F730"/>
    <mergeCell ref="D731:E731"/>
    <mergeCell ref="D732:F732"/>
    <mergeCell ref="D733:E733"/>
    <mergeCell ref="D734:F734"/>
    <mergeCell ref="D735:E735"/>
    <mergeCell ref="D736:F736"/>
    <mergeCell ref="D737:E737"/>
    <mergeCell ref="D738:F738"/>
    <mergeCell ref="D739:E739"/>
    <mergeCell ref="D740:F740"/>
    <mergeCell ref="D741:E741"/>
    <mergeCell ref="D742:F742"/>
    <mergeCell ref="D695:E695"/>
    <mergeCell ref="D696:F696"/>
    <mergeCell ref="D721:E721"/>
    <mergeCell ref="D722:F722"/>
    <mergeCell ref="D723:E723"/>
    <mergeCell ref="D700:E700"/>
    <mergeCell ref="D701:F701"/>
    <mergeCell ref="D702:E702"/>
    <mergeCell ref="D703:F703"/>
    <mergeCell ref="D704:E704"/>
    <mergeCell ref="D705:F705"/>
    <mergeCell ref="D706:E706"/>
    <mergeCell ref="D707:F707"/>
    <mergeCell ref="D708:E708"/>
    <mergeCell ref="D709:F709"/>
    <mergeCell ref="D710:E710"/>
    <mergeCell ref="D711:F711"/>
    <mergeCell ref="D712:E712"/>
    <mergeCell ref="D713:F713"/>
    <mergeCell ref="D714:E714"/>
    <mergeCell ref="D715:F715"/>
    <mergeCell ref="D716:E716"/>
    <mergeCell ref="D717:E717"/>
    <mergeCell ref="D718:F718"/>
    <mergeCell ref="D671:F671"/>
    <mergeCell ref="D672:E672"/>
    <mergeCell ref="D697:F697"/>
    <mergeCell ref="D698:E698"/>
    <mergeCell ref="D699:F699"/>
    <mergeCell ref="D676:E676"/>
    <mergeCell ref="D677:F677"/>
    <mergeCell ref="D678:E678"/>
    <mergeCell ref="D679:F679"/>
    <mergeCell ref="D680:E680"/>
    <mergeCell ref="D681:F681"/>
    <mergeCell ref="D682:E682"/>
    <mergeCell ref="D683:F683"/>
    <mergeCell ref="D684:E684"/>
    <mergeCell ref="D685:F685"/>
    <mergeCell ref="D686:E686"/>
    <mergeCell ref="D687:F687"/>
    <mergeCell ref="D688:E688"/>
    <mergeCell ref="D689:F689"/>
    <mergeCell ref="D690:E690"/>
    <mergeCell ref="D691:F691"/>
    <mergeCell ref="D692:E692"/>
    <mergeCell ref="D693:E693"/>
    <mergeCell ref="D694:F694"/>
    <mergeCell ref="D647:F647"/>
    <mergeCell ref="D648:E648"/>
    <mergeCell ref="D673:F673"/>
    <mergeCell ref="D674:E674"/>
    <mergeCell ref="D675:F675"/>
    <mergeCell ref="D652:E652"/>
    <mergeCell ref="D653:F653"/>
    <mergeCell ref="D654:E654"/>
    <mergeCell ref="D655:F655"/>
    <mergeCell ref="D656:E656"/>
    <mergeCell ref="D657:F657"/>
    <mergeCell ref="D658:E658"/>
    <mergeCell ref="D659:F659"/>
    <mergeCell ref="D660:E660"/>
    <mergeCell ref="D661:F661"/>
    <mergeCell ref="D662:E662"/>
    <mergeCell ref="D663:F663"/>
    <mergeCell ref="D664:E664"/>
    <mergeCell ref="D665:F665"/>
    <mergeCell ref="D666:E666"/>
    <mergeCell ref="D667:F667"/>
    <mergeCell ref="D668:E668"/>
    <mergeCell ref="D669:F669"/>
    <mergeCell ref="D670:E670"/>
    <mergeCell ref="D623:F623"/>
    <mergeCell ref="D624:E624"/>
    <mergeCell ref="D649:F649"/>
    <mergeCell ref="D650:E650"/>
    <mergeCell ref="D651:F651"/>
    <mergeCell ref="D628:E628"/>
    <mergeCell ref="D629:F629"/>
    <mergeCell ref="D630:E630"/>
    <mergeCell ref="D631:F631"/>
    <mergeCell ref="D632:E632"/>
    <mergeCell ref="D633:F633"/>
    <mergeCell ref="D634:E634"/>
    <mergeCell ref="D635:F635"/>
    <mergeCell ref="D636:E636"/>
    <mergeCell ref="D637:E637"/>
    <mergeCell ref="D638:F638"/>
    <mergeCell ref="D639:F639"/>
    <mergeCell ref="D640:E640"/>
    <mergeCell ref="D641:F641"/>
    <mergeCell ref="D642:E642"/>
    <mergeCell ref="D643:F643"/>
    <mergeCell ref="D644:E644"/>
    <mergeCell ref="D645:F645"/>
    <mergeCell ref="D646:E646"/>
    <mergeCell ref="D599:F599"/>
    <mergeCell ref="D600:E600"/>
    <mergeCell ref="D625:F625"/>
    <mergeCell ref="D626:E626"/>
    <mergeCell ref="D627:F627"/>
    <mergeCell ref="D604:E604"/>
    <mergeCell ref="D605:F605"/>
    <mergeCell ref="D606:E606"/>
    <mergeCell ref="D607:F607"/>
    <mergeCell ref="D608:E608"/>
    <mergeCell ref="D609:F609"/>
    <mergeCell ref="D610:E610"/>
    <mergeCell ref="D611:F611"/>
    <mergeCell ref="D612:F612"/>
    <mergeCell ref="D613:E613"/>
    <mergeCell ref="D614:F614"/>
    <mergeCell ref="D615:F615"/>
    <mergeCell ref="D616:E616"/>
    <mergeCell ref="D617:F617"/>
    <mergeCell ref="D618:F618"/>
    <mergeCell ref="D619:E619"/>
    <mergeCell ref="D620:F620"/>
    <mergeCell ref="D621:F621"/>
    <mergeCell ref="D622:E622"/>
    <mergeCell ref="D575:E575"/>
    <mergeCell ref="D576:E576"/>
    <mergeCell ref="D601:F601"/>
    <mergeCell ref="D602:E602"/>
    <mergeCell ref="D603:F603"/>
    <mergeCell ref="D580:E580"/>
    <mergeCell ref="D581:E581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51:E551"/>
    <mergeCell ref="D552:E552"/>
    <mergeCell ref="D577:E577"/>
    <mergeCell ref="D578:E578"/>
    <mergeCell ref="D579:E579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27:E527"/>
    <mergeCell ref="D528:E528"/>
    <mergeCell ref="D553:E553"/>
    <mergeCell ref="D554:E554"/>
    <mergeCell ref="D555:E55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49:E549"/>
    <mergeCell ref="D550:E550"/>
    <mergeCell ref="D503:E503"/>
    <mergeCell ref="D504:E504"/>
    <mergeCell ref="D529:E529"/>
    <mergeCell ref="D530:E530"/>
    <mergeCell ref="D531:E531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479:E479"/>
    <mergeCell ref="D480:E480"/>
    <mergeCell ref="D505:E505"/>
    <mergeCell ref="D506:E506"/>
    <mergeCell ref="D507:E507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455:E455"/>
    <mergeCell ref="D456:E456"/>
    <mergeCell ref="D481:E481"/>
    <mergeCell ref="D482:E482"/>
    <mergeCell ref="D483:E483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31:E431"/>
    <mergeCell ref="D432:E432"/>
    <mergeCell ref="D457:E457"/>
    <mergeCell ref="D458:E458"/>
    <mergeCell ref="D459:E459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07:E407"/>
    <mergeCell ref="D408:E408"/>
    <mergeCell ref="D433:E433"/>
    <mergeCell ref="D434:E434"/>
    <mergeCell ref="D435:E43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383:E383"/>
    <mergeCell ref="D384:F384"/>
    <mergeCell ref="D409:E409"/>
    <mergeCell ref="D410:E410"/>
    <mergeCell ref="D411:E411"/>
    <mergeCell ref="D388:F388"/>
    <mergeCell ref="D389:F389"/>
    <mergeCell ref="D390:F390"/>
    <mergeCell ref="D391:E391"/>
    <mergeCell ref="D392:F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359:F359"/>
    <mergeCell ref="D360:E360"/>
    <mergeCell ref="D385:E385"/>
    <mergeCell ref="D386:F386"/>
    <mergeCell ref="D387:E387"/>
    <mergeCell ref="D364:E364"/>
    <mergeCell ref="D365:F365"/>
    <mergeCell ref="D366:E366"/>
    <mergeCell ref="D367:F367"/>
    <mergeCell ref="D368:E368"/>
    <mergeCell ref="D369:E369"/>
    <mergeCell ref="D370:F370"/>
    <mergeCell ref="D371:E371"/>
    <mergeCell ref="D372:F372"/>
    <mergeCell ref="D373:E373"/>
    <mergeCell ref="D374:F374"/>
    <mergeCell ref="D375:F375"/>
    <mergeCell ref="D376:E376"/>
    <mergeCell ref="D377:F377"/>
    <mergeCell ref="D378:F378"/>
    <mergeCell ref="D379:E379"/>
    <mergeCell ref="D380:F380"/>
    <mergeCell ref="D381:E381"/>
    <mergeCell ref="D382:F382"/>
    <mergeCell ref="D335:F335"/>
    <mergeCell ref="D336:E336"/>
    <mergeCell ref="D361:F361"/>
    <mergeCell ref="D362:E362"/>
    <mergeCell ref="D363:F363"/>
    <mergeCell ref="D340:E340"/>
    <mergeCell ref="D341:F341"/>
    <mergeCell ref="D342:E342"/>
    <mergeCell ref="D343:F343"/>
    <mergeCell ref="D344:E344"/>
    <mergeCell ref="D345:F345"/>
    <mergeCell ref="D346:E346"/>
    <mergeCell ref="D347:F347"/>
    <mergeCell ref="D348:E348"/>
    <mergeCell ref="D349:F349"/>
    <mergeCell ref="D350:E350"/>
    <mergeCell ref="D351:F351"/>
    <mergeCell ref="D352:E352"/>
    <mergeCell ref="D353:E353"/>
    <mergeCell ref="D354:F354"/>
    <mergeCell ref="D355:E355"/>
    <mergeCell ref="D356:E356"/>
    <mergeCell ref="D357:F357"/>
    <mergeCell ref="D358:E358"/>
    <mergeCell ref="D311:E311"/>
    <mergeCell ref="D312:F312"/>
    <mergeCell ref="D337:F337"/>
    <mergeCell ref="D338:E338"/>
    <mergeCell ref="D339:F339"/>
    <mergeCell ref="D316:F316"/>
    <mergeCell ref="D317:E317"/>
    <mergeCell ref="D318:F318"/>
    <mergeCell ref="D319:E319"/>
    <mergeCell ref="D320:E320"/>
    <mergeCell ref="D321:F321"/>
    <mergeCell ref="D322:E322"/>
    <mergeCell ref="D323:F323"/>
    <mergeCell ref="D324:E324"/>
    <mergeCell ref="D325:F325"/>
    <mergeCell ref="D326:E326"/>
    <mergeCell ref="D327:F327"/>
    <mergeCell ref="D328:E328"/>
    <mergeCell ref="D329:F329"/>
    <mergeCell ref="D330:E330"/>
    <mergeCell ref="D331:F331"/>
    <mergeCell ref="D332:E332"/>
    <mergeCell ref="D333:F333"/>
    <mergeCell ref="D334:E334"/>
    <mergeCell ref="D287:E287"/>
    <mergeCell ref="D288:F288"/>
    <mergeCell ref="D313:E313"/>
    <mergeCell ref="D314:F314"/>
    <mergeCell ref="D315:E315"/>
    <mergeCell ref="D292:F292"/>
    <mergeCell ref="D293:E293"/>
    <mergeCell ref="D294:F294"/>
    <mergeCell ref="D295:E295"/>
    <mergeCell ref="D296:F296"/>
    <mergeCell ref="D297:E297"/>
    <mergeCell ref="D298:F298"/>
    <mergeCell ref="D299:E299"/>
    <mergeCell ref="D300:F300"/>
    <mergeCell ref="D301:E301"/>
    <mergeCell ref="D302:F302"/>
    <mergeCell ref="D303:E303"/>
    <mergeCell ref="D304:F304"/>
    <mergeCell ref="D305:E305"/>
    <mergeCell ref="D306:F306"/>
    <mergeCell ref="D307:E307"/>
    <mergeCell ref="D308:F308"/>
    <mergeCell ref="D309:E309"/>
    <mergeCell ref="D310:F310"/>
    <mergeCell ref="D263:E263"/>
    <mergeCell ref="D264:F264"/>
    <mergeCell ref="D289:E289"/>
    <mergeCell ref="D290:F290"/>
    <mergeCell ref="D291:E291"/>
    <mergeCell ref="D268:F268"/>
    <mergeCell ref="D269:E269"/>
    <mergeCell ref="D270:F270"/>
    <mergeCell ref="D271:E271"/>
    <mergeCell ref="D272:F272"/>
    <mergeCell ref="D273:E273"/>
    <mergeCell ref="D274:F274"/>
    <mergeCell ref="D275:E275"/>
    <mergeCell ref="D276:F276"/>
    <mergeCell ref="D277:E277"/>
    <mergeCell ref="D278:F278"/>
    <mergeCell ref="D279:E279"/>
    <mergeCell ref="D280:F280"/>
    <mergeCell ref="D281:E281"/>
    <mergeCell ref="D282:F282"/>
    <mergeCell ref="D283:E283"/>
    <mergeCell ref="D284:F284"/>
    <mergeCell ref="D285:E285"/>
    <mergeCell ref="D286:F286"/>
    <mergeCell ref="D239:F239"/>
    <mergeCell ref="D240:E240"/>
    <mergeCell ref="D265:E265"/>
    <mergeCell ref="D266:F266"/>
    <mergeCell ref="D267:E267"/>
    <mergeCell ref="D244:E244"/>
    <mergeCell ref="D245:F245"/>
    <mergeCell ref="D246:E246"/>
    <mergeCell ref="D247:F247"/>
    <mergeCell ref="D248:E248"/>
    <mergeCell ref="D249:F249"/>
    <mergeCell ref="D250:E250"/>
    <mergeCell ref="D251:F251"/>
    <mergeCell ref="D252:E252"/>
    <mergeCell ref="D253:F253"/>
    <mergeCell ref="D254:E254"/>
    <mergeCell ref="D255:F255"/>
    <mergeCell ref="D256:E256"/>
    <mergeCell ref="D257:F257"/>
    <mergeCell ref="D258:E258"/>
    <mergeCell ref="D259:F259"/>
    <mergeCell ref="D260:E260"/>
    <mergeCell ref="D261:F261"/>
    <mergeCell ref="D262:E262"/>
    <mergeCell ref="D215:E215"/>
    <mergeCell ref="D216:F216"/>
    <mergeCell ref="D241:F241"/>
    <mergeCell ref="D242:E242"/>
    <mergeCell ref="D243:F243"/>
    <mergeCell ref="D220:F220"/>
    <mergeCell ref="D221:E221"/>
    <mergeCell ref="D222:F222"/>
    <mergeCell ref="D223:E223"/>
    <mergeCell ref="D224:F224"/>
    <mergeCell ref="D225:E225"/>
    <mergeCell ref="D226:F226"/>
    <mergeCell ref="D227:E227"/>
    <mergeCell ref="D228:E228"/>
    <mergeCell ref="D229:F229"/>
    <mergeCell ref="D230:E230"/>
    <mergeCell ref="D231:F231"/>
    <mergeCell ref="D232:E232"/>
    <mergeCell ref="D233:F233"/>
    <mergeCell ref="D234:E234"/>
    <mergeCell ref="D235:F235"/>
    <mergeCell ref="D236:E236"/>
    <mergeCell ref="D237:F237"/>
    <mergeCell ref="D238:E238"/>
    <mergeCell ref="D191:E191"/>
    <mergeCell ref="D192:F192"/>
    <mergeCell ref="D217:E217"/>
    <mergeCell ref="D218:F218"/>
    <mergeCell ref="D219:E219"/>
    <mergeCell ref="D196:F196"/>
    <mergeCell ref="D197:E197"/>
    <mergeCell ref="D198:F198"/>
    <mergeCell ref="D199:E199"/>
    <mergeCell ref="D200:F200"/>
    <mergeCell ref="D201:E201"/>
    <mergeCell ref="D202:F202"/>
    <mergeCell ref="D203:E203"/>
    <mergeCell ref="D204:E204"/>
    <mergeCell ref="D205:F205"/>
    <mergeCell ref="D206:F206"/>
    <mergeCell ref="D207:E207"/>
    <mergeCell ref="D208:F208"/>
    <mergeCell ref="D209:E209"/>
    <mergeCell ref="D210:F210"/>
    <mergeCell ref="D211:E211"/>
    <mergeCell ref="D212:F212"/>
    <mergeCell ref="D213:E213"/>
    <mergeCell ref="D214:F214"/>
    <mergeCell ref="D167:F167"/>
    <mergeCell ref="D168:E168"/>
    <mergeCell ref="D193:E193"/>
    <mergeCell ref="D194:F194"/>
    <mergeCell ref="D195:E195"/>
    <mergeCell ref="D172:F172"/>
    <mergeCell ref="D173:E173"/>
    <mergeCell ref="D174:E174"/>
    <mergeCell ref="D175:F175"/>
    <mergeCell ref="D176:E176"/>
    <mergeCell ref="D177:F177"/>
    <mergeCell ref="D178:E178"/>
    <mergeCell ref="D179:E179"/>
    <mergeCell ref="D180:F180"/>
    <mergeCell ref="D181:E181"/>
    <mergeCell ref="D182:F182"/>
    <mergeCell ref="D183:E183"/>
    <mergeCell ref="D184:E184"/>
    <mergeCell ref="D185:F185"/>
    <mergeCell ref="D186:E186"/>
    <mergeCell ref="D187:F187"/>
    <mergeCell ref="D188:E188"/>
    <mergeCell ref="D189:E189"/>
    <mergeCell ref="D190:F190"/>
    <mergeCell ref="D143:F143"/>
    <mergeCell ref="D144:E144"/>
    <mergeCell ref="D169:F169"/>
    <mergeCell ref="D170:E170"/>
    <mergeCell ref="D171:E171"/>
    <mergeCell ref="D148:E148"/>
    <mergeCell ref="D149:F149"/>
    <mergeCell ref="D150:E150"/>
    <mergeCell ref="D151:F151"/>
    <mergeCell ref="D152:E152"/>
    <mergeCell ref="D153:F153"/>
    <mergeCell ref="D154:E154"/>
    <mergeCell ref="D155:F155"/>
    <mergeCell ref="D156:E156"/>
    <mergeCell ref="D157:F157"/>
    <mergeCell ref="D158:E158"/>
    <mergeCell ref="D159:F159"/>
    <mergeCell ref="D160:E160"/>
    <mergeCell ref="D161:F161"/>
    <mergeCell ref="D162:E162"/>
    <mergeCell ref="D163:F163"/>
    <mergeCell ref="D164:E164"/>
    <mergeCell ref="D165:F165"/>
    <mergeCell ref="D166:E166"/>
    <mergeCell ref="D119:F119"/>
    <mergeCell ref="D120:E120"/>
    <mergeCell ref="D145:F145"/>
    <mergeCell ref="D146:E146"/>
    <mergeCell ref="D147:F147"/>
    <mergeCell ref="D124:E124"/>
    <mergeCell ref="D125:F125"/>
    <mergeCell ref="D126:E126"/>
    <mergeCell ref="D127:F127"/>
    <mergeCell ref="D128:E128"/>
    <mergeCell ref="D129:F129"/>
    <mergeCell ref="D130:F130"/>
    <mergeCell ref="D131:E131"/>
    <mergeCell ref="D132:F132"/>
    <mergeCell ref="D133:F133"/>
    <mergeCell ref="D134:E134"/>
    <mergeCell ref="D135:F135"/>
    <mergeCell ref="D136:E136"/>
    <mergeCell ref="D137:F137"/>
    <mergeCell ref="D138:E138"/>
    <mergeCell ref="D139:F139"/>
    <mergeCell ref="D140:E140"/>
    <mergeCell ref="D141:F141"/>
    <mergeCell ref="D142:E142"/>
    <mergeCell ref="D95:F95"/>
    <mergeCell ref="D96:E96"/>
    <mergeCell ref="D121:F121"/>
    <mergeCell ref="D122:E122"/>
    <mergeCell ref="D123:F123"/>
    <mergeCell ref="D100:E100"/>
    <mergeCell ref="D101:F101"/>
    <mergeCell ref="D102:E102"/>
    <mergeCell ref="D103:F103"/>
    <mergeCell ref="D104:E104"/>
    <mergeCell ref="D105:E105"/>
    <mergeCell ref="D106:F106"/>
    <mergeCell ref="D107:F107"/>
    <mergeCell ref="D108:E108"/>
    <mergeCell ref="D109:F109"/>
    <mergeCell ref="D110:F110"/>
    <mergeCell ref="D111:E111"/>
    <mergeCell ref="D112:F112"/>
    <mergeCell ref="D113:E113"/>
    <mergeCell ref="D114:F114"/>
    <mergeCell ref="D115:F115"/>
    <mergeCell ref="D116:E116"/>
    <mergeCell ref="D117:F117"/>
    <mergeCell ref="D118:F118"/>
    <mergeCell ref="D71:E71"/>
    <mergeCell ref="D72:E72"/>
    <mergeCell ref="D97:F97"/>
    <mergeCell ref="D98:E98"/>
    <mergeCell ref="D99:F99"/>
    <mergeCell ref="D76:E76"/>
    <mergeCell ref="D77:F77"/>
    <mergeCell ref="D78:E78"/>
    <mergeCell ref="D79:E79"/>
    <mergeCell ref="D80:F80"/>
    <mergeCell ref="D81:E81"/>
    <mergeCell ref="D82:F82"/>
    <mergeCell ref="D83:E83"/>
    <mergeCell ref="D84:F84"/>
    <mergeCell ref="D85:E85"/>
    <mergeCell ref="D86:E86"/>
    <mergeCell ref="D87:F87"/>
    <mergeCell ref="D88:E88"/>
    <mergeCell ref="D89:F89"/>
    <mergeCell ref="D90:E90"/>
    <mergeCell ref="D91:F91"/>
    <mergeCell ref="D92:E92"/>
    <mergeCell ref="D93:F93"/>
    <mergeCell ref="D94:E94"/>
    <mergeCell ref="D47:E47"/>
    <mergeCell ref="D48:F48"/>
    <mergeCell ref="D73:F73"/>
    <mergeCell ref="D74:E74"/>
    <mergeCell ref="D75:F75"/>
    <mergeCell ref="D52:E52"/>
    <mergeCell ref="D53:E53"/>
    <mergeCell ref="D54:F54"/>
    <mergeCell ref="D55:F55"/>
    <mergeCell ref="D56:E56"/>
    <mergeCell ref="D57:E57"/>
    <mergeCell ref="D58:F58"/>
    <mergeCell ref="D59:E59"/>
    <mergeCell ref="D60:F60"/>
    <mergeCell ref="D61:E61"/>
    <mergeCell ref="D62:E62"/>
    <mergeCell ref="D63:F63"/>
    <mergeCell ref="D64:E64"/>
    <mergeCell ref="D65:E65"/>
    <mergeCell ref="D66:F66"/>
    <mergeCell ref="D67:E67"/>
    <mergeCell ref="D68:F68"/>
    <mergeCell ref="D69:E69"/>
    <mergeCell ref="D70:F70"/>
    <mergeCell ref="D23:F23"/>
    <mergeCell ref="D24:E24"/>
    <mergeCell ref="D49:F49"/>
    <mergeCell ref="D50:E50"/>
    <mergeCell ref="D51:F51"/>
    <mergeCell ref="D28:F28"/>
    <mergeCell ref="D29:E29"/>
    <mergeCell ref="D30:E30"/>
    <mergeCell ref="D31:F31"/>
    <mergeCell ref="D32:F32"/>
    <mergeCell ref="D33:E33"/>
    <mergeCell ref="D34:F34"/>
    <mergeCell ref="D35:E35"/>
    <mergeCell ref="D36:F36"/>
    <mergeCell ref="D37:E37"/>
    <mergeCell ref="D38:E38"/>
    <mergeCell ref="D39:F39"/>
    <mergeCell ref="D40:E40"/>
    <mergeCell ref="D41:F41"/>
    <mergeCell ref="D42:E42"/>
    <mergeCell ref="D43:F43"/>
    <mergeCell ref="D44:E44"/>
    <mergeCell ref="D45:E45"/>
    <mergeCell ref="D46:F46"/>
    <mergeCell ref="D25:F25"/>
    <mergeCell ref="D26:E26"/>
    <mergeCell ref="D27:E27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  <mergeCell ref="D14:E14"/>
    <mergeCell ref="D15:F15"/>
    <mergeCell ref="D16:E16"/>
    <mergeCell ref="D17:F17"/>
    <mergeCell ref="D18:E18"/>
    <mergeCell ref="D19:F19"/>
    <mergeCell ref="D20:E20"/>
    <mergeCell ref="D21:F21"/>
    <mergeCell ref="D22:E22"/>
    <mergeCell ref="A1:H1"/>
    <mergeCell ref="A2:B3"/>
    <mergeCell ref="C2:D3"/>
    <mergeCell ref="E2:E3"/>
    <mergeCell ref="F2:H3"/>
    <mergeCell ref="A4:B5"/>
    <mergeCell ref="C4:D5"/>
    <mergeCell ref="E4:E5"/>
    <mergeCell ref="F4:H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7B1B8-8246-4867-A803-5A9D5E4F3A36}">
  <sheetPr>
    <pageSetUpPr fitToPage="1"/>
  </sheetPr>
  <dimension ref="A1:J37"/>
  <sheetViews>
    <sheetView topLeftCell="B21" workbookViewId="0">
      <selection activeCell="M62" sqref="M62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rozpočet-SO09'!C2</f>
        <v>Snížení energetické.náročnosti objektů Domova Kladno-Švermov</v>
      </c>
      <c r="D2" s="291"/>
      <c r="E2" s="293" t="s">
        <v>1657</v>
      </c>
      <c r="F2" s="293" t="str">
        <f>'Stavební rozpočet-SO09'!I2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rozpočet-SO09'!C4</f>
        <v>SO 09 - OBJEKT 9 - č.p.1052</v>
      </c>
      <c r="D4" s="256"/>
      <c r="E4" s="255" t="s">
        <v>1658</v>
      </c>
      <c r="F4" s="255" t="str">
        <f>'Stavební rozpočet-SO09'!I4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rozpočet-SO09'!C6</f>
        <v xml:space="preserve"> </v>
      </c>
      <c r="D6" s="256"/>
      <c r="E6" s="255" t="s">
        <v>1659</v>
      </c>
      <c r="F6" s="255" t="str">
        <f>'Stavební rozpočet-SO09'!I6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195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rozpočet-SO09'!C8</f>
        <v xml:space="preserve"> </v>
      </c>
      <c r="D10" s="256"/>
      <c r="E10" s="255" t="s">
        <v>1660</v>
      </c>
      <c r="F10" s="255" t="str">
        <f>'Stavební rozpočet-SO09'!I8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rozpočet-SO09'!AB12:AB221)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rozpočet-SO09'!AC12:AC221)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rozpočet-SO09'!AD12:AD221)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rozpočet-SO09'!AE12:AE221)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rozpočet-SO09'!AF12:AF221)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rozpočet-SO09'!AG12:AG221)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rozpočet-SO09'!AH12:AH221)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rozpočet-SO09'!Z12:Z221)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rozpočet-SO09'!AJ12:AJ221)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rozpočet-SO09'!AK12:AK221)+(F22+I22+F23+I23+I24+I25)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rozpočet-SO09'!AL12:AL221)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uK0oqiAFBMKMqReBv2Hf7B2sFOUOp+FgPOtW21zCwCl06OTa3kAVGHidhSKP4cpHr2HoXkUPI4YFrxkAvXNMDw==" saltValue="Ha8Xn/rQsjMAYdVVRIqs0g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J623"/>
  <sheetViews>
    <sheetView workbookViewId="0">
      <pane ySplit="11" topLeftCell="A444" activePane="bottomLeft" state="frozenSplit"/>
      <selection activeCell="A2" sqref="A2:A3"/>
      <selection pane="bottomLeft" activeCell="C448" sqref="C448:E448"/>
    </sheetView>
  </sheetViews>
  <sheetFormatPr defaultColWidth="11.5703125" defaultRowHeight="12.75" x14ac:dyDescent="0.2"/>
  <cols>
    <col min="1" max="1" width="3.7109375" customWidth="1"/>
    <col min="2" max="2" width="14.28515625" customWidth="1"/>
    <col min="3" max="3" width="133" customWidth="1"/>
    <col min="6" max="6" width="4.85546875" customWidth="1"/>
    <col min="7" max="7" width="12.85546875" customWidth="1"/>
    <col min="8" max="8" width="12" customWidth="1"/>
    <col min="9" max="10" width="14.28515625" hidden="1" customWidth="1"/>
    <col min="11" max="11" width="14.28515625" customWidth="1"/>
    <col min="12" max="12" width="11.7109375" hidden="1" customWidth="1"/>
    <col min="25" max="62" width="12.140625" hidden="1" customWidth="1"/>
  </cols>
  <sheetData>
    <row r="1" spans="1:62" ht="72.95" customHeight="1" x14ac:dyDescent="0.35">
      <c r="A1" s="212" t="s">
        <v>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62" x14ac:dyDescent="0.2">
      <c r="A2" s="175" t="s">
        <v>1</v>
      </c>
      <c r="B2" s="176"/>
      <c r="C2" s="179" t="s">
        <v>1047</v>
      </c>
      <c r="D2" s="221" t="s">
        <v>1639</v>
      </c>
      <c r="E2" s="176"/>
      <c r="F2" s="222" t="s">
        <v>6</v>
      </c>
      <c r="G2" s="223"/>
      <c r="H2" s="182" t="s">
        <v>1657</v>
      </c>
      <c r="I2" s="222" t="s">
        <v>1663</v>
      </c>
      <c r="J2" s="223"/>
      <c r="K2" s="223"/>
      <c r="L2" s="225"/>
      <c r="M2" s="32"/>
    </row>
    <row r="3" spans="1:62" x14ac:dyDescent="0.2">
      <c r="A3" s="177"/>
      <c r="B3" s="178"/>
      <c r="C3" s="181"/>
      <c r="D3" s="178"/>
      <c r="E3" s="178"/>
      <c r="F3" s="224"/>
      <c r="G3" s="224"/>
      <c r="H3" s="178"/>
      <c r="I3" s="224"/>
      <c r="J3" s="224"/>
      <c r="K3" s="224"/>
      <c r="L3" s="226"/>
      <c r="M3" s="32"/>
    </row>
    <row r="4" spans="1:62" x14ac:dyDescent="0.2">
      <c r="A4" s="186" t="s">
        <v>2</v>
      </c>
      <c r="B4" s="178"/>
      <c r="C4" s="187" t="s">
        <v>1048</v>
      </c>
      <c r="D4" s="190" t="s">
        <v>1640</v>
      </c>
      <c r="E4" s="178"/>
      <c r="F4" s="228"/>
      <c r="G4" s="224"/>
      <c r="H4" s="187" t="s">
        <v>1658</v>
      </c>
      <c r="I4" s="228" t="s">
        <v>1663</v>
      </c>
      <c r="J4" s="224"/>
      <c r="K4" s="224"/>
      <c r="L4" s="226"/>
      <c r="M4" s="32"/>
    </row>
    <row r="5" spans="1:62" x14ac:dyDescent="0.2">
      <c r="A5" s="177"/>
      <c r="B5" s="178"/>
      <c r="C5" s="178"/>
      <c r="D5" s="178"/>
      <c r="E5" s="178"/>
      <c r="F5" s="224"/>
      <c r="G5" s="224"/>
      <c r="H5" s="178"/>
      <c r="I5" s="224"/>
      <c r="J5" s="224"/>
      <c r="K5" s="224"/>
      <c r="L5" s="226"/>
      <c r="M5" s="32"/>
    </row>
    <row r="6" spans="1:62" x14ac:dyDescent="0.2">
      <c r="A6" s="186" t="s">
        <v>3</v>
      </c>
      <c r="B6" s="178"/>
      <c r="C6" s="227" t="s">
        <v>6</v>
      </c>
      <c r="D6" s="190" t="s">
        <v>1641</v>
      </c>
      <c r="E6" s="178"/>
      <c r="F6" s="228"/>
      <c r="G6" s="224"/>
      <c r="H6" s="187" t="s">
        <v>1659</v>
      </c>
      <c r="I6" s="228" t="s">
        <v>1663</v>
      </c>
      <c r="J6" s="224"/>
      <c r="K6" s="224"/>
      <c r="L6" s="226"/>
      <c r="M6" s="32"/>
    </row>
    <row r="7" spans="1:62" x14ac:dyDescent="0.2">
      <c r="A7" s="177"/>
      <c r="B7" s="178"/>
      <c r="C7" s="224"/>
      <c r="D7" s="178"/>
      <c r="E7" s="178"/>
      <c r="F7" s="224"/>
      <c r="G7" s="224"/>
      <c r="H7" s="178"/>
      <c r="I7" s="224"/>
      <c r="J7" s="224"/>
      <c r="K7" s="224"/>
      <c r="L7" s="226"/>
      <c r="M7" s="32"/>
    </row>
    <row r="8" spans="1:62" x14ac:dyDescent="0.2">
      <c r="A8" s="186" t="s">
        <v>4</v>
      </c>
      <c r="B8" s="178"/>
      <c r="C8" s="227" t="s">
        <v>6</v>
      </c>
      <c r="D8" s="190" t="s">
        <v>1642</v>
      </c>
      <c r="E8" s="178"/>
      <c r="F8" s="228"/>
      <c r="G8" s="224"/>
      <c r="H8" s="187" t="s">
        <v>1660</v>
      </c>
      <c r="I8" s="228" t="s">
        <v>1663</v>
      </c>
      <c r="J8" s="224"/>
      <c r="K8" s="224"/>
      <c r="L8" s="226"/>
      <c r="M8" s="32"/>
    </row>
    <row r="9" spans="1:62" x14ac:dyDescent="0.2">
      <c r="A9" s="214"/>
      <c r="B9" s="215"/>
      <c r="C9" s="242"/>
      <c r="D9" s="215"/>
      <c r="E9" s="215"/>
      <c r="F9" s="242"/>
      <c r="G9" s="242"/>
      <c r="H9" s="215"/>
      <c r="I9" s="242"/>
      <c r="J9" s="242"/>
      <c r="K9" s="242"/>
      <c r="L9" s="243"/>
      <c r="M9" s="32"/>
    </row>
    <row r="10" spans="1:62" x14ac:dyDescent="0.2">
      <c r="A10" s="1" t="s">
        <v>5</v>
      </c>
      <c r="B10" s="10" t="s">
        <v>570</v>
      </c>
      <c r="C10" s="229" t="s">
        <v>1049</v>
      </c>
      <c r="D10" s="230"/>
      <c r="E10" s="231"/>
      <c r="F10" s="10" t="s">
        <v>1643</v>
      </c>
      <c r="G10" s="16" t="s">
        <v>1656</v>
      </c>
      <c r="H10" s="20" t="s">
        <v>1661</v>
      </c>
      <c r="I10" s="232" t="s">
        <v>1664</v>
      </c>
      <c r="J10" s="233"/>
      <c r="K10" s="234"/>
      <c r="L10" s="25" t="s">
        <v>1669</v>
      </c>
      <c r="M10" s="33"/>
    </row>
    <row r="11" spans="1:62" x14ac:dyDescent="0.2">
      <c r="A11" s="2" t="s">
        <v>6</v>
      </c>
      <c r="B11" s="11" t="s">
        <v>6</v>
      </c>
      <c r="C11" s="235" t="s">
        <v>1050</v>
      </c>
      <c r="D11" s="236"/>
      <c r="E11" s="237"/>
      <c r="F11" s="11" t="s">
        <v>6</v>
      </c>
      <c r="G11" s="11" t="s">
        <v>6</v>
      </c>
      <c r="H11" s="21" t="s">
        <v>1662</v>
      </c>
      <c r="I11" s="22" t="s">
        <v>1665</v>
      </c>
      <c r="J11" s="23" t="s">
        <v>1667</v>
      </c>
      <c r="K11" s="24" t="s">
        <v>1668</v>
      </c>
      <c r="L11" s="26" t="s">
        <v>1670</v>
      </c>
      <c r="M11" s="33"/>
      <c r="Z11" s="29" t="s">
        <v>1672</v>
      </c>
      <c r="AA11" s="29" t="s">
        <v>1673</v>
      </c>
      <c r="AB11" s="29" t="s">
        <v>1674</v>
      </c>
      <c r="AC11" s="29" t="s">
        <v>1675</v>
      </c>
      <c r="AD11" s="29" t="s">
        <v>1676</v>
      </c>
      <c r="AE11" s="29" t="s">
        <v>1677</v>
      </c>
      <c r="AF11" s="29" t="s">
        <v>1678</v>
      </c>
      <c r="AG11" s="29" t="s">
        <v>1679</v>
      </c>
      <c r="AH11" s="29" t="s">
        <v>1680</v>
      </c>
      <c r="BH11" s="29" t="s">
        <v>1738</v>
      </c>
      <c r="BI11" s="29" t="s">
        <v>1739</v>
      </c>
      <c r="BJ11" s="29" t="s">
        <v>1740</v>
      </c>
    </row>
    <row r="12" spans="1:62" x14ac:dyDescent="0.2">
      <c r="A12" s="3"/>
      <c r="B12" s="12" t="s">
        <v>17</v>
      </c>
      <c r="C12" s="238" t="s">
        <v>1051</v>
      </c>
      <c r="D12" s="239"/>
      <c r="E12" s="239"/>
      <c r="F12" s="3" t="s">
        <v>6</v>
      </c>
      <c r="G12" s="3" t="s">
        <v>6</v>
      </c>
      <c r="H12" s="3" t="s">
        <v>6</v>
      </c>
      <c r="I12" s="36">
        <f>SUM(I13:I19)</f>
        <v>0</v>
      </c>
      <c r="J12" s="36">
        <f>SUM(J13:J19)</f>
        <v>0</v>
      </c>
      <c r="K12" s="36">
        <f>SUM(K13:K19)</f>
        <v>0</v>
      </c>
      <c r="L12" s="27"/>
      <c r="AI12" s="29"/>
      <c r="AS12" s="37">
        <f>SUM(AJ13:AJ19)</f>
        <v>0</v>
      </c>
      <c r="AT12" s="37">
        <f>SUM(AK13:AK19)</f>
        <v>0</v>
      </c>
      <c r="AU12" s="37">
        <f>SUM(AL13:AL19)</f>
        <v>0</v>
      </c>
    </row>
    <row r="13" spans="1:62" x14ac:dyDescent="0.2">
      <c r="A13" s="4" t="s">
        <v>7</v>
      </c>
      <c r="B13" s="4" t="s">
        <v>571</v>
      </c>
      <c r="C13" s="240" t="s">
        <v>1052</v>
      </c>
      <c r="D13" s="241"/>
      <c r="E13" s="241"/>
      <c r="F13" s="4" t="s">
        <v>1644</v>
      </c>
      <c r="G13" s="69">
        <v>1</v>
      </c>
      <c r="H13" s="168"/>
      <c r="I13" s="17">
        <f t="shared" ref="I13:I19" si="0">G13*AO13</f>
        <v>0</v>
      </c>
      <c r="J13" s="17">
        <f t="shared" ref="J13:J19" si="1">G13*AP13</f>
        <v>0</v>
      </c>
      <c r="K13" s="17">
        <f t="shared" ref="K13:K19" si="2">G13*H13</f>
        <v>0</v>
      </c>
      <c r="L13" s="28" t="s">
        <v>1671</v>
      </c>
      <c r="Z13" s="34">
        <f t="shared" ref="Z13:Z19" si="3">IF(AQ13="5",BJ13,0)</f>
        <v>0</v>
      </c>
      <c r="AB13" s="34">
        <f t="shared" ref="AB13:AB19" si="4">IF(AQ13="1",BH13,0)</f>
        <v>0</v>
      </c>
      <c r="AC13" s="34">
        <f t="shared" ref="AC13:AC19" si="5">IF(AQ13="1",BI13,0)</f>
        <v>0</v>
      </c>
      <c r="AD13" s="34">
        <f t="shared" ref="AD13:AD19" si="6">IF(AQ13="7",BH13,0)</f>
        <v>0</v>
      </c>
      <c r="AE13" s="34">
        <f t="shared" ref="AE13:AE19" si="7">IF(AQ13="7",BI13,0)</f>
        <v>0</v>
      </c>
      <c r="AF13" s="34">
        <f t="shared" ref="AF13:AF19" si="8">IF(AQ13="2",BH13,0)</f>
        <v>0</v>
      </c>
      <c r="AG13" s="34">
        <f t="shared" ref="AG13:AG19" si="9">IF(AQ13="2",BI13,0)</f>
        <v>0</v>
      </c>
      <c r="AH13" s="34">
        <f t="shared" ref="AH13:AH19" si="10">IF(AQ13="0",BJ13,0)</f>
        <v>0</v>
      </c>
      <c r="AI13" s="29"/>
      <c r="AJ13" s="17">
        <f t="shared" ref="AJ13:AJ19" si="11">IF(AN13=0,K13,0)</f>
        <v>0</v>
      </c>
      <c r="AK13" s="17">
        <f t="shared" ref="AK13:AK19" si="12">IF(AN13=15,K13,0)</f>
        <v>0</v>
      </c>
      <c r="AL13" s="17">
        <f t="shared" ref="AL13:AL19" si="13">IF(AN13=21,K13,0)</f>
        <v>0</v>
      </c>
      <c r="AN13" s="34">
        <v>15</v>
      </c>
      <c r="AO13" s="34">
        <f>H13*0</f>
        <v>0</v>
      </c>
      <c r="AP13" s="34">
        <f>H13*(1-0)</f>
        <v>0</v>
      </c>
      <c r="AQ13" s="28" t="s">
        <v>7</v>
      </c>
      <c r="AV13" s="34">
        <f t="shared" ref="AV13:AV19" si="14">AW13+AX13</f>
        <v>0</v>
      </c>
      <c r="AW13" s="34">
        <f t="shared" ref="AW13:AW19" si="15">G13*AO13</f>
        <v>0</v>
      </c>
      <c r="AX13" s="34">
        <f t="shared" ref="AX13:AX19" si="16">G13*AP13</f>
        <v>0</v>
      </c>
      <c r="AY13" s="35" t="s">
        <v>1681</v>
      </c>
      <c r="AZ13" s="35" t="s">
        <v>1724</v>
      </c>
      <c r="BA13" s="29" t="s">
        <v>1737</v>
      </c>
      <c r="BC13" s="34">
        <f t="shared" ref="BC13:BC19" si="17">AW13+AX13</f>
        <v>0</v>
      </c>
      <c r="BD13" s="34">
        <f t="shared" ref="BD13:BD19" si="18">H13/(100-BE13)*100</f>
        <v>0</v>
      </c>
      <c r="BE13" s="34">
        <v>0</v>
      </c>
      <c r="BF13" s="34">
        <f>13</f>
        <v>13</v>
      </c>
      <c r="BH13" s="17">
        <f t="shared" ref="BH13:BH19" si="19">G13*AO13</f>
        <v>0</v>
      </c>
      <c r="BI13" s="17">
        <f t="shared" ref="BI13:BI19" si="20">G13*AP13</f>
        <v>0</v>
      </c>
      <c r="BJ13" s="17">
        <f t="shared" ref="BJ13:BJ19" si="21">G13*H13</f>
        <v>0</v>
      </c>
    </row>
    <row r="14" spans="1:62" x14ac:dyDescent="0.2">
      <c r="A14" s="4" t="s">
        <v>8</v>
      </c>
      <c r="B14" s="4" t="s">
        <v>572</v>
      </c>
      <c r="C14" s="240" t="s">
        <v>1053</v>
      </c>
      <c r="D14" s="241"/>
      <c r="E14" s="241"/>
      <c r="F14" s="4" t="s">
        <v>1644</v>
      </c>
      <c r="G14" s="69">
        <v>1</v>
      </c>
      <c r="H14" s="168"/>
      <c r="I14" s="17">
        <f t="shared" si="0"/>
        <v>0</v>
      </c>
      <c r="J14" s="17">
        <f t="shared" si="1"/>
        <v>0</v>
      </c>
      <c r="K14" s="17">
        <f t="shared" si="2"/>
        <v>0</v>
      </c>
      <c r="L14" s="28" t="s">
        <v>1671</v>
      </c>
      <c r="Z14" s="34">
        <f t="shared" si="3"/>
        <v>0</v>
      </c>
      <c r="AB14" s="34">
        <f t="shared" si="4"/>
        <v>0</v>
      </c>
      <c r="AC14" s="34">
        <f t="shared" si="5"/>
        <v>0</v>
      </c>
      <c r="AD14" s="34">
        <f t="shared" si="6"/>
        <v>0</v>
      </c>
      <c r="AE14" s="34">
        <f t="shared" si="7"/>
        <v>0</v>
      </c>
      <c r="AF14" s="34">
        <f t="shared" si="8"/>
        <v>0</v>
      </c>
      <c r="AG14" s="34">
        <f t="shared" si="9"/>
        <v>0</v>
      </c>
      <c r="AH14" s="34">
        <f t="shared" si="10"/>
        <v>0</v>
      </c>
      <c r="AI14" s="29"/>
      <c r="AJ14" s="17">
        <f t="shared" si="11"/>
        <v>0</v>
      </c>
      <c r="AK14" s="17">
        <f t="shared" si="12"/>
        <v>0</v>
      </c>
      <c r="AL14" s="17">
        <f t="shared" si="13"/>
        <v>0</v>
      </c>
      <c r="AN14" s="34">
        <v>15</v>
      </c>
      <c r="AO14" s="34">
        <f>H14*0.02432</f>
        <v>0</v>
      </c>
      <c r="AP14" s="34">
        <f>H14*(1-0.02432)</f>
        <v>0</v>
      </c>
      <c r="AQ14" s="28" t="s">
        <v>7</v>
      </c>
      <c r="AV14" s="34">
        <f t="shared" si="14"/>
        <v>0</v>
      </c>
      <c r="AW14" s="34">
        <f t="shared" si="15"/>
        <v>0</v>
      </c>
      <c r="AX14" s="34">
        <f t="shared" si="16"/>
        <v>0</v>
      </c>
      <c r="AY14" s="35" t="s">
        <v>1681</v>
      </c>
      <c r="AZ14" s="35" t="s">
        <v>1724</v>
      </c>
      <c r="BA14" s="29" t="s">
        <v>1737</v>
      </c>
      <c r="BC14" s="34">
        <f t="shared" si="17"/>
        <v>0</v>
      </c>
      <c r="BD14" s="34">
        <f t="shared" si="18"/>
        <v>0</v>
      </c>
      <c r="BE14" s="34">
        <v>0</v>
      </c>
      <c r="BF14" s="34">
        <f>14</f>
        <v>14</v>
      </c>
      <c r="BH14" s="17">
        <f t="shared" si="19"/>
        <v>0</v>
      </c>
      <c r="BI14" s="17">
        <f t="shared" si="20"/>
        <v>0</v>
      </c>
      <c r="BJ14" s="17">
        <f t="shared" si="21"/>
        <v>0</v>
      </c>
    </row>
    <row r="15" spans="1:62" x14ac:dyDescent="0.2">
      <c r="A15" s="4" t="s">
        <v>9</v>
      </c>
      <c r="B15" s="4" t="s">
        <v>573</v>
      </c>
      <c r="C15" s="240" t="s">
        <v>1054</v>
      </c>
      <c r="D15" s="241"/>
      <c r="E15" s="241"/>
      <c r="F15" s="4" t="s">
        <v>1645</v>
      </c>
      <c r="G15" s="69">
        <v>32.174999999999997</v>
      </c>
      <c r="H15" s="168"/>
      <c r="I15" s="17">
        <f t="shared" si="0"/>
        <v>0</v>
      </c>
      <c r="J15" s="17">
        <f t="shared" si="1"/>
        <v>0</v>
      </c>
      <c r="K15" s="17">
        <f t="shared" si="2"/>
        <v>0</v>
      </c>
      <c r="L15" s="28" t="s">
        <v>1671</v>
      </c>
      <c r="Z15" s="34">
        <f t="shared" si="3"/>
        <v>0</v>
      </c>
      <c r="AB15" s="34">
        <f t="shared" si="4"/>
        <v>0</v>
      </c>
      <c r="AC15" s="34">
        <f t="shared" si="5"/>
        <v>0</v>
      </c>
      <c r="AD15" s="34">
        <f t="shared" si="6"/>
        <v>0</v>
      </c>
      <c r="AE15" s="34">
        <f t="shared" si="7"/>
        <v>0</v>
      </c>
      <c r="AF15" s="34">
        <f t="shared" si="8"/>
        <v>0</v>
      </c>
      <c r="AG15" s="34">
        <f t="shared" si="9"/>
        <v>0</v>
      </c>
      <c r="AH15" s="34">
        <f t="shared" si="10"/>
        <v>0</v>
      </c>
      <c r="AI15" s="29"/>
      <c r="AJ15" s="17">
        <f t="shared" si="11"/>
        <v>0</v>
      </c>
      <c r="AK15" s="17">
        <f t="shared" si="12"/>
        <v>0</v>
      </c>
      <c r="AL15" s="17">
        <f t="shared" si="13"/>
        <v>0</v>
      </c>
      <c r="AN15" s="34">
        <v>15</v>
      </c>
      <c r="AO15" s="34">
        <f>H15*0</f>
        <v>0</v>
      </c>
      <c r="AP15" s="34">
        <f>H15*(1-0)</f>
        <v>0</v>
      </c>
      <c r="AQ15" s="28" t="s">
        <v>7</v>
      </c>
      <c r="AV15" s="34">
        <f t="shared" si="14"/>
        <v>0</v>
      </c>
      <c r="AW15" s="34">
        <f t="shared" si="15"/>
        <v>0</v>
      </c>
      <c r="AX15" s="34">
        <f t="shared" si="16"/>
        <v>0</v>
      </c>
      <c r="AY15" s="35" t="s">
        <v>1681</v>
      </c>
      <c r="AZ15" s="35" t="s">
        <v>1724</v>
      </c>
      <c r="BA15" s="29" t="s">
        <v>1737</v>
      </c>
      <c r="BC15" s="34">
        <f t="shared" si="17"/>
        <v>0</v>
      </c>
      <c r="BD15" s="34">
        <f t="shared" si="18"/>
        <v>0</v>
      </c>
      <c r="BE15" s="34">
        <v>0</v>
      </c>
      <c r="BF15" s="34">
        <f>15</f>
        <v>15</v>
      </c>
      <c r="BH15" s="17">
        <f t="shared" si="19"/>
        <v>0</v>
      </c>
      <c r="BI15" s="17">
        <f t="shared" si="20"/>
        <v>0</v>
      </c>
      <c r="BJ15" s="17">
        <f t="shared" si="21"/>
        <v>0</v>
      </c>
    </row>
    <row r="16" spans="1:62" x14ac:dyDescent="0.2">
      <c r="A16" s="4" t="s">
        <v>10</v>
      </c>
      <c r="B16" s="4" t="s">
        <v>573</v>
      </c>
      <c r="C16" s="240" t="s">
        <v>1055</v>
      </c>
      <c r="D16" s="241"/>
      <c r="E16" s="241"/>
      <c r="F16" s="4" t="s">
        <v>1645</v>
      </c>
      <c r="G16" s="69">
        <v>3.2250000000000001</v>
      </c>
      <c r="H16" s="168"/>
      <c r="I16" s="17">
        <f t="shared" si="0"/>
        <v>0</v>
      </c>
      <c r="J16" s="17">
        <f t="shared" si="1"/>
        <v>0</v>
      </c>
      <c r="K16" s="17">
        <f t="shared" si="2"/>
        <v>0</v>
      </c>
      <c r="L16" s="28" t="s">
        <v>1671</v>
      </c>
      <c r="Z16" s="34">
        <f t="shared" si="3"/>
        <v>0</v>
      </c>
      <c r="AB16" s="34">
        <f t="shared" si="4"/>
        <v>0</v>
      </c>
      <c r="AC16" s="34">
        <f t="shared" si="5"/>
        <v>0</v>
      </c>
      <c r="AD16" s="34">
        <f t="shared" si="6"/>
        <v>0</v>
      </c>
      <c r="AE16" s="34">
        <f t="shared" si="7"/>
        <v>0</v>
      </c>
      <c r="AF16" s="34">
        <f t="shared" si="8"/>
        <v>0</v>
      </c>
      <c r="AG16" s="34">
        <f t="shared" si="9"/>
        <v>0</v>
      </c>
      <c r="AH16" s="34">
        <f t="shared" si="10"/>
        <v>0</v>
      </c>
      <c r="AI16" s="29"/>
      <c r="AJ16" s="17">
        <f t="shared" si="11"/>
        <v>0</v>
      </c>
      <c r="AK16" s="17">
        <f t="shared" si="12"/>
        <v>0</v>
      </c>
      <c r="AL16" s="17">
        <f t="shared" si="13"/>
        <v>0</v>
      </c>
      <c r="AN16" s="34">
        <v>15</v>
      </c>
      <c r="AO16" s="34">
        <f>H16*0</f>
        <v>0</v>
      </c>
      <c r="AP16" s="34">
        <f>H16*(1-0)</f>
        <v>0</v>
      </c>
      <c r="AQ16" s="28" t="s">
        <v>7</v>
      </c>
      <c r="AV16" s="34">
        <f t="shared" si="14"/>
        <v>0</v>
      </c>
      <c r="AW16" s="34">
        <f t="shared" si="15"/>
        <v>0</v>
      </c>
      <c r="AX16" s="34">
        <f t="shared" si="16"/>
        <v>0</v>
      </c>
      <c r="AY16" s="35" t="s">
        <v>1681</v>
      </c>
      <c r="AZ16" s="35" t="s">
        <v>1724</v>
      </c>
      <c r="BA16" s="29" t="s">
        <v>1737</v>
      </c>
      <c r="BC16" s="34">
        <f t="shared" si="17"/>
        <v>0</v>
      </c>
      <c r="BD16" s="34">
        <f t="shared" si="18"/>
        <v>0</v>
      </c>
      <c r="BE16" s="34">
        <v>0</v>
      </c>
      <c r="BF16" s="34">
        <f>16</f>
        <v>16</v>
      </c>
      <c r="BH16" s="17">
        <f t="shared" si="19"/>
        <v>0</v>
      </c>
      <c r="BI16" s="17">
        <f t="shared" si="20"/>
        <v>0</v>
      </c>
      <c r="BJ16" s="17">
        <f t="shared" si="21"/>
        <v>0</v>
      </c>
    </row>
    <row r="17" spans="1:62" x14ac:dyDescent="0.2">
      <c r="A17" s="4" t="s">
        <v>11</v>
      </c>
      <c r="B17" s="4" t="s">
        <v>574</v>
      </c>
      <c r="C17" s="240" t="s">
        <v>1056</v>
      </c>
      <c r="D17" s="241"/>
      <c r="E17" s="241"/>
      <c r="F17" s="4" t="s">
        <v>1645</v>
      </c>
      <c r="G17" s="69">
        <v>5.58</v>
      </c>
      <c r="H17" s="168"/>
      <c r="I17" s="17">
        <f t="shared" si="0"/>
        <v>0</v>
      </c>
      <c r="J17" s="17">
        <f t="shared" si="1"/>
        <v>0</v>
      </c>
      <c r="K17" s="17">
        <f t="shared" si="2"/>
        <v>0</v>
      </c>
      <c r="L17" s="28" t="s">
        <v>1671</v>
      </c>
      <c r="Z17" s="34">
        <f t="shared" si="3"/>
        <v>0</v>
      </c>
      <c r="AB17" s="34">
        <f t="shared" si="4"/>
        <v>0</v>
      </c>
      <c r="AC17" s="34">
        <f t="shared" si="5"/>
        <v>0</v>
      </c>
      <c r="AD17" s="34">
        <f t="shared" si="6"/>
        <v>0</v>
      </c>
      <c r="AE17" s="34">
        <f t="shared" si="7"/>
        <v>0</v>
      </c>
      <c r="AF17" s="34">
        <f t="shared" si="8"/>
        <v>0</v>
      </c>
      <c r="AG17" s="34">
        <f t="shared" si="9"/>
        <v>0</v>
      </c>
      <c r="AH17" s="34">
        <f t="shared" si="10"/>
        <v>0</v>
      </c>
      <c r="AI17" s="29"/>
      <c r="AJ17" s="17">
        <f t="shared" si="11"/>
        <v>0</v>
      </c>
      <c r="AK17" s="17">
        <f t="shared" si="12"/>
        <v>0</v>
      </c>
      <c r="AL17" s="17">
        <f t="shared" si="13"/>
        <v>0</v>
      </c>
      <c r="AN17" s="34">
        <v>15</v>
      </c>
      <c r="AO17" s="34">
        <f>H17*0</f>
        <v>0</v>
      </c>
      <c r="AP17" s="34">
        <f>H17*(1-0)</f>
        <v>0</v>
      </c>
      <c r="AQ17" s="28" t="s">
        <v>7</v>
      </c>
      <c r="AV17" s="34">
        <f t="shared" si="14"/>
        <v>0</v>
      </c>
      <c r="AW17" s="34">
        <f t="shared" si="15"/>
        <v>0</v>
      </c>
      <c r="AX17" s="34">
        <f t="shared" si="16"/>
        <v>0</v>
      </c>
      <c r="AY17" s="35" t="s">
        <v>1681</v>
      </c>
      <c r="AZ17" s="35" t="s">
        <v>1724</v>
      </c>
      <c r="BA17" s="29" t="s">
        <v>1737</v>
      </c>
      <c r="BC17" s="34">
        <f t="shared" si="17"/>
        <v>0</v>
      </c>
      <c r="BD17" s="34">
        <f t="shared" si="18"/>
        <v>0</v>
      </c>
      <c r="BE17" s="34">
        <v>0</v>
      </c>
      <c r="BF17" s="34">
        <f>17</f>
        <v>17</v>
      </c>
      <c r="BH17" s="17">
        <f t="shared" si="19"/>
        <v>0</v>
      </c>
      <c r="BI17" s="17">
        <f t="shared" si="20"/>
        <v>0</v>
      </c>
      <c r="BJ17" s="17">
        <f t="shared" si="21"/>
        <v>0</v>
      </c>
    </row>
    <row r="18" spans="1:62" x14ac:dyDescent="0.2">
      <c r="A18" s="4" t="s">
        <v>12</v>
      </c>
      <c r="B18" s="4" t="s">
        <v>575</v>
      </c>
      <c r="C18" s="240" t="s">
        <v>1057</v>
      </c>
      <c r="D18" s="241"/>
      <c r="E18" s="241"/>
      <c r="F18" s="4" t="s">
        <v>1646</v>
      </c>
      <c r="G18" s="69">
        <v>3.6</v>
      </c>
      <c r="H18" s="168"/>
      <c r="I18" s="17">
        <f t="shared" si="0"/>
        <v>0</v>
      </c>
      <c r="J18" s="17">
        <f t="shared" si="1"/>
        <v>0</v>
      </c>
      <c r="K18" s="17">
        <f t="shared" si="2"/>
        <v>0</v>
      </c>
      <c r="L18" s="28" t="s">
        <v>1671</v>
      </c>
      <c r="Z18" s="34">
        <f t="shared" si="3"/>
        <v>0</v>
      </c>
      <c r="AB18" s="34">
        <f t="shared" si="4"/>
        <v>0</v>
      </c>
      <c r="AC18" s="34">
        <f t="shared" si="5"/>
        <v>0</v>
      </c>
      <c r="AD18" s="34">
        <f t="shared" si="6"/>
        <v>0</v>
      </c>
      <c r="AE18" s="34">
        <f t="shared" si="7"/>
        <v>0</v>
      </c>
      <c r="AF18" s="34">
        <f t="shared" si="8"/>
        <v>0</v>
      </c>
      <c r="AG18" s="34">
        <f t="shared" si="9"/>
        <v>0</v>
      </c>
      <c r="AH18" s="34">
        <f t="shared" si="10"/>
        <v>0</v>
      </c>
      <c r="AI18" s="29"/>
      <c r="AJ18" s="17">
        <f t="shared" si="11"/>
        <v>0</v>
      </c>
      <c r="AK18" s="17">
        <f t="shared" si="12"/>
        <v>0</v>
      </c>
      <c r="AL18" s="17">
        <f t="shared" si="13"/>
        <v>0</v>
      </c>
      <c r="AN18" s="34">
        <v>15</v>
      </c>
      <c r="AO18" s="34">
        <f>H18*0</f>
        <v>0</v>
      </c>
      <c r="AP18" s="34">
        <f>H18*(1-0)</f>
        <v>0</v>
      </c>
      <c r="AQ18" s="28" t="s">
        <v>7</v>
      </c>
      <c r="AV18" s="34">
        <f t="shared" si="14"/>
        <v>0</v>
      </c>
      <c r="AW18" s="34">
        <f t="shared" si="15"/>
        <v>0</v>
      </c>
      <c r="AX18" s="34">
        <f t="shared" si="16"/>
        <v>0</v>
      </c>
      <c r="AY18" s="35" t="s">
        <v>1681</v>
      </c>
      <c r="AZ18" s="35" t="s">
        <v>1724</v>
      </c>
      <c r="BA18" s="29" t="s">
        <v>1737</v>
      </c>
      <c r="BC18" s="34">
        <f t="shared" si="17"/>
        <v>0</v>
      </c>
      <c r="BD18" s="34">
        <f t="shared" si="18"/>
        <v>0</v>
      </c>
      <c r="BE18" s="34">
        <v>0</v>
      </c>
      <c r="BF18" s="34">
        <f>18</f>
        <v>18</v>
      </c>
      <c r="BH18" s="17">
        <f t="shared" si="19"/>
        <v>0</v>
      </c>
      <c r="BI18" s="17">
        <f t="shared" si="20"/>
        <v>0</v>
      </c>
      <c r="BJ18" s="17">
        <f t="shared" si="21"/>
        <v>0</v>
      </c>
    </row>
    <row r="19" spans="1:62" x14ac:dyDescent="0.2">
      <c r="A19" s="4" t="s">
        <v>13</v>
      </c>
      <c r="B19" s="4" t="s">
        <v>576</v>
      </c>
      <c r="C19" s="240" t="s">
        <v>1058</v>
      </c>
      <c r="D19" s="241"/>
      <c r="E19" s="241"/>
      <c r="F19" s="4" t="s">
        <v>1646</v>
      </c>
      <c r="G19" s="69">
        <v>3.1</v>
      </c>
      <c r="H19" s="168"/>
      <c r="I19" s="17">
        <f t="shared" si="0"/>
        <v>0</v>
      </c>
      <c r="J19" s="17">
        <f t="shared" si="1"/>
        <v>0</v>
      </c>
      <c r="K19" s="17">
        <f t="shared" si="2"/>
        <v>0</v>
      </c>
      <c r="L19" s="28" t="s">
        <v>1671</v>
      </c>
      <c r="Z19" s="34">
        <f t="shared" si="3"/>
        <v>0</v>
      </c>
      <c r="AB19" s="34">
        <f t="shared" si="4"/>
        <v>0</v>
      </c>
      <c r="AC19" s="34">
        <f t="shared" si="5"/>
        <v>0</v>
      </c>
      <c r="AD19" s="34">
        <f t="shared" si="6"/>
        <v>0</v>
      </c>
      <c r="AE19" s="34">
        <f t="shared" si="7"/>
        <v>0</v>
      </c>
      <c r="AF19" s="34">
        <f t="shared" si="8"/>
        <v>0</v>
      </c>
      <c r="AG19" s="34">
        <f t="shared" si="9"/>
        <v>0</v>
      </c>
      <c r="AH19" s="34">
        <f t="shared" si="10"/>
        <v>0</v>
      </c>
      <c r="AI19" s="29"/>
      <c r="AJ19" s="17">
        <f t="shared" si="11"/>
        <v>0</v>
      </c>
      <c r="AK19" s="17">
        <f t="shared" si="12"/>
        <v>0</v>
      </c>
      <c r="AL19" s="17">
        <f t="shared" si="13"/>
        <v>0</v>
      </c>
      <c r="AN19" s="34">
        <v>15</v>
      </c>
      <c r="AO19" s="34">
        <f>H19*0</f>
        <v>0</v>
      </c>
      <c r="AP19" s="34">
        <f>H19*(1-0)</f>
        <v>0</v>
      </c>
      <c r="AQ19" s="28" t="s">
        <v>7</v>
      </c>
      <c r="AV19" s="34">
        <f t="shared" si="14"/>
        <v>0</v>
      </c>
      <c r="AW19" s="34">
        <f t="shared" si="15"/>
        <v>0</v>
      </c>
      <c r="AX19" s="34">
        <f t="shared" si="16"/>
        <v>0</v>
      </c>
      <c r="AY19" s="35" t="s">
        <v>1681</v>
      </c>
      <c r="AZ19" s="35" t="s">
        <v>1724</v>
      </c>
      <c r="BA19" s="29" t="s">
        <v>1737</v>
      </c>
      <c r="BC19" s="34">
        <f t="shared" si="17"/>
        <v>0</v>
      </c>
      <c r="BD19" s="34">
        <f t="shared" si="18"/>
        <v>0</v>
      </c>
      <c r="BE19" s="34">
        <v>0</v>
      </c>
      <c r="BF19" s="34">
        <f>19</f>
        <v>19</v>
      </c>
      <c r="BH19" s="17">
        <f t="shared" si="19"/>
        <v>0</v>
      </c>
      <c r="BI19" s="17">
        <f t="shared" si="20"/>
        <v>0</v>
      </c>
      <c r="BJ19" s="17">
        <f t="shared" si="21"/>
        <v>0</v>
      </c>
    </row>
    <row r="20" spans="1:62" x14ac:dyDescent="0.2">
      <c r="A20" s="5"/>
      <c r="B20" s="13" t="s">
        <v>18</v>
      </c>
      <c r="C20" s="244" t="s">
        <v>1059</v>
      </c>
      <c r="D20" s="245"/>
      <c r="E20" s="245"/>
      <c r="F20" s="5" t="s">
        <v>6</v>
      </c>
      <c r="G20" s="5" t="s">
        <v>6</v>
      </c>
      <c r="H20" s="5" t="s">
        <v>6</v>
      </c>
      <c r="I20" s="37">
        <f>SUM(I21:I21)</f>
        <v>0</v>
      </c>
      <c r="J20" s="37">
        <f>SUM(J21:J21)</f>
        <v>0</v>
      </c>
      <c r="K20" s="37">
        <f>SUM(K21:K21)</f>
        <v>0</v>
      </c>
      <c r="L20" s="29"/>
      <c r="AI20" s="29"/>
      <c r="AS20" s="37">
        <f>SUM(AJ21:AJ21)</f>
        <v>0</v>
      </c>
      <c r="AT20" s="37">
        <f>SUM(AK21:AK21)</f>
        <v>0</v>
      </c>
      <c r="AU20" s="37">
        <f>SUM(AL21:AL21)</f>
        <v>0</v>
      </c>
    </row>
    <row r="21" spans="1:62" x14ac:dyDescent="0.2">
      <c r="A21" s="4" t="s">
        <v>14</v>
      </c>
      <c r="B21" s="4" t="s">
        <v>577</v>
      </c>
      <c r="C21" s="240" t="s">
        <v>1060</v>
      </c>
      <c r="D21" s="241"/>
      <c r="E21" s="241"/>
      <c r="F21" s="4" t="s">
        <v>1647</v>
      </c>
      <c r="G21" s="69">
        <v>9.7629999999999999</v>
      </c>
      <c r="H21" s="168"/>
      <c r="I21" s="17">
        <f>G21*AO21</f>
        <v>0</v>
      </c>
      <c r="J21" s="17">
        <f>G21*AP21</f>
        <v>0</v>
      </c>
      <c r="K21" s="17">
        <f>G21*H21</f>
        <v>0</v>
      </c>
      <c r="L21" s="28" t="s">
        <v>1671</v>
      </c>
      <c r="Z21" s="34">
        <f>IF(AQ21="5",BJ21,0)</f>
        <v>0</v>
      </c>
      <c r="AB21" s="34">
        <f>IF(AQ21="1",BH21,0)</f>
        <v>0</v>
      </c>
      <c r="AC21" s="34">
        <f>IF(AQ21="1",BI21,0)</f>
        <v>0</v>
      </c>
      <c r="AD21" s="34">
        <f>IF(AQ21="7",BH21,0)</f>
        <v>0</v>
      </c>
      <c r="AE21" s="34">
        <f>IF(AQ21="7",BI21,0)</f>
        <v>0</v>
      </c>
      <c r="AF21" s="34">
        <f>IF(AQ21="2",BH21,0)</f>
        <v>0</v>
      </c>
      <c r="AG21" s="34">
        <f>IF(AQ21="2",BI21,0)</f>
        <v>0</v>
      </c>
      <c r="AH21" s="34">
        <f>IF(AQ21="0",BJ21,0)</f>
        <v>0</v>
      </c>
      <c r="AI21" s="29"/>
      <c r="AJ21" s="17">
        <f>IF(AN21=0,K21,0)</f>
        <v>0</v>
      </c>
      <c r="AK21" s="17">
        <f>IF(AN21=15,K21,0)</f>
        <v>0</v>
      </c>
      <c r="AL21" s="17">
        <f>IF(AN21=21,K21,0)</f>
        <v>0</v>
      </c>
      <c r="AN21" s="34">
        <v>15</v>
      </c>
      <c r="AO21" s="34">
        <f>H21*0</f>
        <v>0</v>
      </c>
      <c r="AP21" s="34">
        <f>H21*(1-0)</f>
        <v>0</v>
      </c>
      <c r="AQ21" s="28" t="s">
        <v>7</v>
      </c>
      <c r="AV21" s="34">
        <f>AW21+AX21</f>
        <v>0</v>
      </c>
      <c r="AW21" s="34">
        <f>G21*AO21</f>
        <v>0</v>
      </c>
      <c r="AX21" s="34">
        <f>G21*AP21</f>
        <v>0</v>
      </c>
      <c r="AY21" s="35" t="s">
        <v>1682</v>
      </c>
      <c r="AZ21" s="35" t="s">
        <v>1724</v>
      </c>
      <c r="BA21" s="29" t="s">
        <v>1737</v>
      </c>
      <c r="BC21" s="34">
        <f>AW21+AX21</f>
        <v>0</v>
      </c>
      <c r="BD21" s="34">
        <f>H21/(100-BE21)*100</f>
        <v>0</v>
      </c>
      <c r="BE21" s="34">
        <v>0</v>
      </c>
      <c r="BF21" s="34">
        <f>21</f>
        <v>21</v>
      </c>
      <c r="BH21" s="17">
        <f>G21*AO21</f>
        <v>0</v>
      </c>
      <c r="BI21" s="17">
        <f>G21*AP21</f>
        <v>0</v>
      </c>
      <c r="BJ21" s="17">
        <f>G21*H21</f>
        <v>0</v>
      </c>
    </row>
    <row r="22" spans="1:62" x14ac:dyDescent="0.2">
      <c r="A22" s="5"/>
      <c r="B22" s="13" t="s">
        <v>19</v>
      </c>
      <c r="C22" s="244" t="s">
        <v>1061</v>
      </c>
      <c r="D22" s="245"/>
      <c r="E22" s="245"/>
      <c r="F22" s="5" t="s">
        <v>6</v>
      </c>
      <c r="G22" s="5" t="s">
        <v>6</v>
      </c>
      <c r="H22" s="5" t="s">
        <v>6</v>
      </c>
      <c r="I22" s="37">
        <f>SUM(I23:I26)</f>
        <v>0</v>
      </c>
      <c r="J22" s="37">
        <f>SUM(J23:J26)</f>
        <v>0</v>
      </c>
      <c r="K22" s="37">
        <f>SUM(K23:K26)</f>
        <v>0</v>
      </c>
      <c r="L22" s="29"/>
      <c r="AI22" s="29"/>
      <c r="AS22" s="37">
        <f>SUM(AJ23:AJ26)</f>
        <v>0</v>
      </c>
      <c r="AT22" s="37">
        <f>SUM(AK23:AK26)</f>
        <v>0</v>
      </c>
      <c r="AU22" s="37">
        <f>SUM(AL23:AL26)</f>
        <v>0</v>
      </c>
    </row>
    <row r="23" spans="1:62" x14ac:dyDescent="0.2">
      <c r="A23" s="4" t="s">
        <v>15</v>
      </c>
      <c r="B23" s="4" t="s">
        <v>578</v>
      </c>
      <c r="C23" s="240" t="s">
        <v>1062</v>
      </c>
      <c r="D23" s="241"/>
      <c r="E23" s="241"/>
      <c r="F23" s="4" t="s">
        <v>1647</v>
      </c>
      <c r="G23" s="69">
        <v>100.72799999999999</v>
      </c>
      <c r="H23" s="168"/>
      <c r="I23" s="17">
        <f>G23*AO23</f>
        <v>0</v>
      </c>
      <c r="J23" s="17">
        <f>G23*AP23</f>
        <v>0</v>
      </c>
      <c r="K23" s="17">
        <f>G23*H23</f>
        <v>0</v>
      </c>
      <c r="L23" s="28" t="s">
        <v>1671</v>
      </c>
      <c r="Z23" s="34">
        <f>IF(AQ23="5",BJ23,0)</f>
        <v>0</v>
      </c>
      <c r="AB23" s="34">
        <f>IF(AQ23="1",BH23,0)</f>
        <v>0</v>
      </c>
      <c r="AC23" s="34">
        <f>IF(AQ23="1",BI23,0)</f>
        <v>0</v>
      </c>
      <c r="AD23" s="34">
        <f>IF(AQ23="7",BH23,0)</f>
        <v>0</v>
      </c>
      <c r="AE23" s="34">
        <f>IF(AQ23="7",BI23,0)</f>
        <v>0</v>
      </c>
      <c r="AF23" s="34">
        <f>IF(AQ23="2",BH23,0)</f>
        <v>0</v>
      </c>
      <c r="AG23" s="34">
        <f>IF(AQ23="2",BI23,0)</f>
        <v>0</v>
      </c>
      <c r="AH23" s="34">
        <f>IF(AQ23="0",BJ23,0)</f>
        <v>0</v>
      </c>
      <c r="AI23" s="29"/>
      <c r="AJ23" s="17">
        <f>IF(AN23=0,K23,0)</f>
        <v>0</v>
      </c>
      <c r="AK23" s="17">
        <f>IF(AN23=15,K23,0)</f>
        <v>0</v>
      </c>
      <c r="AL23" s="17">
        <f>IF(AN23=21,K23,0)</f>
        <v>0</v>
      </c>
      <c r="AN23" s="34">
        <v>15</v>
      </c>
      <c r="AO23" s="34">
        <f>H23*0</f>
        <v>0</v>
      </c>
      <c r="AP23" s="34">
        <f>H23*(1-0)</f>
        <v>0</v>
      </c>
      <c r="AQ23" s="28" t="s">
        <v>7</v>
      </c>
      <c r="AV23" s="34">
        <f>AW23+AX23</f>
        <v>0</v>
      </c>
      <c r="AW23" s="34">
        <f>G23*AO23</f>
        <v>0</v>
      </c>
      <c r="AX23" s="34">
        <f>G23*AP23</f>
        <v>0</v>
      </c>
      <c r="AY23" s="35" t="s">
        <v>1683</v>
      </c>
      <c r="AZ23" s="35" t="s">
        <v>1724</v>
      </c>
      <c r="BA23" s="29" t="s">
        <v>1737</v>
      </c>
      <c r="BC23" s="34">
        <f>AW23+AX23</f>
        <v>0</v>
      </c>
      <c r="BD23" s="34">
        <f>H23/(100-BE23)*100</f>
        <v>0</v>
      </c>
      <c r="BE23" s="34">
        <v>0</v>
      </c>
      <c r="BF23" s="34">
        <f>23</f>
        <v>23</v>
      </c>
      <c r="BH23" s="17">
        <f>G23*AO23</f>
        <v>0</v>
      </c>
      <c r="BI23" s="17">
        <f>G23*AP23</f>
        <v>0</v>
      </c>
      <c r="BJ23" s="17">
        <f>G23*H23</f>
        <v>0</v>
      </c>
    </row>
    <row r="24" spans="1:62" x14ac:dyDescent="0.2">
      <c r="A24" s="4" t="s">
        <v>16</v>
      </c>
      <c r="B24" s="4" t="s">
        <v>579</v>
      </c>
      <c r="C24" s="240" t="s">
        <v>1063</v>
      </c>
      <c r="D24" s="241"/>
      <c r="E24" s="241"/>
      <c r="F24" s="4" t="s">
        <v>1647</v>
      </c>
      <c r="G24" s="69">
        <v>100.72799999999999</v>
      </c>
      <c r="H24" s="168"/>
      <c r="I24" s="17">
        <f>G24*AO24</f>
        <v>0</v>
      </c>
      <c r="J24" s="17">
        <f>G24*AP24</f>
        <v>0</v>
      </c>
      <c r="K24" s="17">
        <f>G24*H24</f>
        <v>0</v>
      </c>
      <c r="L24" s="28" t="s">
        <v>1671</v>
      </c>
      <c r="Z24" s="34">
        <f>IF(AQ24="5",BJ24,0)</f>
        <v>0</v>
      </c>
      <c r="AB24" s="34">
        <f>IF(AQ24="1",BH24,0)</f>
        <v>0</v>
      </c>
      <c r="AC24" s="34">
        <f>IF(AQ24="1",BI24,0)</f>
        <v>0</v>
      </c>
      <c r="AD24" s="34">
        <f>IF(AQ24="7",BH24,0)</f>
        <v>0</v>
      </c>
      <c r="AE24" s="34">
        <f>IF(AQ24="7",BI24,0)</f>
        <v>0</v>
      </c>
      <c r="AF24" s="34">
        <f>IF(AQ24="2",BH24,0)</f>
        <v>0</v>
      </c>
      <c r="AG24" s="34">
        <f>IF(AQ24="2",BI24,0)</f>
        <v>0</v>
      </c>
      <c r="AH24" s="34">
        <f>IF(AQ24="0",BJ24,0)</f>
        <v>0</v>
      </c>
      <c r="AI24" s="29"/>
      <c r="AJ24" s="17">
        <f>IF(AN24=0,K24,0)</f>
        <v>0</v>
      </c>
      <c r="AK24" s="17">
        <f>IF(AN24=15,K24,0)</f>
        <v>0</v>
      </c>
      <c r="AL24" s="17">
        <f>IF(AN24=21,K24,0)</f>
        <v>0</v>
      </c>
      <c r="AN24" s="34">
        <v>15</v>
      </c>
      <c r="AO24" s="34">
        <f>H24*0</f>
        <v>0</v>
      </c>
      <c r="AP24" s="34">
        <f>H24*(1-0)</f>
        <v>0</v>
      </c>
      <c r="AQ24" s="28" t="s">
        <v>7</v>
      </c>
      <c r="AV24" s="34">
        <f>AW24+AX24</f>
        <v>0</v>
      </c>
      <c r="AW24" s="34">
        <f>G24*AO24</f>
        <v>0</v>
      </c>
      <c r="AX24" s="34">
        <f>G24*AP24</f>
        <v>0</v>
      </c>
      <c r="AY24" s="35" t="s">
        <v>1683</v>
      </c>
      <c r="AZ24" s="35" t="s">
        <v>1724</v>
      </c>
      <c r="BA24" s="29" t="s">
        <v>1737</v>
      </c>
      <c r="BC24" s="34">
        <f>AW24+AX24</f>
        <v>0</v>
      </c>
      <c r="BD24" s="34">
        <f>H24/(100-BE24)*100</f>
        <v>0</v>
      </c>
      <c r="BE24" s="34">
        <v>0</v>
      </c>
      <c r="BF24" s="34">
        <f>24</f>
        <v>24</v>
      </c>
      <c r="BH24" s="17">
        <f>G24*AO24</f>
        <v>0</v>
      </c>
      <c r="BI24" s="17">
        <f>G24*AP24</f>
        <v>0</v>
      </c>
      <c r="BJ24" s="17">
        <f>G24*H24</f>
        <v>0</v>
      </c>
    </row>
    <row r="25" spans="1:62" x14ac:dyDescent="0.2">
      <c r="A25" s="4" t="s">
        <v>17</v>
      </c>
      <c r="B25" s="4" t="s">
        <v>580</v>
      </c>
      <c r="C25" s="240" t="s">
        <v>1064</v>
      </c>
      <c r="D25" s="241"/>
      <c r="E25" s="241"/>
      <c r="F25" s="4" t="s">
        <v>1647</v>
      </c>
      <c r="G25" s="69">
        <v>2.2050000000000001</v>
      </c>
      <c r="H25" s="168"/>
      <c r="I25" s="17">
        <f>G25*AO25</f>
        <v>0</v>
      </c>
      <c r="J25" s="17">
        <f>G25*AP25</f>
        <v>0</v>
      </c>
      <c r="K25" s="17">
        <f>G25*H25</f>
        <v>0</v>
      </c>
      <c r="L25" s="28" t="s">
        <v>1671</v>
      </c>
      <c r="Z25" s="34">
        <f>IF(AQ25="5",BJ25,0)</f>
        <v>0</v>
      </c>
      <c r="AB25" s="34">
        <f>IF(AQ25="1",BH25,0)</f>
        <v>0</v>
      </c>
      <c r="AC25" s="34">
        <f>IF(AQ25="1",BI25,0)</f>
        <v>0</v>
      </c>
      <c r="AD25" s="34">
        <f>IF(AQ25="7",BH25,0)</f>
        <v>0</v>
      </c>
      <c r="AE25" s="34">
        <f>IF(AQ25="7",BI25,0)</f>
        <v>0</v>
      </c>
      <c r="AF25" s="34">
        <f>IF(AQ25="2",BH25,0)</f>
        <v>0</v>
      </c>
      <c r="AG25" s="34">
        <f>IF(AQ25="2",BI25,0)</f>
        <v>0</v>
      </c>
      <c r="AH25" s="34">
        <f>IF(AQ25="0",BJ25,0)</f>
        <v>0</v>
      </c>
      <c r="AI25" s="29"/>
      <c r="AJ25" s="17">
        <f>IF(AN25=0,K25,0)</f>
        <v>0</v>
      </c>
      <c r="AK25" s="17">
        <f>IF(AN25=15,K25,0)</f>
        <v>0</v>
      </c>
      <c r="AL25" s="17">
        <f>IF(AN25=21,K25,0)</f>
        <v>0</v>
      </c>
      <c r="AN25" s="34">
        <v>15</v>
      </c>
      <c r="AO25" s="34">
        <f>H25*0</f>
        <v>0</v>
      </c>
      <c r="AP25" s="34">
        <f>H25*(1-0)</f>
        <v>0</v>
      </c>
      <c r="AQ25" s="28" t="s">
        <v>7</v>
      </c>
      <c r="AV25" s="34">
        <f>AW25+AX25</f>
        <v>0</v>
      </c>
      <c r="AW25" s="34">
        <f>G25*AO25</f>
        <v>0</v>
      </c>
      <c r="AX25" s="34">
        <f>G25*AP25</f>
        <v>0</v>
      </c>
      <c r="AY25" s="35" t="s">
        <v>1683</v>
      </c>
      <c r="AZ25" s="35" t="s">
        <v>1724</v>
      </c>
      <c r="BA25" s="29" t="s">
        <v>1737</v>
      </c>
      <c r="BC25" s="34">
        <f>AW25+AX25</f>
        <v>0</v>
      </c>
      <c r="BD25" s="34">
        <f>H25/(100-BE25)*100</f>
        <v>0</v>
      </c>
      <c r="BE25" s="34">
        <v>0</v>
      </c>
      <c r="BF25" s="34">
        <f>25</f>
        <v>25</v>
      </c>
      <c r="BH25" s="17">
        <f>G25*AO25</f>
        <v>0</v>
      </c>
      <c r="BI25" s="17">
        <f>G25*AP25</f>
        <v>0</v>
      </c>
      <c r="BJ25" s="17">
        <f>G25*H25</f>
        <v>0</v>
      </c>
    </row>
    <row r="26" spans="1:62" x14ac:dyDescent="0.2">
      <c r="A26" s="4" t="s">
        <v>18</v>
      </c>
      <c r="B26" s="4" t="s">
        <v>580</v>
      </c>
      <c r="C26" s="240" t="s">
        <v>1065</v>
      </c>
      <c r="D26" s="241"/>
      <c r="E26" s="241"/>
      <c r="F26" s="4" t="s">
        <v>1647</v>
      </c>
      <c r="G26" s="69">
        <v>1.1599999999999999</v>
      </c>
      <c r="H26" s="168"/>
      <c r="I26" s="17">
        <f>G26*AO26</f>
        <v>0</v>
      </c>
      <c r="J26" s="17">
        <f>G26*AP26</f>
        <v>0</v>
      </c>
      <c r="K26" s="17">
        <f>G26*H26</f>
        <v>0</v>
      </c>
      <c r="L26" s="28" t="s">
        <v>1671</v>
      </c>
      <c r="Z26" s="34">
        <f>IF(AQ26="5",BJ26,0)</f>
        <v>0</v>
      </c>
      <c r="AB26" s="34">
        <f>IF(AQ26="1",BH26,0)</f>
        <v>0</v>
      </c>
      <c r="AC26" s="34">
        <f>IF(AQ26="1",BI26,0)</f>
        <v>0</v>
      </c>
      <c r="AD26" s="34">
        <f>IF(AQ26="7",BH26,0)</f>
        <v>0</v>
      </c>
      <c r="AE26" s="34">
        <f>IF(AQ26="7",BI26,0)</f>
        <v>0</v>
      </c>
      <c r="AF26" s="34">
        <f>IF(AQ26="2",BH26,0)</f>
        <v>0</v>
      </c>
      <c r="AG26" s="34">
        <f>IF(AQ26="2",BI26,0)</f>
        <v>0</v>
      </c>
      <c r="AH26" s="34">
        <f>IF(AQ26="0",BJ26,0)</f>
        <v>0</v>
      </c>
      <c r="AI26" s="29"/>
      <c r="AJ26" s="17">
        <f>IF(AN26=0,K26,0)</f>
        <v>0</v>
      </c>
      <c r="AK26" s="17">
        <f>IF(AN26=15,K26,0)</f>
        <v>0</v>
      </c>
      <c r="AL26" s="17">
        <f>IF(AN26=21,K26,0)</f>
        <v>0</v>
      </c>
      <c r="AN26" s="34">
        <v>15</v>
      </c>
      <c r="AO26" s="34">
        <f>H26*0</f>
        <v>0</v>
      </c>
      <c r="AP26" s="34">
        <f>H26*(1-0)</f>
        <v>0</v>
      </c>
      <c r="AQ26" s="28" t="s">
        <v>7</v>
      </c>
      <c r="AV26" s="34">
        <f>AW26+AX26</f>
        <v>0</v>
      </c>
      <c r="AW26" s="34">
        <f>G26*AO26</f>
        <v>0</v>
      </c>
      <c r="AX26" s="34">
        <f>G26*AP26</f>
        <v>0</v>
      </c>
      <c r="AY26" s="35" t="s">
        <v>1683</v>
      </c>
      <c r="AZ26" s="35" t="s">
        <v>1724</v>
      </c>
      <c r="BA26" s="29" t="s">
        <v>1737</v>
      </c>
      <c r="BC26" s="34">
        <f>AW26+AX26</f>
        <v>0</v>
      </c>
      <c r="BD26" s="34">
        <f>H26/(100-BE26)*100</f>
        <v>0</v>
      </c>
      <c r="BE26" s="34">
        <v>0</v>
      </c>
      <c r="BF26" s="34">
        <f>26</f>
        <v>26</v>
      </c>
      <c r="BH26" s="17">
        <f>G26*AO26</f>
        <v>0</v>
      </c>
      <c r="BI26" s="17">
        <f>G26*AP26</f>
        <v>0</v>
      </c>
      <c r="BJ26" s="17">
        <f>G26*H26</f>
        <v>0</v>
      </c>
    </row>
    <row r="27" spans="1:62" x14ac:dyDescent="0.2">
      <c r="A27" s="5"/>
      <c r="B27" s="13" t="s">
        <v>22</v>
      </c>
      <c r="C27" s="244" t="s">
        <v>1066</v>
      </c>
      <c r="D27" s="245"/>
      <c r="E27" s="245"/>
      <c r="F27" s="5" t="s">
        <v>6</v>
      </c>
      <c r="G27" s="5" t="s">
        <v>6</v>
      </c>
      <c r="H27" s="5" t="s">
        <v>6</v>
      </c>
      <c r="I27" s="37">
        <f>SUM(I28:I30)</f>
        <v>0</v>
      </c>
      <c r="J27" s="37">
        <f>SUM(J28:J30)</f>
        <v>0</v>
      </c>
      <c r="K27" s="37">
        <f>SUM(K28:K30)</f>
        <v>0</v>
      </c>
      <c r="L27" s="29"/>
      <c r="AI27" s="29"/>
      <c r="AS27" s="37">
        <f>SUM(AJ28:AJ30)</f>
        <v>0</v>
      </c>
      <c r="AT27" s="37">
        <f>SUM(AK28:AK30)</f>
        <v>0</v>
      </c>
      <c r="AU27" s="37">
        <f>SUM(AL28:AL30)</f>
        <v>0</v>
      </c>
    </row>
    <row r="28" spans="1:62" x14ac:dyDescent="0.2">
      <c r="A28" s="4" t="s">
        <v>19</v>
      </c>
      <c r="B28" s="4" t="s">
        <v>581</v>
      </c>
      <c r="C28" s="240" t="s">
        <v>1067</v>
      </c>
      <c r="D28" s="241"/>
      <c r="E28" s="241"/>
      <c r="F28" s="4" t="s">
        <v>1647</v>
      </c>
      <c r="G28" s="69">
        <v>-20.367999999999999</v>
      </c>
      <c r="H28" s="168"/>
      <c r="I28" s="17">
        <f>G28*AO28</f>
        <v>0</v>
      </c>
      <c r="J28" s="17">
        <f>G28*AP28</f>
        <v>0</v>
      </c>
      <c r="K28" s="17">
        <f>G28*H28</f>
        <v>0</v>
      </c>
      <c r="L28" s="28" t="s">
        <v>1671</v>
      </c>
      <c r="Z28" s="34">
        <f>IF(AQ28="5",BJ28,0)</f>
        <v>0</v>
      </c>
      <c r="AB28" s="34">
        <f>IF(AQ28="1",BH28,0)</f>
        <v>0</v>
      </c>
      <c r="AC28" s="34">
        <f>IF(AQ28="1",BI28,0)</f>
        <v>0</v>
      </c>
      <c r="AD28" s="34">
        <f>IF(AQ28="7",BH28,0)</f>
        <v>0</v>
      </c>
      <c r="AE28" s="34">
        <f>IF(AQ28="7",BI28,0)</f>
        <v>0</v>
      </c>
      <c r="AF28" s="34">
        <f>IF(AQ28="2",BH28,0)</f>
        <v>0</v>
      </c>
      <c r="AG28" s="34">
        <f>IF(AQ28="2",BI28,0)</f>
        <v>0</v>
      </c>
      <c r="AH28" s="34">
        <f>IF(AQ28="0",BJ28,0)</f>
        <v>0</v>
      </c>
      <c r="AI28" s="29"/>
      <c r="AJ28" s="17">
        <f>IF(AN28=0,K28,0)</f>
        <v>0</v>
      </c>
      <c r="AK28" s="17">
        <f>IF(AN28=15,K28,0)</f>
        <v>0</v>
      </c>
      <c r="AL28" s="17">
        <f>IF(AN28=21,K28,0)</f>
        <v>0</v>
      </c>
      <c r="AN28" s="34">
        <v>15</v>
      </c>
      <c r="AO28" s="34">
        <f>H28*0</f>
        <v>0</v>
      </c>
      <c r="AP28" s="34">
        <f>H28*(1-0)</f>
        <v>0</v>
      </c>
      <c r="AQ28" s="28" t="s">
        <v>7</v>
      </c>
      <c r="AV28" s="34">
        <f>AW28+AX28</f>
        <v>0</v>
      </c>
      <c r="AW28" s="34">
        <f>G28*AO28</f>
        <v>0</v>
      </c>
      <c r="AX28" s="34">
        <f>G28*AP28</f>
        <v>0</v>
      </c>
      <c r="AY28" s="35" t="s">
        <v>1684</v>
      </c>
      <c r="AZ28" s="35" t="s">
        <v>1724</v>
      </c>
      <c r="BA28" s="29" t="s">
        <v>1737</v>
      </c>
      <c r="BC28" s="34">
        <f>AW28+AX28</f>
        <v>0</v>
      </c>
      <c r="BD28" s="34">
        <f>H28/(100-BE28)*100</f>
        <v>0</v>
      </c>
      <c r="BE28" s="34">
        <v>0</v>
      </c>
      <c r="BF28" s="34">
        <f>28</f>
        <v>28</v>
      </c>
      <c r="BH28" s="17">
        <f>G28*AO28</f>
        <v>0</v>
      </c>
      <c r="BI28" s="17">
        <f>G28*AP28</f>
        <v>0</v>
      </c>
      <c r="BJ28" s="17">
        <f>G28*H28</f>
        <v>0</v>
      </c>
    </row>
    <row r="29" spans="1:62" x14ac:dyDescent="0.2">
      <c r="A29" s="4" t="s">
        <v>20</v>
      </c>
      <c r="B29" s="4" t="s">
        <v>582</v>
      </c>
      <c r="C29" s="240" t="s">
        <v>1068</v>
      </c>
      <c r="D29" s="241"/>
      <c r="E29" s="241"/>
      <c r="F29" s="4" t="s">
        <v>1648</v>
      </c>
      <c r="G29" s="69">
        <v>0</v>
      </c>
      <c r="H29" s="168"/>
      <c r="I29" s="17">
        <f>G29*AO29</f>
        <v>0</v>
      </c>
      <c r="J29" s="17">
        <f>G29*AP29</f>
        <v>0</v>
      </c>
      <c r="K29" s="17">
        <f>G29*H29</f>
        <v>0</v>
      </c>
      <c r="L29" s="28" t="s">
        <v>1671</v>
      </c>
      <c r="Z29" s="34">
        <f>IF(AQ29="5",BJ29,0)</f>
        <v>0</v>
      </c>
      <c r="AB29" s="34">
        <f>IF(AQ29="1",BH29,0)</f>
        <v>0</v>
      </c>
      <c r="AC29" s="34">
        <f>IF(AQ29="1",BI29,0)</f>
        <v>0</v>
      </c>
      <c r="AD29" s="34">
        <f>IF(AQ29="7",BH29,0)</f>
        <v>0</v>
      </c>
      <c r="AE29" s="34">
        <f>IF(AQ29="7",BI29,0)</f>
        <v>0</v>
      </c>
      <c r="AF29" s="34">
        <f>IF(AQ29="2",BH29,0)</f>
        <v>0</v>
      </c>
      <c r="AG29" s="34">
        <f>IF(AQ29="2",BI29,0)</f>
        <v>0</v>
      </c>
      <c r="AH29" s="34">
        <f>IF(AQ29="0",BJ29,0)</f>
        <v>0</v>
      </c>
      <c r="AI29" s="29"/>
      <c r="AJ29" s="17">
        <f>IF(AN29=0,K29,0)</f>
        <v>0</v>
      </c>
      <c r="AK29" s="17">
        <f>IF(AN29=15,K29,0)</f>
        <v>0</v>
      </c>
      <c r="AL29" s="17">
        <f>IF(AN29=21,K29,0)</f>
        <v>0</v>
      </c>
      <c r="AN29" s="34">
        <v>15</v>
      </c>
      <c r="AO29" s="34">
        <f>H29*0</f>
        <v>0</v>
      </c>
      <c r="AP29" s="34">
        <f>H29*(1-0)</f>
        <v>0</v>
      </c>
      <c r="AQ29" s="28" t="s">
        <v>7</v>
      </c>
      <c r="AV29" s="34">
        <f>AW29+AX29</f>
        <v>0</v>
      </c>
      <c r="AW29" s="34">
        <f>G29*AO29</f>
        <v>0</v>
      </c>
      <c r="AX29" s="34">
        <f>G29*AP29</f>
        <v>0</v>
      </c>
      <c r="AY29" s="35" t="s">
        <v>1684</v>
      </c>
      <c r="AZ29" s="35" t="s">
        <v>1724</v>
      </c>
      <c r="BA29" s="29" t="s">
        <v>1737</v>
      </c>
      <c r="BC29" s="34">
        <f>AW29+AX29</f>
        <v>0</v>
      </c>
      <c r="BD29" s="34">
        <f>H29/(100-BE29)*100</f>
        <v>0</v>
      </c>
      <c r="BE29" s="34">
        <v>0</v>
      </c>
      <c r="BF29" s="34">
        <f>29</f>
        <v>29</v>
      </c>
      <c r="BH29" s="17">
        <f>G29*AO29</f>
        <v>0</v>
      </c>
      <c r="BI29" s="17">
        <f>G29*AP29</f>
        <v>0</v>
      </c>
      <c r="BJ29" s="17">
        <f>G29*H29</f>
        <v>0</v>
      </c>
    </row>
    <row r="30" spans="1:62" x14ac:dyDescent="0.2">
      <c r="A30" s="4" t="s">
        <v>21</v>
      </c>
      <c r="B30" s="4" t="s">
        <v>583</v>
      </c>
      <c r="C30" s="240" t="s">
        <v>1069</v>
      </c>
      <c r="D30" s="241"/>
      <c r="E30" s="241"/>
      <c r="F30" s="4" t="s">
        <v>1647</v>
      </c>
      <c r="G30" s="69">
        <v>0</v>
      </c>
      <c r="H30" s="168"/>
      <c r="I30" s="17">
        <f>G30*AO30</f>
        <v>0</v>
      </c>
      <c r="J30" s="17">
        <f>G30*AP30</f>
        <v>0</v>
      </c>
      <c r="K30" s="17">
        <f>G30*H30</f>
        <v>0</v>
      </c>
      <c r="L30" s="28" t="s">
        <v>1671</v>
      </c>
      <c r="Z30" s="34">
        <f>IF(AQ30="5",BJ30,0)</f>
        <v>0</v>
      </c>
      <c r="AB30" s="34">
        <f>IF(AQ30="1",BH30,0)</f>
        <v>0</v>
      </c>
      <c r="AC30" s="34">
        <f>IF(AQ30="1",BI30,0)</f>
        <v>0</v>
      </c>
      <c r="AD30" s="34">
        <f>IF(AQ30="7",BH30,0)</f>
        <v>0</v>
      </c>
      <c r="AE30" s="34">
        <f>IF(AQ30="7",BI30,0)</f>
        <v>0</v>
      </c>
      <c r="AF30" s="34">
        <f>IF(AQ30="2",BH30,0)</f>
        <v>0</v>
      </c>
      <c r="AG30" s="34">
        <f>IF(AQ30="2",BI30,0)</f>
        <v>0</v>
      </c>
      <c r="AH30" s="34">
        <f>IF(AQ30="0",BJ30,0)</f>
        <v>0</v>
      </c>
      <c r="AI30" s="29"/>
      <c r="AJ30" s="17">
        <f>IF(AN30=0,K30,0)</f>
        <v>0</v>
      </c>
      <c r="AK30" s="17">
        <f>IF(AN30=15,K30,0)</f>
        <v>0</v>
      </c>
      <c r="AL30" s="17">
        <f>IF(AN30=21,K30,0)</f>
        <v>0</v>
      </c>
      <c r="AN30" s="34">
        <v>15</v>
      </c>
      <c r="AO30" s="34">
        <f>H30*0</f>
        <v>0</v>
      </c>
      <c r="AP30" s="34">
        <f>H30*(1-0)</f>
        <v>0</v>
      </c>
      <c r="AQ30" s="28" t="s">
        <v>7</v>
      </c>
      <c r="AV30" s="34">
        <f>AW30+AX30</f>
        <v>0</v>
      </c>
      <c r="AW30" s="34">
        <f>G30*AO30</f>
        <v>0</v>
      </c>
      <c r="AX30" s="34">
        <f>G30*AP30</f>
        <v>0</v>
      </c>
      <c r="AY30" s="35" t="s">
        <v>1684</v>
      </c>
      <c r="AZ30" s="35" t="s">
        <v>1724</v>
      </c>
      <c r="BA30" s="29" t="s">
        <v>1737</v>
      </c>
      <c r="BC30" s="34">
        <f>AW30+AX30</f>
        <v>0</v>
      </c>
      <c r="BD30" s="34">
        <f>H30/(100-BE30)*100</f>
        <v>0</v>
      </c>
      <c r="BE30" s="34">
        <v>0</v>
      </c>
      <c r="BF30" s="34">
        <f>30</f>
        <v>30</v>
      </c>
      <c r="BH30" s="17">
        <f>G30*AO30</f>
        <v>0</v>
      </c>
      <c r="BI30" s="17">
        <f>G30*AP30</f>
        <v>0</v>
      </c>
      <c r="BJ30" s="17">
        <f>G30*H30</f>
        <v>0</v>
      </c>
    </row>
    <row r="31" spans="1:62" x14ac:dyDescent="0.2">
      <c r="A31" s="5"/>
      <c r="B31" s="13" t="s">
        <v>23</v>
      </c>
      <c r="C31" s="244" t="s">
        <v>1070</v>
      </c>
      <c r="D31" s="245"/>
      <c r="E31" s="245"/>
      <c r="F31" s="5" t="s">
        <v>6</v>
      </c>
      <c r="G31" s="5" t="s">
        <v>6</v>
      </c>
      <c r="H31" s="5" t="s">
        <v>6</v>
      </c>
      <c r="I31" s="37">
        <f>SUM(I32:I36)</f>
        <v>0</v>
      </c>
      <c r="J31" s="37">
        <f>SUM(J32:J36)</f>
        <v>0</v>
      </c>
      <c r="K31" s="37">
        <f>SUM(K32:K36)</f>
        <v>0</v>
      </c>
      <c r="L31" s="29"/>
      <c r="AI31" s="29"/>
      <c r="AS31" s="37">
        <f>SUM(AJ32:AJ36)</f>
        <v>0</v>
      </c>
      <c r="AT31" s="37">
        <f>SUM(AK32:AK36)</f>
        <v>0</v>
      </c>
      <c r="AU31" s="37">
        <f>SUM(AL32:AL36)</f>
        <v>0</v>
      </c>
    </row>
    <row r="32" spans="1:62" x14ac:dyDescent="0.2">
      <c r="A32" s="4" t="s">
        <v>22</v>
      </c>
      <c r="B32" s="4" t="s">
        <v>584</v>
      </c>
      <c r="C32" s="240" t="s">
        <v>1071</v>
      </c>
      <c r="D32" s="241"/>
      <c r="E32" s="241"/>
      <c r="F32" s="4" t="s">
        <v>1647</v>
      </c>
      <c r="G32" s="69">
        <v>0</v>
      </c>
      <c r="H32" s="168"/>
      <c r="I32" s="17">
        <f>G32*AO32</f>
        <v>0</v>
      </c>
      <c r="J32" s="17">
        <f>G32*AP32</f>
        <v>0</v>
      </c>
      <c r="K32" s="17">
        <f>G32*H32</f>
        <v>0</v>
      </c>
      <c r="L32" s="28" t="s">
        <v>1671</v>
      </c>
      <c r="Z32" s="34">
        <f>IF(AQ32="5",BJ32,0)</f>
        <v>0</v>
      </c>
      <c r="AB32" s="34">
        <f>IF(AQ32="1",BH32,0)</f>
        <v>0</v>
      </c>
      <c r="AC32" s="34">
        <f>IF(AQ32="1",BI32,0)</f>
        <v>0</v>
      </c>
      <c r="AD32" s="34">
        <f>IF(AQ32="7",BH32,0)</f>
        <v>0</v>
      </c>
      <c r="AE32" s="34">
        <f>IF(AQ32="7",BI32,0)</f>
        <v>0</v>
      </c>
      <c r="AF32" s="34">
        <f>IF(AQ32="2",BH32,0)</f>
        <v>0</v>
      </c>
      <c r="AG32" s="34">
        <f>IF(AQ32="2",BI32,0)</f>
        <v>0</v>
      </c>
      <c r="AH32" s="34">
        <f>IF(AQ32="0",BJ32,0)</f>
        <v>0</v>
      </c>
      <c r="AI32" s="29"/>
      <c r="AJ32" s="17">
        <f>IF(AN32=0,K32,0)</f>
        <v>0</v>
      </c>
      <c r="AK32" s="17">
        <f>IF(AN32=15,K32,0)</f>
        <v>0</v>
      </c>
      <c r="AL32" s="17">
        <f>IF(AN32=21,K32,0)</f>
        <v>0</v>
      </c>
      <c r="AN32" s="34">
        <v>15</v>
      </c>
      <c r="AO32" s="34">
        <f>H32*0</f>
        <v>0</v>
      </c>
      <c r="AP32" s="34">
        <f>H32*(1-0)</f>
        <v>0</v>
      </c>
      <c r="AQ32" s="28" t="s">
        <v>7</v>
      </c>
      <c r="AV32" s="34">
        <f>AW32+AX32</f>
        <v>0</v>
      </c>
      <c r="AW32" s="34">
        <f>G32*AO32</f>
        <v>0</v>
      </c>
      <c r="AX32" s="34">
        <f>G32*AP32</f>
        <v>0</v>
      </c>
      <c r="AY32" s="35" t="s">
        <v>1685</v>
      </c>
      <c r="AZ32" s="35" t="s">
        <v>1724</v>
      </c>
      <c r="BA32" s="29" t="s">
        <v>1737</v>
      </c>
      <c r="BC32" s="34">
        <f>AW32+AX32</f>
        <v>0</v>
      </c>
      <c r="BD32" s="34">
        <f>H32/(100-BE32)*100</f>
        <v>0</v>
      </c>
      <c r="BE32" s="34">
        <v>0</v>
      </c>
      <c r="BF32" s="34">
        <f>32</f>
        <v>32</v>
      </c>
      <c r="BH32" s="17">
        <f>G32*AO32</f>
        <v>0</v>
      </c>
      <c r="BI32" s="17">
        <f>G32*AP32</f>
        <v>0</v>
      </c>
      <c r="BJ32" s="17">
        <f>G32*H32</f>
        <v>0</v>
      </c>
    </row>
    <row r="33" spans="1:62" x14ac:dyDescent="0.2">
      <c r="A33" s="4" t="s">
        <v>23</v>
      </c>
      <c r="B33" s="4" t="s">
        <v>585</v>
      </c>
      <c r="C33" s="240" t="s">
        <v>1072</v>
      </c>
      <c r="D33" s="241"/>
      <c r="E33" s="241"/>
      <c r="F33" s="4" t="s">
        <v>1647</v>
      </c>
      <c r="G33" s="69">
        <v>59.168999999999997</v>
      </c>
      <c r="H33" s="168"/>
      <c r="I33" s="17">
        <f>G33*AO33</f>
        <v>0</v>
      </c>
      <c r="J33" s="17">
        <f>G33*AP33</f>
        <v>0</v>
      </c>
      <c r="K33" s="17">
        <f>G33*H33</f>
        <v>0</v>
      </c>
      <c r="L33" s="28" t="s">
        <v>1671</v>
      </c>
      <c r="Z33" s="34">
        <f>IF(AQ33="5",BJ33,0)</f>
        <v>0</v>
      </c>
      <c r="AB33" s="34">
        <f>IF(AQ33="1",BH33,0)</f>
        <v>0</v>
      </c>
      <c r="AC33" s="34">
        <f>IF(AQ33="1",BI33,0)</f>
        <v>0</v>
      </c>
      <c r="AD33" s="34">
        <f>IF(AQ33="7",BH33,0)</f>
        <v>0</v>
      </c>
      <c r="AE33" s="34">
        <f>IF(AQ33="7",BI33,0)</f>
        <v>0</v>
      </c>
      <c r="AF33" s="34">
        <f>IF(AQ33="2",BH33,0)</f>
        <v>0</v>
      </c>
      <c r="AG33" s="34">
        <f>IF(AQ33="2",BI33,0)</f>
        <v>0</v>
      </c>
      <c r="AH33" s="34">
        <f>IF(AQ33="0",BJ33,0)</f>
        <v>0</v>
      </c>
      <c r="AI33" s="29"/>
      <c r="AJ33" s="17">
        <f>IF(AN33=0,K33,0)</f>
        <v>0</v>
      </c>
      <c r="AK33" s="17">
        <f>IF(AN33=15,K33,0)</f>
        <v>0</v>
      </c>
      <c r="AL33" s="17">
        <f>IF(AN33=21,K33,0)</f>
        <v>0</v>
      </c>
      <c r="AN33" s="34">
        <v>15</v>
      </c>
      <c r="AO33" s="34">
        <f>H33*0</f>
        <v>0</v>
      </c>
      <c r="AP33" s="34">
        <f>H33*(1-0)</f>
        <v>0</v>
      </c>
      <c r="AQ33" s="28" t="s">
        <v>7</v>
      </c>
      <c r="AV33" s="34">
        <f>AW33+AX33</f>
        <v>0</v>
      </c>
      <c r="AW33" s="34">
        <f>G33*AO33</f>
        <v>0</v>
      </c>
      <c r="AX33" s="34">
        <f>G33*AP33</f>
        <v>0</v>
      </c>
      <c r="AY33" s="35" t="s">
        <v>1685</v>
      </c>
      <c r="AZ33" s="35" t="s">
        <v>1724</v>
      </c>
      <c r="BA33" s="29" t="s">
        <v>1737</v>
      </c>
      <c r="BC33" s="34">
        <f>AW33+AX33</f>
        <v>0</v>
      </c>
      <c r="BD33" s="34">
        <f>H33/(100-BE33)*100</f>
        <v>0</v>
      </c>
      <c r="BE33" s="34">
        <v>0</v>
      </c>
      <c r="BF33" s="34">
        <f>33</f>
        <v>33</v>
      </c>
      <c r="BH33" s="17">
        <f>G33*AO33</f>
        <v>0</v>
      </c>
      <c r="BI33" s="17">
        <f>G33*AP33</f>
        <v>0</v>
      </c>
      <c r="BJ33" s="17">
        <f>G33*H33</f>
        <v>0</v>
      </c>
    </row>
    <row r="34" spans="1:62" x14ac:dyDescent="0.2">
      <c r="A34" s="4" t="s">
        <v>24</v>
      </c>
      <c r="B34" s="4" t="s">
        <v>585</v>
      </c>
      <c r="C34" s="240" t="s">
        <v>1073</v>
      </c>
      <c r="D34" s="241"/>
      <c r="E34" s="241"/>
      <c r="F34" s="4" t="s">
        <v>1647</v>
      </c>
      <c r="G34" s="69">
        <v>62.387999999999998</v>
      </c>
      <c r="H34" s="168"/>
      <c r="I34" s="17">
        <f>G34*AO34</f>
        <v>0</v>
      </c>
      <c r="J34" s="17">
        <f>G34*AP34</f>
        <v>0</v>
      </c>
      <c r="K34" s="17">
        <f>G34*H34</f>
        <v>0</v>
      </c>
      <c r="L34" s="28" t="s">
        <v>1671</v>
      </c>
      <c r="Z34" s="34">
        <f>IF(AQ34="5",BJ34,0)</f>
        <v>0</v>
      </c>
      <c r="AB34" s="34">
        <f>IF(AQ34="1",BH34,0)</f>
        <v>0</v>
      </c>
      <c r="AC34" s="34">
        <f>IF(AQ34="1",BI34,0)</f>
        <v>0</v>
      </c>
      <c r="AD34" s="34">
        <f>IF(AQ34="7",BH34,0)</f>
        <v>0</v>
      </c>
      <c r="AE34" s="34">
        <f>IF(AQ34="7",BI34,0)</f>
        <v>0</v>
      </c>
      <c r="AF34" s="34">
        <f>IF(AQ34="2",BH34,0)</f>
        <v>0</v>
      </c>
      <c r="AG34" s="34">
        <f>IF(AQ34="2",BI34,0)</f>
        <v>0</v>
      </c>
      <c r="AH34" s="34">
        <f>IF(AQ34="0",BJ34,0)</f>
        <v>0</v>
      </c>
      <c r="AI34" s="29"/>
      <c r="AJ34" s="17">
        <f>IF(AN34=0,K34,0)</f>
        <v>0</v>
      </c>
      <c r="AK34" s="17">
        <f>IF(AN34=15,K34,0)</f>
        <v>0</v>
      </c>
      <c r="AL34" s="17">
        <f>IF(AN34=21,K34,0)</f>
        <v>0</v>
      </c>
      <c r="AN34" s="34">
        <v>15</v>
      </c>
      <c r="AO34" s="34">
        <f>H34*0</f>
        <v>0</v>
      </c>
      <c r="AP34" s="34">
        <f>H34*(1-0)</f>
        <v>0</v>
      </c>
      <c r="AQ34" s="28" t="s">
        <v>7</v>
      </c>
      <c r="AV34" s="34">
        <f>AW34+AX34</f>
        <v>0</v>
      </c>
      <c r="AW34" s="34">
        <f>G34*AO34</f>
        <v>0</v>
      </c>
      <c r="AX34" s="34">
        <f>G34*AP34</f>
        <v>0</v>
      </c>
      <c r="AY34" s="35" t="s">
        <v>1685</v>
      </c>
      <c r="AZ34" s="35" t="s">
        <v>1724</v>
      </c>
      <c r="BA34" s="29" t="s">
        <v>1737</v>
      </c>
      <c r="BC34" s="34">
        <f>AW34+AX34</f>
        <v>0</v>
      </c>
      <c r="BD34" s="34">
        <f>H34/(100-BE34)*100</f>
        <v>0</v>
      </c>
      <c r="BE34" s="34">
        <v>0</v>
      </c>
      <c r="BF34" s="34">
        <f>34</f>
        <v>34</v>
      </c>
      <c r="BH34" s="17">
        <f>G34*AO34</f>
        <v>0</v>
      </c>
      <c r="BI34" s="17">
        <f>G34*AP34</f>
        <v>0</v>
      </c>
      <c r="BJ34" s="17">
        <f>G34*H34</f>
        <v>0</v>
      </c>
    </row>
    <row r="35" spans="1:62" x14ac:dyDescent="0.2">
      <c r="A35" s="4" t="s">
        <v>25</v>
      </c>
      <c r="B35" s="4" t="s">
        <v>585</v>
      </c>
      <c r="C35" s="240" t="s">
        <v>1074</v>
      </c>
      <c r="D35" s="241"/>
      <c r="E35" s="241"/>
      <c r="F35" s="4" t="s">
        <v>1647</v>
      </c>
      <c r="G35" s="69">
        <v>1.86</v>
      </c>
      <c r="H35" s="168"/>
      <c r="I35" s="17">
        <f>G35*AO35</f>
        <v>0</v>
      </c>
      <c r="J35" s="17">
        <f>G35*AP35</f>
        <v>0</v>
      </c>
      <c r="K35" s="17">
        <f>G35*H35</f>
        <v>0</v>
      </c>
      <c r="L35" s="28" t="s">
        <v>1671</v>
      </c>
      <c r="Z35" s="34">
        <f>IF(AQ35="5",BJ35,0)</f>
        <v>0</v>
      </c>
      <c r="AB35" s="34">
        <f>IF(AQ35="1",BH35,0)</f>
        <v>0</v>
      </c>
      <c r="AC35" s="34">
        <f>IF(AQ35="1",BI35,0)</f>
        <v>0</v>
      </c>
      <c r="AD35" s="34">
        <f>IF(AQ35="7",BH35,0)</f>
        <v>0</v>
      </c>
      <c r="AE35" s="34">
        <f>IF(AQ35="7",BI35,0)</f>
        <v>0</v>
      </c>
      <c r="AF35" s="34">
        <f>IF(AQ35="2",BH35,0)</f>
        <v>0</v>
      </c>
      <c r="AG35" s="34">
        <f>IF(AQ35="2",BI35,0)</f>
        <v>0</v>
      </c>
      <c r="AH35" s="34">
        <f>IF(AQ35="0",BJ35,0)</f>
        <v>0</v>
      </c>
      <c r="AI35" s="29"/>
      <c r="AJ35" s="17">
        <f>IF(AN35=0,K35,0)</f>
        <v>0</v>
      </c>
      <c r="AK35" s="17">
        <f>IF(AN35=15,K35,0)</f>
        <v>0</v>
      </c>
      <c r="AL35" s="17">
        <f>IF(AN35=21,K35,0)</f>
        <v>0</v>
      </c>
      <c r="AN35" s="34">
        <v>15</v>
      </c>
      <c r="AO35" s="34">
        <f>H35*0</f>
        <v>0</v>
      </c>
      <c r="AP35" s="34">
        <f>H35*(1-0)</f>
        <v>0</v>
      </c>
      <c r="AQ35" s="28" t="s">
        <v>7</v>
      </c>
      <c r="AV35" s="34">
        <f>AW35+AX35</f>
        <v>0</v>
      </c>
      <c r="AW35" s="34">
        <f>G35*AO35</f>
        <v>0</v>
      </c>
      <c r="AX35" s="34">
        <f>G35*AP35</f>
        <v>0</v>
      </c>
      <c r="AY35" s="35" t="s">
        <v>1685</v>
      </c>
      <c r="AZ35" s="35" t="s">
        <v>1724</v>
      </c>
      <c r="BA35" s="29" t="s">
        <v>1737</v>
      </c>
      <c r="BC35" s="34">
        <f>AW35+AX35</f>
        <v>0</v>
      </c>
      <c r="BD35" s="34">
        <f>H35/(100-BE35)*100</f>
        <v>0</v>
      </c>
      <c r="BE35" s="34">
        <v>0</v>
      </c>
      <c r="BF35" s="34">
        <f>35</f>
        <v>35</v>
      </c>
      <c r="BH35" s="17">
        <f>G35*AO35</f>
        <v>0</v>
      </c>
      <c r="BI35" s="17">
        <f>G35*AP35</f>
        <v>0</v>
      </c>
      <c r="BJ35" s="17">
        <f>G35*H35</f>
        <v>0</v>
      </c>
    </row>
    <row r="36" spans="1:62" x14ac:dyDescent="0.2">
      <c r="A36" s="4" t="s">
        <v>26</v>
      </c>
      <c r="B36" s="4" t="s">
        <v>586</v>
      </c>
      <c r="C36" s="240" t="s">
        <v>1075</v>
      </c>
      <c r="D36" s="241"/>
      <c r="E36" s="241"/>
      <c r="F36" s="4" t="s">
        <v>1647</v>
      </c>
      <c r="G36" s="69">
        <v>1.044</v>
      </c>
      <c r="H36" s="168"/>
      <c r="I36" s="17">
        <f>G36*AO36</f>
        <v>0</v>
      </c>
      <c r="J36" s="17">
        <f>G36*AP36</f>
        <v>0</v>
      </c>
      <c r="K36" s="17">
        <f>G36*H36</f>
        <v>0</v>
      </c>
      <c r="L36" s="28" t="s">
        <v>1671</v>
      </c>
      <c r="Z36" s="34">
        <f>IF(AQ36="5",BJ36,0)</f>
        <v>0</v>
      </c>
      <c r="AB36" s="34">
        <f>IF(AQ36="1",BH36,0)</f>
        <v>0</v>
      </c>
      <c r="AC36" s="34">
        <f>IF(AQ36="1",BI36,0)</f>
        <v>0</v>
      </c>
      <c r="AD36" s="34">
        <f>IF(AQ36="7",BH36,0)</f>
        <v>0</v>
      </c>
      <c r="AE36" s="34">
        <f>IF(AQ36="7",BI36,0)</f>
        <v>0</v>
      </c>
      <c r="AF36" s="34">
        <f>IF(AQ36="2",BH36,0)</f>
        <v>0</v>
      </c>
      <c r="AG36" s="34">
        <f>IF(AQ36="2",BI36,0)</f>
        <v>0</v>
      </c>
      <c r="AH36" s="34">
        <f>IF(AQ36="0",BJ36,0)</f>
        <v>0</v>
      </c>
      <c r="AI36" s="29"/>
      <c r="AJ36" s="17">
        <f>IF(AN36=0,K36,0)</f>
        <v>0</v>
      </c>
      <c r="AK36" s="17">
        <f>IF(AN36=15,K36,0)</f>
        <v>0</v>
      </c>
      <c r="AL36" s="17">
        <f>IF(AN36=21,K36,0)</f>
        <v>0</v>
      </c>
      <c r="AN36" s="34">
        <v>15</v>
      </c>
      <c r="AO36" s="34">
        <f>H36*0</f>
        <v>0</v>
      </c>
      <c r="AP36" s="34">
        <f>H36*(1-0)</f>
        <v>0</v>
      </c>
      <c r="AQ36" s="28" t="s">
        <v>7</v>
      </c>
      <c r="AV36" s="34">
        <f>AW36+AX36</f>
        <v>0</v>
      </c>
      <c r="AW36" s="34">
        <f>G36*AO36</f>
        <v>0</v>
      </c>
      <c r="AX36" s="34">
        <f>G36*AP36</f>
        <v>0</v>
      </c>
      <c r="AY36" s="35" t="s">
        <v>1685</v>
      </c>
      <c r="AZ36" s="35" t="s">
        <v>1724</v>
      </c>
      <c r="BA36" s="29" t="s">
        <v>1737</v>
      </c>
      <c r="BC36" s="34">
        <f>AW36+AX36</f>
        <v>0</v>
      </c>
      <c r="BD36" s="34">
        <f>H36/(100-BE36)*100</f>
        <v>0</v>
      </c>
      <c r="BE36" s="34">
        <v>0</v>
      </c>
      <c r="BF36" s="34">
        <f>36</f>
        <v>36</v>
      </c>
      <c r="BH36" s="17">
        <f>G36*AO36</f>
        <v>0</v>
      </c>
      <c r="BI36" s="17">
        <f>G36*AP36</f>
        <v>0</v>
      </c>
      <c r="BJ36" s="17">
        <f>G36*H36</f>
        <v>0</v>
      </c>
    </row>
    <row r="37" spans="1:62" x14ac:dyDescent="0.2">
      <c r="A37" s="5"/>
      <c r="B37" s="13" t="s">
        <v>24</v>
      </c>
      <c r="C37" s="244" t="s">
        <v>1076</v>
      </c>
      <c r="D37" s="245"/>
      <c r="E37" s="245"/>
      <c r="F37" s="5" t="s">
        <v>6</v>
      </c>
      <c r="G37" s="5" t="s">
        <v>6</v>
      </c>
      <c r="H37" s="5" t="s">
        <v>6</v>
      </c>
      <c r="I37" s="37">
        <f>SUM(I38:I38)</f>
        <v>0</v>
      </c>
      <c r="J37" s="37">
        <f>SUM(J38:J38)</f>
        <v>0</v>
      </c>
      <c r="K37" s="37">
        <f>SUM(K38:K38)</f>
        <v>0</v>
      </c>
      <c r="L37" s="29"/>
      <c r="AI37" s="29"/>
      <c r="AS37" s="37">
        <f>SUM(AJ38:AJ38)</f>
        <v>0</v>
      </c>
      <c r="AT37" s="37">
        <f>SUM(AK38:AK38)</f>
        <v>0</v>
      </c>
      <c r="AU37" s="37">
        <f>SUM(AL38:AL38)</f>
        <v>0</v>
      </c>
    </row>
    <row r="38" spans="1:62" x14ac:dyDescent="0.2">
      <c r="A38" s="4" t="s">
        <v>27</v>
      </c>
      <c r="B38" s="4" t="s">
        <v>587</v>
      </c>
      <c r="C38" s="240" t="s">
        <v>1077</v>
      </c>
      <c r="D38" s="241"/>
      <c r="E38" s="241"/>
      <c r="F38" s="4" t="s">
        <v>1645</v>
      </c>
      <c r="G38" s="69">
        <v>194.69499999999999</v>
      </c>
      <c r="H38" s="168"/>
      <c r="I38" s="17">
        <f>G38*AO38</f>
        <v>0</v>
      </c>
      <c r="J38" s="17">
        <f>G38*AP38</f>
        <v>0</v>
      </c>
      <c r="K38" s="17">
        <f>G38*H38</f>
        <v>0</v>
      </c>
      <c r="L38" s="28" t="s">
        <v>1671</v>
      </c>
      <c r="Z38" s="34">
        <f>IF(AQ38="5",BJ38,0)</f>
        <v>0</v>
      </c>
      <c r="AB38" s="34">
        <f>IF(AQ38="1",BH38,0)</f>
        <v>0</v>
      </c>
      <c r="AC38" s="34">
        <f>IF(AQ38="1",BI38,0)</f>
        <v>0</v>
      </c>
      <c r="AD38" s="34">
        <f>IF(AQ38="7",BH38,0)</f>
        <v>0</v>
      </c>
      <c r="AE38" s="34">
        <f>IF(AQ38="7",BI38,0)</f>
        <v>0</v>
      </c>
      <c r="AF38" s="34">
        <f>IF(AQ38="2",BH38,0)</f>
        <v>0</v>
      </c>
      <c r="AG38" s="34">
        <f>IF(AQ38="2",BI38,0)</f>
        <v>0</v>
      </c>
      <c r="AH38" s="34">
        <f>IF(AQ38="0",BJ38,0)</f>
        <v>0</v>
      </c>
      <c r="AI38" s="29"/>
      <c r="AJ38" s="17">
        <f>IF(AN38=0,K38,0)</f>
        <v>0</v>
      </c>
      <c r="AK38" s="17">
        <f>IF(AN38=15,K38,0)</f>
        <v>0</v>
      </c>
      <c r="AL38" s="17">
        <f>IF(AN38=21,K38,0)</f>
        <v>0</v>
      </c>
      <c r="AN38" s="34">
        <v>15</v>
      </c>
      <c r="AO38" s="34">
        <f>H38*0</f>
        <v>0</v>
      </c>
      <c r="AP38" s="34">
        <f>H38*(1-0)</f>
        <v>0</v>
      </c>
      <c r="AQ38" s="28" t="s">
        <v>7</v>
      </c>
      <c r="AV38" s="34">
        <f>AW38+AX38</f>
        <v>0</v>
      </c>
      <c r="AW38" s="34">
        <f>G38*AO38</f>
        <v>0</v>
      </c>
      <c r="AX38" s="34">
        <f>G38*AP38</f>
        <v>0</v>
      </c>
      <c r="AY38" s="35" t="s">
        <v>1686</v>
      </c>
      <c r="AZ38" s="35" t="s">
        <v>1724</v>
      </c>
      <c r="BA38" s="29" t="s">
        <v>1737</v>
      </c>
      <c r="BC38" s="34">
        <f>AW38+AX38</f>
        <v>0</v>
      </c>
      <c r="BD38" s="34">
        <f>H38/(100-BE38)*100</f>
        <v>0</v>
      </c>
      <c r="BE38" s="34">
        <v>0</v>
      </c>
      <c r="BF38" s="34">
        <f>38</f>
        <v>38</v>
      </c>
      <c r="BH38" s="17">
        <f>G38*AO38</f>
        <v>0</v>
      </c>
      <c r="BI38" s="17">
        <f>G38*AP38</f>
        <v>0</v>
      </c>
      <c r="BJ38" s="17">
        <f>G38*H38</f>
        <v>0</v>
      </c>
    </row>
    <row r="39" spans="1:62" x14ac:dyDescent="0.2">
      <c r="A39" s="5"/>
      <c r="B39" s="13" t="s">
        <v>27</v>
      </c>
      <c r="C39" s="244" t="s">
        <v>1078</v>
      </c>
      <c r="D39" s="245"/>
      <c r="E39" s="245"/>
      <c r="F39" s="5" t="s">
        <v>6</v>
      </c>
      <c r="G39" s="5" t="s">
        <v>6</v>
      </c>
      <c r="H39" s="5" t="s">
        <v>6</v>
      </c>
      <c r="I39" s="37">
        <f>SUM(I40:I41)</f>
        <v>0</v>
      </c>
      <c r="J39" s="37">
        <f>SUM(J40:J41)</f>
        <v>0</v>
      </c>
      <c r="K39" s="37">
        <f>SUM(K40:K41)</f>
        <v>0</v>
      </c>
      <c r="L39" s="29"/>
      <c r="AI39" s="29"/>
      <c r="AS39" s="37">
        <f>SUM(AJ40:AJ41)</f>
        <v>0</v>
      </c>
      <c r="AT39" s="37">
        <f>SUM(AK40:AK41)</f>
        <v>0</v>
      </c>
      <c r="AU39" s="37">
        <f>SUM(AL40:AL41)</f>
        <v>0</v>
      </c>
    </row>
    <row r="40" spans="1:62" x14ac:dyDescent="0.2">
      <c r="A40" s="4" t="s">
        <v>28</v>
      </c>
      <c r="B40" s="4" t="s">
        <v>588</v>
      </c>
      <c r="C40" s="240" t="s">
        <v>1079</v>
      </c>
      <c r="D40" s="241"/>
      <c r="E40" s="241"/>
      <c r="F40" s="4" t="s">
        <v>1646</v>
      </c>
      <c r="G40" s="69">
        <v>83.2</v>
      </c>
      <c r="H40" s="168"/>
      <c r="I40" s="17">
        <f>G40*AO40</f>
        <v>0</v>
      </c>
      <c r="J40" s="17">
        <f>G40*AP40</f>
        <v>0</v>
      </c>
      <c r="K40" s="17">
        <f>G40*H40</f>
        <v>0</v>
      </c>
      <c r="L40" s="28" t="s">
        <v>1671</v>
      </c>
      <c r="Z40" s="34">
        <f>IF(AQ40="5",BJ40,0)</f>
        <v>0</v>
      </c>
      <c r="AB40" s="34">
        <f>IF(AQ40="1",BH40,0)</f>
        <v>0</v>
      </c>
      <c r="AC40" s="34">
        <f>IF(AQ40="1",BI40,0)</f>
        <v>0</v>
      </c>
      <c r="AD40" s="34">
        <f>IF(AQ40="7",BH40,0)</f>
        <v>0</v>
      </c>
      <c r="AE40" s="34">
        <f>IF(AQ40="7",BI40,0)</f>
        <v>0</v>
      </c>
      <c r="AF40" s="34">
        <f>IF(AQ40="2",BH40,0)</f>
        <v>0</v>
      </c>
      <c r="AG40" s="34">
        <f>IF(AQ40="2",BI40,0)</f>
        <v>0</v>
      </c>
      <c r="AH40" s="34">
        <f>IF(AQ40="0",BJ40,0)</f>
        <v>0</v>
      </c>
      <c r="AI40" s="29"/>
      <c r="AJ40" s="17">
        <f>IF(AN40=0,K40,0)</f>
        <v>0</v>
      </c>
      <c r="AK40" s="17">
        <f>IF(AN40=15,K40,0)</f>
        <v>0</v>
      </c>
      <c r="AL40" s="17">
        <f>IF(AN40=21,K40,0)</f>
        <v>0</v>
      </c>
      <c r="AN40" s="34">
        <v>15</v>
      </c>
      <c r="AO40" s="34">
        <f>H40*0.568421052631579</f>
        <v>0</v>
      </c>
      <c r="AP40" s="34">
        <f>H40*(1-0.568421052631579)</f>
        <v>0</v>
      </c>
      <c r="AQ40" s="28" t="s">
        <v>7</v>
      </c>
      <c r="AV40" s="34">
        <f>AW40+AX40</f>
        <v>0</v>
      </c>
      <c r="AW40" s="34">
        <f>G40*AO40</f>
        <v>0</v>
      </c>
      <c r="AX40" s="34">
        <f>G40*AP40</f>
        <v>0</v>
      </c>
      <c r="AY40" s="35" t="s">
        <v>1687</v>
      </c>
      <c r="AZ40" s="35" t="s">
        <v>1725</v>
      </c>
      <c r="BA40" s="29" t="s">
        <v>1737</v>
      </c>
      <c r="BC40" s="34">
        <f>AW40+AX40</f>
        <v>0</v>
      </c>
      <c r="BD40" s="34">
        <f>H40/(100-BE40)*100</f>
        <v>0</v>
      </c>
      <c r="BE40" s="34">
        <v>0</v>
      </c>
      <c r="BF40" s="34">
        <f>40</f>
        <v>40</v>
      </c>
      <c r="BH40" s="17">
        <f>G40*AO40</f>
        <v>0</v>
      </c>
      <c r="BI40" s="17">
        <f>G40*AP40</f>
        <v>0</v>
      </c>
      <c r="BJ40" s="17">
        <f>G40*H40</f>
        <v>0</v>
      </c>
    </row>
    <row r="41" spans="1:62" x14ac:dyDescent="0.2">
      <c r="A41" s="4" t="s">
        <v>29</v>
      </c>
      <c r="B41" s="4" t="s">
        <v>589</v>
      </c>
      <c r="C41" s="240" t="s">
        <v>1080</v>
      </c>
      <c r="D41" s="241"/>
      <c r="E41" s="241"/>
      <c r="F41" s="4" t="s">
        <v>1646</v>
      </c>
      <c r="G41" s="69">
        <v>83.2</v>
      </c>
      <c r="H41" s="168"/>
      <c r="I41" s="17">
        <f>G41*AO41</f>
        <v>0</v>
      </c>
      <c r="J41" s="17">
        <f>G41*AP41</f>
        <v>0</v>
      </c>
      <c r="K41" s="17">
        <f>G41*H41</f>
        <v>0</v>
      </c>
      <c r="L41" s="28" t="s">
        <v>1671</v>
      </c>
      <c r="Z41" s="34">
        <f>IF(AQ41="5",BJ41,0)</f>
        <v>0</v>
      </c>
      <c r="AB41" s="34">
        <f>IF(AQ41="1",BH41,0)</f>
        <v>0</v>
      </c>
      <c r="AC41" s="34">
        <f>IF(AQ41="1",BI41,0)</f>
        <v>0</v>
      </c>
      <c r="AD41" s="34">
        <f>IF(AQ41="7",BH41,0)</f>
        <v>0</v>
      </c>
      <c r="AE41" s="34">
        <f>IF(AQ41="7",BI41,0)</f>
        <v>0</v>
      </c>
      <c r="AF41" s="34">
        <f>IF(AQ41="2",BH41,0)</f>
        <v>0</v>
      </c>
      <c r="AG41" s="34">
        <f>IF(AQ41="2",BI41,0)</f>
        <v>0</v>
      </c>
      <c r="AH41" s="34">
        <f>IF(AQ41="0",BJ41,0)</f>
        <v>0</v>
      </c>
      <c r="AI41" s="29"/>
      <c r="AJ41" s="17">
        <f>IF(AN41=0,K41,0)</f>
        <v>0</v>
      </c>
      <c r="AK41" s="17">
        <f>IF(AN41=15,K41,0)</f>
        <v>0</v>
      </c>
      <c r="AL41" s="17">
        <f>IF(AN41=21,K41,0)</f>
        <v>0</v>
      </c>
      <c r="AN41" s="34">
        <v>15</v>
      </c>
      <c r="AO41" s="34">
        <f>H41*0.677510040160643</f>
        <v>0</v>
      </c>
      <c r="AP41" s="34">
        <f>H41*(1-0.677510040160643)</f>
        <v>0</v>
      </c>
      <c r="AQ41" s="28" t="s">
        <v>7</v>
      </c>
      <c r="AV41" s="34">
        <f>AW41+AX41</f>
        <v>0</v>
      </c>
      <c r="AW41" s="34">
        <f>G41*AO41</f>
        <v>0</v>
      </c>
      <c r="AX41" s="34">
        <f>G41*AP41</f>
        <v>0</v>
      </c>
      <c r="AY41" s="35" t="s">
        <v>1687</v>
      </c>
      <c r="AZ41" s="35" t="s">
        <v>1725</v>
      </c>
      <c r="BA41" s="29" t="s">
        <v>1737</v>
      </c>
      <c r="BC41" s="34">
        <f>AW41+AX41</f>
        <v>0</v>
      </c>
      <c r="BD41" s="34">
        <f>H41/(100-BE41)*100</f>
        <v>0</v>
      </c>
      <c r="BE41" s="34">
        <v>0</v>
      </c>
      <c r="BF41" s="34">
        <f>41</f>
        <v>41</v>
      </c>
      <c r="BH41" s="17">
        <f>G41*AO41</f>
        <v>0</v>
      </c>
      <c r="BI41" s="17">
        <f>G41*AP41</f>
        <v>0</v>
      </c>
      <c r="BJ41" s="17">
        <f>G41*H41</f>
        <v>0</v>
      </c>
    </row>
    <row r="42" spans="1:62" x14ac:dyDescent="0.2">
      <c r="A42" s="5"/>
      <c r="B42" s="13" t="s">
        <v>33</v>
      </c>
      <c r="C42" s="244" t="s">
        <v>1081</v>
      </c>
      <c r="D42" s="245"/>
      <c r="E42" s="245"/>
      <c r="F42" s="5" t="s">
        <v>6</v>
      </c>
      <c r="G42" s="5" t="s">
        <v>6</v>
      </c>
      <c r="H42" s="5" t="s">
        <v>6</v>
      </c>
      <c r="I42" s="37">
        <f>SUM(I43:I44)</f>
        <v>0</v>
      </c>
      <c r="J42" s="37">
        <f>SUM(J43:J44)</f>
        <v>0</v>
      </c>
      <c r="K42" s="37">
        <f>SUM(K43:K44)</f>
        <v>0</v>
      </c>
      <c r="L42" s="29"/>
      <c r="AI42" s="29"/>
      <c r="AS42" s="37">
        <f>SUM(AJ43:AJ44)</f>
        <v>0</v>
      </c>
      <c r="AT42" s="37">
        <f>SUM(AK43:AK44)</f>
        <v>0</v>
      </c>
      <c r="AU42" s="37">
        <f>SUM(AL43:AL44)</f>
        <v>0</v>
      </c>
    </row>
    <row r="43" spans="1:62" x14ac:dyDescent="0.2">
      <c r="A43" s="4" t="s">
        <v>30</v>
      </c>
      <c r="B43" s="4" t="s">
        <v>590</v>
      </c>
      <c r="C43" s="240" t="s">
        <v>1082</v>
      </c>
      <c r="D43" s="241"/>
      <c r="E43" s="241"/>
      <c r="F43" s="4" t="s">
        <v>1647</v>
      </c>
      <c r="G43" s="69">
        <v>6.4000000000000001E-2</v>
      </c>
      <c r="H43" s="168"/>
      <c r="I43" s="17">
        <f>G43*AO43</f>
        <v>0</v>
      </c>
      <c r="J43" s="17">
        <f>G43*AP43</f>
        <v>0</v>
      </c>
      <c r="K43" s="17">
        <f>G43*H43</f>
        <v>0</v>
      </c>
      <c r="L43" s="28" t="s">
        <v>1671</v>
      </c>
      <c r="Z43" s="34">
        <f>IF(AQ43="5",BJ43,0)</f>
        <v>0</v>
      </c>
      <c r="AB43" s="34">
        <f>IF(AQ43="1",BH43,0)</f>
        <v>0</v>
      </c>
      <c r="AC43" s="34">
        <f>IF(AQ43="1",BI43,0)</f>
        <v>0</v>
      </c>
      <c r="AD43" s="34">
        <f>IF(AQ43="7",BH43,0)</f>
        <v>0</v>
      </c>
      <c r="AE43" s="34">
        <f>IF(AQ43="7",BI43,0)</f>
        <v>0</v>
      </c>
      <c r="AF43" s="34">
        <f>IF(AQ43="2",BH43,0)</f>
        <v>0</v>
      </c>
      <c r="AG43" s="34">
        <f>IF(AQ43="2",BI43,0)</f>
        <v>0</v>
      </c>
      <c r="AH43" s="34">
        <f>IF(AQ43="0",BJ43,0)</f>
        <v>0</v>
      </c>
      <c r="AI43" s="29"/>
      <c r="AJ43" s="17">
        <f>IF(AN43=0,K43,0)</f>
        <v>0</v>
      </c>
      <c r="AK43" s="17">
        <f>IF(AN43=15,K43,0)</f>
        <v>0</v>
      </c>
      <c r="AL43" s="17">
        <f>IF(AN43=21,K43,0)</f>
        <v>0</v>
      </c>
      <c r="AN43" s="34">
        <v>15</v>
      </c>
      <c r="AO43" s="34">
        <f>H43*0.283464063886424</f>
        <v>0</v>
      </c>
      <c r="AP43" s="34">
        <f>H43*(1-0.283464063886424)</f>
        <v>0</v>
      </c>
      <c r="AQ43" s="28" t="s">
        <v>7</v>
      </c>
      <c r="AV43" s="34">
        <f>AW43+AX43</f>
        <v>0</v>
      </c>
      <c r="AW43" s="34">
        <f>G43*AO43</f>
        <v>0</v>
      </c>
      <c r="AX43" s="34">
        <f>G43*AP43</f>
        <v>0</v>
      </c>
      <c r="AY43" s="35" t="s">
        <v>1688</v>
      </c>
      <c r="AZ43" s="35" t="s">
        <v>1725</v>
      </c>
      <c r="BA43" s="29" t="s">
        <v>1737</v>
      </c>
      <c r="BC43" s="34">
        <f>AW43+AX43</f>
        <v>0</v>
      </c>
      <c r="BD43" s="34">
        <f>H43/(100-BE43)*100</f>
        <v>0</v>
      </c>
      <c r="BE43" s="34">
        <v>0</v>
      </c>
      <c r="BF43" s="34">
        <f>43</f>
        <v>43</v>
      </c>
      <c r="BH43" s="17">
        <f>G43*AO43</f>
        <v>0</v>
      </c>
      <c r="BI43" s="17">
        <f>G43*AP43</f>
        <v>0</v>
      </c>
      <c r="BJ43" s="17">
        <f>G43*H43</f>
        <v>0</v>
      </c>
    </row>
    <row r="44" spans="1:62" x14ac:dyDescent="0.2">
      <c r="A44" s="4" t="s">
        <v>31</v>
      </c>
      <c r="B44" s="4" t="s">
        <v>591</v>
      </c>
      <c r="C44" s="240" t="s">
        <v>1083</v>
      </c>
      <c r="D44" s="241"/>
      <c r="E44" s="241"/>
      <c r="F44" s="4" t="s">
        <v>1647</v>
      </c>
      <c r="G44" s="69">
        <v>0.29599999999999999</v>
      </c>
      <c r="H44" s="168"/>
      <c r="I44" s="17">
        <f>G44*AO44</f>
        <v>0</v>
      </c>
      <c r="J44" s="17">
        <f>G44*AP44</f>
        <v>0</v>
      </c>
      <c r="K44" s="17">
        <f>G44*H44</f>
        <v>0</v>
      </c>
      <c r="L44" s="28" t="s">
        <v>1671</v>
      </c>
      <c r="Z44" s="34">
        <f>IF(AQ44="5",BJ44,0)</f>
        <v>0</v>
      </c>
      <c r="AB44" s="34">
        <f>IF(AQ44="1",BH44,0)</f>
        <v>0</v>
      </c>
      <c r="AC44" s="34">
        <f>IF(AQ44="1",BI44,0)</f>
        <v>0</v>
      </c>
      <c r="AD44" s="34">
        <f>IF(AQ44="7",BH44,0)</f>
        <v>0</v>
      </c>
      <c r="AE44" s="34">
        <f>IF(AQ44="7",BI44,0)</f>
        <v>0</v>
      </c>
      <c r="AF44" s="34">
        <f>IF(AQ44="2",BH44,0)</f>
        <v>0</v>
      </c>
      <c r="AG44" s="34">
        <f>IF(AQ44="2",BI44,0)</f>
        <v>0</v>
      </c>
      <c r="AH44" s="34">
        <f>IF(AQ44="0",BJ44,0)</f>
        <v>0</v>
      </c>
      <c r="AI44" s="29"/>
      <c r="AJ44" s="17">
        <f>IF(AN44=0,K44,0)</f>
        <v>0</v>
      </c>
      <c r="AK44" s="17">
        <f>IF(AN44=15,K44,0)</f>
        <v>0</v>
      </c>
      <c r="AL44" s="17">
        <f>IF(AN44=21,K44,0)</f>
        <v>0</v>
      </c>
      <c r="AN44" s="34">
        <v>15</v>
      </c>
      <c r="AO44" s="34">
        <f>H44*0.658319082377476</f>
        <v>0</v>
      </c>
      <c r="AP44" s="34">
        <f>H44*(1-0.658319082377476)</f>
        <v>0</v>
      </c>
      <c r="AQ44" s="28" t="s">
        <v>7</v>
      </c>
      <c r="AV44" s="34">
        <f>AW44+AX44</f>
        <v>0</v>
      </c>
      <c r="AW44" s="34">
        <f>G44*AO44</f>
        <v>0</v>
      </c>
      <c r="AX44" s="34">
        <f>G44*AP44</f>
        <v>0</v>
      </c>
      <c r="AY44" s="35" t="s">
        <v>1688</v>
      </c>
      <c r="AZ44" s="35" t="s">
        <v>1725</v>
      </c>
      <c r="BA44" s="29" t="s">
        <v>1737</v>
      </c>
      <c r="BC44" s="34">
        <f>AW44+AX44</f>
        <v>0</v>
      </c>
      <c r="BD44" s="34">
        <f>H44/(100-BE44)*100</f>
        <v>0</v>
      </c>
      <c r="BE44" s="34">
        <v>0</v>
      </c>
      <c r="BF44" s="34">
        <f>44</f>
        <v>44</v>
      </c>
      <c r="BH44" s="17">
        <f>G44*AO44</f>
        <v>0</v>
      </c>
      <c r="BI44" s="17">
        <f>G44*AP44</f>
        <v>0</v>
      </c>
      <c r="BJ44" s="17">
        <f>G44*H44</f>
        <v>0</v>
      </c>
    </row>
    <row r="45" spans="1:62" x14ac:dyDescent="0.2">
      <c r="A45" s="5"/>
      <c r="B45" s="13" t="s">
        <v>37</v>
      </c>
      <c r="C45" s="244" t="s">
        <v>1084</v>
      </c>
      <c r="D45" s="245"/>
      <c r="E45" s="245"/>
      <c r="F45" s="5" t="s">
        <v>6</v>
      </c>
      <c r="G45" s="5" t="s">
        <v>6</v>
      </c>
      <c r="H45" s="5" t="s">
        <v>6</v>
      </c>
      <c r="I45" s="37">
        <f>SUM(I46:I50)</f>
        <v>0</v>
      </c>
      <c r="J45" s="37">
        <f>SUM(J46:J50)</f>
        <v>0</v>
      </c>
      <c r="K45" s="37">
        <f>SUM(K46:K50)</f>
        <v>0</v>
      </c>
      <c r="L45" s="29"/>
      <c r="AI45" s="29"/>
      <c r="AS45" s="37">
        <f>SUM(AJ46:AJ50)</f>
        <v>0</v>
      </c>
      <c r="AT45" s="37">
        <f>SUM(AK46:AK50)</f>
        <v>0</v>
      </c>
      <c r="AU45" s="37">
        <f>SUM(AL46:AL50)</f>
        <v>0</v>
      </c>
    </row>
    <row r="46" spans="1:62" x14ac:dyDescent="0.2">
      <c r="A46" s="4" t="s">
        <v>32</v>
      </c>
      <c r="B46" s="4" t="s">
        <v>592</v>
      </c>
      <c r="C46" s="240" t="s">
        <v>1085</v>
      </c>
      <c r="D46" s="241"/>
      <c r="E46" s="241"/>
      <c r="F46" s="4" t="s">
        <v>1644</v>
      </c>
      <c r="G46" s="69">
        <v>1</v>
      </c>
      <c r="H46" s="168"/>
      <c r="I46" s="17">
        <f>G46*AO46</f>
        <v>0</v>
      </c>
      <c r="J46" s="17">
        <f>G46*AP46</f>
        <v>0</v>
      </c>
      <c r="K46" s="17">
        <f>G46*H46</f>
        <v>0</v>
      </c>
      <c r="L46" s="28" t="s">
        <v>1671</v>
      </c>
      <c r="Z46" s="34">
        <f>IF(AQ46="5",BJ46,0)</f>
        <v>0</v>
      </c>
      <c r="AB46" s="34">
        <f>IF(AQ46="1",BH46,0)</f>
        <v>0</v>
      </c>
      <c r="AC46" s="34">
        <f>IF(AQ46="1",BI46,0)</f>
        <v>0</v>
      </c>
      <c r="AD46" s="34">
        <f>IF(AQ46="7",BH46,0)</f>
        <v>0</v>
      </c>
      <c r="AE46" s="34">
        <f>IF(AQ46="7",BI46,0)</f>
        <v>0</v>
      </c>
      <c r="AF46" s="34">
        <f>IF(AQ46="2",BH46,0)</f>
        <v>0</v>
      </c>
      <c r="AG46" s="34">
        <f>IF(AQ46="2",BI46,0)</f>
        <v>0</v>
      </c>
      <c r="AH46" s="34">
        <f>IF(AQ46="0",BJ46,0)</f>
        <v>0</v>
      </c>
      <c r="AI46" s="29"/>
      <c r="AJ46" s="17">
        <f>IF(AN46=0,K46,0)</f>
        <v>0</v>
      </c>
      <c r="AK46" s="17">
        <f>IF(AN46=15,K46,0)</f>
        <v>0</v>
      </c>
      <c r="AL46" s="17">
        <f>IF(AN46=21,K46,0)</f>
        <v>0</v>
      </c>
      <c r="AN46" s="34">
        <v>15</v>
      </c>
      <c r="AO46" s="34">
        <f>H46*0.535388860807912</f>
        <v>0</v>
      </c>
      <c r="AP46" s="34">
        <f>H46*(1-0.535388860807912)</f>
        <v>0</v>
      </c>
      <c r="AQ46" s="28" t="s">
        <v>7</v>
      </c>
      <c r="AV46" s="34">
        <f>AW46+AX46</f>
        <v>0</v>
      </c>
      <c r="AW46" s="34">
        <f>G46*AO46</f>
        <v>0</v>
      </c>
      <c r="AX46" s="34">
        <f>G46*AP46</f>
        <v>0</v>
      </c>
      <c r="AY46" s="35" t="s">
        <v>1689</v>
      </c>
      <c r="AZ46" s="35" t="s">
        <v>1726</v>
      </c>
      <c r="BA46" s="29" t="s">
        <v>1737</v>
      </c>
      <c r="BC46" s="34">
        <f>AW46+AX46</f>
        <v>0</v>
      </c>
      <c r="BD46" s="34">
        <f>H46/(100-BE46)*100</f>
        <v>0</v>
      </c>
      <c r="BE46" s="34">
        <v>0</v>
      </c>
      <c r="BF46" s="34">
        <f>46</f>
        <v>46</v>
      </c>
      <c r="BH46" s="17">
        <f>G46*AO46</f>
        <v>0</v>
      </c>
      <c r="BI46" s="17">
        <f>G46*AP46</f>
        <v>0</v>
      </c>
      <c r="BJ46" s="17">
        <f>G46*H46</f>
        <v>0</v>
      </c>
    </row>
    <row r="47" spans="1:62" x14ac:dyDescent="0.2">
      <c r="A47" s="4" t="s">
        <v>33</v>
      </c>
      <c r="B47" s="4" t="s">
        <v>592</v>
      </c>
      <c r="C47" s="240" t="s">
        <v>1086</v>
      </c>
      <c r="D47" s="241"/>
      <c r="E47" s="241"/>
      <c r="F47" s="4" t="s">
        <v>1644</v>
      </c>
      <c r="G47" s="69">
        <v>1</v>
      </c>
      <c r="H47" s="168"/>
      <c r="I47" s="17">
        <f>G47*AO47</f>
        <v>0</v>
      </c>
      <c r="J47" s="17">
        <f>G47*AP47</f>
        <v>0</v>
      </c>
      <c r="K47" s="17">
        <f>G47*H47</f>
        <v>0</v>
      </c>
      <c r="L47" s="28" t="s">
        <v>1671</v>
      </c>
      <c r="Z47" s="34">
        <f>IF(AQ47="5",BJ47,0)</f>
        <v>0</v>
      </c>
      <c r="AB47" s="34">
        <f>IF(AQ47="1",BH47,0)</f>
        <v>0</v>
      </c>
      <c r="AC47" s="34">
        <f>IF(AQ47="1",BI47,0)</f>
        <v>0</v>
      </c>
      <c r="AD47" s="34">
        <f>IF(AQ47="7",BH47,0)</f>
        <v>0</v>
      </c>
      <c r="AE47" s="34">
        <f>IF(AQ47="7",BI47,0)</f>
        <v>0</v>
      </c>
      <c r="AF47" s="34">
        <f>IF(AQ47="2",BH47,0)</f>
        <v>0</v>
      </c>
      <c r="AG47" s="34">
        <f>IF(AQ47="2",BI47,0)</f>
        <v>0</v>
      </c>
      <c r="AH47" s="34">
        <f>IF(AQ47="0",BJ47,0)</f>
        <v>0</v>
      </c>
      <c r="AI47" s="29"/>
      <c r="AJ47" s="17">
        <f>IF(AN47=0,K47,0)</f>
        <v>0</v>
      </c>
      <c r="AK47" s="17">
        <f>IF(AN47=15,K47,0)</f>
        <v>0</v>
      </c>
      <c r="AL47" s="17">
        <f>IF(AN47=21,K47,0)</f>
        <v>0</v>
      </c>
      <c r="AN47" s="34">
        <v>15</v>
      </c>
      <c r="AO47" s="34">
        <f>H47*0.535388860807912</f>
        <v>0</v>
      </c>
      <c r="AP47" s="34">
        <f>H47*(1-0.535388860807912)</f>
        <v>0</v>
      </c>
      <c r="AQ47" s="28" t="s">
        <v>7</v>
      </c>
      <c r="AV47" s="34">
        <f>AW47+AX47</f>
        <v>0</v>
      </c>
      <c r="AW47" s="34">
        <f>G47*AO47</f>
        <v>0</v>
      </c>
      <c r="AX47" s="34">
        <f>G47*AP47</f>
        <v>0</v>
      </c>
      <c r="AY47" s="35" t="s">
        <v>1689</v>
      </c>
      <c r="AZ47" s="35" t="s">
        <v>1726</v>
      </c>
      <c r="BA47" s="29" t="s">
        <v>1737</v>
      </c>
      <c r="BC47" s="34">
        <f>AW47+AX47</f>
        <v>0</v>
      </c>
      <c r="BD47" s="34">
        <f>H47/(100-BE47)*100</f>
        <v>0</v>
      </c>
      <c r="BE47" s="34">
        <v>0</v>
      </c>
      <c r="BF47" s="34">
        <f>47</f>
        <v>47</v>
      </c>
      <c r="BH47" s="17">
        <f>G47*AO47</f>
        <v>0</v>
      </c>
      <c r="BI47" s="17">
        <f>G47*AP47</f>
        <v>0</v>
      </c>
      <c r="BJ47" s="17">
        <f>G47*H47</f>
        <v>0</v>
      </c>
    </row>
    <row r="48" spans="1:62" x14ac:dyDescent="0.2">
      <c r="A48" s="4" t="s">
        <v>34</v>
      </c>
      <c r="B48" s="4" t="s">
        <v>593</v>
      </c>
      <c r="C48" s="240" t="s">
        <v>1087</v>
      </c>
      <c r="D48" s="241"/>
      <c r="E48" s="241"/>
      <c r="F48" s="4" t="s">
        <v>1647</v>
      </c>
      <c r="G48" s="69">
        <v>0.94499999999999995</v>
      </c>
      <c r="H48" s="168"/>
      <c r="I48" s="17">
        <f>G48*AO48</f>
        <v>0</v>
      </c>
      <c r="J48" s="17">
        <f>G48*AP48</f>
        <v>0</v>
      </c>
      <c r="K48" s="17">
        <f>G48*H48</f>
        <v>0</v>
      </c>
      <c r="L48" s="28" t="s">
        <v>1671</v>
      </c>
      <c r="Z48" s="34">
        <f>IF(AQ48="5",BJ48,0)</f>
        <v>0</v>
      </c>
      <c r="AB48" s="34">
        <f>IF(AQ48="1",BH48,0)</f>
        <v>0</v>
      </c>
      <c r="AC48" s="34">
        <f>IF(AQ48="1",BI48,0)</f>
        <v>0</v>
      </c>
      <c r="AD48" s="34">
        <f>IF(AQ48="7",BH48,0)</f>
        <v>0</v>
      </c>
      <c r="AE48" s="34">
        <f>IF(AQ48="7",BI48,0)</f>
        <v>0</v>
      </c>
      <c r="AF48" s="34">
        <f>IF(AQ48="2",BH48,0)</f>
        <v>0</v>
      </c>
      <c r="AG48" s="34">
        <f>IF(AQ48="2",BI48,0)</f>
        <v>0</v>
      </c>
      <c r="AH48" s="34">
        <f>IF(AQ48="0",BJ48,0)</f>
        <v>0</v>
      </c>
      <c r="AI48" s="29"/>
      <c r="AJ48" s="17">
        <f>IF(AN48=0,K48,0)</f>
        <v>0</v>
      </c>
      <c r="AK48" s="17">
        <f>IF(AN48=15,K48,0)</f>
        <v>0</v>
      </c>
      <c r="AL48" s="17">
        <f>IF(AN48=21,K48,0)</f>
        <v>0</v>
      </c>
      <c r="AN48" s="34">
        <v>15</v>
      </c>
      <c r="AO48" s="34">
        <f>H48*0.659271698113208</f>
        <v>0</v>
      </c>
      <c r="AP48" s="34">
        <f>H48*(1-0.659271698113208)</f>
        <v>0</v>
      </c>
      <c r="AQ48" s="28" t="s">
        <v>7</v>
      </c>
      <c r="AV48" s="34">
        <f>AW48+AX48</f>
        <v>0</v>
      </c>
      <c r="AW48" s="34">
        <f>G48*AO48</f>
        <v>0</v>
      </c>
      <c r="AX48" s="34">
        <f>G48*AP48</f>
        <v>0</v>
      </c>
      <c r="AY48" s="35" t="s">
        <v>1689</v>
      </c>
      <c r="AZ48" s="35" t="s">
        <v>1726</v>
      </c>
      <c r="BA48" s="29" t="s">
        <v>1737</v>
      </c>
      <c r="BC48" s="34">
        <f>AW48+AX48</f>
        <v>0</v>
      </c>
      <c r="BD48" s="34">
        <f>H48/(100-BE48)*100</f>
        <v>0</v>
      </c>
      <c r="BE48" s="34">
        <v>0</v>
      </c>
      <c r="BF48" s="34">
        <f>48</f>
        <v>48</v>
      </c>
      <c r="BH48" s="17">
        <f>G48*AO48</f>
        <v>0</v>
      </c>
      <c r="BI48" s="17">
        <f>G48*AP48</f>
        <v>0</v>
      </c>
      <c r="BJ48" s="17">
        <f>G48*H48</f>
        <v>0</v>
      </c>
    </row>
    <row r="49" spans="1:62" x14ac:dyDescent="0.2">
      <c r="A49" s="4" t="s">
        <v>35</v>
      </c>
      <c r="B49" s="4" t="s">
        <v>594</v>
      </c>
      <c r="C49" s="240" t="s">
        <v>1088</v>
      </c>
      <c r="D49" s="241"/>
      <c r="E49" s="241"/>
      <c r="F49" s="4" t="s">
        <v>1648</v>
      </c>
      <c r="G49" s="69">
        <v>3.4000000000000002E-2</v>
      </c>
      <c r="H49" s="168"/>
      <c r="I49" s="17">
        <f>G49*AO49</f>
        <v>0</v>
      </c>
      <c r="J49" s="17">
        <f>G49*AP49</f>
        <v>0</v>
      </c>
      <c r="K49" s="17">
        <f>G49*H49</f>
        <v>0</v>
      </c>
      <c r="L49" s="28" t="s">
        <v>1671</v>
      </c>
      <c r="Z49" s="34">
        <f>IF(AQ49="5",BJ49,0)</f>
        <v>0</v>
      </c>
      <c r="AB49" s="34">
        <f>IF(AQ49="1",BH49,0)</f>
        <v>0</v>
      </c>
      <c r="AC49" s="34">
        <f>IF(AQ49="1",BI49,0)</f>
        <v>0</v>
      </c>
      <c r="AD49" s="34">
        <f>IF(AQ49="7",BH49,0)</f>
        <v>0</v>
      </c>
      <c r="AE49" s="34">
        <f>IF(AQ49="7",BI49,0)</f>
        <v>0</v>
      </c>
      <c r="AF49" s="34">
        <f>IF(AQ49="2",BH49,0)</f>
        <v>0</v>
      </c>
      <c r="AG49" s="34">
        <f>IF(AQ49="2",BI49,0)</f>
        <v>0</v>
      </c>
      <c r="AH49" s="34">
        <f>IF(AQ49="0",BJ49,0)</f>
        <v>0</v>
      </c>
      <c r="AI49" s="29"/>
      <c r="AJ49" s="17">
        <f>IF(AN49=0,K49,0)</f>
        <v>0</v>
      </c>
      <c r="AK49" s="17">
        <f>IF(AN49=15,K49,0)</f>
        <v>0</v>
      </c>
      <c r="AL49" s="17">
        <f>IF(AN49=21,K49,0)</f>
        <v>0</v>
      </c>
      <c r="AN49" s="34">
        <v>15</v>
      </c>
      <c r="AO49" s="34">
        <f>H49*0.782234965034965</f>
        <v>0</v>
      </c>
      <c r="AP49" s="34">
        <f>H49*(1-0.782234965034965)</f>
        <v>0</v>
      </c>
      <c r="AQ49" s="28" t="s">
        <v>7</v>
      </c>
      <c r="AV49" s="34">
        <f>AW49+AX49</f>
        <v>0</v>
      </c>
      <c r="AW49" s="34">
        <f>G49*AO49</f>
        <v>0</v>
      </c>
      <c r="AX49" s="34">
        <f>G49*AP49</f>
        <v>0</v>
      </c>
      <c r="AY49" s="35" t="s">
        <v>1689</v>
      </c>
      <c r="AZ49" s="35" t="s">
        <v>1726</v>
      </c>
      <c r="BA49" s="29" t="s">
        <v>1737</v>
      </c>
      <c r="BC49" s="34">
        <f>AW49+AX49</f>
        <v>0</v>
      </c>
      <c r="BD49" s="34">
        <f>H49/(100-BE49)*100</f>
        <v>0</v>
      </c>
      <c r="BE49" s="34">
        <v>0</v>
      </c>
      <c r="BF49" s="34">
        <f>49</f>
        <v>49</v>
      </c>
      <c r="BH49" s="17">
        <f>G49*AO49</f>
        <v>0</v>
      </c>
      <c r="BI49" s="17">
        <f>G49*AP49</f>
        <v>0</v>
      </c>
      <c r="BJ49" s="17">
        <f>G49*H49</f>
        <v>0</v>
      </c>
    </row>
    <row r="50" spans="1:62" x14ac:dyDescent="0.2">
      <c r="A50" s="4" t="s">
        <v>36</v>
      </c>
      <c r="B50" s="4" t="s">
        <v>595</v>
      </c>
      <c r="C50" s="240" t="s">
        <v>1089</v>
      </c>
      <c r="D50" s="241"/>
      <c r="E50" s="241"/>
      <c r="F50" s="4" t="s">
        <v>1646</v>
      </c>
      <c r="G50" s="69">
        <v>100</v>
      </c>
      <c r="H50" s="168"/>
      <c r="I50" s="17">
        <f>G50*AO50</f>
        <v>0</v>
      </c>
      <c r="J50" s="17">
        <f>G50*AP50</f>
        <v>0</v>
      </c>
      <c r="K50" s="17">
        <f>G50*H50</f>
        <v>0</v>
      </c>
      <c r="L50" s="28" t="s">
        <v>1671</v>
      </c>
      <c r="Z50" s="34">
        <f>IF(AQ50="5",BJ50,0)</f>
        <v>0</v>
      </c>
      <c r="AB50" s="34">
        <f>IF(AQ50="1",BH50,0)</f>
        <v>0</v>
      </c>
      <c r="AC50" s="34">
        <f>IF(AQ50="1",BI50,0)</f>
        <v>0</v>
      </c>
      <c r="AD50" s="34">
        <f>IF(AQ50="7",BH50,0)</f>
        <v>0</v>
      </c>
      <c r="AE50" s="34">
        <f>IF(AQ50="7",BI50,0)</f>
        <v>0</v>
      </c>
      <c r="AF50" s="34">
        <f>IF(AQ50="2",BH50,0)</f>
        <v>0</v>
      </c>
      <c r="AG50" s="34">
        <f>IF(AQ50="2",BI50,0)</f>
        <v>0</v>
      </c>
      <c r="AH50" s="34">
        <f>IF(AQ50="0",BJ50,0)</f>
        <v>0</v>
      </c>
      <c r="AI50" s="29"/>
      <c r="AJ50" s="17">
        <f>IF(AN50=0,K50,0)</f>
        <v>0</v>
      </c>
      <c r="AK50" s="17">
        <f>IF(AN50=15,K50,0)</f>
        <v>0</v>
      </c>
      <c r="AL50" s="17">
        <f>IF(AN50=21,K50,0)</f>
        <v>0</v>
      </c>
      <c r="AN50" s="34">
        <v>15</v>
      </c>
      <c r="AO50" s="34">
        <f>H50*0.318303571428571</f>
        <v>0</v>
      </c>
      <c r="AP50" s="34">
        <f>H50*(1-0.318303571428571)</f>
        <v>0</v>
      </c>
      <c r="AQ50" s="28" t="s">
        <v>7</v>
      </c>
      <c r="AV50" s="34">
        <f>AW50+AX50</f>
        <v>0</v>
      </c>
      <c r="AW50" s="34">
        <f>G50*AO50</f>
        <v>0</v>
      </c>
      <c r="AX50" s="34">
        <f>G50*AP50</f>
        <v>0</v>
      </c>
      <c r="AY50" s="35" t="s">
        <v>1689</v>
      </c>
      <c r="AZ50" s="35" t="s">
        <v>1726</v>
      </c>
      <c r="BA50" s="29" t="s">
        <v>1737</v>
      </c>
      <c r="BC50" s="34">
        <f>AW50+AX50</f>
        <v>0</v>
      </c>
      <c r="BD50" s="34">
        <f>H50/(100-BE50)*100</f>
        <v>0</v>
      </c>
      <c r="BE50" s="34">
        <v>0</v>
      </c>
      <c r="BF50" s="34">
        <f>50</f>
        <v>50</v>
      </c>
      <c r="BH50" s="17">
        <f>G50*AO50</f>
        <v>0</v>
      </c>
      <c r="BI50" s="17">
        <f>G50*AP50</f>
        <v>0</v>
      </c>
      <c r="BJ50" s="17">
        <f>G50*H50</f>
        <v>0</v>
      </c>
    </row>
    <row r="51" spans="1:62" x14ac:dyDescent="0.2">
      <c r="A51" s="5"/>
      <c r="B51" s="13" t="s">
        <v>62</v>
      </c>
      <c r="C51" s="244" t="s">
        <v>1090</v>
      </c>
      <c r="D51" s="245"/>
      <c r="E51" s="245"/>
      <c r="F51" s="5" t="s">
        <v>6</v>
      </c>
      <c r="G51" s="5" t="s">
        <v>6</v>
      </c>
      <c r="H51" s="5" t="s">
        <v>6</v>
      </c>
      <c r="I51" s="37">
        <f>SUM(I52:I54)</f>
        <v>0</v>
      </c>
      <c r="J51" s="37">
        <f>SUM(J52:J54)</f>
        <v>0</v>
      </c>
      <c r="K51" s="37">
        <f>SUM(K52:K54)</f>
        <v>0</v>
      </c>
      <c r="L51" s="29"/>
      <c r="AI51" s="29"/>
      <c r="AS51" s="37">
        <f>SUM(AJ52:AJ54)</f>
        <v>0</v>
      </c>
      <c r="AT51" s="37">
        <f>SUM(AK52:AK54)</f>
        <v>0</v>
      </c>
      <c r="AU51" s="37">
        <f>SUM(AL52:AL54)</f>
        <v>0</v>
      </c>
    </row>
    <row r="52" spans="1:62" x14ac:dyDescent="0.2">
      <c r="A52" s="4" t="s">
        <v>37</v>
      </c>
      <c r="B52" s="4" t="s">
        <v>596</v>
      </c>
      <c r="C52" s="240" t="s">
        <v>1091</v>
      </c>
      <c r="D52" s="241"/>
      <c r="E52" s="241"/>
      <c r="F52" s="4" t="s">
        <v>1645</v>
      </c>
      <c r="G52" s="69">
        <v>37.658000000000001</v>
      </c>
      <c r="H52" s="168"/>
      <c r="I52" s="17">
        <f>G52*AO52</f>
        <v>0</v>
      </c>
      <c r="J52" s="17">
        <f>G52*AP52</f>
        <v>0</v>
      </c>
      <c r="K52" s="17">
        <f>G52*H52</f>
        <v>0</v>
      </c>
      <c r="L52" s="28" t="s">
        <v>1671</v>
      </c>
      <c r="Z52" s="34">
        <f>IF(AQ52="5",BJ52,0)</f>
        <v>0</v>
      </c>
      <c r="AB52" s="34">
        <f>IF(AQ52="1",BH52,0)</f>
        <v>0</v>
      </c>
      <c r="AC52" s="34">
        <f>IF(AQ52="1",BI52,0)</f>
        <v>0</v>
      </c>
      <c r="AD52" s="34">
        <f>IF(AQ52="7",BH52,0)</f>
        <v>0</v>
      </c>
      <c r="AE52" s="34">
        <f>IF(AQ52="7",BI52,0)</f>
        <v>0</v>
      </c>
      <c r="AF52" s="34">
        <f>IF(AQ52="2",BH52,0)</f>
        <v>0</v>
      </c>
      <c r="AG52" s="34">
        <f>IF(AQ52="2",BI52,0)</f>
        <v>0</v>
      </c>
      <c r="AH52" s="34">
        <f>IF(AQ52="0",BJ52,0)</f>
        <v>0</v>
      </c>
      <c r="AI52" s="29"/>
      <c r="AJ52" s="17">
        <f>IF(AN52=0,K52,0)</f>
        <v>0</v>
      </c>
      <c r="AK52" s="17">
        <f>IF(AN52=15,K52,0)</f>
        <v>0</v>
      </c>
      <c r="AL52" s="17">
        <f>IF(AN52=21,K52,0)</f>
        <v>0</v>
      </c>
      <c r="AN52" s="34">
        <v>15</v>
      </c>
      <c r="AO52" s="34">
        <f>H52*0.863567902350185</f>
        <v>0</v>
      </c>
      <c r="AP52" s="34">
        <f>H52*(1-0.863567902350185)</f>
        <v>0</v>
      </c>
      <c r="AQ52" s="28" t="s">
        <v>7</v>
      </c>
      <c r="AV52" s="34">
        <f>AW52+AX52</f>
        <v>0</v>
      </c>
      <c r="AW52" s="34">
        <f>G52*AO52</f>
        <v>0</v>
      </c>
      <c r="AX52" s="34">
        <f>G52*AP52</f>
        <v>0</v>
      </c>
      <c r="AY52" s="35" t="s">
        <v>1690</v>
      </c>
      <c r="AZ52" s="35" t="s">
        <v>1727</v>
      </c>
      <c r="BA52" s="29" t="s">
        <v>1737</v>
      </c>
      <c r="BC52" s="34">
        <f>AW52+AX52</f>
        <v>0</v>
      </c>
      <c r="BD52" s="34">
        <f>H52/(100-BE52)*100</f>
        <v>0</v>
      </c>
      <c r="BE52" s="34">
        <v>0</v>
      </c>
      <c r="BF52" s="34">
        <f>52</f>
        <v>52</v>
      </c>
      <c r="BH52" s="17">
        <f>G52*AO52</f>
        <v>0</v>
      </c>
      <c r="BI52" s="17">
        <f>G52*AP52</f>
        <v>0</v>
      </c>
      <c r="BJ52" s="17">
        <f>G52*H52</f>
        <v>0</v>
      </c>
    </row>
    <row r="53" spans="1:62" x14ac:dyDescent="0.2">
      <c r="A53" s="4" t="s">
        <v>38</v>
      </c>
      <c r="B53" s="4" t="s">
        <v>597</v>
      </c>
      <c r="C53" s="240" t="s">
        <v>1092</v>
      </c>
      <c r="D53" s="241"/>
      <c r="E53" s="241"/>
      <c r="F53" s="4" t="s">
        <v>1645</v>
      </c>
      <c r="G53" s="69">
        <v>37.658000000000001</v>
      </c>
      <c r="H53" s="168"/>
      <c r="I53" s="17">
        <f>G53*AO53</f>
        <v>0</v>
      </c>
      <c r="J53" s="17">
        <f>G53*AP53</f>
        <v>0</v>
      </c>
      <c r="K53" s="17">
        <f>G53*H53</f>
        <v>0</v>
      </c>
      <c r="L53" s="28" t="s">
        <v>1671</v>
      </c>
      <c r="Z53" s="34">
        <f>IF(AQ53="5",BJ53,0)</f>
        <v>0</v>
      </c>
      <c r="AB53" s="34">
        <f>IF(AQ53="1",BH53,0)</f>
        <v>0</v>
      </c>
      <c r="AC53" s="34">
        <f>IF(AQ53="1",BI53,0)</f>
        <v>0</v>
      </c>
      <c r="AD53" s="34">
        <f>IF(AQ53="7",BH53,0)</f>
        <v>0</v>
      </c>
      <c r="AE53" s="34">
        <f>IF(AQ53="7",BI53,0)</f>
        <v>0</v>
      </c>
      <c r="AF53" s="34">
        <f>IF(AQ53="2",BH53,0)</f>
        <v>0</v>
      </c>
      <c r="AG53" s="34">
        <f>IF(AQ53="2",BI53,0)</f>
        <v>0</v>
      </c>
      <c r="AH53" s="34">
        <f>IF(AQ53="0",BJ53,0)</f>
        <v>0</v>
      </c>
      <c r="AI53" s="29"/>
      <c r="AJ53" s="17">
        <f>IF(AN53=0,K53,0)</f>
        <v>0</v>
      </c>
      <c r="AK53" s="17">
        <f>IF(AN53=15,K53,0)</f>
        <v>0</v>
      </c>
      <c r="AL53" s="17">
        <f>IF(AN53=21,K53,0)</f>
        <v>0</v>
      </c>
      <c r="AN53" s="34">
        <v>15</v>
      </c>
      <c r="AO53" s="34">
        <f>H53*0.764047473007928</f>
        <v>0</v>
      </c>
      <c r="AP53" s="34">
        <f>H53*(1-0.764047473007928)</f>
        <v>0</v>
      </c>
      <c r="AQ53" s="28" t="s">
        <v>7</v>
      </c>
      <c r="AV53" s="34">
        <f>AW53+AX53</f>
        <v>0</v>
      </c>
      <c r="AW53" s="34">
        <f>G53*AO53</f>
        <v>0</v>
      </c>
      <c r="AX53" s="34">
        <f>G53*AP53</f>
        <v>0</v>
      </c>
      <c r="AY53" s="35" t="s">
        <v>1690</v>
      </c>
      <c r="AZ53" s="35" t="s">
        <v>1727</v>
      </c>
      <c r="BA53" s="29" t="s">
        <v>1737</v>
      </c>
      <c r="BC53" s="34">
        <f>AW53+AX53</f>
        <v>0</v>
      </c>
      <c r="BD53" s="34">
        <f>H53/(100-BE53)*100</f>
        <v>0</v>
      </c>
      <c r="BE53" s="34">
        <v>0</v>
      </c>
      <c r="BF53" s="34">
        <f>53</f>
        <v>53</v>
      </c>
      <c r="BH53" s="17">
        <f>G53*AO53</f>
        <v>0</v>
      </c>
      <c r="BI53" s="17">
        <f>G53*AP53</f>
        <v>0</v>
      </c>
      <c r="BJ53" s="17">
        <f>G53*H53</f>
        <v>0</v>
      </c>
    </row>
    <row r="54" spans="1:62" x14ac:dyDescent="0.2">
      <c r="A54" s="4" t="s">
        <v>39</v>
      </c>
      <c r="B54" s="4" t="s">
        <v>598</v>
      </c>
      <c r="C54" s="240" t="s">
        <v>1093</v>
      </c>
      <c r="D54" s="241"/>
      <c r="E54" s="241"/>
      <c r="F54" s="4" t="s">
        <v>1645</v>
      </c>
      <c r="G54" s="69">
        <v>37.658000000000001</v>
      </c>
      <c r="H54" s="168"/>
      <c r="I54" s="17">
        <f>G54*AO54</f>
        <v>0</v>
      </c>
      <c r="J54" s="17">
        <f>G54*AP54</f>
        <v>0</v>
      </c>
      <c r="K54" s="17">
        <f>G54*H54</f>
        <v>0</v>
      </c>
      <c r="L54" s="28" t="s">
        <v>1671</v>
      </c>
      <c r="Z54" s="34">
        <f>IF(AQ54="5",BJ54,0)</f>
        <v>0</v>
      </c>
      <c r="AB54" s="34">
        <f>IF(AQ54="1",BH54,0)</f>
        <v>0</v>
      </c>
      <c r="AC54" s="34">
        <f>IF(AQ54="1",BI54,0)</f>
        <v>0</v>
      </c>
      <c r="AD54" s="34">
        <f>IF(AQ54="7",BH54,0)</f>
        <v>0</v>
      </c>
      <c r="AE54" s="34">
        <f>IF(AQ54="7",BI54,0)</f>
        <v>0</v>
      </c>
      <c r="AF54" s="34">
        <f>IF(AQ54="2",BH54,0)</f>
        <v>0</v>
      </c>
      <c r="AG54" s="34">
        <f>IF(AQ54="2",BI54,0)</f>
        <v>0</v>
      </c>
      <c r="AH54" s="34">
        <f>IF(AQ54="0",BJ54,0)</f>
        <v>0</v>
      </c>
      <c r="AI54" s="29"/>
      <c r="AJ54" s="17">
        <f>IF(AN54=0,K54,0)</f>
        <v>0</v>
      </c>
      <c r="AK54" s="17">
        <f>IF(AN54=15,K54,0)</f>
        <v>0</v>
      </c>
      <c r="AL54" s="17">
        <f>IF(AN54=21,K54,0)</f>
        <v>0</v>
      </c>
      <c r="AN54" s="34">
        <v>15</v>
      </c>
      <c r="AO54" s="34">
        <f>H54*0</f>
        <v>0</v>
      </c>
      <c r="AP54" s="34">
        <f>H54*(1-0)</f>
        <v>0</v>
      </c>
      <c r="AQ54" s="28" t="s">
        <v>7</v>
      </c>
      <c r="AV54" s="34">
        <f>AW54+AX54</f>
        <v>0</v>
      </c>
      <c r="AW54" s="34">
        <f>G54*AO54</f>
        <v>0</v>
      </c>
      <c r="AX54" s="34">
        <f>G54*AP54</f>
        <v>0</v>
      </c>
      <c r="AY54" s="35" t="s">
        <v>1690</v>
      </c>
      <c r="AZ54" s="35" t="s">
        <v>1727</v>
      </c>
      <c r="BA54" s="29" t="s">
        <v>1737</v>
      </c>
      <c r="BC54" s="34">
        <f>AW54+AX54</f>
        <v>0</v>
      </c>
      <c r="BD54" s="34">
        <f>H54/(100-BE54)*100</f>
        <v>0</v>
      </c>
      <c r="BE54" s="34">
        <v>0</v>
      </c>
      <c r="BF54" s="34">
        <f>54</f>
        <v>54</v>
      </c>
      <c r="BH54" s="17">
        <f>G54*AO54</f>
        <v>0</v>
      </c>
      <c r="BI54" s="17">
        <f>G54*AP54</f>
        <v>0</v>
      </c>
      <c r="BJ54" s="17">
        <f>G54*H54</f>
        <v>0</v>
      </c>
    </row>
    <row r="55" spans="1:62" x14ac:dyDescent="0.2">
      <c r="A55" s="5"/>
      <c r="B55" s="13" t="s">
        <v>65</v>
      </c>
      <c r="C55" s="244" t="s">
        <v>1094</v>
      </c>
      <c r="D55" s="245"/>
      <c r="E55" s="245"/>
      <c r="F55" s="5" t="s">
        <v>6</v>
      </c>
      <c r="G55" s="5" t="s">
        <v>6</v>
      </c>
      <c r="H55" s="5" t="s">
        <v>6</v>
      </c>
      <c r="I55" s="37">
        <f>SUM(I56:I57)</f>
        <v>0</v>
      </c>
      <c r="J55" s="37">
        <f>SUM(J56:J57)</f>
        <v>0</v>
      </c>
      <c r="K55" s="37">
        <f>SUM(K56:K57)</f>
        <v>0</v>
      </c>
      <c r="L55" s="29"/>
      <c r="AI55" s="29"/>
      <c r="AS55" s="37">
        <f>SUM(AJ56:AJ57)</f>
        <v>0</v>
      </c>
      <c r="AT55" s="37">
        <f>SUM(AK56:AK57)</f>
        <v>0</v>
      </c>
      <c r="AU55" s="37">
        <f>SUM(AL56:AL57)</f>
        <v>0</v>
      </c>
    </row>
    <row r="56" spans="1:62" x14ac:dyDescent="0.2">
      <c r="A56" s="4" t="s">
        <v>40</v>
      </c>
      <c r="B56" s="4" t="s">
        <v>599</v>
      </c>
      <c r="C56" s="240" t="s">
        <v>1095</v>
      </c>
      <c r="D56" s="241"/>
      <c r="E56" s="241"/>
      <c r="F56" s="4" t="s">
        <v>1645</v>
      </c>
      <c r="G56" s="69">
        <v>5.58</v>
      </c>
      <c r="H56" s="168"/>
      <c r="I56" s="17">
        <f>G56*AO56</f>
        <v>0</v>
      </c>
      <c r="J56" s="17">
        <f>G56*AP56</f>
        <v>0</v>
      </c>
      <c r="K56" s="17">
        <f>G56*H56</f>
        <v>0</v>
      </c>
      <c r="L56" s="28" t="s">
        <v>1671</v>
      </c>
      <c r="Z56" s="34">
        <f>IF(AQ56="5",BJ56,0)</f>
        <v>0</v>
      </c>
      <c r="AB56" s="34">
        <f>IF(AQ56="1",BH56,0)</f>
        <v>0</v>
      </c>
      <c r="AC56" s="34">
        <f>IF(AQ56="1",BI56,0)</f>
        <v>0</v>
      </c>
      <c r="AD56" s="34">
        <f>IF(AQ56="7",BH56,0)</f>
        <v>0</v>
      </c>
      <c r="AE56" s="34">
        <f>IF(AQ56="7",BI56,0)</f>
        <v>0</v>
      </c>
      <c r="AF56" s="34">
        <f>IF(AQ56="2",BH56,0)</f>
        <v>0</v>
      </c>
      <c r="AG56" s="34">
        <f>IF(AQ56="2",BI56,0)</f>
        <v>0</v>
      </c>
      <c r="AH56" s="34">
        <f>IF(AQ56="0",BJ56,0)</f>
        <v>0</v>
      </c>
      <c r="AI56" s="29"/>
      <c r="AJ56" s="17">
        <f>IF(AN56=0,K56,0)</f>
        <v>0</v>
      </c>
      <c r="AK56" s="17">
        <f>IF(AN56=15,K56,0)</f>
        <v>0</v>
      </c>
      <c r="AL56" s="17">
        <f>IF(AN56=21,K56,0)</f>
        <v>0</v>
      </c>
      <c r="AN56" s="34">
        <v>15</v>
      </c>
      <c r="AO56" s="34">
        <f>H56*0.51</f>
        <v>0</v>
      </c>
      <c r="AP56" s="34">
        <f>H56*(1-0.51)</f>
        <v>0</v>
      </c>
      <c r="AQ56" s="28" t="s">
        <v>7</v>
      </c>
      <c r="AV56" s="34">
        <f>AW56+AX56</f>
        <v>0</v>
      </c>
      <c r="AW56" s="34">
        <f>G56*AO56</f>
        <v>0</v>
      </c>
      <c r="AX56" s="34">
        <f>G56*AP56</f>
        <v>0</v>
      </c>
      <c r="AY56" s="35" t="s">
        <v>1691</v>
      </c>
      <c r="AZ56" s="35" t="s">
        <v>1727</v>
      </c>
      <c r="BA56" s="29" t="s">
        <v>1737</v>
      </c>
      <c r="BC56" s="34">
        <f>AW56+AX56</f>
        <v>0</v>
      </c>
      <c r="BD56" s="34">
        <f>H56/(100-BE56)*100</f>
        <v>0</v>
      </c>
      <c r="BE56" s="34">
        <v>0</v>
      </c>
      <c r="BF56" s="34">
        <f>56</f>
        <v>56</v>
      </c>
      <c r="BH56" s="17">
        <f>G56*AO56</f>
        <v>0</v>
      </c>
      <c r="BI56" s="17">
        <f>G56*AP56</f>
        <v>0</v>
      </c>
      <c r="BJ56" s="17">
        <f>G56*H56</f>
        <v>0</v>
      </c>
    </row>
    <row r="57" spans="1:62" x14ac:dyDescent="0.2">
      <c r="A57" s="4" t="s">
        <v>41</v>
      </c>
      <c r="B57" s="4" t="s">
        <v>600</v>
      </c>
      <c r="C57" s="240" t="s">
        <v>1096</v>
      </c>
      <c r="D57" s="241"/>
      <c r="E57" s="241"/>
      <c r="F57" s="4" t="s">
        <v>1645</v>
      </c>
      <c r="G57" s="69">
        <v>37.658000000000001</v>
      </c>
      <c r="H57" s="168"/>
      <c r="I57" s="17">
        <f>G57*AO57</f>
        <v>0</v>
      </c>
      <c r="J57" s="17">
        <f>G57*AP57</f>
        <v>0</v>
      </c>
      <c r="K57" s="17">
        <f>G57*H57</f>
        <v>0</v>
      </c>
      <c r="L57" s="28" t="s">
        <v>1671</v>
      </c>
      <c r="Z57" s="34">
        <f>IF(AQ57="5",BJ57,0)</f>
        <v>0</v>
      </c>
      <c r="AB57" s="34">
        <f>IF(AQ57="1",BH57,0)</f>
        <v>0</v>
      </c>
      <c r="AC57" s="34">
        <f>IF(AQ57="1",BI57,0)</f>
        <v>0</v>
      </c>
      <c r="AD57" s="34">
        <f>IF(AQ57="7",BH57,0)</f>
        <v>0</v>
      </c>
      <c r="AE57" s="34">
        <f>IF(AQ57="7",BI57,0)</f>
        <v>0</v>
      </c>
      <c r="AF57" s="34">
        <f>IF(AQ57="2",BH57,0)</f>
        <v>0</v>
      </c>
      <c r="AG57" s="34">
        <f>IF(AQ57="2",BI57,0)</f>
        <v>0</v>
      </c>
      <c r="AH57" s="34">
        <f>IF(AQ57="0",BJ57,0)</f>
        <v>0</v>
      </c>
      <c r="AI57" s="29"/>
      <c r="AJ57" s="17">
        <f>IF(AN57=0,K57,0)</f>
        <v>0</v>
      </c>
      <c r="AK57" s="17">
        <f>IF(AN57=15,K57,0)</f>
        <v>0</v>
      </c>
      <c r="AL57" s="17">
        <f>IF(AN57=21,K57,0)</f>
        <v>0</v>
      </c>
      <c r="AN57" s="34">
        <v>15</v>
      </c>
      <c r="AO57" s="34">
        <f>H57*0.763125680345472</f>
        <v>0</v>
      </c>
      <c r="AP57" s="34">
        <f>H57*(1-0.763125680345472)</f>
        <v>0</v>
      </c>
      <c r="AQ57" s="28" t="s">
        <v>7</v>
      </c>
      <c r="AV57" s="34">
        <f>AW57+AX57</f>
        <v>0</v>
      </c>
      <c r="AW57" s="34">
        <f>G57*AO57</f>
        <v>0</v>
      </c>
      <c r="AX57" s="34">
        <f>G57*AP57</f>
        <v>0</v>
      </c>
      <c r="AY57" s="35" t="s">
        <v>1691</v>
      </c>
      <c r="AZ57" s="35" t="s">
        <v>1727</v>
      </c>
      <c r="BA57" s="29" t="s">
        <v>1737</v>
      </c>
      <c r="BC57" s="34">
        <f>AW57+AX57</f>
        <v>0</v>
      </c>
      <c r="BD57" s="34">
        <f>H57/(100-BE57)*100</f>
        <v>0</v>
      </c>
      <c r="BE57" s="34">
        <v>0</v>
      </c>
      <c r="BF57" s="34">
        <f>57</f>
        <v>57</v>
      </c>
      <c r="BH57" s="17">
        <f>G57*AO57</f>
        <v>0</v>
      </c>
      <c r="BI57" s="17">
        <f>G57*AP57</f>
        <v>0</v>
      </c>
      <c r="BJ57" s="17">
        <f>G57*H57</f>
        <v>0</v>
      </c>
    </row>
    <row r="58" spans="1:62" x14ac:dyDescent="0.2">
      <c r="A58" s="5"/>
      <c r="B58" s="13" t="s">
        <v>67</v>
      </c>
      <c r="C58" s="244" t="s">
        <v>1097</v>
      </c>
      <c r="D58" s="245"/>
      <c r="E58" s="245"/>
      <c r="F58" s="5" t="s">
        <v>6</v>
      </c>
      <c r="G58" s="5" t="s">
        <v>6</v>
      </c>
      <c r="H58" s="5" t="s">
        <v>6</v>
      </c>
      <c r="I58" s="37">
        <f>SUM(I59:I64)</f>
        <v>0</v>
      </c>
      <c r="J58" s="37">
        <f>SUM(J59:J64)</f>
        <v>0</v>
      </c>
      <c r="K58" s="37">
        <f>SUM(K59:K64)</f>
        <v>0</v>
      </c>
      <c r="L58" s="29"/>
      <c r="AI58" s="29"/>
      <c r="AS58" s="37">
        <f>SUM(AJ59:AJ64)</f>
        <v>0</v>
      </c>
      <c r="AT58" s="37">
        <f>SUM(AK59:AK64)</f>
        <v>0</v>
      </c>
      <c r="AU58" s="37">
        <f>SUM(AL59:AL64)</f>
        <v>0</v>
      </c>
    </row>
    <row r="59" spans="1:62" x14ac:dyDescent="0.2">
      <c r="A59" s="4" t="s">
        <v>42</v>
      </c>
      <c r="B59" s="4" t="s">
        <v>601</v>
      </c>
      <c r="C59" s="240" t="s">
        <v>1098</v>
      </c>
      <c r="D59" s="241"/>
      <c r="E59" s="241"/>
      <c r="F59" s="4" t="s">
        <v>1645</v>
      </c>
      <c r="G59" s="69">
        <v>16.649999999999999</v>
      </c>
      <c r="H59" s="168"/>
      <c r="I59" s="17">
        <f t="shared" ref="I59:I64" si="22">G59*AO59</f>
        <v>0</v>
      </c>
      <c r="J59" s="17">
        <f t="shared" ref="J59:J64" si="23">G59*AP59</f>
        <v>0</v>
      </c>
      <c r="K59" s="17">
        <f t="shared" ref="K59:K64" si="24">G59*H59</f>
        <v>0</v>
      </c>
      <c r="L59" s="28" t="s">
        <v>1671</v>
      </c>
      <c r="Z59" s="34">
        <f t="shared" ref="Z59:Z64" si="25">IF(AQ59="5",BJ59,0)</f>
        <v>0</v>
      </c>
      <c r="AB59" s="34">
        <f t="shared" ref="AB59:AB64" si="26">IF(AQ59="1",BH59,0)</f>
        <v>0</v>
      </c>
      <c r="AC59" s="34">
        <f t="shared" ref="AC59:AC64" si="27">IF(AQ59="1",BI59,0)</f>
        <v>0</v>
      </c>
      <c r="AD59" s="34">
        <f t="shared" ref="AD59:AD64" si="28">IF(AQ59="7",BH59,0)</f>
        <v>0</v>
      </c>
      <c r="AE59" s="34">
        <f t="shared" ref="AE59:AE64" si="29">IF(AQ59="7",BI59,0)</f>
        <v>0</v>
      </c>
      <c r="AF59" s="34">
        <f t="shared" ref="AF59:AF64" si="30">IF(AQ59="2",BH59,0)</f>
        <v>0</v>
      </c>
      <c r="AG59" s="34">
        <f t="shared" ref="AG59:AG64" si="31">IF(AQ59="2",BI59,0)</f>
        <v>0</v>
      </c>
      <c r="AH59" s="34">
        <f t="shared" ref="AH59:AH64" si="32">IF(AQ59="0",BJ59,0)</f>
        <v>0</v>
      </c>
      <c r="AI59" s="29"/>
      <c r="AJ59" s="17">
        <f t="shared" ref="AJ59:AJ64" si="33">IF(AN59=0,K59,0)</f>
        <v>0</v>
      </c>
      <c r="AK59" s="17">
        <f t="shared" ref="AK59:AK64" si="34">IF(AN59=15,K59,0)</f>
        <v>0</v>
      </c>
      <c r="AL59" s="17">
        <f t="shared" ref="AL59:AL64" si="35">IF(AN59=21,K59,0)</f>
        <v>0</v>
      </c>
      <c r="AN59" s="34">
        <v>15</v>
      </c>
      <c r="AO59" s="34">
        <f>H59*0.137604451028697</f>
        <v>0</v>
      </c>
      <c r="AP59" s="34">
        <f>H59*(1-0.137604451028697)</f>
        <v>0</v>
      </c>
      <c r="AQ59" s="28" t="s">
        <v>7</v>
      </c>
      <c r="AV59" s="34">
        <f t="shared" ref="AV59:AV64" si="36">AW59+AX59</f>
        <v>0</v>
      </c>
      <c r="AW59" s="34">
        <f t="shared" ref="AW59:AW64" si="37">G59*AO59</f>
        <v>0</v>
      </c>
      <c r="AX59" s="34">
        <f t="shared" ref="AX59:AX64" si="38">G59*AP59</f>
        <v>0</v>
      </c>
      <c r="AY59" s="35" t="s">
        <v>1692</v>
      </c>
      <c r="AZ59" s="35" t="s">
        <v>1728</v>
      </c>
      <c r="BA59" s="29" t="s">
        <v>1737</v>
      </c>
      <c r="BC59" s="34">
        <f t="shared" ref="BC59:BC64" si="39">AW59+AX59</f>
        <v>0</v>
      </c>
      <c r="BD59" s="34">
        <f t="shared" ref="BD59:BD64" si="40">H59/(100-BE59)*100</f>
        <v>0</v>
      </c>
      <c r="BE59" s="34">
        <v>0</v>
      </c>
      <c r="BF59" s="34">
        <f>59</f>
        <v>59</v>
      </c>
      <c r="BH59" s="17">
        <f t="shared" ref="BH59:BH64" si="41">G59*AO59</f>
        <v>0</v>
      </c>
      <c r="BI59" s="17">
        <f t="shared" ref="BI59:BI64" si="42">G59*AP59</f>
        <v>0</v>
      </c>
      <c r="BJ59" s="17">
        <f t="shared" ref="BJ59:BJ64" si="43">G59*H59</f>
        <v>0</v>
      </c>
    </row>
    <row r="60" spans="1:62" x14ac:dyDescent="0.2">
      <c r="A60" s="4" t="s">
        <v>43</v>
      </c>
      <c r="B60" s="4" t="s">
        <v>602</v>
      </c>
      <c r="C60" s="240" t="s">
        <v>1099</v>
      </c>
      <c r="D60" s="241"/>
      <c r="E60" s="241"/>
      <c r="F60" s="4" t="s">
        <v>1645</v>
      </c>
      <c r="G60" s="69">
        <v>2.4340000000000002</v>
      </c>
      <c r="H60" s="168"/>
      <c r="I60" s="17">
        <f t="shared" si="22"/>
        <v>0</v>
      </c>
      <c r="J60" s="17">
        <f t="shared" si="23"/>
        <v>0</v>
      </c>
      <c r="K60" s="17">
        <f t="shared" si="24"/>
        <v>0</v>
      </c>
      <c r="L60" s="28" t="s">
        <v>1671</v>
      </c>
      <c r="Z60" s="34">
        <f t="shared" si="25"/>
        <v>0</v>
      </c>
      <c r="AB60" s="34">
        <f t="shared" si="26"/>
        <v>0</v>
      </c>
      <c r="AC60" s="34">
        <f t="shared" si="27"/>
        <v>0</v>
      </c>
      <c r="AD60" s="34">
        <f t="shared" si="28"/>
        <v>0</v>
      </c>
      <c r="AE60" s="34">
        <f t="shared" si="29"/>
        <v>0</v>
      </c>
      <c r="AF60" s="34">
        <f t="shared" si="30"/>
        <v>0</v>
      </c>
      <c r="AG60" s="34">
        <f t="shared" si="31"/>
        <v>0</v>
      </c>
      <c r="AH60" s="34">
        <f t="shared" si="32"/>
        <v>0</v>
      </c>
      <c r="AI60" s="29"/>
      <c r="AJ60" s="17">
        <f t="shared" si="33"/>
        <v>0</v>
      </c>
      <c r="AK60" s="17">
        <f t="shared" si="34"/>
        <v>0</v>
      </c>
      <c r="AL60" s="17">
        <f t="shared" si="35"/>
        <v>0</v>
      </c>
      <c r="AN60" s="34">
        <v>15</v>
      </c>
      <c r="AO60" s="34">
        <f>H60*0.193999097011107</f>
        <v>0</v>
      </c>
      <c r="AP60" s="34">
        <f>H60*(1-0.193999097011107)</f>
        <v>0</v>
      </c>
      <c r="AQ60" s="28" t="s">
        <v>7</v>
      </c>
      <c r="AV60" s="34">
        <f t="shared" si="36"/>
        <v>0</v>
      </c>
      <c r="AW60" s="34">
        <f t="shared" si="37"/>
        <v>0</v>
      </c>
      <c r="AX60" s="34">
        <f t="shared" si="38"/>
        <v>0</v>
      </c>
      <c r="AY60" s="35" t="s">
        <v>1692</v>
      </c>
      <c r="AZ60" s="35" t="s">
        <v>1728</v>
      </c>
      <c r="BA60" s="29" t="s">
        <v>1737</v>
      </c>
      <c r="BC60" s="34">
        <f t="shared" si="39"/>
        <v>0</v>
      </c>
      <c r="BD60" s="34">
        <f t="shared" si="40"/>
        <v>0</v>
      </c>
      <c r="BE60" s="34">
        <v>0</v>
      </c>
      <c r="BF60" s="34">
        <f>60</f>
        <v>60</v>
      </c>
      <c r="BH60" s="17">
        <f t="shared" si="41"/>
        <v>0</v>
      </c>
      <c r="BI60" s="17">
        <f t="shared" si="42"/>
        <v>0</v>
      </c>
      <c r="BJ60" s="17">
        <f t="shared" si="43"/>
        <v>0</v>
      </c>
    </row>
    <row r="61" spans="1:62" x14ac:dyDescent="0.2">
      <c r="A61" s="4" t="s">
        <v>44</v>
      </c>
      <c r="B61" s="4" t="s">
        <v>603</v>
      </c>
      <c r="C61" s="240" t="s">
        <v>1100</v>
      </c>
      <c r="D61" s="241"/>
      <c r="E61" s="241"/>
      <c r="F61" s="4" t="s">
        <v>1645</v>
      </c>
      <c r="G61" s="69">
        <v>2.4340000000000002</v>
      </c>
      <c r="H61" s="168"/>
      <c r="I61" s="17">
        <f t="shared" si="22"/>
        <v>0</v>
      </c>
      <c r="J61" s="17">
        <f t="shared" si="23"/>
        <v>0</v>
      </c>
      <c r="K61" s="17">
        <f t="shared" si="24"/>
        <v>0</v>
      </c>
      <c r="L61" s="28" t="s">
        <v>1671</v>
      </c>
      <c r="Z61" s="34">
        <f t="shared" si="25"/>
        <v>0</v>
      </c>
      <c r="AB61" s="34">
        <f t="shared" si="26"/>
        <v>0</v>
      </c>
      <c r="AC61" s="34">
        <f t="shared" si="27"/>
        <v>0</v>
      </c>
      <c r="AD61" s="34">
        <f t="shared" si="28"/>
        <v>0</v>
      </c>
      <c r="AE61" s="34">
        <f t="shared" si="29"/>
        <v>0</v>
      </c>
      <c r="AF61" s="34">
        <f t="shared" si="30"/>
        <v>0</v>
      </c>
      <c r="AG61" s="34">
        <f t="shared" si="31"/>
        <v>0</v>
      </c>
      <c r="AH61" s="34">
        <f t="shared" si="32"/>
        <v>0</v>
      </c>
      <c r="AI61" s="29"/>
      <c r="AJ61" s="17">
        <f t="shared" si="33"/>
        <v>0</v>
      </c>
      <c r="AK61" s="17">
        <f t="shared" si="34"/>
        <v>0</v>
      </c>
      <c r="AL61" s="17">
        <f t="shared" si="35"/>
        <v>0</v>
      </c>
      <c r="AN61" s="34">
        <v>15</v>
      </c>
      <c r="AO61" s="34">
        <f>H61*0.096948750948751</f>
        <v>0</v>
      </c>
      <c r="AP61" s="34">
        <f>H61*(1-0.096948750948751)</f>
        <v>0</v>
      </c>
      <c r="AQ61" s="28" t="s">
        <v>7</v>
      </c>
      <c r="AV61" s="34">
        <f t="shared" si="36"/>
        <v>0</v>
      </c>
      <c r="AW61" s="34">
        <f t="shared" si="37"/>
        <v>0</v>
      </c>
      <c r="AX61" s="34">
        <f t="shared" si="38"/>
        <v>0</v>
      </c>
      <c r="AY61" s="35" t="s">
        <v>1692</v>
      </c>
      <c r="AZ61" s="35" t="s">
        <v>1728</v>
      </c>
      <c r="BA61" s="29" t="s">
        <v>1737</v>
      </c>
      <c r="BC61" s="34">
        <f t="shared" si="39"/>
        <v>0</v>
      </c>
      <c r="BD61" s="34">
        <f t="shared" si="40"/>
        <v>0</v>
      </c>
      <c r="BE61" s="34">
        <v>0</v>
      </c>
      <c r="BF61" s="34">
        <f>61</f>
        <v>61</v>
      </c>
      <c r="BH61" s="17">
        <f t="shared" si="41"/>
        <v>0</v>
      </c>
      <c r="BI61" s="17">
        <f t="shared" si="42"/>
        <v>0</v>
      </c>
      <c r="BJ61" s="17">
        <f t="shared" si="43"/>
        <v>0</v>
      </c>
    </row>
    <row r="62" spans="1:62" x14ac:dyDescent="0.2">
      <c r="A62" s="4" t="s">
        <v>45</v>
      </c>
      <c r="B62" s="4" t="s">
        <v>604</v>
      </c>
      <c r="C62" s="240" t="s">
        <v>1101</v>
      </c>
      <c r="D62" s="241"/>
      <c r="E62" s="241"/>
      <c r="F62" s="4" t="s">
        <v>1645</v>
      </c>
      <c r="G62" s="69">
        <v>12.41</v>
      </c>
      <c r="H62" s="168"/>
      <c r="I62" s="17">
        <f t="shared" si="22"/>
        <v>0</v>
      </c>
      <c r="J62" s="17">
        <f t="shared" si="23"/>
        <v>0</v>
      </c>
      <c r="K62" s="17">
        <f t="shared" si="24"/>
        <v>0</v>
      </c>
      <c r="L62" s="28" t="s">
        <v>1671</v>
      </c>
      <c r="Z62" s="34">
        <f t="shared" si="25"/>
        <v>0</v>
      </c>
      <c r="AB62" s="34">
        <f t="shared" si="26"/>
        <v>0</v>
      </c>
      <c r="AC62" s="34">
        <f t="shared" si="27"/>
        <v>0</v>
      </c>
      <c r="AD62" s="34">
        <f t="shared" si="28"/>
        <v>0</v>
      </c>
      <c r="AE62" s="34">
        <f t="shared" si="29"/>
        <v>0</v>
      </c>
      <c r="AF62" s="34">
        <f t="shared" si="30"/>
        <v>0</v>
      </c>
      <c r="AG62" s="34">
        <f t="shared" si="31"/>
        <v>0</v>
      </c>
      <c r="AH62" s="34">
        <f t="shared" si="32"/>
        <v>0</v>
      </c>
      <c r="AI62" s="29"/>
      <c r="AJ62" s="17">
        <f t="shared" si="33"/>
        <v>0</v>
      </c>
      <c r="AK62" s="17">
        <f t="shared" si="34"/>
        <v>0</v>
      </c>
      <c r="AL62" s="17">
        <f t="shared" si="35"/>
        <v>0</v>
      </c>
      <c r="AN62" s="34">
        <v>15</v>
      </c>
      <c r="AO62" s="34">
        <f>H62*0.0969228697596279</f>
        <v>0</v>
      </c>
      <c r="AP62" s="34">
        <f>H62*(1-0.0969228697596279)</f>
        <v>0</v>
      </c>
      <c r="AQ62" s="28" t="s">
        <v>7</v>
      </c>
      <c r="AV62" s="34">
        <f t="shared" si="36"/>
        <v>0</v>
      </c>
      <c r="AW62" s="34">
        <f t="shared" si="37"/>
        <v>0</v>
      </c>
      <c r="AX62" s="34">
        <f t="shared" si="38"/>
        <v>0</v>
      </c>
      <c r="AY62" s="35" t="s">
        <v>1692</v>
      </c>
      <c r="AZ62" s="35" t="s">
        <v>1728</v>
      </c>
      <c r="BA62" s="29" t="s">
        <v>1737</v>
      </c>
      <c r="BC62" s="34">
        <f t="shared" si="39"/>
        <v>0</v>
      </c>
      <c r="BD62" s="34">
        <f t="shared" si="40"/>
        <v>0</v>
      </c>
      <c r="BE62" s="34">
        <v>0</v>
      </c>
      <c r="BF62" s="34">
        <f>62</f>
        <v>62</v>
      </c>
      <c r="BH62" s="17">
        <f t="shared" si="41"/>
        <v>0</v>
      </c>
      <c r="BI62" s="17">
        <f t="shared" si="42"/>
        <v>0</v>
      </c>
      <c r="BJ62" s="17">
        <f t="shared" si="43"/>
        <v>0</v>
      </c>
    </row>
    <row r="63" spans="1:62" x14ac:dyDescent="0.2">
      <c r="A63" s="4" t="s">
        <v>46</v>
      </c>
      <c r="B63" s="4" t="s">
        <v>605</v>
      </c>
      <c r="C63" s="240" t="s">
        <v>1102</v>
      </c>
      <c r="D63" s="241"/>
      <c r="E63" s="241"/>
      <c r="F63" s="4" t="s">
        <v>1645</v>
      </c>
      <c r="G63" s="69">
        <v>268.387</v>
      </c>
      <c r="H63" s="168"/>
      <c r="I63" s="17">
        <f t="shared" si="22"/>
        <v>0</v>
      </c>
      <c r="J63" s="17">
        <f t="shared" si="23"/>
        <v>0</v>
      </c>
      <c r="K63" s="17">
        <f t="shared" si="24"/>
        <v>0</v>
      </c>
      <c r="L63" s="28" t="s">
        <v>1671</v>
      </c>
      <c r="Z63" s="34">
        <f t="shared" si="25"/>
        <v>0</v>
      </c>
      <c r="AB63" s="34">
        <f t="shared" si="26"/>
        <v>0</v>
      </c>
      <c r="AC63" s="34">
        <f t="shared" si="27"/>
        <v>0</v>
      </c>
      <c r="AD63" s="34">
        <f t="shared" si="28"/>
        <v>0</v>
      </c>
      <c r="AE63" s="34">
        <f t="shared" si="29"/>
        <v>0</v>
      </c>
      <c r="AF63" s="34">
        <f t="shared" si="30"/>
        <v>0</v>
      </c>
      <c r="AG63" s="34">
        <f t="shared" si="31"/>
        <v>0</v>
      </c>
      <c r="AH63" s="34">
        <f t="shared" si="32"/>
        <v>0</v>
      </c>
      <c r="AI63" s="29"/>
      <c r="AJ63" s="17">
        <f t="shared" si="33"/>
        <v>0</v>
      </c>
      <c r="AK63" s="17">
        <f t="shared" si="34"/>
        <v>0</v>
      </c>
      <c r="AL63" s="17">
        <f t="shared" si="35"/>
        <v>0</v>
      </c>
      <c r="AN63" s="34">
        <v>15</v>
      </c>
      <c r="AO63" s="34">
        <f>H63*0.0912499988356366</f>
        <v>0</v>
      </c>
      <c r="AP63" s="34">
        <f>H63*(1-0.0912499988356366)</f>
        <v>0</v>
      </c>
      <c r="AQ63" s="28" t="s">
        <v>7</v>
      </c>
      <c r="AV63" s="34">
        <f t="shared" si="36"/>
        <v>0</v>
      </c>
      <c r="AW63" s="34">
        <f t="shared" si="37"/>
        <v>0</v>
      </c>
      <c r="AX63" s="34">
        <f t="shared" si="38"/>
        <v>0</v>
      </c>
      <c r="AY63" s="35" t="s">
        <v>1692</v>
      </c>
      <c r="AZ63" s="35" t="s">
        <v>1728</v>
      </c>
      <c r="BA63" s="29" t="s">
        <v>1737</v>
      </c>
      <c r="BC63" s="34">
        <f t="shared" si="39"/>
        <v>0</v>
      </c>
      <c r="BD63" s="34">
        <f t="shared" si="40"/>
        <v>0</v>
      </c>
      <c r="BE63" s="34">
        <v>0</v>
      </c>
      <c r="BF63" s="34">
        <f>63</f>
        <v>63</v>
      </c>
      <c r="BH63" s="17">
        <f t="shared" si="41"/>
        <v>0</v>
      </c>
      <c r="BI63" s="17">
        <f t="shared" si="42"/>
        <v>0</v>
      </c>
      <c r="BJ63" s="17">
        <f t="shared" si="43"/>
        <v>0</v>
      </c>
    </row>
    <row r="64" spans="1:62" x14ac:dyDescent="0.2">
      <c r="A64" s="4" t="s">
        <v>47</v>
      </c>
      <c r="B64" s="4" t="s">
        <v>606</v>
      </c>
      <c r="C64" s="240" t="s">
        <v>1103</v>
      </c>
      <c r="D64" s="241"/>
      <c r="E64" s="241"/>
      <c r="F64" s="4" t="s">
        <v>1645</v>
      </c>
      <c r="G64" s="69">
        <v>23.97</v>
      </c>
      <c r="H64" s="168"/>
      <c r="I64" s="17">
        <f t="shared" si="22"/>
        <v>0</v>
      </c>
      <c r="J64" s="17">
        <f t="shared" si="23"/>
        <v>0</v>
      </c>
      <c r="K64" s="17">
        <f t="shared" si="24"/>
        <v>0</v>
      </c>
      <c r="L64" s="28" t="s">
        <v>1671</v>
      </c>
      <c r="Z64" s="34">
        <f t="shared" si="25"/>
        <v>0</v>
      </c>
      <c r="AB64" s="34">
        <f t="shared" si="26"/>
        <v>0</v>
      </c>
      <c r="AC64" s="34">
        <f t="shared" si="27"/>
        <v>0</v>
      </c>
      <c r="AD64" s="34">
        <f t="shared" si="28"/>
        <v>0</v>
      </c>
      <c r="AE64" s="34">
        <f t="shared" si="29"/>
        <v>0</v>
      </c>
      <c r="AF64" s="34">
        <f t="shared" si="30"/>
        <v>0</v>
      </c>
      <c r="AG64" s="34">
        <f t="shared" si="31"/>
        <v>0</v>
      </c>
      <c r="AH64" s="34">
        <f t="shared" si="32"/>
        <v>0</v>
      </c>
      <c r="AI64" s="29"/>
      <c r="AJ64" s="17">
        <f t="shared" si="33"/>
        <v>0</v>
      </c>
      <c r="AK64" s="17">
        <f t="shared" si="34"/>
        <v>0</v>
      </c>
      <c r="AL64" s="17">
        <f t="shared" si="35"/>
        <v>0</v>
      </c>
      <c r="AN64" s="34">
        <v>15</v>
      </c>
      <c r="AO64" s="34">
        <f>H64*0.523085271317829</f>
        <v>0</v>
      </c>
      <c r="AP64" s="34">
        <f>H64*(1-0.523085271317829)</f>
        <v>0</v>
      </c>
      <c r="AQ64" s="28" t="s">
        <v>7</v>
      </c>
      <c r="AV64" s="34">
        <f t="shared" si="36"/>
        <v>0</v>
      </c>
      <c r="AW64" s="34">
        <f t="shared" si="37"/>
        <v>0</v>
      </c>
      <c r="AX64" s="34">
        <f t="shared" si="38"/>
        <v>0</v>
      </c>
      <c r="AY64" s="35" t="s">
        <v>1692</v>
      </c>
      <c r="AZ64" s="35" t="s">
        <v>1728</v>
      </c>
      <c r="BA64" s="29" t="s">
        <v>1737</v>
      </c>
      <c r="BC64" s="34">
        <f t="shared" si="39"/>
        <v>0</v>
      </c>
      <c r="BD64" s="34">
        <f t="shared" si="40"/>
        <v>0</v>
      </c>
      <c r="BE64" s="34">
        <v>0</v>
      </c>
      <c r="BF64" s="34">
        <f>64</f>
        <v>64</v>
      </c>
      <c r="BH64" s="17">
        <f t="shared" si="41"/>
        <v>0</v>
      </c>
      <c r="BI64" s="17">
        <f t="shared" si="42"/>
        <v>0</v>
      </c>
      <c r="BJ64" s="17">
        <f t="shared" si="43"/>
        <v>0</v>
      </c>
    </row>
    <row r="65" spans="1:62" x14ac:dyDescent="0.2">
      <c r="A65" s="5"/>
      <c r="B65" s="13" t="s">
        <v>68</v>
      </c>
      <c r="C65" s="244" t="s">
        <v>1104</v>
      </c>
      <c r="D65" s="245"/>
      <c r="E65" s="245"/>
      <c r="F65" s="5" t="s">
        <v>6</v>
      </c>
      <c r="G65" s="5" t="s">
        <v>6</v>
      </c>
      <c r="H65" s="5" t="s">
        <v>6</v>
      </c>
      <c r="I65" s="37">
        <f>SUM(I66:I88)</f>
        <v>0</v>
      </c>
      <c r="J65" s="37">
        <f>SUM(J66:J88)</f>
        <v>0</v>
      </c>
      <c r="K65" s="37">
        <f>SUM(K66:K88)</f>
        <v>0</v>
      </c>
      <c r="L65" s="29"/>
      <c r="AI65" s="29"/>
      <c r="AS65" s="37">
        <f>SUM(AJ66:AJ88)</f>
        <v>0</v>
      </c>
      <c r="AT65" s="37">
        <f>SUM(AK66:AK88)</f>
        <v>0</v>
      </c>
      <c r="AU65" s="37">
        <f>SUM(AL66:AL88)</f>
        <v>0</v>
      </c>
    </row>
    <row r="66" spans="1:62" x14ac:dyDescent="0.2">
      <c r="A66" s="4" t="s">
        <v>48</v>
      </c>
      <c r="B66" s="4" t="s">
        <v>607</v>
      </c>
      <c r="C66" s="240" t="s">
        <v>1105</v>
      </c>
      <c r="D66" s="241"/>
      <c r="E66" s="241"/>
      <c r="F66" s="4" t="s">
        <v>1645</v>
      </c>
      <c r="G66" s="69">
        <v>85.9</v>
      </c>
      <c r="H66" s="168"/>
      <c r="I66" s="17">
        <f t="shared" ref="I66:I71" si="44">G66*AO66</f>
        <v>0</v>
      </c>
      <c r="J66" s="17">
        <f t="shared" ref="J66:J71" si="45">G66*AP66</f>
        <v>0</v>
      </c>
      <c r="K66" s="17">
        <f t="shared" ref="K66:K71" si="46">G66*H66</f>
        <v>0</v>
      </c>
      <c r="L66" s="28" t="s">
        <v>1671</v>
      </c>
      <c r="Z66" s="34">
        <f t="shared" ref="Z66:Z71" si="47">IF(AQ66="5",BJ66,0)</f>
        <v>0</v>
      </c>
      <c r="AB66" s="34">
        <f t="shared" ref="AB66:AB71" si="48">IF(AQ66="1",BH66,0)</f>
        <v>0</v>
      </c>
      <c r="AC66" s="34">
        <f t="shared" ref="AC66:AC71" si="49">IF(AQ66="1",BI66,0)</f>
        <v>0</v>
      </c>
      <c r="AD66" s="34">
        <f t="shared" ref="AD66:AD71" si="50">IF(AQ66="7",BH66,0)</f>
        <v>0</v>
      </c>
      <c r="AE66" s="34">
        <f t="shared" ref="AE66:AE71" si="51">IF(AQ66="7",BI66,0)</f>
        <v>0</v>
      </c>
      <c r="AF66" s="34">
        <f t="shared" ref="AF66:AF71" si="52">IF(AQ66="2",BH66,0)</f>
        <v>0</v>
      </c>
      <c r="AG66" s="34">
        <f t="shared" ref="AG66:AG71" si="53">IF(AQ66="2",BI66,0)</f>
        <v>0</v>
      </c>
      <c r="AH66" s="34">
        <f t="shared" ref="AH66:AH71" si="54">IF(AQ66="0",BJ66,0)</f>
        <v>0</v>
      </c>
      <c r="AI66" s="29"/>
      <c r="AJ66" s="17">
        <f t="shared" ref="AJ66:AJ71" si="55">IF(AN66=0,K66,0)</f>
        <v>0</v>
      </c>
      <c r="AK66" s="17">
        <f t="shared" ref="AK66:AK71" si="56">IF(AN66=15,K66,0)</f>
        <v>0</v>
      </c>
      <c r="AL66" s="17">
        <f t="shared" ref="AL66:AL71" si="57">IF(AN66=21,K66,0)</f>
        <v>0</v>
      </c>
      <c r="AN66" s="34">
        <v>15</v>
      </c>
      <c r="AO66" s="34">
        <f>H66*0.285592750047071</f>
        <v>0</v>
      </c>
      <c r="AP66" s="34">
        <f>H66*(1-0.285592750047071)</f>
        <v>0</v>
      </c>
      <c r="AQ66" s="28" t="s">
        <v>7</v>
      </c>
      <c r="AV66" s="34">
        <f t="shared" ref="AV66:AV71" si="58">AW66+AX66</f>
        <v>0</v>
      </c>
      <c r="AW66" s="34">
        <f t="shared" ref="AW66:AW71" si="59">G66*AO66</f>
        <v>0</v>
      </c>
      <c r="AX66" s="34">
        <f t="shared" ref="AX66:AX71" si="60">G66*AP66</f>
        <v>0</v>
      </c>
      <c r="AY66" s="35" t="s">
        <v>1693</v>
      </c>
      <c r="AZ66" s="35" t="s">
        <v>1728</v>
      </c>
      <c r="BA66" s="29" t="s">
        <v>1737</v>
      </c>
      <c r="BC66" s="34">
        <f t="shared" ref="BC66:BC71" si="61">AW66+AX66</f>
        <v>0</v>
      </c>
      <c r="BD66" s="34">
        <f t="shared" ref="BD66:BD71" si="62">H66/(100-BE66)*100</f>
        <v>0</v>
      </c>
      <c r="BE66" s="34">
        <v>0</v>
      </c>
      <c r="BF66" s="34">
        <f>66</f>
        <v>66</v>
      </c>
      <c r="BH66" s="17">
        <f t="shared" ref="BH66:BH71" si="63">G66*AO66</f>
        <v>0</v>
      </c>
      <c r="BI66" s="17">
        <f t="shared" ref="BI66:BI71" si="64">G66*AP66</f>
        <v>0</v>
      </c>
      <c r="BJ66" s="17">
        <f t="shared" ref="BJ66:BJ71" si="65">G66*H66</f>
        <v>0</v>
      </c>
    </row>
    <row r="67" spans="1:62" x14ac:dyDescent="0.2">
      <c r="A67" s="4" t="s">
        <v>49</v>
      </c>
      <c r="B67" s="4" t="s">
        <v>608</v>
      </c>
      <c r="C67" s="240" t="s">
        <v>1106</v>
      </c>
      <c r="D67" s="241"/>
      <c r="E67" s="241"/>
      <c r="F67" s="4" t="s">
        <v>1645</v>
      </c>
      <c r="G67" s="69">
        <v>705.96799999999996</v>
      </c>
      <c r="H67" s="168"/>
      <c r="I67" s="17">
        <f t="shared" si="44"/>
        <v>0</v>
      </c>
      <c r="J67" s="17">
        <f t="shared" si="45"/>
        <v>0</v>
      </c>
      <c r="K67" s="17">
        <f t="shared" si="46"/>
        <v>0</v>
      </c>
      <c r="L67" s="28" t="s">
        <v>1671</v>
      </c>
      <c r="Z67" s="34">
        <f t="shared" si="47"/>
        <v>0</v>
      </c>
      <c r="AB67" s="34">
        <f t="shared" si="48"/>
        <v>0</v>
      </c>
      <c r="AC67" s="34">
        <f t="shared" si="49"/>
        <v>0</v>
      </c>
      <c r="AD67" s="34">
        <f t="shared" si="50"/>
        <v>0</v>
      </c>
      <c r="AE67" s="34">
        <f t="shared" si="51"/>
        <v>0</v>
      </c>
      <c r="AF67" s="34">
        <f t="shared" si="52"/>
        <v>0</v>
      </c>
      <c r="AG67" s="34">
        <f t="shared" si="53"/>
        <v>0</v>
      </c>
      <c r="AH67" s="34">
        <f t="shared" si="54"/>
        <v>0</v>
      </c>
      <c r="AI67" s="29"/>
      <c r="AJ67" s="17">
        <f t="shared" si="55"/>
        <v>0</v>
      </c>
      <c r="AK67" s="17">
        <f t="shared" si="56"/>
        <v>0</v>
      </c>
      <c r="AL67" s="17">
        <f t="shared" si="57"/>
        <v>0</v>
      </c>
      <c r="AN67" s="34">
        <v>15</v>
      </c>
      <c r="AO67" s="34">
        <f>H67*0.578269364414996</f>
        <v>0</v>
      </c>
      <c r="AP67" s="34">
        <f>H67*(1-0.578269364414996)</f>
        <v>0</v>
      </c>
      <c r="AQ67" s="28" t="s">
        <v>7</v>
      </c>
      <c r="AV67" s="34">
        <f t="shared" si="58"/>
        <v>0</v>
      </c>
      <c r="AW67" s="34">
        <f t="shared" si="59"/>
        <v>0</v>
      </c>
      <c r="AX67" s="34">
        <f t="shared" si="60"/>
        <v>0</v>
      </c>
      <c r="AY67" s="35" t="s">
        <v>1693</v>
      </c>
      <c r="AZ67" s="35" t="s">
        <v>1728</v>
      </c>
      <c r="BA67" s="29" t="s">
        <v>1737</v>
      </c>
      <c r="BC67" s="34">
        <f t="shared" si="61"/>
        <v>0</v>
      </c>
      <c r="BD67" s="34">
        <f t="shared" si="62"/>
        <v>0</v>
      </c>
      <c r="BE67" s="34">
        <v>0</v>
      </c>
      <c r="BF67" s="34">
        <f>67</f>
        <v>67</v>
      </c>
      <c r="BH67" s="17">
        <f t="shared" si="63"/>
        <v>0</v>
      </c>
      <c r="BI67" s="17">
        <f t="shared" si="64"/>
        <v>0</v>
      </c>
      <c r="BJ67" s="17">
        <f t="shared" si="65"/>
        <v>0</v>
      </c>
    </row>
    <row r="68" spans="1:62" x14ac:dyDescent="0.2">
      <c r="A68" s="4" t="s">
        <v>50</v>
      </c>
      <c r="B68" s="4" t="s">
        <v>609</v>
      </c>
      <c r="C68" s="240" t="s">
        <v>1107</v>
      </c>
      <c r="D68" s="241"/>
      <c r="E68" s="241"/>
      <c r="F68" s="4" t="s">
        <v>1646</v>
      </c>
      <c r="G68" s="69">
        <v>40</v>
      </c>
      <c r="H68" s="168"/>
      <c r="I68" s="17">
        <f t="shared" si="44"/>
        <v>0</v>
      </c>
      <c r="J68" s="17">
        <f t="shared" si="45"/>
        <v>0</v>
      </c>
      <c r="K68" s="17">
        <f t="shared" si="46"/>
        <v>0</v>
      </c>
      <c r="L68" s="28" t="s">
        <v>1671</v>
      </c>
      <c r="Z68" s="34">
        <f t="shared" si="47"/>
        <v>0</v>
      </c>
      <c r="AB68" s="34">
        <f t="shared" si="48"/>
        <v>0</v>
      </c>
      <c r="AC68" s="34">
        <f t="shared" si="49"/>
        <v>0</v>
      </c>
      <c r="AD68" s="34">
        <f t="shared" si="50"/>
        <v>0</v>
      </c>
      <c r="AE68" s="34">
        <f t="shared" si="51"/>
        <v>0</v>
      </c>
      <c r="AF68" s="34">
        <f t="shared" si="52"/>
        <v>0</v>
      </c>
      <c r="AG68" s="34">
        <f t="shared" si="53"/>
        <v>0</v>
      </c>
      <c r="AH68" s="34">
        <f t="shared" si="54"/>
        <v>0</v>
      </c>
      <c r="AI68" s="29"/>
      <c r="AJ68" s="17">
        <f t="shared" si="55"/>
        <v>0</v>
      </c>
      <c r="AK68" s="17">
        <f t="shared" si="56"/>
        <v>0</v>
      </c>
      <c r="AL68" s="17">
        <f t="shared" si="57"/>
        <v>0</v>
      </c>
      <c r="AN68" s="34">
        <v>15</v>
      </c>
      <c r="AO68" s="34">
        <f>H68*0.215363511659808</f>
        <v>0</v>
      </c>
      <c r="AP68" s="34">
        <f>H68*(1-0.215363511659808)</f>
        <v>0</v>
      </c>
      <c r="AQ68" s="28" t="s">
        <v>7</v>
      </c>
      <c r="AV68" s="34">
        <f t="shared" si="58"/>
        <v>0</v>
      </c>
      <c r="AW68" s="34">
        <f t="shared" si="59"/>
        <v>0</v>
      </c>
      <c r="AX68" s="34">
        <f t="shared" si="60"/>
        <v>0</v>
      </c>
      <c r="AY68" s="35" t="s">
        <v>1693</v>
      </c>
      <c r="AZ68" s="35" t="s">
        <v>1728</v>
      </c>
      <c r="BA68" s="29" t="s">
        <v>1737</v>
      </c>
      <c r="BC68" s="34">
        <f t="shared" si="61"/>
        <v>0</v>
      </c>
      <c r="BD68" s="34">
        <f t="shared" si="62"/>
        <v>0</v>
      </c>
      <c r="BE68" s="34">
        <v>0</v>
      </c>
      <c r="BF68" s="34">
        <f>68</f>
        <v>68</v>
      </c>
      <c r="BH68" s="17">
        <f t="shared" si="63"/>
        <v>0</v>
      </c>
      <c r="BI68" s="17">
        <f t="shared" si="64"/>
        <v>0</v>
      </c>
      <c r="BJ68" s="17">
        <f t="shared" si="65"/>
        <v>0</v>
      </c>
    </row>
    <row r="69" spans="1:62" x14ac:dyDescent="0.2">
      <c r="A69" s="4" t="s">
        <v>51</v>
      </c>
      <c r="B69" s="4" t="s">
        <v>610</v>
      </c>
      <c r="C69" s="240" t="s">
        <v>1108</v>
      </c>
      <c r="D69" s="241"/>
      <c r="E69" s="241"/>
      <c r="F69" s="4" t="s">
        <v>1646</v>
      </c>
      <c r="G69" s="69">
        <v>80.23</v>
      </c>
      <c r="H69" s="168"/>
      <c r="I69" s="17">
        <f t="shared" si="44"/>
        <v>0</v>
      </c>
      <c r="J69" s="17">
        <f t="shared" si="45"/>
        <v>0</v>
      </c>
      <c r="K69" s="17">
        <f t="shared" si="46"/>
        <v>0</v>
      </c>
      <c r="L69" s="28" t="s">
        <v>1671</v>
      </c>
      <c r="Z69" s="34">
        <f t="shared" si="47"/>
        <v>0</v>
      </c>
      <c r="AB69" s="34">
        <f t="shared" si="48"/>
        <v>0</v>
      </c>
      <c r="AC69" s="34">
        <f t="shared" si="49"/>
        <v>0</v>
      </c>
      <c r="AD69" s="34">
        <f t="shared" si="50"/>
        <v>0</v>
      </c>
      <c r="AE69" s="34">
        <f t="shared" si="51"/>
        <v>0</v>
      </c>
      <c r="AF69" s="34">
        <f t="shared" si="52"/>
        <v>0</v>
      </c>
      <c r="AG69" s="34">
        <f t="shared" si="53"/>
        <v>0</v>
      </c>
      <c r="AH69" s="34">
        <f t="shared" si="54"/>
        <v>0</v>
      </c>
      <c r="AI69" s="29"/>
      <c r="AJ69" s="17">
        <f t="shared" si="55"/>
        <v>0</v>
      </c>
      <c r="AK69" s="17">
        <f t="shared" si="56"/>
        <v>0</v>
      </c>
      <c r="AL69" s="17">
        <f t="shared" si="57"/>
        <v>0</v>
      </c>
      <c r="AN69" s="34">
        <v>15</v>
      </c>
      <c r="AO69" s="34">
        <f>H69*0.56485275894782</f>
        <v>0</v>
      </c>
      <c r="AP69" s="34">
        <f>H69*(1-0.56485275894782)</f>
        <v>0</v>
      </c>
      <c r="AQ69" s="28" t="s">
        <v>7</v>
      </c>
      <c r="AV69" s="34">
        <f t="shared" si="58"/>
        <v>0</v>
      </c>
      <c r="AW69" s="34">
        <f t="shared" si="59"/>
        <v>0</v>
      </c>
      <c r="AX69" s="34">
        <f t="shared" si="60"/>
        <v>0</v>
      </c>
      <c r="AY69" s="35" t="s">
        <v>1693</v>
      </c>
      <c r="AZ69" s="35" t="s">
        <v>1728</v>
      </c>
      <c r="BA69" s="29" t="s">
        <v>1737</v>
      </c>
      <c r="BC69" s="34">
        <f t="shared" si="61"/>
        <v>0</v>
      </c>
      <c r="BD69" s="34">
        <f t="shared" si="62"/>
        <v>0</v>
      </c>
      <c r="BE69" s="34">
        <v>0</v>
      </c>
      <c r="BF69" s="34">
        <f>69</f>
        <v>69</v>
      </c>
      <c r="BH69" s="17">
        <f t="shared" si="63"/>
        <v>0</v>
      </c>
      <c r="BI69" s="17">
        <f t="shared" si="64"/>
        <v>0</v>
      </c>
      <c r="BJ69" s="17">
        <f t="shared" si="65"/>
        <v>0</v>
      </c>
    </row>
    <row r="70" spans="1:62" x14ac:dyDescent="0.2">
      <c r="A70" s="4" t="s">
        <v>52</v>
      </c>
      <c r="B70" s="4" t="s">
        <v>611</v>
      </c>
      <c r="C70" s="240" t="s">
        <v>1109</v>
      </c>
      <c r="D70" s="241"/>
      <c r="E70" s="241"/>
      <c r="F70" s="4" t="s">
        <v>1646</v>
      </c>
      <c r="G70" s="69">
        <v>15.7</v>
      </c>
      <c r="H70" s="168"/>
      <c r="I70" s="17">
        <f t="shared" si="44"/>
        <v>0</v>
      </c>
      <c r="J70" s="17">
        <f t="shared" si="45"/>
        <v>0</v>
      </c>
      <c r="K70" s="17">
        <f t="shared" si="46"/>
        <v>0</v>
      </c>
      <c r="L70" s="28" t="s">
        <v>1671</v>
      </c>
      <c r="Z70" s="34">
        <f t="shared" si="47"/>
        <v>0</v>
      </c>
      <c r="AB70" s="34">
        <f t="shared" si="48"/>
        <v>0</v>
      </c>
      <c r="AC70" s="34">
        <f t="shared" si="49"/>
        <v>0</v>
      </c>
      <c r="AD70" s="34">
        <f t="shared" si="50"/>
        <v>0</v>
      </c>
      <c r="AE70" s="34">
        <f t="shared" si="51"/>
        <v>0</v>
      </c>
      <c r="AF70" s="34">
        <f t="shared" si="52"/>
        <v>0</v>
      </c>
      <c r="AG70" s="34">
        <f t="shared" si="53"/>
        <v>0</v>
      </c>
      <c r="AH70" s="34">
        <f t="shared" si="54"/>
        <v>0</v>
      </c>
      <c r="AI70" s="29"/>
      <c r="AJ70" s="17">
        <f t="shared" si="55"/>
        <v>0</v>
      </c>
      <c r="AK70" s="17">
        <f t="shared" si="56"/>
        <v>0</v>
      </c>
      <c r="AL70" s="17">
        <f t="shared" si="57"/>
        <v>0</v>
      </c>
      <c r="AN70" s="34">
        <v>15</v>
      </c>
      <c r="AO70" s="34">
        <f>H70*0.723184646223634</f>
        <v>0</v>
      </c>
      <c r="AP70" s="34">
        <f>H70*(1-0.723184646223634)</f>
        <v>0</v>
      </c>
      <c r="AQ70" s="28" t="s">
        <v>7</v>
      </c>
      <c r="AV70" s="34">
        <f t="shared" si="58"/>
        <v>0</v>
      </c>
      <c r="AW70" s="34">
        <f t="shared" si="59"/>
        <v>0</v>
      </c>
      <c r="AX70" s="34">
        <f t="shared" si="60"/>
        <v>0</v>
      </c>
      <c r="AY70" s="35" t="s">
        <v>1693</v>
      </c>
      <c r="AZ70" s="35" t="s">
        <v>1728</v>
      </c>
      <c r="BA70" s="29" t="s">
        <v>1737</v>
      </c>
      <c r="BC70" s="34">
        <f t="shared" si="61"/>
        <v>0</v>
      </c>
      <c r="BD70" s="34">
        <f t="shared" si="62"/>
        <v>0</v>
      </c>
      <c r="BE70" s="34">
        <v>0</v>
      </c>
      <c r="BF70" s="34">
        <f>70</f>
        <v>70</v>
      </c>
      <c r="BH70" s="17">
        <f t="shared" si="63"/>
        <v>0</v>
      </c>
      <c r="BI70" s="17">
        <f t="shared" si="64"/>
        <v>0</v>
      </c>
      <c r="BJ70" s="17">
        <f t="shared" si="65"/>
        <v>0</v>
      </c>
    </row>
    <row r="71" spans="1:62" x14ac:dyDescent="0.2">
      <c r="A71" s="4" t="s">
        <v>53</v>
      </c>
      <c r="B71" s="4" t="s">
        <v>612</v>
      </c>
      <c r="C71" s="240" t="s">
        <v>1110</v>
      </c>
      <c r="D71" s="241"/>
      <c r="E71" s="241"/>
      <c r="F71" s="4" t="s">
        <v>1645</v>
      </c>
      <c r="G71" s="69">
        <v>108.31100000000001</v>
      </c>
      <c r="H71" s="168"/>
      <c r="I71" s="17">
        <f t="shared" si="44"/>
        <v>0</v>
      </c>
      <c r="J71" s="17">
        <f t="shared" si="45"/>
        <v>0</v>
      </c>
      <c r="K71" s="17">
        <f t="shared" si="46"/>
        <v>0</v>
      </c>
      <c r="L71" s="28" t="s">
        <v>1671</v>
      </c>
      <c r="Z71" s="34">
        <f t="shared" si="47"/>
        <v>0</v>
      </c>
      <c r="AB71" s="34">
        <f t="shared" si="48"/>
        <v>0</v>
      </c>
      <c r="AC71" s="34">
        <f t="shared" si="49"/>
        <v>0</v>
      </c>
      <c r="AD71" s="34">
        <f t="shared" si="50"/>
        <v>0</v>
      </c>
      <c r="AE71" s="34">
        <f t="shared" si="51"/>
        <v>0</v>
      </c>
      <c r="AF71" s="34">
        <f t="shared" si="52"/>
        <v>0</v>
      </c>
      <c r="AG71" s="34">
        <f t="shared" si="53"/>
        <v>0</v>
      </c>
      <c r="AH71" s="34">
        <f t="shared" si="54"/>
        <v>0</v>
      </c>
      <c r="AI71" s="29"/>
      <c r="AJ71" s="17">
        <f t="shared" si="55"/>
        <v>0</v>
      </c>
      <c r="AK71" s="17">
        <f t="shared" si="56"/>
        <v>0</v>
      </c>
      <c r="AL71" s="17">
        <f t="shared" si="57"/>
        <v>0</v>
      </c>
      <c r="AN71" s="34">
        <v>15</v>
      </c>
      <c r="AO71" s="34">
        <f>H71*0.580357825533435</f>
        <v>0</v>
      </c>
      <c r="AP71" s="34">
        <f>H71*(1-0.580357825533435)</f>
        <v>0</v>
      </c>
      <c r="AQ71" s="28" t="s">
        <v>7</v>
      </c>
      <c r="AV71" s="34">
        <f t="shared" si="58"/>
        <v>0</v>
      </c>
      <c r="AW71" s="34">
        <f t="shared" si="59"/>
        <v>0</v>
      </c>
      <c r="AX71" s="34">
        <f t="shared" si="60"/>
        <v>0</v>
      </c>
      <c r="AY71" s="35" t="s">
        <v>1693</v>
      </c>
      <c r="AZ71" s="35" t="s">
        <v>1728</v>
      </c>
      <c r="BA71" s="29" t="s">
        <v>1737</v>
      </c>
      <c r="BC71" s="34">
        <f t="shared" si="61"/>
        <v>0</v>
      </c>
      <c r="BD71" s="34">
        <f t="shared" si="62"/>
        <v>0</v>
      </c>
      <c r="BE71" s="34">
        <v>0</v>
      </c>
      <c r="BF71" s="34">
        <f>71</f>
        <v>71</v>
      </c>
      <c r="BH71" s="17">
        <f t="shared" si="63"/>
        <v>0</v>
      </c>
      <c r="BI71" s="17">
        <f t="shared" si="64"/>
        <v>0</v>
      </c>
      <c r="BJ71" s="17">
        <f t="shared" si="65"/>
        <v>0</v>
      </c>
    </row>
    <row r="72" spans="1:62" ht="12.75" customHeight="1" x14ac:dyDescent="0.2">
      <c r="B72" s="14" t="s">
        <v>613</v>
      </c>
      <c r="C72" s="166" t="s">
        <v>1111</v>
      </c>
      <c r="D72" s="167"/>
      <c r="E72" s="167"/>
      <c r="F72" s="167"/>
      <c r="G72" s="167"/>
      <c r="H72" s="167"/>
      <c r="I72" s="167"/>
      <c r="J72" s="167"/>
      <c r="K72" s="167"/>
      <c r="L72" s="167"/>
    </row>
    <row r="73" spans="1:62" x14ac:dyDescent="0.2">
      <c r="A73" s="4" t="s">
        <v>54</v>
      </c>
      <c r="B73" s="4" t="s">
        <v>614</v>
      </c>
      <c r="C73" s="240" t="s">
        <v>1112</v>
      </c>
      <c r="D73" s="241"/>
      <c r="E73" s="241"/>
      <c r="F73" s="4" t="s">
        <v>1645</v>
      </c>
      <c r="G73" s="69">
        <v>67.430000000000007</v>
      </c>
      <c r="H73" s="168"/>
      <c r="I73" s="17">
        <f>G73*AO73</f>
        <v>0</v>
      </c>
      <c r="J73" s="17">
        <f>G73*AP73</f>
        <v>0</v>
      </c>
      <c r="K73" s="17">
        <f>G73*H73</f>
        <v>0</v>
      </c>
      <c r="L73" s="28" t="s">
        <v>1671</v>
      </c>
      <c r="Z73" s="34">
        <f>IF(AQ73="5",BJ73,0)</f>
        <v>0</v>
      </c>
      <c r="AB73" s="34">
        <f>IF(AQ73="1",BH73,0)</f>
        <v>0</v>
      </c>
      <c r="AC73" s="34">
        <f>IF(AQ73="1",BI73,0)</f>
        <v>0</v>
      </c>
      <c r="AD73" s="34">
        <f>IF(AQ73="7",BH73,0)</f>
        <v>0</v>
      </c>
      <c r="AE73" s="34">
        <f>IF(AQ73="7",BI73,0)</f>
        <v>0</v>
      </c>
      <c r="AF73" s="34">
        <f>IF(AQ73="2",BH73,0)</f>
        <v>0</v>
      </c>
      <c r="AG73" s="34">
        <f>IF(AQ73="2",BI73,0)</f>
        <v>0</v>
      </c>
      <c r="AH73" s="34">
        <f>IF(AQ73="0",BJ73,0)</f>
        <v>0</v>
      </c>
      <c r="AI73" s="29"/>
      <c r="AJ73" s="17">
        <f>IF(AN73=0,K73,0)</f>
        <v>0</v>
      </c>
      <c r="AK73" s="17">
        <f>IF(AN73=15,K73,0)</f>
        <v>0</v>
      </c>
      <c r="AL73" s="17">
        <f>IF(AN73=21,K73,0)</f>
        <v>0</v>
      </c>
      <c r="AN73" s="34">
        <v>15</v>
      </c>
      <c r="AO73" s="34">
        <f>H73*0.659033041788144</f>
        <v>0</v>
      </c>
      <c r="AP73" s="34">
        <f>H73*(1-0.659033041788144)</f>
        <v>0</v>
      </c>
      <c r="AQ73" s="28" t="s">
        <v>7</v>
      </c>
      <c r="AV73" s="34">
        <f>AW73+AX73</f>
        <v>0</v>
      </c>
      <c r="AW73" s="34">
        <f>G73*AO73</f>
        <v>0</v>
      </c>
      <c r="AX73" s="34">
        <f>G73*AP73</f>
        <v>0</v>
      </c>
      <c r="AY73" s="35" t="s">
        <v>1693</v>
      </c>
      <c r="AZ73" s="35" t="s">
        <v>1728</v>
      </c>
      <c r="BA73" s="29" t="s">
        <v>1737</v>
      </c>
      <c r="BC73" s="34">
        <f>AW73+AX73</f>
        <v>0</v>
      </c>
      <c r="BD73" s="34">
        <f>H73/(100-BE73)*100</f>
        <v>0</v>
      </c>
      <c r="BE73" s="34">
        <v>0</v>
      </c>
      <c r="BF73" s="34">
        <f>73</f>
        <v>73</v>
      </c>
      <c r="BH73" s="17">
        <f>G73*AO73</f>
        <v>0</v>
      </c>
      <c r="BI73" s="17">
        <f>G73*AP73</f>
        <v>0</v>
      </c>
      <c r="BJ73" s="17">
        <f>G73*H73</f>
        <v>0</v>
      </c>
    </row>
    <row r="74" spans="1:62" ht="12.75" customHeight="1" x14ac:dyDescent="0.2">
      <c r="B74" s="14" t="s">
        <v>613</v>
      </c>
      <c r="C74" s="166" t="s">
        <v>1113</v>
      </c>
      <c r="D74" s="167"/>
      <c r="E74" s="167"/>
      <c r="F74" s="167"/>
      <c r="G74" s="167"/>
      <c r="H74" s="167"/>
      <c r="I74" s="167"/>
      <c r="J74" s="167"/>
      <c r="K74" s="167"/>
      <c r="L74" s="167"/>
    </row>
    <row r="75" spans="1:62" x14ac:dyDescent="0.2">
      <c r="A75" s="4" t="s">
        <v>55</v>
      </c>
      <c r="B75" s="4" t="s">
        <v>615</v>
      </c>
      <c r="C75" s="240" t="s">
        <v>1114</v>
      </c>
      <c r="D75" s="241"/>
      <c r="E75" s="241"/>
      <c r="F75" s="4" t="s">
        <v>1645</v>
      </c>
      <c r="G75" s="69">
        <v>479.38299999999998</v>
      </c>
      <c r="H75" s="168"/>
      <c r="I75" s="17">
        <f>G75*AO75</f>
        <v>0</v>
      </c>
      <c r="J75" s="17">
        <f>G75*AP75</f>
        <v>0</v>
      </c>
      <c r="K75" s="17">
        <f>G75*H75</f>
        <v>0</v>
      </c>
      <c r="L75" s="28" t="s">
        <v>1671</v>
      </c>
      <c r="Z75" s="34">
        <f>IF(AQ75="5",BJ75,0)</f>
        <v>0</v>
      </c>
      <c r="AB75" s="34">
        <f>IF(AQ75="1",BH75,0)</f>
        <v>0</v>
      </c>
      <c r="AC75" s="34">
        <f>IF(AQ75="1",BI75,0)</f>
        <v>0</v>
      </c>
      <c r="AD75" s="34">
        <f>IF(AQ75="7",BH75,0)</f>
        <v>0</v>
      </c>
      <c r="AE75" s="34">
        <f>IF(AQ75="7",BI75,0)</f>
        <v>0</v>
      </c>
      <c r="AF75" s="34">
        <f>IF(AQ75="2",BH75,0)</f>
        <v>0</v>
      </c>
      <c r="AG75" s="34">
        <f>IF(AQ75="2",BI75,0)</f>
        <v>0</v>
      </c>
      <c r="AH75" s="34">
        <f>IF(AQ75="0",BJ75,0)</f>
        <v>0</v>
      </c>
      <c r="AI75" s="29"/>
      <c r="AJ75" s="17">
        <f>IF(AN75=0,K75,0)</f>
        <v>0</v>
      </c>
      <c r="AK75" s="17">
        <f>IF(AN75=15,K75,0)</f>
        <v>0</v>
      </c>
      <c r="AL75" s="17">
        <f>IF(AN75=21,K75,0)</f>
        <v>0</v>
      </c>
      <c r="AN75" s="34">
        <v>15</v>
      </c>
      <c r="AO75" s="34">
        <f>H75*0.695718875502008</f>
        <v>0</v>
      </c>
      <c r="AP75" s="34">
        <f>H75*(1-0.695718875502008)</f>
        <v>0</v>
      </c>
      <c r="AQ75" s="28" t="s">
        <v>7</v>
      </c>
      <c r="AV75" s="34">
        <f>AW75+AX75</f>
        <v>0</v>
      </c>
      <c r="AW75" s="34">
        <f>G75*AO75</f>
        <v>0</v>
      </c>
      <c r="AX75" s="34">
        <f>G75*AP75</f>
        <v>0</v>
      </c>
      <c r="AY75" s="35" t="s">
        <v>1693</v>
      </c>
      <c r="AZ75" s="35" t="s">
        <v>1728</v>
      </c>
      <c r="BA75" s="29" t="s">
        <v>1737</v>
      </c>
      <c r="BC75" s="34">
        <f>AW75+AX75</f>
        <v>0</v>
      </c>
      <c r="BD75" s="34">
        <f>H75/(100-BE75)*100</f>
        <v>0</v>
      </c>
      <c r="BE75" s="34">
        <v>0</v>
      </c>
      <c r="BF75" s="34">
        <f>75</f>
        <v>75</v>
      </c>
      <c r="BH75" s="17">
        <f>G75*AO75</f>
        <v>0</v>
      </c>
      <c r="BI75" s="17">
        <f>G75*AP75</f>
        <v>0</v>
      </c>
      <c r="BJ75" s="17">
        <f>G75*H75</f>
        <v>0</v>
      </c>
    </row>
    <row r="76" spans="1:62" x14ac:dyDescent="0.2">
      <c r="B76" s="14" t="s">
        <v>613</v>
      </c>
      <c r="C76" s="166" t="s">
        <v>1115</v>
      </c>
      <c r="D76" s="167"/>
      <c r="E76" s="167"/>
      <c r="F76" s="167"/>
      <c r="G76" s="167"/>
      <c r="H76" s="167"/>
      <c r="I76" s="167"/>
      <c r="J76" s="167"/>
      <c r="K76" s="167"/>
      <c r="L76" s="167"/>
    </row>
    <row r="77" spans="1:62" x14ac:dyDescent="0.2">
      <c r="A77" s="4" t="s">
        <v>56</v>
      </c>
      <c r="B77" s="4" t="s">
        <v>616</v>
      </c>
      <c r="C77" s="240" t="s">
        <v>1116</v>
      </c>
      <c r="D77" s="241"/>
      <c r="E77" s="241"/>
      <c r="F77" s="4" t="s">
        <v>1645</v>
      </c>
      <c r="G77" s="69">
        <v>50.844000000000001</v>
      </c>
      <c r="H77" s="168"/>
      <c r="I77" s="17">
        <f>G77*AO77</f>
        <v>0</v>
      </c>
      <c r="J77" s="17">
        <f>G77*AP77</f>
        <v>0</v>
      </c>
      <c r="K77" s="17">
        <f>G77*H77</f>
        <v>0</v>
      </c>
      <c r="L77" s="28" t="s">
        <v>1671</v>
      </c>
      <c r="Z77" s="34">
        <f>IF(AQ77="5",BJ77,0)</f>
        <v>0</v>
      </c>
      <c r="AB77" s="34">
        <f>IF(AQ77="1",BH77,0)</f>
        <v>0</v>
      </c>
      <c r="AC77" s="34">
        <f>IF(AQ77="1",BI77,0)</f>
        <v>0</v>
      </c>
      <c r="AD77" s="34">
        <f>IF(AQ77="7",BH77,0)</f>
        <v>0</v>
      </c>
      <c r="AE77" s="34">
        <f>IF(AQ77="7",BI77,0)</f>
        <v>0</v>
      </c>
      <c r="AF77" s="34">
        <f>IF(AQ77="2",BH77,0)</f>
        <v>0</v>
      </c>
      <c r="AG77" s="34">
        <f>IF(AQ77="2",BI77,0)</f>
        <v>0</v>
      </c>
      <c r="AH77" s="34">
        <f>IF(AQ77="0",BJ77,0)</f>
        <v>0</v>
      </c>
      <c r="AI77" s="29"/>
      <c r="AJ77" s="17">
        <f>IF(AN77=0,K77,0)</f>
        <v>0</v>
      </c>
      <c r="AK77" s="17">
        <f>IF(AN77=15,K77,0)</f>
        <v>0</v>
      </c>
      <c r="AL77" s="17">
        <f>IF(AN77=21,K77,0)</f>
        <v>0</v>
      </c>
      <c r="AN77" s="34">
        <v>15</v>
      </c>
      <c r="AO77" s="34">
        <f>H77*0.355093424731702</f>
        <v>0</v>
      </c>
      <c r="AP77" s="34">
        <f>H77*(1-0.355093424731702)</f>
        <v>0</v>
      </c>
      <c r="AQ77" s="28" t="s">
        <v>7</v>
      </c>
      <c r="AV77" s="34">
        <f>AW77+AX77</f>
        <v>0</v>
      </c>
      <c r="AW77" s="34">
        <f>G77*AO77</f>
        <v>0</v>
      </c>
      <c r="AX77" s="34">
        <f>G77*AP77</f>
        <v>0</v>
      </c>
      <c r="AY77" s="35" t="s">
        <v>1693</v>
      </c>
      <c r="AZ77" s="35" t="s">
        <v>1728</v>
      </c>
      <c r="BA77" s="29" t="s">
        <v>1737</v>
      </c>
      <c r="BC77" s="34">
        <f>AW77+AX77</f>
        <v>0</v>
      </c>
      <c r="BD77" s="34">
        <f>H77/(100-BE77)*100</f>
        <v>0</v>
      </c>
      <c r="BE77" s="34">
        <v>0</v>
      </c>
      <c r="BF77" s="34">
        <f>77</f>
        <v>77</v>
      </c>
      <c r="BH77" s="17">
        <f>G77*AO77</f>
        <v>0</v>
      </c>
      <c r="BI77" s="17">
        <f>G77*AP77</f>
        <v>0</v>
      </c>
      <c r="BJ77" s="17">
        <f>G77*H77</f>
        <v>0</v>
      </c>
    </row>
    <row r="78" spans="1:62" x14ac:dyDescent="0.2">
      <c r="B78" s="14" t="s">
        <v>613</v>
      </c>
      <c r="C78" s="166" t="s">
        <v>1117</v>
      </c>
      <c r="D78" s="167"/>
      <c r="E78" s="167"/>
      <c r="F78" s="167"/>
      <c r="G78" s="167"/>
      <c r="H78" s="167"/>
      <c r="I78" s="167"/>
      <c r="J78" s="167"/>
      <c r="K78" s="167"/>
      <c r="L78" s="167"/>
    </row>
    <row r="79" spans="1:62" x14ac:dyDescent="0.2">
      <c r="A79" s="4" t="s">
        <v>57</v>
      </c>
      <c r="B79" s="4" t="s">
        <v>617</v>
      </c>
      <c r="C79" s="240" t="s">
        <v>1118</v>
      </c>
      <c r="D79" s="241"/>
      <c r="E79" s="241"/>
      <c r="F79" s="4" t="s">
        <v>1646</v>
      </c>
      <c r="G79" s="69">
        <v>65</v>
      </c>
      <c r="H79" s="168"/>
      <c r="I79" s="17">
        <f t="shared" ref="I79:I88" si="66">G79*AO79</f>
        <v>0</v>
      </c>
      <c r="J79" s="17">
        <f t="shared" ref="J79:J88" si="67">G79*AP79</f>
        <v>0</v>
      </c>
      <c r="K79" s="17">
        <f t="shared" ref="K79:K88" si="68">G79*H79</f>
        <v>0</v>
      </c>
      <c r="L79" s="28" t="s">
        <v>1671</v>
      </c>
      <c r="Z79" s="34">
        <f t="shared" ref="Z79:Z88" si="69">IF(AQ79="5",BJ79,0)</f>
        <v>0</v>
      </c>
      <c r="AB79" s="34">
        <f t="shared" ref="AB79:AB88" si="70">IF(AQ79="1",BH79,0)</f>
        <v>0</v>
      </c>
      <c r="AC79" s="34">
        <f t="shared" ref="AC79:AC88" si="71">IF(AQ79="1",BI79,0)</f>
        <v>0</v>
      </c>
      <c r="AD79" s="34">
        <f t="shared" ref="AD79:AD88" si="72">IF(AQ79="7",BH79,0)</f>
        <v>0</v>
      </c>
      <c r="AE79" s="34">
        <f t="shared" ref="AE79:AE88" si="73">IF(AQ79="7",BI79,0)</f>
        <v>0</v>
      </c>
      <c r="AF79" s="34">
        <f t="shared" ref="AF79:AF88" si="74">IF(AQ79="2",BH79,0)</f>
        <v>0</v>
      </c>
      <c r="AG79" s="34">
        <f t="shared" ref="AG79:AG88" si="75">IF(AQ79="2",BI79,0)</f>
        <v>0</v>
      </c>
      <c r="AH79" s="34">
        <f t="shared" ref="AH79:AH88" si="76">IF(AQ79="0",BJ79,0)</f>
        <v>0</v>
      </c>
      <c r="AI79" s="29"/>
      <c r="AJ79" s="17">
        <f t="shared" ref="AJ79:AJ88" si="77">IF(AN79=0,K79,0)</f>
        <v>0</v>
      </c>
      <c r="AK79" s="17">
        <f t="shared" ref="AK79:AK88" si="78">IF(AN79=15,K79,0)</f>
        <v>0</v>
      </c>
      <c r="AL79" s="17">
        <f t="shared" ref="AL79:AL88" si="79">IF(AN79=21,K79,0)</f>
        <v>0</v>
      </c>
      <c r="AN79" s="34">
        <v>15</v>
      </c>
      <c r="AO79" s="34">
        <f>H79*0.314</f>
        <v>0</v>
      </c>
      <c r="AP79" s="34">
        <f>H79*(1-0.314)</f>
        <v>0</v>
      </c>
      <c r="AQ79" s="28" t="s">
        <v>7</v>
      </c>
      <c r="AV79" s="34">
        <f t="shared" ref="AV79:AV88" si="80">AW79+AX79</f>
        <v>0</v>
      </c>
      <c r="AW79" s="34">
        <f t="shared" ref="AW79:AW88" si="81">G79*AO79</f>
        <v>0</v>
      </c>
      <c r="AX79" s="34">
        <f t="shared" ref="AX79:AX88" si="82">G79*AP79</f>
        <v>0</v>
      </c>
      <c r="AY79" s="35" t="s">
        <v>1693</v>
      </c>
      <c r="AZ79" s="35" t="s">
        <v>1728</v>
      </c>
      <c r="BA79" s="29" t="s">
        <v>1737</v>
      </c>
      <c r="BC79" s="34">
        <f t="shared" ref="BC79:BC88" si="83">AW79+AX79</f>
        <v>0</v>
      </c>
      <c r="BD79" s="34">
        <f t="shared" ref="BD79:BD88" si="84">H79/(100-BE79)*100</f>
        <v>0</v>
      </c>
      <c r="BE79" s="34">
        <v>0</v>
      </c>
      <c r="BF79" s="34">
        <f>79</f>
        <v>79</v>
      </c>
      <c r="BH79" s="17">
        <f t="shared" ref="BH79:BH88" si="85">G79*AO79</f>
        <v>0</v>
      </c>
      <c r="BI79" s="17">
        <f t="shared" ref="BI79:BI88" si="86">G79*AP79</f>
        <v>0</v>
      </c>
      <c r="BJ79" s="17">
        <f t="shared" ref="BJ79:BJ88" si="87">G79*H79</f>
        <v>0</v>
      </c>
    </row>
    <row r="80" spans="1:62" x14ac:dyDescent="0.2">
      <c r="A80" s="4" t="s">
        <v>58</v>
      </c>
      <c r="B80" s="4" t="s">
        <v>618</v>
      </c>
      <c r="C80" s="240" t="s">
        <v>1119</v>
      </c>
      <c r="D80" s="241"/>
      <c r="E80" s="241"/>
      <c r="F80" s="4" t="s">
        <v>1645</v>
      </c>
      <c r="G80" s="69">
        <v>705.96799999999996</v>
      </c>
      <c r="H80" s="168"/>
      <c r="I80" s="17">
        <f t="shared" si="66"/>
        <v>0</v>
      </c>
      <c r="J80" s="17">
        <f t="shared" si="67"/>
        <v>0</v>
      </c>
      <c r="K80" s="17">
        <f t="shared" si="68"/>
        <v>0</v>
      </c>
      <c r="L80" s="28" t="s">
        <v>1671</v>
      </c>
      <c r="Z80" s="34">
        <f t="shared" si="69"/>
        <v>0</v>
      </c>
      <c r="AB80" s="34">
        <f t="shared" si="70"/>
        <v>0</v>
      </c>
      <c r="AC80" s="34">
        <f t="shared" si="71"/>
        <v>0</v>
      </c>
      <c r="AD80" s="34">
        <f t="shared" si="72"/>
        <v>0</v>
      </c>
      <c r="AE80" s="34">
        <f t="shared" si="73"/>
        <v>0</v>
      </c>
      <c r="AF80" s="34">
        <f t="shared" si="74"/>
        <v>0</v>
      </c>
      <c r="AG80" s="34">
        <f t="shared" si="75"/>
        <v>0</v>
      </c>
      <c r="AH80" s="34">
        <f t="shared" si="76"/>
        <v>0</v>
      </c>
      <c r="AI80" s="29"/>
      <c r="AJ80" s="17">
        <f t="shared" si="77"/>
        <v>0</v>
      </c>
      <c r="AK80" s="17">
        <f t="shared" si="78"/>
        <v>0</v>
      </c>
      <c r="AL80" s="17">
        <f t="shared" si="79"/>
        <v>0</v>
      </c>
      <c r="AN80" s="34">
        <v>15</v>
      </c>
      <c r="AO80" s="34">
        <f>H80*0.321454545454545</f>
        <v>0</v>
      </c>
      <c r="AP80" s="34">
        <f>H80*(1-0.321454545454545)</f>
        <v>0</v>
      </c>
      <c r="AQ80" s="28" t="s">
        <v>7</v>
      </c>
      <c r="AV80" s="34">
        <f t="shared" si="80"/>
        <v>0</v>
      </c>
      <c r="AW80" s="34">
        <f t="shared" si="81"/>
        <v>0</v>
      </c>
      <c r="AX80" s="34">
        <f t="shared" si="82"/>
        <v>0</v>
      </c>
      <c r="AY80" s="35" t="s">
        <v>1693</v>
      </c>
      <c r="AZ80" s="35" t="s">
        <v>1728</v>
      </c>
      <c r="BA80" s="29" t="s">
        <v>1737</v>
      </c>
      <c r="BC80" s="34">
        <f t="shared" si="83"/>
        <v>0</v>
      </c>
      <c r="BD80" s="34">
        <f t="shared" si="84"/>
        <v>0</v>
      </c>
      <c r="BE80" s="34">
        <v>0</v>
      </c>
      <c r="BF80" s="34">
        <f>80</f>
        <v>80</v>
      </c>
      <c r="BH80" s="17">
        <f t="shared" si="85"/>
        <v>0</v>
      </c>
      <c r="BI80" s="17">
        <f t="shared" si="86"/>
        <v>0</v>
      </c>
      <c r="BJ80" s="17">
        <f t="shared" si="87"/>
        <v>0</v>
      </c>
    </row>
    <row r="81" spans="1:62" x14ac:dyDescent="0.2">
      <c r="A81" s="4" t="s">
        <v>59</v>
      </c>
      <c r="B81" s="4" t="s">
        <v>619</v>
      </c>
      <c r="C81" s="240" t="s">
        <v>1120</v>
      </c>
      <c r="D81" s="241"/>
      <c r="E81" s="241"/>
      <c r="F81" s="4" t="s">
        <v>1646</v>
      </c>
      <c r="G81" s="69">
        <v>202.8</v>
      </c>
      <c r="H81" s="168"/>
      <c r="I81" s="17">
        <f t="shared" si="66"/>
        <v>0</v>
      </c>
      <c r="J81" s="17">
        <f t="shared" si="67"/>
        <v>0</v>
      </c>
      <c r="K81" s="17">
        <f t="shared" si="68"/>
        <v>0</v>
      </c>
      <c r="L81" s="28" t="s">
        <v>1671</v>
      </c>
      <c r="Z81" s="34">
        <f t="shared" si="69"/>
        <v>0</v>
      </c>
      <c r="AB81" s="34">
        <f t="shared" si="70"/>
        <v>0</v>
      </c>
      <c r="AC81" s="34">
        <f t="shared" si="71"/>
        <v>0</v>
      </c>
      <c r="AD81" s="34">
        <f t="shared" si="72"/>
        <v>0</v>
      </c>
      <c r="AE81" s="34">
        <f t="shared" si="73"/>
        <v>0</v>
      </c>
      <c r="AF81" s="34">
        <f t="shared" si="74"/>
        <v>0</v>
      </c>
      <c r="AG81" s="34">
        <f t="shared" si="75"/>
        <v>0</v>
      </c>
      <c r="AH81" s="34">
        <f t="shared" si="76"/>
        <v>0</v>
      </c>
      <c r="AI81" s="29"/>
      <c r="AJ81" s="17">
        <f t="shared" si="77"/>
        <v>0</v>
      </c>
      <c r="AK81" s="17">
        <f t="shared" si="78"/>
        <v>0</v>
      </c>
      <c r="AL81" s="17">
        <f t="shared" si="79"/>
        <v>0</v>
      </c>
      <c r="AN81" s="34">
        <v>15</v>
      </c>
      <c r="AO81" s="34">
        <f>H81*0.240880106443885</f>
        <v>0</v>
      </c>
      <c r="AP81" s="34">
        <f>H81*(1-0.240880106443885)</f>
        <v>0</v>
      </c>
      <c r="AQ81" s="28" t="s">
        <v>7</v>
      </c>
      <c r="AV81" s="34">
        <f t="shared" si="80"/>
        <v>0</v>
      </c>
      <c r="AW81" s="34">
        <f t="shared" si="81"/>
        <v>0</v>
      </c>
      <c r="AX81" s="34">
        <f t="shared" si="82"/>
        <v>0</v>
      </c>
      <c r="AY81" s="35" t="s">
        <v>1693</v>
      </c>
      <c r="AZ81" s="35" t="s">
        <v>1728</v>
      </c>
      <c r="BA81" s="29" t="s">
        <v>1737</v>
      </c>
      <c r="BC81" s="34">
        <f t="shared" si="83"/>
        <v>0</v>
      </c>
      <c r="BD81" s="34">
        <f t="shared" si="84"/>
        <v>0</v>
      </c>
      <c r="BE81" s="34">
        <v>0</v>
      </c>
      <c r="BF81" s="34">
        <f>81</f>
        <v>81</v>
      </c>
      <c r="BH81" s="17">
        <f t="shared" si="85"/>
        <v>0</v>
      </c>
      <c r="BI81" s="17">
        <f t="shared" si="86"/>
        <v>0</v>
      </c>
      <c r="BJ81" s="17">
        <f t="shared" si="87"/>
        <v>0</v>
      </c>
    </row>
    <row r="82" spans="1:62" x14ac:dyDescent="0.2">
      <c r="A82" s="4" t="s">
        <v>60</v>
      </c>
      <c r="B82" s="4" t="s">
        <v>620</v>
      </c>
      <c r="C82" s="240" t="s">
        <v>1121</v>
      </c>
      <c r="D82" s="241"/>
      <c r="E82" s="241"/>
      <c r="F82" s="4" t="s">
        <v>1646</v>
      </c>
      <c r="G82" s="69">
        <v>65</v>
      </c>
      <c r="H82" s="168"/>
      <c r="I82" s="17">
        <f t="shared" si="66"/>
        <v>0</v>
      </c>
      <c r="J82" s="17">
        <f t="shared" si="67"/>
        <v>0</v>
      </c>
      <c r="K82" s="17">
        <f t="shared" si="68"/>
        <v>0</v>
      </c>
      <c r="L82" s="28" t="s">
        <v>1671</v>
      </c>
      <c r="Z82" s="34">
        <f t="shared" si="69"/>
        <v>0</v>
      </c>
      <c r="AB82" s="34">
        <f t="shared" si="70"/>
        <v>0</v>
      </c>
      <c r="AC82" s="34">
        <f t="shared" si="71"/>
        <v>0</v>
      </c>
      <c r="AD82" s="34">
        <f t="shared" si="72"/>
        <v>0</v>
      </c>
      <c r="AE82" s="34">
        <f t="shared" si="73"/>
        <v>0</v>
      </c>
      <c r="AF82" s="34">
        <f t="shared" si="74"/>
        <v>0</v>
      </c>
      <c r="AG82" s="34">
        <f t="shared" si="75"/>
        <v>0</v>
      </c>
      <c r="AH82" s="34">
        <f t="shared" si="76"/>
        <v>0</v>
      </c>
      <c r="AI82" s="29"/>
      <c r="AJ82" s="17">
        <f t="shared" si="77"/>
        <v>0</v>
      </c>
      <c r="AK82" s="17">
        <f t="shared" si="78"/>
        <v>0</v>
      </c>
      <c r="AL82" s="17">
        <f t="shared" si="79"/>
        <v>0</v>
      </c>
      <c r="AN82" s="34">
        <v>15</v>
      </c>
      <c r="AO82" s="34">
        <f>H82*0.25955902874686</f>
        <v>0</v>
      </c>
      <c r="AP82" s="34">
        <f>H82*(1-0.25955902874686)</f>
        <v>0</v>
      </c>
      <c r="AQ82" s="28" t="s">
        <v>7</v>
      </c>
      <c r="AV82" s="34">
        <f t="shared" si="80"/>
        <v>0</v>
      </c>
      <c r="AW82" s="34">
        <f t="shared" si="81"/>
        <v>0</v>
      </c>
      <c r="AX82" s="34">
        <f t="shared" si="82"/>
        <v>0</v>
      </c>
      <c r="AY82" s="35" t="s">
        <v>1693</v>
      </c>
      <c r="AZ82" s="35" t="s">
        <v>1728</v>
      </c>
      <c r="BA82" s="29" t="s">
        <v>1737</v>
      </c>
      <c r="BC82" s="34">
        <f t="shared" si="83"/>
        <v>0</v>
      </c>
      <c r="BD82" s="34">
        <f t="shared" si="84"/>
        <v>0</v>
      </c>
      <c r="BE82" s="34">
        <v>0</v>
      </c>
      <c r="BF82" s="34">
        <f>82</f>
        <v>82</v>
      </c>
      <c r="BH82" s="17">
        <f t="shared" si="85"/>
        <v>0</v>
      </c>
      <c r="BI82" s="17">
        <f t="shared" si="86"/>
        <v>0</v>
      </c>
      <c r="BJ82" s="17">
        <f t="shared" si="87"/>
        <v>0</v>
      </c>
    </row>
    <row r="83" spans="1:62" x14ac:dyDescent="0.2">
      <c r="A83" s="4" t="s">
        <v>61</v>
      </c>
      <c r="B83" s="4" t="s">
        <v>621</v>
      </c>
      <c r="C83" s="240" t="s">
        <v>1122</v>
      </c>
      <c r="D83" s="241"/>
      <c r="E83" s="241"/>
      <c r="F83" s="4" t="s">
        <v>1645</v>
      </c>
      <c r="G83" s="69">
        <v>108.31100000000001</v>
      </c>
      <c r="H83" s="168"/>
      <c r="I83" s="17">
        <f t="shared" si="66"/>
        <v>0</v>
      </c>
      <c r="J83" s="17">
        <f t="shared" si="67"/>
        <v>0</v>
      </c>
      <c r="K83" s="17">
        <f t="shared" si="68"/>
        <v>0</v>
      </c>
      <c r="L83" s="28" t="s">
        <v>1671</v>
      </c>
      <c r="Z83" s="34">
        <f t="shared" si="69"/>
        <v>0</v>
      </c>
      <c r="AB83" s="34">
        <f t="shared" si="70"/>
        <v>0</v>
      </c>
      <c r="AC83" s="34">
        <f t="shared" si="71"/>
        <v>0</v>
      </c>
      <c r="AD83" s="34">
        <f t="shared" si="72"/>
        <v>0</v>
      </c>
      <c r="AE83" s="34">
        <f t="shared" si="73"/>
        <v>0</v>
      </c>
      <c r="AF83" s="34">
        <f t="shared" si="74"/>
        <v>0</v>
      </c>
      <c r="AG83" s="34">
        <f t="shared" si="75"/>
        <v>0</v>
      </c>
      <c r="AH83" s="34">
        <f t="shared" si="76"/>
        <v>0</v>
      </c>
      <c r="AI83" s="29"/>
      <c r="AJ83" s="17">
        <f t="shared" si="77"/>
        <v>0</v>
      </c>
      <c r="AK83" s="17">
        <f t="shared" si="78"/>
        <v>0</v>
      </c>
      <c r="AL83" s="17">
        <f t="shared" si="79"/>
        <v>0</v>
      </c>
      <c r="AN83" s="34">
        <v>15</v>
      </c>
      <c r="AO83" s="34">
        <f>H83*0.476853726521652</f>
        <v>0</v>
      </c>
      <c r="AP83" s="34">
        <f>H83*(1-0.476853726521652)</f>
        <v>0</v>
      </c>
      <c r="AQ83" s="28" t="s">
        <v>7</v>
      </c>
      <c r="AV83" s="34">
        <f t="shared" si="80"/>
        <v>0</v>
      </c>
      <c r="AW83" s="34">
        <f t="shared" si="81"/>
        <v>0</v>
      </c>
      <c r="AX83" s="34">
        <f t="shared" si="82"/>
        <v>0</v>
      </c>
      <c r="AY83" s="35" t="s">
        <v>1693</v>
      </c>
      <c r="AZ83" s="35" t="s">
        <v>1728</v>
      </c>
      <c r="BA83" s="29" t="s">
        <v>1737</v>
      </c>
      <c r="BC83" s="34">
        <f t="shared" si="83"/>
        <v>0</v>
      </c>
      <c r="BD83" s="34">
        <f t="shared" si="84"/>
        <v>0</v>
      </c>
      <c r="BE83" s="34">
        <v>0</v>
      </c>
      <c r="BF83" s="34">
        <f>83</f>
        <v>83</v>
      </c>
      <c r="BH83" s="17">
        <f t="shared" si="85"/>
        <v>0</v>
      </c>
      <c r="BI83" s="17">
        <f t="shared" si="86"/>
        <v>0</v>
      </c>
      <c r="BJ83" s="17">
        <f t="shared" si="87"/>
        <v>0</v>
      </c>
    </row>
    <row r="84" spans="1:62" x14ac:dyDescent="0.2">
      <c r="A84" s="4" t="s">
        <v>62</v>
      </c>
      <c r="B84" s="4" t="s">
        <v>622</v>
      </c>
      <c r="C84" s="240" t="s">
        <v>1123</v>
      </c>
      <c r="D84" s="241"/>
      <c r="E84" s="241"/>
      <c r="F84" s="4" t="s">
        <v>1646</v>
      </c>
      <c r="G84" s="69">
        <v>202.8</v>
      </c>
      <c r="H84" s="168"/>
      <c r="I84" s="17">
        <f t="shared" si="66"/>
        <v>0</v>
      </c>
      <c r="J84" s="17">
        <f t="shared" si="67"/>
        <v>0</v>
      </c>
      <c r="K84" s="17">
        <f t="shared" si="68"/>
        <v>0</v>
      </c>
      <c r="L84" s="28" t="s">
        <v>1671</v>
      </c>
      <c r="Z84" s="34">
        <f t="shared" si="69"/>
        <v>0</v>
      </c>
      <c r="AB84" s="34">
        <f t="shared" si="70"/>
        <v>0</v>
      </c>
      <c r="AC84" s="34">
        <f t="shared" si="71"/>
        <v>0</v>
      </c>
      <c r="AD84" s="34">
        <f t="shared" si="72"/>
        <v>0</v>
      </c>
      <c r="AE84" s="34">
        <f t="shared" si="73"/>
        <v>0</v>
      </c>
      <c r="AF84" s="34">
        <f t="shared" si="74"/>
        <v>0</v>
      </c>
      <c r="AG84" s="34">
        <f t="shared" si="75"/>
        <v>0</v>
      </c>
      <c r="AH84" s="34">
        <f t="shared" si="76"/>
        <v>0</v>
      </c>
      <c r="AI84" s="29"/>
      <c r="AJ84" s="17">
        <f t="shared" si="77"/>
        <v>0</v>
      </c>
      <c r="AK84" s="17">
        <f t="shared" si="78"/>
        <v>0</v>
      </c>
      <c r="AL84" s="17">
        <f t="shared" si="79"/>
        <v>0</v>
      </c>
      <c r="AN84" s="34">
        <v>15</v>
      </c>
      <c r="AO84" s="34">
        <f>H84*0.413696060037524</f>
        <v>0</v>
      </c>
      <c r="AP84" s="34">
        <f>H84*(1-0.413696060037524)</f>
        <v>0</v>
      </c>
      <c r="AQ84" s="28" t="s">
        <v>7</v>
      </c>
      <c r="AV84" s="34">
        <f t="shared" si="80"/>
        <v>0</v>
      </c>
      <c r="AW84" s="34">
        <f t="shared" si="81"/>
        <v>0</v>
      </c>
      <c r="AX84" s="34">
        <f t="shared" si="82"/>
        <v>0</v>
      </c>
      <c r="AY84" s="35" t="s">
        <v>1693</v>
      </c>
      <c r="AZ84" s="35" t="s">
        <v>1728</v>
      </c>
      <c r="BA84" s="29" t="s">
        <v>1737</v>
      </c>
      <c r="BC84" s="34">
        <f t="shared" si="83"/>
        <v>0</v>
      </c>
      <c r="BD84" s="34">
        <f t="shared" si="84"/>
        <v>0</v>
      </c>
      <c r="BE84" s="34">
        <v>0</v>
      </c>
      <c r="BF84" s="34">
        <f>84</f>
        <v>84</v>
      </c>
      <c r="BH84" s="17">
        <f t="shared" si="85"/>
        <v>0</v>
      </c>
      <c r="BI84" s="17">
        <f t="shared" si="86"/>
        <v>0</v>
      </c>
      <c r="BJ84" s="17">
        <f t="shared" si="87"/>
        <v>0</v>
      </c>
    </row>
    <row r="85" spans="1:62" x14ac:dyDescent="0.2">
      <c r="A85" s="4" t="s">
        <v>63</v>
      </c>
      <c r="B85" s="4" t="s">
        <v>623</v>
      </c>
      <c r="C85" s="240" t="s">
        <v>1124</v>
      </c>
      <c r="D85" s="241"/>
      <c r="E85" s="241"/>
      <c r="F85" s="4" t="s">
        <v>1645</v>
      </c>
      <c r="G85" s="69">
        <v>705.96799999999996</v>
      </c>
      <c r="H85" s="168"/>
      <c r="I85" s="17">
        <f t="shared" si="66"/>
        <v>0</v>
      </c>
      <c r="J85" s="17">
        <f t="shared" si="67"/>
        <v>0</v>
      </c>
      <c r="K85" s="17">
        <f t="shared" si="68"/>
        <v>0</v>
      </c>
      <c r="L85" s="28" t="s">
        <v>1671</v>
      </c>
      <c r="Z85" s="34">
        <f t="shared" si="69"/>
        <v>0</v>
      </c>
      <c r="AB85" s="34">
        <f t="shared" si="70"/>
        <v>0</v>
      </c>
      <c r="AC85" s="34">
        <f t="shared" si="71"/>
        <v>0</v>
      </c>
      <c r="AD85" s="34">
        <f t="shared" si="72"/>
        <v>0</v>
      </c>
      <c r="AE85" s="34">
        <f t="shared" si="73"/>
        <v>0</v>
      </c>
      <c r="AF85" s="34">
        <f t="shared" si="74"/>
        <v>0</v>
      </c>
      <c r="AG85" s="34">
        <f t="shared" si="75"/>
        <v>0</v>
      </c>
      <c r="AH85" s="34">
        <f t="shared" si="76"/>
        <v>0</v>
      </c>
      <c r="AI85" s="29"/>
      <c r="AJ85" s="17">
        <f t="shared" si="77"/>
        <v>0</v>
      </c>
      <c r="AK85" s="17">
        <f t="shared" si="78"/>
        <v>0</v>
      </c>
      <c r="AL85" s="17">
        <f t="shared" si="79"/>
        <v>0</v>
      </c>
      <c r="AN85" s="34">
        <v>15</v>
      </c>
      <c r="AO85" s="34">
        <f>H85*0</f>
        <v>0</v>
      </c>
      <c r="AP85" s="34">
        <f>H85*(1-0)</f>
        <v>0</v>
      </c>
      <c r="AQ85" s="28" t="s">
        <v>7</v>
      </c>
      <c r="AV85" s="34">
        <f t="shared" si="80"/>
        <v>0</v>
      </c>
      <c r="AW85" s="34">
        <f t="shared" si="81"/>
        <v>0</v>
      </c>
      <c r="AX85" s="34">
        <f t="shared" si="82"/>
        <v>0</v>
      </c>
      <c r="AY85" s="35" t="s">
        <v>1693</v>
      </c>
      <c r="AZ85" s="35" t="s">
        <v>1728</v>
      </c>
      <c r="BA85" s="29" t="s">
        <v>1737</v>
      </c>
      <c r="BC85" s="34">
        <f t="shared" si="83"/>
        <v>0</v>
      </c>
      <c r="BD85" s="34">
        <f t="shared" si="84"/>
        <v>0</v>
      </c>
      <c r="BE85" s="34">
        <v>0</v>
      </c>
      <c r="BF85" s="34">
        <f>85</f>
        <v>85</v>
      </c>
      <c r="BH85" s="17">
        <f t="shared" si="85"/>
        <v>0</v>
      </c>
      <c r="BI85" s="17">
        <f t="shared" si="86"/>
        <v>0</v>
      </c>
      <c r="BJ85" s="17">
        <f t="shared" si="87"/>
        <v>0</v>
      </c>
    </row>
    <row r="86" spans="1:62" x14ac:dyDescent="0.2">
      <c r="A86" s="4" t="s">
        <v>64</v>
      </c>
      <c r="B86" s="4" t="s">
        <v>624</v>
      </c>
      <c r="C86" s="240" t="s">
        <v>1125</v>
      </c>
      <c r="D86" s="241"/>
      <c r="E86" s="241"/>
      <c r="F86" s="4" t="s">
        <v>1645</v>
      </c>
      <c r="G86" s="69">
        <v>705.96799999999996</v>
      </c>
      <c r="H86" s="168"/>
      <c r="I86" s="17">
        <f t="shared" si="66"/>
        <v>0</v>
      </c>
      <c r="J86" s="17">
        <f t="shared" si="67"/>
        <v>0</v>
      </c>
      <c r="K86" s="17">
        <f t="shared" si="68"/>
        <v>0</v>
      </c>
      <c r="L86" s="28" t="s">
        <v>1671</v>
      </c>
      <c r="Z86" s="34">
        <f t="shared" si="69"/>
        <v>0</v>
      </c>
      <c r="AB86" s="34">
        <f t="shared" si="70"/>
        <v>0</v>
      </c>
      <c r="AC86" s="34">
        <f t="shared" si="71"/>
        <v>0</v>
      </c>
      <c r="AD86" s="34">
        <f t="shared" si="72"/>
        <v>0</v>
      </c>
      <c r="AE86" s="34">
        <f t="shared" si="73"/>
        <v>0</v>
      </c>
      <c r="AF86" s="34">
        <f t="shared" si="74"/>
        <v>0</v>
      </c>
      <c r="AG86" s="34">
        <f t="shared" si="75"/>
        <v>0</v>
      </c>
      <c r="AH86" s="34">
        <f t="shared" si="76"/>
        <v>0</v>
      </c>
      <c r="AI86" s="29"/>
      <c r="AJ86" s="17">
        <f t="shared" si="77"/>
        <v>0</v>
      </c>
      <c r="AK86" s="17">
        <f t="shared" si="78"/>
        <v>0</v>
      </c>
      <c r="AL86" s="17">
        <f t="shared" si="79"/>
        <v>0</v>
      </c>
      <c r="AN86" s="34">
        <v>15</v>
      </c>
      <c r="AO86" s="34">
        <f>H86*0.0655405336404319</f>
        <v>0</v>
      </c>
      <c r="AP86" s="34">
        <f>H86*(1-0.0655405336404319)</f>
        <v>0</v>
      </c>
      <c r="AQ86" s="28" t="s">
        <v>7</v>
      </c>
      <c r="AV86" s="34">
        <f t="shared" si="80"/>
        <v>0</v>
      </c>
      <c r="AW86" s="34">
        <f t="shared" si="81"/>
        <v>0</v>
      </c>
      <c r="AX86" s="34">
        <f t="shared" si="82"/>
        <v>0</v>
      </c>
      <c r="AY86" s="35" t="s">
        <v>1693</v>
      </c>
      <c r="AZ86" s="35" t="s">
        <v>1728</v>
      </c>
      <c r="BA86" s="29" t="s">
        <v>1737</v>
      </c>
      <c r="BC86" s="34">
        <f t="shared" si="83"/>
        <v>0</v>
      </c>
      <c r="BD86" s="34">
        <f t="shared" si="84"/>
        <v>0</v>
      </c>
      <c r="BE86" s="34">
        <v>0</v>
      </c>
      <c r="BF86" s="34">
        <f>86</f>
        <v>86</v>
      </c>
      <c r="BH86" s="17">
        <f t="shared" si="85"/>
        <v>0</v>
      </c>
      <c r="BI86" s="17">
        <f t="shared" si="86"/>
        <v>0</v>
      </c>
      <c r="BJ86" s="17">
        <f t="shared" si="87"/>
        <v>0</v>
      </c>
    </row>
    <row r="87" spans="1:62" x14ac:dyDescent="0.2">
      <c r="A87" s="4" t="s">
        <v>65</v>
      </c>
      <c r="B87" s="4" t="s">
        <v>625</v>
      </c>
      <c r="C87" s="240" t="s">
        <v>1126</v>
      </c>
      <c r="D87" s="241"/>
      <c r="E87" s="241"/>
      <c r="F87" s="4" t="s">
        <v>1645</v>
      </c>
      <c r="G87" s="69">
        <v>352.98399999999998</v>
      </c>
      <c r="H87" s="168"/>
      <c r="I87" s="17">
        <f t="shared" si="66"/>
        <v>0</v>
      </c>
      <c r="J87" s="17">
        <f t="shared" si="67"/>
        <v>0</v>
      </c>
      <c r="K87" s="17">
        <f t="shared" si="68"/>
        <v>0</v>
      </c>
      <c r="L87" s="28" t="s">
        <v>1671</v>
      </c>
      <c r="Z87" s="34">
        <f t="shared" si="69"/>
        <v>0</v>
      </c>
      <c r="AB87" s="34">
        <f t="shared" si="70"/>
        <v>0</v>
      </c>
      <c r="AC87" s="34">
        <f t="shared" si="71"/>
        <v>0</v>
      </c>
      <c r="AD87" s="34">
        <f t="shared" si="72"/>
        <v>0</v>
      </c>
      <c r="AE87" s="34">
        <f t="shared" si="73"/>
        <v>0</v>
      </c>
      <c r="AF87" s="34">
        <f t="shared" si="74"/>
        <v>0</v>
      </c>
      <c r="AG87" s="34">
        <f t="shared" si="75"/>
        <v>0</v>
      </c>
      <c r="AH87" s="34">
        <f t="shared" si="76"/>
        <v>0</v>
      </c>
      <c r="AI87" s="29"/>
      <c r="AJ87" s="17">
        <f t="shared" si="77"/>
        <v>0</v>
      </c>
      <c r="AK87" s="17">
        <f t="shared" si="78"/>
        <v>0</v>
      </c>
      <c r="AL87" s="17">
        <f t="shared" si="79"/>
        <v>0</v>
      </c>
      <c r="AN87" s="34">
        <v>15</v>
      </c>
      <c r="AO87" s="34">
        <f>H87*0</f>
        <v>0</v>
      </c>
      <c r="AP87" s="34">
        <f>H87*(1-0)</f>
        <v>0</v>
      </c>
      <c r="AQ87" s="28" t="s">
        <v>7</v>
      </c>
      <c r="AV87" s="34">
        <f t="shared" si="80"/>
        <v>0</v>
      </c>
      <c r="AW87" s="34">
        <f t="shared" si="81"/>
        <v>0</v>
      </c>
      <c r="AX87" s="34">
        <f t="shared" si="82"/>
        <v>0</v>
      </c>
      <c r="AY87" s="35" t="s">
        <v>1693</v>
      </c>
      <c r="AZ87" s="35" t="s">
        <v>1728</v>
      </c>
      <c r="BA87" s="29" t="s">
        <v>1737</v>
      </c>
      <c r="BC87" s="34">
        <f t="shared" si="83"/>
        <v>0</v>
      </c>
      <c r="BD87" s="34">
        <f t="shared" si="84"/>
        <v>0</v>
      </c>
      <c r="BE87" s="34">
        <v>0</v>
      </c>
      <c r="BF87" s="34">
        <f>87</f>
        <v>87</v>
      </c>
      <c r="BH87" s="17">
        <f t="shared" si="85"/>
        <v>0</v>
      </c>
      <c r="BI87" s="17">
        <f t="shared" si="86"/>
        <v>0</v>
      </c>
      <c r="BJ87" s="17">
        <f t="shared" si="87"/>
        <v>0</v>
      </c>
    </row>
    <row r="88" spans="1:62" x14ac:dyDescent="0.2">
      <c r="A88" s="4" t="s">
        <v>66</v>
      </c>
      <c r="B88" s="4" t="s">
        <v>626</v>
      </c>
      <c r="C88" s="240" t="s">
        <v>1127</v>
      </c>
      <c r="D88" s="241"/>
      <c r="E88" s="241"/>
      <c r="F88" s="4" t="s">
        <v>1645</v>
      </c>
      <c r="G88" s="69">
        <v>352.98399999999998</v>
      </c>
      <c r="H88" s="168"/>
      <c r="I88" s="17">
        <f t="shared" si="66"/>
        <v>0</v>
      </c>
      <c r="J88" s="17">
        <f t="shared" si="67"/>
        <v>0</v>
      </c>
      <c r="K88" s="17">
        <f t="shared" si="68"/>
        <v>0</v>
      </c>
      <c r="L88" s="28" t="s">
        <v>1671</v>
      </c>
      <c r="Z88" s="34">
        <f t="shared" si="69"/>
        <v>0</v>
      </c>
      <c r="AB88" s="34">
        <f t="shared" si="70"/>
        <v>0</v>
      </c>
      <c r="AC88" s="34">
        <f t="shared" si="71"/>
        <v>0</v>
      </c>
      <c r="AD88" s="34">
        <f t="shared" si="72"/>
        <v>0</v>
      </c>
      <c r="AE88" s="34">
        <f t="shared" si="73"/>
        <v>0</v>
      </c>
      <c r="AF88" s="34">
        <f t="shared" si="74"/>
        <v>0</v>
      </c>
      <c r="AG88" s="34">
        <f t="shared" si="75"/>
        <v>0</v>
      </c>
      <c r="AH88" s="34">
        <f t="shared" si="76"/>
        <v>0</v>
      </c>
      <c r="AI88" s="29"/>
      <c r="AJ88" s="17">
        <f t="shared" si="77"/>
        <v>0</v>
      </c>
      <c r="AK88" s="17">
        <f t="shared" si="78"/>
        <v>0</v>
      </c>
      <c r="AL88" s="17">
        <f t="shared" si="79"/>
        <v>0</v>
      </c>
      <c r="AN88" s="34">
        <v>15</v>
      </c>
      <c r="AO88" s="34">
        <f>H88*0.313660698417902</f>
        <v>0</v>
      </c>
      <c r="AP88" s="34">
        <f>H88*(1-0.313660698417902)</f>
        <v>0</v>
      </c>
      <c r="AQ88" s="28" t="s">
        <v>7</v>
      </c>
      <c r="AV88" s="34">
        <f t="shared" si="80"/>
        <v>0</v>
      </c>
      <c r="AW88" s="34">
        <f t="shared" si="81"/>
        <v>0</v>
      </c>
      <c r="AX88" s="34">
        <f t="shared" si="82"/>
        <v>0</v>
      </c>
      <c r="AY88" s="35" t="s">
        <v>1693</v>
      </c>
      <c r="AZ88" s="35" t="s">
        <v>1728</v>
      </c>
      <c r="BA88" s="29" t="s">
        <v>1737</v>
      </c>
      <c r="BC88" s="34">
        <f t="shared" si="83"/>
        <v>0</v>
      </c>
      <c r="BD88" s="34">
        <f t="shared" si="84"/>
        <v>0</v>
      </c>
      <c r="BE88" s="34">
        <v>0</v>
      </c>
      <c r="BF88" s="34">
        <f>88</f>
        <v>88</v>
      </c>
      <c r="BH88" s="17">
        <f t="shared" si="85"/>
        <v>0</v>
      </c>
      <c r="BI88" s="17">
        <f t="shared" si="86"/>
        <v>0</v>
      </c>
      <c r="BJ88" s="17">
        <f t="shared" si="87"/>
        <v>0</v>
      </c>
    </row>
    <row r="89" spans="1:62" x14ac:dyDescent="0.2">
      <c r="A89" s="5"/>
      <c r="B89" s="13" t="s">
        <v>69</v>
      </c>
      <c r="C89" s="244" t="s">
        <v>1128</v>
      </c>
      <c r="D89" s="245"/>
      <c r="E89" s="245"/>
      <c r="F89" s="5" t="s">
        <v>6</v>
      </c>
      <c r="G89" s="5" t="s">
        <v>6</v>
      </c>
      <c r="H89" s="5" t="s">
        <v>6</v>
      </c>
      <c r="I89" s="37">
        <f>SUM(I90:I90)</f>
        <v>0</v>
      </c>
      <c r="J89" s="37">
        <f>SUM(J90:J90)</f>
        <v>0</v>
      </c>
      <c r="K89" s="37">
        <f>SUM(K90:K90)</f>
        <v>0</v>
      </c>
      <c r="L89" s="29"/>
      <c r="AI89" s="29"/>
      <c r="AS89" s="37">
        <f>SUM(AJ90:AJ90)</f>
        <v>0</v>
      </c>
      <c r="AT89" s="37">
        <f>SUM(AK90:AK90)</f>
        <v>0</v>
      </c>
      <c r="AU89" s="37">
        <f>SUM(AL90:AL90)</f>
        <v>0</v>
      </c>
    </row>
    <row r="90" spans="1:62" x14ac:dyDescent="0.2">
      <c r="A90" s="4" t="s">
        <v>67</v>
      </c>
      <c r="B90" s="4" t="s">
        <v>627</v>
      </c>
      <c r="C90" s="240" t="s">
        <v>1129</v>
      </c>
      <c r="D90" s="241"/>
      <c r="E90" s="241"/>
      <c r="F90" s="4" t="s">
        <v>1645</v>
      </c>
      <c r="G90" s="69">
        <v>1</v>
      </c>
      <c r="H90" s="168"/>
      <c r="I90" s="17">
        <f>G90*AO90</f>
        <v>0</v>
      </c>
      <c r="J90" s="17">
        <f>G90*AP90</f>
        <v>0</v>
      </c>
      <c r="K90" s="17">
        <f>G90*H90</f>
        <v>0</v>
      </c>
      <c r="L90" s="28" t="s">
        <v>1671</v>
      </c>
      <c r="Z90" s="34">
        <f>IF(AQ90="5",BJ90,0)</f>
        <v>0</v>
      </c>
      <c r="AB90" s="34">
        <f>IF(AQ90="1",BH90,0)</f>
        <v>0</v>
      </c>
      <c r="AC90" s="34">
        <f>IF(AQ90="1",BI90,0)</f>
        <v>0</v>
      </c>
      <c r="AD90" s="34">
        <f>IF(AQ90="7",BH90,0)</f>
        <v>0</v>
      </c>
      <c r="AE90" s="34">
        <f>IF(AQ90="7",BI90,0)</f>
        <v>0</v>
      </c>
      <c r="AF90" s="34">
        <f>IF(AQ90="2",BH90,0)</f>
        <v>0</v>
      </c>
      <c r="AG90" s="34">
        <f>IF(AQ90="2",BI90,0)</f>
        <v>0</v>
      </c>
      <c r="AH90" s="34">
        <f>IF(AQ90="0",BJ90,0)</f>
        <v>0</v>
      </c>
      <c r="AI90" s="29"/>
      <c r="AJ90" s="17">
        <f>IF(AN90=0,K90,0)</f>
        <v>0</v>
      </c>
      <c r="AK90" s="17">
        <f>IF(AN90=15,K90,0)</f>
        <v>0</v>
      </c>
      <c r="AL90" s="17">
        <f>IF(AN90=21,K90,0)</f>
        <v>0</v>
      </c>
      <c r="AN90" s="34">
        <v>15</v>
      </c>
      <c r="AO90" s="34">
        <f>H90*0.523900523560209</f>
        <v>0</v>
      </c>
      <c r="AP90" s="34">
        <f>H90*(1-0.523900523560209)</f>
        <v>0</v>
      </c>
      <c r="AQ90" s="28" t="s">
        <v>7</v>
      </c>
      <c r="AV90" s="34">
        <f>AW90+AX90</f>
        <v>0</v>
      </c>
      <c r="AW90" s="34">
        <f>G90*AO90</f>
        <v>0</v>
      </c>
      <c r="AX90" s="34">
        <f>G90*AP90</f>
        <v>0</v>
      </c>
      <c r="AY90" s="35" t="s">
        <v>1694</v>
      </c>
      <c r="AZ90" s="35" t="s">
        <v>1728</v>
      </c>
      <c r="BA90" s="29" t="s">
        <v>1737</v>
      </c>
      <c r="BC90" s="34">
        <f>AW90+AX90</f>
        <v>0</v>
      </c>
      <c r="BD90" s="34">
        <f>H90/(100-BE90)*100</f>
        <v>0</v>
      </c>
      <c r="BE90" s="34">
        <v>0</v>
      </c>
      <c r="BF90" s="34">
        <f>90</f>
        <v>90</v>
      </c>
      <c r="BH90" s="17">
        <f>G90*AO90</f>
        <v>0</v>
      </c>
      <c r="BI90" s="17">
        <f>G90*AP90</f>
        <v>0</v>
      </c>
      <c r="BJ90" s="17">
        <f>G90*H90</f>
        <v>0</v>
      </c>
    </row>
    <row r="91" spans="1:62" x14ac:dyDescent="0.2">
      <c r="A91" s="5"/>
      <c r="B91" s="13" t="s">
        <v>89</v>
      </c>
      <c r="C91" s="244" t="s">
        <v>1130</v>
      </c>
      <c r="D91" s="245"/>
      <c r="E91" s="245"/>
      <c r="F91" s="5" t="s">
        <v>6</v>
      </c>
      <c r="G91" s="5" t="s">
        <v>6</v>
      </c>
      <c r="H91" s="5" t="s">
        <v>6</v>
      </c>
      <c r="I91" s="37">
        <f>SUM(I92:I93)</f>
        <v>0</v>
      </c>
      <c r="J91" s="37">
        <f>SUM(J92:J93)</f>
        <v>0</v>
      </c>
      <c r="K91" s="37">
        <f>SUM(K92:K93)</f>
        <v>0</v>
      </c>
      <c r="L91" s="29"/>
      <c r="AI91" s="29"/>
      <c r="AS91" s="37">
        <f>SUM(AJ92:AJ93)</f>
        <v>0</v>
      </c>
      <c r="AT91" s="37">
        <f>SUM(AK92:AK93)</f>
        <v>0</v>
      </c>
      <c r="AU91" s="37">
        <f>SUM(AL92:AL93)</f>
        <v>0</v>
      </c>
    </row>
    <row r="92" spans="1:62" x14ac:dyDescent="0.2">
      <c r="A92" s="4" t="s">
        <v>68</v>
      </c>
      <c r="B92" s="4" t="s">
        <v>628</v>
      </c>
      <c r="C92" s="240" t="s">
        <v>1131</v>
      </c>
      <c r="D92" s="241"/>
      <c r="E92" s="241"/>
      <c r="F92" s="4" t="s">
        <v>1644</v>
      </c>
      <c r="G92" s="69">
        <v>4</v>
      </c>
      <c r="H92" s="168"/>
      <c r="I92" s="17">
        <f>G92*AO92</f>
        <v>0</v>
      </c>
      <c r="J92" s="17">
        <f>G92*AP92</f>
        <v>0</v>
      </c>
      <c r="K92" s="17">
        <f>G92*H92</f>
        <v>0</v>
      </c>
      <c r="L92" s="28" t="s">
        <v>1671</v>
      </c>
      <c r="Z92" s="34">
        <f>IF(AQ92="5",BJ92,0)</f>
        <v>0</v>
      </c>
      <c r="AB92" s="34">
        <f>IF(AQ92="1",BH92,0)</f>
        <v>0</v>
      </c>
      <c r="AC92" s="34">
        <f>IF(AQ92="1",BI92,0)</f>
        <v>0</v>
      </c>
      <c r="AD92" s="34">
        <f>IF(AQ92="7",BH92,0)</f>
        <v>0</v>
      </c>
      <c r="AE92" s="34">
        <f>IF(AQ92="7",BI92,0)</f>
        <v>0</v>
      </c>
      <c r="AF92" s="34">
        <f>IF(AQ92="2",BH92,0)</f>
        <v>0</v>
      </c>
      <c r="AG92" s="34">
        <f>IF(AQ92="2",BI92,0)</f>
        <v>0</v>
      </c>
      <c r="AH92" s="34">
        <f>IF(AQ92="0",BJ92,0)</f>
        <v>0</v>
      </c>
      <c r="AI92" s="29"/>
      <c r="AJ92" s="17">
        <f>IF(AN92=0,K92,0)</f>
        <v>0</v>
      </c>
      <c r="AK92" s="17">
        <f>IF(AN92=15,K92,0)</f>
        <v>0</v>
      </c>
      <c r="AL92" s="17">
        <f>IF(AN92=21,K92,0)</f>
        <v>0</v>
      </c>
      <c r="AN92" s="34">
        <v>15</v>
      </c>
      <c r="AO92" s="34">
        <f>H92*0.915172602097089</f>
        <v>0</v>
      </c>
      <c r="AP92" s="34">
        <f>H92*(1-0.915172602097089)</f>
        <v>0</v>
      </c>
      <c r="AQ92" s="28" t="s">
        <v>7</v>
      </c>
      <c r="AV92" s="34">
        <f>AW92+AX92</f>
        <v>0</v>
      </c>
      <c r="AW92" s="34">
        <f>G92*AO92</f>
        <v>0</v>
      </c>
      <c r="AX92" s="34">
        <f>G92*AP92</f>
        <v>0</v>
      </c>
      <c r="AY92" s="35" t="s">
        <v>1695</v>
      </c>
      <c r="AZ92" s="35" t="s">
        <v>1729</v>
      </c>
      <c r="BA92" s="29" t="s">
        <v>1737</v>
      </c>
      <c r="BC92" s="34">
        <f>AW92+AX92</f>
        <v>0</v>
      </c>
      <c r="BD92" s="34">
        <f>H92/(100-BE92)*100</f>
        <v>0</v>
      </c>
      <c r="BE92" s="34">
        <v>0</v>
      </c>
      <c r="BF92" s="34">
        <f>92</f>
        <v>92</v>
      </c>
      <c r="BH92" s="17">
        <f>G92*AO92</f>
        <v>0</v>
      </c>
      <c r="BI92" s="17">
        <f>G92*AP92</f>
        <v>0</v>
      </c>
      <c r="BJ92" s="17">
        <f>G92*H92</f>
        <v>0</v>
      </c>
    </row>
    <row r="93" spans="1:62" x14ac:dyDescent="0.2">
      <c r="A93" s="4" t="s">
        <v>69</v>
      </c>
      <c r="B93" s="4" t="s">
        <v>629</v>
      </c>
      <c r="C93" s="240" t="s">
        <v>1132</v>
      </c>
      <c r="D93" s="241"/>
      <c r="E93" s="241"/>
      <c r="F93" s="4" t="s">
        <v>1646</v>
      </c>
      <c r="G93" s="69">
        <v>40</v>
      </c>
      <c r="H93" s="168"/>
      <c r="I93" s="17">
        <f>G93*AO93</f>
        <v>0</v>
      </c>
      <c r="J93" s="17">
        <f>G93*AP93</f>
        <v>0</v>
      </c>
      <c r="K93" s="17">
        <f>G93*H93</f>
        <v>0</v>
      </c>
      <c r="L93" s="28" t="s">
        <v>1671</v>
      </c>
      <c r="Z93" s="34">
        <f>IF(AQ93="5",BJ93,0)</f>
        <v>0</v>
      </c>
      <c r="AB93" s="34">
        <f>IF(AQ93="1",BH93,0)</f>
        <v>0</v>
      </c>
      <c r="AC93" s="34">
        <f>IF(AQ93="1",BI93,0)</f>
        <v>0</v>
      </c>
      <c r="AD93" s="34">
        <f>IF(AQ93="7",BH93,0)</f>
        <v>0</v>
      </c>
      <c r="AE93" s="34">
        <f>IF(AQ93="7",BI93,0)</f>
        <v>0</v>
      </c>
      <c r="AF93" s="34">
        <f>IF(AQ93="2",BH93,0)</f>
        <v>0</v>
      </c>
      <c r="AG93" s="34">
        <f>IF(AQ93="2",BI93,0)</f>
        <v>0</v>
      </c>
      <c r="AH93" s="34">
        <f>IF(AQ93="0",BJ93,0)</f>
        <v>0</v>
      </c>
      <c r="AI93" s="29"/>
      <c r="AJ93" s="17">
        <f>IF(AN93=0,K93,0)</f>
        <v>0</v>
      </c>
      <c r="AK93" s="17">
        <f>IF(AN93=15,K93,0)</f>
        <v>0</v>
      </c>
      <c r="AL93" s="17">
        <f>IF(AN93=21,K93,0)</f>
        <v>0</v>
      </c>
      <c r="AN93" s="34">
        <v>15</v>
      </c>
      <c r="AO93" s="34">
        <f>H93*0.343381518923828</f>
        <v>0</v>
      </c>
      <c r="AP93" s="34">
        <f>H93*(1-0.343381518923828)</f>
        <v>0</v>
      </c>
      <c r="AQ93" s="28" t="s">
        <v>7</v>
      </c>
      <c r="AV93" s="34">
        <f>AW93+AX93</f>
        <v>0</v>
      </c>
      <c r="AW93" s="34">
        <f>G93*AO93</f>
        <v>0</v>
      </c>
      <c r="AX93" s="34">
        <f>G93*AP93</f>
        <v>0</v>
      </c>
      <c r="AY93" s="35" t="s">
        <v>1695</v>
      </c>
      <c r="AZ93" s="35" t="s">
        <v>1729</v>
      </c>
      <c r="BA93" s="29" t="s">
        <v>1737</v>
      </c>
      <c r="BC93" s="34">
        <f>AW93+AX93</f>
        <v>0</v>
      </c>
      <c r="BD93" s="34">
        <f>H93/(100-BE93)*100</f>
        <v>0</v>
      </c>
      <c r="BE93" s="34">
        <v>0</v>
      </c>
      <c r="BF93" s="34">
        <f>93</f>
        <v>93</v>
      </c>
      <c r="BH93" s="17">
        <f>G93*AO93</f>
        <v>0</v>
      </c>
      <c r="BI93" s="17">
        <f>G93*AP93</f>
        <v>0</v>
      </c>
      <c r="BJ93" s="17">
        <f>G93*H93</f>
        <v>0</v>
      </c>
    </row>
    <row r="94" spans="1:62" x14ac:dyDescent="0.2">
      <c r="A94" s="5"/>
      <c r="B94" s="13" t="s">
        <v>95</v>
      </c>
      <c r="C94" s="244" t="s">
        <v>1133</v>
      </c>
      <c r="D94" s="245"/>
      <c r="E94" s="245"/>
      <c r="F94" s="5" t="s">
        <v>6</v>
      </c>
      <c r="G94" s="5" t="s">
        <v>6</v>
      </c>
      <c r="H94" s="5" t="s">
        <v>6</v>
      </c>
      <c r="I94" s="37">
        <f>SUM(I95:I96)</f>
        <v>0</v>
      </c>
      <c r="J94" s="37">
        <f>SUM(J95:J96)</f>
        <v>0</v>
      </c>
      <c r="K94" s="37">
        <f>SUM(K95:K96)</f>
        <v>0</v>
      </c>
      <c r="L94" s="29"/>
      <c r="AI94" s="29"/>
      <c r="AS94" s="37">
        <f>SUM(AJ95:AJ96)</f>
        <v>0</v>
      </c>
      <c r="AT94" s="37">
        <f>SUM(AK95:AK96)</f>
        <v>0</v>
      </c>
      <c r="AU94" s="37">
        <f>SUM(AL95:AL96)</f>
        <v>0</v>
      </c>
    </row>
    <row r="95" spans="1:62" x14ac:dyDescent="0.2">
      <c r="A95" s="4" t="s">
        <v>70</v>
      </c>
      <c r="B95" s="4" t="s">
        <v>630</v>
      </c>
      <c r="C95" s="240" t="s">
        <v>1134</v>
      </c>
      <c r="D95" s="241"/>
      <c r="E95" s="241"/>
      <c r="F95" s="4" t="s">
        <v>1644</v>
      </c>
      <c r="G95" s="69">
        <v>8</v>
      </c>
      <c r="H95" s="168"/>
      <c r="I95" s="17">
        <f>G95*AO95</f>
        <v>0</v>
      </c>
      <c r="J95" s="17">
        <f>G95*AP95</f>
        <v>0</v>
      </c>
      <c r="K95" s="17">
        <f>G95*H95</f>
        <v>0</v>
      </c>
      <c r="L95" s="28" t="s">
        <v>1671</v>
      </c>
      <c r="Z95" s="34">
        <f>IF(AQ95="5",BJ95,0)</f>
        <v>0</v>
      </c>
      <c r="AB95" s="34">
        <f>IF(AQ95="1",BH95,0)</f>
        <v>0</v>
      </c>
      <c r="AC95" s="34">
        <f>IF(AQ95="1",BI95,0)</f>
        <v>0</v>
      </c>
      <c r="AD95" s="34">
        <f>IF(AQ95="7",BH95,0)</f>
        <v>0</v>
      </c>
      <c r="AE95" s="34">
        <f>IF(AQ95="7",BI95,0)</f>
        <v>0</v>
      </c>
      <c r="AF95" s="34">
        <f>IF(AQ95="2",BH95,0)</f>
        <v>0</v>
      </c>
      <c r="AG95" s="34">
        <f>IF(AQ95="2",BI95,0)</f>
        <v>0</v>
      </c>
      <c r="AH95" s="34">
        <f>IF(AQ95="0",BJ95,0)</f>
        <v>0</v>
      </c>
      <c r="AI95" s="29"/>
      <c r="AJ95" s="17">
        <f>IF(AN95=0,K95,0)</f>
        <v>0</v>
      </c>
      <c r="AK95" s="17">
        <f>IF(AN95=15,K95,0)</f>
        <v>0</v>
      </c>
      <c r="AL95" s="17">
        <f>IF(AN95=21,K95,0)</f>
        <v>0</v>
      </c>
      <c r="AN95" s="34">
        <v>15</v>
      </c>
      <c r="AO95" s="34">
        <f>H95*0.904839880279376</f>
        <v>0</v>
      </c>
      <c r="AP95" s="34">
        <f>H95*(1-0.904839880279376)</f>
        <v>0</v>
      </c>
      <c r="AQ95" s="28" t="s">
        <v>7</v>
      </c>
      <c r="AV95" s="34">
        <f>AW95+AX95</f>
        <v>0</v>
      </c>
      <c r="AW95" s="34">
        <f>G95*AO95</f>
        <v>0</v>
      </c>
      <c r="AX95" s="34">
        <f>G95*AP95</f>
        <v>0</v>
      </c>
      <c r="AY95" s="35" t="s">
        <v>1696</v>
      </c>
      <c r="AZ95" s="35" t="s">
        <v>1729</v>
      </c>
      <c r="BA95" s="29" t="s">
        <v>1737</v>
      </c>
      <c r="BC95" s="34">
        <f>AW95+AX95</f>
        <v>0</v>
      </c>
      <c r="BD95" s="34">
        <f>H95/(100-BE95)*100</f>
        <v>0</v>
      </c>
      <c r="BE95" s="34">
        <v>0</v>
      </c>
      <c r="BF95" s="34">
        <f>95</f>
        <v>95</v>
      </c>
      <c r="BH95" s="17">
        <f>G95*AO95</f>
        <v>0</v>
      </c>
      <c r="BI95" s="17">
        <f>G95*AP95</f>
        <v>0</v>
      </c>
      <c r="BJ95" s="17">
        <f>G95*H95</f>
        <v>0</v>
      </c>
    </row>
    <row r="96" spans="1:62" x14ac:dyDescent="0.2">
      <c r="A96" s="4" t="s">
        <v>71</v>
      </c>
      <c r="B96" s="4" t="s">
        <v>631</v>
      </c>
      <c r="C96" s="240" t="s">
        <v>1135</v>
      </c>
      <c r="D96" s="241"/>
      <c r="E96" s="241"/>
      <c r="F96" s="4" t="s">
        <v>1644</v>
      </c>
      <c r="G96" s="69">
        <v>3</v>
      </c>
      <c r="H96" s="168"/>
      <c r="I96" s="17">
        <f>G96*AO96</f>
        <v>0</v>
      </c>
      <c r="J96" s="17">
        <f>G96*AP96</f>
        <v>0</v>
      </c>
      <c r="K96" s="17">
        <f>G96*H96</f>
        <v>0</v>
      </c>
      <c r="L96" s="28" t="s">
        <v>1671</v>
      </c>
      <c r="Z96" s="34">
        <f>IF(AQ96="5",BJ96,0)</f>
        <v>0</v>
      </c>
      <c r="AB96" s="34">
        <f>IF(AQ96="1",BH96,0)</f>
        <v>0</v>
      </c>
      <c r="AC96" s="34">
        <f>IF(AQ96="1",BI96,0)</f>
        <v>0</v>
      </c>
      <c r="AD96" s="34">
        <f>IF(AQ96="7",BH96,0)</f>
        <v>0</v>
      </c>
      <c r="AE96" s="34">
        <f>IF(AQ96="7",BI96,0)</f>
        <v>0</v>
      </c>
      <c r="AF96" s="34">
        <f>IF(AQ96="2",BH96,0)</f>
        <v>0</v>
      </c>
      <c r="AG96" s="34">
        <f>IF(AQ96="2",BI96,0)</f>
        <v>0</v>
      </c>
      <c r="AH96" s="34">
        <f>IF(AQ96="0",BJ96,0)</f>
        <v>0</v>
      </c>
      <c r="AI96" s="29"/>
      <c r="AJ96" s="17">
        <f>IF(AN96=0,K96,0)</f>
        <v>0</v>
      </c>
      <c r="AK96" s="17">
        <f>IF(AN96=15,K96,0)</f>
        <v>0</v>
      </c>
      <c r="AL96" s="17">
        <f>IF(AN96=21,K96,0)</f>
        <v>0</v>
      </c>
      <c r="AN96" s="34">
        <v>15</v>
      </c>
      <c r="AO96" s="34">
        <f>H96*0.964949325254751</f>
        <v>0</v>
      </c>
      <c r="AP96" s="34">
        <f>H96*(1-0.964949325254751)</f>
        <v>0</v>
      </c>
      <c r="AQ96" s="28" t="s">
        <v>7</v>
      </c>
      <c r="AV96" s="34">
        <f>AW96+AX96</f>
        <v>0</v>
      </c>
      <c r="AW96" s="34">
        <f>G96*AO96</f>
        <v>0</v>
      </c>
      <c r="AX96" s="34">
        <f>G96*AP96</f>
        <v>0</v>
      </c>
      <c r="AY96" s="35" t="s">
        <v>1696</v>
      </c>
      <c r="AZ96" s="35" t="s">
        <v>1729</v>
      </c>
      <c r="BA96" s="29" t="s">
        <v>1737</v>
      </c>
      <c r="BC96" s="34">
        <f>AW96+AX96</f>
        <v>0</v>
      </c>
      <c r="BD96" s="34">
        <f>H96/(100-BE96)*100</f>
        <v>0</v>
      </c>
      <c r="BE96" s="34">
        <v>0</v>
      </c>
      <c r="BF96" s="34">
        <f>96</f>
        <v>96</v>
      </c>
      <c r="BH96" s="17">
        <f>G96*AO96</f>
        <v>0</v>
      </c>
      <c r="BI96" s="17">
        <f>G96*AP96</f>
        <v>0</v>
      </c>
      <c r="BJ96" s="17">
        <f>G96*H96</f>
        <v>0</v>
      </c>
    </row>
    <row r="97" spans="1:62" x14ac:dyDescent="0.2">
      <c r="A97" s="5"/>
      <c r="B97" s="13" t="s">
        <v>97</v>
      </c>
      <c r="C97" s="244" t="s">
        <v>1136</v>
      </c>
      <c r="D97" s="245"/>
      <c r="E97" s="245"/>
      <c r="F97" s="5" t="s">
        <v>6</v>
      </c>
      <c r="G97" s="5" t="s">
        <v>6</v>
      </c>
      <c r="H97" s="5" t="s">
        <v>6</v>
      </c>
      <c r="I97" s="37">
        <f>SUM(I98:I99)</f>
        <v>0</v>
      </c>
      <c r="J97" s="37">
        <f>SUM(J98:J99)</f>
        <v>0</v>
      </c>
      <c r="K97" s="37">
        <f>SUM(K98:K99)</f>
        <v>0</v>
      </c>
      <c r="L97" s="29"/>
      <c r="AI97" s="29"/>
      <c r="AS97" s="37">
        <f>SUM(AJ98:AJ99)</f>
        <v>0</v>
      </c>
      <c r="AT97" s="37">
        <f>SUM(AK98:AK99)</f>
        <v>0</v>
      </c>
      <c r="AU97" s="37">
        <f>SUM(AL98:AL99)</f>
        <v>0</v>
      </c>
    </row>
    <row r="98" spans="1:62" x14ac:dyDescent="0.2">
      <c r="A98" s="4" t="s">
        <v>72</v>
      </c>
      <c r="B98" s="4" t="s">
        <v>632</v>
      </c>
      <c r="C98" s="240" t="s">
        <v>1137</v>
      </c>
      <c r="D98" s="241"/>
      <c r="E98" s="241"/>
      <c r="F98" s="4" t="s">
        <v>1646</v>
      </c>
      <c r="G98" s="69">
        <v>4</v>
      </c>
      <c r="H98" s="168"/>
      <c r="I98" s="17">
        <f>G98*AO98</f>
        <v>0</v>
      </c>
      <c r="J98" s="17">
        <f>G98*AP98</f>
        <v>0</v>
      </c>
      <c r="K98" s="17">
        <f>G98*H98</f>
        <v>0</v>
      </c>
      <c r="L98" s="28" t="s">
        <v>1671</v>
      </c>
      <c r="Z98" s="34">
        <f>IF(AQ98="5",BJ98,0)</f>
        <v>0</v>
      </c>
      <c r="AB98" s="34">
        <f>IF(AQ98="1",BH98,0)</f>
        <v>0</v>
      </c>
      <c r="AC98" s="34">
        <f>IF(AQ98="1",BI98,0)</f>
        <v>0</v>
      </c>
      <c r="AD98" s="34">
        <f>IF(AQ98="7",BH98,0)</f>
        <v>0</v>
      </c>
      <c r="AE98" s="34">
        <f>IF(AQ98="7",BI98,0)</f>
        <v>0</v>
      </c>
      <c r="AF98" s="34">
        <f>IF(AQ98="2",BH98,0)</f>
        <v>0</v>
      </c>
      <c r="AG98" s="34">
        <f>IF(AQ98="2",BI98,0)</f>
        <v>0</v>
      </c>
      <c r="AH98" s="34">
        <f>IF(AQ98="0",BJ98,0)</f>
        <v>0</v>
      </c>
      <c r="AI98" s="29"/>
      <c r="AJ98" s="17">
        <f>IF(AN98=0,K98,0)</f>
        <v>0</v>
      </c>
      <c r="AK98" s="17">
        <f>IF(AN98=15,K98,0)</f>
        <v>0</v>
      </c>
      <c r="AL98" s="17">
        <f>IF(AN98=21,K98,0)</f>
        <v>0</v>
      </c>
      <c r="AN98" s="34">
        <v>15</v>
      </c>
      <c r="AO98" s="34">
        <f>H98*0.72</f>
        <v>0</v>
      </c>
      <c r="AP98" s="34">
        <f>H98*(1-0.72)</f>
        <v>0</v>
      </c>
      <c r="AQ98" s="28" t="s">
        <v>7</v>
      </c>
      <c r="AV98" s="34">
        <f>AW98+AX98</f>
        <v>0</v>
      </c>
      <c r="AW98" s="34">
        <f>G98*AO98</f>
        <v>0</v>
      </c>
      <c r="AX98" s="34">
        <f>G98*AP98</f>
        <v>0</v>
      </c>
      <c r="AY98" s="35" t="s">
        <v>1697</v>
      </c>
      <c r="AZ98" s="35" t="s">
        <v>1730</v>
      </c>
      <c r="BA98" s="29" t="s">
        <v>1737</v>
      </c>
      <c r="BC98" s="34">
        <f>AW98+AX98</f>
        <v>0</v>
      </c>
      <c r="BD98" s="34">
        <f>H98/(100-BE98)*100</f>
        <v>0</v>
      </c>
      <c r="BE98" s="34">
        <v>0</v>
      </c>
      <c r="BF98" s="34">
        <f>98</f>
        <v>98</v>
      </c>
      <c r="BH98" s="17">
        <f>G98*AO98</f>
        <v>0</v>
      </c>
      <c r="BI98" s="17">
        <f>G98*AP98</f>
        <v>0</v>
      </c>
      <c r="BJ98" s="17">
        <f>G98*H98</f>
        <v>0</v>
      </c>
    </row>
    <row r="99" spans="1:62" x14ac:dyDescent="0.2">
      <c r="A99" s="4" t="s">
        <v>73</v>
      </c>
      <c r="B99" s="4" t="s">
        <v>633</v>
      </c>
      <c r="C99" s="240" t="s">
        <v>1138</v>
      </c>
      <c r="D99" s="241"/>
      <c r="E99" s="241"/>
      <c r="F99" s="4" t="s">
        <v>1647</v>
      </c>
      <c r="G99" s="69">
        <v>0.16200000000000001</v>
      </c>
      <c r="H99" s="168"/>
      <c r="I99" s="17">
        <f>G99*AO99</f>
        <v>0</v>
      </c>
      <c r="J99" s="17">
        <f>G99*AP99</f>
        <v>0</v>
      </c>
      <c r="K99" s="17">
        <f>G99*H99</f>
        <v>0</v>
      </c>
      <c r="L99" s="28" t="s">
        <v>1671</v>
      </c>
      <c r="Z99" s="34">
        <f>IF(AQ99="5",BJ99,0)</f>
        <v>0</v>
      </c>
      <c r="AB99" s="34">
        <f>IF(AQ99="1",BH99,0)</f>
        <v>0</v>
      </c>
      <c r="AC99" s="34">
        <f>IF(AQ99="1",BI99,0)</f>
        <v>0</v>
      </c>
      <c r="AD99" s="34">
        <f>IF(AQ99="7",BH99,0)</f>
        <v>0</v>
      </c>
      <c r="AE99" s="34">
        <f>IF(AQ99="7",BI99,0)</f>
        <v>0</v>
      </c>
      <c r="AF99" s="34">
        <f>IF(AQ99="2",BH99,0)</f>
        <v>0</v>
      </c>
      <c r="AG99" s="34">
        <f>IF(AQ99="2",BI99,0)</f>
        <v>0</v>
      </c>
      <c r="AH99" s="34">
        <f>IF(AQ99="0",BJ99,0)</f>
        <v>0</v>
      </c>
      <c r="AI99" s="29"/>
      <c r="AJ99" s="17">
        <f>IF(AN99=0,K99,0)</f>
        <v>0</v>
      </c>
      <c r="AK99" s="17">
        <f>IF(AN99=15,K99,0)</f>
        <v>0</v>
      </c>
      <c r="AL99" s="17">
        <f>IF(AN99=21,K99,0)</f>
        <v>0</v>
      </c>
      <c r="AN99" s="34">
        <v>15</v>
      </c>
      <c r="AO99" s="34">
        <f>H99*0.780343362831858</f>
        <v>0</v>
      </c>
      <c r="AP99" s="34">
        <f>H99*(1-0.780343362831858)</f>
        <v>0</v>
      </c>
      <c r="AQ99" s="28" t="s">
        <v>7</v>
      </c>
      <c r="AV99" s="34">
        <f>AW99+AX99</f>
        <v>0</v>
      </c>
      <c r="AW99" s="34">
        <f>G99*AO99</f>
        <v>0</v>
      </c>
      <c r="AX99" s="34">
        <f>G99*AP99</f>
        <v>0</v>
      </c>
      <c r="AY99" s="35" t="s">
        <v>1697</v>
      </c>
      <c r="AZ99" s="35" t="s">
        <v>1730</v>
      </c>
      <c r="BA99" s="29" t="s">
        <v>1737</v>
      </c>
      <c r="BC99" s="34">
        <f>AW99+AX99</f>
        <v>0</v>
      </c>
      <c r="BD99" s="34">
        <f>H99/(100-BE99)*100</f>
        <v>0</v>
      </c>
      <c r="BE99" s="34">
        <v>0</v>
      </c>
      <c r="BF99" s="34">
        <f>99</f>
        <v>99</v>
      </c>
      <c r="BH99" s="17">
        <f>G99*AO99</f>
        <v>0</v>
      </c>
      <c r="BI99" s="17">
        <f>G99*AP99</f>
        <v>0</v>
      </c>
      <c r="BJ99" s="17">
        <f>G99*H99</f>
        <v>0</v>
      </c>
    </row>
    <row r="100" spans="1:62" x14ac:dyDescent="0.2">
      <c r="A100" s="5"/>
      <c r="B100" s="13" t="s">
        <v>100</v>
      </c>
      <c r="C100" s="244" t="s">
        <v>1139</v>
      </c>
      <c r="D100" s="245"/>
      <c r="E100" s="245"/>
      <c r="F100" s="5" t="s">
        <v>6</v>
      </c>
      <c r="G100" s="5" t="s">
        <v>6</v>
      </c>
      <c r="H100" s="5" t="s">
        <v>6</v>
      </c>
      <c r="I100" s="37">
        <f>SUM(I101:I107)</f>
        <v>0</v>
      </c>
      <c r="J100" s="37">
        <f>SUM(J101:J107)</f>
        <v>0</v>
      </c>
      <c r="K100" s="37">
        <f>SUM(K101:K107)</f>
        <v>0</v>
      </c>
      <c r="L100" s="29"/>
      <c r="AI100" s="29"/>
      <c r="AS100" s="37">
        <f>SUM(AJ101:AJ107)</f>
        <v>0</v>
      </c>
      <c r="AT100" s="37">
        <f>SUM(AK101:AK107)</f>
        <v>0</v>
      </c>
      <c r="AU100" s="37">
        <f>SUM(AL101:AL107)</f>
        <v>0</v>
      </c>
    </row>
    <row r="101" spans="1:62" x14ac:dyDescent="0.2">
      <c r="A101" s="4" t="s">
        <v>74</v>
      </c>
      <c r="B101" s="4" t="s">
        <v>634</v>
      </c>
      <c r="C101" s="240" t="s">
        <v>1140</v>
      </c>
      <c r="D101" s="241"/>
      <c r="E101" s="241"/>
      <c r="F101" s="4" t="s">
        <v>1645</v>
      </c>
      <c r="G101" s="69">
        <v>746.93899999999996</v>
      </c>
      <c r="H101" s="168"/>
      <c r="I101" s="17">
        <f t="shared" ref="I101:I107" si="88">G101*AO101</f>
        <v>0</v>
      </c>
      <c r="J101" s="17">
        <f t="shared" ref="J101:J107" si="89">G101*AP101</f>
        <v>0</v>
      </c>
      <c r="K101" s="17">
        <f t="shared" ref="K101:K107" si="90">G101*H101</f>
        <v>0</v>
      </c>
      <c r="L101" s="28" t="s">
        <v>1671</v>
      </c>
      <c r="Z101" s="34">
        <f t="shared" ref="Z101:Z107" si="91">IF(AQ101="5",BJ101,0)</f>
        <v>0</v>
      </c>
      <c r="AB101" s="34">
        <f t="shared" ref="AB101:AB107" si="92">IF(AQ101="1",BH101,0)</f>
        <v>0</v>
      </c>
      <c r="AC101" s="34">
        <f t="shared" ref="AC101:AC107" si="93">IF(AQ101="1",BI101,0)</f>
        <v>0</v>
      </c>
      <c r="AD101" s="34">
        <f t="shared" ref="AD101:AD107" si="94">IF(AQ101="7",BH101,0)</f>
        <v>0</v>
      </c>
      <c r="AE101" s="34">
        <f t="shared" ref="AE101:AE107" si="95">IF(AQ101="7",BI101,0)</f>
        <v>0</v>
      </c>
      <c r="AF101" s="34">
        <f t="shared" ref="AF101:AF107" si="96">IF(AQ101="2",BH101,0)</f>
        <v>0</v>
      </c>
      <c r="AG101" s="34">
        <f t="shared" ref="AG101:AG107" si="97">IF(AQ101="2",BI101,0)</f>
        <v>0</v>
      </c>
      <c r="AH101" s="34">
        <f t="shared" ref="AH101:AH107" si="98">IF(AQ101="0",BJ101,0)</f>
        <v>0</v>
      </c>
      <c r="AI101" s="29"/>
      <c r="AJ101" s="17">
        <f t="shared" ref="AJ101:AJ107" si="99">IF(AN101=0,K101,0)</f>
        <v>0</v>
      </c>
      <c r="AK101" s="17">
        <f t="shared" ref="AK101:AK107" si="100">IF(AN101=15,K101,0)</f>
        <v>0</v>
      </c>
      <c r="AL101" s="17">
        <f t="shared" ref="AL101:AL107" si="101">IF(AN101=21,K101,0)</f>
        <v>0</v>
      </c>
      <c r="AN101" s="34">
        <v>15</v>
      </c>
      <c r="AO101" s="34">
        <f>H101*0.000315955757505514</f>
        <v>0</v>
      </c>
      <c r="AP101" s="34">
        <f>H101*(1-0.000315955757505514)</f>
        <v>0</v>
      </c>
      <c r="AQ101" s="28" t="s">
        <v>7</v>
      </c>
      <c r="AV101" s="34">
        <f t="shared" ref="AV101:AV107" si="102">AW101+AX101</f>
        <v>0</v>
      </c>
      <c r="AW101" s="34">
        <f t="shared" ref="AW101:AW107" si="103">G101*AO101</f>
        <v>0</v>
      </c>
      <c r="AX101" s="34">
        <f t="shared" ref="AX101:AX107" si="104">G101*AP101</f>
        <v>0</v>
      </c>
      <c r="AY101" s="35" t="s">
        <v>1698</v>
      </c>
      <c r="AZ101" s="35" t="s">
        <v>1730</v>
      </c>
      <c r="BA101" s="29" t="s">
        <v>1737</v>
      </c>
      <c r="BC101" s="34">
        <f t="shared" ref="BC101:BC107" si="105">AW101+AX101</f>
        <v>0</v>
      </c>
      <c r="BD101" s="34">
        <f t="shared" ref="BD101:BD107" si="106">H101/(100-BE101)*100</f>
        <v>0</v>
      </c>
      <c r="BE101" s="34">
        <v>0</v>
      </c>
      <c r="BF101" s="34">
        <f>101</f>
        <v>101</v>
      </c>
      <c r="BH101" s="17">
        <f t="shared" ref="BH101:BH107" si="107">G101*AO101</f>
        <v>0</v>
      </c>
      <c r="BI101" s="17">
        <f t="shared" ref="BI101:BI107" si="108">G101*AP101</f>
        <v>0</v>
      </c>
      <c r="BJ101" s="17">
        <f t="shared" ref="BJ101:BJ107" si="109">G101*H101</f>
        <v>0</v>
      </c>
    </row>
    <row r="102" spans="1:62" x14ac:dyDescent="0.2">
      <c r="A102" s="4" t="s">
        <v>75</v>
      </c>
      <c r="B102" s="4" t="s">
        <v>635</v>
      </c>
      <c r="C102" s="240" t="s">
        <v>1141</v>
      </c>
      <c r="D102" s="241"/>
      <c r="E102" s="241"/>
      <c r="F102" s="4" t="s">
        <v>1645</v>
      </c>
      <c r="G102" s="69">
        <v>1493.8779999999999</v>
      </c>
      <c r="H102" s="168"/>
      <c r="I102" s="17">
        <f t="shared" si="88"/>
        <v>0</v>
      </c>
      <c r="J102" s="17">
        <f t="shared" si="89"/>
        <v>0</v>
      </c>
      <c r="K102" s="17">
        <f t="shared" si="90"/>
        <v>0</v>
      </c>
      <c r="L102" s="28" t="s">
        <v>1671</v>
      </c>
      <c r="Z102" s="34">
        <f t="shared" si="91"/>
        <v>0</v>
      </c>
      <c r="AB102" s="34">
        <f t="shared" si="92"/>
        <v>0</v>
      </c>
      <c r="AC102" s="34">
        <f t="shared" si="93"/>
        <v>0</v>
      </c>
      <c r="AD102" s="34">
        <f t="shared" si="94"/>
        <v>0</v>
      </c>
      <c r="AE102" s="34">
        <f t="shared" si="95"/>
        <v>0</v>
      </c>
      <c r="AF102" s="34">
        <f t="shared" si="96"/>
        <v>0</v>
      </c>
      <c r="AG102" s="34">
        <f t="shared" si="97"/>
        <v>0</v>
      </c>
      <c r="AH102" s="34">
        <f t="shared" si="98"/>
        <v>0</v>
      </c>
      <c r="AI102" s="29"/>
      <c r="AJ102" s="17">
        <f t="shared" si="99"/>
        <v>0</v>
      </c>
      <c r="AK102" s="17">
        <f t="shared" si="100"/>
        <v>0</v>
      </c>
      <c r="AL102" s="17">
        <f t="shared" si="101"/>
        <v>0</v>
      </c>
      <c r="AN102" s="34">
        <v>15</v>
      </c>
      <c r="AO102" s="34">
        <f>H102*0.909487542759032</f>
        <v>0</v>
      </c>
      <c r="AP102" s="34">
        <f>H102*(1-0.909487542759032)</f>
        <v>0</v>
      </c>
      <c r="AQ102" s="28" t="s">
        <v>7</v>
      </c>
      <c r="AV102" s="34">
        <f t="shared" si="102"/>
        <v>0</v>
      </c>
      <c r="AW102" s="34">
        <f t="shared" si="103"/>
        <v>0</v>
      </c>
      <c r="AX102" s="34">
        <f t="shared" si="104"/>
        <v>0</v>
      </c>
      <c r="AY102" s="35" t="s">
        <v>1698</v>
      </c>
      <c r="AZ102" s="35" t="s">
        <v>1730</v>
      </c>
      <c r="BA102" s="29" t="s">
        <v>1737</v>
      </c>
      <c r="BC102" s="34">
        <f t="shared" si="105"/>
        <v>0</v>
      </c>
      <c r="BD102" s="34">
        <f t="shared" si="106"/>
        <v>0</v>
      </c>
      <c r="BE102" s="34">
        <v>0</v>
      </c>
      <c r="BF102" s="34">
        <f>102</f>
        <v>102</v>
      </c>
      <c r="BH102" s="17">
        <f t="shared" si="107"/>
        <v>0</v>
      </c>
      <c r="BI102" s="17">
        <f t="shared" si="108"/>
        <v>0</v>
      </c>
      <c r="BJ102" s="17">
        <f t="shared" si="109"/>
        <v>0</v>
      </c>
    </row>
    <row r="103" spans="1:62" x14ac:dyDescent="0.2">
      <c r="A103" s="4" t="s">
        <v>76</v>
      </c>
      <c r="B103" s="4" t="s">
        <v>636</v>
      </c>
      <c r="C103" s="240" t="s">
        <v>1142</v>
      </c>
      <c r="D103" s="241"/>
      <c r="E103" s="241"/>
      <c r="F103" s="4" t="s">
        <v>1645</v>
      </c>
      <c r="G103" s="69">
        <v>746.93899999999996</v>
      </c>
      <c r="H103" s="168"/>
      <c r="I103" s="17">
        <f t="shared" si="88"/>
        <v>0</v>
      </c>
      <c r="J103" s="17">
        <f t="shared" si="89"/>
        <v>0</v>
      </c>
      <c r="K103" s="17">
        <f t="shared" si="90"/>
        <v>0</v>
      </c>
      <c r="L103" s="28" t="s">
        <v>1671</v>
      </c>
      <c r="Z103" s="34">
        <f t="shared" si="91"/>
        <v>0</v>
      </c>
      <c r="AB103" s="34">
        <f t="shared" si="92"/>
        <v>0</v>
      </c>
      <c r="AC103" s="34">
        <f t="shared" si="93"/>
        <v>0</v>
      </c>
      <c r="AD103" s="34">
        <f t="shared" si="94"/>
        <v>0</v>
      </c>
      <c r="AE103" s="34">
        <f t="shared" si="95"/>
        <v>0</v>
      </c>
      <c r="AF103" s="34">
        <f t="shared" si="96"/>
        <v>0</v>
      </c>
      <c r="AG103" s="34">
        <f t="shared" si="97"/>
        <v>0</v>
      </c>
      <c r="AH103" s="34">
        <f t="shared" si="98"/>
        <v>0</v>
      </c>
      <c r="AI103" s="29"/>
      <c r="AJ103" s="17">
        <f t="shared" si="99"/>
        <v>0</v>
      </c>
      <c r="AK103" s="17">
        <f t="shared" si="100"/>
        <v>0</v>
      </c>
      <c r="AL103" s="17">
        <f t="shared" si="101"/>
        <v>0</v>
      </c>
      <c r="AN103" s="34">
        <v>15</v>
      </c>
      <c r="AO103" s="34">
        <f>H103*0</f>
        <v>0</v>
      </c>
      <c r="AP103" s="34">
        <f>H103*(1-0)</f>
        <v>0</v>
      </c>
      <c r="AQ103" s="28" t="s">
        <v>7</v>
      </c>
      <c r="AV103" s="34">
        <f t="shared" si="102"/>
        <v>0</v>
      </c>
      <c r="AW103" s="34">
        <f t="shared" si="103"/>
        <v>0</v>
      </c>
      <c r="AX103" s="34">
        <f t="shared" si="104"/>
        <v>0</v>
      </c>
      <c r="AY103" s="35" t="s">
        <v>1698</v>
      </c>
      <c r="AZ103" s="35" t="s">
        <v>1730</v>
      </c>
      <c r="BA103" s="29" t="s">
        <v>1737</v>
      </c>
      <c r="BC103" s="34">
        <f t="shared" si="105"/>
        <v>0</v>
      </c>
      <c r="BD103" s="34">
        <f t="shared" si="106"/>
        <v>0</v>
      </c>
      <c r="BE103" s="34">
        <v>0</v>
      </c>
      <c r="BF103" s="34">
        <f>103</f>
        <v>103</v>
      </c>
      <c r="BH103" s="17">
        <f t="shared" si="107"/>
        <v>0</v>
      </c>
      <c r="BI103" s="17">
        <f t="shared" si="108"/>
        <v>0</v>
      </c>
      <c r="BJ103" s="17">
        <f t="shared" si="109"/>
        <v>0</v>
      </c>
    </row>
    <row r="104" spans="1:62" x14ac:dyDescent="0.2">
      <c r="A104" s="4" t="s">
        <v>77</v>
      </c>
      <c r="B104" s="4" t="s">
        <v>637</v>
      </c>
      <c r="C104" s="240" t="s">
        <v>1143</v>
      </c>
      <c r="D104" s="241"/>
      <c r="E104" s="241"/>
      <c r="F104" s="4" t="s">
        <v>1645</v>
      </c>
      <c r="G104" s="69">
        <v>746.93899999999996</v>
      </c>
      <c r="H104" s="168"/>
      <c r="I104" s="17">
        <f t="shared" si="88"/>
        <v>0</v>
      </c>
      <c r="J104" s="17">
        <f t="shared" si="89"/>
        <v>0</v>
      </c>
      <c r="K104" s="17">
        <f t="shared" si="90"/>
        <v>0</v>
      </c>
      <c r="L104" s="28" t="s">
        <v>1671</v>
      </c>
      <c r="Z104" s="34">
        <f t="shared" si="91"/>
        <v>0</v>
      </c>
      <c r="AB104" s="34">
        <f t="shared" si="92"/>
        <v>0</v>
      </c>
      <c r="AC104" s="34">
        <f t="shared" si="93"/>
        <v>0</v>
      </c>
      <c r="AD104" s="34">
        <f t="shared" si="94"/>
        <v>0</v>
      </c>
      <c r="AE104" s="34">
        <f t="shared" si="95"/>
        <v>0</v>
      </c>
      <c r="AF104" s="34">
        <f t="shared" si="96"/>
        <v>0</v>
      </c>
      <c r="AG104" s="34">
        <f t="shared" si="97"/>
        <v>0</v>
      </c>
      <c r="AH104" s="34">
        <f t="shared" si="98"/>
        <v>0</v>
      </c>
      <c r="AI104" s="29"/>
      <c r="AJ104" s="17">
        <f t="shared" si="99"/>
        <v>0</v>
      </c>
      <c r="AK104" s="17">
        <f t="shared" si="100"/>
        <v>0</v>
      </c>
      <c r="AL104" s="17">
        <f t="shared" si="101"/>
        <v>0</v>
      </c>
      <c r="AN104" s="34">
        <v>15</v>
      </c>
      <c r="AO104" s="34">
        <f>H104*0</f>
        <v>0</v>
      </c>
      <c r="AP104" s="34">
        <f>H104*(1-0)</f>
        <v>0</v>
      </c>
      <c r="AQ104" s="28" t="s">
        <v>7</v>
      </c>
      <c r="AV104" s="34">
        <f t="shared" si="102"/>
        <v>0</v>
      </c>
      <c r="AW104" s="34">
        <f t="shared" si="103"/>
        <v>0</v>
      </c>
      <c r="AX104" s="34">
        <f t="shared" si="104"/>
        <v>0</v>
      </c>
      <c r="AY104" s="35" t="s">
        <v>1698</v>
      </c>
      <c r="AZ104" s="35" t="s">
        <v>1730</v>
      </c>
      <c r="BA104" s="29" t="s">
        <v>1737</v>
      </c>
      <c r="BC104" s="34">
        <f t="shared" si="105"/>
        <v>0</v>
      </c>
      <c r="BD104" s="34">
        <f t="shared" si="106"/>
        <v>0</v>
      </c>
      <c r="BE104" s="34">
        <v>0</v>
      </c>
      <c r="BF104" s="34">
        <f>104</f>
        <v>104</v>
      </c>
      <c r="BH104" s="17">
        <f t="shared" si="107"/>
        <v>0</v>
      </c>
      <c r="BI104" s="17">
        <f t="shared" si="108"/>
        <v>0</v>
      </c>
      <c r="BJ104" s="17">
        <f t="shared" si="109"/>
        <v>0</v>
      </c>
    </row>
    <row r="105" spans="1:62" x14ac:dyDescent="0.2">
      <c r="A105" s="4" t="s">
        <v>78</v>
      </c>
      <c r="B105" s="4" t="s">
        <v>638</v>
      </c>
      <c r="C105" s="240" t="s">
        <v>1144</v>
      </c>
      <c r="D105" s="241"/>
      <c r="E105" s="241"/>
      <c r="F105" s="4" t="s">
        <v>1645</v>
      </c>
      <c r="G105" s="69">
        <v>1493.8779999999999</v>
      </c>
      <c r="H105" s="168"/>
      <c r="I105" s="17">
        <f t="shared" si="88"/>
        <v>0</v>
      </c>
      <c r="J105" s="17">
        <f t="shared" si="89"/>
        <v>0</v>
      </c>
      <c r="K105" s="17">
        <f t="shared" si="90"/>
        <v>0</v>
      </c>
      <c r="L105" s="28" t="s">
        <v>1671</v>
      </c>
      <c r="Z105" s="34">
        <f t="shared" si="91"/>
        <v>0</v>
      </c>
      <c r="AB105" s="34">
        <f t="shared" si="92"/>
        <v>0</v>
      </c>
      <c r="AC105" s="34">
        <f t="shared" si="93"/>
        <v>0</v>
      </c>
      <c r="AD105" s="34">
        <f t="shared" si="94"/>
        <v>0</v>
      </c>
      <c r="AE105" s="34">
        <f t="shared" si="95"/>
        <v>0</v>
      </c>
      <c r="AF105" s="34">
        <f t="shared" si="96"/>
        <v>0</v>
      </c>
      <c r="AG105" s="34">
        <f t="shared" si="97"/>
        <v>0</v>
      </c>
      <c r="AH105" s="34">
        <f t="shared" si="98"/>
        <v>0</v>
      </c>
      <c r="AI105" s="29"/>
      <c r="AJ105" s="17">
        <f t="shared" si="99"/>
        <v>0</v>
      </c>
      <c r="AK105" s="17">
        <f t="shared" si="100"/>
        <v>0</v>
      </c>
      <c r="AL105" s="17">
        <f t="shared" si="101"/>
        <v>0</v>
      </c>
      <c r="AN105" s="34">
        <v>15</v>
      </c>
      <c r="AO105" s="34">
        <f>H105*1.00000005216094</f>
        <v>0</v>
      </c>
      <c r="AP105" s="34">
        <f>H105*(1-1.00000005216094)</f>
        <v>0</v>
      </c>
      <c r="AQ105" s="28" t="s">
        <v>7</v>
      </c>
      <c r="AV105" s="34">
        <f t="shared" si="102"/>
        <v>0</v>
      </c>
      <c r="AW105" s="34">
        <f t="shared" si="103"/>
        <v>0</v>
      </c>
      <c r="AX105" s="34">
        <f t="shared" si="104"/>
        <v>0</v>
      </c>
      <c r="AY105" s="35" t="s">
        <v>1698</v>
      </c>
      <c r="AZ105" s="35" t="s">
        <v>1730</v>
      </c>
      <c r="BA105" s="29" t="s">
        <v>1737</v>
      </c>
      <c r="BC105" s="34">
        <f t="shared" si="105"/>
        <v>0</v>
      </c>
      <c r="BD105" s="34">
        <f t="shared" si="106"/>
        <v>0</v>
      </c>
      <c r="BE105" s="34">
        <v>0</v>
      </c>
      <c r="BF105" s="34">
        <f>105</f>
        <v>105</v>
      </c>
      <c r="BH105" s="17">
        <f t="shared" si="107"/>
        <v>0</v>
      </c>
      <c r="BI105" s="17">
        <f t="shared" si="108"/>
        <v>0</v>
      </c>
      <c r="BJ105" s="17">
        <f t="shared" si="109"/>
        <v>0</v>
      </c>
    </row>
    <row r="106" spans="1:62" x14ac:dyDescent="0.2">
      <c r="A106" s="4" t="s">
        <v>79</v>
      </c>
      <c r="B106" s="4" t="s">
        <v>639</v>
      </c>
      <c r="C106" s="240" t="s">
        <v>1145</v>
      </c>
      <c r="D106" s="241"/>
      <c r="E106" s="241"/>
      <c r="F106" s="4" t="s">
        <v>1645</v>
      </c>
      <c r="G106" s="69">
        <v>746.93899999999996</v>
      </c>
      <c r="H106" s="168"/>
      <c r="I106" s="17">
        <f t="shared" si="88"/>
        <v>0</v>
      </c>
      <c r="J106" s="17">
        <f t="shared" si="89"/>
        <v>0</v>
      </c>
      <c r="K106" s="17">
        <f t="shared" si="90"/>
        <v>0</v>
      </c>
      <c r="L106" s="28" t="s">
        <v>1671</v>
      </c>
      <c r="Z106" s="34">
        <f t="shared" si="91"/>
        <v>0</v>
      </c>
      <c r="AB106" s="34">
        <f t="shared" si="92"/>
        <v>0</v>
      </c>
      <c r="AC106" s="34">
        <f t="shared" si="93"/>
        <v>0</v>
      </c>
      <c r="AD106" s="34">
        <f t="shared" si="94"/>
        <v>0</v>
      </c>
      <c r="AE106" s="34">
        <f t="shared" si="95"/>
        <v>0</v>
      </c>
      <c r="AF106" s="34">
        <f t="shared" si="96"/>
        <v>0</v>
      </c>
      <c r="AG106" s="34">
        <f t="shared" si="97"/>
        <v>0</v>
      </c>
      <c r="AH106" s="34">
        <f t="shared" si="98"/>
        <v>0</v>
      </c>
      <c r="AI106" s="29"/>
      <c r="AJ106" s="17">
        <f t="shared" si="99"/>
        <v>0</v>
      </c>
      <c r="AK106" s="17">
        <f t="shared" si="100"/>
        <v>0</v>
      </c>
      <c r="AL106" s="17">
        <f t="shared" si="101"/>
        <v>0</v>
      </c>
      <c r="AN106" s="34">
        <v>15</v>
      </c>
      <c r="AO106" s="34">
        <f>H106*0</f>
        <v>0</v>
      </c>
      <c r="AP106" s="34">
        <f>H106*(1-0)</f>
        <v>0</v>
      </c>
      <c r="AQ106" s="28" t="s">
        <v>7</v>
      </c>
      <c r="AV106" s="34">
        <f t="shared" si="102"/>
        <v>0</v>
      </c>
      <c r="AW106" s="34">
        <f t="shared" si="103"/>
        <v>0</v>
      </c>
      <c r="AX106" s="34">
        <f t="shared" si="104"/>
        <v>0</v>
      </c>
      <c r="AY106" s="35" t="s">
        <v>1698</v>
      </c>
      <c r="AZ106" s="35" t="s">
        <v>1730</v>
      </c>
      <c r="BA106" s="29" t="s">
        <v>1737</v>
      </c>
      <c r="BC106" s="34">
        <f t="shared" si="105"/>
        <v>0</v>
      </c>
      <c r="BD106" s="34">
        <f t="shared" si="106"/>
        <v>0</v>
      </c>
      <c r="BE106" s="34">
        <v>0</v>
      </c>
      <c r="BF106" s="34">
        <f>106</f>
        <v>106</v>
      </c>
      <c r="BH106" s="17">
        <f t="shared" si="107"/>
        <v>0</v>
      </c>
      <c r="BI106" s="17">
        <f t="shared" si="108"/>
        <v>0</v>
      </c>
      <c r="BJ106" s="17">
        <f t="shared" si="109"/>
        <v>0</v>
      </c>
    </row>
    <row r="107" spans="1:62" x14ac:dyDescent="0.2">
      <c r="A107" s="4" t="s">
        <v>80</v>
      </c>
      <c r="B107" s="4" t="s">
        <v>640</v>
      </c>
      <c r="C107" s="240" t="s">
        <v>1146</v>
      </c>
      <c r="D107" s="241"/>
      <c r="E107" s="241"/>
      <c r="F107" s="4" t="s">
        <v>1649</v>
      </c>
      <c r="G107" s="69">
        <v>20</v>
      </c>
      <c r="H107" s="168"/>
      <c r="I107" s="17">
        <f t="shared" si="88"/>
        <v>0</v>
      </c>
      <c r="J107" s="17">
        <f t="shared" si="89"/>
        <v>0</v>
      </c>
      <c r="K107" s="17">
        <f t="shared" si="90"/>
        <v>0</v>
      </c>
      <c r="L107" s="28" t="s">
        <v>1671</v>
      </c>
      <c r="Z107" s="34">
        <f t="shared" si="91"/>
        <v>0</v>
      </c>
      <c r="AB107" s="34">
        <f t="shared" si="92"/>
        <v>0</v>
      </c>
      <c r="AC107" s="34">
        <f t="shared" si="93"/>
        <v>0</v>
      </c>
      <c r="AD107" s="34">
        <f t="shared" si="94"/>
        <v>0</v>
      </c>
      <c r="AE107" s="34">
        <f t="shared" si="95"/>
        <v>0</v>
      </c>
      <c r="AF107" s="34">
        <f t="shared" si="96"/>
        <v>0</v>
      </c>
      <c r="AG107" s="34">
        <f t="shared" si="97"/>
        <v>0</v>
      </c>
      <c r="AH107" s="34">
        <f t="shared" si="98"/>
        <v>0</v>
      </c>
      <c r="AI107" s="29"/>
      <c r="AJ107" s="17">
        <f t="shared" si="99"/>
        <v>0</v>
      </c>
      <c r="AK107" s="17">
        <f t="shared" si="100"/>
        <v>0</v>
      </c>
      <c r="AL107" s="17">
        <f t="shared" si="101"/>
        <v>0</v>
      </c>
      <c r="AN107" s="34">
        <v>15</v>
      </c>
      <c r="AO107" s="34">
        <f>H107*0</f>
        <v>0</v>
      </c>
      <c r="AP107" s="34">
        <f>H107*(1-0)</f>
        <v>0</v>
      </c>
      <c r="AQ107" s="28" t="s">
        <v>7</v>
      </c>
      <c r="AV107" s="34">
        <f t="shared" si="102"/>
        <v>0</v>
      </c>
      <c r="AW107" s="34">
        <f t="shared" si="103"/>
        <v>0</v>
      </c>
      <c r="AX107" s="34">
        <f t="shared" si="104"/>
        <v>0</v>
      </c>
      <c r="AY107" s="35" t="s">
        <v>1698</v>
      </c>
      <c r="AZ107" s="35" t="s">
        <v>1730</v>
      </c>
      <c r="BA107" s="29" t="s">
        <v>1737</v>
      </c>
      <c r="BC107" s="34">
        <f t="shared" si="105"/>
        <v>0</v>
      </c>
      <c r="BD107" s="34">
        <f t="shared" si="106"/>
        <v>0</v>
      </c>
      <c r="BE107" s="34">
        <v>0</v>
      </c>
      <c r="BF107" s="34">
        <f>107</f>
        <v>107</v>
      </c>
      <c r="BH107" s="17">
        <f t="shared" si="107"/>
        <v>0</v>
      </c>
      <c r="BI107" s="17">
        <f t="shared" si="108"/>
        <v>0</v>
      </c>
      <c r="BJ107" s="17">
        <f t="shared" si="109"/>
        <v>0</v>
      </c>
    </row>
    <row r="108" spans="1:62" x14ac:dyDescent="0.2">
      <c r="A108" s="5"/>
      <c r="B108" s="13" t="s">
        <v>101</v>
      </c>
      <c r="C108" s="244" t="s">
        <v>1147</v>
      </c>
      <c r="D108" s="245"/>
      <c r="E108" s="245"/>
      <c r="F108" s="5" t="s">
        <v>6</v>
      </c>
      <c r="G108" s="5" t="s">
        <v>6</v>
      </c>
      <c r="H108" s="5" t="s">
        <v>6</v>
      </c>
      <c r="I108" s="37">
        <f>SUM(I109:I118)</f>
        <v>0</v>
      </c>
      <c r="J108" s="37">
        <f>SUM(J109:J118)</f>
        <v>0</v>
      </c>
      <c r="K108" s="37">
        <f>SUM(K109:K118)</f>
        <v>0</v>
      </c>
      <c r="L108" s="29"/>
      <c r="AI108" s="29"/>
      <c r="AS108" s="37">
        <f>SUM(AJ109:AJ118)</f>
        <v>0</v>
      </c>
      <c r="AT108" s="37">
        <f>SUM(AK109:AK118)</f>
        <v>0</v>
      </c>
      <c r="AU108" s="37">
        <f>SUM(AL109:AL118)</f>
        <v>0</v>
      </c>
    </row>
    <row r="109" spans="1:62" x14ac:dyDescent="0.2">
      <c r="A109" s="4" t="s">
        <v>81</v>
      </c>
      <c r="B109" s="4" t="s">
        <v>641</v>
      </c>
      <c r="C109" s="240" t="s">
        <v>1148</v>
      </c>
      <c r="D109" s="241"/>
      <c r="E109" s="241"/>
      <c r="F109" s="4" t="s">
        <v>1645</v>
      </c>
      <c r="G109" s="69">
        <v>85.9</v>
      </c>
      <c r="H109" s="168"/>
      <c r="I109" s="17">
        <f t="shared" ref="I109:I118" si="110">G109*AO109</f>
        <v>0</v>
      </c>
      <c r="J109" s="17">
        <f t="shared" ref="J109:J118" si="111">G109*AP109</f>
        <v>0</v>
      </c>
      <c r="K109" s="17">
        <f t="shared" ref="K109:K118" si="112">G109*H109</f>
        <v>0</v>
      </c>
      <c r="L109" s="28" t="s">
        <v>1671</v>
      </c>
      <c r="Z109" s="34">
        <f t="shared" ref="Z109:Z118" si="113">IF(AQ109="5",BJ109,0)</f>
        <v>0</v>
      </c>
      <c r="AB109" s="34">
        <f t="shared" ref="AB109:AB118" si="114">IF(AQ109="1",BH109,0)</f>
        <v>0</v>
      </c>
      <c r="AC109" s="34">
        <f t="shared" ref="AC109:AC118" si="115">IF(AQ109="1",BI109,0)</f>
        <v>0</v>
      </c>
      <c r="AD109" s="34">
        <f t="shared" ref="AD109:AD118" si="116">IF(AQ109="7",BH109,0)</f>
        <v>0</v>
      </c>
      <c r="AE109" s="34">
        <f t="shared" ref="AE109:AE118" si="117">IF(AQ109="7",BI109,0)</f>
        <v>0</v>
      </c>
      <c r="AF109" s="34">
        <f t="shared" ref="AF109:AF118" si="118">IF(AQ109="2",BH109,0)</f>
        <v>0</v>
      </c>
      <c r="AG109" s="34">
        <f t="shared" ref="AG109:AG118" si="119">IF(AQ109="2",BI109,0)</f>
        <v>0</v>
      </c>
      <c r="AH109" s="34">
        <f t="shared" ref="AH109:AH118" si="120">IF(AQ109="0",BJ109,0)</f>
        <v>0</v>
      </c>
      <c r="AI109" s="29"/>
      <c r="AJ109" s="17">
        <f t="shared" ref="AJ109:AJ118" si="121">IF(AN109=0,K109,0)</f>
        <v>0</v>
      </c>
      <c r="AK109" s="17">
        <f t="shared" ref="AK109:AK118" si="122">IF(AN109=15,K109,0)</f>
        <v>0</v>
      </c>
      <c r="AL109" s="17">
        <f t="shared" ref="AL109:AL118" si="123">IF(AN109=21,K109,0)</f>
        <v>0</v>
      </c>
      <c r="AN109" s="34">
        <v>15</v>
      </c>
      <c r="AO109" s="34">
        <f>H109*0.0189490177885118</f>
        <v>0</v>
      </c>
      <c r="AP109" s="34">
        <f>H109*(1-0.0189490177885118)</f>
        <v>0</v>
      </c>
      <c r="AQ109" s="28" t="s">
        <v>7</v>
      </c>
      <c r="AV109" s="34">
        <f t="shared" ref="AV109:AV118" si="124">AW109+AX109</f>
        <v>0</v>
      </c>
      <c r="AW109" s="34">
        <f t="shared" ref="AW109:AW118" si="125">G109*AO109</f>
        <v>0</v>
      </c>
      <c r="AX109" s="34">
        <f t="shared" ref="AX109:AX118" si="126">G109*AP109</f>
        <v>0</v>
      </c>
      <c r="AY109" s="35" t="s">
        <v>1699</v>
      </c>
      <c r="AZ109" s="35" t="s">
        <v>1730</v>
      </c>
      <c r="BA109" s="29" t="s">
        <v>1737</v>
      </c>
      <c r="BC109" s="34">
        <f t="shared" ref="BC109:BC118" si="127">AW109+AX109</f>
        <v>0</v>
      </c>
      <c r="BD109" s="34">
        <f t="shared" ref="BD109:BD118" si="128">H109/(100-BE109)*100</f>
        <v>0</v>
      </c>
      <c r="BE109" s="34">
        <v>0</v>
      </c>
      <c r="BF109" s="34">
        <f>109</f>
        <v>109</v>
      </c>
      <c r="BH109" s="17">
        <f t="shared" ref="BH109:BH118" si="129">G109*AO109</f>
        <v>0</v>
      </c>
      <c r="BI109" s="17">
        <f t="shared" ref="BI109:BI118" si="130">G109*AP109</f>
        <v>0</v>
      </c>
      <c r="BJ109" s="17">
        <f t="shared" ref="BJ109:BJ118" si="131">G109*H109</f>
        <v>0</v>
      </c>
    </row>
    <row r="110" spans="1:62" x14ac:dyDescent="0.2">
      <c r="A110" s="4" t="s">
        <v>82</v>
      </c>
      <c r="B110" s="4" t="s">
        <v>642</v>
      </c>
      <c r="C110" s="240" t="s">
        <v>1149</v>
      </c>
      <c r="D110" s="241"/>
      <c r="E110" s="241"/>
      <c r="F110" s="4" t="s">
        <v>1645</v>
      </c>
      <c r="G110" s="69">
        <v>16.649999999999999</v>
      </c>
      <c r="H110" s="168"/>
      <c r="I110" s="17">
        <f t="shared" si="110"/>
        <v>0</v>
      </c>
      <c r="J110" s="17">
        <f t="shared" si="111"/>
        <v>0</v>
      </c>
      <c r="K110" s="17">
        <f t="shared" si="112"/>
        <v>0</v>
      </c>
      <c r="L110" s="28" t="s">
        <v>1671</v>
      </c>
      <c r="Z110" s="34">
        <f t="shared" si="113"/>
        <v>0</v>
      </c>
      <c r="AB110" s="34">
        <f t="shared" si="114"/>
        <v>0</v>
      </c>
      <c r="AC110" s="34">
        <f t="shared" si="115"/>
        <v>0</v>
      </c>
      <c r="AD110" s="34">
        <f t="shared" si="116"/>
        <v>0</v>
      </c>
      <c r="AE110" s="34">
        <f t="shared" si="117"/>
        <v>0</v>
      </c>
      <c r="AF110" s="34">
        <f t="shared" si="118"/>
        <v>0</v>
      </c>
      <c r="AG110" s="34">
        <f t="shared" si="119"/>
        <v>0</v>
      </c>
      <c r="AH110" s="34">
        <f t="shared" si="120"/>
        <v>0</v>
      </c>
      <c r="AI110" s="29"/>
      <c r="AJ110" s="17">
        <f t="shared" si="121"/>
        <v>0</v>
      </c>
      <c r="AK110" s="17">
        <f t="shared" si="122"/>
        <v>0</v>
      </c>
      <c r="AL110" s="17">
        <f t="shared" si="123"/>
        <v>0</v>
      </c>
      <c r="AN110" s="34">
        <v>15</v>
      </c>
      <c r="AO110" s="34">
        <f>H110*0.0118671903425658</f>
        <v>0</v>
      </c>
      <c r="AP110" s="34">
        <f>H110*(1-0.0118671903425658)</f>
        <v>0</v>
      </c>
      <c r="AQ110" s="28" t="s">
        <v>7</v>
      </c>
      <c r="AV110" s="34">
        <f t="shared" si="124"/>
        <v>0</v>
      </c>
      <c r="AW110" s="34">
        <f t="shared" si="125"/>
        <v>0</v>
      </c>
      <c r="AX110" s="34">
        <f t="shared" si="126"/>
        <v>0</v>
      </c>
      <c r="AY110" s="35" t="s">
        <v>1699</v>
      </c>
      <c r="AZ110" s="35" t="s">
        <v>1730</v>
      </c>
      <c r="BA110" s="29" t="s">
        <v>1737</v>
      </c>
      <c r="BC110" s="34">
        <f t="shared" si="127"/>
        <v>0</v>
      </c>
      <c r="BD110" s="34">
        <f t="shared" si="128"/>
        <v>0</v>
      </c>
      <c r="BE110" s="34">
        <v>0</v>
      </c>
      <c r="BF110" s="34">
        <f>110</f>
        <v>110</v>
      </c>
      <c r="BH110" s="17">
        <f t="shared" si="129"/>
        <v>0</v>
      </c>
      <c r="BI110" s="17">
        <f t="shared" si="130"/>
        <v>0</v>
      </c>
      <c r="BJ110" s="17">
        <f t="shared" si="131"/>
        <v>0</v>
      </c>
    </row>
    <row r="111" spans="1:62" x14ac:dyDescent="0.2">
      <c r="A111" s="4" t="s">
        <v>83</v>
      </c>
      <c r="B111" s="4" t="s">
        <v>643</v>
      </c>
      <c r="C111" s="240" t="s">
        <v>1150</v>
      </c>
      <c r="D111" s="241"/>
      <c r="E111" s="241"/>
      <c r="F111" s="4" t="s">
        <v>1645</v>
      </c>
      <c r="G111" s="69">
        <v>345.786</v>
      </c>
      <c r="H111" s="168"/>
      <c r="I111" s="17">
        <f t="shared" si="110"/>
        <v>0</v>
      </c>
      <c r="J111" s="17">
        <f t="shared" si="111"/>
        <v>0</v>
      </c>
      <c r="K111" s="17">
        <f t="shared" si="112"/>
        <v>0</v>
      </c>
      <c r="L111" s="28" t="s">
        <v>1671</v>
      </c>
      <c r="Z111" s="34">
        <f t="shared" si="113"/>
        <v>0</v>
      </c>
      <c r="AB111" s="34">
        <f t="shared" si="114"/>
        <v>0</v>
      </c>
      <c r="AC111" s="34">
        <f t="shared" si="115"/>
        <v>0</v>
      </c>
      <c r="AD111" s="34">
        <f t="shared" si="116"/>
        <v>0</v>
      </c>
      <c r="AE111" s="34">
        <f t="shared" si="117"/>
        <v>0</v>
      </c>
      <c r="AF111" s="34">
        <f t="shared" si="118"/>
        <v>0</v>
      </c>
      <c r="AG111" s="34">
        <f t="shared" si="119"/>
        <v>0</v>
      </c>
      <c r="AH111" s="34">
        <f t="shared" si="120"/>
        <v>0</v>
      </c>
      <c r="AI111" s="29"/>
      <c r="AJ111" s="17">
        <f t="shared" si="121"/>
        <v>0</v>
      </c>
      <c r="AK111" s="17">
        <f t="shared" si="122"/>
        <v>0</v>
      </c>
      <c r="AL111" s="17">
        <f t="shared" si="123"/>
        <v>0</v>
      </c>
      <c r="AN111" s="34">
        <v>15</v>
      </c>
      <c r="AO111" s="34">
        <f>H111*0</f>
        <v>0</v>
      </c>
      <c r="AP111" s="34">
        <f>H111*(1-0)</f>
        <v>0</v>
      </c>
      <c r="AQ111" s="28" t="s">
        <v>7</v>
      </c>
      <c r="AV111" s="34">
        <f t="shared" si="124"/>
        <v>0</v>
      </c>
      <c r="AW111" s="34">
        <f t="shared" si="125"/>
        <v>0</v>
      </c>
      <c r="AX111" s="34">
        <f t="shared" si="126"/>
        <v>0</v>
      </c>
      <c r="AY111" s="35" t="s">
        <v>1699</v>
      </c>
      <c r="AZ111" s="35" t="s">
        <v>1730</v>
      </c>
      <c r="BA111" s="29" t="s">
        <v>1737</v>
      </c>
      <c r="BC111" s="34">
        <f t="shared" si="127"/>
        <v>0</v>
      </c>
      <c r="BD111" s="34">
        <f t="shared" si="128"/>
        <v>0</v>
      </c>
      <c r="BE111" s="34">
        <v>0</v>
      </c>
      <c r="BF111" s="34">
        <f>111</f>
        <v>111</v>
      </c>
      <c r="BH111" s="17">
        <f t="shared" si="129"/>
        <v>0</v>
      </c>
      <c r="BI111" s="17">
        <f t="shared" si="130"/>
        <v>0</v>
      </c>
      <c r="BJ111" s="17">
        <f t="shared" si="131"/>
        <v>0</v>
      </c>
    </row>
    <row r="112" spans="1:62" x14ac:dyDescent="0.2">
      <c r="A112" s="4" t="s">
        <v>84</v>
      </c>
      <c r="B112" s="4" t="s">
        <v>644</v>
      </c>
      <c r="C112" s="240" t="s">
        <v>1151</v>
      </c>
      <c r="D112" s="241"/>
      <c r="E112" s="241"/>
      <c r="F112" s="4" t="s">
        <v>1644</v>
      </c>
      <c r="G112" s="69">
        <v>1</v>
      </c>
      <c r="H112" s="168"/>
      <c r="I112" s="17">
        <f t="shared" si="110"/>
        <v>0</v>
      </c>
      <c r="J112" s="17">
        <f t="shared" si="111"/>
        <v>0</v>
      </c>
      <c r="K112" s="17">
        <f t="shared" si="112"/>
        <v>0</v>
      </c>
      <c r="L112" s="28" t="s">
        <v>1671</v>
      </c>
      <c r="Z112" s="34">
        <f t="shared" si="113"/>
        <v>0</v>
      </c>
      <c r="AB112" s="34">
        <f t="shared" si="114"/>
        <v>0</v>
      </c>
      <c r="AC112" s="34">
        <f t="shared" si="115"/>
        <v>0</v>
      </c>
      <c r="AD112" s="34">
        <f t="shared" si="116"/>
        <v>0</v>
      </c>
      <c r="AE112" s="34">
        <f t="shared" si="117"/>
        <v>0</v>
      </c>
      <c r="AF112" s="34">
        <f t="shared" si="118"/>
        <v>0</v>
      </c>
      <c r="AG112" s="34">
        <f t="shared" si="119"/>
        <v>0</v>
      </c>
      <c r="AH112" s="34">
        <f t="shared" si="120"/>
        <v>0</v>
      </c>
      <c r="AI112" s="29"/>
      <c r="AJ112" s="17">
        <f t="shared" si="121"/>
        <v>0</v>
      </c>
      <c r="AK112" s="17">
        <f t="shared" si="122"/>
        <v>0</v>
      </c>
      <c r="AL112" s="17">
        <f t="shared" si="123"/>
        <v>0</v>
      </c>
      <c r="AN112" s="34">
        <v>15</v>
      </c>
      <c r="AO112" s="34">
        <f>H112*0</f>
        <v>0</v>
      </c>
      <c r="AP112" s="34">
        <f>H112*(1-0)</f>
        <v>0</v>
      </c>
      <c r="AQ112" s="28" t="s">
        <v>7</v>
      </c>
      <c r="AV112" s="34">
        <f t="shared" si="124"/>
        <v>0</v>
      </c>
      <c r="AW112" s="34">
        <f t="shared" si="125"/>
        <v>0</v>
      </c>
      <c r="AX112" s="34">
        <f t="shared" si="126"/>
        <v>0</v>
      </c>
      <c r="AY112" s="35" t="s">
        <v>1699</v>
      </c>
      <c r="AZ112" s="35" t="s">
        <v>1730</v>
      </c>
      <c r="BA112" s="29" t="s">
        <v>1737</v>
      </c>
      <c r="BC112" s="34">
        <f t="shared" si="127"/>
        <v>0</v>
      </c>
      <c r="BD112" s="34">
        <f t="shared" si="128"/>
        <v>0</v>
      </c>
      <c r="BE112" s="34">
        <v>0</v>
      </c>
      <c r="BF112" s="34">
        <f>112</f>
        <v>112</v>
      </c>
      <c r="BH112" s="17">
        <f t="shared" si="129"/>
        <v>0</v>
      </c>
      <c r="BI112" s="17">
        <f t="shared" si="130"/>
        <v>0</v>
      </c>
      <c r="BJ112" s="17">
        <f t="shared" si="131"/>
        <v>0</v>
      </c>
    </row>
    <row r="113" spans="1:62" x14ac:dyDescent="0.2">
      <c r="A113" s="4" t="s">
        <v>85</v>
      </c>
      <c r="B113" s="4" t="s">
        <v>645</v>
      </c>
      <c r="C113" s="240" t="s">
        <v>1152</v>
      </c>
      <c r="D113" s="241"/>
      <c r="E113" s="241"/>
      <c r="F113" s="4" t="s">
        <v>1645</v>
      </c>
      <c r="G113" s="69">
        <v>12</v>
      </c>
      <c r="H113" s="168"/>
      <c r="I113" s="17">
        <f t="shared" si="110"/>
        <v>0</v>
      </c>
      <c r="J113" s="17">
        <f t="shared" si="111"/>
        <v>0</v>
      </c>
      <c r="K113" s="17">
        <f t="shared" si="112"/>
        <v>0</v>
      </c>
      <c r="L113" s="28" t="s">
        <v>1671</v>
      </c>
      <c r="Z113" s="34">
        <f t="shared" si="113"/>
        <v>0</v>
      </c>
      <c r="AB113" s="34">
        <f t="shared" si="114"/>
        <v>0</v>
      </c>
      <c r="AC113" s="34">
        <f t="shared" si="115"/>
        <v>0</v>
      </c>
      <c r="AD113" s="34">
        <f t="shared" si="116"/>
        <v>0</v>
      </c>
      <c r="AE113" s="34">
        <f t="shared" si="117"/>
        <v>0</v>
      </c>
      <c r="AF113" s="34">
        <f t="shared" si="118"/>
        <v>0</v>
      </c>
      <c r="AG113" s="34">
        <f t="shared" si="119"/>
        <v>0</v>
      </c>
      <c r="AH113" s="34">
        <f t="shared" si="120"/>
        <v>0</v>
      </c>
      <c r="AI113" s="29"/>
      <c r="AJ113" s="17">
        <f t="shared" si="121"/>
        <v>0</v>
      </c>
      <c r="AK113" s="17">
        <f t="shared" si="122"/>
        <v>0</v>
      </c>
      <c r="AL113" s="17">
        <f t="shared" si="123"/>
        <v>0</v>
      </c>
      <c r="AN113" s="34">
        <v>15</v>
      </c>
      <c r="AO113" s="34">
        <f>H113*0.325368700265252</f>
        <v>0</v>
      </c>
      <c r="AP113" s="34">
        <f>H113*(1-0.325368700265252)</f>
        <v>0</v>
      </c>
      <c r="AQ113" s="28" t="s">
        <v>7</v>
      </c>
      <c r="AV113" s="34">
        <f t="shared" si="124"/>
        <v>0</v>
      </c>
      <c r="AW113" s="34">
        <f t="shared" si="125"/>
        <v>0</v>
      </c>
      <c r="AX113" s="34">
        <f t="shared" si="126"/>
        <v>0</v>
      </c>
      <c r="AY113" s="35" t="s">
        <v>1699</v>
      </c>
      <c r="AZ113" s="35" t="s">
        <v>1730</v>
      </c>
      <c r="BA113" s="29" t="s">
        <v>1737</v>
      </c>
      <c r="BC113" s="34">
        <f t="shared" si="127"/>
        <v>0</v>
      </c>
      <c r="BD113" s="34">
        <f t="shared" si="128"/>
        <v>0</v>
      </c>
      <c r="BE113" s="34">
        <v>0</v>
      </c>
      <c r="BF113" s="34">
        <f>113</f>
        <v>113</v>
      </c>
      <c r="BH113" s="17">
        <f t="shared" si="129"/>
        <v>0</v>
      </c>
      <c r="BI113" s="17">
        <f t="shared" si="130"/>
        <v>0</v>
      </c>
      <c r="BJ113" s="17">
        <f t="shared" si="131"/>
        <v>0</v>
      </c>
    </row>
    <row r="114" spans="1:62" x14ac:dyDescent="0.2">
      <c r="A114" s="4" t="s">
        <v>86</v>
      </c>
      <c r="B114" s="4" t="s">
        <v>646</v>
      </c>
      <c r="C114" s="240" t="s">
        <v>1153</v>
      </c>
      <c r="D114" s="241"/>
      <c r="E114" s="241"/>
      <c r="F114" s="4" t="s">
        <v>1650</v>
      </c>
      <c r="G114" s="69">
        <v>150</v>
      </c>
      <c r="H114" s="168"/>
      <c r="I114" s="17">
        <f t="shared" si="110"/>
        <v>0</v>
      </c>
      <c r="J114" s="17">
        <f t="shared" si="111"/>
        <v>0</v>
      </c>
      <c r="K114" s="17">
        <f t="shared" si="112"/>
        <v>0</v>
      </c>
      <c r="L114" s="28" t="s">
        <v>1671</v>
      </c>
      <c r="Z114" s="34">
        <f t="shared" si="113"/>
        <v>0</v>
      </c>
      <c r="AB114" s="34">
        <f t="shared" si="114"/>
        <v>0</v>
      </c>
      <c r="AC114" s="34">
        <f t="shared" si="115"/>
        <v>0</v>
      </c>
      <c r="AD114" s="34">
        <f t="shared" si="116"/>
        <v>0</v>
      </c>
      <c r="AE114" s="34">
        <f t="shared" si="117"/>
        <v>0</v>
      </c>
      <c r="AF114" s="34">
        <f t="shared" si="118"/>
        <v>0</v>
      </c>
      <c r="AG114" s="34">
        <f t="shared" si="119"/>
        <v>0</v>
      </c>
      <c r="AH114" s="34">
        <f t="shared" si="120"/>
        <v>0</v>
      </c>
      <c r="AI114" s="29"/>
      <c r="AJ114" s="17">
        <f t="shared" si="121"/>
        <v>0</v>
      </c>
      <c r="AK114" s="17">
        <f t="shared" si="122"/>
        <v>0</v>
      </c>
      <c r="AL114" s="17">
        <f t="shared" si="123"/>
        <v>0</v>
      </c>
      <c r="AN114" s="34">
        <v>15</v>
      </c>
      <c r="AO114" s="34">
        <f>H114*0.412803738317757</f>
        <v>0</v>
      </c>
      <c r="AP114" s="34">
        <f>H114*(1-0.412803738317757)</f>
        <v>0</v>
      </c>
      <c r="AQ114" s="28" t="s">
        <v>7</v>
      </c>
      <c r="AV114" s="34">
        <f t="shared" si="124"/>
        <v>0</v>
      </c>
      <c r="AW114" s="34">
        <f t="shared" si="125"/>
        <v>0</v>
      </c>
      <c r="AX114" s="34">
        <f t="shared" si="126"/>
        <v>0</v>
      </c>
      <c r="AY114" s="35" t="s">
        <v>1699</v>
      </c>
      <c r="AZ114" s="35" t="s">
        <v>1730</v>
      </c>
      <c r="BA114" s="29" t="s">
        <v>1737</v>
      </c>
      <c r="BC114" s="34">
        <f t="shared" si="127"/>
        <v>0</v>
      </c>
      <c r="BD114" s="34">
        <f t="shared" si="128"/>
        <v>0</v>
      </c>
      <c r="BE114" s="34">
        <v>0</v>
      </c>
      <c r="BF114" s="34">
        <f>114</f>
        <v>114</v>
      </c>
      <c r="BH114" s="17">
        <f t="shared" si="129"/>
        <v>0</v>
      </c>
      <c r="BI114" s="17">
        <f t="shared" si="130"/>
        <v>0</v>
      </c>
      <c r="BJ114" s="17">
        <f t="shared" si="131"/>
        <v>0</v>
      </c>
    </row>
    <row r="115" spans="1:62" x14ac:dyDescent="0.2">
      <c r="A115" s="4" t="s">
        <v>87</v>
      </c>
      <c r="B115" s="4" t="s">
        <v>647</v>
      </c>
      <c r="C115" s="240" t="s">
        <v>1154</v>
      </c>
      <c r="D115" s="241"/>
      <c r="E115" s="241"/>
      <c r="F115" s="4" t="s">
        <v>1644</v>
      </c>
      <c r="G115" s="69">
        <v>6</v>
      </c>
      <c r="H115" s="168"/>
      <c r="I115" s="17">
        <f t="shared" si="110"/>
        <v>0</v>
      </c>
      <c r="J115" s="17">
        <f t="shared" si="111"/>
        <v>0</v>
      </c>
      <c r="K115" s="17">
        <f t="shared" si="112"/>
        <v>0</v>
      </c>
      <c r="L115" s="28" t="s">
        <v>1671</v>
      </c>
      <c r="Z115" s="34">
        <f t="shared" si="113"/>
        <v>0</v>
      </c>
      <c r="AB115" s="34">
        <f t="shared" si="114"/>
        <v>0</v>
      </c>
      <c r="AC115" s="34">
        <f t="shared" si="115"/>
        <v>0</v>
      </c>
      <c r="AD115" s="34">
        <f t="shared" si="116"/>
        <v>0</v>
      </c>
      <c r="AE115" s="34">
        <f t="shared" si="117"/>
        <v>0</v>
      </c>
      <c r="AF115" s="34">
        <f t="shared" si="118"/>
        <v>0</v>
      </c>
      <c r="AG115" s="34">
        <f t="shared" si="119"/>
        <v>0</v>
      </c>
      <c r="AH115" s="34">
        <f t="shared" si="120"/>
        <v>0</v>
      </c>
      <c r="AI115" s="29"/>
      <c r="AJ115" s="17">
        <f t="shared" si="121"/>
        <v>0</v>
      </c>
      <c r="AK115" s="17">
        <f t="shared" si="122"/>
        <v>0</v>
      </c>
      <c r="AL115" s="17">
        <f t="shared" si="123"/>
        <v>0</v>
      </c>
      <c r="AN115" s="34">
        <v>15</v>
      </c>
      <c r="AO115" s="34">
        <f>H115*0.35032967032967</f>
        <v>0</v>
      </c>
      <c r="AP115" s="34">
        <f>H115*(1-0.35032967032967)</f>
        <v>0</v>
      </c>
      <c r="AQ115" s="28" t="s">
        <v>7</v>
      </c>
      <c r="AV115" s="34">
        <f t="shared" si="124"/>
        <v>0</v>
      </c>
      <c r="AW115" s="34">
        <f t="shared" si="125"/>
        <v>0</v>
      </c>
      <c r="AX115" s="34">
        <f t="shared" si="126"/>
        <v>0</v>
      </c>
      <c r="AY115" s="35" t="s">
        <v>1699</v>
      </c>
      <c r="AZ115" s="35" t="s">
        <v>1730</v>
      </c>
      <c r="BA115" s="29" t="s">
        <v>1737</v>
      </c>
      <c r="BC115" s="34">
        <f t="shared" si="127"/>
        <v>0</v>
      </c>
      <c r="BD115" s="34">
        <f t="shared" si="128"/>
        <v>0</v>
      </c>
      <c r="BE115" s="34">
        <v>0</v>
      </c>
      <c r="BF115" s="34">
        <f>115</f>
        <v>115</v>
      </c>
      <c r="BH115" s="17">
        <f t="shared" si="129"/>
        <v>0</v>
      </c>
      <c r="BI115" s="17">
        <f t="shared" si="130"/>
        <v>0</v>
      </c>
      <c r="BJ115" s="17">
        <f t="shared" si="131"/>
        <v>0</v>
      </c>
    </row>
    <row r="116" spans="1:62" x14ac:dyDescent="0.2">
      <c r="A116" s="4" t="s">
        <v>88</v>
      </c>
      <c r="B116" s="4" t="s">
        <v>648</v>
      </c>
      <c r="C116" s="240" t="s">
        <v>1155</v>
      </c>
      <c r="D116" s="241"/>
      <c r="E116" s="241"/>
      <c r="F116" s="4" t="s">
        <v>1644</v>
      </c>
      <c r="G116" s="69">
        <v>1</v>
      </c>
      <c r="H116" s="168"/>
      <c r="I116" s="17">
        <f t="shared" si="110"/>
        <v>0</v>
      </c>
      <c r="J116" s="17">
        <f t="shared" si="111"/>
        <v>0</v>
      </c>
      <c r="K116" s="17">
        <f t="shared" si="112"/>
        <v>0</v>
      </c>
      <c r="L116" s="28" t="s">
        <v>1671</v>
      </c>
      <c r="Z116" s="34">
        <f t="shared" si="113"/>
        <v>0</v>
      </c>
      <c r="AB116" s="34">
        <f t="shared" si="114"/>
        <v>0</v>
      </c>
      <c r="AC116" s="34">
        <f t="shared" si="115"/>
        <v>0</v>
      </c>
      <c r="AD116" s="34">
        <f t="shared" si="116"/>
        <v>0</v>
      </c>
      <c r="AE116" s="34">
        <f t="shared" si="117"/>
        <v>0</v>
      </c>
      <c r="AF116" s="34">
        <f t="shared" si="118"/>
        <v>0</v>
      </c>
      <c r="AG116" s="34">
        <f t="shared" si="119"/>
        <v>0</v>
      </c>
      <c r="AH116" s="34">
        <f t="shared" si="120"/>
        <v>0</v>
      </c>
      <c r="AI116" s="29"/>
      <c r="AJ116" s="17">
        <f t="shared" si="121"/>
        <v>0</v>
      </c>
      <c r="AK116" s="17">
        <f t="shared" si="122"/>
        <v>0</v>
      </c>
      <c r="AL116" s="17">
        <f t="shared" si="123"/>
        <v>0</v>
      </c>
      <c r="AN116" s="34">
        <v>15</v>
      </c>
      <c r="AO116" s="34">
        <f>H116*0.90816</f>
        <v>0</v>
      </c>
      <c r="AP116" s="34">
        <f>H116*(1-0.90816)</f>
        <v>0</v>
      </c>
      <c r="AQ116" s="28" t="s">
        <v>7</v>
      </c>
      <c r="AV116" s="34">
        <f t="shared" si="124"/>
        <v>0</v>
      </c>
      <c r="AW116" s="34">
        <f t="shared" si="125"/>
        <v>0</v>
      </c>
      <c r="AX116" s="34">
        <f t="shared" si="126"/>
        <v>0</v>
      </c>
      <c r="AY116" s="35" t="s">
        <v>1699</v>
      </c>
      <c r="AZ116" s="35" t="s">
        <v>1730</v>
      </c>
      <c r="BA116" s="29" t="s">
        <v>1737</v>
      </c>
      <c r="BC116" s="34">
        <f t="shared" si="127"/>
        <v>0</v>
      </c>
      <c r="BD116" s="34">
        <f t="shared" si="128"/>
        <v>0</v>
      </c>
      <c r="BE116" s="34">
        <v>0</v>
      </c>
      <c r="BF116" s="34">
        <f>116</f>
        <v>116</v>
      </c>
      <c r="BH116" s="17">
        <f t="shared" si="129"/>
        <v>0</v>
      </c>
      <c r="BI116" s="17">
        <f t="shared" si="130"/>
        <v>0</v>
      </c>
      <c r="BJ116" s="17">
        <f t="shared" si="131"/>
        <v>0</v>
      </c>
    </row>
    <row r="117" spans="1:62" x14ac:dyDescent="0.2">
      <c r="A117" s="4" t="s">
        <v>89</v>
      </c>
      <c r="B117" s="4" t="s">
        <v>649</v>
      </c>
      <c r="C117" s="240" t="s">
        <v>1156</v>
      </c>
      <c r="D117" s="241"/>
      <c r="E117" s="241"/>
      <c r="F117" s="4" t="s">
        <v>1644</v>
      </c>
      <c r="G117" s="69">
        <v>1</v>
      </c>
      <c r="H117" s="168"/>
      <c r="I117" s="17">
        <f t="shared" si="110"/>
        <v>0</v>
      </c>
      <c r="J117" s="17">
        <f t="shared" si="111"/>
        <v>0</v>
      </c>
      <c r="K117" s="17">
        <f t="shared" si="112"/>
        <v>0</v>
      </c>
      <c r="L117" s="28" t="s">
        <v>1671</v>
      </c>
      <c r="Z117" s="34">
        <f t="shared" si="113"/>
        <v>0</v>
      </c>
      <c r="AB117" s="34">
        <f t="shared" si="114"/>
        <v>0</v>
      </c>
      <c r="AC117" s="34">
        <f t="shared" si="115"/>
        <v>0</v>
      </c>
      <c r="AD117" s="34">
        <f t="shared" si="116"/>
        <v>0</v>
      </c>
      <c r="AE117" s="34">
        <f t="shared" si="117"/>
        <v>0</v>
      </c>
      <c r="AF117" s="34">
        <f t="shared" si="118"/>
        <v>0</v>
      </c>
      <c r="AG117" s="34">
        <f t="shared" si="119"/>
        <v>0</v>
      </c>
      <c r="AH117" s="34">
        <f t="shared" si="120"/>
        <v>0</v>
      </c>
      <c r="AI117" s="29"/>
      <c r="AJ117" s="17">
        <f t="shared" si="121"/>
        <v>0</v>
      </c>
      <c r="AK117" s="17">
        <f t="shared" si="122"/>
        <v>0</v>
      </c>
      <c r="AL117" s="17">
        <f t="shared" si="123"/>
        <v>0</v>
      </c>
      <c r="AN117" s="34">
        <v>15</v>
      </c>
      <c r="AO117" s="34">
        <f>H117*0.908156</f>
        <v>0</v>
      </c>
      <c r="AP117" s="34">
        <f>H117*(1-0.908156)</f>
        <v>0</v>
      </c>
      <c r="AQ117" s="28" t="s">
        <v>7</v>
      </c>
      <c r="AV117" s="34">
        <f t="shared" si="124"/>
        <v>0</v>
      </c>
      <c r="AW117" s="34">
        <f t="shared" si="125"/>
        <v>0</v>
      </c>
      <c r="AX117" s="34">
        <f t="shared" si="126"/>
        <v>0</v>
      </c>
      <c r="AY117" s="35" t="s">
        <v>1699</v>
      </c>
      <c r="AZ117" s="35" t="s">
        <v>1730</v>
      </c>
      <c r="BA117" s="29" t="s">
        <v>1737</v>
      </c>
      <c r="BC117" s="34">
        <f t="shared" si="127"/>
        <v>0</v>
      </c>
      <c r="BD117" s="34">
        <f t="shared" si="128"/>
        <v>0</v>
      </c>
      <c r="BE117" s="34">
        <v>0</v>
      </c>
      <c r="BF117" s="34">
        <f>117</f>
        <v>117</v>
      </c>
      <c r="BH117" s="17">
        <f t="shared" si="129"/>
        <v>0</v>
      </c>
      <c r="BI117" s="17">
        <f t="shared" si="130"/>
        <v>0</v>
      </c>
      <c r="BJ117" s="17">
        <f t="shared" si="131"/>
        <v>0</v>
      </c>
    </row>
    <row r="118" spans="1:62" x14ac:dyDescent="0.2">
      <c r="A118" s="4" t="s">
        <v>90</v>
      </c>
      <c r="B118" s="4" t="s">
        <v>650</v>
      </c>
      <c r="C118" s="240" t="s">
        <v>1157</v>
      </c>
      <c r="D118" s="241"/>
      <c r="E118" s="241"/>
      <c r="F118" s="4" t="s">
        <v>1644</v>
      </c>
      <c r="G118" s="69">
        <v>1</v>
      </c>
      <c r="H118" s="168"/>
      <c r="I118" s="17">
        <f t="shared" si="110"/>
        <v>0</v>
      </c>
      <c r="J118" s="17">
        <f t="shared" si="111"/>
        <v>0</v>
      </c>
      <c r="K118" s="17">
        <f t="shared" si="112"/>
        <v>0</v>
      </c>
      <c r="L118" s="28" t="s">
        <v>1671</v>
      </c>
      <c r="Z118" s="34">
        <f t="shared" si="113"/>
        <v>0</v>
      </c>
      <c r="AB118" s="34">
        <f t="shared" si="114"/>
        <v>0</v>
      </c>
      <c r="AC118" s="34">
        <f t="shared" si="115"/>
        <v>0</v>
      </c>
      <c r="AD118" s="34">
        <f t="shared" si="116"/>
        <v>0</v>
      </c>
      <c r="AE118" s="34">
        <f t="shared" si="117"/>
        <v>0</v>
      </c>
      <c r="AF118" s="34">
        <f t="shared" si="118"/>
        <v>0</v>
      </c>
      <c r="AG118" s="34">
        <f t="shared" si="119"/>
        <v>0</v>
      </c>
      <c r="AH118" s="34">
        <f t="shared" si="120"/>
        <v>0</v>
      </c>
      <c r="AI118" s="29"/>
      <c r="AJ118" s="17">
        <f t="shared" si="121"/>
        <v>0</v>
      </c>
      <c r="AK118" s="17">
        <f t="shared" si="122"/>
        <v>0</v>
      </c>
      <c r="AL118" s="17">
        <f t="shared" si="123"/>
        <v>0</v>
      </c>
      <c r="AN118" s="34">
        <v>15</v>
      </c>
      <c r="AO118" s="34">
        <f>H118*0.90816</f>
        <v>0</v>
      </c>
      <c r="AP118" s="34">
        <f>H118*(1-0.90816)</f>
        <v>0</v>
      </c>
      <c r="AQ118" s="28" t="s">
        <v>7</v>
      </c>
      <c r="AV118" s="34">
        <f t="shared" si="124"/>
        <v>0</v>
      </c>
      <c r="AW118" s="34">
        <f t="shared" si="125"/>
        <v>0</v>
      </c>
      <c r="AX118" s="34">
        <f t="shared" si="126"/>
        <v>0</v>
      </c>
      <c r="AY118" s="35" t="s">
        <v>1699</v>
      </c>
      <c r="AZ118" s="35" t="s">
        <v>1730</v>
      </c>
      <c r="BA118" s="29" t="s">
        <v>1737</v>
      </c>
      <c r="BC118" s="34">
        <f t="shared" si="127"/>
        <v>0</v>
      </c>
      <c r="BD118" s="34">
        <f t="shared" si="128"/>
        <v>0</v>
      </c>
      <c r="BE118" s="34">
        <v>0</v>
      </c>
      <c r="BF118" s="34">
        <f>118</f>
        <v>118</v>
      </c>
      <c r="BH118" s="17">
        <f t="shared" si="129"/>
        <v>0</v>
      </c>
      <c r="BI118" s="17">
        <f t="shared" si="130"/>
        <v>0</v>
      </c>
      <c r="BJ118" s="17">
        <f t="shared" si="131"/>
        <v>0</v>
      </c>
    </row>
    <row r="119" spans="1:62" x14ac:dyDescent="0.2">
      <c r="A119" s="5"/>
      <c r="B119" s="13" t="s">
        <v>102</v>
      </c>
      <c r="C119" s="244" t="s">
        <v>1158</v>
      </c>
      <c r="D119" s="245"/>
      <c r="E119" s="245"/>
      <c r="F119" s="5" t="s">
        <v>6</v>
      </c>
      <c r="G119" s="5" t="s">
        <v>6</v>
      </c>
      <c r="H119" s="5" t="s">
        <v>6</v>
      </c>
      <c r="I119" s="37">
        <f>SUM(I120:I138)</f>
        <v>0</v>
      </c>
      <c r="J119" s="37">
        <f>SUM(J120:J138)</f>
        <v>0</v>
      </c>
      <c r="K119" s="37">
        <f>SUM(K120:K138)</f>
        <v>0</v>
      </c>
      <c r="L119" s="29"/>
      <c r="AI119" s="29"/>
      <c r="AS119" s="37">
        <f>SUM(AJ120:AJ138)</f>
        <v>0</v>
      </c>
      <c r="AT119" s="37">
        <f>SUM(AK120:AK138)</f>
        <v>0</v>
      </c>
      <c r="AU119" s="37">
        <f>SUM(AL120:AL138)</f>
        <v>0</v>
      </c>
    </row>
    <row r="120" spans="1:62" x14ac:dyDescent="0.2">
      <c r="A120" s="4" t="s">
        <v>91</v>
      </c>
      <c r="B120" s="4" t="s">
        <v>651</v>
      </c>
      <c r="C120" s="240" t="s">
        <v>1159</v>
      </c>
      <c r="D120" s="241"/>
      <c r="E120" s="241"/>
      <c r="F120" s="4" t="s">
        <v>1645</v>
      </c>
      <c r="G120" s="69">
        <v>108.31100000000001</v>
      </c>
      <c r="H120" s="168"/>
      <c r="I120" s="17">
        <f t="shared" ref="I120:I138" si="132">G120*AO120</f>
        <v>0</v>
      </c>
      <c r="J120" s="17">
        <f t="shared" ref="J120:J138" si="133">G120*AP120</f>
        <v>0</v>
      </c>
      <c r="K120" s="17">
        <f t="shared" ref="K120:K138" si="134">G120*H120</f>
        <v>0</v>
      </c>
      <c r="L120" s="28" t="s">
        <v>1671</v>
      </c>
      <c r="Z120" s="34">
        <f t="shared" ref="Z120:Z138" si="135">IF(AQ120="5",BJ120,0)</f>
        <v>0</v>
      </c>
      <c r="AB120" s="34">
        <f t="shared" ref="AB120:AB138" si="136">IF(AQ120="1",BH120,0)</f>
        <v>0</v>
      </c>
      <c r="AC120" s="34">
        <f t="shared" ref="AC120:AC138" si="137">IF(AQ120="1",BI120,0)</f>
        <v>0</v>
      </c>
      <c r="AD120" s="34">
        <f t="shared" ref="AD120:AD138" si="138">IF(AQ120="7",BH120,0)</f>
        <v>0</v>
      </c>
      <c r="AE120" s="34">
        <f t="shared" ref="AE120:AE138" si="139">IF(AQ120="7",BI120,0)</f>
        <v>0</v>
      </c>
      <c r="AF120" s="34">
        <f t="shared" ref="AF120:AF138" si="140">IF(AQ120="2",BH120,0)</f>
        <v>0</v>
      </c>
      <c r="AG120" s="34">
        <f t="shared" ref="AG120:AG138" si="141">IF(AQ120="2",BI120,0)</f>
        <v>0</v>
      </c>
      <c r="AH120" s="34">
        <f t="shared" ref="AH120:AH138" si="142">IF(AQ120="0",BJ120,0)</f>
        <v>0</v>
      </c>
      <c r="AI120" s="29"/>
      <c r="AJ120" s="17">
        <f t="shared" ref="AJ120:AJ138" si="143">IF(AN120=0,K120,0)</f>
        <v>0</v>
      </c>
      <c r="AK120" s="17">
        <f t="shared" ref="AK120:AK138" si="144">IF(AN120=15,K120,0)</f>
        <v>0</v>
      </c>
      <c r="AL120" s="17">
        <f t="shared" ref="AL120:AL138" si="145">IF(AN120=21,K120,0)</f>
        <v>0</v>
      </c>
      <c r="AN120" s="34">
        <v>15</v>
      </c>
      <c r="AO120" s="34">
        <f>H120*0</f>
        <v>0</v>
      </c>
      <c r="AP120" s="34">
        <f>H120*(1-0)</f>
        <v>0</v>
      </c>
      <c r="AQ120" s="28" t="s">
        <v>7</v>
      </c>
      <c r="AV120" s="34">
        <f t="shared" ref="AV120:AV138" si="146">AW120+AX120</f>
        <v>0</v>
      </c>
      <c r="AW120" s="34">
        <f t="shared" ref="AW120:AW138" si="147">G120*AO120</f>
        <v>0</v>
      </c>
      <c r="AX120" s="34">
        <f t="shared" ref="AX120:AX138" si="148">G120*AP120</f>
        <v>0</v>
      </c>
      <c r="AY120" s="35" t="s">
        <v>1700</v>
      </c>
      <c r="AZ120" s="35" t="s">
        <v>1730</v>
      </c>
      <c r="BA120" s="29" t="s">
        <v>1737</v>
      </c>
      <c r="BC120" s="34">
        <f t="shared" ref="BC120:BC138" si="149">AW120+AX120</f>
        <v>0</v>
      </c>
      <c r="BD120" s="34">
        <f t="shared" ref="BD120:BD138" si="150">H120/(100-BE120)*100</f>
        <v>0</v>
      </c>
      <c r="BE120" s="34">
        <v>0</v>
      </c>
      <c r="BF120" s="34">
        <f>120</f>
        <v>120</v>
      </c>
      <c r="BH120" s="17">
        <f t="shared" ref="BH120:BH138" si="151">G120*AO120</f>
        <v>0</v>
      </c>
      <c r="BI120" s="17">
        <f t="shared" ref="BI120:BI138" si="152">G120*AP120</f>
        <v>0</v>
      </c>
      <c r="BJ120" s="17">
        <f t="shared" ref="BJ120:BJ138" si="153">G120*H120</f>
        <v>0</v>
      </c>
    </row>
    <row r="121" spans="1:62" x14ac:dyDescent="0.2">
      <c r="A121" s="4" t="s">
        <v>92</v>
      </c>
      <c r="B121" s="4" t="s">
        <v>652</v>
      </c>
      <c r="C121" s="240" t="s">
        <v>1160</v>
      </c>
      <c r="D121" s="241"/>
      <c r="E121" s="241"/>
      <c r="F121" s="4" t="s">
        <v>1644</v>
      </c>
      <c r="G121" s="69">
        <v>4</v>
      </c>
      <c r="H121" s="168"/>
      <c r="I121" s="17">
        <f t="shared" si="132"/>
        <v>0</v>
      </c>
      <c r="J121" s="17">
        <f t="shared" si="133"/>
        <v>0</v>
      </c>
      <c r="K121" s="17">
        <f t="shared" si="134"/>
        <v>0</v>
      </c>
      <c r="L121" s="28" t="s">
        <v>1671</v>
      </c>
      <c r="Z121" s="34">
        <f t="shared" si="135"/>
        <v>0</v>
      </c>
      <c r="AB121" s="34">
        <f t="shared" si="136"/>
        <v>0</v>
      </c>
      <c r="AC121" s="34">
        <f t="shared" si="137"/>
        <v>0</v>
      </c>
      <c r="AD121" s="34">
        <f t="shared" si="138"/>
        <v>0</v>
      </c>
      <c r="AE121" s="34">
        <f t="shared" si="139"/>
        <v>0</v>
      </c>
      <c r="AF121" s="34">
        <f t="shared" si="140"/>
        <v>0</v>
      </c>
      <c r="AG121" s="34">
        <f t="shared" si="141"/>
        <v>0</v>
      </c>
      <c r="AH121" s="34">
        <f t="shared" si="142"/>
        <v>0</v>
      </c>
      <c r="AI121" s="29"/>
      <c r="AJ121" s="17">
        <f t="shared" si="143"/>
        <v>0</v>
      </c>
      <c r="AK121" s="17">
        <f t="shared" si="144"/>
        <v>0</v>
      </c>
      <c r="AL121" s="17">
        <f t="shared" si="145"/>
        <v>0</v>
      </c>
      <c r="AN121" s="34">
        <v>15</v>
      </c>
      <c r="AO121" s="34">
        <f>H121*0</f>
        <v>0</v>
      </c>
      <c r="AP121" s="34">
        <f>H121*(1-0)</f>
        <v>0</v>
      </c>
      <c r="AQ121" s="28" t="s">
        <v>7</v>
      </c>
      <c r="AV121" s="34">
        <f t="shared" si="146"/>
        <v>0</v>
      </c>
      <c r="AW121" s="34">
        <f t="shared" si="147"/>
        <v>0</v>
      </c>
      <c r="AX121" s="34">
        <f t="shared" si="148"/>
        <v>0</v>
      </c>
      <c r="AY121" s="35" t="s">
        <v>1700</v>
      </c>
      <c r="AZ121" s="35" t="s">
        <v>1730</v>
      </c>
      <c r="BA121" s="29" t="s">
        <v>1737</v>
      </c>
      <c r="BC121" s="34">
        <f t="shared" si="149"/>
        <v>0</v>
      </c>
      <c r="BD121" s="34">
        <f t="shared" si="150"/>
        <v>0</v>
      </c>
      <c r="BE121" s="34">
        <v>0</v>
      </c>
      <c r="BF121" s="34">
        <f>121</f>
        <v>121</v>
      </c>
      <c r="BH121" s="17">
        <f t="shared" si="151"/>
        <v>0</v>
      </c>
      <c r="BI121" s="17">
        <f t="shared" si="152"/>
        <v>0</v>
      </c>
      <c r="BJ121" s="17">
        <f t="shared" si="153"/>
        <v>0</v>
      </c>
    </row>
    <row r="122" spans="1:62" x14ac:dyDescent="0.2">
      <c r="A122" s="4" t="s">
        <v>93</v>
      </c>
      <c r="B122" s="4" t="s">
        <v>653</v>
      </c>
      <c r="C122" s="240" t="s">
        <v>1161</v>
      </c>
      <c r="D122" s="241"/>
      <c r="E122" s="241"/>
      <c r="F122" s="4" t="s">
        <v>1647</v>
      </c>
      <c r="G122" s="69">
        <v>0.12</v>
      </c>
      <c r="H122" s="168"/>
      <c r="I122" s="17">
        <f t="shared" si="132"/>
        <v>0</v>
      </c>
      <c r="J122" s="17">
        <f t="shared" si="133"/>
        <v>0</v>
      </c>
      <c r="K122" s="17">
        <f t="shared" si="134"/>
        <v>0</v>
      </c>
      <c r="L122" s="28" t="s">
        <v>1671</v>
      </c>
      <c r="Z122" s="34">
        <f t="shared" si="135"/>
        <v>0</v>
      </c>
      <c r="AB122" s="34">
        <f t="shared" si="136"/>
        <v>0</v>
      </c>
      <c r="AC122" s="34">
        <f t="shared" si="137"/>
        <v>0</v>
      </c>
      <c r="AD122" s="34">
        <f t="shared" si="138"/>
        <v>0</v>
      </c>
      <c r="AE122" s="34">
        <f t="shared" si="139"/>
        <v>0</v>
      </c>
      <c r="AF122" s="34">
        <f t="shared" si="140"/>
        <v>0</v>
      </c>
      <c r="AG122" s="34">
        <f t="shared" si="141"/>
        <v>0</v>
      </c>
      <c r="AH122" s="34">
        <f t="shared" si="142"/>
        <v>0</v>
      </c>
      <c r="AI122" s="29"/>
      <c r="AJ122" s="17">
        <f t="shared" si="143"/>
        <v>0</v>
      </c>
      <c r="AK122" s="17">
        <f t="shared" si="144"/>
        <v>0</v>
      </c>
      <c r="AL122" s="17">
        <f t="shared" si="145"/>
        <v>0</v>
      </c>
      <c r="AN122" s="34">
        <v>15</v>
      </c>
      <c r="AO122" s="34">
        <f>H122*0</f>
        <v>0</v>
      </c>
      <c r="AP122" s="34">
        <f>H122*(1-0)</f>
        <v>0</v>
      </c>
      <c r="AQ122" s="28" t="s">
        <v>7</v>
      </c>
      <c r="AV122" s="34">
        <f t="shared" si="146"/>
        <v>0</v>
      </c>
      <c r="AW122" s="34">
        <f t="shared" si="147"/>
        <v>0</v>
      </c>
      <c r="AX122" s="34">
        <f t="shared" si="148"/>
        <v>0</v>
      </c>
      <c r="AY122" s="35" t="s">
        <v>1700</v>
      </c>
      <c r="AZ122" s="35" t="s">
        <v>1730</v>
      </c>
      <c r="BA122" s="29" t="s">
        <v>1737</v>
      </c>
      <c r="BC122" s="34">
        <f t="shared" si="149"/>
        <v>0</v>
      </c>
      <c r="BD122" s="34">
        <f t="shared" si="150"/>
        <v>0</v>
      </c>
      <c r="BE122" s="34">
        <v>0</v>
      </c>
      <c r="BF122" s="34">
        <f>122</f>
        <v>122</v>
      </c>
      <c r="BH122" s="17">
        <f t="shared" si="151"/>
        <v>0</v>
      </c>
      <c r="BI122" s="17">
        <f t="shared" si="152"/>
        <v>0</v>
      </c>
      <c r="BJ122" s="17">
        <f t="shared" si="153"/>
        <v>0</v>
      </c>
    </row>
    <row r="123" spans="1:62" x14ac:dyDescent="0.2">
      <c r="A123" s="4" t="s">
        <v>94</v>
      </c>
      <c r="B123" s="4" t="s">
        <v>654</v>
      </c>
      <c r="C123" s="240" t="s">
        <v>1162</v>
      </c>
      <c r="D123" s="241"/>
      <c r="E123" s="241"/>
      <c r="F123" s="4" t="s">
        <v>1645</v>
      </c>
      <c r="G123" s="69">
        <v>108.31100000000001</v>
      </c>
      <c r="H123" s="168"/>
      <c r="I123" s="17">
        <f t="shared" si="132"/>
        <v>0</v>
      </c>
      <c r="J123" s="17">
        <f t="shared" si="133"/>
        <v>0</v>
      </c>
      <c r="K123" s="17">
        <f t="shared" si="134"/>
        <v>0</v>
      </c>
      <c r="L123" s="28" t="s">
        <v>1671</v>
      </c>
      <c r="Z123" s="34">
        <f t="shared" si="135"/>
        <v>0</v>
      </c>
      <c r="AB123" s="34">
        <f t="shared" si="136"/>
        <v>0</v>
      </c>
      <c r="AC123" s="34">
        <f t="shared" si="137"/>
        <v>0</v>
      </c>
      <c r="AD123" s="34">
        <f t="shared" si="138"/>
        <v>0</v>
      </c>
      <c r="AE123" s="34">
        <f t="shared" si="139"/>
        <v>0</v>
      </c>
      <c r="AF123" s="34">
        <f t="shared" si="140"/>
        <v>0</v>
      </c>
      <c r="AG123" s="34">
        <f t="shared" si="141"/>
        <v>0</v>
      </c>
      <c r="AH123" s="34">
        <f t="shared" si="142"/>
        <v>0</v>
      </c>
      <c r="AI123" s="29"/>
      <c r="AJ123" s="17">
        <f t="shared" si="143"/>
        <v>0</v>
      </c>
      <c r="AK123" s="17">
        <f t="shared" si="144"/>
        <v>0</v>
      </c>
      <c r="AL123" s="17">
        <f t="shared" si="145"/>
        <v>0</v>
      </c>
      <c r="AN123" s="34">
        <v>15</v>
      </c>
      <c r="AO123" s="34">
        <f>H123*0.0999481044274186</f>
        <v>0</v>
      </c>
      <c r="AP123" s="34">
        <f>H123*(1-0.0999481044274186)</f>
        <v>0</v>
      </c>
      <c r="AQ123" s="28" t="s">
        <v>7</v>
      </c>
      <c r="AV123" s="34">
        <f t="shared" si="146"/>
        <v>0</v>
      </c>
      <c r="AW123" s="34">
        <f t="shared" si="147"/>
        <v>0</v>
      </c>
      <c r="AX123" s="34">
        <f t="shared" si="148"/>
        <v>0</v>
      </c>
      <c r="AY123" s="35" t="s">
        <v>1700</v>
      </c>
      <c r="AZ123" s="35" t="s">
        <v>1730</v>
      </c>
      <c r="BA123" s="29" t="s">
        <v>1737</v>
      </c>
      <c r="BC123" s="34">
        <f t="shared" si="149"/>
        <v>0</v>
      </c>
      <c r="BD123" s="34">
        <f t="shared" si="150"/>
        <v>0</v>
      </c>
      <c r="BE123" s="34">
        <v>0</v>
      </c>
      <c r="BF123" s="34">
        <f>123</f>
        <v>123</v>
      </c>
      <c r="BH123" s="17">
        <f t="shared" si="151"/>
        <v>0</v>
      </c>
      <c r="BI123" s="17">
        <f t="shared" si="152"/>
        <v>0</v>
      </c>
      <c r="BJ123" s="17">
        <f t="shared" si="153"/>
        <v>0</v>
      </c>
    </row>
    <row r="124" spans="1:62" x14ac:dyDescent="0.2">
      <c r="A124" s="4" t="s">
        <v>95</v>
      </c>
      <c r="B124" s="4" t="s">
        <v>655</v>
      </c>
      <c r="C124" s="240" t="s">
        <v>1163</v>
      </c>
      <c r="D124" s="241"/>
      <c r="E124" s="241"/>
      <c r="F124" s="4" t="s">
        <v>1647</v>
      </c>
      <c r="G124" s="69">
        <v>1.1000000000000001</v>
      </c>
      <c r="H124" s="168"/>
      <c r="I124" s="17">
        <f t="shared" si="132"/>
        <v>0</v>
      </c>
      <c r="J124" s="17">
        <f t="shared" si="133"/>
        <v>0</v>
      </c>
      <c r="K124" s="17">
        <f t="shared" si="134"/>
        <v>0</v>
      </c>
      <c r="L124" s="28" t="s">
        <v>1671</v>
      </c>
      <c r="Z124" s="34">
        <f t="shared" si="135"/>
        <v>0</v>
      </c>
      <c r="AB124" s="34">
        <f t="shared" si="136"/>
        <v>0</v>
      </c>
      <c r="AC124" s="34">
        <f t="shared" si="137"/>
        <v>0</v>
      </c>
      <c r="AD124" s="34">
        <f t="shared" si="138"/>
        <v>0</v>
      </c>
      <c r="AE124" s="34">
        <f t="shared" si="139"/>
        <v>0</v>
      </c>
      <c r="AF124" s="34">
        <f t="shared" si="140"/>
        <v>0</v>
      </c>
      <c r="AG124" s="34">
        <f t="shared" si="141"/>
        <v>0</v>
      </c>
      <c r="AH124" s="34">
        <f t="shared" si="142"/>
        <v>0</v>
      </c>
      <c r="AI124" s="29"/>
      <c r="AJ124" s="17">
        <f t="shared" si="143"/>
        <v>0</v>
      </c>
      <c r="AK124" s="17">
        <f t="shared" si="144"/>
        <v>0</v>
      </c>
      <c r="AL124" s="17">
        <f t="shared" si="145"/>
        <v>0</v>
      </c>
      <c r="AN124" s="34">
        <v>15</v>
      </c>
      <c r="AO124" s="34">
        <f>H124*0.0363940520446097</f>
        <v>0</v>
      </c>
      <c r="AP124" s="34">
        <f>H124*(1-0.0363940520446097)</f>
        <v>0</v>
      </c>
      <c r="AQ124" s="28" t="s">
        <v>7</v>
      </c>
      <c r="AV124" s="34">
        <f t="shared" si="146"/>
        <v>0</v>
      </c>
      <c r="AW124" s="34">
        <f t="shared" si="147"/>
        <v>0</v>
      </c>
      <c r="AX124" s="34">
        <f t="shared" si="148"/>
        <v>0</v>
      </c>
      <c r="AY124" s="35" t="s">
        <v>1700</v>
      </c>
      <c r="AZ124" s="35" t="s">
        <v>1730</v>
      </c>
      <c r="BA124" s="29" t="s">
        <v>1737</v>
      </c>
      <c r="BC124" s="34">
        <f t="shared" si="149"/>
        <v>0</v>
      </c>
      <c r="BD124" s="34">
        <f t="shared" si="150"/>
        <v>0</v>
      </c>
      <c r="BE124" s="34">
        <v>0</v>
      </c>
      <c r="BF124" s="34">
        <f>124</f>
        <v>124</v>
      </c>
      <c r="BH124" s="17">
        <f t="shared" si="151"/>
        <v>0</v>
      </c>
      <c r="BI124" s="17">
        <f t="shared" si="152"/>
        <v>0</v>
      </c>
      <c r="BJ124" s="17">
        <f t="shared" si="153"/>
        <v>0</v>
      </c>
    </row>
    <row r="125" spans="1:62" x14ac:dyDescent="0.2">
      <c r="A125" s="4" t="s">
        <v>96</v>
      </c>
      <c r="B125" s="4" t="s">
        <v>656</v>
      </c>
      <c r="C125" s="240" t="s">
        <v>1164</v>
      </c>
      <c r="D125" s="241"/>
      <c r="E125" s="241"/>
      <c r="F125" s="4" t="s">
        <v>1647</v>
      </c>
      <c r="G125" s="69">
        <v>11.907999999999999</v>
      </c>
      <c r="H125" s="168"/>
      <c r="I125" s="17">
        <f t="shared" si="132"/>
        <v>0</v>
      </c>
      <c r="J125" s="17">
        <f t="shared" si="133"/>
        <v>0</v>
      </c>
      <c r="K125" s="17">
        <f t="shared" si="134"/>
        <v>0</v>
      </c>
      <c r="L125" s="28" t="s">
        <v>1671</v>
      </c>
      <c r="Z125" s="34">
        <f t="shared" si="135"/>
        <v>0</v>
      </c>
      <c r="AB125" s="34">
        <f t="shared" si="136"/>
        <v>0</v>
      </c>
      <c r="AC125" s="34">
        <f t="shared" si="137"/>
        <v>0</v>
      </c>
      <c r="AD125" s="34">
        <f t="shared" si="138"/>
        <v>0</v>
      </c>
      <c r="AE125" s="34">
        <f t="shared" si="139"/>
        <v>0</v>
      </c>
      <c r="AF125" s="34">
        <f t="shared" si="140"/>
        <v>0</v>
      </c>
      <c r="AG125" s="34">
        <f t="shared" si="141"/>
        <v>0</v>
      </c>
      <c r="AH125" s="34">
        <f t="shared" si="142"/>
        <v>0</v>
      </c>
      <c r="AI125" s="29"/>
      <c r="AJ125" s="17">
        <f t="shared" si="143"/>
        <v>0</v>
      </c>
      <c r="AK125" s="17">
        <f t="shared" si="144"/>
        <v>0</v>
      </c>
      <c r="AL125" s="17">
        <f t="shared" si="145"/>
        <v>0</v>
      </c>
      <c r="AN125" s="34">
        <v>15</v>
      </c>
      <c r="AO125" s="34">
        <f>H125*0</f>
        <v>0</v>
      </c>
      <c r="AP125" s="34">
        <f>H125*(1-0)</f>
        <v>0</v>
      </c>
      <c r="AQ125" s="28" t="s">
        <v>7</v>
      </c>
      <c r="AV125" s="34">
        <f t="shared" si="146"/>
        <v>0</v>
      </c>
      <c r="AW125" s="34">
        <f t="shared" si="147"/>
        <v>0</v>
      </c>
      <c r="AX125" s="34">
        <f t="shared" si="148"/>
        <v>0</v>
      </c>
      <c r="AY125" s="35" t="s">
        <v>1700</v>
      </c>
      <c r="AZ125" s="35" t="s">
        <v>1730</v>
      </c>
      <c r="BA125" s="29" t="s">
        <v>1737</v>
      </c>
      <c r="BC125" s="34">
        <f t="shared" si="149"/>
        <v>0</v>
      </c>
      <c r="BD125" s="34">
        <f t="shared" si="150"/>
        <v>0</v>
      </c>
      <c r="BE125" s="34">
        <v>0</v>
      </c>
      <c r="BF125" s="34">
        <f>125</f>
        <v>125</v>
      </c>
      <c r="BH125" s="17">
        <f t="shared" si="151"/>
        <v>0</v>
      </c>
      <c r="BI125" s="17">
        <f t="shared" si="152"/>
        <v>0</v>
      </c>
      <c r="BJ125" s="17">
        <f t="shared" si="153"/>
        <v>0</v>
      </c>
    </row>
    <row r="126" spans="1:62" x14ac:dyDescent="0.2">
      <c r="A126" s="4" t="s">
        <v>97</v>
      </c>
      <c r="B126" s="4" t="s">
        <v>657</v>
      </c>
      <c r="C126" s="240" t="s">
        <v>1165</v>
      </c>
      <c r="D126" s="241"/>
      <c r="E126" s="241"/>
      <c r="F126" s="4" t="s">
        <v>1647</v>
      </c>
      <c r="G126" s="69">
        <v>0.33800000000000002</v>
      </c>
      <c r="H126" s="168"/>
      <c r="I126" s="17">
        <f t="shared" si="132"/>
        <v>0</v>
      </c>
      <c r="J126" s="17">
        <f t="shared" si="133"/>
        <v>0</v>
      </c>
      <c r="K126" s="17">
        <f t="shared" si="134"/>
        <v>0</v>
      </c>
      <c r="L126" s="28" t="s">
        <v>1671</v>
      </c>
      <c r="Z126" s="34">
        <f t="shared" si="135"/>
        <v>0</v>
      </c>
      <c r="AB126" s="34">
        <f t="shared" si="136"/>
        <v>0</v>
      </c>
      <c r="AC126" s="34">
        <f t="shared" si="137"/>
        <v>0</v>
      </c>
      <c r="AD126" s="34">
        <f t="shared" si="138"/>
        <v>0</v>
      </c>
      <c r="AE126" s="34">
        <f t="shared" si="139"/>
        <v>0</v>
      </c>
      <c r="AF126" s="34">
        <f t="shared" si="140"/>
        <v>0</v>
      </c>
      <c r="AG126" s="34">
        <f t="shared" si="141"/>
        <v>0</v>
      </c>
      <c r="AH126" s="34">
        <f t="shared" si="142"/>
        <v>0</v>
      </c>
      <c r="AI126" s="29"/>
      <c r="AJ126" s="17">
        <f t="shared" si="143"/>
        <v>0</v>
      </c>
      <c r="AK126" s="17">
        <f t="shared" si="144"/>
        <v>0</v>
      </c>
      <c r="AL126" s="17">
        <f t="shared" si="145"/>
        <v>0</v>
      </c>
      <c r="AN126" s="34">
        <v>15</v>
      </c>
      <c r="AO126" s="34">
        <f>H126*0</f>
        <v>0</v>
      </c>
      <c r="AP126" s="34">
        <f>H126*(1-0)</f>
        <v>0</v>
      </c>
      <c r="AQ126" s="28" t="s">
        <v>7</v>
      </c>
      <c r="AV126" s="34">
        <f t="shared" si="146"/>
        <v>0</v>
      </c>
      <c r="AW126" s="34">
        <f t="shared" si="147"/>
        <v>0</v>
      </c>
      <c r="AX126" s="34">
        <f t="shared" si="148"/>
        <v>0</v>
      </c>
      <c r="AY126" s="35" t="s">
        <v>1700</v>
      </c>
      <c r="AZ126" s="35" t="s">
        <v>1730</v>
      </c>
      <c r="BA126" s="29" t="s">
        <v>1737</v>
      </c>
      <c r="BC126" s="34">
        <f t="shared" si="149"/>
        <v>0</v>
      </c>
      <c r="BD126" s="34">
        <f t="shared" si="150"/>
        <v>0</v>
      </c>
      <c r="BE126" s="34">
        <v>0</v>
      </c>
      <c r="BF126" s="34">
        <f>126</f>
        <v>126</v>
      </c>
      <c r="BH126" s="17">
        <f t="shared" si="151"/>
        <v>0</v>
      </c>
      <c r="BI126" s="17">
        <f t="shared" si="152"/>
        <v>0</v>
      </c>
      <c r="BJ126" s="17">
        <f t="shared" si="153"/>
        <v>0</v>
      </c>
    </row>
    <row r="127" spans="1:62" x14ac:dyDescent="0.2">
      <c r="A127" s="4" t="s">
        <v>98</v>
      </c>
      <c r="B127" s="4" t="s">
        <v>658</v>
      </c>
      <c r="C127" s="240" t="s">
        <v>1166</v>
      </c>
      <c r="D127" s="241"/>
      <c r="E127" s="241"/>
      <c r="F127" s="4" t="s">
        <v>1645</v>
      </c>
      <c r="G127" s="69">
        <v>15.45</v>
      </c>
      <c r="H127" s="168"/>
      <c r="I127" s="17">
        <f t="shared" si="132"/>
        <v>0</v>
      </c>
      <c r="J127" s="17">
        <f t="shared" si="133"/>
        <v>0</v>
      </c>
      <c r="K127" s="17">
        <f t="shared" si="134"/>
        <v>0</v>
      </c>
      <c r="L127" s="28" t="s">
        <v>1671</v>
      </c>
      <c r="Z127" s="34">
        <f t="shared" si="135"/>
        <v>0</v>
      </c>
      <c r="AB127" s="34">
        <f t="shared" si="136"/>
        <v>0</v>
      </c>
      <c r="AC127" s="34">
        <f t="shared" si="137"/>
        <v>0</v>
      </c>
      <c r="AD127" s="34">
        <f t="shared" si="138"/>
        <v>0</v>
      </c>
      <c r="AE127" s="34">
        <f t="shared" si="139"/>
        <v>0</v>
      </c>
      <c r="AF127" s="34">
        <f t="shared" si="140"/>
        <v>0</v>
      </c>
      <c r="AG127" s="34">
        <f t="shared" si="141"/>
        <v>0</v>
      </c>
      <c r="AH127" s="34">
        <f t="shared" si="142"/>
        <v>0</v>
      </c>
      <c r="AI127" s="29"/>
      <c r="AJ127" s="17">
        <f t="shared" si="143"/>
        <v>0</v>
      </c>
      <c r="AK127" s="17">
        <f t="shared" si="144"/>
        <v>0</v>
      </c>
      <c r="AL127" s="17">
        <f t="shared" si="145"/>
        <v>0</v>
      </c>
      <c r="AN127" s="34">
        <v>15</v>
      </c>
      <c r="AO127" s="34">
        <f>H127*0</f>
        <v>0</v>
      </c>
      <c r="AP127" s="34">
        <f>H127*(1-0)</f>
        <v>0</v>
      </c>
      <c r="AQ127" s="28" t="s">
        <v>7</v>
      </c>
      <c r="AV127" s="34">
        <f t="shared" si="146"/>
        <v>0</v>
      </c>
      <c r="AW127" s="34">
        <f t="shared" si="147"/>
        <v>0</v>
      </c>
      <c r="AX127" s="34">
        <f t="shared" si="148"/>
        <v>0</v>
      </c>
      <c r="AY127" s="35" t="s">
        <v>1700</v>
      </c>
      <c r="AZ127" s="35" t="s">
        <v>1730</v>
      </c>
      <c r="BA127" s="29" t="s">
        <v>1737</v>
      </c>
      <c r="BC127" s="34">
        <f t="shared" si="149"/>
        <v>0</v>
      </c>
      <c r="BD127" s="34">
        <f t="shared" si="150"/>
        <v>0</v>
      </c>
      <c r="BE127" s="34">
        <v>0</v>
      </c>
      <c r="BF127" s="34">
        <f>127</f>
        <v>127</v>
      </c>
      <c r="BH127" s="17">
        <f t="shared" si="151"/>
        <v>0</v>
      </c>
      <c r="BI127" s="17">
        <f t="shared" si="152"/>
        <v>0</v>
      </c>
      <c r="BJ127" s="17">
        <f t="shared" si="153"/>
        <v>0</v>
      </c>
    </row>
    <row r="128" spans="1:62" x14ac:dyDescent="0.2">
      <c r="A128" s="4" t="s">
        <v>99</v>
      </c>
      <c r="B128" s="4" t="s">
        <v>659</v>
      </c>
      <c r="C128" s="240" t="s">
        <v>1167</v>
      </c>
      <c r="D128" s="241"/>
      <c r="E128" s="241"/>
      <c r="F128" s="4" t="s">
        <v>1646</v>
      </c>
      <c r="G128" s="69">
        <v>20.5</v>
      </c>
      <c r="H128" s="168"/>
      <c r="I128" s="17">
        <f t="shared" si="132"/>
        <v>0</v>
      </c>
      <c r="J128" s="17">
        <f t="shared" si="133"/>
        <v>0</v>
      </c>
      <c r="K128" s="17">
        <f t="shared" si="134"/>
        <v>0</v>
      </c>
      <c r="L128" s="28" t="s">
        <v>1671</v>
      </c>
      <c r="Z128" s="34">
        <f t="shared" si="135"/>
        <v>0</v>
      </c>
      <c r="AB128" s="34">
        <f t="shared" si="136"/>
        <v>0</v>
      </c>
      <c r="AC128" s="34">
        <f t="shared" si="137"/>
        <v>0</v>
      </c>
      <c r="AD128" s="34">
        <f t="shared" si="138"/>
        <v>0</v>
      </c>
      <c r="AE128" s="34">
        <f t="shared" si="139"/>
        <v>0</v>
      </c>
      <c r="AF128" s="34">
        <f t="shared" si="140"/>
        <v>0</v>
      </c>
      <c r="AG128" s="34">
        <f t="shared" si="141"/>
        <v>0</v>
      </c>
      <c r="AH128" s="34">
        <f t="shared" si="142"/>
        <v>0</v>
      </c>
      <c r="AI128" s="29"/>
      <c r="AJ128" s="17">
        <f t="shared" si="143"/>
        <v>0</v>
      </c>
      <c r="AK128" s="17">
        <f t="shared" si="144"/>
        <v>0</v>
      </c>
      <c r="AL128" s="17">
        <f t="shared" si="145"/>
        <v>0</v>
      </c>
      <c r="AN128" s="34">
        <v>15</v>
      </c>
      <c r="AO128" s="34">
        <f>H128*0</f>
        <v>0</v>
      </c>
      <c r="AP128" s="34">
        <f>H128*(1-0)</f>
        <v>0</v>
      </c>
      <c r="AQ128" s="28" t="s">
        <v>7</v>
      </c>
      <c r="AV128" s="34">
        <f t="shared" si="146"/>
        <v>0</v>
      </c>
      <c r="AW128" s="34">
        <f t="shared" si="147"/>
        <v>0</v>
      </c>
      <c r="AX128" s="34">
        <f t="shared" si="148"/>
        <v>0</v>
      </c>
      <c r="AY128" s="35" t="s">
        <v>1700</v>
      </c>
      <c r="AZ128" s="35" t="s">
        <v>1730</v>
      </c>
      <c r="BA128" s="29" t="s">
        <v>1737</v>
      </c>
      <c r="BC128" s="34">
        <f t="shared" si="149"/>
        <v>0</v>
      </c>
      <c r="BD128" s="34">
        <f t="shared" si="150"/>
        <v>0</v>
      </c>
      <c r="BE128" s="34">
        <v>0</v>
      </c>
      <c r="BF128" s="34">
        <f>128</f>
        <v>128</v>
      </c>
      <c r="BH128" s="17">
        <f t="shared" si="151"/>
        <v>0</v>
      </c>
      <c r="BI128" s="17">
        <f t="shared" si="152"/>
        <v>0</v>
      </c>
      <c r="BJ128" s="17">
        <f t="shared" si="153"/>
        <v>0</v>
      </c>
    </row>
    <row r="129" spans="1:62" x14ac:dyDescent="0.2">
      <c r="A129" s="4" t="s">
        <v>100</v>
      </c>
      <c r="B129" s="4" t="s">
        <v>660</v>
      </c>
      <c r="C129" s="240" t="s">
        <v>1168</v>
      </c>
      <c r="D129" s="241"/>
      <c r="E129" s="241"/>
      <c r="F129" s="4" t="s">
        <v>1645</v>
      </c>
      <c r="G129" s="69">
        <v>15.45</v>
      </c>
      <c r="H129" s="168"/>
      <c r="I129" s="17">
        <f t="shared" si="132"/>
        <v>0</v>
      </c>
      <c r="J129" s="17">
        <f t="shared" si="133"/>
        <v>0</v>
      </c>
      <c r="K129" s="17">
        <f t="shared" si="134"/>
        <v>0</v>
      </c>
      <c r="L129" s="28" t="s">
        <v>1671</v>
      </c>
      <c r="Z129" s="34">
        <f t="shared" si="135"/>
        <v>0</v>
      </c>
      <c r="AB129" s="34">
        <f t="shared" si="136"/>
        <v>0</v>
      </c>
      <c r="AC129" s="34">
        <f t="shared" si="137"/>
        <v>0</v>
      </c>
      <c r="AD129" s="34">
        <f t="shared" si="138"/>
        <v>0</v>
      </c>
      <c r="AE129" s="34">
        <f t="shared" si="139"/>
        <v>0</v>
      </c>
      <c r="AF129" s="34">
        <f t="shared" si="140"/>
        <v>0</v>
      </c>
      <c r="AG129" s="34">
        <f t="shared" si="141"/>
        <v>0</v>
      </c>
      <c r="AH129" s="34">
        <f t="shared" si="142"/>
        <v>0</v>
      </c>
      <c r="AI129" s="29"/>
      <c r="AJ129" s="17">
        <f t="shared" si="143"/>
        <v>0</v>
      </c>
      <c r="AK129" s="17">
        <f t="shared" si="144"/>
        <v>0</v>
      </c>
      <c r="AL129" s="17">
        <f t="shared" si="145"/>
        <v>0</v>
      </c>
      <c r="AN129" s="34">
        <v>15</v>
      </c>
      <c r="AO129" s="34">
        <f>H129*0</f>
        <v>0</v>
      </c>
      <c r="AP129" s="34">
        <f>H129*(1-0)</f>
        <v>0</v>
      </c>
      <c r="AQ129" s="28" t="s">
        <v>7</v>
      </c>
      <c r="AV129" s="34">
        <f t="shared" si="146"/>
        <v>0</v>
      </c>
      <c r="AW129" s="34">
        <f t="shared" si="147"/>
        <v>0</v>
      </c>
      <c r="AX129" s="34">
        <f t="shared" si="148"/>
        <v>0</v>
      </c>
      <c r="AY129" s="35" t="s">
        <v>1700</v>
      </c>
      <c r="AZ129" s="35" t="s">
        <v>1730</v>
      </c>
      <c r="BA129" s="29" t="s">
        <v>1737</v>
      </c>
      <c r="BC129" s="34">
        <f t="shared" si="149"/>
        <v>0</v>
      </c>
      <c r="BD129" s="34">
        <f t="shared" si="150"/>
        <v>0</v>
      </c>
      <c r="BE129" s="34">
        <v>0</v>
      </c>
      <c r="BF129" s="34">
        <f>129</f>
        <v>129</v>
      </c>
      <c r="BH129" s="17">
        <f t="shared" si="151"/>
        <v>0</v>
      </c>
      <c r="BI129" s="17">
        <f t="shared" si="152"/>
        <v>0</v>
      </c>
      <c r="BJ129" s="17">
        <f t="shared" si="153"/>
        <v>0</v>
      </c>
    </row>
    <row r="130" spans="1:62" x14ac:dyDescent="0.2">
      <c r="A130" s="4" t="s">
        <v>101</v>
      </c>
      <c r="B130" s="4" t="s">
        <v>661</v>
      </c>
      <c r="C130" s="240" t="s">
        <v>1169</v>
      </c>
      <c r="D130" s="241"/>
      <c r="E130" s="241"/>
      <c r="F130" s="4" t="s">
        <v>1644</v>
      </c>
      <c r="G130" s="69">
        <v>1</v>
      </c>
      <c r="H130" s="168"/>
      <c r="I130" s="17">
        <f t="shared" si="132"/>
        <v>0</v>
      </c>
      <c r="J130" s="17">
        <f t="shared" si="133"/>
        <v>0</v>
      </c>
      <c r="K130" s="17">
        <f t="shared" si="134"/>
        <v>0</v>
      </c>
      <c r="L130" s="28" t="s">
        <v>1671</v>
      </c>
      <c r="Z130" s="34">
        <f t="shared" si="135"/>
        <v>0</v>
      </c>
      <c r="AB130" s="34">
        <f t="shared" si="136"/>
        <v>0</v>
      </c>
      <c r="AC130" s="34">
        <f t="shared" si="137"/>
        <v>0</v>
      </c>
      <c r="AD130" s="34">
        <f t="shared" si="138"/>
        <v>0</v>
      </c>
      <c r="AE130" s="34">
        <f t="shared" si="139"/>
        <v>0</v>
      </c>
      <c r="AF130" s="34">
        <f t="shared" si="140"/>
        <v>0</v>
      </c>
      <c r="AG130" s="34">
        <f t="shared" si="141"/>
        <v>0</v>
      </c>
      <c r="AH130" s="34">
        <f t="shared" si="142"/>
        <v>0</v>
      </c>
      <c r="AI130" s="29"/>
      <c r="AJ130" s="17">
        <f t="shared" si="143"/>
        <v>0</v>
      </c>
      <c r="AK130" s="17">
        <f t="shared" si="144"/>
        <v>0</v>
      </c>
      <c r="AL130" s="17">
        <f t="shared" si="145"/>
        <v>0</v>
      </c>
      <c r="AN130" s="34">
        <v>15</v>
      </c>
      <c r="AO130" s="34">
        <f>H130*0.000102564102564103</f>
        <v>0</v>
      </c>
      <c r="AP130" s="34">
        <f>H130*(1-0.000102564102564103)</f>
        <v>0</v>
      </c>
      <c r="AQ130" s="28" t="s">
        <v>7</v>
      </c>
      <c r="AV130" s="34">
        <f t="shared" si="146"/>
        <v>0</v>
      </c>
      <c r="AW130" s="34">
        <f t="shared" si="147"/>
        <v>0</v>
      </c>
      <c r="AX130" s="34">
        <f t="shared" si="148"/>
        <v>0</v>
      </c>
      <c r="AY130" s="35" t="s">
        <v>1700</v>
      </c>
      <c r="AZ130" s="35" t="s">
        <v>1730</v>
      </c>
      <c r="BA130" s="29" t="s">
        <v>1737</v>
      </c>
      <c r="BC130" s="34">
        <f t="shared" si="149"/>
        <v>0</v>
      </c>
      <c r="BD130" s="34">
        <f t="shared" si="150"/>
        <v>0</v>
      </c>
      <c r="BE130" s="34">
        <v>0</v>
      </c>
      <c r="BF130" s="34">
        <f>130</f>
        <v>130</v>
      </c>
      <c r="BH130" s="17">
        <f t="shared" si="151"/>
        <v>0</v>
      </c>
      <c r="BI130" s="17">
        <f t="shared" si="152"/>
        <v>0</v>
      </c>
      <c r="BJ130" s="17">
        <f t="shared" si="153"/>
        <v>0</v>
      </c>
    </row>
    <row r="131" spans="1:62" x14ac:dyDescent="0.2">
      <c r="A131" s="4" t="s">
        <v>102</v>
      </c>
      <c r="B131" s="4" t="s">
        <v>662</v>
      </c>
      <c r="C131" s="240" t="s">
        <v>1170</v>
      </c>
      <c r="D131" s="241"/>
      <c r="E131" s="241"/>
      <c r="F131" s="4" t="s">
        <v>1644</v>
      </c>
      <c r="G131" s="69">
        <v>1</v>
      </c>
      <c r="H131" s="168"/>
      <c r="I131" s="17">
        <f t="shared" si="132"/>
        <v>0</v>
      </c>
      <c r="J131" s="17">
        <f t="shared" si="133"/>
        <v>0</v>
      </c>
      <c r="K131" s="17">
        <f t="shared" si="134"/>
        <v>0</v>
      </c>
      <c r="L131" s="28" t="s">
        <v>1671</v>
      </c>
      <c r="Z131" s="34">
        <f t="shared" si="135"/>
        <v>0</v>
      </c>
      <c r="AB131" s="34">
        <f t="shared" si="136"/>
        <v>0</v>
      </c>
      <c r="AC131" s="34">
        <f t="shared" si="137"/>
        <v>0</v>
      </c>
      <c r="AD131" s="34">
        <f t="shared" si="138"/>
        <v>0</v>
      </c>
      <c r="AE131" s="34">
        <f t="shared" si="139"/>
        <v>0</v>
      </c>
      <c r="AF131" s="34">
        <f t="shared" si="140"/>
        <v>0</v>
      </c>
      <c r="AG131" s="34">
        <f t="shared" si="141"/>
        <v>0</v>
      </c>
      <c r="AH131" s="34">
        <f t="shared" si="142"/>
        <v>0</v>
      </c>
      <c r="AI131" s="29"/>
      <c r="AJ131" s="17">
        <f t="shared" si="143"/>
        <v>0</v>
      </c>
      <c r="AK131" s="17">
        <f t="shared" si="144"/>
        <v>0</v>
      </c>
      <c r="AL131" s="17">
        <f t="shared" si="145"/>
        <v>0</v>
      </c>
      <c r="AN131" s="34">
        <v>15</v>
      </c>
      <c r="AO131" s="34">
        <f>H131*0.14559068800201</f>
        <v>0</v>
      </c>
      <c r="AP131" s="34">
        <f>H131*(1-0.14559068800201)</f>
        <v>0</v>
      </c>
      <c r="AQ131" s="28" t="s">
        <v>7</v>
      </c>
      <c r="AV131" s="34">
        <f t="shared" si="146"/>
        <v>0</v>
      </c>
      <c r="AW131" s="34">
        <f t="shared" si="147"/>
        <v>0</v>
      </c>
      <c r="AX131" s="34">
        <f t="shared" si="148"/>
        <v>0</v>
      </c>
      <c r="AY131" s="35" t="s">
        <v>1700</v>
      </c>
      <c r="AZ131" s="35" t="s">
        <v>1730</v>
      </c>
      <c r="BA131" s="29" t="s">
        <v>1737</v>
      </c>
      <c r="BC131" s="34">
        <f t="shared" si="149"/>
        <v>0</v>
      </c>
      <c r="BD131" s="34">
        <f t="shared" si="150"/>
        <v>0</v>
      </c>
      <c r="BE131" s="34">
        <v>0</v>
      </c>
      <c r="BF131" s="34">
        <f>131</f>
        <v>131</v>
      </c>
      <c r="BH131" s="17">
        <f t="shared" si="151"/>
        <v>0</v>
      </c>
      <c r="BI131" s="17">
        <f t="shared" si="152"/>
        <v>0</v>
      </c>
      <c r="BJ131" s="17">
        <f t="shared" si="153"/>
        <v>0</v>
      </c>
    </row>
    <row r="132" spans="1:62" x14ac:dyDescent="0.2">
      <c r="A132" s="4" t="s">
        <v>103</v>
      </c>
      <c r="B132" s="4" t="s">
        <v>663</v>
      </c>
      <c r="C132" s="240" t="s">
        <v>1171</v>
      </c>
      <c r="D132" s="241"/>
      <c r="E132" s="241"/>
      <c r="F132" s="4" t="s">
        <v>1644</v>
      </c>
      <c r="G132" s="69">
        <v>15</v>
      </c>
      <c r="H132" s="168"/>
      <c r="I132" s="17">
        <f t="shared" si="132"/>
        <v>0</v>
      </c>
      <c r="J132" s="17">
        <f t="shared" si="133"/>
        <v>0</v>
      </c>
      <c r="K132" s="17">
        <f t="shared" si="134"/>
        <v>0</v>
      </c>
      <c r="L132" s="28" t="s">
        <v>1671</v>
      </c>
      <c r="Z132" s="34">
        <f t="shared" si="135"/>
        <v>0</v>
      </c>
      <c r="AB132" s="34">
        <f t="shared" si="136"/>
        <v>0</v>
      </c>
      <c r="AC132" s="34">
        <f t="shared" si="137"/>
        <v>0</v>
      </c>
      <c r="AD132" s="34">
        <f t="shared" si="138"/>
        <v>0</v>
      </c>
      <c r="AE132" s="34">
        <f t="shared" si="139"/>
        <v>0</v>
      </c>
      <c r="AF132" s="34">
        <f t="shared" si="140"/>
        <v>0</v>
      </c>
      <c r="AG132" s="34">
        <f t="shared" si="141"/>
        <v>0</v>
      </c>
      <c r="AH132" s="34">
        <f t="shared" si="142"/>
        <v>0</v>
      </c>
      <c r="AI132" s="29"/>
      <c r="AJ132" s="17">
        <f t="shared" si="143"/>
        <v>0</v>
      </c>
      <c r="AK132" s="17">
        <f t="shared" si="144"/>
        <v>0</v>
      </c>
      <c r="AL132" s="17">
        <f t="shared" si="145"/>
        <v>0</v>
      </c>
      <c r="AN132" s="34">
        <v>15</v>
      </c>
      <c r="AO132" s="34">
        <f>H132*0.000181818181818182</f>
        <v>0</v>
      </c>
      <c r="AP132" s="34">
        <f>H132*(1-0.000181818181818182)</f>
        <v>0</v>
      </c>
      <c r="AQ132" s="28" t="s">
        <v>7</v>
      </c>
      <c r="AV132" s="34">
        <f t="shared" si="146"/>
        <v>0</v>
      </c>
      <c r="AW132" s="34">
        <f t="shared" si="147"/>
        <v>0</v>
      </c>
      <c r="AX132" s="34">
        <f t="shared" si="148"/>
        <v>0</v>
      </c>
      <c r="AY132" s="35" t="s">
        <v>1700</v>
      </c>
      <c r="AZ132" s="35" t="s">
        <v>1730</v>
      </c>
      <c r="BA132" s="29" t="s">
        <v>1737</v>
      </c>
      <c r="BC132" s="34">
        <f t="shared" si="149"/>
        <v>0</v>
      </c>
      <c r="BD132" s="34">
        <f t="shared" si="150"/>
        <v>0</v>
      </c>
      <c r="BE132" s="34">
        <v>0</v>
      </c>
      <c r="BF132" s="34">
        <f>132</f>
        <v>132</v>
      </c>
      <c r="BH132" s="17">
        <f t="shared" si="151"/>
        <v>0</v>
      </c>
      <c r="BI132" s="17">
        <f t="shared" si="152"/>
        <v>0</v>
      </c>
      <c r="BJ132" s="17">
        <f t="shared" si="153"/>
        <v>0</v>
      </c>
    </row>
    <row r="133" spans="1:62" x14ac:dyDescent="0.2">
      <c r="A133" s="4" t="s">
        <v>104</v>
      </c>
      <c r="B133" s="4" t="s">
        <v>664</v>
      </c>
      <c r="C133" s="240" t="s">
        <v>1172</v>
      </c>
      <c r="D133" s="241"/>
      <c r="E133" s="241"/>
      <c r="F133" s="4" t="s">
        <v>1645</v>
      </c>
      <c r="G133" s="69">
        <v>8.43</v>
      </c>
      <c r="H133" s="168"/>
      <c r="I133" s="17">
        <f t="shared" si="132"/>
        <v>0</v>
      </c>
      <c r="J133" s="17">
        <f t="shared" si="133"/>
        <v>0</v>
      </c>
      <c r="K133" s="17">
        <f t="shared" si="134"/>
        <v>0</v>
      </c>
      <c r="L133" s="28" t="s">
        <v>1671</v>
      </c>
      <c r="Z133" s="34">
        <f t="shared" si="135"/>
        <v>0</v>
      </c>
      <c r="AB133" s="34">
        <f t="shared" si="136"/>
        <v>0</v>
      </c>
      <c r="AC133" s="34">
        <f t="shared" si="137"/>
        <v>0</v>
      </c>
      <c r="AD133" s="34">
        <f t="shared" si="138"/>
        <v>0</v>
      </c>
      <c r="AE133" s="34">
        <f t="shared" si="139"/>
        <v>0</v>
      </c>
      <c r="AF133" s="34">
        <f t="shared" si="140"/>
        <v>0</v>
      </c>
      <c r="AG133" s="34">
        <f t="shared" si="141"/>
        <v>0</v>
      </c>
      <c r="AH133" s="34">
        <f t="shared" si="142"/>
        <v>0</v>
      </c>
      <c r="AI133" s="29"/>
      <c r="AJ133" s="17">
        <f t="shared" si="143"/>
        <v>0</v>
      </c>
      <c r="AK133" s="17">
        <f t="shared" si="144"/>
        <v>0</v>
      </c>
      <c r="AL133" s="17">
        <f t="shared" si="145"/>
        <v>0</v>
      </c>
      <c r="AN133" s="34">
        <v>15</v>
      </c>
      <c r="AO133" s="34">
        <f>H133*0.0431348183195556</f>
        <v>0</v>
      </c>
      <c r="AP133" s="34">
        <f>H133*(1-0.0431348183195556)</f>
        <v>0</v>
      </c>
      <c r="AQ133" s="28" t="s">
        <v>7</v>
      </c>
      <c r="AV133" s="34">
        <f t="shared" si="146"/>
        <v>0</v>
      </c>
      <c r="AW133" s="34">
        <f t="shared" si="147"/>
        <v>0</v>
      </c>
      <c r="AX133" s="34">
        <f t="shared" si="148"/>
        <v>0</v>
      </c>
      <c r="AY133" s="35" t="s">
        <v>1700</v>
      </c>
      <c r="AZ133" s="35" t="s">
        <v>1730</v>
      </c>
      <c r="BA133" s="29" t="s">
        <v>1737</v>
      </c>
      <c r="BC133" s="34">
        <f t="shared" si="149"/>
        <v>0</v>
      </c>
      <c r="BD133" s="34">
        <f t="shared" si="150"/>
        <v>0</v>
      </c>
      <c r="BE133" s="34">
        <v>0</v>
      </c>
      <c r="BF133" s="34">
        <f>133</f>
        <v>133</v>
      </c>
      <c r="BH133" s="17">
        <f t="shared" si="151"/>
        <v>0</v>
      </c>
      <c r="BI133" s="17">
        <f t="shared" si="152"/>
        <v>0</v>
      </c>
      <c r="BJ133" s="17">
        <f t="shared" si="153"/>
        <v>0</v>
      </c>
    </row>
    <row r="134" spans="1:62" x14ac:dyDescent="0.2">
      <c r="A134" s="4" t="s">
        <v>105</v>
      </c>
      <c r="B134" s="4" t="s">
        <v>665</v>
      </c>
      <c r="C134" s="240" t="s">
        <v>1173</v>
      </c>
      <c r="D134" s="241"/>
      <c r="E134" s="241"/>
      <c r="F134" s="4" t="s">
        <v>1645</v>
      </c>
      <c r="G134" s="69">
        <v>75.816999999999993</v>
      </c>
      <c r="H134" s="168"/>
      <c r="I134" s="17">
        <f t="shared" si="132"/>
        <v>0</v>
      </c>
      <c r="J134" s="17">
        <f t="shared" si="133"/>
        <v>0</v>
      </c>
      <c r="K134" s="17">
        <f t="shared" si="134"/>
        <v>0</v>
      </c>
      <c r="L134" s="28" t="s">
        <v>1671</v>
      </c>
      <c r="Z134" s="34">
        <f t="shared" si="135"/>
        <v>0</v>
      </c>
      <c r="AB134" s="34">
        <f t="shared" si="136"/>
        <v>0</v>
      </c>
      <c r="AC134" s="34">
        <f t="shared" si="137"/>
        <v>0</v>
      </c>
      <c r="AD134" s="34">
        <f t="shared" si="138"/>
        <v>0</v>
      </c>
      <c r="AE134" s="34">
        <f t="shared" si="139"/>
        <v>0</v>
      </c>
      <c r="AF134" s="34">
        <f t="shared" si="140"/>
        <v>0</v>
      </c>
      <c r="AG134" s="34">
        <f t="shared" si="141"/>
        <v>0</v>
      </c>
      <c r="AH134" s="34">
        <f t="shared" si="142"/>
        <v>0</v>
      </c>
      <c r="AI134" s="29"/>
      <c r="AJ134" s="17">
        <f t="shared" si="143"/>
        <v>0</v>
      </c>
      <c r="AK134" s="17">
        <f t="shared" si="144"/>
        <v>0</v>
      </c>
      <c r="AL134" s="17">
        <f t="shared" si="145"/>
        <v>0</v>
      </c>
      <c r="AN134" s="34">
        <v>15</v>
      </c>
      <c r="AO134" s="34">
        <f>H134*0.0147509593452877</f>
        <v>0</v>
      </c>
      <c r="AP134" s="34">
        <f>H134*(1-0.0147509593452877)</f>
        <v>0</v>
      </c>
      <c r="AQ134" s="28" t="s">
        <v>7</v>
      </c>
      <c r="AV134" s="34">
        <f t="shared" si="146"/>
        <v>0</v>
      </c>
      <c r="AW134" s="34">
        <f t="shared" si="147"/>
        <v>0</v>
      </c>
      <c r="AX134" s="34">
        <f t="shared" si="148"/>
        <v>0</v>
      </c>
      <c r="AY134" s="35" t="s">
        <v>1700</v>
      </c>
      <c r="AZ134" s="35" t="s">
        <v>1730</v>
      </c>
      <c r="BA134" s="29" t="s">
        <v>1737</v>
      </c>
      <c r="BC134" s="34">
        <f t="shared" si="149"/>
        <v>0</v>
      </c>
      <c r="BD134" s="34">
        <f t="shared" si="150"/>
        <v>0</v>
      </c>
      <c r="BE134" s="34">
        <v>0</v>
      </c>
      <c r="BF134" s="34">
        <f>134</f>
        <v>134</v>
      </c>
      <c r="BH134" s="17">
        <f t="shared" si="151"/>
        <v>0</v>
      </c>
      <c r="BI134" s="17">
        <f t="shared" si="152"/>
        <v>0</v>
      </c>
      <c r="BJ134" s="17">
        <f t="shared" si="153"/>
        <v>0</v>
      </c>
    </row>
    <row r="135" spans="1:62" x14ac:dyDescent="0.2">
      <c r="A135" s="4" t="s">
        <v>106</v>
      </c>
      <c r="B135" s="4" t="s">
        <v>666</v>
      </c>
      <c r="C135" s="240" t="s">
        <v>1174</v>
      </c>
      <c r="D135" s="241"/>
      <c r="E135" s="241"/>
      <c r="F135" s="4" t="s">
        <v>1645</v>
      </c>
      <c r="G135" s="69">
        <v>32.493000000000002</v>
      </c>
      <c r="H135" s="168"/>
      <c r="I135" s="17">
        <f t="shared" si="132"/>
        <v>0</v>
      </c>
      <c r="J135" s="17">
        <f t="shared" si="133"/>
        <v>0</v>
      </c>
      <c r="K135" s="17">
        <f t="shared" si="134"/>
        <v>0</v>
      </c>
      <c r="L135" s="28" t="s">
        <v>1671</v>
      </c>
      <c r="Z135" s="34">
        <f t="shared" si="135"/>
        <v>0</v>
      </c>
      <c r="AB135" s="34">
        <f t="shared" si="136"/>
        <v>0</v>
      </c>
      <c r="AC135" s="34">
        <f t="shared" si="137"/>
        <v>0</v>
      </c>
      <c r="AD135" s="34">
        <f t="shared" si="138"/>
        <v>0</v>
      </c>
      <c r="AE135" s="34">
        <f t="shared" si="139"/>
        <v>0</v>
      </c>
      <c r="AF135" s="34">
        <f t="shared" si="140"/>
        <v>0</v>
      </c>
      <c r="AG135" s="34">
        <f t="shared" si="141"/>
        <v>0</v>
      </c>
      <c r="AH135" s="34">
        <f t="shared" si="142"/>
        <v>0</v>
      </c>
      <c r="AI135" s="29"/>
      <c r="AJ135" s="17">
        <f t="shared" si="143"/>
        <v>0</v>
      </c>
      <c r="AK135" s="17">
        <f t="shared" si="144"/>
        <v>0</v>
      </c>
      <c r="AL135" s="17">
        <f t="shared" si="145"/>
        <v>0</v>
      </c>
      <c r="AN135" s="34">
        <v>15</v>
      </c>
      <c r="AO135" s="34">
        <f>H135*0.0103628859403573</f>
        <v>0</v>
      </c>
      <c r="AP135" s="34">
        <f>H135*(1-0.0103628859403573)</f>
        <v>0</v>
      </c>
      <c r="AQ135" s="28" t="s">
        <v>7</v>
      </c>
      <c r="AV135" s="34">
        <f t="shared" si="146"/>
        <v>0</v>
      </c>
      <c r="AW135" s="34">
        <f t="shared" si="147"/>
        <v>0</v>
      </c>
      <c r="AX135" s="34">
        <f t="shared" si="148"/>
        <v>0</v>
      </c>
      <c r="AY135" s="35" t="s">
        <v>1700</v>
      </c>
      <c r="AZ135" s="35" t="s">
        <v>1730</v>
      </c>
      <c r="BA135" s="29" t="s">
        <v>1737</v>
      </c>
      <c r="BC135" s="34">
        <f t="shared" si="149"/>
        <v>0</v>
      </c>
      <c r="BD135" s="34">
        <f t="shared" si="150"/>
        <v>0</v>
      </c>
      <c r="BE135" s="34">
        <v>0</v>
      </c>
      <c r="BF135" s="34">
        <f>135</f>
        <v>135</v>
      </c>
      <c r="BH135" s="17">
        <f t="shared" si="151"/>
        <v>0</v>
      </c>
      <c r="BI135" s="17">
        <f t="shared" si="152"/>
        <v>0</v>
      </c>
      <c r="BJ135" s="17">
        <f t="shared" si="153"/>
        <v>0</v>
      </c>
    </row>
    <row r="136" spans="1:62" x14ac:dyDescent="0.2">
      <c r="A136" s="4" t="s">
        <v>107</v>
      </c>
      <c r="B136" s="4" t="s">
        <v>667</v>
      </c>
      <c r="C136" s="240" t="s">
        <v>1175</v>
      </c>
      <c r="D136" s="241"/>
      <c r="E136" s="241"/>
      <c r="F136" s="4" t="s">
        <v>1644</v>
      </c>
      <c r="G136" s="69">
        <v>1</v>
      </c>
      <c r="H136" s="168"/>
      <c r="I136" s="17">
        <f t="shared" si="132"/>
        <v>0</v>
      </c>
      <c r="J136" s="17">
        <f t="shared" si="133"/>
        <v>0</v>
      </c>
      <c r="K136" s="17">
        <f t="shared" si="134"/>
        <v>0</v>
      </c>
      <c r="L136" s="28" t="s">
        <v>1671</v>
      </c>
      <c r="Z136" s="34">
        <f t="shared" si="135"/>
        <v>0</v>
      </c>
      <c r="AB136" s="34">
        <f t="shared" si="136"/>
        <v>0</v>
      </c>
      <c r="AC136" s="34">
        <f t="shared" si="137"/>
        <v>0</v>
      </c>
      <c r="AD136" s="34">
        <f t="shared" si="138"/>
        <v>0</v>
      </c>
      <c r="AE136" s="34">
        <f t="shared" si="139"/>
        <v>0</v>
      </c>
      <c r="AF136" s="34">
        <f t="shared" si="140"/>
        <v>0</v>
      </c>
      <c r="AG136" s="34">
        <f t="shared" si="141"/>
        <v>0</v>
      </c>
      <c r="AH136" s="34">
        <f t="shared" si="142"/>
        <v>0</v>
      </c>
      <c r="AI136" s="29"/>
      <c r="AJ136" s="17">
        <f t="shared" si="143"/>
        <v>0</v>
      </c>
      <c r="AK136" s="17">
        <f t="shared" si="144"/>
        <v>0</v>
      </c>
      <c r="AL136" s="17">
        <f t="shared" si="145"/>
        <v>0</v>
      </c>
      <c r="AN136" s="34">
        <v>15</v>
      </c>
      <c r="AO136" s="34">
        <f>H136*0</f>
        <v>0</v>
      </c>
      <c r="AP136" s="34">
        <f>H136*(1-0)</f>
        <v>0</v>
      </c>
      <c r="AQ136" s="28" t="s">
        <v>7</v>
      </c>
      <c r="AV136" s="34">
        <f t="shared" si="146"/>
        <v>0</v>
      </c>
      <c r="AW136" s="34">
        <f t="shared" si="147"/>
        <v>0</v>
      </c>
      <c r="AX136" s="34">
        <f t="shared" si="148"/>
        <v>0</v>
      </c>
      <c r="AY136" s="35" t="s">
        <v>1700</v>
      </c>
      <c r="AZ136" s="35" t="s">
        <v>1730</v>
      </c>
      <c r="BA136" s="29" t="s">
        <v>1737</v>
      </c>
      <c r="BC136" s="34">
        <f t="shared" si="149"/>
        <v>0</v>
      </c>
      <c r="BD136" s="34">
        <f t="shared" si="150"/>
        <v>0</v>
      </c>
      <c r="BE136" s="34">
        <v>0</v>
      </c>
      <c r="BF136" s="34">
        <f>136</f>
        <v>136</v>
      </c>
      <c r="BH136" s="17">
        <f t="shared" si="151"/>
        <v>0</v>
      </c>
      <c r="BI136" s="17">
        <f t="shared" si="152"/>
        <v>0</v>
      </c>
      <c r="BJ136" s="17">
        <f t="shared" si="153"/>
        <v>0</v>
      </c>
    </row>
    <row r="137" spans="1:62" x14ac:dyDescent="0.2">
      <c r="A137" s="4" t="s">
        <v>108</v>
      </c>
      <c r="B137" s="4" t="s">
        <v>668</v>
      </c>
      <c r="C137" s="240" t="s">
        <v>1176</v>
      </c>
      <c r="D137" s="241"/>
      <c r="E137" s="241"/>
      <c r="F137" s="4" t="s">
        <v>1645</v>
      </c>
      <c r="G137" s="69">
        <v>1.56</v>
      </c>
      <c r="H137" s="168"/>
      <c r="I137" s="17">
        <f t="shared" si="132"/>
        <v>0</v>
      </c>
      <c r="J137" s="17">
        <f t="shared" si="133"/>
        <v>0</v>
      </c>
      <c r="K137" s="17">
        <f t="shared" si="134"/>
        <v>0</v>
      </c>
      <c r="L137" s="28" t="s">
        <v>1671</v>
      </c>
      <c r="Z137" s="34">
        <f t="shared" si="135"/>
        <v>0</v>
      </c>
      <c r="AB137" s="34">
        <f t="shared" si="136"/>
        <v>0</v>
      </c>
      <c r="AC137" s="34">
        <f t="shared" si="137"/>
        <v>0</v>
      </c>
      <c r="AD137" s="34">
        <f t="shared" si="138"/>
        <v>0</v>
      </c>
      <c r="AE137" s="34">
        <f t="shared" si="139"/>
        <v>0</v>
      </c>
      <c r="AF137" s="34">
        <f t="shared" si="140"/>
        <v>0</v>
      </c>
      <c r="AG137" s="34">
        <f t="shared" si="141"/>
        <v>0</v>
      </c>
      <c r="AH137" s="34">
        <f t="shared" si="142"/>
        <v>0</v>
      </c>
      <c r="AI137" s="29"/>
      <c r="AJ137" s="17">
        <f t="shared" si="143"/>
        <v>0</v>
      </c>
      <c r="AK137" s="17">
        <f t="shared" si="144"/>
        <v>0</v>
      </c>
      <c r="AL137" s="17">
        <f t="shared" si="145"/>
        <v>0</v>
      </c>
      <c r="AN137" s="34">
        <v>15</v>
      </c>
      <c r="AO137" s="34">
        <f>H137*0</f>
        <v>0</v>
      </c>
      <c r="AP137" s="34">
        <f>H137*(1-0)</f>
        <v>0</v>
      </c>
      <c r="AQ137" s="28" t="s">
        <v>7</v>
      </c>
      <c r="AV137" s="34">
        <f t="shared" si="146"/>
        <v>0</v>
      </c>
      <c r="AW137" s="34">
        <f t="shared" si="147"/>
        <v>0</v>
      </c>
      <c r="AX137" s="34">
        <f t="shared" si="148"/>
        <v>0</v>
      </c>
      <c r="AY137" s="35" t="s">
        <v>1700</v>
      </c>
      <c r="AZ137" s="35" t="s">
        <v>1730</v>
      </c>
      <c r="BA137" s="29" t="s">
        <v>1737</v>
      </c>
      <c r="BC137" s="34">
        <f t="shared" si="149"/>
        <v>0</v>
      </c>
      <c r="BD137" s="34">
        <f t="shared" si="150"/>
        <v>0</v>
      </c>
      <c r="BE137" s="34">
        <v>0</v>
      </c>
      <c r="BF137" s="34">
        <f>137</f>
        <v>137</v>
      </c>
      <c r="BH137" s="17">
        <f t="shared" si="151"/>
        <v>0</v>
      </c>
      <c r="BI137" s="17">
        <f t="shared" si="152"/>
        <v>0</v>
      </c>
      <c r="BJ137" s="17">
        <f t="shared" si="153"/>
        <v>0</v>
      </c>
    </row>
    <row r="138" spans="1:62" x14ac:dyDescent="0.2">
      <c r="A138" s="4" t="s">
        <v>109</v>
      </c>
      <c r="B138" s="4" t="s">
        <v>669</v>
      </c>
      <c r="C138" s="240" t="s">
        <v>1177</v>
      </c>
      <c r="D138" s="241"/>
      <c r="E138" s="241"/>
      <c r="F138" s="4" t="s">
        <v>1645</v>
      </c>
      <c r="G138" s="69">
        <v>4.5</v>
      </c>
      <c r="H138" s="168"/>
      <c r="I138" s="17">
        <f t="shared" si="132"/>
        <v>0</v>
      </c>
      <c r="J138" s="17">
        <f t="shared" si="133"/>
        <v>0</v>
      </c>
      <c r="K138" s="17">
        <f t="shared" si="134"/>
        <v>0</v>
      </c>
      <c r="L138" s="28" t="s">
        <v>1671</v>
      </c>
      <c r="Z138" s="34">
        <f t="shared" si="135"/>
        <v>0</v>
      </c>
      <c r="AB138" s="34">
        <f t="shared" si="136"/>
        <v>0</v>
      </c>
      <c r="AC138" s="34">
        <f t="shared" si="137"/>
        <v>0</v>
      </c>
      <c r="AD138" s="34">
        <f t="shared" si="138"/>
        <v>0</v>
      </c>
      <c r="AE138" s="34">
        <f t="shared" si="139"/>
        <v>0</v>
      </c>
      <c r="AF138" s="34">
        <f t="shared" si="140"/>
        <v>0</v>
      </c>
      <c r="AG138" s="34">
        <f t="shared" si="141"/>
        <v>0</v>
      </c>
      <c r="AH138" s="34">
        <f t="shared" si="142"/>
        <v>0</v>
      </c>
      <c r="AI138" s="29"/>
      <c r="AJ138" s="17">
        <f t="shared" si="143"/>
        <v>0</v>
      </c>
      <c r="AK138" s="17">
        <f t="shared" si="144"/>
        <v>0</v>
      </c>
      <c r="AL138" s="17">
        <f t="shared" si="145"/>
        <v>0</v>
      </c>
      <c r="AN138" s="34">
        <v>15</v>
      </c>
      <c r="AO138" s="34">
        <f>H138*0</f>
        <v>0</v>
      </c>
      <c r="AP138" s="34">
        <f>H138*(1-0)</f>
        <v>0</v>
      </c>
      <c r="AQ138" s="28" t="s">
        <v>7</v>
      </c>
      <c r="AV138" s="34">
        <f t="shared" si="146"/>
        <v>0</v>
      </c>
      <c r="AW138" s="34">
        <f t="shared" si="147"/>
        <v>0</v>
      </c>
      <c r="AX138" s="34">
        <f t="shared" si="148"/>
        <v>0</v>
      </c>
      <c r="AY138" s="35" t="s">
        <v>1700</v>
      </c>
      <c r="AZ138" s="35" t="s">
        <v>1730</v>
      </c>
      <c r="BA138" s="29" t="s">
        <v>1737</v>
      </c>
      <c r="BC138" s="34">
        <f t="shared" si="149"/>
        <v>0</v>
      </c>
      <c r="BD138" s="34">
        <f t="shared" si="150"/>
        <v>0</v>
      </c>
      <c r="BE138" s="34">
        <v>0</v>
      </c>
      <c r="BF138" s="34">
        <f>138</f>
        <v>138</v>
      </c>
      <c r="BH138" s="17">
        <f t="shared" si="151"/>
        <v>0</v>
      </c>
      <c r="BI138" s="17">
        <f t="shared" si="152"/>
        <v>0</v>
      </c>
      <c r="BJ138" s="17">
        <f t="shared" si="153"/>
        <v>0</v>
      </c>
    </row>
    <row r="139" spans="1:62" x14ac:dyDescent="0.2">
      <c r="A139" s="5"/>
      <c r="B139" s="13" t="s">
        <v>103</v>
      </c>
      <c r="C139" s="244" t="s">
        <v>1178</v>
      </c>
      <c r="D139" s="245"/>
      <c r="E139" s="245"/>
      <c r="F139" s="5" t="s">
        <v>6</v>
      </c>
      <c r="G139" s="5" t="s">
        <v>6</v>
      </c>
      <c r="H139" s="5" t="s">
        <v>6</v>
      </c>
      <c r="I139" s="37">
        <f>SUM(I140:I156)</f>
        <v>0</v>
      </c>
      <c r="J139" s="37">
        <f>SUM(J140:J156)</f>
        <v>0</v>
      </c>
      <c r="K139" s="37">
        <f>SUM(K140:K156)</f>
        <v>0</v>
      </c>
      <c r="L139" s="29"/>
      <c r="AI139" s="29"/>
      <c r="AS139" s="37">
        <f>SUM(AJ140:AJ156)</f>
        <v>0</v>
      </c>
      <c r="AT139" s="37">
        <f>SUM(AK140:AK156)</f>
        <v>0</v>
      </c>
      <c r="AU139" s="37">
        <f>SUM(AL140:AL156)</f>
        <v>0</v>
      </c>
    </row>
    <row r="140" spans="1:62" x14ac:dyDescent="0.2">
      <c r="A140" s="4" t="s">
        <v>110</v>
      </c>
      <c r="B140" s="4" t="s">
        <v>670</v>
      </c>
      <c r="C140" s="240" t="s">
        <v>1179</v>
      </c>
      <c r="D140" s="241"/>
      <c r="E140" s="241"/>
      <c r="F140" s="4" t="s">
        <v>1646</v>
      </c>
      <c r="G140" s="69">
        <v>1.75</v>
      </c>
      <c r="H140" s="168"/>
      <c r="I140" s="17">
        <f t="shared" ref="I140:I156" si="154">G140*AO140</f>
        <v>0</v>
      </c>
      <c r="J140" s="17">
        <f t="shared" ref="J140:J156" si="155">G140*AP140</f>
        <v>0</v>
      </c>
      <c r="K140" s="17">
        <f t="shared" ref="K140:K156" si="156">G140*H140</f>
        <v>0</v>
      </c>
      <c r="L140" s="28" t="s">
        <v>1671</v>
      </c>
      <c r="Z140" s="34">
        <f t="shared" ref="Z140:Z156" si="157">IF(AQ140="5",BJ140,0)</f>
        <v>0</v>
      </c>
      <c r="AB140" s="34">
        <f t="shared" ref="AB140:AB156" si="158">IF(AQ140="1",BH140,0)</f>
        <v>0</v>
      </c>
      <c r="AC140" s="34">
        <f t="shared" ref="AC140:AC156" si="159">IF(AQ140="1",BI140,0)</f>
        <v>0</v>
      </c>
      <c r="AD140" s="34">
        <f t="shared" ref="AD140:AD156" si="160">IF(AQ140="7",BH140,0)</f>
        <v>0</v>
      </c>
      <c r="AE140" s="34">
        <f t="shared" ref="AE140:AE156" si="161">IF(AQ140="7",BI140,0)</f>
        <v>0</v>
      </c>
      <c r="AF140" s="34">
        <f t="shared" ref="AF140:AF156" si="162">IF(AQ140="2",BH140,0)</f>
        <v>0</v>
      </c>
      <c r="AG140" s="34">
        <f t="shared" ref="AG140:AG156" si="163">IF(AQ140="2",BI140,0)</f>
        <v>0</v>
      </c>
      <c r="AH140" s="34">
        <f t="shared" ref="AH140:AH156" si="164">IF(AQ140="0",BJ140,0)</f>
        <v>0</v>
      </c>
      <c r="AI140" s="29"/>
      <c r="AJ140" s="17">
        <f t="shared" ref="AJ140:AJ156" si="165">IF(AN140=0,K140,0)</f>
        <v>0</v>
      </c>
      <c r="AK140" s="17">
        <f t="shared" ref="AK140:AK156" si="166">IF(AN140=15,K140,0)</f>
        <v>0</v>
      </c>
      <c r="AL140" s="17">
        <f t="shared" ref="AL140:AL156" si="167">IF(AN140=21,K140,0)</f>
        <v>0</v>
      </c>
      <c r="AN140" s="34">
        <v>15</v>
      </c>
      <c r="AO140" s="34">
        <f>H140*0.317346200241255</f>
        <v>0</v>
      </c>
      <c r="AP140" s="34">
        <f>H140*(1-0.317346200241255)</f>
        <v>0</v>
      </c>
      <c r="AQ140" s="28" t="s">
        <v>7</v>
      </c>
      <c r="AV140" s="34">
        <f t="shared" ref="AV140:AV156" si="168">AW140+AX140</f>
        <v>0</v>
      </c>
      <c r="AW140" s="34">
        <f t="shared" ref="AW140:AW156" si="169">G140*AO140</f>
        <v>0</v>
      </c>
      <c r="AX140" s="34">
        <f t="shared" ref="AX140:AX156" si="170">G140*AP140</f>
        <v>0</v>
      </c>
      <c r="AY140" s="35" t="s">
        <v>1701</v>
      </c>
      <c r="AZ140" s="35" t="s">
        <v>1730</v>
      </c>
      <c r="BA140" s="29" t="s">
        <v>1737</v>
      </c>
      <c r="BC140" s="34">
        <f t="shared" ref="BC140:BC156" si="171">AW140+AX140</f>
        <v>0</v>
      </c>
      <c r="BD140" s="34">
        <f t="shared" ref="BD140:BD156" si="172">H140/(100-BE140)*100</f>
        <v>0</v>
      </c>
      <c r="BE140" s="34">
        <v>0</v>
      </c>
      <c r="BF140" s="34">
        <f>140</f>
        <v>140</v>
      </c>
      <c r="BH140" s="17">
        <f t="shared" ref="BH140:BH156" si="173">G140*AO140</f>
        <v>0</v>
      </c>
      <c r="BI140" s="17">
        <f t="shared" ref="BI140:BI156" si="174">G140*AP140</f>
        <v>0</v>
      </c>
      <c r="BJ140" s="17">
        <f t="shared" ref="BJ140:BJ156" si="175">G140*H140</f>
        <v>0</v>
      </c>
    </row>
    <row r="141" spans="1:62" x14ac:dyDescent="0.2">
      <c r="A141" s="4" t="s">
        <v>111</v>
      </c>
      <c r="B141" s="4" t="s">
        <v>671</v>
      </c>
      <c r="C141" s="240" t="s">
        <v>1180</v>
      </c>
      <c r="D141" s="241"/>
      <c r="E141" s="241"/>
      <c r="F141" s="4" t="s">
        <v>1646</v>
      </c>
      <c r="G141" s="69">
        <v>1.3</v>
      </c>
      <c r="H141" s="168"/>
      <c r="I141" s="17">
        <f t="shared" si="154"/>
        <v>0</v>
      </c>
      <c r="J141" s="17">
        <f t="shared" si="155"/>
        <v>0</v>
      </c>
      <c r="K141" s="17">
        <f t="shared" si="156"/>
        <v>0</v>
      </c>
      <c r="L141" s="28" t="s">
        <v>1671</v>
      </c>
      <c r="Z141" s="34">
        <f t="shared" si="157"/>
        <v>0</v>
      </c>
      <c r="AB141" s="34">
        <f t="shared" si="158"/>
        <v>0</v>
      </c>
      <c r="AC141" s="34">
        <f t="shared" si="159"/>
        <v>0</v>
      </c>
      <c r="AD141" s="34">
        <f t="shared" si="160"/>
        <v>0</v>
      </c>
      <c r="AE141" s="34">
        <f t="shared" si="161"/>
        <v>0</v>
      </c>
      <c r="AF141" s="34">
        <f t="shared" si="162"/>
        <v>0</v>
      </c>
      <c r="AG141" s="34">
        <f t="shared" si="163"/>
        <v>0</v>
      </c>
      <c r="AH141" s="34">
        <f t="shared" si="164"/>
        <v>0</v>
      </c>
      <c r="AI141" s="29"/>
      <c r="AJ141" s="17">
        <f t="shared" si="165"/>
        <v>0</v>
      </c>
      <c r="AK141" s="17">
        <f t="shared" si="166"/>
        <v>0</v>
      </c>
      <c r="AL141" s="17">
        <f t="shared" si="167"/>
        <v>0</v>
      </c>
      <c r="AN141" s="34">
        <v>15</v>
      </c>
      <c r="AO141" s="34">
        <f>H141*0.0581320754716981</f>
        <v>0</v>
      </c>
      <c r="AP141" s="34">
        <f>H141*(1-0.0581320754716981)</f>
        <v>0</v>
      </c>
      <c r="AQ141" s="28" t="s">
        <v>7</v>
      </c>
      <c r="AV141" s="34">
        <f t="shared" si="168"/>
        <v>0</v>
      </c>
      <c r="AW141" s="34">
        <f t="shared" si="169"/>
        <v>0</v>
      </c>
      <c r="AX141" s="34">
        <f t="shared" si="170"/>
        <v>0</v>
      </c>
      <c r="AY141" s="35" t="s">
        <v>1701</v>
      </c>
      <c r="AZ141" s="35" t="s">
        <v>1730</v>
      </c>
      <c r="BA141" s="29" t="s">
        <v>1737</v>
      </c>
      <c r="BC141" s="34">
        <f t="shared" si="171"/>
        <v>0</v>
      </c>
      <c r="BD141" s="34">
        <f t="shared" si="172"/>
        <v>0</v>
      </c>
      <c r="BE141" s="34">
        <v>0</v>
      </c>
      <c r="BF141" s="34">
        <f>141</f>
        <v>141</v>
      </c>
      <c r="BH141" s="17">
        <f t="shared" si="173"/>
        <v>0</v>
      </c>
      <c r="BI141" s="17">
        <f t="shared" si="174"/>
        <v>0</v>
      </c>
      <c r="BJ141" s="17">
        <f t="shared" si="175"/>
        <v>0</v>
      </c>
    </row>
    <row r="142" spans="1:62" x14ac:dyDescent="0.2">
      <c r="A142" s="4" t="s">
        <v>112</v>
      </c>
      <c r="B142" s="4" t="s">
        <v>672</v>
      </c>
      <c r="C142" s="240" t="s">
        <v>1181</v>
      </c>
      <c r="D142" s="241"/>
      <c r="E142" s="241"/>
      <c r="F142" s="4" t="s">
        <v>1646</v>
      </c>
      <c r="G142" s="69">
        <v>1.75</v>
      </c>
      <c r="H142" s="168"/>
      <c r="I142" s="17">
        <f t="shared" si="154"/>
        <v>0</v>
      </c>
      <c r="J142" s="17">
        <f t="shared" si="155"/>
        <v>0</v>
      </c>
      <c r="K142" s="17">
        <f t="shared" si="156"/>
        <v>0</v>
      </c>
      <c r="L142" s="28" t="s">
        <v>1671</v>
      </c>
      <c r="Z142" s="34">
        <f t="shared" si="157"/>
        <v>0</v>
      </c>
      <c r="AB142" s="34">
        <f t="shared" si="158"/>
        <v>0</v>
      </c>
      <c r="AC142" s="34">
        <f t="shared" si="159"/>
        <v>0</v>
      </c>
      <c r="AD142" s="34">
        <f t="shared" si="160"/>
        <v>0</v>
      </c>
      <c r="AE142" s="34">
        <f t="shared" si="161"/>
        <v>0</v>
      </c>
      <c r="AF142" s="34">
        <f t="shared" si="162"/>
        <v>0</v>
      </c>
      <c r="AG142" s="34">
        <f t="shared" si="163"/>
        <v>0</v>
      </c>
      <c r="AH142" s="34">
        <f t="shared" si="164"/>
        <v>0</v>
      </c>
      <c r="AI142" s="29"/>
      <c r="AJ142" s="17">
        <f t="shared" si="165"/>
        <v>0</v>
      </c>
      <c r="AK142" s="17">
        <f t="shared" si="166"/>
        <v>0</v>
      </c>
      <c r="AL142" s="17">
        <f t="shared" si="167"/>
        <v>0</v>
      </c>
      <c r="AN142" s="34">
        <v>15</v>
      </c>
      <c r="AO142" s="34">
        <f>H142*0.266914934526098</f>
        <v>0</v>
      </c>
      <c r="AP142" s="34">
        <f>H142*(1-0.266914934526098)</f>
        <v>0</v>
      </c>
      <c r="AQ142" s="28" t="s">
        <v>7</v>
      </c>
      <c r="AV142" s="34">
        <f t="shared" si="168"/>
        <v>0</v>
      </c>
      <c r="AW142" s="34">
        <f t="shared" si="169"/>
        <v>0</v>
      </c>
      <c r="AX142" s="34">
        <f t="shared" si="170"/>
        <v>0</v>
      </c>
      <c r="AY142" s="35" t="s">
        <v>1701</v>
      </c>
      <c r="AZ142" s="35" t="s">
        <v>1730</v>
      </c>
      <c r="BA142" s="29" t="s">
        <v>1737</v>
      </c>
      <c r="BC142" s="34">
        <f t="shared" si="171"/>
        <v>0</v>
      </c>
      <c r="BD142" s="34">
        <f t="shared" si="172"/>
        <v>0</v>
      </c>
      <c r="BE142" s="34">
        <v>0</v>
      </c>
      <c r="BF142" s="34">
        <f>142</f>
        <v>142</v>
      </c>
      <c r="BH142" s="17">
        <f t="shared" si="173"/>
        <v>0</v>
      </c>
      <c r="BI142" s="17">
        <f t="shared" si="174"/>
        <v>0</v>
      </c>
      <c r="BJ142" s="17">
        <f t="shared" si="175"/>
        <v>0</v>
      </c>
    </row>
    <row r="143" spans="1:62" x14ac:dyDescent="0.2">
      <c r="A143" s="4" t="s">
        <v>113</v>
      </c>
      <c r="B143" s="4" t="s">
        <v>673</v>
      </c>
      <c r="C143" s="240" t="s">
        <v>1182</v>
      </c>
      <c r="D143" s="241"/>
      <c r="E143" s="241"/>
      <c r="F143" s="4" t="s">
        <v>1644</v>
      </c>
      <c r="G143" s="69">
        <v>8</v>
      </c>
      <c r="H143" s="168"/>
      <c r="I143" s="17">
        <f t="shared" si="154"/>
        <v>0</v>
      </c>
      <c r="J143" s="17">
        <f t="shared" si="155"/>
        <v>0</v>
      </c>
      <c r="K143" s="17">
        <f t="shared" si="156"/>
        <v>0</v>
      </c>
      <c r="L143" s="28" t="s">
        <v>1671</v>
      </c>
      <c r="Z143" s="34">
        <f t="shared" si="157"/>
        <v>0</v>
      </c>
      <c r="AB143" s="34">
        <f t="shared" si="158"/>
        <v>0</v>
      </c>
      <c r="AC143" s="34">
        <f t="shared" si="159"/>
        <v>0</v>
      </c>
      <c r="AD143" s="34">
        <f t="shared" si="160"/>
        <v>0</v>
      </c>
      <c r="AE143" s="34">
        <f t="shared" si="161"/>
        <v>0</v>
      </c>
      <c r="AF143" s="34">
        <f t="shared" si="162"/>
        <v>0</v>
      </c>
      <c r="AG143" s="34">
        <f t="shared" si="163"/>
        <v>0</v>
      </c>
      <c r="AH143" s="34">
        <f t="shared" si="164"/>
        <v>0</v>
      </c>
      <c r="AI143" s="29"/>
      <c r="AJ143" s="17">
        <f t="shared" si="165"/>
        <v>0</v>
      </c>
      <c r="AK143" s="17">
        <f t="shared" si="166"/>
        <v>0</v>
      </c>
      <c r="AL143" s="17">
        <f t="shared" si="167"/>
        <v>0</v>
      </c>
      <c r="AN143" s="34">
        <v>15</v>
      </c>
      <c r="AO143" s="34">
        <f>H143*0.0466942148760331</f>
        <v>0</v>
      </c>
      <c r="AP143" s="34">
        <f>H143*(1-0.0466942148760331)</f>
        <v>0</v>
      </c>
      <c r="AQ143" s="28" t="s">
        <v>7</v>
      </c>
      <c r="AV143" s="34">
        <f t="shared" si="168"/>
        <v>0</v>
      </c>
      <c r="AW143" s="34">
        <f t="shared" si="169"/>
        <v>0</v>
      </c>
      <c r="AX143" s="34">
        <f t="shared" si="170"/>
        <v>0</v>
      </c>
      <c r="AY143" s="35" t="s">
        <v>1701</v>
      </c>
      <c r="AZ143" s="35" t="s">
        <v>1730</v>
      </c>
      <c r="BA143" s="29" t="s">
        <v>1737</v>
      </c>
      <c r="BC143" s="34">
        <f t="shared" si="171"/>
        <v>0</v>
      </c>
      <c r="BD143" s="34">
        <f t="shared" si="172"/>
        <v>0</v>
      </c>
      <c r="BE143" s="34">
        <v>0</v>
      </c>
      <c r="BF143" s="34">
        <f>143</f>
        <v>143</v>
      </c>
      <c r="BH143" s="17">
        <f t="shared" si="173"/>
        <v>0</v>
      </c>
      <c r="BI143" s="17">
        <f t="shared" si="174"/>
        <v>0</v>
      </c>
      <c r="BJ143" s="17">
        <f t="shared" si="175"/>
        <v>0</v>
      </c>
    </row>
    <row r="144" spans="1:62" x14ac:dyDescent="0.2">
      <c r="A144" s="4" t="s">
        <v>114</v>
      </c>
      <c r="B144" s="4" t="s">
        <v>674</v>
      </c>
      <c r="C144" s="240" t="s">
        <v>1183</v>
      </c>
      <c r="D144" s="241"/>
      <c r="E144" s="241"/>
      <c r="F144" s="4" t="s">
        <v>1646</v>
      </c>
      <c r="G144" s="69">
        <v>2.25</v>
      </c>
      <c r="H144" s="168"/>
      <c r="I144" s="17">
        <f t="shared" si="154"/>
        <v>0</v>
      </c>
      <c r="J144" s="17">
        <f t="shared" si="155"/>
        <v>0</v>
      </c>
      <c r="K144" s="17">
        <f t="shared" si="156"/>
        <v>0</v>
      </c>
      <c r="L144" s="28" t="s">
        <v>1671</v>
      </c>
      <c r="Z144" s="34">
        <f t="shared" si="157"/>
        <v>0</v>
      </c>
      <c r="AB144" s="34">
        <f t="shared" si="158"/>
        <v>0</v>
      </c>
      <c r="AC144" s="34">
        <f t="shared" si="159"/>
        <v>0</v>
      </c>
      <c r="AD144" s="34">
        <f t="shared" si="160"/>
        <v>0</v>
      </c>
      <c r="AE144" s="34">
        <f t="shared" si="161"/>
        <v>0</v>
      </c>
      <c r="AF144" s="34">
        <f t="shared" si="162"/>
        <v>0</v>
      </c>
      <c r="AG144" s="34">
        <f t="shared" si="163"/>
        <v>0</v>
      </c>
      <c r="AH144" s="34">
        <f t="shared" si="164"/>
        <v>0</v>
      </c>
      <c r="AI144" s="29"/>
      <c r="AJ144" s="17">
        <f t="shared" si="165"/>
        <v>0</v>
      </c>
      <c r="AK144" s="17">
        <f t="shared" si="166"/>
        <v>0</v>
      </c>
      <c r="AL144" s="17">
        <f t="shared" si="167"/>
        <v>0</v>
      </c>
      <c r="AN144" s="34">
        <v>15</v>
      </c>
      <c r="AO144" s="34">
        <f>H144*0.0719704475330484</f>
        <v>0</v>
      </c>
      <c r="AP144" s="34">
        <f>H144*(1-0.0719704475330484)</f>
        <v>0</v>
      </c>
      <c r="AQ144" s="28" t="s">
        <v>7</v>
      </c>
      <c r="AV144" s="34">
        <f t="shared" si="168"/>
        <v>0</v>
      </c>
      <c r="AW144" s="34">
        <f t="shared" si="169"/>
        <v>0</v>
      </c>
      <c r="AX144" s="34">
        <f t="shared" si="170"/>
        <v>0</v>
      </c>
      <c r="AY144" s="35" t="s">
        <v>1701</v>
      </c>
      <c r="AZ144" s="35" t="s">
        <v>1730</v>
      </c>
      <c r="BA144" s="29" t="s">
        <v>1737</v>
      </c>
      <c r="BC144" s="34">
        <f t="shared" si="171"/>
        <v>0</v>
      </c>
      <c r="BD144" s="34">
        <f t="shared" si="172"/>
        <v>0</v>
      </c>
      <c r="BE144" s="34">
        <v>0</v>
      </c>
      <c r="BF144" s="34">
        <f>144</f>
        <v>144</v>
      </c>
      <c r="BH144" s="17">
        <f t="shared" si="173"/>
        <v>0</v>
      </c>
      <c r="BI144" s="17">
        <f t="shared" si="174"/>
        <v>0</v>
      </c>
      <c r="BJ144" s="17">
        <f t="shared" si="175"/>
        <v>0</v>
      </c>
    </row>
    <row r="145" spans="1:62" x14ac:dyDescent="0.2">
      <c r="A145" s="4" t="s">
        <v>115</v>
      </c>
      <c r="B145" s="4" t="s">
        <v>675</v>
      </c>
      <c r="C145" s="240" t="s">
        <v>1184</v>
      </c>
      <c r="D145" s="241"/>
      <c r="E145" s="241"/>
      <c r="F145" s="4" t="s">
        <v>1646</v>
      </c>
      <c r="G145" s="69">
        <v>2.25</v>
      </c>
      <c r="H145" s="168"/>
      <c r="I145" s="17">
        <f t="shared" si="154"/>
        <v>0</v>
      </c>
      <c r="J145" s="17">
        <f t="shared" si="155"/>
        <v>0</v>
      </c>
      <c r="K145" s="17">
        <f t="shared" si="156"/>
        <v>0</v>
      </c>
      <c r="L145" s="28" t="s">
        <v>1671</v>
      </c>
      <c r="Z145" s="34">
        <f t="shared" si="157"/>
        <v>0</v>
      </c>
      <c r="AB145" s="34">
        <f t="shared" si="158"/>
        <v>0</v>
      </c>
      <c r="AC145" s="34">
        <f t="shared" si="159"/>
        <v>0</v>
      </c>
      <c r="AD145" s="34">
        <f t="shared" si="160"/>
        <v>0</v>
      </c>
      <c r="AE145" s="34">
        <f t="shared" si="161"/>
        <v>0</v>
      </c>
      <c r="AF145" s="34">
        <f t="shared" si="162"/>
        <v>0</v>
      </c>
      <c r="AG145" s="34">
        <f t="shared" si="163"/>
        <v>0</v>
      </c>
      <c r="AH145" s="34">
        <f t="shared" si="164"/>
        <v>0</v>
      </c>
      <c r="AI145" s="29"/>
      <c r="AJ145" s="17">
        <f t="shared" si="165"/>
        <v>0</v>
      </c>
      <c r="AK145" s="17">
        <f t="shared" si="166"/>
        <v>0</v>
      </c>
      <c r="AL145" s="17">
        <f t="shared" si="167"/>
        <v>0</v>
      </c>
      <c r="AN145" s="34">
        <v>15</v>
      </c>
      <c r="AO145" s="34">
        <f>H145*0.0433762688731553</f>
        <v>0</v>
      </c>
      <c r="AP145" s="34">
        <f>H145*(1-0.0433762688731553)</f>
        <v>0</v>
      </c>
      <c r="AQ145" s="28" t="s">
        <v>7</v>
      </c>
      <c r="AV145" s="34">
        <f t="shared" si="168"/>
        <v>0</v>
      </c>
      <c r="AW145" s="34">
        <f t="shared" si="169"/>
        <v>0</v>
      </c>
      <c r="AX145" s="34">
        <f t="shared" si="170"/>
        <v>0</v>
      </c>
      <c r="AY145" s="35" t="s">
        <v>1701</v>
      </c>
      <c r="AZ145" s="35" t="s">
        <v>1730</v>
      </c>
      <c r="BA145" s="29" t="s">
        <v>1737</v>
      </c>
      <c r="BC145" s="34">
        <f t="shared" si="171"/>
        <v>0</v>
      </c>
      <c r="BD145" s="34">
        <f t="shared" si="172"/>
        <v>0</v>
      </c>
      <c r="BE145" s="34">
        <v>0</v>
      </c>
      <c r="BF145" s="34">
        <f>145</f>
        <v>145</v>
      </c>
      <c r="BH145" s="17">
        <f t="shared" si="173"/>
        <v>0</v>
      </c>
      <c r="BI145" s="17">
        <f t="shared" si="174"/>
        <v>0</v>
      </c>
      <c r="BJ145" s="17">
        <f t="shared" si="175"/>
        <v>0</v>
      </c>
    </row>
    <row r="146" spans="1:62" x14ac:dyDescent="0.2">
      <c r="A146" s="4" t="s">
        <v>116</v>
      </c>
      <c r="B146" s="4" t="s">
        <v>676</v>
      </c>
      <c r="C146" s="240" t="s">
        <v>1185</v>
      </c>
      <c r="D146" s="241"/>
      <c r="E146" s="241"/>
      <c r="F146" s="4" t="s">
        <v>1645</v>
      </c>
      <c r="G146" s="69">
        <v>268.387</v>
      </c>
      <c r="H146" s="168"/>
      <c r="I146" s="17">
        <f t="shared" si="154"/>
        <v>0</v>
      </c>
      <c r="J146" s="17">
        <f t="shared" si="155"/>
        <v>0</v>
      </c>
      <c r="K146" s="17">
        <f t="shared" si="156"/>
        <v>0</v>
      </c>
      <c r="L146" s="28" t="s">
        <v>1671</v>
      </c>
      <c r="Z146" s="34">
        <f t="shared" si="157"/>
        <v>0</v>
      </c>
      <c r="AB146" s="34">
        <f t="shared" si="158"/>
        <v>0</v>
      </c>
      <c r="AC146" s="34">
        <f t="shared" si="159"/>
        <v>0</v>
      </c>
      <c r="AD146" s="34">
        <f t="shared" si="160"/>
        <v>0</v>
      </c>
      <c r="AE146" s="34">
        <f t="shared" si="161"/>
        <v>0</v>
      </c>
      <c r="AF146" s="34">
        <f t="shared" si="162"/>
        <v>0</v>
      </c>
      <c r="AG146" s="34">
        <f t="shared" si="163"/>
        <v>0</v>
      </c>
      <c r="AH146" s="34">
        <f t="shared" si="164"/>
        <v>0</v>
      </c>
      <c r="AI146" s="29"/>
      <c r="AJ146" s="17">
        <f t="shared" si="165"/>
        <v>0</v>
      </c>
      <c r="AK146" s="17">
        <f t="shared" si="166"/>
        <v>0</v>
      </c>
      <c r="AL146" s="17">
        <f t="shared" si="167"/>
        <v>0</v>
      </c>
      <c r="AN146" s="34">
        <v>15</v>
      </c>
      <c r="AO146" s="34">
        <f t="shared" ref="AO146:AO156" si="176">H146*0</f>
        <v>0</v>
      </c>
      <c r="AP146" s="34">
        <f t="shared" ref="AP146:AP156" si="177">H146*(1-0)</f>
        <v>0</v>
      </c>
      <c r="AQ146" s="28" t="s">
        <v>7</v>
      </c>
      <c r="AV146" s="34">
        <f t="shared" si="168"/>
        <v>0</v>
      </c>
      <c r="AW146" s="34">
        <f t="shared" si="169"/>
        <v>0</v>
      </c>
      <c r="AX146" s="34">
        <f t="shared" si="170"/>
        <v>0</v>
      </c>
      <c r="AY146" s="35" t="s">
        <v>1701</v>
      </c>
      <c r="AZ146" s="35" t="s">
        <v>1730</v>
      </c>
      <c r="BA146" s="29" t="s">
        <v>1737</v>
      </c>
      <c r="BC146" s="34">
        <f t="shared" si="171"/>
        <v>0</v>
      </c>
      <c r="BD146" s="34">
        <f t="shared" si="172"/>
        <v>0</v>
      </c>
      <c r="BE146" s="34">
        <v>0</v>
      </c>
      <c r="BF146" s="34">
        <f>146</f>
        <v>146</v>
      </c>
      <c r="BH146" s="17">
        <f t="shared" si="173"/>
        <v>0</v>
      </c>
      <c r="BI146" s="17">
        <f t="shared" si="174"/>
        <v>0</v>
      </c>
      <c r="BJ146" s="17">
        <f t="shared" si="175"/>
        <v>0</v>
      </c>
    </row>
    <row r="147" spans="1:62" x14ac:dyDescent="0.2">
      <c r="A147" s="4" t="s">
        <v>117</v>
      </c>
      <c r="B147" s="4" t="s">
        <v>677</v>
      </c>
      <c r="C147" s="240" t="s">
        <v>1186</v>
      </c>
      <c r="D147" s="241"/>
      <c r="E147" s="241"/>
      <c r="F147" s="4" t="s">
        <v>1645</v>
      </c>
      <c r="G147" s="69">
        <v>16.649999999999999</v>
      </c>
      <c r="H147" s="168"/>
      <c r="I147" s="17">
        <f t="shared" si="154"/>
        <v>0</v>
      </c>
      <c r="J147" s="17">
        <f t="shared" si="155"/>
        <v>0</v>
      </c>
      <c r="K147" s="17">
        <f t="shared" si="156"/>
        <v>0</v>
      </c>
      <c r="L147" s="28" t="s">
        <v>1671</v>
      </c>
      <c r="Z147" s="34">
        <f t="shared" si="157"/>
        <v>0</v>
      </c>
      <c r="AB147" s="34">
        <f t="shared" si="158"/>
        <v>0</v>
      </c>
      <c r="AC147" s="34">
        <f t="shared" si="159"/>
        <v>0</v>
      </c>
      <c r="AD147" s="34">
        <f t="shared" si="160"/>
        <v>0</v>
      </c>
      <c r="AE147" s="34">
        <f t="shared" si="161"/>
        <v>0</v>
      </c>
      <c r="AF147" s="34">
        <f t="shared" si="162"/>
        <v>0</v>
      </c>
      <c r="AG147" s="34">
        <f t="shared" si="163"/>
        <v>0</v>
      </c>
      <c r="AH147" s="34">
        <f t="shared" si="164"/>
        <v>0</v>
      </c>
      <c r="AI147" s="29"/>
      <c r="AJ147" s="17">
        <f t="shared" si="165"/>
        <v>0</v>
      </c>
      <c r="AK147" s="17">
        <f t="shared" si="166"/>
        <v>0</v>
      </c>
      <c r="AL147" s="17">
        <f t="shared" si="167"/>
        <v>0</v>
      </c>
      <c r="AN147" s="34">
        <v>15</v>
      </c>
      <c r="AO147" s="34">
        <f t="shared" si="176"/>
        <v>0</v>
      </c>
      <c r="AP147" s="34">
        <f t="shared" si="177"/>
        <v>0</v>
      </c>
      <c r="AQ147" s="28" t="s">
        <v>7</v>
      </c>
      <c r="AV147" s="34">
        <f t="shared" si="168"/>
        <v>0</v>
      </c>
      <c r="AW147" s="34">
        <f t="shared" si="169"/>
        <v>0</v>
      </c>
      <c r="AX147" s="34">
        <f t="shared" si="170"/>
        <v>0</v>
      </c>
      <c r="AY147" s="35" t="s">
        <v>1701</v>
      </c>
      <c r="AZ147" s="35" t="s">
        <v>1730</v>
      </c>
      <c r="BA147" s="29" t="s">
        <v>1737</v>
      </c>
      <c r="BC147" s="34">
        <f t="shared" si="171"/>
        <v>0</v>
      </c>
      <c r="BD147" s="34">
        <f t="shared" si="172"/>
        <v>0</v>
      </c>
      <c r="BE147" s="34">
        <v>0</v>
      </c>
      <c r="BF147" s="34">
        <f>147</f>
        <v>147</v>
      </c>
      <c r="BH147" s="17">
        <f t="shared" si="173"/>
        <v>0</v>
      </c>
      <c r="BI147" s="17">
        <f t="shared" si="174"/>
        <v>0</v>
      </c>
      <c r="BJ147" s="17">
        <f t="shared" si="175"/>
        <v>0</v>
      </c>
    </row>
    <row r="148" spans="1:62" x14ac:dyDescent="0.2">
      <c r="A148" s="4" t="s">
        <v>118</v>
      </c>
      <c r="B148" s="4" t="s">
        <v>678</v>
      </c>
      <c r="C148" s="240" t="s">
        <v>1187</v>
      </c>
      <c r="D148" s="241"/>
      <c r="E148" s="241"/>
      <c r="F148" s="4" t="s">
        <v>1645</v>
      </c>
      <c r="G148" s="69">
        <v>23.97</v>
      </c>
      <c r="H148" s="168"/>
      <c r="I148" s="17">
        <f t="shared" si="154"/>
        <v>0</v>
      </c>
      <c r="J148" s="17">
        <f t="shared" si="155"/>
        <v>0</v>
      </c>
      <c r="K148" s="17">
        <f t="shared" si="156"/>
        <v>0</v>
      </c>
      <c r="L148" s="28" t="s">
        <v>1671</v>
      </c>
      <c r="Z148" s="34">
        <f t="shared" si="157"/>
        <v>0</v>
      </c>
      <c r="AB148" s="34">
        <f t="shared" si="158"/>
        <v>0</v>
      </c>
      <c r="AC148" s="34">
        <f t="shared" si="159"/>
        <v>0</v>
      </c>
      <c r="AD148" s="34">
        <f t="shared" si="160"/>
        <v>0</v>
      </c>
      <c r="AE148" s="34">
        <f t="shared" si="161"/>
        <v>0</v>
      </c>
      <c r="AF148" s="34">
        <f t="shared" si="162"/>
        <v>0</v>
      </c>
      <c r="AG148" s="34">
        <f t="shared" si="163"/>
        <v>0</v>
      </c>
      <c r="AH148" s="34">
        <f t="shared" si="164"/>
        <v>0</v>
      </c>
      <c r="AI148" s="29"/>
      <c r="AJ148" s="17">
        <f t="shared" si="165"/>
        <v>0</v>
      </c>
      <c r="AK148" s="17">
        <f t="shared" si="166"/>
        <v>0</v>
      </c>
      <c r="AL148" s="17">
        <f t="shared" si="167"/>
        <v>0</v>
      </c>
      <c r="AN148" s="34">
        <v>15</v>
      </c>
      <c r="AO148" s="34">
        <f t="shared" si="176"/>
        <v>0</v>
      </c>
      <c r="AP148" s="34">
        <f t="shared" si="177"/>
        <v>0</v>
      </c>
      <c r="AQ148" s="28" t="s">
        <v>7</v>
      </c>
      <c r="AV148" s="34">
        <f t="shared" si="168"/>
        <v>0</v>
      </c>
      <c r="AW148" s="34">
        <f t="shared" si="169"/>
        <v>0</v>
      </c>
      <c r="AX148" s="34">
        <f t="shared" si="170"/>
        <v>0</v>
      </c>
      <c r="AY148" s="35" t="s">
        <v>1701</v>
      </c>
      <c r="AZ148" s="35" t="s">
        <v>1730</v>
      </c>
      <c r="BA148" s="29" t="s">
        <v>1737</v>
      </c>
      <c r="BC148" s="34">
        <f t="shared" si="171"/>
        <v>0</v>
      </c>
      <c r="BD148" s="34">
        <f t="shared" si="172"/>
        <v>0</v>
      </c>
      <c r="BE148" s="34">
        <v>0</v>
      </c>
      <c r="BF148" s="34">
        <f>148</f>
        <v>148</v>
      </c>
      <c r="BH148" s="17">
        <f t="shared" si="173"/>
        <v>0</v>
      </c>
      <c r="BI148" s="17">
        <f t="shared" si="174"/>
        <v>0</v>
      </c>
      <c r="BJ148" s="17">
        <f t="shared" si="175"/>
        <v>0</v>
      </c>
    </row>
    <row r="149" spans="1:62" x14ac:dyDescent="0.2">
      <c r="A149" s="4" t="s">
        <v>119</v>
      </c>
      <c r="B149" s="4" t="s">
        <v>679</v>
      </c>
      <c r="C149" s="240" t="s">
        <v>1188</v>
      </c>
      <c r="D149" s="241"/>
      <c r="E149" s="241"/>
      <c r="F149" s="4" t="s">
        <v>1645</v>
      </c>
      <c r="G149" s="69">
        <v>12.41</v>
      </c>
      <c r="H149" s="168"/>
      <c r="I149" s="17">
        <f t="shared" si="154"/>
        <v>0</v>
      </c>
      <c r="J149" s="17">
        <f t="shared" si="155"/>
        <v>0</v>
      </c>
      <c r="K149" s="17">
        <f t="shared" si="156"/>
        <v>0</v>
      </c>
      <c r="L149" s="28" t="s">
        <v>1671</v>
      </c>
      <c r="Z149" s="34">
        <f t="shared" si="157"/>
        <v>0</v>
      </c>
      <c r="AB149" s="34">
        <f t="shared" si="158"/>
        <v>0</v>
      </c>
      <c r="AC149" s="34">
        <f t="shared" si="159"/>
        <v>0</v>
      </c>
      <c r="AD149" s="34">
        <f t="shared" si="160"/>
        <v>0</v>
      </c>
      <c r="AE149" s="34">
        <f t="shared" si="161"/>
        <v>0</v>
      </c>
      <c r="AF149" s="34">
        <f t="shared" si="162"/>
        <v>0</v>
      </c>
      <c r="AG149" s="34">
        <f t="shared" si="163"/>
        <v>0</v>
      </c>
      <c r="AH149" s="34">
        <f t="shared" si="164"/>
        <v>0</v>
      </c>
      <c r="AI149" s="29"/>
      <c r="AJ149" s="17">
        <f t="shared" si="165"/>
        <v>0</v>
      </c>
      <c r="AK149" s="17">
        <f t="shared" si="166"/>
        <v>0</v>
      </c>
      <c r="AL149" s="17">
        <f t="shared" si="167"/>
        <v>0</v>
      </c>
      <c r="AN149" s="34">
        <v>15</v>
      </c>
      <c r="AO149" s="34">
        <f t="shared" si="176"/>
        <v>0</v>
      </c>
      <c r="AP149" s="34">
        <f t="shared" si="177"/>
        <v>0</v>
      </c>
      <c r="AQ149" s="28" t="s">
        <v>7</v>
      </c>
      <c r="AV149" s="34">
        <f t="shared" si="168"/>
        <v>0</v>
      </c>
      <c r="AW149" s="34">
        <f t="shared" si="169"/>
        <v>0</v>
      </c>
      <c r="AX149" s="34">
        <f t="shared" si="170"/>
        <v>0</v>
      </c>
      <c r="AY149" s="35" t="s">
        <v>1701</v>
      </c>
      <c r="AZ149" s="35" t="s">
        <v>1730</v>
      </c>
      <c r="BA149" s="29" t="s">
        <v>1737</v>
      </c>
      <c r="BC149" s="34">
        <f t="shared" si="171"/>
        <v>0</v>
      </c>
      <c r="BD149" s="34">
        <f t="shared" si="172"/>
        <v>0</v>
      </c>
      <c r="BE149" s="34">
        <v>0</v>
      </c>
      <c r="BF149" s="34">
        <f>149</f>
        <v>149</v>
      </c>
      <c r="BH149" s="17">
        <f t="shared" si="173"/>
        <v>0</v>
      </c>
      <c r="BI149" s="17">
        <f t="shared" si="174"/>
        <v>0</v>
      </c>
      <c r="BJ149" s="17">
        <f t="shared" si="175"/>
        <v>0</v>
      </c>
    </row>
    <row r="150" spans="1:62" x14ac:dyDescent="0.2">
      <c r="A150" s="4" t="s">
        <v>120</v>
      </c>
      <c r="B150" s="4" t="s">
        <v>680</v>
      </c>
      <c r="C150" s="240" t="s">
        <v>1189</v>
      </c>
      <c r="D150" s="241"/>
      <c r="E150" s="241"/>
      <c r="F150" s="4" t="s">
        <v>1645</v>
      </c>
      <c r="G150" s="69">
        <v>479.38299999999998</v>
      </c>
      <c r="H150" s="168"/>
      <c r="I150" s="17">
        <f t="shared" si="154"/>
        <v>0</v>
      </c>
      <c r="J150" s="17">
        <f t="shared" si="155"/>
        <v>0</v>
      </c>
      <c r="K150" s="17">
        <f t="shared" si="156"/>
        <v>0</v>
      </c>
      <c r="L150" s="28" t="s">
        <v>1671</v>
      </c>
      <c r="Z150" s="34">
        <f t="shared" si="157"/>
        <v>0</v>
      </c>
      <c r="AB150" s="34">
        <f t="shared" si="158"/>
        <v>0</v>
      </c>
      <c r="AC150" s="34">
        <f t="shared" si="159"/>
        <v>0</v>
      </c>
      <c r="AD150" s="34">
        <f t="shared" si="160"/>
        <v>0</v>
      </c>
      <c r="AE150" s="34">
        <f t="shared" si="161"/>
        <v>0</v>
      </c>
      <c r="AF150" s="34">
        <f t="shared" si="162"/>
        <v>0</v>
      </c>
      <c r="AG150" s="34">
        <f t="shared" si="163"/>
        <v>0</v>
      </c>
      <c r="AH150" s="34">
        <f t="shared" si="164"/>
        <v>0</v>
      </c>
      <c r="AI150" s="29"/>
      <c r="AJ150" s="17">
        <f t="shared" si="165"/>
        <v>0</v>
      </c>
      <c r="AK150" s="17">
        <f t="shared" si="166"/>
        <v>0</v>
      </c>
      <c r="AL150" s="17">
        <f t="shared" si="167"/>
        <v>0</v>
      </c>
      <c r="AN150" s="34">
        <v>15</v>
      </c>
      <c r="AO150" s="34">
        <f t="shared" si="176"/>
        <v>0</v>
      </c>
      <c r="AP150" s="34">
        <f t="shared" si="177"/>
        <v>0</v>
      </c>
      <c r="AQ150" s="28" t="s">
        <v>7</v>
      </c>
      <c r="AV150" s="34">
        <f t="shared" si="168"/>
        <v>0</v>
      </c>
      <c r="AW150" s="34">
        <f t="shared" si="169"/>
        <v>0</v>
      </c>
      <c r="AX150" s="34">
        <f t="shared" si="170"/>
        <v>0</v>
      </c>
      <c r="AY150" s="35" t="s">
        <v>1701</v>
      </c>
      <c r="AZ150" s="35" t="s">
        <v>1730</v>
      </c>
      <c r="BA150" s="29" t="s">
        <v>1737</v>
      </c>
      <c r="BC150" s="34">
        <f t="shared" si="171"/>
        <v>0</v>
      </c>
      <c r="BD150" s="34">
        <f t="shared" si="172"/>
        <v>0</v>
      </c>
      <c r="BE150" s="34">
        <v>0</v>
      </c>
      <c r="BF150" s="34">
        <f>150</f>
        <v>150</v>
      </c>
      <c r="BH150" s="17">
        <f t="shared" si="173"/>
        <v>0</v>
      </c>
      <c r="BI150" s="17">
        <f t="shared" si="174"/>
        <v>0</v>
      </c>
      <c r="BJ150" s="17">
        <f t="shared" si="175"/>
        <v>0</v>
      </c>
    </row>
    <row r="151" spans="1:62" x14ac:dyDescent="0.2">
      <c r="A151" s="4" t="s">
        <v>121</v>
      </c>
      <c r="B151" s="4" t="s">
        <v>681</v>
      </c>
      <c r="C151" s="240" t="s">
        <v>1190</v>
      </c>
      <c r="D151" s="241"/>
      <c r="E151" s="241"/>
      <c r="F151" s="4" t="s">
        <v>1645</v>
      </c>
      <c r="G151" s="69">
        <v>479.38299999999998</v>
      </c>
      <c r="H151" s="168"/>
      <c r="I151" s="17">
        <f t="shared" si="154"/>
        <v>0</v>
      </c>
      <c r="J151" s="17">
        <f t="shared" si="155"/>
        <v>0</v>
      </c>
      <c r="K151" s="17">
        <f t="shared" si="156"/>
        <v>0</v>
      </c>
      <c r="L151" s="28" t="s">
        <v>1671</v>
      </c>
      <c r="Z151" s="34">
        <f t="shared" si="157"/>
        <v>0</v>
      </c>
      <c r="AB151" s="34">
        <f t="shared" si="158"/>
        <v>0</v>
      </c>
      <c r="AC151" s="34">
        <f t="shared" si="159"/>
        <v>0</v>
      </c>
      <c r="AD151" s="34">
        <f t="shared" si="160"/>
        <v>0</v>
      </c>
      <c r="AE151" s="34">
        <f t="shared" si="161"/>
        <v>0</v>
      </c>
      <c r="AF151" s="34">
        <f t="shared" si="162"/>
        <v>0</v>
      </c>
      <c r="AG151" s="34">
        <f t="shared" si="163"/>
        <v>0</v>
      </c>
      <c r="AH151" s="34">
        <f t="shared" si="164"/>
        <v>0</v>
      </c>
      <c r="AI151" s="29"/>
      <c r="AJ151" s="17">
        <f t="shared" si="165"/>
        <v>0</v>
      </c>
      <c r="AK151" s="17">
        <f t="shared" si="166"/>
        <v>0</v>
      </c>
      <c r="AL151" s="17">
        <f t="shared" si="167"/>
        <v>0</v>
      </c>
      <c r="AN151" s="34">
        <v>15</v>
      </c>
      <c r="AO151" s="34">
        <f t="shared" si="176"/>
        <v>0</v>
      </c>
      <c r="AP151" s="34">
        <f t="shared" si="177"/>
        <v>0</v>
      </c>
      <c r="AQ151" s="28" t="s">
        <v>7</v>
      </c>
      <c r="AV151" s="34">
        <f t="shared" si="168"/>
        <v>0</v>
      </c>
      <c r="AW151" s="34">
        <f t="shared" si="169"/>
        <v>0</v>
      </c>
      <c r="AX151" s="34">
        <f t="shared" si="170"/>
        <v>0</v>
      </c>
      <c r="AY151" s="35" t="s">
        <v>1701</v>
      </c>
      <c r="AZ151" s="35" t="s">
        <v>1730</v>
      </c>
      <c r="BA151" s="29" t="s">
        <v>1737</v>
      </c>
      <c r="BC151" s="34">
        <f t="shared" si="171"/>
        <v>0</v>
      </c>
      <c r="BD151" s="34">
        <f t="shared" si="172"/>
        <v>0</v>
      </c>
      <c r="BE151" s="34">
        <v>0</v>
      </c>
      <c r="BF151" s="34">
        <f>151</f>
        <v>151</v>
      </c>
      <c r="BH151" s="17">
        <f t="shared" si="173"/>
        <v>0</v>
      </c>
      <c r="BI151" s="17">
        <f t="shared" si="174"/>
        <v>0</v>
      </c>
      <c r="BJ151" s="17">
        <f t="shared" si="175"/>
        <v>0</v>
      </c>
    </row>
    <row r="152" spans="1:62" x14ac:dyDescent="0.2">
      <c r="A152" s="4" t="s">
        <v>122</v>
      </c>
      <c r="B152" s="4" t="s">
        <v>682</v>
      </c>
      <c r="C152" s="240" t="s">
        <v>1191</v>
      </c>
      <c r="D152" s="241"/>
      <c r="E152" s="241"/>
      <c r="F152" s="4" t="s">
        <v>1645</v>
      </c>
      <c r="G152" s="69">
        <v>108.31100000000001</v>
      </c>
      <c r="H152" s="168"/>
      <c r="I152" s="17">
        <f t="shared" si="154"/>
        <v>0</v>
      </c>
      <c r="J152" s="17">
        <f t="shared" si="155"/>
        <v>0</v>
      </c>
      <c r="K152" s="17">
        <f t="shared" si="156"/>
        <v>0</v>
      </c>
      <c r="L152" s="28" t="s">
        <v>1671</v>
      </c>
      <c r="Z152" s="34">
        <f t="shared" si="157"/>
        <v>0</v>
      </c>
      <c r="AB152" s="34">
        <f t="shared" si="158"/>
        <v>0</v>
      </c>
      <c r="AC152" s="34">
        <f t="shared" si="159"/>
        <v>0</v>
      </c>
      <c r="AD152" s="34">
        <f t="shared" si="160"/>
        <v>0</v>
      </c>
      <c r="AE152" s="34">
        <f t="shared" si="161"/>
        <v>0</v>
      </c>
      <c r="AF152" s="34">
        <f t="shared" si="162"/>
        <v>0</v>
      </c>
      <c r="AG152" s="34">
        <f t="shared" si="163"/>
        <v>0</v>
      </c>
      <c r="AH152" s="34">
        <f t="shared" si="164"/>
        <v>0</v>
      </c>
      <c r="AI152" s="29"/>
      <c r="AJ152" s="17">
        <f t="shared" si="165"/>
        <v>0</v>
      </c>
      <c r="AK152" s="17">
        <f t="shared" si="166"/>
        <v>0</v>
      </c>
      <c r="AL152" s="17">
        <f t="shared" si="167"/>
        <v>0</v>
      </c>
      <c r="AN152" s="34">
        <v>15</v>
      </c>
      <c r="AO152" s="34">
        <f t="shared" si="176"/>
        <v>0</v>
      </c>
      <c r="AP152" s="34">
        <f t="shared" si="177"/>
        <v>0</v>
      </c>
      <c r="AQ152" s="28" t="s">
        <v>7</v>
      </c>
      <c r="AV152" s="34">
        <f t="shared" si="168"/>
        <v>0</v>
      </c>
      <c r="AW152" s="34">
        <f t="shared" si="169"/>
        <v>0</v>
      </c>
      <c r="AX152" s="34">
        <f t="shared" si="170"/>
        <v>0</v>
      </c>
      <c r="AY152" s="35" t="s">
        <v>1701</v>
      </c>
      <c r="AZ152" s="35" t="s">
        <v>1730</v>
      </c>
      <c r="BA152" s="29" t="s">
        <v>1737</v>
      </c>
      <c r="BC152" s="34">
        <f t="shared" si="171"/>
        <v>0</v>
      </c>
      <c r="BD152" s="34">
        <f t="shared" si="172"/>
        <v>0</v>
      </c>
      <c r="BE152" s="34">
        <v>0</v>
      </c>
      <c r="BF152" s="34">
        <f>152</f>
        <v>152</v>
      </c>
      <c r="BH152" s="17">
        <f t="shared" si="173"/>
        <v>0</v>
      </c>
      <c r="BI152" s="17">
        <f t="shared" si="174"/>
        <v>0</v>
      </c>
      <c r="BJ152" s="17">
        <f t="shared" si="175"/>
        <v>0</v>
      </c>
    </row>
    <row r="153" spans="1:62" x14ac:dyDescent="0.2">
      <c r="A153" s="4" t="s">
        <v>123</v>
      </c>
      <c r="B153" s="4" t="s">
        <v>682</v>
      </c>
      <c r="C153" s="240" t="s">
        <v>1192</v>
      </c>
      <c r="D153" s="241"/>
      <c r="E153" s="241"/>
      <c r="F153" s="4" t="s">
        <v>1645</v>
      </c>
      <c r="G153" s="69">
        <v>67.430000000000007</v>
      </c>
      <c r="H153" s="168"/>
      <c r="I153" s="17">
        <f t="shared" si="154"/>
        <v>0</v>
      </c>
      <c r="J153" s="17">
        <f t="shared" si="155"/>
        <v>0</v>
      </c>
      <c r="K153" s="17">
        <f t="shared" si="156"/>
        <v>0</v>
      </c>
      <c r="L153" s="28" t="s">
        <v>1671</v>
      </c>
      <c r="Z153" s="34">
        <f t="shared" si="157"/>
        <v>0</v>
      </c>
      <c r="AB153" s="34">
        <f t="shared" si="158"/>
        <v>0</v>
      </c>
      <c r="AC153" s="34">
        <f t="shared" si="159"/>
        <v>0</v>
      </c>
      <c r="AD153" s="34">
        <f t="shared" si="160"/>
        <v>0</v>
      </c>
      <c r="AE153" s="34">
        <f t="shared" si="161"/>
        <v>0</v>
      </c>
      <c r="AF153" s="34">
        <f t="shared" si="162"/>
        <v>0</v>
      </c>
      <c r="AG153" s="34">
        <f t="shared" si="163"/>
        <v>0</v>
      </c>
      <c r="AH153" s="34">
        <f t="shared" si="164"/>
        <v>0</v>
      </c>
      <c r="AI153" s="29"/>
      <c r="AJ153" s="17">
        <f t="shared" si="165"/>
        <v>0</v>
      </c>
      <c r="AK153" s="17">
        <f t="shared" si="166"/>
        <v>0</v>
      </c>
      <c r="AL153" s="17">
        <f t="shared" si="167"/>
        <v>0</v>
      </c>
      <c r="AN153" s="34">
        <v>15</v>
      </c>
      <c r="AO153" s="34">
        <f t="shared" si="176"/>
        <v>0</v>
      </c>
      <c r="AP153" s="34">
        <f t="shared" si="177"/>
        <v>0</v>
      </c>
      <c r="AQ153" s="28" t="s">
        <v>7</v>
      </c>
      <c r="AV153" s="34">
        <f t="shared" si="168"/>
        <v>0</v>
      </c>
      <c r="AW153" s="34">
        <f t="shared" si="169"/>
        <v>0</v>
      </c>
      <c r="AX153" s="34">
        <f t="shared" si="170"/>
        <v>0</v>
      </c>
      <c r="AY153" s="35" t="s">
        <v>1701</v>
      </c>
      <c r="AZ153" s="35" t="s">
        <v>1730</v>
      </c>
      <c r="BA153" s="29" t="s">
        <v>1737</v>
      </c>
      <c r="BC153" s="34">
        <f t="shared" si="171"/>
        <v>0</v>
      </c>
      <c r="BD153" s="34">
        <f t="shared" si="172"/>
        <v>0</v>
      </c>
      <c r="BE153" s="34">
        <v>0</v>
      </c>
      <c r="BF153" s="34">
        <f>153</f>
        <v>153</v>
      </c>
      <c r="BH153" s="17">
        <f t="shared" si="173"/>
        <v>0</v>
      </c>
      <c r="BI153" s="17">
        <f t="shared" si="174"/>
        <v>0</v>
      </c>
      <c r="BJ153" s="17">
        <f t="shared" si="175"/>
        <v>0</v>
      </c>
    </row>
    <row r="154" spans="1:62" x14ac:dyDescent="0.2">
      <c r="A154" s="4" t="s">
        <v>124</v>
      </c>
      <c r="B154" s="4" t="s">
        <v>682</v>
      </c>
      <c r="C154" s="240" t="s">
        <v>1193</v>
      </c>
      <c r="D154" s="241"/>
      <c r="E154" s="241"/>
      <c r="F154" s="4" t="s">
        <v>1645</v>
      </c>
      <c r="G154" s="69">
        <v>34.523000000000003</v>
      </c>
      <c r="H154" s="168"/>
      <c r="I154" s="17">
        <f t="shared" si="154"/>
        <v>0</v>
      </c>
      <c r="J154" s="17">
        <f t="shared" si="155"/>
        <v>0</v>
      </c>
      <c r="K154" s="17">
        <f t="shared" si="156"/>
        <v>0</v>
      </c>
      <c r="L154" s="28" t="s">
        <v>1671</v>
      </c>
      <c r="Z154" s="34">
        <f t="shared" si="157"/>
        <v>0</v>
      </c>
      <c r="AB154" s="34">
        <f t="shared" si="158"/>
        <v>0</v>
      </c>
      <c r="AC154" s="34">
        <f t="shared" si="159"/>
        <v>0</v>
      </c>
      <c r="AD154" s="34">
        <f t="shared" si="160"/>
        <v>0</v>
      </c>
      <c r="AE154" s="34">
        <f t="shared" si="161"/>
        <v>0</v>
      </c>
      <c r="AF154" s="34">
        <f t="shared" si="162"/>
        <v>0</v>
      </c>
      <c r="AG154" s="34">
        <f t="shared" si="163"/>
        <v>0</v>
      </c>
      <c r="AH154" s="34">
        <f t="shared" si="164"/>
        <v>0</v>
      </c>
      <c r="AI154" s="29"/>
      <c r="AJ154" s="17">
        <f t="shared" si="165"/>
        <v>0</v>
      </c>
      <c r="AK154" s="17">
        <f t="shared" si="166"/>
        <v>0</v>
      </c>
      <c r="AL154" s="17">
        <f t="shared" si="167"/>
        <v>0</v>
      </c>
      <c r="AN154" s="34">
        <v>15</v>
      </c>
      <c r="AO154" s="34">
        <f t="shared" si="176"/>
        <v>0</v>
      </c>
      <c r="AP154" s="34">
        <f t="shared" si="177"/>
        <v>0</v>
      </c>
      <c r="AQ154" s="28" t="s">
        <v>7</v>
      </c>
      <c r="AV154" s="34">
        <f t="shared" si="168"/>
        <v>0</v>
      </c>
      <c r="AW154" s="34">
        <f t="shared" si="169"/>
        <v>0</v>
      </c>
      <c r="AX154" s="34">
        <f t="shared" si="170"/>
        <v>0</v>
      </c>
      <c r="AY154" s="35" t="s">
        <v>1701</v>
      </c>
      <c r="AZ154" s="35" t="s">
        <v>1730</v>
      </c>
      <c r="BA154" s="29" t="s">
        <v>1737</v>
      </c>
      <c r="BC154" s="34">
        <f t="shared" si="171"/>
        <v>0</v>
      </c>
      <c r="BD154" s="34">
        <f t="shared" si="172"/>
        <v>0</v>
      </c>
      <c r="BE154" s="34">
        <v>0</v>
      </c>
      <c r="BF154" s="34">
        <f>154</f>
        <v>154</v>
      </c>
      <c r="BH154" s="17">
        <f t="shared" si="173"/>
        <v>0</v>
      </c>
      <c r="BI154" s="17">
        <f t="shared" si="174"/>
        <v>0</v>
      </c>
      <c r="BJ154" s="17">
        <f t="shared" si="175"/>
        <v>0</v>
      </c>
    </row>
    <row r="155" spans="1:62" x14ac:dyDescent="0.2">
      <c r="A155" s="4" t="s">
        <v>125</v>
      </c>
      <c r="B155" s="4" t="s">
        <v>683</v>
      </c>
      <c r="C155" s="240" t="s">
        <v>1194</v>
      </c>
      <c r="D155" s="241"/>
      <c r="E155" s="241"/>
      <c r="F155" s="4" t="s">
        <v>1645</v>
      </c>
      <c r="G155" s="69">
        <v>23.97</v>
      </c>
      <c r="H155" s="168"/>
      <c r="I155" s="17">
        <f t="shared" si="154"/>
        <v>0</v>
      </c>
      <c r="J155" s="17">
        <f t="shared" si="155"/>
        <v>0</v>
      </c>
      <c r="K155" s="17">
        <f t="shared" si="156"/>
        <v>0</v>
      </c>
      <c r="L155" s="28" t="s">
        <v>1671</v>
      </c>
      <c r="Z155" s="34">
        <f t="shared" si="157"/>
        <v>0</v>
      </c>
      <c r="AB155" s="34">
        <f t="shared" si="158"/>
        <v>0</v>
      </c>
      <c r="AC155" s="34">
        <f t="shared" si="159"/>
        <v>0</v>
      </c>
      <c r="AD155" s="34">
        <f t="shared" si="160"/>
        <v>0</v>
      </c>
      <c r="AE155" s="34">
        <f t="shared" si="161"/>
        <v>0</v>
      </c>
      <c r="AF155" s="34">
        <f t="shared" si="162"/>
        <v>0</v>
      </c>
      <c r="AG155" s="34">
        <f t="shared" si="163"/>
        <v>0</v>
      </c>
      <c r="AH155" s="34">
        <f t="shared" si="164"/>
        <v>0</v>
      </c>
      <c r="AI155" s="29"/>
      <c r="AJ155" s="17">
        <f t="shared" si="165"/>
        <v>0</v>
      </c>
      <c r="AK155" s="17">
        <f t="shared" si="166"/>
        <v>0</v>
      </c>
      <c r="AL155" s="17">
        <f t="shared" si="167"/>
        <v>0</v>
      </c>
      <c r="AN155" s="34">
        <v>15</v>
      </c>
      <c r="AO155" s="34">
        <f t="shared" si="176"/>
        <v>0</v>
      </c>
      <c r="AP155" s="34">
        <f t="shared" si="177"/>
        <v>0</v>
      </c>
      <c r="AQ155" s="28" t="s">
        <v>7</v>
      </c>
      <c r="AV155" s="34">
        <f t="shared" si="168"/>
        <v>0</v>
      </c>
      <c r="AW155" s="34">
        <f t="shared" si="169"/>
        <v>0</v>
      </c>
      <c r="AX155" s="34">
        <f t="shared" si="170"/>
        <v>0</v>
      </c>
      <c r="AY155" s="35" t="s">
        <v>1701</v>
      </c>
      <c r="AZ155" s="35" t="s">
        <v>1730</v>
      </c>
      <c r="BA155" s="29" t="s">
        <v>1737</v>
      </c>
      <c r="BC155" s="34">
        <f t="shared" si="171"/>
        <v>0</v>
      </c>
      <c r="BD155" s="34">
        <f t="shared" si="172"/>
        <v>0</v>
      </c>
      <c r="BE155" s="34">
        <v>0</v>
      </c>
      <c r="BF155" s="34">
        <f>155</f>
        <v>155</v>
      </c>
      <c r="BH155" s="17">
        <f t="shared" si="173"/>
        <v>0</v>
      </c>
      <c r="BI155" s="17">
        <f t="shared" si="174"/>
        <v>0</v>
      </c>
      <c r="BJ155" s="17">
        <f t="shared" si="175"/>
        <v>0</v>
      </c>
    </row>
    <row r="156" spans="1:62" x14ac:dyDescent="0.2">
      <c r="A156" s="4" t="s">
        <v>126</v>
      </c>
      <c r="B156" s="4" t="s">
        <v>684</v>
      </c>
      <c r="C156" s="240" t="s">
        <v>1195</v>
      </c>
      <c r="D156" s="241"/>
      <c r="E156" s="241"/>
      <c r="F156" s="4" t="s">
        <v>1645</v>
      </c>
      <c r="G156" s="69">
        <v>20.234999999999999</v>
      </c>
      <c r="H156" s="168"/>
      <c r="I156" s="17">
        <f t="shared" si="154"/>
        <v>0</v>
      </c>
      <c r="J156" s="17">
        <f t="shared" si="155"/>
        <v>0</v>
      </c>
      <c r="K156" s="17">
        <f t="shared" si="156"/>
        <v>0</v>
      </c>
      <c r="L156" s="28" t="s">
        <v>1671</v>
      </c>
      <c r="Z156" s="34">
        <f t="shared" si="157"/>
        <v>0</v>
      </c>
      <c r="AB156" s="34">
        <f t="shared" si="158"/>
        <v>0</v>
      </c>
      <c r="AC156" s="34">
        <f t="shared" si="159"/>
        <v>0</v>
      </c>
      <c r="AD156" s="34">
        <f t="shared" si="160"/>
        <v>0</v>
      </c>
      <c r="AE156" s="34">
        <f t="shared" si="161"/>
        <v>0</v>
      </c>
      <c r="AF156" s="34">
        <f t="shared" si="162"/>
        <v>0</v>
      </c>
      <c r="AG156" s="34">
        <f t="shared" si="163"/>
        <v>0</v>
      </c>
      <c r="AH156" s="34">
        <f t="shared" si="164"/>
        <v>0</v>
      </c>
      <c r="AI156" s="29"/>
      <c r="AJ156" s="17">
        <f t="shared" si="165"/>
        <v>0</v>
      </c>
      <c r="AK156" s="17">
        <f t="shared" si="166"/>
        <v>0</v>
      </c>
      <c r="AL156" s="17">
        <f t="shared" si="167"/>
        <v>0</v>
      </c>
      <c r="AN156" s="34">
        <v>15</v>
      </c>
      <c r="AO156" s="34">
        <f t="shared" si="176"/>
        <v>0</v>
      </c>
      <c r="AP156" s="34">
        <f t="shared" si="177"/>
        <v>0</v>
      </c>
      <c r="AQ156" s="28" t="s">
        <v>7</v>
      </c>
      <c r="AV156" s="34">
        <f t="shared" si="168"/>
        <v>0</v>
      </c>
      <c r="AW156" s="34">
        <f t="shared" si="169"/>
        <v>0</v>
      </c>
      <c r="AX156" s="34">
        <f t="shared" si="170"/>
        <v>0</v>
      </c>
      <c r="AY156" s="35" t="s">
        <v>1701</v>
      </c>
      <c r="AZ156" s="35" t="s">
        <v>1730</v>
      </c>
      <c r="BA156" s="29" t="s">
        <v>1737</v>
      </c>
      <c r="BC156" s="34">
        <f t="shared" si="171"/>
        <v>0</v>
      </c>
      <c r="BD156" s="34">
        <f t="shared" si="172"/>
        <v>0</v>
      </c>
      <c r="BE156" s="34">
        <v>0</v>
      </c>
      <c r="BF156" s="34">
        <f>156</f>
        <v>156</v>
      </c>
      <c r="BH156" s="17">
        <f t="shared" si="173"/>
        <v>0</v>
      </c>
      <c r="BI156" s="17">
        <f t="shared" si="174"/>
        <v>0</v>
      </c>
      <c r="BJ156" s="17">
        <f t="shared" si="175"/>
        <v>0</v>
      </c>
    </row>
    <row r="157" spans="1:62" x14ac:dyDescent="0.2">
      <c r="A157" s="5"/>
      <c r="B157" s="13" t="s">
        <v>104</v>
      </c>
      <c r="C157" s="244" t="s">
        <v>1196</v>
      </c>
      <c r="D157" s="245"/>
      <c r="E157" s="245"/>
      <c r="F157" s="5" t="s">
        <v>6</v>
      </c>
      <c r="G157" s="5" t="s">
        <v>6</v>
      </c>
      <c r="H157" s="5" t="s">
        <v>6</v>
      </c>
      <c r="I157" s="37">
        <f>SUM(I158:I158)</f>
        <v>0</v>
      </c>
      <c r="J157" s="37">
        <f>SUM(J158:J158)</f>
        <v>0</v>
      </c>
      <c r="K157" s="37">
        <f>SUM(K158:K158)</f>
        <v>0</v>
      </c>
      <c r="L157" s="29"/>
      <c r="AI157" s="29"/>
      <c r="AS157" s="37">
        <f>SUM(AJ158:AJ158)</f>
        <v>0</v>
      </c>
      <c r="AT157" s="37">
        <f>SUM(AK158:AK158)</f>
        <v>0</v>
      </c>
      <c r="AU157" s="37">
        <f>SUM(AL158:AL158)</f>
        <v>0</v>
      </c>
    </row>
    <row r="158" spans="1:62" x14ac:dyDescent="0.2">
      <c r="A158" s="4" t="s">
        <v>127</v>
      </c>
      <c r="B158" s="4" t="s">
        <v>685</v>
      </c>
      <c r="C158" s="240" t="s">
        <v>1197</v>
      </c>
      <c r="D158" s="241"/>
      <c r="E158" s="241"/>
      <c r="F158" s="4" t="s">
        <v>1647</v>
      </c>
      <c r="G158" s="69">
        <v>172.19</v>
      </c>
      <c r="H158" s="168"/>
      <c r="I158" s="17">
        <f>G158*AO158</f>
        <v>0</v>
      </c>
      <c r="J158" s="17">
        <f>G158*AP158</f>
        <v>0</v>
      </c>
      <c r="K158" s="17">
        <f>G158*H158</f>
        <v>0</v>
      </c>
      <c r="L158" s="28" t="s">
        <v>1671</v>
      </c>
      <c r="Z158" s="34">
        <f>IF(AQ158="5",BJ158,0)</f>
        <v>0</v>
      </c>
      <c r="AB158" s="34">
        <f>IF(AQ158="1",BH158,0)</f>
        <v>0</v>
      </c>
      <c r="AC158" s="34">
        <f>IF(AQ158="1",BI158,0)</f>
        <v>0</v>
      </c>
      <c r="AD158" s="34">
        <f>IF(AQ158="7",BH158,0)</f>
        <v>0</v>
      </c>
      <c r="AE158" s="34">
        <f>IF(AQ158="7",BI158,0)</f>
        <v>0</v>
      </c>
      <c r="AF158" s="34">
        <f>IF(AQ158="2",BH158,0)</f>
        <v>0</v>
      </c>
      <c r="AG158" s="34">
        <f>IF(AQ158="2",BI158,0)</f>
        <v>0</v>
      </c>
      <c r="AH158" s="34">
        <f>IF(AQ158="0",BJ158,0)</f>
        <v>0</v>
      </c>
      <c r="AI158" s="29"/>
      <c r="AJ158" s="17">
        <f>IF(AN158=0,K158,0)</f>
        <v>0</v>
      </c>
      <c r="AK158" s="17">
        <f>IF(AN158=15,K158,0)</f>
        <v>0</v>
      </c>
      <c r="AL158" s="17">
        <f>IF(AN158=21,K158,0)</f>
        <v>0</v>
      </c>
      <c r="AN158" s="34">
        <v>15</v>
      </c>
      <c r="AO158" s="34">
        <f>H158*0.0233224755700326</f>
        <v>0</v>
      </c>
      <c r="AP158" s="34">
        <f>H158*(1-0.0233224755700326)</f>
        <v>0</v>
      </c>
      <c r="AQ158" s="28" t="s">
        <v>7</v>
      </c>
      <c r="AV158" s="34">
        <f>AW158+AX158</f>
        <v>0</v>
      </c>
      <c r="AW158" s="34">
        <f>G158*AO158</f>
        <v>0</v>
      </c>
      <c r="AX158" s="34">
        <f>G158*AP158</f>
        <v>0</v>
      </c>
      <c r="AY158" s="35" t="s">
        <v>1702</v>
      </c>
      <c r="AZ158" s="35" t="s">
        <v>1730</v>
      </c>
      <c r="BA158" s="29" t="s">
        <v>1737</v>
      </c>
      <c r="BC158" s="34">
        <f>AW158+AX158</f>
        <v>0</v>
      </c>
      <c r="BD158" s="34">
        <f>H158/(100-BE158)*100</f>
        <v>0</v>
      </c>
      <c r="BE158" s="34">
        <v>0</v>
      </c>
      <c r="BF158" s="34">
        <f>158</f>
        <v>158</v>
      </c>
      <c r="BH158" s="17">
        <f>G158*AO158</f>
        <v>0</v>
      </c>
      <c r="BI158" s="17">
        <f>G158*AP158</f>
        <v>0</v>
      </c>
      <c r="BJ158" s="17">
        <f>G158*H158</f>
        <v>0</v>
      </c>
    </row>
    <row r="159" spans="1:62" x14ac:dyDescent="0.2">
      <c r="A159" s="5"/>
      <c r="B159" s="13" t="s">
        <v>686</v>
      </c>
      <c r="C159" s="244" t="s">
        <v>1198</v>
      </c>
      <c r="D159" s="245"/>
      <c r="E159" s="245"/>
      <c r="F159" s="5" t="s">
        <v>6</v>
      </c>
      <c r="G159" s="5" t="s">
        <v>6</v>
      </c>
      <c r="H159" s="5" t="s">
        <v>6</v>
      </c>
      <c r="I159" s="37">
        <f>SUM(I160:I175)</f>
        <v>0</v>
      </c>
      <c r="J159" s="37">
        <f>SUM(J160:J175)</f>
        <v>0</v>
      </c>
      <c r="K159" s="37">
        <f>SUM(K160:K175)</f>
        <v>0</v>
      </c>
      <c r="L159" s="29"/>
      <c r="AI159" s="29"/>
      <c r="AS159" s="37">
        <f>SUM(AJ160:AJ175)</f>
        <v>0</v>
      </c>
      <c r="AT159" s="37">
        <f>SUM(AK160:AK175)</f>
        <v>0</v>
      </c>
      <c r="AU159" s="37">
        <f>SUM(AL160:AL175)</f>
        <v>0</v>
      </c>
    </row>
    <row r="160" spans="1:62" x14ac:dyDescent="0.2">
      <c r="A160" s="4" t="s">
        <v>128</v>
      </c>
      <c r="B160" s="4" t="s">
        <v>687</v>
      </c>
      <c r="C160" s="240" t="s">
        <v>1199</v>
      </c>
      <c r="D160" s="241"/>
      <c r="E160" s="241"/>
      <c r="F160" s="4" t="s">
        <v>1648</v>
      </c>
      <c r="G160" s="69">
        <v>38.627000000000002</v>
      </c>
      <c r="H160" s="168"/>
      <c r="I160" s="17">
        <f t="shared" ref="I160:I175" si="178">G160*AO160</f>
        <v>0</v>
      </c>
      <c r="J160" s="17">
        <f t="shared" ref="J160:J175" si="179">G160*AP160</f>
        <v>0</v>
      </c>
      <c r="K160" s="17">
        <f t="shared" ref="K160:K175" si="180">G160*H160</f>
        <v>0</v>
      </c>
      <c r="L160" s="28" t="s">
        <v>1671</v>
      </c>
      <c r="Z160" s="34">
        <f t="shared" ref="Z160:Z175" si="181">IF(AQ160="5",BJ160,0)</f>
        <v>0</v>
      </c>
      <c r="AB160" s="34">
        <f t="shared" ref="AB160:AB175" si="182">IF(AQ160="1",BH160,0)</f>
        <v>0</v>
      </c>
      <c r="AC160" s="34">
        <f t="shared" ref="AC160:AC175" si="183">IF(AQ160="1",BI160,0)</f>
        <v>0</v>
      </c>
      <c r="AD160" s="34">
        <f t="shared" ref="AD160:AD175" si="184">IF(AQ160="7",BH160,0)</f>
        <v>0</v>
      </c>
      <c r="AE160" s="34">
        <f t="shared" ref="AE160:AE175" si="185">IF(AQ160="7",BI160,0)</f>
        <v>0</v>
      </c>
      <c r="AF160" s="34">
        <f t="shared" ref="AF160:AF175" si="186">IF(AQ160="2",BH160,0)</f>
        <v>0</v>
      </c>
      <c r="AG160" s="34">
        <f t="shared" ref="AG160:AG175" si="187">IF(AQ160="2",BI160,0)</f>
        <v>0</v>
      </c>
      <c r="AH160" s="34">
        <f t="shared" ref="AH160:AH175" si="188">IF(AQ160="0",BJ160,0)</f>
        <v>0</v>
      </c>
      <c r="AI160" s="29"/>
      <c r="AJ160" s="17">
        <f t="shared" ref="AJ160:AJ175" si="189">IF(AN160=0,K160,0)</f>
        <v>0</v>
      </c>
      <c r="AK160" s="17">
        <f t="shared" ref="AK160:AK175" si="190">IF(AN160=15,K160,0)</f>
        <v>0</v>
      </c>
      <c r="AL160" s="17">
        <f t="shared" ref="AL160:AL175" si="191">IF(AN160=21,K160,0)</f>
        <v>0</v>
      </c>
      <c r="AN160" s="34">
        <v>15</v>
      </c>
      <c r="AO160" s="34">
        <f t="shared" ref="AO160:AO175" si="192">H160*0</f>
        <v>0</v>
      </c>
      <c r="AP160" s="34">
        <f t="shared" ref="AP160:AP175" si="193">H160*(1-0)</f>
        <v>0</v>
      </c>
      <c r="AQ160" s="28" t="s">
        <v>11</v>
      </c>
      <c r="AV160" s="34">
        <f t="shared" ref="AV160:AV175" si="194">AW160+AX160</f>
        <v>0</v>
      </c>
      <c r="AW160" s="34">
        <f t="shared" ref="AW160:AW175" si="195">G160*AO160</f>
        <v>0</v>
      </c>
      <c r="AX160" s="34">
        <f t="shared" ref="AX160:AX175" si="196">G160*AP160</f>
        <v>0</v>
      </c>
      <c r="AY160" s="35" t="s">
        <v>1703</v>
      </c>
      <c r="AZ160" s="35" t="s">
        <v>1730</v>
      </c>
      <c r="BA160" s="29" t="s">
        <v>1737</v>
      </c>
      <c r="BC160" s="34">
        <f t="shared" ref="BC160:BC175" si="197">AW160+AX160</f>
        <v>0</v>
      </c>
      <c r="BD160" s="34">
        <f t="shared" ref="BD160:BD175" si="198">H160/(100-BE160)*100</f>
        <v>0</v>
      </c>
      <c r="BE160" s="34">
        <v>0</v>
      </c>
      <c r="BF160" s="34">
        <f>160</f>
        <v>160</v>
      </c>
      <c r="BH160" s="17">
        <f t="shared" ref="BH160:BH175" si="199">G160*AO160</f>
        <v>0</v>
      </c>
      <c r="BI160" s="17">
        <f t="shared" ref="BI160:BI175" si="200">G160*AP160</f>
        <v>0</v>
      </c>
      <c r="BJ160" s="17">
        <f t="shared" ref="BJ160:BJ175" si="201">G160*H160</f>
        <v>0</v>
      </c>
    </row>
    <row r="161" spans="1:62" x14ac:dyDescent="0.2">
      <c r="A161" s="4" t="s">
        <v>129</v>
      </c>
      <c r="B161" s="4" t="s">
        <v>688</v>
      </c>
      <c r="C161" s="240" t="s">
        <v>1200</v>
      </c>
      <c r="D161" s="241"/>
      <c r="E161" s="241"/>
      <c r="F161" s="4" t="s">
        <v>1648</v>
      </c>
      <c r="G161" s="69">
        <v>25.751999999999999</v>
      </c>
      <c r="H161" s="168"/>
      <c r="I161" s="17">
        <f t="shared" si="178"/>
        <v>0</v>
      </c>
      <c r="J161" s="17">
        <f t="shared" si="179"/>
        <v>0</v>
      </c>
      <c r="K161" s="17">
        <f t="shared" si="180"/>
        <v>0</v>
      </c>
      <c r="L161" s="28" t="s">
        <v>1671</v>
      </c>
      <c r="Z161" s="34">
        <f t="shared" si="181"/>
        <v>0</v>
      </c>
      <c r="AB161" s="34">
        <f t="shared" si="182"/>
        <v>0</v>
      </c>
      <c r="AC161" s="34">
        <f t="shared" si="183"/>
        <v>0</v>
      </c>
      <c r="AD161" s="34">
        <f t="shared" si="184"/>
        <v>0</v>
      </c>
      <c r="AE161" s="34">
        <f t="shared" si="185"/>
        <v>0</v>
      </c>
      <c r="AF161" s="34">
        <f t="shared" si="186"/>
        <v>0</v>
      </c>
      <c r="AG161" s="34">
        <f t="shared" si="187"/>
        <v>0</v>
      </c>
      <c r="AH161" s="34">
        <f t="shared" si="188"/>
        <v>0</v>
      </c>
      <c r="AI161" s="29"/>
      <c r="AJ161" s="17">
        <f t="shared" si="189"/>
        <v>0</v>
      </c>
      <c r="AK161" s="17">
        <f t="shared" si="190"/>
        <v>0</v>
      </c>
      <c r="AL161" s="17">
        <f t="shared" si="191"/>
        <v>0</v>
      </c>
      <c r="AN161" s="34">
        <v>15</v>
      </c>
      <c r="AO161" s="34">
        <f t="shared" si="192"/>
        <v>0</v>
      </c>
      <c r="AP161" s="34">
        <f t="shared" si="193"/>
        <v>0</v>
      </c>
      <c r="AQ161" s="28" t="s">
        <v>11</v>
      </c>
      <c r="AV161" s="34">
        <f t="shared" si="194"/>
        <v>0</v>
      </c>
      <c r="AW161" s="34">
        <f t="shared" si="195"/>
        <v>0</v>
      </c>
      <c r="AX161" s="34">
        <f t="shared" si="196"/>
        <v>0</v>
      </c>
      <c r="AY161" s="35" t="s">
        <v>1703</v>
      </c>
      <c r="AZ161" s="35" t="s">
        <v>1730</v>
      </c>
      <c r="BA161" s="29" t="s">
        <v>1737</v>
      </c>
      <c r="BC161" s="34">
        <f t="shared" si="197"/>
        <v>0</v>
      </c>
      <c r="BD161" s="34">
        <f t="shared" si="198"/>
        <v>0</v>
      </c>
      <c r="BE161" s="34">
        <v>0</v>
      </c>
      <c r="BF161" s="34">
        <f>161</f>
        <v>161</v>
      </c>
      <c r="BH161" s="17">
        <f t="shared" si="199"/>
        <v>0</v>
      </c>
      <c r="BI161" s="17">
        <f t="shared" si="200"/>
        <v>0</v>
      </c>
      <c r="BJ161" s="17">
        <f t="shared" si="201"/>
        <v>0</v>
      </c>
    </row>
    <row r="162" spans="1:62" x14ac:dyDescent="0.2">
      <c r="A162" s="4" t="s">
        <v>130</v>
      </c>
      <c r="B162" s="4" t="s">
        <v>689</v>
      </c>
      <c r="C162" s="240" t="s">
        <v>1201</v>
      </c>
      <c r="D162" s="241"/>
      <c r="E162" s="241"/>
      <c r="F162" s="4" t="s">
        <v>1648</v>
      </c>
      <c r="G162" s="69">
        <v>154.50899999999999</v>
      </c>
      <c r="H162" s="168"/>
      <c r="I162" s="17">
        <f t="shared" si="178"/>
        <v>0</v>
      </c>
      <c r="J162" s="17">
        <f t="shared" si="179"/>
        <v>0</v>
      </c>
      <c r="K162" s="17">
        <f t="shared" si="180"/>
        <v>0</v>
      </c>
      <c r="L162" s="28" t="s">
        <v>1671</v>
      </c>
      <c r="Z162" s="34">
        <f t="shared" si="181"/>
        <v>0</v>
      </c>
      <c r="AB162" s="34">
        <f t="shared" si="182"/>
        <v>0</v>
      </c>
      <c r="AC162" s="34">
        <f t="shared" si="183"/>
        <v>0</v>
      </c>
      <c r="AD162" s="34">
        <f t="shared" si="184"/>
        <v>0</v>
      </c>
      <c r="AE162" s="34">
        <f t="shared" si="185"/>
        <v>0</v>
      </c>
      <c r="AF162" s="34">
        <f t="shared" si="186"/>
        <v>0</v>
      </c>
      <c r="AG162" s="34">
        <f t="shared" si="187"/>
        <v>0</v>
      </c>
      <c r="AH162" s="34">
        <f t="shared" si="188"/>
        <v>0</v>
      </c>
      <c r="AI162" s="29"/>
      <c r="AJ162" s="17">
        <f t="shared" si="189"/>
        <v>0</v>
      </c>
      <c r="AK162" s="17">
        <f t="shared" si="190"/>
        <v>0</v>
      </c>
      <c r="AL162" s="17">
        <f t="shared" si="191"/>
        <v>0</v>
      </c>
      <c r="AN162" s="34">
        <v>15</v>
      </c>
      <c r="AO162" s="34">
        <f t="shared" si="192"/>
        <v>0</v>
      </c>
      <c r="AP162" s="34">
        <f t="shared" si="193"/>
        <v>0</v>
      </c>
      <c r="AQ162" s="28" t="s">
        <v>11</v>
      </c>
      <c r="AV162" s="34">
        <f t="shared" si="194"/>
        <v>0</v>
      </c>
      <c r="AW162" s="34">
        <f t="shared" si="195"/>
        <v>0</v>
      </c>
      <c r="AX162" s="34">
        <f t="shared" si="196"/>
        <v>0</v>
      </c>
      <c r="AY162" s="35" t="s">
        <v>1703</v>
      </c>
      <c r="AZ162" s="35" t="s">
        <v>1730</v>
      </c>
      <c r="BA162" s="29" t="s">
        <v>1737</v>
      </c>
      <c r="BC162" s="34">
        <f t="shared" si="197"/>
        <v>0</v>
      </c>
      <c r="BD162" s="34">
        <f t="shared" si="198"/>
        <v>0</v>
      </c>
      <c r="BE162" s="34">
        <v>0</v>
      </c>
      <c r="BF162" s="34">
        <f>162</f>
        <v>162</v>
      </c>
      <c r="BH162" s="17">
        <f t="shared" si="199"/>
        <v>0</v>
      </c>
      <c r="BI162" s="17">
        <f t="shared" si="200"/>
        <v>0</v>
      </c>
      <c r="BJ162" s="17">
        <f t="shared" si="201"/>
        <v>0</v>
      </c>
    </row>
    <row r="163" spans="1:62" x14ac:dyDescent="0.2">
      <c r="A163" s="4" t="s">
        <v>131</v>
      </c>
      <c r="B163" s="4" t="s">
        <v>690</v>
      </c>
      <c r="C163" s="240" t="s">
        <v>1202</v>
      </c>
      <c r="D163" s="241"/>
      <c r="E163" s="241"/>
      <c r="F163" s="4" t="s">
        <v>1648</v>
      </c>
      <c r="G163" s="69">
        <v>1390.5809999999999</v>
      </c>
      <c r="H163" s="168"/>
      <c r="I163" s="17">
        <f t="shared" si="178"/>
        <v>0</v>
      </c>
      <c r="J163" s="17">
        <f t="shared" si="179"/>
        <v>0</v>
      </c>
      <c r="K163" s="17">
        <f t="shared" si="180"/>
        <v>0</v>
      </c>
      <c r="L163" s="28" t="s">
        <v>1671</v>
      </c>
      <c r="Z163" s="34">
        <f t="shared" si="181"/>
        <v>0</v>
      </c>
      <c r="AB163" s="34">
        <f t="shared" si="182"/>
        <v>0</v>
      </c>
      <c r="AC163" s="34">
        <f t="shared" si="183"/>
        <v>0</v>
      </c>
      <c r="AD163" s="34">
        <f t="shared" si="184"/>
        <v>0</v>
      </c>
      <c r="AE163" s="34">
        <f t="shared" si="185"/>
        <v>0</v>
      </c>
      <c r="AF163" s="34">
        <f t="shared" si="186"/>
        <v>0</v>
      </c>
      <c r="AG163" s="34">
        <f t="shared" si="187"/>
        <v>0</v>
      </c>
      <c r="AH163" s="34">
        <f t="shared" si="188"/>
        <v>0</v>
      </c>
      <c r="AI163" s="29"/>
      <c r="AJ163" s="17">
        <f t="shared" si="189"/>
        <v>0</v>
      </c>
      <c r="AK163" s="17">
        <f t="shared" si="190"/>
        <v>0</v>
      </c>
      <c r="AL163" s="17">
        <f t="shared" si="191"/>
        <v>0</v>
      </c>
      <c r="AN163" s="34">
        <v>15</v>
      </c>
      <c r="AO163" s="34">
        <f t="shared" si="192"/>
        <v>0</v>
      </c>
      <c r="AP163" s="34">
        <f t="shared" si="193"/>
        <v>0</v>
      </c>
      <c r="AQ163" s="28" t="s">
        <v>11</v>
      </c>
      <c r="AV163" s="34">
        <f t="shared" si="194"/>
        <v>0</v>
      </c>
      <c r="AW163" s="34">
        <f t="shared" si="195"/>
        <v>0</v>
      </c>
      <c r="AX163" s="34">
        <f t="shared" si="196"/>
        <v>0</v>
      </c>
      <c r="AY163" s="35" t="s">
        <v>1703</v>
      </c>
      <c r="AZ163" s="35" t="s">
        <v>1730</v>
      </c>
      <c r="BA163" s="29" t="s">
        <v>1737</v>
      </c>
      <c r="BC163" s="34">
        <f t="shared" si="197"/>
        <v>0</v>
      </c>
      <c r="BD163" s="34">
        <f t="shared" si="198"/>
        <v>0</v>
      </c>
      <c r="BE163" s="34">
        <v>0</v>
      </c>
      <c r="BF163" s="34">
        <f>163</f>
        <v>163</v>
      </c>
      <c r="BH163" s="17">
        <f t="shared" si="199"/>
        <v>0</v>
      </c>
      <c r="BI163" s="17">
        <f t="shared" si="200"/>
        <v>0</v>
      </c>
      <c r="BJ163" s="17">
        <f t="shared" si="201"/>
        <v>0</v>
      </c>
    </row>
    <row r="164" spans="1:62" x14ac:dyDescent="0.2">
      <c r="A164" s="4" t="s">
        <v>132</v>
      </c>
      <c r="B164" s="4" t="s">
        <v>691</v>
      </c>
      <c r="C164" s="240" t="s">
        <v>1203</v>
      </c>
      <c r="D164" s="241"/>
      <c r="E164" s="241"/>
      <c r="F164" s="4" t="s">
        <v>1648</v>
      </c>
      <c r="G164" s="69">
        <v>154.50899999999999</v>
      </c>
      <c r="H164" s="168"/>
      <c r="I164" s="17">
        <f t="shared" si="178"/>
        <v>0</v>
      </c>
      <c r="J164" s="17">
        <f t="shared" si="179"/>
        <v>0</v>
      </c>
      <c r="K164" s="17">
        <f t="shared" si="180"/>
        <v>0</v>
      </c>
      <c r="L164" s="28" t="s">
        <v>1671</v>
      </c>
      <c r="Z164" s="34">
        <f t="shared" si="181"/>
        <v>0</v>
      </c>
      <c r="AB164" s="34">
        <f t="shared" si="182"/>
        <v>0</v>
      </c>
      <c r="AC164" s="34">
        <f t="shared" si="183"/>
        <v>0</v>
      </c>
      <c r="AD164" s="34">
        <f t="shared" si="184"/>
        <v>0</v>
      </c>
      <c r="AE164" s="34">
        <f t="shared" si="185"/>
        <v>0</v>
      </c>
      <c r="AF164" s="34">
        <f t="shared" si="186"/>
        <v>0</v>
      </c>
      <c r="AG164" s="34">
        <f t="shared" si="187"/>
        <v>0</v>
      </c>
      <c r="AH164" s="34">
        <f t="shared" si="188"/>
        <v>0</v>
      </c>
      <c r="AI164" s="29"/>
      <c r="AJ164" s="17">
        <f t="shared" si="189"/>
        <v>0</v>
      </c>
      <c r="AK164" s="17">
        <f t="shared" si="190"/>
        <v>0</v>
      </c>
      <c r="AL164" s="17">
        <f t="shared" si="191"/>
        <v>0</v>
      </c>
      <c r="AN164" s="34">
        <v>15</v>
      </c>
      <c r="AO164" s="34">
        <f t="shared" si="192"/>
        <v>0</v>
      </c>
      <c r="AP164" s="34">
        <f t="shared" si="193"/>
        <v>0</v>
      </c>
      <c r="AQ164" s="28" t="s">
        <v>11</v>
      </c>
      <c r="AV164" s="34">
        <f t="shared" si="194"/>
        <v>0</v>
      </c>
      <c r="AW164" s="34">
        <f t="shared" si="195"/>
        <v>0</v>
      </c>
      <c r="AX164" s="34">
        <f t="shared" si="196"/>
        <v>0</v>
      </c>
      <c r="AY164" s="35" t="s">
        <v>1703</v>
      </c>
      <c r="AZ164" s="35" t="s">
        <v>1730</v>
      </c>
      <c r="BA164" s="29" t="s">
        <v>1737</v>
      </c>
      <c r="BC164" s="34">
        <f t="shared" si="197"/>
        <v>0</v>
      </c>
      <c r="BD164" s="34">
        <f t="shared" si="198"/>
        <v>0</v>
      </c>
      <c r="BE164" s="34">
        <v>0</v>
      </c>
      <c r="BF164" s="34">
        <f>164</f>
        <v>164</v>
      </c>
      <c r="BH164" s="17">
        <f t="shared" si="199"/>
        <v>0</v>
      </c>
      <c r="BI164" s="17">
        <f t="shared" si="200"/>
        <v>0</v>
      </c>
      <c r="BJ164" s="17">
        <f t="shared" si="201"/>
        <v>0</v>
      </c>
    </row>
    <row r="165" spans="1:62" x14ac:dyDescent="0.2">
      <c r="A165" s="4" t="s">
        <v>133</v>
      </c>
      <c r="B165" s="4" t="s">
        <v>692</v>
      </c>
      <c r="C165" s="240" t="s">
        <v>1204</v>
      </c>
      <c r="D165" s="241"/>
      <c r="E165" s="241"/>
      <c r="F165" s="4" t="s">
        <v>1648</v>
      </c>
      <c r="G165" s="69">
        <v>618.03599999999994</v>
      </c>
      <c r="H165" s="168"/>
      <c r="I165" s="17">
        <f t="shared" si="178"/>
        <v>0</v>
      </c>
      <c r="J165" s="17">
        <f t="shared" si="179"/>
        <v>0</v>
      </c>
      <c r="K165" s="17">
        <f t="shared" si="180"/>
        <v>0</v>
      </c>
      <c r="L165" s="28" t="s">
        <v>1671</v>
      </c>
      <c r="Z165" s="34">
        <f t="shared" si="181"/>
        <v>0</v>
      </c>
      <c r="AB165" s="34">
        <f t="shared" si="182"/>
        <v>0</v>
      </c>
      <c r="AC165" s="34">
        <f t="shared" si="183"/>
        <v>0</v>
      </c>
      <c r="AD165" s="34">
        <f t="shared" si="184"/>
        <v>0</v>
      </c>
      <c r="AE165" s="34">
        <f t="shared" si="185"/>
        <v>0</v>
      </c>
      <c r="AF165" s="34">
        <f t="shared" si="186"/>
        <v>0</v>
      </c>
      <c r="AG165" s="34">
        <f t="shared" si="187"/>
        <v>0</v>
      </c>
      <c r="AH165" s="34">
        <f t="shared" si="188"/>
        <v>0</v>
      </c>
      <c r="AI165" s="29"/>
      <c r="AJ165" s="17">
        <f t="shared" si="189"/>
        <v>0</v>
      </c>
      <c r="AK165" s="17">
        <f t="shared" si="190"/>
        <v>0</v>
      </c>
      <c r="AL165" s="17">
        <f t="shared" si="191"/>
        <v>0</v>
      </c>
      <c r="AN165" s="34">
        <v>15</v>
      </c>
      <c r="AO165" s="34">
        <f t="shared" si="192"/>
        <v>0</v>
      </c>
      <c r="AP165" s="34">
        <f t="shared" si="193"/>
        <v>0</v>
      </c>
      <c r="AQ165" s="28" t="s">
        <v>11</v>
      </c>
      <c r="AV165" s="34">
        <f t="shared" si="194"/>
        <v>0</v>
      </c>
      <c r="AW165" s="34">
        <f t="shared" si="195"/>
        <v>0</v>
      </c>
      <c r="AX165" s="34">
        <f t="shared" si="196"/>
        <v>0</v>
      </c>
      <c r="AY165" s="35" t="s">
        <v>1703</v>
      </c>
      <c r="AZ165" s="35" t="s">
        <v>1730</v>
      </c>
      <c r="BA165" s="29" t="s">
        <v>1737</v>
      </c>
      <c r="BC165" s="34">
        <f t="shared" si="197"/>
        <v>0</v>
      </c>
      <c r="BD165" s="34">
        <f t="shared" si="198"/>
        <v>0</v>
      </c>
      <c r="BE165" s="34">
        <v>0</v>
      </c>
      <c r="BF165" s="34">
        <f>165</f>
        <v>165</v>
      </c>
      <c r="BH165" s="17">
        <f t="shared" si="199"/>
        <v>0</v>
      </c>
      <c r="BI165" s="17">
        <f t="shared" si="200"/>
        <v>0</v>
      </c>
      <c r="BJ165" s="17">
        <f t="shared" si="201"/>
        <v>0</v>
      </c>
    </row>
    <row r="166" spans="1:62" x14ac:dyDescent="0.2">
      <c r="A166" s="4" t="s">
        <v>134</v>
      </c>
      <c r="B166" s="4" t="s">
        <v>693</v>
      </c>
      <c r="C166" s="240" t="s">
        <v>1205</v>
      </c>
      <c r="D166" s="241"/>
      <c r="E166" s="241"/>
      <c r="F166" s="4" t="s">
        <v>1648</v>
      </c>
      <c r="G166" s="69">
        <v>154.50899999999999</v>
      </c>
      <c r="H166" s="168"/>
      <c r="I166" s="17">
        <f t="shared" si="178"/>
        <v>0</v>
      </c>
      <c r="J166" s="17">
        <f t="shared" si="179"/>
        <v>0</v>
      </c>
      <c r="K166" s="17">
        <f t="shared" si="180"/>
        <v>0</v>
      </c>
      <c r="L166" s="28" t="s">
        <v>1671</v>
      </c>
      <c r="Z166" s="34">
        <f t="shared" si="181"/>
        <v>0</v>
      </c>
      <c r="AB166" s="34">
        <f t="shared" si="182"/>
        <v>0</v>
      </c>
      <c r="AC166" s="34">
        <f t="shared" si="183"/>
        <v>0</v>
      </c>
      <c r="AD166" s="34">
        <f t="shared" si="184"/>
        <v>0</v>
      </c>
      <c r="AE166" s="34">
        <f t="shared" si="185"/>
        <v>0</v>
      </c>
      <c r="AF166" s="34">
        <f t="shared" si="186"/>
        <v>0</v>
      </c>
      <c r="AG166" s="34">
        <f t="shared" si="187"/>
        <v>0</v>
      </c>
      <c r="AH166" s="34">
        <f t="shared" si="188"/>
        <v>0</v>
      </c>
      <c r="AI166" s="29"/>
      <c r="AJ166" s="17">
        <f t="shared" si="189"/>
        <v>0</v>
      </c>
      <c r="AK166" s="17">
        <f t="shared" si="190"/>
        <v>0</v>
      </c>
      <c r="AL166" s="17">
        <f t="shared" si="191"/>
        <v>0</v>
      </c>
      <c r="AN166" s="34">
        <v>15</v>
      </c>
      <c r="AO166" s="34">
        <f t="shared" si="192"/>
        <v>0</v>
      </c>
      <c r="AP166" s="34">
        <f t="shared" si="193"/>
        <v>0</v>
      </c>
      <c r="AQ166" s="28" t="s">
        <v>11</v>
      </c>
      <c r="AV166" s="34">
        <f t="shared" si="194"/>
        <v>0</v>
      </c>
      <c r="AW166" s="34">
        <f t="shared" si="195"/>
        <v>0</v>
      </c>
      <c r="AX166" s="34">
        <f t="shared" si="196"/>
        <v>0</v>
      </c>
      <c r="AY166" s="35" t="s">
        <v>1703</v>
      </c>
      <c r="AZ166" s="35" t="s">
        <v>1730</v>
      </c>
      <c r="BA166" s="29" t="s">
        <v>1737</v>
      </c>
      <c r="BC166" s="34">
        <f t="shared" si="197"/>
        <v>0</v>
      </c>
      <c r="BD166" s="34">
        <f t="shared" si="198"/>
        <v>0</v>
      </c>
      <c r="BE166" s="34">
        <v>0</v>
      </c>
      <c r="BF166" s="34">
        <f>166</f>
        <v>166</v>
      </c>
      <c r="BH166" s="17">
        <f t="shared" si="199"/>
        <v>0</v>
      </c>
      <c r="BI166" s="17">
        <f t="shared" si="200"/>
        <v>0</v>
      </c>
      <c r="BJ166" s="17">
        <f t="shared" si="201"/>
        <v>0</v>
      </c>
    </row>
    <row r="167" spans="1:62" x14ac:dyDescent="0.2">
      <c r="A167" s="4" t="s">
        <v>135</v>
      </c>
      <c r="B167" s="4" t="s">
        <v>694</v>
      </c>
      <c r="C167" s="240" t="s">
        <v>1206</v>
      </c>
      <c r="D167" s="241"/>
      <c r="E167" s="241"/>
      <c r="F167" s="4" t="s">
        <v>1648</v>
      </c>
      <c r="G167" s="69">
        <v>154.50899999999999</v>
      </c>
      <c r="H167" s="168"/>
      <c r="I167" s="17">
        <f t="shared" si="178"/>
        <v>0</v>
      </c>
      <c r="J167" s="17">
        <f t="shared" si="179"/>
        <v>0</v>
      </c>
      <c r="K167" s="17">
        <f t="shared" si="180"/>
        <v>0</v>
      </c>
      <c r="L167" s="28" t="s">
        <v>1671</v>
      </c>
      <c r="Z167" s="34">
        <f t="shared" si="181"/>
        <v>0</v>
      </c>
      <c r="AB167" s="34">
        <f t="shared" si="182"/>
        <v>0</v>
      </c>
      <c r="AC167" s="34">
        <f t="shared" si="183"/>
        <v>0</v>
      </c>
      <c r="AD167" s="34">
        <f t="shared" si="184"/>
        <v>0</v>
      </c>
      <c r="AE167" s="34">
        <f t="shared" si="185"/>
        <v>0</v>
      </c>
      <c r="AF167" s="34">
        <f t="shared" si="186"/>
        <v>0</v>
      </c>
      <c r="AG167" s="34">
        <f t="shared" si="187"/>
        <v>0</v>
      </c>
      <c r="AH167" s="34">
        <f t="shared" si="188"/>
        <v>0</v>
      </c>
      <c r="AI167" s="29"/>
      <c r="AJ167" s="17">
        <f t="shared" si="189"/>
        <v>0</v>
      </c>
      <c r="AK167" s="17">
        <f t="shared" si="190"/>
        <v>0</v>
      </c>
      <c r="AL167" s="17">
        <f t="shared" si="191"/>
        <v>0</v>
      </c>
      <c r="AN167" s="34">
        <v>15</v>
      </c>
      <c r="AO167" s="34">
        <f t="shared" si="192"/>
        <v>0</v>
      </c>
      <c r="AP167" s="34">
        <f t="shared" si="193"/>
        <v>0</v>
      </c>
      <c r="AQ167" s="28" t="s">
        <v>11</v>
      </c>
      <c r="AV167" s="34">
        <f t="shared" si="194"/>
        <v>0</v>
      </c>
      <c r="AW167" s="34">
        <f t="shared" si="195"/>
        <v>0</v>
      </c>
      <c r="AX167" s="34">
        <f t="shared" si="196"/>
        <v>0</v>
      </c>
      <c r="AY167" s="35" t="s">
        <v>1703</v>
      </c>
      <c r="AZ167" s="35" t="s">
        <v>1730</v>
      </c>
      <c r="BA167" s="29" t="s">
        <v>1737</v>
      </c>
      <c r="BC167" s="34">
        <f t="shared" si="197"/>
        <v>0</v>
      </c>
      <c r="BD167" s="34">
        <f t="shared" si="198"/>
        <v>0</v>
      </c>
      <c r="BE167" s="34">
        <v>0</v>
      </c>
      <c r="BF167" s="34">
        <f>167</f>
        <v>167</v>
      </c>
      <c r="BH167" s="17">
        <f t="shared" si="199"/>
        <v>0</v>
      </c>
      <c r="BI167" s="17">
        <f t="shared" si="200"/>
        <v>0</v>
      </c>
      <c r="BJ167" s="17">
        <f t="shared" si="201"/>
        <v>0</v>
      </c>
    </row>
    <row r="168" spans="1:62" x14ac:dyDescent="0.2">
      <c r="A168" s="4" t="s">
        <v>136</v>
      </c>
      <c r="B168" s="4" t="s">
        <v>695</v>
      </c>
      <c r="C168" s="240" t="s">
        <v>1207</v>
      </c>
      <c r="D168" s="241"/>
      <c r="E168" s="241"/>
      <c r="F168" s="4" t="s">
        <v>1648</v>
      </c>
      <c r="G168" s="69">
        <v>3.3780000000000001</v>
      </c>
      <c r="H168" s="168"/>
      <c r="I168" s="17">
        <f t="shared" si="178"/>
        <v>0</v>
      </c>
      <c r="J168" s="17">
        <f t="shared" si="179"/>
        <v>0</v>
      </c>
      <c r="K168" s="17">
        <f t="shared" si="180"/>
        <v>0</v>
      </c>
      <c r="L168" s="28" t="s">
        <v>1671</v>
      </c>
      <c r="Z168" s="34">
        <f t="shared" si="181"/>
        <v>0</v>
      </c>
      <c r="AB168" s="34">
        <f t="shared" si="182"/>
        <v>0</v>
      </c>
      <c r="AC168" s="34">
        <f t="shared" si="183"/>
        <v>0</v>
      </c>
      <c r="AD168" s="34">
        <f t="shared" si="184"/>
        <v>0</v>
      </c>
      <c r="AE168" s="34">
        <f t="shared" si="185"/>
        <v>0</v>
      </c>
      <c r="AF168" s="34">
        <f t="shared" si="186"/>
        <v>0</v>
      </c>
      <c r="AG168" s="34">
        <f t="shared" si="187"/>
        <v>0</v>
      </c>
      <c r="AH168" s="34">
        <f t="shared" si="188"/>
        <v>0</v>
      </c>
      <c r="AI168" s="29"/>
      <c r="AJ168" s="17">
        <f t="shared" si="189"/>
        <v>0</v>
      </c>
      <c r="AK168" s="17">
        <f t="shared" si="190"/>
        <v>0</v>
      </c>
      <c r="AL168" s="17">
        <f t="shared" si="191"/>
        <v>0</v>
      </c>
      <c r="AN168" s="34">
        <v>15</v>
      </c>
      <c r="AO168" s="34">
        <f t="shared" si="192"/>
        <v>0</v>
      </c>
      <c r="AP168" s="34">
        <f t="shared" si="193"/>
        <v>0</v>
      </c>
      <c r="AQ168" s="28" t="s">
        <v>11</v>
      </c>
      <c r="AV168" s="34">
        <f t="shared" si="194"/>
        <v>0</v>
      </c>
      <c r="AW168" s="34">
        <f t="shared" si="195"/>
        <v>0</v>
      </c>
      <c r="AX168" s="34">
        <f t="shared" si="196"/>
        <v>0</v>
      </c>
      <c r="AY168" s="35" t="s">
        <v>1703</v>
      </c>
      <c r="AZ168" s="35" t="s">
        <v>1730</v>
      </c>
      <c r="BA168" s="29" t="s">
        <v>1737</v>
      </c>
      <c r="BC168" s="34">
        <f t="shared" si="197"/>
        <v>0</v>
      </c>
      <c r="BD168" s="34">
        <f t="shared" si="198"/>
        <v>0</v>
      </c>
      <c r="BE168" s="34">
        <v>0</v>
      </c>
      <c r="BF168" s="34">
        <f>168</f>
        <v>168</v>
      </c>
      <c r="BH168" s="17">
        <f t="shared" si="199"/>
        <v>0</v>
      </c>
      <c r="BI168" s="17">
        <f t="shared" si="200"/>
        <v>0</v>
      </c>
      <c r="BJ168" s="17">
        <f t="shared" si="201"/>
        <v>0</v>
      </c>
    </row>
    <row r="169" spans="1:62" x14ac:dyDescent="0.2">
      <c r="A169" s="4" t="s">
        <v>137</v>
      </c>
      <c r="B169" s="4" t="s">
        <v>696</v>
      </c>
      <c r="C169" s="240" t="s">
        <v>1208</v>
      </c>
      <c r="D169" s="241"/>
      <c r="E169" s="241"/>
      <c r="F169" s="4" t="s">
        <v>1648</v>
      </c>
      <c r="G169" s="69">
        <v>5.9169999999999998</v>
      </c>
      <c r="H169" s="168"/>
      <c r="I169" s="17">
        <f t="shared" si="178"/>
        <v>0</v>
      </c>
      <c r="J169" s="17">
        <f t="shared" si="179"/>
        <v>0</v>
      </c>
      <c r="K169" s="17">
        <f t="shared" si="180"/>
        <v>0</v>
      </c>
      <c r="L169" s="28" t="s">
        <v>1671</v>
      </c>
      <c r="Z169" s="34">
        <f t="shared" si="181"/>
        <v>0</v>
      </c>
      <c r="AB169" s="34">
        <f t="shared" si="182"/>
        <v>0</v>
      </c>
      <c r="AC169" s="34">
        <f t="shared" si="183"/>
        <v>0</v>
      </c>
      <c r="AD169" s="34">
        <f t="shared" si="184"/>
        <v>0</v>
      </c>
      <c r="AE169" s="34">
        <f t="shared" si="185"/>
        <v>0</v>
      </c>
      <c r="AF169" s="34">
        <f t="shared" si="186"/>
        <v>0</v>
      </c>
      <c r="AG169" s="34">
        <f t="shared" si="187"/>
        <v>0</v>
      </c>
      <c r="AH169" s="34">
        <f t="shared" si="188"/>
        <v>0</v>
      </c>
      <c r="AI169" s="29"/>
      <c r="AJ169" s="17">
        <f t="shared" si="189"/>
        <v>0</v>
      </c>
      <c r="AK169" s="17">
        <f t="shared" si="190"/>
        <v>0</v>
      </c>
      <c r="AL169" s="17">
        <f t="shared" si="191"/>
        <v>0</v>
      </c>
      <c r="AN169" s="34">
        <v>15</v>
      </c>
      <c r="AO169" s="34">
        <f t="shared" si="192"/>
        <v>0</v>
      </c>
      <c r="AP169" s="34">
        <f t="shared" si="193"/>
        <v>0</v>
      </c>
      <c r="AQ169" s="28" t="s">
        <v>11</v>
      </c>
      <c r="AV169" s="34">
        <f t="shared" si="194"/>
        <v>0</v>
      </c>
      <c r="AW169" s="34">
        <f t="shared" si="195"/>
        <v>0</v>
      </c>
      <c r="AX169" s="34">
        <f t="shared" si="196"/>
        <v>0</v>
      </c>
      <c r="AY169" s="35" t="s">
        <v>1703</v>
      </c>
      <c r="AZ169" s="35" t="s">
        <v>1730</v>
      </c>
      <c r="BA169" s="29" t="s">
        <v>1737</v>
      </c>
      <c r="BC169" s="34">
        <f t="shared" si="197"/>
        <v>0</v>
      </c>
      <c r="BD169" s="34">
        <f t="shared" si="198"/>
        <v>0</v>
      </c>
      <c r="BE169" s="34">
        <v>0</v>
      </c>
      <c r="BF169" s="34">
        <f>169</f>
        <v>169</v>
      </c>
      <c r="BH169" s="17">
        <f t="shared" si="199"/>
        <v>0</v>
      </c>
      <c r="BI169" s="17">
        <f t="shared" si="200"/>
        <v>0</v>
      </c>
      <c r="BJ169" s="17">
        <f t="shared" si="201"/>
        <v>0</v>
      </c>
    </row>
    <row r="170" spans="1:62" x14ac:dyDescent="0.2">
      <c r="A170" s="4" t="s">
        <v>138</v>
      </c>
      <c r="B170" s="4" t="s">
        <v>697</v>
      </c>
      <c r="C170" s="240" t="s">
        <v>1209</v>
      </c>
      <c r="D170" s="241"/>
      <c r="E170" s="241"/>
      <c r="F170" s="4" t="s">
        <v>1648</v>
      </c>
      <c r="G170" s="69">
        <v>109.857</v>
      </c>
      <c r="H170" s="168"/>
      <c r="I170" s="17">
        <f t="shared" si="178"/>
        <v>0</v>
      </c>
      <c r="J170" s="17">
        <f t="shared" si="179"/>
        <v>0</v>
      </c>
      <c r="K170" s="17">
        <f t="shared" si="180"/>
        <v>0</v>
      </c>
      <c r="L170" s="28" t="s">
        <v>1671</v>
      </c>
      <c r="Z170" s="34">
        <f t="shared" si="181"/>
        <v>0</v>
      </c>
      <c r="AB170" s="34">
        <f t="shared" si="182"/>
        <v>0</v>
      </c>
      <c r="AC170" s="34">
        <f t="shared" si="183"/>
        <v>0</v>
      </c>
      <c r="AD170" s="34">
        <f t="shared" si="184"/>
        <v>0</v>
      </c>
      <c r="AE170" s="34">
        <f t="shared" si="185"/>
        <v>0</v>
      </c>
      <c r="AF170" s="34">
        <f t="shared" si="186"/>
        <v>0</v>
      </c>
      <c r="AG170" s="34">
        <f t="shared" si="187"/>
        <v>0</v>
      </c>
      <c r="AH170" s="34">
        <f t="shared" si="188"/>
        <v>0</v>
      </c>
      <c r="AI170" s="29"/>
      <c r="AJ170" s="17">
        <f t="shared" si="189"/>
        <v>0</v>
      </c>
      <c r="AK170" s="17">
        <f t="shared" si="190"/>
        <v>0</v>
      </c>
      <c r="AL170" s="17">
        <f t="shared" si="191"/>
        <v>0</v>
      </c>
      <c r="AN170" s="34">
        <v>15</v>
      </c>
      <c r="AO170" s="34">
        <f t="shared" si="192"/>
        <v>0</v>
      </c>
      <c r="AP170" s="34">
        <f t="shared" si="193"/>
        <v>0</v>
      </c>
      <c r="AQ170" s="28" t="s">
        <v>11</v>
      </c>
      <c r="AV170" s="34">
        <f t="shared" si="194"/>
        <v>0</v>
      </c>
      <c r="AW170" s="34">
        <f t="shared" si="195"/>
        <v>0</v>
      </c>
      <c r="AX170" s="34">
        <f t="shared" si="196"/>
        <v>0</v>
      </c>
      <c r="AY170" s="35" t="s">
        <v>1703</v>
      </c>
      <c r="AZ170" s="35" t="s">
        <v>1730</v>
      </c>
      <c r="BA170" s="29" t="s">
        <v>1737</v>
      </c>
      <c r="BC170" s="34">
        <f t="shared" si="197"/>
        <v>0</v>
      </c>
      <c r="BD170" s="34">
        <f t="shared" si="198"/>
        <v>0</v>
      </c>
      <c r="BE170" s="34">
        <v>0</v>
      </c>
      <c r="BF170" s="34">
        <f>170</f>
        <v>170</v>
      </c>
      <c r="BH170" s="17">
        <f t="shared" si="199"/>
        <v>0</v>
      </c>
      <c r="BI170" s="17">
        <f t="shared" si="200"/>
        <v>0</v>
      </c>
      <c r="BJ170" s="17">
        <f t="shared" si="201"/>
        <v>0</v>
      </c>
    </row>
    <row r="171" spans="1:62" x14ac:dyDescent="0.2">
      <c r="A171" s="4" t="s">
        <v>139</v>
      </c>
      <c r="B171" s="4" t="s">
        <v>698</v>
      </c>
      <c r="C171" s="240" t="s">
        <v>1210</v>
      </c>
      <c r="D171" s="241"/>
      <c r="E171" s="241"/>
      <c r="F171" s="4" t="s">
        <v>1648</v>
      </c>
      <c r="G171" s="69">
        <v>22.446000000000002</v>
      </c>
      <c r="H171" s="168"/>
      <c r="I171" s="17">
        <f t="shared" si="178"/>
        <v>0</v>
      </c>
      <c r="J171" s="17">
        <f t="shared" si="179"/>
        <v>0</v>
      </c>
      <c r="K171" s="17">
        <f t="shared" si="180"/>
        <v>0</v>
      </c>
      <c r="L171" s="28" t="s">
        <v>1671</v>
      </c>
      <c r="Z171" s="34">
        <f t="shared" si="181"/>
        <v>0</v>
      </c>
      <c r="AB171" s="34">
        <f t="shared" si="182"/>
        <v>0</v>
      </c>
      <c r="AC171" s="34">
        <f t="shared" si="183"/>
        <v>0</v>
      </c>
      <c r="AD171" s="34">
        <f t="shared" si="184"/>
        <v>0</v>
      </c>
      <c r="AE171" s="34">
        <f t="shared" si="185"/>
        <v>0</v>
      </c>
      <c r="AF171" s="34">
        <f t="shared" si="186"/>
        <v>0</v>
      </c>
      <c r="AG171" s="34">
        <f t="shared" si="187"/>
        <v>0</v>
      </c>
      <c r="AH171" s="34">
        <f t="shared" si="188"/>
        <v>0</v>
      </c>
      <c r="AI171" s="29"/>
      <c r="AJ171" s="17">
        <f t="shared" si="189"/>
        <v>0</v>
      </c>
      <c r="AK171" s="17">
        <f t="shared" si="190"/>
        <v>0</v>
      </c>
      <c r="AL171" s="17">
        <f t="shared" si="191"/>
        <v>0</v>
      </c>
      <c r="AN171" s="34">
        <v>15</v>
      </c>
      <c r="AO171" s="34">
        <f t="shared" si="192"/>
        <v>0</v>
      </c>
      <c r="AP171" s="34">
        <f t="shared" si="193"/>
        <v>0</v>
      </c>
      <c r="AQ171" s="28" t="s">
        <v>11</v>
      </c>
      <c r="AV171" s="34">
        <f t="shared" si="194"/>
        <v>0</v>
      </c>
      <c r="AW171" s="34">
        <f t="shared" si="195"/>
        <v>0</v>
      </c>
      <c r="AX171" s="34">
        <f t="shared" si="196"/>
        <v>0</v>
      </c>
      <c r="AY171" s="35" t="s">
        <v>1703</v>
      </c>
      <c r="AZ171" s="35" t="s">
        <v>1730</v>
      </c>
      <c r="BA171" s="29" t="s">
        <v>1737</v>
      </c>
      <c r="BC171" s="34">
        <f t="shared" si="197"/>
        <v>0</v>
      </c>
      <c r="BD171" s="34">
        <f t="shared" si="198"/>
        <v>0</v>
      </c>
      <c r="BE171" s="34">
        <v>0</v>
      </c>
      <c r="BF171" s="34">
        <f>171</f>
        <v>171</v>
      </c>
      <c r="BH171" s="17">
        <f t="shared" si="199"/>
        <v>0</v>
      </c>
      <c r="BI171" s="17">
        <f t="shared" si="200"/>
        <v>0</v>
      </c>
      <c r="BJ171" s="17">
        <f t="shared" si="201"/>
        <v>0</v>
      </c>
    </row>
    <row r="172" spans="1:62" x14ac:dyDescent="0.2">
      <c r="A172" s="4" t="s">
        <v>140</v>
      </c>
      <c r="B172" s="4" t="s">
        <v>699</v>
      </c>
      <c r="C172" s="240" t="s">
        <v>1211</v>
      </c>
      <c r="D172" s="241"/>
      <c r="E172" s="241"/>
      <c r="F172" s="4" t="s">
        <v>1648</v>
      </c>
      <c r="G172" s="69">
        <v>0.128</v>
      </c>
      <c r="H172" s="168"/>
      <c r="I172" s="17">
        <f t="shared" si="178"/>
        <v>0</v>
      </c>
      <c r="J172" s="17">
        <f t="shared" si="179"/>
        <v>0</v>
      </c>
      <c r="K172" s="17">
        <f t="shared" si="180"/>
        <v>0</v>
      </c>
      <c r="L172" s="28" t="s">
        <v>1671</v>
      </c>
      <c r="Z172" s="34">
        <f t="shared" si="181"/>
        <v>0</v>
      </c>
      <c r="AB172" s="34">
        <f t="shared" si="182"/>
        <v>0</v>
      </c>
      <c r="AC172" s="34">
        <f t="shared" si="183"/>
        <v>0</v>
      </c>
      <c r="AD172" s="34">
        <f t="shared" si="184"/>
        <v>0</v>
      </c>
      <c r="AE172" s="34">
        <f t="shared" si="185"/>
        <v>0</v>
      </c>
      <c r="AF172" s="34">
        <f t="shared" si="186"/>
        <v>0</v>
      </c>
      <c r="AG172" s="34">
        <f t="shared" si="187"/>
        <v>0</v>
      </c>
      <c r="AH172" s="34">
        <f t="shared" si="188"/>
        <v>0</v>
      </c>
      <c r="AI172" s="29"/>
      <c r="AJ172" s="17">
        <f t="shared" si="189"/>
        <v>0</v>
      </c>
      <c r="AK172" s="17">
        <f t="shared" si="190"/>
        <v>0</v>
      </c>
      <c r="AL172" s="17">
        <f t="shared" si="191"/>
        <v>0</v>
      </c>
      <c r="AN172" s="34">
        <v>15</v>
      </c>
      <c r="AO172" s="34">
        <f t="shared" si="192"/>
        <v>0</v>
      </c>
      <c r="AP172" s="34">
        <f t="shared" si="193"/>
        <v>0</v>
      </c>
      <c r="AQ172" s="28" t="s">
        <v>11</v>
      </c>
      <c r="AV172" s="34">
        <f t="shared" si="194"/>
        <v>0</v>
      </c>
      <c r="AW172" s="34">
        <f t="shared" si="195"/>
        <v>0</v>
      </c>
      <c r="AX172" s="34">
        <f t="shared" si="196"/>
        <v>0</v>
      </c>
      <c r="AY172" s="35" t="s">
        <v>1703</v>
      </c>
      <c r="AZ172" s="35" t="s">
        <v>1730</v>
      </c>
      <c r="BA172" s="29" t="s">
        <v>1737</v>
      </c>
      <c r="BC172" s="34">
        <f t="shared" si="197"/>
        <v>0</v>
      </c>
      <c r="BD172" s="34">
        <f t="shared" si="198"/>
        <v>0</v>
      </c>
      <c r="BE172" s="34">
        <v>0</v>
      </c>
      <c r="BF172" s="34">
        <f>172</f>
        <v>172</v>
      </c>
      <c r="BH172" s="17">
        <f t="shared" si="199"/>
        <v>0</v>
      </c>
      <c r="BI172" s="17">
        <f t="shared" si="200"/>
        <v>0</v>
      </c>
      <c r="BJ172" s="17">
        <f t="shared" si="201"/>
        <v>0</v>
      </c>
    </row>
    <row r="173" spans="1:62" x14ac:dyDescent="0.2">
      <c r="A173" s="4" t="s">
        <v>141</v>
      </c>
      <c r="B173" s="4" t="s">
        <v>700</v>
      </c>
      <c r="C173" s="240" t="s">
        <v>1212</v>
      </c>
      <c r="D173" s="241"/>
      <c r="E173" s="241"/>
      <c r="F173" s="4" t="s">
        <v>1648</v>
      </c>
      <c r="G173" s="69">
        <v>0.317</v>
      </c>
      <c r="H173" s="168"/>
      <c r="I173" s="17">
        <f t="shared" si="178"/>
        <v>0</v>
      </c>
      <c r="J173" s="17">
        <f t="shared" si="179"/>
        <v>0</v>
      </c>
      <c r="K173" s="17">
        <f t="shared" si="180"/>
        <v>0</v>
      </c>
      <c r="L173" s="28" t="s">
        <v>1671</v>
      </c>
      <c r="Z173" s="34">
        <f t="shared" si="181"/>
        <v>0</v>
      </c>
      <c r="AB173" s="34">
        <f t="shared" si="182"/>
        <v>0</v>
      </c>
      <c r="AC173" s="34">
        <f t="shared" si="183"/>
        <v>0</v>
      </c>
      <c r="AD173" s="34">
        <f t="shared" si="184"/>
        <v>0</v>
      </c>
      <c r="AE173" s="34">
        <f t="shared" si="185"/>
        <v>0</v>
      </c>
      <c r="AF173" s="34">
        <f t="shared" si="186"/>
        <v>0</v>
      </c>
      <c r="AG173" s="34">
        <f t="shared" si="187"/>
        <v>0</v>
      </c>
      <c r="AH173" s="34">
        <f t="shared" si="188"/>
        <v>0</v>
      </c>
      <c r="AI173" s="29"/>
      <c r="AJ173" s="17">
        <f t="shared" si="189"/>
        <v>0</v>
      </c>
      <c r="AK173" s="17">
        <f t="shared" si="190"/>
        <v>0</v>
      </c>
      <c r="AL173" s="17">
        <f t="shared" si="191"/>
        <v>0</v>
      </c>
      <c r="AN173" s="34">
        <v>15</v>
      </c>
      <c r="AO173" s="34">
        <f t="shared" si="192"/>
        <v>0</v>
      </c>
      <c r="AP173" s="34">
        <f t="shared" si="193"/>
        <v>0</v>
      </c>
      <c r="AQ173" s="28" t="s">
        <v>11</v>
      </c>
      <c r="AV173" s="34">
        <f t="shared" si="194"/>
        <v>0</v>
      </c>
      <c r="AW173" s="34">
        <f t="shared" si="195"/>
        <v>0</v>
      </c>
      <c r="AX173" s="34">
        <f t="shared" si="196"/>
        <v>0</v>
      </c>
      <c r="AY173" s="35" t="s">
        <v>1703</v>
      </c>
      <c r="AZ173" s="35" t="s">
        <v>1730</v>
      </c>
      <c r="BA173" s="29" t="s">
        <v>1737</v>
      </c>
      <c r="BC173" s="34">
        <f t="shared" si="197"/>
        <v>0</v>
      </c>
      <c r="BD173" s="34">
        <f t="shared" si="198"/>
        <v>0</v>
      </c>
      <c r="BE173" s="34">
        <v>0</v>
      </c>
      <c r="BF173" s="34">
        <f>173</f>
        <v>173</v>
      </c>
      <c r="BH173" s="17">
        <f t="shared" si="199"/>
        <v>0</v>
      </c>
      <c r="BI173" s="17">
        <f t="shared" si="200"/>
        <v>0</v>
      </c>
      <c r="BJ173" s="17">
        <f t="shared" si="201"/>
        <v>0</v>
      </c>
    </row>
    <row r="174" spans="1:62" x14ac:dyDescent="0.2">
      <c r="A174" s="4" t="s">
        <v>142</v>
      </c>
      <c r="B174" s="4" t="s">
        <v>701</v>
      </c>
      <c r="C174" s="240" t="s">
        <v>1213</v>
      </c>
      <c r="D174" s="241"/>
      <c r="E174" s="241"/>
      <c r="F174" s="4" t="s">
        <v>1648</v>
      </c>
      <c r="G174" s="69">
        <v>4.8140000000000001</v>
      </c>
      <c r="H174" s="168"/>
      <c r="I174" s="17">
        <f t="shared" si="178"/>
        <v>0</v>
      </c>
      <c r="J174" s="17">
        <f t="shared" si="179"/>
        <v>0</v>
      </c>
      <c r="K174" s="17">
        <f t="shared" si="180"/>
        <v>0</v>
      </c>
      <c r="L174" s="28" t="s">
        <v>1671</v>
      </c>
      <c r="Z174" s="34">
        <f t="shared" si="181"/>
        <v>0</v>
      </c>
      <c r="AB174" s="34">
        <f t="shared" si="182"/>
        <v>0</v>
      </c>
      <c r="AC174" s="34">
        <f t="shared" si="183"/>
        <v>0</v>
      </c>
      <c r="AD174" s="34">
        <f t="shared" si="184"/>
        <v>0</v>
      </c>
      <c r="AE174" s="34">
        <f t="shared" si="185"/>
        <v>0</v>
      </c>
      <c r="AF174" s="34">
        <f t="shared" si="186"/>
        <v>0</v>
      </c>
      <c r="AG174" s="34">
        <f t="shared" si="187"/>
        <v>0</v>
      </c>
      <c r="AH174" s="34">
        <f t="shared" si="188"/>
        <v>0</v>
      </c>
      <c r="AI174" s="29"/>
      <c r="AJ174" s="17">
        <f t="shared" si="189"/>
        <v>0</v>
      </c>
      <c r="AK174" s="17">
        <f t="shared" si="190"/>
        <v>0</v>
      </c>
      <c r="AL174" s="17">
        <f t="shared" si="191"/>
        <v>0</v>
      </c>
      <c r="AN174" s="34">
        <v>15</v>
      </c>
      <c r="AO174" s="34">
        <f t="shared" si="192"/>
        <v>0</v>
      </c>
      <c r="AP174" s="34">
        <f t="shared" si="193"/>
        <v>0</v>
      </c>
      <c r="AQ174" s="28" t="s">
        <v>11</v>
      </c>
      <c r="AV174" s="34">
        <f t="shared" si="194"/>
        <v>0</v>
      </c>
      <c r="AW174" s="34">
        <f t="shared" si="195"/>
        <v>0</v>
      </c>
      <c r="AX174" s="34">
        <f t="shared" si="196"/>
        <v>0</v>
      </c>
      <c r="AY174" s="35" t="s">
        <v>1703</v>
      </c>
      <c r="AZ174" s="35" t="s">
        <v>1730</v>
      </c>
      <c r="BA174" s="29" t="s">
        <v>1737</v>
      </c>
      <c r="BC174" s="34">
        <f t="shared" si="197"/>
        <v>0</v>
      </c>
      <c r="BD174" s="34">
        <f t="shared" si="198"/>
        <v>0</v>
      </c>
      <c r="BE174" s="34">
        <v>0</v>
      </c>
      <c r="BF174" s="34">
        <f>174</f>
        <v>174</v>
      </c>
      <c r="BH174" s="17">
        <f t="shared" si="199"/>
        <v>0</v>
      </c>
      <c r="BI174" s="17">
        <f t="shared" si="200"/>
        <v>0</v>
      </c>
      <c r="BJ174" s="17">
        <f t="shared" si="201"/>
        <v>0</v>
      </c>
    </row>
    <row r="175" spans="1:62" x14ac:dyDescent="0.2">
      <c r="A175" s="4" t="s">
        <v>143</v>
      </c>
      <c r="B175" s="4" t="s">
        <v>702</v>
      </c>
      <c r="C175" s="240" t="s">
        <v>1214</v>
      </c>
      <c r="D175" s="241"/>
      <c r="E175" s="241"/>
      <c r="F175" s="4" t="s">
        <v>1648</v>
      </c>
      <c r="G175" s="69">
        <v>7.6520000000000001</v>
      </c>
      <c r="H175" s="168"/>
      <c r="I175" s="17">
        <f t="shared" si="178"/>
        <v>0</v>
      </c>
      <c r="J175" s="17">
        <f t="shared" si="179"/>
        <v>0</v>
      </c>
      <c r="K175" s="17">
        <f t="shared" si="180"/>
        <v>0</v>
      </c>
      <c r="L175" s="28" t="s">
        <v>1671</v>
      </c>
      <c r="Z175" s="34">
        <f t="shared" si="181"/>
        <v>0</v>
      </c>
      <c r="AB175" s="34">
        <f t="shared" si="182"/>
        <v>0</v>
      </c>
      <c r="AC175" s="34">
        <f t="shared" si="183"/>
        <v>0</v>
      </c>
      <c r="AD175" s="34">
        <f t="shared" si="184"/>
        <v>0</v>
      </c>
      <c r="AE175" s="34">
        <f t="shared" si="185"/>
        <v>0</v>
      </c>
      <c r="AF175" s="34">
        <f t="shared" si="186"/>
        <v>0</v>
      </c>
      <c r="AG175" s="34">
        <f t="shared" si="187"/>
        <v>0</v>
      </c>
      <c r="AH175" s="34">
        <f t="shared" si="188"/>
        <v>0</v>
      </c>
      <c r="AI175" s="29"/>
      <c r="AJ175" s="17">
        <f t="shared" si="189"/>
        <v>0</v>
      </c>
      <c r="AK175" s="17">
        <f t="shared" si="190"/>
        <v>0</v>
      </c>
      <c r="AL175" s="17">
        <f t="shared" si="191"/>
        <v>0</v>
      </c>
      <c r="AN175" s="34">
        <v>15</v>
      </c>
      <c r="AO175" s="34">
        <f t="shared" si="192"/>
        <v>0</v>
      </c>
      <c r="AP175" s="34">
        <f t="shared" si="193"/>
        <v>0</v>
      </c>
      <c r="AQ175" s="28" t="s">
        <v>11</v>
      </c>
      <c r="AV175" s="34">
        <f t="shared" si="194"/>
        <v>0</v>
      </c>
      <c r="AW175" s="34">
        <f t="shared" si="195"/>
        <v>0</v>
      </c>
      <c r="AX175" s="34">
        <f t="shared" si="196"/>
        <v>0</v>
      </c>
      <c r="AY175" s="35" t="s">
        <v>1703</v>
      </c>
      <c r="AZ175" s="35" t="s">
        <v>1730</v>
      </c>
      <c r="BA175" s="29" t="s">
        <v>1737</v>
      </c>
      <c r="BC175" s="34">
        <f t="shared" si="197"/>
        <v>0</v>
      </c>
      <c r="BD175" s="34">
        <f t="shared" si="198"/>
        <v>0</v>
      </c>
      <c r="BE175" s="34">
        <v>0</v>
      </c>
      <c r="BF175" s="34">
        <f>175</f>
        <v>175</v>
      </c>
      <c r="BH175" s="17">
        <f t="shared" si="199"/>
        <v>0</v>
      </c>
      <c r="BI175" s="17">
        <f t="shared" si="200"/>
        <v>0</v>
      </c>
      <c r="BJ175" s="17">
        <f t="shared" si="201"/>
        <v>0</v>
      </c>
    </row>
    <row r="176" spans="1:62" x14ac:dyDescent="0.2">
      <c r="A176" s="5"/>
      <c r="B176" s="13" t="s">
        <v>703</v>
      </c>
      <c r="C176" s="244" t="s">
        <v>1215</v>
      </c>
      <c r="D176" s="245"/>
      <c r="E176" s="245"/>
      <c r="F176" s="5" t="s">
        <v>6</v>
      </c>
      <c r="G176" s="5" t="s">
        <v>6</v>
      </c>
      <c r="H176" s="5" t="s">
        <v>6</v>
      </c>
      <c r="I176" s="37">
        <f>SUM(I177:I177)</f>
        <v>0</v>
      </c>
      <c r="J176" s="37">
        <f>SUM(J177:J177)</f>
        <v>0</v>
      </c>
      <c r="K176" s="37">
        <f>SUM(K177:K177)</f>
        <v>0</v>
      </c>
      <c r="L176" s="29"/>
      <c r="AI176" s="29"/>
      <c r="AS176" s="37">
        <f>SUM(AJ177:AJ177)</f>
        <v>0</v>
      </c>
      <c r="AT176" s="37">
        <f>SUM(AK177:AK177)</f>
        <v>0</v>
      </c>
      <c r="AU176" s="37">
        <f>SUM(AL177:AL177)</f>
        <v>0</v>
      </c>
    </row>
    <row r="177" spans="1:62" x14ac:dyDescent="0.2">
      <c r="A177" s="4" t="s">
        <v>144</v>
      </c>
      <c r="B177" s="4" t="s">
        <v>704</v>
      </c>
      <c r="C177" s="240" t="s">
        <v>1216</v>
      </c>
      <c r="D177" s="241"/>
      <c r="E177" s="241"/>
      <c r="F177" s="4" t="s">
        <v>1648</v>
      </c>
      <c r="G177" s="69">
        <v>156.81100000000001</v>
      </c>
      <c r="H177" s="168"/>
      <c r="I177" s="17">
        <f>G177*AO177</f>
        <v>0</v>
      </c>
      <c r="J177" s="17">
        <f>G177*AP177</f>
        <v>0</v>
      </c>
      <c r="K177" s="17">
        <f>G177*H177</f>
        <v>0</v>
      </c>
      <c r="L177" s="28" t="s">
        <v>1671</v>
      </c>
      <c r="Z177" s="34">
        <f>IF(AQ177="5",BJ177,0)</f>
        <v>0</v>
      </c>
      <c r="AB177" s="34">
        <f>IF(AQ177="1",BH177,0)</f>
        <v>0</v>
      </c>
      <c r="AC177" s="34">
        <f>IF(AQ177="1",BI177,0)</f>
        <v>0</v>
      </c>
      <c r="AD177" s="34">
        <f>IF(AQ177="7",BH177,0)</f>
        <v>0</v>
      </c>
      <c r="AE177" s="34">
        <f>IF(AQ177="7",BI177,0)</f>
        <v>0</v>
      </c>
      <c r="AF177" s="34">
        <f>IF(AQ177="2",BH177,0)</f>
        <v>0</v>
      </c>
      <c r="AG177" s="34">
        <f>IF(AQ177="2",BI177,0)</f>
        <v>0</v>
      </c>
      <c r="AH177" s="34">
        <f>IF(AQ177="0",BJ177,0)</f>
        <v>0</v>
      </c>
      <c r="AI177" s="29"/>
      <c r="AJ177" s="17">
        <f>IF(AN177=0,K177,0)</f>
        <v>0</v>
      </c>
      <c r="AK177" s="17">
        <f>IF(AN177=15,K177,0)</f>
        <v>0</v>
      </c>
      <c r="AL177" s="17">
        <f>IF(AN177=21,K177,0)</f>
        <v>0</v>
      </c>
      <c r="AN177" s="34">
        <v>15</v>
      </c>
      <c r="AO177" s="34">
        <f>H177*0</f>
        <v>0</v>
      </c>
      <c r="AP177" s="34">
        <f>H177*(1-0)</f>
        <v>0</v>
      </c>
      <c r="AQ177" s="28" t="s">
        <v>11</v>
      </c>
      <c r="AV177" s="34">
        <f>AW177+AX177</f>
        <v>0</v>
      </c>
      <c r="AW177" s="34">
        <f>G177*AO177</f>
        <v>0</v>
      </c>
      <c r="AX177" s="34">
        <f>G177*AP177</f>
        <v>0</v>
      </c>
      <c r="AY177" s="35" t="s">
        <v>1704</v>
      </c>
      <c r="AZ177" s="35" t="s">
        <v>1730</v>
      </c>
      <c r="BA177" s="29" t="s">
        <v>1737</v>
      </c>
      <c r="BC177" s="34">
        <f>AW177+AX177</f>
        <v>0</v>
      </c>
      <c r="BD177" s="34">
        <f>H177/(100-BE177)*100</f>
        <v>0</v>
      </c>
      <c r="BE177" s="34">
        <v>0</v>
      </c>
      <c r="BF177" s="34">
        <f>177</f>
        <v>177</v>
      </c>
      <c r="BH177" s="17">
        <f>G177*AO177</f>
        <v>0</v>
      </c>
      <c r="BI177" s="17">
        <f>G177*AP177</f>
        <v>0</v>
      </c>
      <c r="BJ177" s="17">
        <f>G177*H177</f>
        <v>0</v>
      </c>
    </row>
    <row r="178" spans="1:62" x14ac:dyDescent="0.2">
      <c r="A178" s="5"/>
      <c r="B178" s="13" t="s">
        <v>705</v>
      </c>
      <c r="C178" s="244" t="s">
        <v>1217</v>
      </c>
      <c r="D178" s="245"/>
      <c r="E178" s="245"/>
      <c r="F178" s="5" t="s">
        <v>6</v>
      </c>
      <c r="G178" s="5" t="s">
        <v>6</v>
      </c>
      <c r="H178" s="5" t="s">
        <v>6</v>
      </c>
      <c r="I178" s="37">
        <f>SUM(I179:I182)</f>
        <v>0</v>
      </c>
      <c r="J178" s="37">
        <f>SUM(J179:J182)</f>
        <v>0</v>
      </c>
      <c r="K178" s="37">
        <f>SUM(K179:K182)</f>
        <v>0</v>
      </c>
      <c r="L178" s="29"/>
      <c r="AI178" s="29"/>
      <c r="AS178" s="37">
        <f>SUM(AJ179:AJ182)</f>
        <v>0</v>
      </c>
      <c r="AT178" s="37">
        <f>SUM(AK179:AK182)</f>
        <v>0</v>
      </c>
      <c r="AU178" s="37">
        <f>SUM(AL179:AL182)</f>
        <v>0</v>
      </c>
    </row>
    <row r="179" spans="1:62" x14ac:dyDescent="0.2">
      <c r="A179" s="4" t="s">
        <v>145</v>
      </c>
      <c r="B179" s="4" t="s">
        <v>706</v>
      </c>
      <c r="C179" s="240" t="s">
        <v>1218</v>
      </c>
      <c r="D179" s="241"/>
      <c r="E179" s="241"/>
      <c r="F179" s="4" t="s">
        <v>1645</v>
      </c>
      <c r="G179" s="69">
        <v>344.89400000000001</v>
      </c>
      <c r="H179" s="168"/>
      <c r="I179" s="17">
        <f>G179*AO179</f>
        <v>0</v>
      </c>
      <c r="J179" s="17">
        <f>G179*AP179</f>
        <v>0</v>
      </c>
      <c r="K179" s="17">
        <f>G179*H179</f>
        <v>0</v>
      </c>
      <c r="L179" s="28" t="s">
        <v>1671</v>
      </c>
      <c r="Z179" s="34">
        <f>IF(AQ179="5",BJ179,0)</f>
        <v>0</v>
      </c>
      <c r="AB179" s="34">
        <f>IF(AQ179="1",BH179,0)</f>
        <v>0</v>
      </c>
      <c r="AC179" s="34">
        <f>IF(AQ179="1",BI179,0)</f>
        <v>0</v>
      </c>
      <c r="AD179" s="34">
        <f>IF(AQ179="7",BH179,0)</f>
        <v>0</v>
      </c>
      <c r="AE179" s="34">
        <f>IF(AQ179="7",BI179,0)</f>
        <v>0</v>
      </c>
      <c r="AF179" s="34">
        <f>IF(AQ179="2",BH179,0)</f>
        <v>0</v>
      </c>
      <c r="AG179" s="34">
        <f>IF(AQ179="2",BI179,0)</f>
        <v>0</v>
      </c>
      <c r="AH179" s="34">
        <f>IF(AQ179="0",BJ179,0)</f>
        <v>0</v>
      </c>
      <c r="AI179" s="29"/>
      <c r="AJ179" s="17">
        <f>IF(AN179=0,K179,0)</f>
        <v>0</v>
      </c>
      <c r="AK179" s="17">
        <f>IF(AN179=15,K179,0)</f>
        <v>0</v>
      </c>
      <c r="AL179" s="17">
        <f>IF(AN179=21,K179,0)</f>
        <v>0</v>
      </c>
      <c r="AN179" s="34">
        <v>15</v>
      </c>
      <c r="AO179" s="34">
        <f>H179*0</f>
        <v>0</v>
      </c>
      <c r="AP179" s="34">
        <f>H179*(1-0)</f>
        <v>0</v>
      </c>
      <c r="AQ179" s="28" t="s">
        <v>13</v>
      </c>
      <c r="AV179" s="34">
        <f>AW179+AX179</f>
        <v>0</v>
      </c>
      <c r="AW179" s="34">
        <f>G179*AO179</f>
        <v>0</v>
      </c>
      <c r="AX179" s="34">
        <f>G179*AP179</f>
        <v>0</v>
      </c>
      <c r="AY179" s="35" t="s">
        <v>1705</v>
      </c>
      <c r="AZ179" s="35" t="s">
        <v>1731</v>
      </c>
      <c r="BA179" s="29" t="s">
        <v>1737</v>
      </c>
      <c r="BC179" s="34">
        <f>AW179+AX179</f>
        <v>0</v>
      </c>
      <c r="BD179" s="34">
        <f>H179/(100-BE179)*100</f>
        <v>0</v>
      </c>
      <c r="BE179" s="34">
        <v>0</v>
      </c>
      <c r="BF179" s="34">
        <f>179</f>
        <v>179</v>
      </c>
      <c r="BH179" s="17">
        <f>G179*AO179</f>
        <v>0</v>
      </c>
      <c r="BI179" s="17">
        <f>G179*AP179</f>
        <v>0</v>
      </c>
      <c r="BJ179" s="17">
        <f>G179*H179</f>
        <v>0</v>
      </c>
    </row>
    <row r="180" spans="1:62" x14ac:dyDescent="0.2">
      <c r="A180" s="4" t="s">
        <v>146</v>
      </c>
      <c r="B180" s="4" t="s">
        <v>707</v>
      </c>
      <c r="C180" s="240" t="s">
        <v>1219</v>
      </c>
      <c r="D180" s="241"/>
      <c r="E180" s="241"/>
      <c r="F180" s="4" t="s">
        <v>1644</v>
      </c>
      <c r="G180" s="69">
        <v>20</v>
      </c>
      <c r="H180" s="168"/>
      <c r="I180" s="17">
        <f>G180*AO180</f>
        <v>0</v>
      </c>
      <c r="J180" s="17">
        <f>G180*AP180</f>
        <v>0</v>
      </c>
      <c r="K180" s="17">
        <f>G180*H180</f>
        <v>0</v>
      </c>
      <c r="L180" s="28" t="s">
        <v>1671</v>
      </c>
      <c r="Z180" s="34">
        <f>IF(AQ180="5",BJ180,0)</f>
        <v>0</v>
      </c>
      <c r="AB180" s="34">
        <f>IF(AQ180="1",BH180,0)</f>
        <v>0</v>
      </c>
      <c r="AC180" s="34">
        <f>IF(AQ180="1",BI180,0)</f>
        <v>0</v>
      </c>
      <c r="AD180" s="34">
        <f>IF(AQ180="7",BH180,0)</f>
        <v>0</v>
      </c>
      <c r="AE180" s="34">
        <f>IF(AQ180="7",BI180,0)</f>
        <v>0</v>
      </c>
      <c r="AF180" s="34">
        <f>IF(AQ180="2",BH180,0)</f>
        <v>0</v>
      </c>
      <c r="AG180" s="34">
        <f>IF(AQ180="2",BI180,0)</f>
        <v>0</v>
      </c>
      <c r="AH180" s="34">
        <f>IF(AQ180="0",BJ180,0)</f>
        <v>0</v>
      </c>
      <c r="AI180" s="29"/>
      <c r="AJ180" s="17">
        <f>IF(AN180=0,K180,0)</f>
        <v>0</v>
      </c>
      <c r="AK180" s="17">
        <f>IF(AN180=15,K180,0)</f>
        <v>0</v>
      </c>
      <c r="AL180" s="17">
        <f>IF(AN180=21,K180,0)</f>
        <v>0</v>
      </c>
      <c r="AN180" s="34">
        <v>15</v>
      </c>
      <c r="AO180" s="34">
        <f>H180*0.846349462365591</f>
        <v>0</v>
      </c>
      <c r="AP180" s="34">
        <f>H180*(1-0.846349462365591)</f>
        <v>0</v>
      </c>
      <c r="AQ180" s="28" t="s">
        <v>13</v>
      </c>
      <c r="AV180" s="34">
        <f>AW180+AX180</f>
        <v>0</v>
      </c>
      <c r="AW180" s="34">
        <f>G180*AO180</f>
        <v>0</v>
      </c>
      <c r="AX180" s="34">
        <f>G180*AP180</f>
        <v>0</v>
      </c>
      <c r="AY180" s="35" t="s">
        <v>1705</v>
      </c>
      <c r="AZ180" s="35" t="s">
        <v>1731</v>
      </c>
      <c r="BA180" s="29" t="s">
        <v>1737</v>
      </c>
      <c r="BC180" s="34">
        <f>AW180+AX180</f>
        <v>0</v>
      </c>
      <c r="BD180" s="34">
        <f>H180/(100-BE180)*100</f>
        <v>0</v>
      </c>
      <c r="BE180" s="34">
        <v>0</v>
      </c>
      <c r="BF180" s="34">
        <f>180</f>
        <v>180</v>
      </c>
      <c r="BH180" s="17">
        <f>G180*AO180</f>
        <v>0</v>
      </c>
      <c r="BI180" s="17">
        <f>G180*AP180</f>
        <v>0</v>
      </c>
      <c r="BJ180" s="17">
        <f>G180*H180</f>
        <v>0</v>
      </c>
    </row>
    <row r="181" spans="1:62" x14ac:dyDescent="0.2">
      <c r="A181" s="4" t="s">
        <v>147</v>
      </c>
      <c r="B181" s="4" t="s">
        <v>708</v>
      </c>
      <c r="C181" s="240" t="s">
        <v>1220</v>
      </c>
      <c r="D181" s="241"/>
      <c r="E181" s="241"/>
      <c r="F181" s="4" t="s">
        <v>1645</v>
      </c>
      <c r="G181" s="69">
        <v>345.786</v>
      </c>
      <c r="H181" s="168"/>
      <c r="I181" s="17">
        <f>G181*AO181</f>
        <v>0</v>
      </c>
      <c r="J181" s="17">
        <f>G181*AP181</f>
        <v>0</v>
      </c>
      <c r="K181" s="17">
        <f>G181*H181</f>
        <v>0</v>
      </c>
      <c r="L181" s="28" t="s">
        <v>1671</v>
      </c>
      <c r="Z181" s="34">
        <f>IF(AQ181="5",BJ181,0)</f>
        <v>0</v>
      </c>
      <c r="AB181" s="34">
        <f>IF(AQ181="1",BH181,0)</f>
        <v>0</v>
      </c>
      <c r="AC181" s="34">
        <f>IF(AQ181="1",BI181,0)</f>
        <v>0</v>
      </c>
      <c r="AD181" s="34">
        <f>IF(AQ181="7",BH181,0)</f>
        <v>0</v>
      </c>
      <c r="AE181" s="34">
        <f>IF(AQ181="7",BI181,0)</f>
        <v>0</v>
      </c>
      <c r="AF181" s="34">
        <f>IF(AQ181="2",BH181,0)</f>
        <v>0</v>
      </c>
      <c r="AG181" s="34">
        <f>IF(AQ181="2",BI181,0)</f>
        <v>0</v>
      </c>
      <c r="AH181" s="34">
        <f>IF(AQ181="0",BJ181,0)</f>
        <v>0</v>
      </c>
      <c r="AI181" s="29"/>
      <c r="AJ181" s="17">
        <f>IF(AN181=0,K181,0)</f>
        <v>0</v>
      </c>
      <c r="AK181" s="17">
        <f>IF(AN181=15,K181,0)</f>
        <v>0</v>
      </c>
      <c r="AL181" s="17">
        <f>IF(AN181=21,K181,0)</f>
        <v>0</v>
      </c>
      <c r="AN181" s="34">
        <v>15</v>
      </c>
      <c r="AO181" s="34">
        <f>H181*0.427372183898706</f>
        <v>0</v>
      </c>
      <c r="AP181" s="34">
        <f>H181*(1-0.427372183898706)</f>
        <v>0</v>
      </c>
      <c r="AQ181" s="28" t="s">
        <v>13</v>
      </c>
      <c r="AV181" s="34">
        <f>AW181+AX181</f>
        <v>0</v>
      </c>
      <c r="AW181" s="34">
        <f>G181*AO181</f>
        <v>0</v>
      </c>
      <c r="AX181" s="34">
        <f>G181*AP181</f>
        <v>0</v>
      </c>
      <c r="AY181" s="35" t="s">
        <v>1705</v>
      </c>
      <c r="AZ181" s="35" t="s">
        <v>1731</v>
      </c>
      <c r="BA181" s="29" t="s">
        <v>1737</v>
      </c>
      <c r="BC181" s="34">
        <f>AW181+AX181</f>
        <v>0</v>
      </c>
      <c r="BD181" s="34">
        <f>H181/(100-BE181)*100</f>
        <v>0</v>
      </c>
      <c r="BE181" s="34">
        <v>0</v>
      </c>
      <c r="BF181" s="34">
        <f>181</f>
        <v>181</v>
      </c>
      <c r="BH181" s="17">
        <f>G181*AO181</f>
        <v>0</v>
      </c>
      <c r="BI181" s="17">
        <f>G181*AP181</f>
        <v>0</v>
      </c>
      <c r="BJ181" s="17">
        <f>G181*H181</f>
        <v>0</v>
      </c>
    </row>
    <row r="182" spans="1:62" x14ac:dyDescent="0.2">
      <c r="A182" s="4" t="s">
        <v>148</v>
      </c>
      <c r="B182" s="4" t="s">
        <v>709</v>
      </c>
      <c r="C182" s="240" t="s">
        <v>1221</v>
      </c>
      <c r="D182" s="241"/>
      <c r="E182" s="241"/>
      <c r="F182" s="4" t="s">
        <v>1648</v>
      </c>
      <c r="G182" s="69">
        <v>4.3099999999999996</v>
      </c>
      <c r="H182" s="168"/>
      <c r="I182" s="17">
        <f>G182*AO182</f>
        <v>0</v>
      </c>
      <c r="J182" s="17">
        <f>G182*AP182</f>
        <v>0</v>
      </c>
      <c r="K182" s="17">
        <f>G182*H182</f>
        <v>0</v>
      </c>
      <c r="L182" s="28" t="s">
        <v>1671</v>
      </c>
      <c r="Z182" s="34">
        <f>IF(AQ182="5",BJ182,0)</f>
        <v>0</v>
      </c>
      <c r="AB182" s="34">
        <f>IF(AQ182="1",BH182,0)</f>
        <v>0</v>
      </c>
      <c r="AC182" s="34">
        <f>IF(AQ182="1",BI182,0)</f>
        <v>0</v>
      </c>
      <c r="AD182" s="34">
        <f>IF(AQ182="7",BH182,0)</f>
        <v>0</v>
      </c>
      <c r="AE182" s="34">
        <f>IF(AQ182="7",BI182,0)</f>
        <v>0</v>
      </c>
      <c r="AF182" s="34">
        <f>IF(AQ182="2",BH182,0)</f>
        <v>0</v>
      </c>
      <c r="AG182" s="34">
        <f>IF(AQ182="2",BI182,0)</f>
        <v>0</v>
      </c>
      <c r="AH182" s="34">
        <f>IF(AQ182="0",BJ182,0)</f>
        <v>0</v>
      </c>
      <c r="AI182" s="29"/>
      <c r="AJ182" s="17">
        <f>IF(AN182=0,K182,0)</f>
        <v>0</v>
      </c>
      <c r="AK182" s="17">
        <f>IF(AN182=15,K182,0)</f>
        <v>0</v>
      </c>
      <c r="AL182" s="17">
        <f>IF(AN182=21,K182,0)</f>
        <v>0</v>
      </c>
      <c r="AN182" s="34">
        <v>15</v>
      </c>
      <c r="AO182" s="34">
        <f>H182*0</f>
        <v>0</v>
      </c>
      <c r="AP182" s="34">
        <f>H182*(1-0)</f>
        <v>0</v>
      </c>
      <c r="AQ182" s="28" t="s">
        <v>11</v>
      </c>
      <c r="AV182" s="34">
        <f>AW182+AX182</f>
        <v>0</v>
      </c>
      <c r="AW182" s="34">
        <f>G182*AO182</f>
        <v>0</v>
      </c>
      <c r="AX182" s="34">
        <f>G182*AP182</f>
        <v>0</v>
      </c>
      <c r="AY182" s="35" t="s">
        <v>1705</v>
      </c>
      <c r="AZ182" s="35" t="s">
        <v>1731</v>
      </c>
      <c r="BA182" s="29" t="s">
        <v>1737</v>
      </c>
      <c r="BC182" s="34">
        <f>AW182+AX182</f>
        <v>0</v>
      </c>
      <c r="BD182" s="34">
        <f>H182/(100-BE182)*100</f>
        <v>0</v>
      </c>
      <c r="BE182" s="34">
        <v>0</v>
      </c>
      <c r="BF182" s="34">
        <f>182</f>
        <v>182</v>
      </c>
      <c r="BH182" s="17">
        <f>G182*AO182</f>
        <v>0</v>
      </c>
      <c r="BI182" s="17">
        <f>G182*AP182</f>
        <v>0</v>
      </c>
      <c r="BJ182" s="17">
        <f>G182*H182</f>
        <v>0</v>
      </c>
    </row>
    <row r="183" spans="1:62" x14ac:dyDescent="0.2">
      <c r="A183" s="5"/>
      <c r="B183" s="13" t="s">
        <v>710</v>
      </c>
      <c r="C183" s="244" t="s">
        <v>1222</v>
      </c>
      <c r="D183" s="245"/>
      <c r="E183" s="245"/>
      <c r="F183" s="5" t="s">
        <v>6</v>
      </c>
      <c r="G183" s="5" t="s">
        <v>6</v>
      </c>
      <c r="H183" s="5" t="s">
        <v>6</v>
      </c>
      <c r="I183" s="37">
        <f>SUM(I184:I191)</f>
        <v>0</v>
      </c>
      <c r="J183" s="37">
        <f>SUM(J184:J191)</f>
        <v>0</v>
      </c>
      <c r="K183" s="37">
        <f>SUM(K184:K191)</f>
        <v>0</v>
      </c>
      <c r="L183" s="29"/>
      <c r="AI183" s="29"/>
      <c r="AS183" s="37">
        <f>SUM(AJ184:AJ191)</f>
        <v>0</v>
      </c>
      <c r="AT183" s="37">
        <f>SUM(AK184:AK191)</f>
        <v>0</v>
      </c>
      <c r="AU183" s="37">
        <f>SUM(AL184:AL191)</f>
        <v>0</v>
      </c>
    </row>
    <row r="184" spans="1:62" x14ac:dyDescent="0.2">
      <c r="A184" s="4" t="s">
        <v>149</v>
      </c>
      <c r="B184" s="4" t="s">
        <v>711</v>
      </c>
      <c r="C184" s="240" t="s">
        <v>1223</v>
      </c>
      <c r="D184" s="241"/>
      <c r="E184" s="241"/>
      <c r="F184" s="4" t="s">
        <v>1645</v>
      </c>
      <c r="G184" s="69">
        <v>302</v>
      </c>
      <c r="H184" s="168"/>
      <c r="I184" s="17">
        <f t="shared" ref="I184:I191" si="202">G184*AO184</f>
        <v>0</v>
      </c>
      <c r="J184" s="17">
        <f t="shared" ref="J184:J191" si="203">G184*AP184</f>
        <v>0</v>
      </c>
      <c r="K184" s="17">
        <f t="shared" ref="K184:K191" si="204">G184*H184</f>
        <v>0</v>
      </c>
      <c r="L184" s="28" t="s">
        <v>1671</v>
      </c>
      <c r="Z184" s="34">
        <f t="shared" ref="Z184:Z191" si="205">IF(AQ184="5",BJ184,0)</f>
        <v>0</v>
      </c>
      <c r="AB184" s="34">
        <f t="shared" ref="AB184:AB191" si="206">IF(AQ184="1",BH184,0)</f>
        <v>0</v>
      </c>
      <c r="AC184" s="34">
        <f t="shared" ref="AC184:AC191" si="207">IF(AQ184="1",BI184,0)</f>
        <v>0</v>
      </c>
      <c r="AD184" s="34">
        <f t="shared" ref="AD184:AD191" si="208">IF(AQ184="7",BH184,0)</f>
        <v>0</v>
      </c>
      <c r="AE184" s="34">
        <f t="shared" ref="AE184:AE191" si="209">IF(AQ184="7",BI184,0)</f>
        <v>0</v>
      </c>
      <c r="AF184" s="34">
        <f t="shared" ref="AF184:AF191" si="210">IF(AQ184="2",BH184,0)</f>
        <v>0</v>
      </c>
      <c r="AG184" s="34">
        <f t="shared" ref="AG184:AG191" si="211">IF(AQ184="2",BI184,0)</f>
        <v>0</v>
      </c>
      <c r="AH184" s="34">
        <f t="shared" ref="AH184:AH191" si="212">IF(AQ184="0",BJ184,0)</f>
        <v>0</v>
      </c>
      <c r="AI184" s="29"/>
      <c r="AJ184" s="17">
        <f t="shared" ref="AJ184:AJ191" si="213">IF(AN184=0,K184,0)</f>
        <v>0</v>
      </c>
      <c r="AK184" s="17">
        <f t="shared" ref="AK184:AK191" si="214">IF(AN184=15,K184,0)</f>
        <v>0</v>
      </c>
      <c r="AL184" s="17">
        <f t="shared" ref="AL184:AL191" si="215">IF(AN184=21,K184,0)</f>
        <v>0</v>
      </c>
      <c r="AN184" s="34">
        <v>15</v>
      </c>
      <c r="AO184" s="34">
        <f>H184*0</f>
        <v>0</v>
      </c>
      <c r="AP184" s="34">
        <f>H184*(1-0)</f>
        <v>0</v>
      </c>
      <c r="AQ184" s="28" t="s">
        <v>13</v>
      </c>
      <c r="AV184" s="34">
        <f t="shared" ref="AV184:AV191" si="216">AW184+AX184</f>
        <v>0</v>
      </c>
      <c r="AW184" s="34">
        <f t="shared" ref="AW184:AW191" si="217">G184*AO184</f>
        <v>0</v>
      </c>
      <c r="AX184" s="34">
        <f t="shared" ref="AX184:AX191" si="218">G184*AP184</f>
        <v>0</v>
      </c>
      <c r="AY184" s="35" t="s">
        <v>1706</v>
      </c>
      <c r="AZ184" s="35" t="s">
        <v>1731</v>
      </c>
      <c r="BA184" s="29" t="s">
        <v>1737</v>
      </c>
      <c r="BC184" s="34">
        <f t="shared" ref="BC184:BC191" si="219">AW184+AX184</f>
        <v>0</v>
      </c>
      <c r="BD184" s="34">
        <f t="shared" ref="BD184:BD191" si="220">H184/(100-BE184)*100</f>
        <v>0</v>
      </c>
      <c r="BE184" s="34">
        <v>0</v>
      </c>
      <c r="BF184" s="34">
        <f>184</f>
        <v>184</v>
      </c>
      <c r="BH184" s="17">
        <f t="shared" ref="BH184:BH191" si="221">G184*AO184</f>
        <v>0</v>
      </c>
      <c r="BI184" s="17">
        <f t="shared" ref="BI184:BI191" si="222">G184*AP184</f>
        <v>0</v>
      </c>
      <c r="BJ184" s="17">
        <f t="shared" ref="BJ184:BJ191" si="223">G184*H184</f>
        <v>0</v>
      </c>
    </row>
    <row r="185" spans="1:62" x14ac:dyDescent="0.2">
      <c r="A185" s="6" t="s">
        <v>150</v>
      </c>
      <c r="B185" s="6" t="s">
        <v>712</v>
      </c>
      <c r="C185" s="246" t="s">
        <v>1224</v>
      </c>
      <c r="D185" s="247"/>
      <c r="E185" s="247"/>
      <c r="F185" s="6" t="s">
        <v>1645</v>
      </c>
      <c r="G185" s="72">
        <v>332.2</v>
      </c>
      <c r="H185" s="169"/>
      <c r="I185" s="18">
        <f t="shared" si="202"/>
        <v>0</v>
      </c>
      <c r="J185" s="18">
        <f t="shared" si="203"/>
        <v>0</v>
      </c>
      <c r="K185" s="18">
        <f t="shared" si="204"/>
        <v>0</v>
      </c>
      <c r="L185" s="30" t="s">
        <v>1671</v>
      </c>
      <c r="Z185" s="34">
        <f t="shared" si="205"/>
        <v>0</v>
      </c>
      <c r="AB185" s="34">
        <f t="shared" si="206"/>
        <v>0</v>
      </c>
      <c r="AC185" s="34">
        <f t="shared" si="207"/>
        <v>0</v>
      </c>
      <c r="AD185" s="34">
        <f t="shared" si="208"/>
        <v>0</v>
      </c>
      <c r="AE185" s="34">
        <f t="shared" si="209"/>
        <v>0</v>
      </c>
      <c r="AF185" s="34">
        <f t="shared" si="210"/>
        <v>0</v>
      </c>
      <c r="AG185" s="34">
        <f t="shared" si="211"/>
        <v>0</v>
      </c>
      <c r="AH185" s="34">
        <f t="shared" si="212"/>
        <v>0</v>
      </c>
      <c r="AI185" s="29"/>
      <c r="AJ185" s="18">
        <f t="shared" si="213"/>
        <v>0</v>
      </c>
      <c r="AK185" s="18">
        <f t="shared" si="214"/>
        <v>0</v>
      </c>
      <c r="AL185" s="18">
        <f t="shared" si="215"/>
        <v>0</v>
      </c>
      <c r="AN185" s="34">
        <v>15</v>
      </c>
      <c r="AO185" s="34">
        <f>H185*1</f>
        <v>0</v>
      </c>
      <c r="AP185" s="34">
        <f>H185*(1-1)</f>
        <v>0</v>
      </c>
      <c r="AQ185" s="30" t="s">
        <v>13</v>
      </c>
      <c r="AV185" s="34">
        <f t="shared" si="216"/>
        <v>0</v>
      </c>
      <c r="AW185" s="34">
        <f t="shared" si="217"/>
        <v>0</v>
      </c>
      <c r="AX185" s="34">
        <f t="shared" si="218"/>
        <v>0</v>
      </c>
      <c r="AY185" s="35" t="s">
        <v>1706</v>
      </c>
      <c r="AZ185" s="35" t="s">
        <v>1731</v>
      </c>
      <c r="BA185" s="29" t="s">
        <v>1737</v>
      </c>
      <c r="BC185" s="34">
        <f t="shared" si="219"/>
        <v>0</v>
      </c>
      <c r="BD185" s="34">
        <f t="shared" si="220"/>
        <v>0</v>
      </c>
      <c r="BE185" s="34">
        <v>0</v>
      </c>
      <c r="BF185" s="34">
        <f>185</f>
        <v>185</v>
      </c>
      <c r="BH185" s="18">
        <f t="shared" si="221"/>
        <v>0</v>
      </c>
      <c r="BI185" s="18">
        <f t="shared" si="222"/>
        <v>0</v>
      </c>
      <c r="BJ185" s="18">
        <f t="shared" si="223"/>
        <v>0</v>
      </c>
    </row>
    <row r="186" spans="1:62" x14ac:dyDescent="0.2">
      <c r="A186" s="6" t="s">
        <v>151</v>
      </c>
      <c r="B186" s="6" t="s">
        <v>713</v>
      </c>
      <c r="C186" s="246" t="s">
        <v>1225</v>
      </c>
      <c r="D186" s="247"/>
      <c r="E186" s="247"/>
      <c r="F186" s="6" t="s">
        <v>1645</v>
      </c>
      <c r="G186" s="72">
        <v>332.2</v>
      </c>
      <c r="H186" s="169"/>
      <c r="I186" s="18">
        <f t="shared" si="202"/>
        <v>0</v>
      </c>
      <c r="J186" s="18">
        <f t="shared" si="203"/>
        <v>0</v>
      </c>
      <c r="K186" s="18">
        <f t="shared" si="204"/>
        <v>0</v>
      </c>
      <c r="L186" s="30" t="s">
        <v>1671</v>
      </c>
      <c r="Z186" s="34">
        <f t="shared" si="205"/>
        <v>0</v>
      </c>
      <c r="AB186" s="34">
        <f t="shared" si="206"/>
        <v>0</v>
      </c>
      <c r="AC186" s="34">
        <f t="shared" si="207"/>
        <v>0</v>
      </c>
      <c r="AD186" s="34">
        <f t="shared" si="208"/>
        <v>0</v>
      </c>
      <c r="AE186" s="34">
        <f t="shared" si="209"/>
        <v>0</v>
      </c>
      <c r="AF186" s="34">
        <f t="shared" si="210"/>
        <v>0</v>
      </c>
      <c r="AG186" s="34">
        <f t="shared" si="211"/>
        <v>0</v>
      </c>
      <c r="AH186" s="34">
        <f t="shared" si="212"/>
        <v>0</v>
      </c>
      <c r="AI186" s="29"/>
      <c r="AJ186" s="18">
        <f t="shared" si="213"/>
        <v>0</v>
      </c>
      <c r="AK186" s="18">
        <f t="shared" si="214"/>
        <v>0</v>
      </c>
      <c r="AL186" s="18">
        <f t="shared" si="215"/>
        <v>0</v>
      </c>
      <c r="AN186" s="34">
        <v>15</v>
      </c>
      <c r="AO186" s="34">
        <f>H186*1</f>
        <v>0</v>
      </c>
      <c r="AP186" s="34">
        <f>H186*(1-1)</f>
        <v>0</v>
      </c>
      <c r="AQ186" s="30" t="s">
        <v>13</v>
      </c>
      <c r="AV186" s="34">
        <f t="shared" si="216"/>
        <v>0</v>
      </c>
      <c r="AW186" s="34">
        <f t="shared" si="217"/>
        <v>0</v>
      </c>
      <c r="AX186" s="34">
        <f t="shared" si="218"/>
        <v>0</v>
      </c>
      <c r="AY186" s="35" t="s">
        <v>1706</v>
      </c>
      <c r="AZ186" s="35" t="s">
        <v>1731</v>
      </c>
      <c r="BA186" s="29" t="s">
        <v>1737</v>
      </c>
      <c r="BC186" s="34">
        <f t="shared" si="219"/>
        <v>0</v>
      </c>
      <c r="BD186" s="34">
        <f t="shared" si="220"/>
        <v>0</v>
      </c>
      <c r="BE186" s="34">
        <v>0</v>
      </c>
      <c r="BF186" s="34">
        <f>186</f>
        <v>186</v>
      </c>
      <c r="BH186" s="18">
        <f t="shared" si="221"/>
        <v>0</v>
      </c>
      <c r="BI186" s="18">
        <f t="shared" si="222"/>
        <v>0</v>
      </c>
      <c r="BJ186" s="18">
        <f t="shared" si="223"/>
        <v>0</v>
      </c>
    </row>
    <row r="187" spans="1:62" x14ac:dyDescent="0.2">
      <c r="A187" s="4" t="s">
        <v>152</v>
      </c>
      <c r="B187" s="4" t="s">
        <v>714</v>
      </c>
      <c r="C187" s="240" t="s">
        <v>1226</v>
      </c>
      <c r="D187" s="241"/>
      <c r="E187" s="241"/>
      <c r="F187" s="4" t="s">
        <v>1646</v>
      </c>
      <c r="G187" s="69">
        <v>62.5</v>
      </c>
      <c r="H187" s="168"/>
      <c r="I187" s="17">
        <f t="shared" si="202"/>
        <v>0</v>
      </c>
      <c r="J187" s="17">
        <f t="shared" si="203"/>
        <v>0</v>
      </c>
      <c r="K187" s="17">
        <f t="shared" si="204"/>
        <v>0</v>
      </c>
      <c r="L187" s="28" t="s">
        <v>1671</v>
      </c>
      <c r="Z187" s="34">
        <f t="shared" si="205"/>
        <v>0</v>
      </c>
      <c r="AB187" s="34">
        <f t="shared" si="206"/>
        <v>0</v>
      </c>
      <c r="AC187" s="34">
        <f t="shared" si="207"/>
        <v>0</v>
      </c>
      <c r="AD187" s="34">
        <f t="shared" si="208"/>
        <v>0</v>
      </c>
      <c r="AE187" s="34">
        <f t="shared" si="209"/>
        <v>0</v>
      </c>
      <c r="AF187" s="34">
        <f t="shared" si="210"/>
        <v>0</v>
      </c>
      <c r="AG187" s="34">
        <f t="shared" si="211"/>
        <v>0</v>
      </c>
      <c r="AH187" s="34">
        <f t="shared" si="212"/>
        <v>0</v>
      </c>
      <c r="AI187" s="29"/>
      <c r="AJ187" s="17">
        <f t="shared" si="213"/>
        <v>0</v>
      </c>
      <c r="AK187" s="17">
        <f t="shared" si="214"/>
        <v>0</v>
      </c>
      <c r="AL187" s="17">
        <f t="shared" si="215"/>
        <v>0</v>
      </c>
      <c r="AN187" s="34">
        <v>15</v>
      </c>
      <c r="AO187" s="34">
        <f>H187*0</f>
        <v>0</v>
      </c>
      <c r="AP187" s="34">
        <f>H187*(1-0)</f>
        <v>0</v>
      </c>
      <c r="AQ187" s="28" t="s">
        <v>13</v>
      </c>
      <c r="AV187" s="34">
        <f t="shared" si="216"/>
        <v>0</v>
      </c>
      <c r="AW187" s="34">
        <f t="shared" si="217"/>
        <v>0</v>
      </c>
      <c r="AX187" s="34">
        <f t="shared" si="218"/>
        <v>0</v>
      </c>
      <c r="AY187" s="35" t="s">
        <v>1706</v>
      </c>
      <c r="AZ187" s="35" t="s">
        <v>1731</v>
      </c>
      <c r="BA187" s="29" t="s">
        <v>1737</v>
      </c>
      <c r="BC187" s="34">
        <f t="shared" si="219"/>
        <v>0</v>
      </c>
      <c r="BD187" s="34">
        <f t="shared" si="220"/>
        <v>0</v>
      </c>
      <c r="BE187" s="34">
        <v>0</v>
      </c>
      <c r="BF187" s="34">
        <f>187</f>
        <v>187</v>
      </c>
      <c r="BH187" s="17">
        <f t="shared" si="221"/>
        <v>0</v>
      </c>
      <c r="BI187" s="17">
        <f t="shared" si="222"/>
        <v>0</v>
      </c>
      <c r="BJ187" s="17">
        <f t="shared" si="223"/>
        <v>0</v>
      </c>
    </row>
    <row r="188" spans="1:62" x14ac:dyDescent="0.2">
      <c r="A188" s="4" t="s">
        <v>153</v>
      </c>
      <c r="B188" s="4" t="s">
        <v>715</v>
      </c>
      <c r="C188" s="240" t="s">
        <v>1227</v>
      </c>
      <c r="D188" s="241"/>
      <c r="E188" s="241"/>
      <c r="F188" s="4" t="s">
        <v>1645</v>
      </c>
      <c r="G188" s="69">
        <v>302</v>
      </c>
      <c r="H188" s="168"/>
      <c r="I188" s="17">
        <f t="shared" si="202"/>
        <v>0</v>
      </c>
      <c r="J188" s="17">
        <f t="shared" si="203"/>
        <v>0</v>
      </c>
      <c r="K188" s="17">
        <f t="shared" si="204"/>
        <v>0</v>
      </c>
      <c r="L188" s="28" t="s">
        <v>1671</v>
      </c>
      <c r="Z188" s="34">
        <f t="shared" si="205"/>
        <v>0</v>
      </c>
      <c r="AB188" s="34">
        <f t="shared" si="206"/>
        <v>0</v>
      </c>
      <c r="AC188" s="34">
        <f t="shared" si="207"/>
        <v>0</v>
      </c>
      <c r="AD188" s="34">
        <f t="shared" si="208"/>
        <v>0</v>
      </c>
      <c r="AE188" s="34">
        <f t="shared" si="209"/>
        <v>0</v>
      </c>
      <c r="AF188" s="34">
        <f t="shared" si="210"/>
        <v>0</v>
      </c>
      <c r="AG188" s="34">
        <f t="shared" si="211"/>
        <v>0</v>
      </c>
      <c r="AH188" s="34">
        <f t="shared" si="212"/>
        <v>0</v>
      </c>
      <c r="AI188" s="29"/>
      <c r="AJ188" s="17">
        <f t="shared" si="213"/>
        <v>0</v>
      </c>
      <c r="AK188" s="17">
        <f t="shared" si="214"/>
        <v>0</v>
      </c>
      <c r="AL188" s="17">
        <f t="shared" si="215"/>
        <v>0</v>
      </c>
      <c r="AN188" s="34">
        <v>15</v>
      </c>
      <c r="AO188" s="34">
        <f>H188*0.155846501128668</f>
        <v>0</v>
      </c>
      <c r="AP188" s="34">
        <f>H188*(1-0.155846501128668)</f>
        <v>0</v>
      </c>
      <c r="AQ188" s="28" t="s">
        <v>13</v>
      </c>
      <c r="AV188" s="34">
        <f t="shared" si="216"/>
        <v>0</v>
      </c>
      <c r="AW188" s="34">
        <f t="shared" si="217"/>
        <v>0</v>
      </c>
      <c r="AX188" s="34">
        <f t="shared" si="218"/>
        <v>0</v>
      </c>
      <c r="AY188" s="35" t="s">
        <v>1706</v>
      </c>
      <c r="AZ188" s="35" t="s">
        <v>1731</v>
      </c>
      <c r="BA188" s="29" t="s">
        <v>1737</v>
      </c>
      <c r="BC188" s="34">
        <f t="shared" si="219"/>
        <v>0</v>
      </c>
      <c r="BD188" s="34">
        <f t="shared" si="220"/>
        <v>0</v>
      </c>
      <c r="BE188" s="34">
        <v>0</v>
      </c>
      <c r="BF188" s="34">
        <f>188</f>
        <v>188</v>
      </c>
      <c r="BH188" s="17">
        <f t="shared" si="221"/>
        <v>0</v>
      </c>
      <c r="BI188" s="17">
        <f t="shared" si="222"/>
        <v>0</v>
      </c>
      <c r="BJ188" s="17">
        <f t="shared" si="223"/>
        <v>0</v>
      </c>
    </row>
    <row r="189" spans="1:62" x14ac:dyDescent="0.2">
      <c r="A189" s="4" t="s">
        <v>154</v>
      </c>
      <c r="B189" s="4" t="s">
        <v>716</v>
      </c>
      <c r="C189" s="240" t="s">
        <v>1228</v>
      </c>
      <c r="D189" s="241"/>
      <c r="E189" s="241"/>
      <c r="F189" s="4" t="s">
        <v>1645</v>
      </c>
      <c r="G189" s="69">
        <v>302</v>
      </c>
      <c r="H189" s="168"/>
      <c r="I189" s="17">
        <f t="shared" si="202"/>
        <v>0</v>
      </c>
      <c r="J189" s="17">
        <f t="shared" si="203"/>
        <v>0</v>
      </c>
      <c r="K189" s="17">
        <f t="shared" si="204"/>
        <v>0</v>
      </c>
      <c r="L189" s="28" t="s">
        <v>1671</v>
      </c>
      <c r="Z189" s="34">
        <f t="shared" si="205"/>
        <v>0</v>
      </c>
      <c r="AB189" s="34">
        <f t="shared" si="206"/>
        <v>0</v>
      </c>
      <c r="AC189" s="34">
        <f t="shared" si="207"/>
        <v>0</v>
      </c>
      <c r="AD189" s="34">
        <f t="shared" si="208"/>
        <v>0</v>
      </c>
      <c r="AE189" s="34">
        <f t="shared" si="209"/>
        <v>0</v>
      </c>
      <c r="AF189" s="34">
        <f t="shared" si="210"/>
        <v>0</v>
      </c>
      <c r="AG189" s="34">
        <f t="shared" si="211"/>
        <v>0</v>
      </c>
      <c r="AH189" s="34">
        <f t="shared" si="212"/>
        <v>0</v>
      </c>
      <c r="AI189" s="29"/>
      <c r="AJ189" s="17">
        <f t="shared" si="213"/>
        <v>0</v>
      </c>
      <c r="AK189" s="17">
        <f t="shared" si="214"/>
        <v>0</v>
      </c>
      <c r="AL189" s="17">
        <f t="shared" si="215"/>
        <v>0</v>
      </c>
      <c r="AN189" s="34">
        <v>15</v>
      </c>
      <c r="AO189" s="34">
        <f>H189*0.160103092783505</f>
        <v>0</v>
      </c>
      <c r="AP189" s="34">
        <f>H189*(1-0.160103092783505)</f>
        <v>0</v>
      </c>
      <c r="AQ189" s="28" t="s">
        <v>13</v>
      </c>
      <c r="AV189" s="34">
        <f t="shared" si="216"/>
        <v>0</v>
      </c>
      <c r="AW189" s="34">
        <f t="shared" si="217"/>
        <v>0</v>
      </c>
      <c r="AX189" s="34">
        <f t="shared" si="218"/>
        <v>0</v>
      </c>
      <c r="AY189" s="35" t="s">
        <v>1706</v>
      </c>
      <c r="AZ189" s="35" t="s">
        <v>1731</v>
      </c>
      <c r="BA189" s="29" t="s">
        <v>1737</v>
      </c>
      <c r="BC189" s="34">
        <f t="shared" si="219"/>
        <v>0</v>
      </c>
      <c r="BD189" s="34">
        <f t="shared" si="220"/>
        <v>0</v>
      </c>
      <c r="BE189" s="34">
        <v>0</v>
      </c>
      <c r="BF189" s="34">
        <f>189</f>
        <v>189</v>
      </c>
      <c r="BH189" s="17">
        <f t="shared" si="221"/>
        <v>0</v>
      </c>
      <c r="BI189" s="17">
        <f t="shared" si="222"/>
        <v>0</v>
      </c>
      <c r="BJ189" s="17">
        <f t="shared" si="223"/>
        <v>0</v>
      </c>
    </row>
    <row r="190" spans="1:62" x14ac:dyDescent="0.2">
      <c r="A190" s="4" t="s">
        <v>155</v>
      </c>
      <c r="B190" s="4" t="s">
        <v>717</v>
      </c>
      <c r="C190" s="240" t="s">
        <v>1229</v>
      </c>
      <c r="D190" s="241"/>
      <c r="E190" s="241"/>
      <c r="F190" s="4" t="s">
        <v>1645</v>
      </c>
      <c r="G190" s="69">
        <v>345.786</v>
      </c>
      <c r="H190" s="168"/>
      <c r="I190" s="17">
        <f t="shared" si="202"/>
        <v>0</v>
      </c>
      <c r="J190" s="17">
        <f t="shared" si="203"/>
        <v>0</v>
      </c>
      <c r="K190" s="17">
        <f t="shared" si="204"/>
        <v>0</v>
      </c>
      <c r="L190" s="28" t="s">
        <v>1671</v>
      </c>
      <c r="Z190" s="34">
        <f t="shared" si="205"/>
        <v>0</v>
      </c>
      <c r="AB190" s="34">
        <f t="shared" si="206"/>
        <v>0</v>
      </c>
      <c r="AC190" s="34">
        <f t="shared" si="207"/>
        <v>0</v>
      </c>
      <c r="AD190" s="34">
        <f t="shared" si="208"/>
        <v>0</v>
      </c>
      <c r="AE190" s="34">
        <f t="shared" si="209"/>
        <v>0</v>
      </c>
      <c r="AF190" s="34">
        <f t="shared" si="210"/>
        <v>0</v>
      </c>
      <c r="AG190" s="34">
        <f t="shared" si="211"/>
        <v>0</v>
      </c>
      <c r="AH190" s="34">
        <f t="shared" si="212"/>
        <v>0</v>
      </c>
      <c r="AI190" s="29"/>
      <c r="AJ190" s="17">
        <f t="shared" si="213"/>
        <v>0</v>
      </c>
      <c r="AK190" s="17">
        <f t="shared" si="214"/>
        <v>0</v>
      </c>
      <c r="AL190" s="17">
        <f t="shared" si="215"/>
        <v>0</v>
      </c>
      <c r="AN190" s="34">
        <v>15</v>
      </c>
      <c r="AO190" s="34">
        <f>H190*0.421192101380328</f>
        <v>0</v>
      </c>
      <c r="AP190" s="34">
        <f>H190*(1-0.421192101380328)</f>
        <v>0</v>
      </c>
      <c r="AQ190" s="28" t="s">
        <v>13</v>
      </c>
      <c r="AV190" s="34">
        <f t="shared" si="216"/>
        <v>0</v>
      </c>
      <c r="AW190" s="34">
        <f t="shared" si="217"/>
        <v>0</v>
      </c>
      <c r="AX190" s="34">
        <f t="shared" si="218"/>
        <v>0</v>
      </c>
      <c r="AY190" s="35" t="s">
        <v>1706</v>
      </c>
      <c r="AZ190" s="35" t="s">
        <v>1731</v>
      </c>
      <c r="BA190" s="29" t="s">
        <v>1737</v>
      </c>
      <c r="BC190" s="34">
        <f t="shared" si="219"/>
        <v>0</v>
      </c>
      <c r="BD190" s="34">
        <f t="shared" si="220"/>
        <v>0</v>
      </c>
      <c r="BE190" s="34">
        <v>0</v>
      </c>
      <c r="BF190" s="34">
        <f>190</f>
        <v>190</v>
      </c>
      <c r="BH190" s="17">
        <f t="shared" si="221"/>
        <v>0</v>
      </c>
      <c r="BI190" s="17">
        <f t="shared" si="222"/>
        <v>0</v>
      </c>
      <c r="BJ190" s="17">
        <f t="shared" si="223"/>
        <v>0</v>
      </c>
    </row>
    <row r="191" spans="1:62" x14ac:dyDescent="0.2">
      <c r="A191" s="4" t="s">
        <v>156</v>
      </c>
      <c r="B191" s="4" t="s">
        <v>718</v>
      </c>
      <c r="C191" s="240" t="s">
        <v>1230</v>
      </c>
      <c r="D191" s="241"/>
      <c r="E191" s="241"/>
      <c r="F191" s="4" t="s">
        <v>1648</v>
      </c>
      <c r="G191" s="69">
        <v>1.4390000000000001</v>
      </c>
      <c r="H191" s="168"/>
      <c r="I191" s="17">
        <f t="shared" si="202"/>
        <v>0</v>
      </c>
      <c r="J191" s="17">
        <f t="shared" si="203"/>
        <v>0</v>
      </c>
      <c r="K191" s="17">
        <f t="shared" si="204"/>
        <v>0</v>
      </c>
      <c r="L191" s="28" t="s">
        <v>1671</v>
      </c>
      <c r="Z191" s="34">
        <f t="shared" si="205"/>
        <v>0</v>
      </c>
      <c r="AB191" s="34">
        <f t="shared" si="206"/>
        <v>0</v>
      </c>
      <c r="AC191" s="34">
        <f t="shared" si="207"/>
        <v>0</v>
      </c>
      <c r="AD191" s="34">
        <f t="shared" si="208"/>
        <v>0</v>
      </c>
      <c r="AE191" s="34">
        <f t="shared" si="209"/>
        <v>0</v>
      </c>
      <c r="AF191" s="34">
        <f t="shared" si="210"/>
        <v>0</v>
      </c>
      <c r="AG191" s="34">
        <f t="shared" si="211"/>
        <v>0</v>
      </c>
      <c r="AH191" s="34">
        <f t="shared" si="212"/>
        <v>0</v>
      </c>
      <c r="AI191" s="29"/>
      <c r="AJ191" s="17">
        <f t="shared" si="213"/>
        <v>0</v>
      </c>
      <c r="AK191" s="17">
        <f t="shared" si="214"/>
        <v>0</v>
      </c>
      <c r="AL191" s="17">
        <f t="shared" si="215"/>
        <v>0</v>
      </c>
      <c r="AN191" s="34">
        <v>15</v>
      </c>
      <c r="AO191" s="34">
        <f>H191*0</f>
        <v>0</v>
      </c>
      <c r="AP191" s="34">
        <f>H191*(1-0)</f>
        <v>0</v>
      </c>
      <c r="AQ191" s="28" t="s">
        <v>11</v>
      </c>
      <c r="AV191" s="34">
        <f t="shared" si="216"/>
        <v>0</v>
      </c>
      <c r="AW191" s="34">
        <f t="shared" si="217"/>
        <v>0</v>
      </c>
      <c r="AX191" s="34">
        <f t="shared" si="218"/>
        <v>0</v>
      </c>
      <c r="AY191" s="35" t="s">
        <v>1706</v>
      </c>
      <c r="AZ191" s="35" t="s">
        <v>1731</v>
      </c>
      <c r="BA191" s="29" t="s">
        <v>1737</v>
      </c>
      <c r="BC191" s="34">
        <f t="shared" si="219"/>
        <v>0</v>
      </c>
      <c r="BD191" s="34">
        <f t="shared" si="220"/>
        <v>0</v>
      </c>
      <c r="BE191" s="34">
        <v>0</v>
      </c>
      <c r="BF191" s="34">
        <f>191</f>
        <v>191</v>
      </c>
      <c r="BH191" s="17">
        <f t="shared" si="221"/>
        <v>0</v>
      </c>
      <c r="BI191" s="17">
        <f t="shared" si="222"/>
        <v>0</v>
      </c>
      <c r="BJ191" s="17">
        <f t="shared" si="223"/>
        <v>0</v>
      </c>
    </row>
    <row r="192" spans="1:62" x14ac:dyDescent="0.2">
      <c r="A192" s="5"/>
      <c r="B192" s="13" t="s">
        <v>719</v>
      </c>
      <c r="C192" s="244" t="s">
        <v>1231</v>
      </c>
      <c r="D192" s="245"/>
      <c r="E192" s="245"/>
      <c r="F192" s="5" t="s">
        <v>6</v>
      </c>
      <c r="G192" s="5" t="s">
        <v>6</v>
      </c>
      <c r="H192" s="5" t="s">
        <v>6</v>
      </c>
      <c r="I192" s="37">
        <f>SUM(I193:I216)</f>
        <v>0</v>
      </c>
      <c r="J192" s="37">
        <f>SUM(J193:J216)</f>
        <v>0</v>
      </c>
      <c r="K192" s="37">
        <f>SUM(K193:K216)</f>
        <v>0</v>
      </c>
      <c r="L192" s="29"/>
      <c r="AI192" s="29"/>
      <c r="AS192" s="37">
        <f>SUM(AJ193:AJ216)</f>
        <v>0</v>
      </c>
      <c r="AT192" s="37">
        <f>SUM(AK193:AK216)</f>
        <v>0</v>
      </c>
      <c r="AU192" s="37">
        <f>SUM(AL193:AL216)</f>
        <v>0</v>
      </c>
    </row>
    <row r="193" spans="1:62" x14ac:dyDescent="0.2">
      <c r="A193" s="4" t="s">
        <v>157</v>
      </c>
      <c r="B193" s="4" t="s">
        <v>720</v>
      </c>
      <c r="C193" s="240" t="s">
        <v>1232</v>
      </c>
      <c r="D193" s="241"/>
      <c r="E193" s="241"/>
      <c r="F193" s="4" t="s">
        <v>1646</v>
      </c>
      <c r="G193" s="69">
        <v>3.5</v>
      </c>
      <c r="H193" s="168"/>
      <c r="I193" s="17">
        <f t="shared" ref="I193:I216" si="224">G193*AO193</f>
        <v>0</v>
      </c>
      <c r="J193" s="17">
        <f t="shared" ref="J193:J216" si="225">G193*AP193</f>
        <v>0</v>
      </c>
      <c r="K193" s="17">
        <f t="shared" ref="K193:K216" si="226">G193*H193</f>
        <v>0</v>
      </c>
      <c r="L193" s="28"/>
      <c r="Z193" s="34">
        <f t="shared" ref="Z193:Z216" si="227">IF(AQ193="5",BJ193,0)</f>
        <v>0</v>
      </c>
      <c r="AB193" s="34">
        <f t="shared" ref="AB193:AB216" si="228">IF(AQ193="1",BH193,0)</f>
        <v>0</v>
      </c>
      <c r="AC193" s="34">
        <f t="shared" ref="AC193:AC216" si="229">IF(AQ193="1",BI193,0)</f>
        <v>0</v>
      </c>
      <c r="AD193" s="34">
        <f t="shared" ref="AD193:AD216" si="230">IF(AQ193="7",BH193,0)</f>
        <v>0</v>
      </c>
      <c r="AE193" s="34">
        <f t="shared" ref="AE193:AE216" si="231">IF(AQ193="7",BI193,0)</f>
        <v>0</v>
      </c>
      <c r="AF193" s="34">
        <f t="shared" ref="AF193:AF216" si="232">IF(AQ193="2",BH193,0)</f>
        <v>0</v>
      </c>
      <c r="AG193" s="34">
        <f t="shared" ref="AG193:AG216" si="233">IF(AQ193="2",BI193,0)</f>
        <v>0</v>
      </c>
      <c r="AH193" s="34">
        <f t="shared" ref="AH193:AH216" si="234">IF(AQ193="0",BJ193,0)</f>
        <v>0</v>
      </c>
      <c r="AI193" s="29"/>
      <c r="AJ193" s="17">
        <f t="shared" ref="AJ193:AJ216" si="235">IF(AN193=0,K193,0)</f>
        <v>0</v>
      </c>
      <c r="AK193" s="17">
        <f t="shared" ref="AK193:AK216" si="236">IF(AN193=15,K193,0)</f>
        <v>0</v>
      </c>
      <c r="AL193" s="17">
        <f t="shared" ref="AL193:AL216" si="237">IF(AN193=21,K193,0)</f>
        <v>0</v>
      </c>
      <c r="AN193" s="34">
        <v>15</v>
      </c>
      <c r="AO193" s="34">
        <f t="shared" ref="AO193:AO216" si="238">H193*0</f>
        <v>0</v>
      </c>
      <c r="AP193" s="34">
        <f t="shared" ref="AP193:AP216" si="239">H193*(1-0)</f>
        <v>0</v>
      </c>
      <c r="AQ193" s="28" t="s">
        <v>13</v>
      </c>
      <c r="AV193" s="34">
        <f t="shared" ref="AV193:AV216" si="240">AW193+AX193</f>
        <v>0</v>
      </c>
      <c r="AW193" s="34">
        <f t="shared" ref="AW193:AW216" si="241">G193*AO193</f>
        <v>0</v>
      </c>
      <c r="AX193" s="34">
        <f t="shared" ref="AX193:AX216" si="242">G193*AP193</f>
        <v>0</v>
      </c>
      <c r="AY193" s="35" t="s">
        <v>1707</v>
      </c>
      <c r="AZ193" s="35" t="s">
        <v>1732</v>
      </c>
      <c r="BA193" s="29" t="s">
        <v>1737</v>
      </c>
      <c r="BC193" s="34">
        <f t="shared" ref="BC193:BC216" si="243">AW193+AX193</f>
        <v>0</v>
      </c>
      <c r="BD193" s="34">
        <f t="shared" ref="BD193:BD216" si="244">H193/(100-BE193)*100</f>
        <v>0</v>
      </c>
      <c r="BE193" s="34">
        <v>0</v>
      </c>
      <c r="BF193" s="34">
        <f>193</f>
        <v>193</v>
      </c>
      <c r="BH193" s="17">
        <f t="shared" ref="BH193:BH216" si="245">G193*AO193</f>
        <v>0</v>
      </c>
      <c r="BI193" s="17">
        <f t="shared" ref="BI193:BI216" si="246">G193*AP193</f>
        <v>0</v>
      </c>
      <c r="BJ193" s="17">
        <f t="shared" ref="BJ193:BJ216" si="247">G193*H193</f>
        <v>0</v>
      </c>
    </row>
    <row r="194" spans="1:62" x14ac:dyDescent="0.2">
      <c r="A194" s="4" t="s">
        <v>158</v>
      </c>
      <c r="B194" s="4" t="s">
        <v>721</v>
      </c>
      <c r="C194" s="240" t="s">
        <v>1233</v>
      </c>
      <c r="D194" s="241"/>
      <c r="E194" s="241"/>
      <c r="F194" s="4" t="s">
        <v>1646</v>
      </c>
      <c r="G194" s="69">
        <v>3</v>
      </c>
      <c r="H194" s="168"/>
      <c r="I194" s="17">
        <f t="shared" si="224"/>
        <v>0</v>
      </c>
      <c r="J194" s="17">
        <f t="shared" si="225"/>
        <v>0</v>
      </c>
      <c r="K194" s="17">
        <f t="shared" si="226"/>
        <v>0</v>
      </c>
      <c r="L194" s="28"/>
      <c r="Z194" s="34">
        <f t="shared" si="227"/>
        <v>0</v>
      </c>
      <c r="AB194" s="34">
        <f t="shared" si="228"/>
        <v>0</v>
      </c>
      <c r="AC194" s="34">
        <f t="shared" si="229"/>
        <v>0</v>
      </c>
      <c r="AD194" s="34">
        <f t="shared" si="230"/>
        <v>0</v>
      </c>
      <c r="AE194" s="34">
        <f t="shared" si="231"/>
        <v>0</v>
      </c>
      <c r="AF194" s="34">
        <f t="shared" si="232"/>
        <v>0</v>
      </c>
      <c r="AG194" s="34">
        <f t="shared" si="233"/>
        <v>0</v>
      </c>
      <c r="AH194" s="34">
        <f t="shared" si="234"/>
        <v>0</v>
      </c>
      <c r="AI194" s="29"/>
      <c r="AJ194" s="17">
        <f t="shared" si="235"/>
        <v>0</v>
      </c>
      <c r="AK194" s="17">
        <f t="shared" si="236"/>
        <v>0</v>
      </c>
      <c r="AL194" s="17">
        <f t="shared" si="237"/>
        <v>0</v>
      </c>
      <c r="AN194" s="34">
        <v>15</v>
      </c>
      <c r="AO194" s="34">
        <f t="shared" si="238"/>
        <v>0</v>
      </c>
      <c r="AP194" s="34">
        <f t="shared" si="239"/>
        <v>0</v>
      </c>
      <c r="AQ194" s="28" t="s">
        <v>13</v>
      </c>
      <c r="AV194" s="34">
        <f t="shared" si="240"/>
        <v>0</v>
      </c>
      <c r="AW194" s="34">
        <f t="shared" si="241"/>
        <v>0</v>
      </c>
      <c r="AX194" s="34">
        <f t="shared" si="242"/>
        <v>0</v>
      </c>
      <c r="AY194" s="35" t="s">
        <v>1707</v>
      </c>
      <c r="AZ194" s="35" t="s">
        <v>1732</v>
      </c>
      <c r="BA194" s="29" t="s">
        <v>1737</v>
      </c>
      <c r="BC194" s="34">
        <f t="shared" si="243"/>
        <v>0</v>
      </c>
      <c r="BD194" s="34">
        <f t="shared" si="244"/>
        <v>0</v>
      </c>
      <c r="BE194" s="34">
        <v>0</v>
      </c>
      <c r="BF194" s="34">
        <f>194</f>
        <v>194</v>
      </c>
      <c r="BH194" s="17">
        <f t="shared" si="245"/>
        <v>0</v>
      </c>
      <c r="BI194" s="17">
        <f t="shared" si="246"/>
        <v>0</v>
      </c>
      <c r="BJ194" s="17">
        <f t="shared" si="247"/>
        <v>0</v>
      </c>
    </row>
    <row r="195" spans="1:62" x14ac:dyDescent="0.2">
      <c r="A195" s="4" t="s">
        <v>159</v>
      </c>
      <c r="B195" s="4" t="s">
        <v>722</v>
      </c>
      <c r="C195" s="240" t="s">
        <v>1234</v>
      </c>
      <c r="D195" s="241"/>
      <c r="E195" s="241"/>
      <c r="F195" s="4" t="s">
        <v>1646</v>
      </c>
      <c r="G195" s="69">
        <v>1.5</v>
      </c>
      <c r="H195" s="168"/>
      <c r="I195" s="17">
        <f t="shared" si="224"/>
        <v>0</v>
      </c>
      <c r="J195" s="17">
        <f t="shared" si="225"/>
        <v>0</v>
      </c>
      <c r="K195" s="17">
        <f t="shared" si="226"/>
        <v>0</v>
      </c>
      <c r="L195" s="28"/>
      <c r="Z195" s="34">
        <f t="shared" si="227"/>
        <v>0</v>
      </c>
      <c r="AB195" s="34">
        <f t="shared" si="228"/>
        <v>0</v>
      </c>
      <c r="AC195" s="34">
        <f t="shared" si="229"/>
        <v>0</v>
      </c>
      <c r="AD195" s="34">
        <f t="shared" si="230"/>
        <v>0</v>
      </c>
      <c r="AE195" s="34">
        <f t="shared" si="231"/>
        <v>0</v>
      </c>
      <c r="AF195" s="34">
        <f t="shared" si="232"/>
        <v>0</v>
      </c>
      <c r="AG195" s="34">
        <f t="shared" si="233"/>
        <v>0</v>
      </c>
      <c r="AH195" s="34">
        <f t="shared" si="234"/>
        <v>0</v>
      </c>
      <c r="AI195" s="29"/>
      <c r="AJ195" s="17">
        <f t="shared" si="235"/>
        <v>0</v>
      </c>
      <c r="AK195" s="17">
        <f t="shared" si="236"/>
        <v>0</v>
      </c>
      <c r="AL195" s="17">
        <f t="shared" si="237"/>
        <v>0</v>
      </c>
      <c r="AN195" s="34">
        <v>15</v>
      </c>
      <c r="AO195" s="34">
        <f t="shared" si="238"/>
        <v>0</v>
      </c>
      <c r="AP195" s="34">
        <f t="shared" si="239"/>
        <v>0</v>
      </c>
      <c r="AQ195" s="28" t="s">
        <v>13</v>
      </c>
      <c r="AV195" s="34">
        <f t="shared" si="240"/>
        <v>0</v>
      </c>
      <c r="AW195" s="34">
        <f t="shared" si="241"/>
        <v>0</v>
      </c>
      <c r="AX195" s="34">
        <f t="shared" si="242"/>
        <v>0</v>
      </c>
      <c r="AY195" s="35" t="s">
        <v>1707</v>
      </c>
      <c r="AZ195" s="35" t="s">
        <v>1732</v>
      </c>
      <c r="BA195" s="29" t="s">
        <v>1737</v>
      </c>
      <c r="BC195" s="34">
        <f t="shared" si="243"/>
        <v>0</v>
      </c>
      <c r="BD195" s="34">
        <f t="shared" si="244"/>
        <v>0</v>
      </c>
      <c r="BE195" s="34">
        <v>0</v>
      </c>
      <c r="BF195" s="34">
        <f>195</f>
        <v>195</v>
      </c>
      <c r="BH195" s="17">
        <f t="shared" si="245"/>
        <v>0</v>
      </c>
      <c r="BI195" s="17">
        <f t="shared" si="246"/>
        <v>0</v>
      </c>
      <c r="BJ195" s="17">
        <f t="shared" si="247"/>
        <v>0</v>
      </c>
    </row>
    <row r="196" spans="1:62" x14ac:dyDescent="0.2">
      <c r="A196" s="4" t="s">
        <v>160</v>
      </c>
      <c r="B196" s="4" t="s">
        <v>723</v>
      </c>
      <c r="C196" s="240" t="s">
        <v>1235</v>
      </c>
      <c r="D196" s="241"/>
      <c r="E196" s="241"/>
      <c r="F196" s="4" t="s">
        <v>1646</v>
      </c>
      <c r="G196" s="69">
        <v>3</v>
      </c>
      <c r="H196" s="168"/>
      <c r="I196" s="17">
        <f t="shared" si="224"/>
        <v>0</v>
      </c>
      <c r="J196" s="17">
        <f t="shared" si="225"/>
        <v>0</v>
      </c>
      <c r="K196" s="17">
        <f t="shared" si="226"/>
        <v>0</v>
      </c>
      <c r="L196" s="28"/>
      <c r="Z196" s="34">
        <f t="shared" si="227"/>
        <v>0</v>
      </c>
      <c r="AB196" s="34">
        <f t="shared" si="228"/>
        <v>0</v>
      </c>
      <c r="AC196" s="34">
        <f t="shared" si="229"/>
        <v>0</v>
      </c>
      <c r="AD196" s="34">
        <f t="shared" si="230"/>
        <v>0</v>
      </c>
      <c r="AE196" s="34">
        <f t="shared" si="231"/>
        <v>0</v>
      </c>
      <c r="AF196" s="34">
        <f t="shared" si="232"/>
        <v>0</v>
      </c>
      <c r="AG196" s="34">
        <f t="shared" si="233"/>
        <v>0</v>
      </c>
      <c r="AH196" s="34">
        <f t="shared" si="234"/>
        <v>0</v>
      </c>
      <c r="AI196" s="29"/>
      <c r="AJ196" s="17">
        <f t="shared" si="235"/>
        <v>0</v>
      </c>
      <c r="AK196" s="17">
        <f t="shared" si="236"/>
        <v>0</v>
      </c>
      <c r="AL196" s="17">
        <f t="shared" si="237"/>
        <v>0</v>
      </c>
      <c r="AN196" s="34">
        <v>15</v>
      </c>
      <c r="AO196" s="34">
        <f t="shared" si="238"/>
        <v>0</v>
      </c>
      <c r="AP196" s="34">
        <f t="shared" si="239"/>
        <v>0</v>
      </c>
      <c r="AQ196" s="28" t="s">
        <v>13</v>
      </c>
      <c r="AV196" s="34">
        <f t="shared" si="240"/>
        <v>0</v>
      </c>
      <c r="AW196" s="34">
        <f t="shared" si="241"/>
        <v>0</v>
      </c>
      <c r="AX196" s="34">
        <f t="shared" si="242"/>
        <v>0</v>
      </c>
      <c r="AY196" s="35" t="s">
        <v>1707</v>
      </c>
      <c r="AZ196" s="35" t="s">
        <v>1732</v>
      </c>
      <c r="BA196" s="29" t="s">
        <v>1737</v>
      </c>
      <c r="BC196" s="34">
        <f t="shared" si="243"/>
        <v>0</v>
      </c>
      <c r="BD196" s="34">
        <f t="shared" si="244"/>
        <v>0</v>
      </c>
      <c r="BE196" s="34">
        <v>0</v>
      </c>
      <c r="BF196" s="34">
        <f>196</f>
        <v>196</v>
      </c>
      <c r="BH196" s="17">
        <f t="shared" si="245"/>
        <v>0</v>
      </c>
      <c r="BI196" s="17">
        <f t="shared" si="246"/>
        <v>0</v>
      </c>
      <c r="BJ196" s="17">
        <f t="shared" si="247"/>
        <v>0</v>
      </c>
    </row>
    <row r="197" spans="1:62" x14ac:dyDescent="0.2">
      <c r="A197" s="4" t="s">
        <v>161</v>
      </c>
      <c r="B197" s="4" t="s">
        <v>724</v>
      </c>
      <c r="C197" s="240" t="s">
        <v>1236</v>
      </c>
      <c r="D197" s="241"/>
      <c r="E197" s="241"/>
      <c r="F197" s="4" t="s">
        <v>1646</v>
      </c>
      <c r="G197" s="69">
        <v>1</v>
      </c>
      <c r="H197" s="168"/>
      <c r="I197" s="17">
        <f t="shared" si="224"/>
        <v>0</v>
      </c>
      <c r="J197" s="17">
        <f t="shared" si="225"/>
        <v>0</v>
      </c>
      <c r="K197" s="17">
        <f t="shared" si="226"/>
        <v>0</v>
      </c>
      <c r="L197" s="28"/>
      <c r="Z197" s="34">
        <f t="shared" si="227"/>
        <v>0</v>
      </c>
      <c r="AB197" s="34">
        <f t="shared" si="228"/>
        <v>0</v>
      </c>
      <c r="AC197" s="34">
        <f t="shared" si="229"/>
        <v>0</v>
      </c>
      <c r="AD197" s="34">
        <f t="shared" si="230"/>
        <v>0</v>
      </c>
      <c r="AE197" s="34">
        <f t="shared" si="231"/>
        <v>0</v>
      </c>
      <c r="AF197" s="34">
        <f t="shared" si="232"/>
        <v>0</v>
      </c>
      <c r="AG197" s="34">
        <f t="shared" si="233"/>
        <v>0</v>
      </c>
      <c r="AH197" s="34">
        <f t="shared" si="234"/>
        <v>0</v>
      </c>
      <c r="AI197" s="29"/>
      <c r="AJ197" s="17">
        <f t="shared" si="235"/>
        <v>0</v>
      </c>
      <c r="AK197" s="17">
        <f t="shared" si="236"/>
        <v>0</v>
      </c>
      <c r="AL197" s="17">
        <f t="shared" si="237"/>
        <v>0</v>
      </c>
      <c r="AN197" s="34">
        <v>15</v>
      </c>
      <c r="AO197" s="34">
        <f t="shared" si="238"/>
        <v>0</v>
      </c>
      <c r="AP197" s="34">
        <f t="shared" si="239"/>
        <v>0</v>
      </c>
      <c r="AQ197" s="28" t="s">
        <v>13</v>
      </c>
      <c r="AV197" s="34">
        <f t="shared" si="240"/>
        <v>0</v>
      </c>
      <c r="AW197" s="34">
        <f t="shared" si="241"/>
        <v>0</v>
      </c>
      <c r="AX197" s="34">
        <f t="shared" si="242"/>
        <v>0</v>
      </c>
      <c r="AY197" s="35" t="s">
        <v>1707</v>
      </c>
      <c r="AZ197" s="35" t="s">
        <v>1732</v>
      </c>
      <c r="BA197" s="29" t="s">
        <v>1737</v>
      </c>
      <c r="BC197" s="34">
        <f t="shared" si="243"/>
        <v>0</v>
      </c>
      <c r="BD197" s="34">
        <f t="shared" si="244"/>
        <v>0</v>
      </c>
      <c r="BE197" s="34">
        <v>0</v>
      </c>
      <c r="BF197" s="34">
        <f>197</f>
        <v>197</v>
      </c>
      <c r="BH197" s="17">
        <f t="shared" si="245"/>
        <v>0</v>
      </c>
      <c r="BI197" s="17">
        <f t="shared" si="246"/>
        <v>0</v>
      </c>
      <c r="BJ197" s="17">
        <f t="shared" si="247"/>
        <v>0</v>
      </c>
    </row>
    <row r="198" spans="1:62" x14ac:dyDescent="0.2">
      <c r="A198" s="4" t="s">
        <v>162</v>
      </c>
      <c r="B198" s="4" t="s">
        <v>725</v>
      </c>
      <c r="C198" s="240" t="s">
        <v>1237</v>
      </c>
      <c r="D198" s="241"/>
      <c r="E198" s="241"/>
      <c r="F198" s="4" t="s">
        <v>1646</v>
      </c>
      <c r="G198" s="69">
        <v>11.5</v>
      </c>
      <c r="H198" s="168"/>
      <c r="I198" s="17">
        <f t="shared" si="224"/>
        <v>0</v>
      </c>
      <c r="J198" s="17">
        <f t="shared" si="225"/>
        <v>0</v>
      </c>
      <c r="K198" s="17">
        <f t="shared" si="226"/>
        <v>0</v>
      </c>
      <c r="L198" s="28"/>
      <c r="Z198" s="34">
        <f t="shared" si="227"/>
        <v>0</v>
      </c>
      <c r="AB198" s="34">
        <f t="shared" si="228"/>
        <v>0</v>
      </c>
      <c r="AC198" s="34">
        <f t="shared" si="229"/>
        <v>0</v>
      </c>
      <c r="AD198" s="34">
        <f t="shared" si="230"/>
        <v>0</v>
      </c>
      <c r="AE198" s="34">
        <f t="shared" si="231"/>
        <v>0</v>
      </c>
      <c r="AF198" s="34">
        <f t="shared" si="232"/>
        <v>0</v>
      </c>
      <c r="AG198" s="34">
        <f t="shared" si="233"/>
        <v>0</v>
      </c>
      <c r="AH198" s="34">
        <f t="shared" si="234"/>
        <v>0</v>
      </c>
      <c r="AI198" s="29"/>
      <c r="AJ198" s="17">
        <f t="shared" si="235"/>
        <v>0</v>
      </c>
      <c r="AK198" s="17">
        <f t="shared" si="236"/>
        <v>0</v>
      </c>
      <c r="AL198" s="17">
        <f t="shared" si="237"/>
        <v>0</v>
      </c>
      <c r="AN198" s="34">
        <v>15</v>
      </c>
      <c r="AO198" s="34">
        <f t="shared" si="238"/>
        <v>0</v>
      </c>
      <c r="AP198" s="34">
        <f t="shared" si="239"/>
        <v>0</v>
      </c>
      <c r="AQ198" s="28" t="s">
        <v>13</v>
      </c>
      <c r="AV198" s="34">
        <f t="shared" si="240"/>
        <v>0</v>
      </c>
      <c r="AW198" s="34">
        <f t="shared" si="241"/>
        <v>0</v>
      </c>
      <c r="AX198" s="34">
        <f t="shared" si="242"/>
        <v>0</v>
      </c>
      <c r="AY198" s="35" t="s">
        <v>1707</v>
      </c>
      <c r="AZ198" s="35" t="s">
        <v>1732</v>
      </c>
      <c r="BA198" s="29" t="s">
        <v>1737</v>
      </c>
      <c r="BC198" s="34">
        <f t="shared" si="243"/>
        <v>0</v>
      </c>
      <c r="BD198" s="34">
        <f t="shared" si="244"/>
        <v>0</v>
      </c>
      <c r="BE198" s="34">
        <v>0</v>
      </c>
      <c r="BF198" s="34">
        <f>198</f>
        <v>198</v>
      </c>
      <c r="BH198" s="17">
        <f t="shared" si="245"/>
        <v>0</v>
      </c>
      <c r="BI198" s="17">
        <f t="shared" si="246"/>
        <v>0</v>
      </c>
      <c r="BJ198" s="17">
        <f t="shared" si="247"/>
        <v>0</v>
      </c>
    </row>
    <row r="199" spans="1:62" x14ac:dyDescent="0.2">
      <c r="A199" s="4" t="s">
        <v>163</v>
      </c>
      <c r="B199" s="4" t="s">
        <v>726</v>
      </c>
      <c r="C199" s="240" t="s">
        <v>1238</v>
      </c>
      <c r="D199" s="241"/>
      <c r="E199" s="241"/>
      <c r="F199" s="4" t="s">
        <v>1644</v>
      </c>
      <c r="G199" s="69">
        <v>2</v>
      </c>
      <c r="H199" s="168"/>
      <c r="I199" s="17">
        <f t="shared" si="224"/>
        <v>0</v>
      </c>
      <c r="J199" s="17">
        <f t="shared" si="225"/>
        <v>0</v>
      </c>
      <c r="K199" s="17">
        <f t="shared" si="226"/>
        <v>0</v>
      </c>
      <c r="L199" s="28"/>
      <c r="Z199" s="34">
        <f t="shared" si="227"/>
        <v>0</v>
      </c>
      <c r="AB199" s="34">
        <f t="shared" si="228"/>
        <v>0</v>
      </c>
      <c r="AC199" s="34">
        <f t="shared" si="229"/>
        <v>0</v>
      </c>
      <c r="AD199" s="34">
        <f t="shared" si="230"/>
        <v>0</v>
      </c>
      <c r="AE199" s="34">
        <f t="shared" si="231"/>
        <v>0</v>
      </c>
      <c r="AF199" s="34">
        <f t="shared" si="232"/>
        <v>0</v>
      </c>
      <c r="AG199" s="34">
        <f t="shared" si="233"/>
        <v>0</v>
      </c>
      <c r="AH199" s="34">
        <f t="shared" si="234"/>
        <v>0</v>
      </c>
      <c r="AI199" s="29"/>
      <c r="AJ199" s="17">
        <f t="shared" si="235"/>
        <v>0</v>
      </c>
      <c r="AK199" s="17">
        <f t="shared" si="236"/>
        <v>0</v>
      </c>
      <c r="AL199" s="17">
        <f t="shared" si="237"/>
        <v>0</v>
      </c>
      <c r="AN199" s="34">
        <v>15</v>
      </c>
      <c r="AO199" s="34">
        <f t="shared" si="238"/>
        <v>0</v>
      </c>
      <c r="AP199" s="34">
        <f t="shared" si="239"/>
        <v>0</v>
      </c>
      <c r="AQ199" s="28" t="s">
        <v>13</v>
      </c>
      <c r="AV199" s="34">
        <f t="shared" si="240"/>
        <v>0</v>
      </c>
      <c r="AW199" s="34">
        <f t="shared" si="241"/>
        <v>0</v>
      </c>
      <c r="AX199" s="34">
        <f t="shared" si="242"/>
        <v>0</v>
      </c>
      <c r="AY199" s="35" t="s">
        <v>1707</v>
      </c>
      <c r="AZ199" s="35" t="s">
        <v>1732</v>
      </c>
      <c r="BA199" s="29" t="s">
        <v>1737</v>
      </c>
      <c r="BC199" s="34">
        <f t="shared" si="243"/>
        <v>0</v>
      </c>
      <c r="BD199" s="34">
        <f t="shared" si="244"/>
        <v>0</v>
      </c>
      <c r="BE199" s="34">
        <v>0</v>
      </c>
      <c r="BF199" s="34">
        <f>199</f>
        <v>199</v>
      </c>
      <c r="BH199" s="17">
        <f t="shared" si="245"/>
        <v>0</v>
      </c>
      <c r="BI199" s="17">
        <f t="shared" si="246"/>
        <v>0</v>
      </c>
      <c r="BJ199" s="17">
        <f t="shared" si="247"/>
        <v>0</v>
      </c>
    </row>
    <row r="200" spans="1:62" x14ac:dyDescent="0.2">
      <c r="A200" s="4" t="s">
        <v>164</v>
      </c>
      <c r="B200" s="4" t="s">
        <v>727</v>
      </c>
      <c r="C200" s="240" t="s">
        <v>1239</v>
      </c>
      <c r="D200" s="241"/>
      <c r="E200" s="241"/>
      <c r="F200" s="4" t="s">
        <v>1644</v>
      </c>
      <c r="G200" s="69">
        <v>1</v>
      </c>
      <c r="H200" s="168"/>
      <c r="I200" s="17">
        <f t="shared" si="224"/>
        <v>0</v>
      </c>
      <c r="J200" s="17">
        <f t="shared" si="225"/>
        <v>0</v>
      </c>
      <c r="K200" s="17">
        <f t="shared" si="226"/>
        <v>0</v>
      </c>
      <c r="L200" s="28"/>
      <c r="Z200" s="34">
        <f t="shared" si="227"/>
        <v>0</v>
      </c>
      <c r="AB200" s="34">
        <f t="shared" si="228"/>
        <v>0</v>
      </c>
      <c r="AC200" s="34">
        <f t="shared" si="229"/>
        <v>0</v>
      </c>
      <c r="AD200" s="34">
        <f t="shared" si="230"/>
        <v>0</v>
      </c>
      <c r="AE200" s="34">
        <f t="shared" si="231"/>
        <v>0</v>
      </c>
      <c r="AF200" s="34">
        <f t="shared" si="232"/>
        <v>0</v>
      </c>
      <c r="AG200" s="34">
        <f t="shared" si="233"/>
        <v>0</v>
      </c>
      <c r="AH200" s="34">
        <f t="shared" si="234"/>
        <v>0</v>
      </c>
      <c r="AI200" s="29"/>
      <c r="AJ200" s="17">
        <f t="shared" si="235"/>
        <v>0</v>
      </c>
      <c r="AK200" s="17">
        <f t="shared" si="236"/>
        <v>0</v>
      </c>
      <c r="AL200" s="17">
        <f t="shared" si="237"/>
        <v>0</v>
      </c>
      <c r="AN200" s="34">
        <v>15</v>
      </c>
      <c r="AO200" s="34">
        <f t="shared" si="238"/>
        <v>0</v>
      </c>
      <c r="AP200" s="34">
        <f t="shared" si="239"/>
        <v>0</v>
      </c>
      <c r="AQ200" s="28" t="s">
        <v>13</v>
      </c>
      <c r="AV200" s="34">
        <f t="shared" si="240"/>
        <v>0</v>
      </c>
      <c r="AW200" s="34">
        <f t="shared" si="241"/>
        <v>0</v>
      </c>
      <c r="AX200" s="34">
        <f t="shared" si="242"/>
        <v>0</v>
      </c>
      <c r="AY200" s="35" t="s">
        <v>1707</v>
      </c>
      <c r="AZ200" s="35" t="s">
        <v>1732</v>
      </c>
      <c r="BA200" s="29" t="s">
        <v>1737</v>
      </c>
      <c r="BC200" s="34">
        <f t="shared" si="243"/>
        <v>0</v>
      </c>
      <c r="BD200" s="34">
        <f t="shared" si="244"/>
        <v>0</v>
      </c>
      <c r="BE200" s="34">
        <v>0</v>
      </c>
      <c r="BF200" s="34">
        <f>200</f>
        <v>200</v>
      </c>
      <c r="BH200" s="17">
        <f t="shared" si="245"/>
        <v>0</v>
      </c>
      <c r="BI200" s="17">
        <f t="shared" si="246"/>
        <v>0</v>
      </c>
      <c r="BJ200" s="17">
        <f t="shared" si="247"/>
        <v>0</v>
      </c>
    </row>
    <row r="201" spans="1:62" x14ac:dyDescent="0.2">
      <c r="A201" s="4" t="s">
        <v>165</v>
      </c>
      <c r="B201" s="4" t="s">
        <v>728</v>
      </c>
      <c r="C201" s="240" t="s">
        <v>1240</v>
      </c>
      <c r="D201" s="241"/>
      <c r="E201" s="241"/>
      <c r="F201" s="4" t="s">
        <v>1644</v>
      </c>
      <c r="G201" s="69">
        <v>1</v>
      </c>
      <c r="H201" s="168"/>
      <c r="I201" s="17">
        <f t="shared" si="224"/>
        <v>0</v>
      </c>
      <c r="J201" s="17">
        <f t="shared" si="225"/>
        <v>0</v>
      </c>
      <c r="K201" s="17">
        <f t="shared" si="226"/>
        <v>0</v>
      </c>
      <c r="L201" s="28"/>
      <c r="Z201" s="34">
        <f t="shared" si="227"/>
        <v>0</v>
      </c>
      <c r="AB201" s="34">
        <f t="shared" si="228"/>
        <v>0</v>
      </c>
      <c r="AC201" s="34">
        <f t="shared" si="229"/>
        <v>0</v>
      </c>
      <c r="AD201" s="34">
        <f t="shared" si="230"/>
        <v>0</v>
      </c>
      <c r="AE201" s="34">
        <f t="shared" si="231"/>
        <v>0</v>
      </c>
      <c r="AF201" s="34">
        <f t="shared" si="232"/>
        <v>0</v>
      </c>
      <c r="AG201" s="34">
        <f t="shared" si="233"/>
        <v>0</v>
      </c>
      <c r="AH201" s="34">
        <f t="shared" si="234"/>
        <v>0</v>
      </c>
      <c r="AI201" s="29"/>
      <c r="AJ201" s="17">
        <f t="shared" si="235"/>
        <v>0</v>
      </c>
      <c r="AK201" s="17">
        <f t="shared" si="236"/>
        <v>0</v>
      </c>
      <c r="AL201" s="17">
        <f t="shared" si="237"/>
        <v>0</v>
      </c>
      <c r="AN201" s="34">
        <v>15</v>
      </c>
      <c r="AO201" s="34">
        <f t="shared" si="238"/>
        <v>0</v>
      </c>
      <c r="AP201" s="34">
        <f t="shared" si="239"/>
        <v>0</v>
      </c>
      <c r="AQ201" s="28" t="s">
        <v>13</v>
      </c>
      <c r="AV201" s="34">
        <f t="shared" si="240"/>
        <v>0</v>
      </c>
      <c r="AW201" s="34">
        <f t="shared" si="241"/>
        <v>0</v>
      </c>
      <c r="AX201" s="34">
        <f t="shared" si="242"/>
        <v>0</v>
      </c>
      <c r="AY201" s="35" t="s">
        <v>1707</v>
      </c>
      <c r="AZ201" s="35" t="s">
        <v>1732</v>
      </c>
      <c r="BA201" s="29" t="s">
        <v>1737</v>
      </c>
      <c r="BC201" s="34">
        <f t="shared" si="243"/>
        <v>0</v>
      </c>
      <c r="BD201" s="34">
        <f t="shared" si="244"/>
        <v>0</v>
      </c>
      <c r="BE201" s="34">
        <v>0</v>
      </c>
      <c r="BF201" s="34">
        <f>201</f>
        <v>201</v>
      </c>
      <c r="BH201" s="17">
        <f t="shared" si="245"/>
        <v>0</v>
      </c>
      <c r="BI201" s="17">
        <f t="shared" si="246"/>
        <v>0</v>
      </c>
      <c r="BJ201" s="17">
        <f t="shared" si="247"/>
        <v>0</v>
      </c>
    </row>
    <row r="202" spans="1:62" x14ac:dyDescent="0.2">
      <c r="A202" s="4" t="s">
        <v>166</v>
      </c>
      <c r="B202" s="4" t="s">
        <v>729</v>
      </c>
      <c r="C202" s="240" t="s">
        <v>1241</v>
      </c>
      <c r="D202" s="241"/>
      <c r="E202" s="241"/>
      <c r="F202" s="4" t="s">
        <v>1644</v>
      </c>
      <c r="G202" s="69">
        <v>1</v>
      </c>
      <c r="H202" s="168"/>
      <c r="I202" s="17">
        <f t="shared" si="224"/>
        <v>0</v>
      </c>
      <c r="J202" s="17">
        <f t="shared" si="225"/>
        <v>0</v>
      </c>
      <c r="K202" s="17">
        <f t="shared" si="226"/>
        <v>0</v>
      </c>
      <c r="L202" s="28"/>
      <c r="Z202" s="34">
        <f t="shared" si="227"/>
        <v>0</v>
      </c>
      <c r="AB202" s="34">
        <f t="shared" si="228"/>
        <v>0</v>
      </c>
      <c r="AC202" s="34">
        <f t="shared" si="229"/>
        <v>0</v>
      </c>
      <c r="AD202" s="34">
        <f t="shared" si="230"/>
        <v>0</v>
      </c>
      <c r="AE202" s="34">
        <f t="shared" si="231"/>
        <v>0</v>
      </c>
      <c r="AF202" s="34">
        <f t="shared" si="232"/>
        <v>0</v>
      </c>
      <c r="AG202" s="34">
        <f t="shared" si="233"/>
        <v>0</v>
      </c>
      <c r="AH202" s="34">
        <f t="shared" si="234"/>
        <v>0</v>
      </c>
      <c r="AI202" s="29"/>
      <c r="AJ202" s="17">
        <f t="shared" si="235"/>
        <v>0</v>
      </c>
      <c r="AK202" s="17">
        <f t="shared" si="236"/>
        <v>0</v>
      </c>
      <c r="AL202" s="17">
        <f t="shared" si="237"/>
        <v>0</v>
      </c>
      <c r="AN202" s="34">
        <v>15</v>
      </c>
      <c r="AO202" s="34">
        <f t="shared" si="238"/>
        <v>0</v>
      </c>
      <c r="AP202" s="34">
        <f t="shared" si="239"/>
        <v>0</v>
      </c>
      <c r="AQ202" s="28" t="s">
        <v>13</v>
      </c>
      <c r="AV202" s="34">
        <f t="shared" si="240"/>
        <v>0</v>
      </c>
      <c r="AW202" s="34">
        <f t="shared" si="241"/>
        <v>0</v>
      </c>
      <c r="AX202" s="34">
        <f t="shared" si="242"/>
        <v>0</v>
      </c>
      <c r="AY202" s="35" t="s">
        <v>1707</v>
      </c>
      <c r="AZ202" s="35" t="s">
        <v>1732</v>
      </c>
      <c r="BA202" s="29" t="s">
        <v>1737</v>
      </c>
      <c r="BC202" s="34">
        <f t="shared" si="243"/>
        <v>0</v>
      </c>
      <c r="BD202" s="34">
        <f t="shared" si="244"/>
        <v>0</v>
      </c>
      <c r="BE202" s="34">
        <v>0</v>
      </c>
      <c r="BF202" s="34">
        <f>202</f>
        <v>202</v>
      </c>
      <c r="BH202" s="17">
        <f t="shared" si="245"/>
        <v>0</v>
      </c>
      <c r="BI202" s="17">
        <f t="shared" si="246"/>
        <v>0</v>
      </c>
      <c r="BJ202" s="17">
        <f t="shared" si="247"/>
        <v>0</v>
      </c>
    </row>
    <row r="203" spans="1:62" x14ac:dyDescent="0.2">
      <c r="A203" s="4" t="s">
        <v>167</v>
      </c>
      <c r="B203" s="4" t="s">
        <v>730</v>
      </c>
      <c r="C203" s="240" t="s">
        <v>1242</v>
      </c>
      <c r="D203" s="241"/>
      <c r="E203" s="241"/>
      <c r="F203" s="4" t="s">
        <v>1644</v>
      </c>
      <c r="G203" s="69">
        <v>2</v>
      </c>
      <c r="H203" s="168"/>
      <c r="I203" s="17">
        <f t="shared" si="224"/>
        <v>0</v>
      </c>
      <c r="J203" s="17">
        <f t="shared" si="225"/>
        <v>0</v>
      </c>
      <c r="K203" s="17">
        <f t="shared" si="226"/>
        <v>0</v>
      </c>
      <c r="L203" s="28"/>
      <c r="Z203" s="34">
        <f t="shared" si="227"/>
        <v>0</v>
      </c>
      <c r="AB203" s="34">
        <f t="shared" si="228"/>
        <v>0</v>
      </c>
      <c r="AC203" s="34">
        <f t="shared" si="229"/>
        <v>0</v>
      </c>
      <c r="AD203" s="34">
        <f t="shared" si="230"/>
        <v>0</v>
      </c>
      <c r="AE203" s="34">
        <f t="shared" si="231"/>
        <v>0</v>
      </c>
      <c r="AF203" s="34">
        <f t="shared" si="232"/>
        <v>0</v>
      </c>
      <c r="AG203" s="34">
        <f t="shared" si="233"/>
        <v>0</v>
      </c>
      <c r="AH203" s="34">
        <f t="shared" si="234"/>
        <v>0</v>
      </c>
      <c r="AI203" s="29"/>
      <c r="AJ203" s="17">
        <f t="shared" si="235"/>
        <v>0</v>
      </c>
      <c r="AK203" s="17">
        <f t="shared" si="236"/>
        <v>0</v>
      </c>
      <c r="AL203" s="17">
        <f t="shared" si="237"/>
        <v>0</v>
      </c>
      <c r="AN203" s="34">
        <v>15</v>
      </c>
      <c r="AO203" s="34">
        <f t="shared" si="238"/>
        <v>0</v>
      </c>
      <c r="AP203" s="34">
        <f t="shared" si="239"/>
        <v>0</v>
      </c>
      <c r="AQ203" s="28" t="s">
        <v>13</v>
      </c>
      <c r="AV203" s="34">
        <f t="shared" si="240"/>
        <v>0</v>
      </c>
      <c r="AW203" s="34">
        <f t="shared" si="241"/>
        <v>0</v>
      </c>
      <c r="AX203" s="34">
        <f t="shared" si="242"/>
        <v>0</v>
      </c>
      <c r="AY203" s="35" t="s">
        <v>1707</v>
      </c>
      <c r="AZ203" s="35" t="s">
        <v>1732</v>
      </c>
      <c r="BA203" s="29" t="s">
        <v>1737</v>
      </c>
      <c r="BC203" s="34">
        <f t="shared" si="243"/>
        <v>0</v>
      </c>
      <c r="BD203" s="34">
        <f t="shared" si="244"/>
        <v>0</v>
      </c>
      <c r="BE203" s="34">
        <v>0</v>
      </c>
      <c r="BF203" s="34">
        <f>203</f>
        <v>203</v>
      </c>
      <c r="BH203" s="17">
        <f t="shared" si="245"/>
        <v>0</v>
      </c>
      <c r="BI203" s="17">
        <f t="shared" si="246"/>
        <v>0</v>
      </c>
      <c r="BJ203" s="17">
        <f t="shared" si="247"/>
        <v>0</v>
      </c>
    </row>
    <row r="204" spans="1:62" x14ac:dyDescent="0.2">
      <c r="A204" s="4" t="s">
        <v>168</v>
      </c>
      <c r="B204" s="4" t="s">
        <v>731</v>
      </c>
      <c r="C204" s="240" t="s">
        <v>1243</v>
      </c>
      <c r="D204" s="241"/>
      <c r="E204" s="241"/>
      <c r="F204" s="4" t="s">
        <v>1651</v>
      </c>
      <c r="G204" s="69">
        <v>1</v>
      </c>
      <c r="H204" s="168"/>
      <c r="I204" s="17">
        <f t="shared" si="224"/>
        <v>0</v>
      </c>
      <c r="J204" s="17">
        <f t="shared" si="225"/>
        <v>0</v>
      </c>
      <c r="K204" s="17">
        <f t="shared" si="226"/>
        <v>0</v>
      </c>
      <c r="L204" s="28"/>
      <c r="Z204" s="34">
        <f t="shared" si="227"/>
        <v>0</v>
      </c>
      <c r="AB204" s="34">
        <f t="shared" si="228"/>
        <v>0</v>
      </c>
      <c r="AC204" s="34">
        <f t="shared" si="229"/>
        <v>0</v>
      </c>
      <c r="AD204" s="34">
        <f t="shared" si="230"/>
        <v>0</v>
      </c>
      <c r="AE204" s="34">
        <f t="shared" si="231"/>
        <v>0</v>
      </c>
      <c r="AF204" s="34">
        <f t="shared" si="232"/>
        <v>0</v>
      </c>
      <c r="AG204" s="34">
        <f t="shared" si="233"/>
        <v>0</v>
      </c>
      <c r="AH204" s="34">
        <f t="shared" si="234"/>
        <v>0</v>
      </c>
      <c r="AI204" s="29"/>
      <c r="AJ204" s="17">
        <f t="shared" si="235"/>
        <v>0</v>
      </c>
      <c r="AK204" s="17">
        <f t="shared" si="236"/>
        <v>0</v>
      </c>
      <c r="AL204" s="17">
        <f t="shared" si="237"/>
        <v>0</v>
      </c>
      <c r="AN204" s="34">
        <v>15</v>
      </c>
      <c r="AO204" s="34">
        <f t="shared" si="238"/>
        <v>0</v>
      </c>
      <c r="AP204" s="34">
        <f t="shared" si="239"/>
        <v>0</v>
      </c>
      <c r="AQ204" s="28" t="s">
        <v>13</v>
      </c>
      <c r="AV204" s="34">
        <f t="shared" si="240"/>
        <v>0</v>
      </c>
      <c r="AW204" s="34">
        <f t="shared" si="241"/>
        <v>0</v>
      </c>
      <c r="AX204" s="34">
        <f t="shared" si="242"/>
        <v>0</v>
      </c>
      <c r="AY204" s="35" t="s">
        <v>1707</v>
      </c>
      <c r="AZ204" s="35" t="s">
        <v>1732</v>
      </c>
      <c r="BA204" s="29" t="s">
        <v>1737</v>
      </c>
      <c r="BC204" s="34">
        <f t="shared" si="243"/>
        <v>0</v>
      </c>
      <c r="BD204" s="34">
        <f t="shared" si="244"/>
        <v>0</v>
      </c>
      <c r="BE204" s="34">
        <v>0</v>
      </c>
      <c r="BF204" s="34">
        <f>204</f>
        <v>204</v>
      </c>
      <c r="BH204" s="17">
        <f t="shared" si="245"/>
        <v>0</v>
      </c>
      <c r="BI204" s="17">
        <f t="shared" si="246"/>
        <v>0</v>
      </c>
      <c r="BJ204" s="17">
        <f t="shared" si="247"/>
        <v>0</v>
      </c>
    </row>
    <row r="205" spans="1:62" x14ac:dyDescent="0.2">
      <c r="A205" s="4" t="s">
        <v>169</v>
      </c>
      <c r="B205" s="4" t="s">
        <v>732</v>
      </c>
      <c r="C205" s="240" t="s">
        <v>1244</v>
      </c>
      <c r="D205" s="241"/>
      <c r="E205" s="241"/>
      <c r="F205" s="4" t="s">
        <v>1651</v>
      </c>
      <c r="G205" s="69">
        <v>1</v>
      </c>
      <c r="H205" s="168"/>
      <c r="I205" s="17">
        <f t="shared" si="224"/>
        <v>0</v>
      </c>
      <c r="J205" s="17">
        <f t="shared" si="225"/>
        <v>0</v>
      </c>
      <c r="K205" s="17">
        <f t="shared" si="226"/>
        <v>0</v>
      </c>
      <c r="L205" s="28"/>
      <c r="Z205" s="34">
        <f t="shared" si="227"/>
        <v>0</v>
      </c>
      <c r="AB205" s="34">
        <f t="shared" si="228"/>
        <v>0</v>
      </c>
      <c r="AC205" s="34">
        <f t="shared" si="229"/>
        <v>0</v>
      </c>
      <c r="AD205" s="34">
        <f t="shared" si="230"/>
        <v>0</v>
      </c>
      <c r="AE205" s="34">
        <f t="shared" si="231"/>
        <v>0</v>
      </c>
      <c r="AF205" s="34">
        <f t="shared" si="232"/>
        <v>0</v>
      </c>
      <c r="AG205" s="34">
        <f t="shared" si="233"/>
        <v>0</v>
      </c>
      <c r="AH205" s="34">
        <f t="shared" si="234"/>
        <v>0</v>
      </c>
      <c r="AI205" s="29"/>
      <c r="AJ205" s="17">
        <f t="shared" si="235"/>
        <v>0</v>
      </c>
      <c r="AK205" s="17">
        <f t="shared" si="236"/>
        <v>0</v>
      </c>
      <c r="AL205" s="17">
        <f t="shared" si="237"/>
        <v>0</v>
      </c>
      <c r="AN205" s="34">
        <v>15</v>
      </c>
      <c r="AO205" s="34">
        <f t="shared" si="238"/>
        <v>0</v>
      </c>
      <c r="AP205" s="34">
        <f t="shared" si="239"/>
        <v>0</v>
      </c>
      <c r="AQ205" s="28" t="s">
        <v>13</v>
      </c>
      <c r="AV205" s="34">
        <f t="shared" si="240"/>
        <v>0</v>
      </c>
      <c r="AW205" s="34">
        <f t="shared" si="241"/>
        <v>0</v>
      </c>
      <c r="AX205" s="34">
        <f t="shared" si="242"/>
        <v>0</v>
      </c>
      <c r="AY205" s="35" t="s">
        <v>1707</v>
      </c>
      <c r="AZ205" s="35" t="s">
        <v>1732</v>
      </c>
      <c r="BA205" s="29" t="s">
        <v>1737</v>
      </c>
      <c r="BC205" s="34">
        <f t="shared" si="243"/>
        <v>0</v>
      </c>
      <c r="BD205" s="34">
        <f t="shared" si="244"/>
        <v>0</v>
      </c>
      <c r="BE205" s="34">
        <v>0</v>
      </c>
      <c r="BF205" s="34">
        <f>205</f>
        <v>205</v>
      </c>
      <c r="BH205" s="17">
        <f t="shared" si="245"/>
        <v>0</v>
      </c>
      <c r="BI205" s="17">
        <f t="shared" si="246"/>
        <v>0</v>
      </c>
      <c r="BJ205" s="17">
        <f t="shared" si="247"/>
        <v>0</v>
      </c>
    </row>
    <row r="206" spans="1:62" x14ac:dyDescent="0.2">
      <c r="A206" s="4" t="s">
        <v>170</v>
      </c>
      <c r="B206" s="4" t="s">
        <v>733</v>
      </c>
      <c r="C206" s="240" t="s">
        <v>1245</v>
      </c>
      <c r="D206" s="241"/>
      <c r="E206" s="241"/>
      <c r="F206" s="4" t="s">
        <v>1644</v>
      </c>
      <c r="G206" s="69">
        <v>1</v>
      </c>
      <c r="H206" s="168"/>
      <c r="I206" s="17">
        <f t="shared" si="224"/>
        <v>0</v>
      </c>
      <c r="J206" s="17">
        <f t="shared" si="225"/>
        <v>0</v>
      </c>
      <c r="K206" s="17">
        <f t="shared" si="226"/>
        <v>0</v>
      </c>
      <c r="L206" s="28"/>
      <c r="Z206" s="34">
        <f t="shared" si="227"/>
        <v>0</v>
      </c>
      <c r="AB206" s="34">
        <f t="shared" si="228"/>
        <v>0</v>
      </c>
      <c r="AC206" s="34">
        <f t="shared" si="229"/>
        <v>0</v>
      </c>
      <c r="AD206" s="34">
        <f t="shared" si="230"/>
        <v>0</v>
      </c>
      <c r="AE206" s="34">
        <f t="shared" si="231"/>
        <v>0</v>
      </c>
      <c r="AF206" s="34">
        <f t="shared" si="232"/>
        <v>0</v>
      </c>
      <c r="AG206" s="34">
        <f t="shared" si="233"/>
        <v>0</v>
      </c>
      <c r="AH206" s="34">
        <f t="shared" si="234"/>
        <v>0</v>
      </c>
      <c r="AI206" s="29"/>
      <c r="AJ206" s="17">
        <f t="shared" si="235"/>
        <v>0</v>
      </c>
      <c r="AK206" s="17">
        <f t="shared" si="236"/>
        <v>0</v>
      </c>
      <c r="AL206" s="17">
        <f t="shared" si="237"/>
        <v>0</v>
      </c>
      <c r="AN206" s="34">
        <v>15</v>
      </c>
      <c r="AO206" s="34">
        <f t="shared" si="238"/>
        <v>0</v>
      </c>
      <c r="AP206" s="34">
        <f t="shared" si="239"/>
        <v>0</v>
      </c>
      <c r="AQ206" s="28" t="s">
        <v>13</v>
      </c>
      <c r="AV206" s="34">
        <f t="shared" si="240"/>
        <v>0</v>
      </c>
      <c r="AW206" s="34">
        <f t="shared" si="241"/>
        <v>0</v>
      </c>
      <c r="AX206" s="34">
        <f t="shared" si="242"/>
        <v>0</v>
      </c>
      <c r="AY206" s="35" t="s">
        <v>1707</v>
      </c>
      <c r="AZ206" s="35" t="s">
        <v>1732</v>
      </c>
      <c r="BA206" s="29" t="s">
        <v>1737</v>
      </c>
      <c r="BC206" s="34">
        <f t="shared" si="243"/>
        <v>0</v>
      </c>
      <c r="BD206" s="34">
        <f t="shared" si="244"/>
        <v>0</v>
      </c>
      <c r="BE206" s="34">
        <v>0</v>
      </c>
      <c r="BF206" s="34">
        <f>206</f>
        <v>206</v>
      </c>
      <c r="BH206" s="17">
        <f t="shared" si="245"/>
        <v>0</v>
      </c>
      <c r="BI206" s="17">
        <f t="shared" si="246"/>
        <v>0</v>
      </c>
      <c r="BJ206" s="17">
        <f t="shared" si="247"/>
        <v>0</v>
      </c>
    </row>
    <row r="207" spans="1:62" x14ac:dyDescent="0.2">
      <c r="A207" s="4" t="s">
        <v>171</v>
      </c>
      <c r="B207" s="4" t="s">
        <v>734</v>
      </c>
      <c r="C207" s="240" t="s">
        <v>1246</v>
      </c>
      <c r="D207" s="241"/>
      <c r="E207" s="241"/>
      <c r="F207" s="4" t="s">
        <v>1644</v>
      </c>
      <c r="G207" s="69">
        <v>2</v>
      </c>
      <c r="H207" s="168"/>
      <c r="I207" s="17">
        <f t="shared" si="224"/>
        <v>0</v>
      </c>
      <c r="J207" s="17">
        <f t="shared" si="225"/>
        <v>0</v>
      </c>
      <c r="K207" s="17">
        <f t="shared" si="226"/>
        <v>0</v>
      </c>
      <c r="L207" s="28"/>
      <c r="Z207" s="34">
        <f t="shared" si="227"/>
        <v>0</v>
      </c>
      <c r="AB207" s="34">
        <f t="shared" si="228"/>
        <v>0</v>
      </c>
      <c r="AC207" s="34">
        <f t="shared" si="229"/>
        <v>0</v>
      </c>
      <c r="AD207" s="34">
        <f t="shared" si="230"/>
        <v>0</v>
      </c>
      <c r="AE207" s="34">
        <f t="shared" si="231"/>
        <v>0</v>
      </c>
      <c r="AF207" s="34">
        <f t="shared" si="232"/>
        <v>0</v>
      </c>
      <c r="AG207" s="34">
        <f t="shared" si="233"/>
        <v>0</v>
      </c>
      <c r="AH207" s="34">
        <f t="shared" si="234"/>
        <v>0</v>
      </c>
      <c r="AI207" s="29"/>
      <c r="AJ207" s="17">
        <f t="shared" si="235"/>
        <v>0</v>
      </c>
      <c r="AK207" s="17">
        <f t="shared" si="236"/>
        <v>0</v>
      </c>
      <c r="AL207" s="17">
        <f t="shared" si="237"/>
        <v>0</v>
      </c>
      <c r="AN207" s="34">
        <v>15</v>
      </c>
      <c r="AO207" s="34">
        <f t="shared" si="238"/>
        <v>0</v>
      </c>
      <c r="AP207" s="34">
        <f t="shared" si="239"/>
        <v>0</v>
      </c>
      <c r="AQ207" s="28" t="s">
        <v>13</v>
      </c>
      <c r="AV207" s="34">
        <f t="shared" si="240"/>
        <v>0</v>
      </c>
      <c r="AW207" s="34">
        <f t="shared" si="241"/>
        <v>0</v>
      </c>
      <c r="AX207" s="34">
        <f t="shared" si="242"/>
        <v>0</v>
      </c>
      <c r="AY207" s="35" t="s">
        <v>1707</v>
      </c>
      <c r="AZ207" s="35" t="s">
        <v>1732</v>
      </c>
      <c r="BA207" s="29" t="s">
        <v>1737</v>
      </c>
      <c r="BC207" s="34">
        <f t="shared" si="243"/>
        <v>0</v>
      </c>
      <c r="BD207" s="34">
        <f t="shared" si="244"/>
        <v>0</v>
      </c>
      <c r="BE207" s="34">
        <v>0</v>
      </c>
      <c r="BF207" s="34">
        <f>207</f>
        <v>207</v>
      </c>
      <c r="BH207" s="17">
        <f t="shared" si="245"/>
        <v>0</v>
      </c>
      <c r="BI207" s="17">
        <f t="shared" si="246"/>
        <v>0</v>
      </c>
      <c r="BJ207" s="17">
        <f t="shared" si="247"/>
        <v>0</v>
      </c>
    </row>
    <row r="208" spans="1:62" x14ac:dyDescent="0.2">
      <c r="A208" s="4" t="s">
        <v>172</v>
      </c>
      <c r="B208" s="4" t="s">
        <v>735</v>
      </c>
      <c r="C208" s="240" t="s">
        <v>1247</v>
      </c>
      <c r="D208" s="241"/>
      <c r="E208" s="241"/>
      <c r="F208" s="4" t="s">
        <v>1650</v>
      </c>
      <c r="G208" s="69">
        <v>30</v>
      </c>
      <c r="H208" s="168"/>
      <c r="I208" s="17">
        <f t="shared" si="224"/>
        <v>0</v>
      </c>
      <c r="J208" s="17">
        <f t="shared" si="225"/>
        <v>0</v>
      </c>
      <c r="K208" s="17">
        <f t="shared" si="226"/>
        <v>0</v>
      </c>
      <c r="L208" s="28"/>
      <c r="Z208" s="34">
        <f t="shared" si="227"/>
        <v>0</v>
      </c>
      <c r="AB208" s="34">
        <f t="shared" si="228"/>
        <v>0</v>
      </c>
      <c r="AC208" s="34">
        <f t="shared" si="229"/>
        <v>0</v>
      </c>
      <c r="AD208" s="34">
        <f t="shared" si="230"/>
        <v>0</v>
      </c>
      <c r="AE208" s="34">
        <f t="shared" si="231"/>
        <v>0</v>
      </c>
      <c r="AF208" s="34">
        <f t="shared" si="232"/>
        <v>0</v>
      </c>
      <c r="AG208" s="34">
        <f t="shared" si="233"/>
        <v>0</v>
      </c>
      <c r="AH208" s="34">
        <f t="shared" si="234"/>
        <v>0</v>
      </c>
      <c r="AI208" s="29"/>
      <c r="AJ208" s="17">
        <f t="shared" si="235"/>
        <v>0</v>
      </c>
      <c r="AK208" s="17">
        <f t="shared" si="236"/>
        <v>0</v>
      </c>
      <c r="AL208" s="17">
        <f t="shared" si="237"/>
        <v>0</v>
      </c>
      <c r="AN208" s="34">
        <v>15</v>
      </c>
      <c r="AO208" s="34">
        <f t="shared" si="238"/>
        <v>0</v>
      </c>
      <c r="AP208" s="34">
        <f t="shared" si="239"/>
        <v>0</v>
      </c>
      <c r="AQ208" s="28" t="s">
        <v>13</v>
      </c>
      <c r="AV208" s="34">
        <f t="shared" si="240"/>
        <v>0</v>
      </c>
      <c r="AW208" s="34">
        <f t="shared" si="241"/>
        <v>0</v>
      </c>
      <c r="AX208" s="34">
        <f t="shared" si="242"/>
        <v>0</v>
      </c>
      <c r="AY208" s="35" t="s">
        <v>1707</v>
      </c>
      <c r="AZ208" s="35" t="s">
        <v>1732</v>
      </c>
      <c r="BA208" s="29" t="s">
        <v>1737</v>
      </c>
      <c r="BC208" s="34">
        <f t="shared" si="243"/>
        <v>0</v>
      </c>
      <c r="BD208" s="34">
        <f t="shared" si="244"/>
        <v>0</v>
      </c>
      <c r="BE208" s="34">
        <v>0</v>
      </c>
      <c r="BF208" s="34">
        <f>208</f>
        <v>208</v>
      </c>
      <c r="BH208" s="17">
        <f t="shared" si="245"/>
        <v>0</v>
      </c>
      <c r="BI208" s="17">
        <f t="shared" si="246"/>
        <v>0</v>
      </c>
      <c r="BJ208" s="17">
        <f t="shared" si="247"/>
        <v>0</v>
      </c>
    </row>
    <row r="209" spans="1:62" x14ac:dyDescent="0.2">
      <c r="A209" s="4" t="s">
        <v>173</v>
      </c>
      <c r="B209" s="4" t="s">
        <v>736</v>
      </c>
      <c r="C209" s="240" t="s">
        <v>1248</v>
      </c>
      <c r="D209" s="241"/>
      <c r="E209" s="241"/>
      <c r="F209" s="4" t="s">
        <v>1646</v>
      </c>
      <c r="G209" s="69">
        <v>23.5</v>
      </c>
      <c r="H209" s="168"/>
      <c r="I209" s="17">
        <f t="shared" si="224"/>
        <v>0</v>
      </c>
      <c r="J209" s="17">
        <f t="shared" si="225"/>
        <v>0</v>
      </c>
      <c r="K209" s="17">
        <f t="shared" si="226"/>
        <v>0</v>
      </c>
      <c r="L209" s="28"/>
      <c r="Z209" s="34">
        <f t="shared" si="227"/>
        <v>0</v>
      </c>
      <c r="AB209" s="34">
        <f t="shared" si="228"/>
        <v>0</v>
      </c>
      <c r="AC209" s="34">
        <f t="shared" si="229"/>
        <v>0</v>
      </c>
      <c r="AD209" s="34">
        <f t="shared" si="230"/>
        <v>0</v>
      </c>
      <c r="AE209" s="34">
        <f t="shared" si="231"/>
        <v>0</v>
      </c>
      <c r="AF209" s="34">
        <f t="shared" si="232"/>
        <v>0</v>
      </c>
      <c r="AG209" s="34">
        <f t="shared" si="233"/>
        <v>0</v>
      </c>
      <c r="AH209" s="34">
        <f t="shared" si="234"/>
        <v>0</v>
      </c>
      <c r="AI209" s="29"/>
      <c r="AJ209" s="17">
        <f t="shared" si="235"/>
        <v>0</v>
      </c>
      <c r="AK209" s="17">
        <f t="shared" si="236"/>
        <v>0</v>
      </c>
      <c r="AL209" s="17">
        <f t="shared" si="237"/>
        <v>0</v>
      </c>
      <c r="AN209" s="34">
        <v>15</v>
      </c>
      <c r="AO209" s="34">
        <f t="shared" si="238"/>
        <v>0</v>
      </c>
      <c r="AP209" s="34">
        <f t="shared" si="239"/>
        <v>0</v>
      </c>
      <c r="AQ209" s="28" t="s">
        <v>13</v>
      </c>
      <c r="AV209" s="34">
        <f t="shared" si="240"/>
        <v>0</v>
      </c>
      <c r="AW209" s="34">
        <f t="shared" si="241"/>
        <v>0</v>
      </c>
      <c r="AX209" s="34">
        <f t="shared" si="242"/>
        <v>0</v>
      </c>
      <c r="AY209" s="35" t="s">
        <v>1707</v>
      </c>
      <c r="AZ209" s="35" t="s">
        <v>1732</v>
      </c>
      <c r="BA209" s="29" t="s">
        <v>1737</v>
      </c>
      <c r="BC209" s="34">
        <f t="shared" si="243"/>
        <v>0</v>
      </c>
      <c r="BD209" s="34">
        <f t="shared" si="244"/>
        <v>0</v>
      </c>
      <c r="BE209" s="34">
        <v>0</v>
      </c>
      <c r="BF209" s="34">
        <f>209</f>
        <v>209</v>
      </c>
      <c r="BH209" s="17">
        <f t="shared" si="245"/>
        <v>0</v>
      </c>
      <c r="BI209" s="17">
        <f t="shared" si="246"/>
        <v>0</v>
      </c>
      <c r="BJ209" s="17">
        <f t="shared" si="247"/>
        <v>0</v>
      </c>
    </row>
    <row r="210" spans="1:62" x14ac:dyDescent="0.2">
      <c r="A210" s="4" t="s">
        <v>174</v>
      </c>
      <c r="B210" s="4" t="s">
        <v>737</v>
      </c>
      <c r="C210" s="240" t="s">
        <v>1249</v>
      </c>
      <c r="D210" s="241"/>
      <c r="E210" s="241"/>
      <c r="F210" s="4" t="s">
        <v>1646</v>
      </c>
      <c r="G210" s="69">
        <v>23.5</v>
      </c>
      <c r="H210" s="168"/>
      <c r="I210" s="17">
        <f t="shared" si="224"/>
        <v>0</v>
      </c>
      <c r="J210" s="17">
        <f t="shared" si="225"/>
        <v>0</v>
      </c>
      <c r="K210" s="17">
        <f t="shared" si="226"/>
        <v>0</v>
      </c>
      <c r="L210" s="28"/>
      <c r="Z210" s="34">
        <f t="shared" si="227"/>
        <v>0</v>
      </c>
      <c r="AB210" s="34">
        <f t="shared" si="228"/>
        <v>0</v>
      </c>
      <c r="AC210" s="34">
        <f t="shared" si="229"/>
        <v>0</v>
      </c>
      <c r="AD210" s="34">
        <f t="shared" si="230"/>
        <v>0</v>
      </c>
      <c r="AE210" s="34">
        <f t="shared" si="231"/>
        <v>0</v>
      </c>
      <c r="AF210" s="34">
        <f t="shared" si="232"/>
        <v>0</v>
      </c>
      <c r="AG210" s="34">
        <f t="shared" si="233"/>
        <v>0</v>
      </c>
      <c r="AH210" s="34">
        <f t="shared" si="234"/>
        <v>0</v>
      </c>
      <c r="AI210" s="29"/>
      <c r="AJ210" s="17">
        <f t="shared" si="235"/>
        <v>0</v>
      </c>
      <c r="AK210" s="17">
        <f t="shared" si="236"/>
        <v>0</v>
      </c>
      <c r="AL210" s="17">
        <f t="shared" si="237"/>
        <v>0</v>
      </c>
      <c r="AN210" s="34">
        <v>15</v>
      </c>
      <c r="AO210" s="34">
        <f t="shared" si="238"/>
        <v>0</v>
      </c>
      <c r="AP210" s="34">
        <f t="shared" si="239"/>
        <v>0</v>
      </c>
      <c r="AQ210" s="28" t="s">
        <v>13</v>
      </c>
      <c r="AV210" s="34">
        <f t="shared" si="240"/>
        <v>0</v>
      </c>
      <c r="AW210" s="34">
        <f t="shared" si="241"/>
        <v>0</v>
      </c>
      <c r="AX210" s="34">
        <f t="shared" si="242"/>
        <v>0</v>
      </c>
      <c r="AY210" s="35" t="s">
        <v>1707</v>
      </c>
      <c r="AZ210" s="35" t="s">
        <v>1732</v>
      </c>
      <c r="BA210" s="29" t="s">
        <v>1737</v>
      </c>
      <c r="BC210" s="34">
        <f t="shared" si="243"/>
        <v>0</v>
      </c>
      <c r="BD210" s="34">
        <f t="shared" si="244"/>
        <v>0</v>
      </c>
      <c r="BE210" s="34">
        <v>0</v>
      </c>
      <c r="BF210" s="34">
        <f>210</f>
        <v>210</v>
      </c>
      <c r="BH210" s="17">
        <f t="shared" si="245"/>
        <v>0</v>
      </c>
      <c r="BI210" s="17">
        <f t="shared" si="246"/>
        <v>0</v>
      </c>
      <c r="BJ210" s="17">
        <f t="shared" si="247"/>
        <v>0</v>
      </c>
    </row>
    <row r="211" spans="1:62" x14ac:dyDescent="0.2">
      <c r="A211" s="4" t="s">
        <v>175</v>
      </c>
      <c r="B211" s="4" t="s">
        <v>738</v>
      </c>
      <c r="C211" s="240" t="s">
        <v>1250</v>
      </c>
      <c r="D211" s="241"/>
      <c r="E211" s="241"/>
      <c r="F211" s="4" t="s">
        <v>1646</v>
      </c>
      <c r="G211" s="69">
        <v>23.5</v>
      </c>
      <c r="H211" s="168"/>
      <c r="I211" s="17">
        <f t="shared" si="224"/>
        <v>0</v>
      </c>
      <c r="J211" s="17">
        <f t="shared" si="225"/>
        <v>0</v>
      </c>
      <c r="K211" s="17">
        <f t="shared" si="226"/>
        <v>0</v>
      </c>
      <c r="L211" s="28"/>
      <c r="Z211" s="34">
        <f t="shared" si="227"/>
        <v>0</v>
      </c>
      <c r="AB211" s="34">
        <f t="shared" si="228"/>
        <v>0</v>
      </c>
      <c r="AC211" s="34">
        <f t="shared" si="229"/>
        <v>0</v>
      </c>
      <c r="AD211" s="34">
        <f t="shared" si="230"/>
        <v>0</v>
      </c>
      <c r="AE211" s="34">
        <f t="shared" si="231"/>
        <v>0</v>
      </c>
      <c r="AF211" s="34">
        <f t="shared" si="232"/>
        <v>0</v>
      </c>
      <c r="AG211" s="34">
        <f t="shared" si="233"/>
        <v>0</v>
      </c>
      <c r="AH211" s="34">
        <f t="shared" si="234"/>
        <v>0</v>
      </c>
      <c r="AI211" s="29"/>
      <c r="AJ211" s="17">
        <f t="shared" si="235"/>
        <v>0</v>
      </c>
      <c r="AK211" s="17">
        <f t="shared" si="236"/>
        <v>0</v>
      </c>
      <c r="AL211" s="17">
        <f t="shared" si="237"/>
        <v>0</v>
      </c>
      <c r="AN211" s="34">
        <v>15</v>
      </c>
      <c r="AO211" s="34">
        <f t="shared" si="238"/>
        <v>0</v>
      </c>
      <c r="AP211" s="34">
        <f t="shared" si="239"/>
        <v>0</v>
      </c>
      <c r="AQ211" s="28" t="s">
        <v>13</v>
      </c>
      <c r="AV211" s="34">
        <f t="shared" si="240"/>
        <v>0</v>
      </c>
      <c r="AW211" s="34">
        <f t="shared" si="241"/>
        <v>0</v>
      </c>
      <c r="AX211" s="34">
        <f t="shared" si="242"/>
        <v>0</v>
      </c>
      <c r="AY211" s="35" t="s">
        <v>1707</v>
      </c>
      <c r="AZ211" s="35" t="s">
        <v>1732</v>
      </c>
      <c r="BA211" s="29" t="s">
        <v>1737</v>
      </c>
      <c r="BC211" s="34">
        <f t="shared" si="243"/>
        <v>0</v>
      </c>
      <c r="BD211" s="34">
        <f t="shared" si="244"/>
        <v>0</v>
      </c>
      <c r="BE211" s="34">
        <v>0</v>
      </c>
      <c r="BF211" s="34">
        <f>211</f>
        <v>211</v>
      </c>
      <c r="BH211" s="17">
        <f t="shared" si="245"/>
        <v>0</v>
      </c>
      <c r="BI211" s="17">
        <f t="shared" si="246"/>
        <v>0</v>
      </c>
      <c r="BJ211" s="17">
        <f t="shared" si="247"/>
        <v>0</v>
      </c>
    </row>
    <row r="212" spans="1:62" x14ac:dyDescent="0.2">
      <c r="A212" s="4" t="s">
        <v>176</v>
      </c>
      <c r="B212" s="4" t="s">
        <v>739</v>
      </c>
      <c r="C212" s="240" t="s">
        <v>1251</v>
      </c>
      <c r="D212" s="241"/>
      <c r="E212" s="241"/>
      <c r="F212" s="4" t="s">
        <v>1650</v>
      </c>
      <c r="G212" s="69">
        <v>10</v>
      </c>
      <c r="H212" s="168"/>
      <c r="I212" s="17">
        <f t="shared" si="224"/>
        <v>0</v>
      </c>
      <c r="J212" s="17">
        <f t="shared" si="225"/>
        <v>0</v>
      </c>
      <c r="K212" s="17">
        <f t="shared" si="226"/>
        <v>0</v>
      </c>
      <c r="L212" s="28"/>
      <c r="Z212" s="34">
        <f t="shared" si="227"/>
        <v>0</v>
      </c>
      <c r="AB212" s="34">
        <f t="shared" si="228"/>
        <v>0</v>
      </c>
      <c r="AC212" s="34">
        <f t="shared" si="229"/>
        <v>0</v>
      </c>
      <c r="AD212" s="34">
        <f t="shared" si="230"/>
        <v>0</v>
      </c>
      <c r="AE212" s="34">
        <f t="shared" si="231"/>
        <v>0</v>
      </c>
      <c r="AF212" s="34">
        <f t="shared" si="232"/>
        <v>0</v>
      </c>
      <c r="AG212" s="34">
        <f t="shared" si="233"/>
        <v>0</v>
      </c>
      <c r="AH212" s="34">
        <f t="shared" si="234"/>
        <v>0</v>
      </c>
      <c r="AI212" s="29"/>
      <c r="AJ212" s="17">
        <f t="shared" si="235"/>
        <v>0</v>
      </c>
      <c r="AK212" s="17">
        <f t="shared" si="236"/>
        <v>0</v>
      </c>
      <c r="AL212" s="17">
        <f t="shared" si="237"/>
        <v>0</v>
      </c>
      <c r="AN212" s="34">
        <v>15</v>
      </c>
      <c r="AO212" s="34">
        <f t="shared" si="238"/>
        <v>0</v>
      </c>
      <c r="AP212" s="34">
        <f t="shared" si="239"/>
        <v>0</v>
      </c>
      <c r="AQ212" s="28" t="s">
        <v>13</v>
      </c>
      <c r="AV212" s="34">
        <f t="shared" si="240"/>
        <v>0</v>
      </c>
      <c r="AW212" s="34">
        <f t="shared" si="241"/>
        <v>0</v>
      </c>
      <c r="AX212" s="34">
        <f t="shared" si="242"/>
        <v>0</v>
      </c>
      <c r="AY212" s="35" t="s">
        <v>1707</v>
      </c>
      <c r="AZ212" s="35" t="s">
        <v>1732</v>
      </c>
      <c r="BA212" s="29" t="s">
        <v>1737</v>
      </c>
      <c r="BC212" s="34">
        <f t="shared" si="243"/>
        <v>0</v>
      </c>
      <c r="BD212" s="34">
        <f t="shared" si="244"/>
        <v>0</v>
      </c>
      <c r="BE212" s="34">
        <v>0</v>
      </c>
      <c r="BF212" s="34">
        <f>212</f>
        <v>212</v>
      </c>
      <c r="BH212" s="17">
        <f t="shared" si="245"/>
        <v>0</v>
      </c>
      <c r="BI212" s="17">
        <f t="shared" si="246"/>
        <v>0</v>
      </c>
      <c r="BJ212" s="17">
        <f t="shared" si="247"/>
        <v>0</v>
      </c>
    </row>
    <row r="213" spans="1:62" x14ac:dyDescent="0.2">
      <c r="A213" s="4" t="s">
        <v>177</v>
      </c>
      <c r="B213" s="4" t="s">
        <v>740</v>
      </c>
      <c r="C213" s="240" t="s">
        <v>1252</v>
      </c>
      <c r="D213" s="241"/>
      <c r="E213" s="241"/>
      <c r="F213" s="4" t="s">
        <v>1644</v>
      </c>
      <c r="G213" s="69">
        <v>1</v>
      </c>
      <c r="H213" s="168"/>
      <c r="I213" s="17">
        <f t="shared" si="224"/>
        <v>0</v>
      </c>
      <c r="J213" s="17">
        <f t="shared" si="225"/>
        <v>0</v>
      </c>
      <c r="K213" s="17">
        <f t="shared" si="226"/>
        <v>0</v>
      </c>
      <c r="L213" s="28"/>
      <c r="Z213" s="34">
        <f t="shared" si="227"/>
        <v>0</v>
      </c>
      <c r="AB213" s="34">
        <f t="shared" si="228"/>
        <v>0</v>
      </c>
      <c r="AC213" s="34">
        <f t="shared" si="229"/>
        <v>0</v>
      </c>
      <c r="AD213" s="34">
        <f t="shared" si="230"/>
        <v>0</v>
      </c>
      <c r="AE213" s="34">
        <f t="shared" si="231"/>
        <v>0</v>
      </c>
      <c r="AF213" s="34">
        <f t="shared" si="232"/>
        <v>0</v>
      </c>
      <c r="AG213" s="34">
        <f t="shared" si="233"/>
        <v>0</v>
      </c>
      <c r="AH213" s="34">
        <f t="shared" si="234"/>
        <v>0</v>
      </c>
      <c r="AI213" s="29"/>
      <c r="AJ213" s="17">
        <f t="shared" si="235"/>
        <v>0</v>
      </c>
      <c r="AK213" s="17">
        <f t="shared" si="236"/>
        <v>0</v>
      </c>
      <c r="AL213" s="17">
        <f t="shared" si="237"/>
        <v>0</v>
      </c>
      <c r="AN213" s="34">
        <v>15</v>
      </c>
      <c r="AO213" s="34">
        <f t="shared" si="238"/>
        <v>0</v>
      </c>
      <c r="AP213" s="34">
        <f t="shared" si="239"/>
        <v>0</v>
      </c>
      <c r="AQ213" s="28" t="s">
        <v>13</v>
      </c>
      <c r="AV213" s="34">
        <f t="shared" si="240"/>
        <v>0</v>
      </c>
      <c r="AW213" s="34">
        <f t="shared" si="241"/>
        <v>0</v>
      </c>
      <c r="AX213" s="34">
        <f t="shared" si="242"/>
        <v>0</v>
      </c>
      <c r="AY213" s="35" t="s">
        <v>1707</v>
      </c>
      <c r="AZ213" s="35" t="s">
        <v>1732</v>
      </c>
      <c r="BA213" s="29" t="s">
        <v>1737</v>
      </c>
      <c r="BC213" s="34">
        <f t="shared" si="243"/>
        <v>0</v>
      </c>
      <c r="BD213" s="34">
        <f t="shared" si="244"/>
        <v>0</v>
      </c>
      <c r="BE213" s="34">
        <v>0</v>
      </c>
      <c r="BF213" s="34">
        <f>213</f>
        <v>213</v>
      </c>
      <c r="BH213" s="17">
        <f t="shared" si="245"/>
        <v>0</v>
      </c>
      <c r="BI213" s="17">
        <f t="shared" si="246"/>
        <v>0</v>
      </c>
      <c r="BJ213" s="17">
        <f t="shared" si="247"/>
        <v>0</v>
      </c>
    </row>
    <row r="214" spans="1:62" x14ac:dyDescent="0.2">
      <c r="A214" s="4" t="s">
        <v>178</v>
      </c>
      <c r="B214" s="4" t="s">
        <v>741</v>
      </c>
      <c r="C214" s="240" t="s">
        <v>1253</v>
      </c>
      <c r="D214" s="241"/>
      <c r="E214" s="241"/>
      <c r="F214" s="4" t="s">
        <v>1644</v>
      </c>
      <c r="G214" s="69">
        <v>1</v>
      </c>
      <c r="H214" s="168"/>
      <c r="I214" s="17">
        <f t="shared" si="224"/>
        <v>0</v>
      </c>
      <c r="J214" s="17">
        <f t="shared" si="225"/>
        <v>0</v>
      </c>
      <c r="K214" s="17">
        <f t="shared" si="226"/>
        <v>0</v>
      </c>
      <c r="L214" s="28"/>
      <c r="Z214" s="34">
        <f t="shared" si="227"/>
        <v>0</v>
      </c>
      <c r="AB214" s="34">
        <f t="shared" si="228"/>
        <v>0</v>
      </c>
      <c r="AC214" s="34">
        <f t="shared" si="229"/>
        <v>0</v>
      </c>
      <c r="AD214" s="34">
        <f t="shared" si="230"/>
        <v>0</v>
      </c>
      <c r="AE214" s="34">
        <f t="shared" si="231"/>
        <v>0</v>
      </c>
      <c r="AF214" s="34">
        <f t="shared" si="232"/>
        <v>0</v>
      </c>
      <c r="AG214" s="34">
        <f t="shared" si="233"/>
        <v>0</v>
      </c>
      <c r="AH214" s="34">
        <f t="shared" si="234"/>
        <v>0</v>
      </c>
      <c r="AI214" s="29"/>
      <c r="AJ214" s="17">
        <f t="shared" si="235"/>
        <v>0</v>
      </c>
      <c r="AK214" s="17">
        <f t="shared" si="236"/>
        <v>0</v>
      </c>
      <c r="AL214" s="17">
        <f t="shared" si="237"/>
        <v>0</v>
      </c>
      <c r="AN214" s="34">
        <v>15</v>
      </c>
      <c r="AO214" s="34">
        <f t="shared" si="238"/>
        <v>0</v>
      </c>
      <c r="AP214" s="34">
        <f t="shared" si="239"/>
        <v>0</v>
      </c>
      <c r="AQ214" s="28" t="s">
        <v>13</v>
      </c>
      <c r="AV214" s="34">
        <f t="shared" si="240"/>
        <v>0</v>
      </c>
      <c r="AW214" s="34">
        <f t="shared" si="241"/>
        <v>0</v>
      </c>
      <c r="AX214" s="34">
        <f t="shared" si="242"/>
        <v>0</v>
      </c>
      <c r="AY214" s="35" t="s">
        <v>1707</v>
      </c>
      <c r="AZ214" s="35" t="s">
        <v>1732</v>
      </c>
      <c r="BA214" s="29" t="s">
        <v>1737</v>
      </c>
      <c r="BC214" s="34">
        <f t="shared" si="243"/>
        <v>0</v>
      </c>
      <c r="BD214" s="34">
        <f t="shared" si="244"/>
        <v>0</v>
      </c>
      <c r="BE214" s="34">
        <v>0</v>
      </c>
      <c r="BF214" s="34">
        <f>214</f>
        <v>214</v>
      </c>
      <c r="BH214" s="17">
        <f t="shared" si="245"/>
        <v>0</v>
      </c>
      <c r="BI214" s="17">
        <f t="shared" si="246"/>
        <v>0</v>
      </c>
      <c r="BJ214" s="17">
        <f t="shared" si="247"/>
        <v>0</v>
      </c>
    </row>
    <row r="215" spans="1:62" x14ac:dyDescent="0.2">
      <c r="A215" s="4" t="s">
        <v>179</v>
      </c>
      <c r="B215" s="4" t="s">
        <v>742</v>
      </c>
      <c r="C215" s="240" t="s">
        <v>1254</v>
      </c>
      <c r="D215" s="241"/>
      <c r="E215" s="241"/>
      <c r="F215" s="4" t="s">
        <v>1644</v>
      </c>
      <c r="G215" s="69">
        <v>1</v>
      </c>
      <c r="H215" s="168"/>
      <c r="I215" s="17">
        <f t="shared" si="224"/>
        <v>0</v>
      </c>
      <c r="J215" s="17">
        <f t="shared" si="225"/>
        <v>0</v>
      </c>
      <c r="K215" s="17">
        <f t="shared" si="226"/>
        <v>0</v>
      </c>
      <c r="L215" s="28"/>
      <c r="Z215" s="34">
        <f t="shared" si="227"/>
        <v>0</v>
      </c>
      <c r="AB215" s="34">
        <f t="shared" si="228"/>
        <v>0</v>
      </c>
      <c r="AC215" s="34">
        <f t="shared" si="229"/>
        <v>0</v>
      </c>
      <c r="AD215" s="34">
        <f t="shared" si="230"/>
        <v>0</v>
      </c>
      <c r="AE215" s="34">
        <f t="shared" si="231"/>
        <v>0</v>
      </c>
      <c r="AF215" s="34">
        <f t="shared" si="232"/>
        <v>0</v>
      </c>
      <c r="AG215" s="34">
        <f t="shared" si="233"/>
        <v>0</v>
      </c>
      <c r="AH215" s="34">
        <f t="shared" si="234"/>
        <v>0</v>
      </c>
      <c r="AI215" s="29"/>
      <c r="AJ215" s="17">
        <f t="shared" si="235"/>
        <v>0</v>
      </c>
      <c r="AK215" s="17">
        <f t="shared" si="236"/>
        <v>0</v>
      </c>
      <c r="AL215" s="17">
        <f t="shared" si="237"/>
        <v>0</v>
      </c>
      <c r="AN215" s="34">
        <v>15</v>
      </c>
      <c r="AO215" s="34">
        <f t="shared" si="238"/>
        <v>0</v>
      </c>
      <c r="AP215" s="34">
        <f t="shared" si="239"/>
        <v>0</v>
      </c>
      <c r="AQ215" s="28" t="s">
        <v>13</v>
      </c>
      <c r="AV215" s="34">
        <f t="shared" si="240"/>
        <v>0</v>
      </c>
      <c r="AW215" s="34">
        <f t="shared" si="241"/>
        <v>0</v>
      </c>
      <c r="AX215" s="34">
        <f t="shared" si="242"/>
        <v>0</v>
      </c>
      <c r="AY215" s="35" t="s">
        <v>1707</v>
      </c>
      <c r="AZ215" s="35" t="s">
        <v>1732</v>
      </c>
      <c r="BA215" s="29" t="s">
        <v>1737</v>
      </c>
      <c r="BC215" s="34">
        <f t="shared" si="243"/>
        <v>0</v>
      </c>
      <c r="BD215" s="34">
        <f t="shared" si="244"/>
        <v>0</v>
      </c>
      <c r="BE215" s="34">
        <v>0</v>
      </c>
      <c r="BF215" s="34">
        <f>215</f>
        <v>215</v>
      </c>
      <c r="BH215" s="17">
        <f t="shared" si="245"/>
        <v>0</v>
      </c>
      <c r="BI215" s="17">
        <f t="shared" si="246"/>
        <v>0</v>
      </c>
      <c r="BJ215" s="17">
        <f t="shared" si="247"/>
        <v>0</v>
      </c>
    </row>
    <row r="216" spans="1:62" x14ac:dyDescent="0.2">
      <c r="A216" s="4" t="s">
        <v>180</v>
      </c>
      <c r="B216" s="4" t="s">
        <v>743</v>
      </c>
      <c r="C216" s="240" t="s">
        <v>1255</v>
      </c>
      <c r="D216" s="241"/>
      <c r="E216" s="241"/>
      <c r="F216" s="4" t="s">
        <v>1644</v>
      </c>
      <c r="G216" s="69">
        <v>1</v>
      </c>
      <c r="H216" s="168"/>
      <c r="I216" s="17">
        <f t="shared" si="224"/>
        <v>0</v>
      </c>
      <c r="J216" s="17">
        <f t="shared" si="225"/>
        <v>0</v>
      </c>
      <c r="K216" s="17">
        <f t="shared" si="226"/>
        <v>0</v>
      </c>
      <c r="L216" s="28"/>
      <c r="Z216" s="34">
        <f t="shared" si="227"/>
        <v>0</v>
      </c>
      <c r="AB216" s="34">
        <f t="shared" si="228"/>
        <v>0</v>
      </c>
      <c r="AC216" s="34">
        <f t="shared" si="229"/>
        <v>0</v>
      </c>
      <c r="AD216" s="34">
        <f t="shared" si="230"/>
        <v>0</v>
      </c>
      <c r="AE216" s="34">
        <f t="shared" si="231"/>
        <v>0</v>
      </c>
      <c r="AF216" s="34">
        <f t="shared" si="232"/>
        <v>0</v>
      </c>
      <c r="AG216" s="34">
        <f t="shared" si="233"/>
        <v>0</v>
      </c>
      <c r="AH216" s="34">
        <f t="shared" si="234"/>
        <v>0</v>
      </c>
      <c r="AI216" s="29"/>
      <c r="AJ216" s="17">
        <f t="shared" si="235"/>
        <v>0</v>
      </c>
      <c r="AK216" s="17">
        <f t="shared" si="236"/>
        <v>0</v>
      </c>
      <c r="AL216" s="17">
        <f t="shared" si="237"/>
        <v>0</v>
      </c>
      <c r="AN216" s="34">
        <v>15</v>
      </c>
      <c r="AO216" s="34">
        <f t="shared" si="238"/>
        <v>0</v>
      </c>
      <c r="AP216" s="34">
        <f t="shared" si="239"/>
        <v>0</v>
      </c>
      <c r="AQ216" s="28" t="s">
        <v>13</v>
      </c>
      <c r="AV216" s="34">
        <f t="shared" si="240"/>
        <v>0</v>
      </c>
      <c r="AW216" s="34">
        <f t="shared" si="241"/>
        <v>0</v>
      </c>
      <c r="AX216" s="34">
        <f t="shared" si="242"/>
        <v>0</v>
      </c>
      <c r="AY216" s="35" t="s">
        <v>1707</v>
      </c>
      <c r="AZ216" s="35" t="s">
        <v>1732</v>
      </c>
      <c r="BA216" s="29" t="s">
        <v>1737</v>
      </c>
      <c r="BC216" s="34">
        <f t="shared" si="243"/>
        <v>0</v>
      </c>
      <c r="BD216" s="34">
        <f t="shared" si="244"/>
        <v>0</v>
      </c>
      <c r="BE216" s="34">
        <v>0</v>
      </c>
      <c r="BF216" s="34">
        <f>216</f>
        <v>216</v>
      </c>
      <c r="BH216" s="17">
        <f t="shared" si="245"/>
        <v>0</v>
      </c>
      <c r="BI216" s="17">
        <f t="shared" si="246"/>
        <v>0</v>
      </c>
      <c r="BJ216" s="17">
        <f t="shared" si="247"/>
        <v>0</v>
      </c>
    </row>
    <row r="217" spans="1:62" x14ac:dyDescent="0.2">
      <c r="A217" s="5"/>
      <c r="B217" s="13" t="s">
        <v>744</v>
      </c>
      <c r="C217" s="244" t="s">
        <v>1256</v>
      </c>
      <c r="D217" s="245"/>
      <c r="E217" s="245"/>
      <c r="F217" s="5" t="s">
        <v>6</v>
      </c>
      <c r="G217" s="5" t="s">
        <v>6</v>
      </c>
      <c r="H217" s="5" t="s">
        <v>6</v>
      </c>
      <c r="I217" s="37">
        <f>SUM(I218:I243)</f>
        <v>0</v>
      </c>
      <c r="J217" s="37">
        <f>SUM(J218:J243)</f>
        <v>0</v>
      </c>
      <c r="K217" s="37">
        <f>SUM(K218:K243)</f>
        <v>0</v>
      </c>
      <c r="L217" s="29"/>
      <c r="AI217" s="29"/>
      <c r="AS217" s="37">
        <f>SUM(AJ218:AJ243)</f>
        <v>0</v>
      </c>
      <c r="AT217" s="37">
        <f>SUM(AK218:AK243)</f>
        <v>0</v>
      </c>
      <c r="AU217" s="37">
        <f>SUM(AL218:AL243)</f>
        <v>0</v>
      </c>
    </row>
    <row r="218" spans="1:62" x14ac:dyDescent="0.2">
      <c r="A218" s="4" t="s">
        <v>181</v>
      </c>
      <c r="B218" s="4" t="s">
        <v>745</v>
      </c>
      <c r="C218" s="240" t="s">
        <v>1257</v>
      </c>
      <c r="D218" s="241"/>
      <c r="E218" s="241"/>
      <c r="F218" s="4" t="s">
        <v>1646</v>
      </c>
      <c r="G218" s="69">
        <v>1</v>
      </c>
      <c r="H218" s="168"/>
      <c r="I218" s="17">
        <f t="shared" ref="I218:I243" si="248">G218*AO218</f>
        <v>0</v>
      </c>
      <c r="J218" s="17">
        <f t="shared" ref="J218:J243" si="249">G218*AP218</f>
        <v>0</v>
      </c>
      <c r="K218" s="17">
        <f t="shared" ref="K218:K243" si="250">G218*H218</f>
        <v>0</v>
      </c>
      <c r="L218" s="28"/>
      <c r="Z218" s="34">
        <f t="shared" ref="Z218:Z243" si="251">IF(AQ218="5",BJ218,0)</f>
        <v>0</v>
      </c>
      <c r="AB218" s="34">
        <f t="shared" ref="AB218:AB243" si="252">IF(AQ218="1",BH218,0)</f>
        <v>0</v>
      </c>
      <c r="AC218" s="34">
        <f t="shared" ref="AC218:AC243" si="253">IF(AQ218="1",BI218,0)</f>
        <v>0</v>
      </c>
      <c r="AD218" s="34">
        <f t="shared" ref="AD218:AD243" si="254">IF(AQ218="7",BH218,0)</f>
        <v>0</v>
      </c>
      <c r="AE218" s="34">
        <f t="shared" ref="AE218:AE243" si="255">IF(AQ218="7",BI218,0)</f>
        <v>0</v>
      </c>
      <c r="AF218" s="34">
        <f t="shared" ref="AF218:AF243" si="256">IF(AQ218="2",BH218,0)</f>
        <v>0</v>
      </c>
      <c r="AG218" s="34">
        <f t="shared" ref="AG218:AG243" si="257">IF(AQ218="2",BI218,0)</f>
        <v>0</v>
      </c>
      <c r="AH218" s="34">
        <f t="shared" ref="AH218:AH243" si="258">IF(AQ218="0",BJ218,0)</f>
        <v>0</v>
      </c>
      <c r="AI218" s="29"/>
      <c r="AJ218" s="17">
        <f t="shared" ref="AJ218:AJ243" si="259">IF(AN218=0,K218,0)</f>
        <v>0</v>
      </c>
      <c r="AK218" s="17">
        <f t="shared" ref="AK218:AK243" si="260">IF(AN218=15,K218,0)</f>
        <v>0</v>
      </c>
      <c r="AL218" s="17">
        <f t="shared" ref="AL218:AL243" si="261">IF(AN218=21,K218,0)</f>
        <v>0</v>
      </c>
      <c r="AN218" s="34">
        <v>15</v>
      </c>
      <c r="AO218" s="34">
        <f t="shared" ref="AO218:AO243" si="262">H218*0</f>
        <v>0</v>
      </c>
      <c r="AP218" s="34">
        <f t="shared" ref="AP218:AP243" si="263">H218*(1-0)</f>
        <v>0</v>
      </c>
      <c r="AQ218" s="28" t="s">
        <v>13</v>
      </c>
      <c r="AV218" s="34">
        <f t="shared" ref="AV218:AV243" si="264">AW218+AX218</f>
        <v>0</v>
      </c>
      <c r="AW218" s="34">
        <f t="shared" ref="AW218:AW243" si="265">G218*AO218</f>
        <v>0</v>
      </c>
      <c r="AX218" s="34">
        <f t="shared" ref="AX218:AX243" si="266">G218*AP218</f>
        <v>0</v>
      </c>
      <c r="AY218" s="35" t="s">
        <v>1708</v>
      </c>
      <c r="AZ218" s="35" t="s">
        <v>1732</v>
      </c>
      <c r="BA218" s="29" t="s">
        <v>1737</v>
      </c>
      <c r="BC218" s="34">
        <f t="shared" ref="BC218:BC243" si="267">AW218+AX218</f>
        <v>0</v>
      </c>
      <c r="BD218" s="34">
        <f t="shared" ref="BD218:BD243" si="268">H218/(100-BE218)*100</f>
        <v>0</v>
      </c>
      <c r="BE218" s="34">
        <v>0</v>
      </c>
      <c r="BF218" s="34">
        <f>218</f>
        <v>218</v>
      </c>
      <c r="BH218" s="17">
        <f t="shared" ref="BH218:BH243" si="269">G218*AO218</f>
        <v>0</v>
      </c>
      <c r="BI218" s="17">
        <f t="shared" ref="BI218:BI243" si="270">G218*AP218</f>
        <v>0</v>
      </c>
      <c r="BJ218" s="17">
        <f t="shared" ref="BJ218:BJ243" si="271">G218*H218</f>
        <v>0</v>
      </c>
    </row>
    <row r="219" spans="1:62" x14ac:dyDescent="0.2">
      <c r="A219" s="4" t="s">
        <v>182</v>
      </c>
      <c r="B219" s="4" t="s">
        <v>746</v>
      </c>
      <c r="C219" s="240" t="s">
        <v>1258</v>
      </c>
      <c r="D219" s="241"/>
      <c r="E219" s="241"/>
      <c r="F219" s="4" t="s">
        <v>1646</v>
      </c>
      <c r="G219" s="69">
        <v>2</v>
      </c>
      <c r="H219" s="168"/>
      <c r="I219" s="17">
        <f t="shared" si="248"/>
        <v>0</v>
      </c>
      <c r="J219" s="17">
        <f t="shared" si="249"/>
        <v>0</v>
      </c>
      <c r="K219" s="17">
        <f t="shared" si="250"/>
        <v>0</v>
      </c>
      <c r="L219" s="28"/>
      <c r="Z219" s="34">
        <f t="shared" si="251"/>
        <v>0</v>
      </c>
      <c r="AB219" s="34">
        <f t="shared" si="252"/>
        <v>0</v>
      </c>
      <c r="AC219" s="34">
        <f t="shared" si="253"/>
        <v>0</v>
      </c>
      <c r="AD219" s="34">
        <f t="shared" si="254"/>
        <v>0</v>
      </c>
      <c r="AE219" s="34">
        <f t="shared" si="255"/>
        <v>0</v>
      </c>
      <c r="AF219" s="34">
        <f t="shared" si="256"/>
        <v>0</v>
      </c>
      <c r="AG219" s="34">
        <f t="shared" si="257"/>
        <v>0</v>
      </c>
      <c r="AH219" s="34">
        <f t="shared" si="258"/>
        <v>0</v>
      </c>
      <c r="AI219" s="29"/>
      <c r="AJ219" s="17">
        <f t="shared" si="259"/>
        <v>0</v>
      </c>
      <c r="AK219" s="17">
        <f t="shared" si="260"/>
        <v>0</v>
      </c>
      <c r="AL219" s="17">
        <f t="shared" si="261"/>
        <v>0</v>
      </c>
      <c r="AN219" s="34">
        <v>15</v>
      </c>
      <c r="AO219" s="34">
        <f t="shared" si="262"/>
        <v>0</v>
      </c>
      <c r="AP219" s="34">
        <f t="shared" si="263"/>
        <v>0</v>
      </c>
      <c r="AQ219" s="28" t="s">
        <v>13</v>
      </c>
      <c r="AV219" s="34">
        <f t="shared" si="264"/>
        <v>0</v>
      </c>
      <c r="AW219" s="34">
        <f t="shared" si="265"/>
        <v>0</v>
      </c>
      <c r="AX219" s="34">
        <f t="shared" si="266"/>
        <v>0</v>
      </c>
      <c r="AY219" s="35" t="s">
        <v>1708</v>
      </c>
      <c r="AZ219" s="35" t="s">
        <v>1732</v>
      </c>
      <c r="BA219" s="29" t="s">
        <v>1737</v>
      </c>
      <c r="BC219" s="34">
        <f t="shared" si="267"/>
        <v>0</v>
      </c>
      <c r="BD219" s="34">
        <f t="shared" si="268"/>
        <v>0</v>
      </c>
      <c r="BE219" s="34">
        <v>0</v>
      </c>
      <c r="BF219" s="34">
        <f>219</f>
        <v>219</v>
      </c>
      <c r="BH219" s="17">
        <f t="shared" si="269"/>
        <v>0</v>
      </c>
      <c r="BI219" s="17">
        <f t="shared" si="270"/>
        <v>0</v>
      </c>
      <c r="BJ219" s="17">
        <f t="shared" si="271"/>
        <v>0</v>
      </c>
    </row>
    <row r="220" spans="1:62" x14ac:dyDescent="0.2">
      <c r="A220" s="4" t="s">
        <v>183</v>
      </c>
      <c r="B220" s="4" t="s">
        <v>747</v>
      </c>
      <c r="C220" s="240" t="s">
        <v>1259</v>
      </c>
      <c r="D220" s="241"/>
      <c r="E220" s="241"/>
      <c r="F220" s="4" t="s">
        <v>1646</v>
      </c>
      <c r="G220" s="69">
        <v>1</v>
      </c>
      <c r="H220" s="168"/>
      <c r="I220" s="17">
        <f t="shared" si="248"/>
        <v>0</v>
      </c>
      <c r="J220" s="17">
        <f t="shared" si="249"/>
        <v>0</v>
      </c>
      <c r="K220" s="17">
        <f t="shared" si="250"/>
        <v>0</v>
      </c>
      <c r="L220" s="28"/>
      <c r="Z220" s="34">
        <f t="shared" si="251"/>
        <v>0</v>
      </c>
      <c r="AB220" s="34">
        <f t="shared" si="252"/>
        <v>0</v>
      </c>
      <c r="AC220" s="34">
        <f t="shared" si="253"/>
        <v>0</v>
      </c>
      <c r="AD220" s="34">
        <f t="shared" si="254"/>
        <v>0</v>
      </c>
      <c r="AE220" s="34">
        <f t="shared" si="255"/>
        <v>0</v>
      </c>
      <c r="AF220" s="34">
        <f t="shared" si="256"/>
        <v>0</v>
      </c>
      <c r="AG220" s="34">
        <f t="shared" si="257"/>
        <v>0</v>
      </c>
      <c r="AH220" s="34">
        <f t="shared" si="258"/>
        <v>0</v>
      </c>
      <c r="AI220" s="29"/>
      <c r="AJ220" s="17">
        <f t="shared" si="259"/>
        <v>0</v>
      </c>
      <c r="AK220" s="17">
        <f t="shared" si="260"/>
        <v>0</v>
      </c>
      <c r="AL220" s="17">
        <f t="shared" si="261"/>
        <v>0</v>
      </c>
      <c r="AN220" s="34">
        <v>15</v>
      </c>
      <c r="AO220" s="34">
        <f t="shared" si="262"/>
        <v>0</v>
      </c>
      <c r="AP220" s="34">
        <f t="shared" si="263"/>
        <v>0</v>
      </c>
      <c r="AQ220" s="28" t="s">
        <v>13</v>
      </c>
      <c r="AV220" s="34">
        <f t="shared" si="264"/>
        <v>0</v>
      </c>
      <c r="AW220" s="34">
        <f t="shared" si="265"/>
        <v>0</v>
      </c>
      <c r="AX220" s="34">
        <f t="shared" si="266"/>
        <v>0</v>
      </c>
      <c r="AY220" s="35" t="s">
        <v>1708</v>
      </c>
      <c r="AZ220" s="35" t="s">
        <v>1732</v>
      </c>
      <c r="BA220" s="29" t="s">
        <v>1737</v>
      </c>
      <c r="BC220" s="34">
        <f t="shared" si="267"/>
        <v>0</v>
      </c>
      <c r="BD220" s="34">
        <f t="shared" si="268"/>
        <v>0</v>
      </c>
      <c r="BE220" s="34">
        <v>0</v>
      </c>
      <c r="BF220" s="34">
        <f>220</f>
        <v>220</v>
      </c>
      <c r="BH220" s="17">
        <f t="shared" si="269"/>
        <v>0</v>
      </c>
      <c r="BI220" s="17">
        <f t="shared" si="270"/>
        <v>0</v>
      </c>
      <c r="BJ220" s="17">
        <f t="shared" si="271"/>
        <v>0</v>
      </c>
    </row>
    <row r="221" spans="1:62" x14ac:dyDescent="0.2">
      <c r="A221" s="4" t="s">
        <v>184</v>
      </c>
      <c r="B221" s="4" t="s">
        <v>748</v>
      </c>
      <c r="C221" s="240" t="s">
        <v>1260</v>
      </c>
      <c r="D221" s="241"/>
      <c r="E221" s="241"/>
      <c r="F221" s="4" t="s">
        <v>1646</v>
      </c>
      <c r="G221" s="69">
        <v>8</v>
      </c>
      <c r="H221" s="168"/>
      <c r="I221" s="17">
        <f t="shared" si="248"/>
        <v>0</v>
      </c>
      <c r="J221" s="17">
        <f t="shared" si="249"/>
        <v>0</v>
      </c>
      <c r="K221" s="17">
        <f t="shared" si="250"/>
        <v>0</v>
      </c>
      <c r="L221" s="28"/>
      <c r="Z221" s="34">
        <f t="shared" si="251"/>
        <v>0</v>
      </c>
      <c r="AB221" s="34">
        <f t="shared" si="252"/>
        <v>0</v>
      </c>
      <c r="AC221" s="34">
        <f t="shared" si="253"/>
        <v>0</v>
      </c>
      <c r="AD221" s="34">
        <f t="shared" si="254"/>
        <v>0</v>
      </c>
      <c r="AE221" s="34">
        <f t="shared" si="255"/>
        <v>0</v>
      </c>
      <c r="AF221" s="34">
        <f t="shared" si="256"/>
        <v>0</v>
      </c>
      <c r="AG221" s="34">
        <f t="shared" si="257"/>
        <v>0</v>
      </c>
      <c r="AH221" s="34">
        <f t="shared" si="258"/>
        <v>0</v>
      </c>
      <c r="AI221" s="29"/>
      <c r="AJ221" s="17">
        <f t="shared" si="259"/>
        <v>0</v>
      </c>
      <c r="AK221" s="17">
        <f t="shared" si="260"/>
        <v>0</v>
      </c>
      <c r="AL221" s="17">
        <f t="shared" si="261"/>
        <v>0</v>
      </c>
      <c r="AN221" s="34">
        <v>15</v>
      </c>
      <c r="AO221" s="34">
        <f t="shared" si="262"/>
        <v>0</v>
      </c>
      <c r="AP221" s="34">
        <f t="shared" si="263"/>
        <v>0</v>
      </c>
      <c r="AQ221" s="28" t="s">
        <v>13</v>
      </c>
      <c r="AV221" s="34">
        <f t="shared" si="264"/>
        <v>0</v>
      </c>
      <c r="AW221" s="34">
        <f t="shared" si="265"/>
        <v>0</v>
      </c>
      <c r="AX221" s="34">
        <f t="shared" si="266"/>
        <v>0</v>
      </c>
      <c r="AY221" s="35" t="s">
        <v>1708</v>
      </c>
      <c r="AZ221" s="35" t="s">
        <v>1732</v>
      </c>
      <c r="BA221" s="29" t="s">
        <v>1737</v>
      </c>
      <c r="BC221" s="34">
        <f t="shared" si="267"/>
        <v>0</v>
      </c>
      <c r="BD221" s="34">
        <f t="shared" si="268"/>
        <v>0</v>
      </c>
      <c r="BE221" s="34">
        <v>0</v>
      </c>
      <c r="BF221" s="34">
        <f>221</f>
        <v>221</v>
      </c>
      <c r="BH221" s="17">
        <f t="shared" si="269"/>
        <v>0</v>
      </c>
      <c r="BI221" s="17">
        <f t="shared" si="270"/>
        <v>0</v>
      </c>
      <c r="BJ221" s="17">
        <f t="shared" si="271"/>
        <v>0</v>
      </c>
    </row>
    <row r="222" spans="1:62" x14ac:dyDescent="0.2">
      <c r="A222" s="4" t="s">
        <v>185</v>
      </c>
      <c r="B222" s="4" t="s">
        <v>749</v>
      </c>
      <c r="C222" s="240" t="s">
        <v>1261</v>
      </c>
      <c r="D222" s="241"/>
      <c r="E222" s="241"/>
      <c r="F222" s="4" t="s">
        <v>1646</v>
      </c>
      <c r="G222" s="69">
        <v>7</v>
      </c>
      <c r="H222" s="168"/>
      <c r="I222" s="17">
        <f t="shared" si="248"/>
        <v>0</v>
      </c>
      <c r="J222" s="17">
        <f t="shared" si="249"/>
        <v>0</v>
      </c>
      <c r="K222" s="17">
        <f t="shared" si="250"/>
        <v>0</v>
      </c>
      <c r="L222" s="28"/>
      <c r="Z222" s="34">
        <f t="shared" si="251"/>
        <v>0</v>
      </c>
      <c r="AB222" s="34">
        <f t="shared" si="252"/>
        <v>0</v>
      </c>
      <c r="AC222" s="34">
        <f t="shared" si="253"/>
        <v>0</v>
      </c>
      <c r="AD222" s="34">
        <f t="shared" si="254"/>
        <v>0</v>
      </c>
      <c r="AE222" s="34">
        <f t="shared" si="255"/>
        <v>0</v>
      </c>
      <c r="AF222" s="34">
        <f t="shared" si="256"/>
        <v>0</v>
      </c>
      <c r="AG222" s="34">
        <f t="shared" si="257"/>
        <v>0</v>
      </c>
      <c r="AH222" s="34">
        <f t="shared" si="258"/>
        <v>0</v>
      </c>
      <c r="AI222" s="29"/>
      <c r="AJ222" s="17">
        <f t="shared" si="259"/>
        <v>0</v>
      </c>
      <c r="AK222" s="17">
        <f t="shared" si="260"/>
        <v>0</v>
      </c>
      <c r="AL222" s="17">
        <f t="shared" si="261"/>
        <v>0</v>
      </c>
      <c r="AN222" s="34">
        <v>15</v>
      </c>
      <c r="AO222" s="34">
        <f t="shared" si="262"/>
        <v>0</v>
      </c>
      <c r="AP222" s="34">
        <f t="shared" si="263"/>
        <v>0</v>
      </c>
      <c r="AQ222" s="28" t="s">
        <v>13</v>
      </c>
      <c r="AV222" s="34">
        <f t="shared" si="264"/>
        <v>0</v>
      </c>
      <c r="AW222" s="34">
        <f t="shared" si="265"/>
        <v>0</v>
      </c>
      <c r="AX222" s="34">
        <f t="shared" si="266"/>
        <v>0</v>
      </c>
      <c r="AY222" s="35" t="s">
        <v>1708</v>
      </c>
      <c r="AZ222" s="35" t="s">
        <v>1732</v>
      </c>
      <c r="BA222" s="29" t="s">
        <v>1737</v>
      </c>
      <c r="BC222" s="34">
        <f t="shared" si="267"/>
        <v>0</v>
      </c>
      <c r="BD222" s="34">
        <f t="shared" si="268"/>
        <v>0</v>
      </c>
      <c r="BE222" s="34">
        <v>0</v>
      </c>
      <c r="BF222" s="34">
        <f>222</f>
        <v>222</v>
      </c>
      <c r="BH222" s="17">
        <f t="shared" si="269"/>
        <v>0</v>
      </c>
      <c r="BI222" s="17">
        <f t="shared" si="270"/>
        <v>0</v>
      </c>
      <c r="BJ222" s="17">
        <f t="shared" si="271"/>
        <v>0</v>
      </c>
    </row>
    <row r="223" spans="1:62" x14ac:dyDescent="0.2">
      <c r="A223" s="4" t="s">
        <v>186</v>
      </c>
      <c r="B223" s="4" t="s">
        <v>750</v>
      </c>
      <c r="C223" s="240" t="s">
        <v>1262</v>
      </c>
      <c r="D223" s="241"/>
      <c r="E223" s="241"/>
      <c r="F223" s="4" t="s">
        <v>1644</v>
      </c>
      <c r="G223" s="69">
        <v>1</v>
      </c>
      <c r="H223" s="168"/>
      <c r="I223" s="17">
        <f t="shared" si="248"/>
        <v>0</v>
      </c>
      <c r="J223" s="17">
        <f t="shared" si="249"/>
        <v>0</v>
      </c>
      <c r="K223" s="17">
        <f t="shared" si="250"/>
        <v>0</v>
      </c>
      <c r="L223" s="28"/>
      <c r="Z223" s="34">
        <f t="shared" si="251"/>
        <v>0</v>
      </c>
      <c r="AB223" s="34">
        <f t="shared" si="252"/>
        <v>0</v>
      </c>
      <c r="AC223" s="34">
        <f t="shared" si="253"/>
        <v>0</v>
      </c>
      <c r="AD223" s="34">
        <f t="shared" si="254"/>
        <v>0</v>
      </c>
      <c r="AE223" s="34">
        <f t="shared" si="255"/>
        <v>0</v>
      </c>
      <c r="AF223" s="34">
        <f t="shared" si="256"/>
        <v>0</v>
      </c>
      <c r="AG223" s="34">
        <f t="shared" si="257"/>
        <v>0</v>
      </c>
      <c r="AH223" s="34">
        <f t="shared" si="258"/>
        <v>0</v>
      </c>
      <c r="AI223" s="29"/>
      <c r="AJ223" s="17">
        <f t="shared" si="259"/>
        <v>0</v>
      </c>
      <c r="AK223" s="17">
        <f t="shared" si="260"/>
        <v>0</v>
      </c>
      <c r="AL223" s="17">
        <f t="shared" si="261"/>
        <v>0</v>
      </c>
      <c r="AN223" s="34">
        <v>15</v>
      </c>
      <c r="AO223" s="34">
        <f t="shared" si="262"/>
        <v>0</v>
      </c>
      <c r="AP223" s="34">
        <f t="shared" si="263"/>
        <v>0</v>
      </c>
      <c r="AQ223" s="28" t="s">
        <v>13</v>
      </c>
      <c r="AV223" s="34">
        <f t="shared" si="264"/>
        <v>0</v>
      </c>
      <c r="AW223" s="34">
        <f t="shared" si="265"/>
        <v>0</v>
      </c>
      <c r="AX223" s="34">
        <f t="shared" si="266"/>
        <v>0</v>
      </c>
      <c r="AY223" s="35" t="s">
        <v>1708</v>
      </c>
      <c r="AZ223" s="35" t="s">
        <v>1732</v>
      </c>
      <c r="BA223" s="29" t="s">
        <v>1737</v>
      </c>
      <c r="BC223" s="34">
        <f t="shared" si="267"/>
        <v>0</v>
      </c>
      <c r="BD223" s="34">
        <f t="shared" si="268"/>
        <v>0</v>
      </c>
      <c r="BE223" s="34">
        <v>0</v>
      </c>
      <c r="BF223" s="34">
        <f>223</f>
        <v>223</v>
      </c>
      <c r="BH223" s="17">
        <f t="shared" si="269"/>
        <v>0</v>
      </c>
      <c r="BI223" s="17">
        <f t="shared" si="270"/>
        <v>0</v>
      </c>
      <c r="BJ223" s="17">
        <f t="shared" si="271"/>
        <v>0</v>
      </c>
    </row>
    <row r="224" spans="1:62" x14ac:dyDescent="0.2">
      <c r="A224" s="4" t="s">
        <v>187</v>
      </c>
      <c r="B224" s="4" t="s">
        <v>751</v>
      </c>
      <c r="C224" s="240" t="s">
        <v>1263</v>
      </c>
      <c r="D224" s="241"/>
      <c r="E224" s="241"/>
      <c r="F224" s="4" t="s">
        <v>1644</v>
      </c>
      <c r="G224" s="69">
        <v>3</v>
      </c>
      <c r="H224" s="168"/>
      <c r="I224" s="17">
        <f t="shared" si="248"/>
        <v>0</v>
      </c>
      <c r="J224" s="17">
        <f t="shared" si="249"/>
        <v>0</v>
      </c>
      <c r="K224" s="17">
        <f t="shared" si="250"/>
        <v>0</v>
      </c>
      <c r="L224" s="28"/>
      <c r="Z224" s="34">
        <f t="shared" si="251"/>
        <v>0</v>
      </c>
      <c r="AB224" s="34">
        <f t="shared" si="252"/>
        <v>0</v>
      </c>
      <c r="AC224" s="34">
        <f t="shared" si="253"/>
        <v>0</v>
      </c>
      <c r="AD224" s="34">
        <f t="shared" si="254"/>
        <v>0</v>
      </c>
      <c r="AE224" s="34">
        <f t="shared" si="255"/>
        <v>0</v>
      </c>
      <c r="AF224" s="34">
        <f t="shared" si="256"/>
        <v>0</v>
      </c>
      <c r="AG224" s="34">
        <f t="shared" si="257"/>
        <v>0</v>
      </c>
      <c r="AH224" s="34">
        <f t="shared" si="258"/>
        <v>0</v>
      </c>
      <c r="AI224" s="29"/>
      <c r="AJ224" s="17">
        <f t="shared" si="259"/>
        <v>0</v>
      </c>
      <c r="AK224" s="17">
        <f t="shared" si="260"/>
        <v>0</v>
      </c>
      <c r="AL224" s="17">
        <f t="shared" si="261"/>
        <v>0</v>
      </c>
      <c r="AN224" s="34">
        <v>15</v>
      </c>
      <c r="AO224" s="34">
        <f t="shared" si="262"/>
        <v>0</v>
      </c>
      <c r="AP224" s="34">
        <f t="shared" si="263"/>
        <v>0</v>
      </c>
      <c r="AQ224" s="28" t="s">
        <v>13</v>
      </c>
      <c r="AV224" s="34">
        <f t="shared" si="264"/>
        <v>0</v>
      </c>
      <c r="AW224" s="34">
        <f t="shared" si="265"/>
        <v>0</v>
      </c>
      <c r="AX224" s="34">
        <f t="shared" si="266"/>
        <v>0</v>
      </c>
      <c r="AY224" s="35" t="s">
        <v>1708</v>
      </c>
      <c r="AZ224" s="35" t="s">
        <v>1732</v>
      </c>
      <c r="BA224" s="29" t="s">
        <v>1737</v>
      </c>
      <c r="BC224" s="34">
        <f t="shared" si="267"/>
        <v>0</v>
      </c>
      <c r="BD224" s="34">
        <f t="shared" si="268"/>
        <v>0</v>
      </c>
      <c r="BE224" s="34">
        <v>0</v>
      </c>
      <c r="BF224" s="34">
        <f>224</f>
        <v>224</v>
      </c>
      <c r="BH224" s="17">
        <f t="shared" si="269"/>
        <v>0</v>
      </c>
      <c r="BI224" s="17">
        <f t="shared" si="270"/>
        <v>0</v>
      </c>
      <c r="BJ224" s="17">
        <f t="shared" si="271"/>
        <v>0</v>
      </c>
    </row>
    <row r="225" spans="1:62" x14ac:dyDescent="0.2">
      <c r="A225" s="4" t="s">
        <v>188</v>
      </c>
      <c r="B225" s="4" t="s">
        <v>752</v>
      </c>
      <c r="C225" s="240" t="s">
        <v>1264</v>
      </c>
      <c r="D225" s="241"/>
      <c r="E225" s="241"/>
      <c r="F225" s="4" t="s">
        <v>1644</v>
      </c>
      <c r="G225" s="69">
        <v>3</v>
      </c>
      <c r="H225" s="168"/>
      <c r="I225" s="17">
        <f t="shared" si="248"/>
        <v>0</v>
      </c>
      <c r="J225" s="17">
        <f t="shared" si="249"/>
        <v>0</v>
      </c>
      <c r="K225" s="17">
        <f t="shared" si="250"/>
        <v>0</v>
      </c>
      <c r="L225" s="28"/>
      <c r="Z225" s="34">
        <f t="shared" si="251"/>
        <v>0</v>
      </c>
      <c r="AB225" s="34">
        <f t="shared" si="252"/>
        <v>0</v>
      </c>
      <c r="AC225" s="34">
        <f t="shared" si="253"/>
        <v>0</v>
      </c>
      <c r="AD225" s="34">
        <f t="shared" si="254"/>
        <v>0</v>
      </c>
      <c r="AE225" s="34">
        <f t="shared" si="255"/>
        <v>0</v>
      </c>
      <c r="AF225" s="34">
        <f t="shared" si="256"/>
        <v>0</v>
      </c>
      <c r="AG225" s="34">
        <f t="shared" si="257"/>
        <v>0</v>
      </c>
      <c r="AH225" s="34">
        <f t="shared" si="258"/>
        <v>0</v>
      </c>
      <c r="AI225" s="29"/>
      <c r="AJ225" s="17">
        <f t="shared" si="259"/>
        <v>0</v>
      </c>
      <c r="AK225" s="17">
        <f t="shared" si="260"/>
        <v>0</v>
      </c>
      <c r="AL225" s="17">
        <f t="shared" si="261"/>
        <v>0</v>
      </c>
      <c r="AN225" s="34">
        <v>15</v>
      </c>
      <c r="AO225" s="34">
        <f t="shared" si="262"/>
        <v>0</v>
      </c>
      <c r="AP225" s="34">
        <f t="shared" si="263"/>
        <v>0</v>
      </c>
      <c r="AQ225" s="28" t="s">
        <v>13</v>
      </c>
      <c r="AV225" s="34">
        <f t="shared" si="264"/>
        <v>0</v>
      </c>
      <c r="AW225" s="34">
        <f t="shared" si="265"/>
        <v>0</v>
      </c>
      <c r="AX225" s="34">
        <f t="shared" si="266"/>
        <v>0</v>
      </c>
      <c r="AY225" s="35" t="s">
        <v>1708</v>
      </c>
      <c r="AZ225" s="35" t="s">
        <v>1732</v>
      </c>
      <c r="BA225" s="29" t="s">
        <v>1737</v>
      </c>
      <c r="BC225" s="34">
        <f t="shared" si="267"/>
        <v>0</v>
      </c>
      <c r="BD225" s="34">
        <f t="shared" si="268"/>
        <v>0</v>
      </c>
      <c r="BE225" s="34">
        <v>0</v>
      </c>
      <c r="BF225" s="34">
        <f>225</f>
        <v>225</v>
      </c>
      <c r="BH225" s="17">
        <f t="shared" si="269"/>
        <v>0</v>
      </c>
      <c r="BI225" s="17">
        <f t="shared" si="270"/>
        <v>0</v>
      </c>
      <c r="BJ225" s="17">
        <f t="shared" si="271"/>
        <v>0</v>
      </c>
    </row>
    <row r="226" spans="1:62" x14ac:dyDescent="0.2">
      <c r="A226" s="4" t="s">
        <v>189</v>
      </c>
      <c r="B226" s="4" t="s">
        <v>753</v>
      </c>
      <c r="C226" s="240" t="s">
        <v>1265</v>
      </c>
      <c r="D226" s="241"/>
      <c r="E226" s="241"/>
      <c r="F226" s="4" t="s">
        <v>1644</v>
      </c>
      <c r="G226" s="69">
        <v>1</v>
      </c>
      <c r="H226" s="168"/>
      <c r="I226" s="17">
        <f t="shared" si="248"/>
        <v>0</v>
      </c>
      <c r="J226" s="17">
        <f t="shared" si="249"/>
        <v>0</v>
      </c>
      <c r="K226" s="17">
        <f t="shared" si="250"/>
        <v>0</v>
      </c>
      <c r="L226" s="28"/>
      <c r="Z226" s="34">
        <f t="shared" si="251"/>
        <v>0</v>
      </c>
      <c r="AB226" s="34">
        <f t="shared" si="252"/>
        <v>0</v>
      </c>
      <c r="AC226" s="34">
        <f t="shared" si="253"/>
        <v>0</v>
      </c>
      <c r="AD226" s="34">
        <f t="shared" si="254"/>
        <v>0</v>
      </c>
      <c r="AE226" s="34">
        <f t="shared" si="255"/>
        <v>0</v>
      </c>
      <c r="AF226" s="34">
        <f t="shared" si="256"/>
        <v>0</v>
      </c>
      <c r="AG226" s="34">
        <f t="shared" si="257"/>
        <v>0</v>
      </c>
      <c r="AH226" s="34">
        <f t="shared" si="258"/>
        <v>0</v>
      </c>
      <c r="AI226" s="29"/>
      <c r="AJ226" s="17">
        <f t="shared" si="259"/>
        <v>0</v>
      </c>
      <c r="AK226" s="17">
        <f t="shared" si="260"/>
        <v>0</v>
      </c>
      <c r="AL226" s="17">
        <f t="shared" si="261"/>
        <v>0</v>
      </c>
      <c r="AN226" s="34">
        <v>15</v>
      </c>
      <c r="AO226" s="34">
        <f t="shared" si="262"/>
        <v>0</v>
      </c>
      <c r="AP226" s="34">
        <f t="shared" si="263"/>
        <v>0</v>
      </c>
      <c r="AQ226" s="28" t="s">
        <v>13</v>
      </c>
      <c r="AV226" s="34">
        <f t="shared" si="264"/>
        <v>0</v>
      </c>
      <c r="AW226" s="34">
        <f t="shared" si="265"/>
        <v>0</v>
      </c>
      <c r="AX226" s="34">
        <f t="shared" si="266"/>
        <v>0</v>
      </c>
      <c r="AY226" s="35" t="s">
        <v>1708</v>
      </c>
      <c r="AZ226" s="35" t="s">
        <v>1732</v>
      </c>
      <c r="BA226" s="29" t="s">
        <v>1737</v>
      </c>
      <c r="BC226" s="34">
        <f t="shared" si="267"/>
        <v>0</v>
      </c>
      <c r="BD226" s="34">
        <f t="shared" si="268"/>
        <v>0</v>
      </c>
      <c r="BE226" s="34">
        <v>0</v>
      </c>
      <c r="BF226" s="34">
        <f>226</f>
        <v>226</v>
      </c>
      <c r="BH226" s="17">
        <f t="shared" si="269"/>
        <v>0</v>
      </c>
      <c r="BI226" s="17">
        <f t="shared" si="270"/>
        <v>0</v>
      </c>
      <c r="BJ226" s="17">
        <f t="shared" si="271"/>
        <v>0</v>
      </c>
    </row>
    <row r="227" spans="1:62" x14ac:dyDescent="0.2">
      <c r="A227" s="4" t="s">
        <v>190</v>
      </c>
      <c r="B227" s="4" t="s">
        <v>754</v>
      </c>
      <c r="C227" s="240" t="s">
        <v>1266</v>
      </c>
      <c r="D227" s="241"/>
      <c r="E227" s="241"/>
      <c r="F227" s="4" t="s">
        <v>1644</v>
      </c>
      <c r="G227" s="69">
        <v>1</v>
      </c>
      <c r="H227" s="168"/>
      <c r="I227" s="17">
        <f t="shared" si="248"/>
        <v>0</v>
      </c>
      <c r="J227" s="17">
        <f t="shared" si="249"/>
        <v>0</v>
      </c>
      <c r="K227" s="17">
        <f t="shared" si="250"/>
        <v>0</v>
      </c>
      <c r="L227" s="28"/>
      <c r="Z227" s="34">
        <f t="shared" si="251"/>
        <v>0</v>
      </c>
      <c r="AB227" s="34">
        <f t="shared" si="252"/>
        <v>0</v>
      </c>
      <c r="AC227" s="34">
        <f t="shared" si="253"/>
        <v>0</v>
      </c>
      <c r="AD227" s="34">
        <f t="shared" si="254"/>
        <v>0</v>
      </c>
      <c r="AE227" s="34">
        <f t="shared" si="255"/>
        <v>0</v>
      </c>
      <c r="AF227" s="34">
        <f t="shared" si="256"/>
        <v>0</v>
      </c>
      <c r="AG227" s="34">
        <f t="shared" si="257"/>
        <v>0</v>
      </c>
      <c r="AH227" s="34">
        <f t="shared" si="258"/>
        <v>0</v>
      </c>
      <c r="AI227" s="29"/>
      <c r="AJ227" s="17">
        <f t="shared" si="259"/>
        <v>0</v>
      </c>
      <c r="AK227" s="17">
        <f t="shared" si="260"/>
        <v>0</v>
      </c>
      <c r="AL227" s="17">
        <f t="shared" si="261"/>
        <v>0</v>
      </c>
      <c r="AN227" s="34">
        <v>15</v>
      </c>
      <c r="AO227" s="34">
        <f t="shared" si="262"/>
        <v>0</v>
      </c>
      <c r="AP227" s="34">
        <f t="shared" si="263"/>
        <v>0</v>
      </c>
      <c r="AQ227" s="28" t="s">
        <v>13</v>
      </c>
      <c r="AV227" s="34">
        <f t="shared" si="264"/>
        <v>0</v>
      </c>
      <c r="AW227" s="34">
        <f t="shared" si="265"/>
        <v>0</v>
      </c>
      <c r="AX227" s="34">
        <f t="shared" si="266"/>
        <v>0</v>
      </c>
      <c r="AY227" s="35" t="s">
        <v>1708</v>
      </c>
      <c r="AZ227" s="35" t="s">
        <v>1732</v>
      </c>
      <c r="BA227" s="29" t="s">
        <v>1737</v>
      </c>
      <c r="BC227" s="34">
        <f t="shared" si="267"/>
        <v>0</v>
      </c>
      <c r="BD227" s="34">
        <f t="shared" si="268"/>
        <v>0</v>
      </c>
      <c r="BE227" s="34">
        <v>0</v>
      </c>
      <c r="BF227" s="34">
        <f>227</f>
        <v>227</v>
      </c>
      <c r="BH227" s="17">
        <f t="shared" si="269"/>
        <v>0</v>
      </c>
      <c r="BI227" s="17">
        <f t="shared" si="270"/>
        <v>0</v>
      </c>
      <c r="BJ227" s="17">
        <f t="shared" si="271"/>
        <v>0</v>
      </c>
    </row>
    <row r="228" spans="1:62" x14ac:dyDescent="0.2">
      <c r="A228" s="4" t="s">
        <v>191</v>
      </c>
      <c r="B228" s="4" t="s">
        <v>755</v>
      </c>
      <c r="C228" s="240" t="s">
        <v>1267</v>
      </c>
      <c r="D228" s="241"/>
      <c r="E228" s="241"/>
      <c r="F228" s="4" t="s">
        <v>1644</v>
      </c>
      <c r="G228" s="69">
        <v>1</v>
      </c>
      <c r="H228" s="168"/>
      <c r="I228" s="17">
        <f t="shared" si="248"/>
        <v>0</v>
      </c>
      <c r="J228" s="17">
        <f t="shared" si="249"/>
        <v>0</v>
      </c>
      <c r="K228" s="17">
        <f t="shared" si="250"/>
        <v>0</v>
      </c>
      <c r="L228" s="28"/>
      <c r="Z228" s="34">
        <f t="shared" si="251"/>
        <v>0</v>
      </c>
      <c r="AB228" s="34">
        <f t="shared" si="252"/>
        <v>0</v>
      </c>
      <c r="AC228" s="34">
        <f t="shared" si="253"/>
        <v>0</v>
      </c>
      <c r="AD228" s="34">
        <f t="shared" si="254"/>
        <v>0</v>
      </c>
      <c r="AE228" s="34">
        <f t="shared" si="255"/>
        <v>0</v>
      </c>
      <c r="AF228" s="34">
        <f t="shared" si="256"/>
        <v>0</v>
      </c>
      <c r="AG228" s="34">
        <f t="shared" si="257"/>
        <v>0</v>
      </c>
      <c r="AH228" s="34">
        <f t="shared" si="258"/>
        <v>0</v>
      </c>
      <c r="AI228" s="29"/>
      <c r="AJ228" s="17">
        <f t="shared" si="259"/>
        <v>0</v>
      </c>
      <c r="AK228" s="17">
        <f t="shared" si="260"/>
        <v>0</v>
      </c>
      <c r="AL228" s="17">
        <f t="shared" si="261"/>
        <v>0</v>
      </c>
      <c r="AN228" s="34">
        <v>15</v>
      </c>
      <c r="AO228" s="34">
        <f t="shared" si="262"/>
        <v>0</v>
      </c>
      <c r="AP228" s="34">
        <f t="shared" si="263"/>
        <v>0</v>
      </c>
      <c r="AQ228" s="28" t="s">
        <v>13</v>
      </c>
      <c r="AV228" s="34">
        <f t="shared" si="264"/>
        <v>0</v>
      </c>
      <c r="AW228" s="34">
        <f t="shared" si="265"/>
        <v>0</v>
      </c>
      <c r="AX228" s="34">
        <f t="shared" si="266"/>
        <v>0</v>
      </c>
      <c r="AY228" s="35" t="s">
        <v>1708</v>
      </c>
      <c r="AZ228" s="35" t="s">
        <v>1732</v>
      </c>
      <c r="BA228" s="29" t="s">
        <v>1737</v>
      </c>
      <c r="BC228" s="34">
        <f t="shared" si="267"/>
        <v>0</v>
      </c>
      <c r="BD228" s="34">
        <f t="shared" si="268"/>
        <v>0</v>
      </c>
      <c r="BE228" s="34">
        <v>0</v>
      </c>
      <c r="BF228" s="34">
        <f>228</f>
        <v>228</v>
      </c>
      <c r="BH228" s="17">
        <f t="shared" si="269"/>
        <v>0</v>
      </c>
      <c r="BI228" s="17">
        <f t="shared" si="270"/>
        <v>0</v>
      </c>
      <c r="BJ228" s="17">
        <f t="shared" si="271"/>
        <v>0</v>
      </c>
    </row>
    <row r="229" spans="1:62" x14ac:dyDescent="0.2">
      <c r="A229" s="4" t="s">
        <v>192</v>
      </c>
      <c r="B229" s="4" t="s">
        <v>756</v>
      </c>
      <c r="C229" s="240" t="s">
        <v>1268</v>
      </c>
      <c r="D229" s="241"/>
      <c r="E229" s="241"/>
      <c r="F229" s="4" t="s">
        <v>1644</v>
      </c>
      <c r="G229" s="69">
        <v>1</v>
      </c>
      <c r="H229" s="168"/>
      <c r="I229" s="17">
        <f t="shared" si="248"/>
        <v>0</v>
      </c>
      <c r="J229" s="17">
        <f t="shared" si="249"/>
        <v>0</v>
      </c>
      <c r="K229" s="17">
        <f t="shared" si="250"/>
        <v>0</v>
      </c>
      <c r="L229" s="28"/>
      <c r="Z229" s="34">
        <f t="shared" si="251"/>
        <v>0</v>
      </c>
      <c r="AB229" s="34">
        <f t="shared" si="252"/>
        <v>0</v>
      </c>
      <c r="AC229" s="34">
        <f t="shared" si="253"/>
        <v>0</v>
      </c>
      <c r="AD229" s="34">
        <f t="shared" si="254"/>
        <v>0</v>
      </c>
      <c r="AE229" s="34">
        <f t="shared" si="255"/>
        <v>0</v>
      </c>
      <c r="AF229" s="34">
        <f t="shared" si="256"/>
        <v>0</v>
      </c>
      <c r="AG229" s="34">
        <f t="shared" si="257"/>
        <v>0</v>
      </c>
      <c r="AH229" s="34">
        <f t="shared" si="258"/>
        <v>0</v>
      </c>
      <c r="AI229" s="29"/>
      <c r="AJ229" s="17">
        <f t="shared" si="259"/>
        <v>0</v>
      </c>
      <c r="AK229" s="17">
        <f t="shared" si="260"/>
        <v>0</v>
      </c>
      <c r="AL229" s="17">
        <f t="shared" si="261"/>
        <v>0</v>
      </c>
      <c r="AN229" s="34">
        <v>15</v>
      </c>
      <c r="AO229" s="34">
        <f t="shared" si="262"/>
        <v>0</v>
      </c>
      <c r="AP229" s="34">
        <f t="shared" si="263"/>
        <v>0</v>
      </c>
      <c r="AQ229" s="28" t="s">
        <v>13</v>
      </c>
      <c r="AV229" s="34">
        <f t="shared" si="264"/>
        <v>0</v>
      </c>
      <c r="AW229" s="34">
        <f t="shared" si="265"/>
        <v>0</v>
      </c>
      <c r="AX229" s="34">
        <f t="shared" si="266"/>
        <v>0</v>
      </c>
      <c r="AY229" s="35" t="s">
        <v>1708</v>
      </c>
      <c r="AZ229" s="35" t="s">
        <v>1732</v>
      </c>
      <c r="BA229" s="29" t="s">
        <v>1737</v>
      </c>
      <c r="BC229" s="34">
        <f t="shared" si="267"/>
        <v>0</v>
      </c>
      <c r="BD229" s="34">
        <f t="shared" si="268"/>
        <v>0</v>
      </c>
      <c r="BE229" s="34">
        <v>0</v>
      </c>
      <c r="BF229" s="34">
        <f>229</f>
        <v>229</v>
      </c>
      <c r="BH229" s="17">
        <f t="shared" si="269"/>
        <v>0</v>
      </c>
      <c r="BI229" s="17">
        <f t="shared" si="270"/>
        <v>0</v>
      </c>
      <c r="BJ229" s="17">
        <f t="shared" si="271"/>
        <v>0</v>
      </c>
    </row>
    <row r="230" spans="1:62" x14ac:dyDescent="0.2">
      <c r="A230" s="4" t="s">
        <v>193</v>
      </c>
      <c r="B230" s="4" t="s">
        <v>757</v>
      </c>
      <c r="C230" s="240" t="s">
        <v>1269</v>
      </c>
      <c r="D230" s="241"/>
      <c r="E230" s="241"/>
      <c r="F230" s="4" t="s">
        <v>1644</v>
      </c>
      <c r="G230" s="69">
        <v>1</v>
      </c>
      <c r="H230" s="168"/>
      <c r="I230" s="17">
        <f t="shared" si="248"/>
        <v>0</v>
      </c>
      <c r="J230" s="17">
        <f t="shared" si="249"/>
        <v>0</v>
      </c>
      <c r="K230" s="17">
        <f t="shared" si="250"/>
        <v>0</v>
      </c>
      <c r="L230" s="28"/>
      <c r="Z230" s="34">
        <f t="shared" si="251"/>
        <v>0</v>
      </c>
      <c r="AB230" s="34">
        <f t="shared" si="252"/>
        <v>0</v>
      </c>
      <c r="AC230" s="34">
        <f t="shared" si="253"/>
        <v>0</v>
      </c>
      <c r="AD230" s="34">
        <f t="shared" si="254"/>
        <v>0</v>
      </c>
      <c r="AE230" s="34">
        <f t="shared" si="255"/>
        <v>0</v>
      </c>
      <c r="AF230" s="34">
        <f t="shared" si="256"/>
        <v>0</v>
      </c>
      <c r="AG230" s="34">
        <f t="shared" si="257"/>
        <v>0</v>
      </c>
      <c r="AH230" s="34">
        <f t="shared" si="258"/>
        <v>0</v>
      </c>
      <c r="AI230" s="29"/>
      <c r="AJ230" s="17">
        <f t="shared" si="259"/>
        <v>0</v>
      </c>
      <c r="AK230" s="17">
        <f t="shared" si="260"/>
        <v>0</v>
      </c>
      <c r="AL230" s="17">
        <f t="shared" si="261"/>
        <v>0</v>
      </c>
      <c r="AN230" s="34">
        <v>15</v>
      </c>
      <c r="AO230" s="34">
        <f t="shared" si="262"/>
        <v>0</v>
      </c>
      <c r="AP230" s="34">
        <f t="shared" si="263"/>
        <v>0</v>
      </c>
      <c r="AQ230" s="28" t="s">
        <v>13</v>
      </c>
      <c r="AV230" s="34">
        <f t="shared" si="264"/>
        <v>0</v>
      </c>
      <c r="AW230" s="34">
        <f t="shared" si="265"/>
        <v>0</v>
      </c>
      <c r="AX230" s="34">
        <f t="shared" si="266"/>
        <v>0</v>
      </c>
      <c r="AY230" s="35" t="s">
        <v>1708</v>
      </c>
      <c r="AZ230" s="35" t="s">
        <v>1732</v>
      </c>
      <c r="BA230" s="29" t="s">
        <v>1737</v>
      </c>
      <c r="BC230" s="34">
        <f t="shared" si="267"/>
        <v>0</v>
      </c>
      <c r="BD230" s="34">
        <f t="shared" si="268"/>
        <v>0</v>
      </c>
      <c r="BE230" s="34">
        <v>0</v>
      </c>
      <c r="BF230" s="34">
        <f>230</f>
        <v>230</v>
      </c>
      <c r="BH230" s="17">
        <f t="shared" si="269"/>
        <v>0</v>
      </c>
      <c r="BI230" s="17">
        <f t="shared" si="270"/>
        <v>0</v>
      </c>
      <c r="BJ230" s="17">
        <f t="shared" si="271"/>
        <v>0</v>
      </c>
    </row>
    <row r="231" spans="1:62" x14ac:dyDescent="0.2">
      <c r="A231" s="4" t="s">
        <v>194</v>
      </c>
      <c r="B231" s="4" t="s">
        <v>758</v>
      </c>
      <c r="C231" s="240" t="s">
        <v>1270</v>
      </c>
      <c r="D231" s="241"/>
      <c r="E231" s="241"/>
      <c r="F231" s="4" t="s">
        <v>1644</v>
      </c>
      <c r="G231" s="69">
        <v>1</v>
      </c>
      <c r="H231" s="168"/>
      <c r="I231" s="17">
        <f t="shared" si="248"/>
        <v>0</v>
      </c>
      <c r="J231" s="17">
        <f t="shared" si="249"/>
        <v>0</v>
      </c>
      <c r="K231" s="17">
        <f t="shared" si="250"/>
        <v>0</v>
      </c>
      <c r="L231" s="28"/>
      <c r="Z231" s="34">
        <f t="shared" si="251"/>
        <v>0</v>
      </c>
      <c r="AB231" s="34">
        <f t="shared" si="252"/>
        <v>0</v>
      </c>
      <c r="AC231" s="34">
        <f t="shared" si="253"/>
        <v>0</v>
      </c>
      <c r="AD231" s="34">
        <f t="shared" si="254"/>
        <v>0</v>
      </c>
      <c r="AE231" s="34">
        <f t="shared" si="255"/>
        <v>0</v>
      </c>
      <c r="AF231" s="34">
        <f t="shared" si="256"/>
        <v>0</v>
      </c>
      <c r="AG231" s="34">
        <f t="shared" si="257"/>
        <v>0</v>
      </c>
      <c r="AH231" s="34">
        <f t="shared" si="258"/>
        <v>0</v>
      </c>
      <c r="AI231" s="29"/>
      <c r="AJ231" s="17">
        <f t="shared" si="259"/>
        <v>0</v>
      </c>
      <c r="AK231" s="17">
        <f t="shared" si="260"/>
        <v>0</v>
      </c>
      <c r="AL231" s="17">
        <f t="shared" si="261"/>
        <v>0</v>
      </c>
      <c r="AN231" s="34">
        <v>15</v>
      </c>
      <c r="AO231" s="34">
        <f t="shared" si="262"/>
        <v>0</v>
      </c>
      <c r="AP231" s="34">
        <f t="shared" si="263"/>
        <v>0</v>
      </c>
      <c r="AQ231" s="28" t="s">
        <v>13</v>
      </c>
      <c r="AV231" s="34">
        <f t="shared" si="264"/>
        <v>0</v>
      </c>
      <c r="AW231" s="34">
        <f t="shared" si="265"/>
        <v>0</v>
      </c>
      <c r="AX231" s="34">
        <f t="shared" si="266"/>
        <v>0</v>
      </c>
      <c r="AY231" s="35" t="s">
        <v>1708</v>
      </c>
      <c r="AZ231" s="35" t="s">
        <v>1732</v>
      </c>
      <c r="BA231" s="29" t="s">
        <v>1737</v>
      </c>
      <c r="BC231" s="34">
        <f t="shared" si="267"/>
        <v>0</v>
      </c>
      <c r="BD231" s="34">
        <f t="shared" si="268"/>
        <v>0</v>
      </c>
      <c r="BE231" s="34">
        <v>0</v>
      </c>
      <c r="BF231" s="34">
        <f>231</f>
        <v>231</v>
      </c>
      <c r="BH231" s="17">
        <f t="shared" si="269"/>
        <v>0</v>
      </c>
      <c r="BI231" s="17">
        <f t="shared" si="270"/>
        <v>0</v>
      </c>
      <c r="BJ231" s="17">
        <f t="shared" si="271"/>
        <v>0</v>
      </c>
    </row>
    <row r="232" spans="1:62" x14ac:dyDescent="0.2">
      <c r="A232" s="4" t="s">
        <v>195</v>
      </c>
      <c r="B232" s="4" t="s">
        <v>759</v>
      </c>
      <c r="C232" s="240" t="s">
        <v>1271</v>
      </c>
      <c r="D232" s="241"/>
      <c r="E232" s="241"/>
      <c r="F232" s="4" t="s">
        <v>1644</v>
      </c>
      <c r="G232" s="69">
        <v>1</v>
      </c>
      <c r="H232" s="168"/>
      <c r="I232" s="17">
        <f t="shared" si="248"/>
        <v>0</v>
      </c>
      <c r="J232" s="17">
        <f t="shared" si="249"/>
        <v>0</v>
      </c>
      <c r="K232" s="17">
        <f t="shared" si="250"/>
        <v>0</v>
      </c>
      <c r="L232" s="28"/>
      <c r="Z232" s="34">
        <f t="shared" si="251"/>
        <v>0</v>
      </c>
      <c r="AB232" s="34">
        <f t="shared" si="252"/>
        <v>0</v>
      </c>
      <c r="AC232" s="34">
        <f t="shared" si="253"/>
        <v>0</v>
      </c>
      <c r="AD232" s="34">
        <f t="shared" si="254"/>
        <v>0</v>
      </c>
      <c r="AE232" s="34">
        <f t="shared" si="255"/>
        <v>0</v>
      </c>
      <c r="AF232" s="34">
        <f t="shared" si="256"/>
        <v>0</v>
      </c>
      <c r="AG232" s="34">
        <f t="shared" si="257"/>
        <v>0</v>
      </c>
      <c r="AH232" s="34">
        <f t="shared" si="258"/>
        <v>0</v>
      </c>
      <c r="AI232" s="29"/>
      <c r="AJ232" s="17">
        <f t="shared" si="259"/>
        <v>0</v>
      </c>
      <c r="AK232" s="17">
        <f t="shared" si="260"/>
        <v>0</v>
      </c>
      <c r="AL232" s="17">
        <f t="shared" si="261"/>
        <v>0</v>
      </c>
      <c r="AN232" s="34">
        <v>15</v>
      </c>
      <c r="AO232" s="34">
        <f t="shared" si="262"/>
        <v>0</v>
      </c>
      <c r="AP232" s="34">
        <f t="shared" si="263"/>
        <v>0</v>
      </c>
      <c r="AQ232" s="28" t="s">
        <v>13</v>
      </c>
      <c r="AV232" s="34">
        <f t="shared" si="264"/>
        <v>0</v>
      </c>
      <c r="AW232" s="34">
        <f t="shared" si="265"/>
        <v>0</v>
      </c>
      <c r="AX232" s="34">
        <f t="shared" si="266"/>
        <v>0</v>
      </c>
      <c r="AY232" s="35" t="s">
        <v>1708</v>
      </c>
      <c r="AZ232" s="35" t="s">
        <v>1732</v>
      </c>
      <c r="BA232" s="29" t="s">
        <v>1737</v>
      </c>
      <c r="BC232" s="34">
        <f t="shared" si="267"/>
        <v>0</v>
      </c>
      <c r="BD232" s="34">
        <f t="shared" si="268"/>
        <v>0</v>
      </c>
      <c r="BE232" s="34">
        <v>0</v>
      </c>
      <c r="BF232" s="34">
        <f>232</f>
        <v>232</v>
      </c>
      <c r="BH232" s="17">
        <f t="shared" si="269"/>
        <v>0</v>
      </c>
      <c r="BI232" s="17">
        <f t="shared" si="270"/>
        <v>0</v>
      </c>
      <c r="BJ232" s="17">
        <f t="shared" si="271"/>
        <v>0</v>
      </c>
    </row>
    <row r="233" spans="1:62" x14ac:dyDescent="0.2">
      <c r="A233" s="4" t="s">
        <v>196</v>
      </c>
      <c r="B233" s="4" t="s">
        <v>760</v>
      </c>
      <c r="C233" s="240" t="s">
        <v>1272</v>
      </c>
      <c r="D233" s="241"/>
      <c r="E233" s="241"/>
      <c r="F233" s="4" t="s">
        <v>1644</v>
      </c>
      <c r="G233" s="69">
        <v>2</v>
      </c>
      <c r="H233" s="168"/>
      <c r="I233" s="17">
        <f t="shared" si="248"/>
        <v>0</v>
      </c>
      <c r="J233" s="17">
        <f t="shared" si="249"/>
        <v>0</v>
      </c>
      <c r="K233" s="17">
        <f t="shared" si="250"/>
        <v>0</v>
      </c>
      <c r="L233" s="28"/>
      <c r="Z233" s="34">
        <f t="shared" si="251"/>
        <v>0</v>
      </c>
      <c r="AB233" s="34">
        <f t="shared" si="252"/>
        <v>0</v>
      </c>
      <c r="AC233" s="34">
        <f t="shared" si="253"/>
        <v>0</v>
      </c>
      <c r="AD233" s="34">
        <f t="shared" si="254"/>
        <v>0</v>
      </c>
      <c r="AE233" s="34">
        <f t="shared" si="255"/>
        <v>0</v>
      </c>
      <c r="AF233" s="34">
        <f t="shared" si="256"/>
        <v>0</v>
      </c>
      <c r="AG233" s="34">
        <f t="shared" si="257"/>
        <v>0</v>
      </c>
      <c r="AH233" s="34">
        <f t="shared" si="258"/>
        <v>0</v>
      </c>
      <c r="AI233" s="29"/>
      <c r="AJ233" s="17">
        <f t="shared" si="259"/>
        <v>0</v>
      </c>
      <c r="AK233" s="17">
        <f t="shared" si="260"/>
        <v>0</v>
      </c>
      <c r="AL233" s="17">
        <f t="shared" si="261"/>
        <v>0</v>
      </c>
      <c r="AN233" s="34">
        <v>15</v>
      </c>
      <c r="AO233" s="34">
        <f t="shared" si="262"/>
        <v>0</v>
      </c>
      <c r="AP233" s="34">
        <f t="shared" si="263"/>
        <v>0</v>
      </c>
      <c r="AQ233" s="28" t="s">
        <v>13</v>
      </c>
      <c r="AV233" s="34">
        <f t="shared" si="264"/>
        <v>0</v>
      </c>
      <c r="AW233" s="34">
        <f t="shared" si="265"/>
        <v>0</v>
      </c>
      <c r="AX233" s="34">
        <f t="shared" si="266"/>
        <v>0</v>
      </c>
      <c r="AY233" s="35" t="s">
        <v>1708</v>
      </c>
      <c r="AZ233" s="35" t="s">
        <v>1732</v>
      </c>
      <c r="BA233" s="29" t="s">
        <v>1737</v>
      </c>
      <c r="BC233" s="34">
        <f t="shared" si="267"/>
        <v>0</v>
      </c>
      <c r="BD233" s="34">
        <f t="shared" si="268"/>
        <v>0</v>
      </c>
      <c r="BE233" s="34">
        <v>0</v>
      </c>
      <c r="BF233" s="34">
        <f>233</f>
        <v>233</v>
      </c>
      <c r="BH233" s="17">
        <f t="shared" si="269"/>
        <v>0</v>
      </c>
      <c r="BI233" s="17">
        <f t="shared" si="270"/>
        <v>0</v>
      </c>
      <c r="BJ233" s="17">
        <f t="shared" si="271"/>
        <v>0</v>
      </c>
    </row>
    <row r="234" spans="1:62" x14ac:dyDescent="0.2">
      <c r="A234" s="4" t="s">
        <v>197</v>
      </c>
      <c r="B234" s="4" t="s">
        <v>761</v>
      </c>
      <c r="C234" s="240" t="s">
        <v>1273</v>
      </c>
      <c r="D234" s="241"/>
      <c r="E234" s="241"/>
      <c r="F234" s="4" t="s">
        <v>1644</v>
      </c>
      <c r="G234" s="69">
        <v>2</v>
      </c>
      <c r="H234" s="168"/>
      <c r="I234" s="17">
        <f t="shared" si="248"/>
        <v>0</v>
      </c>
      <c r="J234" s="17">
        <f t="shared" si="249"/>
        <v>0</v>
      </c>
      <c r="K234" s="17">
        <f t="shared" si="250"/>
        <v>0</v>
      </c>
      <c r="L234" s="28"/>
      <c r="Z234" s="34">
        <f t="shared" si="251"/>
        <v>0</v>
      </c>
      <c r="AB234" s="34">
        <f t="shared" si="252"/>
        <v>0</v>
      </c>
      <c r="AC234" s="34">
        <f t="shared" si="253"/>
        <v>0</v>
      </c>
      <c r="AD234" s="34">
        <f t="shared" si="254"/>
        <v>0</v>
      </c>
      <c r="AE234" s="34">
        <f t="shared" si="255"/>
        <v>0</v>
      </c>
      <c r="AF234" s="34">
        <f t="shared" si="256"/>
        <v>0</v>
      </c>
      <c r="AG234" s="34">
        <f t="shared" si="257"/>
        <v>0</v>
      </c>
      <c r="AH234" s="34">
        <f t="shared" si="258"/>
        <v>0</v>
      </c>
      <c r="AI234" s="29"/>
      <c r="AJ234" s="17">
        <f t="shared" si="259"/>
        <v>0</v>
      </c>
      <c r="AK234" s="17">
        <f t="shared" si="260"/>
        <v>0</v>
      </c>
      <c r="AL234" s="17">
        <f t="shared" si="261"/>
        <v>0</v>
      </c>
      <c r="AN234" s="34">
        <v>15</v>
      </c>
      <c r="AO234" s="34">
        <f t="shared" si="262"/>
        <v>0</v>
      </c>
      <c r="AP234" s="34">
        <f t="shared" si="263"/>
        <v>0</v>
      </c>
      <c r="AQ234" s="28" t="s">
        <v>13</v>
      </c>
      <c r="AV234" s="34">
        <f t="shared" si="264"/>
        <v>0</v>
      </c>
      <c r="AW234" s="34">
        <f t="shared" si="265"/>
        <v>0</v>
      </c>
      <c r="AX234" s="34">
        <f t="shared" si="266"/>
        <v>0</v>
      </c>
      <c r="AY234" s="35" t="s">
        <v>1708</v>
      </c>
      <c r="AZ234" s="35" t="s">
        <v>1732</v>
      </c>
      <c r="BA234" s="29" t="s">
        <v>1737</v>
      </c>
      <c r="BC234" s="34">
        <f t="shared" si="267"/>
        <v>0</v>
      </c>
      <c r="BD234" s="34">
        <f t="shared" si="268"/>
        <v>0</v>
      </c>
      <c r="BE234" s="34">
        <v>0</v>
      </c>
      <c r="BF234" s="34">
        <f>234</f>
        <v>234</v>
      </c>
      <c r="BH234" s="17">
        <f t="shared" si="269"/>
        <v>0</v>
      </c>
      <c r="BI234" s="17">
        <f t="shared" si="270"/>
        <v>0</v>
      </c>
      <c r="BJ234" s="17">
        <f t="shared" si="271"/>
        <v>0</v>
      </c>
    </row>
    <row r="235" spans="1:62" x14ac:dyDescent="0.2">
      <c r="A235" s="4" t="s">
        <v>198</v>
      </c>
      <c r="B235" s="4" t="s">
        <v>762</v>
      </c>
      <c r="C235" s="240" t="s">
        <v>1274</v>
      </c>
      <c r="D235" s="241"/>
      <c r="E235" s="241"/>
      <c r="F235" s="4" t="s">
        <v>1644</v>
      </c>
      <c r="G235" s="69">
        <v>1</v>
      </c>
      <c r="H235" s="168"/>
      <c r="I235" s="17">
        <f t="shared" si="248"/>
        <v>0</v>
      </c>
      <c r="J235" s="17">
        <f t="shared" si="249"/>
        <v>0</v>
      </c>
      <c r="K235" s="17">
        <f t="shared" si="250"/>
        <v>0</v>
      </c>
      <c r="L235" s="28"/>
      <c r="Z235" s="34">
        <f t="shared" si="251"/>
        <v>0</v>
      </c>
      <c r="AB235" s="34">
        <f t="shared" si="252"/>
        <v>0</v>
      </c>
      <c r="AC235" s="34">
        <f t="shared" si="253"/>
        <v>0</v>
      </c>
      <c r="AD235" s="34">
        <f t="shared" si="254"/>
        <v>0</v>
      </c>
      <c r="AE235" s="34">
        <f t="shared" si="255"/>
        <v>0</v>
      </c>
      <c r="AF235" s="34">
        <f t="shared" si="256"/>
        <v>0</v>
      </c>
      <c r="AG235" s="34">
        <f t="shared" si="257"/>
        <v>0</v>
      </c>
      <c r="AH235" s="34">
        <f t="shared" si="258"/>
        <v>0</v>
      </c>
      <c r="AI235" s="29"/>
      <c r="AJ235" s="17">
        <f t="shared" si="259"/>
        <v>0</v>
      </c>
      <c r="AK235" s="17">
        <f t="shared" si="260"/>
        <v>0</v>
      </c>
      <c r="AL235" s="17">
        <f t="shared" si="261"/>
        <v>0</v>
      </c>
      <c r="AN235" s="34">
        <v>15</v>
      </c>
      <c r="AO235" s="34">
        <f t="shared" si="262"/>
        <v>0</v>
      </c>
      <c r="AP235" s="34">
        <f t="shared" si="263"/>
        <v>0</v>
      </c>
      <c r="AQ235" s="28" t="s">
        <v>13</v>
      </c>
      <c r="AV235" s="34">
        <f t="shared" si="264"/>
        <v>0</v>
      </c>
      <c r="AW235" s="34">
        <f t="shared" si="265"/>
        <v>0</v>
      </c>
      <c r="AX235" s="34">
        <f t="shared" si="266"/>
        <v>0</v>
      </c>
      <c r="AY235" s="35" t="s">
        <v>1708</v>
      </c>
      <c r="AZ235" s="35" t="s">
        <v>1732</v>
      </c>
      <c r="BA235" s="29" t="s">
        <v>1737</v>
      </c>
      <c r="BC235" s="34">
        <f t="shared" si="267"/>
        <v>0</v>
      </c>
      <c r="BD235" s="34">
        <f t="shared" si="268"/>
        <v>0</v>
      </c>
      <c r="BE235" s="34">
        <v>0</v>
      </c>
      <c r="BF235" s="34">
        <f>235</f>
        <v>235</v>
      </c>
      <c r="BH235" s="17">
        <f t="shared" si="269"/>
        <v>0</v>
      </c>
      <c r="BI235" s="17">
        <f t="shared" si="270"/>
        <v>0</v>
      </c>
      <c r="BJ235" s="17">
        <f t="shared" si="271"/>
        <v>0</v>
      </c>
    </row>
    <row r="236" spans="1:62" x14ac:dyDescent="0.2">
      <c r="A236" s="4" t="s">
        <v>199</v>
      </c>
      <c r="B236" s="4" t="s">
        <v>763</v>
      </c>
      <c r="C236" s="240" t="s">
        <v>1275</v>
      </c>
      <c r="D236" s="241"/>
      <c r="E236" s="241"/>
      <c r="F236" s="4" t="s">
        <v>1644</v>
      </c>
      <c r="G236" s="69">
        <v>1</v>
      </c>
      <c r="H236" s="168"/>
      <c r="I236" s="17">
        <f t="shared" si="248"/>
        <v>0</v>
      </c>
      <c r="J236" s="17">
        <f t="shared" si="249"/>
        <v>0</v>
      </c>
      <c r="K236" s="17">
        <f t="shared" si="250"/>
        <v>0</v>
      </c>
      <c r="L236" s="28"/>
      <c r="Z236" s="34">
        <f t="shared" si="251"/>
        <v>0</v>
      </c>
      <c r="AB236" s="34">
        <f t="shared" si="252"/>
        <v>0</v>
      </c>
      <c r="AC236" s="34">
        <f t="shared" si="253"/>
        <v>0</v>
      </c>
      <c r="AD236" s="34">
        <f t="shared" si="254"/>
        <v>0</v>
      </c>
      <c r="AE236" s="34">
        <f t="shared" si="255"/>
        <v>0</v>
      </c>
      <c r="AF236" s="34">
        <f t="shared" si="256"/>
        <v>0</v>
      </c>
      <c r="AG236" s="34">
        <f t="shared" si="257"/>
        <v>0</v>
      </c>
      <c r="AH236" s="34">
        <f t="shared" si="258"/>
        <v>0</v>
      </c>
      <c r="AI236" s="29"/>
      <c r="AJ236" s="17">
        <f t="shared" si="259"/>
        <v>0</v>
      </c>
      <c r="AK236" s="17">
        <f t="shared" si="260"/>
        <v>0</v>
      </c>
      <c r="AL236" s="17">
        <f t="shared" si="261"/>
        <v>0</v>
      </c>
      <c r="AN236" s="34">
        <v>15</v>
      </c>
      <c r="AO236" s="34">
        <f t="shared" si="262"/>
        <v>0</v>
      </c>
      <c r="AP236" s="34">
        <f t="shared" si="263"/>
        <v>0</v>
      </c>
      <c r="AQ236" s="28" t="s">
        <v>13</v>
      </c>
      <c r="AV236" s="34">
        <f t="shared" si="264"/>
        <v>0</v>
      </c>
      <c r="AW236" s="34">
        <f t="shared" si="265"/>
        <v>0</v>
      </c>
      <c r="AX236" s="34">
        <f t="shared" si="266"/>
        <v>0</v>
      </c>
      <c r="AY236" s="35" t="s">
        <v>1708</v>
      </c>
      <c r="AZ236" s="35" t="s">
        <v>1732</v>
      </c>
      <c r="BA236" s="29" t="s">
        <v>1737</v>
      </c>
      <c r="BC236" s="34">
        <f t="shared" si="267"/>
        <v>0</v>
      </c>
      <c r="BD236" s="34">
        <f t="shared" si="268"/>
        <v>0</v>
      </c>
      <c r="BE236" s="34">
        <v>0</v>
      </c>
      <c r="BF236" s="34">
        <f>236</f>
        <v>236</v>
      </c>
      <c r="BH236" s="17">
        <f t="shared" si="269"/>
        <v>0</v>
      </c>
      <c r="BI236" s="17">
        <f t="shared" si="270"/>
        <v>0</v>
      </c>
      <c r="BJ236" s="17">
        <f t="shared" si="271"/>
        <v>0</v>
      </c>
    </row>
    <row r="237" spans="1:62" x14ac:dyDescent="0.2">
      <c r="A237" s="4" t="s">
        <v>200</v>
      </c>
      <c r="B237" s="4" t="s">
        <v>764</v>
      </c>
      <c r="C237" s="240" t="s">
        <v>1276</v>
      </c>
      <c r="D237" s="241"/>
      <c r="E237" s="241"/>
      <c r="F237" s="4" t="s">
        <v>1644</v>
      </c>
      <c r="G237" s="69">
        <v>1</v>
      </c>
      <c r="H237" s="168"/>
      <c r="I237" s="17">
        <f t="shared" si="248"/>
        <v>0</v>
      </c>
      <c r="J237" s="17">
        <f t="shared" si="249"/>
        <v>0</v>
      </c>
      <c r="K237" s="17">
        <f t="shared" si="250"/>
        <v>0</v>
      </c>
      <c r="L237" s="28"/>
      <c r="Z237" s="34">
        <f t="shared" si="251"/>
        <v>0</v>
      </c>
      <c r="AB237" s="34">
        <f t="shared" si="252"/>
        <v>0</v>
      </c>
      <c r="AC237" s="34">
        <f t="shared" si="253"/>
        <v>0</v>
      </c>
      <c r="AD237" s="34">
        <f t="shared" si="254"/>
        <v>0</v>
      </c>
      <c r="AE237" s="34">
        <f t="shared" si="255"/>
        <v>0</v>
      </c>
      <c r="AF237" s="34">
        <f t="shared" si="256"/>
        <v>0</v>
      </c>
      <c r="AG237" s="34">
        <f t="shared" si="257"/>
        <v>0</v>
      </c>
      <c r="AH237" s="34">
        <f t="shared" si="258"/>
        <v>0</v>
      </c>
      <c r="AI237" s="29"/>
      <c r="AJ237" s="17">
        <f t="shared" si="259"/>
        <v>0</v>
      </c>
      <c r="AK237" s="17">
        <f t="shared" si="260"/>
        <v>0</v>
      </c>
      <c r="AL237" s="17">
        <f t="shared" si="261"/>
        <v>0</v>
      </c>
      <c r="AN237" s="34">
        <v>15</v>
      </c>
      <c r="AO237" s="34">
        <f t="shared" si="262"/>
        <v>0</v>
      </c>
      <c r="AP237" s="34">
        <f t="shared" si="263"/>
        <v>0</v>
      </c>
      <c r="AQ237" s="28" t="s">
        <v>13</v>
      </c>
      <c r="AV237" s="34">
        <f t="shared" si="264"/>
        <v>0</v>
      </c>
      <c r="AW237" s="34">
        <f t="shared" si="265"/>
        <v>0</v>
      </c>
      <c r="AX237" s="34">
        <f t="shared" si="266"/>
        <v>0</v>
      </c>
      <c r="AY237" s="35" t="s">
        <v>1708</v>
      </c>
      <c r="AZ237" s="35" t="s">
        <v>1732</v>
      </c>
      <c r="BA237" s="29" t="s">
        <v>1737</v>
      </c>
      <c r="BC237" s="34">
        <f t="shared" si="267"/>
        <v>0</v>
      </c>
      <c r="BD237" s="34">
        <f t="shared" si="268"/>
        <v>0</v>
      </c>
      <c r="BE237" s="34">
        <v>0</v>
      </c>
      <c r="BF237" s="34">
        <f>237</f>
        <v>237</v>
      </c>
      <c r="BH237" s="17">
        <f t="shared" si="269"/>
        <v>0</v>
      </c>
      <c r="BI237" s="17">
        <f t="shared" si="270"/>
        <v>0</v>
      </c>
      <c r="BJ237" s="17">
        <f t="shared" si="271"/>
        <v>0</v>
      </c>
    </row>
    <row r="238" spans="1:62" x14ac:dyDescent="0.2">
      <c r="A238" s="4" t="s">
        <v>201</v>
      </c>
      <c r="B238" s="4" t="s">
        <v>765</v>
      </c>
      <c r="C238" s="240" t="s">
        <v>1277</v>
      </c>
      <c r="D238" s="241"/>
      <c r="E238" s="241"/>
      <c r="F238" s="4" t="s">
        <v>1644</v>
      </c>
      <c r="G238" s="69">
        <v>1</v>
      </c>
      <c r="H238" s="168"/>
      <c r="I238" s="17">
        <f t="shared" si="248"/>
        <v>0</v>
      </c>
      <c r="J238" s="17">
        <f t="shared" si="249"/>
        <v>0</v>
      </c>
      <c r="K238" s="17">
        <f t="shared" si="250"/>
        <v>0</v>
      </c>
      <c r="L238" s="28"/>
      <c r="Z238" s="34">
        <f t="shared" si="251"/>
        <v>0</v>
      </c>
      <c r="AB238" s="34">
        <f t="shared" si="252"/>
        <v>0</v>
      </c>
      <c r="AC238" s="34">
        <f t="shared" si="253"/>
        <v>0</v>
      </c>
      <c r="AD238" s="34">
        <f t="shared" si="254"/>
        <v>0</v>
      </c>
      <c r="AE238" s="34">
        <f t="shared" si="255"/>
        <v>0</v>
      </c>
      <c r="AF238" s="34">
        <f t="shared" si="256"/>
        <v>0</v>
      </c>
      <c r="AG238" s="34">
        <f t="shared" si="257"/>
        <v>0</v>
      </c>
      <c r="AH238" s="34">
        <f t="shared" si="258"/>
        <v>0</v>
      </c>
      <c r="AI238" s="29"/>
      <c r="AJ238" s="17">
        <f t="shared" si="259"/>
        <v>0</v>
      </c>
      <c r="AK238" s="17">
        <f t="shared" si="260"/>
        <v>0</v>
      </c>
      <c r="AL238" s="17">
        <f t="shared" si="261"/>
        <v>0</v>
      </c>
      <c r="AN238" s="34">
        <v>15</v>
      </c>
      <c r="AO238" s="34">
        <f t="shared" si="262"/>
        <v>0</v>
      </c>
      <c r="AP238" s="34">
        <f t="shared" si="263"/>
        <v>0</v>
      </c>
      <c r="AQ238" s="28" t="s">
        <v>13</v>
      </c>
      <c r="AV238" s="34">
        <f t="shared" si="264"/>
        <v>0</v>
      </c>
      <c r="AW238" s="34">
        <f t="shared" si="265"/>
        <v>0</v>
      </c>
      <c r="AX238" s="34">
        <f t="shared" si="266"/>
        <v>0</v>
      </c>
      <c r="AY238" s="35" t="s">
        <v>1708</v>
      </c>
      <c r="AZ238" s="35" t="s">
        <v>1732</v>
      </c>
      <c r="BA238" s="29" t="s">
        <v>1737</v>
      </c>
      <c r="BC238" s="34">
        <f t="shared" si="267"/>
        <v>0</v>
      </c>
      <c r="BD238" s="34">
        <f t="shared" si="268"/>
        <v>0</v>
      </c>
      <c r="BE238" s="34">
        <v>0</v>
      </c>
      <c r="BF238" s="34">
        <f>238</f>
        <v>238</v>
      </c>
      <c r="BH238" s="17">
        <f t="shared" si="269"/>
        <v>0</v>
      </c>
      <c r="BI238" s="17">
        <f t="shared" si="270"/>
        <v>0</v>
      </c>
      <c r="BJ238" s="17">
        <f t="shared" si="271"/>
        <v>0</v>
      </c>
    </row>
    <row r="239" spans="1:62" x14ac:dyDescent="0.2">
      <c r="A239" s="4" t="s">
        <v>202</v>
      </c>
      <c r="B239" s="4" t="s">
        <v>766</v>
      </c>
      <c r="C239" s="240" t="s">
        <v>1278</v>
      </c>
      <c r="D239" s="241"/>
      <c r="E239" s="241"/>
      <c r="F239" s="4" t="s">
        <v>1644</v>
      </c>
      <c r="G239" s="69">
        <v>1</v>
      </c>
      <c r="H239" s="168"/>
      <c r="I239" s="17">
        <f t="shared" si="248"/>
        <v>0</v>
      </c>
      <c r="J239" s="17">
        <f t="shared" si="249"/>
        <v>0</v>
      </c>
      <c r="K239" s="17">
        <f t="shared" si="250"/>
        <v>0</v>
      </c>
      <c r="L239" s="28"/>
      <c r="Z239" s="34">
        <f t="shared" si="251"/>
        <v>0</v>
      </c>
      <c r="AB239" s="34">
        <f t="shared" si="252"/>
        <v>0</v>
      </c>
      <c r="AC239" s="34">
        <f t="shared" si="253"/>
        <v>0</v>
      </c>
      <c r="AD239" s="34">
        <f t="shared" si="254"/>
        <v>0</v>
      </c>
      <c r="AE239" s="34">
        <f t="shared" si="255"/>
        <v>0</v>
      </c>
      <c r="AF239" s="34">
        <f t="shared" si="256"/>
        <v>0</v>
      </c>
      <c r="AG239" s="34">
        <f t="shared" si="257"/>
        <v>0</v>
      </c>
      <c r="AH239" s="34">
        <f t="shared" si="258"/>
        <v>0</v>
      </c>
      <c r="AI239" s="29"/>
      <c r="AJ239" s="17">
        <f t="shared" si="259"/>
        <v>0</v>
      </c>
      <c r="AK239" s="17">
        <f t="shared" si="260"/>
        <v>0</v>
      </c>
      <c r="AL239" s="17">
        <f t="shared" si="261"/>
        <v>0</v>
      </c>
      <c r="AN239" s="34">
        <v>15</v>
      </c>
      <c r="AO239" s="34">
        <f t="shared" si="262"/>
        <v>0</v>
      </c>
      <c r="AP239" s="34">
        <f t="shared" si="263"/>
        <v>0</v>
      </c>
      <c r="AQ239" s="28" t="s">
        <v>13</v>
      </c>
      <c r="AV239" s="34">
        <f t="shared" si="264"/>
        <v>0</v>
      </c>
      <c r="AW239" s="34">
        <f t="shared" si="265"/>
        <v>0</v>
      </c>
      <c r="AX239" s="34">
        <f t="shared" si="266"/>
        <v>0</v>
      </c>
      <c r="AY239" s="35" t="s">
        <v>1708</v>
      </c>
      <c r="AZ239" s="35" t="s">
        <v>1732</v>
      </c>
      <c r="BA239" s="29" t="s">
        <v>1737</v>
      </c>
      <c r="BC239" s="34">
        <f t="shared" si="267"/>
        <v>0</v>
      </c>
      <c r="BD239" s="34">
        <f t="shared" si="268"/>
        <v>0</v>
      </c>
      <c r="BE239" s="34">
        <v>0</v>
      </c>
      <c r="BF239" s="34">
        <f>239</f>
        <v>239</v>
      </c>
      <c r="BH239" s="17">
        <f t="shared" si="269"/>
        <v>0</v>
      </c>
      <c r="BI239" s="17">
        <f t="shared" si="270"/>
        <v>0</v>
      </c>
      <c r="BJ239" s="17">
        <f t="shared" si="271"/>
        <v>0</v>
      </c>
    </row>
    <row r="240" spans="1:62" x14ac:dyDescent="0.2">
      <c r="A240" s="4" t="s">
        <v>203</v>
      </c>
      <c r="B240" s="4" t="s">
        <v>767</v>
      </c>
      <c r="C240" s="240" t="s">
        <v>1279</v>
      </c>
      <c r="D240" s="241"/>
      <c r="E240" s="241"/>
      <c r="F240" s="4" t="s">
        <v>1644</v>
      </c>
      <c r="G240" s="69">
        <v>4</v>
      </c>
      <c r="H240" s="168"/>
      <c r="I240" s="17">
        <f t="shared" si="248"/>
        <v>0</v>
      </c>
      <c r="J240" s="17">
        <f t="shared" si="249"/>
        <v>0</v>
      </c>
      <c r="K240" s="17">
        <f t="shared" si="250"/>
        <v>0</v>
      </c>
      <c r="L240" s="28"/>
      <c r="Z240" s="34">
        <f t="shared" si="251"/>
        <v>0</v>
      </c>
      <c r="AB240" s="34">
        <f t="shared" si="252"/>
        <v>0</v>
      </c>
      <c r="AC240" s="34">
        <f t="shared" si="253"/>
        <v>0</v>
      </c>
      <c r="AD240" s="34">
        <f t="shared" si="254"/>
        <v>0</v>
      </c>
      <c r="AE240" s="34">
        <f t="shared" si="255"/>
        <v>0</v>
      </c>
      <c r="AF240" s="34">
        <f t="shared" si="256"/>
        <v>0</v>
      </c>
      <c r="AG240" s="34">
        <f t="shared" si="257"/>
        <v>0</v>
      </c>
      <c r="AH240" s="34">
        <f t="shared" si="258"/>
        <v>0</v>
      </c>
      <c r="AI240" s="29"/>
      <c r="AJ240" s="17">
        <f t="shared" si="259"/>
        <v>0</v>
      </c>
      <c r="AK240" s="17">
        <f t="shared" si="260"/>
        <v>0</v>
      </c>
      <c r="AL240" s="17">
        <f t="shared" si="261"/>
        <v>0</v>
      </c>
      <c r="AN240" s="34">
        <v>15</v>
      </c>
      <c r="AO240" s="34">
        <f t="shared" si="262"/>
        <v>0</v>
      </c>
      <c r="AP240" s="34">
        <f t="shared" si="263"/>
        <v>0</v>
      </c>
      <c r="AQ240" s="28" t="s">
        <v>13</v>
      </c>
      <c r="AV240" s="34">
        <f t="shared" si="264"/>
        <v>0</v>
      </c>
      <c r="AW240" s="34">
        <f t="shared" si="265"/>
        <v>0</v>
      </c>
      <c r="AX240" s="34">
        <f t="shared" si="266"/>
        <v>0</v>
      </c>
      <c r="AY240" s="35" t="s">
        <v>1708</v>
      </c>
      <c r="AZ240" s="35" t="s">
        <v>1732</v>
      </c>
      <c r="BA240" s="29" t="s">
        <v>1737</v>
      </c>
      <c r="BC240" s="34">
        <f t="shared" si="267"/>
        <v>0</v>
      </c>
      <c r="BD240" s="34">
        <f t="shared" si="268"/>
        <v>0</v>
      </c>
      <c r="BE240" s="34">
        <v>0</v>
      </c>
      <c r="BF240" s="34">
        <f>240</f>
        <v>240</v>
      </c>
      <c r="BH240" s="17">
        <f t="shared" si="269"/>
        <v>0</v>
      </c>
      <c r="BI240" s="17">
        <f t="shared" si="270"/>
        <v>0</v>
      </c>
      <c r="BJ240" s="17">
        <f t="shared" si="271"/>
        <v>0</v>
      </c>
    </row>
    <row r="241" spans="1:62" x14ac:dyDescent="0.2">
      <c r="A241" s="4" t="s">
        <v>204</v>
      </c>
      <c r="B241" s="4" t="s">
        <v>768</v>
      </c>
      <c r="C241" s="240" t="s">
        <v>1280</v>
      </c>
      <c r="D241" s="241"/>
      <c r="E241" s="241"/>
      <c r="F241" s="4" t="s">
        <v>1646</v>
      </c>
      <c r="G241" s="69">
        <v>10</v>
      </c>
      <c r="H241" s="168"/>
      <c r="I241" s="17">
        <f t="shared" si="248"/>
        <v>0</v>
      </c>
      <c r="J241" s="17">
        <f t="shared" si="249"/>
        <v>0</v>
      </c>
      <c r="K241" s="17">
        <f t="shared" si="250"/>
        <v>0</v>
      </c>
      <c r="L241" s="28"/>
      <c r="Z241" s="34">
        <f t="shared" si="251"/>
        <v>0</v>
      </c>
      <c r="AB241" s="34">
        <f t="shared" si="252"/>
        <v>0</v>
      </c>
      <c r="AC241" s="34">
        <f t="shared" si="253"/>
        <v>0</v>
      </c>
      <c r="AD241" s="34">
        <f t="shared" si="254"/>
        <v>0</v>
      </c>
      <c r="AE241" s="34">
        <f t="shared" si="255"/>
        <v>0</v>
      </c>
      <c r="AF241" s="34">
        <f t="shared" si="256"/>
        <v>0</v>
      </c>
      <c r="AG241" s="34">
        <f t="shared" si="257"/>
        <v>0</v>
      </c>
      <c r="AH241" s="34">
        <f t="shared" si="258"/>
        <v>0</v>
      </c>
      <c r="AI241" s="29"/>
      <c r="AJ241" s="17">
        <f t="shared" si="259"/>
        <v>0</v>
      </c>
      <c r="AK241" s="17">
        <f t="shared" si="260"/>
        <v>0</v>
      </c>
      <c r="AL241" s="17">
        <f t="shared" si="261"/>
        <v>0</v>
      </c>
      <c r="AN241" s="34">
        <v>15</v>
      </c>
      <c r="AO241" s="34">
        <f t="shared" si="262"/>
        <v>0</v>
      </c>
      <c r="AP241" s="34">
        <f t="shared" si="263"/>
        <v>0</v>
      </c>
      <c r="AQ241" s="28" t="s">
        <v>13</v>
      </c>
      <c r="AV241" s="34">
        <f t="shared" si="264"/>
        <v>0</v>
      </c>
      <c r="AW241" s="34">
        <f t="shared" si="265"/>
        <v>0</v>
      </c>
      <c r="AX241" s="34">
        <f t="shared" si="266"/>
        <v>0</v>
      </c>
      <c r="AY241" s="35" t="s">
        <v>1708</v>
      </c>
      <c r="AZ241" s="35" t="s">
        <v>1732</v>
      </c>
      <c r="BA241" s="29" t="s">
        <v>1737</v>
      </c>
      <c r="BC241" s="34">
        <f t="shared" si="267"/>
        <v>0</v>
      </c>
      <c r="BD241" s="34">
        <f t="shared" si="268"/>
        <v>0</v>
      </c>
      <c r="BE241" s="34">
        <v>0</v>
      </c>
      <c r="BF241" s="34">
        <f>241</f>
        <v>241</v>
      </c>
      <c r="BH241" s="17">
        <f t="shared" si="269"/>
        <v>0</v>
      </c>
      <c r="BI241" s="17">
        <f t="shared" si="270"/>
        <v>0</v>
      </c>
      <c r="BJ241" s="17">
        <f t="shared" si="271"/>
        <v>0</v>
      </c>
    </row>
    <row r="242" spans="1:62" x14ac:dyDescent="0.2">
      <c r="A242" s="4" t="s">
        <v>205</v>
      </c>
      <c r="B242" s="4" t="s">
        <v>769</v>
      </c>
      <c r="C242" s="240" t="s">
        <v>1281</v>
      </c>
      <c r="D242" s="241"/>
      <c r="E242" s="241"/>
      <c r="F242" s="4" t="s">
        <v>1646</v>
      </c>
      <c r="G242" s="69">
        <v>16</v>
      </c>
      <c r="H242" s="168"/>
      <c r="I242" s="17">
        <f t="shared" si="248"/>
        <v>0</v>
      </c>
      <c r="J242" s="17">
        <f t="shared" si="249"/>
        <v>0</v>
      </c>
      <c r="K242" s="17">
        <f t="shared" si="250"/>
        <v>0</v>
      </c>
      <c r="L242" s="28"/>
      <c r="Z242" s="34">
        <f t="shared" si="251"/>
        <v>0</v>
      </c>
      <c r="AB242" s="34">
        <f t="shared" si="252"/>
        <v>0</v>
      </c>
      <c r="AC242" s="34">
        <f t="shared" si="253"/>
        <v>0</v>
      </c>
      <c r="AD242" s="34">
        <f t="shared" si="254"/>
        <v>0</v>
      </c>
      <c r="AE242" s="34">
        <f t="shared" si="255"/>
        <v>0</v>
      </c>
      <c r="AF242" s="34">
        <f t="shared" si="256"/>
        <v>0</v>
      </c>
      <c r="AG242" s="34">
        <f t="shared" si="257"/>
        <v>0</v>
      </c>
      <c r="AH242" s="34">
        <f t="shared" si="258"/>
        <v>0</v>
      </c>
      <c r="AI242" s="29"/>
      <c r="AJ242" s="17">
        <f t="shared" si="259"/>
        <v>0</v>
      </c>
      <c r="AK242" s="17">
        <f t="shared" si="260"/>
        <v>0</v>
      </c>
      <c r="AL242" s="17">
        <f t="shared" si="261"/>
        <v>0</v>
      </c>
      <c r="AN242" s="34">
        <v>15</v>
      </c>
      <c r="AO242" s="34">
        <f t="shared" si="262"/>
        <v>0</v>
      </c>
      <c r="AP242" s="34">
        <f t="shared" si="263"/>
        <v>0</v>
      </c>
      <c r="AQ242" s="28" t="s">
        <v>13</v>
      </c>
      <c r="AV242" s="34">
        <f t="shared" si="264"/>
        <v>0</v>
      </c>
      <c r="AW242" s="34">
        <f t="shared" si="265"/>
        <v>0</v>
      </c>
      <c r="AX242" s="34">
        <f t="shared" si="266"/>
        <v>0</v>
      </c>
      <c r="AY242" s="35" t="s">
        <v>1708</v>
      </c>
      <c r="AZ242" s="35" t="s">
        <v>1732</v>
      </c>
      <c r="BA242" s="29" t="s">
        <v>1737</v>
      </c>
      <c r="BC242" s="34">
        <f t="shared" si="267"/>
        <v>0</v>
      </c>
      <c r="BD242" s="34">
        <f t="shared" si="268"/>
        <v>0</v>
      </c>
      <c r="BE242" s="34">
        <v>0</v>
      </c>
      <c r="BF242" s="34">
        <f>242</f>
        <v>242</v>
      </c>
      <c r="BH242" s="17">
        <f t="shared" si="269"/>
        <v>0</v>
      </c>
      <c r="BI242" s="17">
        <f t="shared" si="270"/>
        <v>0</v>
      </c>
      <c r="BJ242" s="17">
        <f t="shared" si="271"/>
        <v>0</v>
      </c>
    </row>
    <row r="243" spans="1:62" x14ac:dyDescent="0.2">
      <c r="A243" s="4" t="s">
        <v>206</v>
      </c>
      <c r="B243" s="4" t="s">
        <v>770</v>
      </c>
      <c r="C243" s="240" t="s">
        <v>1282</v>
      </c>
      <c r="D243" s="241"/>
      <c r="E243" s="241"/>
      <c r="F243" s="4" t="s">
        <v>1644</v>
      </c>
      <c r="G243" s="69">
        <v>1</v>
      </c>
      <c r="H243" s="168"/>
      <c r="I243" s="17">
        <f t="shared" si="248"/>
        <v>0</v>
      </c>
      <c r="J243" s="17">
        <f t="shared" si="249"/>
        <v>0</v>
      </c>
      <c r="K243" s="17">
        <f t="shared" si="250"/>
        <v>0</v>
      </c>
      <c r="L243" s="28"/>
      <c r="Z243" s="34">
        <f t="shared" si="251"/>
        <v>0</v>
      </c>
      <c r="AB243" s="34">
        <f t="shared" si="252"/>
        <v>0</v>
      </c>
      <c r="AC243" s="34">
        <f t="shared" si="253"/>
        <v>0</v>
      </c>
      <c r="AD243" s="34">
        <f t="shared" si="254"/>
        <v>0</v>
      </c>
      <c r="AE243" s="34">
        <f t="shared" si="255"/>
        <v>0</v>
      </c>
      <c r="AF243" s="34">
        <f t="shared" si="256"/>
        <v>0</v>
      </c>
      <c r="AG243" s="34">
        <f t="shared" si="257"/>
        <v>0</v>
      </c>
      <c r="AH243" s="34">
        <f t="shared" si="258"/>
        <v>0</v>
      </c>
      <c r="AI243" s="29"/>
      <c r="AJ243" s="17">
        <f t="shared" si="259"/>
        <v>0</v>
      </c>
      <c r="AK243" s="17">
        <f t="shared" si="260"/>
        <v>0</v>
      </c>
      <c r="AL243" s="17">
        <f t="shared" si="261"/>
        <v>0</v>
      </c>
      <c r="AN243" s="34">
        <v>15</v>
      </c>
      <c r="AO243" s="34">
        <f t="shared" si="262"/>
        <v>0</v>
      </c>
      <c r="AP243" s="34">
        <f t="shared" si="263"/>
        <v>0</v>
      </c>
      <c r="AQ243" s="28" t="s">
        <v>13</v>
      </c>
      <c r="AV243" s="34">
        <f t="shared" si="264"/>
        <v>0</v>
      </c>
      <c r="AW243" s="34">
        <f t="shared" si="265"/>
        <v>0</v>
      </c>
      <c r="AX243" s="34">
        <f t="shared" si="266"/>
        <v>0</v>
      </c>
      <c r="AY243" s="35" t="s">
        <v>1708</v>
      </c>
      <c r="AZ243" s="35" t="s">
        <v>1732</v>
      </c>
      <c r="BA243" s="29" t="s">
        <v>1737</v>
      </c>
      <c r="BC243" s="34">
        <f t="shared" si="267"/>
        <v>0</v>
      </c>
      <c r="BD243" s="34">
        <f t="shared" si="268"/>
        <v>0</v>
      </c>
      <c r="BE243" s="34">
        <v>0</v>
      </c>
      <c r="BF243" s="34">
        <f>243</f>
        <v>243</v>
      </c>
      <c r="BH243" s="17">
        <f t="shared" si="269"/>
        <v>0</v>
      </c>
      <c r="BI243" s="17">
        <f t="shared" si="270"/>
        <v>0</v>
      </c>
      <c r="BJ243" s="17">
        <f t="shared" si="271"/>
        <v>0</v>
      </c>
    </row>
    <row r="244" spans="1:62" x14ac:dyDescent="0.2">
      <c r="A244" s="5"/>
      <c r="B244" s="13" t="s">
        <v>771</v>
      </c>
      <c r="C244" s="244" t="s">
        <v>1283</v>
      </c>
      <c r="D244" s="245"/>
      <c r="E244" s="245"/>
      <c r="F244" s="5" t="s">
        <v>6</v>
      </c>
      <c r="G244" s="5" t="s">
        <v>6</v>
      </c>
      <c r="H244" s="5" t="s">
        <v>6</v>
      </c>
      <c r="I244" s="37">
        <f>SUM(I245:I320)</f>
        <v>0</v>
      </c>
      <c r="J244" s="37">
        <f>SUM(J245:J320)</f>
        <v>0</v>
      </c>
      <c r="K244" s="37">
        <f>SUM(K245:K320)</f>
        <v>0</v>
      </c>
      <c r="L244" s="29"/>
      <c r="AI244" s="29"/>
      <c r="AS244" s="37">
        <f>SUM(AJ245:AJ320)</f>
        <v>0</v>
      </c>
      <c r="AT244" s="37">
        <f>SUM(AK245:AK320)</f>
        <v>0</v>
      </c>
      <c r="AU244" s="37">
        <f>SUM(AL245:AL320)</f>
        <v>0</v>
      </c>
    </row>
    <row r="245" spans="1:62" x14ac:dyDescent="0.2">
      <c r="A245" s="4" t="s">
        <v>207</v>
      </c>
      <c r="B245" s="4" t="s">
        <v>7</v>
      </c>
      <c r="C245" s="240" t="s">
        <v>1284</v>
      </c>
      <c r="D245" s="241"/>
      <c r="E245" s="241"/>
      <c r="F245" s="4" t="s">
        <v>1644</v>
      </c>
      <c r="G245" s="69">
        <v>1</v>
      </c>
      <c r="H245" s="168"/>
      <c r="I245" s="17">
        <f t="shared" ref="I245:I276" si="272">G245*AO245</f>
        <v>0</v>
      </c>
      <c r="J245" s="17">
        <f t="shared" ref="J245:J276" si="273">G245*AP245</f>
        <v>0</v>
      </c>
      <c r="K245" s="17">
        <f t="shared" ref="K245:K276" si="274">G245*H245</f>
        <v>0</v>
      </c>
      <c r="L245" s="28"/>
      <c r="Z245" s="34">
        <f t="shared" ref="Z245:Z276" si="275">IF(AQ245="5",BJ245,0)</f>
        <v>0</v>
      </c>
      <c r="AB245" s="34">
        <f t="shared" ref="AB245:AB276" si="276">IF(AQ245="1",BH245,0)</f>
        <v>0</v>
      </c>
      <c r="AC245" s="34">
        <f t="shared" ref="AC245:AC276" si="277">IF(AQ245="1",BI245,0)</f>
        <v>0</v>
      </c>
      <c r="AD245" s="34">
        <f t="shared" ref="AD245:AD276" si="278">IF(AQ245="7",BH245,0)</f>
        <v>0</v>
      </c>
      <c r="AE245" s="34">
        <f t="shared" ref="AE245:AE276" si="279">IF(AQ245="7",BI245,0)</f>
        <v>0</v>
      </c>
      <c r="AF245" s="34">
        <f t="shared" ref="AF245:AF276" si="280">IF(AQ245="2",BH245,0)</f>
        <v>0</v>
      </c>
      <c r="AG245" s="34">
        <f t="shared" ref="AG245:AG276" si="281">IF(AQ245="2",BI245,0)</f>
        <v>0</v>
      </c>
      <c r="AH245" s="34">
        <f t="shared" ref="AH245:AH276" si="282">IF(AQ245="0",BJ245,0)</f>
        <v>0</v>
      </c>
      <c r="AI245" s="29"/>
      <c r="AJ245" s="17">
        <f t="shared" ref="AJ245:AJ276" si="283">IF(AN245=0,K245,0)</f>
        <v>0</v>
      </c>
      <c r="AK245" s="17">
        <f t="shared" ref="AK245:AK276" si="284">IF(AN245=15,K245,0)</f>
        <v>0</v>
      </c>
      <c r="AL245" s="17">
        <f t="shared" ref="AL245:AL276" si="285">IF(AN245=21,K245,0)</f>
        <v>0</v>
      </c>
      <c r="AN245" s="34">
        <v>15</v>
      </c>
      <c r="AO245" s="34">
        <f t="shared" ref="AO245:AO276" si="286">H245*0</f>
        <v>0</v>
      </c>
      <c r="AP245" s="34">
        <f t="shared" ref="AP245:AP276" si="287">H245*(1-0)</f>
        <v>0</v>
      </c>
      <c r="AQ245" s="28" t="s">
        <v>13</v>
      </c>
      <c r="AV245" s="34">
        <f t="shared" ref="AV245:AV276" si="288">AW245+AX245</f>
        <v>0</v>
      </c>
      <c r="AW245" s="34">
        <f t="shared" ref="AW245:AW276" si="289">G245*AO245</f>
        <v>0</v>
      </c>
      <c r="AX245" s="34">
        <f t="shared" ref="AX245:AX276" si="290">G245*AP245</f>
        <v>0</v>
      </c>
      <c r="AY245" s="35" t="s">
        <v>1709</v>
      </c>
      <c r="AZ245" s="35" t="s">
        <v>1733</v>
      </c>
      <c r="BA245" s="29" t="s">
        <v>1737</v>
      </c>
      <c r="BC245" s="34">
        <f t="shared" ref="BC245:BC276" si="291">AW245+AX245</f>
        <v>0</v>
      </c>
      <c r="BD245" s="34">
        <f t="shared" ref="BD245:BD276" si="292">H245/(100-BE245)*100</f>
        <v>0</v>
      </c>
      <c r="BE245" s="34">
        <v>0</v>
      </c>
      <c r="BF245" s="34">
        <f>245</f>
        <v>245</v>
      </c>
      <c r="BH245" s="17">
        <f t="shared" ref="BH245:BH276" si="293">G245*AO245</f>
        <v>0</v>
      </c>
      <c r="BI245" s="17">
        <f t="shared" ref="BI245:BI276" si="294">G245*AP245</f>
        <v>0</v>
      </c>
      <c r="BJ245" s="17">
        <f t="shared" ref="BJ245:BJ276" si="295">G245*H245</f>
        <v>0</v>
      </c>
    </row>
    <row r="246" spans="1:62" x14ac:dyDescent="0.2">
      <c r="A246" s="4" t="s">
        <v>208</v>
      </c>
      <c r="B246" s="4" t="s">
        <v>8</v>
      </c>
      <c r="C246" s="240" t="s">
        <v>1285</v>
      </c>
      <c r="D246" s="241"/>
      <c r="E246" s="241"/>
      <c r="F246" s="4" t="s">
        <v>1644</v>
      </c>
      <c r="G246" s="69">
        <v>1</v>
      </c>
      <c r="H246" s="168"/>
      <c r="I246" s="17">
        <f t="shared" si="272"/>
        <v>0</v>
      </c>
      <c r="J246" s="17">
        <f t="shared" si="273"/>
        <v>0</v>
      </c>
      <c r="K246" s="17">
        <f t="shared" si="274"/>
        <v>0</v>
      </c>
      <c r="L246" s="28"/>
      <c r="Z246" s="34">
        <f t="shared" si="275"/>
        <v>0</v>
      </c>
      <c r="AB246" s="34">
        <f t="shared" si="276"/>
        <v>0</v>
      </c>
      <c r="AC246" s="34">
        <f t="shared" si="277"/>
        <v>0</v>
      </c>
      <c r="AD246" s="34">
        <f t="shared" si="278"/>
        <v>0</v>
      </c>
      <c r="AE246" s="34">
        <f t="shared" si="279"/>
        <v>0</v>
      </c>
      <c r="AF246" s="34">
        <f t="shared" si="280"/>
        <v>0</v>
      </c>
      <c r="AG246" s="34">
        <f t="shared" si="281"/>
        <v>0</v>
      </c>
      <c r="AH246" s="34">
        <f t="shared" si="282"/>
        <v>0</v>
      </c>
      <c r="AI246" s="29"/>
      <c r="AJ246" s="17">
        <f t="shared" si="283"/>
        <v>0</v>
      </c>
      <c r="AK246" s="17">
        <f t="shared" si="284"/>
        <v>0</v>
      </c>
      <c r="AL246" s="17">
        <f t="shared" si="285"/>
        <v>0</v>
      </c>
      <c r="AN246" s="34">
        <v>15</v>
      </c>
      <c r="AO246" s="34">
        <f t="shared" si="286"/>
        <v>0</v>
      </c>
      <c r="AP246" s="34">
        <f t="shared" si="287"/>
        <v>0</v>
      </c>
      <c r="AQ246" s="28" t="s">
        <v>13</v>
      </c>
      <c r="AV246" s="34">
        <f t="shared" si="288"/>
        <v>0</v>
      </c>
      <c r="AW246" s="34">
        <f t="shared" si="289"/>
        <v>0</v>
      </c>
      <c r="AX246" s="34">
        <f t="shared" si="290"/>
        <v>0</v>
      </c>
      <c r="AY246" s="35" t="s">
        <v>1709</v>
      </c>
      <c r="AZ246" s="35" t="s">
        <v>1733</v>
      </c>
      <c r="BA246" s="29" t="s">
        <v>1737</v>
      </c>
      <c r="BC246" s="34">
        <f t="shared" si="291"/>
        <v>0</v>
      </c>
      <c r="BD246" s="34">
        <f t="shared" si="292"/>
        <v>0</v>
      </c>
      <c r="BE246" s="34">
        <v>0</v>
      </c>
      <c r="BF246" s="34">
        <f>246</f>
        <v>246</v>
      </c>
      <c r="BH246" s="17">
        <f t="shared" si="293"/>
        <v>0</v>
      </c>
      <c r="BI246" s="17">
        <f t="shared" si="294"/>
        <v>0</v>
      </c>
      <c r="BJ246" s="17">
        <f t="shared" si="295"/>
        <v>0</v>
      </c>
    </row>
    <row r="247" spans="1:62" x14ac:dyDescent="0.2">
      <c r="A247" s="4" t="s">
        <v>209</v>
      </c>
      <c r="B247" s="4" t="s">
        <v>9</v>
      </c>
      <c r="C247" s="240" t="s">
        <v>1286</v>
      </c>
      <c r="D247" s="241"/>
      <c r="E247" s="241"/>
      <c r="F247" s="4" t="s">
        <v>1644</v>
      </c>
      <c r="G247" s="69">
        <v>2</v>
      </c>
      <c r="H247" s="168"/>
      <c r="I247" s="17">
        <f t="shared" si="272"/>
        <v>0</v>
      </c>
      <c r="J247" s="17">
        <f t="shared" si="273"/>
        <v>0</v>
      </c>
      <c r="K247" s="17">
        <f t="shared" si="274"/>
        <v>0</v>
      </c>
      <c r="L247" s="28"/>
      <c r="Z247" s="34">
        <f t="shared" si="275"/>
        <v>0</v>
      </c>
      <c r="AB247" s="34">
        <f t="shared" si="276"/>
        <v>0</v>
      </c>
      <c r="AC247" s="34">
        <f t="shared" si="277"/>
        <v>0</v>
      </c>
      <c r="AD247" s="34">
        <f t="shared" si="278"/>
        <v>0</v>
      </c>
      <c r="AE247" s="34">
        <f t="shared" si="279"/>
        <v>0</v>
      </c>
      <c r="AF247" s="34">
        <f t="shared" si="280"/>
        <v>0</v>
      </c>
      <c r="AG247" s="34">
        <f t="shared" si="281"/>
        <v>0</v>
      </c>
      <c r="AH247" s="34">
        <f t="shared" si="282"/>
        <v>0</v>
      </c>
      <c r="AI247" s="29"/>
      <c r="AJ247" s="17">
        <f t="shared" si="283"/>
        <v>0</v>
      </c>
      <c r="AK247" s="17">
        <f t="shared" si="284"/>
        <v>0</v>
      </c>
      <c r="AL247" s="17">
        <f t="shared" si="285"/>
        <v>0</v>
      </c>
      <c r="AN247" s="34">
        <v>15</v>
      </c>
      <c r="AO247" s="34">
        <f t="shared" si="286"/>
        <v>0</v>
      </c>
      <c r="AP247" s="34">
        <f t="shared" si="287"/>
        <v>0</v>
      </c>
      <c r="AQ247" s="28" t="s">
        <v>13</v>
      </c>
      <c r="AV247" s="34">
        <f t="shared" si="288"/>
        <v>0</v>
      </c>
      <c r="AW247" s="34">
        <f t="shared" si="289"/>
        <v>0</v>
      </c>
      <c r="AX247" s="34">
        <f t="shared" si="290"/>
        <v>0</v>
      </c>
      <c r="AY247" s="35" t="s">
        <v>1709</v>
      </c>
      <c r="AZ247" s="35" t="s">
        <v>1733</v>
      </c>
      <c r="BA247" s="29" t="s">
        <v>1737</v>
      </c>
      <c r="BC247" s="34">
        <f t="shared" si="291"/>
        <v>0</v>
      </c>
      <c r="BD247" s="34">
        <f t="shared" si="292"/>
        <v>0</v>
      </c>
      <c r="BE247" s="34">
        <v>0</v>
      </c>
      <c r="BF247" s="34">
        <f>247</f>
        <v>247</v>
      </c>
      <c r="BH247" s="17">
        <f t="shared" si="293"/>
        <v>0</v>
      </c>
      <c r="BI247" s="17">
        <f t="shared" si="294"/>
        <v>0</v>
      </c>
      <c r="BJ247" s="17">
        <f t="shared" si="295"/>
        <v>0</v>
      </c>
    </row>
    <row r="248" spans="1:62" x14ac:dyDescent="0.2">
      <c r="A248" s="4" t="s">
        <v>210</v>
      </c>
      <c r="B248" s="4" t="s">
        <v>10</v>
      </c>
      <c r="C248" s="240" t="s">
        <v>1287</v>
      </c>
      <c r="D248" s="241"/>
      <c r="E248" s="241"/>
      <c r="F248" s="4" t="s">
        <v>1644</v>
      </c>
      <c r="G248" s="69">
        <v>1</v>
      </c>
      <c r="H248" s="168"/>
      <c r="I248" s="17">
        <f t="shared" si="272"/>
        <v>0</v>
      </c>
      <c r="J248" s="17">
        <f t="shared" si="273"/>
        <v>0</v>
      </c>
      <c r="K248" s="17">
        <f t="shared" si="274"/>
        <v>0</v>
      </c>
      <c r="L248" s="28"/>
      <c r="Z248" s="34">
        <f t="shared" si="275"/>
        <v>0</v>
      </c>
      <c r="AB248" s="34">
        <f t="shared" si="276"/>
        <v>0</v>
      </c>
      <c r="AC248" s="34">
        <f t="shared" si="277"/>
        <v>0</v>
      </c>
      <c r="AD248" s="34">
        <f t="shared" si="278"/>
        <v>0</v>
      </c>
      <c r="AE248" s="34">
        <f t="shared" si="279"/>
        <v>0</v>
      </c>
      <c r="AF248" s="34">
        <f t="shared" si="280"/>
        <v>0</v>
      </c>
      <c r="AG248" s="34">
        <f t="shared" si="281"/>
        <v>0</v>
      </c>
      <c r="AH248" s="34">
        <f t="shared" si="282"/>
        <v>0</v>
      </c>
      <c r="AI248" s="29"/>
      <c r="AJ248" s="17">
        <f t="shared" si="283"/>
        <v>0</v>
      </c>
      <c r="AK248" s="17">
        <f t="shared" si="284"/>
        <v>0</v>
      </c>
      <c r="AL248" s="17">
        <f t="shared" si="285"/>
        <v>0</v>
      </c>
      <c r="AN248" s="34">
        <v>15</v>
      </c>
      <c r="AO248" s="34">
        <f t="shared" si="286"/>
        <v>0</v>
      </c>
      <c r="AP248" s="34">
        <f t="shared" si="287"/>
        <v>0</v>
      </c>
      <c r="AQ248" s="28" t="s">
        <v>13</v>
      </c>
      <c r="AV248" s="34">
        <f t="shared" si="288"/>
        <v>0</v>
      </c>
      <c r="AW248" s="34">
        <f t="shared" si="289"/>
        <v>0</v>
      </c>
      <c r="AX248" s="34">
        <f t="shared" si="290"/>
        <v>0</v>
      </c>
      <c r="AY248" s="35" t="s">
        <v>1709</v>
      </c>
      <c r="AZ248" s="35" t="s">
        <v>1733</v>
      </c>
      <c r="BA248" s="29" t="s">
        <v>1737</v>
      </c>
      <c r="BC248" s="34">
        <f t="shared" si="291"/>
        <v>0</v>
      </c>
      <c r="BD248" s="34">
        <f t="shared" si="292"/>
        <v>0</v>
      </c>
      <c r="BE248" s="34">
        <v>0</v>
      </c>
      <c r="BF248" s="34">
        <f>248</f>
        <v>248</v>
      </c>
      <c r="BH248" s="17">
        <f t="shared" si="293"/>
        <v>0</v>
      </c>
      <c r="BI248" s="17">
        <f t="shared" si="294"/>
        <v>0</v>
      </c>
      <c r="BJ248" s="17">
        <f t="shared" si="295"/>
        <v>0</v>
      </c>
    </row>
    <row r="249" spans="1:62" x14ac:dyDescent="0.2">
      <c r="A249" s="4" t="s">
        <v>211</v>
      </c>
      <c r="B249" s="4" t="s">
        <v>11</v>
      </c>
      <c r="C249" s="240" t="s">
        <v>1288</v>
      </c>
      <c r="D249" s="241"/>
      <c r="E249" s="241"/>
      <c r="F249" s="4" t="s">
        <v>1644</v>
      </c>
      <c r="G249" s="69">
        <v>1</v>
      </c>
      <c r="H249" s="168"/>
      <c r="I249" s="17">
        <f t="shared" si="272"/>
        <v>0</v>
      </c>
      <c r="J249" s="17">
        <f t="shared" si="273"/>
        <v>0</v>
      </c>
      <c r="K249" s="17">
        <f t="shared" si="274"/>
        <v>0</v>
      </c>
      <c r="L249" s="28"/>
      <c r="Z249" s="34">
        <f t="shared" si="275"/>
        <v>0</v>
      </c>
      <c r="AB249" s="34">
        <f t="shared" si="276"/>
        <v>0</v>
      </c>
      <c r="AC249" s="34">
        <f t="shared" si="277"/>
        <v>0</v>
      </c>
      <c r="AD249" s="34">
        <f t="shared" si="278"/>
        <v>0</v>
      </c>
      <c r="AE249" s="34">
        <f t="shared" si="279"/>
        <v>0</v>
      </c>
      <c r="AF249" s="34">
        <f t="shared" si="280"/>
        <v>0</v>
      </c>
      <c r="AG249" s="34">
        <f t="shared" si="281"/>
        <v>0</v>
      </c>
      <c r="AH249" s="34">
        <f t="shared" si="282"/>
        <v>0</v>
      </c>
      <c r="AI249" s="29"/>
      <c r="AJ249" s="17">
        <f t="shared" si="283"/>
        <v>0</v>
      </c>
      <c r="AK249" s="17">
        <f t="shared" si="284"/>
        <v>0</v>
      </c>
      <c r="AL249" s="17">
        <f t="shared" si="285"/>
        <v>0</v>
      </c>
      <c r="AN249" s="34">
        <v>15</v>
      </c>
      <c r="AO249" s="34">
        <f t="shared" si="286"/>
        <v>0</v>
      </c>
      <c r="AP249" s="34">
        <f t="shared" si="287"/>
        <v>0</v>
      </c>
      <c r="AQ249" s="28" t="s">
        <v>13</v>
      </c>
      <c r="AV249" s="34">
        <f t="shared" si="288"/>
        <v>0</v>
      </c>
      <c r="AW249" s="34">
        <f t="shared" si="289"/>
        <v>0</v>
      </c>
      <c r="AX249" s="34">
        <f t="shared" si="290"/>
        <v>0</v>
      </c>
      <c r="AY249" s="35" t="s">
        <v>1709</v>
      </c>
      <c r="AZ249" s="35" t="s">
        <v>1733</v>
      </c>
      <c r="BA249" s="29" t="s">
        <v>1737</v>
      </c>
      <c r="BC249" s="34">
        <f t="shared" si="291"/>
        <v>0</v>
      </c>
      <c r="BD249" s="34">
        <f t="shared" si="292"/>
        <v>0</v>
      </c>
      <c r="BE249" s="34">
        <v>0</v>
      </c>
      <c r="BF249" s="34">
        <f>249</f>
        <v>249</v>
      </c>
      <c r="BH249" s="17">
        <f t="shared" si="293"/>
        <v>0</v>
      </c>
      <c r="BI249" s="17">
        <f t="shared" si="294"/>
        <v>0</v>
      </c>
      <c r="BJ249" s="17">
        <f t="shared" si="295"/>
        <v>0</v>
      </c>
    </row>
    <row r="250" spans="1:62" x14ac:dyDescent="0.2">
      <c r="A250" s="4" t="s">
        <v>212</v>
      </c>
      <c r="B250" s="4" t="s">
        <v>12</v>
      </c>
      <c r="C250" s="240" t="s">
        <v>1289</v>
      </c>
      <c r="D250" s="241"/>
      <c r="E250" s="241"/>
      <c r="F250" s="4" t="s">
        <v>1644</v>
      </c>
      <c r="G250" s="69">
        <v>3</v>
      </c>
      <c r="H250" s="168"/>
      <c r="I250" s="17">
        <f t="shared" si="272"/>
        <v>0</v>
      </c>
      <c r="J250" s="17">
        <f t="shared" si="273"/>
        <v>0</v>
      </c>
      <c r="K250" s="17">
        <f t="shared" si="274"/>
        <v>0</v>
      </c>
      <c r="L250" s="28"/>
      <c r="Z250" s="34">
        <f t="shared" si="275"/>
        <v>0</v>
      </c>
      <c r="AB250" s="34">
        <f t="shared" si="276"/>
        <v>0</v>
      </c>
      <c r="AC250" s="34">
        <f t="shared" si="277"/>
        <v>0</v>
      </c>
      <c r="AD250" s="34">
        <f t="shared" si="278"/>
        <v>0</v>
      </c>
      <c r="AE250" s="34">
        <f t="shared" si="279"/>
        <v>0</v>
      </c>
      <c r="AF250" s="34">
        <f t="shared" si="280"/>
        <v>0</v>
      </c>
      <c r="AG250" s="34">
        <f t="shared" si="281"/>
        <v>0</v>
      </c>
      <c r="AH250" s="34">
        <f t="shared" si="282"/>
        <v>0</v>
      </c>
      <c r="AI250" s="29"/>
      <c r="AJ250" s="17">
        <f t="shared" si="283"/>
        <v>0</v>
      </c>
      <c r="AK250" s="17">
        <f t="shared" si="284"/>
        <v>0</v>
      </c>
      <c r="AL250" s="17">
        <f t="shared" si="285"/>
        <v>0</v>
      </c>
      <c r="AN250" s="34">
        <v>15</v>
      </c>
      <c r="AO250" s="34">
        <f t="shared" si="286"/>
        <v>0</v>
      </c>
      <c r="AP250" s="34">
        <f t="shared" si="287"/>
        <v>0</v>
      </c>
      <c r="AQ250" s="28" t="s">
        <v>13</v>
      </c>
      <c r="AV250" s="34">
        <f t="shared" si="288"/>
        <v>0</v>
      </c>
      <c r="AW250" s="34">
        <f t="shared" si="289"/>
        <v>0</v>
      </c>
      <c r="AX250" s="34">
        <f t="shared" si="290"/>
        <v>0</v>
      </c>
      <c r="AY250" s="35" t="s">
        <v>1709</v>
      </c>
      <c r="AZ250" s="35" t="s">
        <v>1733</v>
      </c>
      <c r="BA250" s="29" t="s">
        <v>1737</v>
      </c>
      <c r="BC250" s="34">
        <f t="shared" si="291"/>
        <v>0</v>
      </c>
      <c r="BD250" s="34">
        <f t="shared" si="292"/>
        <v>0</v>
      </c>
      <c r="BE250" s="34">
        <v>0</v>
      </c>
      <c r="BF250" s="34">
        <f>250</f>
        <v>250</v>
      </c>
      <c r="BH250" s="17">
        <f t="shared" si="293"/>
        <v>0</v>
      </c>
      <c r="BI250" s="17">
        <f t="shared" si="294"/>
        <v>0</v>
      </c>
      <c r="BJ250" s="17">
        <f t="shared" si="295"/>
        <v>0</v>
      </c>
    </row>
    <row r="251" spans="1:62" x14ac:dyDescent="0.2">
      <c r="A251" s="4" t="s">
        <v>213</v>
      </c>
      <c r="B251" s="4" t="s">
        <v>13</v>
      </c>
      <c r="C251" s="240" t="s">
        <v>1290</v>
      </c>
      <c r="D251" s="241"/>
      <c r="E251" s="241"/>
      <c r="F251" s="4" t="s">
        <v>1644</v>
      </c>
      <c r="G251" s="69">
        <v>2</v>
      </c>
      <c r="H251" s="168"/>
      <c r="I251" s="17">
        <f t="shared" si="272"/>
        <v>0</v>
      </c>
      <c r="J251" s="17">
        <f t="shared" si="273"/>
        <v>0</v>
      </c>
      <c r="K251" s="17">
        <f t="shared" si="274"/>
        <v>0</v>
      </c>
      <c r="L251" s="28"/>
      <c r="Z251" s="34">
        <f t="shared" si="275"/>
        <v>0</v>
      </c>
      <c r="AB251" s="34">
        <f t="shared" si="276"/>
        <v>0</v>
      </c>
      <c r="AC251" s="34">
        <f t="shared" si="277"/>
        <v>0</v>
      </c>
      <c r="AD251" s="34">
        <f t="shared" si="278"/>
        <v>0</v>
      </c>
      <c r="AE251" s="34">
        <f t="shared" si="279"/>
        <v>0</v>
      </c>
      <c r="AF251" s="34">
        <f t="shared" si="280"/>
        <v>0</v>
      </c>
      <c r="AG251" s="34">
        <f t="shared" si="281"/>
        <v>0</v>
      </c>
      <c r="AH251" s="34">
        <f t="shared" si="282"/>
        <v>0</v>
      </c>
      <c r="AI251" s="29"/>
      <c r="AJ251" s="17">
        <f t="shared" si="283"/>
        <v>0</v>
      </c>
      <c r="AK251" s="17">
        <f t="shared" si="284"/>
        <v>0</v>
      </c>
      <c r="AL251" s="17">
        <f t="shared" si="285"/>
        <v>0</v>
      </c>
      <c r="AN251" s="34">
        <v>15</v>
      </c>
      <c r="AO251" s="34">
        <f t="shared" si="286"/>
        <v>0</v>
      </c>
      <c r="AP251" s="34">
        <f t="shared" si="287"/>
        <v>0</v>
      </c>
      <c r="AQ251" s="28" t="s">
        <v>13</v>
      </c>
      <c r="AV251" s="34">
        <f t="shared" si="288"/>
        <v>0</v>
      </c>
      <c r="AW251" s="34">
        <f t="shared" si="289"/>
        <v>0</v>
      </c>
      <c r="AX251" s="34">
        <f t="shared" si="290"/>
        <v>0</v>
      </c>
      <c r="AY251" s="35" t="s">
        <v>1709</v>
      </c>
      <c r="AZ251" s="35" t="s">
        <v>1733</v>
      </c>
      <c r="BA251" s="29" t="s">
        <v>1737</v>
      </c>
      <c r="BC251" s="34">
        <f t="shared" si="291"/>
        <v>0</v>
      </c>
      <c r="BD251" s="34">
        <f t="shared" si="292"/>
        <v>0</v>
      </c>
      <c r="BE251" s="34">
        <v>0</v>
      </c>
      <c r="BF251" s="34">
        <f>251</f>
        <v>251</v>
      </c>
      <c r="BH251" s="17">
        <f t="shared" si="293"/>
        <v>0</v>
      </c>
      <c r="BI251" s="17">
        <f t="shared" si="294"/>
        <v>0</v>
      </c>
      <c r="BJ251" s="17">
        <f t="shared" si="295"/>
        <v>0</v>
      </c>
    </row>
    <row r="252" spans="1:62" x14ac:dyDescent="0.2">
      <c r="A252" s="4" t="s">
        <v>214</v>
      </c>
      <c r="B252" s="4" t="s">
        <v>14</v>
      </c>
      <c r="C252" s="240" t="s">
        <v>1291</v>
      </c>
      <c r="D252" s="241"/>
      <c r="E252" s="241"/>
      <c r="F252" s="4" t="s">
        <v>1644</v>
      </c>
      <c r="G252" s="69">
        <v>2</v>
      </c>
      <c r="H252" s="168"/>
      <c r="I252" s="17">
        <f t="shared" si="272"/>
        <v>0</v>
      </c>
      <c r="J252" s="17">
        <f t="shared" si="273"/>
        <v>0</v>
      </c>
      <c r="K252" s="17">
        <f t="shared" si="274"/>
        <v>0</v>
      </c>
      <c r="L252" s="28"/>
      <c r="Z252" s="34">
        <f t="shared" si="275"/>
        <v>0</v>
      </c>
      <c r="AB252" s="34">
        <f t="shared" si="276"/>
        <v>0</v>
      </c>
      <c r="AC252" s="34">
        <f t="shared" si="277"/>
        <v>0</v>
      </c>
      <c r="AD252" s="34">
        <f t="shared" si="278"/>
        <v>0</v>
      </c>
      <c r="AE252" s="34">
        <f t="shared" si="279"/>
        <v>0</v>
      </c>
      <c r="AF252" s="34">
        <f t="shared" si="280"/>
        <v>0</v>
      </c>
      <c r="AG252" s="34">
        <f t="shared" si="281"/>
        <v>0</v>
      </c>
      <c r="AH252" s="34">
        <f t="shared" si="282"/>
        <v>0</v>
      </c>
      <c r="AI252" s="29"/>
      <c r="AJ252" s="17">
        <f t="shared" si="283"/>
        <v>0</v>
      </c>
      <c r="AK252" s="17">
        <f t="shared" si="284"/>
        <v>0</v>
      </c>
      <c r="AL252" s="17">
        <f t="shared" si="285"/>
        <v>0</v>
      </c>
      <c r="AN252" s="34">
        <v>15</v>
      </c>
      <c r="AO252" s="34">
        <f t="shared" si="286"/>
        <v>0</v>
      </c>
      <c r="AP252" s="34">
        <f t="shared" si="287"/>
        <v>0</v>
      </c>
      <c r="AQ252" s="28" t="s">
        <v>13</v>
      </c>
      <c r="AV252" s="34">
        <f t="shared" si="288"/>
        <v>0</v>
      </c>
      <c r="AW252" s="34">
        <f t="shared" si="289"/>
        <v>0</v>
      </c>
      <c r="AX252" s="34">
        <f t="shared" si="290"/>
        <v>0</v>
      </c>
      <c r="AY252" s="35" t="s">
        <v>1709</v>
      </c>
      <c r="AZ252" s="35" t="s">
        <v>1733</v>
      </c>
      <c r="BA252" s="29" t="s">
        <v>1737</v>
      </c>
      <c r="BC252" s="34">
        <f t="shared" si="291"/>
        <v>0</v>
      </c>
      <c r="BD252" s="34">
        <f t="shared" si="292"/>
        <v>0</v>
      </c>
      <c r="BE252" s="34">
        <v>0</v>
      </c>
      <c r="BF252" s="34">
        <f>252</f>
        <v>252</v>
      </c>
      <c r="BH252" s="17">
        <f t="shared" si="293"/>
        <v>0</v>
      </c>
      <c r="BI252" s="17">
        <f t="shared" si="294"/>
        <v>0</v>
      </c>
      <c r="BJ252" s="17">
        <f t="shared" si="295"/>
        <v>0</v>
      </c>
    </row>
    <row r="253" spans="1:62" x14ac:dyDescent="0.2">
      <c r="A253" s="4" t="s">
        <v>215</v>
      </c>
      <c r="B253" s="4" t="s">
        <v>15</v>
      </c>
      <c r="C253" s="240" t="s">
        <v>1292</v>
      </c>
      <c r="D253" s="241"/>
      <c r="E253" s="241"/>
      <c r="F253" s="4" t="s">
        <v>1644</v>
      </c>
      <c r="G253" s="69">
        <v>1</v>
      </c>
      <c r="H253" s="168"/>
      <c r="I253" s="17">
        <f t="shared" si="272"/>
        <v>0</v>
      </c>
      <c r="J253" s="17">
        <f t="shared" si="273"/>
        <v>0</v>
      </c>
      <c r="K253" s="17">
        <f t="shared" si="274"/>
        <v>0</v>
      </c>
      <c r="L253" s="28"/>
      <c r="Z253" s="34">
        <f t="shared" si="275"/>
        <v>0</v>
      </c>
      <c r="AB253" s="34">
        <f t="shared" si="276"/>
        <v>0</v>
      </c>
      <c r="AC253" s="34">
        <f t="shared" si="277"/>
        <v>0</v>
      </c>
      <c r="AD253" s="34">
        <f t="shared" si="278"/>
        <v>0</v>
      </c>
      <c r="AE253" s="34">
        <f t="shared" si="279"/>
        <v>0</v>
      </c>
      <c r="AF253" s="34">
        <f t="shared" si="280"/>
        <v>0</v>
      </c>
      <c r="AG253" s="34">
        <f t="shared" si="281"/>
        <v>0</v>
      </c>
      <c r="AH253" s="34">
        <f t="shared" si="282"/>
        <v>0</v>
      </c>
      <c r="AI253" s="29"/>
      <c r="AJ253" s="17">
        <f t="shared" si="283"/>
        <v>0</v>
      </c>
      <c r="AK253" s="17">
        <f t="shared" si="284"/>
        <v>0</v>
      </c>
      <c r="AL253" s="17">
        <f t="shared" si="285"/>
        <v>0</v>
      </c>
      <c r="AN253" s="34">
        <v>15</v>
      </c>
      <c r="AO253" s="34">
        <f t="shared" si="286"/>
        <v>0</v>
      </c>
      <c r="AP253" s="34">
        <f t="shared" si="287"/>
        <v>0</v>
      </c>
      <c r="AQ253" s="28" t="s">
        <v>13</v>
      </c>
      <c r="AV253" s="34">
        <f t="shared" si="288"/>
        <v>0</v>
      </c>
      <c r="AW253" s="34">
        <f t="shared" si="289"/>
        <v>0</v>
      </c>
      <c r="AX253" s="34">
        <f t="shared" si="290"/>
        <v>0</v>
      </c>
      <c r="AY253" s="35" t="s">
        <v>1709</v>
      </c>
      <c r="AZ253" s="35" t="s">
        <v>1733</v>
      </c>
      <c r="BA253" s="29" t="s">
        <v>1737</v>
      </c>
      <c r="BC253" s="34">
        <f t="shared" si="291"/>
        <v>0</v>
      </c>
      <c r="BD253" s="34">
        <f t="shared" si="292"/>
        <v>0</v>
      </c>
      <c r="BE253" s="34">
        <v>0</v>
      </c>
      <c r="BF253" s="34">
        <f>253</f>
        <v>253</v>
      </c>
      <c r="BH253" s="17">
        <f t="shared" si="293"/>
        <v>0</v>
      </c>
      <c r="BI253" s="17">
        <f t="shared" si="294"/>
        <v>0</v>
      </c>
      <c r="BJ253" s="17">
        <f t="shared" si="295"/>
        <v>0</v>
      </c>
    </row>
    <row r="254" spans="1:62" x14ac:dyDescent="0.2">
      <c r="A254" s="4" t="s">
        <v>216</v>
      </c>
      <c r="B254" s="4" t="s">
        <v>16</v>
      </c>
      <c r="C254" s="240" t="s">
        <v>1293</v>
      </c>
      <c r="D254" s="241"/>
      <c r="E254" s="241"/>
      <c r="F254" s="4" t="s">
        <v>1644</v>
      </c>
      <c r="G254" s="69">
        <v>1</v>
      </c>
      <c r="H254" s="168"/>
      <c r="I254" s="17">
        <f t="shared" si="272"/>
        <v>0</v>
      </c>
      <c r="J254" s="17">
        <f t="shared" si="273"/>
        <v>0</v>
      </c>
      <c r="K254" s="17">
        <f t="shared" si="274"/>
        <v>0</v>
      </c>
      <c r="L254" s="28"/>
      <c r="Z254" s="34">
        <f t="shared" si="275"/>
        <v>0</v>
      </c>
      <c r="AB254" s="34">
        <f t="shared" si="276"/>
        <v>0</v>
      </c>
      <c r="AC254" s="34">
        <f t="shared" si="277"/>
        <v>0</v>
      </c>
      <c r="AD254" s="34">
        <f t="shared" si="278"/>
        <v>0</v>
      </c>
      <c r="AE254" s="34">
        <f t="shared" si="279"/>
        <v>0</v>
      </c>
      <c r="AF254" s="34">
        <f t="shared" si="280"/>
        <v>0</v>
      </c>
      <c r="AG254" s="34">
        <f t="shared" si="281"/>
        <v>0</v>
      </c>
      <c r="AH254" s="34">
        <f t="shared" si="282"/>
        <v>0</v>
      </c>
      <c r="AI254" s="29"/>
      <c r="AJ254" s="17">
        <f t="shared" si="283"/>
        <v>0</v>
      </c>
      <c r="AK254" s="17">
        <f t="shared" si="284"/>
        <v>0</v>
      </c>
      <c r="AL254" s="17">
        <f t="shared" si="285"/>
        <v>0</v>
      </c>
      <c r="AN254" s="34">
        <v>15</v>
      </c>
      <c r="AO254" s="34">
        <f t="shared" si="286"/>
        <v>0</v>
      </c>
      <c r="AP254" s="34">
        <f t="shared" si="287"/>
        <v>0</v>
      </c>
      <c r="AQ254" s="28" t="s">
        <v>13</v>
      </c>
      <c r="AV254" s="34">
        <f t="shared" si="288"/>
        <v>0</v>
      </c>
      <c r="AW254" s="34">
        <f t="shared" si="289"/>
        <v>0</v>
      </c>
      <c r="AX254" s="34">
        <f t="shared" si="290"/>
        <v>0</v>
      </c>
      <c r="AY254" s="35" t="s">
        <v>1709</v>
      </c>
      <c r="AZ254" s="35" t="s">
        <v>1733</v>
      </c>
      <c r="BA254" s="29" t="s">
        <v>1737</v>
      </c>
      <c r="BC254" s="34">
        <f t="shared" si="291"/>
        <v>0</v>
      </c>
      <c r="BD254" s="34">
        <f t="shared" si="292"/>
        <v>0</v>
      </c>
      <c r="BE254" s="34">
        <v>0</v>
      </c>
      <c r="BF254" s="34">
        <f>254</f>
        <v>254</v>
      </c>
      <c r="BH254" s="17">
        <f t="shared" si="293"/>
        <v>0</v>
      </c>
      <c r="BI254" s="17">
        <f t="shared" si="294"/>
        <v>0</v>
      </c>
      <c r="BJ254" s="17">
        <f t="shared" si="295"/>
        <v>0</v>
      </c>
    </row>
    <row r="255" spans="1:62" x14ac:dyDescent="0.2">
      <c r="A255" s="4" t="s">
        <v>217</v>
      </c>
      <c r="B255" s="4" t="s">
        <v>17</v>
      </c>
      <c r="C255" s="240" t="s">
        <v>1294</v>
      </c>
      <c r="D255" s="241"/>
      <c r="E255" s="241"/>
      <c r="F255" s="4" t="s">
        <v>1644</v>
      </c>
      <c r="G255" s="69">
        <v>1</v>
      </c>
      <c r="H255" s="168"/>
      <c r="I255" s="17">
        <f t="shared" si="272"/>
        <v>0</v>
      </c>
      <c r="J255" s="17">
        <f t="shared" si="273"/>
        <v>0</v>
      </c>
      <c r="K255" s="17">
        <f t="shared" si="274"/>
        <v>0</v>
      </c>
      <c r="L255" s="28"/>
      <c r="Z255" s="34">
        <f t="shared" si="275"/>
        <v>0</v>
      </c>
      <c r="AB255" s="34">
        <f t="shared" si="276"/>
        <v>0</v>
      </c>
      <c r="AC255" s="34">
        <f t="shared" si="277"/>
        <v>0</v>
      </c>
      <c r="AD255" s="34">
        <f t="shared" si="278"/>
        <v>0</v>
      </c>
      <c r="AE255" s="34">
        <f t="shared" si="279"/>
        <v>0</v>
      </c>
      <c r="AF255" s="34">
        <f t="shared" si="280"/>
        <v>0</v>
      </c>
      <c r="AG255" s="34">
        <f t="shared" si="281"/>
        <v>0</v>
      </c>
      <c r="AH255" s="34">
        <f t="shared" si="282"/>
        <v>0</v>
      </c>
      <c r="AI255" s="29"/>
      <c r="AJ255" s="17">
        <f t="shared" si="283"/>
        <v>0</v>
      </c>
      <c r="AK255" s="17">
        <f t="shared" si="284"/>
        <v>0</v>
      </c>
      <c r="AL255" s="17">
        <f t="shared" si="285"/>
        <v>0</v>
      </c>
      <c r="AN255" s="34">
        <v>15</v>
      </c>
      <c r="AO255" s="34">
        <f t="shared" si="286"/>
        <v>0</v>
      </c>
      <c r="AP255" s="34">
        <f t="shared" si="287"/>
        <v>0</v>
      </c>
      <c r="AQ255" s="28" t="s">
        <v>13</v>
      </c>
      <c r="AV255" s="34">
        <f t="shared" si="288"/>
        <v>0</v>
      </c>
      <c r="AW255" s="34">
        <f t="shared" si="289"/>
        <v>0</v>
      </c>
      <c r="AX255" s="34">
        <f t="shared" si="290"/>
        <v>0</v>
      </c>
      <c r="AY255" s="35" t="s">
        <v>1709</v>
      </c>
      <c r="AZ255" s="35" t="s">
        <v>1733</v>
      </c>
      <c r="BA255" s="29" t="s">
        <v>1737</v>
      </c>
      <c r="BC255" s="34">
        <f t="shared" si="291"/>
        <v>0</v>
      </c>
      <c r="BD255" s="34">
        <f t="shared" si="292"/>
        <v>0</v>
      </c>
      <c r="BE255" s="34">
        <v>0</v>
      </c>
      <c r="BF255" s="34">
        <f>255</f>
        <v>255</v>
      </c>
      <c r="BH255" s="17">
        <f t="shared" si="293"/>
        <v>0</v>
      </c>
      <c r="BI255" s="17">
        <f t="shared" si="294"/>
        <v>0</v>
      </c>
      <c r="BJ255" s="17">
        <f t="shared" si="295"/>
        <v>0</v>
      </c>
    </row>
    <row r="256" spans="1:62" x14ac:dyDescent="0.2">
      <c r="A256" s="4" t="s">
        <v>218</v>
      </c>
      <c r="B256" s="4" t="s">
        <v>18</v>
      </c>
      <c r="C256" s="240" t="s">
        <v>1295</v>
      </c>
      <c r="D256" s="241"/>
      <c r="E256" s="241"/>
      <c r="F256" s="4" t="s">
        <v>1644</v>
      </c>
      <c r="G256" s="69">
        <v>1</v>
      </c>
      <c r="H256" s="168"/>
      <c r="I256" s="17">
        <f t="shared" si="272"/>
        <v>0</v>
      </c>
      <c r="J256" s="17">
        <f t="shared" si="273"/>
        <v>0</v>
      </c>
      <c r="K256" s="17">
        <f t="shared" si="274"/>
        <v>0</v>
      </c>
      <c r="L256" s="28"/>
      <c r="Z256" s="34">
        <f t="shared" si="275"/>
        <v>0</v>
      </c>
      <c r="AB256" s="34">
        <f t="shared" si="276"/>
        <v>0</v>
      </c>
      <c r="AC256" s="34">
        <f t="shared" si="277"/>
        <v>0</v>
      </c>
      <c r="AD256" s="34">
        <f t="shared" si="278"/>
        <v>0</v>
      </c>
      <c r="AE256" s="34">
        <f t="shared" si="279"/>
        <v>0</v>
      </c>
      <c r="AF256" s="34">
        <f t="shared" si="280"/>
        <v>0</v>
      </c>
      <c r="AG256" s="34">
        <f t="shared" si="281"/>
        <v>0</v>
      </c>
      <c r="AH256" s="34">
        <f t="shared" si="282"/>
        <v>0</v>
      </c>
      <c r="AI256" s="29"/>
      <c r="AJ256" s="17">
        <f t="shared" si="283"/>
        <v>0</v>
      </c>
      <c r="AK256" s="17">
        <f t="shared" si="284"/>
        <v>0</v>
      </c>
      <c r="AL256" s="17">
        <f t="shared" si="285"/>
        <v>0</v>
      </c>
      <c r="AN256" s="34">
        <v>15</v>
      </c>
      <c r="AO256" s="34">
        <f t="shared" si="286"/>
        <v>0</v>
      </c>
      <c r="AP256" s="34">
        <f t="shared" si="287"/>
        <v>0</v>
      </c>
      <c r="AQ256" s="28" t="s">
        <v>13</v>
      </c>
      <c r="AV256" s="34">
        <f t="shared" si="288"/>
        <v>0</v>
      </c>
      <c r="AW256" s="34">
        <f t="shared" si="289"/>
        <v>0</v>
      </c>
      <c r="AX256" s="34">
        <f t="shared" si="290"/>
        <v>0</v>
      </c>
      <c r="AY256" s="35" t="s">
        <v>1709</v>
      </c>
      <c r="AZ256" s="35" t="s">
        <v>1733</v>
      </c>
      <c r="BA256" s="29" t="s">
        <v>1737</v>
      </c>
      <c r="BC256" s="34">
        <f t="shared" si="291"/>
        <v>0</v>
      </c>
      <c r="BD256" s="34">
        <f t="shared" si="292"/>
        <v>0</v>
      </c>
      <c r="BE256" s="34">
        <v>0</v>
      </c>
      <c r="BF256" s="34">
        <f>256</f>
        <v>256</v>
      </c>
      <c r="BH256" s="17">
        <f t="shared" si="293"/>
        <v>0</v>
      </c>
      <c r="BI256" s="17">
        <f t="shared" si="294"/>
        <v>0</v>
      </c>
      <c r="BJ256" s="17">
        <f t="shared" si="295"/>
        <v>0</v>
      </c>
    </row>
    <row r="257" spans="1:62" x14ac:dyDescent="0.2">
      <c r="A257" s="4" t="s">
        <v>219</v>
      </c>
      <c r="B257" s="4" t="s">
        <v>19</v>
      </c>
      <c r="C257" s="240" t="s">
        <v>1296</v>
      </c>
      <c r="D257" s="241"/>
      <c r="E257" s="241"/>
      <c r="F257" s="4" t="s">
        <v>1644</v>
      </c>
      <c r="G257" s="69">
        <v>2</v>
      </c>
      <c r="H257" s="168"/>
      <c r="I257" s="17">
        <f t="shared" si="272"/>
        <v>0</v>
      </c>
      <c r="J257" s="17">
        <f t="shared" si="273"/>
        <v>0</v>
      </c>
      <c r="K257" s="17">
        <f t="shared" si="274"/>
        <v>0</v>
      </c>
      <c r="L257" s="28"/>
      <c r="Z257" s="34">
        <f t="shared" si="275"/>
        <v>0</v>
      </c>
      <c r="AB257" s="34">
        <f t="shared" si="276"/>
        <v>0</v>
      </c>
      <c r="AC257" s="34">
        <f t="shared" si="277"/>
        <v>0</v>
      </c>
      <c r="AD257" s="34">
        <f t="shared" si="278"/>
        <v>0</v>
      </c>
      <c r="AE257" s="34">
        <f t="shared" si="279"/>
        <v>0</v>
      </c>
      <c r="AF257" s="34">
        <f t="shared" si="280"/>
        <v>0</v>
      </c>
      <c r="AG257" s="34">
        <f t="shared" si="281"/>
        <v>0</v>
      </c>
      <c r="AH257" s="34">
        <f t="shared" si="282"/>
        <v>0</v>
      </c>
      <c r="AI257" s="29"/>
      <c r="AJ257" s="17">
        <f t="shared" si="283"/>
        <v>0</v>
      </c>
      <c r="AK257" s="17">
        <f t="shared" si="284"/>
        <v>0</v>
      </c>
      <c r="AL257" s="17">
        <f t="shared" si="285"/>
        <v>0</v>
      </c>
      <c r="AN257" s="34">
        <v>15</v>
      </c>
      <c r="AO257" s="34">
        <f t="shared" si="286"/>
        <v>0</v>
      </c>
      <c r="AP257" s="34">
        <f t="shared" si="287"/>
        <v>0</v>
      </c>
      <c r="AQ257" s="28" t="s">
        <v>13</v>
      </c>
      <c r="AV257" s="34">
        <f t="shared" si="288"/>
        <v>0</v>
      </c>
      <c r="AW257" s="34">
        <f t="shared" si="289"/>
        <v>0</v>
      </c>
      <c r="AX257" s="34">
        <f t="shared" si="290"/>
        <v>0</v>
      </c>
      <c r="AY257" s="35" t="s">
        <v>1709</v>
      </c>
      <c r="AZ257" s="35" t="s">
        <v>1733</v>
      </c>
      <c r="BA257" s="29" t="s">
        <v>1737</v>
      </c>
      <c r="BC257" s="34">
        <f t="shared" si="291"/>
        <v>0</v>
      </c>
      <c r="BD257" s="34">
        <f t="shared" si="292"/>
        <v>0</v>
      </c>
      <c r="BE257" s="34">
        <v>0</v>
      </c>
      <c r="BF257" s="34">
        <f>257</f>
        <v>257</v>
      </c>
      <c r="BH257" s="17">
        <f t="shared" si="293"/>
        <v>0</v>
      </c>
      <c r="BI257" s="17">
        <f t="shared" si="294"/>
        <v>0</v>
      </c>
      <c r="BJ257" s="17">
        <f t="shared" si="295"/>
        <v>0</v>
      </c>
    </row>
    <row r="258" spans="1:62" x14ac:dyDescent="0.2">
      <c r="A258" s="4" t="s">
        <v>220</v>
      </c>
      <c r="B258" s="4" t="s">
        <v>20</v>
      </c>
      <c r="C258" s="240" t="s">
        <v>1297</v>
      </c>
      <c r="D258" s="241"/>
      <c r="E258" s="241"/>
      <c r="F258" s="4" t="s">
        <v>1644</v>
      </c>
      <c r="G258" s="69">
        <v>2</v>
      </c>
      <c r="H258" s="168"/>
      <c r="I258" s="17">
        <f t="shared" si="272"/>
        <v>0</v>
      </c>
      <c r="J258" s="17">
        <f t="shared" si="273"/>
        <v>0</v>
      </c>
      <c r="K258" s="17">
        <f t="shared" si="274"/>
        <v>0</v>
      </c>
      <c r="L258" s="28"/>
      <c r="Z258" s="34">
        <f t="shared" si="275"/>
        <v>0</v>
      </c>
      <c r="AB258" s="34">
        <f t="shared" si="276"/>
        <v>0</v>
      </c>
      <c r="AC258" s="34">
        <f t="shared" si="277"/>
        <v>0</v>
      </c>
      <c r="AD258" s="34">
        <f t="shared" si="278"/>
        <v>0</v>
      </c>
      <c r="AE258" s="34">
        <f t="shared" si="279"/>
        <v>0</v>
      </c>
      <c r="AF258" s="34">
        <f t="shared" si="280"/>
        <v>0</v>
      </c>
      <c r="AG258" s="34">
        <f t="shared" si="281"/>
        <v>0</v>
      </c>
      <c r="AH258" s="34">
        <f t="shared" si="282"/>
        <v>0</v>
      </c>
      <c r="AI258" s="29"/>
      <c r="AJ258" s="17">
        <f t="shared" si="283"/>
        <v>0</v>
      </c>
      <c r="AK258" s="17">
        <f t="shared" si="284"/>
        <v>0</v>
      </c>
      <c r="AL258" s="17">
        <f t="shared" si="285"/>
        <v>0</v>
      </c>
      <c r="AN258" s="34">
        <v>15</v>
      </c>
      <c r="AO258" s="34">
        <f t="shared" si="286"/>
        <v>0</v>
      </c>
      <c r="AP258" s="34">
        <f t="shared" si="287"/>
        <v>0</v>
      </c>
      <c r="AQ258" s="28" t="s">
        <v>13</v>
      </c>
      <c r="AV258" s="34">
        <f t="shared" si="288"/>
        <v>0</v>
      </c>
      <c r="AW258" s="34">
        <f t="shared" si="289"/>
        <v>0</v>
      </c>
      <c r="AX258" s="34">
        <f t="shared" si="290"/>
        <v>0</v>
      </c>
      <c r="AY258" s="35" t="s">
        <v>1709</v>
      </c>
      <c r="AZ258" s="35" t="s">
        <v>1733</v>
      </c>
      <c r="BA258" s="29" t="s">
        <v>1737</v>
      </c>
      <c r="BC258" s="34">
        <f t="shared" si="291"/>
        <v>0</v>
      </c>
      <c r="BD258" s="34">
        <f t="shared" si="292"/>
        <v>0</v>
      </c>
      <c r="BE258" s="34">
        <v>0</v>
      </c>
      <c r="BF258" s="34">
        <f>258</f>
        <v>258</v>
      </c>
      <c r="BH258" s="17">
        <f t="shared" si="293"/>
        <v>0</v>
      </c>
      <c r="BI258" s="17">
        <f t="shared" si="294"/>
        <v>0</v>
      </c>
      <c r="BJ258" s="17">
        <f t="shared" si="295"/>
        <v>0</v>
      </c>
    </row>
    <row r="259" spans="1:62" x14ac:dyDescent="0.2">
      <c r="A259" s="4" t="s">
        <v>221</v>
      </c>
      <c r="B259" s="4" t="s">
        <v>21</v>
      </c>
      <c r="C259" s="240" t="s">
        <v>1298</v>
      </c>
      <c r="D259" s="241"/>
      <c r="E259" s="241"/>
      <c r="F259" s="4" t="s">
        <v>1644</v>
      </c>
      <c r="G259" s="69">
        <v>1</v>
      </c>
      <c r="H259" s="168"/>
      <c r="I259" s="17">
        <f t="shared" si="272"/>
        <v>0</v>
      </c>
      <c r="J259" s="17">
        <f t="shared" si="273"/>
        <v>0</v>
      </c>
      <c r="K259" s="17">
        <f t="shared" si="274"/>
        <v>0</v>
      </c>
      <c r="L259" s="28"/>
      <c r="Z259" s="34">
        <f t="shared" si="275"/>
        <v>0</v>
      </c>
      <c r="AB259" s="34">
        <f t="shared" si="276"/>
        <v>0</v>
      </c>
      <c r="AC259" s="34">
        <f t="shared" si="277"/>
        <v>0</v>
      </c>
      <c r="AD259" s="34">
        <f t="shared" si="278"/>
        <v>0</v>
      </c>
      <c r="AE259" s="34">
        <f t="shared" si="279"/>
        <v>0</v>
      </c>
      <c r="AF259" s="34">
        <f t="shared" si="280"/>
        <v>0</v>
      </c>
      <c r="AG259" s="34">
        <f t="shared" si="281"/>
        <v>0</v>
      </c>
      <c r="AH259" s="34">
        <f t="shared" si="282"/>
        <v>0</v>
      </c>
      <c r="AI259" s="29"/>
      <c r="AJ259" s="17">
        <f t="shared" si="283"/>
        <v>0</v>
      </c>
      <c r="AK259" s="17">
        <f t="shared" si="284"/>
        <v>0</v>
      </c>
      <c r="AL259" s="17">
        <f t="shared" si="285"/>
        <v>0</v>
      </c>
      <c r="AN259" s="34">
        <v>15</v>
      </c>
      <c r="AO259" s="34">
        <f t="shared" si="286"/>
        <v>0</v>
      </c>
      <c r="AP259" s="34">
        <f t="shared" si="287"/>
        <v>0</v>
      </c>
      <c r="AQ259" s="28" t="s">
        <v>13</v>
      </c>
      <c r="AV259" s="34">
        <f t="shared" si="288"/>
        <v>0</v>
      </c>
      <c r="AW259" s="34">
        <f t="shared" si="289"/>
        <v>0</v>
      </c>
      <c r="AX259" s="34">
        <f t="shared" si="290"/>
        <v>0</v>
      </c>
      <c r="AY259" s="35" t="s">
        <v>1709</v>
      </c>
      <c r="AZ259" s="35" t="s">
        <v>1733</v>
      </c>
      <c r="BA259" s="29" t="s">
        <v>1737</v>
      </c>
      <c r="BC259" s="34">
        <f t="shared" si="291"/>
        <v>0</v>
      </c>
      <c r="BD259" s="34">
        <f t="shared" si="292"/>
        <v>0</v>
      </c>
      <c r="BE259" s="34">
        <v>0</v>
      </c>
      <c r="BF259" s="34">
        <f>259</f>
        <v>259</v>
      </c>
      <c r="BH259" s="17">
        <f t="shared" si="293"/>
        <v>0</v>
      </c>
      <c r="BI259" s="17">
        <f t="shared" si="294"/>
        <v>0</v>
      </c>
      <c r="BJ259" s="17">
        <f t="shared" si="295"/>
        <v>0</v>
      </c>
    </row>
    <row r="260" spans="1:62" x14ac:dyDescent="0.2">
      <c r="A260" s="4" t="s">
        <v>222</v>
      </c>
      <c r="B260" s="4" t="s">
        <v>22</v>
      </c>
      <c r="C260" s="240" t="s">
        <v>1299</v>
      </c>
      <c r="D260" s="241"/>
      <c r="E260" s="241"/>
      <c r="F260" s="4" t="s">
        <v>1646</v>
      </c>
      <c r="G260" s="69">
        <v>8</v>
      </c>
      <c r="H260" s="168"/>
      <c r="I260" s="17">
        <f t="shared" si="272"/>
        <v>0</v>
      </c>
      <c r="J260" s="17">
        <f t="shared" si="273"/>
        <v>0</v>
      </c>
      <c r="K260" s="17">
        <f t="shared" si="274"/>
        <v>0</v>
      </c>
      <c r="L260" s="28"/>
      <c r="Z260" s="34">
        <f t="shared" si="275"/>
        <v>0</v>
      </c>
      <c r="AB260" s="34">
        <f t="shared" si="276"/>
        <v>0</v>
      </c>
      <c r="AC260" s="34">
        <f t="shared" si="277"/>
        <v>0</v>
      </c>
      <c r="AD260" s="34">
        <f t="shared" si="278"/>
        <v>0</v>
      </c>
      <c r="AE260" s="34">
        <f t="shared" si="279"/>
        <v>0</v>
      </c>
      <c r="AF260" s="34">
        <f t="shared" si="280"/>
        <v>0</v>
      </c>
      <c r="AG260" s="34">
        <f t="shared" si="281"/>
        <v>0</v>
      </c>
      <c r="AH260" s="34">
        <f t="shared" si="282"/>
        <v>0</v>
      </c>
      <c r="AI260" s="29"/>
      <c r="AJ260" s="17">
        <f t="shared" si="283"/>
        <v>0</v>
      </c>
      <c r="AK260" s="17">
        <f t="shared" si="284"/>
        <v>0</v>
      </c>
      <c r="AL260" s="17">
        <f t="shared" si="285"/>
        <v>0</v>
      </c>
      <c r="AN260" s="34">
        <v>15</v>
      </c>
      <c r="AO260" s="34">
        <f t="shared" si="286"/>
        <v>0</v>
      </c>
      <c r="AP260" s="34">
        <f t="shared" si="287"/>
        <v>0</v>
      </c>
      <c r="AQ260" s="28" t="s">
        <v>13</v>
      </c>
      <c r="AV260" s="34">
        <f t="shared" si="288"/>
        <v>0</v>
      </c>
      <c r="AW260" s="34">
        <f t="shared" si="289"/>
        <v>0</v>
      </c>
      <c r="AX260" s="34">
        <f t="shared" si="290"/>
        <v>0</v>
      </c>
      <c r="AY260" s="35" t="s">
        <v>1709</v>
      </c>
      <c r="AZ260" s="35" t="s">
        <v>1733</v>
      </c>
      <c r="BA260" s="29" t="s">
        <v>1737</v>
      </c>
      <c r="BC260" s="34">
        <f t="shared" si="291"/>
        <v>0</v>
      </c>
      <c r="BD260" s="34">
        <f t="shared" si="292"/>
        <v>0</v>
      </c>
      <c r="BE260" s="34">
        <v>0</v>
      </c>
      <c r="BF260" s="34">
        <f>260</f>
        <v>260</v>
      </c>
      <c r="BH260" s="17">
        <f t="shared" si="293"/>
        <v>0</v>
      </c>
      <c r="BI260" s="17">
        <f t="shared" si="294"/>
        <v>0</v>
      </c>
      <c r="BJ260" s="17">
        <f t="shared" si="295"/>
        <v>0</v>
      </c>
    </row>
    <row r="261" spans="1:62" x14ac:dyDescent="0.2">
      <c r="A261" s="4" t="s">
        <v>223</v>
      </c>
      <c r="B261" s="4" t="s">
        <v>23</v>
      </c>
      <c r="C261" s="240" t="s">
        <v>1300</v>
      </c>
      <c r="D261" s="241"/>
      <c r="E261" s="241"/>
      <c r="F261" s="4" t="s">
        <v>1646</v>
      </c>
      <c r="G261" s="69">
        <v>15</v>
      </c>
      <c r="H261" s="168"/>
      <c r="I261" s="17">
        <f t="shared" si="272"/>
        <v>0</v>
      </c>
      <c r="J261" s="17">
        <f t="shared" si="273"/>
        <v>0</v>
      </c>
      <c r="K261" s="17">
        <f t="shared" si="274"/>
        <v>0</v>
      </c>
      <c r="L261" s="28"/>
      <c r="Z261" s="34">
        <f t="shared" si="275"/>
        <v>0</v>
      </c>
      <c r="AB261" s="34">
        <f t="shared" si="276"/>
        <v>0</v>
      </c>
      <c r="AC261" s="34">
        <f t="shared" si="277"/>
        <v>0</v>
      </c>
      <c r="AD261" s="34">
        <f t="shared" si="278"/>
        <v>0</v>
      </c>
      <c r="AE261" s="34">
        <f t="shared" si="279"/>
        <v>0</v>
      </c>
      <c r="AF261" s="34">
        <f t="shared" si="280"/>
        <v>0</v>
      </c>
      <c r="AG261" s="34">
        <f t="shared" si="281"/>
        <v>0</v>
      </c>
      <c r="AH261" s="34">
        <f t="shared" si="282"/>
        <v>0</v>
      </c>
      <c r="AI261" s="29"/>
      <c r="AJ261" s="17">
        <f t="shared" si="283"/>
        <v>0</v>
      </c>
      <c r="AK261" s="17">
        <f t="shared" si="284"/>
        <v>0</v>
      </c>
      <c r="AL261" s="17">
        <f t="shared" si="285"/>
        <v>0</v>
      </c>
      <c r="AN261" s="34">
        <v>15</v>
      </c>
      <c r="AO261" s="34">
        <f t="shared" si="286"/>
        <v>0</v>
      </c>
      <c r="AP261" s="34">
        <f t="shared" si="287"/>
        <v>0</v>
      </c>
      <c r="AQ261" s="28" t="s">
        <v>13</v>
      </c>
      <c r="AV261" s="34">
        <f t="shared" si="288"/>
        <v>0</v>
      </c>
      <c r="AW261" s="34">
        <f t="shared" si="289"/>
        <v>0</v>
      </c>
      <c r="AX261" s="34">
        <f t="shared" si="290"/>
        <v>0</v>
      </c>
      <c r="AY261" s="35" t="s">
        <v>1709</v>
      </c>
      <c r="AZ261" s="35" t="s">
        <v>1733</v>
      </c>
      <c r="BA261" s="29" t="s">
        <v>1737</v>
      </c>
      <c r="BC261" s="34">
        <f t="shared" si="291"/>
        <v>0</v>
      </c>
      <c r="BD261" s="34">
        <f t="shared" si="292"/>
        <v>0</v>
      </c>
      <c r="BE261" s="34">
        <v>0</v>
      </c>
      <c r="BF261" s="34">
        <f>261</f>
        <v>261</v>
      </c>
      <c r="BH261" s="17">
        <f t="shared" si="293"/>
        <v>0</v>
      </c>
      <c r="BI261" s="17">
        <f t="shared" si="294"/>
        <v>0</v>
      </c>
      <c r="BJ261" s="17">
        <f t="shared" si="295"/>
        <v>0</v>
      </c>
    </row>
    <row r="262" spans="1:62" x14ac:dyDescent="0.2">
      <c r="A262" s="4" t="s">
        <v>224</v>
      </c>
      <c r="B262" s="4" t="s">
        <v>24</v>
      </c>
      <c r="C262" s="240" t="s">
        <v>1301</v>
      </c>
      <c r="D262" s="241"/>
      <c r="E262" s="241"/>
      <c r="F262" s="4" t="s">
        <v>1646</v>
      </c>
      <c r="G262" s="69">
        <v>8</v>
      </c>
      <c r="H262" s="168"/>
      <c r="I262" s="17">
        <f t="shared" si="272"/>
        <v>0</v>
      </c>
      <c r="J262" s="17">
        <f t="shared" si="273"/>
        <v>0</v>
      </c>
      <c r="K262" s="17">
        <f t="shared" si="274"/>
        <v>0</v>
      </c>
      <c r="L262" s="28"/>
      <c r="Z262" s="34">
        <f t="shared" si="275"/>
        <v>0</v>
      </c>
      <c r="AB262" s="34">
        <f t="shared" si="276"/>
        <v>0</v>
      </c>
      <c r="AC262" s="34">
        <f t="shared" si="277"/>
        <v>0</v>
      </c>
      <c r="AD262" s="34">
        <f t="shared" si="278"/>
        <v>0</v>
      </c>
      <c r="AE262" s="34">
        <f t="shared" si="279"/>
        <v>0</v>
      </c>
      <c r="AF262" s="34">
        <f t="shared" si="280"/>
        <v>0</v>
      </c>
      <c r="AG262" s="34">
        <f t="shared" si="281"/>
        <v>0</v>
      </c>
      <c r="AH262" s="34">
        <f t="shared" si="282"/>
        <v>0</v>
      </c>
      <c r="AI262" s="29"/>
      <c r="AJ262" s="17">
        <f t="shared" si="283"/>
        <v>0</v>
      </c>
      <c r="AK262" s="17">
        <f t="shared" si="284"/>
        <v>0</v>
      </c>
      <c r="AL262" s="17">
        <f t="shared" si="285"/>
        <v>0</v>
      </c>
      <c r="AN262" s="34">
        <v>15</v>
      </c>
      <c r="AO262" s="34">
        <f t="shared" si="286"/>
        <v>0</v>
      </c>
      <c r="AP262" s="34">
        <f t="shared" si="287"/>
        <v>0</v>
      </c>
      <c r="AQ262" s="28" t="s">
        <v>13</v>
      </c>
      <c r="AV262" s="34">
        <f t="shared" si="288"/>
        <v>0</v>
      </c>
      <c r="AW262" s="34">
        <f t="shared" si="289"/>
        <v>0</v>
      </c>
      <c r="AX262" s="34">
        <f t="shared" si="290"/>
        <v>0</v>
      </c>
      <c r="AY262" s="35" t="s">
        <v>1709</v>
      </c>
      <c r="AZ262" s="35" t="s">
        <v>1733</v>
      </c>
      <c r="BA262" s="29" t="s">
        <v>1737</v>
      </c>
      <c r="BC262" s="34">
        <f t="shared" si="291"/>
        <v>0</v>
      </c>
      <c r="BD262" s="34">
        <f t="shared" si="292"/>
        <v>0</v>
      </c>
      <c r="BE262" s="34">
        <v>0</v>
      </c>
      <c r="BF262" s="34">
        <f>262</f>
        <v>262</v>
      </c>
      <c r="BH262" s="17">
        <f t="shared" si="293"/>
        <v>0</v>
      </c>
      <c r="BI262" s="17">
        <f t="shared" si="294"/>
        <v>0</v>
      </c>
      <c r="BJ262" s="17">
        <f t="shared" si="295"/>
        <v>0</v>
      </c>
    </row>
    <row r="263" spans="1:62" x14ac:dyDescent="0.2">
      <c r="A263" s="4" t="s">
        <v>225</v>
      </c>
      <c r="B263" s="4" t="s">
        <v>25</v>
      </c>
      <c r="C263" s="240" t="s">
        <v>1302</v>
      </c>
      <c r="D263" s="241"/>
      <c r="E263" s="241"/>
      <c r="F263" s="4" t="s">
        <v>1644</v>
      </c>
      <c r="G263" s="69">
        <v>1</v>
      </c>
      <c r="H263" s="168"/>
      <c r="I263" s="17">
        <f t="shared" si="272"/>
        <v>0</v>
      </c>
      <c r="J263" s="17">
        <f t="shared" si="273"/>
        <v>0</v>
      </c>
      <c r="K263" s="17">
        <f t="shared" si="274"/>
        <v>0</v>
      </c>
      <c r="L263" s="28"/>
      <c r="Z263" s="34">
        <f t="shared" si="275"/>
        <v>0</v>
      </c>
      <c r="AB263" s="34">
        <f t="shared" si="276"/>
        <v>0</v>
      </c>
      <c r="AC263" s="34">
        <f t="shared" si="277"/>
        <v>0</v>
      </c>
      <c r="AD263" s="34">
        <f t="shared" si="278"/>
        <v>0</v>
      </c>
      <c r="AE263" s="34">
        <f t="shared" si="279"/>
        <v>0</v>
      </c>
      <c r="AF263" s="34">
        <f t="shared" si="280"/>
        <v>0</v>
      </c>
      <c r="AG263" s="34">
        <f t="shared" si="281"/>
        <v>0</v>
      </c>
      <c r="AH263" s="34">
        <f t="shared" si="282"/>
        <v>0</v>
      </c>
      <c r="AI263" s="29"/>
      <c r="AJ263" s="17">
        <f t="shared" si="283"/>
        <v>0</v>
      </c>
      <c r="AK263" s="17">
        <f t="shared" si="284"/>
        <v>0</v>
      </c>
      <c r="AL263" s="17">
        <f t="shared" si="285"/>
        <v>0</v>
      </c>
      <c r="AN263" s="34">
        <v>15</v>
      </c>
      <c r="AO263" s="34">
        <f t="shared" si="286"/>
        <v>0</v>
      </c>
      <c r="AP263" s="34">
        <f t="shared" si="287"/>
        <v>0</v>
      </c>
      <c r="AQ263" s="28" t="s">
        <v>13</v>
      </c>
      <c r="AV263" s="34">
        <f t="shared" si="288"/>
        <v>0</v>
      </c>
      <c r="AW263" s="34">
        <f t="shared" si="289"/>
        <v>0</v>
      </c>
      <c r="AX263" s="34">
        <f t="shared" si="290"/>
        <v>0</v>
      </c>
      <c r="AY263" s="35" t="s">
        <v>1709</v>
      </c>
      <c r="AZ263" s="35" t="s">
        <v>1733</v>
      </c>
      <c r="BA263" s="29" t="s">
        <v>1737</v>
      </c>
      <c r="BC263" s="34">
        <f t="shared" si="291"/>
        <v>0</v>
      </c>
      <c r="BD263" s="34">
        <f t="shared" si="292"/>
        <v>0</v>
      </c>
      <c r="BE263" s="34">
        <v>0</v>
      </c>
      <c r="BF263" s="34">
        <f>263</f>
        <v>263</v>
      </c>
      <c r="BH263" s="17">
        <f t="shared" si="293"/>
        <v>0</v>
      </c>
      <c r="BI263" s="17">
        <f t="shared" si="294"/>
        <v>0</v>
      </c>
      <c r="BJ263" s="17">
        <f t="shared" si="295"/>
        <v>0</v>
      </c>
    </row>
    <row r="264" spans="1:62" x14ac:dyDescent="0.2">
      <c r="A264" s="4" t="s">
        <v>226</v>
      </c>
      <c r="B264" s="4" t="s">
        <v>26</v>
      </c>
      <c r="C264" s="240" t="s">
        <v>1303</v>
      </c>
      <c r="D264" s="241"/>
      <c r="E264" s="241"/>
      <c r="F264" s="4" t="s">
        <v>1644</v>
      </c>
      <c r="G264" s="69">
        <v>1</v>
      </c>
      <c r="H264" s="168"/>
      <c r="I264" s="17">
        <f t="shared" si="272"/>
        <v>0</v>
      </c>
      <c r="J264" s="17">
        <f t="shared" si="273"/>
        <v>0</v>
      </c>
      <c r="K264" s="17">
        <f t="shared" si="274"/>
        <v>0</v>
      </c>
      <c r="L264" s="28"/>
      <c r="Z264" s="34">
        <f t="shared" si="275"/>
        <v>0</v>
      </c>
      <c r="AB264" s="34">
        <f t="shared" si="276"/>
        <v>0</v>
      </c>
      <c r="AC264" s="34">
        <f t="shared" si="277"/>
        <v>0</v>
      </c>
      <c r="AD264" s="34">
        <f t="shared" si="278"/>
        <v>0</v>
      </c>
      <c r="AE264" s="34">
        <f t="shared" si="279"/>
        <v>0</v>
      </c>
      <c r="AF264" s="34">
        <f t="shared" si="280"/>
        <v>0</v>
      </c>
      <c r="AG264" s="34">
        <f t="shared" si="281"/>
        <v>0</v>
      </c>
      <c r="AH264" s="34">
        <f t="shared" si="282"/>
        <v>0</v>
      </c>
      <c r="AI264" s="29"/>
      <c r="AJ264" s="17">
        <f t="shared" si="283"/>
        <v>0</v>
      </c>
      <c r="AK264" s="17">
        <f t="shared" si="284"/>
        <v>0</v>
      </c>
      <c r="AL264" s="17">
        <f t="shared" si="285"/>
        <v>0</v>
      </c>
      <c r="AN264" s="34">
        <v>15</v>
      </c>
      <c r="AO264" s="34">
        <f t="shared" si="286"/>
        <v>0</v>
      </c>
      <c r="AP264" s="34">
        <f t="shared" si="287"/>
        <v>0</v>
      </c>
      <c r="AQ264" s="28" t="s">
        <v>13</v>
      </c>
      <c r="AV264" s="34">
        <f t="shared" si="288"/>
        <v>0</v>
      </c>
      <c r="AW264" s="34">
        <f t="shared" si="289"/>
        <v>0</v>
      </c>
      <c r="AX264" s="34">
        <f t="shared" si="290"/>
        <v>0</v>
      </c>
      <c r="AY264" s="35" t="s">
        <v>1709</v>
      </c>
      <c r="AZ264" s="35" t="s">
        <v>1733</v>
      </c>
      <c r="BA264" s="29" t="s">
        <v>1737</v>
      </c>
      <c r="BC264" s="34">
        <f t="shared" si="291"/>
        <v>0</v>
      </c>
      <c r="BD264" s="34">
        <f t="shared" si="292"/>
        <v>0</v>
      </c>
      <c r="BE264" s="34">
        <v>0</v>
      </c>
      <c r="BF264" s="34">
        <f>264</f>
        <v>264</v>
      </c>
      <c r="BH264" s="17">
        <f t="shared" si="293"/>
        <v>0</v>
      </c>
      <c r="BI264" s="17">
        <f t="shared" si="294"/>
        <v>0</v>
      </c>
      <c r="BJ264" s="17">
        <f t="shared" si="295"/>
        <v>0</v>
      </c>
    </row>
    <row r="265" spans="1:62" x14ac:dyDescent="0.2">
      <c r="A265" s="4" t="s">
        <v>227</v>
      </c>
      <c r="B265" s="4" t="s">
        <v>27</v>
      </c>
      <c r="C265" s="240" t="s">
        <v>1304</v>
      </c>
      <c r="D265" s="241"/>
      <c r="E265" s="241"/>
      <c r="F265" s="4" t="s">
        <v>1644</v>
      </c>
      <c r="G265" s="69">
        <v>1</v>
      </c>
      <c r="H265" s="168"/>
      <c r="I265" s="17">
        <f t="shared" si="272"/>
        <v>0</v>
      </c>
      <c r="J265" s="17">
        <f t="shared" si="273"/>
        <v>0</v>
      </c>
      <c r="K265" s="17">
        <f t="shared" si="274"/>
        <v>0</v>
      </c>
      <c r="L265" s="28"/>
      <c r="Z265" s="34">
        <f t="shared" si="275"/>
        <v>0</v>
      </c>
      <c r="AB265" s="34">
        <f t="shared" si="276"/>
        <v>0</v>
      </c>
      <c r="AC265" s="34">
        <f t="shared" si="277"/>
        <v>0</v>
      </c>
      <c r="AD265" s="34">
        <f t="shared" si="278"/>
        <v>0</v>
      </c>
      <c r="AE265" s="34">
        <f t="shared" si="279"/>
        <v>0</v>
      </c>
      <c r="AF265" s="34">
        <f t="shared" si="280"/>
        <v>0</v>
      </c>
      <c r="AG265" s="34">
        <f t="shared" si="281"/>
        <v>0</v>
      </c>
      <c r="AH265" s="34">
        <f t="shared" si="282"/>
        <v>0</v>
      </c>
      <c r="AI265" s="29"/>
      <c r="AJ265" s="17">
        <f t="shared" si="283"/>
        <v>0</v>
      </c>
      <c r="AK265" s="17">
        <f t="shared" si="284"/>
        <v>0</v>
      </c>
      <c r="AL265" s="17">
        <f t="shared" si="285"/>
        <v>0</v>
      </c>
      <c r="AN265" s="34">
        <v>15</v>
      </c>
      <c r="AO265" s="34">
        <f t="shared" si="286"/>
        <v>0</v>
      </c>
      <c r="AP265" s="34">
        <f t="shared" si="287"/>
        <v>0</v>
      </c>
      <c r="AQ265" s="28" t="s">
        <v>13</v>
      </c>
      <c r="AV265" s="34">
        <f t="shared" si="288"/>
        <v>0</v>
      </c>
      <c r="AW265" s="34">
        <f t="shared" si="289"/>
        <v>0</v>
      </c>
      <c r="AX265" s="34">
        <f t="shared" si="290"/>
        <v>0</v>
      </c>
      <c r="AY265" s="35" t="s">
        <v>1709</v>
      </c>
      <c r="AZ265" s="35" t="s">
        <v>1733</v>
      </c>
      <c r="BA265" s="29" t="s">
        <v>1737</v>
      </c>
      <c r="BC265" s="34">
        <f t="shared" si="291"/>
        <v>0</v>
      </c>
      <c r="BD265" s="34">
        <f t="shared" si="292"/>
        <v>0</v>
      </c>
      <c r="BE265" s="34">
        <v>0</v>
      </c>
      <c r="BF265" s="34">
        <f>265</f>
        <v>265</v>
      </c>
      <c r="BH265" s="17">
        <f t="shared" si="293"/>
        <v>0</v>
      </c>
      <c r="BI265" s="17">
        <f t="shared" si="294"/>
        <v>0</v>
      </c>
      <c r="BJ265" s="17">
        <f t="shared" si="295"/>
        <v>0</v>
      </c>
    </row>
    <row r="266" spans="1:62" x14ac:dyDescent="0.2">
      <c r="A266" s="4" t="s">
        <v>228</v>
      </c>
      <c r="B266" s="4" t="s">
        <v>28</v>
      </c>
      <c r="C266" s="240" t="s">
        <v>1305</v>
      </c>
      <c r="D266" s="241"/>
      <c r="E266" s="241"/>
      <c r="F266" s="4" t="s">
        <v>1644</v>
      </c>
      <c r="G266" s="69">
        <v>1</v>
      </c>
      <c r="H266" s="168"/>
      <c r="I266" s="17">
        <f t="shared" si="272"/>
        <v>0</v>
      </c>
      <c r="J266" s="17">
        <f t="shared" si="273"/>
        <v>0</v>
      </c>
      <c r="K266" s="17">
        <f t="shared" si="274"/>
        <v>0</v>
      </c>
      <c r="L266" s="28"/>
      <c r="Z266" s="34">
        <f t="shared" si="275"/>
        <v>0</v>
      </c>
      <c r="AB266" s="34">
        <f t="shared" si="276"/>
        <v>0</v>
      </c>
      <c r="AC266" s="34">
        <f t="shared" si="277"/>
        <v>0</v>
      </c>
      <c r="AD266" s="34">
        <f t="shared" si="278"/>
        <v>0</v>
      </c>
      <c r="AE266" s="34">
        <f t="shared" si="279"/>
        <v>0</v>
      </c>
      <c r="AF266" s="34">
        <f t="shared" si="280"/>
        <v>0</v>
      </c>
      <c r="AG266" s="34">
        <f t="shared" si="281"/>
        <v>0</v>
      </c>
      <c r="AH266" s="34">
        <f t="shared" si="282"/>
        <v>0</v>
      </c>
      <c r="AI266" s="29"/>
      <c r="AJ266" s="17">
        <f t="shared" si="283"/>
        <v>0</v>
      </c>
      <c r="AK266" s="17">
        <f t="shared" si="284"/>
        <v>0</v>
      </c>
      <c r="AL266" s="17">
        <f t="shared" si="285"/>
        <v>0</v>
      </c>
      <c r="AN266" s="34">
        <v>15</v>
      </c>
      <c r="AO266" s="34">
        <f t="shared" si="286"/>
        <v>0</v>
      </c>
      <c r="AP266" s="34">
        <f t="shared" si="287"/>
        <v>0</v>
      </c>
      <c r="AQ266" s="28" t="s">
        <v>13</v>
      </c>
      <c r="AV266" s="34">
        <f t="shared" si="288"/>
        <v>0</v>
      </c>
      <c r="AW266" s="34">
        <f t="shared" si="289"/>
        <v>0</v>
      </c>
      <c r="AX266" s="34">
        <f t="shared" si="290"/>
        <v>0</v>
      </c>
      <c r="AY266" s="35" t="s">
        <v>1709</v>
      </c>
      <c r="AZ266" s="35" t="s">
        <v>1733</v>
      </c>
      <c r="BA266" s="29" t="s">
        <v>1737</v>
      </c>
      <c r="BC266" s="34">
        <f t="shared" si="291"/>
        <v>0</v>
      </c>
      <c r="BD266" s="34">
        <f t="shared" si="292"/>
        <v>0</v>
      </c>
      <c r="BE266" s="34">
        <v>0</v>
      </c>
      <c r="BF266" s="34">
        <f>266</f>
        <v>266</v>
      </c>
      <c r="BH266" s="17">
        <f t="shared" si="293"/>
        <v>0</v>
      </c>
      <c r="BI266" s="17">
        <f t="shared" si="294"/>
        <v>0</v>
      </c>
      <c r="BJ266" s="17">
        <f t="shared" si="295"/>
        <v>0</v>
      </c>
    </row>
    <row r="267" spans="1:62" x14ac:dyDescent="0.2">
      <c r="A267" s="4" t="s">
        <v>229</v>
      </c>
      <c r="B267" s="4" t="s">
        <v>29</v>
      </c>
      <c r="C267" s="240" t="s">
        <v>1306</v>
      </c>
      <c r="D267" s="241"/>
      <c r="E267" s="241"/>
      <c r="F267" s="4" t="s">
        <v>1646</v>
      </c>
      <c r="G267" s="69">
        <v>15</v>
      </c>
      <c r="H267" s="168"/>
      <c r="I267" s="17">
        <f t="shared" si="272"/>
        <v>0</v>
      </c>
      <c r="J267" s="17">
        <f t="shared" si="273"/>
        <v>0</v>
      </c>
      <c r="K267" s="17">
        <f t="shared" si="274"/>
        <v>0</v>
      </c>
      <c r="L267" s="28"/>
      <c r="Z267" s="34">
        <f t="shared" si="275"/>
        <v>0</v>
      </c>
      <c r="AB267" s="34">
        <f t="shared" si="276"/>
        <v>0</v>
      </c>
      <c r="AC267" s="34">
        <f t="shared" si="277"/>
        <v>0</v>
      </c>
      <c r="AD267" s="34">
        <f t="shared" si="278"/>
        <v>0</v>
      </c>
      <c r="AE267" s="34">
        <f t="shared" si="279"/>
        <v>0</v>
      </c>
      <c r="AF267" s="34">
        <f t="shared" si="280"/>
        <v>0</v>
      </c>
      <c r="AG267" s="34">
        <f t="shared" si="281"/>
        <v>0</v>
      </c>
      <c r="AH267" s="34">
        <f t="shared" si="282"/>
        <v>0</v>
      </c>
      <c r="AI267" s="29"/>
      <c r="AJ267" s="17">
        <f t="shared" si="283"/>
        <v>0</v>
      </c>
      <c r="AK267" s="17">
        <f t="shared" si="284"/>
        <v>0</v>
      </c>
      <c r="AL267" s="17">
        <f t="shared" si="285"/>
        <v>0</v>
      </c>
      <c r="AN267" s="34">
        <v>15</v>
      </c>
      <c r="AO267" s="34">
        <f t="shared" si="286"/>
        <v>0</v>
      </c>
      <c r="AP267" s="34">
        <f t="shared" si="287"/>
        <v>0</v>
      </c>
      <c r="AQ267" s="28" t="s">
        <v>13</v>
      </c>
      <c r="AV267" s="34">
        <f t="shared" si="288"/>
        <v>0</v>
      </c>
      <c r="AW267" s="34">
        <f t="shared" si="289"/>
        <v>0</v>
      </c>
      <c r="AX267" s="34">
        <f t="shared" si="290"/>
        <v>0</v>
      </c>
      <c r="AY267" s="35" t="s">
        <v>1709</v>
      </c>
      <c r="AZ267" s="35" t="s">
        <v>1733</v>
      </c>
      <c r="BA267" s="29" t="s">
        <v>1737</v>
      </c>
      <c r="BC267" s="34">
        <f t="shared" si="291"/>
        <v>0</v>
      </c>
      <c r="BD267" s="34">
        <f t="shared" si="292"/>
        <v>0</v>
      </c>
      <c r="BE267" s="34">
        <v>0</v>
      </c>
      <c r="BF267" s="34">
        <f>267</f>
        <v>267</v>
      </c>
      <c r="BH267" s="17">
        <f t="shared" si="293"/>
        <v>0</v>
      </c>
      <c r="BI267" s="17">
        <f t="shared" si="294"/>
        <v>0</v>
      </c>
      <c r="BJ267" s="17">
        <f t="shared" si="295"/>
        <v>0</v>
      </c>
    </row>
    <row r="268" spans="1:62" x14ac:dyDescent="0.2">
      <c r="A268" s="4" t="s">
        <v>230</v>
      </c>
      <c r="B268" s="4" t="s">
        <v>30</v>
      </c>
      <c r="C268" s="240" t="s">
        <v>1286</v>
      </c>
      <c r="D268" s="241"/>
      <c r="E268" s="241"/>
      <c r="F268" s="4" t="s">
        <v>1644</v>
      </c>
      <c r="G268" s="69">
        <v>2</v>
      </c>
      <c r="H268" s="168"/>
      <c r="I268" s="17">
        <f t="shared" si="272"/>
        <v>0</v>
      </c>
      <c r="J268" s="17">
        <f t="shared" si="273"/>
        <v>0</v>
      </c>
      <c r="K268" s="17">
        <f t="shared" si="274"/>
        <v>0</v>
      </c>
      <c r="L268" s="28"/>
      <c r="Z268" s="34">
        <f t="shared" si="275"/>
        <v>0</v>
      </c>
      <c r="AB268" s="34">
        <f t="shared" si="276"/>
        <v>0</v>
      </c>
      <c r="AC268" s="34">
        <f t="shared" si="277"/>
        <v>0</v>
      </c>
      <c r="AD268" s="34">
        <f t="shared" si="278"/>
        <v>0</v>
      </c>
      <c r="AE268" s="34">
        <f t="shared" si="279"/>
        <v>0</v>
      </c>
      <c r="AF268" s="34">
        <f t="shared" si="280"/>
        <v>0</v>
      </c>
      <c r="AG268" s="34">
        <f t="shared" si="281"/>
        <v>0</v>
      </c>
      <c r="AH268" s="34">
        <f t="shared" si="282"/>
        <v>0</v>
      </c>
      <c r="AI268" s="29"/>
      <c r="AJ268" s="17">
        <f t="shared" si="283"/>
        <v>0</v>
      </c>
      <c r="AK268" s="17">
        <f t="shared" si="284"/>
        <v>0</v>
      </c>
      <c r="AL268" s="17">
        <f t="shared" si="285"/>
        <v>0</v>
      </c>
      <c r="AN268" s="34">
        <v>15</v>
      </c>
      <c r="AO268" s="34">
        <f t="shared" si="286"/>
        <v>0</v>
      </c>
      <c r="AP268" s="34">
        <f t="shared" si="287"/>
        <v>0</v>
      </c>
      <c r="AQ268" s="28" t="s">
        <v>13</v>
      </c>
      <c r="AV268" s="34">
        <f t="shared" si="288"/>
        <v>0</v>
      </c>
      <c r="AW268" s="34">
        <f t="shared" si="289"/>
        <v>0</v>
      </c>
      <c r="AX268" s="34">
        <f t="shared" si="290"/>
        <v>0</v>
      </c>
      <c r="AY268" s="35" t="s">
        <v>1709</v>
      </c>
      <c r="AZ268" s="35" t="s">
        <v>1733</v>
      </c>
      <c r="BA268" s="29" t="s">
        <v>1737</v>
      </c>
      <c r="BC268" s="34">
        <f t="shared" si="291"/>
        <v>0</v>
      </c>
      <c r="BD268" s="34">
        <f t="shared" si="292"/>
        <v>0</v>
      </c>
      <c r="BE268" s="34">
        <v>0</v>
      </c>
      <c r="BF268" s="34">
        <f>268</f>
        <v>268</v>
      </c>
      <c r="BH268" s="17">
        <f t="shared" si="293"/>
        <v>0</v>
      </c>
      <c r="BI268" s="17">
        <f t="shared" si="294"/>
        <v>0</v>
      </c>
      <c r="BJ268" s="17">
        <f t="shared" si="295"/>
        <v>0</v>
      </c>
    </row>
    <row r="269" spans="1:62" x14ac:dyDescent="0.2">
      <c r="A269" s="4" t="s">
        <v>231</v>
      </c>
      <c r="B269" s="4" t="s">
        <v>31</v>
      </c>
      <c r="C269" s="240" t="s">
        <v>1307</v>
      </c>
      <c r="D269" s="241"/>
      <c r="E269" s="241"/>
      <c r="F269" s="4" t="s">
        <v>1644</v>
      </c>
      <c r="G269" s="69">
        <v>1</v>
      </c>
      <c r="H269" s="168"/>
      <c r="I269" s="17">
        <f t="shared" si="272"/>
        <v>0</v>
      </c>
      <c r="J269" s="17">
        <f t="shared" si="273"/>
        <v>0</v>
      </c>
      <c r="K269" s="17">
        <f t="shared" si="274"/>
        <v>0</v>
      </c>
      <c r="L269" s="28"/>
      <c r="Z269" s="34">
        <f t="shared" si="275"/>
        <v>0</v>
      </c>
      <c r="AB269" s="34">
        <f t="shared" si="276"/>
        <v>0</v>
      </c>
      <c r="AC269" s="34">
        <f t="shared" si="277"/>
        <v>0</v>
      </c>
      <c r="AD269" s="34">
        <f t="shared" si="278"/>
        <v>0</v>
      </c>
      <c r="AE269" s="34">
        <f t="shared" si="279"/>
        <v>0</v>
      </c>
      <c r="AF269" s="34">
        <f t="shared" si="280"/>
        <v>0</v>
      </c>
      <c r="AG269" s="34">
        <f t="shared" si="281"/>
        <v>0</v>
      </c>
      <c r="AH269" s="34">
        <f t="shared" si="282"/>
        <v>0</v>
      </c>
      <c r="AI269" s="29"/>
      <c r="AJ269" s="17">
        <f t="shared" si="283"/>
        <v>0</v>
      </c>
      <c r="AK269" s="17">
        <f t="shared" si="284"/>
        <v>0</v>
      </c>
      <c r="AL269" s="17">
        <f t="shared" si="285"/>
        <v>0</v>
      </c>
      <c r="AN269" s="34">
        <v>15</v>
      </c>
      <c r="AO269" s="34">
        <f t="shared" si="286"/>
        <v>0</v>
      </c>
      <c r="AP269" s="34">
        <f t="shared" si="287"/>
        <v>0</v>
      </c>
      <c r="AQ269" s="28" t="s">
        <v>13</v>
      </c>
      <c r="AV269" s="34">
        <f t="shared" si="288"/>
        <v>0</v>
      </c>
      <c r="AW269" s="34">
        <f t="shared" si="289"/>
        <v>0</v>
      </c>
      <c r="AX269" s="34">
        <f t="shared" si="290"/>
        <v>0</v>
      </c>
      <c r="AY269" s="35" t="s">
        <v>1709</v>
      </c>
      <c r="AZ269" s="35" t="s">
        <v>1733</v>
      </c>
      <c r="BA269" s="29" t="s">
        <v>1737</v>
      </c>
      <c r="BC269" s="34">
        <f t="shared" si="291"/>
        <v>0</v>
      </c>
      <c r="BD269" s="34">
        <f t="shared" si="292"/>
        <v>0</v>
      </c>
      <c r="BE269" s="34">
        <v>0</v>
      </c>
      <c r="BF269" s="34">
        <f>269</f>
        <v>269</v>
      </c>
      <c r="BH269" s="17">
        <f t="shared" si="293"/>
        <v>0</v>
      </c>
      <c r="BI269" s="17">
        <f t="shared" si="294"/>
        <v>0</v>
      </c>
      <c r="BJ269" s="17">
        <f t="shared" si="295"/>
        <v>0</v>
      </c>
    </row>
    <row r="270" spans="1:62" x14ac:dyDescent="0.2">
      <c r="A270" s="4" t="s">
        <v>232</v>
      </c>
      <c r="B270" s="4" t="s">
        <v>32</v>
      </c>
      <c r="C270" s="240" t="s">
        <v>1308</v>
      </c>
      <c r="D270" s="241"/>
      <c r="E270" s="241"/>
      <c r="F270" s="4" t="s">
        <v>1644</v>
      </c>
      <c r="G270" s="69">
        <v>1</v>
      </c>
      <c r="H270" s="168"/>
      <c r="I270" s="17">
        <f t="shared" si="272"/>
        <v>0</v>
      </c>
      <c r="J270" s="17">
        <f t="shared" si="273"/>
        <v>0</v>
      </c>
      <c r="K270" s="17">
        <f t="shared" si="274"/>
        <v>0</v>
      </c>
      <c r="L270" s="28"/>
      <c r="Z270" s="34">
        <f t="shared" si="275"/>
        <v>0</v>
      </c>
      <c r="AB270" s="34">
        <f t="shared" si="276"/>
        <v>0</v>
      </c>
      <c r="AC270" s="34">
        <f t="shared" si="277"/>
        <v>0</v>
      </c>
      <c r="AD270" s="34">
        <f t="shared" si="278"/>
        <v>0</v>
      </c>
      <c r="AE270" s="34">
        <f t="shared" si="279"/>
        <v>0</v>
      </c>
      <c r="AF270" s="34">
        <f t="shared" si="280"/>
        <v>0</v>
      </c>
      <c r="AG270" s="34">
        <f t="shared" si="281"/>
        <v>0</v>
      </c>
      <c r="AH270" s="34">
        <f t="shared" si="282"/>
        <v>0</v>
      </c>
      <c r="AI270" s="29"/>
      <c r="AJ270" s="17">
        <f t="shared" si="283"/>
        <v>0</v>
      </c>
      <c r="AK270" s="17">
        <f t="shared" si="284"/>
        <v>0</v>
      </c>
      <c r="AL270" s="17">
        <f t="shared" si="285"/>
        <v>0</v>
      </c>
      <c r="AN270" s="34">
        <v>15</v>
      </c>
      <c r="AO270" s="34">
        <f t="shared" si="286"/>
        <v>0</v>
      </c>
      <c r="AP270" s="34">
        <f t="shared" si="287"/>
        <v>0</v>
      </c>
      <c r="AQ270" s="28" t="s">
        <v>13</v>
      </c>
      <c r="AV270" s="34">
        <f t="shared" si="288"/>
        <v>0</v>
      </c>
      <c r="AW270" s="34">
        <f t="shared" si="289"/>
        <v>0</v>
      </c>
      <c r="AX270" s="34">
        <f t="shared" si="290"/>
        <v>0</v>
      </c>
      <c r="AY270" s="35" t="s">
        <v>1709</v>
      </c>
      <c r="AZ270" s="35" t="s">
        <v>1733</v>
      </c>
      <c r="BA270" s="29" t="s">
        <v>1737</v>
      </c>
      <c r="BC270" s="34">
        <f t="shared" si="291"/>
        <v>0</v>
      </c>
      <c r="BD270" s="34">
        <f t="shared" si="292"/>
        <v>0</v>
      </c>
      <c r="BE270" s="34">
        <v>0</v>
      </c>
      <c r="BF270" s="34">
        <f>270</f>
        <v>270</v>
      </c>
      <c r="BH270" s="17">
        <f t="shared" si="293"/>
        <v>0</v>
      </c>
      <c r="BI270" s="17">
        <f t="shared" si="294"/>
        <v>0</v>
      </c>
      <c r="BJ270" s="17">
        <f t="shared" si="295"/>
        <v>0</v>
      </c>
    </row>
    <row r="271" spans="1:62" x14ac:dyDescent="0.2">
      <c r="A271" s="4" t="s">
        <v>233</v>
      </c>
      <c r="B271" s="4" t="s">
        <v>33</v>
      </c>
      <c r="C271" s="240" t="s">
        <v>1309</v>
      </c>
      <c r="D271" s="241"/>
      <c r="E271" s="241"/>
      <c r="F271" s="4" t="s">
        <v>1644</v>
      </c>
      <c r="G271" s="69">
        <v>1</v>
      </c>
      <c r="H271" s="168"/>
      <c r="I271" s="17">
        <f t="shared" si="272"/>
        <v>0</v>
      </c>
      <c r="J271" s="17">
        <f t="shared" si="273"/>
        <v>0</v>
      </c>
      <c r="K271" s="17">
        <f t="shared" si="274"/>
        <v>0</v>
      </c>
      <c r="L271" s="28"/>
      <c r="Z271" s="34">
        <f t="shared" si="275"/>
        <v>0</v>
      </c>
      <c r="AB271" s="34">
        <f t="shared" si="276"/>
        <v>0</v>
      </c>
      <c r="AC271" s="34">
        <f t="shared" si="277"/>
        <v>0</v>
      </c>
      <c r="AD271" s="34">
        <f t="shared" si="278"/>
        <v>0</v>
      </c>
      <c r="AE271" s="34">
        <f t="shared" si="279"/>
        <v>0</v>
      </c>
      <c r="AF271" s="34">
        <f t="shared" si="280"/>
        <v>0</v>
      </c>
      <c r="AG271" s="34">
        <f t="shared" si="281"/>
        <v>0</v>
      </c>
      <c r="AH271" s="34">
        <f t="shared" si="282"/>
        <v>0</v>
      </c>
      <c r="AI271" s="29"/>
      <c r="AJ271" s="17">
        <f t="shared" si="283"/>
        <v>0</v>
      </c>
      <c r="AK271" s="17">
        <f t="shared" si="284"/>
        <v>0</v>
      </c>
      <c r="AL271" s="17">
        <f t="shared" si="285"/>
        <v>0</v>
      </c>
      <c r="AN271" s="34">
        <v>15</v>
      </c>
      <c r="AO271" s="34">
        <f t="shared" si="286"/>
        <v>0</v>
      </c>
      <c r="AP271" s="34">
        <f t="shared" si="287"/>
        <v>0</v>
      </c>
      <c r="AQ271" s="28" t="s">
        <v>13</v>
      </c>
      <c r="AV271" s="34">
        <f t="shared" si="288"/>
        <v>0</v>
      </c>
      <c r="AW271" s="34">
        <f t="shared" si="289"/>
        <v>0</v>
      </c>
      <c r="AX271" s="34">
        <f t="shared" si="290"/>
        <v>0</v>
      </c>
      <c r="AY271" s="35" t="s">
        <v>1709</v>
      </c>
      <c r="AZ271" s="35" t="s">
        <v>1733</v>
      </c>
      <c r="BA271" s="29" t="s">
        <v>1737</v>
      </c>
      <c r="BC271" s="34">
        <f t="shared" si="291"/>
        <v>0</v>
      </c>
      <c r="BD271" s="34">
        <f t="shared" si="292"/>
        <v>0</v>
      </c>
      <c r="BE271" s="34">
        <v>0</v>
      </c>
      <c r="BF271" s="34">
        <f>271</f>
        <v>271</v>
      </c>
      <c r="BH271" s="17">
        <f t="shared" si="293"/>
        <v>0</v>
      </c>
      <c r="BI271" s="17">
        <f t="shared" si="294"/>
        <v>0</v>
      </c>
      <c r="BJ271" s="17">
        <f t="shared" si="295"/>
        <v>0</v>
      </c>
    </row>
    <row r="272" spans="1:62" x14ac:dyDescent="0.2">
      <c r="A272" s="4" t="s">
        <v>234</v>
      </c>
      <c r="B272" s="4" t="s">
        <v>34</v>
      </c>
      <c r="C272" s="240" t="s">
        <v>1310</v>
      </c>
      <c r="D272" s="241"/>
      <c r="E272" s="241"/>
      <c r="F272" s="4" t="s">
        <v>1644</v>
      </c>
      <c r="G272" s="69">
        <v>1</v>
      </c>
      <c r="H272" s="168"/>
      <c r="I272" s="17">
        <f t="shared" si="272"/>
        <v>0</v>
      </c>
      <c r="J272" s="17">
        <f t="shared" si="273"/>
        <v>0</v>
      </c>
      <c r="K272" s="17">
        <f t="shared" si="274"/>
        <v>0</v>
      </c>
      <c r="L272" s="28"/>
      <c r="Z272" s="34">
        <f t="shared" si="275"/>
        <v>0</v>
      </c>
      <c r="AB272" s="34">
        <f t="shared" si="276"/>
        <v>0</v>
      </c>
      <c r="AC272" s="34">
        <f t="shared" si="277"/>
        <v>0</v>
      </c>
      <c r="AD272" s="34">
        <f t="shared" si="278"/>
        <v>0</v>
      </c>
      <c r="AE272" s="34">
        <f t="shared" si="279"/>
        <v>0</v>
      </c>
      <c r="AF272" s="34">
        <f t="shared" si="280"/>
        <v>0</v>
      </c>
      <c r="AG272" s="34">
        <f t="shared" si="281"/>
        <v>0</v>
      </c>
      <c r="AH272" s="34">
        <f t="shared" si="282"/>
        <v>0</v>
      </c>
      <c r="AI272" s="29"/>
      <c r="AJ272" s="17">
        <f t="shared" si="283"/>
        <v>0</v>
      </c>
      <c r="AK272" s="17">
        <f t="shared" si="284"/>
        <v>0</v>
      </c>
      <c r="AL272" s="17">
        <f t="shared" si="285"/>
        <v>0</v>
      </c>
      <c r="AN272" s="34">
        <v>15</v>
      </c>
      <c r="AO272" s="34">
        <f t="shared" si="286"/>
        <v>0</v>
      </c>
      <c r="AP272" s="34">
        <f t="shared" si="287"/>
        <v>0</v>
      </c>
      <c r="AQ272" s="28" t="s">
        <v>13</v>
      </c>
      <c r="AV272" s="34">
        <f t="shared" si="288"/>
        <v>0</v>
      </c>
      <c r="AW272" s="34">
        <f t="shared" si="289"/>
        <v>0</v>
      </c>
      <c r="AX272" s="34">
        <f t="shared" si="290"/>
        <v>0</v>
      </c>
      <c r="AY272" s="35" t="s">
        <v>1709</v>
      </c>
      <c r="AZ272" s="35" t="s">
        <v>1733</v>
      </c>
      <c r="BA272" s="29" t="s">
        <v>1737</v>
      </c>
      <c r="BC272" s="34">
        <f t="shared" si="291"/>
        <v>0</v>
      </c>
      <c r="BD272" s="34">
        <f t="shared" si="292"/>
        <v>0</v>
      </c>
      <c r="BE272" s="34">
        <v>0</v>
      </c>
      <c r="BF272" s="34">
        <f>272</f>
        <v>272</v>
      </c>
      <c r="BH272" s="17">
        <f t="shared" si="293"/>
        <v>0</v>
      </c>
      <c r="BI272" s="17">
        <f t="shared" si="294"/>
        <v>0</v>
      </c>
      <c r="BJ272" s="17">
        <f t="shared" si="295"/>
        <v>0</v>
      </c>
    </row>
    <row r="273" spans="1:62" x14ac:dyDescent="0.2">
      <c r="A273" s="4" t="s">
        <v>235</v>
      </c>
      <c r="B273" s="4" t="s">
        <v>35</v>
      </c>
      <c r="C273" s="240" t="s">
        <v>1311</v>
      </c>
      <c r="D273" s="241"/>
      <c r="E273" s="241"/>
      <c r="F273" s="4" t="s">
        <v>1644</v>
      </c>
      <c r="G273" s="69">
        <v>1</v>
      </c>
      <c r="H273" s="168"/>
      <c r="I273" s="17">
        <f t="shared" si="272"/>
        <v>0</v>
      </c>
      <c r="J273" s="17">
        <f t="shared" si="273"/>
        <v>0</v>
      </c>
      <c r="K273" s="17">
        <f t="shared" si="274"/>
        <v>0</v>
      </c>
      <c r="L273" s="28"/>
      <c r="Z273" s="34">
        <f t="shared" si="275"/>
        <v>0</v>
      </c>
      <c r="AB273" s="34">
        <f t="shared" si="276"/>
        <v>0</v>
      </c>
      <c r="AC273" s="34">
        <f t="shared" si="277"/>
        <v>0</v>
      </c>
      <c r="AD273" s="34">
        <f t="shared" si="278"/>
        <v>0</v>
      </c>
      <c r="AE273" s="34">
        <f t="shared" si="279"/>
        <v>0</v>
      </c>
      <c r="AF273" s="34">
        <f t="shared" si="280"/>
        <v>0</v>
      </c>
      <c r="AG273" s="34">
        <f t="shared" si="281"/>
        <v>0</v>
      </c>
      <c r="AH273" s="34">
        <f t="shared" si="282"/>
        <v>0</v>
      </c>
      <c r="AI273" s="29"/>
      <c r="AJ273" s="17">
        <f t="shared" si="283"/>
        <v>0</v>
      </c>
      <c r="AK273" s="17">
        <f t="shared" si="284"/>
        <v>0</v>
      </c>
      <c r="AL273" s="17">
        <f t="shared" si="285"/>
        <v>0</v>
      </c>
      <c r="AN273" s="34">
        <v>15</v>
      </c>
      <c r="AO273" s="34">
        <f t="shared" si="286"/>
        <v>0</v>
      </c>
      <c r="AP273" s="34">
        <f t="shared" si="287"/>
        <v>0</v>
      </c>
      <c r="AQ273" s="28" t="s">
        <v>13</v>
      </c>
      <c r="AV273" s="34">
        <f t="shared" si="288"/>
        <v>0</v>
      </c>
      <c r="AW273" s="34">
        <f t="shared" si="289"/>
        <v>0</v>
      </c>
      <c r="AX273" s="34">
        <f t="shared" si="290"/>
        <v>0</v>
      </c>
      <c r="AY273" s="35" t="s">
        <v>1709</v>
      </c>
      <c r="AZ273" s="35" t="s">
        <v>1733</v>
      </c>
      <c r="BA273" s="29" t="s">
        <v>1737</v>
      </c>
      <c r="BC273" s="34">
        <f t="shared" si="291"/>
        <v>0</v>
      </c>
      <c r="BD273" s="34">
        <f t="shared" si="292"/>
        <v>0</v>
      </c>
      <c r="BE273" s="34">
        <v>0</v>
      </c>
      <c r="BF273" s="34">
        <f>273</f>
        <v>273</v>
      </c>
      <c r="BH273" s="17">
        <f t="shared" si="293"/>
        <v>0</v>
      </c>
      <c r="BI273" s="17">
        <f t="shared" si="294"/>
        <v>0</v>
      </c>
      <c r="BJ273" s="17">
        <f t="shared" si="295"/>
        <v>0</v>
      </c>
    </row>
    <row r="274" spans="1:62" x14ac:dyDescent="0.2">
      <c r="A274" s="4" t="s">
        <v>236</v>
      </c>
      <c r="B274" s="4" t="s">
        <v>36</v>
      </c>
      <c r="C274" s="240" t="s">
        <v>1312</v>
      </c>
      <c r="D274" s="241"/>
      <c r="E274" s="241"/>
      <c r="F274" s="4" t="s">
        <v>1644</v>
      </c>
      <c r="G274" s="69">
        <v>2</v>
      </c>
      <c r="H274" s="168"/>
      <c r="I274" s="17">
        <f t="shared" si="272"/>
        <v>0</v>
      </c>
      <c r="J274" s="17">
        <f t="shared" si="273"/>
        <v>0</v>
      </c>
      <c r="K274" s="17">
        <f t="shared" si="274"/>
        <v>0</v>
      </c>
      <c r="L274" s="28"/>
      <c r="Z274" s="34">
        <f t="shared" si="275"/>
        <v>0</v>
      </c>
      <c r="AB274" s="34">
        <f t="shared" si="276"/>
        <v>0</v>
      </c>
      <c r="AC274" s="34">
        <f t="shared" si="277"/>
        <v>0</v>
      </c>
      <c r="AD274" s="34">
        <f t="shared" si="278"/>
        <v>0</v>
      </c>
      <c r="AE274" s="34">
        <f t="shared" si="279"/>
        <v>0</v>
      </c>
      <c r="AF274" s="34">
        <f t="shared" si="280"/>
        <v>0</v>
      </c>
      <c r="AG274" s="34">
        <f t="shared" si="281"/>
        <v>0</v>
      </c>
      <c r="AH274" s="34">
        <f t="shared" si="282"/>
        <v>0</v>
      </c>
      <c r="AI274" s="29"/>
      <c r="AJ274" s="17">
        <f t="shared" si="283"/>
        <v>0</v>
      </c>
      <c r="AK274" s="17">
        <f t="shared" si="284"/>
        <v>0</v>
      </c>
      <c r="AL274" s="17">
        <f t="shared" si="285"/>
        <v>0</v>
      </c>
      <c r="AN274" s="34">
        <v>15</v>
      </c>
      <c r="AO274" s="34">
        <f t="shared" si="286"/>
        <v>0</v>
      </c>
      <c r="AP274" s="34">
        <f t="shared" si="287"/>
        <v>0</v>
      </c>
      <c r="AQ274" s="28" t="s">
        <v>13</v>
      </c>
      <c r="AV274" s="34">
        <f t="shared" si="288"/>
        <v>0</v>
      </c>
      <c r="AW274" s="34">
        <f t="shared" si="289"/>
        <v>0</v>
      </c>
      <c r="AX274" s="34">
        <f t="shared" si="290"/>
        <v>0</v>
      </c>
      <c r="AY274" s="35" t="s">
        <v>1709</v>
      </c>
      <c r="AZ274" s="35" t="s">
        <v>1733</v>
      </c>
      <c r="BA274" s="29" t="s">
        <v>1737</v>
      </c>
      <c r="BC274" s="34">
        <f t="shared" si="291"/>
        <v>0</v>
      </c>
      <c r="BD274" s="34">
        <f t="shared" si="292"/>
        <v>0</v>
      </c>
      <c r="BE274" s="34">
        <v>0</v>
      </c>
      <c r="BF274" s="34">
        <f>274</f>
        <v>274</v>
      </c>
      <c r="BH274" s="17">
        <f t="shared" si="293"/>
        <v>0</v>
      </c>
      <c r="BI274" s="17">
        <f t="shared" si="294"/>
        <v>0</v>
      </c>
      <c r="BJ274" s="17">
        <f t="shared" si="295"/>
        <v>0</v>
      </c>
    </row>
    <row r="275" spans="1:62" x14ac:dyDescent="0.2">
      <c r="A275" s="4" t="s">
        <v>237</v>
      </c>
      <c r="B275" s="4" t="s">
        <v>37</v>
      </c>
      <c r="C275" s="240" t="s">
        <v>1313</v>
      </c>
      <c r="D275" s="241"/>
      <c r="E275" s="241"/>
      <c r="F275" s="4" t="s">
        <v>1644</v>
      </c>
      <c r="G275" s="69">
        <v>2</v>
      </c>
      <c r="H275" s="168"/>
      <c r="I275" s="17">
        <f t="shared" si="272"/>
        <v>0</v>
      </c>
      <c r="J275" s="17">
        <f t="shared" si="273"/>
        <v>0</v>
      </c>
      <c r="K275" s="17">
        <f t="shared" si="274"/>
        <v>0</v>
      </c>
      <c r="L275" s="28"/>
      <c r="Z275" s="34">
        <f t="shared" si="275"/>
        <v>0</v>
      </c>
      <c r="AB275" s="34">
        <f t="shared" si="276"/>
        <v>0</v>
      </c>
      <c r="AC275" s="34">
        <f t="shared" si="277"/>
        <v>0</v>
      </c>
      <c r="AD275" s="34">
        <f t="shared" si="278"/>
        <v>0</v>
      </c>
      <c r="AE275" s="34">
        <f t="shared" si="279"/>
        <v>0</v>
      </c>
      <c r="AF275" s="34">
        <f t="shared" si="280"/>
        <v>0</v>
      </c>
      <c r="AG275" s="34">
        <f t="shared" si="281"/>
        <v>0</v>
      </c>
      <c r="AH275" s="34">
        <f t="shared" si="282"/>
        <v>0</v>
      </c>
      <c r="AI275" s="29"/>
      <c r="AJ275" s="17">
        <f t="shared" si="283"/>
        <v>0</v>
      </c>
      <c r="AK275" s="17">
        <f t="shared" si="284"/>
        <v>0</v>
      </c>
      <c r="AL275" s="17">
        <f t="shared" si="285"/>
        <v>0</v>
      </c>
      <c r="AN275" s="34">
        <v>15</v>
      </c>
      <c r="AO275" s="34">
        <f t="shared" si="286"/>
        <v>0</v>
      </c>
      <c r="AP275" s="34">
        <f t="shared" si="287"/>
        <v>0</v>
      </c>
      <c r="AQ275" s="28" t="s">
        <v>13</v>
      </c>
      <c r="AV275" s="34">
        <f t="shared" si="288"/>
        <v>0</v>
      </c>
      <c r="AW275" s="34">
        <f t="shared" si="289"/>
        <v>0</v>
      </c>
      <c r="AX275" s="34">
        <f t="shared" si="290"/>
        <v>0</v>
      </c>
      <c r="AY275" s="35" t="s">
        <v>1709</v>
      </c>
      <c r="AZ275" s="35" t="s">
        <v>1733</v>
      </c>
      <c r="BA275" s="29" t="s">
        <v>1737</v>
      </c>
      <c r="BC275" s="34">
        <f t="shared" si="291"/>
        <v>0</v>
      </c>
      <c r="BD275" s="34">
        <f t="shared" si="292"/>
        <v>0</v>
      </c>
      <c r="BE275" s="34">
        <v>0</v>
      </c>
      <c r="BF275" s="34">
        <f>275</f>
        <v>275</v>
      </c>
      <c r="BH275" s="17">
        <f t="shared" si="293"/>
        <v>0</v>
      </c>
      <c r="BI275" s="17">
        <f t="shared" si="294"/>
        <v>0</v>
      </c>
      <c r="BJ275" s="17">
        <f t="shared" si="295"/>
        <v>0</v>
      </c>
    </row>
    <row r="276" spans="1:62" x14ac:dyDescent="0.2">
      <c r="A276" s="4" t="s">
        <v>238</v>
      </c>
      <c r="B276" s="4" t="s">
        <v>38</v>
      </c>
      <c r="C276" s="240" t="s">
        <v>1314</v>
      </c>
      <c r="D276" s="241"/>
      <c r="E276" s="241"/>
      <c r="F276" s="4" t="s">
        <v>1644</v>
      </c>
      <c r="G276" s="69">
        <v>1</v>
      </c>
      <c r="H276" s="168"/>
      <c r="I276" s="17">
        <f t="shared" si="272"/>
        <v>0</v>
      </c>
      <c r="J276" s="17">
        <f t="shared" si="273"/>
        <v>0</v>
      </c>
      <c r="K276" s="17">
        <f t="shared" si="274"/>
        <v>0</v>
      </c>
      <c r="L276" s="28"/>
      <c r="Z276" s="34">
        <f t="shared" si="275"/>
        <v>0</v>
      </c>
      <c r="AB276" s="34">
        <f t="shared" si="276"/>
        <v>0</v>
      </c>
      <c r="AC276" s="34">
        <f t="shared" si="277"/>
        <v>0</v>
      </c>
      <c r="AD276" s="34">
        <f t="shared" si="278"/>
        <v>0</v>
      </c>
      <c r="AE276" s="34">
        <f t="shared" si="279"/>
        <v>0</v>
      </c>
      <c r="AF276" s="34">
        <f t="shared" si="280"/>
        <v>0</v>
      </c>
      <c r="AG276" s="34">
        <f t="shared" si="281"/>
        <v>0</v>
      </c>
      <c r="AH276" s="34">
        <f t="shared" si="282"/>
        <v>0</v>
      </c>
      <c r="AI276" s="29"/>
      <c r="AJ276" s="17">
        <f t="shared" si="283"/>
        <v>0</v>
      </c>
      <c r="AK276" s="17">
        <f t="shared" si="284"/>
        <v>0</v>
      </c>
      <c r="AL276" s="17">
        <f t="shared" si="285"/>
        <v>0</v>
      </c>
      <c r="AN276" s="34">
        <v>15</v>
      </c>
      <c r="AO276" s="34">
        <f t="shared" si="286"/>
        <v>0</v>
      </c>
      <c r="AP276" s="34">
        <f t="shared" si="287"/>
        <v>0</v>
      </c>
      <c r="AQ276" s="28" t="s">
        <v>13</v>
      </c>
      <c r="AV276" s="34">
        <f t="shared" si="288"/>
        <v>0</v>
      </c>
      <c r="AW276" s="34">
        <f t="shared" si="289"/>
        <v>0</v>
      </c>
      <c r="AX276" s="34">
        <f t="shared" si="290"/>
        <v>0</v>
      </c>
      <c r="AY276" s="35" t="s">
        <v>1709</v>
      </c>
      <c r="AZ276" s="35" t="s">
        <v>1733</v>
      </c>
      <c r="BA276" s="29" t="s">
        <v>1737</v>
      </c>
      <c r="BC276" s="34">
        <f t="shared" si="291"/>
        <v>0</v>
      </c>
      <c r="BD276" s="34">
        <f t="shared" si="292"/>
        <v>0</v>
      </c>
      <c r="BE276" s="34">
        <v>0</v>
      </c>
      <c r="BF276" s="34">
        <f>276</f>
        <v>276</v>
      </c>
      <c r="BH276" s="17">
        <f t="shared" si="293"/>
        <v>0</v>
      </c>
      <c r="BI276" s="17">
        <f t="shared" si="294"/>
        <v>0</v>
      </c>
      <c r="BJ276" s="17">
        <f t="shared" si="295"/>
        <v>0</v>
      </c>
    </row>
    <row r="277" spans="1:62" x14ac:dyDescent="0.2">
      <c r="A277" s="4" t="s">
        <v>239</v>
      </c>
      <c r="B277" s="4" t="s">
        <v>39</v>
      </c>
      <c r="C277" s="240" t="s">
        <v>1315</v>
      </c>
      <c r="D277" s="241"/>
      <c r="E277" s="241"/>
      <c r="F277" s="4" t="s">
        <v>1644</v>
      </c>
      <c r="G277" s="69">
        <v>1</v>
      </c>
      <c r="H277" s="168"/>
      <c r="I277" s="17">
        <f t="shared" ref="I277:I308" si="296">G277*AO277</f>
        <v>0</v>
      </c>
      <c r="J277" s="17">
        <f t="shared" ref="J277:J308" si="297">G277*AP277</f>
        <v>0</v>
      </c>
      <c r="K277" s="17">
        <f t="shared" ref="K277:K308" si="298">G277*H277</f>
        <v>0</v>
      </c>
      <c r="L277" s="28"/>
      <c r="Z277" s="34">
        <f t="shared" ref="Z277:Z308" si="299">IF(AQ277="5",BJ277,0)</f>
        <v>0</v>
      </c>
      <c r="AB277" s="34">
        <f t="shared" ref="AB277:AB308" si="300">IF(AQ277="1",BH277,0)</f>
        <v>0</v>
      </c>
      <c r="AC277" s="34">
        <f t="shared" ref="AC277:AC308" si="301">IF(AQ277="1",BI277,0)</f>
        <v>0</v>
      </c>
      <c r="AD277" s="34">
        <f t="shared" ref="AD277:AD308" si="302">IF(AQ277="7",BH277,0)</f>
        <v>0</v>
      </c>
      <c r="AE277" s="34">
        <f t="shared" ref="AE277:AE308" si="303">IF(AQ277="7",BI277,0)</f>
        <v>0</v>
      </c>
      <c r="AF277" s="34">
        <f t="shared" ref="AF277:AF308" si="304">IF(AQ277="2",BH277,0)</f>
        <v>0</v>
      </c>
      <c r="AG277" s="34">
        <f t="shared" ref="AG277:AG308" si="305">IF(AQ277="2",BI277,0)</f>
        <v>0</v>
      </c>
      <c r="AH277" s="34">
        <f t="shared" ref="AH277:AH308" si="306">IF(AQ277="0",BJ277,0)</f>
        <v>0</v>
      </c>
      <c r="AI277" s="29"/>
      <c r="AJ277" s="17">
        <f t="shared" ref="AJ277:AJ308" si="307">IF(AN277=0,K277,0)</f>
        <v>0</v>
      </c>
      <c r="AK277" s="17">
        <f t="shared" ref="AK277:AK308" si="308">IF(AN277=15,K277,0)</f>
        <v>0</v>
      </c>
      <c r="AL277" s="17">
        <f t="shared" ref="AL277:AL308" si="309">IF(AN277=21,K277,0)</f>
        <v>0</v>
      </c>
      <c r="AN277" s="34">
        <v>15</v>
      </c>
      <c r="AO277" s="34">
        <f t="shared" ref="AO277:AO308" si="310">H277*0</f>
        <v>0</v>
      </c>
      <c r="AP277" s="34">
        <f t="shared" ref="AP277:AP308" si="311">H277*(1-0)</f>
        <v>0</v>
      </c>
      <c r="AQ277" s="28" t="s">
        <v>13</v>
      </c>
      <c r="AV277" s="34">
        <f t="shared" ref="AV277:AV308" si="312">AW277+AX277</f>
        <v>0</v>
      </c>
      <c r="AW277" s="34">
        <f t="shared" ref="AW277:AW308" si="313">G277*AO277</f>
        <v>0</v>
      </c>
      <c r="AX277" s="34">
        <f t="shared" ref="AX277:AX308" si="314">G277*AP277</f>
        <v>0</v>
      </c>
      <c r="AY277" s="35" t="s">
        <v>1709</v>
      </c>
      <c r="AZ277" s="35" t="s">
        <v>1733</v>
      </c>
      <c r="BA277" s="29" t="s">
        <v>1737</v>
      </c>
      <c r="BC277" s="34">
        <f t="shared" ref="BC277:BC308" si="315">AW277+AX277</f>
        <v>0</v>
      </c>
      <c r="BD277" s="34">
        <f t="shared" ref="BD277:BD308" si="316">H277/(100-BE277)*100</f>
        <v>0</v>
      </c>
      <c r="BE277" s="34">
        <v>0</v>
      </c>
      <c r="BF277" s="34">
        <f>277</f>
        <v>277</v>
      </c>
      <c r="BH277" s="17">
        <f t="shared" ref="BH277:BH308" si="317">G277*AO277</f>
        <v>0</v>
      </c>
      <c r="BI277" s="17">
        <f t="shared" ref="BI277:BI308" si="318">G277*AP277</f>
        <v>0</v>
      </c>
      <c r="BJ277" s="17">
        <f t="shared" ref="BJ277:BJ308" si="319">G277*H277</f>
        <v>0</v>
      </c>
    </row>
    <row r="278" spans="1:62" x14ac:dyDescent="0.2">
      <c r="A278" s="4" t="s">
        <v>240</v>
      </c>
      <c r="B278" s="4" t="s">
        <v>40</v>
      </c>
      <c r="C278" s="240" t="s">
        <v>1316</v>
      </c>
      <c r="D278" s="241"/>
      <c r="E278" s="241"/>
      <c r="F278" s="4" t="s">
        <v>1644</v>
      </c>
      <c r="G278" s="69">
        <v>2</v>
      </c>
      <c r="H278" s="168"/>
      <c r="I278" s="17">
        <f t="shared" si="296"/>
        <v>0</v>
      </c>
      <c r="J278" s="17">
        <f t="shared" si="297"/>
        <v>0</v>
      </c>
      <c r="K278" s="17">
        <f t="shared" si="298"/>
        <v>0</v>
      </c>
      <c r="L278" s="28"/>
      <c r="Z278" s="34">
        <f t="shared" si="299"/>
        <v>0</v>
      </c>
      <c r="AB278" s="34">
        <f t="shared" si="300"/>
        <v>0</v>
      </c>
      <c r="AC278" s="34">
        <f t="shared" si="301"/>
        <v>0</v>
      </c>
      <c r="AD278" s="34">
        <f t="shared" si="302"/>
        <v>0</v>
      </c>
      <c r="AE278" s="34">
        <f t="shared" si="303"/>
        <v>0</v>
      </c>
      <c r="AF278" s="34">
        <f t="shared" si="304"/>
        <v>0</v>
      </c>
      <c r="AG278" s="34">
        <f t="shared" si="305"/>
        <v>0</v>
      </c>
      <c r="AH278" s="34">
        <f t="shared" si="306"/>
        <v>0</v>
      </c>
      <c r="AI278" s="29"/>
      <c r="AJ278" s="17">
        <f t="shared" si="307"/>
        <v>0</v>
      </c>
      <c r="AK278" s="17">
        <f t="shared" si="308"/>
        <v>0</v>
      </c>
      <c r="AL278" s="17">
        <f t="shared" si="309"/>
        <v>0</v>
      </c>
      <c r="AN278" s="34">
        <v>15</v>
      </c>
      <c r="AO278" s="34">
        <f t="shared" si="310"/>
        <v>0</v>
      </c>
      <c r="AP278" s="34">
        <f t="shared" si="311"/>
        <v>0</v>
      </c>
      <c r="AQ278" s="28" t="s">
        <v>13</v>
      </c>
      <c r="AV278" s="34">
        <f t="shared" si="312"/>
        <v>0</v>
      </c>
      <c r="AW278" s="34">
        <f t="shared" si="313"/>
        <v>0</v>
      </c>
      <c r="AX278" s="34">
        <f t="shared" si="314"/>
        <v>0</v>
      </c>
      <c r="AY278" s="35" t="s">
        <v>1709</v>
      </c>
      <c r="AZ278" s="35" t="s">
        <v>1733</v>
      </c>
      <c r="BA278" s="29" t="s">
        <v>1737</v>
      </c>
      <c r="BC278" s="34">
        <f t="shared" si="315"/>
        <v>0</v>
      </c>
      <c r="BD278" s="34">
        <f t="shared" si="316"/>
        <v>0</v>
      </c>
      <c r="BE278" s="34">
        <v>0</v>
      </c>
      <c r="BF278" s="34">
        <f>278</f>
        <v>278</v>
      </c>
      <c r="BH278" s="17">
        <f t="shared" si="317"/>
        <v>0</v>
      </c>
      <c r="BI278" s="17">
        <f t="shared" si="318"/>
        <v>0</v>
      </c>
      <c r="BJ278" s="17">
        <f t="shared" si="319"/>
        <v>0</v>
      </c>
    </row>
    <row r="279" spans="1:62" x14ac:dyDescent="0.2">
      <c r="A279" s="4" t="s">
        <v>241</v>
      </c>
      <c r="B279" s="4" t="s">
        <v>41</v>
      </c>
      <c r="C279" s="240" t="s">
        <v>1317</v>
      </c>
      <c r="D279" s="241"/>
      <c r="E279" s="241"/>
      <c r="F279" s="4" t="s">
        <v>1644</v>
      </c>
      <c r="G279" s="69">
        <v>1</v>
      </c>
      <c r="H279" s="168"/>
      <c r="I279" s="17">
        <f t="shared" si="296"/>
        <v>0</v>
      </c>
      <c r="J279" s="17">
        <f t="shared" si="297"/>
        <v>0</v>
      </c>
      <c r="K279" s="17">
        <f t="shared" si="298"/>
        <v>0</v>
      </c>
      <c r="L279" s="28"/>
      <c r="Z279" s="34">
        <f t="shared" si="299"/>
        <v>0</v>
      </c>
      <c r="AB279" s="34">
        <f t="shared" si="300"/>
        <v>0</v>
      </c>
      <c r="AC279" s="34">
        <f t="shared" si="301"/>
        <v>0</v>
      </c>
      <c r="AD279" s="34">
        <f t="shared" si="302"/>
        <v>0</v>
      </c>
      <c r="AE279" s="34">
        <f t="shared" si="303"/>
        <v>0</v>
      </c>
      <c r="AF279" s="34">
        <f t="shared" si="304"/>
        <v>0</v>
      </c>
      <c r="AG279" s="34">
        <f t="shared" si="305"/>
        <v>0</v>
      </c>
      <c r="AH279" s="34">
        <f t="shared" si="306"/>
        <v>0</v>
      </c>
      <c r="AI279" s="29"/>
      <c r="AJ279" s="17">
        <f t="shared" si="307"/>
        <v>0</v>
      </c>
      <c r="AK279" s="17">
        <f t="shared" si="308"/>
        <v>0</v>
      </c>
      <c r="AL279" s="17">
        <f t="shared" si="309"/>
        <v>0</v>
      </c>
      <c r="AN279" s="34">
        <v>15</v>
      </c>
      <c r="AO279" s="34">
        <f t="shared" si="310"/>
        <v>0</v>
      </c>
      <c r="AP279" s="34">
        <f t="shared" si="311"/>
        <v>0</v>
      </c>
      <c r="AQ279" s="28" t="s">
        <v>13</v>
      </c>
      <c r="AV279" s="34">
        <f t="shared" si="312"/>
        <v>0</v>
      </c>
      <c r="AW279" s="34">
        <f t="shared" si="313"/>
        <v>0</v>
      </c>
      <c r="AX279" s="34">
        <f t="shared" si="314"/>
        <v>0</v>
      </c>
      <c r="AY279" s="35" t="s">
        <v>1709</v>
      </c>
      <c r="AZ279" s="35" t="s">
        <v>1733</v>
      </c>
      <c r="BA279" s="29" t="s">
        <v>1737</v>
      </c>
      <c r="BC279" s="34">
        <f t="shared" si="315"/>
        <v>0</v>
      </c>
      <c r="BD279" s="34">
        <f t="shared" si="316"/>
        <v>0</v>
      </c>
      <c r="BE279" s="34">
        <v>0</v>
      </c>
      <c r="BF279" s="34">
        <f>279</f>
        <v>279</v>
      </c>
      <c r="BH279" s="17">
        <f t="shared" si="317"/>
        <v>0</v>
      </c>
      <c r="BI279" s="17">
        <f t="shared" si="318"/>
        <v>0</v>
      </c>
      <c r="BJ279" s="17">
        <f t="shared" si="319"/>
        <v>0</v>
      </c>
    </row>
    <row r="280" spans="1:62" x14ac:dyDescent="0.2">
      <c r="A280" s="4" t="s">
        <v>242</v>
      </c>
      <c r="B280" s="4" t="s">
        <v>42</v>
      </c>
      <c r="C280" s="240" t="s">
        <v>1318</v>
      </c>
      <c r="D280" s="241"/>
      <c r="E280" s="241"/>
      <c r="F280" s="4" t="s">
        <v>1644</v>
      </c>
      <c r="G280" s="69">
        <v>2</v>
      </c>
      <c r="H280" s="168"/>
      <c r="I280" s="17">
        <f t="shared" si="296"/>
        <v>0</v>
      </c>
      <c r="J280" s="17">
        <f t="shared" si="297"/>
        <v>0</v>
      </c>
      <c r="K280" s="17">
        <f t="shared" si="298"/>
        <v>0</v>
      </c>
      <c r="L280" s="28"/>
      <c r="Z280" s="34">
        <f t="shared" si="299"/>
        <v>0</v>
      </c>
      <c r="AB280" s="34">
        <f t="shared" si="300"/>
        <v>0</v>
      </c>
      <c r="AC280" s="34">
        <f t="shared" si="301"/>
        <v>0</v>
      </c>
      <c r="AD280" s="34">
        <f t="shared" si="302"/>
        <v>0</v>
      </c>
      <c r="AE280" s="34">
        <f t="shared" si="303"/>
        <v>0</v>
      </c>
      <c r="AF280" s="34">
        <f t="shared" si="304"/>
        <v>0</v>
      </c>
      <c r="AG280" s="34">
        <f t="shared" si="305"/>
        <v>0</v>
      </c>
      <c r="AH280" s="34">
        <f t="shared" si="306"/>
        <v>0</v>
      </c>
      <c r="AI280" s="29"/>
      <c r="AJ280" s="17">
        <f t="shared" si="307"/>
        <v>0</v>
      </c>
      <c r="AK280" s="17">
        <f t="shared" si="308"/>
        <v>0</v>
      </c>
      <c r="AL280" s="17">
        <f t="shared" si="309"/>
        <v>0</v>
      </c>
      <c r="AN280" s="34">
        <v>15</v>
      </c>
      <c r="AO280" s="34">
        <f t="shared" si="310"/>
        <v>0</v>
      </c>
      <c r="AP280" s="34">
        <f t="shared" si="311"/>
        <v>0</v>
      </c>
      <c r="AQ280" s="28" t="s">
        <v>13</v>
      </c>
      <c r="AV280" s="34">
        <f t="shared" si="312"/>
        <v>0</v>
      </c>
      <c r="AW280" s="34">
        <f t="shared" si="313"/>
        <v>0</v>
      </c>
      <c r="AX280" s="34">
        <f t="shared" si="314"/>
        <v>0</v>
      </c>
      <c r="AY280" s="35" t="s">
        <v>1709</v>
      </c>
      <c r="AZ280" s="35" t="s">
        <v>1733</v>
      </c>
      <c r="BA280" s="29" t="s">
        <v>1737</v>
      </c>
      <c r="BC280" s="34">
        <f t="shared" si="315"/>
        <v>0</v>
      </c>
      <c r="BD280" s="34">
        <f t="shared" si="316"/>
        <v>0</v>
      </c>
      <c r="BE280" s="34">
        <v>0</v>
      </c>
      <c r="BF280" s="34">
        <f>280</f>
        <v>280</v>
      </c>
      <c r="BH280" s="17">
        <f t="shared" si="317"/>
        <v>0</v>
      </c>
      <c r="BI280" s="17">
        <f t="shared" si="318"/>
        <v>0</v>
      </c>
      <c r="BJ280" s="17">
        <f t="shared" si="319"/>
        <v>0</v>
      </c>
    </row>
    <row r="281" spans="1:62" x14ac:dyDescent="0.2">
      <c r="A281" s="4" t="s">
        <v>243</v>
      </c>
      <c r="B281" s="4" t="s">
        <v>43</v>
      </c>
      <c r="C281" s="240" t="s">
        <v>1319</v>
      </c>
      <c r="D281" s="241"/>
      <c r="E281" s="241"/>
      <c r="F281" s="4" t="s">
        <v>1644</v>
      </c>
      <c r="G281" s="69">
        <v>6</v>
      </c>
      <c r="H281" s="168"/>
      <c r="I281" s="17">
        <f t="shared" si="296"/>
        <v>0</v>
      </c>
      <c r="J281" s="17">
        <f t="shared" si="297"/>
        <v>0</v>
      </c>
      <c r="K281" s="17">
        <f t="shared" si="298"/>
        <v>0</v>
      </c>
      <c r="L281" s="28"/>
      <c r="Z281" s="34">
        <f t="shared" si="299"/>
        <v>0</v>
      </c>
      <c r="AB281" s="34">
        <f t="shared" si="300"/>
        <v>0</v>
      </c>
      <c r="AC281" s="34">
        <f t="shared" si="301"/>
        <v>0</v>
      </c>
      <c r="AD281" s="34">
        <f t="shared" si="302"/>
        <v>0</v>
      </c>
      <c r="AE281" s="34">
        <f t="shared" si="303"/>
        <v>0</v>
      </c>
      <c r="AF281" s="34">
        <f t="shared" si="304"/>
        <v>0</v>
      </c>
      <c r="AG281" s="34">
        <f t="shared" si="305"/>
        <v>0</v>
      </c>
      <c r="AH281" s="34">
        <f t="shared" si="306"/>
        <v>0</v>
      </c>
      <c r="AI281" s="29"/>
      <c r="AJ281" s="17">
        <f t="shared" si="307"/>
        <v>0</v>
      </c>
      <c r="AK281" s="17">
        <f t="shared" si="308"/>
        <v>0</v>
      </c>
      <c r="AL281" s="17">
        <f t="shared" si="309"/>
        <v>0</v>
      </c>
      <c r="AN281" s="34">
        <v>15</v>
      </c>
      <c r="AO281" s="34">
        <f t="shared" si="310"/>
        <v>0</v>
      </c>
      <c r="AP281" s="34">
        <f t="shared" si="311"/>
        <v>0</v>
      </c>
      <c r="AQ281" s="28" t="s">
        <v>13</v>
      </c>
      <c r="AV281" s="34">
        <f t="shared" si="312"/>
        <v>0</v>
      </c>
      <c r="AW281" s="34">
        <f t="shared" si="313"/>
        <v>0</v>
      </c>
      <c r="AX281" s="34">
        <f t="shared" si="314"/>
        <v>0</v>
      </c>
      <c r="AY281" s="35" t="s">
        <v>1709</v>
      </c>
      <c r="AZ281" s="35" t="s">
        <v>1733</v>
      </c>
      <c r="BA281" s="29" t="s">
        <v>1737</v>
      </c>
      <c r="BC281" s="34">
        <f t="shared" si="315"/>
        <v>0</v>
      </c>
      <c r="BD281" s="34">
        <f t="shared" si="316"/>
        <v>0</v>
      </c>
      <c r="BE281" s="34">
        <v>0</v>
      </c>
      <c r="BF281" s="34">
        <f>281</f>
        <v>281</v>
      </c>
      <c r="BH281" s="17">
        <f t="shared" si="317"/>
        <v>0</v>
      </c>
      <c r="BI281" s="17">
        <f t="shared" si="318"/>
        <v>0</v>
      </c>
      <c r="BJ281" s="17">
        <f t="shared" si="319"/>
        <v>0</v>
      </c>
    </row>
    <row r="282" spans="1:62" x14ac:dyDescent="0.2">
      <c r="A282" s="4" t="s">
        <v>244</v>
      </c>
      <c r="B282" s="4" t="s">
        <v>44</v>
      </c>
      <c r="C282" s="240" t="s">
        <v>1320</v>
      </c>
      <c r="D282" s="241"/>
      <c r="E282" s="241"/>
      <c r="F282" s="4" t="s">
        <v>1644</v>
      </c>
      <c r="G282" s="69">
        <v>14</v>
      </c>
      <c r="H282" s="168"/>
      <c r="I282" s="17">
        <f t="shared" si="296"/>
        <v>0</v>
      </c>
      <c r="J282" s="17">
        <f t="shared" si="297"/>
        <v>0</v>
      </c>
      <c r="K282" s="17">
        <f t="shared" si="298"/>
        <v>0</v>
      </c>
      <c r="L282" s="28"/>
      <c r="Z282" s="34">
        <f t="shared" si="299"/>
        <v>0</v>
      </c>
      <c r="AB282" s="34">
        <f t="shared" si="300"/>
        <v>0</v>
      </c>
      <c r="AC282" s="34">
        <f t="shared" si="301"/>
        <v>0</v>
      </c>
      <c r="AD282" s="34">
        <f t="shared" si="302"/>
        <v>0</v>
      </c>
      <c r="AE282" s="34">
        <f t="shared" si="303"/>
        <v>0</v>
      </c>
      <c r="AF282" s="34">
        <f t="shared" si="304"/>
        <v>0</v>
      </c>
      <c r="AG282" s="34">
        <f t="shared" si="305"/>
        <v>0</v>
      </c>
      <c r="AH282" s="34">
        <f t="shared" si="306"/>
        <v>0</v>
      </c>
      <c r="AI282" s="29"/>
      <c r="AJ282" s="17">
        <f t="shared" si="307"/>
        <v>0</v>
      </c>
      <c r="AK282" s="17">
        <f t="shared" si="308"/>
        <v>0</v>
      </c>
      <c r="AL282" s="17">
        <f t="shared" si="309"/>
        <v>0</v>
      </c>
      <c r="AN282" s="34">
        <v>15</v>
      </c>
      <c r="AO282" s="34">
        <f t="shared" si="310"/>
        <v>0</v>
      </c>
      <c r="AP282" s="34">
        <f t="shared" si="311"/>
        <v>0</v>
      </c>
      <c r="AQ282" s="28" t="s">
        <v>13</v>
      </c>
      <c r="AV282" s="34">
        <f t="shared" si="312"/>
        <v>0</v>
      </c>
      <c r="AW282" s="34">
        <f t="shared" si="313"/>
        <v>0</v>
      </c>
      <c r="AX282" s="34">
        <f t="shared" si="314"/>
        <v>0</v>
      </c>
      <c r="AY282" s="35" t="s">
        <v>1709</v>
      </c>
      <c r="AZ282" s="35" t="s">
        <v>1733</v>
      </c>
      <c r="BA282" s="29" t="s">
        <v>1737</v>
      </c>
      <c r="BC282" s="34">
        <f t="shared" si="315"/>
        <v>0</v>
      </c>
      <c r="BD282" s="34">
        <f t="shared" si="316"/>
        <v>0</v>
      </c>
      <c r="BE282" s="34">
        <v>0</v>
      </c>
      <c r="BF282" s="34">
        <f>282</f>
        <v>282</v>
      </c>
      <c r="BH282" s="17">
        <f t="shared" si="317"/>
        <v>0</v>
      </c>
      <c r="BI282" s="17">
        <f t="shared" si="318"/>
        <v>0</v>
      </c>
      <c r="BJ282" s="17">
        <f t="shared" si="319"/>
        <v>0</v>
      </c>
    </row>
    <row r="283" spans="1:62" x14ac:dyDescent="0.2">
      <c r="A283" s="4" t="s">
        <v>245</v>
      </c>
      <c r="B283" s="4" t="s">
        <v>45</v>
      </c>
      <c r="C283" s="240" t="s">
        <v>1321</v>
      </c>
      <c r="D283" s="241"/>
      <c r="E283" s="241"/>
      <c r="F283" s="4" t="s">
        <v>1644</v>
      </c>
      <c r="G283" s="69">
        <v>1</v>
      </c>
      <c r="H283" s="168"/>
      <c r="I283" s="17">
        <f t="shared" si="296"/>
        <v>0</v>
      </c>
      <c r="J283" s="17">
        <f t="shared" si="297"/>
        <v>0</v>
      </c>
      <c r="K283" s="17">
        <f t="shared" si="298"/>
        <v>0</v>
      </c>
      <c r="L283" s="28"/>
      <c r="Z283" s="34">
        <f t="shared" si="299"/>
        <v>0</v>
      </c>
      <c r="AB283" s="34">
        <f t="shared" si="300"/>
        <v>0</v>
      </c>
      <c r="AC283" s="34">
        <f t="shared" si="301"/>
        <v>0</v>
      </c>
      <c r="AD283" s="34">
        <f t="shared" si="302"/>
        <v>0</v>
      </c>
      <c r="AE283" s="34">
        <f t="shared" si="303"/>
        <v>0</v>
      </c>
      <c r="AF283" s="34">
        <f t="shared" si="304"/>
        <v>0</v>
      </c>
      <c r="AG283" s="34">
        <f t="shared" si="305"/>
        <v>0</v>
      </c>
      <c r="AH283" s="34">
        <f t="shared" si="306"/>
        <v>0</v>
      </c>
      <c r="AI283" s="29"/>
      <c r="AJ283" s="17">
        <f t="shared" si="307"/>
        <v>0</v>
      </c>
      <c r="AK283" s="17">
        <f t="shared" si="308"/>
        <v>0</v>
      </c>
      <c r="AL283" s="17">
        <f t="shared" si="309"/>
        <v>0</v>
      </c>
      <c r="AN283" s="34">
        <v>15</v>
      </c>
      <c r="AO283" s="34">
        <f t="shared" si="310"/>
        <v>0</v>
      </c>
      <c r="AP283" s="34">
        <f t="shared" si="311"/>
        <v>0</v>
      </c>
      <c r="AQ283" s="28" t="s">
        <v>13</v>
      </c>
      <c r="AV283" s="34">
        <f t="shared" si="312"/>
        <v>0</v>
      </c>
      <c r="AW283" s="34">
        <f t="shared" si="313"/>
        <v>0</v>
      </c>
      <c r="AX283" s="34">
        <f t="shared" si="314"/>
        <v>0</v>
      </c>
      <c r="AY283" s="35" t="s">
        <v>1709</v>
      </c>
      <c r="AZ283" s="35" t="s">
        <v>1733</v>
      </c>
      <c r="BA283" s="29" t="s">
        <v>1737</v>
      </c>
      <c r="BC283" s="34">
        <f t="shared" si="315"/>
        <v>0</v>
      </c>
      <c r="BD283" s="34">
        <f t="shared" si="316"/>
        <v>0</v>
      </c>
      <c r="BE283" s="34">
        <v>0</v>
      </c>
      <c r="BF283" s="34">
        <f>283</f>
        <v>283</v>
      </c>
      <c r="BH283" s="17">
        <f t="shared" si="317"/>
        <v>0</v>
      </c>
      <c r="BI283" s="17">
        <f t="shared" si="318"/>
        <v>0</v>
      </c>
      <c r="BJ283" s="17">
        <f t="shared" si="319"/>
        <v>0</v>
      </c>
    </row>
    <row r="284" spans="1:62" x14ac:dyDescent="0.2">
      <c r="A284" s="4" t="s">
        <v>246</v>
      </c>
      <c r="B284" s="4" t="s">
        <v>46</v>
      </c>
      <c r="C284" s="240" t="s">
        <v>1322</v>
      </c>
      <c r="D284" s="241"/>
      <c r="E284" s="241"/>
      <c r="F284" s="4" t="s">
        <v>1644</v>
      </c>
      <c r="G284" s="69">
        <v>2</v>
      </c>
      <c r="H284" s="168"/>
      <c r="I284" s="17">
        <f t="shared" si="296"/>
        <v>0</v>
      </c>
      <c r="J284" s="17">
        <f t="shared" si="297"/>
        <v>0</v>
      </c>
      <c r="K284" s="17">
        <f t="shared" si="298"/>
        <v>0</v>
      </c>
      <c r="L284" s="28"/>
      <c r="Z284" s="34">
        <f t="shared" si="299"/>
        <v>0</v>
      </c>
      <c r="AB284" s="34">
        <f t="shared" si="300"/>
        <v>0</v>
      </c>
      <c r="AC284" s="34">
        <f t="shared" si="301"/>
        <v>0</v>
      </c>
      <c r="AD284" s="34">
        <f t="shared" si="302"/>
        <v>0</v>
      </c>
      <c r="AE284" s="34">
        <f t="shared" si="303"/>
        <v>0</v>
      </c>
      <c r="AF284" s="34">
        <f t="shared" si="304"/>
        <v>0</v>
      </c>
      <c r="AG284" s="34">
        <f t="shared" si="305"/>
        <v>0</v>
      </c>
      <c r="AH284" s="34">
        <f t="shared" si="306"/>
        <v>0</v>
      </c>
      <c r="AI284" s="29"/>
      <c r="AJ284" s="17">
        <f t="shared" si="307"/>
        <v>0</v>
      </c>
      <c r="AK284" s="17">
        <f t="shared" si="308"/>
        <v>0</v>
      </c>
      <c r="AL284" s="17">
        <f t="shared" si="309"/>
        <v>0</v>
      </c>
      <c r="AN284" s="34">
        <v>15</v>
      </c>
      <c r="AO284" s="34">
        <f t="shared" si="310"/>
        <v>0</v>
      </c>
      <c r="AP284" s="34">
        <f t="shared" si="311"/>
        <v>0</v>
      </c>
      <c r="AQ284" s="28" t="s">
        <v>13</v>
      </c>
      <c r="AV284" s="34">
        <f t="shared" si="312"/>
        <v>0</v>
      </c>
      <c r="AW284" s="34">
        <f t="shared" si="313"/>
        <v>0</v>
      </c>
      <c r="AX284" s="34">
        <f t="shared" si="314"/>
        <v>0</v>
      </c>
      <c r="AY284" s="35" t="s">
        <v>1709</v>
      </c>
      <c r="AZ284" s="35" t="s">
        <v>1733</v>
      </c>
      <c r="BA284" s="29" t="s">
        <v>1737</v>
      </c>
      <c r="BC284" s="34">
        <f t="shared" si="315"/>
        <v>0</v>
      </c>
      <c r="BD284" s="34">
        <f t="shared" si="316"/>
        <v>0</v>
      </c>
      <c r="BE284" s="34">
        <v>0</v>
      </c>
      <c r="BF284" s="34">
        <f>284</f>
        <v>284</v>
      </c>
      <c r="BH284" s="17">
        <f t="shared" si="317"/>
        <v>0</v>
      </c>
      <c r="BI284" s="17">
        <f t="shared" si="318"/>
        <v>0</v>
      </c>
      <c r="BJ284" s="17">
        <f t="shared" si="319"/>
        <v>0</v>
      </c>
    </row>
    <row r="285" spans="1:62" x14ac:dyDescent="0.2">
      <c r="A285" s="4" t="s">
        <v>247</v>
      </c>
      <c r="B285" s="4" t="s">
        <v>47</v>
      </c>
      <c r="C285" s="240" t="s">
        <v>1323</v>
      </c>
      <c r="D285" s="241"/>
      <c r="E285" s="241"/>
      <c r="F285" s="4" t="s">
        <v>1644</v>
      </c>
      <c r="G285" s="69">
        <v>1</v>
      </c>
      <c r="H285" s="168"/>
      <c r="I285" s="17">
        <f t="shared" si="296"/>
        <v>0</v>
      </c>
      <c r="J285" s="17">
        <f t="shared" si="297"/>
        <v>0</v>
      </c>
      <c r="K285" s="17">
        <f t="shared" si="298"/>
        <v>0</v>
      </c>
      <c r="L285" s="28"/>
      <c r="Z285" s="34">
        <f t="shared" si="299"/>
        <v>0</v>
      </c>
      <c r="AB285" s="34">
        <f t="shared" si="300"/>
        <v>0</v>
      </c>
      <c r="AC285" s="34">
        <f t="shared" si="301"/>
        <v>0</v>
      </c>
      <c r="AD285" s="34">
        <f t="shared" si="302"/>
        <v>0</v>
      </c>
      <c r="AE285" s="34">
        <f t="shared" si="303"/>
        <v>0</v>
      </c>
      <c r="AF285" s="34">
        <f t="shared" si="304"/>
        <v>0</v>
      </c>
      <c r="AG285" s="34">
        <f t="shared" si="305"/>
        <v>0</v>
      </c>
      <c r="AH285" s="34">
        <f t="shared" si="306"/>
        <v>0</v>
      </c>
      <c r="AI285" s="29"/>
      <c r="AJ285" s="17">
        <f t="shared" si="307"/>
        <v>0</v>
      </c>
      <c r="AK285" s="17">
        <f t="shared" si="308"/>
        <v>0</v>
      </c>
      <c r="AL285" s="17">
        <f t="shared" si="309"/>
        <v>0</v>
      </c>
      <c r="AN285" s="34">
        <v>15</v>
      </c>
      <c r="AO285" s="34">
        <f t="shared" si="310"/>
        <v>0</v>
      </c>
      <c r="AP285" s="34">
        <f t="shared" si="311"/>
        <v>0</v>
      </c>
      <c r="AQ285" s="28" t="s">
        <v>13</v>
      </c>
      <c r="AV285" s="34">
        <f t="shared" si="312"/>
        <v>0</v>
      </c>
      <c r="AW285" s="34">
        <f t="shared" si="313"/>
        <v>0</v>
      </c>
      <c r="AX285" s="34">
        <f t="shared" si="314"/>
        <v>0</v>
      </c>
      <c r="AY285" s="35" t="s">
        <v>1709</v>
      </c>
      <c r="AZ285" s="35" t="s">
        <v>1733</v>
      </c>
      <c r="BA285" s="29" t="s">
        <v>1737</v>
      </c>
      <c r="BC285" s="34">
        <f t="shared" si="315"/>
        <v>0</v>
      </c>
      <c r="BD285" s="34">
        <f t="shared" si="316"/>
        <v>0</v>
      </c>
      <c r="BE285" s="34">
        <v>0</v>
      </c>
      <c r="BF285" s="34">
        <f>285</f>
        <v>285</v>
      </c>
      <c r="BH285" s="17">
        <f t="shared" si="317"/>
        <v>0</v>
      </c>
      <c r="BI285" s="17">
        <f t="shared" si="318"/>
        <v>0</v>
      </c>
      <c r="BJ285" s="17">
        <f t="shared" si="319"/>
        <v>0</v>
      </c>
    </row>
    <row r="286" spans="1:62" x14ac:dyDescent="0.2">
      <c r="A286" s="4" t="s">
        <v>248</v>
      </c>
      <c r="B286" s="4" t="s">
        <v>48</v>
      </c>
      <c r="C286" s="240" t="s">
        <v>1324</v>
      </c>
      <c r="D286" s="241"/>
      <c r="E286" s="241"/>
      <c r="F286" s="4" t="s">
        <v>1644</v>
      </c>
      <c r="G286" s="69">
        <v>2</v>
      </c>
      <c r="H286" s="168"/>
      <c r="I286" s="17">
        <f t="shared" si="296"/>
        <v>0</v>
      </c>
      <c r="J286" s="17">
        <f t="shared" si="297"/>
        <v>0</v>
      </c>
      <c r="K286" s="17">
        <f t="shared" si="298"/>
        <v>0</v>
      </c>
      <c r="L286" s="28"/>
      <c r="Z286" s="34">
        <f t="shared" si="299"/>
        <v>0</v>
      </c>
      <c r="AB286" s="34">
        <f t="shared" si="300"/>
        <v>0</v>
      </c>
      <c r="AC286" s="34">
        <f t="shared" si="301"/>
        <v>0</v>
      </c>
      <c r="AD286" s="34">
        <f t="shared" si="302"/>
        <v>0</v>
      </c>
      <c r="AE286" s="34">
        <f t="shared" si="303"/>
        <v>0</v>
      </c>
      <c r="AF286" s="34">
        <f t="shared" si="304"/>
        <v>0</v>
      </c>
      <c r="AG286" s="34">
        <f t="shared" si="305"/>
        <v>0</v>
      </c>
      <c r="AH286" s="34">
        <f t="shared" si="306"/>
        <v>0</v>
      </c>
      <c r="AI286" s="29"/>
      <c r="AJ286" s="17">
        <f t="shared" si="307"/>
        <v>0</v>
      </c>
      <c r="AK286" s="17">
        <f t="shared" si="308"/>
        <v>0</v>
      </c>
      <c r="AL286" s="17">
        <f t="shared" si="309"/>
        <v>0</v>
      </c>
      <c r="AN286" s="34">
        <v>15</v>
      </c>
      <c r="AO286" s="34">
        <f t="shared" si="310"/>
        <v>0</v>
      </c>
      <c r="AP286" s="34">
        <f t="shared" si="311"/>
        <v>0</v>
      </c>
      <c r="AQ286" s="28" t="s">
        <v>13</v>
      </c>
      <c r="AV286" s="34">
        <f t="shared" si="312"/>
        <v>0</v>
      </c>
      <c r="AW286" s="34">
        <f t="shared" si="313"/>
        <v>0</v>
      </c>
      <c r="AX286" s="34">
        <f t="shared" si="314"/>
        <v>0</v>
      </c>
      <c r="AY286" s="35" t="s">
        <v>1709</v>
      </c>
      <c r="AZ286" s="35" t="s">
        <v>1733</v>
      </c>
      <c r="BA286" s="29" t="s">
        <v>1737</v>
      </c>
      <c r="BC286" s="34">
        <f t="shared" si="315"/>
        <v>0</v>
      </c>
      <c r="BD286" s="34">
        <f t="shared" si="316"/>
        <v>0</v>
      </c>
      <c r="BE286" s="34">
        <v>0</v>
      </c>
      <c r="BF286" s="34">
        <f>286</f>
        <v>286</v>
      </c>
      <c r="BH286" s="17">
        <f t="shared" si="317"/>
        <v>0</v>
      </c>
      <c r="BI286" s="17">
        <f t="shared" si="318"/>
        <v>0</v>
      </c>
      <c r="BJ286" s="17">
        <f t="shared" si="319"/>
        <v>0</v>
      </c>
    </row>
    <row r="287" spans="1:62" x14ac:dyDescent="0.2">
      <c r="A287" s="4" t="s">
        <v>249</v>
      </c>
      <c r="B287" s="4" t="s">
        <v>49</v>
      </c>
      <c r="C287" s="240" t="s">
        <v>1325</v>
      </c>
      <c r="D287" s="241"/>
      <c r="E287" s="241"/>
      <c r="F287" s="4" t="s">
        <v>1644</v>
      </c>
      <c r="G287" s="69">
        <v>1</v>
      </c>
      <c r="H287" s="168"/>
      <c r="I287" s="17">
        <f t="shared" si="296"/>
        <v>0</v>
      </c>
      <c r="J287" s="17">
        <f t="shared" si="297"/>
        <v>0</v>
      </c>
      <c r="K287" s="17">
        <f t="shared" si="298"/>
        <v>0</v>
      </c>
      <c r="L287" s="28"/>
      <c r="Z287" s="34">
        <f t="shared" si="299"/>
        <v>0</v>
      </c>
      <c r="AB287" s="34">
        <f t="shared" si="300"/>
        <v>0</v>
      </c>
      <c r="AC287" s="34">
        <f t="shared" si="301"/>
        <v>0</v>
      </c>
      <c r="AD287" s="34">
        <f t="shared" si="302"/>
        <v>0</v>
      </c>
      <c r="AE287" s="34">
        <f t="shared" si="303"/>
        <v>0</v>
      </c>
      <c r="AF287" s="34">
        <f t="shared" si="304"/>
        <v>0</v>
      </c>
      <c r="AG287" s="34">
        <f t="shared" si="305"/>
        <v>0</v>
      </c>
      <c r="AH287" s="34">
        <f t="shared" si="306"/>
        <v>0</v>
      </c>
      <c r="AI287" s="29"/>
      <c r="AJ287" s="17">
        <f t="shared" si="307"/>
        <v>0</v>
      </c>
      <c r="AK287" s="17">
        <f t="shared" si="308"/>
        <v>0</v>
      </c>
      <c r="AL287" s="17">
        <f t="shared" si="309"/>
        <v>0</v>
      </c>
      <c r="AN287" s="34">
        <v>15</v>
      </c>
      <c r="AO287" s="34">
        <f t="shared" si="310"/>
        <v>0</v>
      </c>
      <c r="AP287" s="34">
        <f t="shared" si="311"/>
        <v>0</v>
      </c>
      <c r="AQ287" s="28" t="s">
        <v>13</v>
      </c>
      <c r="AV287" s="34">
        <f t="shared" si="312"/>
        <v>0</v>
      </c>
      <c r="AW287" s="34">
        <f t="shared" si="313"/>
        <v>0</v>
      </c>
      <c r="AX287" s="34">
        <f t="shared" si="314"/>
        <v>0</v>
      </c>
      <c r="AY287" s="35" t="s">
        <v>1709</v>
      </c>
      <c r="AZ287" s="35" t="s">
        <v>1733</v>
      </c>
      <c r="BA287" s="29" t="s">
        <v>1737</v>
      </c>
      <c r="BC287" s="34">
        <f t="shared" si="315"/>
        <v>0</v>
      </c>
      <c r="BD287" s="34">
        <f t="shared" si="316"/>
        <v>0</v>
      </c>
      <c r="BE287" s="34">
        <v>0</v>
      </c>
      <c r="BF287" s="34">
        <f>287</f>
        <v>287</v>
      </c>
      <c r="BH287" s="17">
        <f t="shared" si="317"/>
        <v>0</v>
      </c>
      <c r="BI287" s="17">
        <f t="shared" si="318"/>
        <v>0</v>
      </c>
      <c r="BJ287" s="17">
        <f t="shared" si="319"/>
        <v>0</v>
      </c>
    </row>
    <row r="288" spans="1:62" x14ac:dyDescent="0.2">
      <c r="A288" s="4" t="s">
        <v>250</v>
      </c>
      <c r="B288" s="4" t="s">
        <v>50</v>
      </c>
      <c r="C288" s="240" t="s">
        <v>1297</v>
      </c>
      <c r="D288" s="241"/>
      <c r="E288" s="241"/>
      <c r="F288" s="4" t="s">
        <v>1644</v>
      </c>
      <c r="G288" s="69">
        <v>8</v>
      </c>
      <c r="H288" s="168"/>
      <c r="I288" s="17">
        <f t="shared" si="296"/>
        <v>0</v>
      </c>
      <c r="J288" s="17">
        <f t="shared" si="297"/>
        <v>0</v>
      </c>
      <c r="K288" s="17">
        <f t="shared" si="298"/>
        <v>0</v>
      </c>
      <c r="L288" s="28"/>
      <c r="Z288" s="34">
        <f t="shared" si="299"/>
        <v>0</v>
      </c>
      <c r="AB288" s="34">
        <f t="shared" si="300"/>
        <v>0</v>
      </c>
      <c r="AC288" s="34">
        <f t="shared" si="301"/>
        <v>0</v>
      </c>
      <c r="AD288" s="34">
        <f t="shared" si="302"/>
        <v>0</v>
      </c>
      <c r="AE288" s="34">
        <f t="shared" si="303"/>
        <v>0</v>
      </c>
      <c r="AF288" s="34">
        <f t="shared" si="304"/>
        <v>0</v>
      </c>
      <c r="AG288" s="34">
        <f t="shared" si="305"/>
        <v>0</v>
      </c>
      <c r="AH288" s="34">
        <f t="shared" si="306"/>
        <v>0</v>
      </c>
      <c r="AI288" s="29"/>
      <c r="AJ288" s="17">
        <f t="shared" si="307"/>
        <v>0</v>
      </c>
      <c r="AK288" s="17">
        <f t="shared" si="308"/>
        <v>0</v>
      </c>
      <c r="AL288" s="17">
        <f t="shared" si="309"/>
        <v>0</v>
      </c>
      <c r="AN288" s="34">
        <v>15</v>
      </c>
      <c r="AO288" s="34">
        <f t="shared" si="310"/>
        <v>0</v>
      </c>
      <c r="AP288" s="34">
        <f t="shared" si="311"/>
        <v>0</v>
      </c>
      <c r="AQ288" s="28" t="s">
        <v>13</v>
      </c>
      <c r="AV288" s="34">
        <f t="shared" si="312"/>
        <v>0</v>
      </c>
      <c r="AW288" s="34">
        <f t="shared" si="313"/>
        <v>0</v>
      </c>
      <c r="AX288" s="34">
        <f t="shared" si="314"/>
        <v>0</v>
      </c>
      <c r="AY288" s="35" t="s">
        <v>1709</v>
      </c>
      <c r="AZ288" s="35" t="s">
        <v>1733</v>
      </c>
      <c r="BA288" s="29" t="s">
        <v>1737</v>
      </c>
      <c r="BC288" s="34">
        <f t="shared" si="315"/>
        <v>0</v>
      </c>
      <c r="BD288" s="34">
        <f t="shared" si="316"/>
        <v>0</v>
      </c>
      <c r="BE288" s="34">
        <v>0</v>
      </c>
      <c r="BF288" s="34">
        <f>288</f>
        <v>288</v>
      </c>
      <c r="BH288" s="17">
        <f t="shared" si="317"/>
        <v>0</v>
      </c>
      <c r="BI288" s="17">
        <f t="shared" si="318"/>
        <v>0</v>
      </c>
      <c r="BJ288" s="17">
        <f t="shared" si="319"/>
        <v>0</v>
      </c>
    </row>
    <row r="289" spans="1:62" x14ac:dyDescent="0.2">
      <c r="A289" s="4" t="s">
        <v>251</v>
      </c>
      <c r="B289" s="4" t="s">
        <v>51</v>
      </c>
      <c r="C289" s="240" t="s">
        <v>1326</v>
      </c>
      <c r="D289" s="241"/>
      <c r="E289" s="241"/>
      <c r="F289" s="4" t="s">
        <v>1644</v>
      </c>
      <c r="G289" s="69">
        <v>8</v>
      </c>
      <c r="H289" s="168"/>
      <c r="I289" s="17">
        <f t="shared" si="296"/>
        <v>0</v>
      </c>
      <c r="J289" s="17">
        <f t="shared" si="297"/>
        <v>0</v>
      </c>
      <c r="K289" s="17">
        <f t="shared" si="298"/>
        <v>0</v>
      </c>
      <c r="L289" s="28"/>
      <c r="Z289" s="34">
        <f t="shared" si="299"/>
        <v>0</v>
      </c>
      <c r="AB289" s="34">
        <f t="shared" si="300"/>
        <v>0</v>
      </c>
      <c r="AC289" s="34">
        <f t="shared" si="301"/>
        <v>0</v>
      </c>
      <c r="AD289" s="34">
        <f t="shared" si="302"/>
        <v>0</v>
      </c>
      <c r="AE289" s="34">
        <f t="shared" si="303"/>
        <v>0</v>
      </c>
      <c r="AF289" s="34">
        <f t="shared" si="304"/>
        <v>0</v>
      </c>
      <c r="AG289" s="34">
        <f t="shared" si="305"/>
        <v>0</v>
      </c>
      <c r="AH289" s="34">
        <f t="shared" si="306"/>
        <v>0</v>
      </c>
      <c r="AI289" s="29"/>
      <c r="AJ289" s="17">
        <f t="shared" si="307"/>
        <v>0</v>
      </c>
      <c r="AK289" s="17">
        <f t="shared" si="308"/>
        <v>0</v>
      </c>
      <c r="AL289" s="17">
        <f t="shared" si="309"/>
        <v>0</v>
      </c>
      <c r="AN289" s="34">
        <v>15</v>
      </c>
      <c r="AO289" s="34">
        <f t="shared" si="310"/>
        <v>0</v>
      </c>
      <c r="AP289" s="34">
        <f t="shared" si="311"/>
        <v>0</v>
      </c>
      <c r="AQ289" s="28" t="s">
        <v>13</v>
      </c>
      <c r="AV289" s="34">
        <f t="shared" si="312"/>
        <v>0</v>
      </c>
      <c r="AW289" s="34">
        <f t="shared" si="313"/>
        <v>0</v>
      </c>
      <c r="AX289" s="34">
        <f t="shared" si="314"/>
        <v>0</v>
      </c>
      <c r="AY289" s="35" t="s">
        <v>1709</v>
      </c>
      <c r="AZ289" s="35" t="s">
        <v>1733</v>
      </c>
      <c r="BA289" s="29" t="s">
        <v>1737</v>
      </c>
      <c r="BC289" s="34">
        <f t="shared" si="315"/>
        <v>0</v>
      </c>
      <c r="BD289" s="34">
        <f t="shared" si="316"/>
        <v>0</v>
      </c>
      <c r="BE289" s="34">
        <v>0</v>
      </c>
      <c r="BF289" s="34">
        <f>289</f>
        <v>289</v>
      </c>
      <c r="BH289" s="17">
        <f t="shared" si="317"/>
        <v>0</v>
      </c>
      <c r="BI289" s="17">
        <f t="shared" si="318"/>
        <v>0</v>
      </c>
      <c r="BJ289" s="17">
        <f t="shared" si="319"/>
        <v>0</v>
      </c>
    </row>
    <row r="290" spans="1:62" x14ac:dyDescent="0.2">
      <c r="A290" s="4" t="s">
        <v>252</v>
      </c>
      <c r="B290" s="4" t="s">
        <v>52</v>
      </c>
      <c r="C290" s="240" t="s">
        <v>1327</v>
      </c>
      <c r="D290" s="241"/>
      <c r="E290" s="241"/>
      <c r="F290" s="4" t="s">
        <v>1644</v>
      </c>
      <c r="G290" s="69">
        <v>6</v>
      </c>
      <c r="H290" s="168"/>
      <c r="I290" s="17">
        <f t="shared" si="296"/>
        <v>0</v>
      </c>
      <c r="J290" s="17">
        <f t="shared" si="297"/>
        <v>0</v>
      </c>
      <c r="K290" s="17">
        <f t="shared" si="298"/>
        <v>0</v>
      </c>
      <c r="L290" s="28"/>
      <c r="Z290" s="34">
        <f t="shared" si="299"/>
        <v>0</v>
      </c>
      <c r="AB290" s="34">
        <f t="shared" si="300"/>
        <v>0</v>
      </c>
      <c r="AC290" s="34">
        <f t="shared" si="301"/>
        <v>0</v>
      </c>
      <c r="AD290" s="34">
        <f t="shared" si="302"/>
        <v>0</v>
      </c>
      <c r="AE290" s="34">
        <f t="shared" si="303"/>
        <v>0</v>
      </c>
      <c r="AF290" s="34">
        <f t="shared" si="304"/>
        <v>0</v>
      </c>
      <c r="AG290" s="34">
        <f t="shared" si="305"/>
        <v>0</v>
      </c>
      <c r="AH290" s="34">
        <f t="shared" si="306"/>
        <v>0</v>
      </c>
      <c r="AI290" s="29"/>
      <c r="AJ290" s="17">
        <f t="shared" si="307"/>
        <v>0</v>
      </c>
      <c r="AK290" s="17">
        <f t="shared" si="308"/>
        <v>0</v>
      </c>
      <c r="AL290" s="17">
        <f t="shared" si="309"/>
        <v>0</v>
      </c>
      <c r="AN290" s="34">
        <v>15</v>
      </c>
      <c r="AO290" s="34">
        <f t="shared" si="310"/>
        <v>0</v>
      </c>
      <c r="AP290" s="34">
        <f t="shared" si="311"/>
        <v>0</v>
      </c>
      <c r="AQ290" s="28" t="s">
        <v>13</v>
      </c>
      <c r="AV290" s="34">
        <f t="shared" si="312"/>
        <v>0</v>
      </c>
      <c r="AW290" s="34">
        <f t="shared" si="313"/>
        <v>0</v>
      </c>
      <c r="AX290" s="34">
        <f t="shared" si="314"/>
        <v>0</v>
      </c>
      <c r="AY290" s="35" t="s">
        <v>1709</v>
      </c>
      <c r="AZ290" s="35" t="s">
        <v>1733</v>
      </c>
      <c r="BA290" s="29" t="s">
        <v>1737</v>
      </c>
      <c r="BC290" s="34">
        <f t="shared" si="315"/>
        <v>0</v>
      </c>
      <c r="BD290" s="34">
        <f t="shared" si="316"/>
        <v>0</v>
      </c>
      <c r="BE290" s="34">
        <v>0</v>
      </c>
      <c r="BF290" s="34">
        <f>290</f>
        <v>290</v>
      </c>
      <c r="BH290" s="17">
        <f t="shared" si="317"/>
        <v>0</v>
      </c>
      <c r="BI290" s="17">
        <f t="shared" si="318"/>
        <v>0</v>
      </c>
      <c r="BJ290" s="17">
        <f t="shared" si="319"/>
        <v>0</v>
      </c>
    </row>
    <row r="291" spans="1:62" x14ac:dyDescent="0.2">
      <c r="A291" s="4" t="s">
        <v>253</v>
      </c>
      <c r="B291" s="4" t="s">
        <v>53</v>
      </c>
      <c r="C291" s="240" t="s">
        <v>1294</v>
      </c>
      <c r="D291" s="241"/>
      <c r="E291" s="241"/>
      <c r="F291" s="4" t="s">
        <v>1644</v>
      </c>
      <c r="G291" s="69">
        <v>2</v>
      </c>
      <c r="H291" s="168"/>
      <c r="I291" s="17">
        <f t="shared" si="296"/>
        <v>0</v>
      </c>
      <c r="J291" s="17">
        <f t="shared" si="297"/>
        <v>0</v>
      </c>
      <c r="K291" s="17">
        <f t="shared" si="298"/>
        <v>0</v>
      </c>
      <c r="L291" s="28"/>
      <c r="Z291" s="34">
        <f t="shared" si="299"/>
        <v>0</v>
      </c>
      <c r="AB291" s="34">
        <f t="shared" si="300"/>
        <v>0</v>
      </c>
      <c r="AC291" s="34">
        <f t="shared" si="301"/>
        <v>0</v>
      </c>
      <c r="AD291" s="34">
        <f t="shared" si="302"/>
        <v>0</v>
      </c>
      <c r="AE291" s="34">
        <f t="shared" si="303"/>
        <v>0</v>
      </c>
      <c r="AF291" s="34">
        <f t="shared" si="304"/>
        <v>0</v>
      </c>
      <c r="AG291" s="34">
        <f t="shared" si="305"/>
        <v>0</v>
      </c>
      <c r="AH291" s="34">
        <f t="shared" si="306"/>
        <v>0</v>
      </c>
      <c r="AI291" s="29"/>
      <c r="AJ291" s="17">
        <f t="shared" si="307"/>
        <v>0</v>
      </c>
      <c r="AK291" s="17">
        <f t="shared" si="308"/>
        <v>0</v>
      </c>
      <c r="AL291" s="17">
        <f t="shared" si="309"/>
        <v>0</v>
      </c>
      <c r="AN291" s="34">
        <v>15</v>
      </c>
      <c r="AO291" s="34">
        <f t="shared" si="310"/>
        <v>0</v>
      </c>
      <c r="AP291" s="34">
        <f t="shared" si="311"/>
        <v>0</v>
      </c>
      <c r="AQ291" s="28" t="s">
        <v>13</v>
      </c>
      <c r="AV291" s="34">
        <f t="shared" si="312"/>
        <v>0</v>
      </c>
      <c r="AW291" s="34">
        <f t="shared" si="313"/>
        <v>0</v>
      </c>
      <c r="AX291" s="34">
        <f t="shared" si="314"/>
        <v>0</v>
      </c>
      <c r="AY291" s="35" t="s">
        <v>1709</v>
      </c>
      <c r="AZ291" s="35" t="s">
        <v>1733</v>
      </c>
      <c r="BA291" s="29" t="s">
        <v>1737</v>
      </c>
      <c r="BC291" s="34">
        <f t="shared" si="315"/>
        <v>0</v>
      </c>
      <c r="BD291" s="34">
        <f t="shared" si="316"/>
        <v>0</v>
      </c>
      <c r="BE291" s="34">
        <v>0</v>
      </c>
      <c r="BF291" s="34">
        <f>291</f>
        <v>291</v>
      </c>
      <c r="BH291" s="17">
        <f t="shared" si="317"/>
        <v>0</v>
      </c>
      <c r="BI291" s="17">
        <f t="shared" si="318"/>
        <v>0</v>
      </c>
      <c r="BJ291" s="17">
        <f t="shared" si="319"/>
        <v>0</v>
      </c>
    </row>
    <row r="292" spans="1:62" x14ac:dyDescent="0.2">
      <c r="A292" s="4" t="s">
        <v>254</v>
      </c>
      <c r="B292" s="4" t="s">
        <v>54</v>
      </c>
      <c r="C292" s="240" t="s">
        <v>1295</v>
      </c>
      <c r="D292" s="241"/>
      <c r="E292" s="241"/>
      <c r="F292" s="4" t="s">
        <v>1644</v>
      </c>
      <c r="G292" s="69">
        <v>2</v>
      </c>
      <c r="H292" s="168"/>
      <c r="I292" s="17">
        <f t="shared" si="296"/>
        <v>0</v>
      </c>
      <c r="J292" s="17">
        <f t="shared" si="297"/>
        <v>0</v>
      </c>
      <c r="K292" s="17">
        <f t="shared" si="298"/>
        <v>0</v>
      </c>
      <c r="L292" s="28"/>
      <c r="Z292" s="34">
        <f t="shared" si="299"/>
        <v>0</v>
      </c>
      <c r="AB292" s="34">
        <f t="shared" si="300"/>
        <v>0</v>
      </c>
      <c r="AC292" s="34">
        <f t="shared" si="301"/>
        <v>0</v>
      </c>
      <c r="AD292" s="34">
        <f t="shared" si="302"/>
        <v>0</v>
      </c>
      <c r="AE292" s="34">
        <f t="shared" si="303"/>
        <v>0</v>
      </c>
      <c r="AF292" s="34">
        <f t="shared" si="304"/>
        <v>0</v>
      </c>
      <c r="AG292" s="34">
        <f t="shared" si="305"/>
        <v>0</v>
      </c>
      <c r="AH292" s="34">
        <f t="shared" si="306"/>
        <v>0</v>
      </c>
      <c r="AI292" s="29"/>
      <c r="AJ292" s="17">
        <f t="shared" si="307"/>
        <v>0</v>
      </c>
      <c r="AK292" s="17">
        <f t="shared" si="308"/>
        <v>0</v>
      </c>
      <c r="AL292" s="17">
        <f t="shared" si="309"/>
        <v>0</v>
      </c>
      <c r="AN292" s="34">
        <v>15</v>
      </c>
      <c r="AO292" s="34">
        <f t="shared" si="310"/>
        <v>0</v>
      </c>
      <c r="AP292" s="34">
        <f t="shared" si="311"/>
        <v>0</v>
      </c>
      <c r="AQ292" s="28" t="s">
        <v>13</v>
      </c>
      <c r="AV292" s="34">
        <f t="shared" si="312"/>
        <v>0</v>
      </c>
      <c r="AW292" s="34">
        <f t="shared" si="313"/>
        <v>0</v>
      </c>
      <c r="AX292" s="34">
        <f t="shared" si="314"/>
        <v>0</v>
      </c>
      <c r="AY292" s="35" t="s">
        <v>1709</v>
      </c>
      <c r="AZ292" s="35" t="s">
        <v>1733</v>
      </c>
      <c r="BA292" s="29" t="s">
        <v>1737</v>
      </c>
      <c r="BC292" s="34">
        <f t="shared" si="315"/>
        <v>0</v>
      </c>
      <c r="BD292" s="34">
        <f t="shared" si="316"/>
        <v>0</v>
      </c>
      <c r="BE292" s="34">
        <v>0</v>
      </c>
      <c r="BF292" s="34">
        <f>292</f>
        <v>292</v>
      </c>
      <c r="BH292" s="17">
        <f t="shared" si="317"/>
        <v>0</v>
      </c>
      <c r="BI292" s="17">
        <f t="shared" si="318"/>
        <v>0</v>
      </c>
      <c r="BJ292" s="17">
        <f t="shared" si="319"/>
        <v>0</v>
      </c>
    </row>
    <row r="293" spans="1:62" x14ac:dyDescent="0.2">
      <c r="A293" s="4" t="s">
        <v>255</v>
      </c>
      <c r="B293" s="4" t="s">
        <v>55</v>
      </c>
      <c r="C293" s="240" t="s">
        <v>1328</v>
      </c>
      <c r="D293" s="241"/>
      <c r="E293" s="241"/>
      <c r="F293" s="4" t="s">
        <v>1644</v>
      </c>
      <c r="G293" s="69">
        <v>22</v>
      </c>
      <c r="H293" s="168"/>
      <c r="I293" s="17">
        <f t="shared" si="296"/>
        <v>0</v>
      </c>
      <c r="J293" s="17">
        <f t="shared" si="297"/>
        <v>0</v>
      </c>
      <c r="K293" s="17">
        <f t="shared" si="298"/>
        <v>0</v>
      </c>
      <c r="L293" s="28"/>
      <c r="Z293" s="34">
        <f t="shared" si="299"/>
        <v>0</v>
      </c>
      <c r="AB293" s="34">
        <f t="shared" si="300"/>
        <v>0</v>
      </c>
      <c r="AC293" s="34">
        <f t="shared" si="301"/>
        <v>0</v>
      </c>
      <c r="AD293" s="34">
        <f t="shared" si="302"/>
        <v>0</v>
      </c>
      <c r="AE293" s="34">
        <f t="shared" si="303"/>
        <v>0</v>
      </c>
      <c r="AF293" s="34">
        <f t="shared" si="304"/>
        <v>0</v>
      </c>
      <c r="AG293" s="34">
        <f t="shared" si="305"/>
        <v>0</v>
      </c>
      <c r="AH293" s="34">
        <f t="shared" si="306"/>
        <v>0</v>
      </c>
      <c r="AI293" s="29"/>
      <c r="AJ293" s="17">
        <f t="shared" si="307"/>
        <v>0</v>
      </c>
      <c r="AK293" s="17">
        <f t="shared" si="308"/>
        <v>0</v>
      </c>
      <c r="AL293" s="17">
        <f t="shared" si="309"/>
        <v>0</v>
      </c>
      <c r="AN293" s="34">
        <v>15</v>
      </c>
      <c r="AO293" s="34">
        <f t="shared" si="310"/>
        <v>0</v>
      </c>
      <c r="AP293" s="34">
        <f t="shared" si="311"/>
        <v>0</v>
      </c>
      <c r="AQ293" s="28" t="s">
        <v>13</v>
      </c>
      <c r="AV293" s="34">
        <f t="shared" si="312"/>
        <v>0</v>
      </c>
      <c r="AW293" s="34">
        <f t="shared" si="313"/>
        <v>0</v>
      </c>
      <c r="AX293" s="34">
        <f t="shared" si="314"/>
        <v>0</v>
      </c>
      <c r="AY293" s="35" t="s">
        <v>1709</v>
      </c>
      <c r="AZ293" s="35" t="s">
        <v>1733</v>
      </c>
      <c r="BA293" s="29" t="s">
        <v>1737</v>
      </c>
      <c r="BC293" s="34">
        <f t="shared" si="315"/>
        <v>0</v>
      </c>
      <c r="BD293" s="34">
        <f t="shared" si="316"/>
        <v>0</v>
      </c>
      <c r="BE293" s="34">
        <v>0</v>
      </c>
      <c r="BF293" s="34">
        <f>293</f>
        <v>293</v>
      </c>
      <c r="BH293" s="17">
        <f t="shared" si="317"/>
        <v>0</v>
      </c>
      <c r="BI293" s="17">
        <f t="shared" si="318"/>
        <v>0</v>
      </c>
      <c r="BJ293" s="17">
        <f t="shared" si="319"/>
        <v>0</v>
      </c>
    </row>
    <row r="294" spans="1:62" x14ac:dyDescent="0.2">
      <c r="A294" s="4" t="s">
        <v>256</v>
      </c>
      <c r="B294" s="4" t="s">
        <v>56</v>
      </c>
      <c r="C294" s="240" t="s">
        <v>1329</v>
      </c>
      <c r="D294" s="241"/>
      <c r="E294" s="241"/>
      <c r="F294" s="4" t="s">
        <v>1644</v>
      </c>
      <c r="G294" s="69">
        <v>1</v>
      </c>
      <c r="H294" s="168"/>
      <c r="I294" s="17">
        <f t="shared" si="296"/>
        <v>0</v>
      </c>
      <c r="J294" s="17">
        <f t="shared" si="297"/>
        <v>0</v>
      </c>
      <c r="K294" s="17">
        <f t="shared" si="298"/>
        <v>0</v>
      </c>
      <c r="L294" s="28"/>
      <c r="Z294" s="34">
        <f t="shared" si="299"/>
        <v>0</v>
      </c>
      <c r="AB294" s="34">
        <f t="shared" si="300"/>
        <v>0</v>
      </c>
      <c r="AC294" s="34">
        <f t="shared" si="301"/>
        <v>0</v>
      </c>
      <c r="AD294" s="34">
        <f t="shared" si="302"/>
        <v>0</v>
      </c>
      <c r="AE294" s="34">
        <f t="shared" si="303"/>
        <v>0</v>
      </c>
      <c r="AF294" s="34">
        <f t="shared" si="304"/>
        <v>0</v>
      </c>
      <c r="AG294" s="34">
        <f t="shared" si="305"/>
        <v>0</v>
      </c>
      <c r="AH294" s="34">
        <f t="shared" si="306"/>
        <v>0</v>
      </c>
      <c r="AI294" s="29"/>
      <c r="AJ294" s="17">
        <f t="shared" si="307"/>
        <v>0</v>
      </c>
      <c r="AK294" s="17">
        <f t="shared" si="308"/>
        <v>0</v>
      </c>
      <c r="AL294" s="17">
        <f t="shared" si="309"/>
        <v>0</v>
      </c>
      <c r="AN294" s="34">
        <v>15</v>
      </c>
      <c r="AO294" s="34">
        <f t="shared" si="310"/>
        <v>0</v>
      </c>
      <c r="AP294" s="34">
        <f t="shared" si="311"/>
        <v>0</v>
      </c>
      <c r="AQ294" s="28" t="s">
        <v>13</v>
      </c>
      <c r="AV294" s="34">
        <f t="shared" si="312"/>
        <v>0</v>
      </c>
      <c r="AW294" s="34">
        <f t="shared" si="313"/>
        <v>0</v>
      </c>
      <c r="AX294" s="34">
        <f t="shared" si="314"/>
        <v>0</v>
      </c>
      <c r="AY294" s="35" t="s">
        <v>1709</v>
      </c>
      <c r="AZ294" s="35" t="s">
        <v>1733</v>
      </c>
      <c r="BA294" s="29" t="s">
        <v>1737</v>
      </c>
      <c r="BC294" s="34">
        <f t="shared" si="315"/>
        <v>0</v>
      </c>
      <c r="BD294" s="34">
        <f t="shared" si="316"/>
        <v>0</v>
      </c>
      <c r="BE294" s="34">
        <v>0</v>
      </c>
      <c r="BF294" s="34">
        <f>294</f>
        <v>294</v>
      </c>
      <c r="BH294" s="17">
        <f t="shared" si="317"/>
        <v>0</v>
      </c>
      <c r="BI294" s="17">
        <f t="shared" si="318"/>
        <v>0</v>
      </c>
      <c r="BJ294" s="17">
        <f t="shared" si="319"/>
        <v>0</v>
      </c>
    </row>
    <row r="295" spans="1:62" x14ac:dyDescent="0.2">
      <c r="A295" s="4" t="s">
        <v>257</v>
      </c>
      <c r="B295" s="4" t="s">
        <v>57</v>
      </c>
      <c r="C295" s="240" t="s">
        <v>1330</v>
      </c>
      <c r="D295" s="241"/>
      <c r="E295" s="241"/>
      <c r="F295" s="4" t="s">
        <v>1646</v>
      </c>
      <c r="G295" s="69">
        <v>60</v>
      </c>
      <c r="H295" s="168"/>
      <c r="I295" s="17">
        <f t="shared" si="296"/>
        <v>0</v>
      </c>
      <c r="J295" s="17">
        <f t="shared" si="297"/>
        <v>0</v>
      </c>
      <c r="K295" s="17">
        <f t="shared" si="298"/>
        <v>0</v>
      </c>
      <c r="L295" s="28"/>
      <c r="Z295" s="34">
        <f t="shared" si="299"/>
        <v>0</v>
      </c>
      <c r="AB295" s="34">
        <f t="shared" si="300"/>
        <v>0</v>
      </c>
      <c r="AC295" s="34">
        <f t="shared" si="301"/>
        <v>0</v>
      </c>
      <c r="AD295" s="34">
        <f t="shared" si="302"/>
        <v>0</v>
      </c>
      <c r="AE295" s="34">
        <f t="shared" si="303"/>
        <v>0</v>
      </c>
      <c r="AF295" s="34">
        <f t="shared" si="304"/>
        <v>0</v>
      </c>
      <c r="AG295" s="34">
        <f t="shared" si="305"/>
        <v>0</v>
      </c>
      <c r="AH295" s="34">
        <f t="shared" si="306"/>
        <v>0</v>
      </c>
      <c r="AI295" s="29"/>
      <c r="AJ295" s="17">
        <f t="shared" si="307"/>
        <v>0</v>
      </c>
      <c r="AK295" s="17">
        <f t="shared" si="308"/>
        <v>0</v>
      </c>
      <c r="AL295" s="17">
        <f t="shared" si="309"/>
        <v>0</v>
      </c>
      <c r="AN295" s="34">
        <v>15</v>
      </c>
      <c r="AO295" s="34">
        <f t="shared" si="310"/>
        <v>0</v>
      </c>
      <c r="AP295" s="34">
        <f t="shared" si="311"/>
        <v>0</v>
      </c>
      <c r="AQ295" s="28" t="s">
        <v>13</v>
      </c>
      <c r="AV295" s="34">
        <f t="shared" si="312"/>
        <v>0</v>
      </c>
      <c r="AW295" s="34">
        <f t="shared" si="313"/>
        <v>0</v>
      </c>
      <c r="AX295" s="34">
        <f t="shared" si="314"/>
        <v>0</v>
      </c>
      <c r="AY295" s="35" t="s">
        <v>1709</v>
      </c>
      <c r="AZ295" s="35" t="s">
        <v>1733</v>
      </c>
      <c r="BA295" s="29" t="s">
        <v>1737</v>
      </c>
      <c r="BC295" s="34">
        <f t="shared" si="315"/>
        <v>0</v>
      </c>
      <c r="BD295" s="34">
        <f t="shared" si="316"/>
        <v>0</v>
      </c>
      <c r="BE295" s="34">
        <v>0</v>
      </c>
      <c r="BF295" s="34">
        <f>295</f>
        <v>295</v>
      </c>
      <c r="BH295" s="17">
        <f t="shared" si="317"/>
        <v>0</v>
      </c>
      <c r="BI295" s="17">
        <f t="shared" si="318"/>
        <v>0</v>
      </c>
      <c r="BJ295" s="17">
        <f t="shared" si="319"/>
        <v>0</v>
      </c>
    </row>
    <row r="296" spans="1:62" x14ac:dyDescent="0.2">
      <c r="A296" s="4" t="s">
        <v>258</v>
      </c>
      <c r="B296" s="4" t="s">
        <v>58</v>
      </c>
      <c r="C296" s="240" t="s">
        <v>1331</v>
      </c>
      <c r="D296" s="241"/>
      <c r="E296" s="241"/>
      <c r="F296" s="4" t="s">
        <v>1646</v>
      </c>
      <c r="G296" s="69">
        <v>24</v>
      </c>
      <c r="H296" s="168"/>
      <c r="I296" s="17">
        <f t="shared" si="296"/>
        <v>0</v>
      </c>
      <c r="J296" s="17">
        <f t="shared" si="297"/>
        <v>0</v>
      </c>
      <c r="K296" s="17">
        <f t="shared" si="298"/>
        <v>0</v>
      </c>
      <c r="L296" s="28"/>
      <c r="Z296" s="34">
        <f t="shared" si="299"/>
        <v>0</v>
      </c>
      <c r="AB296" s="34">
        <f t="shared" si="300"/>
        <v>0</v>
      </c>
      <c r="AC296" s="34">
        <f t="shared" si="301"/>
        <v>0</v>
      </c>
      <c r="AD296" s="34">
        <f t="shared" si="302"/>
        <v>0</v>
      </c>
      <c r="AE296" s="34">
        <f t="shared" si="303"/>
        <v>0</v>
      </c>
      <c r="AF296" s="34">
        <f t="shared" si="304"/>
        <v>0</v>
      </c>
      <c r="AG296" s="34">
        <f t="shared" si="305"/>
        <v>0</v>
      </c>
      <c r="AH296" s="34">
        <f t="shared" si="306"/>
        <v>0</v>
      </c>
      <c r="AI296" s="29"/>
      <c r="AJ296" s="17">
        <f t="shared" si="307"/>
        <v>0</v>
      </c>
      <c r="AK296" s="17">
        <f t="shared" si="308"/>
        <v>0</v>
      </c>
      <c r="AL296" s="17">
        <f t="shared" si="309"/>
        <v>0</v>
      </c>
      <c r="AN296" s="34">
        <v>15</v>
      </c>
      <c r="AO296" s="34">
        <f t="shared" si="310"/>
        <v>0</v>
      </c>
      <c r="AP296" s="34">
        <f t="shared" si="311"/>
        <v>0</v>
      </c>
      <c r="AQ296" s="28" t="s">
        <v>13</v>
      </c>
      <c r="AV296" s="34">
        <f t="shared" si="312"/>
        <v>0</v>
      </c>
      <c r="AW296" s="34">
        <f t="shared" si="313"/>
        <v>0</v>
      </c>
      <c r="AX296" s="34">
        <f t="shared" si="314"/>
        <v>0</v>
      </c>
      <c r="AY296" s="35" t="s">
        <v>1709</v>
      </c>
      <c r="AZ296" s="35" t="s">
        <v>1733</v>
      </c>
      <c r="BA296" s="29" t="s">
        <v>1737</v>
      </c>
      <c r="BC296" s="34">
        <f t="shared" si="315"/>
        <v>0</v>
      </c>
      <c r="BD296" s="34">
        <f t="shared" si="316"/>
        <v>0</v>
      </c>
      <c r="BE296" s="34">
        <v>0</v>
      </c>
      <c r="BF296" s="34">
        <f>296</f>
        <v>296</v>
      </c>
      <c r="BH296" s="17">
        <f t="shared" si="317"/>
        <v>0</v>
      </c>
      <c r="BI296" s="17">
        <f t="shared" si="318"/>
        <v>0</v>
      </c>
      <c r="BJ296" s="17">
        <f t="shared" si="319"/>
        <v>0</v>
      </c>
    </row>
    <row r="297" spans="1:62" x14ac:dyDescent="0.2">
      <c r="A297" s="4" t="s">
        <v>259</v>
      </c>
      <c r="B297" s="4" t="s">
        <v>59</v>
      </c>
      <c r="C297" s="240" t="s">
        <v>1332</v>
      </c>
      <c r="D297" s="241"/>
      <c r="E297" s="241"/>
      <c r="F297" s="4" t="s">
        <v>1646</v>
      </c>
      <c r="G297" s="69">
        <v>4</v>
      </c>
      <c r="H297" s="168"/>
      <c r="I297" s="17">
        <f t="shared" si="296"/>
        <v>0</v>
      </c>
      <c r="J297" s="17">
        <f t="shared" si="297"/>
        <v>0</v>
      </c>
      <c r="K297" s="17">
        <f t="shared" si="298"/>
        <v>0</v>
      </c>
      <c r="L297" s="28"/>
      <c r="Z297" s="34">
        <f t="shared" si="299"/>
        <v>0</v>
      </c>
      <c r="AB297" s="34">
        <f t="shared" si="300"/>
        <v>0</v>
      </c>
      <c r="AC297" s="34">
        <f t="shared" si="301"/>
        <v>0</v>
      </c>
      <c r="AD297" s="34">
        <f t="shared" si="302"/>
        <v>0</v>
      </c>
      <c r="AE297" s="34">
        <f t="shared" si="303"/>
        <v>0</v>
      </c>
      <c r="AF297" s="34">
        <f t="shared" si="304"/>
        <v>0</v>
      </c>
      <c r="AG297" s="34">
        <f t="shared" si="305"/>
        <v>0</v>
      </c>
      <c r="AH297" s="34">
        <f t="shared" si="306"/>
        <v>0</v>
      </c>
      <c r="AI297" s="29"/>
      <c r="AJ297" s="17">
        <f t="shared" si="307"/>
        <v>0</v>
      </c>
      <c r="AK297" s="17">
        <f t="shared" si="308"/>
        <v>0</v>
      </c>
      <c r="AL297" s="17">
        <f t="shared" si="309"/>
        <v>0</v>
      </c>
      <c r="AN297" s="34">
        <v>15</v>
      </c>
      <c r="AO297" s="34">
        <f t="shared" si="310"/>
        <v>0</v>
      </c>
      <c r="AP297" s="34">
        <f t="shared" si="311"/>
        <v>0</v>
      </c>
      <c r="AQ297" s="28" t="s">
        <v>13</v>
      </c>
      <c r="AV297" s="34">
        <f t="shared" si="312"/>
        <v>0</v>
      </c>
      <c r="AW297" s="34">
        <f t="shared" si="313"/>
        <v>0</v>
      </c>
      <c r="AX297" s="34">
        <f t="shared" si="314"/>
        <v>0</v>
      </c>
      <c r="AY297" s="35" t="s">
        <v>1709</v>
      </c>
      <c r="AZ297" s="35" t="s">
        <v>1733</v>
      </c>
      <c r="BA297" s="29" t="s">
        <v>1737</v>
      </c>
      <c r="BC297" s="34">
        <f t="shared" si="315"/>
        <v>0</v>
      </c>
      <c r="BD297" s="34">
        <f t="shared" si="316"/>
        <v>0</v>
      </c>
      <c r="BE297" s="34">
        <v>0</v>
      </c>
      <c r="BF297" s="34">
        <f>297</f>
        <v>297</v>
      </c>
      <c r="BH297" s="17">
        <f t="shared" si="317"/>
        <v>0</v>
      </c>
      <c r="BI297" s="17">
        <f t="shared" si="318"/>
        <v>0</v>
      </c>
      <c r="BJ297" s="17">
        <f t="shared" si="319"/>
        <v>0</v>
      </c>
    </row>
    <row r="298" spans="1:62" x14ac:dyDescent="0.2">
      <c r="A298" s="4" t="s">
        <v>260</v>
      </c>
      <c r="B298" s="4" t="s">
        <v>60</v>
      </c>
      <c r="C298" s="240" t="s">
        <v>1333</v>
      </c>
      <c r="D298" s="241"/>
      <c r="E298" s="241"/>
      <c r="F298" s="4" t="s">
        <v>1646</v>
      </c>
      <c r="G298" s="69">
        <v>60</v>
      </c>
      <c r="H298" s="168"/>
      <c r="I298" s="17">
        <f t="shared" si="296"/>
        <v>0</v>
      </c>
      <c r="J298" s="17">
        <f t="shared" si="297"/>
        <v>0</v>
      </c>
      <c r="K298" s="17">
        <f t="shared" si="298"/>
        <v>0</v>
      </c>
      <c r="L298" s="28"/>
      <c r="Z298" s="34">
        <f t="shared" si="299"/>
        <v>0</v>
      </c>
      <c r="AB298" s="34">
        <f t="shared" si="300"/>
        <v>0</v>
      </c>
      <c r="AC298" s="34">
        <f t="shared" si="301"/>
        <v>0</v>
      </c>
      <c r="AD298" s="34">
        <f t="shared" si="302"/>
        <v>0</v>
      </c>
      <c r="AE298" s="34">
        <f t="shared" si="303"/>
        <v>0</v>
      </c>
      <c r="AF298" s="34">
        <f t="shared" si="304"/>
        <v>0</v>
      </c>
      <c r="AG298" s="34">
        <f t="shared" si="305"/>
        <v>0</v>
      </c>
      <c r="AH298" s="34">
        <f t="shared" si="306"/>
        <v>0</v>
      </c>
      <c r="AI298" s="29"/>
      <c r="AJ298" s="17">
        <f t="shared" si="307"/>
        <v>0</v>
      </c>
      <c r="AK298" s="17">
        <f t="shared" si="308"/>
        <v>0</v>
      </c>
      <c r="AL298" s="17">
        <f t="shared" si="309"/>
        <v>0</v>
      </c>
      <c r="AN298" s="34">
        <v>15</v>
      </c>
      <c r="AO298" s="34">
        <f t="shared" si="310"/>
        <v>0</v>
      </c>
      <c r="AP298" s="34">
        <f t="shared" si="311"/>
        <v>0</v>
      </c>
      <c r="AQ298" s="28" t="s">
        <v>13</v>
      </c>
      <c r="AV298" s="34">
        <f t="shared" si="312"/>
        <v>0</v>
      </c>
      <c r="AW298" s="34">
        <f t="shared" si="313"/>
        <v>0</v>
      </c>
      <c r="AX298" s="34">
        <f t="shared" si="314"/>
        <v>0</v>
      </c>
      <c r="AY298" s="35" t="s">
        <v>1709</v>
      </c>
      <c r="AZ298" s="35" t="s">
        <v>1733</v>
      </c>
      <c r="BA298" s="29" t="s">
        <v>1737</v>
      </c>
      <c r="BC298" s="34">
        <f t="shared" si="315"/>
        <v>0</v>
      </c>
      <c r="BD298" s="34">
        <f t="shared" si="316"/>
        <v>0</v>
      </c>
      <c r="BE298" s="34">
        <v>0</v>
      </c>
      <c r="BF298" s="34">
        <f>298</f>
        <v>298</v>
      </c>
      <c r="BH298" s="17">
        <f t="shared" si="317"/>
        <v>0</v>
      </c>
      <c r="BI298" s="17">
        <f t="shared" si="318"/>
        <v>0</v>
      </c>
      <c r="BJ298" s="17">
        <f t="shared" si="319"/>
        <v>0</v>
      </c>
    </row>
    <row r="299" spans="1:62" x14ac:dyDescent="0.2">
      <c r="A299" s="4" t="s">
        <v>261</v>
      </c>
      <c r="B299" s="4" t="s">
        <v>61</v>
      </c>
      <c r="C299" s="240" t="s">
        <v>1334</v>
      </c>
      <c r="D299" s="241"/>
      <c r="E299" s="241"/>
      <c r="F299" s="4" t="s">
        <v>1646</v>
      </c>
      <c r="G299" s="69">
        <v>24</v>
      </c>
      <c r="H299" s="168"/>
      <c r="I299" s="17">
        <f t="shared" si="296"/>
        <v>0</v>
      </c>
      <c r="J299" s="17">
        <f t="shared" si="297"/>
        <v>0</v>
      </c>
      <c r="K299" s="17">
        <f t="shared" si="298"/>
        <v>0</v>
      </c>
      <c r="L299" s="28"/>
      <c r="Z299" s="34">
        <f t="shared" si="299"/>
        <v>0</v>
      </c>
      <c r="AB299" s="34">
        <f t="shared" si="300"/>
        <v>0</v>
      </c>
      <c r="AC299" s="34">
        <f t="shared" si="301"/>
        <v>0</v>
      </c>
      <c r="AD299" s="34">
        <f t="shared" si="302"/>
        <v>0</v>
      </c>
      <c r="AE299" s="34">
        <f t="shared" si="303"/>
        <v>0</v>
      </c>
      <c r="AF299" s="34">
        <f t="shared" si="304"/>
        <v>0</v>
      </c>
      <c r="AG299" s="34">
        <f t="shared" si="305"/>
        <v>0</v>
      </c>
      <c r="AH299" s="34">
        <f t="shared" si="306"/>
        <v>0</v>
      </c>
      <c r="AI299" s="29"/>
      <c r="AJ299" s="17">
        <f t="shared" si="307"/>
        <v>0</v>
      </c>
      <c r="AK299" s="17">
        <f t="shared" si="308"/>
        <v>0</v>
      </c>
      <c r="AL299" s="17">
        <f t="shared" si="309"/>
        <v>0</v>
      </c>
      <c r="AN299" s="34">
        <v>15</v>
      </c>
      <c r="AO299" s="34">
        <f t="shared" si="310"/>
        <v>0</v>
      </c>
      <c r="AP299" s="34">
        <f t="shared" si="311"/>
        <v>0</v>
      </c>
      <c r="AQ299" s="28" t="s">
        <v>13</v>
      </c>
      <c r="AV299" s="34">
        <f t="shared" si="312"/>
        <v>0</v>
      </c>
      <c r="AW299" s="34">
        <f t="shared" si="313"/>
        <v>0</v>
      </c>
      <c r="AX299" s="34">
        <f t="shared" si="314"/>
        <v>0</v>
      </c>
      <c r="AY299" s="35" t="s">
        <v>1709</v>
      </c>
      <c r="AZ299" s="35" t="s">
        <v>1733</v>
      </c>
      <c r="BA299" s="29" t="s">
        <v>1737</v>
      </c>
      <c r="BC299" s="34">
        <f t="shared" si="315"/>
        <v>0</v>
      </c>
      <c r="BD299" s="34">
        <f t="shared" si="316"/>
        <v>0</v>
      </c>
      <c r="BE299" s="34">
        <v>0</v>
      </c>
      <c r="BF299" s="34">
        <f>299</f>
        <v>299</v>
      </c>
      <c r="BH299" s="17">
        <f t="shared" si="317"/>
        <v>0</v>
      </c>
      <c r="BI299" s="17">
        <f t="shared" si="318"/>
        <v>0</v>
      </c>
      <c r="BJ299" s="17">
        <f t="shared" si="319"/>
        <v>0</v>
      </c>
    </row>
    <row r="300" spans="1:62" x14ac:dyDescent="0.2">
      <c r="A300" s="4" t="s">
        <v>262</v>
      </c>
      <c r="B300" s="4" t="s">
        <v>62</v>
      </c>
      <c r="C300" s="240" t="s">
        <v>1335</v>
      </c>
      <c r="D300" s="241"/>
      <c r="E300" s="241"/>
      <c r="F300" s="4" t="s">
        <v>1645</v>
      </c>
      <c r="G300" s="69">
        <v>0.7</v>
      </c>
      <c r="H300" s="168"/>
      <c r="I300" s="17">
        <f t="shared" si="296"/>
        <v>0</v>
      </c>
      <c r="J300" s="17">
        <f t="shared" si="297"/>
        <v>0</v>
      </c>
      <c r="K300" s="17">
        <f t="shared" si="298"/>
        <v>0</v>
      </c>
      <c r="L300" s="28"/>
      <c r="Z300" s="34">
        <f t="shared" si="299"/>
        <v>0</v>
      </c>
      <c r="AB300" s="34">
        <f t="shared" si="300"/>
        <v>0</v>
      </c>
      <c r="AC300" s="34">
        <f t="shared" si="301"/>
        <v>0</v>
      </c>
      <c r="AD300" s="34">
        <f t="shared" si="302"/>
        <v>0</v>
      </c>
      <c r="AE300" s="34">
        <f t="shared" si="303"/>
        <v>0</v>
      </c>
      <c r="AF300" s="34">
        <f t="shared" si="304"/>
        <v>0</v>
      </c>
      <c r="AG300" s="34">
        <f t="shared" si="305"/>
        <v>0</v>
      </c>
      <c r="AH300" s="34">
        <f t="shared" si="306"/>
        <v>0</v>
      </c>
      <c r="AI300" s="29"/>
      <c r="AJ300" s="17">
        <f t="shared" si="307"/>
        <v>0</v>
      </c>
      <c r="AK300" s="17">
        <f t="shared" si="308"/>
        <v>0</v>
      </c>
      <c r="AL300" s="17">
        <f t="shared" si="309"/>
        <v>0</v>
      </c>
      <c r="AN300" s="34">
        <v>15</v>
      </c>
      <c r="AO300" s="34">
        <f t="shared" si="310"/>
        <v>0</v>
      </c>
      <c r="AP300" s="34">
        <f t="shared" si="311"/>
        <v>0</v>
      </c>
      <c r="AQ300" s="28" t="s">
        <v>13</v>
      </c>
      <c r="AV300" s="34">
        <f t="shared" si="312"/>
        <v>0</v>
      </c>
      <c r="AW300" s="34">
        <f t="shared" si="313"/>
        <v>0</v>
      </c>
      <c r="AX300" s="34">
        <f t="shared" si="314"/>
        <v>0</v>
      </c>
      <c r="AY300" s="35" t="s">
        <v>1709</v>
      </c>
      <c r="AZ300" s="35" t="s">
        <v>1733</v>
      </c>
      <c r="BA300" s="29" t="s">
        <v>1737</v>
      </c>
      <c r="BC300" s="34">
        <f t="shared" si="315"/>
        <v>0</v>
      </c>
      <c r="BD300" s="34">
        <f t="shared" si="316"/>
        <v>0</v>
      </c>
      <c r="BE300" s="34">
        <v>0</v>
      </c>
      <c r="BF300" s="34">
        <f>300</f>
        <v>300</v>
      </c>
      <c r="BH300" s="17">
        <f t="shared" si="317"/>
        <v>0</v>
      </c>
      <c r="BI300" s="17">
        <f t="shared" si="318"/>
        <v>0</v>
      </c>
      <c r="BJ300" s="17">
        <f t="shared" si="319"/>
        <v>0</v>
      </c>
    </row>
    <row r="301" spans="1:62" x14ac:dyDescent="0.2">
      <c r="A301" s="4" t="s">
        <v>263</v>
      </c>
      <c r="B301" s="4" t="s">
        <v>63</v>
      </c>
      <c r="C301" s="240" t="s">
        <v>1336</v>
      </c>
      <c r="D301" s="241"/>
      <c r="E301" s="241"/>
      <c r="F301" s="4" t="s">
        <v>1644</v>
      </c>
      <c r="G301" s="69">
        <v>1</v>
      </c>
      <c r="H301" s="168"/>
      <c r="I301" s="17">
        <f t="shared" si="296"/>
        <v>0</v>
      </c>
      <c r="J301" s="17">
        <f t="shared" si="297"/>
        <v>0</v>
      </c>
      <c r="K301" s="17">
        <f t="shared" si="298"/>
        <v>0</v>
      </c>
      <c r="L301" s="28"/>
      <c r="Z301" s="34">
        <f t="shared" si="299"/>
        <v>0</v>
      </c>
      <c r="AB301" s="34">
        <f t="shared" si="300"/>
        <v>0</v>
      </c>
      <c r="AC301" s="34">
        <f t="shared" si="301"/>
        <v>0</v>
      </c>
      <c r="AD301" s="34">
        <f t="shared" si="302"/>
        <v>0</v>
      </c>
      <c r="AE301" s="34">
        <f t="shared" si="303"/>
        <v>0</v>
      </c>
      <c r="AF301" s="34">
        <f t="shared" si="304"/>
        <v>0</v>
      </c>
      <c r="AG301" s="34">
        <f t="shared" si="305"/>
        <v>0</v>
      </c>
      <c r="AH301" s="34">
        <f t="shared" si="306"/>
        <v>0</v>
      </c>
      <c r="AI301" s="29"/>
      <c r="AJ301" s="17">
        <f t="shared" si="307"/>
        <v>0</v>
      </c>
      <c r="AK301" s="17">
        <f t="shared" si="308"/>
        <v>0</v>
      </c>
      <c r="AL301" s="17">
        <f t="shared" si="309"/>
        <v>0</v>
      </c>
      <c r="AN301" s="34">
        <v>15</v>
      </c>
      <c r="AO301" s="34">
        <f t="shared" si="310"/>
        <v>0</v>
      </c>
      <c r="AP301" s="34">
        <f t="shared" si="311"/>
        <v>0</v>
      </c>
      <c r="AQ301" s="28" t="s">
        <v>13</v>
      </c>
      <c r="AV301" s="34">
        <f t="shared" si="312"/>
        <v>0</v>
      </c>
      <c r="AW301" s="34">
        <f t="shared" si="313"/>
        <v>0</v>
      </c>
      <c r="AX301" s="34">
        <f t="shared" si="314"/>
        <v>0</v>
      </c>
      <c r="AY301" s="35" t="s">
        <v>1709</v>
      </c>
      <c r="AZ301" s="35" t="s">
        <v>1733</v>
      </c>
      <c r="BA301" s="29" t="s">
        <v>1737</v>
      </c>
      <c r="BC301" s="34">
        <f t="shared" si="315"/>
        <v>0</v>
      </c>
      <c r="BD301" s="34">
        <f t="shared" si="316"/>
        <v>0</v>
      </c>
      <c r="BE301" s="34">
        <v>0</v>
      </c>
      <c r="BF301" s="34">
        <f>301</f>
        <v>301</v>
      </c>
      <c r="BH301" s="17">
        <f t="shared" si="317"/>
        <v>0</v>
      </c>
      <c r="BI301" s="17">
        <f t="shared" si="318"/>
        <v>0</v>
      </c>
      <c r="BJ301" s="17">
        <f t="shared" si="319"/>
        <v>0</v>
      </c>
    </row>
    <row r="302" spans="1:62" x14ac:dyDescent="0.2">
      <c r="A302" s="4" t="s">
        <v>264</v>
      </c>
      <c r="B302" s="4" t="s">
        <v>64</v>
      </c>
      <c r="C302" s="240" t="s">
        <v>1337</v>
      </c>
      <c r="D302" s="241"/>
      <c r="E302" s="241"/>
      <c r="F302" s="4" t="s">
        <v>1644</v>
      </c>
      <c r="G302" s="69">
        <v>1</v>
      </c>
      <c r="H302" s="168"/>
      <c r="I302" s="17">
        <f t="shared" si="296"/>
        <v>0</v>
      </c>
      <c r="J302" s="17">
        <f t="shared" si="297"/>
        <v>0</v>
      </c>
      <c r="K302" s="17">
        <f t="shared" si="298"/>
        <v>0</v>
      </c>
      <c r="L302" s="28"/>
      <c r="Z302" s="34">
        <f t="shared" si="299"/>
        <v>0</v>
      </c>
      <c r="AB302" s="34">
        <f t="shared" si="300"/>
        <v>0</v>
      </c>
      <c r="AC302" s="34">
        <f t="shared" si="301"/>
        <v>0</v>
      </c>
      <c r="AD302" s="34">
        <f t="shared" si="302"/>
        <v>0</v>
      </c>
      <c r="AE302" s="34">
        <f t="shared" si="303"/>
        <v>0</v>
      </c>
      <c r="AF302" s="34">
        <f t="shared" si="304"/>
        <v>0</v>
      </c>
      <c r="AG302" s="34">
        <f t="shared" si="305"/>
        <v>0</v>
      </c>
      <c r="AH302" s="34">
        <f t="shared" si="306"/>
        <v>0</v>
      </c>
      <c r="AI302" s="29"/>
      <c r="AJ302" s="17">
        <f t="shared" si="307"/>
        <v>0</v>
      </c>
      <c r="AK302" s="17">
        <f t="shared" si="308"/>
        <v>0</v>
      </c>
      <c r="AL302" s="17">
        <f t="shared" si="309"/>
        <v>0</v>
      </c>
      <c r="AN302" s="34">
        <v>15</v>
      </c>
      <c r="AO302" s="34">
        <f t="shared" si="310"/>
        <v>0</v>
      </c>
      <c r="AP302" s="34">
        <f t="shared" si="311"/>
        <v>0</v>
      </c>
      <c r="AQ302" s="28" t="s">
        <v>13</v>
      </c>
      <c r="AV302" s="34">
        <f t="shared" si="312"/>
        <v>0</v>
      </c>
      <c r="AW302" s="34">
        <f t="shared" si="313"/>
        <v>0</v>
      </c>
      <c r="AX302" s="34">
        <f t="shared" si="314"/>
        <v>0</v>
      </c>
      <c r="AY302" s="35" t="s">
        <v>1709</v>
      </c>
      <c r="AZ302" s="35" t="s">
        <v>1733</v>
      </c>
      <c r="BA302" s="29" t="s">
        <v>1737</v>
      </c>
      <c r="BC302" s="34">
        <f t="shared" si="315"/>
        <v>0</v>
      </c>
      <c r="BD302" s="34">
        <f t="shared" si="316"/>
        <v>0</v>
      </c>
      <c r="BE302" s="34">
        <v>0</v>
      </c>
      <c r="BF302" s="34">
        <f>302</f>
        <v>302</v>
      </c>
      <c r="BH302" s="17">
        <f t="shared" si="317"/>
        <v>0</v>
      </c>
      <c r="BI302" s="17">
        <f t="shared" si="318"/>
        <v>0</v>
      </c>
      <c r="BJ302" s="17">
        <f t="shared" si="319"/>
        <v>0</v>
      </c>
    </row>
    <row r="303" spans="1:62" x14ac:dyDescent="0.2">
      <c r="A303" s="4" t="s">
        <v>265</v>
      </c>
      <c r="B303" s="4" t="s">
        <v>65</v>
      </c>
      <c r="C303" s="240" t="s">
        <v>1338</v>
      </c>
      <c r="D303" s="241"/>
      <c r="E303" s="241"/>
      <c r="F303" s="4" t="s">
        <v>1644</v>
      </c>
      <c r="G303" s="69">
        <v>1</v>
      </c>
      <c r="H303" s="168"/>
      <c r="I303" s="17">
        <f t="shared" si="296"/>
        <v>0</v>
      </c>
      <c r="J303" s="17">
        <f t="shared" si="297"/>
        <v>0</v>
      </c>
      <c r="K303" s="17">
        <f t="shared" si="298"/>
        <v>0</v>
      </c>
      <c r="L303" s="28"/>
      <c r="Z303" s="34">
        <f t="shared" si="299"/>
        <v>0</v>
      </c>
      <c r="AB303" s="34">
        <f t="shared" si="300"/>
        <v>0</v>
      </c>
      <c r="AC303" s="34">
        <f t="shared" si="301"/>
        <v>0</v>
      </c>
      <c r="AD303" s="34">
        <f t="shared" si="302"/>
        <v>0</v>
      </c>
      <c r="AE303" s="34">
        <f t="shared" si="303"/>
        <v>0</v>
      </c>
      <c r="AF303" s="34">
        <f t="shared" si="304"/>
        <v>0</v>
      </c>
      <c r="AG303" s="34">
        <f t="shared" si="305"/>
        <v>0</v>
      </c>
      <c r="AH303" s="34">
        <f t="shared" si="306"/>
        <v>0</v>
      </c>
      <c r="AI303" s="29"/>
      <c r="AJ303" s="17">
        <f t="shared" si="307"/>
        <v>0</v>
      </c>
      <c r="AK303" s="17">
        <f t="shared" si="308"/>
        <v>0</v>
      </c>
      <c r="AL303" s="17">
        <f t="shared" si="309"/>
        <v>0</v>
      </c>
      <c r="AN303" s="34">
        <v>15</v>
      </c>
      <c r="AO303" s="34">
        <f t="shared" si="310"/>
        <v>0</v>
      </c>
      <c r="AP303" s="34">
        <f t="shared" si="311"/>
        <v>0</v>
      </c>
      <c r="AQ303" s="28" t="s">
        <v>13</v>
      </c>
      <c r="AV303" s="34">
        <f t="shared" si="312"/>
        <v>0</v>
      </c>
      <c r="AW303" s="34">
        <f t="shared" si="313"/>
        <v>0</v>
      </c>
      <c r="AX303" s="34">
        <f t="shared" si="314"/>
        <v>0</v>
      </c>
      <c r="AY303" s="35" t="s">
        <v>1709</v>
      </c>
      <c r="AZ303" s="35" t="s">
        <v>1733</v>
      </c>
      <c r="BA303" s="29" t="s">
        <v>1737</v>
      </c>
      <c r="BC303" s="34">
        <f t="shared" si="315"/>
        <v>0</v>
      </c>
      <c r="BD303" s="34">
        <f t="shared" si="316"/>
        <v>0</v>
      </c>
      <c r="BE303" s="34">
        <v>0</v>
      </c>
      <c r="BF303" s="34">
        <f>303</f>
        <v>303</v>
      </c>
      <c r="BH303" s="17">
        <f t="shared" si="317"/>
        <v>0</v>
      </c>
      <c r="BI303" s="17">
        <f t="shared" si="318"/>
        <v>0</v>
      </c>
      <c r="BJ303" s="17">
        <f t="shared" si="319"/>
        <v>0</v>
      </c>
    </row>
    <row r="304" spans="1:62" x14ac:dyDescent="0.2">
      <c r="A304" s="4" t="s">
        <v>266</v>
      </c>
      <c r="B304" s="4" t="s">
        <v>66</v>
      </c>
      <c r="C304" s="240" t="s">
        <v>1339</v>
      </c>
      <c r="D304" s="241"/>
      <c r="E304" s="241"/>
      <c r="F304" s="4" t="s">
        <v>1644</v>
      </c>
      <c r="G304" s="69">
        <v>1</v>
      </c>
      <c r="H304" s="168"/>
      <c r="I304" s="17">
        <f t="shared" si="296"/>
        <v>0</v>
      </c>
      <c r="J304" s="17">
        <f t="shared" si="297"/>
        <v>0</v>
      </c>
      <c r="K304" s="17">
        <f t="shared" si="298"/>
        <v>0</v>
      </c>
      <c r="L304" s="28"/>
      <c r="Z304" s="34">
        <f t="shared" si="299"/>
        <v>0</v>
      </c>
      <c r="AB304" s="34">
        <f t="shared" si="300"/>
        <v>0</v>
      </c>
      <c r="AC304" s="34">
        <f t="shared" si="301"/>
        <v>0</v>
      </c>
      <c r="AD304" s="34">
        <f t="shared" si="302"/>
        <v>0</v>
      </c>
      <c r="AE304" s="34">
        <f t="shared" si="303"/>
        <v>0</v>
      </c>
      <c r="AF304" s="34">
        <f t="shared" si="304"/>
        <v>0</v>
      </c>
      <c r="AG304" s="34">
        <f t="shared" si="305"/>
        <v>0</v>
      </c>
      <c r="AH304" s="34">
        <f t="shared" si="306"/>
        <v>0</v>
      </c>
      <c r="AI304" s="29"/>
      <c r="AJ304" s="17">
        <f t="shared" si="307"/>
        <v>0</v>
      </c>
      <c r="AK304" s="17">
        <f t="shared" si="308"/>
        <v>0</v>
      </c>
      <c r="AL304" s="17">
        <f t="shared" si="309"/>
        <v>0</v>
      </c>
      <c r="AN304" s="34">
        <v>15</v>
      </c>
      <c r="AO304" s="34">
        <f t="shared" si="310"/>
        <v>0</v>
      </c>
      <c r="AP304" s="34">
        <f t="shared" si="311"/>
        <v>0</v>
      </c>
      <c r="AQ304" s="28" t="s">
        <v>13</v>
      </c>
      <c r="AV304" s="34">
        <f t="shared" si="312"/>
        <v>0</v>
      </c>
      <c r="AW304" s="34">
        <f t="shared" si="313"/>
        <v>0</v>
      </c>
      <c r="AX304" s="34">
        <f t="shared" si="314"/>
        <v>0</v>
      </c>
      <c r="AY304" s="35" t="s">
        <v>1709</v>
      </c>
      <c r="AZ304" s="35" t="s">
        <v>1733</v>
      </c>
      <c r="BA304" s="29" t="s">
        <v>1737</v>
      </c>
      <c r="BC304" s="34">
        <f t="shared" si="315"/>
        <v>0</v>
      </c>
      <c r="BD304" s="34">
        <f t="shared" si="316"/>
        <v>0</v>
      </c>
      <c r="BE304" s="34">
        <v>0</v>
      </c>
      <c r="BF304" s="34">
        <f>304</f>
        <v>304</v>
      </c>
      <c r="BH304" s="17">
        <f t="shared" si="317"/>
        <v>0</v>
      </c>
      <c r="BI304" s="17">
        <f t="shared" si="318"/>
        <v>0</v>
      </c>
      <c r="BJ304" s="17">
        <f t="shared" si="319"/>
        <v>0</v>
      </c>
    </row>
    <row r="305" spans="1:62" x14ac:dyDescent="0.2">
      <c r="A305" s="4" t="s">
        <v>267</v>
      </c>
      <c r="B305" s="4" t="s">
        <v>67</v>
      </c>
      <c r="C305" s="240" t="s">
        <v>1340</v>
      </c>
      <c r="D305" s="241"/>
      <c r="E305" s="241"/>
      <c r="F305" s="4" t="s">
        <v>1644</v>
      </c>
      <c r="G305" s="69">
        <v>3</v>
      </c>
      <c r="H305" s="168"/>
      <c r="I305" s="17">
        <f t="shared" si="296"/>
        <v>0</v>
      </c>
      <c r="J305" s="17">
        <f t="shared" si="297"/>
        <v>0</v>
      </c>
      <c r="K305" s="17">
        <f t="shared" si="298"/>
        <v>0</v>
      </c>
      <c r="L305" s="28"/>
      <c r="Z305" s="34">
        <f t="shared" si="299"/>
        <v>0</v>
      </c>
      <c r="AB305" s="34">
        <f t="shared" si="300"/>
        <v>0</v>
      </c>
      <c r="AC305" s="34">
        <f t="shared" si="301"/>
        <v>0</v>
      </c>
      <c r="AD305" s="34">
        <f t="shared" si="302"/>
        <v>0</v>
      </c>
      <c r="AE305" s="34">
        <f t="shared" si="303"/>
        <v>0</v>
      </c>
      <c r="AF305" s="34">
        <f t="shared" si="304"/>
        <v>0</v>
      </c>
      <c r="AG305" s="34">
        <f t="shared" si="305"/>
        <v>0</v>
      </c>
      <c r="AH305" s="34">
        <f t="shared" si="306"/>
        <v>0</v>
      </c>
      <c r="AI305" s="29"/>
      <c r="AJ305" s="17">
        <f t="shared" si="307"/>
        <v>0</v>
      </c>
      <c r="AK305" s="17">
        <f t="shared" si="308"/>
        <v>0</v>
      </c>
      <c r="AL305" s="17">
        <f t="shared" si="309"/>
        <v>0</v>
      </c>
      <c r="AN305" s="34">
        <v>15</v>
      </c>
      <c r="AO305" s="34">
        <f t="shared" si="310"/>
        <v>0</v>
      </c>
      <c r="AP305" s="34">
        <f t="shared" si="311"/>
        <v>0</v>
      </c>
      <c r="AQ305" s="28" t="s">
        <v>13</v>
      </c>
      <c r="AV305" s="34">
        <f t="shared" si="312"/>
        <v>0</v>
      </c>
      <c r="AW305" s="34">
        <f t="shared" si="313"/>
        <v>0</v>
      </c>
      <c r="AX305" s="34">
        <f t="shared" si="314"/>
        <v>0</v>
      </c>
      <c r="AY305" s="35" t="s">
        <v>1709</v>
      </c>
      <c r="AZ305" s="35" t="s">
        <v>1733</v>
      </c>
      <c r="BA305" s="29" t="s">
        <v>1737</v>
      </c>
      <c r="BC305" s="34">
        <f t="shared" si="315"/>
        <v>0</v>
      </c>
      <c r="BD305" s="34">
        <f t="shared" si="316"/>
        <v>0</v>
      </c>
      <c r="BE305" s="34">
        <v>0</v>
      </c>
      <c r="BF305" s="34">
        <f>305</f>
        <v>305</v>
      </c>
      <c r="BH305" s="17">
        <f t="shared" si="317"/>
        <v>0</v>
      </c>
      <c r="BI305" s="17">
        <f t="shared" si="318"/>
        <v>0</v>
      </c>
      <c r="BJ305" s="17">
        <f t="shared" si="319"/>
        <v>0</v>
      </c>
    </row>
    <row r="306" spans="1:62" x14ac:dyDescent="0.2">
      <c r="A306" s="4" t="s">
        <v>268</v>
      </c>
      <c r="B306" s="4" t="s">
        <v>68</v>
      </c>
      <c r="C306" s="240" t="s">
        <v>1341</v>
      </c>
      <c r="D306" s="241"/>
      <c r="E306" s="241"/>
      <c r="F306" s="4" t="s">
        <v>1644</v>
      </c>
      <c r="G306" s="69">
        <v>1</v>
      </c>
      <c r="H306" s="168"/>
      <c r="I306" s="17">
        <f t="shared" si="296"/>
        <v>0</v>
      </c>
      <c r="J306" s="17">
        <f t="shared" si="297"/>
        <v>0</v>
      </c>
      <c r="K306" s="17">
        <f t="shared" si="298"/>
        <v>0</v>
      </c>
      <c r="L306" s="28"/>
      <c r="Z306" s="34">
        <f t="shared" si="299"/>
        <v>0</v>
      </c>
      <c r="AB306" s="34">
        <f t="shared" si="300"/>
        <v>0</v>
      </c>
      <c r="AC306" s="34">
        <f t="shared" si="301"/>
        <v>0</v>
      </c>
      <c r="AD306" s="34">
        <f t="shared" si="302"/>
        <v>0</v>
      </c>
      <c r="AE306" s="34">
        <f t="shared" si="303"/>
        <v>0</v>
      </c>
      <c r="AF306" s="34">
        <f t="shared" si="304"/>
        <v>0</v>
      </c>
      <c r="AG306" s="34">
        <f t="shared" si="305"/>
        <v>0</v>
      </c>
      <c r="AH306" s="34">
        <f t="shared" si="306"/>
        <v>0</v>
      </c>
      <c r="AI306" s="29"/>
      <c r="AJ306" s="17">
        <f t="shared" si="307"/>
        <v>0</v>
      </c>
      <c r="AK306" s="17">
        <f t="shared" si="308"/>
        <v>0</v>
      </c>
      <c r="AL306" s="17">
        <f t="shared" si="309"/>
        <v>0</v>
      </c>
      <c r="AN306" s="34">
        <v>15</v>
      </c>
      <c r="AO306" s="34">
        <f t="shared" si="310"/>
        <v>0</v>
      </c>
      <c r="AP306" s="34">
        <f t="shared" si="311"/>
        <v>0</v>
      </c>
      <c r="AQ306" s="28" t="s">
        <v>13</v>
      </c>
      <c r="AV306" s="34">
        <f t="shared" si="312"/>
        <v>0</v>
      </c>
      <c r="AW306" s="34">
        <f t="shared" si="313"/>
        <v>0</v>
      </c>
      <c r="AX306" s="34">
        <f t="shared" si="314"/>
        <v>0</v>
      </c>
      <c r="AY306" s="35" t="s">
        <v>1709</v>
      </c>
      <c r="AZ306" s="35" t="s">
        <v>1733</v>
      </c>
      <c r="BA306" s="29" t="s">
        <v>1737</v>
      </c>
      <c r="BC306" s="34">
        <f t="shared" si="315"/>
        <v>0</v>
      </c>
      <c r="BD306" s="34">
        <f t="shared" si="316"/>
        <v>0</v>
      </c>
      <c r="BE306" s="34">
        <v>0</v>
      </c>
      <c r="BF306" s="34">
        <f>306</f>
        <v>306</v>
      </c>
      <c r="BH306" s="17">
        <f t="shared" si="317"/>
        <v>0</v>
      </c>
      <c r="BI306" s="17">
        <f t="shared" si="318"/>
        <v>0</v>
      </c>
      <c r="BJ306" s="17">
        <f t="shared" si="319"/>
        <v>0</v>
      </c>
    </row>
    <row r="307" spans="1:62" x14ac:dyDescent="0.2">
      <c r="A307" s="4" t="s">
        <v>269</v>
      </c>
      <c r="B307" s="4" t="s">
        <v>69</v>
      </c>
      <c r="C307" s="240" t="s">
        <v>1342</v>
      </c>
      <c r="D307" s="241"/>
      <c r="E307" s="241"/>
      <c r="F307" s="4" t="s">
        <v>1646</v>
      </c>
      <c r="G307" s="69">
        <v>5</v>
      </c>
      <c r="H307" s="168"/>
      <c r="I307" s="17">
        <f t="shared" si="296"/>
        <v>0</v>
      </c>
      <c r="J307" s="17">
        <f t="shared" si="297"/>
        <v>0</v>
      </c>
      <c r="K307" s="17">
        <f t="shared" si="298"/>
        <v>0</v>
      </c>
      <c r="L307" s="28"/>
      <c r="Z307" s="34">
        <f t="shared" si="299"/>
        <v>0</v>
      </c>
      <c r="AB307" s="34">
        <f t="shared" si="300"/>
        <v>0</v>
      </c>
      <c r="AC307" s="34">
        <f t="shared" si="301"/>
        <v>0</v>
      </c>
      <c r="AD307" s="34">
        <f t="shared" si="302"/>
        <v>0</v>
      </c>
      <c r="AE307" s="34">
        <f t="shared" si="303"/>
        <v>0</v>
      </c>
      <c r="AF307" s="34">
        <f t="shared" si="304"/>
        <v>0</v>
      </c>
      <c r="AG307" s="34">
        <f t="shared" si="305"/>
        <v>0</v>
      </c>
      <c r="AH307" s="34">
        <f t="shared" si="306"/>
        <v>0</v>
      </c>
      <c r="AI307" s="29"/>
      <c r="AJ307" s="17">
        <f t="shared" si="307"/>
        <v>0</v>
      </c>
      <c r="AK307" s="17">
        <f t="shared" si="308"/>
        <v>0</v>
      </c>
      <c r="AL307" s="17">
        <f t="shared" si="309"/>
        <v>0</v>
      </c>
      <c r="AN307" s="34">
        <v>15</v>
      </c>
      <c r="AO307" s="34">
        <f t="shared" si="310"/>
        <v>0</v>
      </c>
      <c r="AP307" s="34">
        <f t="shared" si="311"/>
        <v>0</v>
      </c>
      <c r="AQ307" s="28" t="s">
        <v>13</v>
      </c>
      <c r="AV307" s="34">
        <f t="shared" si="312"/>
        <v>0</v>
      </c>
      <c r="AW307" s="34">
        <f t="shared" si="313"/>
        <v>0</v>
      </c>
      <c r="AX307" s="34">
        <f t="shared" si="314"/>
        <v>0</v>
      </c>
      <c r="AY307" s="35" t="s">
        <v>1709</v>
      </c>
      <c r="AZ307" s="35" t="s">
        <v>1733</v>
      </c>
      <c r="BA307" s="29" t="s">
        <v>1737</v>
      </c>
      <c r="BC307" s="34">
        <f t="shared" si="315"/>
        <v>0</v>
      </c>
      <c r="BD307" s="34">
        <f t="shared" si="316"/>
        <v>0</v>
      </c>
      <c r="BE307" s="34">
        <v>0</v>
      </c>
      <c r="BF307" s="34">
        <f>307</f>
        <v>307</v>
      </c>
      <c r="BH307" s="17">
        <f t="shared" si="317"/>
        <v>0</v>
      </c>
      <c r="BI307" s="17">
        <f t="shared" si="318"/>
        <v>0</v>
      </c>
      <c r="BJ307" s="17">
        <f t="shared" si="319"/>
        <v>0</v>
      </c>
    </row>
    <row r="308" spans="1:62" x14ac:dyDescent="0.2">
      <c r="A308" s="4" t="s">
        <v>270</v>
      </c>
      <c r="B308" s="4" t="s">
        <v>70</v>
      </c>
      <c r="C308" s="240" t="s">
        <v>1343</v>
      </c>
      <c r="D308" s="241"/>
      <c r="E308" s="241"/>
      <c r="F308" s="4" t="s">
        <v>1646</v>
      </c>
      <c r="G308" s="69">
        <v>9</v>
      </c>
      <c r="H308" s="168"/>
      <c r="I308" s="17">
        <f t="shared" si="296"/>
        <v>0</v>
      </c>
      <c r="J308" s="17">
        <f t="shared" si="297"/>
        <v>0</v>
      </c>
      <c r="K308" s="17">
        <f t="shared" si="298"/>
        <v>0</v>
      </c>
      <c r="L308" s="28"/>
      <c r="Z308" s="34">
        <f t="shared" si="299"/>
        <v>0</v>
      </c>
      <c r="AB308" s="34">
        <f t="shared" si="300"/>
        <v>0</v>
      </c>
      <c r="AC308" s="34">
        <f t="shared" si="301"/>
        <v>0</v>
      </c>
      <c r="AD308" s="34">
        <f t="shared" si="302"/>
        <v>0</v>
      </c>
      <c r="AE308" s="34">
        <f t="shared" si="303"/>
        <v>0</v>
      </c>
      <c r="AF308" s="34">
        <f t="shared" si="304"/>
        <v>0</v>
      </c>
      <c r="AG308" s="34">
        <f t="shared" si="305"/>
        <v>0</v>
      </c>
      <c r="AH308" s="34">
        <f t="shared" si="306"/>
        <v>0</v>
      </c>
      <c r="AI308" s="29"/>
      <c r="AJ308" s="17">
        <f t="shared" si="307"/>
        <v>0</v>
      </c>
      <c r="AK308" s="17">
        <f t="shared" si="308"/>
        <v>0</v>
      </c>
      <c r="AL308" s="17">
        <f t="shared" si="309"/>
        <v>0</v>
      </c>
      <c r="AN308" s="34">
        <v>15</v>
      </c>
      <c r="AO308" s="34">
        <f t="shared" si="310"/>
        <v>0</v>
      </c>
      <c r="AP308" s="34">
        <f t="shared" si="311"/>
        <v>0</v>
      </c>
      <c r="AQ308" s="28" t="s">
        <v>13</v>
      </c>
      <c r="AV308" s="34">
        <f t="shared" si="312"/>
        <v>0</v>
      </c>
      <c r="AW308" s="34">
        <f t="shared" si="313"/>
        <v>0</v>
      </c>
      <c r="AX308" s="34">
        <f t="shared" si="314"/>
        <v>0</v>
      </c>
      <c r="AY308" s="35" t="s">
        <v>1709</v>
      </c>
      <c r="AZ308" s="35" t="s">
        <v>1733</v>
      </c>
      <c r="BA308" s="29" t="s">
        <v>1737</v>
      </c>
      <c r="BC308" s="34">
        <f t="shared" si="315"/>
        <v>0</v>
      </c>
      <c r="BD308" s="34">
        <f t="shared" si="316"/>
        <v>0</v>
      </c>
      <c r="BE308" s="34">
        <v>0</v>
      </c>
      <c r="BF308" s="34">
        <f>308</f>
        <v>308</v>
      </c>
      <c r="BH308" s="17">
        <f t="shared" si="317"/>
        <v>0</v>
      </c>
      <c r="BI308" s="17">
        <f t="shared" si="318"/>
        <v>0</v>
      </c>
      <c r="BJ308" s="17">
        <f t="shared" si="319"/>
        <v>0</v>
      </c>
    </row>
    <row r="309" spans="1:62" x14ac:dyDescent="0.2">
      <c r="A309" s="4" t="s">
        <v>271</v>
      </c>
      <c r="B309" s="4" t="s">
        <v>71</v>
      </c>
      <c r="C309" s="240" t="s">
        <v>1344</v>
      </c>
      <c r="D309" s="241"/>
      <c r="E309" s="241"/>
      <c r="F309" s="4" t="s">
        <v>1646</v>
      </c>
      <c r="G309" s="69">
        <v>20</v>
      </c>
      <c r="H309" s="168"/>
      <c r="I309" s="17">
        <f t="shared" ref="I309:I320" si="320">G309*AO309</f>
        <v>0</v>
      </c>
      <c r="J309" s="17">
        <f t="shared" ref="J309:J320" si="321">G309*AP309</f>
        <v>0</v>
      </c>
      <c r="K309" s="17">
        <f t="shared" ref="K309:K320" si="322">G309*H309</f>
        <v>0</v>
      </c>
      <c r="L309" s="28"/>
      <c r="Z309" s="34">
        <f t="shared" ref="Z309:Z320" si="323">IF(AQ309="5",BJ309,0)</f>
        <v>0</v>
      </c>
      <c r="AB309" s="34">
        <f t="shared" ref="AB309:AB320" si="324">IF(AQ309="1",BH309,0)</f>
        <v>0</v>
      </c>
      <c r="AC309" s="34">
        <f t="shared" ref="AC309:AC320" si="325">IF(AQ309="1",BI309,0)</f>
        <v>0</v>
      </c>
      <c r="AD309" s="34">
        <f t="shared" ref="AD309:AD320" si="326">IF(AQ309="7",BH309,0)</f>
        <v>0</v>
      </c>
      <c r="AE309" s="34">
        <f t="shared" ref="AE309:AE320" si="327">IF(AQ309="7",BI309,0)</f>
        <v>0</v>
      </c>
      <c r="AF309" s="34">
        <f t="shared" ref="AF309:AF320" si="328">IF(AQ309="2",BH309,0)</f>
        <v>0</v>
      </c>
      <c r="AG309" s="34">
        <f t="shared" ref="AG309:AG320" si="329">IF(AQ309="2",BI309,0)</f>
        <v>0</v>
      </c>
      <c r="AH309" s="34">
        <f t="shared" ref="AH309:AH320" si="330">IF(AQ309="0",BJ309,0)</f>
        <v>0</v>
      </c>
      <c r="AI309" s="29"/>
      <c r="AJ309" s="17">
        <f t="shared" ref="AJ309:AJ320" si="331">IF(AN309=0,K309,0)</f>
        <v>0</v>
      </c>
      <c r="AK309" s="17">
        <f t="shared" ref="AK309:AK320" si="332">IF(AN309=15,K309,0)</f>
        <v>0</v>
      </c>
      <c r="AL309" s="17">
        <f t="shared" ref="AL309:AL320" si="333">IF(AN309=21,K309,0)</f>
        <v>0</v>
      </c>
      <c r="AN309" s="34">
        <v>15</v>
      </c>
      <c r="AO309" s="34">
        <f t="shared" ref="AO309:AO320" si="334">H309*0</f>
        <v>0</v>
      </c>
      <c r="AP309" s="34">
        <f t="shared" ref="AP309:AP320" si="335">H309*(1-0)</f>
        <v>0</v>
      </c>
      <c r="AQ309" s="28" t="s">
        <v>13</v>
      </c>
      <c r="AV309" s="34">
        <f t="shared" ref="AV309:AV320" si="336">AW309+AX309</f>
        <v>0</v>
      </c>
      <c r="AW309" s="34">
        <f t="shared" ref="AW309:AW320" si="337">G309*AO309</f>
        <v>0</v>
      </c>
      <c r="AX309" s="34">
        <f t="shared" ref="AX309:AX320" si="338">G309*AP309</f>
        <v>0</v>
      </c>
      <c r="AY309" s="35" t="s">
        <v>1709</v>
      </c>
      <c r="AZ309" s="35" t="s">
        <v>1733</v>
      </c>
      <c r="BA309" s="29" t="s">
        <v>1737</v>
      </c>
      <c r="BC309" s="34">
        <f t="shared" ref="BC309:BC320" si="339">AW309+AX309</f>
        <v>0</v>
      </c>
      <c r="BD309" s="34">
        <f t="shared" ref="BD309:BD320" si="340">H309/(100-BE309)*100</f>
        <v>0</v>
      </c>
      <c r="BE309" s="34">
        <v>0</v>
      </c>
      <c r="BF309" s="34">
        <f>309</f>
        <v>309</v>
      </c>
      <c r="BH309" s="17">
        <f t="shared" ref="BH309:BH320" si="341">G309*AO309</f>
        <v>0</v>
      </c>
      <c r="BI309" s="17">
        <f t="shared" ref="BI309:BI320" si="342">G309*AP309</f>
        <v>0</v>
      </c>
      <c r="BJ309" s="17">
        <f t="shared" ref="BJ309:BJ320" si="343">G309*H309</f>
        <v>0</v>
      </c>
    </row>
    <row r="310" spans="1:62" x14ac:dyDescent="0.2">
      <c r="A310" s="4" t="s">
        <v>272</v>
      </c>
      <c r="B310" s="4" t="s">
        <v>72</v>
      </c>
      <c r="C310" s="240" t="s">
        <v>1345</v>
      </c>
      <c r="D310" s="241"/>
      <c r="E310" s="241"/>
      <c r="F310" s="4" t="s">
        <v>1646</v>
      </c>
      <c r="G310" s="69">
        <v>20</v>
      </c>
      <c r="H310" s="168"/>
      <c r="I310" s="17">
        <f t="shared" si="320"/>
        <v>0</v>
      </c>
      <c r="J310" s="17">
        <f t="shared" si="321"/>
        <v>0</v>
      </c>
      <c r="K310" s="17">
        <f t="shared" si="322"/>
        <v>0</v>
      </c>
      <c r="L310" s="28"/>
      <c r="Z310" s="34">
        <f t="shared" si="323"/>
        <v>0</v>
      </c>
      <c r="AB310" s="34">
        <f t="shared" si="324"/>
        <v>0</v>
      </c>
      <c r="AC310" s="34">
        <f t="shared" si="325"/>
        <v>0</v>
      </c>
      <c r="AD310" s="34">
        <f t="shared" si="326"/>
        <v>0</v>
      </c>
      <c r="AE310" s="34">
        <f t="shared" si="327"/>
        <v>0</v>
      </c>
      <c r="AF310" s="34">
        <f t="shared" si="328"/>
        <v>0</v>
      </c>
      <c r="AG310" s="34">
        <f t="shared" si="329"/>
        <v>0</v>
      </c>
      <c r="AH310" s="34">
        <f t="shared" si="330"/>
        <v>0</v>
      </c>
      <c r="AI310" s="29"/>
      <c r="AJ310" s="17">
        <f t="shared" si="331"/>
        <v>0</v>
      </c>
      <c r="AK310" s="17">
        <f t="shared" si="332"/>
        <v>0</v>
      </c>
      <c r="AL310" s="17">
        <f t="shared" si="333"/>
        <v>0</v>
      </c>
      <c r="AN310" s="34">
        <v>15</v>
      </c>
      <c r="AO310" s="34">
        <f t="shared" si="334"/>
        <v>0</v>
      </c>
      <c r="AP310" s="34">
        <f t="shared" si="335"/>
        <v>0</v>
      </c>
      <c r="AQ310" s="28" t="s">
        <v>13</v>
      </c>
      <c r="AV310" s="34">
        <f t="shared" si="336"/>
        <v>0</v>
      </c>
      <c r="AW310" s="34">
        <f t="shared" si="337"/>
        <v>0</v>
      </c>
      <c r="AX310" s="34">
        <f t="shared" si="338"/>
        <v>0</v>
      </c>
      <c r="AY310" s="35" t="s">
        <v>1709</v>
      </c>
      <c r="AZ310" s="35" t="s">
        <v>1733</v>
      </c>
      <c r="BA310" s="29" t="s">
        <v>1737</v>
      </c>
      <c r="BC310" s="34">
        <f t="shared" si="339"/>
        <v>0</v>
      </c>
      <c r="BD310" s="34">
        <f t="shared" si="340"/>
        <v>0</v>
      </c>
      <c r="BE310" s="34">
        <v>0</v>
      </c>
      <c r="BF310" s="34">
        <f>310</f>
        <v>310</v>
      </c>
      <c r="BH310" s="17">
        <f t="shared" si="341"/>
        <v>0</v>
      </c>
      <c r="BI310" s="17">
        <f t="shared" si="342"/>
        <v>0</v>
      </c>
      <c r="BJ310" s="17">
        <f t="shared" si="343"/>
        <v>0</v>
      </c>
    </row>
    <row r="311" spans="1:62" x14ac:dyDescent="0.2">
      <c r="A311" s="4" t="s">
        <v>273</v>
      </c>
      <c r="B311" s="4" t="s">
        <v>73</v>
      </c>
      <c r="C311" s="240" t="s">
        <v>1346</v>
      </c>
      <c r="D311" s="241"/>
      <c r="E311" s="241"/>
      <c r="F311" s="4" t="s">
        <v>1644</v>
      </c>
      <c r="G311" s="69">
        <v>1</v>
      </c>
      <c r="H311" s="168"/>
      <c r="I311" s="17">
        <f t="shared" si="320"/>
        <v>0</v>
      </c>
      <c r="J311" s="17">
        <f t="shared" si="321"/>
        <v>0</v>
      </c>
      <c r="K311" s="17">
        <f t="shared" si="322"/>
        <v>0</v>
      </c>
      <c r="L311" s="28"/>
      <c r="Z311" s="34">
        <f t="shared" si="323"/>
        <v>0</v>
      </c>
      <c r="AB311" s="34">
        <f t="shared" si="324"/>
        <v>0</v>
      </c>
      <c r="AC311" s="34">
        <f t="shared" si="325"/>
        <v>0</v>
      </c>
      <c r="AD311" s="34">
        <f t="shared" si="326"/>
        <v>0</v>
      </c>
      <c r="AE311" s="34">
        <f t="shared" si="327"/>
        <v>0</v>
      </c>
      <c r="AF311" s="34">
        <f t="shared" si="328"/>
        <v>0</v>
      </c>
      <c r="AG311" s="34">
        <f t="shared" si="329"/>
        <v>0</v>
      </c>
      <c r="AH311" s="34">
        <f t="shared" si="330"/>
        <v>0</v>
      </c>
      <c r="AI311" s="29"/>
      <c r="AJ311" s="17">
        <f t="shared" si="331"/>
        <v>0</v>
      </c>
      <c r="AK311" s="17">
        <f t="shared" si="332"/>
        <v>0</v>
      </c>
      <c r="AL311" s="17">
        <f t="shared" si="333"/>
        <v>0</v>
      </c>
      <c r="AN311" s="34">
        <v>15</v>
      </c>
      <c r="AO311" s="34">
        <f t="shared" si="334"/>
        <v>0</v>
      </c>
      <c r="AP311" s="34">
        <f t="shared" si="335"/>
        <v>0</v>
      </c>
      <c r="AQ311" s="28" t="s">
        <v>13</v>
      </c>
      <c r="AV311" s="34">
        <f t="shared" si="336"/>
        <v>0</v>
      </c>
      <c r="AW311" s="34">
        <f t="shared" si="337"/>
        <v>0</v>
      </c>
      <c r="AX311" s="34">
        <f t="shared" si="338"/>
        <v>0</v>
      </c>
      <c r="AY311" s="35" t="s">
        <v>1709</v>
      </c>
      <c r="AZ311" s="35" t="s">
        <v>1733</v>
      </c>
      <c r="BA311" s="29" t="s">
        <v>1737</v>
      </c>
      <c r="BC311" s="34">
        <f t="shared" si="339"/>
        <v>0</v>
      </c>
      <c r="BD311" s="34">
        <f t="shared" si="340"/>
        <v>0</v>
      </c>
      <c r="BE311" s="34">
        <v>0</v>
      </c>
      <c r="BF311" s="34">
        <f>311</f>
        <v>311</v>
      </c>
      <c r="BH311" s="17">
        <f t="shared" si="341"/>
        <v>0</v>
      </c>
      <c r="BI311" s="17">
        <f t="shared" si="342"/>
        <v>0</v>
      </c>
      <c r="BJ311" s="17">
        <f t="shared" si="343"/>
        <v>0</v>
      </c>
    </row>
    <row r="312" spans="1:62" x14ac:dyDescent="0.2">
      <c r="A312" s="4" t="s">
        <v>274</v>
      </c>
      <c r="B312" s="4" t="s">
        <v>74</v>
      </c>
      <c r="C312" s="240" t="s">
        <v>1253</v>
      </c>
      <c r="D312" s="241"/>
      <c r="E312" s="241"/>
      <c r="F312" s="4" t="s">
        <v>1644</v>
      </c>
      <c r="G312" s="69">
        <v>1</v>
      </c>
      <c r="H312" s="168"/>
      <c r="I312" s="17">
        <f t="shared" si="320"/>
        <v>0</v>
      </c>
      <c r="J312" s="17">
        <f t="shared" si="321"/>
        <v>0</v>
      </c>
      <c r="K312" s="17">
        <f t="shared" si="322"/>
        <v>0</v>
      </c>
      <c r="L312" s="28"/>
      <c r="Z312" s="34">
        <f t="shared" si="323"/>
        <v>0</v>
      </c>
      <c r="AB312" s="34">
        <f t="shared" si="324"/>
        <v>0</v>
      </c>
      <c r="AC312" s="34">
        <f t="shared" si="325"/>
        <v>0</v>
      </c>
      <c r="AD312" s="34">
        <f t="shared" si="326"/>
        <v>0</v>
      </c>
      <c r="AE312" s="34">
        <f t="shared" si="327"/>
        <v>0</v>
      </c>
      <c r="AF312" s="34">
        <f t="shared" si="328"/>
        <v>0</v>
      </c>
      <c r="AG312" s="34">
        <f t="shared" si="329"/>
        <v>0</v>
      </c>
      <c r="AH312" s="34">
        <f t="shared" si="330"/>
        <v>0</v>
      </c>
      <c r="AI312" s="29"/>
      <c r="AJ312" s="17">
        <f t="shared" si="331"/>
        <v>0</v>
      </c>
      <c r="AK312" s="17">
        <f t="shared" si="332"/>
        <v>0</v>
      </c>
      <c r="AL312" s="17">
        <f t="shared" si="333"/>
        <v>0</v>
      </c>
      <c r="AN312" s="34">
        <v>15</v>
      </c>
      <c r="AO312" s="34">
        <f t="shared" si="334"/>
        <v>0</v>
      </c>
      <c r="AP312" s="34">
        <f t="shared" si="335"/>
        <v>0</v>
      </c>
      <c r="AQ312" s="28" t="s">
        <v>13</v>
      </c>
      <c r="AV312" s="34">
        <f t="shared" si="336"/>
        <v>0</v>
      </c>
      <c r="AW312" s="34">
        <f t="shared" si="337"/>
        <v>0</v>
      </c>
      <c r="AX312" s="34">
        <f t="shared" si="338"/>
        <v>0</v>
      </c>
      <c r="AY312" s="35" t="s">
        <v>1709</v>
      </c>
      <c r="AZ312" s="35" t="s">
        <v>1733</v>
      </c>
      <c r="BA312" s="29" t="s">
        <v>1737</v>
      </c>
      <c r="BC312" s="34">
        <f t="shared" si="339"/>
        <v>0</v>
      </c>
      <c r="BD312" s="34">
        <f t="shared" si="340"/>
        <v>0</v>
      </c>
      <c r="BE312" s="34">
        <v>0</v>
      </c>
      <c r="BF312" s="34">
        <f>312</f>
        <v>312</v>
      </c>
      <c r="BH312" s="17">
        <f t="shared" si="341"/>
        <v>0</v>
      </c>
      <c r="BI312" s="17">
        <f t="shared" si="342"/>
        <v>0</v>
      </c>
      <c r="BJ312" s="17">
        <f t="shared" si="343"/>
        <v>0</v>
      </c>
    </row>
    <row r="313" spans="1:62" x14ac:dyDescent="0.2">
      <c r="A313" s="4" t="s">
        <v>275</v>
      </c>
      <c r="B313" s="4" t="s">
        <v>75</v>
      </c>
      <c r="C313" s="240" t="s">
        <v>1347</v>
      </c>
      <c r="D313" s="241"/>
      <c r="E313" s="241"/>
      <c r="F313" s="4" t="s">
        <v>1646</v>
      </c>
      <c r="G313" s="69">
        <v>103</v>
      </c>
      <c r="H313" s="168"/>
      <c r="I313" s="17">
        <f t="shared" si="320"/>
        <v>0</v>
      </c>
      <c r="J313" s="17">
        <f t="shared" si="321"/>
        <v>0</v>
      </c>
      <c r="K313" s="17">
        <f t="shared" si="322"/>
        <v>0</v>
      </c>
      <c r="L313" s="28"/>
      <c r="Z313" s="34">
        <f t="shared" si="323"/>
        <v>0</v>
      </c>
      <c r="AB313" s="34">
        <f t="shared" si="324"/>
        <v>0</v>
      </c>
      <c r="AC313" s="34">
        <f t="shared" si="325"/>
        <v>0</v>
      </c>
      <c r="AD313" s="34">
        <f t="shared" si="326"/>
        <v>0</v>
      </c>
      <c r="AE313" s="34">
        <f t="shared" si="327"/>
        <v>0</v>
      </c>
      <c r="AF313" s="34">
        <f t="shared" si="328"/>
        <v>0</v>
      </c>
      <c r="AG313" s="34">
        <f t="shared" si="329"/>
        <v>0</v>
      </c>
      <c r="AH313" s="34">
        <f t="shared" si="330"/>
        <v>0</v>
      </c>
      <c r="AI313" s="29"/>
      <c r="AJ313" s="17">
        <f t="shared" si="331"/>
        <v>0</v>
      </c>
      <c r="AK313" s="17">
        <f t="shared" si="332"/>
        <v>0</v>
      </c>
      <c r="AL313" s="17">
        <f t="shared" si="333"/>
        <v>0</v>
      </c>
      <c r="AN313" s="34">
        <v>15</v>
      </c>
      <c r="AO313" s="34">
        <f t="shared" si="334"/>
        <v>0</v>
      </c>
      <c r="AP313" s="34">
        <f t="shared" si="335"/>
        <v>0</v>
      </c>
      <c r="AQ313" s="28" t="s">
        <v>13</v>
      </c>
      <c r="AV313" s="34">
        <f t="shared" si="336"/>
        <v>0</v>
      </c>
      <c r="AW313" s="34">
        <f t="shared" si="337"/>
        <v>0</v>
      </c>
      <c r="AX313" s="34">
        <f t="shared" si="338"/>
        <v>0</v>
      </c>
      <c r="AY313" s="35" t="s">
        <v>1709</v>
      </c>
      <c r="AZ313" s="35" t="s">
        <v>1733</v>
      </c>
      <c r="BA313" s="29" t="s">
        <v>1737</v>
      </c>
      <c r="BC313" s="34">
        <f t="shared" si="339"/>
        <v>0</v>
      </c>
      <c r="BD313" s="34">
        <f t="shared" si="340"/>
        <v>0</v>
      </c>
      <c r="BE313" s="34">
        <v>0</v>
      </c>
      <c r="BF313" s="34">
        <f>313</f>
        <v>313</v>
      </c>
      <c r="BH313" s="17">
        <f t="shared" si="341"/>
        <v>0</v>
      </c>
      <c r="BI313" s="17">
        <f t="shared" si="342"/>
        <v>0</v>
      </c>
      <c r="BJ313" s="17">
        <f t="shared" si="343"/>
        <v>0</v>
      </c>
    </row>
    <row r="314" spans="1:62" x14ac:dyDescent="0.2">
      <c r="A314" s="4" t="s">
        <v>276</v>
      </c>
      <c r="B314" s="4" t="s">
        <v>76</v>
      </c>
      <c r="C314" s="240" t="s">
        <v>1348</v>
      </c>
      <c r="D314" s="241"/>
      <c r="E314" s="241"/>
      <c r="F314" s="4" t="s">
        <v>1644</v>
      </c>
      <c r="G314" s="69">
        <v>1</v>
      </c>
      <c r="H314" s="168"/>
      <c r="I314" s="17">
        <f t="shared" si="320"/>
        <v>0</v>
      </c>
      <c r="J314" s="17">
        <f t="shared" si="321"/>
        <v>0</v>
      </c>
      <c r="K314" s="17">
        <f t="shared" si="322"/>
        <v>0</v>
      </c>
      <c r="L314" s="28"/>
      <c r="Z314" s="34">
        <f t="shared" si="323"/>
        <v>0</v>
      </c>
      <c r="AB314" s="34">
        <f t="shared" si="324"/>
        <v>0</v>
      </c>
      <c r="AC314" s="34">
        <f t="shared" si="325"/>
        <v>0</v>
      </c>
      <c r="AD314" s="34">
        <f t="shared" si="326"/>
        <v>0</v>
      </c>
      <c r="AE314" s="34">
        <f t="shared" si="327"/>
        <v>0</v>
      </c>
      <c r="AF314" s="34">
        <f t="shared" si="328"/>
        <v>0</v>
      </c>
      <c r="AG314" s="34">
        <f t="shared" si="329"/>
        <v>0</v>
      </c>
      <c r="AH314" s="34">
        <f t="shared" si="330"/>
        <v>0</v>
      </c>
      <c r="AI314" s="29"/>
      <c r="AJ314" s="17">
        <f t="shared" si="331"/>
        <v>0</v>
      </c>
      <c r="AK314" s="17">
        <f t="shared" si="332"/>
        <v>0</v>
      </c>
      <c r="AL314" s="17">
        <f t="shared" si="333"/>
        <v>0</v>
      </c>
      <c r="AN314" s="34">
        <v>15</v>
      </c>
      <c r="AO314" s="34">
        <f t="shared" si="334"/>
        <v>0</v>
      </c>
      <c r="AP314" s="34">
        <f t="shared" si="335"/>
        <v>0</v>
      </c>
      <c r="AQ314" s="28" t="s">
        <v>13</v>
      </c>
      <c r="AV314" s="34">
        <f t="shared" si="336"/>
        <v>0</v>
      </c>
      <c r="AW314" s="34">
        <f t="shared" si="337"/>
        <v>0</v>
      </c>
      <c r="AX314" s="34">
        <f t="shared" si="338"/>
        <v>0</v>
      </c>
      <c r="AY314" s="35" t="s">
        <v>1709</v>
      </c>
      <c r="AZ314" s="35" t="s">
        <v>1733</v>
      </c>
      <c r="BA314" s="29" t="s">
        <v>1737</v>
      </c>
      <c r="BC314" s="34">
        <f t="shared" si="339"/>
        <v>0</v>
      </c>
      <c r="BD314" s="34">
        <f t="shared" si="340"/>
        <v>0</v>
      </c>
      <c r="BE314" s="34">
        <v>0</v>
      </c>
      <c r="BF314" s="34">
        <f>314</f>
        <v>314</v>
      </c>
      <c r="BH314" s="17">
        <f t="shared" si="341"/>
        <v>0</v>
      </c>
      <c r="BI314" s="17">
        <f t="shared" si="342"/>
        <v>0</v>
      </c>
      <c r="BJ314" s="17">
        <f t="shared" si="343"/>
        <v>0</v>
      </c>
    </row>
    <row r="315" spans="1:62" x14ac:dyDescent="0.2">
      <c r="A315" s="4" t="s">
        <v>277</v>
      </c>
      <c r="B315" s="4" t="s">
        <v>77</v>
      </c>
      <c r="C315" s="240" t="s">
        <v>1349</v>
      </c>
      <c r="D315" s="241"/>
      <c r="E315" s="241"/>
      <c r="F315" s="4" t="s">
        <v>1644</v>
      </c>
      <c r="G315" s="69">
        <v>2</v>
      </c>
      <c r="H315" s="168"/>
      <c r="I315" s="17">
        <f t="shared" si="320"/>
        <v>0</v>
      </c>
      <c r="J315" s="17">
        <f t="shared" si="321"/>
        <v>0</v>
      </c>
      <c r="K315" s="17">
        <f t="shared" si="322"/>
        <v>0</v>
      </c>
      <c r="L315" s="28"/>
      <c r="Z315" s="34">
        <f t="shared" si="323"/>
        <v>0</v>
      </c>
      <c r="AB315" s="34">
        <f t="shared" si="324"/>
        <v>0</v>
      </c>
      <c r="AC315" s="34">
        <f t="shared" si="325"/>
        <v>0</v>
      </c>
      <c r="AD315" s="34">
        <f t="shared" si="326"/>
        <v>0</v>
      </c>
      <c r="AE315" s="34">
        <f t="shared" si="327"/>
        <v>0</v>
      </c>
      <c r="AF315" s="34">
        <f t="shared" si="328"/>
        <v>0</v>
      </c>
      <c r="AG315" s="34">
        <f t="shared" si="329"/>
        <v>0</v>
      </c>
      <c r="AH315" s="34">
        <f t="shared" si="330"/>
        <v>0</v>
      </c>
      <c r="AI315" s="29"/>
      <c r="AJ315" s="17">
        <f t="shared" si="331"/>
        <v>0</v>
      </c>
      <c r="AK315" s="17">
        <f t="shared" si="332"/>
        <v>0</v>
      </c>
      <c r="AL315" s="17">
        <f t="shared" si="333"/>
        <v>0</v>
      </c>
      <c r="AN315" s="34">
        <v>15</v>
      </c>
      <c r="AO315" s="34">
        <f t="shared" si="334"/>
        <v>0</v>
      </c>
      <c r="AP315" s="34">
        <f t="shared" si="335"/>
        <v>0</v>
      </c>
      <c r="AQ315" s="28" t="s">
        <v>13</v>
      </c>
      <c r="AV315" s="34">
        <f t="shared" si="336"/>
        <v>0</v>
      </c>
      <c r="AW315" s="34">
        <f t="shared" si="337"/>
        <v>0</v>
      </c>
      <c r="AX315" s="34">
        <f t="shared" si="338"/>
        <v>0</v>
      </c>
      <c r="AY315" s="35" t="s">
        <v>1709</v>
      </c>
      <c r="AZ315" s="35" t="s">
        <v>1733</v>
      </c>
      <c r="BA315" s="29" t="s">
        <v>1737</v>
      </c>
      <c r="BC315" s="34">
        <f t="shared" si="339"/>
        <v>0</v>
      </c>
      <c r="BD315" s="34">
        <f t="shared" si="340"/>
        <v>0</v>
      </c>
      <c r="BE315" s="34">
        <v>0</v>
      </c>
      <c r="BF315" s="34">
        <f>315</f>
        <v>315</v>
      </c>
      <c r="BH315" s="17">
        <f t="shared" si="341"/>
        <v>0</v>
      </c>
      <c r="BI315" s="17">
        <f t="shared" si="342"/>
        <v>0</v>
      </c>
      <c r="BJ315" s="17">
        <f t="shared" si="343"/>
        <v>0</v>
      </c>
    </row>
    <row r="316" spans="1:62" x14ac:dyDescent="0.2">
      <c r="A316" s="4" t="s">
        <v>278</v>
      </c>
      <c r="B316" s="4" t="s">
        <v>78</v>
      </c>
      <c r="C316" s="240" t="s">
        <v>1350</v>
      </c>
      <c r="D316" s="241"/>
      <c r="E316" s="241"/>
      <c r="F316" s="4" t="s">
        <v>1644</v>
      </c>
      <c r="G316" s="69">
        <v>1</v>
      </c>
      <c r="H316" s="168"/>
      <c r="I316" s="17">
        <f t="shared" si="320"/>
        <v>0</v>
      </c>
      <c r="J316" s="17">
        <f t="shared" si="321"/>
        <v>0</v>
      </c>
      <c r="K316" s="17">
        <f t="shared" si="322"/>
        <v>0</v>
      </c>
      <c r="L316" s="28"/>
      <c r="Z316" s="34">
        <f t="shared" si="323"/>
        <v>0</v>
      </c>
      <c r="AB316" s="34">
        <f t="shared" si="324"/>
        <v>0</v>
      </c>
      <c r="AC316" s="34">
        <f t="shared" si="325"/>
        <v>0</v>
      </c>
      <c r="AD316" s="34">
        <f t="shared" si="326"/>
        <v>0</v>
      </c>
      <c r="AE316" s="34">
        <f t="shared" si="327"/>
        <v>0</v>
      </c>
      <c r="AF316" s="34">
        <f t="shared" si="328"/>
        <v>0</v>
      </c>
      <c r="AG316" s="34">
        <f t="shared" si="329"/>
        <v>0</v>
      </c>
      <c r="AH316" s="34">
        <f t="shared" si="330"/>
        <v>0</v>
      </c>
      <c r="AI316" s="29"/>
      <c r="AJ316" s="17">
        <f t="shared" si="331"/>
        <v>0</v>
      </c>
      <c r="AK316" s="17">
        <f t="shared" si="332"/>
        <v>0</v>
      </c>
      <c r="AL316" s="17">
        <f t="shared" si="333"/>
        <v>0</v>
      </c>
      <c r="AN316" s="34">
        <v>15</v>
      </c>
      <c r="AO316" s="34">
        <f t="shared" si="334"/>
        <v>0</v>
      </c>
      <c r="AP316" s="34">
        <f t="shared" si="335"/>
        <v>0</v>
      </c>
      <c r="AQ316" s="28" t="s">
        <v>13</v>
      </c>
      <c r="AV316" s="34">
        <f t="shared" si="336"/>
        <v>0</v>
      </c>
      <c r="AW316" s="34">
        <f t="shared" si="337"/>
        <v>0</v>
      </c>
      <c r="AX316" s="34">
        <f t="shared" si="338"/>
        <v>0</v>
      </c>
      <c r="AY316" s="35" t="s">
        <v>1709</v>
      </c>
      <c r="AZ316" s="35" t="s">
        <v>1733</v>
      </c>
      <c r="BA316" s="29" t="s">
        <v>1737</v>
      </c>
      <c r="BC316" s="34">
        <f t="shared" si="339"/>
        <v>0</v>
      </c>
      <c r="BD316" s="34">
        <f t="shared" si="340"/>
        <v>0</v>
      </c>
      <c r="BE316" s="34">
        <v>0</v>
      </c>
      <c r="BF316" s="34">
        <f>316</f>
        <v>316</v>
      </c>
      <c r="BH316" s="17">
        <f t="shared" si="341"/>
        <v>0</v>
      </c>
      <c r="BI316" s="17">
        <f t="shared" si="342"/>
        <v>0</v>
      </c>
      <c r="BJ316" s="17">
        <f t="shared" si="343"/>
        <v>0</v>
      </c>
    </row>
    <row r="317" spans="1:62" x14ac:dyDescent="0.2">
      <c r="A317" s="4" t="s">
        <v>279</v>
      </c>
      <c r="B317" s="4" t="s">
        <v>79</v>
      </c>
      <c r="C317" s="240" t="s">
        <v>1351</v>
      </c>
      <c r="D317" s="241"/>
      <c r="E317" s="241"/>
      <c r="F317" s="4" t="s">
        <v>1644</v>
      </c>
      <c r="G317" s="69">
        <v>1</v>
      </c>
      <c r="H317" s="168"/>
      <c r="I317" s="17">
        <f t="shared" si="320"/>
        <v>0</v>
      </c>
      <c r="J317" s="17">
        <f t="shared" si="321"/>
        <v>0</v>
      </c>
      <c r="K317" s="17">
        <f t="shared" si="322"/>
        <v>0</v>
      </c>
      <c r="L317" s="28"/>
      <c r="Z317" s="34">
        <f t="shared" si="323"/>
        <v>0</v>
      </c>
      <c r="AB317" s="34">
        <f t="shared" si="324"/>
        <v>0</v>
      </c>
      <c r="AC317" s="34">
        <f t="shared" si="325"/>
        <v>0</v>
      </c>
      <c r="AD317" s="34">
        <f t="shared" si="326"/>
        <v>0</v>
      </c>
      <c r="AE317" s="34">
        <f t="shared" si="327"/>
        <v>0</v>
      </c>
      <c r="AF317" s="34">
        <f t="shared" si="328"/>
        <v>0</v>
      </c>
      <c r="AG317" s="34">
        <f t="shared" si="329"/>
        <v>0</v>
      </c>
      <c r="AH317" s="34">
        <f t="shared" si="330"/>
        <v>0</v>
      </c>
      <c r="AI317" s="29"/>
      <c r="AJ317" s="17">
        <f t="shared" si="331"/>
        <v>0</v>
      </c>
      <c r="AK317" s="17">
        <f t="shared" si="332"/>
        <v>0</v>
      </c>
      <c r="AL317" s="17">
        <f t="shared" si="333"/>
        <v>0</v>
      </c>
      <c r="AN317" s="34">
        <v>15</v>
      </c>
      <c r="AO317" s="34">
        <f t="shared" si="334"/>
        <v>0</v>
      </c>
      <c r="AP317" s="34">
        <f t="shared" si="335"/>
        <v>0</v>
      </c>
      <c r="AQ317" s="28" t="s">
        <v>13</v>
      </c>
      <c r="AV317" s="34">
        <f t="shared" si="336"/>
        <v>0</v>
      </c>
      <c r="AW317" s="34">
        <f t="shared" si="337"/>
        <v>0</v>
      </c>
      <c r="AX317" s="34">
        <f t="shared" si="338"/>
        <v>0</v>
      </c>
      <c r="AY317" s="35" t="s">
        <v>1709</v>
      </c>
      <c r="AZ317" s="35" t="s">
        <v>1733</v>
      </c>
      <c r="BA317" s="29" t="s">
        <v>1737</v>
      </c>
      <c r="BC317" s="34">
        <f t="shared" si="339"/>
        <v>0</v>
      </c>
      <c r="BD317" s="34">
        <f t="shared" si="340"/>
        <v>0</v>
      </c>
      <c r="BE317" s="34">
        <v>0</v>
      </c>
      <c r="BF317" s="34">
        <f>317</f>
        <v>317</v>
      </c>
      <c r="BH317" s="17">
        <f t="shared" si="341"/>
        <v>0</v>
      </c>
      <c r="BI317" s="17">
        <f t="shared" si="342"/>
        <v>0</v>
      </c>
      <c r="BJ317" s="17">
        <f t="shared" si="343"/>
        <v>0</v>
      </c>
    </row>
    <row r="318" spans="1:62" x14ac:dyDescent="0.2">
      <c r="A318" s="4" t="s">
        <v>280</v>
      </c>
      <c r="B318" s="4" t="s">
        <v>80</v>
      </c>
      <c r="C318" s="240" t="s">
        <v>1352</v>
      </c>
      <c r="D318" s="241"/>
      <c r="E318" s="241"/>
      <c r="F318" s="4" t="s">
        <v>1644</v>
      </c>
      <c r="G318" s="69">
        <v>16</v>
      </c>
      <c r="H318" s="168"/>
      <c r="I318" s="17">
        <f t="shared" si="320"/>
        <v>0</v>
      </c>
      <c r="J318" s="17">
        <f t="shared" si="321"/>
        <v>0</v>
      </c>
      <c r="K318" s="17">
        <f t="shared" si="322"/>
        <v>0</v>
      </c>
      <c r="L318" s="28"/>
      <c r="Z318" s="34">
        <f t="shared" si="323"/>
        <v>0</v>
      </c>
      <c r="AB318" s="34">
        <f t="shared" si="324"/>
        <v>0</v>
      </c>
      <c r="AC318" s="34">
        <f t="shared" si="325"/>
        <v>0</v>
      </c>
      <c r="AD318" s="34">
        <f t="shared" si="326"/>
        <v>0</v>
      </c>
      <c r="AE318" s="34">
        <f t="shared" si="327"/>
        <v>0</v>
      </c>
      <c r="AF318" s="34">
        <f t="shared" si="328"/>
        <v>0</v>
      </c>
      <c r="AG318" s="34">
        <f t="shared" si="329"/>
        <v>0</v>
      </c>
      <c r="AH318" s="34">
        <f t="shared" si="330"/>
        <v>0</v>
      </c>
      <c r="AI318" s="29"/>
      <c r="AJ318" s="17">
        <f t="shared" si="331"/>
        <v>0</v>
      </c>
      <c r="AK318" s="17">
        <f t="shared" si="332"/>
        <v>0</v>
      </c>
      <c r="AL318" s="17">
        <f t="shared" si="333"/>
        <v>0</v>
      </c>
      <c r="AN318" s="34">
        <v>15</v>
      </c>
      <c r="AO318" s="34">
        <f t="shared" si="334"/>
        <v>0</v>
      </c>
      <c r="AP318" s="34">
        <f t="shared" si="335"/>
        <v>0</v>
      </c>
      <c r="AQ318" s="28" t="s">
        <v>13</v>
      </c>
      <c r="AV318" s="34">
        <f t="shared" si="336"/>
        <v>0</v>
      </c>
      <c r="AW318" s="34">
        <f t="shared" si="337"/>
        <v>0</v>
      </c>
      <c r="AX318" s="34">
        <f t="shared" si="338"/>
        <v>0</v>
      </c>
      <c r="AY318" s="35" t="s">
        <v>1709</v>
      </c>
      <c r="AZ318" s="35" t="s">
        <v>1733</v>
      </c>
      <c r="BA318" s="29" t="s">
        <v>1737</v>
      </c>
      <c r="BC318" s="34">
        <f t="shared" si="339"/>
        <v>0</v>
      </c>
      <c r="BD318" s="34">
        <f t="shared" si="340"/>
        <v>0</v>
      </c>
      <c r="BE318" s="34">
        <v>0</v>
      </c>
      <c r="BF318" s="34">
        <f>318</f>
        <v>318</v>
      </c>
      <c r="BH318" s="17">
        <f t="shared" si="341"/>
        <v>0</v>
      </c>
      <c r="BI318" s="17">
        <f t="shared" si="342"/>
        <v>0</v>
      </c>
      <c r="BJ318" s="17">
        <f t="shared" si="343"/>
        <v>0</v>
      </c>
    </row>
    <row r="319" spans="1:62" x14ac:dyDescent="0.2">
      <c r="A319" s="4" t="s">
        <v>281</v>
      </c>
      <c r="B319" s="4" t="s">
        <v>81</v>
      </c>
      <c r="C319" s="240" t="s">
        <v>1353</v>
      </c>
      <c r="D319" s="241"/>
      <c r="E319" s="241"/>
      <c r="F319" s="4" t="s">
        <v>1644</v>
      </c>
      <c r="G319" s="69">
        <v>1</v>
      </c>
      <c r="H319" s="168"/>
      <c r="I319" s="17">
        <f t="shared" si="320"/>
        <v>0</v>
      </c>
      <c r="J319" s="17">
        <f t="shared" si="321"/>
        <v>0</v>
      </c>
      <c r="K319" s="17">
        <f t="shared" si="322"/>
        <v>0</v>
      </c>
      <c r="L319" s="28"/>
      <c r="Z319" s="34">
        <f t="shared" si="323"/>
        <v>0</v>
      </c>
      <c r="AB319" s="34">
        <f t="shared" si="324"/>
        <v>0</v>
      </c>
      <c r="AC319" s="34">
        <f t="shared" si="325"/>
        <v>0</v>
      </c>
      <c r="AD319" s="34">
        <f t="shared" si="326"/>
        <v>0</v>
      </c>
      <c r="AE319" s="34">
        <f t="shared" si="327"/>
        <v>0</v>
      </c>
      <c r="AF319" s="34">
        <f t="shared" si="328"/>
        <v>0</v>
      </c>
      <c r="AG319" s="34">
        <f t="shared" si="329"/>
        <v>0</v>
      </c>
      <c r="AH319" s="34">
        <f t="shared" si="330"/>
        <v>0</v>
      </c>
      <c r="AI319" s="29"/>
      <c r="AJ319" s="17">
        <f t="shared" si="331"/>
        <v>0</v>
      </c>
      <c r="AK319" s="17">
        <f t="shared" si="332"/>
        <v>0</v>
      </c>
      <c r="AL319" s="17">
        <f t="shared" si="333"/>
        <v>0</v>
      </c>
      <c r="AN319" s="34">
        <v>15</v>
      </c>
      <c r="AO319" s="34">
        <f t="shared" si="334"/>
        <v>0</v>
      </c>
      <c r="AP319" s="34">
        <f t="shared" si="335"/>
        <v>0</v>
      </c>
      <c r="AQ319" s="28" t="s">
        <v>13</v>
      </c>
      <c r="AV319" s="34">
        <f t="shared" si="336"/>
        <v>0</v>
      </c>
      <c r="AW319" s="34">
        <f t="shared" si="337"/>
        <v>0</v>
      </c>
      <c r="AX319" s="34">
        <f t="shared" si="338"/>
        <v>0</v>
      </c>
      <c r="AY319" s="35" t="s">
        <v>1709</v>
      </c>
      <c r="AZ319" s="35" t="s">
        <v>1733</v>
      </c>
      <c r="BA319" s="29" t="s">
        <v>1737</v>
      </c>
      <c r="BC319" s="34">
        <f t="shared" si="339"/>
        <v>0</v>
      </c>
      <c r="BD319" s="34">
        <f t="shared" si="340"/>
        <v>0</v>
      </c>
      <c r="BE319" s="34">
        <v>0</v>
      </c>
      <c r="BF319" s="34">
        <f>319</f>
        <v>319</v>
      </c>
      <c r="BH319" s="17">
        <f t="shared" si="341"/>
        <v>0</v>
      </c>
      <c r="BI319" s="17">
        <f t="shared" si="342"/>
        <v>0</v>
      </c>
      <c r="BJ319" s="17">
        <f t="shared" si="343"/>
        <v>0</v>
      </c>
    </row>
    <row r="320" spans="1:62" x14ac:dyDescent="0.2">
      <c r="A320" s="4" t="s">
        <v>282</v>
      </c>
      <c r="B320" s="4" t="s">
        <v>82</v>
      </c>
      <c r="C320" s="240" t="s">
        <v>1354</v>
      </c>
      <c r="D320" s="241"/>
      <c r="E320" s="241"/>
      <c r="F320" s="4" t="s">
        <v>1644</v>
      </c>
      <c r="G320" s="69">
        <v>1</v>
      </c>
      <c r="H320" s="168"/>
      <c r="I320" s="17">
        <f t="shared" si="320"/>
        <v>0</v>
      </c>
      <c r="J320" s="17">
        <f t="shared" si="321"/>
        <v>0</v>
      </c>
      <c r="K320" s="17">
        <f t="shared" si="322"/>
        <v>0</v>
      </c>
      <c r="L320" s="28"/>
      <c r="Z320" s="34">
        <f t="shared" si="323"/>
        <v>0</v>
      </c>
      <c r="AB320" s="34">
        <f t="shared" si="324"/>
        <v>0</v>
      </c>
      <c r="AC320" s="34">
        <f t="shared" si="325"/>
        <v>0</v>
      </c>
      <c r="AD320" s="34">
        <f t="shared" si="326"/>
        <v>0</v>
      </c>
      <c r="AE320" s="34">
        <f t="shared" si="327"/>
        <v>0</v>
      </c>
      <c r="AF320" s="34">
        <f t="shared" si="328"/>
        <v>0</v>
      </c>
      <c r="AG320" s="34">
        <f t="shared" si="329"/>
        <v>0</v>
      </c>
      <c r="AH320" s="34">
        <f t="shared" si="330"/>
        <v>0</v>
      </c>
      <c r="AI320" s="29"/>
      <c r="AJ320" s="17">
        <f t="shared" si="331"/>
        <v>0</v>
      </c>
      <c r="AK320" s="17">
        <f t="shared" si="332"/>
        <v>0</v>
      </c>
      <c r="AL320" s="17">
        <f t="shared" si="333"/>
        <v>0</v>
      </c>
      <c r="AN320" s="34">
        <v>15</v>
      </c>
      <c r="AO320" s="34">
        <f t="shared" si="334"/>
        <v>0</v>
      </c>
      <c r="AP320" s="34">
        <f t="shared" si="335"/>
        <v>0</v>
      </c>
      <c r="AQ320" s="28" t="s">
        <v>13</v>
      </c>
      <c r="AV320" s="34">
        <f t="shared" si="336"/>
        <v>0</v>
      </c>
      <c r="AW320" s="34">
        <f t="shared" si="337"/>
        <v>0</v>
      </c>
      <c r="AX320" s="34">
        <f t="shared" si="338"/>
        <v>0</v>
      </c>
      <c r="AY320" s="35" t="s">
        <v>1709</v>
      </c>
      <c r="AZ320" s="35" t="s">
        <v>1733</v>
      </c>
      <c r="BA320" s="29" t="s">
        <v>1737</v>
      </c>
      <c r="BC320" s="34">
        <f t="shared" si="339"/>
        <v>0</v>
      </c>
      <c r="BD320" s="34">
        <f t="shared" si="340"/>
        <v>0</v>
      </c>
      <c r="BE320" s="34">
        <v>0</v>
      </c>
      <c r="BF320" s="34">
        <f>320</f>
        <v>320</v>
      </c>
      <c r="BH320" s="17">
        <f t="shared" si="341"/>
        <v>0</v>
      </c>
      <c r="BI320" s="17">
        <f t="shared" si="342"/>
        <v>0</v>
      </c>
      <c r="BJ320" s="17">
        <f t="shared" si="343"/>
        <v>0</v>
      </c>
    </row>
    <row r="321" spans="1:62" x14ac:dyDescent="0.2">
      <c r="A321" s="5"/>
      <c r="B321" s="13" t="s">
        <v>772</v>
      </c>
      <c r="C321" s="244" t="s">
        <v>1355</v>
      </c>
      <c r="D321" s="245"/>
      <c r="E321" s="245"/>
      <c r="F321" s="5" t="s">
        <v>6</v>
      </c>
      <c r="G321" s="5" t="s">
        <v>6</v>
      </c>
      <c r="H321" s="5" t="s">
        <v>6</v>
      </c>
      <c r="I321" s="37">
        <f>SUM(I322:I346)</f>
        <v>0</v>
      </c>
      <c r="J321" s="37">
        <f>SUM(J322:J346)</f>
        <v>0</v>
      </c>
      <c r="K321" s="37">
        <f>SUM(K322:K346)</f>
        <v>0</v>
      </c>
      <c r="L321" s="29"/>
      <c r="AI321" s="29"/>
      <c r="AS321" s="37">
        <f>SUM(AJ322:AJ346)</f>
        <v>0</v>
      </c>
      <c r="AT321" s="37">
        <f>SUM(AK322:AK346)</f>
        <v>0</v>
      </c>
      <c r="AU321" s="37">
        <f>SUM(AL322:AL346)</f>
        <v>0</v>
      </c>
    </row>
    <row r="322" spans="1:62" x14ac:dyDescent="0.2">
      <c r="A322" s="4" t="s">
        <v>283</v>
      </c>
      <c r="B322" s="4" t="s">
        <v>773</v>
      </c>
      <c r="C322" s="240" t="s">
        <v>1356</v>
      </c>
      <c r="D322" s="241"/>
      <c r="E322" s="241"/>
      <c r="F322" s="4" t="s">
        <v>1644</v>
      </c>
      <c r="G322" s="69">
        <v>1</v>
      </c>
      <c r="H322" s="168"/>
      <c r="I322" s="17">
        <f t="shared" ref="I322:I346" si="344">G322*AO322</f>
        <v>0</v>
      </c>
      <c r="J322" s="17">
        <f t="shared" ref="J322:J346" si="345">G322*AP322</f>
        <v>0</v>
      </c>
      <c r="K322" s="17">
        <f t="shared" ref="K322:K346" si="346">G322*H322</f>
        <v>0</v>
      </c>
      <c r="L322" s="28"/>
      <c r="Z322" s="34">
        <f t="shared" ref="Z322:Z346" si="347">IF(AQ322="5",BJ322,0)</f>
        <v>0</v>
      </c>
      <c r="AB322" s="34">
        <f t="shared" ref="AB322:AB346" si="348">IF(AQ322="1",BH322,0)</f>
        <v>0</v>
      </c>
      <c r="AC322" s="34">
        <f t="shared" ref="AC322:AC346" si="349">IF(AQ322="1",BI322,0)</f>
        <v>0</v>
      </c>
      <c r="AD322" s="34">
        <f t="shared" ref="AD322:AD346" si="350">IF(AQ322="7",BH322,0)</f>
        <v>0</v>
      </c>
      <c r="AE322" s="34">
        <f t="shared" ref="AE322:AE346" si="351">IF(AQ322="7",BI322,0)</f>
        <v>0</v>
      </c>
      <c r="AF322" s="34">
        <f t="shared" ref="AF322:AF346" si="352">IF(AQ322="2",BH322,0)</f>
        <v>0</v>
      </c>
      <c r="AG322" s="34">
        <f t="shared" ref="AG322:AG346" si="353">IF(AQ322="2",BI322,0)</f>
        <v>0</v>
      </c>
      <c r="AH322" s="34">
        <f t="shared" ref="AH322:AH346" si="354">IF(AQ322="0",BJ322,0)</f>
        <v>0</v>
      </c>
      <c r="AI322" s="29"/>
      <c r="AJ322" s="17">
        <f t="shared" ref="AJ322:AJ346" si="355">IF(AN322=0,K322,0)</f>
        <v>0</v>
      </c>
      <c r="AK322" s="17">
        <f t="shared" ref="AK322:AK346" si="356">IF(AN322=15,K322,0)</f>
        <v>0</v>
      </c>
      <c r="AL322" s="17">
        <f t="shared" ref="AL322:AL346" si="357">IF(AN322=21,K322,0)</f>
        <v>0</v>
      </c>
      <c r="AN322" s="34">
        <v>15</v>
      </c>
      <c r="AO322" s="34">
        <f t="shared" ref="AO322:AO346" si="358">H322*0</f>
        <v>0</v>
      </c>
      <c r="AP322" s="34">
        <f t="shared" ref="AP322:AP346" si="359">H322*(1-0)</f>
        <v>0</v>
      </c>
      <c r="AQ322" s="28" t="s">
        <v>13</v>
      </c>
      <c r="AV322" s="34">
        <f t="shared" ref="AV322:AV346" si="360">AW322+AX322</f>
        <v>0</v>
      </c>
      <c r="AW322" s="34">
        <f t="shared" ref="AW322:AW346" si="361">G322*AO322</f>
        <v>0</v>
      </c>
      <c r="AX322" s="34">
        <f t="shared" ref="AX322:AX346" si="362">G322*AP322</f>
        <v>0</v>
      </c>
      <c r="AY322" s="35" t="s">
        <v>1710</v>
      </c>
      <c r="AZ322" s="35" t="s">
        <v>1733</v>
      </c>
      <c r="BA322" s="29" t="s">
        <v>1737</v>
      </c>
      <c r="BC322" s="34">
        <f t="shared" ref="BC322:BC346" si="363">AW322+AX322</f>
        <v>0</v>
      </c>
      <c r="BD322" s="34">
        <f t="shared" ref="BD322:BD346" si="364">H322/(100-BE322)*100</f>
        <v>0</v>
      </c>
      <c r="BE322" s="34">
        <v>0</v>
      </c>
      <c r="BF322" s="34">
        <f>322</f>
        <v>322</v>
      </c>
      <c r="BH322" s="17">
        <f t="shared" ref="BH322:BH346" si="365">G322*AO322</f>
        <v>0</v>
      </c>
      <c r="BI322" s="17">
        <f t="shared" ref="BI322:BI346" si="366">G322*AP322</f>
        <v>0</v>
      </c>
      <c r="BJ322" s="17">
        <f t="shared" ref="BJ322:BJ346" si="367">G322*H322</f>
        <v>0</v>
      </c>
    </row>
    <row r="323" spans="1:62" x14ac:dyDescent="0.2">
      <c r="A323" s="4" t="s">
        <v>284</v>
      </c>
      <c r="B323" s="4" t="s">
        <v>774</v>
      </c>
      <c r="C323" s="240" t="s">
        <v>1357</v>
      </c>
      <c r="D323" s="241"/>
      <c r="E323" s="241"/>
      <c r="F323" s="4" t="s">
        <v>1644</v>
      </c>
      <c r="G323" s="69">
        <v>1</v>
      </c>
      <c r="H323" s="168"/>
      <c r="I323" s="17">
        <f t="shared" si="344"/>
        <v>0</v>
      </c>
      <c r="J323" s="17">
        <f t="shared" si="345"/>
        <v>0</v>
      </c>
      <c r="K323" s="17">
        <f t="shared" si="346"/>
        <v>0</v>
      </c>
      <c r="L323" s="28"/>
      <c r="Z323" s="34">
        <f t="shared" si="347"/>
        <v>0</v>
      </c>
      <c r="AB323" s="34">
        <f t="shared" si="348"/>
        <v>0</v>
      </c>
      <c r="AC323" s="34">
        <f t="shared" si="349"/>
        <v>0</v>
      </c>
      <c r="AD323" s="34">
        <f t="shared" si="350"/>
        <v>0</v>
      </c>
      <c r="AE323" s="34">
        <f t="shared" si="351"/>
        <v>0</v>
      </c>
      <c r="AF323" s="34">
        <f t="shared" si="352"/>
        <v>0</v>
      </c>
      <c r="AG323" s="34">
        <f t="shared" si="353"/>
        <v>0</v>
      </c>
      <c r="AH323" s="34">
        <f t="shared" si="354"/>
        <v>0</v>
      </c>
      <c r="AI323" s="29"/>
      <c r="AJ323" s="17">
        <f t="shared" si="355"/>
        <v>0</v>
      </c>
      <c r="AK323" s="17">
        <f t="shared" si="356"/>
        <v>0</v>
      </c>
      <c r="AL323" s="17">
        <f t="shared" si="357"/>
        <v>0</v>
      </c>
      <c r="AN323" s="34">
        <v>15</v>
      </c>
      <c r="AO323" s="34">
        <f t="shared" si="358"/>
        <v>0</v>
      </c>
      <c r="AP323" s="34">
        <f t="shared" si="359"/>
        <v>0</v>
      </c>
      <c r="AQ323" s="28" t="s">
        <v>13</v>
      </c>
      <c r="AV323" s="34">
        <f t="shared" si="360"/>
        <v>0</v>
      </c>
      <c r="AW323" s="34">
        <f t="shared" si="361"/>
        <v>0</v>
      </c>
      <c r="AX323" s="34">
        <f t="shared" si="362"/>
        <v>0</v>
      </c>
      <c r="AY323" s="35" t="s">
        <v>1710</v>
      </c>
      <c r="AZ323" s="35" t="s">
        <v>1733</v>
      </c>
      <c r="BA323" s="29" t="s">
        <v>1737</v>
      </c>
      <c r="BC323" s="34">
        <f t="shared" si="363"/>
        <v>0</v>
      </c>
      <c r="BD323" s="34">
        <f t="shared" si="364"/>
        <v>0</v>
      </c>
      <c r="BE323" s="34">
        <v>0</v>
      </c>
      <c r="BF323" s="34">
        <f>323</f>
        <v>323</v>
      </c>
      <c r="BH323" s="17">
        <f t="shared" si="365"/>
        <v>0</v>
      </c>
      <c r="BI323" s="17">
        <f t="shared" si="366"/>
        <v>0</v>
      </c>
      <c r="BJ323" s="17">
        <f t="shared" si="367"/>
        <v>0</v>
      </c>
    </row>
    <row r="324" spans="1:62" x14ac:dyDescent="0.2">
      <c r="A324" s="4" t="s">
        <v>285</v>
      </c>
      <c r="B324" s="4" t="s">
        <v>775</v>
      </c>
      <c r="C324" s="240" t="s">
        <v>1358</v>
      </c>
      <c r="D324" s="241"/>
      <c r="E324" s="241"/>
      <c r="F324" s="4" t="s">
        <v>1644</v>
      </c>
      <c r="G324" s="69">
        <v>1</v>
      </c>
      <c r="H324" s="168"/>
      <c r="I324" s="17">
        <f t="shared" si="344"/>
        <v>0</v>
      </c>
      <c r="J324" s="17">
        <f t="shared" si="345"/>
        <v>0</v>
      </c>
      <c r="K324" s="17">
        <f t="shared" si="346"/>
        <v>0</v>
      </c>
      <c r="L324" s="28"/>
      <c r="Z324" s="34">
        <f t="shared" si="347"/>
        <v>0</v>
      </c>
      <c r="AB324" s="34">
        <f t="shared" si="348"/>
        <v>0</v>
      </c>
      <c r="AC324" s="34">
        <f t="shared" si="349"/>
        <v>0</v>
      </c>
      <c r="AD324" s="34">
        <f t="shared" si="350"/>
        <v>0</v>
      </c>
      <c r="AE324" s="34">
        <f t="shared" si="351"/>
        <v>0</v>
      </c>
      <c r="AF324" s="34">
        <f t="shared" si="352"/>
        <v>0</v>
      </c>
      <c r="AG324" s="34">
        <f t="shared" si="353"/>
        <v>0</v>
      </c>
      <c r="AH324" s="34">
        <f t="shared" si="354"/>
        <v>0</v>
      </c>
      <c r="AI324" s="29"/>
      <c r="AJ324" s="17">
        <f t="shared" si="355"/>
        <v>0</v>
      </c>
      <c r="AK324" s="17">
        <f t="shared" si="356"/>
        <v>0</v>
      </c>
      <c r="AL324" s="17">
        <f t="shared" si="357"/>
        <v>0</v>
      </c>
      <c r="AN324" s="34">
        <v>15</v>
      </c>
      <c r="AO324" s="34">
        <f t="shared" si="358"/>
        <v>0</v>
      </c>
      <c r="AP324" s="34">
        <f t="shared" si="359"/>
        <v>0</v>
      </c>
      <c r="AQ324" s="28" t="s">
        <v>13</v>
      </c>
      <c r="AV324" s="34">
        <f t="shared" si="360"/>
        <v>0</v>
      </c>
      <c r="AW324" s="34">
        <f t="shared" si="361"/>
        <v>0</v>
      </c>
      <c r="AX324" s="34">
        <f t="shared" si="362"/>
        <v>0</v>
      </c>
      <c r="AY324" s="35" t="s">
        <v>1710</v>
      </c>
      <c r="AZ324" s="35" t="s">
        <v>1733</v>
      </c>
      <c r="BA324" s="29" t="s">
        <v>1737</v>
      </c>
      <c r="BC324" s="34">
        <f t="shared" si="363"/>
        <v>0</v>
      </c>
      <c r="BD324" s="34">
        <f t="shared" si="364"/>
        <v>0</v>
      </c>
      <c r="BE324" s="34">
        <v>0</v>
      </c>
      <c r="BF324" s="34">
        <f>324</f>
        <v>324</v>
      </c>
      <c r="BH324" s="17">
        <f t="shared" si="365"/>
        <v>0</v>
      </c>
      <c r="BI324" s="17">
        <f t="shared" si="366"/>
        <v>0</v>
      </c>
      <c r="BJ324" s="17">
        <f t="shared" si="367"/>
        <v>0</v>
      </c>
    </row>
    <row r="325" spans="1:62" x14ac:dyDescent="0.2">
      <c r="A325" s="4" t="s">
        <v>286</v>
      </c>
      <c r="B325" s="4" t="s">
        <v>776</v>
      </c>
      <c r="C325" s="240" t="s">
        <v>1359</v>
      </c>
      <c r="D325" s="241"/>
      <c r="E325" s="241"/>
      <c r="F325" s="4" t="s">
        <v>1644</v>
      </c>
      <c r="G325" s="69">
        <v>1</v>
      </c>
      <c r="H325" s="168"/>
      <c r="I325" s="17">
        <f t="shared" si="344"/>
        <v>0</v>
      </c>
      <c r="J325" s="17">
        <f t="shared" si="345"/>
        <v>0</v>
      </c>
      <c r="K325" s="17">
        <f t="shared" si="346"/>
        <v>0</v>
      </c>
      <c r="L325" s="28"/>
      <c r="Z325" s="34">
        <f t="shared" si="347"/>
        <v>0</v>
      </c>
      <c r="AB325" s="34">
        <f t="shared" si="348"/>
        <v>0</v>
      </c>
      <c r="AC325" s="34">
        <f t="shared" si="349"/>
        <v>0</v>
      </c>
      <c r="AD325" s="34">
        <f t="shared" si="350"/>
        <v>0</v>
      </c>
      <c r="AE325" s="34">
        <f t="shared" si="351"/>
        <v>0</v>
      </c>
      <c r="AF325" s="34">
        <f t="shared" si="352"/>
        <v>0</v>
      </c>
      <c r="AG325" s="34">
        <f t="shared" si="353"/>
        <v>0</v>
      </c>
      <c r="AH325" s="34">
        <f t="shared" si="354"/>
        <v>0</v>
      </c>
      <c r="AI325" s="29"/>
      <c r="AJ325" s="17">
        <f t="shared" si="355"/>
        <v>0</v>
      </c>
      <c r="AK325" s="17">
        <f t="shared" si="356"/>
        <v>0</v>
      </c>
      <c r="AL325" s="17">
        <f t="shared" si="357"/>
        <v>0</v>
      </c>
      <c r="AN325" s="34">
        <v>15</v>
      </c>
      <c r="AO325" s="34">
        <f t="shared" si="358"/>
        <v>0</v>
      </c>
      <c r="AP325" s="34">
        <f t="shared" si="359"/>
        <v>0</v>
      </c>
      <c r="AQ325" s="28" t="s">
        <v>13</v>
      </c>
      <c r="AV325" s="34">
        <f t="shared" si="360"/>
        <v>0</v>
      </c>
      <c r="AW325" s="34">
        <f t="shared" si="361"/>
        <v>0</v>
      </c>
      <c r="AX325" s="34">
        <f t="shared" si="362"/>
        <v>0</v>
      </c>
      <c r="AY325" s="35" t="s">
        <v>1710</v>
      </c>
      <c r="AZ325" s="35" t="s">
        <v>1733</v>
      </c>
      <c r="BA325" s="29" t="s">
        <v>1737</v>
      </c>
      <c r="BC325" s="34">
        <f t="shared" si="363"/>
        <v>0</v>
      </c>
      <c r="BD325" s="34">
        <f t="shared" si="364"/>
        <v>0</v>
      </c>
      <c r="BE325" s="34">
        <v>0</v>
      </c>
      <c r="BF325" s="34">
        <f>325</f>
        <v>325</v>
      </c>
      <c r="BH325" s="17">
        <f t="shared" si="365"/>
        <v>0</v>
      </c>
      <c r="BI325" s="17">
        <f t="shared" si="366"/>
        <v>0</v>
      </c>
      <c r="BJ325" s="17">
        <f t="shared" si="367"/>
        <v>0</v>
      </c>
    </row>
    <row r="326" spans="1:62" x14ac:dyDescent="0.2">
      <c r="A326" s="4" t="s">
        <v>287</v>
      </c>
      <c r="B326" s="4" t="s">
        <v>777</v>
      </c>
      <c r="C326" s="240" t="s">
        <v>1360</v>
      </c>
      <c r="D326" s="241"/>
      <c r="E326" s="241"/>
      <c r="F326" s="4" t="s">
        <v>1644</v>
      </c>
      <c r="G326" s="69">
        <v>1</v>
      </c>
      <c r="H326" s="168"/>
      <c r="I326" s="17">
        <f t="shared" si="344"/>
        <v>0</v>
      </c>
      <c r="J326" s="17">
        <f t="shared" si="345"/>
        <v>0</v>
      </c>
      <c r="K326" s="17">
        <f t="shared" si="346"/>
        <v>0</v>
      </c>
      <c r="L326" s="28"/>
      <c r="Z326" s="34">
        <f t="shared" si="347"/>
        <v>0</v>
      </c>
      <c r="AB326" s="34">
        <f t="shared" si="348"/>
        <v>0</v>
      </c>
      <c r="AC326" s="34">
        <f t="shared" si="349"/>
        <v>0</v>
      </c>
      <c r="AD326" s="34">
        <f t="shared" si="350"/>
        <v>0</v>
      </c>
      <c r="AE326" s="34">
        <f t="shared" si="351"/>
        <v>0</v>
      </c>
      <c r="AF326" s="34">
        <f t="shared" si="352"/>
        <v>0</v>
      </c>
      <c r="AG326" s="34">
        <f t="shared" si="353"/>
        <v>0</v>
      </c>
      <c r="AH326" s="34">
        <f t="shared" si="354"/>
        <v>0</v>
      </c>
      <c r="AI326" s="29"/>
      <c r="AJ326" s="17">
        <f t="shared" si="355"/>
        <v>0</v>
      </c>
      <c r="AK326" s="17">
        <f t="shared" si="356"/>
        <v>0</v>
      </c>
      <c r="AL326" s="17">
        <f t="shared" si="357"/>
        <v>0</v>
      </c>
      <c r="AN326" s="34">
        <v>15</v>
      </c>
      <c r="AO326" s="34">
        <f t="shared" si="358"/>
        <v>0</v>
      </c>
      <c r="AP326" s="34">
        <f t="shared" si="359"/>
        <v>0</v>
      </c>
      <c r="AQ326" s="28" t="s">
        <v>13</v>
      </c>
      <c r="AV326" s="34">
        <f t="shared" si="360"/>
        <v>0</v>
      </c>
      <c r="AW326" s="34">
        <f t="shared" si="361"/>
        <v>0</v>
      </c>
      <c r="AX326" s="34">
        <f t="shared" si="362"/>
        <v>0</v>
      </c>
      <c r="AY326" s="35" t="s">
        <v>1710</v>
      </c>
      <c r="AZ326" s="35" t="s">
        <v>1733</v>
      </c>
      <c r="BA326" s="29" t="s">
        <v>1737</v>
      </c>
      <c r="BC326" s="34">
        <f t="shared" si="363"/>
        <v>0</v>
      </c>
      <c r="BD326" s="34">
        <f t="shared" si="364"/>
        <v>0</v>
      </c>
      <c r="BE326" s="34">
        <v>0</v>
      </c>
      <c r="BF326" s="34">
        <f>326</f>
        <v>326</v>
      </c>
      <c r="BH326" s="17">
        <f t="shared" si="365"/>
        <v>0</v>
      </c>
      <c r="BI326" s="17">
        <f t="shared" si="366"/>
        <v>0</v>
      </c>
      <c r="BJ326" s="17">
        <f t="shared" si="367"/>
        <v>0</v>
      </c>
    </row>
    <row r="327" spans="1:62" x14ac:dyDescent="0.2">
      <c r="A327" s="4" t="s">
        <v>288</v>
      </c>
      <c r="B327" s="4" t="s">
        <v>778</v>
      </c>
      <c r="C327" s="240" t="s">
        <v>1361</v>
      </c>
      <c r="D327" s="241"/>
      <c r="E327" s="241"/>
      <c r="F327" s="4" t="s">
        <v>1644</v>
      </c>
      <c r="G327" s="69">
        <v>1</v>
      </c>
      <c r="H327" s="168"/>
      <c r="I327" s="17">
        <f t="shared" si="344"/>
        <v>0</v>
      </c>
      <c r="J327" s="17">
        <f t="shared" si="345"/>
        <v>0</v>
      </c>
      <c r="K327" s="17">
        <f t="shared" si="346"/>
        <v>0</v>
      </c>
      <c r="L327" s="28"/>
      <c r="Z327" s="34">
        <f t="shared" si="347"/>
        <v>0</v>
      </c>
      <c r="AB327" s="34">
        <f t="shared" si="348"/>
        <v>0</v>
      </c>
      <c r="AC327" s="34">
        <f t="shared" si="349"/>
        <v>0</v>
      </c>
      <c r="AD327" s="34">
        <f t="shared" si="350"/>
        <v>0</v>
      </c>
      <c r="AE327" s="34">
        <f t="shared" si="351"/>
        <v>0</v>
      </c>
      <c r="AF327" s="34">
        <f t="shared" si="352"/>
        <v>0</v>
      </c>
      <c r="AG327" s="34">
        <f t="shared" si="353"/>
        <v>0</v>
      </c>
      <c r="AH327" s="34">
        <f t="shared" si="354"/>
        <v>0</v>
      </c>
      <c r="AI327" s="29"/>
      <c r="AJ327" s="17">
        <f t="shared" si="355"/>
        <v>0</v>
      </c>
      <c r="AK327" s="17">
        <f t="shared" si="356"/>
        <v>0</v>
      </c>
      <c r="AL327" s="17">
        <f t="shared" si="357"/>
        <v>0</v>
      </c>
      <c r="AN327" s="34">
        <v>15</v>
      </c>
      <c r="AO327" s="34">
        <f t="shared" si="358"/>
        <v>0</v>
      </c>
      <c r="AP327" s="34">
        <f t="shared" si="359"/>
        <v>0</v>
      </c>
      <c r="AQ327" s="28" t="s">
        <v>13</v>
      </c>
      <c r="AV327" s="34">
        <f t="shared" si="360"/>
        <v>0</v>
      </c>
      <c r="AW327" s="34">
        <f t="shared" si="361"/>
        <v>0</v>
      </c>
      <c r="AX327" s="34">
        <f t="shared" si="362"/>
        <v>0</v>
      </c>
      <c r="AY327" s="35" t="s">
        <v>1710</v>
      </c>
      <c r="AZ327" s="35" t="s">
        <v>1733</v>
      </c>
      <c r="BA327" s="29" t="s">
        <v>1737</v>
      </c>
      <c r="BC327" s="34">
        <f t="shared" si="363"/>
        <v>0</v>
      </c>
      <c r="BD327" s="34">
        <f t="shared" si="364"/>
        <v>0</v>
      </c>
      <c r="BE327" s="34">
        <v>0</v>
      </c>
      <c r="BF327" s="34">
        <f>327</f>
        <v>327</v>
      </c>
      <c r="BH327" s="17">
        <f t="shared" si="365"/>
        <v>0</v>
      </c>
      <c r="BI327" s="17">
        <f t="shared" si="366"/>
        <v>0</v>
      </c>
      <c r="BJ327" s="17">
        <f t="shared" si="367"/>
        <v>0</v>
      </c>
    </row>
    <row r="328" spans="1:62" x14ac:dyDescent="0.2">
      <c r="A328" s="4" t="s">
        <v>289</v>
      </c>
      <c r="B328" s="4" t="s">
        <v>779</v>
      </c>
      <c r="C328" s="240" t="s">
        <v>1362</v>
      </c>
      <c r="D328" s="241"/>
      <c r="E328" s="241"/>
      <c r="F328" s="4" t="s">
        <v>1644</v>
      </c>
      <c r="G328" s="69">
        <v>1</v>
      </c>
      <c r="H328" s="168"/>
      <c r="I328" s="17">
        <f t="shared" si="344"/>
        <v>0</v>
      </c>
      <c r="J328" s="17">
        <f t="shared" si="345"/>
        <v>0</v>
      </c>
      <c r="K328" s="17">
        <f t="shared" si="346"/>
        <v>0</v>
      </c>
      <c r="L328" s="28"/>
      <c r="Z328" s="34">
        <f t="shared" si="347"/>
        <v>0</v>
      </c>
      <c r="AB328" s="34">
        <f t="shared" si="348"/>
        <v>0</v>
      </c>
      <c r="AC328" s="34">
        <f t="shared" si="349"/>
        <v>0</v>
      </c>
      <c r="AD328" s="34">
        <f t="shared" si="350"/>
        <v>0</v>
      </c>
      <c r="AE328" s="34">
        <f t="shared" si="351"/>
        <v>0</v>
      </c>
      <c r="AF328" s="34">
        <f t="shared" si="352"/>
        <v>0</v>
      </c>
      <c r="AG328" s="34">
        <f t="shared" si="353"/>
        <v>0</v>
      </c>
      <c r="AH328" s="34">
        <f t="shared" si="354"/>
        <v>0</v>
      </c>
      <c r="AI328" s="29"/>
      <c r="AJ328" s="17">
        <f t="shared" si="355"/>
        <v>0</v>
      </c>
      <c r="AK328" s="17">
        <f t="shared" si="356"/>
        <v>0</v>
      </c>
      <c r="AL328" s="17">
        <f t="shared" si="357"/>
        <v>0</v>
      </c>
      <c r="AN328" s="34">
        <v>15</v>
      </c>
      <c r="AO328" s="34">
        <f t="shared" si="358"/>
        <v>0</v>
      </c>
      <c r="AP328" s="34">
        <f t="shared" si="359"/>
        <v>0</v>
      </c>
      <c r="AQ328" s="28" t="s">
        <v>13</v>
      </c>
      <c r="AV328" s="34">
        <f t="shared" si="360"/>
        <v>0</v>
      </c>
      <c r="AW328" s="34">
        <f t="shared" si="361"/>
        <v>0</v>
      </c>
      <c r="AX328" s="34">
        <f t="shared" si="362"/>
        <v>0</v>
      </c>
      <c r="AY328" s="35" t="s">
        <v>1710</v>
      </c>
      <c r="AZ328" s="35" t="s">
        <v>1733</v>
      </c>
      <c r="BA328" s="29" t="s">
        <v>1737</v>
      </c>
      <c r="BC328" s="34">
        <f t="shared" si="363"/>
        <v>0</v>
      </c>
      <c r="BD328" s="34">
        <f t="shared" si="364"/>
        <v>0</v>
      </c>
      <c r="BE328" s="34">
        <v>0</v>
      </c>
      <c r="BF328" s="34">
        <f>328</f>
        <v>328</v>
      </c>
      <c r="BH328" s="17">
        <f t="shared" si="365"/>
        <v>0</v>
      </c>
      <c r="BI328" s="17">
        <f t="shared" si="366"/>
        <v>0</v>
      </c>
      <c r="BJ328" s="17">
        <f t="shared" si="367"/>
        <v>0</v>
      </c>
    </row>
    <row r="329" spans="1:62" x14ac:dyDescent="0.2">
      <c r="A329" s="4" t="s">
        <v>290</v>
      </c>
      <c r="B329" s="4" t="s">
        <v>780</v>
      </c>
      <c r="C329" s="240" t="s">
        <v>1363</v>
      </c>
      <c r="D329" s="241"/>
      <c r="E329" s="241"/>
      <c r="F329" s="4" t="s">
        <v>1644</v>
      </c>
      <c r="G329" s="69">
        <v>1</v>
      </c>
      <c r="H329" s="168"/>
      <c r="I329" s="17">
        <f t="shared" si="344"/>
        <v>0</v>
      </c>
      <c r="J329" s="17">
        <f t="shared" si="345"/>
        <v>0</v>
      </c>
      <c r="K329" s="17">
        <f t="shared" si="346"/>
        <v>0</v>
      </c>
      <c r="L329" s="28"/>
      <c r="Z329" s="34">
        <f t="shared" si="347"/>
        <v>0</v>
      </c>
      <c r="AB329" s="34">
        <f t="shared" si="348"/>
        <v>0</v>
      </c>
      <c r="AC329" s="34">
        <f t="shared" si="349"/>
        <v>0</v>
      </c>
      <c r="AD329" s="34">
        <f t="shared" si="350"/>
        <v>0</v>
      </c>
      <c r="AE329" s="34">
        <f t="shared" si="351"/>
        <v>0</v>
      </c>
      <c r="AF329" s="34">
        <f t="shared" si="352"/>
        <v>0</v>
      </c>
      <c r="AG329" s="34">
        <f t="shared" si="353"/>
        <v>0</v>
      </c>
      <c r="AH329" s="34">
        <f t="shared" si="354"/>
        <v>0</v>
      </c>
      <c r="AI329" s="29"/>
      <c r="AJ329" s="17">
        <f t="shared" si="355"/>
        <v>0</v>
      </c>
      <c r="AK329" s="17">
        <f t="shared" si="356"/>
        <v>0</v>
      </c>
      <c r="AL329" s="17">
        <f t="shared" si="357"/>
        <v>0</v>
      </c>
      <c r="AN329" s="34">
        <v>15</v>
      </c>
      <c r="AO329" s="34">
        <f t="shared" si="358"/>
        <v>0</v>
      </c>
      <c r="AP329" s="34">
        <f t="shared" si="359"/>
        <v>0</v>
      </c>
      <c r="AQ329" s="28" t="s">
        <v>13</v>
      </c>
      <c r="AV329" s="34">
        <f t="shared" si="360"/>
        <v>0</v>
      </c>
      <c r="AW329" s="34">
        <f t="shared" si="361"/>
        <v>0</v>
      </c>
      <c r="AX329" s="34">
        <f t="shared" si="362"/>
        <v>0</v>
      </c>
      <c r="AY329" s="35" t="s">
        <v>1710</v>
      </c>
      <c r="AZ329" s="35" t="s">
        <v>1733</v>
      </c>
      <c r="BA329" s="29" t="s">
        <v>1737</v>
      </c>
      <c r="BC329" s="34">
        <f t="shared" si="363"/>
        <v>0</v>
      </c>
      <c r="BD329" s="34">
        <f t="shared" si="364"/>
        <v>0</v>
      </c>
      <c r="BE329" s="34">
        <v>0</v>
      </c>
      <c r="BF329" s="34">
        <f>329</f>
        <v>329</v>
      </c>
      <c r="BH329" s="17">
        <f t="shared" si="365"/>
        <v>0</v>
      </c>
      <c r="BI329" s="17">
        <f t="shared" si="366"/>
        <v>0</v>
      </c>
      <c r="BJ329" s="17">
        <f t="shared" si="367"/>
        <v>0</v>
      </c>
    </row>
    <row r="330" spans="1:62" x14ac:dyDescent="0.2">
      <c r="A330" s="4" t="s">
        <v>291</v>
      </c>
      <c r="B330" s="4" t="s">
        <v>781</v>
      </c>
      <c r="C330" s="240" t="s">
        <v>1364</v>
      </c>
      <c r="D330" s="241"/>
      <c r="E330" s="241"/>
      <c r="F330" s="4" t="s">
        <v>1644</v>
      </c>
      <c r="G330" s="69">
        <v>2</v>
      </c>
      <c r="H330" s="168"/>
      <c r="I330" s="17">
        <f t="shared" si="344"/>
        <v>0</v>
      </c>
      <c r="J330" s="17">
        <f t="shared" si="345"/>
        <v>0</v>
      </c>
      <c r="K330" s="17">
        <f t="shared" si="346"/>
        <v>0</v>
      </c>
      <c r="L330" s="28"/>
      <c r="Z330" s="34">
        <f t="shared" si="347"/>
        <v>0</v>
      </c>
      <c r="AB330" s="34">
        <f t="shared" si="348"/>
        <v>0</v>
      </c>
      <c r="AC330" s="34">
        <f t="shared" si="349"/>
        <v>0</v>
      </c>
      <c r="AD330" s="34">
        <f t="shared" si="350"/>
        <v>0</v>
      </c>
      <c r="AE330" s="34">
        <f t="shared" si="351"/>
        <v>0</v>
      </c>
      <c r="AF330" s="34">
        <f t="shared" si="352"/>
        <v>0</v>
      </c>
      <c r="AG330" s="34">
        <f t="shared" si="353"/>
        <v>0</v>
      </c>
      <c r="AH330" s="34">
        <f t="shared" si="354"/>
        <v>0</v>
      </c>
      <c r="AI330" s="29"/>
      <c r="AJ330" s="17">
        <f t="shared" si="355"/>
        <v>0</v>
      </c>
      <c r="AK330" s="17">
        <f t="shared" si="356"/>
        <v>0</v>
      </c>
      <c r="AL330" s="17">
        <f t="shared" si="357"/>
        <v>0</v>
      </c>
      <c r="AN330" s="34">
        <v>15</v>
      </c>
      <c r="AO330" s="34">
        <f t="shared" si="358"/>
        <v>0</v>
      </c>
      <c r="AP330" s="34">
        <f t="shared" si="359"/>
        <v>0</v>
      </c>
      <c r="AQ330" s="28" t="s">
        <v>13</v>
      </c>
      <c r="AV330" s="34">
        <f t="shared" si="360"/>
        <v>0</v>
      </c>
      <c r="AW330" s="34">
        <f t="shared" si="361"/>
        <v>0</v>
      </c>
      <c r="AX330" s="34">
        <f t="shared" si="362"/>
        <v>0</v>
      </c>
      <c r="AY330" s="35" t="s">
        <v>1710</v>
      </c>
      <c r="AZ330" s="35" t="s">
        <v>1733</v>
      </c>
      <c r="BA330" s="29" t="s">
        <v>1737</v>
      </c>
      <c r="BC330" s="34">
        <f t="shared" si="363"/>
        <v>0</v>
      </c>
      <c r="BD330" s="34">
        <f t="shared" si="364"/>
        <v>0</v>
      </c>
      <c r="BE330" s="34">
        <v>0</v>
      </c>
      <c r="BF330" s="34">
        <f>330</f>
        <v>330</v>
      </c>
      <c r="BH330" s="17">
        <f t="shared" si="365"/>
        <v>0</v>
      </c>
      <c r="BI330" s="17">
        <f t="shared" si="366"/>
        <v>0</v>
      </c>
      <c r="BJ330" s="17">
        <f t="shared" si="367"/>
        <v>0</v>
      </c>
    </row>
    <row r="331" spans="1:62" x14ac:dyDescent="0.2">
      <c r="A331" s="4" t="s">
        <v>292</v>
      </c>
      <c r="B331" s="4" t="s">
        <v>782</v>
      </c>
      <c r="C331" s="240" t="s">
        <v>1365</v>
      </c>
      <c r="D331" s="241"/>
      <c r="E331" s="241"/>
      <c r="F331" s="4" t="s">
        <v>1644</v>
      </c>
      <c r="G331" s="69">
        <v>1</v>
      </c>
      <c r="H331" s="168"/>
      <c r="I331" s="17">
        <f t="shared" si="344"/>
        <v>0</v>
      </c>
      <c r="J331" s="17">
        <f t="shared" si="345"/>
        <v>0</v>
      </c>
      <c r="K331" s="17">
        <f t="shared" si="346"/>
        <v>0</v>
      </c>
      <c r="L331" s="28"/>
      <c r="Z331" s="34">
        <f t="shared" si="347"/>
        <v>0</v>
      </c>
      <c r="AB331" s="34">
        <f t="shared" si="348"/>
        <v>0</v>
      </c>
      <c r="AC331" s="34">
        <f t="shared" si="349"/>
        <v>0</v>
      </c>
      <c r="AD331" s="34">
        <f t="shared" si="350"/>
        <v>0</v>
      </c>
      <c r="AE331" s="34">
        <f t="shared" si="351"/>
        <v>0</v>
      </c>
      <c r="AF331" s="34">
        <f t="shared" si="352"/>
        <v>0</v>
      </c>
      <c r="AG331" s="34">
        <f t="shared" si="353"/>
        <v>0</v>
      </c>
      <c r="AH331" s="34">
        <f t="shared" si="354"/>
        <v>0</v>
      </c>
      <c r="AI331" s="29"/>
      <c r="AJ331" s="17">
        <f t="shared" si="355"/>
        <v>0</v>
      </c>
      <c r="AK331" s="17">
        <f t="shared" si="356"/>
        <v>0</v>
      </c>
      <c r="AL331" s="17">
        <f t="shared" si="357"/>
        <v>0</v>
      </c>
      <c r="AN331" s="34">
        <v>15</v>
      </c>
      <c r="AO331" s="34">
        <f t="shared" si="358"/>
        <v>0</v>
      </c>
      <c r="AP331" s="34">
        <f t="shared" si="359"/>
        <v>0</v>
      </c>
      <c r="AQ331" s="28" t="s">
        <v>13</v>
      </c>
      <c r="AV331" s="34">
        <f t="shared" si="360"/>
        <v>0</v>
      </c>
      <c r="AW331" s="34">
        <f t="shared" si="361"/>
        <v>0</v>
      </c>
      <c r="AX331" s="34">
        <f t="shared" si="362"/>
        <v>0</v>
      </c>
      <c r="AY331" s="35" t="s">
        <v>1710</v>
      </c>
      <c r="AZ331" s="35" t="s">
        <v>1733</v>
      </c>
      <c r="BA331" s="29" t="s">
        <v>1737</v>
      </c>
      <c r="BC331" s="34">
        <f t="shared" si="363"/>
        <v>0</v>
      </c>
      <c r="BD331" s="34">
        <f t="shared" si="364"/>
        <v>0</v>
      </c>
      <c r="BE331" s="34">
        <v>0</v>
      </c>
      <c r="BF331" s="34">
        <f>331</f>
        <v>331</v>
      </c>
      <c r="BH331" s="17">
        <f t="shared" si="365"/>
        <v>0</v>
      </c>
      <c r="BI331" s="17">
        <f t="shared" si="366"/>
        <v>0</v>
      </c>
      <c r="BJ331" s="17">
        <f t="shared" si="367"/>
        <v>0</v>
      </c>
    </row>
    <row r="332" spans="1:62" x14ac:dyDescent="0.2">
      <c r="A332" s="4" t="s">
        <v>293</v>
      </c>
      <c r="B332" s="4" t="s">
        <v>783</v>
      </c>
      <c r="C332" s="240" t="s">
        <v>1366</v>
      </c>
      <c r="D332" s="241"/>
      <c r="E332" s="241"/>
      <c r="F332" s="4" t="s">
        <v>1644</v>
      </c>
      <c r="G332" s="69">
        <v>1</v>
      </c>
      <c r="H332" s="168"/>
      <c r="I332" s="17">
        <f t="shared" si="344"/>
        <v>0</v>
      </c>
      <c r="J332" s="17">
        <f t="shared" si="345"/>
        <v>0</v>
      </c>
      <c r="K332" s="17">
        <f t="shared" si="346"/>
        <v>0</v>
      </c>
      <c r="L332" s="28"/>
      <c r="Z332" s="34">
        <f t="shared" si="347"/>
        <v>0</v>
      </c>
      <c r="AB332" s="34">
        <f t="shared" si="348"/>
        <v>0</v>
      </c>
      <c r="AC332" s="34">
        <f t="shared" si="349"/>
        <v>0</v>
      </c>
      <c r="AD332" s="34">
        <f t="shared" si="350"/>
        <v>0</v>
      </c>
      <c r="AE332" s="34">
        <f t="shared" si="351"/>
        <v>0</v>
      </c>
      <c r="AF332" s="34">
        <f t="shared" si="352"/>
        <v>0</v>
      </c>
      <c r="AG332" s="34">
        <f t="shared" si="353"/>
        <v>0</v>
      </c>
      <c r="AH332" s="34">
        <f t="shared" si="354"/>
        <v>0</v>
      </c>
      <c r="AI332" s="29"/>
      <c r="AJ332" s="17">
        <f t="shared" si="355"/>
        <v>0</v>
      </c>
      <c r="AK332" s="17">
        <f t="shared" si="356"/>
        <v>0</v>
      </c>
      <c r="AL332" s="17">
        <f t="shared" si="357"/>
        <v>0</v>
      </c>
      <c r="AN332" s="34">
        <v>15</v>
      </c>
      <c r="AO332" s="34">
        <f t="shared" si="358"/>
        <v>0</v>
      </c>
      <c r="AP332" s="34">
        <f t="shared" si="359"/>
        <v>0</v>
      </c>
      <c r="AQ332" s="28" t="s">
        <v>13</v>
      </c>
      <c r="AV332" s="34">
        <f t="shared" si="360"/>
        <v>0</v>
      </c>
      <c r="AW332" s="34">
        <f t="shared" si="361"/>
        <v>0</v>
      </c>
      <c r="AX332" s="34">
        <f t="shared" si="362"/>
        <v>0</v>
      </c>
      <c r="AY332" s="35" t="s">
        <v>1710</v>
      </c>
      <c r="AZ332" s="35" t="s">
        <v>1733</v>
      </c>
      <c r="BA332" s="29" t="s">
        <v>1737</v>
      </c>
      <c r="BC332" s="34">
        <f t="shared" si="363"/>
        <v>0</v>
      </c>
      <c r="BD332" s="34">
        <f t="shared" si="364"/>
        <v>0</v>
      </c>
      <c r="BE332" s="34">
        <v>0</v>
      </c>
      <c r="BF332" s="34">
        <f>332</f>
        <v>332</v>
      </c>
      <c r="BH332" s="17">
        <f t="shared" si="365"/>
        <v>0</v>
      </c>
      <c r="BI332" s="17">
        <f t="shared" si="366"/>
        <v>0</v>
      </c>
      <c r="BJ332" s="17">
        <f t="shared" si="367"/>
        <v>0</v>
      </c>
    </row>
    <row r="333" spans="1:62" x14ac:dyDescent="0.2">
      <c r="A333" s="4" t="s">
        <v>294</v>
      </c>
      <c r="B333" s="4" t="s">
        <v>784</v>
      </c>
      <c r="C333" s="240" t="s">
        <v>1367</v>
      </c>
      <c r="D333" s="241"/>
      <c r="E333" s="241"/>
      <c r="F333" s="4" t="s">
        <v>1644</v>
      </c>
      <c r="G333" s="69">
        <v>1</v>
      </c>
      <c r="H333" s="168"/>
      <c r="I333" s="17">
        <f t="shared" si="344"/>
        <v>0</v>
      </c>
      <c r="J333" s="17">
        <f t="shared" si="345"/>
        <v>0</v>
      </c>
      <c r="K333" s="17">
        <f t="shared" si="346"/>
        <v>0</v>
      </c>
      <c r="L333" s="28"/>
      <c r="Z333" s="34">
        <f t="shared" si="347"/>
        <v>0</v>
      </c>
      <c r="AB333" s="34">
        <f t="shared" si="348"/>
        <v>0</v>
      </c>
      <c r="AC333" s="34">
        <f t="shared" si="349"/>
        <v>0</v>
      </c>
      <c r="AD333" s="34">
        <f t="shared" si="350"/>
        <v>0</v>
      </c>
      <c r="AE333" s="34">
        <f t="shared" si="351"/>
        <v>0</v>
      </c>
      <c r="AF333" s="34">
        <f t="shared" si="352"/>
        <v>0</v>
      </c>
      <c r="AG333" s="34">
        <f t="shared" si="353"/>
        <v>0</v>
      </c>
      <c r="AH333" s="34">
        <f t="shared" si="354"/>
        <v>0</v>
      </c>
      <c r="AI333" s="29"/>
      <c r="AJ333" s="17">
        <f t="shared" si="355"/>
        <v>0</v>
      </c>
      <c r="AK333" s="17">
        <f t="shared" si="356"/>
        <v>0</v>
      </c>
      <c r="AL333" s="17">
        <f t="shared" si="357"/>
        <v>0</v>
      </c>
      <c r="AN333" s="34">
        <v>15</v>
      </c>
      <c r="AO333" s="34">
        <f t="shared" si="358"/>
        <v>0</v>
      </c>
      <c r="AP333" s="34">
        <f t="shared" si="359"/>
        <v>0</v>
      </c>
      <c r="AQ333" s="28" t="s">
        <v>13</v>
      </c>
      <c r="AV333" s="34">
        <f t="shared" si="360"/>
        <v>0</v>
      </c>
      <c r="AW333" s="34">
        <f t="shared" si="361"/>
        <v>0</v>
      </c>
      <c r="AX333" s="34">
        <f t="shared" si="362"/>
        <v>0</v>
      </c>
      <c r="AY333" s="35" t="s">
        <v>1710</v>
      </c>
      <c r="AZ333" s="35" t="s">
        <v>1733</v>
      </c>
      <c r="BA333" s="29" t="s">
        <v>1737</v>
      </c>
      <c r="BC333" s="34">
        <f t="shared" si="363"/>
        <v>0</v>
      </c>
      <c r="BD333" s="34">
        <f t="shared" si="364"/>
        <v>0</v>
      </c>
      <c r="BE333" s="34">
        <v>0</v>
      </c>
      <c r="BF333" s="34">
        <f>333</f>
        <v>333</v>
      </c>
      <c r="BH333" s="17">
        <f t="shared" si="365"/>
        <v>0</v>
      </c>
      <c r="BI333" s="17">
        <f t="shared" si="366"/>
        <v>0</v>
      </c>
      <c r="BJ333" s="17">
        <f t="shared" si="367"/>
        <v>0</v>
      </c>
    </row>
    <row r="334" spans="1:62" x14ac:dyDescent="0.2">
      <c r="A334" s="4" t="s">
        <v>295</v>
      </c>
      <c r="B334" s="4" t="s">
        <v>785</v>
      </c>
      <c r="C334" s="240" t="s">
        <v>1368</v>
      </c>
      <c r="D334" s="241"/>
      <c r="E334" s="241"/>
      <c r="F334" s="4" t="s">
        <v>1644</v>
      </c>
      <c r="G334" s="69">
        <v>5</v>
      </c>
      <c r="H334" s="168"/>
      <c r="I334" s="17">
        <f t="shared" si="344"/>
        <v>0</v>
      </c>
      <c r="J334" s="17">
        <f t="shared" si="345"/>
        <v>0</v>
      </c>
      <c r="K334" s="17">
        <f t="shared" si="346"/>
        <v>0</v>
      </c>
      <c r="L334" s="28"/>
      <c r="Z334" s="34">
        <f t="shared" si="347"/>
        <v>0</v>
      </c>
      <c r="AB334" s="34">
        <f t="shared" si="348"/>
        <v>0</v>
      </c>
      <c r="AC334" s="34">
        <f t="shared" si="349"/>
        <v>0</v>
      </c>
      <c r="AD334" s="34">
        <f t="shared" si="350"/>
        <v>0</v>
      </c>
      <c r="AE334" s="34">
        <f t="shared" si="351"/>
        <v>0</v>
      </c>
      <c r="AF334" s="34">
        <f t="shared" si="352"/>
        <v>0</v>
      </c>
      <c r="AG334" s="34">
        <f t="shared" si="353"/>
        <v>0</v>
      </c>
      <c r="AH334" s="34">
        <f t="shared" si="354"/>
        <v>0</v>
      </c>
      <c r="AI334" s="29"/>
      <c r="AJ334" s="17">
        <f t="shared" si="355"/>
        <v>0</v>
      </c>
      <c r="AK334" s="17">
        <f t="shared" si="356"/>
        <v>0</v>
      </c>
      <c r="AL334" s="17">
        <f t="shared" si="357"/>
        <v>0</v>
      </c>
      <c r="AN334" s="34">
        <v>15</v>
      </c>
      <c r="AO334" s="34">
        <f t="shared" si="358"/>
        <v>0</v>
      </c>
      <c r="AP334" s="34">
        <f t="shared" si="359"/>
        <v>0</v>
      </c>
      <c r="AQ334" s="28" t="s">
        <v>13</v>
      </c>
      <c r="AV334" s="34">
        <f t="shared" si="360"/>
        <v>0</v>
      </c>
      <c r="AW334" s="34">
        <f t="shared" si="361"/>
        <v>0</v>
      </c>
      <c r="AX334" s="34">
        <f t="shared" si="362"/>
        <v>0</v>
      </c>
      <c r="AY334" s="35" t="s">
        <v>1710</v>
      </c>
      <c r="AZ334" s="35" t="s">
        <v>1733</v>
      </c>
      <c r="BA334" s="29" t="s">
        <v>1737</v>
      </c>
      <c r="BC334" s="34">
        <f t="shared" si="363"/>
        <v>0</v>
      </c>
      <c r="BD334" s="34">
        <f t="shared" si="364"/>
        <v>0</v>
      </c>
      <c r="BE334" s="34">
        <v>0</v>
      </c>
      <c r="BF334" s="34">
        <f>334</f>
        <v>334</v>
      </c>
      <c r="BH334" s="17">
        <f t="shared" si="365"/>
        <v>0</v>
      </c>
      <c r="BI334" s="17">
        <f t="shared" si="366"/>
        <v>0</v>
      </c>
      <c r="BJ334" s="17">
        <f t="shared" si="367"/>
        <v>0</v>
      </c>
    </row>
    <row r="335" spans="1:62" x14ac:dyDescent="0.2">
      <c r="A335" s="4" t="s">
        <v>296</v>
      </c>
      <c r="B335" s="4" t="s">
        <v>786</v>
      </c>
      <c r="C335" s="240" t="s">
        <v>1369</v>
      </c>
      <c r="D335" s="241"/>
      <c r="E335" s="241"/>
      <c r="F335" s="4" t="s">
        <v>1644</v>
      </c>
      <c r="G335" s="69">
        <v>2</v>
      </c>
      <c r="H335" s="168"/>
      <c r="I335" s="17">
        <f t="shared" si="344"/>
        <v>0</v>
      </c>
      <c r="J335" s="17">
        <f t="shared" si="345"/>
        <v>0</v>
      </c>
      <c r="K335" s="17">
        <f t="shared" si="346"/>
        <v>0</v>
      </c>
      <c r="L335" s="28"/>
      <c r="Z335" s="34">
        <f t="shared" si="347"/>
        <v>0</v>
      </c>
      <c r="AB335" s="34">
        <f t="shared" si="348"/>
        <v>0</v>
      </c>
      <c r="AC335" s="34">
        <f t="shared" si="349"/>
        <v>0</v>
      </c>
      <c r="AD335" s="34">
        <f t="shared" si="350"/>
        <v>0</v>
      </c>
      <c r="AE335" s="34">
        <f t="shared" si="351"/>
        <v>0</v>
      </c>
      <c r="AF335" s="34">
        <f t="shared" si="352"/>
        <v>0</v>
      </c>
      <c r="AG335" s="34">
        <f t="shared" si="353"/>
        <v>0</v>
      </c>
      <c r="AH335" s="34">
        <f t="shared" si="354"/>
        <v>0</v>
      </c>
      <c r="AI335" s="29"/>
      <c r="AJ335" s="17">
        <f t="shared" si="355"/>
        <v>0</v>
      </c>
      <c r="AK335" s="17">
        <f t="shared" si="356"/>
        <v>0</v>
      </c>
      <c r="AL335" s="17">
        <f t="shared" si="357"/>
        <v>0</v>
      </c>
      <c r="AN335" s="34">
        <v>15</v>
      </c>
      <c r="AO335" s="34">
        <f t="shared" si="358"/>
        <v>0</v>
      </c>
      <c r="AP335" s="34">
        <f t="shared" si="359"/>
        <v>0</v>
      </c>
      <c r="AQ335" s="28" t="s">
        <v>13</v>
      </c>
      <c r="AV335" s="34">
        <f t="shared" si="360"/>
        <v>0</v>
      </c>
      <c r="AW335" s="34">
        <f t="shared" si="361"/>
        <v>0</v>
      </c>
      <c r="AX335" s="34">
        <f t="shared" si="362"/>
        <v>0</v>
      </c>
      <c r="AY335" s="35" t="s">
        <v>1710</v>
      </c>
      <c r="AZ335" s="35" t="s">
        <v>1733</v>
      </c>
      <c r="BA335" s="29" t="s">
        <v>1737</v>
      </c>
      <c r="BC335" s="34">
        <f t="shared" si="363"/>
        <v>0</v>
      </c>
      <c r="BD335" s="34">
        <f t="shared" si="364"/>
        <v>0</v>
      </c>
      <c r="BE335" s="34">
        <v>0</v>
      </c>
      <c r="BF335" s="34">
        <f>335</f>
        <v>335</v>
      </c>
      <c r="BH335" s="17">
        <f t="shared" si="365"/>
        <v>0</v>
      </c>
      <c r="BI335" s="17">
        <f t="shared" si="366"/>
        <v>0</v>
      </c>
      <c r="BJ335" s="17">
        <f t="shared" si="367"/>
        <v>0</v>
      </c>
    </row>
    <row r="336" spans="1:62" x14ac:dyDescent="0.2">
      <c r="A336" s="4" t="s">
        <v>297</v>
      </c>
      <c r="B336" s="4" t="s">
        <v>787</v>
      </c>
      <c r="C336" s="240" t="s">
        <v>1326</v>
      </c>
      <c r="D336" s="241"/>
      <c r="E336" s="241"/>
      <c r="F336" s="4" t="s">
        <v>1644</v>
      </c>
      <c r="G336" s="69">
        <v>1</v>
      </c>
      <c r="H336" s="168"/>
      <c r="I336" s="17">
        <f t="shared" si="344"/>
        <v>0</v>
      </c>
      <c r="J336" s="17">
        <f t="shared" si="345"/>
        <v>0</v>
      </c>
      <c r="K336" s="17">
        <f t="shared" si="346"/>
        <v>0</v>
      </c>
      <c r="L336" s="28"/>
      <c r="Z336" s="34">
        <f t="shared" si="347"/>
        <v>0</v>
      </c>
      <c r="AB336" s="34">
        <f t="shared" si="348"/>
        <v>0</v>
      </c>
      <c r="AC336" s="34">
        <f t="shared" si="349"/>
        <v>0</v>
      </c>
      <c r="AD336" s="34">
        <f t="shared" si="350"/>
        <v>0</v>
      </c>
      <c r="AE336" s="34">
        <f t="shared" si="351"/>
        <v>0</v>
      </c>
      <c r="AF336" s="34">
        <f t="shared" si="352"/>
        <v>0</v>
      </c>
      <c r="AG336" s="34">
        <f t="shared" si="353"/>
        <v>0</v>
      </c>
      <c r="AH336" s="34">
        <f t="shared" si="354"/>
        <v>0</v>
      </c>
      <c r="AI336" s="29"/>
      <c r="AJ336" s="17">
        <f t="shared" si="355"/>
        <v>0</v>
      </c>
      <c r="AK336" s="17">
        <f t="shared" si="356"/>
        <v>0</v>
      </c>
      <c r="AL336" s="17">
        <f t="shared" si="357"/>
        <v>0</v>
      </c>
      <c r="AN336" s="34">
        <v>15</v>
      </c>
      <c r="AO336" s="34">
        <f t="shared" si="358"/>
        <v>0</v>
      </c>
      <c r="AP336" s="34">
        <f t="shared" si="359"/>
        <v>0</v>
      </c>
      <c r="AQ336" s="28" t="s">
        <v>13</v>
      </c>
      <c r="AV336" s="34">
        <f t="shared" si="360"/>
        <v>0</v>
      </c>
      <c r="AW336" s="34">
        <f t="shared" si="361"/>
        <v>0</v>
      </c>
      <c r="AX336" s="34">
        <f t="shared" si="362"/>
        <v>0</v>
      </c>
      <c r="AY336" s="35" t="s">
        <v>1710</v>
      </c>
      <c r="AZ336" s="35" t="s">
        <v>1733</v>
      </c>
      <c r="BA336" s="29" t="s">
        <v>1737</v>
      </c>
      <c r="BC336" s="34">
        <f t="shared" si="363"/>
        <v>0</v>
      </c>
      <c r="BD336" s="34">
        <f t="shared" si="364"/>
        <v>0</v>
      </c>
      <c r="BE336" s="34">
        <v>0</v>
      </c>
      <c r="BF336" s="34">
        <f>336</f>
        <v>336</v>
      </c>
      <c r="BH336" s="17">
        <f t="shared" si="365"/>
        <v>0</v>
      </c>
      <c r="BI336" s="17">
        <f t="shared" si="366"/>
        <v>0</v>
      </c>
      <c r="BJ336" s="17">
        <f t="shared" si="367"/>
        <v>0</v>
      </c>
    </row>
    <row r="337" spans="1:62" x14ac:dyDescent="0.2">
      <c r="A337" s="4" t="s">
        <v>298</v>
      </c>
      <c r="B337" s="4" t="s">
        <v>788</v>
      </c>
      <c r="C337" s="240" t="s">
        <v>1370</v>
      </c>
      <c r="D337" s="241"/>
      <c r="E337" s="241"/>
      <c r="F337" s="4" t="s">
        <v>1644</v>
      </c>
      <c r="G337" s="69">
        <v>1</v>
      </c>
      <c r="H337" s="168"/>
      <c r="I337" s="17">
        <f t="shared" si="344"/>
        <v>0</v>
      </c>
      <c r="J337" s="17">
        <f t="shared" si="345"/>
        <v>0</v>
      </c>
      <c r="K337" s="17">
        <f t="shared" si="346"/>
        <v>0</v>
      </c>
      <c r="L337" s="28"/>
      <c r="Z337" s="34">
        <f t="shared" si="347"/>
        <v>0</v>
      </c>
      <c r="AB337" s="34">
        <f t="shared" si="348"/>
        <v>0</v>
      </c>
      <c r="AC337" s="34">
        <f t="shared" si="349"/>
        <v>0</v>
      </c>
      <c r="AD337" s="34">
        <f t="shared" si="350"/>
        <v>0</v>
      </c>
      <c r="AE337" s="34">
        <f t="shared" si="351"/>
        <v>0</v>
      </c>
      <c r="AF337" s="34">
        <f t="shared" si="352"/>
        <v>0</v>
      </c>
      <c r="AG337" s="34">
        <f t="shared" si="353"/>
        <v>0</v>
      </c>
      <c r="AH337" s="34">
        <f t="shared" si="354"/>
        <v>0</v>
      </c>
      <c r="AI337" s="29"/>
      <c r="AJ337" s="17">
        <f t="shared" si="355"/>
        <v>0</v>
      </c>
      <c r="AK337" s="17">
        <f t="shared" si="356"/>
        <v>0</v>
      </c>
      <c r="AL337" s="17">
        <f t="shared" si="357"/>
        <v>0</v>
      </c>
      <c r="AN337" s="34">
        <v>15</v>
      </c>
      <c r="AO337" s="34">
        <f t="shared" si="358"/>
        <v>0</v>
      </c>
      <c r="AP337" s="34">
        <f t="shared" si="359"/>
        <v>0</v>
      </c>
      <c r="AQ337" s="28" t="s">
        <v>13</v>
      </c>
      <c r="AV337" s="34">
        <f t="shared" si="360"/>
        <v>0</v>
      </c>
      <c r="AW337" s="34">
        <f t="shared" si="361"/>
        <v>0</v>
      </c>
      <c r="AX337" s="34">
        <f t="shared" si="362"/>
        <v>0</v>
      </c>
      <c r="AY337" s="35" t="s">
        <v>1710</v>
      </c>
      <c r="AZ337" s="35" t="s">
        <v>1733</v>
      </c>
      <c r="BA337" s="29" t="s">
        <v>1737</v>
      </c>
      <c r="BC337" s="34">
        <f t="shared" si="363"/>
        <v>0</v>
      </c>
      <c r="BD337" s="34">
        <f t="shared" si="364"/>
        <v>0</v>
      </c>
      <c r="BE337" s="34">
        <v>0</v>
      </c>
      <c r="BF337" s="34">
        <f>337</f>
        <v>337</v>
      </c>
      <c r="BH337" s="17">
        <f t="shared" si="365"/>
        <v>0</v>
      </c>
      <c r="BI337" s="17">
        <f t="shared" si="366"/>
        <v>0</v>
      </c>
      <c r="BJ337" s="17">
        <f t="shared" si="367"/>
        <v>0</v>
      </c>
    </row>
    <row r="338" spans="1:62" x14ac:dyDescent="0.2">
      <c r="A338" s="4" t="s">
        <v>299</v>
      </c>
      <c r="B338" s="4" t="s">
        <v>789</v>
      </c>
      <c r="C338" s="240" t="s">
        <v>1327</v>
      </c>
      <c r="D338" s="241"/>
      <c r="E338" s="241"/>
      <c r="F338" s="4" t="s">
        <v>1644</v>
      </c>
      <c r="G338" s="69">
        <v>1</v>
      </c>
      <c r="H338" s="168"/>
      <c r="I338" s="17">
        <f t="shared" si="344"/>
        <v>0</v>
      </c>
      <c r="J338" s="17">
        <f t="shared" si="345"/>
        <v>0</v>
      </c>
      <c r="K338" s="17">
        <f t="shared" si="346"/>
        <v>0</v>
      </c>
      <c r="L338" s="28"/>
      <c r="Z338" s="34">
        <f t="shared" si="347"/>
        <v>0</v>
      </c>
      <c r="AB338" s="34">
        <f t="shared" si="348"/>
        <v>0</v>
      </c>
      <c r="AC338" s="34">
        <f t="shared" si="349"/>
        <v>0</v>
      </c>
      <c r="AD338" s="34">
        <f t="shared" si="350"/>
        <v>0</v>
      </c>
      <c r="AE338" s="34">
        <f t="shared" si="351"/>
        <v>0</v>
      </c>
      <c r="AF338" s="34">
        <f t="shared" si="352"/>
        <v>0</v>
      </c>
      <c r="AG338" s="34">
        <f t="shared" si="353"/>
        <v>0</v>
      </c>
      <c r="AH338" s="34">
        <f t="shared" si="354"/>
        <v>0</v>
      </c>
      <c r="AI338" s="29"/>
      <c r="AJ338" s="17">
        <f t="shared" si="355"/>
        <v>0</v>
      </c>
      <c r="AK338" s="17">
        <f t="shared" si="356"/>
        <v>0</v>
      </c>
      <c r="AL338" s="17">
        <f t="shared" si="357"/>
        <v>0</v>
      </c>
      <c r="AN338" s="34">
        <v>15</v>
      </c>
      <c r="AO338" s="34">
        <f t="shared" si="358"/>
        <v>0</v>
      </c>
      <c r="AP338" s="34">
        <f t="shared" si="359"/>
        <v>0</v>
      </c>
      <c r="AQ338" s="28" t="s">
        <v>13</v>
      </c>
      <c r="AV338" s="34">
        <f t="shared" si="360"/>
        <v>0</v>
      </c>
      <c r="AW338" s="34">
        <f t="shared" si="361"/>
        <v>0</v>
      </c>
      <c r="AX338" s="34">
        <f t="shared" si="362"/>
        <v>0</v>
      </c>
      <c r="AY338" s="35" t="s">
        <v>1710</v>
      </c>
      <c r="AZ338" s="35" t="s">
        <v>1733</v>
      </c>
      <c r="BA338" s="29" t="s">
        <v>1737</v>
      </c>
      <c r="BC338" s="34">
        <f t="shared" si="363"/>
        <v>0</v>
      </c>
      <c r="BD338" s="34">
        <f t="shared" si="364"/>
        <v>0</v>
      </c>
      <c r="BE338" s="34">
        <v>0</v>
      </c>
      <c r="BF338" s="34">
        <f>338</f>
        <v>338</v>
      </c>
      <c r="BH338" s="17">
        <f t="shared" si="365"/>
        <v>0</v>
      </c>
      <c r="BI338" s="17">
        <f t="shared" si="366"/>
        <v>0</v>
      </c>
      <c r="BJ338" s="17">
        <f t="shared" si="367"/>
        <v>0</v>
      </c>
    </row>
    <row r="339" spans="1:62" x14ac:dyDescent="0.2">
      <c r="A339" s="4" t="s">
        <v>300</v>
      </c>
      <c r="B339" s="4" t="s">
        <v>790</v>
      </c>
      <c r="C339" s="240" t="s">
        <v>1371</v>
      </c>
      <c r="D339" s="241"/>
      <c r="E339" s="241"/>
      <c r="F339" s="4" t="s">
        <v>1646</v>
      </c>
      <c r="G339" s="69">
        <v>6</v>
      </c>
      <c r="H339" s="168"/>
      <c r="I339" s="17">
        <f t="shared" si="344"/>
        <v>0</v>
      </c>
      <c r="J339" s="17">
        <f t="shared" si="345"/>
        <v>0</v>
      </c>
      <c r="K339" s="17">
        <f t="shared" si="346"/>
        <v>0</v>
      </c>
      <c r="L339" s="28"/>
      <c r="Z339" s="34">
        <f t="shared" si="347"/>
        <v>0</v>
      </c>
      <c r="AB339" s="34">
        <f t="shared" si="348"/>
        <v>0</v>
      </c>
      <c r="AC339" s="34">
        <f t="shared" si="349"/>
        <v>0</v>
      </c>
      <c r="AD339" s="34">
        <f t="shared" si="350"/>
        <v>0</v>
      </c>
      <c r="AE339" s="34">
        <f t="shared" si="351"/>
        <v>0</v>
      </c>
      <c r="AF339" s="34">
        <f t="shared" si="352"/>
        <v>0</v>
      </c>
      <c r="AG339" s="34">
        <f t="shared" si="353"/>
        <v>0</v>
      </c>
      <c r="AH339" s="34">
        <f t="shared" si="354"/>
        <v>0</v>
      </c>
      <c r="AI339" s="29"/>
      <c r="AJ339" s="17">
        <f t="shared" si="355"/>
        <v>0</v>
      </c>
      <c r="AK339" s="17">
        <f t="shared" si="356"/>
        <v>0</v>
      </c>
      <c r="AL339" s="17">
        <f t="shared" si="357"/>
        <v>0</v>
      </c>
      <c r="AN339" s="34">
        <v>15</v>
      </c>
      <c r="AO339" s="34">
        <f t="shared" si="358"/>
        <v>0</v>
      </c>
      <c r="AP339" s="34">
        <f t="shared" si="359"/>
        <v>0</v>
      </c>
      <c r="AQ339" s="28" t="s">
        <v>13</v>
      </c>
      <c r="AV339" s="34">
        <f t="shared" si="360"/>
        <v>0</v>
      </c>
      <c r="AW339" s="34">
        <f t="shared" si="361"/>
        <v>0</v>
      </c>
      <c r="AX339" s="34">
        <f t="shared" si="362"/>
        <v>0</v>
      </c>
      <c r="AY339" s="35" t="s">
        <v>1710</v>
      </c>
      <c r="AZ339" s="35" t="s">
        <v>1733</v>
      </c>
      <c r="BA339" s="29" t="s">
        <v>1737</v>
      </c>
      <c r="BC339" s="34">
        <f t="shared" si="363"/>
        <v>0</v>
      </c>
      <c r="BD339" s="34">
        <f t="shared" si="364"/>
        <v>0</v>
      </c>
      <c r="BE339" s="34">
        <v>0</v>
      </c>
      <c r="BF339" s="34">
        <f>339</f>
        <v>339</v>
      </c>
      <c r="BH339" s="17">
        <f t="shared" si="365"/>
        <v>0</v>
      </c>
      <c r="BI339" s="17">
        <f t="shared" si="366"/>
        <v>0</v>
      </c>
      <c r="BJ339" s="17">
        <f t="shared" si="367"/>
        <v>0</v>
      </c>
    </row>
    <row r="340" spans="1:62" x14ac:dyDescent="0.2">
      <c r="A340" s="4" t="s">
        <v>301</v>
      </c>
      <c r="B340" s="4" t="s">
        <v>791</v>
      </c>
      <c r="C340" s="240" t="s">
        <v>1372</v>
      </c>
      <c r="D340" s="241"/>
      <c r="E340" s="241"/>
      <c r="F340" s="4" t="s">
        <v>1646</v>
      </c>
      <c r="G340" s="69">
        <v>20</v>
      </c>
      <c r="H340" s="168"/>
      <c r="I340" s="17">
        <f t="shared" si="344"/>
        <v>0</v>
      </c>
      <c r="J340" s="17">
        <f t="shared" si="345"/>
        <v>0</v>
      </c>
      <c r="K340" s="17">
        <f t="shared" si="346"/>
        <v>0</v>
      </c>
      <c r="L340" s="28"/>
      <c r="Z340" s="34">
        <f t="shared" si="347"/>
        <v>0</v>
      </c>
      <c r="AB340" s="34">
        <f t="shared" si="348"/>
        <v>0</v>
      </c>
      <c r="AC340" s="34">
        <f t="shared" si="349"/>
        <v>0</v>
      </c>
      <c r="AD340" s="34">
        <f t="shared" si="350"/>
        <v>0</v>
      </c>
      <c r="AE340" s="34">
        <f t="shared" si="351"/>
        <v>0</v>
      </c>
      <c r="AF340" s="34">
        <f t="shared" si="352"/>
        <v>0</v>
      </c>
      <c r="AG340" s="34">
        <f t="shared" si="353"/>
        <v>0</v>
      </c>
      <c r="AH340" s="34">
        <f t="shared" si="354"/>
        <v>0</v>
      </c>
      <c r="AI340" s="29"/>
      <c r="AJ340" s="17">
        <f t="shared" si="355"/>
        <v>0</v>
      </c>
      <c r="AK340" s="17">
        <f t="shared" si="356"/>
        <v>0</v>
      </c>
      <c r="AL340" s="17">
        <f t="shared" si="357"/>
        <v>0</v>
      </c>
      <c r="AN340" s="34">
        <v>15</v>
      </c>
      <c r="AO340" s="34">
        <f t="shared" si="358"/>
        <v>0</v>
      </c>
      <c r="AP340" s="34">
        <f t="shared" si="359"/>
        <v>0</v>
      </c>
      <c r="AQ340" s="28" t="s">
        <v>13</v>
      </c>
      <c r="AV340" s="34">
        <f t="shared" si="360"/>
        <v>0</v>
      </c>
      <c r="AW340" s="34">
        <f t="shared" si="361"/>
        <v>0</v>
      </c>
      <c r="AX340" s="34">
        <f t="shared" si="362"/>
        <v>0</v>
      </c>
      <c r="AY340" s="35" t="s">
        <v>1710</v>
      </c>
      <c r="AZ340" s="35" t="s">
        <v>1733</v>
      </c>
      <c r="BA340" s="29" t="s">
        <v>1737</v>
      </c>
      <c r="BC340" s="34">
        <f t="shared" si="363"/>
        <v>0</v>
      </c>
      <c r="BD340" s="34">
        <f t="shared" si="364"/>
        <v>0</v>
      </c>
      <c r="BE340" s="34">
        <v>0</v>
      </c>
      <c r="BF340" s="34">
        <f>340</f>
        <v>340</v>
      </c>
      <c r="BH340" s="17">
        <f t="shared" si="365"/>
        <v>0</v>
      </c>
      <c r="BI340" s="17">
        <f t="shared" si="366"/>
        <v>0</v>
      </c>
      <c r="BJ340" s="17">
        <f t="shared" si="367"/>
        <v>0</v>
      </c>
    </row>
    <row r="341" spans="1:62" x14ac:dyDescent="0.2">
      <c r="A341" s="4" t="s">
        <v>302</v>
      </c>
      <c r="B341" s="4" t="s">
        <v>792</v>
      </c>
      <c r="C341" s="240" t="s">
        <v>1373</v>
      </c>
      <c r="D341" s="241"/>
      <c r="E341" s="241"/>
      <c r="F341" s="4" t="s">
        <v>1646</v>
      </c>
      <c r="G341" s="69">
        <v>2</v>
      </c>
      <c r="H341" s="168"/>
      <c r="I341" s="17">
        <f t="shared" si="344"/>
        <v>0</v>
      </c>
      <c r="J341" s="17">
        <f t="shared" si="345"/>
        <v>0</v>
      </c>
      <c r="K341" s="17">
        <f t="shared" si="346"/>
        <v>0</v>
      </c>
      <c r="L341" s="28"/>
      <c r="Z341" s="34">
        <f t="shared" si="347"/>
        <v>0</v>
      </c>
      <c r="AB341" s="34">
        <f t="shared" si="348"/>
        <v>0</v>
      </c>
      <c r="AC341" s="34">
        <f t="shared" si="349"/>
        <v>0</v>
      </c>
      <c r="AD341" s="34">
        <f t="shared" si="350"/>
        <v>0</v>
      </c>
      <c r="AE341" s="34">
        <f t="shared" si="351"/>
        <v>0</v>
      </c>
      <c r="AF341" s="34">
        <f t="shared" si="352"/>
        <v>0</v>
      </c>
      <c r="AG341" s="34">
        <f t="shared" si="353"/>
        <v>0</v>
      </c>
      <c r="AH341" s="34">
        <f t="shared" si="354"/>
        <v>0</v>
      </c>
      <c r="AI341" s="29"/>
      <c r="AJ341" s="17">
        <f t="shared" si="355"/>
        <v>0</v>
      </c>
      <c r="AK341" s="17">
        <f t="shared" si="356"/>
        <v>0</v>
      </c>
      <c r="AL341" s="17">
        <f t="shared" si="357"/>
        <v>0</v>
      </c>
      <c r="AN341" s="34">
        <v>15</v>
      </c>
      <c r="AO341" s="34">
        <f t="shared" si="358"/>
        <v>0</v>
      </c>
      <c r="AP341" s="34">
        <f t="shared" si="359"/>
        <v>0</v>
      </c>
      <c r="AQ341" s="28" t="s">
        <v>13</v>
      </c>
      <c r="AV341" s="34">
        <f t="shared" si="360"/>
        <v>0</v>
      </c>
      <c r="AW341" s="34">
        <f t="shared" si="361"/>
        <v>0</v>
      </c>
      <c r="AX341" s="34">
        <f t="shared" si="362"/>
        <v>0</v>
      </c>
      <c r="AY341" s="35" t="s">
        <v>1710</v>
      </c>
      <c r="AZ341" s="35" t="s">
        <v>1733</v>
      </c>
      <c r="BA341" s="29" t="s">
        <v>1737</v>
      </c>
      <c r="BC341" s="34">
        <f t="shared" si="363"/>
        <v>0</v>
      </c>
      <c r="BD341" s="34">
        <f t="shared" si="364"/>
        <v>0</v>
      </c>
      <c r="BE341" s="34">
        <v>0</v>
      </c>
      <c r="BF341" s="34">
        <f>341</f>
        <v>341</v>
      </c>
      <c r="BH341" s="17">
        <f t="shared" si="365"/>
        <v>0</v>
      </c>
      <c r="BI341" s="17">
        <f t="shared" si="366"/>
        <v>0</v>
      </c>
      <c r="BJ341" s="17">
        <f t="shared" si="367"/>
        <v>0</v>
      </c>
    </row>
    <row r="342" spans="1:62" x14ac:dyDescent="0.2">
      <c r="A342" s="4" t="s">
        <v>303</v>
      </c>
      <c r="B342" s="4" t="s">
        <v>793</v>
      </c>
      <c r="C342" s="240" t="s">
        <v>1374</v>
      </c>
      <c r="D342" s="241"/>
      <c r="E342" s="241"/>
      <c r="F342" s="4" t="s">
        <v>1646</v>
      </c>
      <c r="G342" s="69">
        <v>6</v>
      </c>
      <c r="H342" s="168"/>
      <c r="I342" s="17">
        <f t="shared" si="344"/>
        <v>0</v>
      </c>
      <c r="J342" s="17">
        <f t="shared" si="345"/>
        <v>0</v>
      </c>
      <c r="K342" s="17">
        <f t="shared" si="346"/>
        <v>0</v>
      </c>
      <c r="L342" s="28"/>
      <c r="Z342" s="34">
        <f t="shared" si="347"/>
        <v>0</v>
      </c>
      <c r="AB342" s="34">
        <f t="shared" si="348"/>
        <v>0</v>
      </c>
      <c r="AC342" s="34">
        <f t="shared" si="349"/>
        <v>0</v>
      </c>
      <c r="AD342" s="34">
        <f t="shared" si="350"/>
        <v>0</v>
      </c>
      <c r="AE342" s="34">
        <f t="shared" si="351"/>
        <v>0</v>
      </c>
      <c r="AF342" s="34">
        <f t="shared" si="352"/>
        <v>0</v>
      </c>
      <c r="AG342" s="34">
        <f t="shared" si="353"/>
        <v>0</v>
      </c>
      <c r="AH342" s="34">
        <f t="shared" si="354"/>
        <v>0</v>
      </c>
      <c r="AI342" s="29"/>
      <c r="AJ342" s="17">
        <f t="shared" si="355"/>
        <v>0</v>
      </c>
      <c r="AK342" s="17">
        <f t="shared" si="356"/>
        <v>0</v>
      </c>
      <c r="AL342" s="17">
        <f t="shared" si="357"/>
        <v>0</v>
      </c>
      <c r="AN342" s="34">
        <v>15</v>
      </c>
      <c r="AO342" s="34">
        <f t="shared" si="358"/>
        <v>0</v>
      </c>
      <c r="AP342" s="34">
        <f t="shared" si="359"/>
        <v>0</v>
      </c>
      <c r="AQ342" s="28" t="s">
        <v>13</v>
      </c>
      <c r="AV342" s="34">
        <f t="shared" si="360"/>
        <v>0</v>
      </c>
      <c r="AW342" s="34">
        <f t="shared" si="361"/>
        <v>0</v>
      </c>
      <c r="AX342" s="34">
        <f t="shared" si="362"/>
        <v>0</v>
      </c>
      <c r="AY342" s="35" t="s">
        <v>1710</v>
      </c>
      <c r="AZ342" s="35" t="s">
        <v>1733</v>
      </c>
      <c r="BA342" s="29" t="s">
        <v>1737</v>
      </c>
      <c r="BC342" s="34">
        <f t="shared" si="363"/>
        <v>0</v>
      </c>
      <c r="BD342" s="34">
        <f t="shared" si="364"/>
        <v>0</v>
      </c>
      <c r="BE342" s="34">
        <v>0</v>
      </c>
      <c r="BF342" s="34">
        <f>342</f>
        <v>342</v>
      </c>
      <c r="BH342" s="17">
        <f t="shared" si="365"/>
        <v>0</v>
      </c>
      <c r="BI342" s="17">
        <f t="shared" si="366"/>
        <v>0</v>
      </c>
      <c r="BJ342" s="17">
        <f t="shared" si="367"/>
        <v>0</v>
      </c>
    </row>
    <row r="343" spans="1:62" x14ac:dyDescent="0.2">
      <c r="A343" s="4" t="s">
        <v>304</v>
      </c>
      <c r="B343" s="4" t="s">
        <v>794</v>
      </c>
      <c r="C343" s="240" t="s">
        <v>1375</v>
      </c>
      <c r="D343" s="241"/>
      <c r="E343" s="241"/>
      <c r="F343" s="4" t="s">
        <v>1646</v>
      </c>
      <c r="G343" s="69">
        <v>6</v>
      </c>
      <c r="H343" s="168"/>
      <c r="I343" s="17">
        <f t="shared" si="344"/>
        <v>0</v>
      </c>
      <c r="J343" s="17">
        <f t="shared" si="345"/>
        <v>0</v>
      </c>
      <c r="K343" s="17">
        <f t="shared" si="346"/>
        <v>0</v>
      </c>
      <c r="L343" s="28"/>
      <c r="Z343" s="34">
        <f t="shared" si="347"/>
        <v>0</v>
      </c>
      <c r="AB343" s="34">
        <f t="shared" si="348"/>
        <v>0</v>
      </c>
      <c r="AC343" s="34">
        <f t="shared" si="349"/>
        <v>0</v>
      </c>
      <c r="AD343" s="34">
        <f t="shared" si="350"/>
        <v>0</v>
      </c>
      <c r="AE343" s="34">
        <f t="shared" si="351"/>
        <v>0</v>
      </c>
      <c r="AF343" s="34">
        <f t="shared" si="352"/>
        <v>0</v>
      </c>
      <c r="AG343" s="34">
        <f t="shared" si="353"/>
        <v>0</v>
      </c>
      <c r="AH343" s="34">
        <f t="shared" si="354"/>
        <v>0</v>
      </c>
      <c r="AI343" s="29"/>
      <c r="AJ343" s="17">
        <f t="shared" si="355"/>
        <v>0</v>
      </c>
      <c r="AK343" s="17">
        <f t="shared" si="356"/>
        <v>0</v>
      </c>
      <c r="AL343" s="17">
        <f t="shared" si="357"/>
        <v>0</v>
      </c>
      <c r="AN343" s="34">
        <v>15</v>
      </c>
      <c r="AO343" s="34">
        <f t="shared" si="358"/>
        <v>0</v>
      </c>
      <c r="AP343" s="34">
        <f t="shared" si="359"/>
        <v>0</v>
      </c>
      <c r="AQ343" s="28" t="s">
        <v>13</v>
      </c>
      <c r="AV343" s="34">
        <f t="shared" si="360"/>
        <v>0</v>
      </c>
      <c r="AW343" s="34">
        <f t="shared" si="361"/>
        <v>0</v>
      </c>
      <c r="AX343" s="34">
        <f t="shared" si="362"/>
        <v>0</v>
      </c>
      <c r="AY343" s="35" t="s">
        <v>1710</v>
      </c>
      <c r="AZ343" s="35" t="s">
        <v>1733</v>
      </c>
      <c r="BA343" s="29" t="s">
        <v>1737</v>
      </c>
      <c r="BC343" s="34">
        <f t="shared" si="363"/>
        <v>0</v>
      </c>
      <c r="BD343" s="34">
        <f t="shared" si="364"/>
        <v>0</v>
      </c>
      <c r="BE343" s="34">
        <v>0</v>
      </c>
      <c r="BF343" s="34">
        <f>343</f>
        <v>343</v>
      </c>
      <c r="BH343" s="17">
        <f t="shared" si="365"/>
        <v>0</v>
      </c>
      <c r="BI343" s="17">
        <f t="shared" si="366"/>
        <v>0</v>
      </c>
      <c r="BJ343" s="17">
        <f t="shared" si="367"/>
        <v>0</v>
      </c>
    </row>
    <row r="344" spans="1:62" x14ac:dyDescent="0.2">
      <c r="A344" s="4" t="s">
        <v>305</v>
      </c>
      <c r="B344" s="4" t="s">
        <v>795</v>
      </c>
      <c r="C344" s="240" t="s">
        <v>1376</v>
      </c>
      <c r="D344" s="241"/>
      <c r="E344" s="241"/>
      <c r="F344" s="4" t="s">
        <v>1646</v>
      </c>
      <c r="G344" s="69">
        <v>8</v>
      </c>
      <c r="H344" s="168"/>
      <c r="I344" s="17">
        <f t="shared" si="344"/>
        <v>0</v>
      </c>
      <c r="J344" s="17">
        <f t="shared" si="345"/>
        <v>0</v>
      </c>
      <c r="K344" s="17">
        <f t="shared" si="346"/>
        <v>0</v>
      </c>
      <c r="L344" s="28"/>
      <c r="Z344" s="34">
        <f t="shared" si="347"/>
        <v>0</v>
      </c>
      <c r="AB344" s="34">
        <f t="shared" si="348"/>
        <v>0</v>
      </c>
      <c r="AC344" s="34">
        <f t="shared" si="349"/>
        <v>0</v>
      </c>
      <c r="AD344" s="34">
        <f t="shared" si="350"/>
        <v>0</v>
      </c>
      <c r="AE344" s="34">
        <f t="shared" si="351"/>
        <v>0</v>
      </c>
      <c r="AF344" s="34">
        <f t="shared" si="352"/>
        <v>0</v>
      </c>
      <c r="AG344" s="34">
        <f t="shared" si="353"/>
        <v>0</v>
      </c>
      <c r="AH344" s="34">
        <f t="shared" si="354"/>
        <v>0</v>
      </c>
      <c r="AI344" s="29"/>
      <c r="AJ344" s="17">
        <f t="shared" si="355"/>
        <v>0</v>
      </c>
      <c r="AK344" s="17">
        <f t="shared" si="356"/>
        <v>0</v>
      </c>
      <c r="AL344" s="17">
        <f t="shared" si="357"/>
        <v>0</v>
      </c>
      <c r="AN344" s="34">
        <v>15</v>
      </c>
      <c r="AO344" s="34">
        <f t="shared" si="358"/>
        <v>0</v>
      </c>
      <c r="AP344" s="34">
        <f t="shared" si="359"/>
        <v>0</v>
      </c>
      <c r="AQ344" s="28" t="s">
        <v>13</v>
      </c>
      <c r="AV344" s="34">
        <f t="shared" si="360"/>
        <v>0</v>
      </c>
      <c r="AW344" s="34">
        <f t="shared" si="361"/>
        <v>0</v>
      </c>
      <c r="AX344" s="34">
        <f t="shared" si="362"/>
        <v>0</v>
      </c>
      <c r="AY344" s="35" t="s">
        <v>1710</v>
      </c>
      <c r="AZ344" s="35" t="s">
        <v>1733</v>
      </c>
      <c r="BA344" s="29" t="s">
        <v>1737</v>
      </c>
      <c r="BC344" s="34">
        <f t="shared" si="363"/>
        <v>0</v>
      </c>
      <c r="BD344" s="34">
        <f t="shared" si="364"/>
        <v>0</v>
      </c>
      <c r="BE344" s="34">
        <v>0</v>
      </c>
      <c r="BF344" s="34">
        <f>344</f>
        <v>344</v>
      </c>
      <c r="BH344" s="17">
        <f t="shared" si="365"/>
        <v>0</v>
      </c>
      <c r="BI344" s="17">
        <f t="shared" si="366"/>
        <v>0</v>
      </c>
      <c r="BJ344" s="17">
        <f t="shared" si="367"/>
        <v>0</v>
      </c>
    </row>
    <row r="345" spans="1:62" x14ac:dyDescent="0.2">
      <c r="A345" s="4" t="s">
        <v>306</v>
      </c>
      <c r="B345" s="4" t="s">
        <v>796</v>
      </c>
      <c r="C345" s="240" t="s">
        <v>1377</v>
      </c>
      <c r="D345" s="241"/>
      <c r="E345" s="241"/>
      <c r="F345" s="4" t="s">
        <v>1646</v>
      </c>
      <c r="G345" s="69">
        <v>26</v>
      </c>
      <c r="H345" s="168"/>
      <c r="I345" s="17">
        <f t="shared" si="344"/>
        <v>0</v>
      </c>
      <c r="J345" s="17">
        <f t="shared" si="345"/>
        <v>0</v>
      </c>
      <c r="K345" s="17">
        <f t="shared" si="346"/>
        <v>0</v>
      </c>
      <c r="L345" s="28"/>
      <c r="Z345" s="34">
        <f t="shared" si="347"/>
        <v>0</v>
      </c>
      <c r="AB345" s="34">
        <f t="shared" si="348"/>
        <v>0</v>
      </c>
      <c r="AC345" s="34">
        <f t="shared" si="349"/>
        <v>0</v>
      </c>
      <c r="AD345" s="34">
        <f t="shared" si="350"/>
        <v>0</v>
      </c>
      <c r="AE345" s="34">
        <f t="shared" si="351"/>
        <v>0</v>
      </c>
      <c r="AF345" s="34">
        <f t="shared" si="352"/>
        <v>0</v>
      </c>
      <c r="AG345" s="34">
        <f t="shared" si="353"/>
        <v>0</v>
      </c>
      <c r="AH345" s="34">
        <f t="shared" si="354"/>
        <v>0</v>
      </c>
      <c r="AI345" s="29"/>
      <c r="AJ345" s="17">
        <f t="shared" si="355"/>
        <v>0</v>
      </c>
      <c r="AK345" s="17">
        <f t="shared" si="356"/>
        <v>0</v>
      </c>
      <c r="AL345" s="17">
        <f t="shared" si="357"/>
        <v>0</v>
      </c>
      <c r="AN345" s="34">
        <v>15</v>
      </c>
      <c r="AO345" s="34">
        <f t="shared" si="358"/>
        <v>0</v>
      </c>
      <c r="AP345" s="34">
        <f t="shared" si="359"/>
        <v>0</v>
      </c>
      <c r="AQ345" s="28" t="s">
        <v>13</v>
      </c>
      <c r="AV345" s="34">
        <f t="shared" si="360"/>
        <v>0</v>
      </c>
      <c r="AW345" s="34">
        <f t="shared" si="361"/>
        <v>0</v>
      </c>
      <c r="AX345" s="34">
        <f t="shared" si="362"/>
        <v>0</v>
      </c>
      <c r="AY345" s="35" t="s">
        <v>1710</v>
      </c>
      <c r="AZ345" s="35" t="s">
        <v>1733</v>
      </c>
      <c r="BA345" s="29" t="s">
        <v>1737</v>
      </c>
      <c r="BC345" s="34">
        <f t="shared" si="363"/>
        <v>0</v>
      </c>
      <c r="BD345" s="34">
        <f t="shared" si="364"/>
        <v>0</v>
      </c>
      <c r="BE345" s="34">
        <v>0</v>
      </c>
      <c r="BF345" s="34">
        <f>345</f>
        <v>345</v>
      </c>
      <c r="BH345" s="17">
        <f t="shared" si="365"/>
        <v>0</v>
      </c>
      <c r="BI345" s="17">
        <f t="shared" si="366"/>
        <v>0</v>
      </c>
      <c r="BJ345" s="17">
        <f t="shared" si="367"/>
        <v>0</v>
      </c>
    </row>
    <row r="346" spans="1:62" x14ac:dyDescent="0.2">
      <c r="A346" s="4" t="s">
        <v>307</v>
      </c>
      <c r="B346" s="4" t="s">
        <v>797</v>
      </c>
      <c r="C346" s="240" t="s">
        <v>1378</v>
      </c>
      <c r="D346" s="241"/>
      <c r="E346" s="241"/>
      <c r="F346" s="4" t="s">
        <v>1646</v>
      </c>
      <c r="G346" s="69">
        <v>6</v>
      </c>
      <c r="H346" s="168"/>
      <c r="I346" s="17">
        <f t="shared" si="344"/>
        <v>0</v>
      </c>
      <c r="J346" s="17">
        <f t="shared" si="345"/>
        <v>0</v>
      </c>
      <c r="K346" s="17">
        <f t="shared" si="346"/>
        <v>0</v>
      </c>
      <c r="L346" s="28"/>
      <c r="Z346" s="34">
        <f t="shared" si="347"/>
        <v>0</v>
      </c>
      <c r="AB346" s="34">
        <f t="shared" si="348"/>
        <v>0</v>
      </c>
      <c r="AC346" s="34">
        <f t="shared" si="349"/>
        <v>0</v>
      </c>
      <c r="AD346" s="34">
        <f t="shared" si="350"/>
        <v>0</v>
      </c>
      <c r="AE346" s="34">
        <f t="shared" si="351"/>
        <v>0</v>
      </c>
      <c r="AF346" s="34">
        <f t="shared" si="352"/>
        <v>0</v>
      </c>
      <c r="AG346" s="34">
        <f t="shared" si="353"/>
        <v>0</v>
      </c>
      <c r="AH346" s="34">
        <f t="shared" si="354"/>
        <v>0</v>
      </c>
      <c r="AI346" s="29"/>
      <c r="AJ346" s="17">
        <f t="shared" si="355"/>
        <v>0</v>
      </c>
      <c r="AK346" s="17">
        <f t="shared" si="356"/>
        <v>0</v>
      </c>
      <c r="AL346" s="17">
        <f t="shared" si="357"/>
        <v>0</v>
      </c>
      <c r="AN346" s="34">
        <v>15</v>
      </c>
      <c r="AO346" s="34">
        <f t="shared" si="358"/>
        <v>0</v>
      </c>
      <c r="AP346" s="34">
        <f t="shared" si="359"/>
        <v>0</v>
      </c>
      <c r="AQ346" s="28" t="s">
        <v>13</v>
      </c>
      <c r="AV346" s="34">
        <f t="shared" si="360"/>
        <v>0</v>
      </c>
      <c r="AW346" s="34">
        <f t="shared" si="361"/>
        <v>0</v>
      </c>
      <c r="AX346" s="34">
        <f t="shared" si="362"/>
        <v>0</v>
      </c>
      <c r="AY346" s="35" t="s">
        <v>1710</v>
      </c>
      <c r="AZ346" s="35" t="s">
        <v>1733</v>
      </c>
      <c r="BA346" s="29" t="s">
        <v>1737</v>
      </c>
      <c r="BC346" s="34">
        <f t="shared" si="363"/>
        <v>0</v>
      </c>
      <c r="BD346" s="34">
        <f t="shared" si="364"/>
        <v>0</v>
      </c>
      <c r="BE346" s="34">
        <v>0</v>
      </c>
      <c r="BF346" s="34">
        <f>346</f>
        <v>346</v>
      </c>
      <c r="BH346" s="17">
        <f t="shared" si="365"/>
        <v>0</v>
      </c>
      <c r="BI346" s="17">
        <f t="shared" si="366"/>
        <v>0</v>
      </c>
      <c r="BJ346" s="17">
        <f t="shared" si="367"/>
        <v>0</v>
      </c>
    </row>
    <row r="347" spans="1:62" x14ac:dyDescent="0.2">
      <c r="A347" s="5"/>
      <c r="B347" s="13" t="s">
        <v>798</v>
      </c>
      <c r="C347" s="244" t="s">
        <v>1379</v>
      </c>
      <c r="D347" s="245"/>
      <c r="E347" s="245"/>
      <c r="F347" s="5" t="s">
        <v>6</v>
      </c>
      <c r="G347" s="5" t="s">
        <v>6</v>
      </c>
      <c r="H347" s="5" t="s">
        <v>6</v>
      </c>
      <c r="I347" s="37">
        <f>SUM(I348:I370)</f>
        <v>0</v>
      </c>
      <c r="J347" s="37">
        <f>SUM(J348:J370)</f>
        <v>0</v>
      </c>
      <c r="K347" s="37">
        <f>SUM(K348:K370)</f>
        <v>0</v>
      </c>
      <c r="L347" s="29"/>
      <c r="AI347" s="29"/>
      <c r="AS347" s="37">
        <f>SUM(AJ348:AJ370)</f>
        <v>0</v>
      </c>
      <c r="AT347" s="37">
        <f>SUM(AK348:AK370)</f>
        <v>0</v>
      </c>
      <c r="AU347" s="37">
        <f>SUM(AL348:AL370)</f>
        <v>0</v>
      </c>
    </row>
    <row r="348" spans="1:62" x14ac:dyDescent="0.2">
      <c r="A348" s="4" t="s">
        <v>308</v>
      </c>
      <c r="B348" s="4" t="s">
        <v>799</v>
      </c>
      <c r="C348" s="240" t="s">
        <v>1380</v>
      </c>
      <c r="D348" s="241"/>
      <c r="E348" s="241"/>
      <c r="F348" s="4" t="s">
        <v>1646</v>
      </c>
      <c r="G348" s="69">
        <v>1.5</v>
      </c>
      <c r="H348" s="168"/>
      <c r="I348" s="17">
        <f t="shared" ref="I348:I370" si="368">G348*AO348</f>
        <v>0</v>
      </c>
      <c r="J348" s="17">
        <f t="shared" ref="J348:J370" si="369">G348*AP348</f>
        <v>0</v>
      </c>
      <c r="K348" s="17">
        <f t="shared" ref="K348:K370" si="370">G348*H348</f>
        <v>0</v>
      </c>
      <c r="L348" s="28"/>
      <c r="Z348" s="34">
        <f t="shared" ref="Z348:Z370" si="371">IF(AQ348="5",BJ348,0)</f>
        <v>0</v>
      </c>
      <c r="AB348" s="34">
        <f t="shared" ref="AB348:AB370" si="372">IF(AQ348="1",BH348,0)</f>
        <v>0</v>
      </c>
      <c r="AC348" s="34">
        <f t="shared" ref="AC348:AC370" si="373">IF(AQ348="1",BI348,0)</f>
        <v>0</v>
      </c>
      <c r="AD348" s="34">
        <f t="shared" ref="AD348:AD370" si="374">IF(AQ348="7",BH348,0)</f>
        <v>0</v>
      </c>
      <c r="AE348" s="34">
        <f t="shared" ref="AE348:AE370" si="375">IF(AQ348="7",BI348,0)</f>
        <v>0</v>
      </c>
      <c r="AF348" s="34">
        <f t="shared" ref="AF348:AF370" si="376">IF(AQ348="2",BH348,0)</f>
        <v>0</v>
      </c>
      <c r="AG348" s="34">
        <f t="shared" ref="AG348:AG370" si="377">IF(AQ348="2",BI348,0)</f>
        <v>0</v>
      </c>
      <c r="AH348" s="34">
        <f t="shared" ref="AH348:AH370" si="378">IF(AQ348="0",BJ348,0)</f>
        <v>0</v>
      </c>
      <c r="AI348" s="29"/>
      <c r="AJ348" s="17">
        <f t="shared" ref="AJ348:AJ370" si="379">IF(AN348=0,K348,0)</f>
        <v>0</v>
      </c>
      <c r="AK348" s="17">
        <f t="shared" ref="AK348:AK370" si="380">IF(AN348=15,K348,0)</f>
        <v>0</v>
      </c>
      <c r="AL348" s="17">
        <f t="shared" ref="AL348:AL370" si="381">IF(AN348=21,K348,0)</f>
        <v>0</v>
      </c>
      <c r="AN348" s="34">
        <v>15</v>
      </c>
      <c r="AO348" s="34">
        <f t="shared" ref="AO348:AO370" si="382">H348*0</f>
        <v>0</v>
      </c>
      <c r="AP348" s="34">
        <f t="shared" ref="AP348:AP370" si="383">H348*(1-0)</f>
        <v>0</v>
      </c>
      <c r="AQ348" s="28" t="s">
        <v>13</v>
      </c>
      <c r="AV348" s="34">
        <f t="shared" ref="AV348:AV370" si="384">AW348+AX348</f>
        <v>0</v>
      </c>
      <c r="AW348" s="34">
        <f t="shared" ref="AW348:AW370" si="385">G348*AO348</f>
        <v>0</v>
      </c>
      <c r="AX348" s="34">
        <f t="shared" ref="AX348:AX370" si="386">G348*AP348</f>
        <v>0</v>
      </c>
      <c r="AY348" s="35" t="s">
        <v>1711</v>
      </c>
      <c r="AZ348" s="35" t="s">
        <v>1733</v>
      </c>
      <c r="BA348" s="29" t="s">
        <v>1737</v>
      </c>
      <c r="BC348" s="34">
        <f t="shared" ref="BC348:BC370" si="387">AW348+AX348</f>
        <v>0</v>
      </c>
      <c r="BD348" s="34">
        <f t="shared" ref="BD348:BD370" si="388">H348/(100-BE348)*100</f>
        <v>0</v>
      </c>
      <c r="BE348" s="34">
        <v>0</v>
      </c>
      <c r="BF348" s="34">
        <f>348</f>
        <v>348</v>
      </c>
      <c r="BH348" s="17">
        <f t="shared" ref="BH348:BH370" si="389">G348*AO348</f>
        <v>0</v>
      </c>
      <c r="BI348" s="17">
        <f t="shared" ref="BI348:BI370" si="390">G348*AP348</f>
        <v>0</v>
      </c>
      <c r="BJ348" s="17">
        <f t="shared" ref="BJ348:BJ370" si="391">G348*H348</f>
        <v>0</v>
      </c>
    </row>
    <row r="349" spans="1:62" x14ac:dyDescent="0.2">
      <c r="A349" s="4" t="s">
        <v>309</v>
      </c>
      <c r="B349" s="4" t="s">
        <v>800</v>
      </c>
      <c r="C349" s="240" t="s">
        <v>1381</v>
      </c>
      <c r="D349" s="241"/>
      <c r="E349" s="241"/>
      <c r="F349" s="4" t="s">
        <v>1644</v>
      </c>
      <c r="G349" s="69">
        <v>1</v>
      </c>
      <c r="H349" s="168"/>
      <c r="I349" s="17">
        <f t="shared" si="368"/>
        <v>0</v>
      </c>
      <c r="J349" s="17">
        <f t="shared" si="369"/>
        <v>0</v>
      </c>
      <c r="K349" s="17">
        <f t="shared" si="370"/>
        <v>0</v>
      </c>
      <c r="L349" s="28"/>
      <c r="Z349" s="34">
        <f t="shared" si="371"/>
        <v>0</v>
      </c>
      <c r="AB349" s="34">
        <f t="shared" si="372"/>
        <v>0</v>
      </c>
      <c r="AC349" s="34">
        <f t="shared" si="373"/>
        <v>0</v>
      </c>
      <c r="AD349" s="34">
        <f t="shared" si="374"/>
        <v>0</v>
      </c>
      <c r="AE349" s="34">
        <f t="shared" si="375"/>
        <v>0</v>
      </c>
      <c r="AF349" s="34">
        <f t="shared" si="376"/>
        <v>0</v>
      </c>
      <c r="AG349" s="34">
        <f t="shared" si="377"/>
        <v>0</v>
      </c>
      <c r="AH349" s="34">
        <f t="shared" si="378"/>
        <v>0</v>
      </c>
      <c r="AI349" s="29"/>
      <c r="AJ349" s="17">
        <f t="shared" si="379"/>
        <v>0</v>
      </c>
      <c r="AK349" s="17">
        <f t="shared" si="380"/>
        <v>0</v>
      </c>
      <c r="AL349" s="17">
        <f t="shared" si="381"/>
        <v>0</v>
      </c>
      <c r="AN349" s="34">
        <v>15</v>
      </c>
      <c r="AO349" s="34">
        <f t="shared" si="382"/>
        <v>0</v>
      </c>
      <c r="AP349" s="34">
        <f t="shared" si="383"/>
        <v>0</v>
      </c>
      <c r="AQ349" s="28" t="s">
        <v>13</v>
      </c>
      <c r="AV349" s="34">
        <f t="shared" si="384"/>
        <v>0</v>
      </c>
      <c r="AW349" s="34">
        <f t="shared" si="385"/>
        <v>0</v>
      </c>
      <c r="AX349" s="34">
        <f t="shared" si="386"/>
        <v>0</v>
      </c>
      <c r="AY349" s="35" t="s">
        <v>1711</v>
      </c>
      <c r="AZ349" s="35" t="s">
        <v>1733</v>
      </c>
      <c r="BA349" s="29" t="s">
        <v>1737</v>
      </c>
      <c r="BC349" s="34">
        <f t="shared" si="387"/>
        <v>0</v>
      </c>
      <c r="BD349" s="34">
        <f t="shared" si="388"/>
        <v>0</v>
      </c>
      <c r="BE349" s="34">
        <v>0</v>
      </c>
      <c r="BF349" s="34">
        <f>349</f>
        <v>349</v>
      </c>
      <c r="BH349" s="17">
        <f t="shared" si="389"/>
        <v>0</v>
      </c>
      <c r="BI349" s="17">
        <f t="shared" si="390"/>
        <v>0</v>
      </c>
      <c r="BJ349" s="17">
        <f t="shared" si="391"/>
        <v>0</v>
      </c>
    </row>
    <row r="350" spans="1:62" x14ac:dyDescent="0.2">
      <c r="A350" s="4" t="s">
        <v>310</v>
      </c>
      <c r="B350" s="4" t="s">
        <v>801</v>
      </c>
      <c r="C350" s="240" t="s">
        <v>1382</v>
      </c>
      <c r="D350" s="241"/>
      <c r="E350" s="241"/>
      <c r="F350" s="4" t="s">
        <v>1644</v>
      </c>
      <c r="G350" s="69">
        <v>1</v>
      </c>
      <c r="H350" s="168"/>
      <c r="I350" s="17">
        <f t="shared" si="368"/>
        <v>0</v>
      </c>
      <c r="J350" s="17">
        <f t="shared" si="369"/>
        <v>0</v>
      </c>
      <c r="K350" s="17">
        <f t="shared" si="370"/>
        <v>0</v>
      </c>
      <c r="L350" s="28"/>
      <c r="Z350" s="34">
        <f t="shared" si="371"/>
        <v>0</v>
      </c>
      <c r="AB350" s="34">
        <f t="shared" si="372"/>
        <v>0</v>
      </c>
      <c r="AC350" s="34">
        <f t="shared" si="373"/>
        <v>0</v>
      </c>
      <c r="AD350" s="34">
        <f t="shared" si="374"/>
        <v>0</v>
      </c>
      <c r="AE350" s="34">
        <f t="shared" si="375"/>
        <v>0</v>
      </c>
      <c r="AF350" s="34">
        <f t="shared" si="376"/>
        <v>0</v>
      </c>
      <c r="AG350" s="34">
        <f t="shared" si="377"/>
        <v>0</v>
      </c>
      <c r="AH350" s="34">
        <f t="shared" si="378"/>
        <v>0</v>
      </c>
      <c r="AI350" s="29"/>
      <c r="AJ350" s="17">
        <f t="shared" si="379"/>
        <v>0</v>
      </c>
      <c r="AK350" s="17">
        <f t="shared" si="380"/>
        <v>0</v>
      </c>
      <c r="AL350" s="17">
        <f t="shared" si="381"/>
        <v>0</v>
      </c>
      <c r="AN350" s="34">
        <v>15</v>
      </c>
      <c r="AO350" s="34">
        <f t="shared" si="382"/>
        <v>0</v>
      </c>
      <c r="AP350" s="34">
        <f t="shared" si="383"/>
        <v>0</v>
      </c>
      <c r="AQ350" s="28" t="s">
        <v>13</v>
      </c>
      <c r="AV350" s="34">
        <f t="shared" si="384"/>
        <v>0</v>
      </c>
      <c r="AW350" s="34">
        <f t="shared" si="385"/>
        <v>0</v>
      </c>
      <c r="AX350" s="34">
        <f t="shared" si="386"/>
        <v>0</v>
      </c>
      <c r="AY350" s="35" t="s">
        <v>1711</v>
      </c>
      <c r="AZ350" s="35" t="s">
        <v>1733</v>
      </c>
      <c r="BA350" s="29" t="s">
        <v>1737</v>
      </c>
      <c r="BC350" s="34">
        <f t="shared" si="387"/>
        <v>0</v>
      </c>
      <c r="BD350" s="34">
        <f t="shared" si="388"/>
        <v>0</v>
      </c>
      <c r="BE350" s="34">
        <v>0</v>
      </c>
      <c r="BF350" s="34">
        <f>350</f>
        <v>350</v>
      </c>
      <c r="BH350" s="17">
        <f t="shared" si="389"/>
        <v>0</v>
      </c>
      <c r="BI350" s="17">
        <f t="shared" si="390"/>
        <v>0</v>
      </c>
      <c r="BJ350" s="17">
        <f t="shared" si="391"/>
        <v>0</v>
      </c>
    </row>
    <row r="351" spans="1:62" x14ac:dyDescent="0.2">
      <c r="A351" s="4" t="s">
        <v>311</v>
      </c>
      <c r="B351" s="4" t="s">
        <v>802</v>
      </c>
      <c r="C351" s="240" t="s">
        <v>1383</v>
      </c>
      <c r="D351" s="241"/>
      <c r="E351" s="241"/>
      <c r="F351" s="4" t="s">
        <v>1644</v>
      </c>
      <c r="G351" s="69">
        <v>1</v>
      </c>
      <c r="H351" s="168"/>
      <c r="I351" s="17">
        <f t="shared" si="368"/>
        <v>0</v>
      </c>
      <c r="J351" s="17">
        <f t="shared" si="369"/>
        <v>0</v>
      </c>
      <c r="K351" s="17">
        <f t="shared" si="370"/>
        <v>0</v>
      </c>
      <c r="L351" s="28"/>
      <c r="Z351" s="34">
        <f t="shared" si="371"/>
        <v>0</v>
      </c>
      <c r="AB351" s="34">
        <f t="shared" si="372"/>
        <v>0</v>
      </c>
      <c r="AC351" s="34">
        <f t="shared" si="373"/>
        <v>0</v>
      </c>
      <c r="AD351" s="34">
        <f t="shared" si="374"/>
        <v>0</v>
      </c>
      <c r="AE351" s="34">
        <f t="shared" si="375"/>
        <v>0</v>
      </c>
      <c r="AF351" s="34">
        <f t="shared" si="376"/>
        <v>0</v>
      </c>
      <c r="AG351" s="34">
        <f t="shared" si="377"/>
        <v>0</v>
      </c>
      <c r="AH351" s="34">
        <f t="shared" si="378"/>
        <v>0</v>
      </c>
      <c r="AI351" s="29"/>
      <c r="AJ351" s="17">
        <f t="shared" si="379"/>
        <v>0</v>
      </c>
      <c r="AK351" s="17">
        <f t="shared" si="380"/>
        <v>0</v>
      </c>
      <c r="AL351" s="17">
        <f t="shared" si="381"/>
        <v>0</v>
      </c>
      <c r="AN351" s="34">
        <v>15</v>
      </c>
      <c r="AO351" s="34">
        <f t="shared" si="382"/>
        <v>0</v>
      </c>
      <c r="AP351" s="34">
        <f t="shared" si="383"/>
        <v>0</v>
      </c>
      <c r="AQ351" s="28" t="s">
        <v>13</v>
      </c>
      <c r="AV351" s="34">
        <f t="shared" si="384"/>
        <v>0</v>
      </c>
      <c r="AW351" s="34">
        <f t="shared" si="385"/>
        <v>0</v>
      </c>
      <c r="AX351" s="34">
        <f t="shared" si="386"/>
        <v>0</v>
      </c>
      <c r="AY351" s="35" t="s">
        <v>1711</v>
      </c>
      <c r="AZ351" s="35" t="s">
        <v>1733</v>
      </c>
      <c r="BA351" s="29" t="s">
        <v>1737</v>
      </c>
      <c r="BC351" s="34">
        <f t="shared" si="387"/>
        <v>0</v>
      </c>
      <c r="BD351" s="34">
        <f t="shared" si="388"/>
        <v>0</v>
      </c>
      <c r="BE351" s="34">
        <v>0</v>
      </c>
      <c r="BF351" s="34">
        <f>351</f>
        <v>351</v>
      </c>
      <c r="BH351" s="17">
        <f t="shared" si="389"/>
        <v>0</v>
      </c>
      <c r="BI351" s="17">
        <f t="shared" si="390"/>
        <v>0</v>
      </c>
      <c r="BJ351" s="17">
        <f t="shared" si="391"/>
        <v>0</v>
      </c>
    </row>
    <row r="352" spans="1:62" x14ac:dyDescent="0.2">
      <c r="A352" s="4" t="s">
        <v>312</v>
      </c>
      <c r="B352" s="4" t="s">
        <v>803</v>
      </c>
      <c r="C352" s="240" t="s">
        <v>1384</v>
      </c>
      <c r="D352" s="241"/>
      <c r="E352" s="241"/>
      <c r="F352" s="4" t="s">
        <v>1644</v>
      </c>
      <c r="G352" s="69">
        <v>1</v>
      </c>
      <c r="H352" s="168"/>
      <c r="I352" s="17">
        <f t="shared" si="368"/>
        <v>0</v>
      </c>
      <c r="J352" s="17">
        <f t="shared" si="369"/>
        <v>0</v>
      </c>
      <c r="K352" s="17">
        <f t="shared" si="370"/>
        <v>0</v>
      </c>
      <c r="L352" s="28"/>
      <c r="Z352" s="34">
        <f t="shared" si="371"/>
        <v>0</v>
      </c>
      <c r="AB352" s="34">
        <f t="shared" si="372"/>
        <v>0</v>
      </c>
      <c r="AC352" s="34">
        <f t="shared" si="373"/>
        <v>0</v>
      </c>
      <c r="AD352" s="34">
        <f t="shared" si="374"/>
        <v>0</v>
      </c>
      <c r="AE352" s="34">
        <f t="shared" si="375"/>
        <v>0</v>
      </c>
      <c r="AF352" s="34">
        <f t="shared" si="376"/>
        <v>0</v>
      </c>
      <c r="AG352" s="34">
        <f t="shared" si="377"/>
        <v>0</v>
      </c>
      <c r="AH352" s="34">
        <f t="shared" si="378"/>
        <v>0</v>
      </c>
      <c r="AI352" s="29"/>
      <c r="AJ352" s="17">
        <f t="shared" si="379"/>
        <v>0</v>
      </c>
      <c r="AK352" s="17">
        <f t="shared" si="380"/>
        <v>0</v>
      </c>
      <c r="AL352" s="17">
        <f t="shared" si="381"/>
        <v>0</v>
      </c>
      <c r="AN352" s="34">
        <v>15</v>
      </c>
      <c r="AO352" s="34">
        <f t="shared" si="382"/>
        <v>0</v>
      </c>
      <c r="AP352" s="34">
        <f t="shared" si="383"/>
        <v>0</v>
      </c>
      <c r="AQ352" s="28" t="s">
        <v>13</v>
      </c>
      <c r="AV352" s="34">
        <f t="shared" si="384"/>
        <v>0</v>
      </c>
      <c r="AW352" s="34">
        <f t="shared" si="385"/>
        <v>0</v>
      </c>
      <c r="AX352" s="34">
        <f t="shared" si="386"/>
        <v>0</v>
      </c>
      <c r="AY352" s="35" t="s">
        <v>1711</v>
      </c>
      <c r="AZ352" s="35" t="s">
        <v>1733</v>
      </c>
      <c r="BA352" s="29" t="s">
        <v>1737</v>
      </c>
      <c r="BC352" s="34">
        <f t="shared" si="387"/>
        <v>0</v>
      </c>
      <c r="BD352" s="34">
        <f t="shared" si="388"/>
        <v>0</v>
      </c>
      <c r="BE352" s="34">
        <v>0</v>
      </c>
      <c r="BF352" s="34">
        <f>352</f>
        <v>352</v>
      </c>
      <c r="BH352" s="17">
        <f t="shared" si="389"/>
        <v>0</v>
      </c>
      <c r="BI352" s="17">
        <f t="shared" si="390"/>
        <v>0</v>
      </c>
      <c r="BJ352" s="17">
        <f t="shared" si="391"/>
        <v>0</v>
      </c>
    </row>
    <row r="353" spans="1:62" x14ac:dyDescent="0.2">
      <c r="A353" s="4" t="s">
        <v>313</v>
      </c>
      <c r="B353" s="4" t="s">
        <v>804</v>
      </c>
      <c r="C353" s="240" t="s">
        <v>1385</v>
      </c>
      <c r="D353" s="241"/>
      <c r="E353" s="241"/>
      <c r="F353" s="4" t="s">
        <v>1646</v>
      </c>
      <c r="G353" s="69">
        <v>9</v>
      </c>
      <c r="H353" s="168"/>
      <c r="I353" s="17">
        <f t="shared" si="368"/>
        <v>0</v>
      </c>
      <c r="J353" s="17">
        <f t="shared" si="369"/>
        <v>0</v>
      </c>
      <c r="K353" s="17">
        <f t="shared" si="370"/>
        <v>0</v>
      </c>
      <c r="L353" s="28"/>
      <c r="Z353" s="34">
        <f t="shared" si="371"/>
        <v>0</v>
      </c>
      <c r="AB353" s="34">
        <f t="shared" si="372"/>
        <v>0</v>
      </c>
      <c r="AC353" s="34">
        <f t="shared" si="373"/>
        <v>0</v>
      </c>
      <c r="AD353" s="34">
        <f t="shared" si="374"/>
        <v>0</v>
      </c>
      <c r="AE353" s="34">
        <f t="shared" si="375"/>
        <v>0</v>
      </c>
      <c r="AF353" s="34">
        <f t="shared" si="376"/>
        <v>0</v>
      </c>
      <c r="AG353" s="34">
        <f t="shared" si="377"/>
        <v>0</v>
      </c>
      <c r="AH353" s="34">
        <f t="shared" si="378"/>
        <v>0</v>
      </c>
      <c r="AI353" s="29"/>
      <c r="AJ353" s="17">
        <f t="shared" si="379"/>
        <v>0</v>
      </c>
      <c r="AK353" s="17">
        <f t="shared" si="380"/>
        <v>0</v>
      </c>
      <c r="AL353" s="17">
        <f t="shared" si="381"/>
        <v>0</v>
      </c>
      <c r="AN353" s="34">
        <v>15</v>
      </c>
      <c r="AO353" s="34">
        <f t="shared" si="382"/>
        <v>0</v>
      </c>
      <c r="AP353" s="34">
        <f t="shared" si="383"/>
        <v>0</v>
      </c>
      <c r="AQ353" s="28" t="s">
        <v>13</v>
      </c>
      <c r="AV353" s="34">
        <f t="shared" si="384"/>
        <v>0</v>
      </c>
      <c r="AW353" s="34">
        <f t="shared" si="385"/>
        <v>0</v>
      </c>
      <c r="AX353" s="34">
        <f t="shared" si="386"/>
        <v>0</v>
      </c>
      <c r="AY353" s="35" t="s">
        <v>1711</v>
      </c>
      <c r="AZ353" s="35" t="s">
        <v>1733</v>
      </c>
      <c r="BA353" s="29" t="s">
        <v>1737</v>
      </c>
      <c r="BC353" s="34">
        <f t="shared" si="387"/>
        <v>0</v>
      </c>
      <c r="BD353" s="34">
        <f t="shared" si="388"/>
        <v>0</v>
      </c>
      <c r="BE353" s="34">
        <v>0</v>
      </c>
      <c r="BF353" s="34">
        <f>353</f>
        <v>353</v>
      </c>
      <c r="BH353" s="17">
        <f t="shared" si="389"/>
        <v>0</v>
      </c>
      <c r="BI353" s="17">
        <f t="shared" si="390"/>
        <v>0</v>
      </c>
      <c r="BJ353" s="17">
        <f t="shared" si="391"/>
        <v>0</v>
      </c>
    </row>
    <row r="354" spans="1:62" x14ac:dyDescent="0.2">
      <c r="A354" s="4" t="s">
        <v>314</v>
      </c>
      <c r="B354" s="4" t="s">
        <v>805</v>
      </c>
      <c r="C354" s="240" t="s">
        <v>1386</v>
      </c>
      <c r="D354" s="241"/>
      <c r="E354" s="241"/>
      <c r="F354" s="4" t="s">
        <v>1644</v>
      </c>
      <c r="G354" s="69">
        <v>1</v>
      </c>
      <c r="H354" s="168"/>
      <c r="I354" s="17">
        <f t="shared" si="368"/>
        <v>0</v>
      </c>
      <c r="J354" s="17">
        <f t="shared" si="369"/>
        <v>0</v>
      </c>
      <c r="K354" s="17">
        <f t="shared" si="370"/>
        <v>0</v>
      </c>
      <c r="L354" s="28"/>
      <c r="Z354" s="34">
        <f t="shared" si="371"/>
        <v>0</v>
      </c>
      <c r="AB354" s="34">
        <f t="shared" si="372"/>
        <v>0</v>
      </c>
      <c r="AC354" s="34">
        <f t="shared" si="373"/>
        <v>0</v>
      </c>
      <c r="AD354" s="34">
        <f t="shared" si="374"/>
        <v>0</v>
      </c>
      <c r="AE354" s="34">
        <f t="shared" si="375"/>
        <v>0</v>
      </c>
      <c r="AF354" s="34">
        <f t="shared" si="376"/>
        <v>0</v>
      </c>
      <c r="AG354" s="34">
        <f t="shared" si="377"/>
        <v>0</v>
      </c>
      <c r="AH354" s="34">
        <f t="shared" si="378"/>
        <v>0</v>
      </c>
      <c r="AI354" s="29"/>
      <c r="AJ354" s="17">
        <f t="shared" si="379"/>
        <v>0</v>
      </c>
      <c r="AK354" s="17">
        <f t="shared" si="380"/>
        <v>0</v>
      </c>
      <c r="AL354" s="17">
        <f t="shared" si="381"/>
        <v>0</v>
      </c>
      <c r="AN354" s="34">
        <v>15</v>
      </c>
      <c r="AO354" s="34">
        <f t="shared" si="382"/>
        <v>0</v>
      </c>
      <c r="AP354" s="34">
        <f t="shared" si="383"/>
        <v>0</v>
      </c>
      <c r="AQ354" s="28" t="s">
        <v>13</v>
      </c>
      <c r="AV354" s="34">
        <f t="shared" si="384"/>
        <v>0</v>
      </c>
      <c r="AW354" s="34">
        <f t="shared" si="385"/>
        <v>0</v>
      </c>
      <c r="AX354" s="34">
        <f t="shared" si="386"/>
        <v>0</v>
      </c>
      <c r="AY354" s="35" t="s">
        <v>1711</v>
      </c>
      <c r="AZ354" s="35" t="s">
        <v>1733</v>
      </c>
      <c r="BA354" s="29" t="s">
        <v>1737</v>
      </c>
      <c r="BC354" s="34">
        <f t="shared" si="387"/>
        <v>0</v>
      </c>
      <c r="BD354" s="34">
        <f t="shared" si="388"/>
        <v>0</v>
      </c>
      <c r="BE354" s="34">
        <v>0</v>
      </c>
      <c r="BF354" s="34">
        <f>354</f>
        <v>354</v>
      </c>
      <c r="BH354" s="17">
        <f t="shared" si="389"/>
        <v>0</v>
      </c>
      <c r="BI354" s="17">
        <f t="shared" si="390"/>
        <v>0</v>
      </c>
      <c r="BJ354" s="17">
        <f t="shared" si="391"/>
        <v>0</v>
      </c>
    </row>
    <row r="355" spans="1:62" x14ac:dyDescent="0.2">
      <c r="A355" s="4" t="s">
        <v>315</v>
      </c>
      <c r="B355" s="4" t="s">
        <v>806</v>
      </c>
      <c r="C355" s="240" t="s">
        <v>1387</v>
      </c>
      <c r="D355" s="241"/>
      <c r="E355" s="241"/>
      <c r="F355" s="4" t="s">
        <v>1644</v>
      </c>
      <c r="G355" s="69">
        <v>1</v>
      </c>
      <c r="H355" s="168"/>
      <c r="I355" s="17">
        <f t="shared" si="368"/>
        <v>0</v>
      </c>
      <c r="J355" s="17">
        <f t="shared" si="369"/>
        <v>0</v>
      </c>
      <c r="K355" s="17">
        <f t="shared" si="370"/>
        <v>0</v>
      </c>
      <c r="L355" s="28"/>
      <c r="Z355" s="34">
        <f t="shared" si="371"/>
        <v>0</v>
      </c>
      <c r="AB355" s="34">
        <f t="shared" si="372"/>
        <v>0</v>
      </c>
      <c r="AC355" s="34">
        <f t="shared" si="373"/>
        <v>0</v>
      </c>
      <c r="AD355" s="34">
        <f t="shared" si="374"/>
        <v>0</v>
      </c>
      <c r="AE355" s="34">
        <f t="shared" si="375"/>
        <v>0</v>
      </c>
      <c r="AF355" s="34">
        <f t="shared" si="376"/>
        <v>0</v>
      </c>
      <c r="AG355" s="34">
        <f t="shared" si="377"/>
        <v>0</v>
      </c>
      <c r="AH355" s="34">
        <f t="shared" si="378"/>
        <v>0</v>
      </c>
      <c r="AI355" s="29"/>
      <c r="AJ355" s="17">
        <f t="shared" si="379"/>
        <v>0</v>
      </c>
      <c r="AK355" s="17">
        <f t="shared" si="380"/>
        <v>0</v>
      </c>
      <c r="AL355" s="17">
        <f t="shared" si="381"/>
        <v>0</v>
      </c>
      <c r="AN355" s="34">
        <v>15</v>
      </c>
      <c r="AO355" s="34">
        <f t="shared" si="382"/>
        <v>0</v>
      </c>
      <c r="AP355" s="34">
        <f t="shared" si="383"/>
        <v>0</v>
      </c>
      <c r="AQ355" s="28" t="s">
        <v>13</v>
      </c>
      <c r="AV355" s="34">
        <f t="shared" si="384"/>
        <v>0</v>
      </c>
      <c r="AW355" s="34">
        <f t="shared" si="385"/>
        <v>0</v>
      </c>
      <c r="AX355" s="34">
        <f t="shared" si="386"/>
        <v>0</v>
      </c>
      <c r="AY355" s="35" t="s">
        <v>1711</v>
      </c>
      <c r="AZ355" s="35" t="s">
        <v>1733</v>
      </c>
      <c r="BA355" s="29" t="s">
        <v>1737</v>
      </c>
      <c r="BC355" s="34">
        <f t="shared" si="387"/>
        <v>0</v>
      </c>
      <c r="BD355" s="34">
        <f t="shared" si="388"/>
        <v>0</v>
      </c>
      <c r="BE355" s="34">
        <v>0</v>
      </c>
      <c r="BF355" s="34">
        <f>355</f>
        <v>355</v>
      </c>
      <c r="BH355" s="17">
        <f t="shared" si="389"/>
        <v>0</v>
      </c>
      <c r="BI355" s="17">
        <f t="shared" si="390"/>
        <v>0</v>
      </c>
      <c r="BJ355" s="17">
        <f t="shared" si="391"/>
        <v>0</v>
      </c>
    </row>
    <row r="356" spans="1:62" x14ac:dyDescent="0.2">
      <c r="A356" s="4" t="s">
        <v>316</v>
      </c>
      <c r="B356" s="4" t="s">
        <v>807</v>
      </c>
      <c r="C356" s="240" t="s">
        <v>1388</v>
      </c>
      <c r="D356" s="241"/>
      <c r="E356" s="241"/>
      <c r="F356" s="4" t="s">
        <v>1644</v>
      </c>
      <c r="G356" s="69">
        <v>1</v>
      </c>
      <c r="H356" s="168"/>
      <c r="I356" s="17">
        <f t="shared" si="368"/>
        <v>0</v>
      </c>
      <c r="J356" s="17">
        <f t="shared" si="369"/>
        <v>0</v>
      </c>
      <c r="K356" s="17">
        <f t="shared" si="370"/>
        <v>0</v>
      </c>
      <c r="L356" s="28"/>
      <c r="Z356" s="34">
        <f t="shared" si="371"/>
        <v>0</v>
      </c>
      <c r="AB356" s="34">
        <f t="shared" si="372"/>
        <v>0</v>
      </c>
      <c r="AC356" s="34">
        <f t="shared" si="373"/>
        <v>0</v>
      </c>
      <c r="AD356" s="34">
        <f t="shared" si="374"/>
        <v>0</v>
      </c>
      <c r="AE356" s="34">
        <f t="shared" si="375"/>
        <v>0</v>
      </c>
      <c r="AF356" s="34">
        <f t="shared" si="376"/>
        <v>0</v>
      </c>
      <c r="AG356" s="34">
        <f t="shared" si="377"/>
        <v>0</v>
      </c>
      <c r="AH356" s="34">
        <f t="shared" si="378"/>
        <v>0</v>
      </c>
      <c r="AI356" s="29"/>
      <c r="AJ356" s="17">
        <f t="shared" si="379"/>
        <v>0</v>
      </c>
      <c r="AK356" s="17">
        <f t="shared" si="380"/>
        <v>0</v>
      </c>
      <c r="AL356" s="17">
        <f t="shared" si="381"/>
        <v>0</v>
      </c>
      <c r="AN356" s="34">
        <v>15</v>
      </c>
      <c r="AO356" s="34">
        <f t="shared" si="382"/>
        <v>0</v>
      </c>
      <c r="AP356" s="34">
        <f t="shared" si="383"/>
        <v>0</v>
      </c>
      <c r="AQ356" s="28" t="s">
        <v>13</v>
      </c>
      <c r="AV356" s="34">
        <f t="shared" si="384"/>
        <v>0</v>
      </c>
      <c r="AW356" s="34">
        <f t="shared" si="385"/>
        <v>0</v>
      </c>
      <c r="AX356" s="34">
        <f t="shared" si="386"/>
        <v>0</v>
      </c>
      <c r="AY356" s="35" t="s">
        <v>1711</v>
      </c>
      <c r="AZ356" s="35" t="s">
        <v>1733</v>
      </c>
      <c r="BA356" s="29" t="s">
        <v>1737</v>
      </c>
      <c r="BC356" s="34">
        <f t="shared" si="387"/>
        <v>0</v>
      </c>
      <c r="BD356" s="34">
        <f t="shared" si="388"/>
        <v>0</v>
      </c>
      <c r="BE356" s="34">
        <v>0</v>
      </c>
      <c r="BF356" s="34">
        <f>356</f>
        <v>356</v>
      </c>
      <c r="BH356" s="17">
        <f t="shared" si="389"/>
        <v>0</v>
      </c>
      <c r="BI356" s="17">
        <f t="shared" si="390"/>
        <v>0</v>
      </c>
      <c r="BJ356" s="17">
        <f t="shared" si="391"/>
        <v>0</v>
      </c>
    </row>
    <row r="357" spans="1:62" x14ac:dyDescent="0.2">
      <c r="A357" s="4" t="s">
        <v>317</v>
      </c>
      <c r="B357" s="4" t="s">
        <v>808</v>
      </c>
      <c r="C357" s="240" t="s">
        <v>1389</v>
      </c>
      <c r="D357" s="241"/>
      <c r="E357" s="241"/>
      <c r="F357" s="4" t="s">
        <v>1644</v>
      </c>
      <c r="G357" s="69">
        <v>1</v>
      </c>
      <c r="H357" s="168"/>
      <c r="I357" s="17">
        <f t="shared" si="368"/>
        <v>0</v>
      </c>
      <c r="J357" s="17">
        <f t="shared" si="369"/>
        <v>0</v>
      </c>
      <c r="K357" s="17">
        <f t="shared" si="370"/>
        <v>0</v>
      </c>
      <c r="L357" s="28"/>
      <c r="Z357" s="34">
        <f t="shared" si="371"/>
        <v>0</v>
      </c>
      <c r="AB357" s="34">
        <f t="shared" si="372"/>
        <v>0</v>
      </c>
      <c r="AC357" s="34">
        <f t="shared" si="373"/>
        <v>0</v>
      </c>
      <c r="AD357" s="34">
        <f t="shared" si="374"/>
        <v>0</v>
      </c>
      <c r="AE357" s="34">
        <f t="shared" si="375"/>
        <v>0</v>
      </c>
      <c r="AF357" s="34">
        <f t="shared" si="376"/>
        <v>0</v>
      </c>
      <c r="AG357" s="34">
        <f t="shared" si="377"/>
        <v>0</v>
      </c>
      <c r="AH357" s="34">
        <f t="shared" si="378"/>
        <v>0</v>
      </c>
      <c r="AI357" s="29"/>
      <c r="AJ357" s="17">
        <f t="shared" si="379"/>
        <v>0</v>
      </c>
      <c r="AK357" s="17">
        <f t="shared" si="380"/>
        <v>0</v>
      </c>
      <c r="AL357" s="17">
        <f t="shared" si="381"/>
        <v>0</v>
      </c>
      <c r="AN357" s="34">
        <v>15</v>
      </c>
      <c r="AO357" s="34">
        <f t="shared" si="382"/>
        <v>0</v>
      </c>
      <c r="AP357" s="34">
        <f t="shared" si="383"/>
        <v>0</v>
      </c>
      <c r="AQ357" s="28" t="s">
        <v>13</v>
      </c>
      <c r="AV357" s="34">
        <f t="shared" si="384"/>
        <v>0</v>
      </c>
      <c r="AW357" s="34">
        <f t="shared" si="385"/>
        <v>0</v>
      </c>
      <c r="AX357" s="34">
        <f t="shared" si="386"/>
        <v>0</v>
      </c>
      <c r="AY357" s="35" t="s">
        <v>1711</v>
      </c>
      <c r="AZ357" s="35" t="s">
        <v>1733</v>
      </c>
      <c r="BA357" s="29" t="s">
        <v>1737</v>
      </c>
      <c r="BC357" s="34">
        <f t="shared" si="387"/>
        <v>0</v>
      </c>
      <c r="BD357" s="34">
        <f t="shared" si="388"/>
        <v>0</v>
      </c>
      <c r="BE357" s="34">
        <v>0</v>
      </c>
      <c r="BF357" s="34">
        <f>357</f>
        <v>357</v>
      </c>
      <c r="BH357" s="17">
        <f t="shared" si="389"/>
        <v>0</v>
      </c>
      <c r="BI357" s="17">
        <f t="shared" si="390"/>
        <v>0</v>
      </c>
      <c r="BJ357" s="17">
        <f t="shared" si="391"/>
        <v>0</v>
      </c>
    </row>
    <row r="358" spans="1:62" x14ac:dyDescent="0.2">
      <c r="A358" s="4" t="s">
        <v>318</v>
      </c>
      <c r="B358" s="4" t="s">
        <v>809</v>
      </c>
      <c r="C358" s="240" t="s">
        <v>1380</v>
      </c>
      <c r="D358" s="241"/>
      <c r="E358" s="241"/>
      <c r="F358" s="4" t="s">
        <v>1646</v>
      </c>
      <c r="G358" s="69">
        <v>1.5</v>
      </c>
      <c r="H358" s="168"/>
      <c r="I358" s="17">
        <f t="shared" si="368"/>
        <v>0</v>
      </c>
      <c r="J358" s="17">
        <f t="shared" si="369"/>
        <v>0</v>
      </c>
      <c r="K358" s="17">
        <f t="shared" si="370"/>
        <v>0</v>
      </c>
      <c r="L358" s="28"/>
      <c r="Z358" s="34">
        <f t="shared" si="371"/>
        <v>0</v>
      </c>
      <c r="AB358" s="34">
        <f t="shared" si="372"/>
        <v>0</v>
      </c>
      <c r="AC358" s="34">
        <f t="shared" si="373"/>
        <v>0</v>
      </c>
      <c r="AD358" s="34">
        <f t="shared" si="374"/>
        <v>0</v>
      </c>
      <c r="AE358" s="34">
        <f t="shared" si="375"/>
        <v>0</v>
      </c>
      <c r="AF358" s="34">
        <f t="shared" si="376"/>
        <v>0</v>
      </c>
      <c r="AG358" s="34">
        <f t="shared" si="377"/>
        <v>0</v>
      </c>
      <c r="AH358" s="34">
        <f t="shared" si="378"/>
        <v>0</v>
      </c>
      <c r="AI358" s="29"/>
      <c r="AJ358" s="17">
        <f t="shared" si="379"/>
        <v>0</v>
      </c>
      <c r="AK358" s="17">
        <f t="shared" si="380"/>
        <v>0</v>
      </c>
      <c r="AL358" s="17">
        <f t="shared" si="381"/>
        <v>0</v>
      </c>
      <c r="AN358" s="34">
        <v>15</v>
      </c>
      <c r="AO358" s="34">
        <f t="shared" si="382"/>
        <v>0</v>
      </c>
      <c r="AP358" s="34">
        <f t="shared" si="383"/>
        <v>0</v>
      </c>
      <c r="AQ358" s="28" t="s">
        <v>13</v>
      </c>
      <c r="AV358" s="34">
        <f t="shared" si="384"/>
        <v>0</v>
      </c>
      <c r="AW358" s="34">
        <f t="shared" si="385"/>
        <v>0</v>
      </c>
      <c r="AX358" s="34">
        <f t="shared" si="386"/>
        <v>0</v>
      </c>
      <c r="AY358" s="35" t="s">
        <v>1711</v>
      </c>
      <c r="AZ358" s="35" t="s">
        <v>1733</v>
      </c>
      <c r="BA358" s="29" t="s">
        <v>1737</v>
      </c>
      <c r="BC358" s="34">
        <f t="shared" si="387"/>
        <v>0</v>
      </c>
      <c r="BD358" s="34">
        <f t="shared" si="388"/>
        <v>0</v>
      </c>
      <c r="BE358" s="34">
        <v>0</v>
      </c>
      <c r="BF358" s="34">
        <f>358</f>
        <v>358</v>
      </c>
      <c r="BH358" s="17">
        <f t="shared" si="389"/>
        <v>0</v>
      </c>
      <c r="BI358" s="17">
        <f t="shared" si="390"/>
        <v>0</v>
      </c>
      <c r="BJ358" s="17">
        <f t="shared" si="391"/>
        <v>0</v>
      </c>
    </row>
    <row r="359" spans="1:62" x14ac:dyDescent="0.2">
      <c r="A359" s="4" t="s">
        <v>319</v>
      </c>
      <c r="B359" s="4" t="s">
        <v>810</v>
      </c>
      <c r="C359" s="240" t="s">
        <v>1390</v>
      </c>
      <c r="D359" s="241"/>
      <c r="E359" s="241"/>
      <c r="F359" s="4" t="s">
        <v>1644</v>
      </c>
      <c r="G359" s="69">
        <v>1</v>
      </c>
      <c r="H359" s="168"/>
      <c r="I359" s="17">
        <f t="shared" si="368"/>
        <v>0</v>
      </c>
      <c r="J359" s="17">
        <f t="shared" si="369"/>
        <v>0</v>
      </c>
      <c r="K359" s="17">
        <f t="shared" si="370"/>
        <v>0</v>
      </c>
      <c r="L359" s="28"/>
      <c r="Z359" s="34">
        <f t="shared" si="371"/>
        <v>0</v>
      </c>
      <c r="AB359" s="34">
        <f t="shared" si="372"/>
        <v>0</v>
      </c>
      <c r="AC359" s="34">
        <f t="shared" si="373"/>
        <v>0</v>
      </c>
      <c r="AD359" s="34">
        <f t="shared" si="374"/>
        <v>0</v>
      </c>
      <c r="AE359" s="34">
        <f t="shared" si="375"/>
        <v>0</v>
      </c>
      <c r="AF359" s="34">
        <f t="shared" si="376"/>
        <v>0</v>
      </c>
      <c r="AG359" s="34">
        <f t="shared" si="377"/>
        <v>0</v>
      </c>
      <c r="AH359" s="34">
        <f t="shared" si="378"/>
        <v>0</v>
      </c>
      <c r="AI359" s="29"/>
      <c r="AJ359" s="17">
        <f t="shared" si="379"/>
        <v>0</v>
      </c>
      <c r="AK359" s="17">
        <f t="shared" si="380"/>
        <v>0</v>
      </c>
      <c r="AL359" s="17">
        <f t="shared" si="381"/>
        <v>0</v>
      </c>
      <c r="AN359" s="34">
        <v>15</v>
      </c>
      <c r="AO359" s="34">
        <f t="shared" si="382"/>
        <v>0</v>
      </c>
      <c r="AP359" s="34">
        <f t="shared" si="383"/>
        <v>0</v>
      </c>
      <c r="AQ359" s="28" t="s">
        <v>13</v>
      </c>
      <c r="AV359" s="34">
        <f t="shared" si="384"/>
        <v>0</v>
      </c>
      <c r="AW359" s="34">
        <f t="shared" si="385"/>
        <v>0</v>
      </c>
      <c r="AX359" s="34">
        <f t="shared" si="386"/>
        <v>0</v>
      </c>
      <c r="AY359" s="35" t="s">
        <v>1711</v>
      </c>
      <c r="AZ359" s="35" t="s">
        <v>1733</v>
      </c>
      <c r="BA359" s="29" t="s">
        <v>1737</v>
      </c>
      <c r="BC359" s="34">
        <f t="shared" si="387"/>
        <v>0</v>
      </c>
      <c r="BD359" s="34">
        <f t="shared" si="388"/>
        <v>0</v>
      </c>
      <c r="BE359" s="34">
        <v>0</v>
      </c>
      <c r="BF359" s="34">
        <f>359</f>
        <v>359</v>
      </c>
      <c r="BH359" s="17">
        <f t="shared" si="389"/>
        <v>0</v>
      </c>
      <c r="BI359" s="17">
        <f t="shared" si="390"/>
        <v>0</v>
      </c>
      <c r="BJ359" s="17">
        <f t="shared" si="391"/>
        <v>0</v>
      </c>
    </row>
    <row r="360" spans="1:62" x14ac:dyDescent="0.2">
      <c r="A360" s="4" t="s">
        <v>320</v>
      </c>
      <c r="B360" s="4" t="s">
        <v>811</v>
      </c>
      <c r="C360" s="240" t="s">
        <v>1391</v>
      </c>
      <c r="D360" s="241"/>
      <c r="E360" s="241"/>
      <c r="F360" s="4" t="s">
        <v>1644</v>
      </c>
      <c r="G360" s="69">
        <v>3</v>
      </c>
      <c r="H360" s="168"/>
      <c r="I360" s="17">
        <f t="shared" si="368"/>
        <v>0</v>
      </c>
      <c r="J360" s="17">
        <f t="shared" si="369"/>
        <v>0</v>
      </c>
      <c r="K360" s="17">
        <f t="shared" si="370"/>
        <v>0</v>
      </c>
      <c r="L360" s="28"/>
      <c r="Z360" s="34">
        <f t="shared" si="371"/>
        <v>0</v>
      </c>
      <c r="AB360" s="34">
        <f t="shared" si="372"/>
        <v>0</v>
      </c>
      <c r="AC360" s="34">
        <f t="shared" si="373"/>
        <v>0</v>
      </c>
      <c r="AD360" s="34">
        <f t="shared" si="374"/>
        <v>0</v>
      </c>
      <c r="AE360" s="34">
        <f t="shared" si="375"/>
        <v>0</v>
      </c>
      <c r="AF360" s="34">
        <f t="shared" si="376"/>
        <v>0</v>
      </c>
      <c r="AG360" s="34">
        <f t="shared" si="377"/>
        <v>0</v>
      </c>
      <c r="AH360" s="34">
        <f t="shared" si="378"/>
        <v>0</v>
      </c>
      <c r="AI360" s="29"/>
      <c r="AJ360" s="17">
        <f t="shared" si="379"/>
        <v>0</v>
      </c>
      <c r="AK360" s="17">
        <f t="shared" si="380"/>
        <v>0</v>
      </c>
      <c r="AL360" s="17">
        <f t="shared" si="381"/>
        <v>0</v>
      </c>
      <c r="AN360" s="34">
        <v>15</v>
      </c>
      <c r="AO360" s="34">
        <f t="shared" si="382"/>
        <v>0</v>
      </c>
      <c r="AP360" s="34">
        <f t="shared" si="383"/>
        <v>0</v>
      </c>
      <c r="AQ360" s="28" t="s">
        <v>13</v>
      </c>
      <c r="AV360" s="34">
        <f t="shared" si="384"/>
        <v>0</v>
      </c>
      <c r="AW360" s="34">
        <f t="shared" si="385"/>
        <v>0</v>
      </c>
      <c r="AX360" s="34">
        <f t="shared" si="386"/>
        <v>0</v>
      </c>
      <c r="AY360" s="35" t="s">
        <v>1711</v>
      </c>
      <c r="AZ360" s="35" t="s">
        <v>1733</v>
      </c>
      <c r="BA360" s="29" t="s">
        <v>1737</v>
      </c>
      <c r="BC360" s="34">
        <f t="shared" si="387"/>
        <v>0</v>
      </c>
      <c r="BD360" s="34">
        <f t="shared" si="388"/>
        <v>0</v>
      </c>
      <c r="BE360" s="34">
        <v>0</v>
      </c>
      <c r="BF360" s="34">
        <f>360</f>
        <v>360</v>
      </c>
      <c r="BH360" s="17">
        <f t="shared" si="389"/>
        <v>0</v>
      </c>
      <c r="BI360" s="17">
        <f t="shared" si="390"/>
        <v>0</v>
      </c>
      <c r="BJ360" s="17">
        <f t="shared" si="391"/>
        <v>0</v>
      </c>
    </row>
    <row r="361" spans="1:62" x14ac:dyDescent="0.2">
      <c r="A361" s="4" t="s">
        <v>321</v>
      </c>
      <c r="B361" s="4" t="s">
        <v>812</v>
      </c>
      <c r="C361" s="240" t="s">
        <v>1388</v>
      </c>
      <c r="D361" s="241"/>
      <c r="E361" s="241"/>
      <c r="F361" s="4" t="s">
        <v>1644</v>
      </c>
      <c r="G361" s="69">
        <v>1</v>
      </c>
      <c r="H361" s="168"/>
      <c r="I361" s="17">
        <f t="shared" si="368"/>
        <v>0</v>
      </c>
      <c r="J361" s="17">
        <f t="shared" si="369"/>
        <v>0</v>
      </c>
      <c r="K361" s="17">
        <f t="shared" si="370"/>
        <v>0</v>
      </c>
      <c r="L361" s="28"/>
      <c r="Z361" s="34">
        <f t="shared" si="371"/>
        <v>0</v>
      </c>
      <c r="AB361" s="34">
        <f t="shared" si="372"/>
        <v>0</v>
      </c>
      <c r="AC361" s="34">
        <f t="shared" si="373"/>
        <v>0</v>
      </c>
      <c r="AD361" s="34">
        <f t="shared" si="374"/>
        <v>0</v>
      </c>
      <c r="AE361" s="34">
        <f t="shared" si="375"/>
        <v>0</v>
      </c>
      <c r="AF361" s="34">
        <f t="shared" si="376"/>
        <v>0</v>
      </c>
      <c r="AG361" s="34">
        <f t="shared" si="377"/>
        <v>0</v>
      </c>
      <c r="AH361" s="34">
        <f t="shared" si="378"/>
        <v>0</v>
      </c>
      <c r="AI361" s="29"/>
      <c r="AJ361" s="17">
        <f t="shared" si="379"/>
        <v>0</v>
      </c>
      <c r="AK361" s="17">
        <f t="shared" si="380"/>
        <v>0</v>
      </c>
      <c r="AL361" s="17">
        <f t="shared" si="381"/>
        <v>0</v>
      </c>
      <c r="AN361" s="34">
        <v>15</v>
      </c>
      <c r="AO361" s="34">
        <f t="shared" si="382"/>
        <v>0</v>
      </c>
      <c r="AP361" s="34">
        <f t="shared" si="383"/>
        <v>0</v>
      </c>
      <c r="AQ361" s="28" t="s">
        <v>13</v>
      </c>
      <c r="AV361" s="34">
        <f t="shared" si="384"/>
        <v>0</v>
      </c>
      <c r="AW361" s="34">
        <f t="shared" si="385"/>
        <v>0</v>
      </c>
      <c r="AX361" s="34">
        <f t="shared" si="386"/>
        <v>0</v>
      </c>
      <c r="AY361" s="35" t="s">
        <v>1711</v>
      </c>
      <c r="AZ361" s="35" t="s">
        <v>1733</v>
      </c>
      <c r="BA361" s="29" t="s">
        <v>1737</v>
      </c>
      <c r="BC361" s="34">
        <f t="shared" si="387"/>
        <v>0</v>
      </c>
      <c r="BD361" s="34">
        <f t="shared" si="388"/>
        <v>0</v>
      </c>
      <c r="BE361" s="34">
        <v>0</v>
      </c>
      <c r="BF361" s="34">
        <f>361</f>
        <v>361</v>
      </c>
      <c r="BH361" s="17">
        <f t="shared" si="389"/>
        <v>0</v>
      </c>
      <c r="BI361" s="17">
        <f t="shared" si="390"/>
        <v>0</v>
      </c>
      <c r="BJ361" s="17">
        <f t="shared" si="391"/>
        <v>0</v>
      </c>
    </row>
    <row r="362" spans="1:62" x14ac:dyDescent="0.2">
      <c r="A362" s="4" t="s">
        <v>322</v>
      </c>
      <c r="B362" s="4" t="s">
        <v>813</v>
      </c>
      <c r="C362" s="240" t="s">
        <v>1383</v>
      </c>
      <c r="D362" s="241"/>
      <c r="E362" s="241"/>
      <c r="F362" s="4" t="s">
        <v>1644</v>
      </c>
      <c r="G362" s="69">
        <v>1</v>
      </c>
      <c r="H362" s="168"/>
      <c r="I362" s="17">
        <f t="shared" si="368"/>
        <v>0</v>
      </c>
      <c r="J362" s="17">
        <f t="shared" si="369"/>
        <v>0</v>
      </c>
      <c r="K362" s="17">
        <f t="shared" si="370"/>
        <v>0</v>
      </c>
      <c r="L362" s="28"/>
      <c r="Z362" s="34">
        <f t="shared" si="371"/>
        <v>0</v>
      </c>
      <c r="AB362" s="34">
        <f t="shared" si="372"/>
        <v>0</v>
      </c>
      <c r="AC362" s="34">
        <f t="shared" si="373"/>
        <v>0</v>
      </c>
      <c r="AD362" s="34">
        <f t="shared" si="374"/>
        <v>0</v>
      </c>
      <c r="AE362" s="34">
        <f t="shared" si="375"/>
        <v>0</v>
      </c>
      <c r="AF362" s="34">
        <f t="shared" si="376"/>
        <v>0</v>
      </c>
      <c r="AG362" s="34">
        <f t="shared" si="377"/>
        <v>0</v>
      </c>
      <c r="AH362" s="34">
        <f t="shared" si="378"/>
        <v>0</v>
      </c>
      <c r="AI362" s="29"/>
      <c r="AJ362" s="17">
        <f t="shared" si="379"/>
        <v>0</v>
      </c>
      <c r="AK362" s="17">
        <f t="shared" si="380"/>
        <v>0</v>
      </c>
      <c r="AL362" s="17">
        <f t="shared" si="381"/>
        <v>0</v>
      </c>
      <c r="AN362" s="34">
        <v>15</v>
      </c>
      <c r="AO362" s="34">
        <f t="shared" si="382"/>
        <v>0</v>
      </c>
      <c r="AP362" s="34">
        <f t="shared" si="383"/>
        <v>0</v>
      </c>
      <c r="AQ362" s="28" t="s">
        <v>13</v>
      </c>
      <c r="AV362" s="34">
        <f t="shared" si="384"/>
        <v>0</v>
      </c>
      <c r="AW362" s="34">
        <f t="shared" si="385"/>
        <v>0</v>
      </c>
      <c r="AX362" s="34">
        <f t="shared" si="386"/>
        <v>0</v>
      </c>
      <c r="AY362" s="35" t="s">
        <v>1711</v>
      </c>
      <c r="AZ362" s="35" t="s">
        <v>1733</v>
      </c>
      <c r="BA362" s="29" t="s">
        <v>1737</v>
      </c>
      <c r="BC362" s="34">
        <f t="shared" si="387"/>
        <v>0</v>
      </c>
      <c r="BD362" s="34">
        <f t="shared" si="388"/>
        <v>0</v>
      </c>
      <c r="BE362" s="34">
        <v>0</v>
      </c>
      <c r="BF362" s="34">
        <f>362</f>
        <v>362</v>
      </c>
      <c r="BH362" s="17">
        <f t="shared" si="389"/>
        <v>0</v>
      </c>
      <c r="BI362" s="17">
        <f t="shared" si="390"/>
        <v>0</v>
      </c>
      <c r="BJ362" s="17">
        <f t="shared" si="391"/>
        <v>0</v>
      </c>
    </row>
    <row r="363" spans="1:62" x14ac:dyDescent="0.2">
      <c r="A363" s="4" t="s">
        <v>323</v>
      </c>
      <c r="B363" s="4" t="s">
        <v>814</v>
      </c>
      <c r="C363" s="240" t="s">
        <v>1385</v>
      </c>
      <c r="D363" s="241"/>
      <c r="E363" s="241"/>
      <c r="F363" s="4" t="s">
        <v>1646</v>
      </c>
      <c r="G363" s="69">
        <v>9</v>
      </c>
      <c r="H363" s="168"/>
      <c r="I363" s="17">
        <f t="shared" si="368"/>
        <v>0</v>
      </c>
      <c r="J363" s="17">
        <f t="shared" si="369"/>
        <v>0</v>
      </c>
      <c r="K363" s="17">
        <f t="shared" si="370"/>
        <v>0</v>
      </c>
      <c r="L363" s="28"/>
      <c r="Z363" s="34">
        <f t="shared" si="371"/>
        <v>0</v>
      </c>
      <c r="AB363" s="34">
        <f t="shared" si="372"/>
        <v>0</v>
      </c>
      <c r="AC363" s="34">
        <f t="shared" si="373"/>
        <v>0</v>
      </c>
      <c r="AD363" s="34">
        <f t="shared" si="374"/>
        <v>0</v>
      </c>
      <c r="AE363" s="34">
        <f t="shared" si="375"/>
        <v>0</v>
      </c>
      <c r="AF363" s="34">
        <f t="shared" si="376"/>
        <v>0</v>
      </c>
      <c r="AG363" s="34">
        <f t="shared" si="377"/>
        <v>0</v>
      </c>
      <c r="AH363" s="34">
        <f t="shared" si="378"/>
        <v>0</v>
      </c>
      <c r="AI363" s="29"/>
      <c r="AJ363" s="17">
        <f t="shared" si="379"/>
        <v>0</v>
      </c>
      <c r="AK363" s="17">
        <f t="shared" si="380"/>
        <v>0</v>
      </c>
      <c r="AL363" s="17">
        <f t="shared" si="381"/>
        <v>0</v>
      </c>
      <c r="AN363" s="34">
        <v>15</v>
      </c>
      <c r="AO363" s="34">
        <f t="shared" si="382"/>
        <v>0</v>
      </c>
      <c r="AP363" s="34">
        <f t="shared" si="383"/>
        <v>0</v>
      </c>
      <c r="AQ363" s="28" t="s">
        <v>13</v>
      </c>
      <c r="AV363" s="34">
        <f t="shared" si="384"/>
        <v>0</v>
      </c>
      <c r="AW363" s="34">
        <f t="shared" si="385"/>
        <v>0</v>
      </c>
      <c r="AX363" s="34">
        <f t="shared" si="386"/>
        <v>0</v>
      </c>
      <c r="AY363" s="35" t="s">
        <v>1711</v>
      </c>
      <c r="AZ363" s="35" t="s">
        <v>1733</v>
      </c>
      <c r="BA363" s="29" t="s">
        <v>1737</v>
      </c>
      <c r="BC363" s="34">
        <f t="shared" si="387"/>
        <v>0</v>
      </c>
      <c r="BD363" s="34">
        <f t="shared" si="388"/>
        <v>0</v>
      </c>
      <c r="BE363" s="34">
        <v>0</v>
      </c>
      <c r="BF363" s="34">
        <f>363</f>
        <v>363</v>
      </c>
      <c r="BH363" s="17">
        <f t="shared" si="389"/>
        <v>0</v>
      </c>
      <c r="BI363" s="17">
        <f t="shared" si="390"/>
        <v>0</v>
      </c>
      <c r="BJ363" s="17">
        <f t="shared" si="391"/>
        <v>0</v>
      </c>
    </row>
    <row r="364" spans="1:62" x14ac:dyDescent="0.2">
      <c r="A364" s="4" t="s">
        <v>324</v>
      </c>
      <c r="B364" s="4" t="s">
        <v>815</v>
      </c>
      <c r="C364" s="240" t="s">
        <v>1386</v>
      </c>
      <c r="D364" s="241"/>
      <c r="E364" s="241"/>
      <c r="F364" s="4" t="s">
        <v>1644</v>
      </c>
      <c r="G364" s="69">
        <v>1</v>
      </c>
      <c r="H364" s="168"/>
      <c r="I364" s="17">
        <f t="shared" si="368"/>
        <v>0</v>
      </c>
      <c r="J364" s="17">
        <f t="shared" si="369"/>
        <v>0</v>
      </c>
      <c r="K364" s="17">
        <f t="shared" si="370"/>
        <v>0</v>
      </c>
      <c r="L364" s="28"/>
      <c r="Z364" s="34">
        <f t="shared" si="371"/>
        <v>0</v>
      </c>
      <c r="AB364" s="34">
        <f t="shared" si="372"/>
        <v>0</v>
      </c>
      <c r="AC364" s="34">
        <f t="shared" si="373"/>
        <v>0</v>
      </c>
      <c r="AD364" s="34">
        <f t="shared" si="374"/>
        <v>0</v>
      </c>
      <c r="AE364" s="34">
        <f t="shared" si="375"/>
        <v>0</v>
      </c>
      <c r="AF364" s="34">
        <f t="shared" si="376"/>
        <v>0</v>
      </c>
      <c r="AG364" s="34">
        <f t="shared" si="377"/>
        <v>0</v>
      </c>
      <c r="AH364" s="34">
        <f t="shared" si="378"/>
        <v>0</v>
      </c>
      <c r="AI364" s="29"/>
      <c r="AJ364" s="17">
        <f t="shared" si="379"/>
        <v>0</v>
      </c>
      <c r="AK364" s="17">
        <f t="shared" si="380"/>
        <v>0</v>
      </c>
      <c r="AL364" s="17">
        <f t="shared" si="381"/>
        <v>0</v>
      </c>
      <c r="AN364" s="34">
        <v>15</v>
      </c>
      <c r="AO364" s="34">
        <f t="shared" si="382"/>
        <v>0</v>
      </c>
      <c r="AP364" s="34">
        <f t="shared" si="383"/>
        <v>0</v>
      </c>
      <c r="AQ364" s="28" t="s">
        <v>13</v>
      </c>
      <c r="AV364" s="34">
        <f t="shared" si="384"/>
        <v>0</v>
      </c>
      <c r="AW364" s="34">
        <f t="shared" si="385"/>
        <v>0</v>
      </c>
      <c r="AX364" s="34">
        <f t="shared" si="386"/>
        <v>0</v>
      </c>
      <c r="AY364" s="35" t="s">
        <v>1711</v>
      </c>
      <c r="AZ364" s="35" t="s">
        <v>1733</v>
      </c>
      <c r="BA364" s="29" t="s">
        <v>1737</v>
      </c>
      <c r="BC364" s="34">
        <f t="shared" si="387"/>
        <v>0</v>
      </c>
      <c r="BD364" s="34">
        <f t="shared" si="388"/>
        <v>0</v>
      </c>
      <c r="BE364" s="34">
        <v>0</v>
      </c>
      <c r="BF364" s="34">
        <f>364</f>
        <v>364</v>
      </c>
      <c r="BH364" s="17">
        <f t="shared" si="389"/>
        <v>0</v>
      </c>
      <c r="BI364" s="17">
        <f t="shared" si="390"/>
        <v>0</v>
      </c>
      <c r="BJ364" s="17">
        <f t="shared" si="391"/>
        <v>0</v>
      </c>
    </row>
    <row r="365" spans="1:62" x14ac:dyDescent="0.2">
      <c r="A365" s="4" t="s">
        <v>325</v>
      </c>
      <c r="B365" s="4" t="s">
        <v>816</v>
      </c>
      <c r="C365" s="240" t="s">
        <v>1387</v>
      </c>
      <c r="D365" s="241"/>
      <c r="E365" s="241"/>
      <c r="F365" s="4" t="s">
        <v>1644</v>
      </c>
      <c r="G365" s="69">
        <v>1</v>
      </c>
      <c r="H365" s="168"/>
      <c r="I365" s="17">
        <f t="shared" si="368"/>
        <v>0</v>
      </c>
      <c r="J365" s="17">
        <f t="shared" si="369"/>
        <v>0</v>
      </c>
      <c r="K365" s="17">
        <f t="shared" si="370"/>
        <v>0</v>
      </c>
      <c r="L365" s="28"/>
      <c r="Z365" s="34">
        <f t="shared" si="371"/>
        <v>0</v>
      </c>
      <c r="AB365" s="34">
        <f t="shared" si="372"/>
        <v>0</v>
      </c>
      <c r="AC365" s="34">
        <f t="shared" si="373"/>
        <v>0</v>
      </c>
      <c r="AD365" s="34">
        <f t="shared" si="374"/>
        <v>0</v>
      </c>
      <c r="AE365" s="34">
        <f t="shared" si="375"/>
        <v>0</v>
      </c>
      <c r="AF365" s="34">
        <f t="shared" si="376"/>
        <v>0</v>
      </c>
      <c r="AG365" s="34">
        <f t="shared" si="377"/>
        <v>0</v>
      </c>
      <c r="AH365" s="34">
        <f t="shared" si="378"/>
        <v>0</v>
      </c>
      <c r="AI365" s="29"/>
      <c r="AJ365" s="17">
        <f t="shared" si="379"/>
        <v>0</v>
      </c>
      <c r="AK365" s="17">
        <f t="shared" si="380"/>
        <v>0</v>
      </c>
      <c r="AL365" s="17">
        <f t="shared" si="381"/>
        <v>0</v>
      </c>
      <c r="AN365" s="34">
        <v>15</v>
      </c>
      <c r="AO365" s="34">
        <f t="shared" si="382"/>
        <v>0</v>
      </c>
      <c r="AP365" s="34">
        <f t="shared" si="383"/>
        <v>0</v>
      </c>
      <c r="AQ365" s="28" t="s">
        <v>13</v>
      </c>
      <c r="AV365" s="34">
        <f t="shared" si="384"/>
        <v>0</v>
      </c>
      <c r="AW365" s="34">
        <f t="shared" si="385"/>
        <v>0</v>
      </c>
      <c r="AX365" s="34">
        <f t="shared" si="386"/>
        <v>0</v>
      </c>
      <c r="AY365" s="35" t="s">
        <v>1711</v>
      </c>
      <c r="AZ365" s="35" t="s">
        <v>1733</v>
      </c>
      <c r="BA365" s="29" t="s">
        <v>1737</v>
      </c>
      <c r="BC365" s="34">
        <f t="shared" si="387"/>
        <v>0</v>
      </c>
      <c r="BD365" s="34">
        <f t="shared" si="388"/>
        <v>0</v>
      </c>
      <c r="BE365" s="34">
        <v>0</v>
      </c>
      <c r="BF365" s="34">
        <f>365</f>
        <v>365</v>
      </c>
      <c r="BH365" s="17">
        <f t="shared" si="389"/>
        <v>0</v>
      </c>
      <c r="BI365" s="17">
        <f t="shared" si="390"/>
        <v>0</v>
      </c>
      <c r="BJ365" s="17">
        <f t="shared" si="391"/>
        <v>0</v>
      </c>
    </row>
    <row r="366" spans="1:62" x14ac:dyDescent="0.2">
      <c r="A366" s="4" t="s">
        <v>326</v>
      </c>
      <c r="B366" s="4" t="s">
        <v>817</v>
      </c>
      <c r="C366" s="240" t="s">
        <v>1388</v>
      </c>
      <c r="D366" s="241"/>
      <c r="E366" s="241"/>
      <c r="F366" s="4" t="s">
        <v>1644</v>
      </c>
      <c r="G366" s="69">
        <v>1</v>
      </c>
      <c r="H366" s="168"/>
      <c r="I366" s="17">
        <f t="shared" si="368"/>
        <v>0</v>
      </c>
      <c r="J366" s="17">
        <f t="shared" si="369"/>
        <v>0</v>
      </c>
      <c r="K366" s="17">
        <f t="shared" si="370"/>
        <v>0</v>
      </c>
      <c r="L366" s="28"/>
      <c r="Z366" s="34">
        <f t="shared" si="371"/>
        <v>0</v>
      </c>
      <c r="AB366" s="34">
        <f t="shared" si="372"/>
        <v>0</v>
      </c>
      <c r="AC366" s="34">
        <f t="shared" si="373"/>
        <v>0</v>
      </c>
      <c r="AD366" s="34">
        <f t="shared" si="374"/>
        <v>0</v>
      </c>
      <c r="AE366" s="34">
        <f t="shared" si="375"/>
        <v>0</v>
      </c>
      <c r="AF366" s="34">
        <f t="shared" si="376"/>
        <v>0</v>
      </c>
      <c r="AG366" s="34">
        <f t="shared" si="377"/>
        <v>0</v>
      </c>
      <c r="AH366" s="34">
        <f t="shared" si="378"/>
        <v>0</v>
      </c>
      <c r="AI366" s="29"/>
      <c r="AJ366" s="17">
        <f t="shared" si="379"/>
        <v>0</v>
      </c>
      <c r="AK366" s="17">
        <f t="shared" si="380"/>
        <v>0</v>
      </c>
      <c r="AL366" s="17">
        <f t="shared" si="381"/>
        <v>0</v>
      </c>
      <c r="AN366" s="34">
        <v>15</v>
      </c>
      <c r="AO366" s="34">
        <f t="shared" si="382"/>
        <v>0</v>
      </c>
      <c r="AP366" s="34">
        <f t="shared" si="383"/>
        <v>0</v>
      </c>
      <c r="AQ366" s="28" t="s">
        <v>13</v>
      </c>
      <c r="AV366" s="34">
        <f t="shared" si="384"/>
        <v>0</v>
      </c>
      <c r="AW366" s="34">
        <f t="shared" si="385"/>
        <v>0</v>
      </c>
      <c r="AX366" s="34">
        <f t="shared" si="386"/>
        <v>0</v>
      </c>
      <c r="AY366" s="35" t="s">
        <v>1711</v>
      </c>
      <c r="AZ366" s="35" t="s">
        <v>1733</v>
      </c>
      <c r="BA366" s="29" t="s">
        <v>1737</v>
      </c>
      <c r="BC366" s="34">
        <f t="shared" si="387"/>
        <v>0</v>
      </c>
      <c r="BD366" s="34">
        <f t="shared" si="388"/>
        <v>0</v>
      </c>
      <c r="BE366" s="34">
        <v>0</v>
      </c>
      <c r="BF366" s="34">
        <f>366</f>
        <v>366</v>
      </c>
      <c r="BH366" s="17">
        <f t="shared" si="389"/>
        <v>0</v>
      </c>
      <c r="BI366" s="17">
        <f t="shared" si="390"/>
        <v>0</v>
      </c>
      <c r="BJ366" s="17">
        <f t="shared" si="391"/>
        <v>0</v>
      </c>
    </row>
    <row r="367" spans="1:62" x14ac:dyDescent="0.2">
      <c r="A367" s="4" t="s">
        <v>327</v>
      </c>
      <c r="B367" s="4" t="s">
        <v>818</v>
      </c>
      <c r="C367" s="240" t="s">
        <v>1389</v>
      </c>
      <c r="D367" s="241"/>
      <c r="E367" s="241"/>
      <c r="F367" s="4" t="s">
        <v>1644</v>
      </c>
      <c r="G367" s="69">
        <v>1</v>
      </c>
      <c r="H367" s="168"/>
      <c r="I367" s="17">
        <f t="shared" si="368"/>
        <v>0</v>
      </c>
      <c r="J367" s="17">
        <f t="shared" si="369"/>
        <v>0</v>
      </c>
      <c r="K367" s="17">
        <f t="shared" si="370"/>
        <v>0</v>
      </c>
      <c r="L367" s="28"/>
      <c r="Z367" s="34">
        <f t="shared" si="371"/>
        <v>0</v>
      </c>
      <c r="AB367" s="34">
        <f t="shared" si="372"/>
        <v>0</v>
      </c>
      <c r="AC367" s="34">
        <f t="shared" si="373"/>
        <v>0</v>
      </c>
      <c r="AD367" s="34">
        <f t="shared" si="374"/>
        <v>0</v>
      </c>
      <c r="AE367" s="34">
        <f t="shared" si="375"/>
        <v>0</v>
      </c>
      <c r="AF367" s="34">
        <f t="shared" si="376"/>
        <v>0</v>
      </c>
      <c r="AG367" s="34">
        <f t="shared" si="377"/>
        <v>0</v>
      </c>
      <c r="AH367" s="34">
        <f t="shared" si="378"/>
        <v>0</v>
      </c>
      <c r="AI367" s="29"/>
      <c r="AJ367" s="17">
        <f t="shared" si="379"/>
        <v>0</v>
      </c>
      <c r="AK367" s="17">
        <f t="shared" si="380"/>
        <v>0</v>
      </c>
      <c r="AL367" s="17">
        <f t="shared" si="381"/>
        <v>0</v>
      </c>
      <c r="AN367" s="34">
        <v>15</v>
      </c>
      <c r="AO367" s="34">
        <f t="shared" si="382"/>
        <v>0</v>
      </c>
      <c r="AP367" s="34">
        <f t="shared" si="383"/>
        <v>0</v>
      </c>
      <c r="AQ367" s="28" t="s">
        <v>13</v>
      </c>
      <c r="AV367" s="34">
        <f t="shared" si="384"/>
        <v>0</v>
      </c>
      <c r="AW367" s="34">
        <f t="shared" si="385"/>
        <v>0</v>
      </c>
      <c r="AX367" s="34">
        <f t="shared" si="386"/>
        <v>0</v>
      </c>
      <c r="AY367" s="35" t="s">
        <v>1711</v>
      </c>
      <c r="AZ367" s="35" t="s">
        <v>1733</v>
      </c>
      <c r="BA367" s="29" t="s">
        <v>1737</v>
      </c>
      <c r="BC367" s="34">
        <f t="shared" si="387"/>
        <v>0</v>
      </c>
      <c r="BD367" s="34">
        <f t="shared" si="388"/>
        <v>0</v>
      </c>
      <c r="BE367" s="34">
        <v>0</v>
      </c>
      <c r="BF367" s="34">
        <f>367</f>
        <v>367</v>
      </c>
      <c r="BH367" s="17">
        <f t="shared" si="389"/>
        <v>0</v>
      </c>
      <c r="BI367" s="17">
        <f t="shared" si="390"/>
        <v>0</v>
      </c>
      <c r="BJ367" s="17">
        <f t="shared" si="391"/>
        <v>0</v>
      </c>
    </row>
    <row r="368" spans="1:62" x14ac:dyDescent="0.2">
      <c r="A368" s="4" t="s">
        <v>328</v>
      </c>
      <c r="B368" s="4" t="s">
        <v>819</v>
      </c>
      <c r="C368" s="240" t="s">
        <v>1392</v>
      </c>
      <c r="D368" s="241"/>
      <c r="E368" s="241"/>
      <c r="F368" s="4" t="s">
        <v>1644</v>
      </c>
      <c r="G368" s="69">
        <v>2</v>
      </c>
      <c r="H368" s="168"/>
      <c r="I368" s="17">
        <f t="shared" si="368"/>
        <v>0</v>
      </c>
      <c r="J368" s="17">
        <f t="shared" si="369"/>
        <v>0</v>
      </c>
      <c r="K368" s="17">
        <f t="shared" si="370"/>
        <v>0</v>
      </c>
      <c r="L368" s="28"/>
      <c r="Z368" s="34">
        <f t="shared" si="371"/>
        <v>0</v>
      </c>
      <c r="AB368" s="34">
        <f t="shared" si="372"/>
        <v>0</v>
      </c>
      <c r="AC368" s="34">
        <f t="shared" si="373"/>
        <v>0</v>
      </c>
      <c r="AD368" s="34">
        <f t="shared" si="374"/>
        <v>0</v>
      </c>
      <c r="AE368" s="34">
        <f t="shared" si="375"/>
        <v>0</v>
      </c>
      <c r="AF368" s="34">
        <f t="shared" si="376"/>
        <v>0</v>
      </c>
      <c r="AG368" s="34">
        <f t="shared" si="377"/>
        <v>0</v>
      </c>
      <c r="AH368" s="34">
        <f t="shared" si="378"/>
        <v>0</v>
      </c>
      <c r="AI368" s="29"/>
      <c r="AJ368" s="17">
        <f t="shared" si="379"/>
        <v>0</v>
      </c>
      <c r="AK368" s="17">
        <f t="shared" si="380"/>
        <v>0</v>
      </c>
      <c r="AL368" s="17">
        <f t="shared" si="381"/>
        <v>0</v>
      </c>
      <c r="AN368" s="34">
        <v>15</v>
      </c>
      <c r="AO368" s="34">
        <f t="shared" si="382"/>
        <v>0</v>
      </c>
      <c r="AP368" s="34">
        <f t="shared" si="383"/>
        <v>0</v>
      </c>
      <c r="AQ368" s="28" t="s">
        <v>13</v>
      </c>
      <c r="AV368" s="34">
        <f t="shared" si="384"/>
        <v>0</v>
      </c>
      <c r="AW368" s="34">
        <f t="shared" si="385"/>
        <v>0</v>
      </c>
      <c r="AX368" s="34">
        <f t="shared" si="386"/>
        <v>0</v>
      </c>
      <c r="AY368" s="35" t="s">
        <v>1711</v>
      </c>
      <c r="AZ368" s="35" t="s">
        <v>1733</v>
      </c>
      <c r="BA368" s="29" t="s">
        <v>1737</v>
      </c>
      <c r="BC368" s="34">
        <f t="shared" si="387"/>
        <v>0</v>
      </c>
      <c r="BD368" s="34">
        <f t="shared" si="388"/>
        <v>0</v>
      </c>
      <c r="BE368" s="34">
        <v>0</v>
      </c>
      <c r="BF368" s="34">
        <f>368</f>
        <v>368</v>
      </c>
      <c r="BH368" s="17">
        <f t="shared" si="389"/>
        <v>0</v>
      </c>
      <c r="BI368" s="17">
        <f t="shared" si="390"/>
        <v>0</v>
      </c>
      <c r="BJ368" s="17">
        <f t="shared" si="391"/>
        <v>0</v>
      </c>
    </row>
    <row r="369" spans="1:62" x14ac:dyDescent="0.2">
      <c r="A369" s="4" t="s">
        <v>329</v>
      </c>
      <c r="B369" s="4" t="s">
        <v>820</v>
      </c>
      <c r="C369" s="240" t="s">
        <v>1393</v>
      </c>
      <c r="D369" s="241"/>
      <c r="E369" s="241"/>
      <c r="F369" s="4" t="s">
        <v>1644</v>
      </c>
      <c r="G369" s="69">
        <v>1</v>
      </c>
      <c r="H369" s="168"/>
      <c r="I369" s="17">
        <f t="shared" si="368"/>
        <v>0</v>
      </c>
      <c r="J369" s="17">
        <f t="shared" si="369"/>
        <v>0</v>
      </c>
      <c r="K369" s="17">
        <f t="shared" si="370"/>
        <v>0</v>
      </c>
      <c r="L369" s="28"/>
      <c r="Z369" s="34">
        <f t="shared" si="371"/>
        <v>0</v>
      </c>
      <c r="AB369" s="34">
        <f t="shared" si="372"/>
        <v>0</v>
      </c>
      <c r="AC369" s="34">
        <f t="shared" si="373"/>
        <v>0</v>
      </c>
      <c r="AD369" s="34">
        <f t="shared" si="374"/>
        <v>0</v>
      </c>
      <c r="AE369" s="34">
        <f t="shared" si="375"/>
        <v>0</v>
      </c>
      <c r="AF369" s="34">
        <f t="shared" si="376"/>
        <v>0</v>
      </c>
      <c r="AG369" s="34">
        <f t="shared" si="377"/>
        <v>0</v>
      </c>
      <c r="AH369" s="34">
        <f t="shared" si="378"/>
        <v>0</v>
      </c>
      <c r="AI369" s="29"/>
      <c r="AJ369" s="17">
        <f t="shared" si="379"/>
        <v>0</v>
      </c>
      <c r="AK369" s="17">
        <f t="shared" si="380"/>
        <v>0</v>
      </c>
      <c r="AL369" s="17">
        <f t="shared" si="381"/>
        <v>0</v>
      </c>
      <c r="AN369" s="34">
        <v>15</v>
      </c>
      <c r="AO369" s="34">
        <f t="shared" si="382"/>
        <v>0</v>
      </c>
      <c r="AP369" s="34">
        <f t="shared" si="383"/>
        <v>0</v>
      </c>
      <c r="AQ369" s="28" t="s">
        <v>13</v>
      </c>
      <c r="AV369" s="34">
        <f t="shared" si="384"/>
        <v>0</v>
      </c>
      <c r="AW369" s="34">
        <f t="shared" si="385"/>
        <v>0</v>
      </c>
      <c r="AX369" s="34">
        <f t="shared" si="386"/>
        <v>0</v>
      </c>
      <c r="AY369" s="35" t="s">
        <v>1711</v>
      </c>
      <c r="AZ369" s="35" t="s">
        <v>1733</v>
      </c>
      <c r="BA369" s="29" t="s">
        <v>1737</v>
      </c>
      <c r="BC369" s="34">
        <f t="shared" si="387"/>
        <v>0</v>
      </c>
      <c r="BD369" s="34">
        <f t="shared" si="388"/>
        <v>0</v>
      </c>
      <c r="BE369" s="34">
        <v>0</v>
      </c>
      <c r="BF369" s="34">
        <f>369</f>
        <v>369</v>
      </c>
      <c r="BH369" s="17">
        <f t="shared" si="389"/>
        <v>0</v>
      </c>
      <c r="BI369" s="17">
        <f t="shared" si="390"/>
        <v>0</v>
      </c>
      <c r="BJ369" s="17">
        <f t="shared" si="391"/>
        <v>0</v>
      </c>
    </row>
    <row r="370" spans="1:62" x14ac:dyDescent="0.2">
      <c r="A370" s="4" t="s">
        <v>330</v>
      </c>
      <c r="B370" s="4" t="s">
        <v>821</v>
      </c>
      <c r="C370" s="240" t="s">
        <v>1394</v>
      </c>
      <c r="D370" s="241"/>
      <c r="E370" s="241"/>
      <c r="F370" s="4" t="s">
        <v>1644</v>
      </c>
      <c r="G370" s="69">
        <v>1</v>
      </c>
      <c r="H370" s="168"/>
      <c r="I370" s="17">
        <f t="shared" si="368"/>
        <v>0</v>
      </c>
      <c r="J370" s="17">
        <f t="shared" si="369"/>
        <v>0</v>
      </c>
      <c r="K370" s="17">
        <f t="shared" si="370"/>
        <v>0</v>
      </c>
      <c r="L370" s="28"/>
      <c r="Z370" s="34">
        <f t="shared" si="371"/>
        <v>0</v>
      </c>
      <c r="AB370" s="34">
        <f t="shared" si="372"/>
        <v>0</v>
      </c>
      <c r="AC370" s="34">
        <f t="shared" si="373"/>
        <v>0</v>
      </c>
      <c r="AD370" s="34">
        <f t="shared" si="374"/>
        <v>0</v>
      </c>
      <c r="AE370" s="34">
        <f t="shared" si="375"/>
        <v>0</v>
      </c>
      <c r="AF370" s="34">
        <f t="shared" si="376"/>
        <v>0</v>
      </c>
      <c r="AG370" s="34">
        <f t="shared" si="377"/>
        <v>0</v>
      </c>
      <c r="AH370" s="34">
        <f t="shared" si="378"/>
        <v>0</v>
      </c>
      <c r="AI370" s="29"/>
      <c r="AJ370" s="17">
        <f t="shared" si="379"/>
        <v>0</v>
      </c>
      <c r="AK370" s="17">
        <f t="shared" si="380"/>
        <v>0</v>
      </c>
      <c r="AL370" s="17">
        <f t="shared" si="381"/>
        <v>0</v>
      </c>
      <c r="AN370" s="34">
        <v>15</v>
      </c>
      <c r="AO370" s="34">
        <f t="shared" si="382"/>
        <v>0</v>
      </c>
      <c r="AP370" s="34">
        <f t="shared" si="383"/>
        <v>0</v>
      </c>
      <c r="AQ370" s="28" t="s">
        <v>13</v>
      </c>
      <c r="AV370" s="34">
        <f t="shared" si="384"/>
        <v>0</v>
      </c>
      <c r="AW370" s="34">
        <f t="shared" si="385"/>
        <v>0</v>
      </c>
      <c r="AX370" s="34">
        <f t="shared" si="386"/>
        <v>0</v>
      </c>
      <c r="AY370" s="35" t="s">
        <v>1711</v>
      </c>
      <c r="AZ370" s="35" t="s">
        <v>1733</v>
      </c>
      <c r="BA370" s="29" t="s">
        <v>1737</v>
      </c>
      <c r="BC370" s="34">
        <f t="shared" si="387"/>
        <v>0</v>
      </c>
      <c r="BD370" s="34">
        <f t="shared" si="388"/>
        <v>0</v>
      </c>
      <c r="BE370" s="34">
        <v>0</v>
      </c>
      <c r="BF370" s="34">
        <f>370</f>
        <v>370</v>
      </c>
      <c r="BH370" s="17">
        <f t="shared" si="389"/>
        <v>0</v>
      </c>
      <c r="BI370" s="17">
        <f t="shared" si="390"/>
        <v>0</v>
      </c>
      <c r="BJ370" s="17">
        <f t="shared" si="391"/>
        <v>0</v>
      </c>
    </row>
    <row r="371" spans="1:62" x14ac:dyDescent="0.2">
      <c r="A371" s="5"/>
      <c r="B371" s="13" t="s">
        <v>822</v>
      </c>
      <c r="C371" s="244" t="s">
        <v>1395</v>
      </c>
      <c r="D371" s="245"/>
      <c r="E371" s="245"/>
      <c r="F371" s="5" t="s">
        <v>6</v>
      </c>
      <c r="G371" s="5" t="s">
        <v>6</v>
      </c>
      <c r="H371" s="5" t="s">
        <v>6</v>
      </c>
      <c r="I371" s="37">
        <f>SUM(I372:I399)</f>
        <v>0</v>
      </c>
      <c r="J371" s="37">
        <f>SUM(J372:J399)</f>
        <v>0</v>
      </c>
      <c r="K371" s="37">
        <f>SUM(K372:K399)</f>
        <v>0</v>
      </c>
      <c r="L371" s="29"/>
      <c r="AI371" s="29"/>
      <c r="AS371" s="37">
        <f>SUM(AJ372:AJ399)</f>
        <v>0</v>
      </c>
      <c r="AT371" s="37">
        <f>SUM(AK372:AK399)</f>
        <v>0</v>
      </c>
      <c r="AU371" s="37">
        <f>SUM(AL372:AL399)</f>
        <v>0</v>
      </c>
    </row>
    <row r="372" spans="1:62" x14ac:dyDescent="0.2">
      <c r="A372" s="4" t="s">
        <v>331</v>
      </c>
      <c r="B372" s="4" t="s">
        <v>117</v>
      </c>
      <c r="C372" s="240" t="s">
        <v>1396</v>
      </c>
      <c r="D372" s="241"/>
      <c r="E372" s="241"/>
      <c r="F372" s="4" t="s">
        <v>1652</v>
      </c>
      <c r="G372" s="69">
        <v>1</v>
      </c>
      <c r="H372" s="168"/>
      <c r="I372" s="17">
        <f t="shared" ref="I372:I399" si="392">G372*AO372</f>
        <v>0</v>
      </c>
      <c r="J372" s="17">
        <f t="shared" ref="J372:J399" si="393">G372*AP372</f>
        <v>0</v>
      </c>
      <c r="K372" s="17">
        <f t="shared" ref="K372:K399" si="394">G372*H372</f>
        <v>0</v>
      </c>
      <c r="L372" s="28"/>
      <c r="Z372" s="34">
        <f t="shared" ref="Z372:Z399" si="395">IF(AQ372="5",BJ372,0)</f>
        <v>0</v>
      </c>
      <c r="AB372" s="34">
        <f t="shared" ref="AB372:AB399" si="396">IF(AQ372="1",BH372,0)</f>
        <v>0</v>
      </c>
      <c r="AC372" s="34">
        <f t="shared" ref="AC372:AC399" si="397">IF(AQ372="1",BI372,0)</f>
        <v>0</v>
      </c>
      <c r="AD372" s="34">
        <f t="shared" ref="AD372:AD399" si="398">IF(AQ372="7",BH372,0)</f>
        <v>0</v>
      </c>
      <c r="AE372" s="34">
        <f t="shared" ref="AE372:AE399" si="399">IF(AQ372="7",BI372,0)</f>
        <v>0</v>
      </c>
      <c r="AF372" s="34">
        <f t="shared" ref="AF372:AF399" si="400">IF(AQ372="2",BH372,0)</f>
        <v>0</v>
      </c>
      <c r="AG372" s="34">
        <f t="shared" ref="AG372:AG399" si="401">IF(AQ372="2",BI372,0)</f>
        <v>0</v>
      </c>
      <c r="AH372" s="34">
        <f t="shared" ref="AH372:AH399" si="402">IF(AQ372="0",BJ372,0)</f>
        <v>0</v>
      </c>
      <c r="AI372" s="29"/>
      <c r="AJ372" s="17">
        <f t="shared" ref="AJ372:AJ399" si="403">IF(AN372=0,K372,0)</f>
        <v>0</v>
      </c>
      <c r="AK372" s="17">
        <f t="shared" ref="AK372:AK399" si="404">IF(AN372=15,K372,0)</f>
        <v>0</v>
      </c>
      <c r="AL372" s="17">
        <f t="shared" ref="AL372:AL399" si="405">IF(AN372=21,K372,0)</f>
        <v>0</v>
      </c>
      <c r="AN372" s="34">
        <v>15</v>
      </c>
      <c r="AO372" s="34">
        <f t="shared" ref="AO372:AO399" si="406">H372*0</f>
        <v>0</v>
      </c>
      <c r="AP372" s="34">
        <f t="shared" ref="AP372:AP399" si="407">H372*(1-0)</f>
        <v>0</v>
      </c>
      <c r="AQ372" s="28" t="s">
        <v>13</v>
      </c>
      <c r="AV372" s="34">
        <f t="shared" ref="AV372:AV399" si="408">AW372+AX372</f>
        <v>0</v>
      </c>
      <c r="AW372" s="34">
        <f t="shared" ref="AW372:AW399" si="409">G372*AO372</f>
        <v>0</v>
      </c>
      <c r="AX372" s="34">
        <f t="shared" ref="AX372:AX399" si="410">G372*AP372</f>
        <v>0</v>
      </c>
      <c r="AY372" s="35" t="s">
        <v>1712</v>
      </c>
      <c r="AZ372" s="35" t="s">
        <v>1733</v>
      </c>
      <c r="BA372" s="29" t="s">
        <v>1737</v>
      </c>
      <c r="BC372" s="34">
        <f t="shared" ref="BC372:BC399" si="411">AW372+AX372</f>
        <v>0</v>
      </c>
      <c r="BD372" s="34">
        <f t="shared" ref="BD372:BD399" si="412">H372/(100-BE372)*100</f>
        <v>0</v>
      </c>
      <c r="BE372" s="34">
        <v>0</v>
      </c>
      <c r="BF372" s="34">
        <f>372</f>
        <v>372</v>
      </c>
      <c r="BH372" s="17">
        <f t="shared" ref="BH372:BH399" si="413">G372*AO372</f>
        <v>0</v>
      </c>
      <c r="BI372" s="17">
        <f t="shared" ref="BI372:BI399" si="414">G372*AP372</f>
        <v>0</v>
      </c>
      <c r="BJ372" s="17">
        <f t="shared" ref="BJ372:BJ399" si="415">G372*H372</f>
        <v>0</v>
      </c>
    </row>
    <row r="373" spans="1:62" x14ac:dyDescent="0.2">
      <c r="A373" s="4" t="s">
        <v>332</v>
      </c>
      <c r="B373" s="4" t="s">
        <v>118</v>
      </c>
      <c r="C373" s="240" t="s">
        <v>1397</v>
      </c>
      <c r="D373" s="241"/>
      <c r="E373" s="241"/>
      <c r="F373" s="4" t="s">
        <v>1652</v>
      </c>
      <c r="G373" s="69">
        <v>1</v>
      </c>
      <c r="H373" s="168"/>
      <c r="I373" s="17">
        <f t="shared" si="392"/>
        <v>0</v>
      </c>
      <c r="J373" s="17">
        <f t="shared" si="393"/>
        <v>0</v>
      </c>
      <c r="K373" s="17">
        <f t="shared" si="394"/>
        <v>0</v>
      </c>
      <c r="L373" s="28"/>
      <c r="Z373" s="34">
        <f t="shared" si="395"/>
        <v>0</v>
      </c>
      <c r="AB373" s="34">
        <f t="shared" si="396"/>
        <v>0</v>
      </c>
      <c r="AC373" s="34">
        <f t="shared" si="397"/>
        <v>0</v>
      </c>
      <c r="AD373" s="34">
        <f t="shared" si="398"/>
        <v>0</v>
      </c>
      <c r="AE373" s="34">
        <f t="shared" si="399"/>
        <v>0</v>
      </c>
      <c r="AF373" s="34">
        <f t="shared" si="400"/>
        <v>0</v>
      </c>
      <c r="AG373" s="34">
        <f t="shared" si="401"/>
        <v>0</v>
      </c>
      <c r="AH373" s="34">
        <f t="shared" si="402"/>
        <v>0</v>
      </c>
      <c r="AI373" s="29"/>
      <c r="AJ373" s="17">
        <f t="shared" si="403"/>
        <v>0</v>
      </c>
      <c r="AK373" s="17">
        <f t="shared" si="404"/>
        <v>0</v>
      </c>
      <c r="AL373" s="17">
        <f t="shared" si="405"/>
        <v>0</v>
      </c>
      <c r="AN373" s="34">
        <v>15</v>
      </c>
      <c r="AO373" s="34">
        <f t="shared" si="406"/>
        <v>0</v>
      </c>
      <c r="AP373" s="34">
        <f t="shared" si="407"/>
        <v>0</v>
      </c>
      <c r="AQ373" s="28" t="s">
        <v>13</v>
      </c>
      <c r="AV373" s="34">
        <f t="shared" si="408"/>
        <v>0</v>
      </c>
      <c r="AW373" s="34">
        <f t="shared" si="409"/>
        <v>0</v>
      </c>
      <c r="AX373" s="34">
        <f t="shared" si="410"/>
        <v>0</v>
      </c>
      <c r="AY373" s="35" t="s">
        <v>1712</v>
      </c>
      <c r="AZ373" s="35" t="s">
        <v>1733</v>
      </c>
      <c r="BA373" s="29" t="s">
        <v>1737</v>
      </c>
      <c r="BC373" s="34">
        <f t="shared" si="411"/>
        <v>0</v>
      </c>
      <c r="BD373" s="34">
        <f t="shared" si="412"/>
        <v>0</v>
      </c>
      <c r="BE373" s="34">
        <v>0</v>
      </c>
      <c r="BF373" s="34">
        <f>373</f>
        <v>373</v>
      </c>
      <c r="BH373" s="17">
        <f t="shared" si="413"/>
        <v>0</v>
      </c>
      <c r="BI373" s="17">
        <f t="shared" si="414"/>
        <v>0</v>
      </c>
      <c r="BJ373" s="17">
        <f t="shared" si="415"/>
        <v>0</v>
      </c>
    </row>
    <row r="374" spans="1:62" x14ac:dyDescent="0.2">
      <c r="A374" s="4" t="s">
        <v>333</v>
      </c>
      <c r="B374" s="4" t="s">
        <v>119</v>
      </c>
      <c r="C374" s="240" t="s">
        <v>1398</v>
      </c>
      <c r="D374" s="241"/>
      <c r="E374" s="241"/>
      <c r="F374" s="4" t="s">
        <v>1652</v>
      </c>
      <c r="G374" s="69">
        <v>1</v>
      </c>
      <c r="H374" s="168"/>
      <c r="I374" s="17">
        <f t="shared" si="392"/>
        <v>0</v>
      </c>
      <c r="J374" s="17">
        <f t="shared" si="393"/>
        <v>0</v>
      </c>
      <c r="K374" s="17">
        <f t="shared" si="394"/>
        <v>0</v>
      </c>
      <c r="L374" s="28"/>
      <c r="Z374" s="34">
        <f t="shared" si="395"/>
        <v>0</v>
      </c>
      <c r="AB374" s="34">
        <f t="shared" si="396"/>
        <v>0</v>
      </c>
      <c r="AC374" s="34">
        <f t="shared" si="397"/>
        <v>0</v>
      </c>
      <c r="AD374" s="34">
        <f t="shared" si="398"/>
        <v>0</v>
      </c>
      <c r="AE374" s="34">
        <f t="shared" si="399"/>
        <v>0</v>
      </c>
      <c r="AF374" s="34">
        <f t="shared" si="400"/>
        <v>0</v>
      </c>
      <c r="AG374" s="34">
        <f t="shared" si="401"/>
        <v>0</v>
      </c>
      <c r="AH374" s="34">
        <f t="shared" si="402"/>
        <v>0</v>
      </c>
      <c r="AI374" s="29"/>
      <c r="AJ374" s="17">
        <f t="shared" si="403"/>
        <v>0</v>
      </c>
      <c r="AK374" s="17">
        <f t="shared" si="404"/>
        <v>0</v>
      </c>
      <c r="AL374" s="17">
        <f t="shared" si="405"/>
        <v>0</v>
      </c>
      <c r="AN374" s="34">
        <v>15</v>
      </c>
      <c r="AO374" s="34">
        <f t="shared" si="406"/>
        <v>0</v>
      </c>
      <c r="AP374" s="34">
        <f t="shared" si="407"/>
        <v>0</v>
      </c>
      <c r="AQ374" s="28" t="s">
        <v>13</v>
      </c>
      <c r="AV374" s="34">
        <f t="shared" si="408"/>
        <v>0</v>
      </c>
      <c r="AW374" s="34">
        <f t="shared" si="409"/>
        <v>0</v>
      </c>
      <c r="AX374" s="34">
        <f t="shared" si="410"/>
        <v>0</v>
      </c>
      <c r="AY374" s="35" t="s">
        <v>1712</v>
      </c>
      <c r="AZ374" s="35" t="s">
        <v>1733</v>
      </c>
      <c r="BA374" s="29" t="s">
        <v>1737</v>
      </c>
      <c r="BC374" s="34">
        <f t="shared" si="411"/>
        <v>0</v>
      </c>
      <c r="BD374" s="34">
        <f t="shared" si="412"/>
        <v>0</v>
      </c>
      <c r="BE374" s="34">
        <v>0</v>
      </c>
      <c r="BF374" s="34">
        <f>374</f>
        <v>374</v>
      </c>
      <c r="BH374" s="17">
        <f t="shared" si="413"/>
        <v>0</v>
      </c>
      <c r="BI374" s="17">
        <f t="shared" si="414"/>
        <v>0</v>
      </c>
      <c r="BJ374" s="17">
        <f t="shared" si="415"/>
        <v>0</v>
      </c>
    </row>
    <row r="375" spans="1:62" x14ac:dyDescent="0.2">
      <c r="A375" s="4" t="s">
        <v>334</v>
      </c>
      <c r="B375" s="4" t="s">
        <v>120</v>
      </c>
      <c r="C375" s="240" t="s">
        <v>1399</v>
      </c>
      <c r="D375" s="241"/>
      <c r="E375" s="241"/>
      <c r="F375" s="4" t="s">
        <v>1652</v>
      </c>
      <c r="G375" s="69">
        <v>1</v>
      </c>
      <c r="H375" s="168"/>
      <c r="I375" s="17">
        <f t="shared" si="392"/>
        <v>0</v>
      </c>
      <c r="J375" s="17">
        <f t="shared" si="393"/>
        <v>0</v>
      </c>
      <c r="K375" s="17">
        <f t="shared" si="394"/>
        <v>0</v>
      </c>
      <c r="L375" s="28"/>
      <c r="Z375" s="34">
        <f t="shared" si="395"/>
        <v>0</v>
      </c>
      <c r="AB375" s="34">
        <f t="shared" si="396"/>
        <v>0</v>
      </c>
      <c r="AC375" s="34">
        <f t="shared" si="397"/>
        <v>0</v>
      </c>
      <c r="AD375" s="34">
        <f t="shared" si="398"/>
        <v>0</v>
      </c>
      <c r="AE375" s="34">
        <f t="shared" si="399"/>
        <v>0</v>
      </c>
      <c r="AF375" s="34">
        <f t="shared" si="400"/>
        <v>0</v>
      </c>
      <c r="AG375" s="34">
        <f t="shared" si="401"/>
        <v>0</v>
      </c>
      <c r="AH375" s="34">
        <f t="shared" si="402"/>
        <v>0</v>
      </c>
      <c r="AI375" s="29"/>
      <c r="AJ375" s="17">
        <f t="shared" si="403"/>
        <v>0</v>
      </c>
      <c r="AK375" s="17">
        <f t="shared" si="404"/>
        <v>0</v>
      </c>
      <c r="AL375" s="17">
        <f t="shared" si="405"/>
        <v>0</v>
      </c>
      <c r="AN375" s="34">
        <v>15</v>
      </c>
      <c r="AO375" s="34">
        <f t="shared" si="406"/>
        <v>0</v>
      </c>
      <c r="AP375" s="34">
        <f t="shared" si="407"/>
        <v>0</v>
      </c>
      <c r="AQ375" s="28" t="s">
        <v>13</v>
      </c>
      <c r="AV375" s="34">
        <f t="shared" si="408"/>
        <v>0</v>
      </c>
      <c r="AW375" s="34">
        <f t="shared" si="409"/>
        <v>0</v>
      </c>
      <c r="AX375" s="34">
        <f t="shared" si="410"/>
        <v>0</v>
      </c>
      <c r="AY375" s="35" t="s">
        <v>1712</v>
      </c>
      <c r="AZ375" s="35" t="s">
        <v>1733</v>
      </c>
      <c r="BA375" s="29" t="s">
        <v>1737</v>
      </c>
      <c r="BC375" s="34">
        <f t="shared" si="411"/>
        <v>0</v>
      </c>
      <c r="BD375" s="34">
        <f t="shared" si="412"/>
        <v>0</v>
      </c>
      <c r="BE375" s="34">
        <v>0</v>
      </c>
      <c r="BF375" s="34">
        <f>375</f>
        <v>375</v>
      </c>
      <c r="BH375" s="17">
        <f t="shared" si="413"/>
        <v>0</v>
      </c>
      <c r="BI375" s="17">
        <f t="shared" si="414"/>
        <v>0</v>
      </c>
      <c r="BJ375" s="17">
        <f t="shared" si="415"/>
        <v>0</v>
      </c>
    </row>
    <row r="376" spans="1:62" x14ac:dyDescent="0.2">
      <c r="A376" s="4" t="s">
        <v>335</v>
      </c>
      <c r="B376" s="4" t="s">
        <v>121</v>
      </c>
      <c r="C376" s="240" t="s">
        <v>1400</v>
      </c>
      <c r="D376" s="241"/>
      <c r="E376" s="241"/>
      <c r="F376" s="4" t="s">
        <v>1652</v>
      </c>
      <c r="G376" s="69">
        <v>1</v>
      </c>
      <c r="H376" s="168"/>
      <c r="I376" s="17">
        <f t="shared" si="392"/>
        <v>0</v>
      </c>
      <c r="J376" s="17">
        <f t="shared" si="393"/>
        <v>0</v>
      </c>
      <c r="K376" s="17">
        <f t="shared" si="394"/>
        <v>0</v>
      </c>
      <c r="L376" s="28"/>
      <c r="Z376" s="34">
        <f t="shared" si="395"/>
        <v>0</v>
      </c>
      <c r="AB376" s="34">
        <f t="shared" si="396"/>
        <v>0</v>
      </c>
      <c r="AC376" s="34">
        <f t="shared" si="397"/>
        <v>0</v>
      </c>
      <c r="AD376" s="34">
        <f t="shared" si="398"/>
        <v>0</v>
      </c>
      <c r="AE376" s="34">
        <f t="shared" si="399"/>
        <v>0</v>
      </c>
      <c r="AF376" s="34">
        <f t="shared" si="400"/>
        <v>0</v>
      </c>
      <c r="AG376" s="34">
        <f t="shared" si="401"/>
        <v>0</v>
      </c>
      <c r="AH376" s="34">
        <f t="shared" si="402"/>
        <v>0</v>
      </c>
      <c r="AI376" s="29"/>
      <c r="AJ376" s="17">
        <f t="shared" si="403"/>
        <v>0</v>
      </c>
      <c r="AK376" s="17">
        <f t="shared" si="404"/>
        <v>0</v>
      </c>
      <c r="AL376" s="17">
        <f t="shared" si="405"/>
        <v>0</v>
      </c>
      <c r="AN376" s="34">
        <v>15</v>
      </c>
      <c r="AO376" s="34">
        <f t="shared" si="406"/>
        <v>0</v>
      </c>
      <c r="AP376" s="34">
        <f t="shared" si="407"/>
        <v>0</v>
      </c>
      <c r="AQ376" s="28" t="s">
        <v>13</v>
      </c>
      <c r="AV376" s="34">
        <f t="shared" si="408"/>
        <v>0</v>
      </c>
      <c r="AW376" s="34">
        <f t="shared" si="409"/>
        <v>0</v>
      </c>
      <c r="AX376" s="34">
        <f t="shared" si="410"/>
        <v>0</v>
      </c>
      <c r="AY376" s="35" t="s">
        <v>1712</v>
      </c>
      <c r="AZ376" s="35" t="s">
        <v>1733</v>
      </c>
      <c r="BA376" s="29" t="s">
        <v>1737</v>
      </c>
      <c r="BC376" s="34">
        <f t="shared" si="411"/>
        <v>0</v>
      </c>
      <c r="BD376" s="34">
        <f t="shared" si="412"/>
        <v>0</v>
      </c>
      <c r="BE376" s="34">
        <v>0</v>
      </c>
      <c r="BF376" s="34">
        <f>376</f>
        <v>376</v>
      </c>
      <c r="BH376" s="17">
        <f t="shared" si="413"/>
        <v>0</v>
      </c>
      <c r="BI376" s="17">
        <f t="shared" si="414"/>
        <v>0</v>
      </c>
      <c r="BJ376" s="17">
        <f t="shared" si="415"/>
        <v>0</v>
      </c>
    </row>
    <row r="377" spans="1:62" x14ac:dyDescent="0.2">
      <c r="A377" s="4" t="s">
        <v>336</v>
      </c>
      <c r="B377" s="4" t="s">
        <v>122</v>
      </c>
      <c r="C377" s="240" t="s">
        <v>1401</v>
      </c>
      <c r="D377" s="241"/>
      <c r="E377" s="241"/>
      <c r="F377" s="4" t="s">
        <v>1652</v>
      </c>
      <c r="G377" s="69">
        <v>1</v>
      </c>
      <c r="H377" s="168"/>
      <c r="I377" s="17">
        <f t="shared" si="392"/>
        <v>0</v>
      </c>
      <c r="J377" s="17">
        <f t="shared" si="393"/>
        <v>0</v>
      </c>
      <c r="K377" s="17">
        <f t="shared" si="394"/>
        <v>0</v>
      </c>
      <c r="L377" s="28"/>
      <c r="Z377" s="34">
        <f t="shared" si="395"/>
        <v>0</v>
      </c>
      <c r="AB377" s="34">
        <f t="shared" si="396"/>
        <v>0</v>
      </c>
      <c r="AC377" s="34">
        <f t="shared" si="397"/>
        <v>0</v>
      </c>
      <c r="AD377" s="34">
        <f t="shared" si="398"/>
        <v>0</v>
      </c>
      <c r="AE377" s="34">
        <f t="shared" si="399"/>
        <v>0</v>
      </c>
      <c r="AF377" s="34">
        <f t="shared" si="400"/>
        <v>0</v>
      </c>
      <c r="AG377" s="34">
        <f t="shared" si="401"/>
        <v>0</v>
      </c>
      <c r="AH377" s="34">
        <f t="shared" si="402"/>
        <v>0</v>
      </c>
      <c r="AI377" s="29"/>
      <c r="AJ377" s="17">
        <f t="shared" si="403"/>
        <v>0</v>
      </c>
      <c r="AK377" s="17">
        <f t="shared" si="404"/>
        <v>0</v>
      </c>
      <c r="AL377" s="17">
        <f t="shared" si="405"/>
        <v>0</v>
      </c>
      <c r="AN377" s="34">
        <v>15</v>
      </c>
      <c r="AO377" s="34">
        <f t="shared" si="406"/>
        <v>0</v>
      </c>
      <c r="AP377" s="34">
        <f t="shared" si="407"/>
        <v>0</v>
      </c>
      <c r="AQ377" s="28" t="s">
        <v>13</v>
      </c>
      <c r="AV377" s="34">
        <f t="shared" si="408"/>
        <v>0</v>
      </c>
      <c r="AW377" s="34">
        <f t="shared" si="409"/>
        <v>0</v>
      </c>
      <c r="AX377" s="34">
        <f t="shared" si="410"/>
        <v>0</v>
      </c>
      <c r="AY377" s="35" t="s">
        <v>1712</v>
      </c>
      <c r="AZ377" s="35" t="s">
        <v>1733</v>
      </c>
      <c r="BA377" s="29" t="s">
        <v>1737</v>
      </c>
      <c r="BC377" s="34">
        <f t="shared" si="411"/>
        <v>0</v>
      </c>
      <c r="BD377" s="34">
        <f t="shared" si="412"/>
        <v>0</v>
      </c>
      <c r="BE377" s="34">
        <v>0</v>
      </c>
      <c r="BF377" s="34">
        <f>377</f>
        <v>377</v>
      </c>
      <c r="BH377" s="17">
        <f t="shared" si="413"/>
        <v>0</v>
      </c>
      <c r="BI377" s="17">
        <f t="shared" si="414"/>
        <v>0</v>
      </c>
      <c r="BJ377" s="17">
        <f t="shared" si="415"/>
        <v>0</v>
      </c>
    </row>
    <row r="378" spans="1:62" x14ac:dyDescent="0.2">
      <c r="A378" s="4" t="s">
        <v>337</v>
      </c>
      <c r="B378" s="4" t="s">
        <v>123</v>
      </c>
      <c r="C378" s="240" t="s">
        <v>1402</v>
      </c>
      <c r="D378" s="241"/>
      <c r="E378" s="241"/>
      <c r="F378" s="4" t="s">
        <v>1652</v>
      </c>
      <c r="G378" s="69">
        <v>1</v>
      </c>
      <c r="H378" s="168"/>
      <c r="I378" s="17">
        <f t="shared" si="392"/>
        <v>0</v>
      </c>
      <c r="J378" s="17">
        <f t="shared" si="393"/>
        <v>0</v>
      </c>
      <c r="K378" s="17">
        <f t="shared" si="394"/>
        <v>0</v>
      </c>
      <c r="L378" s="28"/>
      <c r="Z378" s="34">
        <f t="shared" si="395"/>
        <v>0</v>
      </c>
      <c r="AB378" s="34">
        <f t="shared" si="396"/>
        <v>0</v>
      </c>
      <c r="AC378" s="34">
        <f t="shared" si="397"/>
        <v>0</v>
      </c>
      <c r="AD378" s="34">
        <f t="shared" si="398"/>
        <v>0</v>
      </c>
      <c r="AE378" s="34">
        <f t="shared" si="399"/>
        <v>0</v>
      </c>
      <c r="AF378" s="34">
        <f t="shared" si="400"/>
        <v>0</v>
      </c>
      <c r="AG378" s="34">
        <f t="shared" si="401"/>
        <v>0</v>
      </c>
      <c r="AH378" s="34">
        <f t="shared" si="402"/>
        <v>0</v>
      </c>
      <c r="AI378" s="29"/>
      <c r="AJ378" s="17">
        <f t="shared" si="403"/>
        <v>0</v>
      </c>
      <c r="AK378" s="17">
        <f t="shared" si="404"/>
        <v>0</v>
      </c>
      <c r="AL378" s="17">
        <f t="shared" si="405"/>
        <v>0</v>
      </c>
      <c r="AN378" s="34">
        <v>15</v>
      </c>
      <c r="AO378" s="34">
        <f t="shared" si="406"/>
        <v>0</v>
      </c>
      <c r="AP378" s="34">
        <f t="shared" si="407"/>
        <v>0</v>
      </c>
      <c r="AQ378" s="28" t="s">
        <v>13</v>
      </c>
      <c r="AV378" s="34">
        <f t="shared" si="408"/>
        <v>0</v>
      </c>
      <c r="AW378" s="34">
        <f t="shared" si="409"/>
        <v>0</v>
      </c>
      <c r="AX378" s="34">
        <f t="shared" si="410"/>
        <v>0</v>
      </c>
      <c r="AY378" s="35" t="s">
        <v>1712</v>
      </c>
      <c r="AZ378" s="35" t="s">
        <v>1733</v>
      </c>
      <c r="BA378" s="29" t="s">
        <v>1737</v>
      </c>
      <c r="BC378" s="34">
        <f t="shared" si="411"/>
        <v>0</v>
      </c>
      <c r="BD378" s="34">
        <f t="shared" si="412"/>
        <v>0</v>
      </c>
      <c r="BE378" s="34">
        <v>0</v>
      </c>
      <c r="BF378" s="34">
        <f>378</f>
        <v>378</v>
      </c>
      <c r="BH378" s="17">
        <f t="shared" si="413"/>
        <v>0</v>
      </c>
      <c r="BI378" s="17">
        <f t="shared" si="414"/>
        <v>0</v>
      </c>
      <c r="BJ378" s="17">
        <f t="shared" si="415"/>
        <v>0</v>
      </c>
    </row>
    <row r="379" spans="1:62" x14ac:dyDescent="0.2">
      <c r="A379" s="4" t="s">
        <v>338</v>
      </c>
      <c r="B379" s="4" t="s">
        <v>124</v>
      </c>
      <c r="C379" s="240" t="s">
        <v>1403</v>
      </c>
      <c r="D379" s="241"/>
      <c r="E379" s="241"/>
      <c r="F379" s="4" t="s">
        <v>1652</v>
      </c>
      <c r="G379" s="69">
        <v>1</v>
      </c>
      <c r="H379" s="168"/>
      <c r="I379" s="17">
        <f t="shared" si="392"/>
        <v>0</v>
      </c>
      <c r="J379" s="17">
        <f t="shared" si="393"/>
        <v>0</v>
      </c>
      <c r="K379" s="17">
        <f t="shared" si="394"/>
        <v>0</v>
      </c>
      <c r="L379" s="28"/>
      <c r="Z379" s="34">
        <f t="shared" si="395"/>
        <v>0</v>
      </c>
      <c r="AB379" s="34">
        <f t="shared" si="396"/>
        <v>0</v>
      </c>
      <c r="AC379" s="34">
        <f t="shared" si="397"/>
        <v>0</v>
      </c>
      <c r="AD379" s="34">
        <f t="shared" si="398"/>
        <v>0</v>
      </c>
      <c r="AE379" s="34">
        <f t="shared" si="399"/>
        <v>0</v>
      </c>
      <c r="AF379" s="34">
        <f t="shared" si="400"/>
        <v>0</v>
      </c>
      <c r="AG379" s="34">
        <f t="shared" si="401"/>
        <v>0</v>
      </c>
      <c r="AH379" s="34">
        <f t="shared" si="402"/>
        <v>0</v>
      </c>
      <c r="AI379" s="29"/>
      <c r="AJ379" s="17">
        <f t="shared" si="403"/>
        <v>0</v>
      </c>
      <c r="AK379" s="17">
        <f t="shared" si="404"/>
        <v>0</v>
      </c>
      <c r="AL379" s="17">
        <f t="shared" si="405"/>
        <v>0</v>
      </c>
      <c r="AN379" s="34">
        <v>15</v>
      </c>
      <c r="AO379" s="34">
        <f t="shared" si="406"/>
        <v>0</v>
      </c>
      <c r="AP379" s="34">
        <f t="shared" si="407"/>
        <v>0</v>
      </c>
      <c r="AQ379" s="28" t="s">
        <v>13</v>
      </c>
      <c r="AV379" s="34">
        <f t="shared" si="408"/>
        <v>0</v>
      </c>
      <c r="AW379" s="34">
        <f t="shared" si="409"/>
        <v>0</v>
      </c>
      <c r="AX379" s="34">
        <f t="shared" si="410"/>
        <v>0</v>
      </c>
      <c r="AY379" s="35" t="s">
        <v>1712</v>
      </c>
      <c r="AZ379" s="35" t="s">
        <v>1733</v>
      </c>
      <c r="BA379" s="29" t="s">
        <v>1737</v>
      </c>
      <c r="BC379" s="34">
        <f t="shared" si="411"/>
        <v>0</v>
      </c>
      <c r="BD379" s="34">
        <f t="shared" si="412"/>
        <v>0</v>
      </c>
      <c r="BE379" s="34">
        <v>0</v>
      </c>
      <c r="BF379" s="34">
        <f>379</f>
        <v>379</v>
      </c>
      <c r="BH379" s="17">
        <f t="shared" si="413"/>
        <v>0</v>
      </c>
      <c r="BI379" s="17">
        <f t="shared" si="414"/>
        <v>0</v>
      </c>
      <c r="BJ379" s="17">
        <f t="shared" si="415"/>
        <v>0</v>
      </c>
    </row>
    <row r="380" spans="1:62" x14ac:dyDescent="0.2">
      <c r="A380" s="4" t="s">
        <v>339</v>
      </c>
      <c r="B380" s="4" t="s">
        <v>125</v>
      </c>
      <c r="C380" s="240" t="s">
        <v>1404</v>
      </c>
      <c r="D380" s="241"/>
      <c r="E380" s="241"/>
      <c r="F380" s="4" t="s">
        <v>1647</v>
      </c>
      <c r="G380" s="69">
        <v>450</v>
      </c>
      <c r="H380" s="168"/>
      <c r="I380" s="17">
        <f t="shared" si="392"/>
        <v>0</v>
      </c>
      <c r="J380" s="17">
        <f t="shared" si="393"/>
        <v>0</v>
      </c>
      <c r="K380" s="17">
        <f t="shared" si="394"/>
        <v>0</v>
      </c>
      <c r="L380" s="28"/>
      <c r="Z380" s="34">
        <f t="shared" si="395"/>
        <v>0</v>
      </c>
      <c r="AB380" s="34">
        <f t="shared" si="396"/>
        <v>0</v>
      </c>
      <c r="AC380" s="34">
        <f t="shared" si="397"/>
        <v>0</v>
      </c>
      <c r="AD380" s="34">
        <f t="shared" si="398"/>
        <v>0</v>
      </c>
      <c r="AE380" s="34">
        <f t="shared" si="399"/>
        <v>0</v>
      </c>
      <c r="AF380" s="34">
        <f t="shared" si="400"/>
        <v>0</v>
      </c>
      <c r="AG380" s="34">
        <f t="shared" si="401"/>
        <v>0</v>
      </c>
      <c r="AH380" s="34">
        <f t="shared" si="402"/>
        <v>0</v>
      </c>
      <c r="AI380" s="29"/>
      <c r="AJ380" s="17">
        <f t="shared" si="403"/>
        <v>0</v>
      </c>
      <c r="AK380" s="17">
        <f t="shared" si="404"/>
        <v>0</v>
      </c>
      <c r="AL380" s="17">
        <f t="shared" si="405"/>
        <v>0</v>
      </c>
      <c r="AN380" s="34">
        <v>15</v>
      </c>
      <c r="AO380" s="34">
        <f t="shared" si="406"/>
        <v>0</v>
      </c>
      <c r="AP380" s="34">
        <f t="shared" si="407"/>
        <v>0</v>
      </c>
      <c r="AQ380" s="28" t="s">
        <v>13</v>
      </c>
      <c r="AV380" s="34">
        <f t="shared" si="408"/>
        <v>0</v>
      </c>
      <c r="AW380" s="34">
        <f t="shared" si="409"/>
        <v>0</v>
      </c>
      <c r="AX380" s="34">
        <f t="shared" si="410"/>
        <v>0</v>
      </c>
      <c r="AY380" s="35" t="s">
        <v>1712</v>
      </c>
      <c r="AZ380" s="35" t="s">
        <v>1733</v>
      </c>
      <c r="BA380" s="29" t="s">
        <v>1737</v>
      </c>
      <c r="BC380" s="34">
        <f t="shared" si="411"/>
        <v>0</v>
      </c>
      <c r="BD380" s="34">
        <f t="shared" si="412"/>
        <v>0</v>
      </c>
      <c r="BE380" s="34">
        <v>0</v>
      </c>
      <c r="BF380" s="34">
        <f>380</f>
        <v>380</v>
      </c>
      <c r="BH380" s="17">
        <f t="shared" si="413"/>
        <v>0</v>
      </c>
      <c r="BI380" s="17">
        <f t="shared" si="414"/>
        <v>0</v>
      </c>
      <c r="BJ380" s="17">
        <f t="shared" si="415"/>
        <v>0</v>
      </c>
    </row>
    <row r="381" spans="1:62" x14ac:dyDescent="0.2">
      <c r="A381" s="4" t="s">
        <v>340</v>
      </c>
      <c r="B381" s="4" t="s">
        <v>823</v>
      </c>
      <c r="C381" s="240" t="s">
        <v>1405</v>
      </c>
      <c r="D381" s="241"/>
      <c r="E381" s="241"/>
      <c r="F381" s="4" t="s">
        <v>1647</v>
      </c>
      <c r="G381" s="69">
        <v>180</v>
      </c>
      <c r="H381" s="168"/>
      <c r="I381" s="17">
        <f t="shared" si="392"/>
        <v>0</v>
      </c>
      <c r="J381" s="17">
        <f t="shared" si="393"/>
        <v>0</v>
      </c>
      <c r="K381" s="17">
        <f t="shared" si="394"/>
        <v>0</v>
      </c>
      <c r="L381" s="28"/>
      <c r="Z381" s="34">
        <f t="shared" si="395"/>
        <v>0</v>
      </c>
      <c r="AB381" s="34">
        <f t="shared" si="396"/>
        <v>0</v>
      </c>
      <c r="AC381" s="34">
        <f t="shared" si="397"/>
        <v>0</v>
      </c>
      <c r="AD381" s="34">
        <f t="shared" si="398"/>
        <v>0</v>
      </c>
      <c r="AE381" s="34">
        <f t="shared" si="399"/>
        <v>0</v>
      </c>
      <c r="AF381" s="34">
        <f t="shared" si="400"/>
        <v>0</v>
      </c>
      <c r="AG381" s="34">
        <f t="shared" si="401"/>
        <v>0</v>
      </c>
      <c r="AH381" s="34">
        <f t="shared" si="402"/>
        <v>0</v>
      </c>
      <c r="AI381" s="29"/>
      <c r="AJ381" s="17">
        <f t="shared" si="403"/>
        <v>0</v>
      </c>
      <c r="AK381" s="17">
        <f t="shared" si="404"/>
        <v>0</v>
      </c>
      <c r="AL381" s="17">
        <f t="shared" si="405"/>
        <v>0</v>
      </c>
      <c r="AN381" s="34">
        <v>15</v>
      </c>
      <c r="AO381" s="34">
        <f t="shared" si="406"/>
        <v>0</v>
      </c>
      <c r="AP381" s="34">
        <f t="shared" si="407"/>
        <v>0</v>
      </c>
      <c r="AQ381" s="28" t="s">
        <v>13</v>
      </c>
      <c r="AV381" s="34">
        <f t="shared" si="408"/>
        <v>0</v>
      </c>
      <c r="AW381" s="34">
        <f t="shared" si="409"/>
        <v>0</v>
      </c>
      <c r="AX381" s="34">
        <f t="shared" si="410"/>
        <v>0</v>
      </c>
      <c r="AY381" s="35" t="s">
        <v>1712</v>
      </c>
      <c r="AZ381" s="35" t="s">
        <v>1733</v>
      </c>
      <c r="BA381" s="29" t="s">
        <v>1737</v>
      </c>
      <c r="BC381" s="34">
        <f t="shared" si="411"/>
        <v>0</v>
      </c>
      <c r="BD381" s="34">
        <f t="shared" si="412"/>
        <v>0</v>
      </c>
      <c r="BE381" s="34">
        <v>0</v>
      </c>
      <c r="BF381" s="34">
        <f>381</f>
        <v>381</v>
      </c>
      <c r="BH381" s="17">
        <f t="shared" si="413"/>
        <v>0</v>
      </c>
      <c r="BI381" s="17">
        <f t="shared" si="414"/>
        <v>0</v>
      </c>
      <c r="BJ381" s="17">
        <f t="shared" si="415"/>
        <v>0</v>
      </c>
    </row>
    <row r="382" spans="1:62" x14ac:dyDescent="0.2">
      <c r="A382" s="4" t="s">
        <v>341</v>
      </c>
      <c r="B382" s="4" t="s">
        <v>824</v>
      </c>
      <c r="C382" s="240" t="s">
        <v>1406</v>
      </c>
      <c r="D382" s="241"/>
      <c r="E382" s="241"/>
      <c r="F382" s="4" t="s">
        <v>1652</v>
      </c>
      <c r="G382" s="69">
        <v>3</v>
      </c>
      <c r="H382" s="168"/>
      <c r="I382" s="17">
        <f t="shared" si="392"/>
        <v>0</v>
      </c>
      <c r="J382" s="17">
        <f t="shared" si="393"/>
        <v>0</v>
      </c>
      <c r="K382" s="17">
        <f t="shared" si="394"/>
        <v>0</v>
      </c>
      <c r="L382" s="28"/>
      <c r="Z382" s="34">
        <f t="shared" si="395"/>
        <v>0</v>
      </c>
      <c r="AB382" s="34">
        <f t="shared" si="396"/>
        <v>0</v>
      </c>
      <c r="AC382" s="34">
        <f t="shared" si="397"/>
        <v>0</v>
      </c>
      <c r="AD382" s="34">
        <f t="shared" si="398"/>
        <v>0</v>
      </c>
      <c r="AE382" s="34">
        <f t="shared" si="399"/>
        <v>0</v>
      </c>
      <c r="AF382" s="34">
        <f t="shared" si="400"/>
        <v>0</v>
      </c>
      <c r="AG382" s="34">
        <f t="shared" si="401"/>
        <v>0</v>
      </c>
      <c r="AH382" s="34">
        <f t="shared" si="402"/>
        <v>0</v>
      </c>
      <c r="AI382" s="29"/>
      <c r="AJ382" s="17">
        <f t="shared" si="403"/>
        <v>0</v>
      </c>
      <c r="AK382" s="17">
        <f t="shared" si="404"/>
        <v>0</v>
      </c>
      <c r="AL382" s="17">
        <f t="shared" si="405"/>
        <v>0</v>
      </c>
      <c r="AN382" s="34">
        <v>15</v>
      </c>
      <c r="AO382" s="34">
        <f t="shared" si="406"/>
        <v>0</v>
      </c>
      <c r="AP382" s="34">
        <f t="shared" si="407"/>
        <v>0</v>
      </c>
      <c r="AQ382" s="28" t="s">
        <v>13</v>
      </c>
      <c r="AV382" s="34">
        <f t="shared" si="408"/>
        <v>0</v>
      </c>
      <c r="AW382" s="34">
        <f t="shared" si="409"/>
        <v>0</v>
      </c>
      <c r="AX382" s="34">
        <f t="shared" si="410"/>
        <v>0</v>
      </c>
      <c r="AY382" s="35" t="s">
        <v>1712</v>
      </c>
      <c r="AZ382" s="35" t="s">
        <v>1733</v>
      </c>
      <c r="BA382" s="29" t="s">
        <v>1737</v>
      </c>
      <c r="BC382" s="34">
        <f t="shared" si="411"/>
        <v>0</v>
      </c>
      <c r="BD382" s="34">
        <f t="shared" si="412"/>
        <v>0</v>
      </c>
      <c r="BE382" s="34">
        <v>0</v>
      </c>
      <c r="BF382" s="34">
        <f>382</f>
        <v>382</v>
      </c>
      <c r="BH382" s="17">
        <f t="shared" si="413"/>
        <v>0</v>
      </c>
      <c r="BI382" s="17">
        <f t="shared" si="414"/>
        <v>0</v>
      </c>
      <c r="BJ382" s="17">
        <f t="shared" si="415"/>
        <v>0</v>
      </c>
    </row>
    <row r="383" spans="1:62" x14ac:dyDescent="0.2">
      <c r="A383" s="4" t="s">
        <v>342</v>
      </c>
      <c r="B383" s="4" t="s">
        <v>825</v>
      </c>
      <c r="C383" s="240" t="s">
        <v>1407</v>
      </c>
      <c r="D383" s="241"/>
      <c r="E383" s="241"/>
      <c r="F383" s="4" t="s">
        <v>1644</v>
      </c>
      <c r="G383" s="69">
        <v>3</v>
      </c>
      <c r="H383" s="168"/>
      <c r="I383" s="17">
        <f t="shared" si="392"/>
        <v>0</v>
      </c>
      <c r="J383" s="17">
        <f t="shared" si="393"/>
        <v>0</v>
      </c>
      <c r="K383" s="17">
        <f t="shared" si="394"/>
        <v>0</v>
      </c>
      <c r="L383" s="28"/>
      <c r="Z383" s="34">
        <f t="shared" si="395"/>
        <v>0</v>
      </c>
      <c r="AB383" s="34">
        <f t="shared" si="396"/>
        <v>0</v>
      </c>
      <c r="AC383" s="34">
        <f t="shared" si="397"/>
        <v>0</v>
      </c>
      <c r="AD383" s="34">
        <f t="shared" si="398"/>
        <v>0</v>
      </c>
      <c r="AE383" s="34">
        <f t="shared" si="399"/>
        <v>0</v>
      </c>
      <c r="AF383" s="34">
        <f t="shared" si="400"/>
        <v>0</v>
      </c>
      <c r="AG383" s="34">
        <f t="shared" si="401"/>
        <v>0</v>
      </c>
      <c r="AH383" s="34">
        <f t="shared" si="402"/>
        <v>0</v>
      </c>
      <c r="AI383" s="29"/>
      <c r="AJ383" s="17">
        <f t="shared" si="403"/>
        <v>0</v>
      </c>
      <c r="AK383" s="17">
        <f t="shared" si="404"/>
        <v>0</v>
      </c>
      <c r="AL383" s="17">
        <f t="shared" si="405"/>
        <v>0</v>
      </c>
      <c r="AN383" s="34">
        <v>15</v>
      </c>
      <c r="AO383" s="34">
        <f t="shared" si="406"/>
        <v>0</v>
      </c>
      <c r="AP383" s="34">
        <f t="shared" si="407"/>
        <v>0</v>
      </c>
      <c r="AQ383" s="28" t="s">
        <v>13</v>
      </c>
      <c r="AV383" s="34">
        <f t="shared" si="408"/>
        <v>0</v>
      </c>
      <c r="AW383" s="34">
        <f t="shared" si="409"/>
        <v>0</v>
      </c>
      <c r="AX383" s="34">
        <f t="shared" si="410"/>
        <v>0</v>
      </c>
      <c r="AY383" s="35" t="s">
        <v>1712</v>
      </c>
      <c r="AZ383" s="35" t="s">
        <v>1733</v>
      </c>
      <c r="BA383" s="29" t="s">
        <v>1737</v>
      </c>
      <c r="BC383" s="34">
        <f t="shared" si="411"/>
        <v>0</v>
      </c>
      <c r="BD383" s="34">
        <f t="shared" si="412"/>
        <v>0</v>
      </c>
      <c r="BE383" s="34">
        <v>0</v>
      </c>
      <c r="BF383" s="34">
        <f>383</f>
        <v>383</v>
      </c>
      <c r="BH383" s="17">
        <f t="shared" si="413"/>
        <v>0</v>
      </c>
      <c r="BI383" s="17">
        <f t="shared" si="414"/>
        <v>0</v>
      </c>
      <c r="BJ383" s="17">
        <f t="shared" si="415"/>
        <v>0</v>
      </c>
    </row>
    <row r="384" spans="1:62" x14ac:dyDescent="0.2">
      <c r="A384" s="4" t="s">
        <v>343</v>
      </c>
      <c r="B384" s="4" t="s">
        <v>826</v>
      </c>
      <c r="C384" s="240" t="s">
        <v>1408</v>
      </c>
      <c r="D384" s="241"/>
      <c r="E384" s="241"/>
      <c r="F384" s="4" t="s">
        <v>1644</v>
      </c>
      <c r="G384" s="69">
        <v>3</v>
      </c>
      <c r="H384" s="168"/>
      <c r="I384" s="17">
        <f t="shared" si="392"/>
        <v>0</v>
      </c>
      <c r="J384" s="17">
        <f t="shared" si="393"/>
        <v>0</v>
      </c>
      <c r="K384" s="17">
        <f t="shared" si="394"/>
        <v>0</v>
      </c>
      <c r="L384" s="28"/>
      <c r="Z384" s="34">
        <f t="shared" si="395"/>
        <v>0</v>
      </c>
      <c r="AB384" s="34">
        <f t="shared" si="396"/>
        <v>0</v>
      </c>
      <c r="AC384" s="34">
        <f t="shared" si="397"/>
        <v>0</v>
      </c>
      <c r="AD384" s="34">
        <f t="shared" si="398"/>
        <v>0</v>
      </c>
      <c r="AE384" s="34">
        <f t="shared" si="399"/>
        <v>0</v>
      </c>
      <c r="AF384" s="34">
        <f t="shared" si="400"/>
        <v>0</v>
      </c>
      <c r="AG384" s="34">
        <f t="shared" si="401"/>
        <v>0</v>
      </c>
      <c r="AH384" s="34">
        <f t="shared" si="402"/>
        <v>0</v>
      </c>
      <c r="AI384" s="29"/>
      <c r="AJ384" s="17">
        <f t="shared" si="403"/>
        <v>0</v>
      </c>
      <c r="AK384" s="17">
        <f t="shared" si="404"/>
        <v>0</v>
      </c>
      <c r="AL384" s="17">
        <f t="shared" si="405"/>
        <v>0</v>
      </c>
      <c r="AN384" s="34">
        <v>15</v>
      </c>
      <c r="AO384" s="34">
        <f t="shared" si="406"/>
        <v>0</v>
      </c>
      <c r="AP384" s="34">
        <f t="shared" si="407"/>
        <v>0</v>
      </c>
      <c r="AQ384" s="28" t="s">
        <v>13</v>
      </c>
      <c r="AV384" s="34">
        <f t="shared" si="408"/>
        <v>0</v>
      </c>
      <c r="AW384" s="34">
        <f t="shared" si="409"/>
        <v>0</v>
      </c>
      <c r="AX384" s="34">
        <f t="shared" si="410"/>
        <v>0</v>
      </c>
      <c r="AY384" s="35" t="s">
        <v>1712</v>
      </c>
      <c r="AZ384" s="35" t="s">
        <v>1733</v>
      </c>
      <c r="BA384" s="29" t="s">
        <v>1737</v>
      </c>
      <c r="BC384" s="34">
        <f t="shared" si="411"/>
        <v>0</v>
      </c>
      <c r="BD384" s="34">
        <f t="shared" si="412"/>
        <v>0</v>
      </c>
      <c r="BE384" s="34">
        <v>0</v>
      </c>
      <c r="BF384" s="34">
        <f>384</f>
        <v>384</v>
      </c>
      <c r="BH384" s="17">
        <f t="shared" si="413"/>
        <v>0</v>
      </c>
      <c r="BI384" s="17">
        <f t="shared" si="414"/>
        <v>0</v>
      </c>
      <c r="BJ384" s="17">
        <f t="shared" si="415"/>
        <v>0</v>
      </c>
    </row>
    <row r="385" spans="1:62" x14ac:dyDescent="0.2">
      <c r="A385" s="4" t="s">
        <v>344</v>
      </c>
      <c r="B385" s="4" t="s">
        <v>827</v>
      </c>
      <c r="C385" s="240" t="s">
        <v>1409</v>
      </c>
      <c r="D385" s="241"/>
      <c r="E385" s="241"/>
      <c r="F385" s="4" t="s">
        <v>1644</v>
      </c>
      <c r="G385" s="69">
        <v>3</v>
      </c>
      <c r="H385" s="168"/>
      <c r="I385" s="17">
        <f t="shared" si="392"/>
        <v>0</v>
      </c>
      <c r="J385" s="17">
        <f t="shared" si="393"/>
        <v>0</v>
      </c>
      <c r="K385" s="17">
        <f t="shared" si="394"/>
        <v>0</v>
      </c>
      <c r="L385" s="28"/>
      <c r="Z385" s="34">
        <f t="shared" si="395"/>
        <v>0</v>
      </c>
      <c r="AB385" s="34">
        <f t="shared" si="396"/>
        <v>0</v>
      </c>
      <c r="AC385" s="34">
        <f t="shared" si="397"/>
        <v>0</v>
      </c>
      <c r="AD385" s="34">
        <f t="shared" si="398"/>
        <v>0</v>
      </c>
      <c r="AE385" s="34">
        <f t="shared" si="399"/>
        <v>0</v>
      </c>
      <c r="AF385" s="34">
        <f t="shared" si="400"/>
        <v>0</v>
      </c>
      <c r="AG385" s="34">
        <f t="shared" si="401"/>
        <v>0</v>
      </c>
      <c r="AH385" s="34">
        <f t="shared" si="402"/>
        <v>0</v>
      </c>
      <c r="AI385" s="29"/>
      <c r="AJ385" s="17">
        <f t="shared" si="403"/>
        <v>0</v>
      </c>
      <c r="AK385" s="17">
        <f t="shared" si="404"/>
        <v>0</v>
      </c>
      <c r="AL385" s="17">
        <f t="shared" si="405"/>
        <v>0</v>
      </c>
      <c r="AN385" s="34">
        <v>15</v>
      </c>
      <c r="AO385" s="34">
        <f t="shared" si="406"/>
        <v>0</v>
      </c>
      <c r="AP385" s="34">
        <f t="shared" si="407"/>
        <v>0</v>
      </c>
      <c r="AQ385" s="28" t="s">
        <v>13</v>
      </c>
      <c r="AV385" s="34">
        <f t="shared" si="408"/>
        <v>0</v>
      </c>
      <c r="AW385" s="34">
        <f t="shared" si="409"/>
        <v>0</v>
      </c>
      <c r="AX385" s="34">
        <f t="shared" si="410"/>
        <v>0</v>
      </c>
      <c r="AY385" s="35" t="s">
        <v>1712</v>
      </c>
      <c r="AZ385" s="35" t="s">
        <v>1733</v>
      </c>
      <c r="BA385" s="29" t="s">
        <v>1737</v>
      </c>
      <c r="BC385" s="34">
        <f t="shared" si="411"/>
        <v>0</v>
      </c>
      <c r="BD385" s="34">
        <f t="shared" si="412"/>
        <v>0</v>
      </c>
      <c r="BE385" s="34">
        <v>0</v>
      </c>
      <c r="BF385" s="34">
        <f>385</f>
        <v>385</v>
      </c>
      <c r="BH385" s="17">
        <f t="shared" si="413"/>
        <v>0</v>
      </c>
      <c r="BI385" s="17">
        <f t="shared" si="414"/>
        <v>0</v>
      </c>
      <c r="BJ385" s="17">
        <f t="shared" si="415"/>
        <v>0</v>
      </c>
    </row>
    <row r="386" spans="1:62" x14ac:dyDescent="0.2">
      <c r="A386" s="4" t="s">
        <v>345</v>
      </c>
      <c r="B386" s="4" t="s">
        <v>828</v>
      </c>
      <c r="C386" s="240" t="s">
        <v>1410</v>
      </c>
      <c r="D386" s="241"/>
      <c r="E386" s="241"/>
      <c r="F386" s="4" t="s">
        <v>1652</v>
      </c>
      <c r="G386" s="69">
        <v>3</v>
      </c>
      <c r="H386" s="168"/>
      <c r="I386" s="17">
        <f t="shared" si="392"/>
        <v>0</v>
      </c>
      <c r="J386" s="17">
        <f t="shared" si="393"/>
        <v>0</v>
      </c>
      <c r="K386" s="17">
        <f t="shared" si="394"/>
        <v>0</v>
      </c>
      <c r="L386" s="28"/>
      <c r="Z386" s="34">
        <f t="shared" si="395"/>
        <v>0</v>
      </c>
      <c r="AB386" s="34">
        <f t="shared" si="396"/>
        <v>0</v>
      </c>
      <c r="AC386" s="34">
        <f t="shared" si="397"/>
        <v>0</v>
      </c>
      <c r="AD386" s="34">
        <f t="shared" si="398"/>
        <v>0</v>
      </c>
      <c r="AE386" s="34">
        <f t="shared" si="399"/>
        <v>0</v>
      </c>
      <c r="AF386" s="34">
        <f t="shared" si="400"/>
        <v>0</v>
      </c>
      <c r="AG386" s="34">
        <f t="shared" si="401"/>
        <v>0</v>
      </c>
      <c r="AH386" s="34">
        <f t="shared" si="402"/>
        <v>0</v>
      </c>
      <c r="AI386" s="29"/>
      <c r="AJ386" s="17">
        <f t="shared" si="403"/>
        <v>0</v>
      </c>
      <c r="AK386" s="17">
        <f t="shared" si="404"/>
        <v>0</v>
      </c>
      <c r="AL386" s="17">
        <f t="shared" si="405"/>
        <v>0</v>
      </c>
      <c r="AN386" s="34">
        <v>15</v>
      </c>
      <c r="AO386" s="34">
        <f t="shared" si="406"/>
        <v>0</v>
      </c>
      <c r="AP386" s="34">
        <f t="shared" si="407"/>
        <v>0</v>
      </c>
      <c r="AQ386" s="28" t="s">
        <v>13</v>
      </c>
      <c r="AV386" s="34">
        <f t="shared" si="408"/>
        <v>0</v>
      </c>
      <c r="AW386" s="34">
        <f t="shared" si="409"/>
        <v>0</v>
      </c>
      <c r="AX386" s="34">
        <f t="shared" si="410"/>
        <v>0</v>
      </c>
      <c r="AY386" s="35" t="s">
        <v>1712</v>
      </c>
      <c r="AZ386" s="35" t="s">
        <v>1733</v>
      </c>
      <c r="BA386" s="29" t="s">
        <v>1737</v>
      </c>
      <c r="BC386" s="34">
        <f t="shared" si="411"/>
        <v>0</v>
      </c>
      <c r="BD386" s="34">
        <f t="shared" si="412"/>
        <v>0</v>
      </c>
      <c r="BE386" s="34">
        <v>0</v>
      </c>
      <c r="BF386" s="34">
        <f>386</f>
        <v>386</v>
      </c>
      <c r="BH386" s="17">
        <f t="shared" si="413"/>
        <v>0</v>
      </c>
      <c r="BI386" s="17">
        <f t="shared" si="414"/>
        <v>0</v>
      </c>
      <c r="BJ386" s="17">
        <f t="shared" si="415"/>
        <v>0</v>
      </c>
    </row>
    <row r="387" spans="1:62" x14ac:dyDescent="0.2">
      <c r="A387" s="4" t="s">
        <v>346</v>
      </c>
      <c r="B387" s="4" t="s">
        <v>829</v>
      </c>
      <c r="C387" s="240" t="s">
        <v>1411</v>
      </c>
      <c r="D387" s="241"/>
      <c r="E387" s="241"/>
      <c r="F387" s="4" t="s">
        <v>1652</v>
      </c>
      <c r="G387" s="69">
        <v>3</v>
      </c>
      <c r="H387" s="168"/>
      <c r="I387" s="17">
        <f t="shared" si="392"/>
        <v>0</v>
      </c>
      <c r="J387" s="17">
        <f t="shared" si="393"/>
        <v>0</v>
      </c>
      <c r="K387" s="17">
        <f t="shared" si="394"/>
        <v>0</v>
      </c>
      <c r="L387" s="28"/>
      <c r="Z387" s="34">
        <f t="shared" si="395"/>
        <v>0</v>
      </c>
      <c r="AB387" s="34">
        <f t="shared" si="396"/>
        <v>0</v>
      </c>
      <c r="AC387" s="34">
        <f t="shared" si="397"/>
        <v>0</v>
      </c>
      <c r="AD387" s="34">
        <f t="shared" si="398"/>
        <v>0</v>
      </c>
      <c r="AE387" s="34">
        <f t="shared" si="399"/>
        <v>0</v>
      </c>
      <c r="AF387" s="34">
        <f t="shared" si="400"/>
        <v>0</v>
      </c>
      <c r="AG387" s="34">
        <f t="shared" si="401"/>
        <v>0</v>
      </c>
      <c r="AH387" s="34">
        <f t="shared" si="402"/>
        <v>0</v>
      </c>
      <c r="AI387" s="29"/>
      <c r="AJ387" s="17">
        <f t="shared" si="403"/>
        <v>0</v>
      </c>
      <c r="AK387" s="17">
        <f t="shared" si="404"/>
        <v>0</v>
      </c>
      <c r="AL387" s="17">
        <f t="shared" si="405"/>
        <v>0</v>
      </c>
      <c r="AN387" s="34">
        <v>15</v>
      </c>
      <c r="AO387" s="34">
        <f t="shared" si="406"/>
        <v>0</v>
      </c>
      <c r="AP387" s="34">
        <f t="shared" si="407"/>
        <v>0</v>
      </c>
      <c r="AQ387" s="28" t="s">
        <v>13</v>
      </c>
      <c r="AV387" s="34">
        <f t="shared" si="408"/>
        <v>0</v>
      </c>
      <c r="AW387" s="34">
        <f t="shared" si="409"/>
        <v>0</v>
      </c>
      <c r="AX387" s="34">
        <f t="shared" si="410"/>
        <v>0</v>
      </c>
      <c r="AY387" s="35" t="s">
        <v>1712</v>
      </c>
      <c r="AZ387" s="35" t="s">
        <v>1733</v>
      </c>
      <c r="BA387" s="29" t="s">
        <v>1737</v>
      </c>
      <c r="BC387" s="34">
        <f t="shared" si="411"/>
        <v>0</v>
      </c>
      <c r="BD387" s="34">
        <f t="shared" si="412"/>
        <v>0</v>
      </c>
      <c r="BE387" s="34">
        <v>0</v>
      </c>
      <c r="BF387" s="34">
        <f>387</f>
        <v>387</v>
      </c>
      <c r="BH387" s="17">
        <f t="shared" si="413"/>
        <v>0</v>
      </c>
      <c r="BI387" s="17">
        <f t="shared" si="414"/>
        <v>0</v>
      </c>
      <c r="BJ387" s="17">
        <f t="shared" si="415"/>
        <v>0</v>
      </c>
    </row>
    <row r="388" spans="1:62" x14ac:dyDescent="0.2">
      <c r="A388" s="4" t="s">
        <v>347</v>
      </c>
      <c r="B388" s="4" t="s">
        <v>830</v>
      </c>
      <c r="C388" s="240" t="s">
        <v>1412</v>
      </c>
      <c r="D388" s="241"/>
      <c r="E388" s="241"/>
      <c r="F388" s="4" t="s">
        <v>1647</v>
      </c>
      <c r="G388" s="69">
        <v>7</v>
      </c>
      <c r="H388" s="168"/>
      <c r="I388" s="17">
        <f t="shared" si="392"/>
        <v>0</v>
      </c>
      <c r="J388" s="17">
        <f t="shared" si="393"/>
        <v>0</v>
      </c>
      <c r="K388" s="17">
        <f t="shared" si="394"/>
        <v>0</v>
      </c>
      <c r="L388" s="28"/>
      <c r="Z388" s="34">
        <f t="shared" si="395"/>
        <v>0</v>
      </c>
      <c r="AB388" s="34">
        <f t="shared" si="396"/>
        <v>0</v>
      </c>
      <c r="AC388" s="34">
        <f t="shared" si="397"/>
        <v>0</v>
      </c>
      <c r="AD388" s="34">
        <f t="shared" si="398"/>
        <v>0</v>
      </c>
      <c r="AE388" s="34">
        <f t="shared" si="399"/>
        <v>0</v>
      </c>
      <c r="AF388" s="34">
        <f t="shared" si="400"/>
        <v>0</v>
      </c>
      <c r="AG388" s="34">
        <f t="shared" si="401"/>
        <v>0</v>
      </c>
      <c r="AH388" s="34">
        <f t="shared" si="402"/>
        <v>0</v>
      </c>
      <c r="AI388" s="29"/>
      <c r="AJ388" s="17">
        <f t="shared" si="403"/>
        <v>0</v>
      </c>
      <c r="AK388" s="17">
        <f t="shared" si="404"/>
        <v>0</v>
      </c>
      <c r="AL388" s="17">
        <f t="shared" si="405"/>
        <v>0</v>
      </c>
      <c r="AN388" s="34">
        <v>15</v>
      </c>
      <c r="AO388" s="34">
        <f t="shared" si="406"/>
        <v>0</v>
      </c>
      <c r="AP388" s="34">
        <f t="shared" si="407"/>
        <v>0</v>
      </c>
      <c r="AQ388" s="28" t="s">
        <v>13</v>
      </c>
      <c r="AV388" s="34">
        <f t="shared" si="408"/>
        <v>0</v>
      </c>
      <c r="AW388" s="34">
        <f t="shared" si="409"/>
        <v>0</v>
      </c>
      <c r="AX388" s="34">
        <f t="shared" si="410"/>
        <v>0</v>
      </c>
      <c r="AY388" s="35" t="s">
        <v>1712</v>
      </c>
      <c r="AZ388" s="35" t="s">
        <v>1733</v>
      </c>
      <c r="BA388" s="29" t="s">
        <v>1737</v>
      </c>
      <c r="BC388" s="34">
        <f t="shared" si="411"/>
        <v>0</v>
      </c>
      <c r="BD388" s="34">
        <f t="shared" si="412"/>
        <v>0</v>
      </c>
      <c r="BE388" s="34">
        <v>0</v>
      </c>
      <c r="BF388" s="34">
        <f>388</f>
        <v>388</v>
      </c>
      <c r="BH388" s="17">
        <f t="shared" si="413"/>
        <v>0</v>
      </c>
      <c r="BI388" s="17">
        <f t="shared" si="414"/>
        <v>0</v>
      </c>
      <c r="BJ388" s="17">
        <f t="shared" si="415"/>
        <v>0</v>
      </c>
    </row>
    <row r="389" spans="1:62" x14ac:dyDescent="0.2">
      <c r="A389" s="4" t="s">
        <v>348</v>
      </c>
      <c r="B389" s="4" t="s">
        <v>831</v>
      </c>
      <c r="C389" s="240" t="s">
        <v>1413</v>
      </c>
      <c r="D389" s="241"/>
      <c r="E389" s="241"/>
      <c r="F389" s="4" t="s">
        <v>1652</v>
      </c>
      <c r="G389" s="69">
        <v>1</v>
      </c>
      <c r="H389" s="168"/>
      <c r="I389" s="17">
        <f t="shared" si="392"/>
        <v>0</v>
      </c>
      <c r="J389" s="17">
        <f t="shared" si="393"/>
        <v>0</v>
      </c>
      <c r="K389" s="17">
        <f t="shared" si="394"/>
        <v>0</v>
      </c>
      <c r="L389" s="28"/>
      <c r="Z389" s="34">
        <f t="shared" si="395"/>
        <v>0</v>
      </c>
      <c r="AB389" s="34">
        <f t="shared" si="396"/>
        <v>0</v>
      </c>
      <c r="AC389" s="34">
        <f t="shared" si="397"/>
        <v>0</v>
      </c>
      <c r="AD389" s="34">
        <f t="shared" si="398"/>
        <v>0</v>
      </c>
      <c r="AE389" s="34">
        <f t="shared" si="399"/>
        <v>0</v>
      </c>
      <c r="AF389" s="34">
        <f t="shared" si="400"/>
        <v>0</v>
      </c>
      <c r="AG389" s="34">
        <f t="shared" si="401"/>
        <v>0</v>
      </c>
      <c r="AH389" s="34">
        <f t="shared" si="402"/>
        <v>0</v>
      </c>
      <c r="AI389" s="29"/>
      <c r="AJ389" s="17">
        <f t="shared" si="403"/>
        <v>0</v>
      </c>
      <c r="AK389" s="17">
        <f t="shared" si="404"/>
        <v>0</v>
      </c>
      <c r="AL389" s="17">
        <f t="shared" si="405"/>
        <v>0</v>
      </c>
      <c r="AN389" s="34">
        <v>15</v>
      </c>
      <c r="AO389" s="34">
        <f t="shared" si="406"/>
        <v>0</v>
      </c>
      <c r="AP389" s="34">
        <f t="shared" si="407"/>
        <v>0</v>
      </c>
      <c r="AQ389" s="28" t="s">
        <v>13</v>
      </c>
      <c r="AV389" s="34">
        <f t="shared" si="408"/>
        <v>0</v>
      </c>
      <c r="AW389" s="34">
        <f t="shared" si="409"/>
        <v>0</v>
      </c>
      <c r="AX389" s="34">
        <f t="shared" si="410"/>
        <v>0</v>
      </c>
      <c r="AY389" s="35" t="s">
        <v>1712</v>
      </c>
      <c r="AZ389" s="35" t="s">
        <v>1733</v>
      </c>
      <c r="BA389" s="29" t="s">
        <v>1737</v>
      </c>
      <c r="BC389" s="34">
        <f t="shared" si="411"/>
        <v>0</v>
      </c>
      <c r="BD389" s="34">
        <f t="shared" si="412"/>
        <v>0</v>
      </c>
      <c r="BE389" s="34">
        <v>0</v>
      </c>
      <c r="BF389" s="34">
        <f>389</f>
        <v>389</v>
      </c>
      <c r="BH389" s="17">
        <f t="shared" si="413"/>
        <v>0</v>
      </c>
      <c r="BI389" s="17">
        <f t="shared" si="414"/>
        <v>0</v>
      </c>
      <c r="BJ389" s="17">
        <f t="shared" si="415"/>
        <v>0</v>
      </c>
    </row>
    <row r="390" spans="1:62" x14ac:dyDescent="0.2">
      <c r="A390" s="4" t="s">
        <v>349</v>
      </c>
      <c r="B390" s="4" t="s">
        <v>832</v>
      </c>
      <c r="C390" s="240" t="s">
        <v>1414</v>
      </c>
      <c r="D390" s="241"/>
      <c r="E390" s="241"/>
      <c r="F390" s="4" t="s">
        <v>1652</v>
      </c>
      <c r="G390" s="69">
        <v>1</v>
      </c>
      <c r="H390" s="168"/>
      <c r="I390" s="17">
        <f t="shared" si="392"/>
        <v>0</v>
      </c>
      <c r="J390" s="17">
        <f t="shared" si="393"/>
        <v>0</v>
      </c>
      <c r="K390" s="17">
        <f t="shared" si="394"/>
        <v>0</v>
      </c>
      <c r="L390" s="28"/>
      <c r="Z390" s="34">
        <f t="shared" si="395"/>
        <v>0</v>
      </c>
      <c r="AB390" s="34">
        <f t="shared" si="396"/>
        <v>0</v>
      </c>
      <c r="AC390" s="34">
        <f t="shared" si="397"/>
        <v>0</v>
      </c>
      <c r="AD390" s="34">
        <f t="shared" si="398"/>
        <v>0</v>
      </c>
      <c r="AE390" s="34">
        <f t="shared" si="399"/>
        <v>0</v>
      </c>
      <c r="AF390" s="34">
        <f t="shared" si="400"/>
        <v>0</v>
      </c>
      <c r="AG390" s="34">
        <f t="shared" si="401"/>
        <v>0</v>
      </c>
      <c r="AH390" s="34">
        <f t="shared" si="402"/>
        <v>0</v>
      </c>
      <c r="AI390" s="29"/>
      <c r="AJ390" s="17">
        <f t="shared" si="403"/>
        <v>0</v>
      </c>
      <c r="AK390" s="17">
        <f t="shared" si="404"/>
        <v>0</v>
      </c>
      <c r="AL390" s="17">
        <f t="shared" si="405"/>
        <v>0</v>
      </c>
      <c r="AN390" s="34">
        <v>15</v>
      </c>
      <c r="AO390" s="34">
        <f t="shared" si="406"/>
        <v>0</v>
      </c>
      <c r="AP390" s="34">
        <f t="shared" si="407"/>
        <v>0</v>
      </c>
      <c r="AQ390" s="28" t="s">
        <v>13</v>
      </c>
      <c r="AV390" s="34">
        <f t="shared" si="408"/>
        <v>0</v>
      </c>
      <c r="AW390" s="34">
        <f t="shared" si="409"/>
        <v>0</v>
      </c>
      <c r="AX390" s="34">
        <f t="shared" si="410"/>
        <v>0</v>
      </c>
      <c r="AY390" s="35" t="s">
        <v>1712</v>
      </c>
      <c r="AZ390" s="35" t="s">
        <v>1733</v>
      </c>
      <c r="BA390" s="29" t="s">
        <v>1737</v>
      </c>
      <c r="BC390" s="34">
        <f t="shared" si="411"/>
        <v>0</v>
      </c>
      <c r="BD390" s="34">
        <f t="shared" si="412"/>
        <v>0</v>
      </c>
      <c r="BE390" s="34">
        <v>0</v>
      </c>
      <c r="BF390" s="34">
        <f>390</f>
        <v>390</v>
      </c>
      <c r="BH390" s="17">
        <f t="shared" si="413"/>
        <v>0</v>
      </c>
      <c r="BI390" s="17">
        <f t="shared" si="414"/>
        <v>0</v>
      </c>
      <c r="BJ390" s="17">
        <f t="shared" si="415"/>
        <v>0</v>
      </c>
    </row>
    <row r="391" spans="1:62" x14ac:dyDescent="0.2">
      <c r="A391" s="4" t="s">
        <v>350</v>
      </c>
      <c r="B391" s="4" t="s">
        <v>833</v>
      </c>
      <c r="C391" s="240" t="s">
        <v>1415</v>
      </c>
      <c r="D391" s="241"/>
      <c r="E391" s="241"/>
      <c r="F391" s="4" t="s">
        <v>1652</v>
      </c>
      <c r="G391" s="69">
        <v>1</v>
      </c>
      <c r="H391" s="168"/>
      <c r="I391" s="17">
        <f t="shared" si="392"/>
        <v>0</v>
      </c>
      <c r="J391" s="17">
        <f t="shared" si="393"/>
        <v>0</v>
      </c>
      <c r="K391" s="17">
        <f t="shared" si="394"/>
        <v>0</v>
      </c>
      <c r="L391" s="28"/>
      <c r="Z391" s="34">
        <f t="shared" si="395"/>
        <v>0</v>
      </c>
      <c r="AB391" s="34">
        <f t="shared" si="396"/>
        <v>0</v>
      </c>
      <c r="AC391" s="34">
        <f t="shared" si="397"/>
        <v>0</v>
      </c>
      <c r="AD391" s="34">
        <f t="shared" si="398"/>
        <v>0</v>
      </c>
      <c r="AE391" s="34">
        <f t="shared" si="399"/>
        <v>0</v>
      </c>
      <c r="AF391" s="34">
        <f t="shared" si="400"/>
        <v>0</v>
      </c>
      <c r="AG391" s="34">
        <f t="shared" si="401"/>
        <v>0</v>
      </c>
      <c r="AH391" s="34">
        <f t="shared" si="402"/>
        <v>0</v>
      </c>
      <c r="AI391" s="29"/>
      <c r="AJ391" s="17">
        <f t="shared" si="403"/>
        <v>0</v>
      </c>
      <c r="AK391" s="17">
        <f t="shared" si="404"/>
        <v>0</v>
      </c>
      <c r="AL391" s="17">
        <f t="shared" si="405"/>
        <v>0</v>
      </c>
      <c r="AN391" s="34">
        <v>15</v>
      </c>
      <c r="AO391" s="34">
        <f t="shared" si="406"/>
        <v>0</v>
      </c>
      <c r="AP391" s="34">
        <f t="shared" si="407"/>
        <v>0</v>
      </c>
      <c r="AQ391" s="28" t="s">
        <v>13</v>
      </c>
      <c r="AV391" s="34">
        <f t="shared" si="408"/>
        <v>0</v>
      </c>
      <c r="AW391" s="34">
        <f t="shared" si="409"/>
        <v>0</v>
      </c>
      <c r="AX391" s="34">
        <f t="shared" si="410"/>
        <v>0</v>
      </c>
      <c r="AY391" s="35" t="s">
        <v>1712</v>
      </c>
      <c r="AZ391" s="35" t="s">
        <v>1733</v>
      </c>
      <c r="BA391" s="29" t="s">
        <v>1737</v>
      </c>
      <c r="BC391" s="34">
        <f t="shared" si="411"/>
        <v>0</v>
      </c>
      <c r="BD391" s="34">
        <f t="shared" si="412"/>
        <v>0</v>
      </c>
      <c r="BE391" s="34">
        <v>0</v>
      </c>
      <c r="BF391" s="34">
        <f>391</f>
        <v>391</v>
      </c>
      <c r="BH391" s="17">
        <f t="shared" si="413"/>
        <v>0</v>
      </c>
      <c r="BI391" s="17">
        <f t="shared" si="414"/>
        <v>0</v>
      </c>
      <c r="BJ391" s="17">
        <f t="shared" si="415"/>
        <v>0</v>
      </c>
    </row>
    <row r="392" spans="1:62" x14ac:dyDescent="0.2">
      <c r="A392" s="4" t="s">
        <v>351</v>
      </c>
      <c r="B392" s="4" t="s">
        <v>834</v>
      </c>
      <c r="C392" s="240" t="s">
        <v>1416</v>
      </c>
      <c r="D392" s="241"/>
      <c r="E392" s="241"/>
      <c r="F392" s="4" t="s">
        <v>1652</v>
      </c>
      <c r="G392" s="69">
        <v>6</v>
      </c>
      <c r="H392" s="168"/>
      <c r="I392" s="17">
        <f t="shared" si="392"/>
        <v>0</v>
      </c>
      <c r="J392" s="17">
        <f t="shared" si="393"/>
        <v>0</v>
      </c>
      <c r="K392" s="17">
        <f t="shared" si="394"/>
        <v>0</v>
      </c>
      <c r="L392" s="28"/>
      <c r="Z392" s="34">
        <f t="shared" si="395"/>
        <v>0</v>
      </c>
      <c r="AB392" s="34">
        <f t="shared" si="396"/>
        <v>0</v>
      </c>
      <c r="AC392" s="34">
        <f t="shared" si="397"/>
        <v>0</v>
      </c>
      <c r="AD392" s="34">
        <f t="shared" si="398"/>
        <v>0</v>
      </c>
      <c r="AE392" s="34">
        <f t="shared" si="399"/>
        <v>0</v>
      </c>
      <c r="AF392" s="34">
        <f t="shared" si="400"/>
        <v>0</v>
      </c>
      <c r="AG392" s="34">
        <f t="shared" si="401"/>
        <v>0</v>
      </c>
      <c r="AH392" s="34">
        <f t="shared" si="402"/>
        <v>0</v>
      </c>
      <c r="AI392" s="29"/>
      <c r="AJ392" s="17">
        <f t="shared" si="403"/>
        <v>0</v>
      </c>
      <c r="AK392" s="17">
        <f t="shared" si="404"/>
        <v>0</v>
      </c>
      <c r="AL392" s="17">
        <f t="shared" si="405"/>
        <v>0</v>
      </c>
      <c r="AN392" s="34">
        <v>15</v>
      </c>
      <c r="AO392" s="34">
        <f t="shared" si="406"/>
        <v>0</v>
      </c>
      <c r="AP392" s="34">
        <f t="shared" si="407"/>
        <v>0</v>
      </c>
      <c r="AQ392" s="28" t="s">
        <v>13</v>
      </c>
      <c r="AV392" s="34">
        <f t="shared" si="408"/>
        <v>0</v>
      </c>
      <c r="AW392" s="34">
        <f t="shared" si="409"/>
        <v>0</v>
      </c>
      <c r="AX392" s="34">
        <f t="shared" si="410"/>
        <v>0</v>
      </c>
      <c r="AY392" s="35" t="s">
        <v>1712</v>
      </c>
      <c r="AZ392" s="35" t="s">
        <v>1733</v>
      </c>
      <c r="BA392" s="29" t="s">
        <v>1737</v>
      </c>
      <c r="BC392" s="34">
        <f t="shared" si="411"/>
        <v>0</v>
      </c>
      <c r="BD392" s="34">
        <f t="shared" si="412"/>
        <v>0</v>
      </c>
      <c r="BE392" s="34">
        <v>0</v>
      </c>
      <c r="BF392" s="34">
        <f>392</f>
        <v>392</v>
      </c>
      <c r="BH392" s="17">
        <f t="shared" si="413"/>
        <v>0</v>
      </c>
      <c r="BI392" s="17">
        <f t="shared" si="414"/>
        <v>0</v>
      </c>
      <c r="BJ392" s="17">
        <f t="shared" si="415"/>
        <v>0</v>
      </c>
    </row>
    <row r="393" spans="1:62" x14ac:dyDescent="0.2">
      <c r="A393" s="4" t="s">
        <v>352</v>
      </c>
      <c r="B393" s="4" t="s">
        <v>835</v>
      </c>
      <c r="C393" s="240" t="s">
        <v>1417</v>
      </c>
      <c r="D393" s="241"/>
      <c r="E393" s="241"/>
      <c r="F393" s="4" t="s">
        <v>1653</v>
      </c>
      <c r="G393" s="69">
        <v>6</v>
      </c>
      <c r="H393" s="168"/>
      <c r="I393" s="17">
        <f t="shared" si="392"/>
        <v>0</v>
      </c>
      <c r="J393" s="17">
        <f t="shared" si="393"/>
        <v>0</v>
      </c>
      <c r="K393" s="17">
        <f t="shared" si="394"/>
        <v>0</v>
      </c>
      <c r="L393" s="28"/>
      <c r="Z393" s="34">
        <f t="shared" si="395"/>
        <v>0</v>
      </c>
      <c r="AB393" s="34">
        <f t="shared" si="396"/>
        <v>0</v>
      </c>
      <c r="AC393" s="34">
        <f t="shared" si="397"/>
        <v>0</v>
      </c>
      <c r="AD393" s="34">
        <f t="shared" si="398"/>
        <v>0</v>
      </c>
      <c r="AE393" s="34">
        <f t="shared" si="399"/>
        <v>0</v>
      </c>
      <c r="AF393" s="34">
        <f t="shared" si="400"/>
        <v>0</v>
      </c>
      <c r="AG393" s="34">
        <f t="shared" si="401"/>
        <v>0</v>
      </c>
      <c r="AH393" s="34">
        <f t="shared" si="402"/>
        <v>0</v>
      </c>
      <c r="AI393" s="29"/>
      <c r="AJ393" s="17">
        <f t="shared" si="403"/>
        <v>0</v>
      </c>
      <c r="AK393" s="17">
        <f t="shared" si="404"/>
        <v>0</v>
      </c>
      <c r="AL393" s="17">
        <f t="shared" si="405"/>
        <v>0</v>
      </c>
      <c r="AN393" s="34">
        <v>15</v>
      </c>
      <c r="AO393" s="34">
        <f t="shared" si="406"/>
        <v>0</v>
      </c>
      <c r="AP393" s="34">
        <f t="shared" si="407"/>
        <v>0</v>
      </c>
      <c r="AQ393" s="28" t="s">
        <v>13</v>
      </c>
      <c r="AV393" s="34">
        <f t="shared" si="408"/>
        <v>0</v>
      </c>
      <c r="AW393" s="34">
        <f t="shared" si="409"/>
        <v>0</v>
      </c>
      <c r="AX393" s="34">
        <f t="shared" si="410"/>
        <v>0</v>
      </c>
      <c r="AY393" s="35" t="s">
        <v>1712</v>
      </c>
      <c r="AZ393" s="35" t="s">
        <v>1733</v>
      </c>
      <c r="BA393" s="29" t="s">
        <v>1737</v>
      </c>
      <c r="BC393" s="34">
        <f t="shared" si="411"/>
        <v>0</v>
      </c>
      <c r="BD393" s="34">
        <f t="shared" si="412"/>
        <v>0</v>
      </c>
      <c r="BE393" s="34">
        <v>0</v>
      </c>
      <c r="BF393" s="34">
        <f>393</f>
        <v>393</v>
      </c>
      <c r="BH393" s="17">
        <f t="shared" si="413"/>
        <v>0</v>
      </c>
      <c r="BI393" s="17">
        <f t="shared" si="414"/>
        <v>0</v>
      </c>
      <c r="BJ393" s="17">
        <f t="shared" si="415"/>
        <v>0</v>
      </c>
    </row>
    <row r="394" spans="1:62" x14ac:dyDescent="0.2">
      <c r="A394" s="4" t="s">
        <v>353</v>
      </c>
      <c r="B394" s="4" t="s">
        <v>836</v>
      </c>
      <c r="C394" s="240" t="s">
        <v>1418</v>
      </c>
      <c r="D394" s="241"/>
      <c r="E394" s="241"/>
      <c r="F394" s="4" t="s">
        <v>1652</v>
      </c>
      <c r="G394" s="69">
        <v>1</v>
      </c>
      <c r="H394" s="168"/>
      <c r="I394" s="17">
        <f t="shared" si="392"/>
        <v>0</v>
      </c>
      <c r="J394" s="17">
        <f t="shared" si="393"/>
        <v>0</v>
      </c>
      <c r="K394" s="17">
        <f t="shared" si="394"/>
        <v>0</v>
      </c>
      <c r="L394" s="28"/>
      <c r="Z394" s="34">
        <f t="shared" si="395"/>
        <v>0</v>
      </c>
      <c r="AB394" s="34">
        <f t="shared" si="396"/>
        <v>0</v>
      </c>
      <c r="AC394" s="34">
        <f t="shared" si="397"/>
        <v>0</v>
      </c>
      <c r="AD394" s="34">
        <f t="shared" si="398"/>
        <v>0</v>
      </c>
      <c r="AE394" s="34">
        <f t="shared" si="399"/>
        <v>0</v>
      </c>
      <c r="AF394" s="34">
        <f t="shared" si="400"/>
        <v>0</v>
      </c>
      <c r="AG394" s="34">
        <f t="shared" si="401"/>
        <v>0</v>
      </c>
      <c r="AH394" s="34">
        <f t="shared" si="402"/>
        <v>0</v>
      </c>
      <c r="AI394" s="29"/>
      <c r="AJ394" s="17">
        <f t="shared" si="403"/>
        <v>0</v>
      </c>
      <c r="AK394" s="17">
        <f t="shared" si="404"/>
        <v>0</v>
      </c>
      <c r="AL394" s="17">
        <f t="shared" si="405"/>
        <v>0</v>
      </c>
      <c r="AN394" s="34">
        <v>15</v>
      </c>
      <c r="AO394" s="34">
        <f t="shared" si="406"/>
        <v>0</v>
      </c>
      <c r="AP394" s="34">
        <f t="shared" si="407"/>
        <v>0</v>
      </c>
      <c r="AQ394" s="28" t="s">
        <v>13</v>
      </c>
      <c r="AV394" s="34">
        <f t="shared" si="408"/>
        <v>0</v>
      </c>
      <c r="AW394" s="34">
        <f t="shared" si="409"/>
        <v>0</v>
      </c>
      <c r="AX394" s="34">
        <f t="shared" si="410"/>
        <v>0</v>
      </c>
      <c r="AY394" s="35" t="s">
        <v>1712</v>
      </c>
      <c r="AZ394" s="35" t="s">
        <v>1733</v>
      </c>
      <c r="BA394" s="29" t="s">
        <v>1737</v>
      </c>
      <c r="BC394" s="34">
        <f t="shared" si="411"/>
        <v>0</v>
      </c>
      <c r="BD394" s="34">
        <f t="shared" si="412"/>
        <v>0</v>
      </c>
      <c r="BE394" s="34">
        <v>0</v>
      </c>
      <c r="BF394" s="34">
        <f>394</f>
        <v>394</v>
      </c>
      <c r="BH394" s="17">
        <f t="shared" si="413"/>
        <v>0</v>
      </c>
      <c r="BI394" s="17">
        <f t="shared" si="414"/>
        <v>0</v>
      </c>
      <c r="BJ394" s="17">
        <f t="shared" si="415"/>
        <v>0</v>
      </c>
    </row>
    <row r="395" spans="1:62" x14ac:dyDescent="0.2">
      <c r="A395" s="4" t="s">
        <v>354</v>
      </c>
      <c r="B395" s="4" t="s">
        <v>837</v>
      </c>
      <c r="C395" s="240" t="s">
        <v>1419</v>
      </c>
      <c r="D395" s="241"/>
      <c r="E395" s="241"/>
      <c r="F395" s="4" t="s">
        <v>1652</v>
      </c>
      <c r="G395" s="69">
        <v>1</v>
      </c>
      <c r="H395" s="168"/>
      <c r="I395" s="17">
        <f t="shared" si="392"/>
        <v>0</v>
      </c>
      <c r="J395" s="17">
        <f t="shared" si="393"/>
        <v>0</v>
      </c>
      <c r="K395" s="17">
        <f t="shared" si="394"/>
        <v>0</v>
      </c>
      <c r="L395" s="28"/>
      <c r="Z395" s="34">
        <f t="shared" si="395"/>
        <v>0</v>
      </c>
      <c r="AB395" s="34">
        <f t="shared" si="396"/>
        <v>0</v>
      </c>
      <c r="AC395" s="34">
        <f t="shared" si="397"/>
        <v>0</v>
      </c>
      <c r="AD395" s="34">
        <f t="shared" si="398"/>
        <v>0</v>
      </c>
      <c r="AE395" s="34">
        <f t="shared" si="399"/>
        <v>0</v>
      </c>
      <c r="AF395" s="34">
        <f t="shared" si="400"/>
        <v>0</v>
      </c>
      <c r="AG395" s="34">
        <f t="shared" si="401"/>
        <v>0</v>
      </c>
      <c r="AH395" s="34">
        <f t="shared" si="402"/>
        <v>0</v>
      </c>
      <c r="AI395" s="29"/>
      <c r="AJ395" s="17">
        <f t="shared" si="403"/>
        <v>0</v>
      </c>
      <c r="AK395" s="17">
        <f t="shared" si="404"/>
        <v>0</v>
      </c>
      <c r="AL395" s="17">
        <f t="shared" si="405"/>
        <v>0</v>
      </c>
      <c r="AN395" s="34">
        <v>15</v>
      </c>
      <c r="AO395" s="34">
        <f t="shared" si="406"/>
        <v>0</v>
      </c>
      <c r="AP395" s="34">
        <f t="shared" si="407"/>
        <v>0</v>
      </c>
      <c r="AQ395" s="28" t="s">
        <v>13</v>
      </c>
      <c r="AV395" s="34">
        <f t="shared" si="408"/>
        <v>0</v>
      </c>
      <c r="AW395" s="34">
        <f t="shared" si="409"/>
        <v>0</v>
      </c>
      <c r="AX395" s="34">
        <f t="shared" si="410"/>
        <v>0</v>
      </c>
      <c r="AY395" s="35" t="s">
        <v>1712</v>
      </c>
      <c r="AZ395" s="35" t="s">
        <v>1733</v>
      </c>
      <c r="BA395" s="29" t="s">
        <v>1737</v>
      </c>
      <c r="BC395" s="34">
        <f t="shared" si="411"/>
        <v>0</v>
      </c>
      <c r="BD395" s="34">
        <f t="shared" si="412"/>
        <v>0</v>
      </c>
      <c r="BE395" s="34">
        <v>0</v>
      </c>
      <c r="BF395" s="34">
        <f>395</f>
        <v>395</v>
      </c>
      <c r="BH395" s="17">
        <f t="shared" si="413"/>
        <v>0</v>
      </c>
      <c r="BI395" s="17">
        <f t="shared" si="414"/>
        <v>0</v>
      </c>
      <c r="BJ395" s="17">
        <f t="shared" si="415"/>
        <v>0</v>
      </c>
    </row>
    <row r="396" spans="1:62" x14ac:dyDescent="0.2">
      <c r="A396" s="4" t="s">
        <v>355</v>
      </c>
      <c r="B396" s="4" t="s">
        <v>838</v>
      </c>
      <c r="C396" s="240" t="s">
        <v>1420</v>
      </c>
      <c r="D396" s="241"/>
      <c r="E396" s="241"/>
      <c r="F396" s="4" t="s">
        <v>1652</v>
      </c>
      <c r="G396" s="69">
        <v>1</v>
      </c>
      <c r="H396" s="168"/>
      <c r="I396" s="17">
        <f t="shared" si="392"/>
        <v>0</v>
      </c>
      <c r="J396" s="17">
        <f t="shared" si="393"/>
        <v>0</v>
      </c>
      <c r="K396" s="17">
        <f t="shared" si="394"/>
        <v>0</v>
      </c>
      <c r="L396" s="28"/>
      <c r="Z396" s="34">
        <f t="shared" si="395"/>
        <v>0</v>
      </c>
      <c r="AB396" s="34">
        <f t="shared" si="396"/>
        <v>0</v>
      </c>
      <c r="AC396" s="34">
        <f t="shared" si="397"/>
        <v>0</v>
      </c>
      <c r="AD396" s="34">
        <f t="shared" si="398"/>
        <v>0</v>
      </c>
      <c r="AE396" s="34">
        <f t="shared" si="399"/>
        <v>0</v>
      </c>
      <c r="AF396" s="34">
        <f t="shared" si="400"/>
        <v>0</v>
      </c>
      <c r="AG396" s="34">
        <f t="shared" si="401"/>
        <v>0</v>
      </c>
      <c r="AH396" s="34">
        <f t="shared" si="402"/>
        <v>0</v>
      </c>
      <c r="AI396" s="29"/>
      <c r="AJ396" s="17">
        <f t="shared" si="403"/>
        <v>0</v>
      </c>
      <c r="AK396" s="17">
        <f t="shared" si="404"/>
        <v>0</v>
      </c>
      <c r="AL396" s="17">
        <f t="shared" si="405"/>
        <v>0</v>
      </c>
      <c r="AN396" s="34">
        <v>15</v>
      </c>
      <c r="AO396" s="34">
        <f t="shared" si="406"/>
        <v>0</v>
      </c>
      <c r="AP396" s="34">
        <f t="shared" si="407"/>
        <v>0</v>
      </c>
      <c r="AQ396" s="28" t="s">
        <v>13</v>
      </c>
      <c r="AV396" s="34">
        <f t="shared" si="408"/>
        <v>0</v>
      </c>
      <c r="AW396" s="34">
        <f t="shared" si="409"/>
        <v>0</v>
      </c>
      <c r="AX396" s="34">
        <f t="shared" si="410"/>
        <v>0</v>
      </c>
      <c r="AY396" s="35" t="s">
        <v>1712</v>
      </c>
      <c r="AZ396" s="35" t="s">
        <v>1733</v>
      </c>
      <c r="BA396" s="29" t="s">
        <v>1737</v>
      </c>
      <c r="BC396" s="34">
        <f t="shared" si="411"/>
        <v>0</v>
      </c>
      <c r="BD396" s="34">
        <f t="shared" si="412"/>
        <v>0</v>
      </c>
      <c r="BE396" s="34">
        <v>0</v>
      </c>
      <c r="BF396" s="34">
        <f>396</f>
        <v>396</v>
      </c>
      <c r="BH396" s="17">
        <f t="shared" si="413"/>
        <v>0</v>
      </c>
      <c r="BI396" s="17">
        <f t="shared" si="414"/>
        <v>0</v>
      </c>
      <c r="BJ396" s="17">
        <f t="shared" si="415"/>
        <v>0</v>
      </c>
    </row>
    <row r="397" spans="1:62" x14ac:dyDescent="0.2">
      <c r="A397" s="4" t="s">
        <v>356</v>
      </c>
      <c r="B397" s="4" t="s">
        <v>839</v>
      </c>
      <c r="C397" s="240" t="s">
        <v>1421</v>
      </c>
      <c r="D397" s="241"/>
      <c r="E397" s="241"/>
      <c r="F397" s="4" t="s">
        <v>1652</v>
      </c>
      <c r="G397" s="69">
        <v>1</v>
      </c>
      <c r="H397" s="168"/>
      <c r="I397" s="17">
        <f t="shared" si="392"/>
        <v>0</v>
      </c>
      <c r="J397" s="17">
        <f t="shared" si="393"/>
        <v>0</v>
      </c>
      <c r="K397" s="17">
        <f t="shared" si="394"/>
        <v>0</v>
      </c>
      <c r="L397" s="28"/>
      <c r="Z397" s="34">
        <f t="shared" si="395"/>
        <v>0</v>
      </c>
      <c r="AB397" s="34">
        <f t="shared" si="396"/>
        <v>0</v>
      </c>
      <c r="AC397" s="34">
        <f t="shared" si="397"/>
        <v>0</v>
      </c>
      <c r="AD397" s="34">
        <f t="shared" si="398"/>
        <v>0</v>
      </c>
      <c r="AE397" s="34">
        <f t="shared" si="399"/>
        <v>0</v>
      </c>
      <c r="AF397" s="34">
        <f t="shared" si="400"/>
        <v>0</v>
      </c>
      <c r="AG397" s="34">
        <f t="shared" si="401"/>
        <v>0</v>
      </c>
      <c r="AH397" s="34">
        <f t="shared" si="402"/>
        <v>0</v>
      </c>
      <c r="AI397" s="29"/>
      <c r="AJ397" s="17">
        <f t="shared" si="403"/>
        <v>0</v>
      </c>
      <c r="AK397" s="17">
        <f t="shared" si="404"/>
        <v>0</v>
      </c>
      <c r="AL397" s="17">
        <f t="shared" si="405"/>
        <v>0</v>
      </c>
      <c r="AN397" s="34">
        <v>15</v>
      </c>
      <c r="AO397" s="34">
        <f t="shared" si="406"/>
        <v>0</v>
      </c>
      <c r="AP397" s="34">
        <f t="shared" si="407"/>
        <v>0</v>
      </c>
      <c r="AQ397" s="28" t="s">
        <v>13</v>
      </c>
      <c r="AV397" s="34">
        <f t="shared" si="408"/>
        <v>0</v>
      </c>
      <c r="AW397" s="34">
        <f t="shared" si="409"/>
        <v>0</v>
      </c>
      <c r="AX397" s="34">
        <f t="shared" si="410"/>
        <v>0</v>
      </c>
      <c r="AY397" s="35" t="s">
        <v>1712</v>
      </c>
      <c r="AZ397" s="35" t="s">
        <v>1733</v>
      </c>
      <c r="BA397" s="29" t="s">
        <v>1737</v>
      </c>
      <c r="BC397" s="34">
        <f t="shared" si="411"/>
        <v>0</v>
      </c>
      <c r="BD397" s="34">
        <f t="shared" si="412"/>
        <v>0</v>
      </c>
      <c r="BE397" s="34">
        <v>0</v>
      </c>
      <c r="BF397" s="34">
        <f>397</f>
        <v>397</v>
      </c>
      <c r="BH397" s="17">
        <f t="shared" si="413"/>
        <v>0</v>
      </c>
      <c r="BI397" s="17">
        <f t="shared" si="414"/>
        <v>0</v>
      </c>
      <c r="BJ397" s="17">
        <f t="shared" si="415"/>
        <v>0</v>
      </c>
    </row>
    <row r="398" spans="1:62" x14ac:dyDescent="0.2">
      <c r="A398" s="4" t="s">
        <v>357</v>
      </c>
      <c r="B398" s="4" t="s">
        <v>840</v>
      </c>
      <c r="C398" s="240" t="s">
        <v>1422</v>
      </c>
      <c r="D398" s="241"/>
      <c r="E398" s="241"/>
      <c r="F398" s="4" t="s">
        <v>1652</v>
      </c>
      <c r="G398" s="69">
        <v>1</v>
      </c>
      <c r="H398" s="168"/>
      <c r="I398" s="17">
        <f t="shared" si="392"/>
        <v>0</v>
      </c>
      <c r="J398" s="17">
        <f t="shared" si="393"/>
        <v>0</v>
      </c>
      <c r="K398" s="17">
        <f t="shared" si="394"/>
        <v>0</v>
      </c>
      <c r="L398" s="28"/>
      <c r="Z398" s="34">
        <f t="shared" si="395"/>
        <v>0</v>
      </c>
      <c r="AB398" s="34">
        <f t="shared" si="396"/>
        <v>0</v>
      </c>
      <c r="AC398" s="34">
        <f t="shared" si="397"/>
        <v>0</v>
      </c>
      <c r="AD398" s="34">
        <f t="shared" si="398"/>
        <v>0</v>
      </c>
      <c r="AE398" s="34">
        <f t="shared" si="399"/>
        <v>0</v>
      </c>
      <c r="AF398" s="34">
        <f t="shared" si="400"/>
        <v>0</v>
      </c>
      <c r="AG398" s="34">
        <f t="shared" si="401"/>
        <v>0</v>
      </c>
      <c r="AH398" s="34">
        <f t="shared" si="402"/>
        <v>0</v>
      </c>
      <c r="AI398" s="29"/>
      <c r="AJ398" s="17">
        <f t="shared" si="403"/>
        <v>0</v>
      </c>
      <c r="AK398" s="17">
        <f t="shared" si="404"/>
        <v>0</v>
      </c>
      <c r="AL398" s="17">
        <f t="shared" si="405"/>
        <v>0</v>
      </c>
      <c r="AN398" s="34">
        <v>15</v>
      </c>
      <c r="AO398" s="34">
        <f t="shared" si="406"/>
        <v>0</v>
      </c>
      <c r="AP398" s="34">
        <f t="shared" si="407"/>
        <v>0</v>
      </c>
      <c r="AQ398" s="28" t="s">
        <v>13</v>
      </c>
      <c r="AV398" s="34">
        <f t="shared" si="408"/>
        <v>0</v>
      </c>
      <c r="AW398" s="34">
        <f t="shared" si="409"/>
        <v>0</v>
      </c>
      <c r="AX398" s="34">
        <f t="shared" si="410"/>
        <v>0</v>
      </c>
      <c r="AY398" s="35" t="s">
        <v>1712</v>
      </c>
      <c r="AZ398" s="35" t="s">
        <v>1733</v>
      </c>
      <c r="BA398" s="29" t="s">
        <v>1737</v>
      </c>
      <c r="BC398" s="34">
        <f t="shared" si="411"/>
        <v>0</v>
      </c>
      <c r="BD398" s="34">
        <f t="shared" si="412"/>
        <v>0</v>
      </c>
      <c r="BE398" s="34">
        <v>0</v>
      </c>
      <c r="BF398" s="34">
        <f>398</f>
        <v>398</v>
      </c>
      <c r="BH398" s="17">
        <f t="shared" si="413"/>
        <v>0</v>
      </c>
      <c r="BI398" s="17">
        <f t="shared" si="414"/>
        <v>0</v>
      </c>
      <c r="BJ398" s="17">
        <f t="shared" si="415"/>
        <v>0</v>
      </c>
    </row>
    <row r="399" spans="1:62" x14ac:dyDescent="0.2">
      <c r="A399" s="4" t="s">
        <v>358</v>
      </c>
      <c r="B399" s="4" t="s">
        <v>841</v>
      </c>
      <c r="C399" s="240" t="s">
        <v>1423</v>
      </c>
      <c r="D399" s="241"/>
      <c r="E399" s="241"/>
      <c r="F399" s="4" t="s">
        <v>1652</v>
      </c>
      <c r="G399" s="69">
        <v>1</v>
      </c>
      <c r="H399" s="168"/>
      <c r="I399" s="17">
        <f t="shared" si="392"/>
        <v>0</v>
      </c>
      <c r="J399" s="17">
        <f t="shared" si="393"/>
        <v>0</v>
      </c>
      <c r="K399" s="17">
        <f t="shared" si="394"/>
        <v>0</v>
      </c>
      <c r="L399" s="28"/>
      <c r="Z399" s="34">
        <f t="shared" si="395"/>
        <v>0</v>
      </c>
      <c r="AB399" s="34">
        <f t="shared" si="396"/>
        <v>0</v>
      </c>
      <c r="AC399" s="34">
        <f t="shared" si="397"/>
        <v>0</v>
      </c>
      <c r="AD399" s="34">
        <f t="shared" si="398"/>
        <v>0</v>
      </c>
      <c r="AE399" s="34">
        <f t="shared" si="399"/>
        <v>0</v>
      </c>
      <c r="AF399" s="34">
        <f t="shared" si="400"/>
        <v>0</v>
      </c>
      <c r="AG399" s="34">
        <f t="shared" si="401"/>
        <v>0</v>
      </c>
      <c r="AH399" s="34">
        <f t="shared" si="402"/>
        <v>0</v>
      </c>
      <c r="AI399" s="29"/>
      <c r="AJ399" s="17">
        <f t="shared" si="403"/>
        <v>0</v>
      </c>
      <c r="AK399" s="17">
        <f t="shared" si="404"/>
        <v>0</v>
      </c>
      <c r="AL399" s="17">
        <f t="shared" si="405"/>
        <v>0</v>
      </c>
      <c r="AN399" s="34">
        <v>15</v>
      </c>
      <c r="AO399" s="34">
        <f t="shared" si="406"/>
        <v>0</v>
      </c>
      <c r="AP399" s="34">
        <f t="shared" si="407"/>
        <v>0</v>
      </c>
      <c r="AQ399" s="28" t="s">
        <v>13</v>
      </c>
      <c r="AV399" s="34">
        <f t="shared" si="408"/>
        <v>0</v>
      </c>
      <c r="AW399" s="34">
        <f t="shared" si="409"/>
        <v>0</v>
      </c>
      <c r="AX399" s="34">
        <f t="shared" si="410"/>
        <v>0</v>
      </c>
      <c r="AY399" s="35" t="s">
        <v>1712</v>
      </c>
      <c r="AZ399" s="35" t="s">
        <v>1733</v>
      </c>
      <c r="BA399" s="29" t="s">
        <v>1737</v>
      </c>
      <c r="BC399" s="34">
        <f t="shared" si="411"/>
        <v>0</v>
      </c>
      <c r="BD399" s="34">
        <f t="shared" si="412"/>
        <v>0</v>
      </c>
      <c r="BE399" s="34">
        <v>0</v>
      </c>
      <c r="BF399" s="34">
        <f>399</f>
        <v>399</v>
      </c>
      <c r="BH399" s="17">
        <f t="shared" si="413"/>
        <v>0</v>
      </c>
      <c r="BI399" s="17">
        <f t="shared" si="414"/>
        <v>0</v>
      </c>
      <c r="BJ399" s="17">
        <f t="shared" si="415"/>
        <v>0</v>
      </c>
    </row>
    <row r="400" spans="1:62" x14ac:dyDescent="0.2">
      <c r="A400" s="5"/>
      <c r="B400" s="13" t="s">
        <v>842</v>
      </c>
      <c r="C400" s="244" t="s">
        <v>1424</v>
      </c>
      <c r="D400" s="245"/>
      <c r="E400" s="245"/>
      <c r="F400" s="5" t="s">
        <v>6</v>
      </c>
      <c r="G400" s="5" t="s">
        <v>6</v>
      </c>
      <c r="H400" s="5" t="s">
        <v>6</v>
      </c>
      <c r="I400" s="37">
        <f>SUM(I401:I435)</f>
        <v>0</v>
      </c>
      <c r="J400" s="37">
        <f>SUM(J401:J435)</f>
        <v>0</v>
      </c>
      <c r="K400" s="37">
        <f>SUM(K401:K435)</f>
        <v>0</v>
      </c>
      <c r="L400" s="29"/>
      <c r="AI400" s="29"/>
      <c r="AS400" s="37">
        <f>SUM(AJ401:AJ435)</f>
        <v>0</v>
      </c>
      <c r="AT400" s="37">
        <f>SUM(AK401:AK435)</f>
        <v>0</v>
      </c>
      <c r="AU400" s="37">
        <f>SUM(AL401:AL435)</f>
        <v>0</v>
      </c>
    </row>
    <row r="401" spans="1:62" x14ac:dyDescent="0.2">
      <c r="A401" s="4" t="s">
        <v>359</v>
      </c>
      <c r="B401" s="4" t="s">
        <v>127</v>
      </c>
      <c r="C401" s="240" t="s">
        <v>1425</v>
      </c>
      <c r="D401" s="241"/>
      <c r="E401" s="241"/>
      <c r="F401" s="4" t="s">
        <v>1644</v>
      </c>
      <c r="G401" s="69">
        <v>6</v>
      </c>
      <c r="H401" s="168"/>
      <c r="I401" s="17">
        <f t="shared" ref="I401:I435" si="416">G401*AO401</f>
        <v>0</v>
      </c>
      <c r="J401" s="17">
        <f t="shared" ref="J401:J435" si="417">G401*AP401</f>
        <v>0</v>
      </c>
      <c r="K401" s="17">
        <f t="shared" ref="K401:K435" si="418">G401*H401</f>
        <v>0</v>
      </c>
      <c r="L401" s="28"/>
      <c r="Z401" s="34">
        <f t="shared" ref="Z401:Z435" si="419">IF(AQ401="5",BJ401,0)</f>
        <v>0</v>
      </c>
      <c r="AB401" s="34">
        <f t="shared" ref="AB401:AB435" si="420">IF(AQ401="1",BH401,0)</f>
        <v>0</v>
      </c>
      <c r="AC401" s="34">
        <f t="shared" ref="AC401:AC435" si="421">IF(AQ401="1",BI401,0)</f>
        <v>0</v>
      </c>
      <c r="AD401" s="34">
        <f t="shared" ref="AD401:AD435" si="422">IF(AQ401="7",BH401,0)</f>
        <v>0</v>
      </c>
      <c r="AE401" s="34">
        <f t="shared" ref="AE401:AE435" si="423">IF(AQ401="7",BI401,0)</f>
        <v>0</v>
      </c>
      <c r="AF401" s="34">
        <f t="shared" ref="AF401:AF435" si="424">IF(AQ401="2",BH401,0)</f>
        <v>0</v>
      </c>
      <c r="AG401" s="34">
        <f t="shared" ref="AG401:AG435" si="425">IF(AQ401="2",BI401,0)</f>
        <v>0</v>
      </c>
      <c r="AH401" s="34">
        <f t="shared" ref="AH401:AH435" si="426">IF(AQ401="0",BJ401,0)</f>
        <v>0</v>
      </c>
      <c r="AI401" s="29"/>
      <c r="AJ401" s="17">
        <f t="shared" ref="AJ401:AJ435" si="427">IF(AN401=0,K401,0)</f>
        <v>0</v>
      </c>
      <c r="AK401" s="17">
        <f t="shared" ref="AK401:AK435" si="428">IF(AN401=15,K401,0)</f>
        <v>0</v>
      </c>
      <c r="AL401" s="17">
        <f t="shared" ref="AL401:AL435" si="429">IF(AN401=21,K401,0)</f>
        <v>0</v>
      </c>
      <c r="AN401" s="34">
        <v>15</v>
      </c>
      <c r="AO401" s="34">
        <f t="shared" ref="AO401:AO435" si="430">H401*0</f>
        <v>0</v>
      </c>
      <c r="AP401" s="34">
        <f t="shared" ref="AP401:AP435" si="431">H401*(1-0)</f>
        <v>0</v>
      </c>
      <c r="AQ401" s="28" t="s">
        <v>13</v>
      </c>
      <c r="AV401" s="34">
        <f t="shared" ref="AV401:AV435" si="432">AW401+AX401</f>
        <v>0</v>
      </c>
      <c r="AW401" s="34">
        <f t="shared" ref="AW401:AW435" si="433">G401*AO401</f>
        <v>0</v>
      </c>
      <c r="AX401" s="34">
        <f t="shared" ref="AX401:AX435" si="434">G401*AP401</f>
        <v>0</v>
      </c>
      <c r="AY401" s="35" t="s">
        <v>1713</v>
      </c>
      <c r="AZ401" s="35" t="s">
        <v>1733</v>
      </c>
      <c r="BA401" s="29" t="s">
        <v>1737</v>
      </c>
      <c r="BC401" s="34">
        <f t="shared" ref="BC401:BC435" si="435">AW401+AX401</f>
        <v>0</v>
      </c>
      <c r="BD401" s="34">
        <f t="shared" ref="BD401:BD435" si="436">H401/(100-BE401)*100</f>
        <v>0</v>
      </c>
      <c r="BE401" s="34">
        <v>0</v>
      </c>
      <c r="BF401" s="34">
        <f>401</f>
        <v>401</v>
      </c>
      <c r="BH401" s="17">
        <f t="shared" ref="BH401:BH435" si="437">G401*AO401</f>
        <v>0</v>
      </c>
      <c r="BI401" s="17">
        <f t="shared" ref="BI401:BI435" si="438">G401*AP401</f>
        <v>0</v>
      </c>
      <c r="BJ401" s="17">
        <f t="shared" ref="BJ401:BJ435" si="439">G401*H401</f>
        <v>0</v>
      </c>
    </row>
    <row r="402" spans="1:62" x14ac:dyDescent="0.2">
      <c r="A402" s="4" t="s">
        <v>360</v>
      </c>
      <c r="B402" s="4" t="s">
        <v>128</v>
      </c>
      <c r="C402" s="240" t="s">
        <v>1426</v>
      </c>
      <c r="D402" s="241"/>
      <c r="E402" s="241"/>
      <c r="F402" s="4" t="s">
        <v>1646</v>
      </c>
      <c r="G402" s="69">
        <v>80</v>
      </c>
      <c r="H402" s="168"/>
      <c r="I402" s="17">
        <f t="shared" si="416"/>
        <v>0</v>
      </c>
      <c r="J402" s="17">
        <f t="shared" si="417"/>
        <v>0</v>
      </c>
      <c r="K402" s="17">
        <f t="shared" si="418"/>
        <v>0</v>
      </c>
      <c r="L402" s="28"/>
      <c r="Z402" s="34">
        <f t="shared" si="419"/>
        <v>0</v>
      </c>
      <c r="AB402" s="34">
        <f t="shared" si="420"/>
        <v>0</v>
      </c>
      <c r="AC402" s="34">
        <f t="shared" si="421"/>
        <v>0</v>
      </c>
      <c r="AD402" s="34">
        <f t="shared" si="422"/>
        <v>0</v>
      </c>
      <c r="AE402" s="34">
        <f t="shared" si="423"/>
        <v>0</v>
      </c>
      <c r="AF402" s="34">
        <f t="shared" si="424"/>
        <v>0</v>
      </c>
      <c r="AG402" s="34">
        <f t="shared" si="425"/>
        <v>0</v>
      </c>
      <c r="AH402" s="34">
        <f t="shared" si="426"/>
        <v>0</v>
      </c>
      <c r="AI402" s="29"/>
      <c r="AJ402" s="17">
        <f t="shared" si="427"/>
        <v>0</v>
      </c>
      <c r="AK402" s="17">
        <f t="shared" si="428"/>
        <v>0</v>
      </c>
      <c r="AL402" s="17">
        <f t="shared" si="429"/>
        <v>0</v>
      </c>
      <c r="AN402" s="34">
        <v>15</v>
      </c>
      <c r="AO402" s="34">
        <f t="shared" si="430"/>
        <v>0</v>
      </c>
      <c r="AP402" s="34">
        <f t="shared" si="431"/>
        <v>0</v>
      </c>
      <c r="AQ402" s="28" t="s">
        <v>13</v>
      </c>
      <c r="AV402" s="34">
        <f t="shared" si="432"/>
        <v>0</v>
      </c>
      <c r="AW402" s="34">
        <f t="shared" si="433"/>
        <v>0</v>
      </c>
      <c r="AX402" s="34">
        <f t="shared" si="434"/>
        <v>0</v>
      </c>
      <c r="AY402" s="35" t="s">
        <v>1713</v>
      </c>
      <c r="AZ402" s="35" t="s">
        <v>1733</v>
      </c>
      <c r="BA402" s="29" t="s">
        <v>1737</v>
      </c>
      <c r="BC402" s="34">
        <f t="shared" si="435"/>
        <v>0</v>
      </c>
      <c r="BD402" s="34">
        <f t="shared" si="436"/>
        <v>0</v>
      </c>
      <c r="BE402" s="34">
        <v>0</v>
      </c>
      <c r="BF402" s="34">
        <f>402</f>
        <v>402</v>
      </c>
      <c r="BH402" s="17">
        <f t="shared" si="437"/>
        <v>0</v>
      </c>
      <c r="BI402" s="17">
        <f t="shared" si="438"/>
        <v>0</v>
      </c>
      <c r="BJ402" s="17">
        <f t="shared" si="439"/>
        <v>0</v>
      </c>
    </row>
    <row r="403" spans="1:62" x14ac:dyDescent="0.2">
      <c r="A403" s="4" t="s">
        <v>361</v>
      </c>
      <c r="B403" s="4" t="s">
        <v>129</v>
      </c>
      <c r="C403" s="240" t="s">
        <v>1427</v>
      </c>
      <c r="D403" s="241"/>
      <c r="E403" s="241"/>
      <c r="F403" s="4" t="s">
        <v>1644</v>
      </c>
      <c r="G403" s="69">
        <v>6</v>
      </c>
      <c r="H403" s="168"/>
      <c r="I403" s="17">
        <f t="shared" si="416"/>
        <v>0</v>
      </c>
      <c r="J403" s="17">
        <f t="shared" si="417"/>
        <v>0</v>
      </c>
      <c r="K403" s="17">
        <f t="shared" si="418"/>
        <v>0</v>
      </c>
      <c r="L403" s="28"/>
      <c r="Z403" s="34">
        <f t="shared" si="419"/>
        <v>0</v>
      </c>
      <c r="AB403" s="34">
        <f t="shared" si="420"/>
        <v>0</v>
      </c>
      <c r="AC403" s="34">
        <f t="shared" si="421"/>
        <v>0</v>
      </c>
      <c r="AD403" s="34">
        <f t="shared" si="422"/>
        <v>0</v>
      </c>
      <c r="AE403" s="34">
        <f t="shared" si="423"/>
        <v>0</v>
      </c>
      <c r="AF403" s="34">
        <f t="shared" si="424"/>
        <v>0</v>
      </c>
      <c r="AG403" s="34">
        <f t="shared" si="425"/>
        <v>0</v>
      </c>
      <c r="AH403" s="34">
        <f t="shared" si="426"/>
        <v>0</v>
      </c>
      <c r="AI403" s="29"/>
      <c r="AJ403" s="17">
        <f t="shared" si="427"/>
        <v>0</v>
      </c>
      <c r="AK403" s="17">
        <f t="shared" si="428"/>
        <v>0</v>
      </c>
      <c r="AL403" s="17">
        <f t="shared" si="429"/>
        <v>0</v>
      </c>
      <c r="AN403" s="34">
        <v>15</v>
      </c>
      <c r="AO403" s="34">
        <f t="shared" si="430"/>
        <v>0</v>
      </c>
      <c r="AP403" s="34">
        <f t="shared" si="431"/>
        <v>0</v>
      </c>
      <c r="AQ403" s="28" t="s">
        <v>13</v>
      </c>
      <c r="AV403" s="34">
        <f t="shared" si="432"/>
        <v>0</v>
      </c>
      <c r="AW403" s="34">
        <f t="shared" si="433"/>
        <v>0</v>
      </c>
      <c r="AX403" s="34">
        <f t="shared" si="434"/>
        <v>0</v>
      </c>
      <c r="AY403" s="35" t="s">
        <v>1713</v>
      </c>
      <c r="AZ403" s="35" t="s">
        <v>1733</v>
      </c>
      <c r="BA403" s="29" t="s">
        <v>1737</v>
      </c>
      <c r="BC403" s="34">
        <f t="shared" si="435"/>
        <v>0</v>
      </c>
      <c r="BD403" s="34">
        <f t="shared" si="436"/>
        <v>0</v>
      </c>
      <c r="BE403" s="34">
        <v>0</v>
      </c>
      <c r="BF403" s="34">
        <f>403</f>
        <v>403</v>
      </c>
      <c r="BH403" s="17">
        <f t="shared" si="437"/>
        <v>0</v>
      </c>
      <c r="BI403" s="17">
        <f t="shared" si="438"/>
        <v>0</v>
      </c>
      <c r="BJ403" s="17">
        <f t="shared" si="439"/>
        <v>0</v>
      </c>
    </row>
    <row r="404" spans="1:62" x14ac:dyDescent="0.2">
      <c r="A404" s="4" t="s">
        <v>362</v>
      </c>
      <c r="B404" s="4" t="s">
        <v>130</v>
      </c>
      <c r="C404" s="240" t="s">
        <v>1428</v>
      </c>
      <c r="D404" s="241"/>
      <c r="E404" s="241"/>
      <c r="F404" s="4" t="s">
        <v>1646</v>
      </c>
      <c r="G404" s="69">
        <v>80</v>
      </c>
      <c r="H404" s="168"/>
      <c r="I404" s="17">
        <f t="shared" si="416"/>
        <v>0</v>
      </c>
      <c r="J404" s="17">
        <f t="shared" si="417"/>
        <v>0</v>
      </c>
      <c r="K404" s="17">
        <f t="shared" si="418"/>
        <v>0</v>
      </c>
      <c r="L404" s="28"/>
      <c r="Z404" s="34">
        <f t="shared" si="419"/>
        <v>0</v>
      </c>
      <c r="AB404" s="34">
        <f t="shared" si="420"/>
        <v>0</v>
      </c>
      <c r="AC404" s="34">
        <f t="shared" si="421"/>
        <v>0</v>
      </c>
      <c r="AD404" s="34">
        <f t="shared" si="422"/>
        <v>0</v>
      </c>
      <c r="AE404" s="34">
        <f t="shared" si="423"/>
        <v>0</v>
      </c>
      <c r="AF404" s="34">
        <f t="shared" si="424"/>
        <v>0</v>
      </c>
      <c r="AG404" s="34">
        <f t="shared" si="425"/>
        <v>0</v>
      </c>
      <c r="AH404" s="34">
        <f t="shared" si="426"/>
        <v>0</v>
      </c>
      <c r="AI404" s="29"/>
      <c r="AJ404" s="17">
        <f t="shared" si="427"/>
        <v>0</v>
      </c>
      <c r="AK404" s="17">
        <f t="shared" si="428"/>
        <v>0</v>
      </c>
      <c r="AL404" s="17">
        <f t="shared" si="429"/>
        <v>0</v>
      </c>
      <c r="AN404" s="34">
        <v>15</v>
      </c>
      <c r="AO404" s="34">
        <f t="shared" si="430"/>
        <v>0</v>
      </c>
      <c r="AP404" s="34">
        <f t="shared" si="431"/>
        <v>0</v>
      </c>
      <c r="AQ404" s="28" t="s">
        <v>13</v>
      </c>
      <c r="AV404" s="34">
        <f t="shared" si="432"/>
        <v>0</v>
      </c>
      <c r="AW404" s="34">
        <f t="shared" si="433"/>
        <v>0</v>
      </c>
      <c r="AX404" s="34">
        <f t="shared" si="434"/>
        <v>0</v>
      </c>
      <c r="AY404" s="35" t="s">
        <v>1713</v>
      </c>
      <c r="AZ404" s="35" t="s">
        <v>1733</v>
      </c>
      <c r="BA404" s="29" t="s">
        <v>1737</v>
      </c>
      <c r="BC404" s="34">
        <f t="shared" si="435"/>
        <v>0</v>
      </c>
      <c r="BD404" s="34">
        <f t="shared" si="436"/>
        <v>0</v>
      </c>
      <c r="BE404" s="34">
        <v>0</v>
      </c>
      <c r="BF404" s="34">
        <f>404</f>
        <v>404</v>
      </c>
      <c r="BH404" s="17">
        <f t="shared" si="437"/>
        <v>0</v>
      </c>
      <c r="BI404" s="17">
        <f t="shared" si="438"/>
        <v>0</v>
      </c>
      <c r="BJ404" s="17">
        <f t="shared" si="439"/>
        <v>0</v>
      </c>
    </row>
    <row r="405" spans="1:62" x14ac:dyDescent="0.2">
      <c r="A405" s="4" t="s">
        <v>363</v>
      </c>
      <c r="B405" s="4" t="s">
        <v>131</v>
      </c>
      <c r="C405" s="240" t="s">
        <v>1429</v>
      </c>
      <c r="D405" s="241"/>
      <c r="E405" s="241"/>
      <c r="F405" s="4" t="s">
        <v>1646</v>
      </c>
      <c r="G405" s="69">
        <v>80</v>
      </c>
      <c r="H405" s="168"/>
      <c r="I405" s="17">
        <f t="shared" si="416"/>
        <v>0</v>
      </c>
      <c r="J405" s="17">
        <f t="shared" si="417"/>
        <v>0</v>
      </c>
      <c r="K405" s="17">
        <f t="shared" si="418"/>
        <v>0</v>
      </c>
      <c r="L405" s="28"/>
      <c r="Z405" s="34">
        <f t="shared" si="419"/>
        <v>0</v>
      </c>
      <c r="AB405" s="34">
        <f t="shared" si="420"/>
        <v>0</v>
      </c>
      <c r="AC405" s="34">
        <f t="shared" si="421"/>
        <v>0</v>
      </c>
      <c r="AD405" s="34">
        <f t="shared" si="422"/>
        <v>0</v>
      </c>
      <c r="AE405" s="34">
        <f t="shared" si="423"/>
        <v>0</v>
      </c>
      <c r="AF405" s="34">
        <f t="shared" si="424"/>
        <v>0</v>
      </c>
      <c r="AG405" s="34">
        <f t="shared" si="425"/>
        <v>0</v>
      </c>
      <c r="AH405" s="34">
        <f t="shared" si="426"/>
        <v>0</v>
      </c>
      <c r="AI405" s="29"/>
      <c r="AJ405" s="17">
        <f t="shared" si="427"/>
        <v>0</v>
      </c>
      <c r="AK405" s="17">
        <f t="shared" si="428"/>
        <v>0</v>
      </c>
      <c r="AL405" s="17">
        <f t="shared" si="429"/>
        <v>0</v>
      </c>
      <c r="AN405" s="34">
        <v>15</v>
      </c>
      <c r="AO405" s="34">
        <f t="shared" si="430"/>
        <v>0</v>
      </c>
      <c r="AP405" s="34">
        <f t="shared" si="431"/>
        <v>0</v>
      </c>
      <c r="AQ405" s="28" t="s">
        <v>13</v>
      </c>
      <c r="AV405" s="34">
        <f t="shared" si="432"/>
        <v>0</v>
      </c>
      <c r="AW405" s="34">
        <f t="shared" si="433"/>
        <v>0</v>
      </c>
      <c r="AX405" s="34">
        <f t="shared" si="434"/>
        <v>0</v>
      </c>
      <c r="AY405" s="35" t="s">
        <v>1713</v>
      </c>
      <c r="AZ405" s="35" t="s">
        <v>1733</v>
      </c>
      <c r="BA405" s="29" t="s">
        <v>1737</v>
      </c>
      <c r="BC405" s="34">
        <f t="shared" si="435"/>
        <v>0</v>
      </c>
      <c r="BD405" s="34">
        <f t="shared" si="436"/>
        <v>0</v>
      </c>
      <c r="BE405" s="34">
        <v>0</v>
      </c>
      <c r="BF405" s="34">
        <f>405</f>
        <v>405</v>
      </c>
      <c r="BH405" s="17">
        <f t="shared" si="437"/>
        <v>0</v>
      </c>
      <c r="BI405" s="17">
        <f t="shared" si="438"/>
        <v>0</v>
      </c>
      <c r="BJ405" s="17">
        <f t="shared" si="439"/>
        <v>0</v>
      </c>
    </row>
    <row r="406" spans="1:62" x14ac:dyDescent="0.2">
      <c r="A406" s="4" t="s">
        <v>364</v>
      </c>
      <c r="B406" s="4" t="s">
        <v>132</v>
      </c>
      <c r="C406" s="240" t="s">
        <v>1430</v>
      </c>
      <c r="D406" s="241"/>
      <c r="E406" s="241"/>
      <c r="F406" s="4" t="s">
        <v>1644</v>
      </c>
      <c r="G406" s="69">
        <v>1</v>
      </c>
      <c r="H406" s="168"/>
      <c r="I406" s="17">
        <f t="shared" si="416"/>
        <v>0</v>
      </c>
      <c r="J406" s="17">
        <f t="shared" si="417"/>
        <v>0</v>
      </c>
      <c r="K406" s="17">
        <f t="shared" si="418"/>
        <v>0</v>
      </c>
      <c r="L406" s="28"/>
      <c r="Z406" s="34">
        <f t="shared" si="419"/>
        <v>0</v>
      </c>
      <c r="AB406" s="34">
        <f t="shared" si="420"/>
        <v>0</v>
      </c>
      <c r="AC406" s="34">
        <f t="shared" si="421"/>
        <v>0</v>
      </c>
      <c r="AD406" s="34">
        <f t="shared" si="422"/>
        <v>0</v>
      </c>
      <c r="AE406" s="34">
        <f t="shared" si="423"/>
        <v>0</v>
      </c>
      <c r="AF406" s="34">
        <f t="shared" si="424"/>
        <v>0</v>
      </c>
      <c r="AG406" s="34">
        <f t="shared" si="425"/>
        <v>0</v>
      </c>
      <c r="AH406" s="34">
        <f t="shared" si="426"/>
        <v>0</v>
      </c>
      <c r="AI406" s="29"/>
      <c r="AJ406" s="17">
        <f t="shared" si="427"/>
        <v>0</v>
      </c>
      <c r="AK406" s="17">
        <f t="shared" si="428"/>
        <v>0</v>
      </c>
      <c r="AL406" s="17">
        <f t="shared" si="429"/>
        <v>0</v>
      </c>
      <c r="AN406" s="34">
        <v>15</v>
      </c>
      <c r="AO406" s="34">
        <f t="shared" si="430"/>
        <v>0</v>
      </c>
      <c r="AP406" s="34">
        <f t="shared" si="431"/>
        <v>0</v>
      </c>
      <c r="AQ406" s="28" t="s">
        <v>13</v>
      </c>
      <c r="AV406" s="34">
        <f t="shared" si="432"/>
        <v>0</v>
      </c>
      <c r="AW406" s="34">
        <f t="shared" si="433"/>
        <v>0</v>
      </c>
      <c r="AX406" s="34">
        <f t="shared" si="434"/>
        <v>0</v>
      </c>
      <c r="AY406" s="35" t="s">
        <v>1713</v>
      </c>
      <c r="AZ406" s="35" t="s">
        <v>1733</v>
      </c>
      <c r="BA406" s="29" t="s">
        <v>1737</v>
      </c>
      <c r="BC406" s="34">
        <f t="shared" si="435"/>
        <v>0</v>
      </c>
      <c r="BD406" s="34">
        <f t="shared" si="436"/>
        <v>0</v>
      </c>
      <c r="BE406" s="34">
        <v>0</v>
      </c>
      <c r="BF406" s="34">
        <f>406</f>
        <v>406</v>
      </c>
      <c r="BH406" s="17">
        <f t="shared" si="437"/>
        <v>0</v>
      </c>
      <c r="BI406" s="17">
        <f t="shared" si="438"/>
        <v>0</v>
      </c>
      <c r="BJ406" s="17">
        <f t="shared" si="439"/>
        <v>0</v>
      </c>
    </row>
    <row r="407" spans="1:62" x14ac:dyDescent="0.2">
      <c r="A407" s="4" t="s">
        <v>365</v>
      </c>
      <c r="B407" s="4" t="s">
        <v>133</v>
      </c>
      <c r="C407" s="240" t="s">
        <v>1431</v>
      </c>
      <c r="D407" s="241"/>
      <c r="E407" s="241"/>
      <c r="F407" s="4" t="s">
        <v>1646</v>
      </c>
      <c r="G407" s="69">
        <v>15</v>
      </c>
      <c r="H407" s="168"/>
      <c r="I407" s="17">
        <f t="shared" si="416"/>
        <v>0</v>
      </c>
      <c r="J407" s="17">
        <f t="shared" si="417"/>
        <v>0</v>
      </c>
      <c r="K407" s="17">
        <f t="shared" si="418"/>
        <v>0</v>
      </c>
      <c r="L407" s="28"/>
      <c r="Z407" s="34">
        <f t="shared" si="419"/>
        <v>0</v>
      </c>
      <c r="AB407" s="34">
        <f t="shared" si="420"/>
        <v>0</v>
      </c>
      <c r="AC407" s="34">
        <f t="shared" si="421"/>
        <v>0</v>
      </c>
      <c r="AD407" s="34">
        <f t="shared" si="422"/>
        <v>0</v>
      </c>
      <c r="AE407" s="34">
        <f t="shared" si="423"/>
        <v>0</v>
      </c>
      <c r="AF407" s="34">
        <f t="shared" si="424"/>
        <v>0</v>
      </c>
      <c r="AG407" s="34">
        <f t="shared" si="425"/>
        <v>0</v>
      </c>
      <c r="AH407" s="34">
        <f t="shared" si="426"/>
        <v>0</v>
      </c>
      <c r="AI407" s="29"/>
      <c r="AJ407" s="17">
        <f t="shared" si="427"/>
        <v>0</v>
      </c>
      <c r="AK407" s="17">
        <f t="shared" si="428"/>
        <v>0</v>
      </c>
      <c r="AL407" s="17">
        <f t="shared" si="429"/>
        <v>0</v>
      </c>
      <c r="AN407" s="34">
        <v>15</v>
      </c>
      <c r="AO407" s="34">
        <f t="shared" si="430"/>
        <v>0</v>
      </c>
      <c r="AP407" s="34">
        <f t="shared" si="431"/>
        <v>0</v>
      </c>
      <c r="AQ407" s="28" t="s">
        <v>13</v>
      </c>
      <c r="AV407" s="34">
        <f t="shared" si="432"/>
        <v>0</v>
      </c>
      <c r="AW407" s="34">
        <f t="shared" si="433"/>
        <v>0</v>
      </c>
      <c r="AX407" s="34">
        <f t="shared" si="434"/>
        <v>0</v>
      </c>
      <c r="AY407" s="35" t="s">
        <v>1713</v>
      </c>
      <c r="AZ407" s="35" t="s">
        <v>1733</v>
      </c>
      <c r="BA407" s="29" t="s">
        <v>1737</v>
      </c>
      <c r="BC407" s="34">
        <f t="shared" si="435"/>
        <v>0</v>
      </c>
      <c r="BD407" s="34">
        <f t="shared" si="436"/>
        <v>0</v>
      </c>
      <c r="BE407" s="34">
        <v>0</v>
      </c>
      <c r="BF407" s="34">
        <f>407</f>
        <v>407</v>
      </c>
      <c r="BH407" s="17">
        <f t="shared" si="437"/>
        <v>0</v>
      </c>
      <c r="BI407" s="17">
        <f t="shared" si="438"/>
        <v>0</v>
      </c>
      <c r="BJ407" s="17">
        <f t="shared" si="439"/>
        <v>0</v>
      </c>
    </row>
    <row r="408" spans="1:62" x14ac:dyDescent="0.2">
      <c r="A408" s="4" t="s">
        <v>366</v>
      </c>
      <c r="B408" s="4" t="s">
        <v>134</v>
      </c>
      <c r="C408" s="240" t="s">
        <v>1432</v>
      </c>
      <c r="D408" s="241"/>
      <c r="E408" s="241"/>
      <c r="F408" s="4" t="s">
        <v>1644</v>
      </c>
      <c r="G408" s="69">
        <v>4</v>
      </c>
      <c r="H408" s="168"/>
      <c r="I408" s="17">
        <f t="shared" si="416"/>
        <v>0</v>
      </c>
      <c r="J408" s="17">
        <f t="shared" si="417"/>
        <v>0</v>
      </c>
      <c r="K408" s="17">
        <f t="shared" si="418"/>
        <v>0</v>
      </c>
      <c r="L408" s="28"/>
      <c r="Z408" s="34">
        <f t="shared" si="419"/>
        <v>0</v>
      </c>
      <c r="AB408" s="34">
        <f t="shared" si="420"/>
        <v>0</v>
      </c>
      <c r="AC408" s="34">
        <f t="shared" si="421"/>
        <v>0</v>
      </c>
      <c r="AD408" s="34">
        <f t="shared" si="422"/>
        <v>0</v>
      </c>
      <c r="AE408" s="34">
        <f t="shared" si="423"/>
        <v>0</v>
      </c>
      <c r="AF408" s="34">
        <f t="shared" si="424"/>
        <v>0</v>
      </c>
      <c r="AG408" s="34">
        <f t="shared" si="425"/>
        <v>0</v>
      </c>
      <c r="AH408" s="34">
        <f t="shared" si="426"/>
        <v>0</v>
      </c>
      <c r="AI408" s="29"/>
      <c r="AJ408" s="17">
        <f t="shared" si="427"/>
        <v>0</v>
      </c>
      <c r="AK408" s="17">
        <f t="shared" si="428"/>
        <v>0</v>
      </c>
      <c r="AL408" s="17">
        <f t="shared" si="429"/>
        <v>0</v>
      </c>
      <c r="AN408" s="34">
        <v>15</v>
      </c>
      <c r="AO408" s="34">
        <f t="shared" si="430"/>
        <v>0</v>
      </c>
      <c r="AP408" s="34">
        <f t="shared" si="431"/>
        <v>0</v>
      </c>
      <c r="AQ408" s="28" t="s">
        <v>13</v>
      </c>
      <c r="AV408" s="34">
        <f t="shared" si="432"/>
        <v>0</v>
      </c>
      <c r="AW408" s="34">
        <f t="shared" si="433"/>
        <v>0</v>
      </c>
      <c r="AX408" s="34">
        <f t="shared" si="434"/>
        <v>0</v>
      </c>
      <c r="AY408" s="35" t="s">
        <v>1713</v>
      </c>
      <c r="AZ408" s="35" t="s">
        <v>1733</v>
      </c>
      <c r="BA408" s="29" t="s">
        <v>1737</v>
      </c>
      <c r="BC408" s="34">
        <f t="shared" si="435"/>
        <v>0</v>
      </c>
      <c r="BD408" s="34">
        <f t="shared" si="436"/>
        <v>0</v>
      </c>
      <c r="BE408" s="34">
        <v>0</v>
      </c>
      <c r="BF408" s="34">
        <f>408</f>
        <v>408</v>
      </c>
      <c r="BH408" s="17">
        <f t="shared" si="437"/>
        <v>0</v>
      </c>
      <c r="BI408" s="17">
        <f t="shared" si="438"/>
        <v>0</v>
      </c>
      <c r="BJ408" s="17">
        <f t="shared" si="439"/>
        <v>0</v>
      </c>
    </row>
    <row r="409" spans="1:62" x14ac:dyDescent="0.2">
      <c r="A409" s="4" t="s">
        <v>367</v>
      </c>
      <c r="B409" s="4" t="s">
        <v>135</v>
      </c>
      <c r="C409" s="240" t="s">
        <v>1433</v>
      </c>
      <c r="D409" s="241"/>
      <c r="E409" s="241"/>
      <c r="F409" s="4" t="s">
        <v>1646</v>
      </c>
      <c r="G409" s="69">
        <v>15</v>
      </c>
      <c r="H409" s="168"/>
      <c r="I409" s="17">
        <f t="shared" si="416"/>
        <v>0</v>
      </c>
      <c r="J409" s="17">
        <f t="shared" si="417"/>
        <v>0</v>
      </c>
      <c r="K409" s="17">
        <f t="shared" si="418"/>
        <v>0</v>
      </c>
      <c r="L409" s="28"/>
      <c r="Z409" s="34">
        <f t="shared" si="419"/>
        <v>0</v>
      </c>
      <c r="AB409" s="34">
        <f t="shared" si="420"/>
        <v>0</v>
      </c>
      <c r="AC409" s="34">
        <f t="shared" si="421"/>
        <v>0</v>
      </c>
      <c r="AD409" s="34">
        <f t="shared" si="422"/>
        <v>0</v>
      </c>
      <c r="AE409" s="34">
        <f t="shared" si="423"/>
        <v>0</v>
      </c>
      <c r="AF409" s="34">
        <f t="shared" si="424"/>
        <v>0</v>
      </c>
      <c r="AG409" s="34">
        <f t="shared" si="425"/>
        <v>0</v>
      </c>
      <c r="AH409" s="34">
        <f t="shared" si="426"/>
        <v>0</v>
      </c>
      <c r="AI409" s="29"/>
      <c r="AJ409" s="17">
        <f t="shared" si="427"/>
        <v>0</v>
      </c>
      <c r="AK409" s="17">
        <f t="shared" si="428"/>
        <v>0</v>
      </c>
      <c r="AL409" s="17">
        <f t="shared" si="429"/>
        <v>0</v>
      </c>
      <c r="AN409" s="34">
        <v>15</v>
      </c>
      <c r="AO409" s="34">
        <f t="shared" si="430"/>
        <v>0</v>
      </c>
      <c r="AP409" s="34">
        <f t="shared" si="431"/>
        <v>0</v>
      </c>
      <c r="AQ409" s="28" t="s">
        <v>13</v>
      </c>
      <c r="AV409" s="34">
        <f t="shared" si="432"/>
        <v>0</v>
      </c>
      <c r="AW409" s="34">
        <f t="shared" si="433"/>
        <v>0</v>
      </c>
      <c r="AX409" s="34">
        <f t="shared" si="434"/>
        <v>0</v>
      </c>
      <c r="AY409" s="35" t="s">
        <v>1713</v>
      </c>
      <c r="AZ409" s="35" t="s">
        <v>1733</v>
      </c>
      <c r="BA409" s="29" t="s">
        <v>1737</v>
      </c>
      <c r="BC409" s="34">
        <f t="shared" si="435"/>
        <v>0</v>
      </c>
      <c r="BD409" s="34">
        <f t="shared" si="436"/>
        <v>0</v>
      </c>
      <c r="BE409" s="34">
        <v>0</v>
      </c>
      <c r="BF409" s="34">
        <f>409</f>
        <v>409</v>
      </c>
      <c r="BH409" s="17">
        <f t="shared" si="437"/>
        <v>0</v>
      </c>
      <c r="BI409" s="17">
        <f t="shared" si="438"/>
        <v>0</v>
      </c>
      <c r="BJ409" s="17">
        <f t="shared" si="439"/>
        <v>0</v>
      </c>
    </row>
    <row r="410" spans="1:62" x14ac:dyDescent="0.2">
      <c r="A410" s="4" t="s">
        <v>368</v>
      </c>
      <c r="B410" s="4" t="s">
        <v>843</v>
      </c>
      <c r="C410" s="240" t="s">
        <v>1434</v>
      </c>
      <c r="D410" s="241"/>
      <c r="E410" s="241"/>
      <c r="F410" s="4" t="s">
        <v>1646</v>
      </c>
      <c r="G410" s="69">
        <v>15</v>
      </c>
      <c r="H410" s="168"/>
      <c r="I410" s="17">
        <f t="shared" si="416"/>
        <v>0</v>
      </c>
      <c r="J410" s="17">
        <f t="shared" si="417"/>
        <v>0</v>
      </c>
      <c r="K410" s="17">
        <f t="shared" si="418"/>
        <v>0</v>
      </c>
      <c r="L410" s="28"/>
      <c r="Z410" s="34">
        <f t="shared" si="419"/>
        <v>0</v>
      </c>
      <c r="AB410" s="34">
        <f t="shared" si="420"/>
        <v>0</v>
      </c>
      <c r="AC410" s="34">
        <f t="shared" si="421"/>
        <v>0</v>
      </c>
      <c r="AD410" s="34">
        <f t="shared" si="422"/>
        <v>0</v>
      </c>
      <c r="AE410" s="34">
        <f t="shared" si="423"/>
        <v>0</v>
      </c>
      <c r="AF410" s="34">
        <f t="shared" si="424"/>
        <v>0</v>
      </c>
      <c r="AG410" s="34">
        <f t="shared" si="425"/>
        <v>0</v>
      </c>
      <c r="AH410" s="34">
        <f t="shared" si="426"/>
        <v>0</v>
      </c>
      <c r="AI410" s="29"/>
      <c r="AJ410" s="17">
        <f t="shared" si="427"/>
        <v>0</v>
      </c>
      <c r="AK410" s="17">
        <f t="shared" si="428"/>
        <v>0</v>
      </c>
      <c r="AL410" s="17">
        <f t="shared" si="429"/>
        <v>0</v>
      </c>
      <c r="AN410" s="34">
        <v>15</v>
      </c>
      <c r="AO410" s="34">
        <f t="shared" si="430"/>
        <v>0</v>
      </c>
      <c r="AP410" s="34">
        <f t="shared" si="431"/>
        <v>0</v>
      </c>
      <c r="AQ410" s="28" t="s">
        <v>13</v>
      </c>
      <c r="AV410" s="34">
        <f t="shared" si="432"/>
        <v>0</v>
      </c>
      <c r="AW410" s="34">
        <f t="shared" si="433"/>
        <v>0</v>
      </c>
      <c r="AX410" s="34">
        <f t="shared" si="434"/>
        <v>0</v>
      </c>
      <c r="AY410" s="35" t="s">
        <v>1713</v>
      </c>
      <c r="AZ410" s="35" t="s">
        <v>1733</v>
      </c>
      <c r="BA410" s="29" t="s">
        <v>1737</v>
      </c>
      <c r="BC410" s="34">
        <f t="shared" si="435"/>
        <v>0</v>
      </c>
      <c r="BD410" s="34">
        <f t="shared" si="436"/>
        <v>0</v>
      </c>
      <c r="BE410" s="34">
        <v>0</v>
      </c>
      <c r="BF410" s="34">
        <f>410</f>
        <v>410</v>
      </c>
      <c r="BH410" s="17">
        <f t="shared" si="437"/>
        <v>0</v>
      </c>
      <c r="BI410" s="17">
        <f t="shared" si="438"/>
        <v>0</v>
      </c>
      <c r="BJ410" s="17">
        <f t="shared" si="439"/>
        <v>0</v>
      </c>
    </row>
    <row r="411" spans="1:62" x14ac:dyDescent="0.2">
      <c r="A411" s="4" t="s">
        <v>369</v>
      </c>
      <c r="B411" s="4" t="s">
        <v>844</v>
      </c>
      <c r="C411" s="240" t="s">
        <v>1435</v>
      </c>
      <c r="D411" s="241"/>
      <c r="E411" s="241"/>
      <c r="F411" s="4" t="s">
        <v>1652</v>
      </c>
      <c r="G411" s="69">
        <v>1</v>
      </c>
      <c r="H411" s="168"/>
      <c r="I411" s="17">
        <f t="shared" si="416"/>
        <v>0</v>
      </c>
      <c r="J411" s="17">
        <f t="shared" si="417"/>
        <v>0</v>
      </c>
      <c r="K411" s="17">
        <f t="shared" si="418"/>
        <v>0</v>
      </c>
      <c r="L411" s="28"/>
      <c r="Z411" s="34">
        <f t="shared" si="419"/>
        <v>0</v>
      </c>
      <c r="AB411" s="34">
        <f t="shared" si="420"/>
        <v>0</v>
      </c>
      <c r="AC411" s="34">
        <f t="shared" si="421"/>
        <v>0</v>
      </c>
      <c r="AD411" s="34">
        <f t="shared" si="422"/>
        <v>0</v>
      </c>
      <c r="AE411" s="34">
        <f t="shared" si="423"/>
        <v>0</v>
      </c>
      <c r="AF411" s="34">
        <f t="shared" si="424"/>
        <v>0</v>
      </c>
      <c r="AG411" s="34">
        <f t="shared" si="425"/>
        <v>0</v>
      </c>
      <c r="AH411" s="34">
        <f t="shared" si="426"/>
        <v>0</v>
      </c>
      <c r="AI411" s="29"/>
      <c r="AJ411" s="17">
        <f t="shared" si="427"/>
        <v>0</v>
      </c>
      <c r="AK411" s="17">
        <f t="shared" si="428"/>
        <v>0</v>
      </c>
      <c r="AL411" s="17">
        <f t="shared" si="429"/>
        <v>0</v>
      </c>
      <c r="AN411" s="34">
        <v>15</v>
      </c>
      <c r="AO411" s="34">
        <f t="shared" si="430"/>
        <v>0</v>
      </c>
      <c r="AP411" s="34">
        <f t="shared" si="431"/>
        <v>0</v>
      </c>
      <c r="AQ411" s="28" t="s">
        <v>13</v>
      </c>
      <c r="AV411" s="34">
        <f t="shared" si="432"/>
        <v>0</v>
      </c>
      <c r="AW411" s="34">
        <f t="shared" si="433"/>
        <v>0</v>
      </c>
      <c r="AX411" s="34">
        <f t="shared" si="434"/>
        <v>0</v>
      </c>
      <c r="AY411" s="35" t="s">
        <v>1713</v>
      </c>
      <c r="AZ411" s="35" t="s">
        <v>1733</v>
      </c>
      <c r="BA411" s="29" t="s">
        <v>1737</v>
      </c>
      <c r="BC411" s="34">
        <f t="shared" si="435"/>
        <v>0</v>
      </c>
      <c r="BD411" s="34">
        <f t="shared" si="436"/>
        <v>0</v>
      </c>
      <c r="BE411" s="34">
        <v>0</v>
      </c>
      <c r="BF411" s="34">
        <f>411</f>
        <v>411</v>
      </c>
      <c r="BH411" s="17">
        <f t="shared" si="437"/>
        <v>0</v>
      </c>
      <c r="BI411" s="17">
        <f t="shared" si="438"/>
        <v>0</v>
      </c>
      <c r="BJ411" s="17">
        <f t="shared" si="439"/>
        <v>0</v>
      </c>
    </row>
    <row r="412" spans="1:62" x14ac:dyDescent="0.2">
      <c r="A412" s="4" t="s">
        <v>370</v>
      </c>
      <c r="B412" s="4" t="s">
        <v>845</v>
      </c>
      <c r="C412" s="240" t="s">
        <v>1436</v>
      </c>
      <c r="D412" s="241"/>
      <c r="E412" s="241"/>
      <c r="F412" s="4" t="s">
        <v>1652</v>
      </c>
      <c r="G412" s="69">
        <v>1</v>
      </c>
      <c r="H412" s="168"/>
      <c r="I412" s="17">
        <f t="shared" si="416"/>
        <v>0</v>
      </c>
      <c r="J412" s="17">
        <f t="shared" si="417"/>
        <v>0</v>
      </c>
      <c r="K412" s="17">
        <f t="shared" si="418"/>
        <v>0</v>
      </c>
      <c r="L412" s="28"/>
      <c r="Z412" s="34">
        <f t="shared" si="419"/>
        <v>0</v>
      </c>
      <c r="AB412" s="34">
        <f t="shared" si="420"/>
        <v>0</v>
      </c>
      <c r="AC412" s="34">
        <f t="shared" si="421"/>
        <v>0</v>
      </c>
      <c r="AD412" s="34">
        <f t="shared" si="422"/>
        <v>0</v>
      </c>
      <c r="AE412" s="34">
        <f t="shared" si="423"/>
        <v>0</v>
      </c>
      <c r="AF412" s="34">
        <f t="shared" si="424"/>
        <v>0</v>
      </c>
      <c r="AG412" s="34">
        <f t="shared" si="425"/>
        <v>0</v>
      </c>
      <c r="AH412" s="34">
        <f t="shared" si="426"/>
        <v>0</v>
      </c>
      <c r="AI412" s="29"/>
      <c r="AJ412" s="17">
        <f t="shared" si="427"/>
        <v>0</v>
      </c>
      <c r="AK412" s="17">
        <f t="shared" si="428"/>
        <v>0</v>
      </c>
      <c r="AL412" s="17">
        <f t="shared" si="429"/>
        <v>0</v>
      </c>
      <c r="AN412" s="34">
        <v>15</v>
      </c>
      <c r="AO412" s="34">
        <f t="shared" si="430"/>
        <v>0</v>
      </c>
      <c r="AP412" s="34">
        <f t="shared" si="431"/>
        <v>0</v>
      </c>
      <c r="AQ412" s="28" t="s">
        <v>13</v>
      </c>
      <c r="AV412" s="34">
        <f t="shared" si="432"/>
        <v>0</v>
      </c>
      <c r="AW412" s="34">
        <f t="shared" si="433"/>
        <v>0</v>
      </c>
      <c r="AX412" s="34">
        <f t="shared" si="434"/>
        <v>0</v>
      </c>
      <c r="AY412" s="35" t="s">
        <v>1713</v>
      </c>
      <c r="AZ412" s="35" t="s">
        <v>1733</v>
      </c>
      <c r="BA412" s="29" t="s">
        <v>1737</v>
      </c>
      <c r="BC412" s="34">
        <f t="shared" si="435"/>
        <v>0</v>
      </c>
      <c r="BD412" s="34">
        <f t="shared" si="436"/>
        <v>0</v>
      </c>
      <c r="BE412" s="34">
        <v>0</v>
      </c>
      <c r="BF412" s="34">
        <f>412</f>
        <v>412</v>
      </c>
      <c r="BH412" s="17">
        <f t="shared" si="437"/>
        <v>0</v>
      </c>
      <c r="BI412" s="17">
        <f t="shared" si="438"/>
        <v>0</v>
      </c>
      <c r="BJ412" s="17">
        <f t="shared" si="439"/>
        <v>0</v>
      </c>
    </row>
    <row r="413" spans="1:62" x14ac:dyDescent="0.2">
      <c r="A413" s="4" t="s">
        <v>371</v>
      </c>
      <c r="B413" s="4" t="s">
        <v>846</v>
      </c>
      <c r="C413" s="240" t="s">
        <v>1437</v>
      </c>
      <c r="D413" s="241"/>
      <c r="E413" s="241"/>
      <c r="F413" s="4" t="s">
        <v>1654</v>
      </c>
      <c r="G413" s="69">
        <v>340</v>
      </c>
      <c r="H413" s="168"/>
      <c r="I413" s="17">
        <f t="shared" si="416"/>
        <v>0</v>
      </c>
      <c r="J413" s="17">
        <f t="shared" si="417"/>
        <v>0</v>
      </c>
      <c r="K413" s="17">
        <f t="shared" si="418"/>
        <v>0</v>
      </c>
      <c r="L413" s="28"/>
      <c r="Z413" s="34">
        <f t="shared" si="419"/>
        <v>0</v>
      </c>
      <c r="AB413" s="34">
        <f t="shared" si="420"/>
        <v>0</v>
      </c>
      <c r="AC413" s="34">
        <f t="shared" si="421"/>
        <v>0</v>
      </c>
      <c r="AD413" s="34">
        <f t="shared" si="422"/>
        <v>0</v>
      </c>
      <c r="AE413" s="34">
        <f t="shared" si="423"/>
        <v>0</v>
      </c>
      <c r="AF413" s="34">
        <f t="shared" si="424"/>
        <v>0</v>
      </c>
      <c r="AG413" s="34">
        <f t="shared" si="425"/>
        <v>0</v>
      </c>
      <c r="AH413" s="34">
        <f t="shared" si="426"/>
        <v>0</v>
      </c>
      <c r="AI413" s="29"/>
      <c r="AJ413" s="17">
        <f t="shared" si="427"/>
        <v>0</v>
      </c>
      <c r="AK413" s="17">
        <f t="shared" si="428"/>
        <v>0</v>
      </c>
      <c r="AL413" s="17">
        <f t="shared" si="429"/>
        <v>0</v>
      </c>
      <c r="AN413" s="34">
        <v>15</v>
      </c>
      <c r="AO413" s="34">
        <f t="shared" si="430"/>
        <v>0</v>
      </c>
      <c r="AP413" s="34">
        <f t="shared" si="431"/>
        <v>0</v>
      </c>
      <c r="AQ413" s="28" t="s">
        <v>13</v>
      </c>
      <c r="AV413" s="34">
        <f t="shared" si="432"/>
        <v>0</v>
      </c>
      <c r="AW413" s="34">
        <f t="shared" si="433"/>
        <v>0</v>
      </c>
      <c r="AX413" s="34">
        <f t="shared" si="434"/>
        <v>0</v>
      </c>
      <c r="AY413" s="35" t="s">
        <v>1713</v>
      </c>
      <c r="AZ413" s="35" t="s">
        <v>1733</v>
      </c>
      <c r="BA413" s="29" t="s">
        <v>1737</v>
      </c>
      <c r="BC413" s="34">
        <f t="shared" si="435"/>
        <v>0</v>
      </c>
      <c r="BD413" s="34">
        <f t="shared" si="436"/>
        <v>0</v>
      </c>
      <c r="BE413" s="34">
        <v>0</v>
      </c>
      <c r="BF413" s="34">
        <f>413</f>
        <v>413</v>
      </c>
      <c r="BH413" s="17">
        <f t="shared" si="437"/>
        <v>0</v>
      </c>
      <c r="BI413" s="17">
        <f t="shared" si="438"/>
        <v>0</v>
      </c>
      <c r="BJ413" s="17">
        <f t="shared" si="439"/>
        <v>0</v>
      </c>
    </row>
    <row r="414" spans="1:62" x14ac:dyDescent="0.2">
      <c r="A414" s="4" t="s">
        <v>372</v>
      </c>
      <c r="B414" s="4" t="s">
        <v>847</v>
      </c>
      <c r="C414" s="240" t="s">
        <v>1438</v>
      </c>
      <c r="D414" s="241"/>
      <c r="E414" s="241"/>
      <c r="F414" s="4" t="s">
        <v>1652</v>
      </c>
      <c r="G414" s="69">
        <v>1</v>
      </c>
      <c r="H414" s="168"/>
      <c r="I414" s="17">
        <f t="shared" si="416"/>
        <v>0</v>
      </c>
      <c r="J414" s="17">
        <f t="shared" si="417"/>
        <v>0</v>
      </c>
      <c r="K414" s="17">
        <f t="shared" si="418"/>
        <v>0</v>
      </c>
      <c r="L414" s="28"/>
      <c r="Z414" s="34">
        <f t="shared" si="419"/>
        <v>0</v>
      </c>
      <c r="AB414" s="34">
        <f t="shared" si="420"/>
        <v>0</v>
      </c>
      <c r="AC414" s="34">
        <f t="shared" si="421"/>
        <v>0</v>
      </c>
      <c r="AD414" s="34">
        <f t="shared" si="422"/>
        <v>0</v>
      </c>
      <c r="AE414" s="34">
        <f t="shared" si="423"/>
        <v>0</v>
      </c>
      <c r="AF414" s="34">
        <f t="shared" si="424"/>
        <v>0</v>
      </c>
      <c r="AG414" s="34">
        <f t="shared" si="425"/>
        <v>0</v>
      </c>
      <c r="AH414" s="34">
        <f t="shared" si="426"/>
        <v>0</v>
      </c>
      <c r="AI414" s="29"/>
      <c r="AJ414" s="17">
        <f t="shared" si="427"/>
        <v>0</v>
      </c>
      <c r="AK414" s="17">
        <f t="shared" si="428"/>
        <v>0</v>
      </c>
      <c r="AL414" s="17">
        <f t="shared" si="429"/>
        <v>0</v>
      </c>
      <c r="AN414" s="34">
        <v>15</v>
      </c>
      <c r="AO414" s="34">
        <f t="shared" si="430"/>
        <v>0</v>
      </c>
      <c r="AP414" s="34">
        <f t="shared" si="431"/>
        <v>0</v>
      </c>
      <c r="AQ414" s="28" t="s">
        <v>13</v>
      </c>
      <c r="AV414" s="34">
        <f t="shared" si="432"/>
        <v>0</v>
      </c>
      <c r="AW414" s="34">
        <f t="shared" si="433"/>
        <v>0</v>
      </c>
      <c r="AX414" s="34">
        <f t="shared" si="434"/>
        <v>0</v>
      </c>
      <c r="AY414" s="35" t="s">
        <v>1713</v>
      </c>
      <c r="AZ414" s="35" t="s">
        <v>1733</v>
      </c>
      <c r="BA414" s="29" t="s">
        <v>1737</v>
      </c>
      <c r="BC414" s="34">
        <f t="shared" si="435"/>
        <v>0</v>
      </c>
      <c r="BD414" s="34">
        <f t="shared" si="436"/>
        <v>0</v>
      </c>
      <c r="BE414" s="34">
        <v>0</v>
      </c>
      <c r="BF414" s="34">
        <f>414</f>
        <v>414</v>
      </c>
      <c r="BH414" s="17">
        <f t="shared" si="437"/>
        <v>0</v>
      </c>
      <c r="BI414" s="17">
        <f t="shared" si="438"/>
        <v>0</v>
      </c>
      <c r="BJ414" s="17">
        <f t="shared" si="439"/>
        <v>0</v>
      </c>
    </row>
    <row r="415" spans="1:62" x14ac:dyDescent="0.2">
      <c r="A415" s="4" t="s">
        <v>373</v>
      </c>
      <c r="B415" s="4" t="s">
        <v>848</v>
      </c>
      <c r="C415" s="240" t="s">
        <v>1439</v>
      </c>
      <c r="D415" s="241"/>
      <c r="E415" s="241"/>
      <c r="F415" s="4" t="s">
        <v>1652</v>
      </c>
      <c r="G415" s="69">
        <v>1</v>
      </c>
      <c r="H415" s="168"/>
      <c r="I415" s="17">
        <f t="shared" si="416"/>
        <v>0</v>
      </c>
      <c r="J415" s="17">
        <f t="shared" si="417"/>
        <v>0</v>
      </c>
      <c r="K415" s="17">
        <f t="shared" si="418"/>
        <v>0</v>
      </c>
      <c r="L415" s="28"/>
      <c r="Z415" s="34">
        <f t="shared" si="419"/>
        <v>0</v>
      </c>
      <c r="AB415" s="34">
        <f t="shared" si="420"/>
        <v>0</v>
      </c>
      <c r="AC415" s="34">
        <f t="shared" si="421"/>
        <v>0</v>
      </c>
      <c r="AD415" s="34">
        <f t="shared" si="422"/>
        <v>0</v>
      </c>
      <c r="AE415" s="34">
        <f t="shared" si="423"/>
        <v>0</v>
      </c>
      <c r="AF415" s="34">
        <f t="shared" si="424"/>
        <v>0</v>
      </c>
      <c r="AG415" s="34">
        <f t="shared" si="425"/>
        <v>0</v>
      </c>
      <c r="AH415" s="34">
        <f t="shared" si="426"/>
        <v>0</v>
      </c>
      <c r="AI415" s="29"/>
      <c r="AJ415" s="17">
        <f t="shared" si="427"/>
        <v>0</v>
      </c>
      <c r="AK415" s="17">
        <f t="shared" si="428"/>
        <v>0</v>
      </c>
      <c r="AL415" s="17">
        <f t="shared" si="429"/>
        <v>0</v>
      </c>
      <c r="AN415" s="34">
        <v>15</v>
      </c>
      <c r="AO415" s="34">
        <f t="shared" si="430"/>
        <v>0</v>
      </c>
      <c r="AP415" s="34">
        <f t="shared" si="431"/>
        <v>0</v>
      </c>
      <c r="AQ415" s="28" t="s">
        <v>13</v>
      </c>
      <c r="AV415" s="34">
        <f t="shared" si="432"/>
        <v>0</v>
      </c>
      <c r="AW415" s="34">
        <f t="shared" si="433"/>
        <v>0</v>
      </c>
      <c r="AX415" s="34">
        <f t="shared" si="434"/>
        <v>0</v>
      </c>
      <c r="AY415" s="35" t="s">
        <v>1713</v>
      </c>
      <c r="AZ415" s="35" t="s">
        <v>1733</v>
      </c>
      <c r="BA415" s="29" t="s">
        <v>1737</v>
      </c>
      <c r="BC415" s="34">
        <f t="shared" si="435"/>
        <v>0</v>
      </c>
      <c r="BD415" s="34">
        <f t="shared" si="436"/>
        <v>0</v>
      </c>
      <c r="BE415" s="34">
        <v>0</v>
      </c>
      <c r="BF415" s="34">
        <f>415</f>
        <v>415</v>
      </c>
      <c r="BH415" s="17">
        <f t="shared" si="437"/>
        <v>0</v>
      </c>
      <c r="BI415" s="17">
        <f t="shared" si="438"/>
        <v>0</v>
      </c>
      <c r="BJ415" s="17">
        <f t="shared" si="439"/>
        <v>0</v>
      </c>
    </row>
    <row r="416" spans="1:62" x14ac:dyDescent="0.2">
      <c r="A416" s="4" t="s">
        <v>374</v>
      </c>
      <c r="B416" s="4" t="s">
        <v>849</v>
      </c>
      <c r="C416" s="240" t="s">
        <v>1440</v>
      </c>
      <c r="D416" s="241"/>
      <c r="E416" s="241"/>
      <c r="F416" s="4" t="s">
        <v>1652</v>
      </c>
      <c r="G416" s="69">
        <v>1</v>
      </c>
      <c r="H416" s="168"/>
      <c r="I416" s="17">
        <f t="shared" si="416"/>
        <v>0</v>
      </c>
      <c r="J416" s="17">
        <f t="shared" si="417"/>
        <v>0</v>
      </c>
      <c r="K416" s="17">
        <f t="shared" si="418"/>
        <v>0</v>
      </c>
      <c r="L416" s="28"/>
      <c r="Z416" s="34">
        <f t="shared" si="419"/>
        <v>0</v>
      </c>
      <c r="AB416" s="34">
        <f t="shared" si="420"/>
        <v>0</v>
      </c>
      <c r="AC416" s="34">
        <f t="shared" si="421"/>
        <v>0</v>
      </c>
      <c r="AD416" s="34">
        <f t="shared" si="422"/>
        <v>0</v>
      </c>
      <c r="AE416" s="34">
        <f t="shared" si="423"/>
        <v>0</v>
      </c>
      <c r="AF416" s="34">
        <f t="shared" si="424"/>
        <v>0</v>
      </c>
      <c r="AG416" s="34">
        <f t="shared" si="425"/>
        <v>0</v>
      </c>
      <c r="AH416" s="34">
        <f t="shared" si="426"/>
        <v>0</v>
      </c>
      <c r="AI416" s="29"/>
      <c r="AJ416" s="17">
        <f t="shared" si="427"/>
        <v>0</v>
      </c>
      <c r="AK416" s="17">
        <f t="shared" si="428"/>
        <v>0</v>
      </c>
      <c r="AL416" s="17">
        <f t="shared" si="429"/>
        <v>0</v>
      </c>
      <c r="AN416" s="34">
        <v>15</v>
      </c>
      <c r="AO416" s="34">
        <f t="shared" si="430"/>
        <v>0</v>
      </c>
      <c r="AP416" s="34">
        <f t="shared" si="431"/>
        <v>0</v>
      </c>
      <c r="AQ416" s="28" t="s">
        <v>13</v>
      </c>
      <c r="AV416" s="34">
        <f t="shared" si="432"/>
        <v>0</v>
      </c>
      <c r="AW416" s="34">
        <f t="shared" si="433"/>
        <v>0</v>
      </c>
      <c r="AX416" s="34">
        <f t="shared" si="434"/>
        <v>0</v>
      </c>
      <c r="AY416" s="35" t="s">
        <v>1713</v>
      </c>
      <c r="AZ416" s="35" t="s">
        <v>1733</v>
      </c>
      <c r="BA416" s="29" t="s">
        <v>1737</v>
      </c>
      <c r="BC416" s="34">
        <f t="shared" si="435"/>
        <v>0</v>
      </c>
      <c r="BD416" s="34">
        <f t="shared" si="436"/>
        <v>0</v>
      </c>
      <c r="BE416" s="34">
        <v>0</v>
      </c>
      <c r="BF416" s="34">
        <f>416</f>
        <v>416</v>
      </c>
      <c r="BH416" s="17">
        <f t="shared" si="437"/>
        <v>0</v>
      </c>
      <c r="BI416" s="17">
        <f t="shared" si="438"/>
        <v>0</v>
      </c>
      <c r="BJ416" s="17">
        <f t="shared" si="439"/>
        <v>0</v>
      </c>
    </row>
    <row r="417" spans="1:62" x14ac:dyDescent="0.2">
      <c r="A417" s="4" t="s">
        <v>375</v>
      </c>
      <c r="B417" s="4" t="s">
        <v>850</v>
      </c>
      <c r="C417" s="240" t="s">
        <v>1441</v>
      </c>
      <c r="D417" s="241"/>
      <c r="E417" s="241"/>
      <c r="F417" s="4" t="s">
        <v>1652</v>
      </c>
      <c r="G417" s="69">
        <v>1</v>
      </c>
      <c r="H417" s="168"/>
      <c r="I417" s="17">
        <f t="shared" si="416"/>
        <v>0</v>
      </c>
      <c r="J417" s="17">
        <f t="shared" si="417"/>
        <v>0</v>
      </c>
      <c r="K417" s="17">
        <f t="shared" si="418"/>
        <v>0</v>
      </c>
      <c r="L417" s="28"/>
      <c r="Z417" s="34">
        <f t="shared" si="419"/>
        <v>0</v>
      </c>
      <c r="AB417" s="34">
        <f t="shared" si="420"/>
        <v>0</v>
      </c>
      <c r="AC417" s="34">
        <f t="shared" si="421"/>
        <v>0</v>
      </c>
      <c r="AD417" s="34">
        <f t="shared" si="422"/>
        <v>0</v>
      </c>
      <c r="AE417" s="34">
        <f t="shared" si="423"/>
        <v>0</v>
      </c>
      <c r="AF417" s="34">
        <f t="shared" si="424"/>
        <v>0</v>
      </c>
      <c r="AG417" s="34">
        <f t="shared" si="425"/>
        <v>0</v>
      </c>
      <c r="AH417" s="34">
        <f t="shared" si="426"/>
        <v>0</v>
      </c>
      <c r="AI417" s="29"/>
      <c r="AJ417" s="17">
        <f t="shared" si="427"/>
        <v>0</v>
      </c>
      <c r="AK417" s="17">
        <f t="shared" si="428"/>
        <v>0</v>
      </c>
      <c r="AL417" s="17">
        <f t="shared" si="429"/>
        <v>0</v>
      </c>
      <c r="AN417" s="34">
        <v>15</v>
      </c>
      <c r="AO417" s="34">
        <f t="shared" si="430"/>
        <v>0</v>
      </c>
      <c r="AP417" s="34">
        <f t="shared" si="431"/>
        <v>0</v>
      </c>
      <c r="AQ417" s="28" t="s">
        <v>13</v>
      </c>
      <c r="AV417" s="34">
        <f t="shared" si="432"/>
        <v>0</v>
      </c>
      <c r="AW417" s="34">
        <f t="shared" si="433"/>
        <v>0</v>
      </c>
      <c r="AX417" s="34">
        <f t="shared" si="434"/>
        <v>0</v>
      </c>
      <c r="AY417" s="35" t="s">
        <v>1713</v>
      </c>
      <c r="AZ417" s="35" t="s">
        <v>1733</v>
      </c>
      <c r="BA417" s="29" t="s">
        <v>1737</v>
      </c>
      <c r="BC417" s="34">
        <f t="shared" si="435"/>
        <v>0</v>
      </c>
      <c r="BD417" s="34">
        <f t="shared" si="436"/>
        <v>0</v>
      </c>
      <c r="BE417" s="34">
        <v>0</v>
      </c>
      <c r="BF417" s="34">
        <f>417</f>
        <v>417</v>
      </c>
      <c r="BH417" s="17">
        <f t="shared" si="437"/>
        <v>0</v>
      </c>
      <c r="BI417" s="17">
        <f t="shared" si="438"/>
        <v>0</v>
      </c>
      <c r="BJ417" s="17">
        <f t="shared" si="439"/>
        <v>0</v>
      </c>
    </row>
    <row r="418" spans="1:62" x14ac:dyDescent="0.2">
      <c r="A418" s="4" t="s">
        <v>376</v>
      </c>
      <c r="B418" s="4" t="s">
        <v>851</v>
      </c>
      <c r="C418" s="240" t="s">
        <v>1442</v>
      </c>
      <c r="D418" s="241"/>
      <c r="E418" s="241"/>
      <c r="F418" s="4" t="s">
        <v>1652</v>
      </c>
      <c r="G418" s="69">
        <v>1</v>
      </c>
      <c r="H418" s="168"/>
      <c r="I418" s="17">
        <f t="shared" si="416"/>
        <v>0</v>
      </c>
      <c r="J418" s="17">
        <f t="shared" si="417"/>
        <v>0</v>
      </c>
      <c r="K418" s="17">
        <f t="shared" si="418"/>
        <v>0</v>
      </c>
      <c r="L418" s="28"/>
      <c r="Z418" s="34">
        <f t="shared" si="419"/>
        <v>0</v>
      </c>
      <c r="AB418" s="34">
        <f t="shared" si="420"/>
        <v>0</v>
      </c>
      <c r="AC418" s="34">
        <f t="shared" si="421"/>
        <v>0</v>
      </c>
      <c r="AD418" s="34">
        <f t="shared" si="422"/>
        <v>0</v>
      </c>
      <c r="AE418" s="34">
        <f t="shared" si="423"/>
        <v>0</v>
      </c>
      <c r="AF418" s="34">
        <f t="shared" si="424"/>
        <v>0</v>
      </c>
      <c r="AG418" s="34">
        <f t="shared" si="425"/>
        <v>0</v>
      </c>
      <c r="AH418" s="34">
        <f t="shared" si="426"/>
        <v>0</v>
      </c>
      <c r="AI418" s="29"/>
      <c r="AJ418" s="17">
        <f t="shared" si="427"/>
        <v>0</v>
      </c>
      <c r="AK418" s="17">
        <f t="shared" si="428"/>
        <v>0</v>
      </c>
      <c r="AL418" s="17">
        <f t="shared" si="429"/>
        <v>0</v>
      </c>
      <c r="AN418" s="34">
        <v>15</v>
      </c>
      <c r="AO418" s="34">
        <f t="shared" si="430"/>
        <v>0</v>
      </c>
      <c r="AP418" s="34">
        <f t="shared" si="431"/>
        <v>0</v>
      </c>
      <c r="AQ418" s="28" t="s">
        <v>13</v>
      </c>
      <c r="AV418" s="34">
        <f t="shared" si="432"/>
        <v>0</v>
      </c>
      <c r="AW418" s="34">
        <f t="shared" si="433"/>
        <v>0</v>
      </c>
      <c r="AX418" s="34">
        <f t="shared" si="434"/>
        <v>0</v>
      </c>
      <c r="AY418" s="35" t="s">
        <v>1713</v>
      </c>
      <c r="AZ418" s="35" t="s">
        <v>1733</v>
      </c>
      <c r="BA418" s="29" t="s">
        <v>1737</v>
      </c>
      <c r="BC418" s="34">
        <f t="shared" si="435"/>
        <v>0</v>
      </c>
      <c r="BD418" s="34">
        <f t="shared" si="436"/>
        <v>0</v>
      </c>
      <c r="BE418" s="34">
        <v>0</v>
      </c>
      <c r="BF418" s="34">
        <f>418</f>
        <v>418</v>
      </c>
      <c r="BH418" s="17">
        <f t="shared" si="437"/>
        <v>0</v>
      </c>
      <c r="BI418" s="17">
        <f t="shared" si="438"/>
        <v>0</v>
      </c>
      <c r="BJ418" s="17">
        <f t="shared" si="439"/>
        <v>0</v>
      </c>
    </row>
    <row r="419" spans="1:62" x14ac:dyDescent="0.2">
      <c r="A419" s="4" t="s">
        <v>377</v>
      </c>
      <c r="B419" s="4" t="s">
        <v>852</v>
      </c>
      <c r="C419" s="240" t="s">
        <v>1443</v>
      </c>
      <c r="D419" s="241"/>
      <c r="E419" s="241"/>
      <c r="F419" s="4" t="s">
        <v>1645</v>
      </c>
      <c r="G419" s="69">
        <v>5</v>
      </c>
      <c r="H419" s="168"/>
      <c r="I419" s="17">
        <f t="shared" si="416"/>
        <v>0</v>
      </c>
      <c r="J419" s="17">
        <f t="shared" si="417"/>
        <v>0</v>
      </c>
      <c r="K419" s="17">
        <f t="shared" si="418"/>
        <v>0</v>
      </c>
      <c r="L419" s="28"/>
      <c r="Z419" s="34">
        <f t="shared" si="419"/>
        <v>0</v>
      </c>
      <c r="AB419" s="34">
        <f t="shared" si="420"/>
        <v>0</v>
      </c>
      <c r="AC419" s="34">
        <f t="shared" si="421"/>
        <v>0</v>
      </c>
      <c r="AD419" s="34">
        <f t="shared" si="422"/>
        <v>0</v>
      </c>
      <c r="AE419" s="34">
        <f t="shared" si="423"/>
        <v>0</v>
      </c>
      <c r="AF419" s="34">
        <f t="shared" si="424"/>
        <v>0</v>
      </c>
      <c r="AG419" s="34">
        <f t="shared" si="425"/>
        <v>0</v>
      </c>
      <c r="AH419" s="34">
        <f t="shared" si="426"/>
        <v>0</v>
      </c>
      <c r="AI419" s="29"/>
      <c r="AJ419" s="17">
        <f t="shared" si="427"/>
        <v>0</v>
      </c>
      <c r="AK419" s="17">
        <f t="shared" si="428"/>
        <v>0</v>
      </c>
      <c r="AL419" s="17">
        <f t="shared" si="429"/>
        <v>0</v>
      </c>
      <c r="AN419" s="34">
        <v>15</v>
      </c>
      <c r="AO419" s="34">
        <f t="shared" si="430"/>
        <v>0</v>
      </c>
      <c r="AP419" s="34">
        <f t="shared" si="431"/>
        <v>0</v>
      </c>
      <c r="AQ419" s="28" t="s">
        <v>13</v>
      </c>
      <c r="AV419" s="34">
        <f t="shared" si="432"/>
        <v>0</v>
      </c>
      <c r="AW419" s="34">
        <f t="shared" si="433"/>
        <v>0</v>
      </c>
      <c r="AX419" s="34">
        <f t="shared" si="434"/>
        <v>0</v>
      </c>
      <c r="AY419" s="35" t="s">
        <v>1713</v>
      </c>
      <c r="AZ419" s="35" t="s">
        <v>1733</v>
      </c>
      <c r="BA419" s="29" t="s">
        <v>1737</v>
      </c>
      <c r="BC419" s="34">
        <f t="shared" si="435"/>
        <v>0</v>
      </c>
      <c r="BD419" s="34">
        <f t="shared" si="436"/>
        <v>0</v>
      </c>
      <c r="BE419" s="34">
        <v>0</v>
      </c>
      <c r="BF419" s="34">
        <f>419</f>
        <v>419</v>
      </c>
      <c r="BH419" s="17">
        <f t="shared" si="437"/>
        <v>0</v>
      </c>
      <c r="BI419" s="17">
        <f t="shared" si="438"/>
        <v>0</v>
      </c>
      <c r="BJ419" s="17">
        <f t="shared" si="439"/>
        <v>0</v>
      </c>
    </row>
    <row r="420" spans="1:62" x14ac:dyDescent="0.2">
      <c r="A420" s="4" t="s">
        <v>378</v>
      </c>
      <c r="B420" s="4" t="s">
        <v>853</v>
      </c>
      <c r="C420" s="240" t="s">
        <v>1444</v>
      </c>
      <c r="D420" s="241"/>
      <c r="E420" s="241"/>
      <c r="F420" s="4" t="s">
        <v>1647</v>
      </c>
      <c r="G420" s="69">
        <v>10</v>
      </c>
      <c r="H420" s="168"/>
      <c r="I420" s="17">
        <f t="shared" si="416"/>
        <v>0</v>
      </c>
      <c r="J420" s="17">
        <f t="shared" si="417"/>
        <v>0</v>
      </c>
      <c r="K420" s="17">
        <f t="shared" si="418"/>
        <v>0</v>
      </c>
      <c r="L420" s="28"/>
      <c r="Z420" s="34">
        <f t="shared" si="419"/>
        <v>0</v>
      </c>
      <c r="AB420" s="34">
        <f t="shared" si="420"/>
        <v>0</v>
      </c>
      <c r="AC420" s="34">
        <f t="shared" si="421"/>
        <v>0</v>
      </c>
      <c r="AD420" s="34">
        <f t="shared" si="422"/>
        <v>0</v>
      </c>
      <c r="AE420" s="34">
        <f t="shared" si="423"/>
        <v>0</v>
      </c>
      <c r="AF420" s="34">
        <f t="shared" si="424"/>
        <v>0</v>
      </c>
      <c r="AG420" s="34">
        <f t="shared" si="425"/>
        <v>0</v>
      </c>
      <c r="AH420" s="34">
        <f t="shared" si="426"/>
        <v>0</v>
      </c>
      <c r="AI420" s="29"/>
      <c r="AJ420" s="17">
        <f t="shared" si="427"/>
        <v>0</v>
      </c>
      <c r="AK420" s="17">
        <f t="shared" si="428"/>
        <v>0</v>
      </c>
      <c r="AL420" s="17">
        <f t="shared" si="429"/>
        <v>0</v>
      </c>
      <c r="AN420" s="34">
        <v>15</v>
      </c>
      <c r="AO420" s="34">
        <f t="shared" si="430"/>
        <v>0</v>
      </c>
      <c r="AP420" s="34">
        <f t="shared" si="431"/>
        <v>0</v>
      </c>
      <c r="AQ420" s="28" t="s">
        <v>13</v>
      </c>
      <c r="AV420" s="34">
        <f t="shared" si="432"/>
        <v>0</v>
      </c>
      <c r="AW420" s="34">
        <f t="shared" si="433"/>
        <v>0</v>
      </c>
      <c r="AX420" s="34">
        <f t="shared" si="434"/>
        <v>0</v>
      </c>
      <c r="AY420" s="35" t="s">
        <v>1713</v>
      </c>
      <c r="AZ420" s="35" t="s">
        <v>1733</v>
      </c>
      <c r="BA420" s="29" t="s">
        <v>1737</v>
      </c>
      <c r="BC420" s="34">
        <f t="shared" si="435"/>
        <v>0</v>
      </c>
      <c r="BD420" s="34">
        <f t="shared" si="436"/>
        <v>0</v>
      </c>
      <c r="BE420" s="34">
        <v>0</v>
      </c>
      <c r="BF420" s="34">
        <f>420</f>
        <v>420</v>
      </c>
      <c r="BH420" s="17">
        <f t="shared" si="437"/>
        <v>0</v>
      </c>
      <c r="BI420" s="17">
        <f t="shared" si="438"/>
        <v>0</v>
      </c>
      <c r="BJ420" s="17">
        <f t="shared" si="439"/>
        <v>0</v>
      </c>
    </row>
    <row r="421" spans="1:62" x14ac:dyDescent="0.2">
      <c r="A421" s="4" t="s">
        <v>379</v>
      </c>
      <c r="B421" s="4" t="s">
        <v>854</v>
      </c>
      <c r="C421" s="240" t="s">
        <v>1445</v>
      </c>
      <c r="D421" s="241"/>
      <c r="E421" s="241"/>
      <c r="F421" s="4" t="s">
        <v>1647</v>
      </c>
      <c r="G421" s="69">
        <v>1</v>
      </c>
      <c r="H421" s="168"/>
      <c r="I421" s="17">
        <f t="shared" si="416"/>
        <v>0</v>
      </c>
      <c r="J421" s="17">
        <f t="shared" si="417"/>
        <v>0</v>
      </c>
      <c r="K421" s="17">
        <f t="shared" si="418"/>
        <v>0</v>
      </c>
      <c r="L421" s="28"/>
      <c r="Z421" s="34">
        <f t="shared" si="419"/>
        <v>0</v>
      </c>
      <c r="AB421" s="34">
        <f t="shared" si="420"/>
        <v>0</v>
      </c>
      <c r="AC421" s="34">
        <f t="shared" si="421"/>
        <v>0</v>
      </c>
      <c r="AD421" s="34">
        <f t="shared" si="422"/>
        <v>0</v>
      </c>
      <c r="AE421" s="34">
        <f t="shared" si="423"/>
        <v>0</v>
      </c>
      <c r="AF421" s="34">
        <f t="shared" si="424"/>
        <v>0</v>
      </c>
      <c r="AG421" s="34">
        <f t="shared" si="425"/>
        <v>0</v>
      </c>
      <c r="AH421" s="34">
        <f t="shared" si="426"/>
        <v>0</v>
      </c>
      <c r="AI421" s="29"/>
      <c r="AJ421" s="17">
        <f t="shared" si="427"/>
        <v>0</v>
      </c>
      <c r="AK421" s="17">
        <f t="shared" si="428"/>
        <v>0</v>
      </c>
      <c r="AL421" s="17">
        <f t="shared" si="429"/>
        <v>0</v>
      </c>
      <c r="AN421" s="34">
        <v>15</v>
      </c>
      <c r="AO421" s="34">
        <f t="shared" si="430"/>
        <v>0</v>
      </c>
      <c r="AP421" s="34">
        <f t="shared" si="431"/>
        <v>0</v>
      </c>
      <c r="AQ421" s="28" t="s">
        <v>13</v>
      </c>
      <c r="AV421" s="34">
        <f t="shared" si="432"/>
        <v>0</v>
      </c>
      <c r="AW421" s="34">
        <f t="shared" si="433"/>
        <v>0</v>
      </c>
      <c r="AX421" s="34">
        <f t="shared" si="434"/>
        <v>0</v>
      </c>
      <c r="AY421" s="35" t="s">
        <v>1713</v>
      </c>
      <c r="AZ421" s="35" t="s">
        <v>1733</v>
      </c>
      <c r="BA421" s="29" t="s">
        <v>1737</v>
      </c>
      <c r="BC421" s="34">
        <f t="shared" si="435"/>
        <v>0</v>
      </c>
      <c r="BD421" s="34">
        <f t="shared" si="436"/>
        <v>0</v>
      </c>
      <c r="BE421" s="34">
        <v>0</v>
      </c>
      <c r="BF421" s="34">
        <f>421</f>
        <v>421</v>
      </c>
      <c r="BH421" s="17">
        <f t="shared" si="437"/>
        <v>0</v>
      </c>
      <c r="BI421" s="17">
        <f t="shared" si="438"/>
        <v>0</v>
      </c>
      <c r="BJ421" s="17">
        <f t="shared" si="439"/>
        <v>0</v>
      </c>
    </row>
    <row r="422" spans="1:62" x14ac:dyDescent="0.2">
      <c r="A422" s="4" t="s">
        <v>380</v>
      </c>
      <c r="B422" s="4" t="s">
        <v>855</v>
      </c>
      <c r="C422" s="240" t="s">
        <v>1446</v>
      </c>
      <c r="D422" s="241"/>
      <c r="E422" s="241"/>
      <c r="F422" s="4" t="s">
        <v>1647</v>
      </c>
      <c r="G422" s="69">
        <v>11</v>
      </c>
      <c r="H422" s="168"/>
      <c r="I422" s="17">
        <f t="shared" si="416"/>
        <v>0</v>
      </c>
      <c r="J422" s="17">
        <f t="shared" si="417"/>
        <v>0</v>
      </c>
      <c r="K422" s="17">
        <f t="shared" si="418"/>
        <v>0</v>
      </c>
      <c r="L422" s="28"/>
      <c r="Z422" s="34">
        <f t="shared" si="419"/>
        <v>0</v>
      </c>
      <c r="AB422" s="34">
        <f t="shared" si="420"/>
        <v>0</v>
      </c>
      <c r="AC422" s="34">
        <f t="shared" si="421"/>
        <v>0</v>
      </c>
      <c r="AD422" s="34">
        <f t="shared" si="422"/>
        <v>0</v>
      </c>
      <c r="AE422" s="34">
        <f t="shared" si="423"/>
        <v>0</v>
      </c>
      <c r="AF422" s="34">
        <f t="shared" si="424"/>
        <v>0</v>
      </c>
      <c r="AG422" s="34">
        <f t="shared" si="425"/>
        <v>0</v>
      </c>
      <c r="AH422" s="34">
        <f t="shared" si="426"/>
        <v>0</v>
      </c>
      <c r="AI422" s="29"/>
      <c r="AJ422" s="17">
        <f t="shared" si="427"/>
        <v>0</v>
      </c>
      <c r="AK422" s="17">
        <f t="shared" si="428"/>
        <v>0</v>
      </c>
      <c r="AL422" s="17">
        <f t="shared" si="429"/>
        <v>0</v>
      </c>
      <c r="AN422" s="34">
        <v>15</v>
      </c>
      <c r="AO422" s="34">
        <f t="shared" si="430"/>
        <v>0</v>
      </c>
      <c r="AP422" s="34">
        <f t="shared" si="431"/>
        <v>0</v>
      </c>
      <c r="AQ422" s="28" t="s">
        <v>13</v>
      </c>
      <c r="AV422" s="34">
        <f t="shared" si="432"/>
        <v>0</v>
      </c>
      <c r="AW422" s="34">
        <f t="shared" si="433"/>
        <v>0</v>
      </c>
      <c r="AX422" s="34">
        <f t="shared" si="434"/>
        <v>0</v>
      </c>
      <c r="AY422" s="35" t="s">
        <v>1713</v>
      </c>
      <c r="AZ422" s="35" t="s">
        <v>1733</v>
      </c>
      <c r="BA422" s="29" t="s">
        <v>1737</v>
      </c>
      <c r="BC422" s="34">
        <f t="shared" si="435"/>
        <v>0</v>
      </c>
      <c r="BD422" s="34">
        <f t="shared" si="436"/>
        <v>0</v>
      </c>
      <c r="BE422" s="34">
        <v>0</v>
      </c>
      <c r="BF422" s="34">
        <f>422</f>
        <v>422</v>
      </c>
      <c r="BH422" s="17">
        <f t="shared" si="437"/>
        <v>0</v>
      </c>
      <c r="BI422" s="17">
        <f t="shared" si="438"/>
        <v>0</v>
      </c>
      <c r="BJ422" s="17">
        <f t="shared" si="439"/>
        <v>0</v>
      </c>
    </row>
    <row r="423" spans="1:62" x14ac:dyDescent="0.2">
      <c r="A423" s="4" t="s">
        <v>381</v>
      </c>
      <c r="B423" s="4" t="s">
        <v>856</v>
      </c>
      <c r="C423" s="240" t="s">
        <v>1447</v>
      </c>
      <c r="D423" s="241"/>
      <c r="E423" s="241"/>
      <c r="F423" s="4" t="s">
        <v>1647</v>
      </c>
      <c r="G423" s="69">
        <v>11</v>
      </c>
      <c r="H423" s="168"/>
      <c r="I423" s="17">
        <f t="shared" si="416"/>
        <v>0</v>
      </c>
      <c r="J423" s="17">
        <f t="shared" si="417"/>
        <v>0</v>
      </c>
      <c r="K423" s="17">
        <f t="shared" si="418"/>
        <v>0</v>
      </c>
      <c r="L423" s="28"/>
      <c r="Z423" s="34">
        <f t="shared" si="419"/>
        <v>0</v>
      </c>
      <c r="AB423" s="34">
        <f t="shared" si="420"/>
        <v>0</v>
      </c>
      <c r="AC423" s="34">
        <f t="shared" si="421"/>
        <v>0</v>
      </c>
      <c r="AD423" s="34">
        <f t="shared" si="422"/>
        <v>0</v>
      </c>
      <c r="AE423" s="34">
        <f t="shared" si="423"/>
        <v>0</v>
      </c>
      <c r="AF423" s="34">
        <f t="shared" si="424"/>
        <v>0</v>
      </c>
      <c r="AG423" s="34">
        <f t="shared" si="425"/>
        <v>0</v>
      </c>
      <c r="AH423" s="34">
        <f t="shared" si="426"/>
        <v>0</v>
      </c>
      <c r="AI423" s="29"/>
      <c r="AJ423" s="17">
        <f t="shared" si="427"/>
        <v>0</v>
      </c>
      <c r="AK423" s="17">
        <f t="shared" si="428"/>
        <v>0</v>
      </c>
      <c r="AL423" s="17">
        <f t="shared" si="429"/>
        <v>0</v>
      </c>
      <c r="AN423" s="34">
        <v>15</v>
      </c>
      <c r="AO423" s="34">
        <f t="shared" si="430"/>
        <v>0</v>
      </c>
      <c r="AP423" s="34">
        <f t="shared" si="431"/>
        <v>0</v>
      </c>
      <c r="AQ423" s="28" t="s">
        <v>13</v>
      </c>
      <c r="AV423" s="34">
        <f t="shared" si="432"/>
        <v>0</v>
      </c>
      <c r="AW423" s="34">
        <f t="shared" si="433"/>
        <v>0</v>
      </c>
      <c r="AX423" s="34">
        <f t="shared" si="434"/>
        <v>0</v>
      </c>
      <c r="AY423" s="35" t="s">
        <v>1713</v>
      </c>
      <c r="AZ423" s="35" t="s">
        <v>1733</v>
      </c>
      <c r="BA423" s="29" t="s">
        <v>1737</v>
      </c>
      <c r="BC423" s="34">
        <f t="shared" si="435"/>
        <v>0</v>
      </c>
      <c r="BD423" s="34">
        <f t="shared" si="436"/>
        <v>0</v>
      </c>
      <c r="BE423" s="34">
        <v>0</v>
      </c>
      <c r="BF423" s="34">
        <f>423</f>
        <v>423</v>
      </c>
      <c r="BH423" s="17">
        <f t="shared" si="437"/>
        <v>0</v>
      </c>
      <c r="BI423" s="17">
        <f t="shared" si="438"/>
        <v>0</v>
      </c>
      <c r="BJ423" s="17">
        <f t="shared" si="439"/>
        <v>0</v>
      </c>
    </row>
    <row r="424" spans="1:62" x14ac:dyDescent="0.2">
      <c r="A424" s="4" t="s">
        <v>382</v>
      </c>
      <c r="B424" s="4" t="s">
        <v>857</v>
      </c>
      <c r="C424" s="240" t="s">
        <v>1448</v>
      </c>
      <c r="D424" s="241"/>
      <c r="E424" s="241"/>
      <c r="F424" s="4" t="s">
        <v>1647</v>
      </c>
      <c r="G424" s="69">
        <v>2</v>
      </c>
      <c r="H424" s="168"/>
      <c r="I424" s="17">
        <f t="shared" si="416"/>
        <v>0</v>
      </c>
      <c r="J424" s="17">
        <f t="shared" si="417"/>
        <v>0</v>
      </c>
      <c r="K424" s="17">
        <f t="shared" si="418"/>
        <v>0</v>
      </c>
      <c r="L424" s="28"/>
      <c r="Z424" s="34">
        <f t="shared" si="419"/>
        <v>0</v>
      </c>
      <c r="AB424" s="34">
        <f t="shared" si="420"/>
        <v>0</v>
      </c>
      <c r="AC424" s="34">
        <f t="shared" si="421"/>
        <v>0</v>
      </c>
      <c r="AD424" s="34">
        <f t="shared" si="422"/>
        <v>0</v>
      </c>
      <c r="AE424" s="34">
        <f t="shared" si="423"/>
        <v>0</v>
      </c>
      <c r="AF424" s="34">
        <f t="shared" si="424"/>
        <v>0</v>
      </c>
      <c r="AG424" s="34">
        <f t="shared" si="425"/>
        <v>0</v>
      </c>
      <c r="AH424" s="34">
        <f t="shared" si="426"/>
        <v>0</v>
      </c>
      <c r="AI424" s="29"/>
      <c r="AJ424" s="17">
        <f t="shared" si="427"/>
        <v>0</v>
      </c>
      <c r="AK424" s="17">
        <f t="shared" si="428"/>
        <v>0</v>
      </c>
      <c r="AL424" s="17">
        <f t="shared" si="429"/>
        <v>0</v>
      </c>
      <c r="AN424" s="34">
        <v>15</v>
      </c>
      <c r="AO424" s="34">
        <f t="shared" si="430"/>
        <v>0</v>
      </c>
      <c r="AP424" s="34">
        <f t="shared" si="431"/>
        <v>0</v>
      </c>
      <c r="AQ424" s="28" t="s">
        <v>13</v>
      </c>
      <c r="AV424" s="34">
        <f t="shared" si="432"/>
        <v>0</v>
      </c>
      <c r="AW424" s="34">
        <f t="shared" si="433"/>
        <v>0</v>
      </c>
      <c r="AX424" s="34">
        <f t="shared" si="434"/>
        <v>0</v>
      </c>
      <c r="AY424" s="35" t="s">
        <v>1713</v>
      </c>
      <c r="AZ424" s="35" t="s">
        <v>1733</v>
      </c>
      <c r="BA424" s="29" t="s">
        <v>1737</v>
      </c>
      <c r="BC424" s="34">
        <f t="shared" si="435"/>
        <v>0</v>
      </c>
      <c r="BD424" s="34">
        <f t="shared" si="436"/>
        <v>0</v>
      </c>
      <c r="BE424" s="34">
        <v>0</v>
      </c>
      <c r="BF424" s="34">
        <f>424</f>
        <v>424</v>
      </c>
      <c r="BH424" s="17">
        <f t="shared" si="437"/>
        <v>0</v>
      </c>
      <c r="BI424" s="17">
        <f t="shared" si="438"/>
        <v>0</v>
      </c>
      <c r="BJ424" s="17">
        <f t="shared" si="439"/>
        <v>0</v>
      </c>
    </row>
    <row r="425" spans="1:62" x14ac:dyDescent="0.2">
      <c r="A425" s="4" t="s">
        <v>383</v>
      </c>
      <c r="B425" s="4" t="s">
        <v>858</v>
      </c>
      <c r="C425" s="240" t="s">
        <v>1449</v>
      </c>
      <c r="D425" s="241"/>
      <c r="E425" s="241"/>
      <c r="F425" s="4" t="s">
        <v>1647</v>
      </c>
      <c r="G425" s="69">
        <v>3</v>
      </c>
      <c r="H425" s="168"/>
      <c r="I425" s="17">
        <f t="shared" si="416"/>
        <v>0</v>
      </c>
      <c r="J425" s="17">
        <f t="shared" si="417"/>
        <v>0</v>
      </c>
      <c r="K425" s="17">
        <f t="shared" si="418"/>
        <v>0</v>
      </c>
      <c r="L425" s="28"/>
      <c r="Z425" s="34">
        <f t="shared" si="419"/>
        <v>0</v>
      </c>
      <c r="AB425" s="34">
        <f t="shared" si="420"/>
        <v>0</v>
      </c>
      <c r="AC425" s="34">
        <f t="shared" si="421"/>
        <v>0</v>
      </c>
      <c r="AD425" s="34">
        <f t="shared" si="422"/>
        <v>0</v>
      </c>
      <c r="AE425" s="34">
        <f t="shared" si="423"/>
        <v>0</v>
      </c>
      <c r="AF425" s="34">
        <f t="shared" si="424"/>
        <v>0</v>
      </c>
      <c r="AG425" s="34">
        <f t="shared" si="425"/>
        <v>0</v>
      </c>
      <c r="AH425" s="34">
        <f t="shared" si="426"/>
        <v>0</v>
      </c>
      <c r="AI425" s="29"/>
      <c r="AJ425" s="17">
        <f t="shared" si="427"/>
        <v>0</v>
      </c>
      <c r="AK425" s="17">
        <f t="shared" si="428"/>
        <v>0</v>
      </c>
      <c r="AL425" s="17">
        <f t="shared" si="429"/>
        <v>0</v>
      </c>
      <c r="AN425" s="34">
        <v>15</v>
      </c>
      <c r="AO425" s="34">
        <f t="shared" si="430"/>
        <v>0</v>
      </c>
      <c r="AP425" s="34">
        <f t="shared" si="431"/>
        <v>0</v>
      </c>
      <c r="AQ425" s="28" t="s">
        <v>13</v>
      </c>
      <c r="AV425" s="34">
        <f t="shared" si="432"/>
        <v>0</v>
      </c>
      <c r="AW425" s="34">
        <f t="shared" si="433"/>
        <v>0</v>
      </c>
      <c r="AX425" s="34">
        <f t="shared" si="434"/>
        <v>0</v>
      </c>
      <c r="AY425" s="35" t="s">
        <v>1713</v>
      </c>
      <c r="AZ425" s="35" t="s">
        <v>1733</v>
      </c>
      <c r="BA425" s="29" t="s">
        <v>1737</v>
      </c>
      <c r="BC425" s="34">
        <f t="shared" si="435"/>
        <v>0</v>
      </c>
      <c r="BD425" s="34">
        <f t="shared" si="436"/>
        <v>0</v>
      </c>
      <c r="BE425" s="34">
        <v>0</v>
      </c>
      <c r="BF425" s="34">
        <f>425</f>
        <v>425</v>
      </c>
      <c r="BH425" s="17">
        <f t="shared" si="437"/>
        <v>0</v>
      </c>
      <c r="BI425" s="17">
        <f t="shared" si="438"/>
        <v>0</v>
      </c>
      <c r="BJ425" s="17">
        <f t="shared" si="439"/>
        <v>0</v>
      </c>
    </row>
    <row r="426" spans="1:62" x14ac:dyDescent="0.2">
      <c r="A426" s="4" t="s">
        <v>384</v>
      </c>
      <c r="B426" s="4" t="s">
        <v>859</v>
      </c>
      <c r="C426" s="240" t="s">
        <v>1450</v>
      </c>
      <c r="D426" s="241"/>
      <c r="E426" s="241"/>
      <c r="F426" s="4" t="s">
        <v>1647</v>
      </c>
      <c r="G426" s="69">
        <v>2</v>
      </c>
      <c r="H426" s="168"/>
      <c r="I426" s="17">
        <f t="shared" si="416"/>
        <v>0</v>
      </c>
      <c r="J426" s="17">
        <f t="shared" si="417"/>
        <v>0</v>
      </c>
      <c r="K426" s="17">
        <f t="shared" si="418"/>
        <v>0</v>
      </c>
      <c r="L426" s="28"/>
      <c r="Z426" s="34">
        <f t="shared" si="419"/>
        <v>0</v>
      </c>
      <c r="AB426" s="34">
        <f t="shared" si="420"/>
        <v>0</v>
      </c>
      <c r="AC426" s="34">
        <f t="shared" si="421"/>
        <v>0</v>
      </c>
      <c r="AD426" s="34">
        <f t="shared" si="422"/>
        <v>0</v>
      </c>
      <c r="AE426" s="34">
        <f t="shared" si="423"/>
        <v>0</v>
      </c>
      <c r="AF426" s="34">
        <f t="shared" si="424"/>
        <v>0</v>
      </c>
      <c r="AG426" s="34">
        <f t="shared" si="425"/>
        <v>0</v>
      </c>
      <c r="AH426" s="34">
        <f t="shared" si="426"/>
        <v>0</v>
      </c>
      <c r="AI426" s="29"/>
      <c r="AJ426" s="17">
        <f t="shared" si="427"/>
        <v>0</v>
      </c>
      <c r="AK426" s="17">
        <f t="shared" si="428"/>
        <v>0</v>
      </c>
      <c r="AL426" s="17">
        <f t="shared" si="429"/>
        <v>0</v>
      </c>
      <c r="AN426" s="34">
        <v>15</v>
      </c>
      <c r="AO426" s="34">
        <f t="shared" si="430"/>
        <v>0</v>
      </c>
      <c r="AP426" s="34">
        <f t="shared" si="431"/>
        <v>0</v>
      </c>
      <c r="AQ426" s="28" t="s">
        <v>13</v>
      </c>
      <c r="AV426" s="34">
        <f t="shared" si="432"/>
        <v>0</v>
      </c>
      <c r="AW426" s="34">
        <f t="shared" si="433"/>
        <v>0</v>
      </c>
      <c r="AX426" s="34">
        <f t="shared" si="434"/>
        <v>0</v>
      </c>
      <c r="AY426" s="35" t="s">
        <v>1713</v>
      </c>
      <c r="AZ426" s="35" t="s">
        <v>1733</v>
      </c>
      <c r="BA426" s="29" t="s">
        <v>1737</v>
      </c>
      <c r="BC426" s="34">
        <f t="shared" si="435"/>
        <v>0</v>
      </c>
      <c r="BD426" s="34">
        <f t="shared" si="436"/>
        <v>0</v>
      </c>
      <c r="BE426" s="34">
        <v>0</v>
      </c>
      <c r="BF426" s="34">
        <f>426</f>
        <v>426</v>
      </c>
      <c r="BH426" s="17">
        <f t="shared" si="437"/>
        <v>0</v>
      </c>
      <c r="BI426" s="17">
        <f t="shared" si="438"/>
        <v>0</v>
      </c>
      <c r="BJ426" s="17">
        <f t="shared" si="439"/>
        <v>0</v>
      </c>
    </row>
    <row r="427" spans="1:62" x14ac:dyDescent="0.2">
      <c r="A427" s="4" t="s">
        <v>385</v>
      </c>
      <c r="B427" s="4" t="s">
        <v>860</v>
      </c>
      <c r="C427" s="240" t="s">
        <v>1451</v>
      </c>
      <c r="D427" s="241"/>
      <c r="E427" s="241"/>
      <c r="F427" s="4" t="s">
        <v>1647</v>
      </c>
      <c r="G427" s="69">
        <v>11</v>
      </c>
      <c r="H427" s="168"/>
      <c r="I427" s="17">
        <f t="shared" si="416"/>
        <v>0</v>
      </c>
      <c r="J427" s="17">
        <f t="shared" si="417"/>
        <v>0</v>
      </c>
      <c r="K427" s="17">
        <f t="shared" si="418"/>
        <v>0</v>
      </c>
      <c r="L427" s="28"/>
      <c r="Z427" s="34">
        <f t="shared" si="419"/>
        <v>0</v>
      </c>
      <c r="AB427" s="34">
        <f t="shared" si="420"/>
        <v>0</v>
      </c>
      <c r="AC427" s="34">
        <f t="shared" si="421"/>
        <v>0</v>
      </c>
      <c r="AD427" s="34">
        <f t="shared" si="422"/>
        <v>0</v>
      </c>
      <c r="AE427" s="34">
        <f t="shared" si="423"/>
        <v>0</v>
      </c>
      <c r="AF427" s="34">
        <f t="shared" si="424"/>
        <v>0</v>
      </c>
      <c r="AG427" s="34">
        <f t="shared" si="425"/>
        <v>0</v>
      </c>
      <c r="AH427" s="34">
        <f t="shared" si="426"/>
        <v>0</v>
      </c>
      <c r="AI427" s="29"/>
      <c r="AJ427" s="17">
        <f t="shared" si="427"/>
        <v>0</v>
      </c>
      <c r="AK427" s="17">
        <f t="shared" si="428"/>
        <v>0</v>
      </c>
      <c r="AL427" s="17">
        <f t="shared" si="429"/>
        <v>0</v>
      </c>
      <c r="AN427" s="34">
        <v>15</v>
      </c>
      <c r="AO427" s="34">
        <f t="shared" si="430"/>
        <v>0</v>
      </c>
      <c r="AP427" s="34">
        <f t="shared" si="431"/>
        <v>0</v>
      </c>
      <c r="AQ427" s="28" t="s">
        <v>13</v>
      </c>
      <c r="AV427" s="34">
        <f t="shared" si="432"/>
        <v>0</v>
      </c>
      <c r="AW427" s="34">
        <f t="shared" si="433"/>
        <v>0</v>
      </c>
      <c r="AX427" s="34">
        <f t="shared" si="434"/>
        <v>0</v>
      </c>
      <c r="AY427" s="35" t="s">
        <v>1713</v>
      </c>
      <c r="AZ427" s="35" t="s">
        <v>1733</v>
      </c>
      <c r="BA427" s="29" t="s">
        <v>1737</v>
      </c>
      <c r="BC427" s="34">
        <f t="shared" si="435"/>
        <v>0</v>
      </c>
      <c r="BD427" s="34">
        <f t="shared" si="436"/>
        <v>0</v>
      </c>
      <c r="BE427" s="34">
        <v>0</v>
      </c>
      <c r="BF427" s="34">
        <f>427</f>
        <v>427</v>
      </c>
      <c r="BH427" s="17">
        <f t="shared" si="437"/>
        <v>0</v>
      </c>
      <c r="BI427" s="17">
        <f t="shared" si="438"/>
        <v>0</v>
      </c>
      <c r="BJ427" s="17">
        <f t="shared" si="439"/>
        <v>0</v>
      </c>
    </row>
    <row r="428" spans="1:62" x14ac:dyDescent="0.2">
      <c r="A428" s="4" t="s">
        <v>386</v>
      </c>
      <c r="B428" s="4" t="s">
        <v>861</v>
      </c>
      <c r="C428" s="240" t="s">
        <v>1452</v>
      </c>
      <c r="D428" s="241"/>
      <c r="E428" s="241"/>
      <c r="F428" s="4" t="s">
        <v>1644</v>
      </c>
      <c r="G428" s="69">
        <v>1</v>
      </c>
      <c r="H428" s="168"/>
      <c r="I428" s="17">
        <f t="shared" si="416"/>
        <v>0</v>
      </c>
      <c r="J428" s="17">
        <f t="shared" si="417"/>
        <v>0</v>
      </c>
      <c r="K428" s="17">
        <f t="shared" si="418"/>
        <v>0</v>
      </c>
      <c r="L428" s="28"/>
      <c r="Z428" s="34">
        <f t="shared" si="419"/>
        <v>0</v>
      </c>
      <c r="AB428" s="34">
        <f t="shared" si="420"/>
        <v>0</v>
      </c>
      <c r="AC428" s="34">
        <f t="shared" si="421"/>
        <v>0</v>
      </c>
      <c r="AD428" s="34">
        <f t="shared" si="422"/>
        <v>0</v>
      </c>
      <c r="AE428" s="34">
        <f t="shared" si="423"/>
        <v>0</v>
      </c>
      <c r="AF428" s="34">
        <f t="shared" si="424"/>
        <v>0</v>
      </c>
      <c r="AG428" s="34">
        <f t="shared" si="425"/>
        <v>0</v>
      </c>
      <c r="AH428" s="34">
        <f t="shared" si="426"/>
        <v>0</v>
      </c>
      <c r="AI428" s="29"/>
      <c r="AJ428" s="17">
        <f t="shared" si="427"/>
        <v>0</v>
      </c>
      <c r="AK428" s="17">
        <f t="shared" si="428"/>
        <v>0</v>
      </c>
      <c r="AL428" s="17">
        <f t="shared" si="429"/>
        <v>0</v>
      </c>
      <c r="AN428" s="34">
        <v>15</v>
      </c>
      <c r="AO428" s="34">
        <f t="shared" si="430"/>
        <v>0</v>
      </c>
      <c r="AP428" s="34">
        <f t="shared" si="431"/>
        <v>0</v>
      </c>
      <c r="AQ428" s="28" t="s">
        <v>13</v>
      </c>
      <c r="AV428" s="34">
        <f t="shared" si="432"/>
        <v>0</v>
      </c>
      <c r="AW428" s="34">
        <f t="shared" si="433"/>
        <v>0</v>
      </c>
      <c r="AX428" s="34">
        <f t="shared" si="434"/>
        <v>0</v>
      </c>
      <c r="AY428" s="35" t="s">
        <v>1713</v>
      </c>
      <c r="AZ428" s="35" t="s">
        <v>1733</v>
      </c>
      <c r="BA428" s="29" t="s">
        <v>1737</v>
      </c>
      <c r="BC428" s="34">
        <f t="shared" si="435"/>
        <v>0</v>
      </c>
      <c r="BD428" s="34">
        <f t="shared" si="436"/>
        <v>0</v>
      </c>
      <c r="BE428" s="34">
        <v>0</v>
      </c>
      <c r="BF428" s="34">
        <f>428</f>
        <v>428</v>
      </c>
      <c r="BH428" s="17">
        <f t="shared" si="437"/>
        <v>0</v>
      </c>
      <c r="BI428" s="17">
        <f t="shared" si="438"/>
        <v>0</v>
      </c>
      <c r="BJ428" s="17">
        <f t="shared" si="439"/>
        <v>0</v>
      </c>
    </row>
    <row r="429" spans="1:62" x14ac:dyDescent="0.2">
      <c r="A429" s="4" t="s">
        <v>387</v>
      </c>
      <c r="B429" s="4" t="s">
        <v>862</v>
      </c>
      <c r="C429" s="240" t="s">
        <v>1453</v>
      </c>
      <c r="D429" s="241"/>
      <c r="E429" s="241"/>
      <c r="F429" s="4" t="s">
        <v>1645</v>
      </c>
      <c r="G429" s="69">
        <v>5</v>
      </c>
      <c r="H429" s="168"/>
      <c r="I429" s="17">
        <f t="shared" si="416"/>
        <v>0</v>
      </c>
      <c r="J429" s="17">
        <f t="shared" si="417"/>
        <v>0</v>
      </c>
      <c r="K429" s="17">
        <f t="shared" si="418"/>
        <v>0</v>
      </c>
      <c r="L429" s="28"/>
      <c r="Z429" s="34">
        <f t="shared" si="419"/>
        <v>0</v>
      </c>
      <c r="AB429" s="34">
        <f t="shared" si="420"/>
        <v>0</v>
      </c>
      <c r="AC429" s="34">
        <f t="shared" si="421"/>
        <v>0</v>
      </c>
      <c r="AD429" s="34">
        <f t="shared" si="422"/>
        <v>0</v>
      </c>
      <c r="AE429" s="34">
        <f t="shared" si="423"/>
        <v>0</v>
      </c>
      <c r="AF429" s="34">
        <f t="shared" si="424"/>
        <v>0</v>
      </c>
      <c r="AG429" s="34">
        <f t="shared" si="425"/>
        <v>0</v>
      </c>
      <c r="AH429" s="34">
        <f t="shared" si="426"/>
        <v>0</v>
      </c>
      <c r="AI429" s="29"/>
      <c r="AJ429" s="17">
        <f t="shared" si="427"/>
        <v>0</v>
      </c>
      <c r="AK429" s="17">
        <f t="shared" si="428"/>
        <v>0</v>
      </c>
      <c r="AL429" s="17">
        <f t="shared" si="429"/>
        <v>0</v>
      </c>
      <c r="AN429" s="34">
        <v>15</v>
      </c>
      <c r="AO429" s="34">
        <f t="shared" si="430"/>
        <v>0</v>
      </c>
      <c r="AP429" s="34">
        <f t="shared" si="431"/>
        <v>0</v>
      </c>
      <c r="AQ429" s="28" t="s">
        <v>13</v>
      </c>
      <c r="AV429" s="34">
        <f t="shared" si="432"/>
        <v>0</v>
      </c>
      <c r="AW429" s="34">
        <f t="shared" si="433"/>
        <v>0</v>
      </c>
      <c r="AX429" s="34">
        <f t="shared" si="434"/>
        <v>0</v>
      </c>
      <c r="AY429" s="35" t="s">
        <v>1713</v>
      </c>
      <c r="AZ429" s="35" t="s">
        <v>1733</v>
      </c>
      <c r="BA429" s="29" t="s">
        <v>1737</v>
      </c>
      <c r="BC429" s="34">
        <f t="shared" si="435"/>
        <v>0</v>
      </c>
      <c r="BD429" s="34">
        <f t="shared" si="436"/>
        <v>0</v>
      </c>
      <c r="BE429" s="34">
        <v>0</v>
      </c>
      <c r="BF429" s="34">
        <f>429</f>
        <v>429</v>
      </c>
      <c r="BH429" s="17">
        <f t="shared" si="437"/>
        <v>0</v>
      </c>
      <c r="BI429" s="17">
        <f t="shared" si="438"/>
        <v>0</v>
      </c>
      <c r="BJ429" s="17">
        <f t="shared" si="439"/>
        <v>0</v>
      </c>
    </row>
    <row r="430" spans="1:62" x14ac:dyDescent="0.2">
      <c r="A430" s="4" t="s">
        <v>388</v>
      </c>
      <c r="B430" s="4" t="s">
        <v>863</v>
      </c>
      <c r="C430" s="240" t="s">
        <v>1454</v>
      </c>
      <c r="D430" s="241"/>
      <c r="E430" s="241"/>
      <c r="F430" s="4" t="s">
        <v>1652</v>
      </c>
      <c r="G430" s="69">
        <v>1</v>
      </c>
      <c r="H430" s="168"/>
      <c r="I430" s="17">
        <f t="shared" si="416"/>
        <v>0</v>
      </c>
      <c r="J430" s="17">
        <f t="shared" si="417"/>
        <v>0</v>
      </c>
      <c r="K430" s="17">
        <f t="shared" si="418"/>
        <v>0</v>
      </c>
      <c r="L430" s="28"/>
      <c r="Z430" s="34">
        <f t="shared" si="419"/>
        <v>0</v>
      </c>
      <c r="AB430" s="34">
        <f t="shared" si="420"/>
        <v>0</v>
      </c>
      <c r="AC430" s="34">
        <f t="shared" si="421"/>
        <v>0</v>
      </c>
      <c r="AD430" s="34">
        <f t="shared" si="422"/>
        <v>0</v>
      </c>
      <c r="AE430" s="34">
        <f t="shared" si="423"/>
        <v>0</v>
      </c>
      <c r="AF430" s="34">
        <f t="shared" si="424"/>
        <v>0</v>
      </c>
      <c r="AG430" s="34">
        <f t="shared" si="425"/>
        <v>0</v>
      </c>
      <c r="AH430" s="34">
        <f t="shared" si="426"/>
        <v>0</v>
      </c>
      <c r="AI430" s="29"/>
      <c r="AJ430" s="17">
        <f t="shared" si="427"/>
        <v>0</v>
      </c>
      <c r="AK430" s="17">
        <f t="shared" si="428"/>
        <v>0</v>
      </c>
      <c r="AL430" s="17">
        <f t="shared" si="429"/>
        <v>0</v>
      </c>
      <c r="AN430" s="34">
        <v>15</v>
      </c>
      <c r="AO430" s="34">
        <f t="shared" si="430"/>
        <v>0</v>
      </c>
      <c r="AP430" s="34">
        <f t="shared" si="431"/>
        <v>0</v>
      </c>
      <c r="AQ430" s="28" t="s">
        <v>13</v>
      </c>
      <c r="AV430" s="34">
        <f t="shared" si="432"/>
        <v>0</v>
      </c>
      <c r="AW430" s="34">
        <f t="shared" si="433"/>
        <v>0</v>
      </c>
      <c r="AX430" s="34">
        <f t="shared" si="434"/>
        <v>0</v>
      </c>
      <c r="AY430" s="35" t="s">
        <v>1713</v>
      </c>
      <c r="AZ430" s="35" t="s">
        <v>1733</v>
      </c>
      <c r="BA430" s="29" t="s">
        <v>1737</v>
      </c>
      <c r="BC430" s="34">
        <f t="shared" si="435"/>
        <v>0</v>
      </c>
      <c r="BD430" s="34">
        <f t="shared" si="436"/>
        <v>0</v>
      </c>
      <c r="BE430" s="34">
        <v>0</v>
      </c>
      <c r="BF430" s="34">
        <f>430</f>
        <v>430</v>
      </c>
      <c r="BH430" s="17">
        <f t="shared" si="437"/>
        <v>0</v>
      </c>
      <c r="BI430" s="17">
        <f t="shared" si="438"/>
        <v>0</v>
      </c>
      <c r="BJ430" s="17">
        <f t="shared" si="439"/>
        <v>0</v>
      </c>
    </row>
    <row r="431" spans="1:62" x14ac:dyDescent="0.2">
      <c r="A431" s="4" t="s">
        <v>389</v>
      </c>
      <c r="B431" s="4" t="s">
        <v>864</v>
      </c>
      <c r="C431" s="240" t="s">
        <v>1455</v>
      </c>
      <c r="D431" s="241"/>
      <c r="E431" s="241"/>
      <c r="F431" s="4" t="s">
        <v>1652</v>
      </c>
      <c r="G431" s="69">
        <v>1</v>
      </c>
      <c r="H431" s="168"/>
      <c r="I431" s="17">
        <f t="shared" si="416"/>
        <v>0</v>
      </c>
      <c r="J431" s="17">
        <f t="shared" si="417"/>
        <v>0</v>
      </c>
      <c r="K431" s="17">
        <f t="shared" si="418"/>
        <v>0</v>
      </c>
      <c r="L431" s="28"/>
      <c r="Z431" s="34">
        <f t="shared" si="419"/>
        <v>0</v>
      </c>
      <c r="AB431" s="34">
        <f t="shared" si="420"/>
        <v>0</v>
      </c>
      <c r="AC431" s="34">
        <f t="shared" si="421"/>
        <v>0</v>
      </c>
      <c r="AD431" s="34">
        <f t="shared" si="422"/>
        <v>0</v>
      </c>
      <c r="AE431" s="34">
        <f t="shared" si="423"/>
        <v>0</v>
      </c>
      <c r="AF431" s="34">
        <f t="shared" si="424"/>
        <v>0</v>
      </c>
      <c r="AG431" s="34">
        <f t="shared" si="425"/>
        <v>0</v>
      </c>
      <c r="AH431" s="34">
        <f t="shared" si="426"/>
        <v>0</v>
      </c>
      <c r="AI431" s="29"/>
      <c r="AJ431" s="17">
        <f t="shared" si="427"/>
        <v>0</v>
      </c>
      <c r="AK431" s="17">
        <f t="shared" si="428"/>
        <v>0</v>
      </c>
      <c r="AL431" s="17">
        <f t="shared" si="429"/>
        <v>0</v>
      </c>
      <c r="AN431" s="34">
        <v>15</v>
      </c>
      <c r="AO431" s="34">
        <f t="shared" si="430"/>
        <v>0</v>
      </c>
      <c r="AP431" s="34">
        <f t="shared" si="431"/>
        <v>0</v>
      </c>
      <c r="AQ431" s="28" t="s">
        <v>13</v>
      </c>
      <c r="AV431" s="34">
        <f t="shared" si="432"/>
        <v>0</v>
      </c>
      <c r="AW431" s="34">
        <f t="shared" si="433"/>
        <v>0</v>
      </c>
      <c r="AX431" s="34">
        <f t="shared" si="434"/>
        <v>0</v>
      </c>
      <c r="AY431" s="35" t="s">
        <v>1713</v>
      </c>
      <c r="AZ431" s="35" t="s">
        <v>1733</v>
      </c>
      <c r="BA431" s="29" t="s">
        <v>1737</v>
      </c>
      <c r="BC431" s="34">
        <f t="shared" si="435"/>
        <v>0</v>
      </c>
      <c r="BD431" s="34">
        <f t="shared" si="436"/>
        <v>0</v>
      </c>
      <c r="BE431" s="34">
        <v>0</v>
      </c>
      <c r="BF431" s="34">
        <f>431</f>
        <v>431</v>
      </c>
      <c r="BH431" s="17">
        <f t="shared" si="437"/>
        <v>0</v>
      </c>
      <c r="BI431" s="17">
        <f t="shared" si="438"/>
        <v>0</v>
      </c>
      <c r="BJ431" s="17">
        <f t="shared" si="439"/>
        <v>0</v>
      </c>
    </row>
    <row r="432" spans="1:62" x14ac:dyDescent="0.2">
      <c r="A432" s="4" t="s">
        <v>390</v>
      </c>
      <c r="B432" s="4" t="s">
        <v>865</v>
      </c>
      <c r="C432" s="240" t="s">
        <v>1456</v>
      </c>
      <c r="D432" s="241"/>
      <c r="E432" s="241"/>
      <c r="F432" s="4" t="s">
        <v>1652</v>
      </c>
      <c r="G432" s="69">
        <v>1</v>
      </c>
      <c r="H432" s="168"/>
      <c r="I432" s="17">
        <f t="shared" si="416"/>
        <v>0</v>
      </c>
      <c r="J432" s="17">
        <f t="shared" si="417"/>
        <v>0</v>
      </c>
      <c r="K432" s="17">
        <f t="shared" si="418"/>
        <v>0</v>
      </c>
      <c r="L432" s="28"/>
      <c r="Z432" s="34">
        <f t="shared" si="419"/>
        <v>0</v>
      </c>
      <c r="AB432" s="34">
        <f t="shared" si="420"/>
        <v>0</v>
      </c>
      <c r="AC432" s="34">
        <f t="shared" si="421"/>
        <v>0</v>
      </c>
      <c r="AD432" s="34">
        <f t="shared" si="422"/>
        <v>0</v>
      </c>
      <c r="AE432" s="34">
        <f t="shared" si="423"/>
        <v>0</v>
      </c>
      <c r="AF432" s="34">
        <f t="shared" si="424"/>
        <v>0</v>
      </c>
      <c r="AG432" s="34">
        <f t="shared" si="425"/>
        <v>0</v>
      </c>
      <c r="AH432" s="34">
        <f t="shared" si="426"/>
        <v>0</v>
      </c>
      <c r="AI432" s="29"/>
      <c r="AJ432" s="17">
        <f t="shared" si="427"/>
        <v>0</v>
      </c>
      <c r="AK432" s="17">
        <f t="shared" si="428"/>
        <v>0</v>
      </c>
      <c r="AL432" s="17">
        <f t="shared" si="429"/>
        <v>0</v>
      </c>
      <c r="AN432" s="34">
        <v>15</v>
      </c>
      <c r="AO432" s="34">
        <f t="shared" si="430"/>
        <v>0</v>
      </c>
      <c r="AP432" s="34">
        <f t="shared" si="431"/>
        <v>0</v>
      </c>
      <c r="AQ432" s="28" t="s">
        <v>13</v>
      </c>
      <c r="AV432" s="34">
        <f t="shared" si="432"/>
        <v>0</v>
      </c>
      <c r="AW432" s="34">
        <f t="shared" si="433"/>
        <v>0</v>
      </c>
      <c r="AX432" s="34">
        <f t="shared" si="434"/>
        <v>0</v>
      </c>
      <c r="AY432" s="35" t="s">
        <v>1713</v>
      </c>
      <c r="AZ432" s="35" t="s">
        <v>1733</v>
      </c>
      <c r="BA432" s="29" t="s">
        <v>1737</v>
      </c>
      <c r="BC432" s="34">
        <f t="shared" si="435"/>
        <v>0</v>
      </c>
      <c r="BD432" s="34">
        <f t="shared" si="436"/>
        <v>0</v>
      </c>
      <c r="BE432" s="34">
        <v>0</v>
      </c>
      <c r="BF432" s="34">
        <f>432</f>
        <v>432</v>
      </c>
      <c r="BH432" s="17">
        <f t="shared" si="437"/>
        <v>0</v>
      </c>
      <c r="BI432" s="17">
        <f t="shared" si="438"/>
        <v>0</v>
      </c>
      <c r="BJ432" s="17">
        <f t="shared" si="439"/>
        <v>0</v>
      </c>
    </row>
    <row r="433" spans="1:62" x14ac:dyDescent="0.2">
      <c r="A433" s="4" t="s">
        <v>391</v>
      </c>
      <c r="B433" s="4" t="s">
        <v>866</v>
      </c>
      <c r="C433" s="240" t="s">
        <v>1420</v>
      </c>
      <c r="D433" s="241"/>
      <c r="E433" s="241"/>
      <c r="F433" s="4" t="s">
        <v>1652</v>
      </c>
      <c r="G433" s="69">
        <v>1</v>
      </c>
      <c r="H433" s="168"/>
      <c r="I433" s="17">
        <f t="shared" si="416"/>
        <v>0</v>
      </c>
      <c r="J433" s="17">
        <f t="shared" si="417"/>
        <v>0</v>
      </c>
      <c r="K433" s="17">
        <f t="shared" si="418"/>
        <v>0</v>
      </c>
      <c r="L433" s="28"/>
      <c r="Z433" s="34">
        <f t="shared" si="419"/>
        <v>0</v>
      </c>
      <c r="AB433" s="34">
        <f t="shared" si="420"/>
        <v>0</v>
      </c>
      <c r="AC433" s="34">
        <f t="shared" si="421"/>
        <v>0</v>
      </c>
      <c r="AD433" s="34">
        <f t="shared" si="422"/>
        <v>0</v>
      </c>
      <c r="AE433" s="34">
        <f t="shared" si="423"/>
        <v>0</v>
      </c>
      <c r="AF433" s="34">
        <f t="shared" si="424"/>
        <v>0</v>
      </c>
      <c r="AG433" s="34">
        <f t="shared" si="425"/>
        <v>0</v>
      </c>
      <c r="AH433" s="34">
        <f t="shared" si="426"/>
        <v>0</v>
      </c>
      <c r="AI433" s="29"/>
      <c r="AJ433" s="17">
        <f t="shared" si="427"/>
        <v>0</v>
      </c>
      <c r="AK433" s="17">
        <f t="shared" si="428"/>
        <v>0</v>
      </c>
      <c r="AL433" s="17">
        <f t="shared" si="429"/>
        <v>0</v>
      </c>
      <c r="AN433" s="34">
        <v>15</v>
      </c>
      <c r="AO433" s="34">
        <f t="shared" si="430"/>
        <v>0</v>
      </c>
      <c r="AP433" s="34">
        <f t="shared" si="431"/>
        <v>0</v>
      </c>
      <c r="AQ433" s="28" t="s">
        <v>13</v>
      </c>
      <c r="AV433" s="34">
        <f t="shared" si="432"/>
        <v>0</v>
      </c>
      <c r="AW433" s="34">
        <f t="shared" si="433"/>
        <v>0</v>
      </c>
      <c r="AX433" s="34">
        <f t="shared" si="434"/>
        <v>0</v>
      </c>
      <c r="AY433" s="35" t="s">
        <v>1713</v>
      </c>
      <c r="AZ433" s="35" t="s">
        <v>1733</v>
      </c>
      <c r="BA433" s="29" t="s">
        <v>1737</v>
      </c>
      <c r="BC433" s="34">
        <f t="shared" si="435"/>
        <v>0</v>
      </c>
      <c r="BD433" s="34">
        <f t="shared" si="436"/>
        <v>0</v>
      </c>
      <c r="BE433" s="34">
        <v>0</v>
      </c>
      <c r="BF433" s="34">
        <f>433</f>
        <v>433</v>
      </c>
      <c r="BH433" s="17">
        <f t="shared" si="437"/>
        <v>0</v>
      </c>
      <c r="BI433" s="17">
        <f t="shared" si="438"/>
        <v>0</v>
      </c>
      <c r="BJ433" s="17">
        <f t="shared" si="439"/>
        <v>0</v>
      </c>
    </row>
    <row r="434" spans="1:62" x14ac:dyDescent="0.2">
      <c r="A434" s="4" t="s">
        <v>392</v>
      </c>
      <c r="B434" s="4" t="s">
        <v>867</v>
      </c>
      <c r="C434" s="240" t="s">
        <v>1421</v>
      </c>
      <c r="D434" s="241"/>
      <c r="E434" s="241"/>
      <c r="F434" s="4" t="s">
        <v>1652</v>
      </c>
      <c r="G434" s="69">
        <v>1</v>
      </c>
      <c r="H434" s="168"/>
      <c r="I434" s="17">
        <f t="shared" si="416"/>
        <v>0</v>
      </c>
      <c r="J434" s="17">
        <f t="shared" si="417"/>
        <v>0</v>
      </c>
      <c r="K434" s="17">
        <f t="shared" si="418"/>
        <v>0</v>
      </c>
      <c r="L434" s="28"/>
      <c r="Z434" s="34">
        <f t="shared" si="419"/>
        <v>0</v>
      </c>
      <c r="AB434" s="34">
        <f t="shared" si="420"/>
        <v>0</v>
      </c>
      <c r="AC434" s="34">
        <f t="shared" si="421"/>
        <v>0</v>
      </c>
      <c r="AD434" s="34">
        <f t="shared" si="422"/>
        <v>0</v>
      </c>
      <c r="AE434" s="34">
        <f t="shared" si="423"/>
        <v>0</v>
      </c>
      <c r="AF434" s="34">
        <f t="shared" si="424"/>
        <v>0</v>
      </c>
      <c r="AG434" s="34">
        <f t="shared" si="425"/>
        <v>0</v>
      </c>
      <c r="AH434" s="34">
        <f t="shared" si="426"/>
        <v>0</v>
      </c>
      <c r="AI434" s="29"/>
      <c r="AJ434" s="17">
        <f t="shared" si="427"/>
        <v>0</v>
      </c>
      <c r="AK434" s="17">
        <f t="shared" si="428"/>
        <v>0</v>
      </c>
      <c r="AL434" s="17">
        <f t="shared" si="429"/>
        <v>0</v>
      </c>
      <c r="AN434" s="34">
        <v>15</v>
      </c>
      <c r="AO434" s="34">
        <f t="shared" si="430"/>
        <v>0</v>
      </c>
      <c r="AP434" s="34">
        <f t="shared" si="431"/>
        <v>0</v>
      </c>
      <c r="AQ434" s="28" t="s">
        <v>13</v>
      </c>
      <c r="AV434" s="34">
        <f t="shared" si="432"/>
        <v>0</v>
      </c>
      <c r="AW434" s="34">
        <f t="shared" si="433"/>
        <v>0</v>
      </c>
      <c r="AX434" s="34">
        <f t="shared" si="434"/>
        <v>0</v>
      </c>
      <c r="AY434" s="35" t="s">
        <v>1713</v>
      </c>
      <c r="AZ434" s="35" t="s">
        <v>1733</v>
      </c>
      <c r="BA434" s="29" t="s">
        <v>1737</v>
      </c>
      <c r="BC434" s="34">
        <f t="shared" si="435"/>
        <v>0</v>
      </c>
      <c r="BD434" s="34">
        <f t="shared" si="436"/>
        <v>0</v>
      </c>
      <c r="BE434" s="34">
        <v>0</v>
      </c>
      <c r="BF434" s="34">
        <f>434</f>
        <v>434</v>
      </c>
      <c r="BH434" s="17">
        <f t="shared" si="437"/>
        <v>0</v>
      </c>
      <c r="BI434" s="17">
        <f t="shared" si="438"/>
        <v>0</v>
      </c>
      <c r="BJ434" s="17">
        <f t="shared" si="439"/>
        <v>0</v>
      </c>
    </row>
    <row r="435" spans="1:62" x14ac:dyDescent="0.2">
      <c r="A435" s="4" t="s">
        <v>393</v>
      </c>
      <c r="B435" s="4" t="s">
        <v>868</v>
      </c>
      <c r="C435" s="240" t="s">
        <v>1457</v>
      </c>
      <c r="D435" s="241"/>
      <c r="E435" s="241"/>
      <c r="F435" s="4" t="s">
        <v>1652</v>
      </c>
      <c r="G435" s="69">
        <v>1</v>
      </c>
      <c r="H435" s="168"/>
      <c r="I435" s="17">
        <f t="shared" si="416"/>
        <v>0</v>
      </c>
      <c r="J435" s="17">
        <f t="shared" si="417"/>
        <v>0</v>
      </c>
      <c r="K435" s="17">
        <f t="shared" si="418"/>
        <v>0</v>
      </c>
      <c r="L435" s="28"/>
      <c r="Z435" s="34">
        <f t="shared" si="419"/>
        <v>0</v>
      </c>
      <c r="AB435" s="34">
        <f t="shared" si="420"/>
        <v>0</v>
      </c>
      <c r="AC435" s="34">
        <f t="shared" si="421"/>
        <v>0</v>
      </c>
      <c r="AD435" s="34">
        <f t="shared" si="422"/>
        <v>0</v>
      </c>
      <c r="AE435" s="34">
        <f t="shared" si="423"/>
        <v>0</v>
      </c>
      <c r="AF435" s="34">
        <f t="shared" si="424"/>
        <v>0</v>
      </c>
      <c r="AG435" s="34">
        <f t="shared" si="425"/>
        <v>0</v>
      </c>
      <c r="AH435" s="34">
        <f t="shared" si="426"/>
        <v>0</v>
      </c>
      <c r="AI435" s="29"/>
      <c r="AJ435" s="17">
        <f t="shared" si="427"/>
        <v>0</v>
      </c>
      <c r="AK435" s="17">
        <f t="shared" si="428"/>
        <v>0</v>
      </c>
      <c r="AL435" s="17">
        <f t="shared" si="429"/>
        <v>0</v>
      </c>
      <c r="AN435" s="34">
        <v>15</v>
      </c>
      <c r="AO435" s="34">
        <f t="shared" si="430"/>
        <v>0</v>
      </c>
      <c r="AP435" s="34">
        <f t="shared" si="431"/>
        <v>0</v>
      </c>
      <c r="AQ435" s="28" t="s">
        <v>13</v>
      </c>
      <c r="AV435" s="34">
        <f t="shared" si="432"/>
        <v>0</v>
      </c>
      <c r="AW435" s="34">
        <f t="shared" si="433"/>
        <v>0</v>
      </c>
      <c r="AX435" s="34">
        <f t="shared" si="434"/>
        <v>0</v>
      </c>
      <c r="AY435" s="35" t="s">
        <v>1713</v>
      </c>
      <c r="AZ435" s="35" t="s">
        <v>1733</v>
      </c>
      <c r="BA435" s="29" t="s">
        <v>1737</v>
      </c>
      <c r="BC435" s="34">
        <f t="shared" si="435"/>
        <v>0</v>
      </c>
      <c r="BD435" s="34">
        <f t="shared" si="436"/>
        <v>0</v>
      </c>
      <c r="BE435" s="34">
        <v>0</v>
      </c>
      <c r="BF435" s="34">
        <f>435</f>
        <v>435</v>
      </c>
      <c r="BH435" s="17">
        <f t="shared" si="437"/>
        <v>0</v>
      </c>
      <c r="BI435" s="17">
        <f t="shared" si="438"/>
        <v>0</v>
      </c>
      <c r="BJ435" s="17">
        <f t="shared" si="439"/>
        <v>0</v>
      </c>
    </row>
    <row r="436" spans="1:62" x14ac:dyDescent="0.2">
      <c r="A436" s="5"/>
      <c r="B436" s="13" t="s">
        <v>869</v>
      </c>
      <c r="C436" s="244" t="s">
        <v>1458</v>
      </c>
      <c r="D436" s="245"/>
      <c r="E436" s="245"/>
      <c r="F436" s="5" t="s">
        <v>6</v>
      </c>
      <c r="G436" s="5" t="s">
        <v>6</v>
      </c>
      <c r="H436" s="5" t="s">
        <v>6</v>
      </c>
      <c r="I436" s="37">
        <f>SUM(I437:I448)</f>
        <v>0</v>
      </c>
      <c r="J436" s="37">
        <f>SUM(J437:J448)</f>
        <v>0</v>
      </c>
      <c r="K436" s="37">
        <f>SUM(K437:K448)</f>
        <v>0</v>
      </c>
      <c r="L436" s="29"/>
      <c r="AI436" s="29"/>
      <c r="AS436" s="37">
        <f>SUM(AJ437:AJ448)</f>
        <v>0</v>
      </c>
      <c r="AT436" s="37">
        <f>SUM(AK437:AK448)</f>
        <v>0</v>
      </c>
      <c r="AU436" s="37">
        <f>SUM(AL437:AL448)</f>
        <v>0</v>
      </c>
    </row>
    <row r="437" spans="1:62" x14ac:dyDescent="0.2">
      <c r="A437" s="4" t="s">
        <v>394</v>
      </c>
      <c r="B437" s="4" t="s">
        <v>870</v>
      </c>
      <c r="C437" s="240" t="s">
        <v>1459</v>
      </c>
      <c r="D437" s="241"/>
      <c r="E437" s="241"/>
      <c r="F437" s="4" t="s">
        <v>1644</v>
      </c>
      <c r="G437" s="69">
        <v>3</v>
      </c>
      <c r="H437" s="168"/>
      <c r="I437" s="17">
        <f t="shared" ref="I437:I448" si="440">G437*AO437</f>
        <v>0</v>
      </c>
      <c r="J437" s="17">
        <f t="shared" ref="J437:J448" si="441">G437*AP437</f>
        <v>0</v>
      </c>
      <c r="K437" s="17">
        <f t="shared" ref="K437:K448" si="442">G437*H437</f>
        <v>0</v>
      </c>
      <c r="L437" s="28" t="s">
        <v>1671</v>
      </c>
      <c r="Z437" s="34">
        <f t="shared" ref="Z437:Z448" si="443">IF(AQ437="5",BJ437,0)</f>
        <v>0</v>
      </c>
      <c r="AB437" s="34">
        <f t="shared" ref="AB437:AB448" si="444">IF(AQ437="1",BH437,0)</f>
        <v>0</v>
      </c>
      <c r="AC437" s="34">
        <f t="shared" ref="AC437:AC448" si="445">IF(AQ437="1",BI437,0)</f>
        <v>0</v>
      </c>
      <c r="AD437" s="34">
        <f t="shared" ref="AD437:AD448" si="446">IF(AQ437="7",BH437,0)</f>
        <v>0</v>
      </c>
      <c r="AE437" s="34">
        <f t="shared" ref="AE437:AE448" si="447">IF(AQ437="7",BI437,0)</f>
        <v>0</v>
      </c>
      <c r="AF437" s="34">
        <f t="shared" ref="AF437:AF448" si="448">IF(AQ437="2",BH437,0)</f>
        <v>0</v>
      </c>
      <c r="AG437" s="34">
        <f t="shared" ref="AG437:AG448" si="449">IF(AQ437="2",BI437,0)</f>
        <v>0</v>
      </c>
      <c r="AH437" s="34">
        <f t="shared" ref="AH437:AH448" si="450">IF(AQ437="0",BJ437,0)</f>
        <v>0</v>
      </c>
      <c r="AI437" s="29"/>
      <c r="AJ437" s="17">
        <f t="shared" ref="AJ437:AJ448" si="451">IF(AN437=0,K437,0)</f>
        <v>0</v>
      </c>
      <c r="AK437" s="17">
        <f t="shared" ref="AK437:AK448" si="452">IF(AN437=15,K437,0)</f>
        <v>0</v>
      </c>
      <c r="AL437" s="17">
        <f t="shared" ref="AL437:AL448" si="453">IF(AN437=21,K437,0)</f>
        <v>0</v>
      </c>
      <c r="AN437" s="34">
        <v>15</v>
      </c>
      <c r="AO437" s="34">
        <f>H437*0.0692044609665427</f>
        <v>0</v>
      </c>
      <c r="AP437" s="34">
        <f>H437*(1-0.0692044609665427)</f>
        <v>0</v>
      </c>
      <c r="AQ437" s="28" t="s">
        <v>13</v>
      </c>
      <c r="AV437" s="34">
        <f t="shared" ref="AV437:AV448" si="454">AW437+AX437</f>
        <v>0</v>
      </c>
      <c r="AW437" s="34">
        <f t="shared" ref="AW437:AW448" si="455">G437*AO437</f>
        <v>0</v>
      </c>
      <c r="AX437" s="34">
        <f t="shared" ref="AX437:AX448" si="456">G437*AP437</f>
        <v>0</v>
      </c>
      <c r="AY437" s="35" t="s">
        <v>1714</v>
      </c>
      <c r="AZ437" s="35" t="s">
        <v>1734</v>
      </c>
      <c r="BA437" s="29" t="s">
        <v>1737</v>
      </c>
      <c r="BC437" s="34">
        <f t="shared" ref="BC437:BC448" si="457">AW437+AX437</f>
        <v>0</v>
      </c>
      <c r="BD437" s="34">
        <f t="shared" ref="BD437:BD448" si="458">H437/(100-BE437)*100</f>
        <v>0</v>
      </c>
      <c r="BE437" s="34">
        <v>0</v>
      </c>
      <c r="BF437" s="34">
        <f>437</f>
        <v>437</v>
      </c>
      <c r="BH437" s="17">
        <f t="shared" ref="BH437:BH448" si="459">G437*AO437</f>
        <v>0</v>
      </c>
      <c r="BI437" s="17">
        <f t="shared" ref="BI437:BI448" si="460">G437*AP437</f>
        <v>0</v>
      </c>
      <c r="BJ437" s="17">
        <f t="shared" ref="BJ437:BJ448" si="461">G437*H437</f>
        <v>0</v>
      </c>
    </row>
    <row r="438" spans="1:62" x14ac:dyDescent="0.2">
      <c r="A438" s="4" t="s">
        <v>395</v>
      </c>
      <c r="B438" s="4" t="s">
        <v>871</v>
      </c>
      <c r="C438" s="240" t="s">
        <v>1460</v>
      </c>
      <c r="D438" s="241"/>
      <c r="E438" s="241"/>
      <c r="F438" s="4" t="s">
        <v>1645</v>
      </c>
      <c r="G438" s="69">
        <v>302</v>
      </c>
      <c r="H438" s="168"/>
      <c r="I438" s="17">
        <f t="shared" si="440"/>
        <v>0</v>
      </c>
      <c r="J438" s="17">
        <f t="shared" si="441"/>
        <v>0</v>
      </c>
      <c r="K438" s="17">
        <f t="shared" si="442"/>
        <v>0</v>
      </c>
      <c r="L438" s="28" t="s">
        <v>1671</v>
      </c>
      <c r="Z438" s="34">
        <f t="shared" si="443"/>
        <v>0</v>
      </c>
      <c r="AB438" s="34">
        <f t="shared" si="444"/>
        <v>0</v>
      </c>
      <c r="AC438" s="34">
        <f t="shared" si="445"/>
        <v>0</v>
      </c>
      <c r="AD438" s="34">
        <f t="shared" si="446"/>
        <v>0</v>
      </c>
      <c r="AE438" s="34">
        <f t="shared" si="447"/>
        <v>0</v>
      </c>
      <c r="AF438" s="34">
        <f t="shared" si="448"/>
        <v>0</v>
      </c>
      <c r="AG438" s="34">
        <f t="shared" si="449"/>
        <v>0</v>
      </c>
      <c r="AH438" s="34">
        <f t="shared" si="450"/>
        <v>0</v>
      </c>
      <c r="AI438" s="29"/>
      <c r="AJ438" s="17">
        <f t="shared" si="451"/>
        <v>0</v>
      </c>
      <c r="AK438" s="17">
        <f t="shared" si="452"/>
        <v>0</v>
      </c>
      <c r="AL438" s="17">
        <f t="shared" si="453"/>
        <v>0</v>
      </c>
      <c r="AN438" s="34">
        <v>15</v>
      </c>
      <c r="AO438" s="34">
        <f>H438*0.493473684210526</f>
        <v>0</v>
      </c>
      <c r="AP438" s="34">
        <f>H438*(1-0.493473684210526)</f>
        <v>0</v>
      </c>
      <c r="AQ438" s="28" t="s">
        <v>13</v>
      </c>
      <c r="AV438" s="34">
        <f t="shared" si="454"/>
        <v>0</v>
      </c>
      <c r="AW438" s="34">
        <f t="shared" si="455"/>
        <v>0</v>
      </c>
      <c r="AX438" s="34">
        <f t="shared" si="456"/>
        <v>0</v>
      </c>
      <c r="AY438" s="35" t="s">
        <v>1714</v>
      </c>
      <c r="AZ438" s="35" t="s">
        <v>1734</v>
      </c>
      <c r="BA438" s="29" t="s">
        <v>1737</v>
      </c>
      <c r="BC438" s="34">
        <f t="shared" si="457"/>
        <v>0</v>
      </c>
      <c r="BD438" s="34">
        <f t="shared" si="458"/>
        <v>0</v>
      </c>
      <c r="BE438" s="34">
        <v>0</v>
      </c>
      <c r="BF438" s="34">
        <f>438</f>
        <v>438</v>
      </c>
      <c r="BH438" s="17">
        <f t="shared" si="459"/>
        <v>0</v>
      </c>
      <c r="BI438" s="17">
        <f t="shared" si="460"/>
        <v>0</v>
      </c>
      <c r="BJ438" s="17">
        <f t="shared" si="461"/>
        <v>0</v>
      </c>
    </row>
    <row r="439" spans="1:62" x14ac:dyDescent="0.2">
      <c r="A439" s="4" t="s">
        <v>396</v>
      </c>
      <c r="B439" s="4" t="s">
        <v>872</v>
      </c>
      <c r="C439" s="240" t="s">
        <v>1461</v>
      </c>
      <c r="D439" s="241"/>
      <c r="E439" s="241"/>
      <c r="F439" s="4" t="s">
        <v>1645</v>
      </c>
      <c r="G439" s="69">
        <v>345.786</v>
      </c>
      <c r="H439" s="168"/>
      <c r="I439" s="17">
        <f t="shared" si="440"/>
        <v>0</v>
      </c>
      <c r="J439" s="17">
        <f t="shared" si="441"/>
        <v>0</v>
      </c>
      <c r="K439" s="17">
        <f t="shared" si="442"/>
        <v>0</v>
      </c>
      <c r="L439" s="28" t="s">
        <v>1671</v>
      </c>
      <c r="Z439" s="34">
        <f t="shared" si="443"/>
        <v>0</v>
      </c>
      <c r="AB439" s="34">
        <f t="shared" si="444"/>
        <v>0</v>
      </c>
      <c r="AC439" s="34">
        <f t="shared" si="445"/>
        <v>0</v>
      </c>
      <c r="AD439" s="34">
        <f t="shared" si="446"/>
        <v>0</v>
      </c>
      <c r="AE439" s="34">
        <f t="shared" si="447"/>
        <v>0</v>
      </c>
      <c r="AF439" s="34">
        <f t="shared" si="448"/>
        <v>0</v>
      </c>
      <c r="AG439" s="34">
        <f t="shared" si="449"/>
        <v>0</v>
      </c>
      <c r="AH439" s="34">
        <f t="shared" si="450"/>
        <v>0</v>
      </c>
      <c r="AI439" s="29"/>
      <c r="AJ439" s="17">
        <f t="shared" si="451"/>
        <v>0</v>
      </c>
      <c r="AK439" s="17">
        <f t="shared" si="452"/>
        <v>0</v>
      </c>
      <c r="AL439" s="17">
        <f t="shared" si="453"/>
        <v>0</v>
      </c>
      <c r="AN439" s="34">
        <v>15</v>
      </c>
      <c r="AO439" s="34">
        <f>H439*0.493506493506494</f>
        <v>0</v>
      </c>
      <c r="AP439" s="34">
        <f>H439*(1-0.493506493506494)</f>
        <v>0</v>
      </c>
      <c r="AQ439" s="28" t="s">
        <v>13</v>
      </c>
      <c r="AV439" s="34">
        <f t="shared" si="454"/>
        <v>0</v>
      </c>
      <c r="AW439" s="34">
        <f t="shared" si="455"/>
        <v>0</v>
      </c>
      <c r="AX439" s="34">
        <f t="shared" si="456"/>
        <v>0</v>
      </c>
      <c r="AY439" s="35" t="s">
        <v>1714</v>
      </c>
      <c r="AZ439" s="35" t="s">
        <v>1734</v>
      </c>
      <c r="BA439" s="29" t="s">
        <v>1737</v>
      </c>
      <c r="BC439" s="34">
        <f t="shared" si="457"/>
        <v>0</v>
      </c>
      <c r="BD439" s="34">
        <f t="shared" si="458"/>
        <v>0</v>
      </c>
      <c r="BE439" s="34">
        <v>0</v>
      </c>
      <c r="BF439" s="34">
        <f>439</f>
        <v>439</v>
      </c>
      <c r="BH439" s="17">
        <f t="shared" si="459"/>
        <v>0</v>
      </c>
      <c r="BI439" s="17">
        <f t="shared" si="460"/>
        <v>0</v>
      </c>
      <c r="BJ439" s="17">
        <f t="shared" si="461"/>
        <v>0</v>
      </c>
    </row>
    <row r="440" spans="1:62" x14ac:dyDescent="0.2">
      <c r="A440" s="4" t="s">
        <v>397</v>
      </c>
      <c r="B440" s="4" t="s">
        <v>873</v>
      </c>
      <c r="C440" s="240" t="s">
        <v>1462</v>
      </c>
      <c r="D440" s="241"/>
      <c r="E440" s="241"/>
      <c r="F440" s="4" t="s">
        <v>1645</v>
      </c>
      <c r="G440" s="69">
        <v>345.786</v>
      </c>
      <c r="H440" s="168"/>
      <c r="I440" s="17">
        <f t="shared" si="440"/>
        <v>0</v>
      </c>
      <c r="J440" s="17">
        <f t="shared" si="441"/>
        <v>0</v>
      </c>
      <c r="K440" s="17">
        <f t="shared" si="442"/>
        <v>0</v>
      </c>
      <c r="L440" s="28" t="s">
        <v>1671</v>
      </c>
      <c r="Z440" s="34">
        <f t="shared" si="443"/>
        <v>0</v>
      </c>
      <c r="AB440" s="34">
        <f t="shared" si="444"/>
        <v>0</v>
      </c>
      <c r="AC440" s="34">
        <f t="shared" si="445"/>
        <v>0</v>
      </c>
      <c r="AD440" s="34">
        <f t="shared" si="446"/>
        <v>0</v>
      </c>
      <c r="AE440" s="34">
        <f t="shared" si="447"/>
        <v>0</v>
      </c>
      <c r="AF440" s="34">
        <f t="shared" si="448"/>
        <v>0</v>
      </c>
      <c r="AG440" s="34">
        <f t="shared" si="449"/>
        <v>0</v>
      </c>
      <c r="AH440" s="34">
        <f t="shared" si="450"/>
        <v>0</v>
      </c>
      <c r="AI440" s="29"/>
      <c r="AJ440" s="17">
        <f t="shared" si="451"/>
        <v>0</v>
      </c>
      <c r="AK440" s="17">
        <f t="shared" si="452"/>
        <v>0</v>
      </c>
      <c r="AL440" s="17">
        <f t="shared" si="453"/>
        <v>0</v>
      </c>
      <c r="AN440" s="34">
        <v>15</v>
      </c>
      <c r="AO440" s="34">
        <f>H440*0.493489101019164</f>
        <v>0</v>
      </c>
      <c r="AP440" s="34">
        <f>H440*(1-0.493489101019164)</f>
        <v>0</v>
      </c>
      <c r="AQ440" s="28" t="s">
        <v>13</v>
      </c>
      <c r="AV440" s="34">
        <f t="shared" si="454"/>
        <v>0</v>
      </c>
      <c r="AW440" s="34">
        <f t="shared" si="455"/>
        <v>0</v>
      </c>
      <c r="AX440" s="34">
        <f t="shared" si="456"/>
        <v>0</v>
      </c>
      <c r="AY440" s="35" t="s">
        <v>1714</v>
      </c>
      <c r="AZ440" s="35" t="s">
        <v>1734</v>
      </c>
      <c r="BA440" s="29" t="s">
        <v>1737</v>
      </c>
      <c r="BC440" s="34">
        <f t="shared" si="457"/>
        <v>0</v>
      </c>
      <c r="BD440" s="34">
        <f t="shared" si="458"/>
        <v>0</v>
      </c>
      <c r="BE440" s="34">
        <v>0</v>
      </c>
      <c r="BF440" s="34">
        <f>440</f>
        <v>440</v>
      </c>
      <c r="BH440" s="17">
        <f t="shared" si="459"/>
        <v>0</v>
      </c>
      <c r="BI440" s="17">
        <f t="shared" si="460"/>
        <v>0</v>
      </c>
      <c r="BJ440" s="17">
        <f t="shared" si="461"/>
        <v>0</v>
      </c>
    </row>
    <row r="441" spans="1:62" x14ac:dyDescent="0.2">
      <c r="A441" s="4" t="s">
        <v>398</v>
      </c>
      <c r="B441" s="4" t="s">
        <v>874</v>
      </c>
      <c r="C441" s="240" t="s">
        <v>1463</v>
      </c>
      <c r="D441" s="241"/>
      <c r="E441" s="241"/>
      <c r="F441" s="4" t="s">
        <v>1645</v>
      </c>
      <c r="G441" s="69">
        <v>345.786</v>
      </c>
      <c r="H441" s="168"/>
      <c r="I441" s="17">
        <f t="shared" si="440"/>
        <v>0</v>
      </c>
      <c r="J441" s="17">
        <f t="shared" si="441"/>
        <v>0</v>
      </c>
      <c r="K441" s="17">
        <f t="shared" si="442"/>
        <v>0</v>
      </c>
      <c r="L441" s="28" t="s">
        <v>1671</v>
      </c>
      <c r="Z441" s="34">
        <f t="shared" si="443"/>
        <v>0</v>
      </c>
      <c r="AB441" s="34">
        <f t="shared" si="444"/>
        <v>0</v>
      </c>
      <c r="AC441" s="34">
        <f t="shared" si="445"/>
        <v>0</v>
      </c>
      <c r="AD441" s="34">
        <f t="shared" si="446"/>
        <v>0</v>
      </c>
      <c r="AE441" s="34">
        <f t="shared" si="447"/>
        <v>0</v>
      </c>
      <c r="AF441" s="34">
        <f t="shared" si="448"/>
        <v>0</v>
      </c>
      <c r="AG441" s="34">
        <f t="shared" si="449"/>
        <v>0</v>
      </c>
      <c r="AH441" s="34">
        <f t="shared" si="450"/>
        <v>0</v>
      </c>
      <c r="AI441" s="29"/>
      <c r="AJ441" s="17">
        <f t="shared" si="451"/>
        <v>0</v>
      </c>
      <c r="AK441" s="17">
        <f t="shared" si="452"/>
        <v>0</v>
      </c>
      <c r="AL441" s="17">
        <f t="shared" si="453"/>
        <v>0</v>
      </c>
      <c r="AN441" s="34">
        <v>15</v>
      </c>
      <c r="AO441" s="34">
        <f>H441*0</f>
        <v>0</v>
      </c>
      <c r="AP441" s="34">
        <f>H441*(1-0)</f>
        <v>0</v>
      </c>
      <c r="AQ441" s="28" t="s">
        <v>13</v>
      </c>
      <c r="AV441" s="34">
        <f t="shared" si="454"/>
        <v>0</v>
      </c>
      <c r="AW441" s="34">
        <f t="shared" si="455"/>
        <v>0</v>
      </c>
      <c r="AX441" s="34">
        <f t="shared" si="456"/>
        <v>0</v>
      </c>
      <c r="AY441" s="35" t="s">
        <v>1714</v>
      </c>
      <c r="AZ441" s="35" t="s">
        <v>1734</v>
      </c>
      <c r="BA441" s="29" t="s">
        <v>1737</v>
      </c>
      <c r="BC441" s="34">
        <f t="shared" si="457"/>
        <v>0</v>
      </c>
      <c r="BD441" s="34">
        <f t="shared" si="458"/>
        <v>0</v>
      </c>
      <c r="BE441" s="34">
        <v>0</v>
      </c>
      <c r="BF441" s="34">
        <f>441</f>
        <v>441</v>
      </c>
      <c r="BH441" s="17">
        <f t="shared" si="459"/>
        <v>0</v>
      </c>
      <c r="BI441" s="17">
        <f t="shared" si="460"/>
        <v>0</v>
      </c>
      <c r="BJ441" s="17">
        <f t="shared" si="461"/>
        <v>0</v>
      </c>
    </row>
    <row r="442" spans="1:62" x14ac:dyDescent="0.2">
      <c r="A442" s="6" t="s">
        <v>399</v>
      </c>
      <c r="B442" s="6" t="s">
        <v>875</v>
      </c>
      <c r="C442" s="246" t="s">
        <v>1464</v>
      </c>
      <c r="D442" s="247"/>
      <c r="E442" s="247"/>
      <c r="F442" s="6" t="s">
        <v>1645</v>
      </c>
      <c r="G442" s="72">
        <v>363.07499999999999</v>
      </c>
      <c r="H442" s="169"/>
      <c r="I442" s="18">
        <f t="shared" si="440"/>
        <v>0</v>
      </c>
      <c r="J442" s="18">
        <f t="shared" si="441"/>
        <v>0</v>
      </c>
      <c r="K442" s="18">
        <f t="shared" si="442"/>
        <v>0</v>
      </c>
      <c r="L442" s="30" t="s">
        <v>1671</v>
      </c>
      <c r="Z442" s="34">
        <f t="shared" si="443"/>
        <v>0</v>
      </c>
      <c r="AB442" s="34">
        <f t="shared" si="444"/>
        <v>0</v>
      </c>
      <c r="AC442" s="34">
        <f t="shared" si="445"/>
        <v>0</v>
      </c>
      <c r="AD442" s="34">
        <f t="shared" si="446"/>
        <v>0</v>
      </c>
      <c r="AE442" s="34">
        <f t="shared" si="447"/>
        <v>0</v>
      </c>
      <c r="AF442" s="34">
        <f t="shared" si="448"/>
        <v>0</v>
      </c>
      <c r="AG442" s="34">
        <f t="shared" si="449"/>
        <v>0</v>
      </c>
      <c r="AH442" s="34">
        <f t="shared" si="450"/>
        <v>0</v>
      </c>
      <c r="AI442" s="29"/>
      <c r="AJ442" s="18">
        <f t="shared" si="451"/>
        <v>0</v>
      </c>
      <c r="AK442" s="18">
        <f t="shared" si="452"/>
        <v>0</v>
      </c>
      <c r="AL442" s="18">
        <f t="shared" si="453"/>
        <v>0</v>
      </c>
      <c r="AN442" s="34">
        <v>15</v>
      </c>
      <c r="AO442" s="34">
        <f>H442*1</f>
        <v>0</v>
      </c>
      <c r="AP442" s="34">
        <f>H442*(1-1)</f>
        <v>0</v>
      </c>
      <c r="AQ442" s="30" t="s">
        <v>13</v>
      </c>
      <c r="AV442" s="34">
        <f t="shared" si="454"/>
        <v>0</v>
      </c>
      <c r="AW442" s="34">
        <f t="shared" si="455"/>
        <v>0</v>
      </c>
      <c r="AX442" s="34">
        <f t="shared" si="456"/>
        <v>0</v>
      </c>
      <c r="AY442" s="35" t="s">
        <v>1714</v>
      </c>
      <c r="AZ442" s="35" t="s">
        <v>1734</v>
      </c>
      <c r="BA442" s="29" t="s">
        <v>1737</v>
      </c>
      <c r="BC442" s="34">
        <f t="shared" si="457"/>
        <v>0</v>
      </c>
      <c r="BD442" s="34">
        <f t="shared" si="458"/>
        <v>0</v>
      </c>
      <c r="BE442" s="34">
        <v>0</v>
      </c>
      <c r="BF442" s="34">
        <f>442</f>
        <v>442</v>
      </c>
      <c r="BH442" s="18">
        <f t="shared" si="459"/>
        <v>0</v>
      </c>
      <c r="BI442" s="18">
        <f t="shared" si="460"/>
        <v>0</v>
      </c>
      <c r="BJ442" s="18">
        <f t="shared" si="461"/>
        <v>0</v>
      </c>
    </row>
    <row r="443" spans="1:62" x14ac:dyDescent="0.2">
      <c r="A443" s="4" t="s">
        <v>400</v>
      </c>
      <c r="B443" s="4" t="s">
        <v>876</v>
      </c>
      <c r="C443" s="240" t="s">
        <v>1465</v>
      </c>
      <c r="D443" s="241"/>
      <c r="E443" s="241"/>
      <c r="F443" s="4" t="s">
        <v>1645</v>
      </c>
      <c r="G443" s="69">
        <v>344.89400000000001</v>
      </c>
      <c r="H443" s="168"/>
      <c r="I443" s="17">
        <f t="shared" si="440"/>
        <v>0</v>
      </c>
      <c r="J443" s="17">
        <f t="shared" si="441"/>
        <v>0</v>
      </c>
      <c r="K443" s="17">
        <f t="shared" si="442"/>
        <v>0</v>
      </c>
      <c r="L443" s="28" t="s">
        <v>1671</v>
      </c>
      <c r="Z443" s="34">
        <f t="shared" si="443"/>
        <v>0</v>
      </c>
      <c r="AB443" s="34">
        <f t="shared" si="444"/>
        <v>0</v>
      </c>
      <c r="AC443" s="34">
        <f t="shared" si="445"/>
        <v>0</v>
      </c>
      <c r="AD443" s="34">
        <f t="shared" si="446"/>
        <v>0</v>
      </c>
      <c r="AE443" s="34">
        <f t="shared" si="447"/>
        <v>0</v>
      </c>
      <c r="AF443" s="34">
        <f t="shared" si="448"/>
        <v>0</v>
      </c>
      <c r="AG443" s="34">
        <f t="shared" si="449"/>
        <v>0</v>
      </c>
      <c r="AH443" s="34">
        <f t="shared" si="450"/>
        <v>0</v>
      </c>
      <c r="AI443" s="29"/>
      <c r="AJ443" s="17">
        <f t="shared" si="451"/>
        <v>0</v>
      </c>
      <c r="AK443" s="17">
        <f t="shared" si="452"/>
        <v>0</v>
      </c>
      <c r="AL443" s="17">
        <f t="shared" si="453"/>
        <v>0</v>
      </c>
      <c r="AN443" s="34">
        <v>15</v>
      </c>
      <c r="AO443" s="34">
        <f>H443*0</f>
        <v>0</v>
      </c>
      <c r="AP443" s="34">
        <f>H443*(1-0)</f>
        <v>0</v>
      </c>
      <c r="AQ443" s="28" t="s">
        <v>13</v>
      </c>
      <c r="AV443" s="34">
        <f t="shared" si="454"/>
        <v>0</v>
      </c>
      <c r="AW443" s="34">
        <f t="shared" si="455"/>
        <v>0</v>
      </c>
      <c r="AX443" s="34">
        <f t="shared" si="456"/>
        <v>0</v>
      </c>
      <c r="AY443" s="35" t="s">
        <v>1714</v>
      </c>
      <c r="AZ443" s="35" t="s">
        <v>1734</v>
      </c>
      <c r="BA443" s="29" t="s">
        <v>1737</v>
      </c>
      <c r="BC443" s="34">
        <f t="shared" si="457"/>
        <v>0</v>
      </c>
      <c r="BD443" s="34">
        <f t="shared" si="458"/>
        <v>0</v>
      </c>
      <c r="BE443" s="34">
        <v>0</v>
      </c>
      <c r="BF443" s="34">
        <f>443</f>
        <v>443</v>
      </c>
      <c r="BH443" s="17">
        <f t="shared" si="459"/>
        <v>0</v>
      </c>
      <c r="BI443" s="17">
        <f t="shared" si="460"/>
        <v>0</v>
      </c>
      <c r="BJ443" s="17">
        <f t="shared" si="461"/>
        <v>0</v>
      </c>
    </row>
    <row r="444" spans="1:62" x14ac:dyDescent="0.2">
      <c r="A444" s="4" t="s">
        <v>401</v>
      </c>
      <c r="B444" s="4" t="s">
        <v>877</v>
      </c>
      <c r="C444" s="240" t="s">
        <v>1466</v>
      </c>
      <c r="D444" s="241"/>
      <c r="E444" s="241"/>
      <c r="F444" s="4" t="s">
        <v>1647</v>
      </c>
      <c r="G444" s="69">
        <v>7.6070000000000002</v>
      </c>
      <c r="H444" s="168"/>
      <c r="I444" s="17">
        <f t="shared" si="440"/>
        <v>0</v>
      </c>
      <c r="J444" s="17">
        <f t="shared" si="441"/>
        <v>0</v>
      </c>
      <c r="K444" s="17">
        <f t="shared" si="442"/>
        <v>0</v>
      </c>
      <c r="L444" s="28" t="s">
        <v>1671</v>
      </c>
      <c r="Z444" s="34">
        <f t="shared" si="443"/>
        <v>0</v>
      </c>
      <c r="AB444" s="34">
        <f t="shared" si="444"/>
        <v>0</v>
      </c>
      <c r="AC444" s="34">
        <f t="shared" si="445"/>
        <v>0</v>
      </c>
      <c r="AD444" s="34">
        <f t="shared" si="446"/>
        <v>0</v>
      </c>
      <c r="AE444" s="34">
        <f t="shared" si="447"/>
        <v>0</v>
      </c>
      <c r="AF444" s="34">
        <f t="shared" si="448"/>
        <v>0</v>
      </c>
      <c r="AG444" s="34">
        <f t="shared" si="449"/>
        <v>0</v>
      </c>
      <c r="AH444" s="34">
        <f t="shared" si="450"/>
        <v>0</v>
      </c>
      <c r="AI444" s="29"/>
      <c r="AJ444" s="17">
        <f t="shared" si="451"/>
        <v>0</v>
      </c>
      <c r="AK444" s="17">
        <f t="shared" si="452"/>
        <v>0</v>
      </c>
      <c r="AL444" s="17">
        <f t="shared" si="453"/>
        <v>0</v>
      </c>
      <c r="AN444" s="34">
        <v>15</v>
      </c>
      <c r="AO444" s="34">
        <f>H444*1.00000009788375</f>
        <v>0</v>
      </c>
      <c r="AP444" s="34">
        <f>H444*(1-1.00000009788375)</f>
        <v>0</v>
      </c>
      <c r="AQ444" s="28" t="s">
        <v>13</v>
      </c>
      <c r="AV444" s="34">
        <f t="shared" si="454"/>
        <v>0</v>
      </c>
      <c r="AW444" s="34">
        <f t="shared" si="455"/>
        <v>0</v>
      </c>
      <c r="AX444" s="34">
        <f t="shared" si="456"/>
        <v>0</v>
      </c>
      <c r="AY444" s="35" t="s">
        <v>1714</v>
      </c>
      <c r="AZ444" s="35" t="s">
        <v>1734</v>
      </c>
      <c r="BA444" s="29" t="s">
        <v>1737</v>
      </c>
      <c r="BC444" s="34">
        <f t="shared" si="457"/>
        <v>0</v>
      </c>
      <c r="BD444" s="34">
        <f t="shared" si="458"/>
        <v>0</v>
      </c>
      <c r="BE444" s="34">
        <v>0</v>
      </c>
      <c r="BF444" s="34">
        <f>444</f>
        <v>444</v>
      </c>
      <c r="BH444" s="17">
        <f t="shared" si="459"/>
        <v>0</v>
      </c>
      <c r="BI444" s="17">
        <f t="shared" si="460"/>
        <v>0</v>
      </c>
      <c r="BJ444" s="17">
        <f t="shared" si="461"/>
        <v>0</v>
      </c>
    </row>
    <row r="445" spans="1:62" x14ac:dyDescent="0.2">
      <c r="A445" s="4" t="s">
        <v>402</v>
      </c>
      <c r="B445" s="4" t="s">
        <v>878</v>
      </c>
      <c r="C445" s="240" t="s">
        <v>1467</v>
      </c>
      <c r="D445" s="241"/>
      <c r="E445" s="241"/>
      <c r="F445" s="4" t="s">
        <v>1645</v>
      </c>
      <c r="G445" s="69">
        <v>54.9</v>
      </c>
      <c r="H445" s="168"/>
      <c r="I445" s="17">
        <f t="shared" si="440"/>
        <v>0</v>
      </c>
      <c r="J445" s="17">
        <f t="shared" si="441"/>
        <v>0</v>
      </c>
      <c r="K445" s="17">
        <f t="shared" si="442"/>
        <v>0</v>
      </c>
      <c r="L445" s="28" t="s">
        <v>1671</v>
      </c>
      <c r="Z445" s="34">
        <f t="shared" si="443"/>
        <v>0</v>
      </c>
      <c r="AB445" s="34">
        <f t="shared" si="444"/>
        <v>0</v>
      </c>
      <c r="AC445" s="34">
        <f t="shared" si="445"/>
        <v>0</v>
      </c>
      <c r="AD445" s="34">
        <f t="shared" si="446"/>
        <v>0</v>
      </c>
      <c r="AE445" s="34">
        <f t="shared" si="447"/>
        <v>0</v>
      </c>
      <c r="AF445" s="34">
        <f t="shared" si="448"/>
        <v>0</v>
      </c>
      <c r="AG445" s="34">
        <f t="shared" si="449"/>
        <v>0</v>
      </c>
      <c r="AH445" s="34">
        <f t="shared" si="450"/>
        <v>0</v>
      </c>
      <c r="AI445" s="29"/>
      <c r="AJ445" s="17">
        <f t="shared" si="451"/>
        <v>0</v>
      </c>
      <c r="AK445" s="17">
        <f t="shared" si="452"/>
        <v>0</v>
      </c>
      <c r="AL445" s="17">
        <f t="shared" si="453"/>
        <v>0</v>
      </c>
      <c r="AN445" s="34">
        <v>15</v>
      </c>
      <c r="AO445" s="34">
        <f>H445*0.650037878787879</f>
        <v>0</v>
      </c>
      <c r="AP445" s="34">
        <f>H445*(1-0.650037878787879)</f>
        <v>0</v>
      </c>
      <c r="AQ445" s="28" t="s">
        <v>13</v>
      </c>
      <c r="AV445" s="34">
        <f t="shared" si="454"/>
        <v>0</v>
      </c>
      <c r="AW445" s="34">
        <f t="shared" si="455"/>
        <v>0</v>
      </c>
      <c r="AX445" s="34">
        <f t="shared" si="456"/>
        <v>0</v>
      </c>
      <c r="AY445" s="35" t="s">
        <v>1714</v>
      </c>
      <c r="AZ445" s="35" t="s">
        <v>1734</v>
      </c>
      <c r="BA445" s="29" t="s">
        <v>1737</v>
      </c>
      <c r="BC445" s="34">
        <f t="shared" si="457"/>
        <v>0</v>
      </c>
      <c r="BD445" s="34">
        <f t="shared" si="458"/>
        <v>0</v>
      </c>
      <c r="BE445" s="34">
        <v>0</v>
      </c>
      <c r="BF445" s="34">
        <f>445</f>
        <v>445</v>
      </c>
      <c r="BH445" s="17">
        <f t="shared" si="459"/>
        <v>0</v>
      </c>
      <c r="BI445" s="17">
        <f t="shared" si="460"/>
        <v>0</v>
      </c>
      <c r="BJ445" s="17">
        <f t="shared" si="461"/>
        <v>0</v>
      </c>
    </row>
    <row r="446" spans="1:62" x14ac:dyDescent="0.2">
      <c r="A446" s="4" t="s">
        <v>403</v>
      </c>
      <c r="B446" s="4" t="s">
        <v>879</v>
      </c>
      <c r="C446" s="240" t="s">
        <v>1468</v>
      </c>
      <c r="D446" s="241"/>
      <c r="E446" s="241"/>
      <c r="F446" s="4" t="s">
        <v>1645</v>
      </c>
      <c r="G446" s="69">
        <v>54.9</v>
      </c>
      <c r="H446" s="168"/>
      <c r="I446" s="17">
        <f t="shared" si="440"/>
        <v>0</v>
      </c>
      <c r="J446" s="17">
        <f t="shared" si="441"/>
        <v>0</v>
      </c>
      <c r="K446" s="17">
        <f t="shared" si="442"/>
        <v>0</v>
      </c>
      <c r="L446" s="28" t="s">
        <v>1671</v>
      </c>
      <c r="Z446" s="34">
        <f t="shared" si="443"/>
        <v>0</v>
      </c>
      <c r="AB446" s="34">
        <f t="shared" si="444"/>
        <v>0</v>
      </c>
      <c r="AC446" s="34">
        <f t="shared" si="445"/>
        <v>0</v>
      </c>
      <c r="AD446" s="34">
        <f t="shared" si="446"/>
        <v>0</v>
      </c>
      <c r="AE446" s="34">
        <f t="shared" si="447"/>
        <v>0</v>
      </c>
      <c r="AF446" s="34">
        <f t="shared" si="448"/>
        <v>0</v>
      </c>
      <c r="AG446" s="34">
        <f t="shared" si="449"/>
        <v>0</v>
      </c>
      <c r="AH446" s="34">
        <f t="shared" si="450"/>
        <v>0</v>
      </c>
      <c r="AI446" s="29"/>
      <c r="AJ446" s="17">
        <f t="shared" si="451"/>
        <v>0</v>
      </c>
      <c r="AK446" s="17">
        <f t="shared" si="452"/>
        <v>0</v>
      </c>
      <c r="AL446" s="17">
        <f t="shared" si="453"/>
        <v>0</v>
      </c>
      <c r="AN446" s="34">
        <v>15</v>
      </c>
      <c r="AO446" s="34">
        <f>H446*0.0505464480874317</f>
        <v>0</v>
      </c>
      <c r="AP446" s="34">
        <f>H446*(1-0.0505464480874317)</f>
        <v>0</v>
      </c>
      <c r="AQ446" s="28" t="s">
        <v>13</v>
      </c>
      <c r="AV446" s="34">
        <f t="shared" si="454"/>
        <v>0</v>
      </c>
      <c r="AW446" s="34">
        <f t="shared" si="455"/>
        <v>0</v>
      </c>
      <c r="AX446" s="34">
        <f t="shared" si="456"/>
        <v>0</v>
      </c>
      <c r="AY446" s="35" t="s">
        <v>1714</v>
      </c>
      <c r="AZ446" s="35" t="s">
        <v>1734</v>
      </c>
      <c r="BA446" s="29" t="s">
        <v>1737</v>
      </c>
      <c r="BC446" s="34">
        <f t="shared" si="457"/>
        <v>0</v>
      </c>
      <c r="BD446" s="34">
        <f t="shared" si="458"/>
        <v>0</v>
      </c>
      <c r="BE446" s="34">
        <v>0</v>
      </c>
      <c r="BF446" s="34">
        <f>446</f>
        <v>446</v>
      </c>
      <c r="BH446" s="17">
        <f t="shared" si="459"/>
        <v>0</v>
      </c>
      <c r="BI446" s="17">
        <f t="shared" si="460"/>
        <v>0</v>
      </c>
      <c r="BJ446" s="17">
        <f t="shared" si="461"/>
        <v>0</v>
      </c>
    </row>
    <row r="447" spans="1:62" x14ac:dyDescent="0.2">
      <c r="A447" s="4" t="s">
        <v>404</v>
      </c>
      <c r="B447" s="4" t="s">
        <v>880</v>
      </c>
      <c r="C447" s="240" t="s">
        <v>1469</v>
      </c>
      <c r="D447" s="241"/>
      <c r="E447" s="241"/>
      <c r="F447" s="4" t="s">
        <v>1647</v>
      </c>
      <c r="G447" s="69">
        <v>1.0429999999999999</v>
      </c>
      <c r="H447" s="168"/>
      <c r="I447" s="17">
        <f t="shared" si="440"/>
        <v>0</v>
      </c>
      <c r="J447" s="17">
        <f t="shared" si="441"/>
        <v>0</v>
      </c>
      <c r="K447" s="17">
        <f t="shared" si="442"/>
        <v>0</v>
      </c>
      <c r="L447" s="28" t="s">
        <v>1671</v>
      </c>
      <c r="Z447" s="34">
        <f t="shared" si="443"/>
        <v>0</v>
      </c>
      <c r="AB447" s="34">
        <f t="shared" si="444"/>
        <v>0</v>
      </c>
      <c r="AC447" s="34">
        <f t="shared" si="445"/>
        <v>0</v>
      </c>
      <c r="AD447" s="34">
        <f t="shared" si="446"/>
        <v>0</v>
      </c>
      <c r="AE447" s="34">
        <f t="shared" si="447"/>
        <v>0</v>
      </c>
      <c r="AF447" s="34">
        <f t="shared" si="448"/>
        <v>0</v>
      </c>
      <c r="AG447" s="34">
        <f t="shared" si="449"/>
        <v>0</v>
      </c>
      <c r="AH447" s="34">
        <f t="shared" si="450"/>
        <v>0</v>
      </c>
      <c r="AI447" s="29"/>
      <c r="AJ447" s="17">
        <f t="shared" si="451"/>
        <v>0</v>
      </c>
      <c r="AK447" s="17">
        <f t="shared" si="452"/>
        <v>0</v>
      </c>
      <c r="AL447" s="17">
        <f t="shared" si="453"/>
        <v>0</v>
      </c>
      <c r="AN447" s="34">
        <v>15</v>
      </c>
      <c r="AO447" s="34">
        <f>H447*1.00000541682466</f>
        <v>0</v>
      </c>
      <c r="AP447" s="34">
        <f>H447*(1-1.00000541682466)</f>
        <v>0</v>
      </c>
      <c r="AQ447" s="28" t="s">
        <v>13</v>
      </c>
      <c r="AV447" s="34">
        <f t="shared" si="454"/>
        <v>0</v>
      </c>
      <c r="AW447" s="34">
        <f t="shared" si="455"/>
        <v>0</v>
      </c>
      <c r="AX447" s="34">
        <f t="shared" si="456"/>
        <v>0</v>
      </c>
      <c r="AY447" s="35" t="s">
        <v>1714</v>
      </c>
      <c r="AZ447" s="35" t="s">
        <v>1734</v>
      </c>
      <c r="BA447" s="29" t="s">
        <v>1737</v>
      </c>
      <c r="BC447" s="34">
        <f t="shared" si="457"/>
        <v>0</v>
      </c>
      <c r="BD447" s="34">
        <f t="shared" si="458"/>
        <v>0</v>
      </c>
      <c r="BE447" s="34">
        <v>0</v>
      </c>
      <c r="BF447" s="34">
        <f>447</f>
        <v>447</v>
      </c>
      <c r="BH447" s="17">
        <f t="shared" si="459"/>
        <v>0</v>
      </c>
      <c r="BI447" s="17">
        <f t="shared" si="460"/>
        <v>0</v>
      </c>
      <c r="BJ447" s="17">
        <f t="shared" si="461"/>
        <v>0</v>
      </c>
    </row>
    <row r="448" spans="1:62" x14ac:dyDescent="0.2">
      <c r="A448" s="4" t="s">
        <v>405</v>
      </c>
      <c r="B448" s="4" t="s">
        <v>881</v>
      </c>
      <c r="C448" s="240" t="s">
        <v>1470</v>
      </c>
      <c r="D448" s="241"/>
      <c r="E448" s="241"/>
      <c r="F448" s="4" t="s">
        <v>1648</v>
      </c>
      <c r="G448" s="69">
        <v>31.597999999999999</v>
      </c>
      <c r="H448" s="168"/>
      <c r="I448" s="17">
        <f t="shared" si="440"/>
        <v>0</v>
      </c>
      <c r="J448" s="17">
        <f t="shared" si="441"/>
        <v>0</v>
      </c>
      <c r="K448" s="17">
        <f t="shared" si="442"/>
        <v>0</v>
      </c>
      <c r="L448" s="28" t="s">
        <v>1671</v>
      </c>
      <c r="Z448" s="34">
        <f t="shared" si="443"/>
        <v>0</v>
      </c>
      <c r="AB448" s="34">
        <f t="shared" si="444"/>
        <v>0</v>
      </c>
      <c r="AC448" s="34">
        <f t="shared" si="445"/>
        <v>0</v>
      </c>
      <c r="AD448" s="34">
        <f t="shared" si="446"/>
        <v>0</v>
      </c>
      <c r="AE448" s="34">
        <f t="shared" si="447"/>
        <v>0</v>
      </c>
      <c r="AF448" s="34">
        <f t="shared" si="448"/>
        <v>0</v>
      </c>
      <c r="AG448" s="34">
        <f t="shared" si="449"/>
        <v>0</v>
      </c>
      <c r="AH448" s="34">
        <f t="shared" si="450"/>
        <v>0</v>
      </c>
      <c r="AI448" s="29"/>
      <c r="AJ448" s="17">
        <f t="shared" si="451"/>
        <v>0</v>
      </c>
      <c r="AK448" s="17">
        <f t="shared" si="452"/>
        <v>0</v>
      </c>
      <c r="AL448" s="17">
        <f t="shared" si="453"/>
        <v>0</v>
      </c>
      <c r="AN448" s="34">
        <v>15</v>
      </c>
      <c r="AO448" s="34">
        <f>H448*0</f>
        <v>0</v>
      </c>
      <c r="AP448" s="34">
        <f>H448*(1-0)</f>
        <v>0</v>
      </c>
      <c r="AQ448" s="28" t="s">
        <v>11</v>
      </c>
      <c r="AV448" s="34">
        <f t="shared" si="454"/>
        <v>0</v>
      </c>
      <c r="AW448" s="34">
        <f t="shared" si="455"/>
        <v>0</v>
      </c>
      <c r="AX448" s="34">
        <f t="shared" si="456"/>
        <v>0</v>
      </c>
      <c r="AY448" s="35" t="s">
        <v>1714</v>
      </c>
      <c r="AZ448" s="35" t="s">
        <v>1734</v>
      </c>
      <c r="BA448" s="29" t="s">
        <v>1737</v>
      </c>
      <c r="BC448" s="34">
        <f t="shared" si="457"/>
        <v>0</v>
      </c>
      <c r="BD448" s="34">
        <f t="shared" si="458"/>
        <v>0</v>
      </c>
      <c r="BE448" s="34">
        <v>0</v>
      </c>
      <c r="BF448" s="34">
        <f>448</f>
        <v>448</v>
      </c>
      <c r="BH448" s="17">
        <f t="shared" si="459"/>
        <v>0</v>
      </c>
      <c r="BI448" s="17">
        <f t="shared" si="460"/>
        <v>0</v>
      </c>
      <c r="BJ448" s="17">
        <f t="shared" si="461"/>
        <v>0</v>
      </c>
    </row>
    <row r="449" spans="1:62" x14ac:dyDescent="0.2">
      <c r="A449" s="5"/>
      <c r="B449" s="13" t="s">
        <v>882</v>
      </c>
      <c r="C449" s="244" t="s">
        <v>1471</v>
      </c>
      <c r="D449" s="245"/>
      <c r="E449" s="245"/>
      <c r="F449" s="5" t="s">
        <v>6</v>
      </c>
      <c r="G449" s="5" t="s">
        <v>6</v>
      </c>
      <c r="H449" s="5" t="s">
        <v>6</v>
      </c>
      <c r="I449" s="37">
        <f>SUM(I450:I469)</f>
        <v>0</v>
      </c>
      <c r="J449" s="37">
        <f>SUM(J450:J469)</f>
        <v>0</v>
      </c>
      <c r="K449" s="37">
        <f>SUM(K450:K469)</f>
        <v>0</v>
      </c>
      <c r="L449" s="29"/>
      <c r="AI449" s="29"/>
      <c r="AS449" s="37">
        <f>SUM(AJ450:AJ469)</f>
        <v>0</v>
      </c>
      <c r="AT449" s="37">
        <f>SUM(AK450:AK469)</f>
        <v>0</v>
      </c>
      <c r="AU449" s="37">
        <f>SUM(AL450:AL469)</f>
        <v>0</v>
      </c>
    </row>
    <row r="450" spans="1:62" x14ac:dyDescent="0.2">
      <c r="A450" s="4" t="s">
        <v>406</v>
      </c>
      <c r="B450" s="4" t="s">
        <v>883</v>
      </c>
      <c r="C450" s="240" t="s">
        <v>1472</v>
      </c>
      <c r="D450" s="241"/>
      <c r="E450" s="241"/>
      <c r="F450" s="4" t="s">
        <v>1645</v>
      </c>
      <c r="G450" s="69">
        <v>344.89400000000001</v>
      </c>
      <c r="H450" s="168"/>
      <c r="I450" s="17">
        <f t="shared" ref="I450:I469" si="462">G450*AO450</f>
        <v>0</v>
      </c>
      <c r="J450" s="17">
        <f t="shared" ref="J450:J469" si="463">G450*AP450</f>
        <v>0</v>
      </c>
      <c r="K450" s="17">
        <f t="shared" ref="K450:K469" si="464">G450*H450</f>
        <v>0</v>
      </c>
      <c r="L450" s="28" t="s">
        <v>1671</v>
      </c>
      <c r="Z450" s="34">
        <f t="shared" ref="Z450:Z469" si="465">IF(AQ450="5",BJ450,0)</f>
        <v>0</v>
      </c>
      <c r="AB450" s="34">
        <f t="shared" ref="AB450:AB469" si="466">IF(AQ450="1",BH450,0)</f>
        <v>0</v>
      </c>
      <c r="AC450" s="34">
        <f t="shared" ref="AC450:AC469" si="467">IF(AQ450="1",BI450,0)</f>
        <v>0</v>
      </c>
      <c r="AD450" s="34">
        <f t="shared" ref="AD450:AD469" si="468">IF(AQ450="7",BH450,0)</f>
        <v>0</v>
      </c>
      <c r="AE450" s="34">
        <f t="shared" ref="AE450:AE469" si="469">IF(AQ450="7",BI450,0)</f>
        <v>0</v>
      </c>
      <c r="AF450" s="34">
        <f t="shared" ref="AF450:AF469" si="470">IF(AQ450="2",BH450,0)</f>
        <v>0</v>
      </c>
      <c r="AG450" s="34">
        <f t="shared" ref="AG450:AG469" si="471">IF(AQ450="2",BI450,0)</f>
        <v>0</v>
      </c>
      <c r="AH450" s="34">
        <f t="shared" ref="AH450:AH469" si="472">IF(AQ450="0",BJ450,0)</f>
        <v>0</v>
      </c>
      <c r="AI450" s="29"/>
      <c r="AJ450" s="17">
        <f t="shared" ref="AJ450:AJ469" si="473">IF(AN450=0,K450,0)</f>
        <v>0</v>
      </c>
      <c r="AK450" s="17">
        <f t="shared" ref="AK450:AK469" si="474">IF(AN450=15,K450,0)</f>
        <v>0</v>
      </c>
      <c r="AL450" s="17">
        <f t="shared" ref="AL450:AL469" si="475">IF(AN450=21,K450,0)</f>
        <v>0</v>
      </c>
      <c r="AN450" s="34">
        <v>15</v>
      </c>
      <c r="AO450" s="34">
        <f>H450*0</f>
        <v>0</v>
      </c>
      <c r="AP450" s="34">
        <f>H450*(1-0)</f>
        <v>0</v>
      </c>
      <c r="AQ450" s="28" t="s">
        <v>13</v>
      </c>
      <c r="AV450" s="34">
        <f t="shared" ref="AV450:AV469" si="476">AW450+AX450</f>
        <v>0</v>
      </c>
      <c r="AW450" s="34">
        <f t="shared" ref="AW450:AW469" si="477">G450*AO450</f>
        <v>0</v>
      </c>
      <c r="AX450" s="34">
        <f t="shared" ref="AX450:AX469" si="478">G450*AP450</f>
        <v>0</v>
      </c>
      <c r="AY450" s="35" t="s">
        <v>1715</v>
      </c>
      <c r="AZ450" s="35" t="s">
        <v>1734</v>
      </c>
      <c r="BA450" s="29" t="s">
        <v>1737</v>
      </c>
      <c r="BC450" s="34">
        <f t="shared" ref="BC450:BC469" si="479">AW450+AX450</f>
        <v>0</v>
      </c>
      <c r="BD450" s="34">
        <f t="shared" ref="BD450:BD469" si="480">H450/(100-BE450)*100</f>
        <v>0</v>
      </c>
      <c r="BE450" s="34">
        <v>0</v>
      </c>
      <c r="BF450" s="34">
        <f>450</f>
        <v>450</v>
      </c>
      <c r="BH450" s="17">
        <f t="shared" ref="BH450:BH469" si="481">G450*AO450</f>
        <v>0</v>
      </c>
      <c r="BI450" s="17">
        <f t="shared" ref="BI450:BI469" si="482">G450*AP450</f>
        <v>0</v>
      </c>
      <c r="BJ450" s="17">
        <f t="shared" ref="BJ450:BJ469" si="483">G450*H450</f>
        <v>0</v>
      </c>
    </row>
    <row r="451" spans="1:62" x14ac:dyDescent="0.2">
      <c r="A451" s="4" t="s">
        <v>407</v>
      </c>
      <c r="B451" s="4" t="s">
        <v>884</v>
      </c>
      <c r="C451" s="240" t="s">
        <v>1473</v>
      </c>
      <c r="D451" s="241"/>
      <c r="E451" s="241"/>
      <c r="F451" s="4" t="s">
        <v>1646</v>
      </c>
      <c r="G451" s="69">
        <v>106</v>
      </c>
      <c r="H451" s="168"/>
      <c r="I451" s="17">
        <f t="shared" si="462"/>
        <v>0</v>
      </c>
      <c r="J451" s="17">
        <f t="shared" si="463"/>
        <v>0</v>
      </c>
      <c r="K451" s="17">
        <f t="shared" si="464"/>
        <v>0</v>
      </c>
      <c r="L451" s="28" t="s">
        <v>1671</v>
      </c>
      <c r="Z451" s="34">
        <f t="shared" si="465"/>
        <v>0</v>
      </c>
      <c r="AB451" s="34">
        <f t="shared" si="466"/>
        <v>0</v>
      </c>
      <c r="AC451" s="34">
        <f t="shared" si="467"/>
        <v>0</v>
      </c>
      <c r="AD451" s="34">
        <f t="shared" si="468"/>
        <v>0</v>
      </c>
      <c r="AE451" s="34">
        <f t="shared" si="469"/>
        <v>0</v>
      </c>
      <c r="AF451" s="34">
        <f t="shared" si="470"/>
        <v>0</v>
      </c>
      <c r="AG451" s="34">
        <f t="shared" si="471"/>
        <v>0</v>
      </c>
      <c r="AH451" s="34">
        <f t="shared" si="472"/>
        <v>0</v>
      </c>
      <c r="AI451" s="29"/>
      <c r="AJ451" s="17">
        <f t="shared" si="473"/>
        <v>0</v>
      </c>
      <c r="AK451" s="17">
        <f t="shared" si="474"/>
        <v>0</v>
      </c>
      <c r="AL451" s="17">
        <f t="shared" si="475"/>
        <v>0</v>
      </c>
      <c r="AN451" s="34">
        <v>15</v>
      </c>
      <c r="AO451" s="34">
        <f>H451*0</f>
        <v>0</v>
      </c>
      <c r="AP451" s="34">
        <f>H451*(1-0)</f>
        <v>0</v>
      </c>
      <c r="AQ451" s="28" t="s">
        <v>13</v>
      </c>
      <c r="AV451" s="34">
        <f t="shared" si="476"/>
        <v>0</v>
      </c>
      <c r="AW451" s="34">
        <f t="shared" si="477"/>
        <v>0</v>
      </c>
      <c r="AX451" s="34">
        <f t="shared" si="478"/>
        <v>0</v>
      </c>
      <c r="AY451" s="35" t="s">
        <v>1715</v>
      </c>
      <c r="AZ451" s="35" t="s">
        <v>1734</v>
      </c>
      <c r="BA451" s="29" t="s">
        <v>1737</v>
      </c>
      <c r="BC451" s="34">
        <f t="shared" si="479"/>
        <v>0</v>
      </c>
      <c r="BD451" s="34">
        <f t="shared" si="480"/>
        <v>0</v>
      </c>
      <c r="BE451" s="34">
        <v>0</v>
      </c>
      <c r="BF451" s="34">
        <f>451</f>
        <v>451</v>
      </c>
      <c r="BH451" s="17">
        <f t="shared" si="481"/>
        <v>0</v>
      </c>
      <c r="BI451" s="17">
        <f t="shared" si="482"/>
        <v>0</v>
      </c>
      <c r="BJ451" s="17">
        <f t="shared" si="483"/>
        <v>0</v>
      </c>
    </row>
    <row r="452" spans="1:62" x14ac:dyDescent="0.2">
      <c r="A452" s="4" t="s">
        <v>408</v>
      </c>
      <c r="B452" s="4" t="s">
        <v>885</v>
      </c>
      <c r="C452" s="240" t="s">
        <v>1474</v>
      </c>
      <c r="D452" s="241"/>
      <c r="E452" s="241"/>
      <c r="F452" s="4" t="s">
        <v>1645</v>
      </c>
      <c r="G452" s="69">
        <v>1.952</v>
      </c>
      <c r="H452" s="168"/>
      <c r="I452" s="17">
        <f t="shared" si="462"/>
        <v>0</v>
      </c>
      <c r="J452" s="17">
        <f t="shared" si="463"/>
        <v>0</v>
      </c>
      <c r="K452" s="17">
        <f t="shared" si="464"/>
        <v>0</v>
      </c>
      <c r="L452" s="28" t="s">
        <v>1671</v>
      </c>
      <c r="Z452" s="34">
        <f t="shared" si="465"/>
        <v>0</v>
      </c>
      <c r="AB452" s="34">
        <f t="shared" si="466"/>
        <v>0</v>
      </c>
      <c r="AC452" s="34">
        <f t="shared" si="467"/>
        <v>0</v>
      </c>
      <c r="AD452" s="34">
        <f t="shared" si="468"/>
        <v>0</v>
      </c>
      <c r="AE452" s="34">
        <f t="shared" si="469"/>
        <v>0</v>
      </c>
      <c r="AF452" s="34">
        <f t="shared" si="470"/>
        <v>0</v>
      </c>
      <c r="AG452" s="34">
        <f t="shared" si="471"/>
        <v>0</v>
      </c>
      <c r="AH452" s="34">
        <f t="shared" si="472"/>
        <v>0</v>
      </c>
      <c r="AI452" s="29"/>
      <c r="AJ452" s="17">
        <f t="shared" si="473"/>
        <v>0</v>
      </c>
      <c r="AK452" s="17">
        <f t="shared" si="474"/>
        <v>0</v>
      </c>
      <c r="AL452" s="17">
        <f t="shared" si="475"/>
        <v>0</v>
      </c>
      <c r="AN452" s="34">
        <v>15</v>
      </c>
      <c r="AO452" s="34">
        <f>H452*0</f>
        <v>0</v>
      </c>
      <c r="AP452" s="34">
        <f>H452*(1-0)</f>
        <v>0</v>
      </c>
      <c r="AQ452" s="28" t="s">
        <v>13</v>
      </c>
      <c r="AV452" s="34">
        <f t="shared" si="476"/>
        <v>0</v>
      </c>
      <c r="AW452" s="34">
        <f t="shared" si="477"/>
        <v>0</v>
      </c>
      <c r="AX452" s="34">
        <f t="shared" si="478"/>
        <v>0</v>
      </c>
      <c r="AY452" s="35" t="s">
        <v>1715</v>
      </c>
      <c r="AZ452" s="35" t="s">
        <v>1734</v>
      </c>
      <c r="BA452" s="29" t="s">
        <v>1737</v>
      </c>
      <c r="BC452" s="34">
        <f t="shared" si="479"/>
        <v>0</v>
      </c>
      <c r="BD452" s="34">
        <f t="shared" si="480"/>
        <v>0</v>
      </c>
      <c r="BE452" s="34">
        <v>0</v>
      </c>
      <c r="BF452" s="34">
        <f>452</f>
        <v>452</v>
      </c>
      <c r="BH452" s="17">
        <f t="shared" si="481"/>
        <v>0</v>
      </c>
      <c r="BI452" s="17">
        <f t="shared" si="482"/>
        <v>0</v>
      </c>
      <c r="BJ452" s="17">
        <f t="shared" si="483"/>
        <v>0</v>
      </c>
    </row>
    <row r="453" spans="1:62" x14ac:dyDescent="0.2">
      <c r="A453" s="4" t="s">
        <v>409</v>
      </c>
      <c r="B453" s="4" t="s">
        <v>886</v>
      </c>
      <c r="C453" s="240" t="s">
        <v>1475</v>
      </c>
      <c r="D453" s="241"/>
      <c r="E453" s="241"/>
      <c r="F453" s="4" t="s">
        <v>1646</v>
      </c>
      <c r="G453" s="69">
        <v>62.5</v>
      </c>
      <c r="H453" s="168"/>
      <c r="I453" s="17">
        <f t="shared" si="462"/>
        <v>0</v>
      </c>
      <c r="J453" s="17">
        <f t="shared" si="463"/>
        <v>0</v>
      </c>
      <c r="K453" s="17">
        <f t="shared" si="464"/>
        <v>0</v>
      </c>
      <c r="L453" s="28" t="s">
        <v>1671</v>
      </c>
      <c r="Z453" s="34">
        <f t="shared" si="465"/>
        <v>0</v>
      </c>
      <c r="AB453" s="34">
        <f t="shared" si="466"/>
        <v>0</v>
      </c>
      <c r="AC453" s="34">
        <f t="shared" si="467"/>
        <v>0</v>
      </c>
      <c r="AD453" s="34">
        <f t="shared" si="468"/>
        <v>0</v>
      </c>
      <c r="AE453" s="34">
        <f t="shared" si="469"/>
        <v>0</v>
      </c>
      <c r="AF453" s="34">
        <f t="shared" si="470"/>
        <v>0</v>
      </c>
      <c r="AG453" s="34">
        <f t="shared" si="471"/>
        <v>0</v>
      </c>
      <c r="AH453" s="34">
        <f t="shared" si="472"/>
        <v>0</v>
      </c>
      <c r="AI453" s="29"/>
      <c r="AJ453" s="17">
        <f t="shared" si="473"/>
        <v>0</v>
      </c>
      <c r="AK453" s="17">
        <f t="shared" si="474"/>
        <v>0</v>
      </c>
      <c r="AL453" s="17">
        <f t="shared" si="475"/>
        <v>0</v>
      </c>
      <c r="AN453" s="34">
        <v>15</v>
      </c>
      <c r="AO453" s="34">
        <f>H453*0</f>
        <v>0</v>
      </c>
      <c r="AP453" s="34">
        <f>H453*(1-0)</f>
        <v>0</v>
      </c>
      <c r="AQ453" s="28" t="s">
        <v>13</v>
      </c>
      <c r="AV453" s="34">
        <f t="shared" si="476"/>
        <v>0</v>
      </c>
      <c r="AW453" s="34">
        <f t="shared" si="477"/>
        <v>0</v>
      </c>
      <c r="AX453" s="34">
        <f t="shared" si="478"/>
        <v>0</v>
      </c>
      <c r="AY453" s="35" t="s">
        <v>1715</v>
      </c>
      <c r="AZ453" s="35" t="s">
        <v>1734</v>
      </c>
      <c r="BA453" s="29" t="s">
        <v>1737</v>
      </c>
      <c r="BC453" s="34">
        <f t="shared" si="479"/>
        <v>0</v>
      </c>
      <c r="BD453" s="34">
        <f t="shared" si="480"/>
        <v>0</v>
      </c>
      <c r="BE453" s="34">
        <v>0</v>
      </c>
      <c r="BF453" s="34">
        <f>453</f>
        <v>453</v>
      </c>
      <c r="BH453" s="17">
        <f t="shared" si="481"/>
        <v>0</v>
      </c>
      <c r="BI453" s="17">
        <f t="shared" si="482"/>
        <v>0</v>
      </c>
      <c r="BJ453" s="17">
        <f t="shared" si="483"/>
        <v>0</v>
      </c>
    </row>
    <row r="454" spans="1:62" x14ac:dyDescent="0.2">
      <c r="A454" s="4" t="s">
        <v>410</v>
      </c>
      <c r="B454" s="4" t="s">
        <v>887</v>
      </c>
      <c r="C454" s="240" t="s">
        <v>1476</v>
      </c>
      <c r="D454" s="241"/>
      <c r="E454" s="241"/>
      <c r="F454" s="4" t="s">
        <v>1644</v>
      </c>
      <c r="G454" s="69">
        <v>4</v>
      </c>
      <c r="H454" s="168"/>
      <c r="I454" s="17">
        <f t="shared" si="462"/>
        <v>0</v>
      </c>
      <c r="J454" s="17">
        <f t="shared" si="463"/>
        <v>0</v>
      </c>
      <c r="K454" s="17">
        <f t="shared" si="464"/>
        <v>0</v>
      </c>
      <c r="L454" s="28" t="s">
        <v>1671</v>
      </c>
      <c r="Z454" s="34">
        <f t="shared" si="465"/>
        <v>0</v>
      </c>
      <c r="AB454" s="34">
        <f t="shared" si="466"/>
        <v>0</v>
      </c>
      <c r="AC454" s="34">
        <f t="shared" si="467"/>
        <v>0</v>
      </c>
      <c r="AD454" s="34">
        <f t="shared" si="468"/>
        <v>0</v>
      </c>
      <c r="AE454" s="34">
        <f t="shared" si="469"/>
        <v>0</v>
      </c>
      <c r="AF454" s="34">
        <f t="shared" si="470"/>
        <v>0</v>
      </c>
      <c r="AG454" s="34">
        <f t="shared" si="471"/>
        <v>0</v>
      </c>
      <c r="AH454" s="34">
        <f t="shared" si="472"/>
        <v>0</v>
      </c>
      <c r="AI454" s="29"/>
      <c r="AJ454" s="17">
        <f t="shared" si="473"/>
        <v>0</v>
      </c>
      <c r="AK454" s="17">
        <f t="shared" si="474"/>
        <v>0</v>
      </c>
      <c r="AL454" s="17">
        <f t="shared" si="475"/>
        <v>0</v>
      </c>
      <c r="AN454" s="34">
        <v>15</v>
      </c>
      <c r="AO454" s="34">
        <f>H454*0</f>
        <v>0</v>
      </c>
      <c r="AP454" s="34">
        <f>H454*(1-0)</f>
        <v>0</v>
      </c>
      <c r="AQ454" s="28" t="s">
        <v>13</v>
      </c>
      <c r="AV454" s="34">
        <f t="shared" si="476"/>
        <v>0</v>
      </c>
      <c r="AW454" s="34">
        <f t="shared" si="477"/>
        <v>0</v>
      </c>
      <c r="AX454" s="34">
        <f t="shared" si="478"/>
        <v>0</v>
      </c>
      <c r="AY454" s="35" t="s">
        <v>1715</v>
      </c>
      <c r="AZ454" s="35" t="s">
        <v>1734</v>
      </c>
      <c r="BA454" s="29" t="s">
        <v>1737</v>
      </c>
      <c r="BC454" s="34">
        <f t="shared" si="479"/>
        <v>0</v>
      </c>
      <c r="BD454" s="34">
        <f t="shared" si="480"/>
        <v>0</v>
      </c>
      <c r="BE454" s="34">
        <v>0</v>
      </c>
      <c r="BF454" s="34">
        <f>454</f>
        <v>454</v>
      </c>
      <c r="BH454" s="17">
        <f t="shared" si="481"/>
        <v>0</v>
      </c>
      <c r="BI454" s="17">
        <f t="shared" si="482"/>
        <v>0</v>
      </c>
      <c r="BJ454" s="17">
        <f t="shared" si="483"/>
        <v>0</v>
      </c>
    </row>
    <row r="455" spans="1:62" x14ac:dyDescent="0.2">
      <c r="A455" s="4" t="s">
        <v>411</v>
      </c>
      <c r="B455" s="4" t="s">
        <v>888</v>
      </c>
      <c r="C455" s="240" t="s">
        <v>1477</v>
      </c>
      <c r="D455" s="241"/>
      <c r="E455" s="241"/>
      <c r="F455" s="4" t="s">
        <v>1644</v>
      </c>
      <c r="G455" s="69">
        <v>1</v>
      </c>
      <c r="H455" s="168"/>
      <c r="I455" s="17">
        <f t="shared" si="462"/>
        <v>0</v>
      </c>
      <c r="J455" s="17">
        <f t="shared" si="463"/>
        <v>0</v>
      </c>
      <c r="K455" s="17">
        <f t="shared" si="464"/>
        <v>0</v>
      </c>
      <c r="L455" s="28" t="s">
        <v>1671</v>
      </c>
      <c r="Z455" s="34">
        <f t="shared" si="465"/>
        <v>0</v>
      </c>
      <c r="AB455" s="34">
        <f t="shared" si="466"/>
        <v>0</v>
      </c>
      <c r="AC455" s="34">
        <f t="shared" si="467"/>
        <v>0</v>
      </c>
      <c r="AD455" s="34">
        <f t="shared" si="468"/>
        <v>0</v>
      </c>
      <c r="AE455" s="34">
        <f t="shared" si="469"/>
        <v>0</v>
      </c>
      <c r="AF455" s="34">
        <f t="shared" si="470"/>
        <v>0</v>
      </c>
      <c r="AG455" s="34">
        <f t="shared" si="471"/>
        <v>0</v>
      </c>
      <c r="AH455" s="34">
        <f t="shared" si="472"/>
        <v>0</v>
      </c>
      <c r="AI455" s="29"/>
      <c r="AJ455" s="17">
        <f t="shared" si="473"/>
        <v>0</v>
      </c>
      <c r="AK455" s="17">
        <f t="shared" si="474"/>
        <v>0</v>
      </c>
      <c r="AL455" s="17">
        <f t="shared" si="475"/>
        <v>0</v>
      </c>
      <c r="AN455" s="34">
        <v>15</v>
      </c>
      <c r="AO455" s="34">
        <f>H455*0.270879136690647</f>
        <v>0</v>
      </c>
      <c r="AP455" s="34">
        <f>H455*(1-0.270879136690647)</f>
        <v>0</v>
      </c>
      <c r="AQ455" s="28" t="s">
        <v>13</v>
      </c>
      <c r="AV455" s="34">
        <f t="shared" si="476"/>
        <v>0</v>
      </c>
      <c r="AW455" s="34">
        <f t="shared" si="477"/>
        <v>0</v>
      </c>
      <c r="AX455" s="34">
        <f t="shared" si="478"/>
        <v>0</v>
      </c>
      <c r="AY455" s="35" t="s">
        <v>1715</v>
      </c>
      <c r="AZ455" s="35" t="s">
        <v>1734</v>
      </c>
      <c r="BA455" s="29" t="s">
        <v>1737</v>
      </c>
      <c r="BC455" s="34">
        <f t="shared" si="479"/>
        <v>0</v>
      </c>
      <c r="BD455" s="34">
        <f t="shared" si="480"/>
        <v>0</v>
      </c>
      <c r="BE455" s="34">
        <v>0</v>
      </c>
      <c r="BF455" s="34">
        <f>455</f>
        <v>455</v>
      </c>
      <c r="BH455" s="17">
        <f t="shared" si="481"/>
        <v>0</v>
      </c>
      <c r="BI455" s="17">
        <f t="shared" si="482"/>
        <v>0</v>
      </c>
      <c r="BJ455" s="17">
        <f t="shared" si="483"/>
        <v>0</v>
      </c>
    </row>
    <row r="456" spans="1:62" x14ac:dyDescent="0.2">
      <c r="A456" s="4" t="s">
        <v>412</v>
      </c>
      <c r="B456" s="4" t="s">
        <v>889</v>
      </c>
      <c r="C456" s="240" t="s">
        <v>1478</v>
      </c>
      <c r="D456" s="241"/>
      <c r="E456" s="241"/>
      <c r="F456" s="4" t="s">
        <v>1646</v>
      </c>
      <c r="G456" s="69">
        <v>47</v>
      </c>
      <c r="H456" s="168"/>
      <c r="I456" s="17">
        <f t="shared" si="462"/>
        <v>0</v>
      </c>
      <c r="J456" s="17">
        <f t="shared" si="463"/>
        <v>0</v>
      </c>
      <c r="K456" s="17">
        <f t="shared" si="464"/>
        <v>0</v>
      </c>
      <c r="L456" s="28" t="s">
        <v>1671</v>
      </c>
      <c r="Z456" s="34">
        <f t="shared" si="465"/>
        <v>0</v>
      </c>
      <c r="AB456" s="34">
        <f t="shared" si="466"/>
        <v>0</v>
      </c>
      <c r="AC456" s="34">
        <f t="shared" si="467"/>
        <v>0</v>
      </c>
      <c r="AD456" s="34">
        <f t="shared" si="468"/>
        <v>0</v>
      </c>
      <c r="AE456" s="34">
        <f t="shared" si="469"/>
        <v>0</v>
      </c>
      <c r="AF456" s="34">
        <f t="shared" si="470"/>
        <v>0</v>
      </c>
      <c r="AG456" s="34">
        <f t="shared" si="471"/>
        <v>0</v>
      </c>
      <c r="AH456" s="34">
        <f t="shared" si="472"/>
        <v>0</v>
      </c>
      <c r="AI456" s="29"/>
      <c r="AJ456" s="17">
        <f t="shared" si="473"/>
        <v>0</v>
      </c>
      <c r="AK456" s="17">
        <f t="shared" si="474"/>
        <v>0</v>
      </c>
      <c r="AL456" s="17">
        <f t="shared" si="475"/>
        <v>0</v>
      </c>
      <c r="AN456" s="34">
        <v>15</v>
      </c>
      <c r="AO456" s="34">
        <f>H456*0.281701361941195</f>
        <v>0</v>
      </c>
      <c r="AP456" s="34">
        <f>H456*(1-0.281701361941195)</f>
        <v>0</v>
      </c>
      <c r="AQ456" s="28" t="s">
        <v>13</v>
      </c>
      <c r="AV456" s="34">
        <f t="shared" si="476"/>
        <v>0</v>
      </c>
      <c r="AW456" s="34">
        <f t="shared" si="477"/>
        <v>0</v>
      </c>
      <c r="AX456" s="34">
        <f t="shared" si="478"/>
        <v>0</v>
      </c>
      <c r="AY456" s="35" t="s">
        <v>1715</v>
      </c>
      <c r="AZ456" s="35" t="s">
        <v>1734</v>
      </c>
      <c r="BA456" s="29" t="s">
        <v>1737</v>
      </c>
      <c r="BC456" s="34">
        <f t="shared" si="479"/>
        <v>0</v>
      </c>
      <c r="BD456" s="34">
        <f t="shared" si="480"/>
        <v>0</v>
      </c>
      <c r="BE456" s="34">
        <v>0</v>
      </c>
      <c r="BF456" s="34">
        <f>456</f>
        <v>456</v>
      </c>
      <c r="BH456" s="17">
        <f t="shared" si="481"/>
        <v>0</v>
      </c>
      <c r="BI456" s="17">
        <f t="shared" si="482"/>
        <v>0</v>
      </c>
      <c r="BJ456" s="17">
        <f t="shared" si="483"/>
        <v>0</v>
      </c>
    </row>
    <row r="457" spans="1:62" x14ac:dyDescent="0.2">
      <c r="A457" s="4" t="s">
        <v>413</v>
      </c>
      <c r="B457" s="4" t="s">
        <v>890</v>
      </c>
      <c r="C457" s="240" t="s">
        <v>1479</v>
      </c>
      <c r="D457" s="241"/>
      <c r="E457" s="241"/>
      <c r="F457" s="4" t="s">
        <v>1646</v>
      </c>
      <c r="G457" s="69">
        <v>18</v>
      </c>
      <c r="H457" s="168"/>
      <c r="I457" s="17">
        <f t="shared" si="462"/>
        <v>0</v>
      </c>
      <c r="J457" s="17">
        <f t="shared" si="463"/>
        <v>0</v>
      </c>
      <c r="K457" s="17">
        <f t="shared" si="464"/>
        <v>0</v>
      </c>
      <c r="L457" s="28" t="s">
        <v>1671</v>
      </c>
      <c r="Z457" s="34">
        <f t="shared" si="465"/>
        <v>0</v>
      </c>
      <c r="AB457" s="34">
        <f t="shared" si="466"/>
        <v>0</v>
      </c>
      <c r="AC457" s="34">
        <f t="shared" si="467"/>
        <v>0</v>
      </c>
      <c r="AD457" s="34">
        <f t="shared" si="468"/>
        <v>0</v>
      </c>
      <c r="AE457" s="34">
        <f t="shared" si="469"/>
        <v>0</v>
      </c>
      <c r="AF457" s="34">
        <f t="shared" si="470"/>
        <v>0</v>
      </c>
      <c r="AG457" s="34">
        <f t="shared" si="471"/>
        <v>0</v>
      </c>
      <c r="AH457" s="34">
        <f t="shared" si="472"/>
        <v>0</v>
      </c>
      <c r="AI457" s="29"/>
      <c r="AJ457" s="17">
        <f t="shared" si="473"/>
        <v>0</v>
      </c>
      <c r="AK457" s="17">
        <f t="shared" si="474"/>
        <v>0</v>
      </c>
      <c r="AL457" s="17">
        <f t="shared" si="475"/>
        <v>0</v>
      </c>
      <c r="AN457" s="34">
        <v>15</v>
      </c>
      <c r="AO457" s="34">
        <f>H457*0.31016318537859</f>
        <v>0</v>
      </c>
      <c r="AP457" s="34">
        <f>H457*(1-0.31016318537859)</f>
        <v>0</v>
      </c>
      <c r="AQ457" s="28" t="s">
        <v>13</v>
      </c>
      <c r="AV457" s="34">
        <f t="shared" si="476"/>
        <v>0</v>
      </c>
      <c r="AW457" s="34">
        <f t="shared" si="477"/>
        <v>0</v>
      </c>
      <c r="AX457" s="34">
        <f t="shared" si="478"/>
        <v>0</v>
      </c>
      <c r="AY457" s="35" t="s">
        <v>1715</v>
      </c>
      <c r="AZ457" s="35" t="s">
        <v>1734</v>
      </c>
      <c r="BA457" s="29" t="s">
        <v>1737</v>
      </c>
      <c r="BC457" s="34">
        <f t="shared" si="479"/>
        <v>0</v>
      </c>
      <c r="BD457" s="34">
        <f t="shared" si="480"/>
        <v>0</v>
      </c>
      <c r="BE457" s="34">
        <v>0</v>
      </c>
      <c r="BF457" s="34">
        <f>457</f>
        <v>457</v>
      </c>
      <c r="BH457" s="17">
        <f t="shared" si="481"/>
        <v>0</v>
      </c>
      <c r="BI457" s="17">
        <f t="shared" si="482"/>
        <v>0</v>
      </c>
      <c r="BJ457" s="17">
        <f t="shared" si="483"/>
        <v>0</v>
      </c>
    </row>
    <row r="458" spans="1:62" x14ac:dyDescent="0.2">
      <c r="A458" s="4" t="s">
        <v>414</v>
      </c>
      <c r="B458" s="4" t="s">
        <v>891</v>
      </c>
      <c r="C458" s="240" t="s">
        <v>1480</v>
      </c>
      <c r="D458" s="241"/>
      <c r="E458" s="241"/>
      <c r="F458" s="4" t="s">
        <v>1646</v>
      </c>
      <c r="G458" s="69">
        <v>65.004999999999995</v>
      </c>
      <c r="H458" s="168"/>
      <c r="I458" s="17">
        <f t="shared" si="462"/>
        <v>0</v>
      </c>
      <c r="J458" s="17">
        <f t="shared" si="463"/>
        <v>0</v>
      </c>
      <c r="K458" s="17">
        <f t="shared" si="464"/>
        <v>0</v>
      </c>
      <c r="L458" s="28" t="s">
        <v>1671</v>
      </c>
      <c r="Z458" s="34">
        <f t="shared" si="465"/>
        <v>0</v>
      </c>
      <c r="AB458" s="34">
        <f t="shared" si="466"/>
        <v>0</v>
      </c>
      <c r="AC458" s="34">
        <f t="shared" si="467"/>
        <v>0</v>
      </c>
      <c r="AD458" s="34">
        <f t="shared" si="468"/>
        <v>0</v>
      </c>
      <c r="AE458" s="34">
        <f t="shared" si="469"/>
        <v>0</v>
      </c>
      <c r="AF458" s="34">
        <f t="shared" si="470"/>
        <v>0</v>
      </c>
      <c r="AG458" s="34">
        <f t="shared" si="471"/>
        <v>0</v>
      </c>
      <c r="AH458" s="34">
        <f t="shared" si="472"/>
        <v>0</v>
      </c>
      <c r="AI458" s="29"/>
      <c r="AJ458" s="17">
        <f t="shared" si="473"/>
        <v>0</v>
      </c>
      <c r="AK458" s="17">
        <f t="shared" si="474"/>
        <v>0</v>
      </c>
      <c r="AL458" s="17">
        <f t="shared" si="475"/>
        <v>0</v>
      </c>
      <c r="AN458" s="34">
        <v>15</v>
      </c>
      <c r="AO458" s="34">
        <f>H458*0</f>
        <v>0</v>
      </c>
      <c r="AP458" s="34">
        <f>H458*(1-0)</f>
        <v>0</v>
      </c>
      <c r="AQ458" s="28" t="s">
        <v>13</v>
      </c>
      <c r="AV458" s="34">
        <f t="shared" si="476"/>
        <v>0</v>
      </c>
      <c r="AW458" s="34">
        <f t="shared" si="477"/>
        <v>0</v>
      </c>
      <c r="AX458" s="34">
        <f t="shared" si="478"/>
        <v>0</v>
      </c>
      <c r="AY458" s="35" t="s">
        <v>1715</v>
      </c>
      <c r="AZ458" s="35" t="s">
        <v>1734</v>
      </c>
      <c r="BA458" s="29" t="s">
        <v>1737</v>
      </c>
      <c r="BC458" s="34">
        <f t="shared" si="479"/>
        <v>0</v>
      </c>
      <c r="BD458" s="34">
        <f t="shared" si="480"/>
        <v>0</v>
      </c>
      <c r="BE458" s="34">
        <v>0</v>
      </c>
      <c r="BF458" s="34">
        <f>458</f>
        <v>458</v>
      </c>
      <c r="BH458" s="17">
        <f t="shared" si="481"/>
        <v>0</v>
      </c>
      <c r="BI458" s="17">
        <f t="shared" si="482"/>
        <v>0</v>
      </c>
      <c r="BJ458" s="17">
        <f t="shared" si="483"/>
        <v>0</v>
      </c>
    </row>
    <row r="459" spans="1:62" x14ac:dyDescent="0.2">
      <c r="A459" s="4" t="s">
        <v>415</v>
      </c>
      <c r="B459" s="4" t="s">
        <v>892</v>
      </c>
      <c r="C459" s="240" t="s">
        <v>1481</v>
      </c>
      <c r="D459" s="241"/>
      <c r="E459" s="241"/>
      <c r="F459" s="4" t="s">
        <v>1646</v>
      </c>
      <c r="G459" s="69">
        <v>31</v>
      </c>
      <c r="H459" s="168"/>
      <c r="I459" s="17">
        <f t="shared" si="462"/>
        <v>0</v>
      </c>
      <c r="J459" s="17">
        <f t="shared" si="463"/>
        <v>0</v>
      </c>
      <c r="K459" s="17">
        <f t="shared" si="464"/>
        <v>0</v>
      </c>
      <c r="L459" s="28" t="s">
        <v>1671</v>
      </c>
      <c r="Z459" s="34">
        <f t="shared" si="465"/>
        <v>0</v>
      </c>
      <c r="AB459" s="34">
        <f t="shared" si="466"/>
        <v>0</v>
      </c>
      <c r="AC459" s="34">
        <f t="shared" si="467"/>
        <v>0</v>
      </c>
      <c r="AD459" s="34">
        <f t="shared" si="468"/>
        <v>0</v>
      </c>
      <c r="AE459" s="34">
        <f t="shared" si="469"/>
        <v>0</v>
      </c>
      <c r="AF459" s="34">
        <f t="shared" si="470"/>
        <v>0</v>
      </c>
      <c r="AG459" s="34">
        <f t="shared" si="471"/>
        <v>0</v>
      </c>
      <c r="AH459" s="34">
        <f t="shared" si="472"/>
        <v>0</v>
      </c>
      <c r="AI459" s="29"/>
      <c r="AJ459" s="17">
        <f t="shared" si="473"/>
        <v>0</v>
      </c>
      <c r="AK459" s="17">
        <f t="shared" si="474"/>
        <v>0</v>
      </c>
      <c r="AL459" s="17">
        <f t="shared" si="475"/>
        <v>0</v>
      </c>
      <c r="AN459" s="34">
        <v>15</v>
      </c>
      <c r="AO459" s="34">
        <f>H459*0</f>
        <v>0</v>
      </c>
      <c r="AP459" s="34">
        <f>H459*(1-0)</f>
        <v>0</v>
      </c>
      <c r="AQ459" s="28" t="s">
        <v>13</v>
      </c>
      <c r="AV459" s="34">
        <f t="shared" si="476"/>
        <v>0</v>
      </c>
      <c r="AW459" s="34">
        <f t="shared" si="477"/>
        <v>0</v>
      </c>
      <c r="AX459" s="34">
        <f t="shared" si="478"/>
        <v>0</v>
      </c>
      <c r="AY459" s="35" t="s">
        <v>1715</v>
      </c>
      <c r="AZ459" s="35" t="s">
        <v>1734</v>
      </c>
      <c r="BA459" s="29" t="s">
        <v>1737</v>
      </c>
      <c r="BC459" s="34">
        <f t="shared" si="479"/>
        <v>0</v>
      </c>
      <c r="BD459" s="34">
        <f t="shared" si="480"/>
        <v>0</v>
      </c>
      <c r="BE459" s="34">
        <v>0</v>
      </c>
      <c r="BF459" s="34">
        <f>459</f>
        <v>459</v>
      </c>
      <c r="BH459" s="17">
        <f t="shared" si="481"/>
        <v>0</v>
      </c>
      <c r="BI459" s="17">
        <f t="shared" si="482"/>
        <v>0</v>
      </c>
      <c r="BJ459" s="17">
        <f t="shared" si="483"/>
        <v>0</v>
      </c>
    </row>
    <row r="460" spans="1:62" x14ac:dyDescent="0.2">
      <c r="A460" s="4" t="s">
        <v>416</v>
      </c>
      <c r="B460" s="4" t="s">
        <v>893</v>
      </c>
      <c r="C460" s="240" t="s">
        <v>1482</v>
      </c>
      <c r="D460" s="241"/>
      <c r="E460" s="241"/>
      <c r="F460" s="4" t="s">
        <v>1646</v>
      </c>
      <c r="G460" s="69">
        <v>62.5</v>
      </c>
      <c r="H460" s="168"/>
      <c r="I460" s="17">
        <f t="shared" si="462"/>
        <v>0</v>
      </c>
      <c r="J460" s="17">
        <f t="shared" si="463"/>
        <v>0</v>
      </c>
      <c r="K460" s="17">
        <f t="shared" si="464"/>
        <v>0</v>
      </c>
      <c r="L460" s="28" t="s">
        <v>1671</v>
      </c>
      <c r="Z460" s="34">
        <f t="shared" si="465"/>
        <v>0</v>
      </c>
      <c r="AB460" s="34">
        <f t="shared" si="466"/>
        <v>0</v>
      </c>
      <c r="AC460" s="34">
        <f t="shared" si="467"/>
        <v>0</v>
      </c>
      <c r="AD460" s="34">
        <f t="shared" si="468"/>
        <v>0</v>
      </c>
      <c r="AE460" s="34">
        <f t="shared" si="469"/>
        <v>0</v>
      </c>
      <c r="AF460" s="34">
        <f t="shared" si="470"/>
        <v>0</v>
      </c>
      <c r="AG460" s="34">
        <f t="shared" si="471"/>
        <v>0</v>
      </c>
      <c r="AH460" s="34">
        <f t="shared" si="472"/>
        <v>0</v>
      </c>
      <c r="AI460" s="29"/>
      <c r="AJ460" s="17">
        <f t="shared" si="473"/>
        <v>0</v>
      </c>
      <c r="AK460" s="17">
        <f t="shared" si="474"/>
        <v>0</v>
      </c>
      <c r="AL460" s="17">
        <f t="shared" si="475"/>
        <v>0</v>
      </c>
      <c r="AN460" s="34">
        <v>15</v>
      </c>
      <c r="AO460" s="34">
        <f>H460*0.603371428571429</f>
        <v>0</v>
      </c>
      <c r="AP460" s="34">
        <f>H460*(1-0.603371428571429)</f>
        <v>0</v>
      </c>
      <c r="AQ460" s="28" t="s">
        <v>13</v>
      </c>
      <c r="AV460" s="34">
        <f t="shared" si="476"/>
        <v>0</v>
      </c>
      <c r="AW460" s="34">
        <f t="shared" si="477"/>
        <v>0</v>
      </c>
      <c r="AX460" s="34">
        <f t="shared" si="478"/>
        <v>0</v>
      </c>
      <c r="AY460" s="35" t="s">
        <v>1715</v>
      </c>
      <c r="AZ460" s="35" t="s">
        <v>1734</v>
      </c>
      <c r="BA460" s="29" t="s">
        <v>1737</v>
      </c>
      <c r="BC460" s="34">
        <f t="shared" si="479"/>
        <v>0</v>
      </c>
      <c r="BD460" s="34">
        <f t="shared" si="480"/>
        <v>0</v>
      </c>
      <c r="BE460" s="34">
        <v>0</v>
      </c>
      <c r="BF460" s="34">
        <f>460</f>
        <v>460</v>
      </c>
      <c r="BH460" s="17">
        <f t="shared" si="481"/>
        <v>0</v>
      </c>
      <c r="BI460" s="17">
        <f t="shared" si="482"/>
        <v>0</v>
      </c>
      <c r="BJ460" s="17">
        <f t="shared" si="483"/>
        <v>0</v>
      </c>
    </row>
    <row r="461" spans="1:62" x14ac:dyDescent="0.2">
      <c r="A461" s="4" t="s">
        <v>417</v>
      </c>
      <c r="B461" s="4" t="s">
        <v>894</v>
      </c>
      <c r="C461" s="240" t="s">
        <v>1483</v>
      </c>
      <c r="D461" s="241"/>
      <c r="E461" s="241"/>
      <c r="F461" s="4" t="s">
        <v>1644</v>
      </c>
      <c r="G461" s="69">
        <v>4</v>
      </c>
      <c r="H461" s="168"/>
      <c r="I461" s="17">
        <f t="shared" si="462"/>
        <v>0</v>
      </c>
      <c r="J461" s="17">
        <f t="shared" si="463"/>
        <v>0</v>
      </c>
      <c r="K461" s="17">
        <f t="shared" si="464"/>
        <v>0</v>
      </c>
      <c r="L461" s="28" t="s">
        <v>1671</v>
      </c>
      <c r="Z461" s="34">
        <f t="shared" si="465"/>
        <v>0</v>
      </c>
      <c r="AB461" s="34">
        <f t="shared" si="466"/>
        <v>0</v>
      </c>
      <c r="AC461" s="34">
        <f t="shared" si="467"/>
        <v>0</v>
      </c>
      <c r="AD461" s="34">
        <f t="shared" si="468"/>
        <v>0</v>
      </c>
      <c r="AE461" s="34">
        <f t="shared" si="469"/>
        <v>0</v>
      </c>
      <c r="AF461" s="34">
        <f t="shared" si="470"/>
        <v>0</v>
      </c>
      <c r="AG461" s="34">
        <f t="shared" si="471"/>
        <v>0</v>
      </c>
      <c r="AH461" s="34">
        <f t="shared" si="472"/>
        <v>0</v>
      </c>
      <c r="AI461" s="29"/>
      <c r="AJ461" s="17">
        <f t="shared" si="473"/>
        <v>0</v>
      </c>
      <c r="AK461" s="17">
        <f t="shared" si="474"/>
        <v>0</v>
      </c>
      <c r="AL461" s="17">
        <f t="shared" si="475"/>
        <v>0</v>
      </c>
      <c r="AN461" s="34">
        <v>15</v>
      </c>
      <c r="AO461" s="34">
        <f>H461*0.568224852071006</f>
        <v>0</v>
      </c>
      <c r="AP461" s="34">
        <f>H461*(1-0.568224852071006)</f>
        <v>0</v>
      </c>
      <c r="AQ461" s="28" t="s">
        <v>13</v>
      </c>
      <c r="AV461" s="34">
        <f t="shared" si="476"/>
        <v>0</v>
      </c>
      <c r="AW461" s="34">
        <f t="shared" si="477"/>
        <v>0</v>
      </c>
      <c r="AX461" s="34">
        <f t="shared" si="478"/>
        <v>0</v>
      </c>
      <c r="AY461" s="35" t="s">
        <v>1715</v>
      </c>
      <c r="AZ461" s="35" t="s">
        <v>1734</v>
      </c>
      <c r="BA461" s="29" t="s">
        <v>1737</v>
      </c>
      <c r="BC461" s="34">
        <f t="shared" si="479"/>
        <v>0</v>
      </c>
      <c r="BD461" s="34">
        <f t="shared" si="480"/>
        <v>0</v>
      </c>
      <c r="BE461" s="34">
        <v>0</v>
      </c>
      <c r="BF461" s="34">
        <f>461</f>
        <v>461</v>
      </c>
      <c r="BH461" s="17">
        <f t="shared" si="481"/>
        <v>0</v>
      </c>
      <c r="BI461" s="17">
        <f t="shared" si="482"/>
        <v>0</v>
      </c>
      <c r="BJ461" s="17">
        <f t="shared" si="483"/>
        <v>0</v>
      </c>
    </row>
    <row r="462" spans="1:62" x14ac:dyDescent="0.2">
      <c r="A462" s="4" t="s">
        <v>418</v>
      </c>
      <c r="B462" s="4" t="s">
        <v>895</v>
      </c>
      <c r="C462" s="240" t="s">
        <v>1484</v>
      </c>
      <c r="D462" s="241"/>
      <c r="E462" s="241"/>
      <c r="F462" s="4" t="s">
        <v>1646</v>
      </c>
      <c r="G462" s="69">
        <v>31</v>
      </c>
      <c r="H462" s="168"/>
      <c r="I462" s="17">
        <f t="shared" si="462"/>
        <v>0</v>
      </c>
      <c r="J462" s="17">
        <f t="shared" si="463"/>
        <v>0</v>
      </c>
      <c r="K462" s="17">
        <f t="shared" si="464"/>
        <v>0</v>
      </c>
      <c r="L462" s="28" t="s">
        <v>1671</v>
      </c>
      <c r="Z462" s="34">
        <f t="shared" si="465"/>
        <v>0</v>
      </c>
      <c r="AB462" s="34">
        <f t="shared" si="466"/>
        <v>0</v>
      </c>
      <c r="AC462" s="34">
        <f t="shared" si="467"/>
        <v>0</v>
      </c>
      <c r="AD462" s="34">
        <f t="shared" si="468"/>
        <v>0</v>
      </c>
      <c r="AE462" s="34">
        <f t="shared" si="469"/>
        <v>0</v>
      </c>
      <c r="AF462" s="34">
        <f t="shared" si="470"/>
        <v>0</v>
      </c>
      <c r="AG462" s="34">
        <f t="shared" si="471"/>
        <v>0</v>
      </c>
      <c r="AH462" s="34">
        <f t="shared" si="472"/>
        <v>0</v>
      </c>
      <c r="AI462" s="29"/>
      <c r="AJ462" s="17">
        <f t="shared" si="473"/>
        <v>0</v>
      </c>
      <c r="AK462" s="17">
        <f t="shared" si="474"/>
        <v>0</v>
      </c>
      <c r="AL462" s="17">
        <f t="shared" si="475"/>
        <v>0</v>
      </c>
      <c r="AN462" s="34">
        <v>15</v>
      </c>
      <c r="AO462" s="34">
        <f>H462*0.772046783625731</f>
        <v>0</v>
      </c>
      <c r="AP462" s="34">
        <f>H462*(1-0.772046783625731)</f>
        <v>0</v>
      </c>
      <c r="AQ462" s="28" t="s">
        <v>13</v>
      </c>
      <c r="AV462" s="34">
        <f t="shared" si="476"/>
        <v>0</v>
      </c>
      <c r="AW462" s="34">
        <f t="shared" si="477"/>
        <v>0</v>
      </c>
      <c r="AX462" s="34">
        <f t="shared" si="478"/>
        <v>0</v>
      </c>
      <c r="AY462" s="35" t="s">
        <v>1715</v>
      </c>
      <c r="AZ462" s="35" t="s">
        <v>1734</v>
      </c>
      <c r="BA462" s="29" t="s">
        <v>1737</v>
      </c>
      <c r="BC462" s="34">
        <f t="shared" si="479"/>
        <v>0</v>
      </c>
      <c r="BD462" s="34">
        <f t="shared" si="480"/>
        <v>0</v>
      </c>
      <c r="BE462" s="34">
        <v>0</v>
      </c>
      <c r="BF462" s="34">
        <f>462</f>
        <v>462</v>
      </c>
      <c r="BH462" s="17">
        <f t="shared" si="481"/>
        <v>0</v>
      </c>
      <c r="BI462" s="17">
        <f t="shared" si="482"/>
        <v>0</v>
      </c>
      <c r="BJ462" s="17">
        <f t="shared" si="483"/>
        <v>0</v>
      </c>
    </row>
    <row r="463" spans="1:62" x14ac:dyDescent="0.2">
      <c r="A463" s="4" t="s">
        <v>419</v>
      </c>
      <c r="B463" s="4" t="s">
        <v>896</v>
      </c>
      <c r="C463" s="240" t="s">
        <v>1485</v>
      </c>
      <c r="D463" s="241"/>
      <c r="E463" s="241"/>
      <c r="F463" s="4" t="s">
        <v>1646</v>
      </c>
      <c r="G463" s="69">
        <v>106</v>
      </c>
      <c r="H463" s="168"/>
      <c r="I463" s="17">
        <f t="shared" si="462"/>
        <v>0</v>
      </c>
      <c r="J463" s="17">
        <f t="shared" si="463"/>
        <v>0</v>
      </c>
      <c r="K463" s="17">
        <f t="shared" si="464"/>
        <v>0</v>
      </c>
      <c r="L463" s="28" t="s">
        <v>1671</v>
      </c>
      <c r="Z463" s="34">
        <f t="shared" si="465"/>
        <v>0</v>
      </c>
      <c r="AB463" s="34">
        <f t="shared" si="466"/>
        <v>0</v>
      </c>
      <c r="AC463" s="34">
        <f t="shared" si="467"/>
        <v>0</v>
      </c>
      <c r="AD463" s="34">
        <f t="shared" si="468"/>
        <v>0</v>
      </c>
      <c r="AE463" s="34">
        <f t="shared" si="469"/>
        <v>0</v>
      </c>
      <c r="AF463" s="34">
        <f t="shared" si="470"/>
        <v>0</v>
      </c>
      <c r="AG463" s="34">
        <f t="shared" si="471"/>
        <v>0</v>
      </c>
      <c r="AH463" s="34">
        <f t="shared" si="472"/>
        <v>0</v>
      </c>
      <c r="AI463" s="29"/>
      <c r="AJ463" s="17">
        <f t="shared" si="473"/>
        <v>0</v>
      </c>
      <c r="AK463" s="17">
        <f t="shared" si="474"/>
        <v>0</v>
      </c>
      <c r="AL463" s="17">
        <f t="shared" si="475"/>
        <v>0</v>
      </c>
      <c r="AN463" s="34">
        <v>15</v>
      </c>
      <c r="AO463" s="34">
        <f>H463*0.816326164874552</f>
        <v>0</v>
      </c>
      <c r="AP463" s="34">
        <f>H463*(1-0.816326164874552)</f>
        <v>0</v>
      </c>
      <c r="AQ463" s="28" t="s">
        <v>13</v>
      </c>
      <c r="AV463" s="34">
        <f t="shared" si="476"/>
        <v>0</v>
      </c>
      <c r="AW463" s="34">
        <f t="shared" si="477"/>
        <v>0</v>
      </c>
      <c r="AX463" s="34">
        <f t="shared" si="478"/>
        <v>0</v>
      </c>
      <c r="AY463" s="35" t="s">
        <v>1715</v>
      </c>
      <c r="AZ463" s="35" t="s">
        <v>1734</v>
      </c>
      <c r="BA463" s="29" t="s">
        <v>1737</v>
      </c>
      <c r="BC463" s="34">
        <f t="shared" si="479"/>
        <v>0</v>
      </c>
      <c r="BD463" s="34">
        <f t="shared" si="480"/>
        <v>0</v>
      </c>
      <c r="BE463" s="34">
        <v>0</v>
      </c>
      <c r="BF463" s="34">
        <f>463</f>
        <v>463</v>
      </c>
      <c r="BH463" s="17">
        <f t="shared" si="481"/>
        <v>0</v>
      </c>
      <c r="BI463" s="17">
        <f t="shared" si="482"/>
        <v>0</v>
      </c>
      <c r="BJ463" s="17">
        <f t="shared" si="483"/>
        <v>0</v>
      </c>
    </row>
    <row r="464" spans="1:62" x14ac:dyDescent="0.2">
      <c r="A464" s="4" t="s">
        <v>420</v>
      </c>
      <c r="B464" s="4" t="s">
        <v>897</v>
      </c>
      <c r="C464" s="240" t="s">
        <v>1486</v>
      </c>
      <c r="D464" s="241"/>
      <c r="E464" s="241"/>
      <c r="F464" s="4" t="s">
        <v>1646</v>
      </c>
      <c r="G464" s="69">
        <v>6.2</v>
      </c>
      <c r="H464" s="168"/>
      <c r="I464" s="17">
        <f t="shared" si="462"/>
        <v>0</v>
      </c>
      <c r="J464" s="17">
        <f t="shared" si="463"/>
        <v>0</v>
      </c>
      <c r="K464" s="17">
        <f t="shared" si="464"/>
        <v>0</v>
      </c>
      <c r="L464" s="28" t="s">
        <v>1671</v>
      </c>
      <c r="Z464" s="34">
        <f t="shared" si="465"/>
        <v>0</v>
      </c>
      <c r="AB464" s="34">
        <f t="shared" si="466"/>
        <v>0</v>
      </c>
      <c r="AC464" s="34">
        <f t="shared" si="467"/>
        <v>0</v>
      </c>
      <c r="AD464" s="34">
        <f t="shared" si="468"/>
        <v>0</v>
      </c>
      <c r="AE464" s="34">
        <f t="shared" si="469"/>
        <v>0</v>
      </c>
      <c r="AF464" s="34">
        <f t="shared" si="470"/>
        <v>0</v>
      </c>
      <c r="AG464" s="34">
        <f t="shared" si="471"/>
        <v>0</v>
      </c>
      <c r="AH464" s="34">
        <f t="shared" si="472"/>
        <v>0</v>
      </c>
      <c r="AI464" s="29"/>
      <c r="AJ464" s="17">
        <f t="shared" si="473"/>
        <v>0</v>
      </c>
      <c r="AK464" s="17">
        <f t="shared" si="474"/>
        <v>0</v>
      </c>
      <c r="AL464" s="17">
        <f t="shared" si="475"/>
        <v>0</v>
      </c>
      <c r="AN464" s="34">
        <v>15</v>
      </c>
      <c r="AO464" s="34">
        <f>H464*0.816325503355705</f>
        <v>0</v>
      </c>
      <c r="AP464" s="34">
        <f>H464*(1-0.816325503355705)</f>
        <v>0</v>
      </c>
      <c r="AQ464" s="28" t="s">
        <v>13</v>
      </c>
      <c r="AV464" s="34">
        <f t="shared" si="476"/>
        <v>0</v>
      </c>
      <c r="AW464" s="34">
        <f t="shared" si="477"/>
        <v>0</v>
      </c>
      <c r="AX464" s="34">
        <f t="shared" si="478"/>
        <v>0</v>
      </c>
      <c r="AY464" s="35" t="s">
        <v>1715</v>
      </c>
      <c r="AZ464" s="35" t="s">
        <v>1734</v>
      </c>
      <c r="BA464" s="29" t="s">
        <v>1737</v>
      </c>
      <c r="BC464" s="34">
        <f t="shared" si="479"/>
        <v>0</v>
      </c>
      <c r="BD464" s="34">
        <f t="shared" si="480"/>
        <v>0</v>
      </c>
      <c r="BE464" s="34">
        <v>0</v>
      </c>
      <c r="BF464" s="34">
        <f>464</f>
        <v>464</v>
      </c>
      <c r="BH464" s="17">
        <f t="shared" si="481"/>
        <v>0</v>
      </c>
      <c r="BI464" s="17">
        <f t="shared" si="482"/>
        <v>0</v>
      </c>
      <c r="BJ464" s="17">
        <f t="shared" si="483"/>
        <v>0</v>
      </c>
    </row>
    <row r="465" spans="1:62" x14ac:dyDescent="0.2">
      <c r="A465" s="4" t="s">
        <v>421</v>
      </c>
      <c r="B465" s="4" t="s">
        <v>898</v>
      </c>
      <c r="C465" s="240" t="s">
        <v>1487</v>
      </c>
      <c r="D465" s="241"/>
      <c r="E465" s="241"/>
      <c r="F465" s="4" t="s">
        <v>1646</v>
      </c>
      <c r="G465" s="69">
        <v>3.2</v>
      </c>
      <c r="H465" s="168"/>
      <c r="I465" s="17">
        <f t="shared" si="462"/>
        <v>0</v>
      </c>
      <c r="J465" s="17">
        <f t="shared" si="463"/>
        <v>0</v>
      </c>
      <c r="K465" s="17">
        <f t="shared" si="464"/>
        <v>0</v>
      </c>
      <c r="L465" s="28" t="s">
        <v>1671</v>
      </c>
      <c r="Z465" s="34">
        <f t="shared" si="465"/>
        <v>0</v>
      </c>
      <c r="AB465" s="34">
        <f t="shared" si="466"/>
        <v>0</v>
      </c>
      <c r="AC465" s="34">
        <f t="shared" si="467"/>
        <v>0</v>
      </c>
      <c r="AD465" s="34">
        <f t="shared" si="468"/>
        <v>0</v>
      </c>
      <c r="AE465" s="34">
        <f t="shared" si="469"/>
        <v>0</v>
      </c>
      <c r="AF465" s="34">
        <f t="shared" si="470"/>
        <v>0</v>
      </c>
      <c r="AG465" s="34">
        <f t="shared" si="471"/>
        <v>0</v>
      </c>
      <c r="AH465" s="34">
        <f t="shared" si="472"/>
        <v>0</v>
      </c>
      <c r="AI465" s="29"/>
      <c r="AJ465" s="17">
        <f t="shared" si="473"/>
        <v>0</v>
      </c>
      <c r="AK465" s="17">
        <f t="shared" si="474"/>
        <v>0</v>
      </c>
      <c r="AL465" s="17">
        <f t="shared" si="475"/>
        <v>0</v>
      </c>
      <c r="AN465" s="34">
        <v>15</v>
      </c>
      <c r="AO465" s="34">
        <f>H465*0.816330128205128</f>
        <v>0</v>
      </c>
      <c r="AP465" s="34">
        <f>H465*(1-0.816330128205128)</f>
        <v>0</v>
      </c>
      <c r="AQ465" s="28" t="s">
        <v>13</v>
      </c>
      <c r="AV465" s="34">
        <f t="shared" si="476"/>
        <v>0</v>
      </c>
      <c r="AW465" s="34">
        <f t="shared" si="477"/>
        <v>0</v>
      </c>
      <c r="AX465" s="34">
        <f t="shared" si="478"/>
        <v>0</v>
      </c>
      <c r="AY465" s="35" t="s">
        <v>1715</v>
      </c>
      <c r="AZ465" s="35" t="s">
        <v>1734</v>
      </c>
      <c r="BA465" s="29" t="s">
        <v>1737</v>
      </c>
      <c r="BC465" s="34">
        <f t="shared" si="479"/>
        <v>0</v>
      </c>
      <c r="BD465" s="34">
        <f t="shared" si="480"/>
        <v>0</v>
      </c>
      <c r="BE465" s="34">
        <v>0</v>
      </c>
      <c r="BF465" s="34">
        <f>465</f>
        <v>465</v>
      </c>
      <c r="BH465" s="17">
        <f t="shared" si="481"/>
        <v>0</v>
      </c>
      <c r="BI465" s="17">
        <f t="shared" si="482"/>
        <v>0</v>
      </c>
      <c r="BJ465" s="17">
        <f t="shared" si="483"/>
        <v>0</v>
      </c>
    </row>
    <row r="466" spans="1:62" x14ac:dyDescent="0.2">
      <c r="A466" s="4" t="s">
        <v>422</v>
      </c>
      <c r="B466" s="4" t="s">
        <v>899</v>
      </c>
      <c r="C466" s="240" t="s">
        <v>1488</v>
      </c>
      <c r="D466" s="241"/>
      <c r="E466" s="241"/>
      <c r="F466" s="4" t="s">
        <v>1646</v>
      </c>
      <c r="G466" s="69">
        <v>31.18</v>
      </c>
      <c r="H466" s="168"/>
      <c r="I466" s="17">
        <f t="shared" si="462"/>
        <v>0</v>
      </c>
      <c r="J466" s="17">
        <f t="shared" si="463"/>
        <v>0</v>
      </c>
      <c r="K466" s="17">
        <f t="shared" si="464"/>
        <v>0</v>
      </c>
      <c r="L466" s="28" t="s">
        <v>1671</v>
      </c>
      <c r="Z466" s="34">
        <f t="shared" si="465"/>
        <v>0</v>
      </c>
      <c r="AB466" s="34">
        <f t="shared" si="466"/>
        <v>0</v>
      </c>
      <c r="AC466" s="34">
        <f t="shared" si="467"/>
        <v>0</v>
      </c>
      <c r="AD466" s="34">
        <f t="shared" si="468"/>
        <v>0</v>
      </c>
      <c r="AE466" s="34">
        <f t="shared" si="469"/>
        <v>0</v>
      </c>
      <c r="AF466" s="34">
        <f t="shared" si="470"/>
        <v>0</v>
      </c>
      <c r="AG466" s="34">
        <f t="shared" si="471"/>
        <v>0</v>
      </c>
      <c r="AH466" s="34">
        <f t="shared" si="472"/>
        <v>0</v>
      </c>
      <c r="AI466" s="29"/>
      <c r="AJ466" s="17">
        <f t="shared" si="473"/>
        <v>0</v>
      </c>
      <c r="AK466" s="17">
        <f t="shared" si="474"/>
        <v>0</v>
      </c>
      <c r="AL466" s="17">
        <f t="shared" si="475"/>
        <v>0</v>
      </c>
      <c r="AN466" s="34">
        <v>15</v>
      </c>
      <c r="AO466" s="34">
        <f>H466*0.857614814814815</f>
        <v>0</v>
      </c>
      <c r="AP466" s="34">
        <f>H466*(1-0.857614814814815)</f>
        <v>0</v>
      </c>
      <c r="AQ466" s="28" t="s">
        <v>13</v>
      </c>
      <c r="AV466" s="34">
        <f t="shared" si="476"/>
        <v>0</v>
      </c>
      <c r="AW466" s="34">
        <f t="shared" si="477"/>
        <v>0</v>
      </c>
      <c r="AX466" s="34">
        <f t="shared" si="478"/>
        <v>0</v>
      </c>
      <c r="AY466" s="35" t="s">
        <v>1715</v>
      </c>
      <c r="AZ466" s="35" t="s">
        <v>1734</v>
      </c>
      <c r="BA466" s="29" t="s">
        <v>1737</v>
      </c>
      <c r="BC466" s="34">
        <f t="shared" si="479"/>
        <v>0</v>
      </c>
      <c r="BD466" s="34">
        <f t="shared" si="480"/>
        <v>0</v>
      </c>
      <c r="BE466" s="34">
        <v>0</v>
      </c>
      <c r="BF466" s="34">
        <f>466</f>
        <v>466</v>
      </c>
      <c r="BH466" s="17">
        <f t="shared" si="481"/>
        <v>0</v>
      </c>
      <c r="BI466" s="17">
        <f t="shared" si="482"/>
        <v>0</v>
      </c>
      <c r="BJ466" s="17">
        <f t="shared" si="483"/>
        <v>0</v>
      </c>
    </row>
    <row r="467" spans="1:62" x14ac:dyDescent="0.2">
      <c r="A467" s="4" t="s">
        <v>423</v>
      </c>
      <c r="B467" s="4" t="s">
        <v>900</v>
      </c>
      <c r="C467" s="240" t="s">
        <v>1489</v>
      </c>
      <c r="D467" s="241"/>
      <c r="E467" s="241"/>
      <c r="F467" s="4" t="s">
        <v>1646</v>
      </c>
      <c r="G467" s="69">
        <v>31.18</v>
      </c>
      <c r="H467" s="168"/>
      <c r="I467" s="17">
        <f t="shared" si="462"/>
        <v>0</v>
      </c>
      <c r="J467" s="17">
        <f t="shared" si="463"/>
        <v>0</v>
      </c>
      <c r="K467" s="17">
        <f t="shared" si="464"/>
        <v>0</v>
      </c>
      <c r="L467" s="28" t="s">
        <v>1671</v>
      </c>
      <c r="Z467" s="34">
        <f t="shared" si="465"/>
        <v>0</v>
      </c>
      <c r="AB467" s="34">
        <f t="shared" si="466"/>
        <v>0</v>
      </c>
      <c r="AC467" s="34">
        <f t="shared" si="467"/>
        <v>0</v>
      </c>
      <c r="AD467" s="34">
        <f t="shared" si="468"/>
        <v>0</v>
      </c>
      <c r="AE467" s="34">
        <f t="shared" si="469"/>
        <v>0</v>
      </c>
      <c r="AF467" s="34">
        <f t="shared" si="470"/>
        <v>0</v>
      </c>
      <c r="AG467" s="34">
        <f t="shared" si="471"/>
        <v>0</v>
      </c>
      <c r="AH467" s="34">
        <f t="shared" si="472"/>
        <v>0</v>
      </c>
      <c r="AI467" s="29"/>
      <c r="AJ467" s="17">
        <f t="shared" si="473"/>
        <v>0</v>
      </c>
      <c r="AK467" s="17">
        <f t="shared" si="474"/>
        <v>0</v>
      </c>
      <c r="AL467" s="17">
        <f t="shared" si="475"/>
        <v>0</v>
      </c>
      <c r="AN467" s="34">
        <v>15</v>
      </c>
      <c r="AO467" s="34">
        <f>H467*0.417402597402597</f>
        <v>0</v>
      </c>
      <c r="AP467" s="34">
        <f>H467*(1-0.417402597402597)</f>
        <v>0</v>
      </c>
      <c r="AQ467" s="28" t="s">
        <v>13</v>
      </c>
      <c r="AV467" s="34">
        <f t="shared" si="476"/>
        <v>0</v>
      </c>
      <c r="AW467" s="34">
        <f t="shared" si="477"/>
        <v>0</v>
      </c>
      <c r="AX467" s="34">
        <f t="shared" si="478"/>
        <v>0</v>
      </c>
      <c r="AY467" s="35" t="s">
        <v>1715</v>
      </c>
      <c r="AZ467" s="35" t="s">
        <v>1734</v>
      </c>
      <c r="BA467" s="29" t="s">
        <v>1737</v>
      </c>
      <c r="BC467" s="34">
        <f t="shared" si="479"/>
        <v>0</v>
      </c>
      <c r="BD467" s="34">
        <f t="shared" si="480"/>
        <v>0</v>
      </c>
      <c r="BE467" s="34">
        <v>0</v>
      </c>
      <c r="BF467" s="34">
        <f>467</f>
        <v>467</v>
      </c>
      <c r="BH467" s="17">
        <f t="shared" si="481"/>
        <v>0</v>
      </c>
      <c r="BI467" s="17">
        <f t="shared" si="482"/>
        <v>0</v>
      </c>
      <c r="BJ467" s="17">
        <f t="shared" si="483"/>
        <v>0</v>
      </c>
    </row>
    <row r="468" spans="1:62" x14ac:dyDescent="0.2">
      <c r="A468" s="4" t="s">
        <v>424</v>
      </c>
      <c r="B468" s="4" t="s">
        <v>901</v>
      </c>
      <c r="C468" s="240" t="s">
        <v>1490</v>
      </c>
      <c r="D468" s="241"/>
      <c r="E468" s="241"/>
      <c r="F468" s="4" t="s">
        <v>1646</v>
      </c>
      <c r="G468" s="69">
        <v>62.5</v>
      </c>
      <c r="H468" s="168"/>
      <c r="I468" s="17">
        <f t="shared" si="462"/>
        <v>0</v>
      </c>
      <c r="J468" s="17">
        <f t="shared" si="463"/>
        <v>0</v>
      </c>
      <c r="K468" s="17">
        <f t="shared" si="464"/>
        <v>0</v>
      </c>
      <c r="L468" s="28" t="s">
        <v>1671</v>
      </c>
      <c r="Z468" s="34">
        <f t="shared" si="465"/>
        <v>0</v>
      </c>
      <c r="AB468" s="34">
        <f t="shared" si="466"/>
        <v>0</v>
      </c>
      <c r="AC468" s="34">
        <f t="shared" si="467"/>
        <v>0</v>
      </c>
      <c r="AD468" s="34">
        <f t="shared" si="468"/>
        <v>0</v>
      </c>
      <c r="AE468" s="34">
        <f t="shared" si="469"/>
        <v>0</v>
      </c>
      <c r="AF468" s="34">
        <f t="shared" si="470"/>
        <v>0</v>
      </c>
      <c r="AG468" s="34">
        <f t="shared" si="471"/>
        <v>0</v>
      </c>
      <c r="AH468" s="34">
        <f t="shared" si="472"/>
        <v>0</v>
      </c>
      <c r="AI468" s="29"/>
      <c r="AJ468" s="17">
        <f t="shared" si="473"/>
        <v>0</v>
      </c>
      <c r="AK468" s="17">
        <f t="shared" si="474"/>
        <v>0</v>
      </c>
      <c r="AL468" s="17">
        <f t="shared" si="475"/>
        <v>0</v>
      </c>
      <c r="AN468" s="34">
        <v>15</v>
      </c>
      <c r="AO468" s="34">
        <f>H468*0.41738255033557</f>
        <v>0</v>
      </c>
      <c r="AP468" s="34">
        <f>H468*(1-0.41738255033557)</f>
        <v>0</v>
      </c>
      <c r="AQ468" s="28" t="s">
        <v>13</v>
      </c>
      <c r="AV468" s="34">
        <f t="shared" si="476"/>
        <v>0</v>
      </c>
      <c r="AW468" s="34">
        <f t="shared" si="477"/>
        <v>0</v>
      </c>
      <c r="AX468" s="34">
        <f t="shared" si="478"/>
        <v>0</v>
      </c>
      <c r="AY468" s="35" t="s">
        <v>1715</v>
      </c>
      <c r="AZ468" s="35" t="s">
        <v>1734</v>
      </c>
      <c r="BA468" s="29" t="s">
        <v>1737</v>
      </c>
      <c r="BC468" s="34">
        <f t="shared" si="479"/>
        <v>0</v>
      </c>
      <c r="BD468" s="34">
        <f t="shared" si="480"/>
        <v>0</v>
      </c>
      <c r="BE468" s="34">
        <v>0</v>
      </c>
      <c r="BF468" s="34">
        <f>468</f>
        <v>468</v>
      </c>
      <c r="BH468" s="17">
        <f t="shared" si="481"/>
        <v>0</v>
      </c>
      <c r="BI468" s="17">
        <f t="shared" si="482"/>
        <v>0</v>
      </c>
      <c r="BJ468" s="17">
        <f t="shared" si="483"/>
        <v>0</v>
      </c>
    </row>
    <row r="469" spans="1:62" x14ac:dyDescent="0.2">
      <c r="A469" s="4" t="s">
        <v>425</v>
      </c>
      <c r="B469" s="4" t="s">
        <v>902</v>
      </c>
      <c r="C469" s="240" t="s">
        <v>1491</v>
      </c>
      <c r="D469" s="241"/>
      <c r="E469" s="241"/>
      <c r="F469" s="4" t="s">
        <v>1648</v>
      </c>
      <c r="G469" s="69">
        <v>4.7439999999999998</v>
      </c>
      <c r="H469" s="168"/>
      <c r="I469" s="17">
        <f t="shared" si="462"/>
        <v>0</v>
      </c>
      <c r="J469" s="17">
        <f t="shared" si="463"/>
        <v>0</v>
      </c>
      <c r="K469" s="17">
        <f t="shared" si="464"/>
        <v>0</v>
      </c>
      <c r="L469" s="28" t="s">
        <v>1671</v>
      </c>
      <c r="Z469" s="34">
        <f t="shared" si="465"/>
        <v>0</v>
      </c>
      <c r="AB469" s="34">
        <f t="shared" si="466"/>
        <v>0</v>
      </c>
      <c r="AC469" s="34">
        <f t="shared" si="467"/>
        <v>0</v>
      </c>
      <c r="AD469" s="34">
        <f t="shared" si="468"/>
        <v>0</v>
      </c>
      <c r="AE469" s="34">
        <f t="shared" si="469"/>
        <v>0</v>
      </c>
      <c r="AF469" s="34">
        <f t="shared" si="470"/>
        <v>0</v>
      </c>
      <c r="AG469" s="34">
        <f t="shared" si="471"/>
        <v>0</v>
      </c>
      <c r="AH469" s="34">
        <f t="shared" si="472"/>
        <v>0</v>
      </c>
      <c r="AI469" s="29"/>
      <c r="AJ469" s="17">
        <f t="shared" si="473"/>
        <v>0</v>
      </c>
      <c r="AK469" s="17">
        <f t="shared" si="474"/>
        <v>0</v>
      </c>
      <c r="AL469" s="17">
        <f t="shared" si="475"/>
        <v>0</v>
      </c>
      <c r="AN469" s="34">
        <v>15</v>
      </c>
      <c r="AO469" s="34">
        <f>H469*0</f>
        <v>0</v>
      </c>
      <c r="AP469" s="34">
        <f>H469*(1-0)</f>
        <v>0</v>
      </c>
      <c r="AQ469" s="28" t="s">
        <v>11</v>
      </c>
      <c r="AV469" s="34">
        <f t="shared" si="476"/>
        <v>0</v>
      </c>
      <c r="AW469" s="34">
        <f t="shared" si="477"/>
        <v>0</v>
      </c>
      <c r="AX469" s="34">
        <f t="shared" si="478"/>
        <v>0</v>
      </c>
      <c r="AY469" s="35" t="s">
        <v>1715</v>
      </c>
      <c r="AZ469" s="35" t="s">
        <v>1734</v>
      </c>
      <c r="BA469" s="29" t="s">
        <v>1737</v>
      </c>
      <c r="BC469" s="34">
        <f t="shared" si="479"/>
        <v>0</v>
      </c>
      <c r="BD469" s="34">
        <f t="shared" si="480"/>
        <v>0</v>
      </c>
      <c r="BE469" s="34">
        <v>0</v>
      </c>
      <c r="BF469" s="34">
        <f>469</f>
        <v>469</v>
      </c>
      <c r="BH469" s="17">
        <f t="shared" si="481"/>
        <v>0</v>
      </c>
      <c r="BI469" s="17">
        <f t="shared" si="482"/>
        <v>0</v>
      </c>
      <c r="BJ469" s="17">
        <f t="shared" si="483"/>
        <v>0</v>
      </c>
    </row>
    <row r="470" spans="1:62" x14ac:dyDescent="0.2">
      <c r="A470" s="5"/>
      <c r="B470" s="13" t="s">
        <v>903</v>
      </c>
      <c r="C470" s="244" t="s">
        <v>1492</v>
      </c>
      <c r="D470" s="245"/>
      <c r="E470" s="245"/>
      <c r="F470" s="5" t="s">
        <v>6</v>
      </c>
      <c r="G470" s="5" t="s">
        <v>6</v>
      </c>
      <c r="H470" s="5" t="s">
        <v>6</v>
      </c>
      <c r="I470" s="37">
        <f>SUM(I471:I473)</f>
        <v>0</v>
      </c>
      <c r="J470" s="37">
        <f>SUM(J471:J473)</f>
        <v>0</v>
      </c>
      <c r="K470" s="37">
        <f>SUM(K471:K473)</f>
        <v>0</v>
      </c>
      <c r="L470" s="29"/>
      <c r="AI470" s="29"/>
      <c r="AS470" s="37">
        <f>SUM(AJ471:AJ473)</f>
        <v>0</v>
      </c>
      <c r="AT470" s="37">
        <f>SUM(AK471:AK473)</f>
        <v>0</v>
      </c>
      <c r="AU470" s="37">
        <f>SUM(AL471:AL473)</f>
        <v>0</v>
      </c>
    </row>
    <row r="471" spans="1:62" x14ac:dyDescent="0.2">
      <c r="A471" s="4" t="s">
        <v>426</v>
      </c>
      <c r="B471" s="4" t="s">
        <v>904</v>
      </c>
      <c r="C471" s="240" t="s">
        <v>1493</v>
      </c>
      <c r="D471" s="241"/>
      <c r="E471" s="241"/>
      <c r="F471" s="4" t="s">
        <v>1644</v>
      </c>
      <c r="G471" s="69">
        <v>1</v>
      </c>
      <c r="H471" s="168"/>
      <c r="I471" s="17">
        <f>G471*AO471</f>
        <v>0</v>
      </c>
      <c r="J471" s="17">
        <f>G471*AP471</f>
        <v>0</v>
      </c>
      <c r="K471" s="17">
        <f>G471*H471</f>
        <v>0</v>
      </c>
      <c r="L471" s="28" t="s">
        <v>1671</v>
      </c>
      <c r="Z471" s="34">
        <f>IF(AQ471="5",BJ471,0)</f>
        <v>0</v>
      </c>
      <c r="AB471" s="34">
        <f>IF(AQ471="1",BH471,0)</f>
        <v>0</v>
      </c>
      <c r="AC471" s="34">
        <f>IF(AQ471="1",BI471,0)</f>
        <v>0</v>
      </c>
      <c r="AD471" s="34">
        <f>IF(AQ471="7",BH471,0)</f>
        <v>0</v>
      </c>
      <c r="AE471" s="34">
        <f>IF(AQ471="7",BI471,0)</f>
        <v>0</v>
      </c>
      <c r="AF471" s="34">
        <f>IF(AQ471="2",BH471,0)</f>
        <v>0</v>
      </c>
      <c r="AG471" s="34">
        <f>IF(AQ471="2",BI471,0)</f>
        <v>0</v>
      </c>
      <c r="AH471" s="34">
        <f>IF(AQ471="0",BJ471,0)</f>
        <v>0</v>
      </c>
      <c r="AI471" s="29"/>
      <c r="AJ471" s="17">
        <f>IF(AN471=0,K471,0)</f>
        <v>0</v>
      </c>
      <c r="AK471" s="17">
        <f>IF(AN471=15,K471,0)</f>
        <v>0</v>
      </c>
      <c r="AL471" s="17">
        <f>IF(AN471=21,K471,0)</f>
        <v>0</v>
      </c>
      <c r="AN471" s="34">
        <v>15</v>
      </c>
      <c r="AO471" s="34">
        <f>H471*0.007425</f>
        <v>0</v>
      </c>
      <c r="AP471" s="34">
        <f>H471*(1-0.007425)</f>
        <v>0</v>
      </c>
      <c r="AQ471" s="28" t="s">
        <v>13</v>
      </c>
      <c r="AV471" s="34">
        <f>AW471+AX471</f>
        <v>0</v>
      </c>
      <c r="AW471" s="34">
        <f>G471*AO471</f>
        <v>0</v>
      </c>
      <c r="AX471" s="34">
        <f>G471*AP471</f>
        <v>0</v>
      </c>
      <c r="AY471" s="35" t="s">
        <v>1716</v>
      </c>
      <c r="AZ471" s="35" t="s">
        <v>1734</v>
      </c>
      <c r="BA471" s="29" t="s">
        <v>1737</v>
      </c>
      <c r="BC471" s="34">
        <f>AW471+AX471</f>
        <v>0</v>
      </c>
      <c r="BD471" s="34">
        <f>H471/(100-BE471)*100</f>
        <v>0</v>
      </c>
      <c r="BE471" s="34">
        <v>0</v>
      </c>
      <c r="BF471" s="34">
        <f>471</f>
        <v>471</v>
      </c>
      <c r="BH471" s="17">
        <f>G471*AO471</f>
        <v>0</v>
      </c>
      <c r="BI471" s="17">
        <f>G471*AP471</f>
        <v>0</v>
      </c>
      <c r="BJ471" s="17">
        <f>G471*H471</f>
        <v>0</v>
      </c>
    </row>
    <row r="472" spans="1:62" x14ac:dyDescent="0.2">
      <c r="A472" s="4" t="s">
        <v>427</v>
      </c>
      <c r="B472" s="4" t="s">
        <v>905</v>
      </c>
      <c r="C472" s="240" t="s">
        <v>1494</v>
      </c>
      <c r="D472" s="241"/>
      <c r="E472" s="241"/>
      <c r="F472" s="4" t="s">
        <v>1644</v>
      </c>
      <c r="G472" s="69">
        <v>1</v>
      </c>
      <c r="H472" s="168"/>
      <c r="I472" s="17">
        <f>G472*AO472</f>
        <v>0</v>
      </c>
      <c r="J472" s="17">
        <f>G472*AP472</f>
        <v>0</v>
      </c>
      <c r="K472" s="17">
        <f>G472*H472</f>
        <v>0</v>
      </c>
      <c r="L472" s="28" t="s">
        <v>1671</v>
      </c>
      <c r="Z472" s="34">
        <f>IF(AQ472="5",BJ472,0)</f>
        <v>0</v>
      </c>
      <c r="AB472" s="34">
        <f>IF(AQ472="1",BH472,0)</f>
        <v>0</v>
      </c>
      <c r="AC472" s="34">
        <f>IF(AQ472="1",BI472,0)</f>
        <v>0</v>
      </c>
      <c r="AD472" s="34">
        <f>IF(AQ472="7",BH472,0)</f>
        <v>0</v>
      </c>
      <c r="AE472" s="34">
        <f>IF(AQ472="7",BI472,0)</f>
        <v>0</v>
      </c>
      <c r="AF472" s="34">
        <f>IF(AQ472="2",BH472,0)</f>
        <v>0</v>
      </c>
      <c r="AG472" s="34">
        <f>IF(AQ472="2",BI472,0)</f>
        <v>0</v>
      </c>
      <c r="AH472" s="34">
        <f>IF(AQ472="0",BJ472,0)</f>
        <v>0</v>
      </c>
      <c r="AI472" s="29"/>
      <c r="AJ472" s="17">
        <f>IF(AN472=0,K472,0)</f>
        <v>0</v>
      </c>
      <c r="AK472" s="17">
        <f>IF(AN472=15,K472,0)</f>
        <v>0</v>
      </c>
      <c r="AL472" s="17">
        <f>IF(AN472=21,K472,0)</f>
        <v>0</v>
      </c>
      <c r="AN472" s="34">
        <v>15</v>
      </c>
      <c r="AO472" s="34">
        <f>H472*0.0040695652173913</f>
        <v>0</v>
      </c>
      <c r="AP472" s="34">
        <f>H472*(1-0.0040695652173913)</f>
        <v>0</v>
      </c>
      <c r="AQ472" s="28" t="s">
        <v>13</v>
      </c>
      <c r="AV472" s="34">
        <f>AW472+AX472</f>
        <v>0</v>
      </c>
      <c r="AW472" s="34">
        <f>G472*AO472</f>
        <v>0</v>
      </c>
      <c r="AX472" s="34">
        <f>G472*AP472</f>
        <v>0</v>
      </c>
      <c r="AY472" s="35" t="s">
        <v>1716</v>
      </c>
      <c r="AZ472" s="35" t="s">
        <v>1734</v>
      </c>
      <c r="BA472" s="29" t="s">
        <v>1737</v>
      </c>
      <c r="BC472" s="34">
        <f>AW472+AX472</f>
        <v>0</v>
      </c>
      <c r="BD472" s="34">
        <f>H472/(100-BE472)*100</f>
        <v>0</v>
      </c>
      <c r="BE472" s="34">
        <v>0</v>
      </c>
      <c r="BF472" s="34">
        <f>472</f>
        <v>472</v>
      </c>
      <c r="BH472" s="17">
        <f>G472*AO472</f>
        <v>0</v>
      </c>
      <c r="BI472" s="17">
        <f>G472*AP472</f>
        <v>0</v>
      </c>
      <c r="BJ472" s="17">
        <f>G472*H472</f>
        <v>0</v>
      </c>
    </row>
    <row r="473" spans="1:62" x14ac:dyDescent="0.2">
      <c r="A473" s="4" t="s">
        <v>428</v>
      </c>
      <c r="B473" s="4" t="s">
        <v>906</v>
      </c>
      <c r="C473" s="240" t="s">
        <v>1495</v>
      </c>
      <c r="D473" s="241"/>
      <c r="E473" s="241"/>
      <c r="F473" s="4" t="s">
        <v>1648</v>
      </c>
      <c r="G473" s="69">
        <v>4.7E-2</v>
      </c>
      <c r="H473" s="168"/>
      <c r="I473" s="17">
        <f>G473*AO473</f>
        <v>0</v>
      </c>
      <c r="J473" s="17">
        <f>G473*AP473</f>
        <v>0</v>
      </c>
      <c r="K473" s="17">
        <f>G473*H473</f>
        <v>0</v>
      </c>
      <c r="L473" s="28" t="s">
        <v>1671</v>
      </c>
      <c r="Z473" s="34">
        <f>IF(AQ473="5",BJ473,0)</f>
        <v>0</v>
      </c>
      <c r="AB473" s="34">
        <f>IF(AQ473="1",BH473,0)</f>
        <v>0</v>
      </c>
      <c r="AC473" s="34">
        <f>IF(AQ473="1",BI473,0)</f>
        <v>0</v>
      </c>
      <c r="AD473" s="34">
        <f>IF(AQ473="7",BH473,0)</f>
        <v>0</v>
      </c>
      <c r="AE473" s="34">
        <f>IF(AQ473="7",BI473,0)</f>
        <v>0</v>
      </c>
      <c r="AF473" s="34">
        <f>IF(AQ473="2",BH473,0)</f>
        <v>0</v>
      </c>
      <c r="AG473" s="34">
        <f>IF(AQ473="2",BI473,0)</f>
        <v>0</v>
      </c>
      <c r="AH473" s="34">
        <f>IF(AQ473="0",BJ473,0)</f>
        <v>0</v>
      </c>
      <c r="AI473" s="29"/>
      <c r="AJ473" s="17">
        <f>IF(AN473=0,K473,0)</f>
        <v>0</v>
      </c>
      <c r="AK473" s="17">
        <f>IF(AN473=15,K473,0)</f>
        <v>0</v>
      </c>
      <c r="AL473" s="17">
        <f>IF(AN473=21,K473,0)</f>
        <v>0</v>
      </c>
      <c r="AN473" s="34">
        <v>15</v>
      </c>
      <c r="AO473" s="34">
        <f>H473*0</f>
        <v>0</v>
      </c>
      <c r="AP473" s="34">
        <f>H473*(1-0)</f>
        <v>0</v>
      </c>
      <c r="AQ473" s="28" t="s">
        <v>11</v>
      </c>
      <c r="AV473" s="34">
        <f>AW473+AX473</f>
        <v>0</v>
      </c>
      <c r="AW473" s="34">
        <f>G473*AO473</f>
        <v>0</v>
      </c>
      <c r="AX473" s="34">
        <f>G473*AP473</f>
        <v>0</v>
      </c>
      <c r="AY473" s="35" t="s">
        <v>1716</v>
      </c>
      <c r="AZ473" s="35" t="s">
        <v>1734</v>
      </c>
      <c r="BA473" s="29" t="s">
        <v>1737</v>
      </c>
      <c r="BC473" s="34">
        <f>AW473+AX473</f>
        <v>0</v>
      </c>
      <c r="BD473" s="34">
        <f>H473/(100-BE473)*100</f>
        <v>0</v>
      </c>
      <c r="BE473" s="34">
        <v>0</v>
      </c>
      <c r="BF473" s="34">
        <f>473</f>
        <v>473</v>
      </c>
      <c r="BH473" s="17">
        <f>G473*AO473</f>
        <v>0</v>
      </c>
      <c r="BI473" s="17">
        <f>G473*AP473</f>
        <v>0</v>
      </c>
      <c r="BJ473" s="17">
        <f>G473*H473</f>
        <v>0</v>
      </c>
    </row>
    <row r="474" spans="1:62" x14ac:dyDescent="0.2">
      <c r="A474" s="5"/>
      <c r="B474" s="13" t="s">
        <v>907</v>
      </c>
      <c r="C474" s="244" t="s">
        <v>1496</v>
      </c>
      <c r="D474" s="245"/>
      <c r="E474" s="245"/>
      <c r="F474" s="5" t="s">
        <v>6</v>
      </c>
      <c r="G474" s="5" t="s">
        <v>6</v>
      </c>
      <c r="H474" s="5" t="s">
        <v>6</v>
      </c>
      <c r="I474" s="37">
        <f>SUM(I475:I488)</f>
        <v>0</v>
      </c>
      <c r="J474" s="37">
        <f>SUM(J475:J488)</f>
        <v>0</v>
      </c>
      <c r="K474" s="37">
        <f>SUM(K475:K488)</f>
        <v>0</v>
      </c>
      <c r="L474" s="29"/>
      <c r="AI474" s="29"/>
      <c r="AS474" s="37">
        <f>SUM(AJ475:AJ488)</f>
        <v>0</v>
      </c>
      <c r="AT474" s="37">
        <f>SUM(AK475:AK488)</f>
        <v>0</v>
      </c>
      <c r="AU474" s="37">
        <f>SUM(AL475:AL488)</f>
        <v>0</v>
      </c>
    </row>
    <row r="475" spans="1:62" x14ac:dyDescent="0.2">
      <c r="A475" s="4" t="s">
        <v>429</v>
      </c>
      <c r="B475" s="4" t="s">
        <v>908</v>
      </c>
      <c r="C475" s="240" t="s">
        <v>1497</v>
      </c>
      <c r="D475" s="241"/>
      <c r="E475" s="241"/>
      <c r="F475" s="4" t="s">
        <v>1644</v>
      </c>
      <c r="G475" s="69">
        <v>1</v>
      </c>
      <c r="H475" s="168"/>
      <c r="I475" s="17">
        <f t="shared" ref="I475:I488" si="484">G475*AO475</f>
        <v>0</v>
      </c>
      <c r="J475" s="17">
        <f t="shared" ref="J475:J488" si="485">G475*AP475</f>
        <v>0</v>
      </c>
      <c r="K475" s="17">
        <f t="shared" ref="K475:K488" si="486">G475*H475</f>
        <v>0</v>
      </c>
      <c r="L475" s="28" t="s">
        <v>1671</v>
      </c>
      <c r="Z475" s="34">
        <f t="shared" ref="Z475:Z488" si="487">IF(AQ475="5",BJ475,0)</f>
        <v>0</v>
      </c>
      <c r="AB475" s="34">
        <f t="shared" ref="AB475:AB488" si="488">IF(AQ475="1",BH475,0)</f>
        <v>0</v>
      </c>
      <c r="AC475" s="34">
        <f t="shared" ref="AC475:AC488" si="489">IF(AQ475="1",BI475,0)</f>
        <v>0</v>
      </c>
      <c r="AD475" s="34">
        <f t="shared" ref="AD475:AD488" si="490">IF(AQ475="7",BH475,0)</f>
        <v>0</v>
      </c>
      <c r="AE475" s="34">
        <f t="shared" ref="AE475:AE488" si="491">IF(AQ475="7",BI475,0)</f>
        <v>0</v>
      </c>
      <c r="AF475" s="34">
        <f t="shared" ref="AF475:AF488" si="492">IF(AQ475="2",BH475,0)</f>
        <v>0</v>
      </c>
      <c r="AG475" s="34">
        <f t="shared" ref="AG475:AG488" si="493">IF(AQ475="2",BI475,0)</f>
        <v>0</v>
      </c>
      <c r="AH475" s="34">
        <f t="shared" ref="AH475:AH488" si="494">IF(AQ475="0",BJ475,0)</f>
        <v>0</v>
      </c>
      <c r="AI475" s="29"/>
      <c r="AJ475" s="17">
        <f t="shared" ref="AJ475:AJ488" si="495">IF(AN475=0,K475,0)</f>
        <v>0</v>
      </c>
      <c r="AK475" s="17">
        <f t="shared" ref="AK475:AK488" si="496">IF(AN475=15,K475,0)</f>
        <v>0</v>
      </c>
      <c r="AL475" s="17">
        <f t="shared" ref="AL475:AL488" si="497">IF(AN475=21,K475,0)</f>
        <v>0</v>
      </c>
      <c r="AN475" s="34">
        <v>15</v>
      </c>
      <c r="AO475" s="34">
        <f>H475*0.0305007936507936</f>
        <v>0</v>
      </c>
      <c r="AP475" s="34">
        <f>H475*(1-0.0305007936507936)</f>
        <v>0</v>
      </c>
      <c r="AQ475" s="28" t="s">
        <v>13</v>
      </c>
      <c r="AV475" s="34">
        <f t="shared" ref="AV475:AV488" si="498">AW475+AX475</f>
        <v>0</v>
      </c>
      <c r="AW475" s="34">
        <f t="shared" ref="AW475:AW488" si="499">G475*AO475</f>
        <v>0</v>
      </c>
      <c r="AX475" s="34">
        <f t="shared" ref="AX475:AX488" si="500">G475*AP475</f>
        <v>0</v>
      </c>
      <c r="AY475" s="35" t="s">
        <v>1717</v>
      </c>
      <c r="AZ475" s="35" t="s">
        <v>1734</v>
      </c>
      <c r="BA475" s="29" t="s">
        <v>1737</v>
      </c>
      <c r="BC475" s="34">
        <f t="shared" ref="BC475:BC488" si="501">AW475+AX475</f>
        <v>0</v>
      </c>
      <c r="BD475" s="34">
        <f t="shared" ref="BD475:BD488" si="502">H475/(100-BE475)*100</f>
        <v>0</v>
      </c>
      <c r="BE475" s="34">
        <v>0</v>
      </c>
      <c r="BF475" s="34">
        <f>475</f>
        <v>475</v>
      </c>
      <c r="BH475" s="17">
        <f t="shared" ref="BH475:BH488" si="503">G475*AO475</f>
        <v>0</v>
      </c>
      <c r="BI475" s="17">
        <f t="shared" ref="BI475:BI488" si="504">G475*AP475</f>
        <v>0</v>
      </c>
      <c r="BJ475" s="17">
        <f t="shared" ref="BJ475:BJ488" si="505">G475*H475</f>
        <v>0</v>
      </c>
    </row>
    <row r="476" spans="1:62" x14ac:dyDescent="0.2">
      <c r="A476" s="4" t="s">
        <v>430</v>
      </c>
      <c r="B476" s="4" t="s">
        <v>909</v>
      </c>
      <c r="C476" s="240" t="s">
        <v>1498</v>
      </c>
      <c r="D476" s="241"/>
      <c r="E476" s="241"/>
      <c r="F476" s="4" t="s">
        <v>1644</v>
      </c>
      <c r="G476" s="69">
        <v>1</v>
      </c>
      <c r="H476" s="168"/>
      <c r="I476" s="17">
        <f t="shared" si="484"/>
        <v>0</v>
      </c>
      <c r="J476" s="17">
        <f t="shared" si="485"/>
        <v>0</v>
      </c>
      <c r="K476" s="17">
        <f t="shared" si="486"/>
        <v>0</v>
      </c>
      <c r="L476" s="28" t="s">
        <v>1671</v>
      </c>
      <c r="Z476" s="34">
        <f t="shared" si="487"/>
        <v>0</v>
      </c>
      <c r="AB476" s="34">
        <f t="shared" si="488"/>
        <v>0</v>
      </c>
      <c r="AC476" s="34">
        <f t="shared" si="489"/>
        <v>0</v>
      </c>
      <c r="AD476" s="34">
        <f t="shared" si="490"/>
        <v>0</v>
      </c>
      <c r="AE476" s="34">
        <f t="shared" si="491"/>
        <v>0</v>
      </c>
      <c r="AF476" s="34">
        <f t="shared" si="492"/>
        <v>0</v>
      </c>
      <c r="AG476" s="34">
        <f t="shared" si="493"/>
        <v>0</v>
      </c>
      <c r="AH476" s="34">
        <f t="shared" si="494"/>
        <v>0</v>
      </c>
      <c r="AI476" s="29"/>
      <c r="AJ476" s="17">
        <f t="shared" si="495"/>
        <v>0</v>
      </c>
      <c r="AK476" s="17">
        <f t="shared" si="496"/>
        <v>0</v>
      </c>
      <c r="AL476" s="17">
        <f t="shared" si="497"/>
        <v>0</v>
      </c>
      <c r="AN476" s="34">
        <v>15</v>
      </c>
      <c r="AO476" s="34">
        <f t="shared" ref="AO476:AO482" si="506">H476*0</f>
        <v>0</v>
      </c>
      <c r="AP476" s="34">
        <f t="shared" ref="AP476:AP482" si="507">H476*(1-0)</f>
        <v>0</v>
      </c>
      <c r="AQ476" s="28" t="s">
        <v>13</v>
      </c>
      <c r="AV476" s="34">
        <f t="shared" si="498"/>
        <v>0</v>
      </c>
      <c r="AW476" s="34">
        <f t="shared" si="499"/>
        <v>0</v>
      </c>
      <c r="AX476" s="34">
        <f t="shared" si="500"/>
        <v>0</v>
      </c>
      <c r="AY476" s="35" t="s">
        <v>1717</v>
      </c>
      <c r="AZ476" s="35" t="s">
        <v>1734</v>
      </c>
      <c r="BA476" s="29" t="s">
        <v>1737</v>
      </c>
      <c r="BC476" s="34">
        <f t="shared" si="501"/>
        <v>0</v>
      </c>
      <c r="BD476" s="34">
        <f t="shared" si="502"/>
        <v>0</v>
      </c>
      <c r="BE476" s="34">
        <v>0</v>
      </c>
      <c r="BF476" s="34">
        <f>476</f>
        <v>476</v>
      </c>
      <c r="BH476" s="17">
        <f t="shared" si="503"/>
        <v>0</v>
      </c>
      <c r="BI476" s="17">
        <f t="shared" si="504"/>
        <v>0</v>
      </c>
      <c r="BJ476" s="17">
        <f t="shared" si="505"/>
        <v>0</v>
      </c>
    </row>
    <row r="477" spans="1:62" x14ac:dyDescent="0.2">
      <c r="A477" s="4" t="s">
        <v>431</v>
      </c>
      <c r="B477" s="4" t="s">
        <v>910</v>
      </c>
      <c r="C477" s="240" t="s">
        <v>1499</v>
      </c>
      <c r="D477" s="241"/>
      <c r="E477" s="241"/>
      <c r="F477" s="4" t="s">
        <v>1644</v>
      </c>
      <c r="G477" s="69">
        <v>6</v>
      </c>
      <c r="H477" s="168"/>
      <c r="I477" s="17">
        <f t="shared" si="484"/>
        <v>0</v>
      </c>
      <c r="J477" s="17">
        <f t="shared" si="485"/>
        <v>0</v>
      </c>
      <c r="K477" s="17">
        <f t="shared" si="486"/>
        <v>0</v>
      </c>
      <c r="L477" s="28" t="s">
        <v>1671</v>
      </c>
      <c r="Z477" s="34">
        <f t="shared" si="487"/>
        <v>0</v>
      </c>
      <c r="AB477" s="34">
        <f t="shared" si="488"/>
        <v>0</v>
      </c>
      <c r="AC477" s="34">
        <f t="shared" si="489"/>
        <v>0</v>
      </c>
      <c r="AD477" s="34">
        <f t="shared" si="490"/>
        <v>0</v>
      </c>
      <c r="AE477" s="34">
        <f t="shared" si="491"/>
        <v>0</v>
      </c>
      <c r="AF477" s="34">
        <f t="shared" si="492"/>
        <v>0</v>
      </c>
      <c r="AG477" s="34">
        <f t="shared" si="493"/>
        <v>0</v>
      </c>
      <c r="AH477" s="34">
        <f t="shared" si="494"/>
        <v>0</v>
      </c>
      <c r="AI477" s="29"/>
      <c r="AJ477" s="17">
        <f t="shared" si="495"/>
        <v>0</v>
      </c>
      <c r="AK477" s="17">
        <f t="shared" si="496"/>
        <v>0</v>
      </c>
      <c r="AL477" s="17">
        <f t="shared" si="497"/>
        <v>0</v>
      </c>
      <c r="AN477" s="34">
        <v>15</v>
      </c>
      <c r="AO477" s="34">
        <f t="shared" si="506"/>
        <v>0</v>
      </c>
      <c r="AP477" s="34">
        <f t="shared" si="507"/>
        <v>0</v>
      </c>
      <c r="AQ477" s="28" t="s">
        <v>13</v>
      </c>
      <c r="AV477" s="34">
        <f t="shared" si="498"/>
        <v>0</v>
      </c>
      <c r="AW477" s="34">
        <f t="shared" si="499"/>
        <v>0</v>
      </c>
      <c r="AX477" s="34">
        <f t="shared" si="500"/>
        <v>0</v>
      </c>
      <c r="AY477" s="35" t="s">
        <v>1717</v>
      </c>
      <c r="AZ477" s="35" t="s">
        <v>1734</v>
      </c>
      <c r="BA477" s="29" t="s">
        <v>1737</v>
      </c>
      <c r="BC477" s="34">
        <f t="shared" si="501"/>
        <v>0</v>
      </c>
      <c r="BD477" s="34">
        <f t="shared" si="502"/>
        <v>0</v>
      </c>
      <c r="BE477" s="34">
        <v>0</v>
      </c>
      <c r="BF477" s="34">
        <f>477</f>
        <v>477</v>
      </c>
      <c r="BH477" s="17">
        <f t="shared" si="503"/>
        <v>0</v>
      </c>
      <c r="BI477" s="17">
        <f t="shared" si="504"/>
        <v>0</v>
      </c>
      <c r="BJ477" s="17">
        <f t="shared" si="505"/>
        <v>0</v>
      </c>
    </row>
    <row r="478" spans="1:62" x14ac:dyDescent="0.2">
      <c r="A478" s="4" t="s">
        <v>432</v>
      </c>
      <c r="B478" s="4" t="s">
        <v>911</v>
      </c>
      <c r="C478" s="240" t="s">
        <v>1500</v>
      </c>
      <c r="D478" s="241"/>
      <c r="E478" s="241"/>
      <c r="F478" s="4" t="s">
        <v>1644</v>
      </c>
      <c r="G478" s="69">
        <v>1</v>
      </c>
      <c r="H478" s="168"/>
      <c r="I478" s="17">
        <f t="shared" si="484"/>
        <v>0</v>
      </c>
      <c r="J478" s="17">
        <f t="shared" si="485"/>
        <v>0</v>
      </c>
      <c r="K478" s="17">
        <f t="shared" si="486"/>
        <v>0</v>
      </c>
      <c r="L478" s="28" t="s">
        <v>1671</v>
      </c>
      <c r="Z478" s="34">
        <f t="shared" si="487"/>
        <v>0</v>
      </c>
      <c r="AB478" s="34">
        <f t="shared" si="488"/>
        <v>0</v>
      </c>
      <c r="AC478" s="34">
        <f t="shared" si="489"/>
        <v>0</v>
      </c>
      <c r="AD478" s="34">
        <f t="shared" si="490"/>
        <v>0</v>
      </c>
      <c r="AE478" s="34">
        <f t="shared" si="491"/>
        <v>0</v>
      </c>
      <c r="AF478" s="34">
        <f t="shared" si="492"/>
        <v>0</v>
      </c>
      <c r="AG478" s="34">
        <f t="shared" si="493"/>
        <v>0</v>
      </c>
      <c r="AH478" s="34">
        <f t="shared" si="494"/>
        <v>0</v>
      </c>
      <c r="AI478" s="29"/>
      <c r="AJ478" s="17">
        <f t="shared" si="495"/>
        <v>0</v>
      </c>
      <c r="AK478" s="17">
        <f t="shared" si="496"/>
        <v>0</v>
      </c>
      <c r="AL478" s="17">
        <f t="shared" si="497"/>
        <v>0</v>
      </c>
      <c r="AN478" s="34">
        <v>15</v>
      </c>
      <c r="AO478" s="34">
        <f t="shared" si="506"/>
        <v>0</v>
      </c>
      <c r="AP478" s="34">
        <f t="shared" si="507"/>
        <v>0</v>
      </c>
      <c r="AQ478" s="28" t="s">
        <v>13</v>
      </c>
      <c r="AV478" s="34">
        <f t="shared" si="498"/>
        <v>0</v>
      </c>
      <c r="AW478" s="34">
        <f t="shared" si="499"/>
        <v>0</v>
      </c>
      <c r="AX478" s="34">
        <f t="shared" si="500"/>
        <v>0</v>
      </c>
      <c r="AY478" s="35" t="s">
        <v>1717</v>
      </c>
      <c r="AZ478" s="35" t="s">
        <v>1734</v>
      </c>
      <c r="BA478" s="29" t="s">
        <v>1737</v>
      </c>
      <c r="BC478" s="34">
        <f t="shared" si="501"/>
        <v>0</v>
      </c>
      <c r="BD478" s="34">
        <f t="shared" si="502"/>
        <v>0</v>
      </c>
      <c r="BE478" s="34">
        <v>0</v>
      </c>
      <c r="BF478" s="34">
        <f>478</f>
        <v>478</v>
      </c>
      <c r="BH478" s="17">
        <f t="shared" si="503"/>
        <v>0</v>
      </c>
      <c r="BI478" s="17">
        <f t="shared" si="504"/>
        <v>0</v>
      </c>
      <c r="BJ478" s="17">
        <f t="shared" si="505"/>
        <v>0</v>
      </c>
    </row>
    <row r="479" spans="1:62" x14ac:dyDescent="0.2">
      <c r="A479" s="4" t="s">
        <v>433</v>
      </c>
      <c r="B479" s="4" t="s">
        <v>912</v>
      </c>
      <c r="C479" s="240" t="s">
        <v>1501</v>
      </c>
      <c r="D479" s="241"/>
      <c r="E479" s="241"/>
      <c r="F479" s="4" t="s">
        <v>1644</v>
      </c>
      <c r="G479" s="69">
        <v>1</v>
      </c>
      <c r="H479" s="168"/>
      <c r="I479" s="17">
        <f t="shared" si="484"/>
        <v>0</v>
      </c>
      <c r="J479" s="17">
        <f t="shared" si="485"/>
        <v>0</v>
      </c>
      <c r="K479" s="17">
        <f t="shared" si="486"/>
        <v>0</v>
      </c>
      <c r="L479" s="28" t="s">
        <v>1671</v>
      </c>
      <c r="Z479" s="34">
        <f t="shared" si="487"/>
        <v>0</v>
      </c>
      <c r="AB479" s="34">
        <f t="shared" si="488"/>
        <v>0</v>
      </c>
      <c r="AC479" s="34">
        <f t="shared" si="489"/>
        <v>0</v>
      </c>
      <c r="AD479" s="34">
        <f t="shared" si="490"/>
        <v>0</v>
      </c>
      <c r="AE479" s="34">
        <f t="shared" si="491"/>
        <v>0</v>
      </c>
      <c r="AF479" s="34">
        <f t="shared" si="492"/>
        <v>0</v>
      </c>
      <c r="AG479" s="34">
        <f t="shared" si="493"/>
        <v>0</v>
      </c>
      <c r="AH479" s="34">
        <f t="shared" si="494"/>
        <v>0</v>
      </c>
      <c r="AI479" s="29"/>
      <c r="AJ479" s="17">
        <f t="shared" si="495"/>
        <v>0</v>
      </c>
      <c r="AK479" s="17">
        <f t="shared" si="496"/>
        <v>0</v>
      </c>
      <c r="AL479" s="17">
        <f t="shared" si="497"/>
        <v>0</v>
      </c>
      <c r="AN479" s="34">
        <v>15</v>
      </c>
      <c r="AO479" s="34">
        <f t="shared" si="506"/>
        <v>0</v>
      </c>
      <c r="AP479" s="34">
        <f t="shared" si="507"/>
        <v>0</v>
      </c>
      <c r="AQ479" s="28" t="s">
        <v>13</v>
      </c>
      <c r="AV479" s="34">
        <f t="shared" si="498"/>
        <v>0</v>
      </c>
      <c r="AW479" s="34">
        <f t="shared" si="499"/>
        <v>0</v>
      </c>
      <c r="AX479" s="34">
        <f t="shared" si="500"/>
        <v>0</v>
      </c>
      <c r="AY479" s="35" t="s">
        <v>1717</v>
      </c>
      <c r="AZ479" s="35" t="s">
        <v>1734</v>
      </c>
      <c r="BA479" s="29" t="s">
        <v>1737</v>
      </c>
      <c r="BC479" s="34">
        <f t="shared" si="501"/>
        <v>0</v>
      </c>
      <c r="BD479" s="34">
        <f t="shared" si="502"/>
        <v>0</v>
      </c>
      <c r="BE479" s="34">
        <v>0</v>
      </c>
      <c r="BF479" s="34">
        <f>479</f>
        <v>479</v>
      </c>
      <c r="BH479" s="17">
        <f t="shared" si="503"/>
        <v>0</v>
      </c>
      <c r="BI479" s="17">
        <f t="shared" si="504"/>
        <v>0</v>
      </c>
      <c r="BJ479" s="17">
        <f t="shared" si="505"/>
        <v>0</v>
      </c>
    </row>
    <row r="480" spans="1:62" x14ac:dyDescent="0.2">
      <c r="A480" s="4" t="s">
        <v>434</v>
      </c>
      <c r="B480" s="4" t="s">
        <v>913</v>
      </c>
      <c r="C480" s="240" t="s">
        <v>1502</v>
      </c>
      <c r="D480" s="241"/>
      <c r="E480" s="241"/>
      <c r="F480" s="4" t="s">
        <v>1644</v>
      </c>
      <c r="G480" s="69">
        <v>2</v>
      </c>
      <c r="H480" s="168"/>
      <c r="I480" s="17">
        <f t="shared" si="484"/>
        <v>0</v>
      </c>
      <c r="J480" s="17">
        <f t="shared" si="485"/>
        <v>0</v>
      </c>
      <c r="K480" s="17">
        <f t="shared" si="486"/>
        <v>0</v>
      </c>
      <c r="L480" s="28" t="s">
        <v>1671</v>
      </c>
      <c r="Z480" s="34">
        <f t="shared" si="487"/>
        <v>0</v>
      </c>
      <c r="AB480" s="34">
        <f t="shared" si="488"/>
        <v>0</v>
      </c>
      <c r="AC480" s="34">
        <f t="shared" si="489"/>
        <v>0</v>
      </c>
      <c r="AD480" s="34">
        <f t="shared" si="490"/>
        <v>0</v>
      </c>
      <c r="AE480" s="34">
        <f t="shared" si="491"/>
        <v>0</v>
      </c>
      <c r="AF480" s="34">
        <f t="shared" si="492"/>
        <v>0</v>
      </c>
      <c r="AG480" s="34">
        <f t="shared" si="493"/>
        <v>0</v>
      </c>
      <c r="AH480" s="34">
        <f t="shared" si="494"/>
        <v>0</v>
      </c>
      <c r="AI480" s="29"/>
      <c r="AJ480" s="17">
        <f t="shared" si="495"/>
        <v>0</v>
      </c>
      <c r="AK480" s="17">
        <f t="shared" si="496"/>
        <v>0</v>
      </c>
      <c r="AL480" s="17">
        <f t="shared" si="497"/>
        <v>0</v>
      </c>
      <c r="AN480" s="34">
        <v>15</v>
      </c>
      <c r="AO480" s="34">
        <f t="shared" si="506"/>
        <v>0</v>
      </c>
      <c r="AP480" s="34">
        <f t="shared" si="507"/>
        <v>0</v>
      </c>
      <c r="AQ480" s="28" t="s">
        <v>13</v>
      </c>
      <c r="AV480" s="34">
        <f t="shared" si="498"/>
        <v>0</v>
      </c>
      <c r="AW480" s="34">
        <f t="shared" si="499"/>
        <v>0</v>
      </c>
      <c r="AX480" s="34">
        <f t="shared" si="500"/>
        <v>0</v>
      </c>
      <c r="AY480" s="35" t="s">
        <v>1717</v>
      </c>
      <c r="AZ480" s="35" t="s">
        <v>1734</v>
      </c>
      <c r="BA480" s="29" t="s">
        <v>1737</v>
      </c>
      <c r="BC480" s="34">
        <f t="shared" si="501"/>
        <v>0</v>
      </c>
      <c r="BD480" s="34">
        <f t="shared" si="502"/>
        <v>0</v>
      </c>
      <c r="BE480" s="34">
        <v>0</v>
      </c>
      <c r="BF480" s="34">
        <f>480</f>
        <v>480</v>
      </c>
      <c r="BH480" s="17">
        <f t="shared" si="503"/>
        <v>0</v>
      </c>
      <c r="BI480" s="17">
        <f t="shared" si="504"/>
        <v>0</v>
      </c>
      <c r="BJ480" s="17">
        <f t="shared" si="505"/>
        <v>0</v>
      </c>
    </row>
    <row r="481" spans="1:62" x14ac:dyDescent="0.2">
      <c r="A481" s="4" t="s">
        <v>435</v>
      </c>
      <c r="B481" s="4" t="s">
        <v>914</v>
      </c>
      <c r="C481" s="240" t="s">
        <v>1503</v>
      </c>
      <c r="D481" s="241"/>
      <c r="E481" s="241"/>
      <c r="F481" s="4" t="s">
        <v>1644</v>
      </c>
      <c r="G481" s="69">
        <v>2</v>
      </c>
      <c r="H481" s="168"/>
      <c r="I481" s="17">
        <f t="shared" si="484"/>
        <v>0</v>
      </c>
      <c r="J481" s="17">
        <f t="shared" si="485"/>
        <v>0</v>
      </c>
      <c r="K481" s="17">
        <f t="shared" si="486"/>
        <v>0</v>
      </c>
      <c r="L481" s="28" t="s">
        <v>1671</v>
      </c>
      <c r="Z481" s="34">
        <f t="shared" si="487"/>
        <v>0</v>
      </c>
      <c r="AB481" s="34">
        <f t="shared" si="488"/>
        <v>0</v>
      </c>
      <c r="AC481" s="34">
        <f t="shared" si="489"/>
        <v>0</v>
      </c>
      <c r="AD481" s="34">
        <f t="shared" si="490"/>
        <v>0</v>
      </c>
      <c r="AE481" s="34">
        <f t="shared" si="491"/>
        <v>0</v>
      </c>
      <c r="AF481" s="34">
        <f t="shared" si="492"/>
        <v>0</v>
      </c>
      <c r="AG481" s="34">
        <f t="shared" si="493"/>
        <v>0</v>
      </c>
      <c r="AH481" s="34">
        <f t="shared" si="494"/>
        <v>0</v>
      </c>
      <c r="AI481" s="29"/>
      <c r="AJ481" s="17">
        <f t="shared" si="495"/>
        <v>0</v>
      </c>
      <c r="AK481" s="17">
        <f t="shared" si="496"/>
        <v>0</v>
      </c>
      <c r="AL481" s="17">
        <f t="shared" si="497"/>
        <v>0</v>
      </c>
      <c r="AN481" s="34">
        <v>15</v>
      </c>
      <c r="AO481" s="34">
        <f t="shared" si="506"/>
        <v>0</v>
      </c>
      <c r="AP481" s="34">
        <f t="shared" si="507"/>
        <v>0</v>
      </c>
      <c r="AQ481" s="28" t="s">
        <v>13</v>
      </c>
      <c r="AV481" s="34">
        <f t="shared" si="498"/>
        <v>0</v>
      </c>
      <c r="AW481" s="34">
        <f t="shared" si="499"/>
        <v>0</v>
      </c>
      <c r="AX481" s="34">
        <f t="shared" si="500"/>
        <v>0</v>
      </c>
      <c r="AY481" s="35" t="s">
        <v>1717</v>
      </c>
      <c r="AZ481" s="35" t="s">
        <v>1734</v>
      </c>
      <c r="BA481" s="29" t="s">
        <v>1737</v>
      </c>
      <c r="BC481" s="34">
        <f t="shared" si="501"/>
        <v>0</v>
      </c>
      <c r="BD481" s="34">
        <f t="shared" si="502"/>
        <v>0</v>
      </c>
      <c r="BE481" s="34">
        <v>0</v>
      </c>
      <c r="BF481" s="34">
        <f>481</f>
        <v>481</v>
      </c>
      <c r="BH481" s="17">
        <f t="shared" si="503"/>
        <v>0</v>
      </c>
      <c r="BI481" s="17">
        <f t="shared" si="504"/>
        <v>0</v>
      </c>
      <c r="BJ481" s="17">
        <f t="shared" si="505"/>
        <v>0</v>
      </c>
    </row>
    <row r="482" spans="1:62" x14ac:dyDescent="0.2">
      <c r="A482" s="4" t="s">
        <v>436</v>
      </c>
      <c r="B482" s="4" t="s">
        <v>915</v>
      </c>
      <c r="C482" s="240" t="s">
        <v>1504</v>
      </c>
      <c r="D482" s="241"/>
      <c r="E482" s="241"/>
      <c r="F482" s="4" t="s">
        <v>1644</v>
      </c>
      <c r="G482" s="69">
        <v>2</v>
      </c>
      <c r="H482" s="168"/>
      <c r="I482" s="17">
        <f t="shared" si="484"/>
        <v>0</v>
      </c>
      <c r="J482" s="17">
        <f t="shared" si="485"/>
        <v>0</v>
      </c>
      <c r="K482" s="17">
        <f t="shared" si="486"/>
        <v>0</v>
      </c>
      <c r="L482" s="28" t="s">
        <v>1671</v>
      </c>
      <c r="Z482" s="34">
        <f t="shared" si="487"/>
        <v>0</v>
      </c>
      <c r="AB482" s="34">
        <f t="shared" si="488"/>
        <v>0</v>
      </c>
      <c r="AC482" s="34">
        <f t="shared" si="489"/>
        <v>0</v>
      </c>
      <c r="AD482" s="34">
        <f t="shared" si="490"/>
        <v>0</v>
      </c>
      <c r="AE482" s="34">
        <f t="shared" si="491"/>
        <v>0</v>
      </c>
      <c r="AF482" s="34">
        <f t="shared" si="492"/>
        <v>0</v>
      </c>
      <c r="AG482" s="34">
        <f t="shared" si="493"/>
        <v>0</v>
      </c>
      <c r="AH482" s="34">
        <f t="shared" si="494"/>
        <v>0</v>
      </c>
      <c r="AI482" s="29"/>
      <c r="AJ482" s="17">
        <f t="shared" si="495"/>
        <v>0</v>
      </c>
      <c r="AK482" s="17">
        <f t="shared" si="496"/>
        <v>0</v>
      </c>
      <c r="AL482" s="17">
        <f t="shared" si="497"/>
        <v>0</v>
      </c>
      <c r="AN482" s="34">
        <v>15</v>
      </c>
      <c r="AO482" s="34">
        <f t="shared" si="506"/>
        <v>0</v>
      </c>
      <c r="AP482" s="34">
        <f t="shared" si="507"/>
        <v>0</v>
      </c>
      <c r="AQ482" s="28" t="s">
        <v>13</v>
      </c>
      <c r="AV482" s="34">
        <f t="shared" si="498"/>
        <v>0</v>
      </c>
      <c r="AW482" s="34">
        <f t="shared" si="499"/>
        <v>0</v>
      </c>
      <c r="AX482" s="34">
        <f t="shared" si="500"/>
        <v>0</v>
      </c>
      <c r="AY482" s="35" t="s">
        <v>1717</v>
      </c>
      <c r="AZ482" s="35" t="s">
        <v>1734</v>
      </c>
      <c r="BA482" s="29" t="s">
        <v>1737</v>
      </c>
      <c r="BC482" s="34">
        <f t="shared" si="501"/>
        <v>0</v>
      </c>
      <c r="BD482" s="34">
        <f t="shared" si="502"/>
        <v>0</v>
      </c>
      <c r="BE482" s="34">
        <v>0</v>
      </c>
      <c r="BF482" s="34">
        <f>482</f>
        <v>482</v>
      </c>
      <c r="BH482" s="17">
        <f t="shared" si="503"/>
        <v>0</v>
      </c>
      <c r="BI482" s="17">
        <f t="shared" si="504"/>
        <v>0</v>
      </c>
      <c r="BJ482" s="17">
        <f t="shared" si="505"/>
        <v>0</v>
      </c>
    </row>
    <row r="483" spans="1:62" x14ac:dyDescent="0.2">
      <c r="A483" s="4" t="s">
        <v>437</v>
      </c>
      <c r="B483" s="4" t="s">
        <v>916</v>
      </c>
      <c r="C483" s="240" t="s">
        <v>1505</v>
      </c>
      <c r="D483" s="241"/>
      <c r="E483" s="241"/>
      <c r="F483" s="4" t="s">
        <v>1644</v>
      </c>
      <c r="G483" s="69">
        <v>1</v>
      </c>
      <c r="H483" s="168"/>
      <c r="I483" s="17">
        <f t="shared" si="484"/>
        <v>0</v>
      </c>
      <c r="J483" s="17">
        <f t="shared" si="485"/>
        <v>0</v>
      </c>
      <c r="K483" s="17">
        <f t="shared" si="486"/>
        <v>0</v>
      </c>
      <c r="L483" s="28" t="s">
        <v>1671</v>
      </c>
      <c r="Z483" s="34">
        <f t="shared" si="487"/>
        <v>0</v>
      </c>
      <c r="AB483" s="34">
        <f t="shared" si="488"/>
        <v>0</v>
      </c>
      <c r="AC483" s="34">
        <f t="shared" si="489"/>
        <v>0</v>
      </c>
      <c r="AD483" s="34">
        <f t="shared" si="490"/>
        <v>0</v>
      </c>
      <c r="AE483" s="34">
        <f t="shared" si="491"/>
        <v>0</v>
      </c>
      <c r="AF483" s="34">
        <f t="shared" si="492"/>
        <v>0</v>
      </c>
      <c r="AG483" s="34">
        <f t="shared" si="493"/>
        <v>0</v>
      </c>
      <c r="AH483" s="34">
        <f t="shared" si="494"/>
        <v>0</v>
      </c>
      <c r="AI483" s="29"/>
      <c r="AJ483" s="17">
        <f t="shared" si="495"/>
        <v>0</v>
      </c>
      <c r="AK483" s="17">
        <f t="shared" si="496"/>
        <v>0</v>
      </c>
      <c r="AL483" s="17">
        <f t="shared" si="497"/>
        <v>0</v>
      </c>
      <c r="AN483" s="34">
        <v>15</v>
      </c>
      <c r="AO483" s="34">
        <f>H483*0.0282374100719424</f>
        <v>0</v>
      </c>
      <c r="AP483" s="34">
        <f>H483*(1-0.0282374100719424)</f>
        <v>0</v>
      </c>
      <c r="AQ483" s="28" t="s">
        <v>13</v>
      </c>
      <c r="AV483" s="34">
        <f t="shared" si="498"/>
        <v>0</v>
      </c>
      <c r="AW483" s="34">
        <f t="shared" si="499"/>
        <v>0</v>
      </c>
      <c r="AX483" s="34">
        <f t="shared" si="500"/>
        <v>0</v>
      </c>
      <c r="AY483" s="35" t="s">
        <v>1717</v>
      </c>
      <c r="AZ483" s="35" t="s">
        <v>1734</v>
      </c>
      <c r="BA483" s="29" t="s">
        <v>1737</v>
      </c>
      <c r="BC483" s="34">
        <f t="shared" si="501"/>
        <v>0</v>
      </c>
      <c r="BD483" s="34">
        <f t="shared" si="502"/>
        <v>0</v>
      </c>
      <c r="BE483" s="34">
        <v>0</v>
      </c>
      <c r="BF483" s="34">
        <f>483</f>
        <v>483</v>
      </c>
      <c r="BH483" s="17">
        <f t="shared" si="503"/>
        <v>0</v>
      </c>
      <c r="BI483" s="17">
        <f t="shared" si="504"/>
        <v>0</v>
      </c>
      <c r="BJ483" s="17">
        <f t="shared" si="505"/>
        <v>0</v>
      </c>
    </row>
    <row r="484" spans="1:62" x14ac:dyDescent="0.2">
      <c r="A484" s="4" t="s">
        <v>438</v>
      </c>
      <c r="B484" s="4" t="s">
        <v>917</v>
      </c>
      <c r="C484" s="240" t="s">
        <v>1506</v>
      </c>
      <c r="D484" s="241"/>
      <c r="E484" s="241"/>
      <c r="F484" s="4" t="s">
        <v>1644</v>
      </c>
      <c r="G484" s="69">
        <v>1</v>
      </c>
      <c r="H484" s="168"/>
      <c r="I484" s="17">
        <f t="shared" si="484"/>
        <v>0</v>
      </c>
      <c r="J484" s="17">
        <f t="shared" si="485"/>
        <v>0</v>
      </c>
      <c r="K484" s="17">
        <f t="shared" si="486"/>
        <v>0</v>
      </c>
      <c r="L484" s="28" t="s">
        <v>1671</v>
      </c>
      <c r="Z484" s="34">
        <f t="shared" si="487"/>
        <v>0</v>
      </c>
      <c r="AB484" s="34">
        <f t="shared" si="488"/>
        <v>0</v>
      </c>
      <c r="AC484" s="34">
        <f t="shared" si="489"/>
        <v>0</v>
      </c>
      <c r="AD484" s="34">
        <f t="shared" si="490"/>
        <v>0</v>
      </c>
      <c r="AE484" s="34">
        <f t="shared" si="491"/>
        <v>0</v>
      </c>
      <c r="AF484" s="34">
        <f t="shared" si="492"/>
        <v>0</v>
      </c>
      <c r="AG484" s="34">
        <f t="shared" si="493"/>
        <v>0</v>
      </c>
      <c r="AH484" s="34">
        <f t="shared" si="494"/>
        <v>0</v>
      </c>
      <c r="AI484" s="29"/>
      <c r="AJ484" s="17">
        <f t="shared" si="495"/>
        <v>0</v>
      </c>
      <c r="AK484" s="17">
        <f t="shared" si="496"/>
        <v>0</v>
      </c>
      <c r="AL484" s="17">
        <f t="shared" si="497"/>
        <v>0</v>
      </c>
      <c r="AN484" s="34">
        <v>15</v>
      </c>
      <c r="AO484" s="34">
        <f>H484*0.781246328125</f>
        <v>0</v>
      </c>
      <c r="AP484" s="34">
        <f>H484*(1-0.781246328125)</f>
        <v>0</v>
      </c>
      <c r="AQ484" s="28" t="s">
        <v>13</v>
      </c>
      <c r="AV484" s="34">
        <f t="shared" si="498"/>
        <v>0</v>
      </c>
      <c r="AW484" s="34">
        <f t="shared" si="499"/>
        <v>0</v>
      </c>
      <c r="AX484" s="34">
        <f t="shared" si="500"/>
        <v>0</v>
      </c>
      <c r="AY484" s="35" t="s">
        <v>1717</v>
      </c>
      <c r="AZ484" s="35" t="s">
        <v>1734</v>
      </c>
      <c r="BA484" s="29" t="s">
        <v>1737</v>
      </c>
      <c r="BC484" s="34">
        <f t="shared" si="501"/>
        <v>0</v>
      </c>
      <c r="BD484" s="34">
        <f t="shared" si="502"/>
        <v>0</v>
      </c>
      <c r="BE484" s="34">
        <v>0</v>
      </c>
      <c r="BF484" s="34">
        <f>484</f>
        <v>484</v>
      </c>
      <c r="BH484" s="17">
        <f t="shared" si="503"/>
        <v>0</v>
      </c>
      <c r="BI484" s="17">
        <f t="shared" si="504"/>
        <v>0</v>
      </c>
      <c r="BJ484" s="17">
        <f t="shared" si="505"/>
        <v>0</v>
      </c>
    </row>
    <row r="485" spans="1:62" x14ac:dyDescent="0.2">
      <c r="A485" s="4" t="s">
        <v>439</v>
      </c>
      <c r="B485" s="4" t="s">
        <v>918</v>
      </c>
      <c r="C485" s="240" t="s">
        <v>1507</v>
      </c>
      <c r="D485" s="241"/>
      <c r="E485" s="241"/>
      <c r="F485" s="4" t="s">
        <v>1644</v>
      </c>
      <c r="G485" s="69">
        <v>2</v>
      </c>
      <c r="H485" s="168"/>
      <c r="I485" s="17">
        <f t="shared" si="484"/>
        <v>0</v>
      </c>
      <c r="J485" s="17">
        <f t="shared" si="485"/>
        <v>0</v>
      </c>
      <c r="K485" s="17">
        <f t="shared" si="486"/>
        <v>0</v>
      </c>
      <c r="L485" s="28" t="s">
        <v>1671</v>
      </c>
      <c r="Z485" s="34">
        <f t="shared" si="487"/>
        <v>0</v>
      </c>
      <c r="AB485" s="34">
        <f t="shared" si="488"/>
        <v>0</v>
      </c>
      <c r="AC485" s="34">
        <f t="shared" si="489"/>
        <v>0</v>
      </c>
      <c r="AD485" s="34">
        <f t="shared" si="490"/>
        <v>0</v>
      </c>
      <c r="AE485" s="34">
        <f t="shared" si="491"/>
        <v>0</v>
      </c>
      <c r="AF485" s="34">
        <f t="shared" si="492"/>
        <v>0</v>
      </c>
      <c r="AG485" s="34">
        <f t="shared" si="493"/>
        <v>0</v>
      </c>
      <c r="AH485" s="34">
        <f t="shared" si="494"/>
        <v>0</v>
      </c>
      <c r="AI485" s="29"/>
      <c r="AJ485" s="17">
        <f t="shared" si="495"/>
        <v>0</v>
      </c>
      <c r="AK485" s="17">
        <f t="shared" si="496"/>
        <v>0</v>
      </c>
      <c r="AL485" s="17">
        <f t="shared" si="497"/>
        <v>0</v>
      </c>
      <c r="AN485" s="34">
        <v>15</v>
      </c>
      <c r="AO485" s="34">
        <f>H485*0.71982</f>
        <v>0</v>
      </c>
      <c r="AP485" s="34">
        <f>H485*(1-0.71982)</f>
        <v>0</v>
      </c>
      <c r="AQ485" s="28" t="s">
        <v>13</v>
      </c>
      <c r="AV485" s="34">
        <f t="shared" si="498"/>
        <v>0</v>
      </c>
      <c r="AW485" s="34">
        <f t="shared" si="499"/>
        <v>0</v>
      </c>
      <c r="AX485" s="34">
        <f t="shared" si="500"/>
        <v>0</v>
      </c>
      <c r="AY485" s="35" t="s">
        <v>1717</v>
      </c>
      <c r="AZ485" s="35" t="s">
        <v>1734</v>
      </c>
      <c r="BA485" s="29" t="s">
        <v>1737</v>
      </c>
      <c r="BC485" s="34">
        <f t="shared" si="501"/>
        <v>0</v>
      </c>
      <c r="BD485" s="34">
        <f t="shared" si="502"/>
        <v>0</v>
      </c>
      <c r="BE485" s="34">
        <v>0</v>
      </c>
      <c r="BF485" s="34">
        <f>485</f>
        <v>485</v>
      </c>
      <c r="BH485" s="17">
        <f t="shared" si="503"/>
        <v>0</v>
      </c>
      <c r="BI485" s="17">
        <f t="shared" si="504"/>
        <v>0</v>
      </c>
      <c r="BJ485" s="17">
        <f t="shared" si="505"/>
        <v>0</v>
      </c>
    </row>
    <row r="486" spans="1:62" x14ac:dyDescent="0.2">
      <c r="A486" s="4" t="s">
        <v>440</v>
      </c>
      <c r="B486" s="4" t="s">
        <v>919</v>
      </c>
      <c r="C486" s="240" t="s">
        <v>1508</v>
      </c>
      <c r="D486" s="241"/>
      <c r="E486" s="241"/>
      <c r="F486" s="4" t="s">
        <v>1644</v>
      </c>
      <c r="G486" s="69">
        <v>2</v>
      </c>
      <c r="H486" s="168"/>
      <c r="I486" s="17">
        <f t="shared" si="484"/>
        <v>0</v>
      </c>
      <c r="J486" s="17">
        <f t="shared" si="485"/>
        <v>0</v>
      </c>
      <c r="K486" s="17">
        <f t="shared" si="486"/>
        <v>0</v>
      </c>
      <c r="L486" s="28" t="s">
        <v>1671</v>
      </c>
      <c r="Z486" s="34">
        <f t="shared" si="487"/>
        <v>0</v>
      </c>
      <c r="AB486" s="34">
        <f t="shared" si="488"/>
        <v>0</v>
      </c>
      <c r="AC486" s="34">
        <f t="shared" si="489"/>
        <v>0</v>
      </c>
      <c r="AD486" s="34">
        <f t="shared" si="490"/>
        <v>0</v>
      </c>
      <c r="AE486" s="34">
        <f t="shared" si="491"/>
        <v>0</v>
      </c>
      <c r="AF486" s="34">
        <f t="shared" si="492"/>
        <v>0</v>
      </c>
      <c r="AG486" s="34">
        <f t="shared" si="493"/>
        <v>0</v>
      </c>
      <c r="AH486" s="34">
        <f t="shared" si="494"/>
        <v>0</v>
      </c>
      <c r="AI486" s="29"/>
      <c r="AJ486" s="17">
        <f t="shared" si="495"/>
        <v>0</v>
      </c>
      <c r="AK486" s="17">
        <f t="shared" si="496"/>
        <v>0</v>
      </c>
      <c r="AL486" s="17">
        <f t="shared" si="497"/>
        <v>0</v>
      </c>
      <c r="AN486" s="34">
        <v>15</v>
      </c>
      <c r="AO486" s="34">
        <f>H486*0.71976</f>
        <v>0</v>
      </c>
      <c r="AP486" s="34">
        <f>H486*(1-0.71976)</f>
        <v>0</v>
      </c>
      <c r="AQ486" s="28" t="s">
        <v>13</v>
      </c>
      <c r="AV486" s="34">
        <f t="shared" si="498"/>
        <v>0</v>
      </c>
      <c r="AW486" s="34">
        <f t="shared" si="499"/>
        <v>0</v>
      </c>
      <c r="AX486" s="34">
        <f t="shared" si="500"/>
        <v>0</v>
      </c>
      <c r="AY486" s="35" t="s">
        <v>1717</v>
      </c>
      <c r="AZ486" s="35" t="s">
        <v>1734</v>
      </c>
      <c r="BA486" s="29" t="s">
        <v>1737</v>
      </c>
      <c r="BC486" s="34">
        <f t="shared" si="501"/>
        <v>0</v>
      </c>
      <c r="BD486" s="34">
        <f t="shared" si="502"/>
        <v>0</v>
      </c>
      <c r="BE486" s="34">
        <v>0</v>
      </c>
      <c r="BF486" s="34">
        <f>486</f>
        <v>486</v>
      </c>
      <c r="BH486" s="17">
        <f t="shared" si="503"/>
        <v>0</v>
      </c>
      <c r="BI486" s="17">
        <f t="shared" si="504"/>
        <v>0</v>
      </c>
      <c r="BJ486" s="17">
        <f t="shared" si="505"/>
        <v>0</v>
      </c>
    </row>
    <row r="487" spans="1:62" x14ac:dyDescent="0.2">
      <c r="A487" s="4" t="s">
        <v>441</v>
      </c>
      <c r="B487" s="4" t="s">
        <v>920</v>
      </c>
      <c r="C487" s="240" t="s">
        <v>1509</v>
      </c>
      <c r="D487" s="241"/>
      <c r="E487" s="241"/>
      <c r="F487" s="4" t="s">
        <v>1644</v>
      </c>
      <c r="G487" s="69">
        <v>2</v>
      </c>
      <c r="H487" s="168"/>
      <c r="I487" s="17">
        <f t="shared" si="484"/>
        <v>0</v>
      </c>
      <c r="J487" s="17">
        <f t="shared" si="485"/>
        <v>0</v>
      </c>
      <c r="K487" s="17">
        <f t="shared" si="486"/>
        <v>0</v>
      </c>
      <c r="L487" s="28" t="s">
        <v>1671</v>
      </c>
      <c r="Z487" s="34">
        <f t="shared" si="487"/>
        <v>0</v>
      </c>
      <c r="AB487" s="34">
        <f t="shared" si="488"/>
        <v>0</v>
      </c>
      <c r="AC487" s="34">
        <f t="shared" si="489"/>
        <v>0</v>
      </c>
      <c r="AD487" s="34">
        <f t="shared" si="490"/>
        <v>0</v>
      </c>
      <c r="AE487" s="34">
        <f t="shared" si="491"/>
        <v>0</v>
      </c>
      <c r="AF487" s="34">
        <f t="shared" si="492"/>
        <v>0</v>
      </c>
      <c r="AG487" s="34">
        <f t="shared" si="493"/>
        <v>0</v>
      </c>
      <c r="AH487" s="34">
        <f t="shared" si="494"/>
        <v>0</v>
      </c>
      <c r="AI487" s="29"/>
      <c r="AJ487" s="17">
        <f t="shared" si="495"/>
        <v>0</v>
      </c>
      <c r="AK487" s="17">
        <f t="shared" si="496"/>
        <v>0</v>
      </c>
      <c r="AL487" s="17">
        <f t="shared" si="497"/>
        <v>0</v>
      </c>
      <c r="AN487" s="34">
        <v>15</v>
      </c>
      <c r="AO487" s="34">
        <f>H487*0</f>
        <v>0</v>
      </c>
      <c r="AP487" s="34">
        <f>H487*(1-0)</f>
        <v>0</v>
      </c>
      <c r="AQ487" s="28" t="s">
        <v>13</v>
      </c>
      <c r="AV487" s="34">
        <f t="shared" si="498"/>
        <v>0</v>
      </c>
      <c r="AW487" s="34">
        <f t="shared" si="499"/>
        <v>0</v>
      </c>
      <c r="AX487" s="34">
        <f t="shared" si="500"/>
        <v>0</v>
      </c>
      <c r="AY487" s="35" t="s">
        <v>1717</v>
      </c>
      <c r="AZ487" s="35" t="s">
        <v>1734</v>
      </c>
      <c r="BA487" s="29" t="s">
        <v>1737</v>
      </c>
      <c r="BC487" s="34">
        <f t="shared" si="501"/>
        <v>0</v>
      </c>
      <c r="BD487" s="34">
        <f t="shared" si="502"/>
        <v>0</v>
      </c>
      <c r="BE487" s="34">
        <v>0</v>
      </c>
      <c r="BF487" s="34">
        <f>487</f>
        <v>487</v>
      </c>
      <c r="BH487" s="17">
        <f t="shared" si="503"/>
        <v>0</v>
      </c>
      <c r="BI487" s="17">
        <f t="shared" si="504"/>
        <v>0</v>
      </c>
      <c r="BJ487" s="17">
        <f t="shared" si="505"/>
        <v>0</v>
      </c>
    </row>
    <row r="488" spans="1:62" x14ac:dyDescent="0.2">
      <c r="A488" s="4" t="s">
        <v>442</v>
      </c>
      <c r="B488" s="4" t="s">
        <v>921</v>
      </c>
      <c r="C488" s="240" t="s">
        <v>1510</v>
      </c>
      <c r="D488" s="241"/>
      <c r="E488" s="241"/>
      <c r="F488" s="4" t="s">
        <v>1648</v>
      </c>
      <c r="G488" s="69">
        <v>0.75900000000000001</v>
      </c>
      <c r="H488" s="168"/>
      <c r="I488" s="17">
        <f t="shared" si="484"/>
        <v>0</v>
      </c>
      <c r="J488" s="17">
        <f t="shared" si="485"/>
        <v>0</v>
      </c>
      <c r="K488" s="17">
        <f t="shared" si="486"/>
        <v>0</v>
      </c>
      <c r="L488" s="28" t="s">
        <v>1671</v>
      </c>
      <c r="Z488" s="34">
        <f t="shared" si="487"/>
        <v>0</v>
      </c>
      <c r="AB488" s="34">
        <f t="shared" si="488"/>
        <v>0</v>
      </c>
      <c r="AC488" s="34">
        <f t="shared" si="489"/>
        <v>0</v>
      </c>
      <c r="AD488" s="34">
        <f t="shared" si="490"/>
        <v>0</v>
      </c>
      <c r="AE488" s="34">
        <f t="shared" si="491"/>
        <v>0</v>
      </c>
      <c r="AF488" s="34">
        <f t="shared" si="492"/>
        <v>0</v>
      </c>
      <c r="AG488" s="34">
        <f t="shared" si="493"/>
        <v>0</v>
      </c>
      <c r="AH488" s="34">
        <f t="shared" si="494"/>
        <v>0</v>
      </c>
      <c r="AI488" s="29"/>
      <c r="AJ488" s="17">
        <f t="shared" si="495"/>
        <v>0</v>
      </c>
      <c r="AK488" s="17">
        <f t="shared" si="496"/>
        <v>0</v>
      </c>
      <c r="AL488" s="17">
        <f t="shared" si="497"/>
        <v>0</v>
      </c>
      <c r="AN488" s="34">
        <v>15</v>
      </c>
      <c r="AO488" s="34">
        <f>H488*0</f>
        <v>0</v>
      </c>
      <c r="AP488" s="34">
        <f>H488*(1-0)</f>
        <v>0</v>
      </c>
      <c r="AQ488" s="28" t="s">
        <v>11</v>
      </c>
      <c r="AV488" s="34">
        <f t="shared" si="498"/>
        <v>0</v>
      </c>
      <c r="AW488" s="34">
        <f t="shared" si="499"/>
        <v>0</v>
      </c>
      <c r="AX488" s="34">
        <f t="shared" si="500"/>
        <v>0</v>
      </c>
      <c r="AY488" s="35" t="s">
        <v>1717</v>
      </c>
      <c r="AZ488" s="35" t="s">
        <v>1734</v>
      </c>
      <c r="BA488" s="29" t="s">
        <v>1737</v>
      </c>
      <c r="BC488" s="34">
        <f t="shared" si="501"/>
        <v>0</v>
      </c>
      <c r="BD488" s="34">
        <f t="shared" si="502"/>
        <v>0</v>
      </c>
      <c r="BE488" s="34">
        <v>0</v>
      </c>
      <c r="BF488" s="34">
        <f>488</f>
        <v>488</v>
      </c>
      <c r="BH488" s="17">
        <f t="shared" si="503"/>
        <v>0</v>
      </c>
      <c r="BI488" s="17">
        <f t="shared" si="504"/>
        <v>0</v>
      </c>
      <c r="BJ488" s="17">
        <f t="shared" si="505"/>
        <v>0</v>
      </c>
    </row>
    <row r="489" spans="1:62" x14ac:dyDescent="0.2">
      <c r="A489" s="5"/>
      <c r="B489" s="13" t="s">
        <v>922</v>
      </c>
      <c r="C489" s="244" t="s">
        <v>1511</v>
      </c>
      <c r="D489" s="245"/>
      <c r="E489" s="245"/>
      <c r="F489" s="5" t="s">
        <v>6</v>
      </c>
      <c r="G489" s="5" t="s">
        <v>6</v>
      </c>
      <c r="H489" s="5" t="s">
        <v>6</v>
      </c>
      <c r="I489" s="37">
        <f>SUM(I490:I496)</f>
        <v>0</v>
      </c>
      <c r="J489" s="37">
        <f>SUM(J490:J496)</f>
        <v>0</v>
      </c>
      <c r="K489" s="37">
        <f>SUM(K490:K496)</f>
        <v>0</v>
      </c>
      <c r="L489" s="29"/>
      <c r="AI489" s="29"/>
      <c r="AS489" s="37">
        <f>SUM(AJ490:AJ496)</f>
        <v>0</v>
      </c>
      <c r="AT489" s="37">
        <f>SUM(AK490:AK496)</f>
        <v>0</v>
      </c>
      <c r="AU489" s="37">
        <f>SUM(AL490:AL496)</f>
        <v>0</v>
      </c>
    </row>
    <row r="490" spans="1:62" x14ac:dyDescent="0.2">
      <c r="A490" s="4" t="s">
        <v>443</v>
      </c>
      <c r="B490" s="4" t="s">
        <v>923</v>
      </c>
      <c r="C490" s="240" t="s">
        <v>1512</v>
      </c>
      <c r="D490" s="241"/>
      <c r="E490" s="241"/>
      <c r="F490" s="4" t="s">
        <v>1645</v>
      </c>
      <c r="G490" s="69">
        <v>13.693</v>
      </c>
      <c r="H490" s="168"/>
      <c r="I490" s="17">
        <f t="shared" ref="I490:I496" si="508">G490*AO490</f>
        <v>0</v>
      </c>
      <c r="J490" s="17">
        <f t="shared" ref="J490:J496" si="509">G490*AP490</f>
        <v>0</v>
      </c>
      <c r="K490" s="17">
        <f t="shared" ref="K490:K496" si="510">G490*H490</f>
        <v>0</v>
      </c>
      <c r="L490" s="28" t="s">
        <v>1671</v>
      </c>
      <c r="Z490" s="34">
        <f t="shared" ref="Z490:Z496" si="511">IF(AQ490="5",BJ490,0)</f>
        <v>0</v>
      </c>
      <c r="AB490" s="34">
        <f t="shared" ref="AB490:AB496" si="512">IF(AQ490="1",BH490,0)</f>
        <v>0</v>
      </c>
      <c r="AC490" s="34">
        <f t="shared" ref="AC490:AC496" si="513">IF(AQ490="1",BI490,0)</f>
        <v>0</v>
      </c>
      <c r="AD490" s="34">
        <f t="shared" ref="AD490:AD496" si="514">IF(AQ490="7",BH490,0)</f>
        <v>0</v>
      </c>
      <c r="AE490" s="34">
        <f t="shared" ref="AE490:AE496" si="515">IF(AQ490="7",BI490,0)</f>
        <v>0</v>
      </c>
      <c r="AF490" s="34">
        <f t="shared" ref="AF490:AF496" si="516">IF(AQ490="2",BH490,0)</f>
        <v>0</v>
      </c>
      <c r="AG490" s="34">
        <f t="shared" ref="AG490:AG496" si="517">IF(AQ490="2",BI490,0)</f>
        <v>0</v>
      </c>
      <c r="AH490" s="34">
        <f t="shared" ref="AH490:AH496" si="518">IF(AQ490="0",BJ490,0)</f>
        <v>0</v>
      </c>
      <c r="AI490" s="29"/>
      <c r="AJ490" s="17">
        <f t="shared" ref="AJ490:AJ496" si="519">IF(AN490=0,K490,0)</f>
        <v>0</v>
      </c>
      <c r="AK490" s="17">
        <f t="shared" ref="AK490:AK496" si="520">IF(AN490=15,K490,0)</f>
        <v>0</v>
      </c>
      <c r="AL490" s="17">
        <f t="shared" ref="AL490:AL496" si="521">IF(AN490=21,K490,0)</f>
        <v>0</v>
      </c>
      <c r="AN490" s="34">
        <v>15</v>
      </c>
      <c r="AO490" s="34">
        <f>H490*0</f>
        <v>0</v>
      </c>
      <c r="AP490" s="34">
        <f>H490*(1-0)</f>
        <v>0</v>
      </c>
      <c r="AQ490" s="28" t="s">
        <v>13</v>
      </c>
      <c r="AV490" s="34">
        <f t="shared" ref="AV490:AV496" si="522">AW490+AX490</f>
        <v>0</v>
      </c>
      <c r="AW490" s="34">
        <f t="shared" ref="AW490:AW496" si="523">G490*AO490</f>
        <v>0</v>
      </c>
      <c r="AX490" s="34">
        <f t="shared" ref="AX490:AX496" si="524">G490*AP490</f>
        <v>0</v>
      </c>
      <c r="AY490" s="35" t="s">
        <v>1718</v>
      </c>
      <c r="AZ490" s="35" t="s">
        <v>1735</v>
      </c>
      <c r="BA490" s="29" t="s">
        <v>1737</v>
      </c>
      <c r="BC490" s="34">
        <f t="shared" ref="BC490:BC496" si="525">AW490+AX490</f>
        <v>0</v>
      </c>
      <c r="BD490" s="34">
        <f t="shared" ref="BD490:BD496" si="526">H490/(100-BE490)*100</f>
        <v>0</v>
      </c>
      <c r="BE490" s="34">
        <v>0</v>
      </c>
      <c r="BF490" s="34">
        <f>490</f>
        <v>490</v>
      </c>
      <c r="BH490" s="17">
        <f t="shared" ref="BH490:BH496" si="527">G490*AO490</f>
        <v>0</v>
      </c>
      <c r="BI490" s="17">
        <f t="shared" ref="BI490:BI496" si="528">G490*AP490</f>
        <v>0</v>
      </c>
      <c r="BJ490" s="17">
        <f t="shared" ref="BJ490:BJ496" si="529">G490*H490</f>
        <v>0</v>
      </c>
    </row>
    <row r="491" spans="1:62" x14ac:dyDescent="0.2">
      <c r="A491" s="4" t="s">
        <v>444</v>
      </c>
      <c r="B491" s="4" t="s">
        <v>924</v>
      </c>
      <c r="C491" s="240" t="s">
        <v>1513</v>
      </c>
      <c r="D491" s="241"/>
      <c r="E491" s="241"/>
      <c r="F491" s="4" t="s">
        <v>1645</v>
      </c>
      <c r="G491" s="69">
        <v>13.693</v>
      </c>
      <c r="H491" s="168"/>
      <c r="I491" s="17">
        <f t="shared" si="508"/>
        <v>0</v>
      </c>
      <c r="J491" s="17">
        <f t="shared" si="509"/>
        <v>0</v>
      </c>
      <c r="K491" s="17">
        <f t="shared" si="510"/>
        <v>0</v>
      </c>
      <c r="L491" s="28" t="s">
        <v>1671</v>
      </c>
      <c r="Z491" s="34">
        <f t="shared" si="511"/>
        <v>0</v>
      </c>
      <c r="AB491" s="34">
        <f t="shared" si="512"/>
        <v>0</v>
      </c>
      <c r="AC491" s="34">
        <f t="shared" si="513"/>
        <v>0</v>
      </c>
      <c r="AD491" s="34">
        <f t="shared" si="514"/>
        <v>0</v>
      </c>
      <c r="AE491" s="34">
        <f t="shared" si="515"/>
        <v>0</v>
      </c>
      <c r="AF491" s="34">
        <f t="shared" si="516"/>
        <v>0</v>
      </c>
      <c r="AG491" s="34">
        <f t="shared" si="517"/>
        <v>0</v>
      </c>
      <c r="AH491" s="34">
        <f t="shared" si="518"/>
        <v>0</v>
      </c>
      <c r="AI491" s="29"/>
      <c r="AJ491" s="17">
        <f t="shared" si="519"/>
        <v>0</v>
      </c>
      <c r="AK491" s="17">
        <f t="shared" si="520"/>
        <v>0</v>
      </c>
      <c r="AL491" s="17">
        <f t="shared" si="521"/>
        <v>0</v>
      </c>
      <c r="AN491" s="34">
        <v>15</v>
      </c>
      <c r="AO491" s="34">
        <f>H491*0.476936355563721</f>
        <v>0</v>
      </c>
      <c r="AP491" s="34">
        <f>H491*(1-0.476936355563721)</f>
        <v>0</v>
      </c>
      <c r="AQ491" s="28" t="s">
        <v>13</v>
      </c>
      <c r="AV491" s="34">
        <f t="shared" si="522"/>
        <v>0</v>
      </c>
      <c r="AW491" s="34">
        <f t="shared" si="523"/>
        <v>0</v>
      </c>
      <c r="AX491" s="34">
        <f t="shared" si="524"/>
        <v>0</v>
      </c>
      <c r="AY491" s="35" t="s">
        <v>1718</v>
      </c>
      <c r="AZ491" s="35" t="s">
        <v>1735</v>
      </c>
      <c r="BA491" s="29" t="s">
        <v>1737</v>
      </c>
      <c r="BC491" s="34">
        <f t="shared" si="525"/>
        <v>0</v>
      </c>
      <c r="BD491" s="34">
        <f t="shared" si="526"/>
        <v>0</v>
      </c>
      <c r="BE491" s="34">
        <v>0</v>
      </c>
      <c r="BF491" s="34">
        <f>491</f>
        <v>491</v>
      </c>
      <c r="BH491" s="17">
        <f t="shared" si="527"/>
        <v>0</v>
      </c>
      <c r="BI491" s="17">
        <f t="shared" si="528"/>
        <v>0</v>
      </c>
      <c r="BJ491" s="17">
        <f t="shared" si="529"/>
        <v>0</v>
      </c>
    </row>
    <row r="492" spans="1:62" x14ac:dyDescent="0.2">
      <c r="A492" s="4" t="s">
        <v>445</v>
      </c>
      <c r="B492" s="4" t="s">
        <v>925</v>
      </c>
      <c r="C492" s="240" t="s">
        <v>1514</v>
      </c>
      <c r="D492" s="241"/>
      <c r="E492" s="241"/>
      <c r="F492" s="4" t="s">
        <v>1645</v>
      </c>
      <c r="G492" s="69">
        <v>13.693</v>
      </c>
      <c r="H492" s="168"/>
      <c r="I492" s="17">
        <f t="shared" si="508"/>
        <v>0</v>
      </c>
      <c r="J492" s="17">
        <f t="shared" si="509"/>
        <v>0</v>
      </c>
      <c r="K492" s="17">
        <f t="shared" si="510"/>
        <v>0</v>
      </c>
      <c r="L492" s="28" t="s">
        <v>1671</v>
      </c>
      <c r="Z492" s="34">
        <f t="shared" si="511"/>
        <v>0</v>
      </c>
      <c r="AB492" s="34">
        <f t="shared" si="512"/>
        <v>0</v>
      </c>
      <c r="AC492" s="34">
        <f t="shared" si="513"/>
        <v>0</v>
      </c>
      <c r="AD492" s="34">
        <f t="shared" si="514"/>
        <v>0</v>
      </c>
      <c r="AE492" s="34">
        <f t="shared" si="515"/>
        <v>0</v>
      </c>
      <c r="AF492" s="34">
        <f t="shared" si="516"/>
        <v>0</v>
      </c>
      <c r="AG492" s="34">
        <f t="shared" si="517"/>
        <v>0</v>
      </c>
      <c r="AH492" s="34">
        <f t="shared" si="518"/>
        <v>0</v>
      </c>
      <c r="AI492" s="29"/>
      <c r="AJ492" s="17">
        <f t="shared" si="519"/>
        <v>0</v>
      </c>
      <c r="AK492" s="17">
        <f t="shared" si="520"/>
        <v>0</v>
      </c>
      <c r="AL492" s="17">
        <f t="shared" si="521"/>
        <v>0</v>
      </c>
      <c r="AN492" s="34">
        <v>15</v>
      </c>
      <c r="AO492" s="34">
        <f>H492*0</f>
        <v>0</v>
      </c>
      <c r="AP492" s="34">
        <f>H492*(1-0)</f>
        <v>0</v>
      </c>
      <c r="AQ492" s="28" t="s">
        <v>13</v>
      </c>
      <c r="AV492" s="34">
        <f t="shared" si="522"/>
        <v>0</v>
      </c>
      <c r="AW492" s="34">
        <f t="shared" si="523"/>
        <v>0</v>
      </c>
      <c r="AX492" s="34">
        <f t="shared" si="524"/>
        <v>0</v>
      </c>
      <c r="AY492" s="35" t="s">
        <v>1718</v>
      </c>
      <c r="AZ492" s="35" t="s">
        <v>1735</v>
      </c>
      <c r="BA492" s="29" t="s">
        <v>1737</v>
      </c>
      <c r="BC492" s="34">
        <f t="shared" si="525"/>
        <v>0</v>
      </c>
      <c r="BD492" s="34">
        <f t="shared" si="526"/>
        <v>0</v>
      </c>
      <c r="BE492" s="34">
        <v>0</v>
      </c>
      <c r="BF492" s="34">
        <f>492</f>
        <v>492</v>
      </c>
      <c r="BH492" s="17">
        <f t="shared" si="527"/>
        <v>0</v>
      </c>
      <c r="BI492" s="17">
        <f t="shared" si="528"/>
        <v>0</v>
      </c>
      <c r="BJ492" s="17">
        <f t="shared" si="529"/>
        <v>0</v>
      </c>
    </row>
    <row r="493" spans="1:62" x14ac:dyDescent="0.2">
      <c r="A493" s="6" t="s">
        <v>446</v>
      </c>
      <c r="B493" s="6" t="s">
        <v>926</v>
      </c>
      <c r="C493" s="246" t="s">
        <v>1515</v>
      </c>
      <c r="D493" s="247"/>
      <c r="E493" s="247"/>
      <c r="F493" s="6" t="s">
        <v>1645</v>
      </c>
      <c r="G493" s="72">
        <v>14.378</v>
      </c>
      <c r="H493" s="169"/>
      <c r="I493" s="18">
        <f t="shared" si="508"/>
        <v>0</v>
      </c>
      <c r="J493" s="18">
        <f t="shared" si="509"/>
        <v>0</v>
      </c>
      <c r="K493" s="18">
        <f t="shared" si="510"/>
        <v>0</v>
      </c>
      <c r="L493" s="30" t="s">
        <v>1671</v>
      </c>
      <c r="Z493" s="34">
        <f t="shared" si="511"/>
        <v>0</v>
      </c>
      <c r="AB493" s="34">
        <f t="shared" si="512"/>
        <v>0</v>
      </c>
      <c r="AC493" s="34">
        <f t="shared" si="513"/>
        <v>0</v>
      </c>
      <c r="AD493" s="34">
        <f t="shared" si="514"/>
        <v>0</v>
      </c>
      <c r="AE493" s="34">
        <f t="shared" si="515"/>
        <v>0</v>
      </c>
      <c r="AF493" s="34">
        <f t="shared" si="516"/>
        <v>0</v>
      </c>
      <c r="AG493" s="34">
        <f t="shared" si="517"/>
        <v>0</v>
      </c>
      <c r="AH493" s="34">
        <f t="shared" si="518"/>
        <v>0</v>
      </c>
      <c r="AI493" s="29"/>
      <c r="AJ493" s="18">
        <f t="shared" si="519"/>
        <v>0</v>
      </c>
      <c r="AK493" s="18">
        <f t="shared" si="520"/>
        <v>0</v>
      </c>
      <c r="AL493" s="18">
        <f t="shared" si="521"/>
        <v>0</v>
      </c>
      <c r="AN493" s="34">
        <v>15</v>
      </c>
      <c r="AO493" s="34">
        <f>H493*1</f>
        <v>0</v>
      </c>
      <c r="AP493" s="34">
        <f>H493*(1-1)</f>
        <v>0</v>
      </c>
      <c r="AQ493" s="30" t="s">
        <v>13</v>
      </c>
      <c r="AV493" s="34">
        <f t="shared" si="522"/>
        <v>0</v>
      </c>
      <c r="AW493" s="34">
        <f t="shared" si="523"/>
        <v>0</v>
      </c>
      <c r="AX493" s="34">
        <f t="shared" si="524"/>
        <v>0</v>
      </c>
      <c r="AY493" s="35" t="s">
        <v>1718</v>
      </c>
      <c r="AZ493" s="35" t="s">
        <v>1735</v>
      </c>
      <c r="BA493" s="29" t="s">
        <v>1737</v>
      </c>
      <c r="BC493" s="34">
        <f t="shared" si="525"/>
        <v>0</v>
      </c>
      <c r="BD493" s="34">
        <f t="shared" si="526"/>
        <v>0</v>
      </c>
      <c r="BE493" s="34">
        <v>0</v>
      </c>
      <c r="BF493" s="34">
        <f>493</f>
        <v>493</v>
      </c>
      <c r="BH493" s="18">
        <f t="shared" si="527"/>
        <v>0</v>
      </c>
      <c r="BI493" s="18">
        <f t="shared" si="528"/>
        <v>0</v>
      </c>
      <c r="BJ493" s="18">
        <f t="shared" si="529"/>
        <v>0</v>
      </c>
    </row>
    <row r="494" spans="1:62" x14ac:dyDescent="0.2">
      <c r="A494" s="4" t="s">
        <v>447</v>
      </c>
      <c r="B494" s="4" t="s">
        <v>927</v>
      </c>
      <c r="C494" s="240" t="s">
        <v>1516</v>
      </c>
      <c r="D494" s="241"/>
      <c r="E494" s="241"/>
      <c r="F494" s="4" t="s">
        <v>1646</v>
      </c>
      <c r="G494" s="69">
        <v>19.48</v>
      </c>
      <c r="H494" s="168"/>
      <c r="I494" s="17">
        <f t="shared" si="508"/>
        <v>0</v>
      </c>
      <c r="J494" s="17">
        <f t="shared" si="509"/>
        <v>0</v>
      </c>
      <c r="K494" s="17">
        <f t="shared" si="510"/>
        <v>0</v>
      </c>
      <c r="L494" s="28" t="s">
        <v>1671</v>
      </c>
      <c r="Z494" s="34">
        <f t="shared" si="511"/>
        <v>0</v>
      </c>
      <c r="AB494" s="34">
        <f t="shared" si="512"/>
        <v>0</v>
      </c>
      <c r="AC494" s="34">
        <f t="shared" si="513"/>
        <v>0</v>
      </c>
      <c r="AD494" s="34">
        <f t="shared" si="514"/>
        <v>0</v>
      </c>
      <c r="AE494" s="34">
        <f t="shared" si="515"/>
        <v>0</v>
      </c>
      <c r="AF494" s="34">
        <f t="shared" si="516"/>
        <v>0</v>
      </c>
      <c r="AG494" s="34">
        <f t="shared" si="517"/>
        <v>0</v>
      </c>
      <c r="AH494" s="34">
        <f t="shared" si="518"/>
        <v>0</v>
      </c>
      <c r="AI494" s="29"/>
      <c r="AJ494" s="17">
        <f t="shared" si="519"/>
        <v>0</v>
      </c>
      <c r="AK494" s="17">
        <f t="shared" si="520"/>
        <v>0</v>
      </c>
      <c r="AL494" s="17">
        <f t="shared" si="521"/>
        <v>0</v>
      </c>
      <c r="AN494" s="34">
        <v>15</v>
      </c>
      <c r="AO494" s="34">
        <f>H494*0.0774901960784314</f>
        <v>0</v>
      </c>
      <c r="AP494" s="34">
        <f>H494*(1-0.0774901960784314)</f>
        <v>0</v>
      </c>
      <c r="AQ494" s="28" t="s">
        <v>13</v>
      </c>
      <c r="AV494" s="34">
        <f t="shared" si="522"/>
        <v>0</v>
      </c>
      <c r="AW494" s="34">
        <f t="shared" si="523"/>
        <v>0</v>
      </c>
      <c r="AX494" s="34">
        <f t="shared" si="524"/>
        <v>0</v>
      </c>
      <c r="AY494" s="35" t="s">
        <v>1718</v>
      </c>
      <c r="AZ494" s="35" t="s">
        <v>1735</v>
      </c>
      <c r="BA494" s="29" t="s">
        <v>1737</v>
      </c>
      <c r="BC494" s="34">
        <f t="shared" si="525"/>
        <v>0</v>
      </c>
      <c r="BD494" s="34">
        <f t="shared" si="526"/>
        <v>0</v>
      </c>
      <c r="BE494" s="34">
        <v>0</v>
      </c>
      <c r="BF494" s="34">
        <f>494</f>
        <v>494</v>
      </c>
      <c r="BH494" s="17">
        <f t="shared" si="527"/>
        <v>0</v>
      </c>
      <c r="BI494" s="17">
        <f t="shared" si="528"/>
        <v>0</v>
      </c>
      <c r="BJ494" s="17">
        <f t="shared" si="529"/>
        <v>0</v>
      </c>
    </row>
    <row r="495" spans="1:62" x14ac:dyDescent="0.2">
      <c r="A495" s="6" t="s">
        <v>448</v>
      </c>
      <c r="B495" s="6" t="s">
        <v>928</v>
      </c>
      <c r="C495" s="246" t="s">
        <v>1517</v>
      </c>
      <c r="D495" s="247"/>
      <c r="E495" s="247"/>
      <c r="F495" s="6" t="s">
        <v>1645</v>
      </c>
      <c r="G495" s="72">
        <v>2.4350000000000001</v>
      </c>
      <c r="H495" s="169"/>
      <c r="I495" s="18">
        <f t="shared" si="508"/>
        <v>0</v>
      </c>
      <c r="J495" s="18">
        <f t="shared" si="509"/>
        <v>0</v>
      </c>
      <c r="K495" s="18">
        <f t="shared" si="510"/>
        <v>0</v>
      </c>
      <c r="L495" s="30" t="s">
        <v>1671</v>
      </c>
      <c r="Z495" s="34">
        <f t="shared" si="511"/>
        <v>0</v>
      </c>
      <c r="AB495" s="34">
        <f t="shared" si="512"/>
        <v>0</v>
      </c>
      <c r="AC495" s="34">
        <f t="shared" si="513"/>
        <v>0</v>
      </c>
      <c r="AD495" s="34">
        <f t="shared" si="514"/>
        <v>0</v>
      </c>
      <c r="AE495" s="34">
        <f t="shared" si="515"/>
        <v>0</v>
      </c>
      <c r="AF495" s="34">
        <f t="shared" si="516"/>
        <v>0</v>
      </c>
      <c r="AG495" s="34">
        <f t="shared" si="517"/>
        <v>0</v>
      </c>
      <c r="AH495" s="34">
        <f t="shared" si="518"/>
        <v>0</v>
      </c>
      <c r="AI495" s="29"/>
      <c r="AJ495" s="18">
        <f t="shared" si="519"/>
        <v>0</v>
      </c>
      <c r="AK495" s="18">
        <f t="shared" si="520"/>
        <v>0</v>
      </c>
      <c r="AL495" s="18">
        <f t="shared" si="521"/>
        <v>0</v>
      </c>
      <c r="AN495" s="34">
        <v>15</v>
      </c>
      <c r="AO495" s="34">
        <f>H495*1</f>
        <v>0</v>
      </c>
      <c r="AP495" s="34">
        <f>H495*(1-1)</f>
        <v>0</v>
      </c>
      <c r="AQ495" s="30" t="s">
        <v>13</v>
      </c>
      <c r="AV495" s="34">
        <f t="shared" si="522"/>
        <v>0</v>
      </c>
      <c r="AW495" s="34">
        <f t="shared" si="523"/>
        <v>0</v>
      </c>
      <c r="AX495" s="34">
        <f t="shared" si="524"/>
        <v>0</v>
      </c>
      <c r="AY495" s="35" t="s">
        <v>1718</v>
      </c>
      <c r="AZ495" s="35" t="s">
        <v>1735</v>
      </c>
      <c r="BA495" s="29" t="s">
        <v>1737</v>
      </c>
      <c r="BC495" s="34">
        <f t="shared" si="525"/>
        <v>0</v>
      </c>
      <c r="BD495" s="34">
        <f t="shared" si="526"/>
        <v>0</v>
      </c>
      <c r="BE495" s="34">
        <v>0</v>
      </c>
      <c r="BF495" s="34">
        <f>495</f>
        <v>495</v>
      </c>
      <c r="BH495" s="18">
        <f t="shared" si="527"/>
        <v>0</v>
      </c>
      <c r="BI495" s="18">
        <f t="shared" si="528"/>
        <v>0</v>
      </c>
      <c r="BJ495" s="18">
        <f t="shared" si="529"/>
        <v>0</v>
      </c>
    </row>
    <row r="496" spans="1:62" x14ac:dyDescent="0.2">
      <c r="A496" s="4" t="s">
        <v>449</v>
      </c>
      <c r="B496" s="4" t="s">
        <v>929</v>
      </c>
      <c r="C496" s="240" t="s">
        <v>1518</v>
      </c>
      <c r="D496" s="241"/>
      <c r="E496" s="241"/>
      <c r="F496" s="4" t="s">
        <v>1648</v>
      </c>
      <c r="G496" s="69">
        <v>0.4</v>
      </c>
      <c r="H496" s="168"/>
      <c r="I496" s="17">
        <f t="shared" si="508"/>
        <v>0</v>
      </c>
      <c r="J496" s="17">
        <f t="shared" si="509"/>
        <v>0</v>
      </c>
      <c r="K496" s="17">
        <f t="shared" si="510"/>
        <v>0</v>
      </c>
      <c r="L496" s="28" t="s">
        <v>1671</v>
      </c>
      <c r="Z496" s="34">
        <f t="shared" si="511"/>
        <v>0</v>
      </c>
      <c r="AB496" s="34">
        <f t="shared" si="512"/>
        <v>0</v>
      </c>
      <c r="AC496" s="34">
        <f t="shared" si="513"/>
        <v>0</v>
      </c>
      <c r="AD496" s="34">
        <f t="shared" si="514"/>
        <v>0</v>
      </c>
      <c r="AE496" s="34">
        <f t="shared" si="515"/>
        <v>0</v>
      </c>
      <c r="AF496" s="34">
        <f t="shared" si="516"/>
        <v>0</v>
      </c>
      <c r="AG496" s="34">
        <f t="shared" si="517"/>
        <v>0</v>
      </c>
      <c r="AH496" s="34">
        <f t="shared" si="518"/>
        <v>0</v>
      </c>
      <c r="AI496" s="29"/>
      <c r="AJ496" s="17">
        <f t="shared" si="519"/>
        <v>0</v>
      </c>
      <c r="AK496" s="17">
        <f t="shared" si="520"/>
        <v>0</v>
      </c>
      <c r="AL496" s="17">
        <f t="shared" si="521"/>
        <v>0</v>
      </c>
      <c r="AN496" s="34">
        <v>15</v>
      </c>
      <c r="AO496" s="34">
        <f>H496*0</f>
        <v>0</v>
      </c>
      <c r="AP496" s="34">
        <f>H496*(1-0)</f>
        <v>0</v>
      </c>
      <c r="AQ496" s="28" t="s">
        <v>11</v>
      </c>
      <c r="AV496" s="34">
        <f t="shared" si="522"/>
        <v>0</v>
      </c>
      <c r="AW496" s="34">
        <f t="shared" si="523"/>
        <v>0</v>
      </c>
      <c r="AX496" s="34">
        <f t="shared" si="524"/>
        <v>0</v>
      </c>
      <c r="AY496" s="35" t="s">
        <v>1718</v>
      </c>
      <c r="AZ496" s="35" t="s">
        <v>1735</v>
      </c>
      <c r="BA496" s="29" t="s">
        <v>1737</v>
      </c>
      <c r="BC496" s="34">
        <f t="shared" si="525"/>
        <v>0</v>
      </c>
      <c r="BD496" s="34">
        <f t="shared" si="526"/>
        <v>0</v>
      </c>
      <c r="BE496" s="34">
        <v>0</v>
      </c>
      <c r="BF496" s="34">
        <f>496</f>
        <v>496</v>
      </c>
      <c r="BH496" s="17">
        <f t="shared" si="527"/>
        <v>0</v>
      </c>
      <c r="BI496" s="17">
        <f t="shared" si="528"/>
        <v>0</v>
      </c>
      <c r="BJ496" s="17">
        <f t="shared" si="529"/>
        <v>0</v>
      </c>
    </row>
    <row r="497" spans="1:62" x14ac:dyDescent="0.2">
      <c r="A497" s="5"/>
      <c r="B497" s="13" t="s">
        <v>930</v>
      </c>
      <c r="C497" s="244" t="s">
        <v>1519</v>
      </c>
      <c r="D497" s="245"/>
      <c r="E497" s="245"/>
      <c r="F497" s="5" t="s">
        <v>6</v>
      </c>
      <c r="G497" s="5" t="s">
        <v>6</v>
      </c>
      <c r="H497" s="5" t="s">
        <v>6</v>
      </c>
      <c r="I497" s="37">
        <f>SUM(I498:I502)</f>
        <v>0</v>
      </c>
      <c r="J497" s="37">
        <f>SUM(J498:J502)</f>
        <v>0</v>
      </c>
      <c r="K497" s="37">
        <f>SUM(K498:K502)</f>
        <v>0</v>
      </c>
      <c r="L497" s="29"/>
      <c r="AI497" s="29"/>
      <c r="AS497" s="37">
        <f>SUM(AJ498:AJ502)</f>
        <v>0</v>
      </c>
      <c r="AT497" s="37">
        <f>SUM(AK498:AK502)</f>
        <v>0</v>
      </c>
      <c r="AU497" s="37">
        <f>SUM(AL498:AL502)</f>
        <v>0</v>
      </c>
    </row>
    <row r="498" spans="1:62" x14ac:dyDescent="0.2">
      <c r="A498" s="4" t="s">
        <v>450</v>
      </c>
      <c r="B498" s="4" t="s">
        <v>931</v>
      </c>
      <c r="C498" s="240" t="s">
        <v>1520</v>
      </c>
      <c r="D498" s="241"/>
      <c r="E498" s="241"/>
      <c r="F498" s="4" t="s">
        <v>1645</v>
      </c>
      <c r="G498" s="69">
        <v>843.77</v>
      </c>
      <c r="H498" s="168"/>
      <c r="I498" s="17">
        <f>G498*AO498</f>
        <v>0</v>
      </c>
      <c r="J498" s="17">
        <f>G498*AP498</f>
        <v>0</v>
      </c>
      <c r="K498" s="17">
        <f>G498*H498</f>
        <v>0</v>
      </c>
      <c r="L498" s="28" t="s">
        <v>1671</v>
      </c>
      <c r="Z498" s="34">
        <f>IF(AQ498="5",BJ498,0)</f>
        <v>0</v>
      </c>
      <c r="AB498" s="34">
        <f>IF(AQ498="1",BH498,0)</f>
        <v>0</v>
      </c>
      <c r="AC498" s="34">
        <f>IF(AQ498="1",BI498,0)</f>
        <v>0</v>
      </c>
      <c r="AD498" s="34">
        <f>IF(AQ498="7",BH498,0)</f>
        <v>0</v>
      </c>
      <c r="AE498" s="34">
        <f>IF(AQ498="7",BI498,0)</f>
        <v>0</v>
      </c>
      <c r="AF498" s="34">
        <f>IF(AQ498="2",BH498,0)</f>
        <v>0</v>
      </c>
      <c r="AG498" s="34">
        <f>IF(AQ498="2",BI498,0)</f>
        <v>0</v>
      </c>
      <c r="AH498" s="34">
        <f>IF(AQ498="0",BJ498,0)</f>
        <v>0</v>
      </c>
      <c r="AI498" s="29"/>
      <c r="AJ498" s="17">
        <f>IF(AN498=0,K498,0)</f>
        <v>0</v>
      </c>
      <c r="AK498" s="17">
        <f>IF(AN498=15,K498,0)</f>
        <v>0</v>
      </c>
      <c r="AL498" s="17">
        <f>IF(AN498=21,K498,0)</f>
        <v>0</v>
      </c>
      <c r="AN498" s="34">
        <v>15</v>
      </c>
      <c r="AO498" s="34">
        <f>H498*0</f>
        <v>0</v>
      </c>
      <c r="AP498" s="34">
        <f>H498*(1-0)</f>
        <v>0</v>
      </c>
      <c r="AQ498" s="28" t="s">
        <v>13</v>
      </c>
      <c r="AV498" s="34">
        <f>AW498+AX498</f>
        <v>0</v>
      </c>
      <c r="AW498" s="34">
        <f>G498*AO498</f>
        <v>0</v>
      </c>
      <c r="AX498" s="34">
        <f>G498*AP498</f>
        <v>0</v>
      </c>
      <c r="AY498" s="35" t="s">
        <v>1719</v>
      </c>
      <c r="AZ498" s="35" t="s">
        <v>1736</v>
      </c>
      <c r="BA498" s="29" t="s">
        <v>1737</v>
      </c>
      <c r="BC498" s="34">
        <f>AW498+AX498</f>
        <v>0</v>
      </c>
      <c r="BD498" s="34">
        <f>H498/(100-BE498)*100</f>
        <v>0</v>
      </c>
      <c r="BE498" s="34">
        <v>0</v>
      </c>
      <c r="BF498" s="34">
        <f>498</f>
        <v>498</v>
      </c>
      <c r="BH498" s="17">
        <f>G498*AO498</f>
        <v>0</v>
      </c>
      <c r="BI498" s="17">
        <f>G498*AP498</f>
        <v>0</v>
      </c>
      <c r="BJ498" s="17">
        <f>G498*H498</f>
        <v>0</v>
      </c>
    </row>
    <row r="499" spans="1:62" x14ac:dyDescent="0.2">
      <c r="A499" s="4" t="s">
        <v>451</v>
      </c>
      <c r="B499" s="4" t="s">
        <v>932</v>
      </c>
      <c r="C499" s="240" t="s">
        <v>1521</v>
      </c>
      <c r="D499" s="241"/>
      <c r="E499" s="241"/>
      <c r="F499" s="4" t="s">
        <v>1645</v>
      </c>
      <c r="G499" s="69">
        <v>438.322</v>
      </c>
      <c r="H499" s="168"/>
      <c r="I499" s="17">
        <f>G499*AO499</f>
        <v>0</v>
      </c>
      <c r="J499" s="17">
        <f>G499*AP499</f>
        <v>0</v>
      </c>
      <c r="K499" s="17">
        <f>G499*H499</f>
        <v>0</v>
      </c>
      <c r="L499" s="28" t="s">
        <v>1671</v>
      </c>
      <c r="Z499" s="34">
        <f>IF(AQ499="5",BJ499,0)</f>
        <v>0</v>
      </c>
      <c r="AB499" s="34">
        <f>IF(AQ499="1",BH499,0)</f>
        <v>0</v>
      </c>
      <c r="AC499" s="34">
        <f>IF(AQ499="1",BI499,0)</f>
        <v>0</v>
      </c>
      <c r="AD499" s="34">
        <f>IF(AQ499="7",BH499,0)</f>
        <v>0</v>
      </c>
      <c r="AE499" s="34">
        <f>IF(AQ499="7",BI499,0)</f>
        <v>0</v>
      </c>
      <c r="AF499" s="34">
        <f>IF(AQ499="2",BH499,0)</f>
        <v>0</v>
      </c>
      <c r="AG499" s="34">
        <f>IF(AQ499="2",BI499,0)</f>
        <v>0</v>
      </c>
      <c r="AH499" s="34">
        <f>IF(AQ499="0",BJ499,0)</f>
        <v>0</v>
      </c>
      <c r="AI499" s="29"/>
      <c r="AJ499" s="17">
        <f>IF(AN499=0,K499,0)</f>
        <v>0</v>
      </c>
      <c r="AK499" s="17">
        <f>IF(AN499=15,K499,0)</f>
        <v>0</v>
      </c>
      <c r="AL499" s="17">
        <f>IF(AN499=21,K499,0)</f>
        <v>0</v>
      </c>
      <c r="AN499" s="34">
        <v>15</v>
      </c>
      <c r="AO499" s="34">
        <f>H499*0.590822367014818</f>
        <v>0</v>
      </c>
      <c r="AP499" s="34">
        <f>H499*(1-0.590822367014818)</f>
        <v>0</v>
      </c>
      <c r="AQ499" s="28" t="s">
        <v>13</v>
      </c>
      <c r="AV499" s="34">
        <f>AW499+AX499</f>
        <v>0</v>
      </c>
      <c r="AW499" s="34">
        <f>G499*AO499</f>
        <v>0</v>
      </c>
      <c r="AX499" s="34">
        <f>G499*AP499</f>
        <v>0</v>
      </c>
      <c r="AY499" s="35" t="s">
        <v>1719</v>
      </c>
      <c r="AZ499" s="35" t="s">
        <v>1736</v>
      </c>
      <c r="BA499" s="29" t="s">
        <v>1737</v>
      </c>
      <c r="BC499" s="34">
        <f>AW499+AX499</f>
        <v>0</v>
      </c>
      <c r="BD499" s="34">
        <f>H499/(100-BE499)*100</f>
        <v>0</v>
      </c>
      <c r="BE499" s="34">
        <v>0</v>
      </c>
      <c r="BF499" s="34">
        <f>499</f>
        <v>499</v>
      </c>
      <c r="BH499" s="17">
        <f>G499*AO499</f>
        <v>0</v>
      </c>
      <c r="BI499" s="17">
        <f>G499*AP499</f>
        <v>0</v>
      </c>
      <c r="BJ499" s="17">
        <f>G499*H499</f>
        <v>0</v>
      </c>
    </row>
    <row r="500" spans="1:62" x14ac:dyDescent="0.2">
      <c r="A500" s="4" t="s">
        <v>452</v>
      </c>
      <c r="B500" s="4" t="s">
        <v>933</v>
      </c>
      <c r="C500" s="240" t="s">
        <v>1522</v>
      </c>
      <c r="D500" s="241"/>
      <c r="E500" s="241"/>
      <c r="F500" s="4" t="s">
        <v>1645</v>
      </c>
      <c r="G500" s="69">
        <v>843.77</v>
      </c>
      <c r="H500" s="168"/>
      <c r="I500" s="17">
        <f>G500*AO500</f>
        <v>0</v>
      </c>
      <c r="J500" s="17">
        <f>G500*AP500</f>
        <v>0</v>
      </c>
      <c r="K500" s="17">
        <f>G500*H500</f>
        <v>0</v>
      </c>
      <c r="L500" s="28" t="s">
        <v>1671</v>
      </c>
      <c r="Z500" s="34">
        <f>IF(AQ500="5",BJ500,0)</f>
        <v>0</v>
      </c>
      <c r="AB500" s="34">
        <f>IF(AQ500="1",BH500,0)</f>
        <v>0</v>
      </c>
      <c r="AC500" s="34">
        <f>IF(AQ500="1",BI500,0)</f>
        <v>0</v>
      </c>
      <c r="AD500" s="34">
        <f>IF(AQ500="7",BH500,0)</f>
        <v>0</v>
      </c>
      <c r="AE500" s="34">
        <f>IF(AQ500="7",BI500,0)</f>
        <v>0</v>
      </c>
      <c r="AF500" s="34">
        <f>IF(AQ500="2",BH500,0)</f>
        <v>0</v>
      </c>
      <c r="AG500" s="34">
        <f>IF(AQ500="2",BI500,0)</f>
        <v>0</v>
      </c>
      <c r="AH500" s="34">
        <f>IF(AQ500="0",BJ500,0)</f>
        <v>0</v>
      </c>
      <c r="AI500" s="29"/>
      <c r="AJ500" s="17">
        <f>IF(AN500=0,K500,0)</f>
        <v>0</v>
      </c>
      <c r="AK500" s="17">
        <f>IF(AN500=15,K500,0)</f>
        <v>0</v>
      </c>
      <c r="AL500" s="17">
        <f>IF(AN500=21,K500,0)</f>
        <v>0</v>
      </c>
      <c r="AN500" s="34">
        <v>15</v>
      </c>
      <c r="AO500" s="34">
        <f>H500*0.400704191908633</f>
        <v>0</v>
      </c>
      <c r="AP500" s="34">
        <f>H500*(1-0.400704191908633)</f>
        <v>0</v>
      </c>
      <c r="AQ500" s="28" t="s">
        <v>13</v>
      </c>
      <c r="AV500" s="34">
        <f>AW500+AX500</f>
        <v>0</v>
      </c>
      <c r="AW500" s="34">
        <f>G500*AO500</f>
        <v>0</v>
      </c>
      <c r="AX500" s="34">
        <f>G500*AP500</f>
        <v>0</v>
      </c>
      <c r="AY500" s="35" t="s">
        <v>1719</v>
      </c>
      <c r="AZ500" s="35" t="s">
        <v>1736</v>
      </c>
      <c r="BA500" s="29" t="s">
        <v>1737</v>
      </c>
      <c r="BC500" s="34">
        <f>AW500+AX500</f>
        <v>0</v>
      </c>
      <c r="BD500" s="34">
        <f>H500/(100-BE500)*100</f>
        <v>0</v>
      </c>
      <c r="BE500" s="34">
        <v>0</v>
      </c>
      <c r="BF500" s="34">
        <f>500</f>
        <v>500</v>
      </c>
      <c r="BH500" s="17">
        <f>G500*AO500</f>
        <v>0</v>
      </c>
      <c r="BI500" s="17">
        <f>G500*AP500</f>
        <v>0</v>
      </c>
      <c r="BJ500" s="17">
        <f>G500*H500</f>
        <v>0</v>
      </c>
    </row>
    <row r="501" spans="1:62" x14ac:dyDescent="0.2">
      <c r="A501" s="4" t="s">
        <v>453</v>
      </c>
      <c r="B501" s="4" t="s">
        <v>934</v>
      </c>
      <c r="C501" s="240" t="s">
        <v>1523</v>
      </c>
      <c r="D501" s="241"/>
      <c r="E501" s="241"/>
      <c r="F501" s="4" t="s">
        <v>1645</v>
      </c>
      <c r="G501" s="69">
        <v>241.65700000000001</v>
      </c>
      <c r="H501" s="168"/>
      <c r="I501" s="17">
        <f>G501*AO501</f>
        <v>0</v>
      </c>
      <c r="J501" s="17">
        <f>G501*AP501</f>
        <v>0</v>
      </c>
      <c r="K501" s="17">
        <f>G501*H501</f>
        <v>0</v>
      </c>
      <c r="L501" s="28" t="s">
        <v>1671</v>
      </c>
      <c r="Z501" s="34">
        <f>IF(AQ501="5",BJ501,0)</f>
        <v>0</v>
      </c>
      <c r="AB501" s="34">
        <f>IF(AQ501="1",BH501,0)</f>
        <v>0</v>
      </c>
      <c r="AC501" s="34">
        <f>IF(AQ501="1",BI501,0)</f>
        <v>0</v>
      </c>
      <c r="AD501" s="34">
        <f>IF(AQ501="7",BH501,0)</f>
        <v>0</v>
      </c>
      <c r="AE501" s="34">
        <f>IF(AQ501="7",BI501,0)</f>
        <v>0</v>
      </c>
      <c r="AF501" s="34">
        <f>IF(AQ501="2",BH501,0)</f>
        <v>0</v>
      </c>
      <c r="AG501" s="34">
        <f>IF(AQ501="2",BI501,0)</f>
        <v>0</v>
      </c>
      <c r="AH501" s="34">
        <f>IF(AQ501="0",BJ501,0)</f>
        <v>0</v>
      </c>
      <c r="AI501" s="29"/>
      <c r="AJ501" s="17">
        <f>IF(AN501=0,K501,0)</f>
        <v>0</v>
      </c>
      <c r="AK501" s="17">
        <f>IF(AN501=15,K501,0)</f>
        <v>0</v>
      </c>
      <c r="AL501" s="17">
        <f>IF(AN501=21,K501,0)</f>
        <v>0</v>
      </c>
      <c r="AN501" s="34">
        <v>15</v>
      </c>
      <c r="AO501" s="34">
        <f>H501*0.122818181818182</f>
        <v>0</v>
      </c>
      <c r="AP501" s="34">
        <f>H501*(1-0.122818181818182)</f>
        <v>0</v>
      </c>
      <c r="AQ501" s="28" t="s">
        <v>13</v>
      </c>
      <c r="AV501" s="34">
        <f>AW501+AX501</f>
        <v>0</v>
      </c>
      <c r="AW501" s="34">
        <f>G501*AO501</f>
        <v>0</v>
      </c>
      <c r="AX501" s="34">
        <f>G501*AP501</f>
        <v>0</v>
      </c>
      <c r="AY501" s="35" t="s">
        <v>1719</v>
      </c>
      <c r="AZ501" s="35" t="s">
        <v>1736</v>
      </c>
      <c r="BA501" s="29" t="s">
        <v>1737</v>
      </c>
      <c r="BC501" s="34">
        <f>AW501+AX501</f>
        <v>0</v>
      </c>
      <c r="BD501" s="34">
        <f>H501/(100-BE501)*100</f>
        <v>0</v>
      </c>
      <c r="BE501" s="34">
        <v>0</v>
      </c>
      <c r="BF501" s="34">
        <f>501</f>
        <v>501</v>
      </c>
      <c r="BH501" s="17">
        <f>G501*AO501</f>
        <v>0</v>
      </c>
      <c r="BI501" s="17">
        <f>G501*AP501</f>
        <v>0</v>
      </c>
      <c r="BJ501" s="17">
        <f>G501*H501</f>
        <v>0</v>
      </c>
    </row>
    <row r="502" spans="1:62" x14ac:dyDescent="0.2">
      <c r="A502" s="4" t="s">
        <v>454</v>
      </c>
      <c r="B502" s="4" t="s">
        <v>935</v>
      </c>
      <c r="C502" s="240" t="s">
        <v>1524</v>
      </c>
      <c r="D502" s="241"/>
      <c r="E502" s="241"/>
      <c r="F502" s="4" t="s">
        <v>1645</v>
      </c>
      <c r="G502" s="69">
        <v>602.11300000000006</v>
      </c>
      <c r="H502" s="168"/>
      <c r="I502" s="17">
        <f>G502*AO502</f>
        <v>0</v>
      </c>
      <c r="J502" s="17">
        <f>G502*AP502</f>
        <v>0</v>
      </c>
      <c r="K502" s="17">
        <f>G502*H502</f>
        <v>0</v>
      </c>
      <c r="L502" s="28" t="s">
        <v>1671</v>
      </c>
      <c r="Z502" s="34">
        <f>IF(AQ502="5",BJ502,0)</f>
        <v>0</v>
      </c>
      <c r="AB502" s="34">
        <f>IF(AQ502="1",BH502,0)</f>
        <v>0</v>
      </c>
      <c r="AC502" s="34">
        <f>IF(AQ502="1",BI502,0)</f>
        <v>0</v>
      </c>
      <c r="AD502" s="34">
        <f>IF(AQ502="7",BH502,0)</f>
        <v>0</v>
      </c>
      <c r="AE502" s="34">
        <f>IF(AQ502="7",BI502,0)</f>
        <v>0</v>
      </c>
      <c r="AF502" s="34">
        <f>IF(AQ502="2",BH502,0)</f>
        <v>0</v>
      </c>
      <c r="AG502" s="34">
        <f>IF(AQ502="2",BI502,0)</f>
        <v>0</v>
      </c>
      <c r="AH502" s="34">
        <f>IF(AQ502="0",BJ502,0)</f>
        <v>0</v>
      </c>
      <c r="AI502" s="29"/>
      <c r="AJ502" s="17">
        <f>IF(AN502=0,K502,0)</f>
        <v>0</v>
      </c>
      <c r="AK502" s="17">
        <f>IF(AN502=15,K502,0)</f>
        <v>0</v>
      </c>
      <c r="AL502" s="17">
        <f>IF(AN502=21,K502,0)</f>
        <v>0</v>
      </c>
      <c r="AN502" s="34">
        <v>15</v>
      </c>
      <c r="AO502" s="34">
        <f>H502*0.0909911511005354</f>
        <v>0</v>
      </c>
      <c r="AP502" s="34">
        <f>H502*(1-0.0909911511005354)</f>
        <v>0</v>
      </c>
      <c r="AQ502" s="28" t="s">
        <v>13</v>
      </c>
      <c r="AV502" s="34">
        <f>AW502+AX502</f>
        <v>0</v>
      </c>
      <c r="AW502" s="34">
        <f>G502*AO502</f>
        <v>0</v>
      </c>
      <c r="AX502" s="34">
        <f>G502*AP502</f>
        <v>0</v>
      </c>
      <c r="AY502" s="35" t="s">
        <v>1719</v>
      </c>
      <c r="AZ502" s="35" t="s">
        <v>1736</v>
      </c>
      <c r="BA502" s="29" t="s">
        <v>1737</v>
      </c>
      <c r="BC502" s="34">
        <f>AW502+AX502</f>
        <v>0</v>
      </c>
      <c r="BD502" s="34">
        <f>H502/(100-BE502)*100</f>
        <v>0</v>
      </c>
      <c r="BE502" s="34">
        <v>0</v>
      </c>
      <c r="BF502" s="34">
        <f>502</f>
        <v>502</v>
      </c>
      <c r="BH502" s="17">
        <f>G502*AO502</f>
        <v>0</v>
      </c>
      <c r="BI502" s="17">
        <f>G502*AP502</f>
        <v>0</v>
      </c>
      <c r="BJ502" s="17">
        <f>G502*H502</f>
        <v>0</v>
      </c>
    </row>
    <row r="503" spans="1:62" x14ac:dyDescent="0.2">
      <c r="A503" s="5"/>
      <c r="B503" s="13" t="s">
        <v>936</v>
      </c>
      <c r="C503" s="244" t="s">
        <v>1525</v>
      </c>
      <c r="D503" s="245"/>
      <c r="E503" s="245"/>
      <c r="F503" s="5" t="s">
        <v>6</v>
      </c>
      <c r="G503" s="5" t="s">
        <v>6</v>
      </c>
      <c r="H503" s="5" t="s">
        <v>6</v>
      </c>
      <c r="I503" s="37">
        <f>SUM(I504:I533)</f>
        <v>0</v>
      </c>
      <c r="J503" s="37">
        <f>SUM(J504:J533)</f>
        <v>0</v>
      </c>
      <c r="K503" s="37">
        <f>SUM(K504:K533)</f>
        <v>0</v>
      </c>
      <c r="L503" s="29"/>
      <c r="AI503" s="29"/>
      <c r="AS503" s="37">
        <f>SUM(AJ504:AJ533)</f>
        <v>0</v>
      </c>
      <c r="AT503" s="37">
        <f>SUM(AK504:AK533)</f>
        <v>0</v>
      </c>
      <c r="AU503" s="37">
        <f>SUM(AL504:AL533)</f>
        <v>0</v>
      </c>
    </row>
    <row r="504" spans="1:62" x14ac:dyDescent="0.2">
      <c r="A504" s="4" t="s">
        <v>455</v>
      </c>
      <c r="B504" s="4" t="s">
        <v>937</v>
      </c>
      <c r="C504" s="240" t="s">
        <v>1526</v>
      </c>
      <c r="D504" s="241"/>
      <c r="E504" s="241"/>
      <c r="F504" s="4" t="s">
        <v>1644</v>
      </c>
      <c r="G504" s="69">
        <v>2</v>
      </c>
      <c r="H504" s="168"/>
      <c r="I504" s="17">
        <f t="shared" ref="I504:I533" si="530">G504*AO504</f>
        <v>0</v>
      </c>
      <c r="J504" s="17">
        <f t="shared" ref="J504:J533" si="531">G504*AP504</f>
        <v>0</v>
      </c>
      <c r="K504" s="17">
        <f t="shared" ref="K504:K533" si="532">G504*H504</f>
        <v>0</v>
      </c>
      <c r="L504" s="28" t="s">
        <v>1671</v>
      </c>
      <c r="Z504" s="34">
        <f t="shared" ref="Z504:Z533" si="533">IF(AQ504="5",BJ504,0)</f>
        <v>0</v>
      </c>
      <c r="AB504" s="34">
        <f t="shared" ref="AB504:AB533" si="534">IF(AQ504="1",BH504,0)</f>
        <v>0</v>
      </c>
      <c r="AC504" s="34">
        <f t="shared" ref="AC504:AC533" si="535">IF(AQ504="1",BI504,0)</f>
        <v>0</v>
      </c>
      <c r="AD504" s="34">
        <f t="shared" ref="AD504:AD533" si="536">IF(AQ504="7",BH504,0)</f>
        <v>0</v>
      </c>
      <c r="AE504" s="34">
        <f t="shared" ref="AE504:AE533" si="537">IF(AQ504="7",BI504,0)</f>
        <v>0</v>
      </c>
      <c r="AF504" s="34">
        <f t="shared" ref="AF504:AF533" si="538">IF(AQ504="2",BH504,0)</f>
        <v>0</v>
      </c>
      <c r="AG504" s="34">
        <f t="shared" ref="AG504:AG533" si="539">IF(AQ504="2",BI504,0)</f>
        <v>0</v>
      </c>
      <c r="AH504" s="34">
        <f t="shared" ref="AH504:AH533" si="540">IF(AQ504="0",BJ504,0)</f>
        <v>0</v>
      </c>
      <c r="AI504" s="29"/>
      <c r="AJ504" s="17">
        <f t="shared" ref="AJ504:AJ533" si="541">IF(AN504=0,K504,0)</f>
        <v>0</v>
      </c>
      <c r="AK504" s="17">
        <f t="shared" ref="AK504:AK533" si="542">IF(AN504=15,K504,0)</f>
        <v>0</v>
      </c>
      <c r="AL504" s="17">
        <f t="shared" ref="AL504:AL533" si="543">IF(AN504=21,K504,0)</f>
        <v>0</v>
      </c>
      <c r="AN504" s="34">
        <v>15</v>
      </c>
      <c r="AO504" s="34">
        <f t="shared" ref="AO504:AO533" si="544">H504*0</f>
        <v>0</v>
      </c>
      <c r="AP504" s="34">
        <f t="shared" ref="AP504:AP533" si="545">H504*(1-0)</f>
        <v>0</v>
      </c>
      <c r="AQ504" s="28" t="s">
        <v>8</v>
      </c>
      <c r="AV504" s="34">
        <f t="shared" ref="AV504:AV533" si="546">AW504+AX504</f>
        <v>0</v>
      </c>
      <c r="AW504" s="34">
        <f t="shared" ref="AW504:AW533" si="547">G504*AO504</f>
        <v>0</v>
      </c>
      <c r="AX504" s="34">
        <f t="shared" ref="AX504:AX533" si="548">G504*AP504</f>
        <v>0</v>
      </c>
      <c r="AY504" s="35" t="s">
        <v>1720</v>
      </c>
      <c r="AZ504" s="35" t="s">
        <v>1730</v>
      </c>
      <c r="BA504" s="29" t="s">
        <v>1737</v>
      </c>
      <c r="BC504" s="34">
        <f t="shared" ref="BC504:BC533" si="549">AW504+AX504</f>
        <v>0</v>
      </c>
      <c r="BD504" s="34">
        <f t="shared" ref="BD504:BD533" si="550">H504/(100-BE504)*100</f>
        <v>0</v>
      </c>
      <c r="BE504" s="34">
        <v>0</v>
      </c>
      <c r="BF504" s="34">
        <f>504</f>
        <v>504</v>
      </c>
      <c r="BH504" s="17">
        <f t="shared" ref="BH504:BH533" si="551">G504*AO504</f>
        <v>0</v>
      </c>
      <c r="BI504" s="17">
        <f t="shared" ref="BI504:BI533" si="552">G504*AP504</f>
        <v>0</v>
      </c>
      <c r="BJ504" s="17">
        <f t="shared" ref="BJ504:BJ533" si="553">G504*H504</f>
        <v>0</v>
      </c>
    </row>
    <row r="505" spans="1:62" x14ac:dyDescent="0.2">
      <c r="A505" s="4" t="s">
        <v>456</v>
      </c>
      <c r="B505" s="4" t="s">
        <v>938</v>
      </c>
      <c r="C505" s="240" t="s">
        <v>1527</v>
      </c>
      <c r="D505" s="241"/>
      <c r="E505" s="241"/>
      <c r="F505" s="4" t="s">
        <v>1655</v>
      </c>
      <c r="G505" s="69">
        <v>1</v>
      </c>
      <c r="H505" s="168"/>
      <c r="I505" s="17">
        <f t="shared" si="530"/>
        <v>0</v>
      </c>
      <c r="J505" s="17">
        <f t="shared" si="531"/>
        <v>0</v>
      </c>
      <c r="K505" s="17">
        <f t="shared" si="532"/>
        <v>0</v>
      </c>
      <c r="L505" s="28" t="s">
        <v>1671</v>
      </c>
      <c r="Z505" s="34">
        <f t="shared" si="533"/>
        <v>0</v>
      </c>
      <c r="AB505" s="34">
        <f t="shared" si="534"/>
        <v>0</v>
      </c>
      <c r="AC505" s="34">
        <f t="shared" si="535"/>
        <v>0</v>
      </c>
      <c r="AD505" s="34">
        <f t="shared" si="536"/>
        <v>0</v>
      </c>
      <c r="AE505" s="34">
        <f t="shared" si="537"/>
        <v>0</v>
      </c>
      <c r="AF505" s="34">
        <f t="shared" si="538"/>
        <v>0</v>
      </c>
      <c r="AG505" s="34">
        <f t="shared" si="539"/>
        <v>0</v>
      </c>
      <c r="AH505" s="34">
        <f t="shared" si="540"/>
        <v>0</v>
      </c>
      <c r="AI505" s="29"/>
      <c r="AJ505" s="17">
        <f t="shared" si="541"/>
        <v>0</v>
      </c>
      <c r="AK505" s="17">
        <f t="shared" si="542"/>
        <v>0</v>
      </c>
      <c r="AL505" s="17">
        <f t="shared" si="543"/>
        <v>0</v>
      </c>
      <c r="AN505" s="34">
        <v>15</v>
      </c>
      <c r="AO505" s="34">
        <f t="shared" si="544"/>
        <v>0</v>
      </c>
      <c r="AP505" s="34">
        <f t="shared" si="545"/>
        <v>0</v>
      </c>
      <c r="AQ505" s="28" t="s">
        <v>8</v>
      </c>
      <c r="AV505" s="34">
        <f t="shared" si="546"/>
        <v>0</v>
      </c>
      <c r="AW505" s="34">
        <f t="shared" si="547"/>
        <v>0</v>
      </c>
      <c r="AX505" s="34">
        <f t="shared" si="548"/>
        <v>0</v>
      </c>
      <c r="AY505" s="35" t="s">
        <v>1720</v>
      </c>
      <c r="AZ505" s="35" t="s">
        <v>1730</v>
      </c>
      <c r="BA505" s="29" t="s">
        <v>1737</v>
      </c>
      <c r="BC505" s="34">
        <f t="shared" si="549"/>
        <v>0</v>
      </c>
      <c r="BD505" s="34">
        <f t="shared" si="550"/>
        <v>0</v>
      </c>
      <c r="BE505" s="34">
        <v>0</v>
      </c>
      <c r="BF505" s="34">
        <f>505</f>
        <v>505</v>
      </c>
      <c r="BH505" s="17">
        <f t="shared" si="551"/>
        <v>0</v>
      </c>
      <c r="BI505" s="17">
        <f t="shared" si="552"/>
        <v>0</v>
      </c>
      <c r="BJ505" s="17">
        <f t="shared" si="553"/>
        <v>0</v>
      </c>
    </row>
    <row r="506" spans="1:62" x14ac:dyDescent="0.2">
      <c r="A506" s="4" t="s">
        <v>457</v>
      </c>
      <c r="B506" s="4" t="s">
        <v>939</v>
      </c>
      <c r="C506" s="240" t="s">
        <v>1528</v>
      </c>
      <c r="D506" s="241"/>
      <c r="E506" s="241"/>
      <c r="F506" s="4" t="s">
        <v>1644</v>
      </c>
      <c r="G506" s="69">
        <v>1</v>
      </c>
      <c r="H506" s="168"/>
      <c r="I506" s="17">
        <f t="shared" si="530"/>
        <v>0</v>
      </c>
      <c r="J506" s="17">
        <f t="shared" si="531"/>
        <v>0</v>
      </c>
      <c r="K506" s="17">
        <f t="shared" si="532"/>
        <v>0</v>
      </c>
      <c r="L506" s="28" t="s">
        <v>1671</v>
      </c>
      <c r="Z506" s="34">
        <f t="shared" si="533"/>
        <v>0</v>
      </c>
      <c r="AB506" s="34">
        <f t="shared" si="534"/>
        <v>0</v>
      </c>
      <c r="AC506" s="34">
        <f t="shared" si="535"/>
        <v>0</v>
      </c>
      <c r="AD506" s="34">
        <f t="shared" si="536"/>
        <v>0</v>
      </c>
      <c r="AE506" s="34">
        <f t="shared" si="537"/>
        <v>0</v>
      </c>
      <c r="AF506" s="34">
        <f t="shared" si="538"/>
        <v>0</v>
      </c>
      <c r="AG506" s="34">
        <f t="shared" si="539"/>
        <v>0</v>
      </c>
      <c r="AH506" s="34">
        <f t="shared" si="540"/>
        <v>0</v>
      </c>
      <c r="AI506" s="29"/>
      <c r="AJ506" s="17">
        <f t="shared" si="541"/>
        <v>0</v>
      </c>
      <c r="AK506" s="17">
        <f t="shared" si="542"/>
        <v>0</v>
      </c>
      <c r="AL506" s="17">
        <f t="shared" si="543"/>
        <v>0</v>
      </c>
      <c r="AN506" s="34">
        <v>15</v>
      </c>
      <c r="AO506" s="34">
        <f t="shared" si="544"/>
        <v>0</v>
      </c>
      <c r="AP506" s="34">
        <f t="shared" si="545"/>
        <v>0</v>
      </c>
      <c r="AQ506" s="28" t="s">
        <v>8</v>
      </c>
      <c r="AV506" s="34">
        <f t="shared" si="546"/>
        <v>0</v>
      </c>
      <c r="AW506" s="34">
        <f t="shared" si="547"/>
        <v>0</v>
      </c>
      <c r="AX506" s="34">
        <f t="shared" si="548"/>
        <v>0</v>
      </c>
      <c r="AY506" s="35" t="s">
        <v>1720</v>
      </c>
      <c r="AZ506" s="35" t="s">
        <v>1730</v>
      </c>
      <c r="BA506" s="29" t="s">
        <v>1737</v>
      </c>
      <c r="BC506" s="34">
        <f t="shared" si="549"/>
        <v>0</v>
      </c>
      <c r="BD506" s="34">
        <f t="shared" si="550"/>
        <v>0</v>
      </c>
      <c r="BE506" s="34">
        <v>0</v>
      </c>
      <c r="BF506" s="34">
        <f>506</f>
        <v>506</v>
      </c>
      <c r="BH506" s="17">
        <f t="shared" si="551"/>
        <v>0</v>
      </c>
      <c r="BI506" s="17">
        <f t="shared" si="552"/>
        <v>0</v>
      </c>
      <c r="BJ506" s="17">
        <f t="shared" si="553"/>
        <v>0</v>
      </c>
    </row>
    <row r="507" spans="1:62" x14ac:dyDescent="0.2">
      <c r="A507" s="4" t="s">
        <v>458</v>
      </c>
      <c r="B507" s="4" t="s">
        <v>940</v>
      </c>
      <c r="C507" s="240" t="s">
        <v>1529</v>
      </c>
      <c r="D507" s="241"/>
      <c r="E507" s="241"/>
      <c r="F507" s="4" t="s">
        <v>1644</v>
      </c>
      <c r="G507" s="69">
        <v>1</v>
      </c>
      <c r="H507" s="168"/>
      <c r="I507" s="17">
        <f t="shared" si="530"/>
        <v>0</v>
      </c>
      <c r="J507" s="17">
        <f t="shared" si="531"/>
        <v>0</v>
      </c>
      <c r="K507" s="17">
        <f t="shared" si="532"/>
        <v>0</v>
      </c>
      <c r="L507" s="28" t="s">
        <v>1671</v>
      </c>
      <c r="Z507" s="34">
        <f t="shared" si="533"/>
        <v>0</v>
      </c>
      <c r="AB507" s="34">
        <f t="shared" si="534"/>
        <v>0</v>
      </c>
      <c r="AC507" s="34">
        <f t="shared" si="535"/>
        <v>0</v>
      </c>
      <c r="AD507" s="34">
        <f t="shared" si="536"/>
        <v>0</v>
      </c>
      <c r="AE507" s="34">
        <f t="shared" si="537"/>
        <v>0</v>
      </c>
      <c r="AF507" s="34">
        <f t="shared" si="538"/>
        <v>0</v>
      </c>
      <c r="AG507" s="34">
        <f t="shared" si="539"/>
        <v>0</v>
      </c>
      <c r="AH507" s="34">
        <f t="shared" si="540"/>
        <v>0</v>
      </c>
      <c r="AI507" s="29"/>
      <c r="AJ507" s="17">
        <f t="shared" si="541"/>
        <v>0</v>
      </c>
      <c r="AK507" s="17">
        <f t="shared" si="542"/>
        <v>0</v>
      </c>
      <c r="AL507" s="17">
        <f t="shared" si="543"/>
        <v>0</v>
      </c>
      <c r="AN507" s="34">
        <v>15</v>
      </c>
      <c r="AO507" s="34">
        <f t="shared" si="544"/>
        <v>0</v>
      </c>
      <c r="AP507" s="34">
        <f t="shared" si="545"/>
        <v>0</v>
      </c>
      <c r="AQ507" s="28" t="s">
        <v>8</v>
      </c>
      <c r="AV507" s="34">
        <f t="shared" si="546"/>
        <v>0</v>
      </c>
      <c r="AW507" s="34">
        <f t="shared" si="547"/>
        <v>0</v>
      </c>
      <c r="AX507" s="34">
        <f t="shared" si="548"/>
        <v>0</v>
      </c>
      <c r="AY507" s="35" t="s">
        <v>1720</v>
      </c>
      <c r="AZ507" s="35" t="s">
        <v>1730</v>
      </c>
      <c r="BA507" s="29" t="s">
        <v>1737</v>
      </c>
      <c r="BC507" s="34">
        <f t="shared" si="549"/>
        <v>0</v>
      </c>
      <c r="BD507" s="34">
        <f t="shared" si="550"/>
        <v>0</v>
      </c>
      <c r="BE507" s="34">
        <v>0</v>
      </c>
      <c r="BF507" s="34">
        <f>507</f>
        <v>507</v>
      </c>
      <c r="BH507" s="17">
        <f t="shared" si="551"/>
        <v>0</v>
      </c>
      <c r="BI507" s="17">
        <f t="shared" si="552"/>
        <v>0</v>
      </c>
      <c r="BJ507" s="17">
        <f t="shared" si="553"/>
        <v>0</v>
      </c>
    </row>
    <row r="508" spans="1:62" x14ac:dyDescent="0.2">
      <c r="A508" s="4" t="s">
        <v>459</v>
      </c>
      <c r="B508" s="4" t="s">
        <v>941</v>
      </c>
      <c r="C508" s="240" t="s">
        <v>1530</v>
      </c>
      <c r="D508" s="241"/>
      <c r="E508" s="241"/>
      <c r="F508" s="4" t="s">
        <v>1644</v>
      </c>
      <c r="G508" s="69">
        <v>1</v>
      </c>
      <c r="H508" s="168"/>
      <c r="I508" s="17">
        <f t="shared" si="530"/>
        <v>0</v>
      </c>
      <c r="J508" s="17">
        <f t="shared" si="531"/>
        <v>0</v>
      </c>
      <c r="K508" s="17">
        <f t="shared" si="532"/>
        <v>0</v>
      </c>
      <c r="L508" s="28" t="s">
        <v>1671</v>
      </c>
      <c r="Z508" s="34">
        <f t="shared" si="533"/>
        <v>0</v>
      </c>
      <c r="AB508" s="34">
        <f t="shared" si="534"/>
        <v>0</v>
      </c>
      <c r="AC508" s="34">
        <f t="shared" si="535"/>
        <v>0</v>
      </c>
      <c r="AD508" s="34">
        <f t="shared" si="536"/>
        <v>0</v>
      </c>
      <c r="AE508" s="34">
        <f t="shared" si="537"/>
        <v>0</v>
      </c>
      <c r="AF508" s="34">
        <f t="shared" si="538"/>
        <v>0</v>
      </c>
      <c r="AG508" s="34">
        <f t="shared" si="539"/>
        <v>0</v>
      </c>
      <c r="AH508" s="34">
        <f t="shared" si="540"/>
        <v>0</v>
      </c>
      <c r="AI508" s="29"/>
      <c r="AJ508" s="17">
        <f t="shared" si="541"/>
        <v>0</v>
      </c>
      <c r="AK508" s="17">
        <f t="shared" si="542"/>
        <v>0</v>
      </c>
      <c r="AL508" s="17">
        <f t="shared" si="543"/>
        <v>0</v>
      </c>
      <c r="AN508" s="34">
        <v>15</v>
      </c>
      <c r="AO508" s="34">
        <f t="shared" si="544"/>
        <v>0</v>
      </c>
      <c r="AP508" s="34">
        <f t="shared" si="545"/>
        <v>0</v>
      </c>
      <c r="AQ508" s="28" t="s">
        <v>8</v>
      </c>
      <c r="AV508" s="34">
        <f t="shared" si="546"/>
        <v>0</v>
      </c>
      <c r="AW508" s="34">
        <f t="shared" si="547"/>
        <v>0</v>
      </c>
      <c r="AX508" s="34">
        <f t="shared" si="548"/>
        <v>0</v>
      </c>
      <c r="AY508" s="35" t="s">
        <v>1720</v>
      </c>
      <c r="AZ508" s="35" t="s">
        <v>1730</v>
      </c>
      <c r="BA508" s="29" t="s">
        <v>1737</v>
      </c>
      <c r="BC508" s="34">
        <f t="shared" si="549"/>
        <v>0</v>
      </c>
      <c r="BD508" s="34">
        <f t="shared" si="550"/>
        <v>0</v>
      </c>
      <c r="BE508" s="34">
        <v>0</v>
      </c>
      <c r="BF508" s="34">
        <f>508</f>
        <v>508</v>
      </c>
      <c r="BH508" s="17">
        <f t="shared" si="551"/>
        <v>0</v>
      </c>
      <c r="BI508" s="17">
        <f t="shared" si="552"/>
        <v>0</v>
      </c>
      <c r="BJ508" s="17">
        <f t="shared" si="553"/>
        <v>0</v>
      </c>
    </row>
    <row r="509" spans="1:62" x14ac:dyDescent="0.2">
      <c r="A509" s="4" t="s">
        <v>460</v>
      </c>
      <c r="B509" s="4" t="s">
        <v>942</v>
      </c>
      <c r="C509" s="240" t="s">
        <v>1531</v>
      </c>
      <c r="D509" s="241"/>
      <c r="E509" s="241"/>
      <c r="F509" s="4" t="s">
        <v>1644</v>
      </c>
      <c r="G509" s="69">
        <v>1</v>
      </c>
      <c r="H509" s="168"/>
      <c r="I509" s="17">
        <f t="shared" si="530"/>
        <v>0</v>
      </c>
      <c r="J509" s="17">
        <f t="shared" si="531"/>
        <v>0</v>
      </c>
      <c r="K509" s="17">
        <f t="shared" si="532"/>
        <v>0</v>
      </c>
      <c r="L509" s="28"/>
      <c r="Z509" s="34">
        <f t="shared" si="533"/>
        <v>0</v>
      </c>
      <c r="AB509" s="34">
        <f t="shared" si="534"/>
        <v>0</v>
      </c>
      <c r="AC509" s="34">
        <f t="shared" si="535"/>
        <v>0</v>
      </c>
      <c r="AD509" s="34">
        <f t="shared" si="536"/>
        <v>0</v>
      </c>
      <c r="AE509" s="34">
        <f t="shared" si="537"/>
        <v>0</v>
      </c>
      <c r="AF509" s="34">
        <f t="shared" si="538"/>
        <v>0</v>
      </c>
      <c r="AG509" s="34">
        <f t="shared" si="539"/>
        <v>0</v>
      </c>
      <c r="AH509" s="34">
        <f t="shared" si="540"/>
        <v>0</v>
      </c>
      <c r="AI509" s="29"/>
      <c r="AJ509" s="17">
        <f t="shared" si="541"/>
        <v>0</v>
      </c>
      <c r="AK509" s="17">
        <f t="shared" si="542"/>
        <v>0</v>
      </c>
      <c r="AL509" s="17">
        <f t="shared" si="543"/>
        <v>0</v>
      </c>
      <c r="AN509" s="34">
        <v>15</v>
      </c>
      <c r="AO509" s="34">
        <f t="shared" si="544"/>
        <v>0</v>
      </c>
      <c r="AP509" s="34">
        <f t="shared" si="545"/>
        <v>0</v>
      </c>
      <c r="AQ509" s="28" t="s">
        <v>7</v>
      </c>
      <c r="AV509" s="34">
        <f t="shared" si="546"/>
        <v>0</v>
      </c>
      <c r="AW509" s="34">
        <f t="shared" si="547"/>
        <v>0</v>
      </c>
      <c r="AX509" s="34">
        <f t="shared" si="548"/>
        <v>0</v>
      </c>
      <c r="AY509" s="35" t="s">
        <v>1720</v>
      </c>
      <c r="AZ509" s="35" t="s">
        <v>1730</v>
      </c>
      <c r="BA509" s="29" t="s">
        <v>1737</v>
      </c>
      <c r="BC509" s="34">
        <f t="shared" si="549"/>
        <v>0</v>
      </c>
      <c r="BD509" s="34">
        <f t="shared" si="550"/>
        <v>0</v>
      </c>
      <c r="BE509" s="34">
        <v>0</v>
      </c>
      <c r="BF509" s="34">
        <f>509</f>
        <v>509</v>
      </c>
      <c r="BH509" s="17">
        <f t="shared" si="551"/>
        <v>0</v>
      </c>
      <c r="BI509" s="17">
        <f t="shared" si="552"/>
        <v>0</v>
      </c>
      <c r="BJ509" s="17">
        <f t="shared" si="553"/>
        <v>0</v>
      </c>
    </row>
    <row r="510" spans="1:62" x14ac:dyDescent="0.2">
      <c r="A510" s="4" t="s">
        <v>461</v>
      </c>
      <c r="B510" s="4" t="s">
        <v>943</v>
      </c>
      <c r="C510" s="240" t="s">
        <v>1532</v>
      </c>
      <c r="D510" s="241"/>
      <c r="E510" s="241"/>
      <c r="F510" s="4" t="s">
        <v>1646</v>
      </c>
      <c r="G510" s="69">
        <v>60</v>
      </c>
      <c r="H510" s="168"/>
      <c r="I510" s="17">
        <f t="shared" si="530"/>
        <v>0</v>
      </c>
      <c r="J510" s="17">
        <f t="shared" si="531"/>
        <v>0</v>
      </c>
      <c r="K510" s="17">
        <f t="shared" si="532"/>
        <v>0</v>
      </c>
      <c r="L510" s="28"/>
      <c r="Z510" s="34">
        <f t="shared" si="533"/>
        <v>0</v>
      </c>
      <c r="AB510" s="34">
        <f t="shared" si="534"/>
        <v>0</v>
      </c>
      <c r="AC510" s="34">
        <f t="shared" si="535"/>
        <v>0</v>
      </c>
      <c r="AD510" s="34">
        <f t="shared" si="536"/>
        <v>0</v>
      </c>
      <c r="AE510" s="34">
        <f t="shared" si="537"/>
        <v>0</v>
      </c>
      <c r="AF510" s="34">
        <f t="shared" si="538"/>
        <v>0</v>
      </c>
      <c r="AG510" s="34">
        <f t="shared" si="539"/>
        <v>0</v>
      </c>
      <c r="AH510" s="34">
        <f t="shared" si="540"/>
        <v>0</v>
      </c>
      <c r="AI510" s="29"/>
      <c r="AJ510" s="17">
        <f t="shared" si="541"/>
        <v>0</v>
      </c>
      <c r="AK510" s="17">
        <f t="shared" si="542"/>
        <v>0</v>
      </c>
      <c r="AL510" s="17">
        <f t="shared" si="543"/>
        <v>0</v>
      </c>
      <c r="AN510" s="34">
        <v>15</v>
      </c>
      <c r="AO510" s="34">
        <f t="shared" si="544"/>
        <v>0</v>
      </c>
      <c r="AP510" s="34">
        <f t="shared" si="545"/>
        <v>0</v>
      </c>
      <c r="AQ510" s="28" t="s">
        <v>7</v>
      </c>
      <c r="AV510" s="34">
        <f t="shared" si="546"/>
        <v>0</v>
      </c>
      <c r="AW510" s="34">
        <f t="shared" si="547"/>
        <v>0</v>
      </c>
      <c r="AX510" s="34">
        <f t="shared" si="548"/>
        <v>0</v>
      </c>
      <c r="AY510" s="35" t="s">
        <v>1720</v>
      </c>
      <c r="AZ510" s="35" t="s">
        <v>1730</v>
      </c>
      <c r="BA510" s="29" t="s">
        <v>1737</v>
      </c>
      <c r="BC510" s="34">
        <f t="shared" si="549"/>
        <v>0</v>
      </c>
      <c r="BD510" s="34">
        <f t="shared" si="550"/>
        <v>0</v>
      </c>
      <c r="BE510" s="34">
        <v>0</v>
      </c>
      <c r="BF510" s="34">
        <f>510</f>
        <v>510</v>
      </c>
      <c r="BH510" s="17">
        <f t="shared" si="551"/>
        <v>0</v>
      </c>
      <c r="BI510" s="17">
        <f t="shared" si="552"/>
        <v>0</v>
      </c>
      <c r="BJ510" s="17">
        <f t="shared" si="553"/>
        <v>0</v>
      </c>
    </row>
    <row r="511" spans="1:62" x14ac:dyDescent="0.2">
      <c r="A511" s="4" t="s">
        <v>462</v>
      </c>
      <c r="B511" s="4" t="s">
        <v>944</v>
      </c>
      <c r="C511" s="240" t="s">
        <v>1533</v>
      </c>
      <c r="D511" s="241"/>
      <c r="E511" s="241"/>
      <c r="F511" s="4" t="s">
        <v>1646</v>
      </c>
      <c r="G511" s="69">
        <v>30</v>
      </c>
      <c r="H511" s="168"/>
      <c r="I511" s="17">
        <f t="shared" si="530"/>
        <v>0</v>
      </c>
      <c r="J511" s="17">
        <f t="shared" si="531"/>
        <v>0</v>
      </c>
      <c r="K511" s="17">
        <f t="shared" si="532"/>
        <v>0</v>
      </c>
      <c r="L511" s="28"/>
      <c r="Z511" s="34">
        <f t="shared" si="533"/>
        <v>0</v>
      </c>
      <c r="AB511" s="34">
        <f t="shared" si="534"/>
        <v>0</v>
      </c>
      <c r="AC511" s="34">
        <f t="shared" si="535"/>
        <v>0</v>
      </c>
      <c r="AD511" s="34">
        <f t="shared" si="536"/>
        <v>0</v>
      </c>
      <c r="AE511" s="34">
        <f t="shared" si="537"/>
        <v>0</v>
      </c>
      <c r="AF511" s="34">
        <f t="shared" si="538"/>
        <v>0</v>
      </c>
      <c r="AG511" s="34">
        <f t="shared" si="539"/>
        <v>0</v>
      </c>
      <c r="AH511" s="34">
        <f t="shared" si="540"/>
        <v>0</v>
      </c>
      <c r="AI511" s="29"/>
      <c r="AJ511" s="17">
        <f t="shared" si="541"/>
        <v>0</v>
      </c>
      <c r="AK511" s="17">
        <f t="shared" si="542"/>
        <v>0</v>
      </c>
      <c r="AL511" s="17">
        <f t="shared" si="543"/>
        <v>0</v>
      </c>
      <c r="AN511" s="34">
        <v>15</v>
      </c>
      <c r="AO511" s="34">
        <f t="shared" si="544"/>
        <v>0</v>
      </c>
      <c r="AP511" s="34">
        <f t="shared" si="545"/>
        <v>0</v>
      </c>
      <c r="AQ511" s="28" t="s">
        <v>7</v>
      </c>
      <c r="AV511" s="34">
        <f t="shared" si="546"/>
        <v>0</v>
      </c>
      <c r="AW511" s="34">
        <f t="shared" si="547"/>
        <v>0</v>
      </c>
      <c r="AX511" s="34">
        <f t="shared" si="548"/>
        <v>0</v>
      </c>
      <c r="AY511" s="35" t="s">
        <v>1720</v>
      </c>
      <c r="AZ511" s="35" t="s">
        <v>1730</v>
      </c>
      <c r="BA511" s="29" t="s">
        <v>1737</v>
      </c>
      <c r="BC511" s="34">
        <f t="shared" si="549"/>
        <v>0</v>
      </c>
      <c r="BD511" s="34">
        <f t="shared" si="550"/>
        <v>0</v>
      </c>
      <c r="BE511" s="34">
        <v>0</v>
      </c>
      <c r="BF511" s="34">
        <f>511</f>
        <v>511</v>
      </c>
      <c r="BH511" s="17">
        <f t="shared" si="551"/>
        <v>0</v>
      </c>
      <c r="BI511" s="17">
        <f t="shared" si="552"/>
        <v>0</v>
      </c>
      <c r="BJ511" s="17">
        <f t="shared" si="553"/>
        <v>0</v>
      </c>
    </row>
    <row r="512" spans="1:62" x14ac:dyDescent="0.2">
      <c r="A512" s="4" t="s">
        <v>463</v>
      </c>
      <c r="B512" s="4" t="s">
        <v>945</v>
      </c>
      <c r="C512" s="240" t="s">
        <v>1534</v>
      </c>
      <c r="D512" s="241"/>
      <c r="E512" s="241"/>
      <c r="F512" s="4" t="s">
        <v>1644</v>
      </c>
      <c r="G512" s="69">
        <v>5</v>
      </c>
      <c r="H512" s="168"/>
      <c r="I512" s="17">
        <f t="shared" si="530"/>
        <v>0</v>
      </c>
      <c r="J512" s="17">
        <f t="shared" si="531"/>
        <v>0</v>
      </c>
      <c r="K512" s="17">
        <f t="shared" si="532"/>
        <v>0</v>
      </c>
      <c r="L512" s="28"/>
      <c r="Z512" s="34">
        <f t="shared" si="533"/>
        <v>0</v>
      </c>
      <c r="AB512" s="34">
        <f t="shared" si="534"/>
        <v>0</v>
      </c>
      <c r="AC512" s="34">
        <f t="shared" si="535"/>
        <v>0</v>
      </c>
      <c r="AD512" s="34">
        <f t="shared" si="536"/>
        <v>0</v>
      </c>
      <c r="AE512" s="34">
        <f t="shared" si="537"/>
        <v>0</v>
      </c>
      <c r="AF512" s="34">
        <f t="shared" si="538"/>
        <v>0</v>
      </c>
      <c r="AG512" s="34">
        <f t="shared" si="539"/>
        <v>0</v>
      </c>
      <c r="AH512" s="34">
        <f t="shared" si="540"/>
        <v>0</v>
      </c>
      <c r="AI512" s="29"/>
      <c r="AJ512" s="17">
        <f t="shared" si="541"/>
        <v>0</v>
      </c>
      <c r="AK512" s="17">
        <f t="shared" si="542"/>
        <v>0</v>
      </c>
      <c r="AL512" s="17">
        <f t="shared" si="543"/>
        <v>0</v>
      </c>
      <c r="AN512" s="34">
        <v>15</v>
      </c>
      <c r="AO512" s="34">
        <f t="shared" si="544"/>
        <v>0</v>
      </c>
      <c r="AP512" s="34">
        <f t="shared" si="545"/>
        <v>0</v>
      </c>
      <c r="AQ512" s="28" t="s">
        <v>7</v>
      </c>
      <c r="AV512" s="34">
        <f t="shared" si="546"/>
        <v>0</v>
      </c>
      <c r="AW512" s="34">
        <f t="shared" si="547"/>
        <v>0</v>
      </c>
      <c r="AX512" s="34">
        <f t="shared" si="548"/>
        <v>0</v>
      </c>
      <c r="AY512" s="35" t="s">
        <v>1720</v>
      </c>
      <c r="AZ512" s="35" t="s">
        <v>1730</v>
      </c>
      <c r="BA512" s="29" t="s">
        <v>1737</v>
      </c>
      <c r="BC512" s="34">
        <f t="shared" si="549"/>
        <v>0</v>
      </c>
      <c r="BD512" s="34">
        <f t="shared" si="550"/>
        <v>0</v>
      </c>
      <c r="BE512" s="34">
        <v>0</v>
      </c>
      <c r="BF512" s="34">
        <f>512</f>
        <v>512</v>
      </c>
      <c r="BH512" s="17">
        <f t="shared" si="551"/>
        <v>0</v>
      </c>
      <c r="BI512" s="17">
        <f t="shared" si="552"/>
        <v>0</v>
      </c>
      <c r="BJ512" s="17">
        <f t="shared" si="553"/>
        <v>0</v>
      </c>
    </row>
    <row r="513" spans="1:62" x14ac:dyDescent="0.2">
      <c r="A513" s="4" t="s">
        <v>464</v>
      </c>
      <c r="B513" s="4" t="s">
        <v>946</v>
      </c>
      <c r="C513" s="240" t="s">
        <v>1535</v>
      </c>
      <c r="D513" s="241"/>
      <c r="E513" s="241"/>
      <c r="F513" s="4" t="s">
        <v>1644</v>
      </c>
      <c r="G513" s="69">
        <v>3</v>
      </c>
      <c r="H513" s="168"/>
      <c r="I513" s="17">
        <f t="shared" si="530"/>
        <v>0</v>
      </c>
      <c r="J513" s="17">
        <f t="shared" si="531"/>
        <v>0</v>
      </c>
      <c r="K513" s="17">
        <f t="shared" si="532"/>
        <v>0</v>
      </c>
      <c r="L513" s="28"/>
      <c r="Z513" s="34">
        <f t="shared" si="533"/>
        <v>0</v>
      </c>
      <c r="AB513" s="34">
        <f t="shared" si="534"/>
        <v>0</v>
      </c>
      <c r="AC513" s="34">
        <f t="shared" si="535"/>
        <v>0</v>
      </c>
      <c r="AD513" s="34">
        <f t="shared" si="536"/>
        <v>0</v>
      </c>
      <c r="AE513" s="34">
        <f t="shared" si="537"/>
        <v>0</v>
      </c>
      <c r="AF513" s="34">
        <f t="shared" si="538"/>
        <v>0</v>
      </c>
      <c r="AG513" s="34">
        <f t="shared" si="539"/>
        <v>0</v>
      </c>
      <c r="AH513" s="34">
        <f t="shared" si="540"/>
        <v>0</v>
      </c>
      <c r="AI513" s="29"/>
      <c r="AJ513" s="17">
        <f t="shared" si="541"/>
        <v>0</v>
      </c>
      <c r="AK513" s="17">
        <f t="shared" si="542"/>
        <v>0</v>
      </c>
      <c r="AL513" s="17">
        <f t="shared" si="543"/>
        <v>0</v>
      </c>
      <c r="AN513" s="34">
        <v>15</v>
      </c>
      <c r="AO513" s="34">
        <f t="shared" si="544"/>
        <v>0</v>
      </c>
      <c r="AP513" s="34">
        <f t="shared" si="545"/>
        <v>0</v>
      </c>
      <c r="AQ513" s="28" t="s">
        <v>7</v>
      </c>
      <c r="AV513" s="34">
        <f t="shared" si="546"/>
        <v>0</v>
      </c>
      <c r="AW513" s="34">
        <f t="shared" si="547"/>
        <v>0</v>
      </c>
      <c r="AX513" s="34">
        <f t="shared" si="548"/>
        <v>0</v>
      </c>
      <c r="AY513" s="35" t="s">
        <v>1720</v>
      </c>
      <c r="AZ513" s="35" t="s">
        <v>1730</v>
      </c>
      <c r="BA513" s="29" t="s">
        <v>1737</v>
      </c>
      <c r="BC513" s="34">
        <f t="shared" si="549"/>
        <v>0</v>
      </c>
      <c r="BD513" s="34">
        <f t="shared" si="550"/>
        <v>0</v>
      </c>
      <c r="BE513" s="34">
        <v>0</v>
      </c>
      <c r="BF513" s="34">
        <f>513</f>
        <v>513</v>
      </c>
      <c r="BH513" s="17">
        <f t="shared" si="551"/>
        <v>0</v>
      </c>
      <c r="BI513" s="17">
        <f t="shared" si="552"/>
        <v>0</v>
      </c>
      <c r="BJ513" s="17">
        <f t="shared" si="553"/>
        <v>0</v>
      </c>
    </row>
    <row r="514" spans="1:62" x14ac:dyDescent="0.2">
      <c r="A514" s="4" t="s">
        <v>465</v>
      </c>
      <c r="B514" s="4" t="s">
        <v>947</v>
      </c>
      <c r="C514" s="240" t="s">
        <v>1536</v>
      </c>
      <c r="D514" s="241"/>
      <c r="E514" s="241"/>
      <c r="F514" s="4" t="s">
        <v>1644</v>
      </c>
      <c r="G514" s="69">
        <v>24</v>
      </c>
      <c r="H514" s="168"/>
      <c r="I514" s="17">
        <f t="shared" si="530"/>
        <v>0</v>
      </c>
      <c r="J514" s="17">
        <f t="shared" si="531"/>
        <v>0</v>
      </c>
      <c r="K514" s="17">
        <f t="shared" si="532"/>
        <v>0</v>
      </c>
      <c r="L514" s="28"/>
      <c r="Z514" s="34">
        <f t="shared" si="533"/>
        <v>0</v>
      </c>
      <c r="AB514" s="34">
        <f t="shared" si="534"/>
        <v>0</v>
      </c>
      <c r="AC514" s="34">
        <f t="shared" si="535"/>
        <v>0</v>
      </c>
      <c r="AD514" s="34">
        <f t="shared" si="536"/>
        <v>0</v>
      </c>
      <c r="AE514" s="34">
        <f t="shared" si="537"/>
        <v>0</v>
      </c>
      <c r="AF514" s="34">
        <f t="shared" si="538"/>
        <v>0</v>
      </c>
      <c r="AG514" s="34">
        <f t="shared" si="539"/>
        <v>0</v>
      </c>
      <c r="AH514" s="34">
        <f t="shared" si="540"/>
        <v>0</v>
      </c>
      <c r="AI514" s="29"/>
      <c r="AJ514" s="17">
        <f t="shared" si="541"/>
        <v>0</v>
      </c>
      <c r="AK514" s="17">
        <f t="shared" si="542"/>
        <v>0</v>
      </c>
      <c r="AL514" s="17">
        <f t="shared" si="543"/>
        <v>0</v>
      </c>
      <c r="AN514" s="34">
        <v>15</v>
      </c>
      <c r="AO514" s="34">
        <f t="shared" si="544"/>
        <v>0</v>
      </c>
      <c r="AP514" s="34">
        <f t="shared" si="545"/>
        <v>0</v>
      </c>
      <c r="AQ514" s="28" t="s">
        <v>7</v>
      </c>
      <c r="AV514" s="34">
        <f t="shared" si="546"/>
        <v>0</v>
      </c>
      <c r="AW514" s="34">
        <f t="shared" si="547"/>
        <v>0</v>
      </c>
      <c r="AX514" s="34">
        <f t="shared" si="548"/>
        <v>0</v>
      </c>
      <c r="AY514" s="35" t="s">
        <v>1720</v>
      </c>
      <c r="AZ514" s="35" t="s">
        <v>1730</v>
      </c>
      <c r="BA514" s="29" t="s">
        <v>1737</v>
      </c>
      <c r="BC514" s="34">
        <f t="shared" si="549"/>
        <v>0</v>
      </c>
      <c r="BD514" s="34">
        <f t="shared" si="550"/>
        <v>0</v>
      </c>
      <c r="BE514" s="34">
        <v>0</v>
      </c>
      <c r="BF514" s="34">
        <f>514</f>
        <v>514</v>
      </c>
      <c r="BH514" s="17">
        <f t="shared" si="551"/>
        <v>0</v>
      </c>
      <c r="BI514" s="17">
        <f t="shared" si="552"/>
        <v>0</v>
      </c>
      <c r="BJ514" s="17">
        <f t="shared" si="553"/>
        <v>0</v>
      </c>
    </row>
    <row r="515" spans="1:62" x14ac:dyDescent="0.2">
      <c r="A515" s="4" t="s">
        <v>466</v>
      </c>
      <c r="B515" s="4" t="s">
        <v>948</v>
      </c>
      <c r="C515" s="240" t="s">
        <v>1537</v>
      </c>
      <c r="D515" s="241"/>
      <c r="E515" s="241"/>
      <c r="F515" s="4" t="s">
        <v>1644</v>
      </c>
      <c r="G515" s="69">
        <v>1</v>
      </c>
      <c r="H515" s="168"/>
      <c r="I515" s="17">
        <f t="shared" si="530"/>
        <v>0</v>
      </c>
      <c r="J515" s="17">
        <f t="shared" si="531"/>
        <v>0</v>
      </c>
      <c r="K515" s="17">
        <f t="shared" si="532"/>
        <v>0</v>
      </c>
      <c r="L515" s="28"/>
      <c r="Z515" s="34">
        <f t="shared" si="533"/>
        <v>0</v>
      </c>
      <c r="AB515" s="34">
        <f t="shared" si="534"/>
        <v>0</v>
      </c>
      <c r="AC515" s="34">
        <f t="shared" si="535"/>
        <v>0</v>
      </c>
      <c r="AD515" s="34">
        <f t="shared" si="536"/>
        <v>0</v>
      </c>
      <c r="AE515" s="34">
        <f t="shared" si="537"/>
        <v>0</v>
      </c>
      <c r="AF515" s="34">
        <f t="shared" si="538"/>
        <v>0</v>
      </c>
      <c r="AG515" s="34">
        <f t="shared" si="539"/>
        <v>0</v>
      </c>
      <c r="AH515" s="34">
        <f t="shared" si="540"/>
        <v>0</v>
      </c>
      <c r="AI515" s="29"/>
      <c r="AJ515" s="17">
        <f t="shared" si="541"/>
        <v>0</v>
      </c>
      <c r="AK515" s="17">
        <f t="shared" si="542"/>
        <v>0</v>
      </c>
      <c r="AL515" s="17">
        <f t="shared" si="543"/>
        <v>0</v>
      </c>
      <c r="AN515" s="34">
        <v>15</v>
      </c>
      <c r="AO515" s="34">
        <f t="shared" si="544"/>
        <v>0</v>
      </c>
      <c r="AP515" s="34">
        <f t="shared" si="545"/>
        <v>0</v>
      </c>
      <c r="AQ515" s="28" t="s">
        <v>7</v>
      </c>
      <c r="AV515" s="34">
        <f t="shared" si="546"/>
        <v>0</v>
      </c>
      <c r="AW515" s="34">
        <f t="shared" si="547"/>
        <v>0</v>
      </c>
      <c r="AX515" s="34">
        <f t="shared" si="548"/>
        <v>0</v>
      </c>
      <c r="AY515" s="35" t="s">
        <v>1720</v>
      </c>
      <c r="AZ515" s="35" t="s">
        <v>1730</v>
      </c>
      <c r="BA515" s="29" t="s">
        <v>1737</v>
      </c>
      <c r="BC515" s="34">
        <f t="shared" si="549"/>
        <v>0</v>
      </c>
      <c r="BD515" s="34">
        <f t="shared" si="550"/>
        <v>0</v>
      </c>
      <c r="BE515" s="34">
        <v>0</v>
      </c>
      <c r="BF515" s="34">
        <f>515</f>
        <v>515</v>
      </c>
      <c r="BH515" s="17">
        <f t="shared" si="551"/>
        <v>0</v>
      </c>
      <c r="BI515" s="17">
        <f t="shared" si="552"/>
        <v>0</v>
      </c>
      <c r="BJ515" s="17">
        <f t="shared" si="553"/>
        <v>0</v>
      </c>
    </row>
    <row r="516" spans="1:62" x14ac:dyDescent="0.2">
      <c r="A516" s="4" t="s">
        <v>467</v>
      </c>
      <c r="B516" s="4" t="s">
        <v>949</v>
      </c>
      <c r="C516" s="240" t="s">
        <v>1538</v>
      </c>
      <c r="D516" s="241"/>
      <c r="E516" s="241"/>
      <c r="F516" s="4" t="s">
        <v>1646</v>
      </c>
      <c r="G516" s="69">
        <v>10</v>
      </c>
      <c r="H516" s="168"/>
      <c r="I516" s="17">
        <f t="shared" si="530"/>
        <v>0</v>
      </c>
      <c r="J516" s="17">
        <f t="shared" si="531"/>
        <v>0</v>
      </c>
      <c r="K516" s="17">
        <f t="shared" si="532"/>
        <v>0</v>
      </c>
      <c r="L516" s="28"/>
      <c r="Z516" s="34">
        <f t="shared" si="533"/>
        <v>0</v>
      </c>
      <c r="AB516" s="34">
        <f t="shared" si="534"/>
        <v>0</v>
      </c>
      <c r="AC516" s="34">
        <f t="shared" si="535"/>
        <v>0</v>
      </c>
      <c r="AD516" s="34">
        <f t="shared" si="536"/>
        <v>0</v>
      </c>
      <c r="AE516" s="34">
        <f t="shared" si="537"/>
        <v>0</v>
      </c>
      <c r="AF516" s="34">
        <f t="shared" si="538"/>
        <v>0</v>
      </c>
      <c r="AG516" s="34">
        <f t="shared" si="539"/>
        <v>0</v>
      </c>
      <c r="AH516" s="34">
        <f t="shared" si="540"/>
        <v>0</v>
      </c>
      <c r="AI516" s="29"/>
      <c r="AJ516" s="17">
        <f t="shared" si="541"/>
        <v>0</v>
      </c>
      <c r="AK516" s="17">
        <f t="shared" si="542"/>
        <v>0</v>
      </c>
      <c r="AL516" s="17">
        <f t="shared" si="543"/>
        <v>0</v>
      </c>
      <c r="AN516" s="34">
        <v>15</v>
      </c>
      <c r="AO516" s="34">
        <f t="shared" si="544"/>
        <v>0</v>
      </c>
      <c r="AP516" s="34">
        <f t="shared" si="545"/>
        <v>0</v>
      </c>
      <c r="AQ516" s="28" t="s">
        <v>7</v>
      </c>
      <c r="AV516" s="34">
        <f t="shared" si="546"/>
        <v>0</v>
      </c>
      <c r="AW516" s="34">
        <f t="shared" si="547"/>
        <v>0</v>
      </c>
      <c r="AX516" s="34">
        <f t="shared" si="548"/>
        <v>0</v>
      </c>
      <c r="AY516" s="35" t="s">
        <v>1720</v>
      </c>
      <c r="AZ516" s="35" t="s">
        <v>1730</v>
      </c>
      <c r="BA516" s="29" t="s">
        <v>1737</v>
      </c>
      <c r="BC516" s="34">
        <f t="shared" si="549"/>
        <v>0</v>
      </c>
      <c r="BD516" s="34">
        <f t="shared" si="550"/>
        <v>0</v>
      </c>
      <c r="BE516" s="34">
        <v>0</v>
      </c>
      <c r="BF516" s="34">
        <f>516</f>
        <v>516</v>
      </c>
      <c r="BH516" s="17">
        <f t="shared" si="551"/>
        <v>0</v>
      </c>
      <c r="BI516" s="17">
        <f t="shared" si="552"/>
        <v>0</v>
      </c>
      <c r="BJ516" s="17">
        <f t="shared" si="553"/>
        <v>0</v>
      </c>
    </row>
    <row r="517" spans="1:62" x14ac:dyDescent="0.2">
      <c r="A517" s="4" t="s">
        <v>468</v>
      </c>
      <c r="B517" s="4" t="s">
        <v>950</v>
      </c>
      <c r="C517" s="240" t="s">
        <v>1539</v>
      </c>
      <c r="D517" s="241"/>
      <c r="E517" s="241"/>
      <c r="F517" s="4" t="s">
        <v>1646</v>
      </c>
      <c r="G517" s="69">
        <v>30</v>
      </c>
      <c r="H517" s="168"/>
      <c r="I517" s="17">
        <f t="shared" si="530"/>
        <v>0</v>
      </c>
      <c r="J517" s="17">
        <f t="shared" si="531"/>
        <v>0</v>
      </c>
      <c r="K517" s="17">
        <f t="shared" si="532"/>
        <v>0</v>
      </c>
      <c r="L517" s="28"/>
      <c r="Z517" s="34">
        <f t="shared" si="533"/>
        <v>0</v>
      </c>
      <c r="AB517" s="34">
        <f t="shared" si="534"/>
        <v>0</v>
      </c>
      <c r="AC517" s="34">
        <f t="shared" si="535"/>
        <v>0</v>
      </c>
      <c r="AD517" s="34">
        <f t="shared" si="536"/>
        <v>0</v>
      </c>
      <c r="AE517" s="34">
        <f t="shared" si="537"/>
        <v>0</v>
      </c>
      <c r="AF517" s="34">
        <f t="shared" si="538"/>
        <v>0</v>
      </c>
      <c r="AG517" s="34">
        <f t="shared" si="539"/>
        <v>0</v>
      </c>
      <c r="AH517" s="34">
        <f t="shared" si="540"/>
        <v>0</v>
      </c>
      <c r="AI517" s="29"/>
      <c r="AJ517" s="17">
        <f t="shared" si="541"/>
        <v>0</v>
      </c>
      <c r="AK517" s="17">
        <f t="shared" si="542"/>
        <v>0</v>
      </c>
      <c r="AL517" s="17">
        <f t="shared" si="543"/>
        <v>0</v>
      </c>
      <c r="AN517" s="34">
        <v>15</v>
      </c>
      <c r="AO517" s="34">
        <f t="shared" si="544"/>
        <v>0</v>
      </c>
      <c r="AP517" s="34">
        <f t="shared" si="545"/>
        <v>0</v>
      </c>
      <c r="AQ517" s="28" t="s">
        <v>7</v>
      </c>
      <c r="AV517" s="34">
        <f t="shared" si="546"/>
        <v>0</v>
      </c>
      <c r="AW517" s="34">
        <f t="shared" si="547"/>
        <v>0</v>
      </c>
      <c r="AX517" s="34">
        <f t="shared" si="548"/>
        <v>0</v>
      </c>
      <c r="AY517" s="35" t="s">
        <v>1720</v>
      </c>
      <c r="AZ517" s="35" t="s">
        <v>1730</v>
      </c>
      <c r="BA517" s="29" t="s">
        <v>1737</v>
      </c>
      <c r="BC517" s="34">
        <f t="shared" si="549"/>
        <v>0</v>
      </c>
      <c r="BD517" s="34">
        <f t="shared" si="550"/>
        <v>0</v>
      </c>
      <c r="BE517" s="34">
        <v>0</v>
      </c>
      <c r="BF517" s="34">
        <f>517</f>
        <v>517</v>
      </c>
      <c r="BH517" s="17">
        <f t="shared" si="551"/>
        <v>0</v>
      </c>
      <c r="BI517" s="17">
        <f t="shared" si="552"/>
        <v>0</v>
      </c>
      <c r="BJ517" s="17">
        <f t="shared" si="553"/>
        <v>0</v>
      </c>
    </row>
    <row r="518" spans="1:62" x14ac:dyDescent="0.2">
      <c r="A518" s="4" t="s">
        <v>469</v>
      </c>
      <c r="B518" s="4" t="s">
        <v>951</v>
      </c>
      <c r="C518" s="240" t="s">
        <v>1540</v>
      </c>
      <c r="D518" s="241"/>
      <c r="E518" s="241"/>
      <c r="F518" s="4" t="s">
        <v>1646</v>
      </c>
      <c r="G518" s="69">
        <v>40</v>
      </c>
      <c r="H518" s="168"/>
      <c r="I518" s="17">
        <f t="shared" si="530"/>
        <v>0</v>
      </c>
      <c r="J518" s="17">
        <f t="shared" si="531"/>
        <v>0</v>
      </c>
      <c r="K518" s="17">
        <f t="shared" si="532"/>
        <v>0</v>
      </c>
      <c r="L518" s="28"/>
      <c r="Z518" s="34">
        <f t="shared" si="533"/>
        <v>0</v>
      </c>
      <c r="AB518" s="34">
        <f t="shared" si="534"/>
        <v>0</v>
      </c>
      <c r="AC518" s="34">
        <f t="shared" si="535"/>
        <v>0</v>
      </c>
      <c r="AD518" s="34">
        <f t="shared" si="536"/>
        <v>0</v>
      </c>
      <c r="AE518" s="34">
        <f t="shared" si="537"/>
        <v>0</v>
      </c>
      <c r="AF518" s="34">
        <f t="shared" si="538"/>
        <v>0</v>
      </c>
      <c r="AG518" s="34">
        <f t="shared" si="539"/>
        <v>0</v>
      </c>
      <c r="AH518" s="34">
        <f t="shared" si="540"/>
        <v>0</v>
      </c>
      <c r="AI518" s="29"/>
      <c r="AJ518" s="17">
        <f t="shared" si="541"/>
        <v>0</v>
      </c>
      <c r="AK518" s="17">
        <f t="shared" si="542"/>
        <v>0</v>
      </c>
      <c r="AL518" s="17">
        <f t="shared" si="543"/>
        <v>0</v>
      </c>
      <c r="AN518" s="34">
        <v>15</v>
      </c>
      <c r="AO518" s="34">
        <f t="shared" si="544"/>
        <v>0</v>
      </c>
      <c r="AP518" s="34">
        <f t="shared" si="545"/>
        <v>0</v>
      </c>
      <c r="AQ518" s="28" t="s">
        <v>7</v>
      </c>
      <c r="AV518" s="34">
        <f t="shared" si="546"/>
        <v>0</v>
      </c>
      <c r="AW518" s="34">
        <f t="shared" si="547"/>
        <v>0</v>
      </c>
      <c r="AX518" s="34">
        <f t="shared" si="548"/>
        <v>0</v>
      </c>
      <c r="AY518" s="35" t="s">
        <v>1720</v>
      </c>
      <c r="AZ518" s="35" t="s">
        <v>1730</v>
      </c>
      <c r="BA518" s="29" t="s">
        <v>1737</v>
      </c>
      <c r="BC518" s="34">
        <f t="shared" si="549"/>
        <v>0</v>
      </c>
      <c r="BD518" s="34">
        <f t="shared" si="550"/>
        <v>0</v>
      </c>
      <c r="BE518" s="34">
        <v>0</v>
      </c>
      <c r="BF518" s="34">
        <f>518</f>
        <v>518</v>
      </c>
      <c r="BH518" s="17">
        <f t="shared" si="551"/>
        <v>0</v>
      </c>
      <c r="BI518" s="17">
        <f t="shared" si="552"/>
        <v>0</v>
      </c>
      <c r="BJ518" s="17">
        <f t="shared" si="553"/>
        <v>0</v>
      </c>
    </row>
    <row r="519" spans="1:62" x14ac:dyDescent="0.2">
      <c r="A519" s="4" t="s">
        <v>470</v>
      </c>
      <c r="B519" s="4" t="s">
        <v>952</v>
      </c>
      <c r="C519" s="240" t="s">
        <v>1541</v>
      </c>
      <c r="D519" s="241"/>
      <c r="E519" s="241"/>
      <c r="F519" s="4" t="s">
        <v>1646</v>
      </c>
      <c r="G519" s="69">
        <v>40</v>
      </c>
      <c r="H519" s="168"/>
      <c r="I519" s="17">
        <f t="shared" si="530"/>
        <v>0</v>
      </c>
      <c r="J519" s="17">
        <f t="shared" si="531"/>
        <v>0</v>
      </c>
      <c r="K519" s="17">
        <f t="shared" si="532"/>
        <v>0</v>
      </c>
      <c r="L519" s="28"/>
      <c r="Z519" s="34">
        <f t="shared" si="533"/>
        <v>0</v>
      </c>
      <c r="AB519" s="34">
        <f t="shared" si="534"/>
        <v>0</v>
      </c>
      <c r="AC519" s="34">
        <f t="shared" si="535"/>
        <v>0</v>
      </c>
      <c r="AD519" s="34">
        <f t="shared" si="536"/>
        <v>0</v>
      </c>
      <c r="AE519" s="34">
        <f t="shared" si="537"/>
        <v>0</v>
      </c>
      <c r="AF519" s="34">
        <f t="shared" si="538"/>
        <v>0</v>
      </c>
      <c r="AG519" s="34">
        <f t="shared" si="539"/>
        <v>0</v>
      </c>
      <c r="AH519" s="34">
        <f t="shared" si="540"/>
        <v>0</v>
      </c>
      <c r="AI519" s="29"/>
      <c r="AJ519" s="17">
        <f t="shared" si="541"/>
        <v>0</v>
      </c>
      <c r="AK519" s="17">
        <f t="shared" si="542"/>
        <v>0</v>
      </c>
      <c r="AL519" s="17">
        <f t="shared" si="543"/>
        <v>0</v>
      </c>
      <c r="AN519" s="34">
        <v>15</v>
      </c>
      <c r="AO519" s="34">
        <f t="shared" si="544"/>
        <v>0</v>
      </c>
      <c r="AP519" s="34">
        <f t="shared" si="545"/>
        <v>0</v>
      </c>
      <c r="AQ519" s="28" t="s">
        <v>7</v>
      </c>
      <c r="AV519" s="34">
        <f t="shared" si="546"/>
        <v>0</v>
      </c>
      <c r="AW519" s="34">
        <f t="shared" si="547"/>
        <v>0</v>
      </c>
      <c r="AX519" s="34">
        <f t="shared" si="548"/>
        <v>0</v>
      </c>
      <c r="AY519" s="35" t="s">
        <v>1720</v>
      </c>
      <c r="AZ519" s="35" t="s">
        <v>1730</v>
      </c>
      <c r="BA519" s="29" t="s">
        <v>1737</v>
      </c>
      <c r="BC519" s="34">
        <f t="shared" si="549"/>
        <v>0</v>
      </c>
      <c r="BD519" s="34">
        <f t="shared" si="550"/>
        <v>0</v>
      </c>
      <c r="BE519" s="34">
        <v>0</v>
      </c>
      <c r="BF519" s="34">
        <f>519</f>
        <v>519</v>
      </c>
      <c r="BH519" s="17">
        <f t="shared" si="551"/>
        <v>0</v>
      </c>
      <c r="BI519" s="17">
        <f t="shared" si="552"/>
        <v>0</v>
      </c>
      <c r="BJ519" s="17">
        <f t="shared" si="553"/>
        <v>0</v>
      </c>
    </row>
    <row r="520" spans="1:62" x14ac:dyDescent="0.2">
      <c r="A520" s="4" t="s">
        <v>471</v>
      </c>
      <c r="B520" s="4" t="s">
        <v>953</v>
      </c>
      <c r="C520" s="240" t="s">
        <v>1542</v>
      </c>
      <c r="D520" s="241"/>
      <c r="E520" s="241"/>
      <c r="F520" s="4" t="s">
        <v>1646</v>
      </c>
      <c r="G520" s="69">
        <v>30</v>
      </c>
      <c r="H520" s="168"/>
      <c r="I520" s="17">
        <f t="shared" si="530"/>
        <v>0</v>
      </c>
      <c r="J520" s="17">
        <f t="shared" si="531"/>
        <v>0</v>
      </c>
      <c r="K520" s="17">
        <f t="shared" si="532"/>
        <v>0</v>
      </c>
      <c r="L520" s="28"/>
      <c r="Z520" s="34">
        <f t="shared" si="533"/>
        <v>0</v>
      </c>
      <c r="AB520" s="34">
        <f t="shared" si="534"/>
        <v>0</v>
      </c>
      <c r="AC520" s="34">
        <f t="shared" si="535"/>
        <v>0</v>
      </c>
      <c r="AD520" s="34">
        <f t="shared" si="536"/>
        <v>0</v>
      </c>
      <c r="AE520" s="34">
        <f t="shared" si="537"/>
        <v>0</v>
      </c>
      <c r="AF520" s="34">
        <f t="shared" si="538"/>
        <v>0</v>
      </c>
      <c r="AG520" s="34">
        <f t="shared" si="539"/>
        <v>0</v>
      </c>
      <c r="AH520" s="34">
        <f t="shared" si="540"/>
        <v>0</v>
      </c>
      <c r="AI520" s="29"/>
      <c r="AJ520" s="17">
        <f t="shared" si="541"/>
        <v>0</v>
      </c>
      <c r="AK520" s="17">
        <f t="shared" si="542"/>
        <v>0</v>
      </c>
      <c r="AL520" s="17">
        <f t="shared" si="543"/>
        <v>0</v>
      </c>
      <c r="AN520" s="34">
        <v>15</v>
      </c>
      <c r="AO520" s="34">
        <f t="shared" si="544"/>
        <v>0</v>
      </c>
      <c r="AP520" s="34">
        <f t="shared" si="545"/>
        <v>0</v>
      </c>
      <c r="AQ520" s="28" t="s">
        <v>7</v>
      </c>
      <c r="AV520" s="34">
        <f t="shared" si="546"/>
        <v>0</v>
      </c>
      <c r="AW520" s="34">
        <f t="shared" si="547"/>
        <v>0</v>
      </c>
      <c r="AX520" s="34">
        <f t="shared" si="548"/>
        <v>0</v>
      </c>
      <c r="AY520" s="35" t="s">
        <v>1720</v>
      </c>
      <c r="AZ520" s="35" t="s">
        <v>1730</v>
      </c>
      <c r="BA520" s="29" t="s">
        <v>1737</v>
      </c>
      <c r="BC520" s="34">
        <f t="shared" si="549"/>
        <v>0</v>
      </c>
      <c r="BD520" s="34">
        <f t="shared" si="550"/>
        <v>0</v>
      </c>
      <c r="BE520" s="34">
        <v>0</v>
      </c>
      <c r="BF520" s="34">
        <f>520</f>
        <v>520</v>
      </c>
      <c r="BH520" s="17">
        <f t="shared" si="551"/>
        <v>0</v>
      </c>
      <c r="BI520" s="17">
        <f t="shared" si="552"/>
        <v>0</v>
      </c>
      <c r="BJ520" s="17">
        <f t="shared" si="553"/>
        <v>0</v>
      </c>
    </row>
    <row r="521" spans="1:62" x14ac:dyDescent="0.2">
      <c r="A521" s="4" t="s">
        <v>472</v>
      </c>
      <c r="B521" s="4" t="s">
        <v>954</v>
      </c>
      <c r="C521" s="240" t="s">
        <v>1543</v>
      </c>
      <c r="D521" s="241"/>
      <c r="E521" s="241"/>
      <c r="F521" s="4" t="s">
        <v>1644</v>
      </c>
      <c r="G521" s="69">
        <v>1</v>
      </c>
      <c r="H521" s="168"/>
      <c r="I521" s="17">
        <f t="shared" si="530"/>
        <v>0</v>
      </c>
      <c r="J521" s="17">
        <f t="shared" si="531"/>
        <v>0</v>
      </c>
      <c r="K521" s="17">
        <f t="shared" si="532"/>
        <v>0</v>
      </c>
      <c r="L521" s="28"/>
      <c r="Z521" s="34">
        <f t="shared" si="533"/>
        <v>0</v>
      </c>
      <c r="AB521" s="34">
        <f t="shared" si="534"/>
        <v>0</v>
      </c>
      <c r="AC521" s="34">
        <f t="shared" si="535"/>
        <v>0</v>
      </c>
      <c r="AD521" s="34">
        <f t="shared" si="536"/>
        <v>0</v>
      </c>
      <c r="AE521" s="34">
        <f t="shared" si="537"/>
        <v>0</v>
      </c>
      <c r="AF521" s="34">
        <f t="shared" si="538"/>
        <v>0</v>
      </c>
      <c r="AG521" s="34">
        <f t="shared" si="539"/>
        <v>0</v>
      </c>
      <c r="AH521" s="34">
        <f t="shared" si="540"/>
        <v>0</v>
      </c>
      <c r="AI521" s="29"/>
      <c r="AJ521" s="17">
        <f t="shared" si="541"/>
        <v>0</v>
      </c>
      <c r="AK521" s="17">
        <f t="shared" si="542"/>
        <v>0</v>
      </c>
      <c r="AL521" s="17">
        <f t="shared" si="543"/>
        <v>0</v>
      </c>
      <c r="AN521" s="34">
        <v>15</v>
      </c>
      <c r="AO521" s="34">
        <f t="shared" si="544"/>
        <v>0</v>
      </c>
      <c r="AP521" s="34">
        <f t="shared" si="545"/>
        <v>0</v>
      </c>
      <c r="AQ521" s="28" t="s">
        <v>7</v>
      </c>
      <c r="AV521" s="34">
        <f t="shared" si="546"/>
        <v>0</v>
      </c>
      <c r="AW521" s="34">
        <f t="shared" si="547"/>
        <v>0</v>
      </c>
      <c r="AX521" s="34">
        <f t="shared" si="548"/>
        <v>0</v>
      </c>
      <c r="AY521" s="35" t="s">
        <v>1720</v>
      </c>
      <c r="AZ521" s="35" t="s">
        <v>1730</v>
      </c>
      <c r="BA521" s="29" t="s">
        <v>1737</v>
      </c>
      <c r="BC521" s="34">
        <f t="shared" si="549"/>
        <v>0</v>
      </c>
      <c r="BD521" s="34">
        <f t="shared" si="550"/>
        <v>0</v>
      </c>
      <c r="BE521" s="34">
        <v>0</v>
      </c>
      <c r="BF521" s="34">
        <f>521</f>
        <v>521</v>
      </c>
      <c r="BH521" s="17">
        <f t="shared" si="551"/>
        <v>0</v>
      </c>
      <c r="BI521" s="17">
        <f t="shared" si="552"/>
        <v>0</v>
      </c>
      <c r="BJ521" s="17">
        <f t="shared" si="553"/>
        <v>0</v>
      </c>
    </row>
    <row r="522" spans="1:62" x14ac:dyDescent="0.2">
      <c r="A522" s="4" t="s">
        <v>473</v>
      </c>
      <c r="B522" s="4" t="s">
        <v>955</v>
      </c>
      <c r="C522" s="240" t="s">
        <v>1544</v>
      </c>
      <c r="D522" s="241"/>
      <c r="E522" s="241"/>
      <c r="F522" s="4" t="s">
        <v>1644</v>
      </c>
      <c r="G522" s="69">
        <v>4</v>
      </c>
      <c r="H522" s="168"/>
      <c r="I522" s="17">
        <f t="shared" si="530"/>
        <v>0</v>
      </c>
      <c r="J522" s="17">
        <f t="shared" si="531"/>
        <v>0</v>
      </c>
      <c r="K522" s="17">
        <f t="shared" si="532"/>
        <v>0</v>
      </c>
      <c r="L522" s="28"/>
      <c r="Z522" s="34">
        <f t="shared" si="533"/>
        <v>0</v>
      </c>
      <c r="AB522" s="34">
        <f t="shared" si="534"/>
        <v>0</v>
      </c>
      <c r="AC522" s="34">
        <f t="shared" si="535"/>
        <v>0</v>
      </c>
      <c r="AD522" s="34">
        <f t="shared" si="536"/>
        <v>0</v>
      </c>
      <c r="AE522" s="34">
        <f t="shared" si="537"/>
        <v>0</v>
      </c>
      <c r="AF522" s="34">
        <f t="shared" si="538"/>
        <v>0</v>
      </c>
      <c r="AG522" s="34">
        <f t="shared" si="539"/>
        <v>0</v>
      </c>
      <c r="AH522" s="34">
        <f t="shared" si="540"/>
        <v>0</v>
      </c>
      <c r="AI522" s="29"/>
      <c r="AJ522" s="17">
        <f t="shared" si="541"/>
        <v>0</v>
      </c>
      <c r="AK522" s="17">
        <f t="shared" si="542"/>
        <v>0</v>
      </c>
      <c r="AL522" s="17">
        <f t="shared" si="543"/>
        <v>0</v>
      </c>
      <c r="AN522" s="34">
        <v>15</v>
      </c>
      <c r="AO522" s="34">
        <f t="shared" si="544"/>
        <v>0</v>
      </c>
      <c r="AP522" s="34">
        <f t="shared" si="545"/>
        <v>0</v>
      </c>
      <c r="AQ522" s="28" t="s">
        <v>7</v>
      </c>
      <c r="AV522" s="34">
        <f t="shared" si="546"/>
        <v>0</v>
      </c>
      <c r="AW522" s="34">
        <f t="shared" si="547"/>
        <v>0</v>
      </c>
      <c r="AX522" s="34">
        <f t="shared" si="548"/>
        <v>0</v>
      </c>
      <c r="AY522" s="35" t="s">
        <v>1720</v>
      </c>
      <c r="AZ522" s="35" t="s">
        <v>1730</v>
      </c>
      <c r="BA522" s="29" t="s">
        <v>1737</v>
      </c>
      <c r="BC522" s="34">
        <f t="shared" si="549"/>
        <v>0</v>
      </c>
      <c r="BD522" s="34">
        <f t="shared" si="550"/>
        <v>0</v>
      </c>
      <c r="BE522" s="34">
        <v>0</v>
      </c>
      <c r="BF522" s="34">
        <f>522</f>
        <v>522</v>
      </c>
      <c r="BH522" s="17">
        <f t="shared" si="551"/>
        <v>0</v>
      </c>
      <c r="BI522" s="17">
        <f t="shared" si="552"/>
        <v>0</v>
      </c>
      <c r="BJ522" s="17">
        <f t="shared" si="553"/>
        <v>0</v>
      </c>
    </row>
    <row r="523" spans="1:62" x14ac:dyDescent="0.2">
      <c r="A523" s="4" t="s">
        <v>474</v>
      </c>
      <c r="B523" s="4" t="s">
        <v>956</v>
      </c>
      <c r="C523" s="240" t="s">
        <v>1545</v>
      </c>
      <c r="D523" s="241"/>
      <c r="E523" s="241"/>
      <c r="F523" s="4" t="s">
        <v>1646</v>
      </c>
      <c r="G523" s="69">
        <v>120</v>
      </c>
      <c r="H523" s="168"/>
      <c r="I523" s="17">
        <f t="shared" si="530"/>
        <v>0</v>
      </c>
      <c r="J523" s="17">
        <f t="shared" si="531"/>
        <v>0</v>
      </c>
      <c r="K523" s="17">
        <f t="shared" si="532"/>
        <v>0</v>
      </c>
      <c r="L523" s="28"/>
      <c r="Z523" s="34">
        <f t="shared" si="533"/>
        <v>0</v>
      </c>
      <c r="AB523" s="34">
        <f t="shared" si="534"/>
        <v>0</v>
      </c>
      <c r="AC523" s="34">
        <f t="shared" si="535"/>
        <v>0</v>
      </c>
      <c r="AD523" s="34">
        <f t="shared" si="536"/>
        <v>0</v>
      </c>
      <c r="AE523" s="34">
        <f t="shared" si="537"/>
        <v>0</v>
      </c>
      <c r="AF523" s="34">
        <f t="shared" si="538"/>
        <v>0</v>
      </c>
      <c r="AG523" s="34">
        <f t="shared" si="539"/>
        <v>0</v>
      </c>
      <c r="AH523" s="34">
        <f t="shared" si="540"/>
        <v>0</v>
      </c>
      <c r="AI523" s="29"/>
      <c r="AJ523" s="17">
        <f t="shared" si="541"/>
        <v>0</v>
      </c>
      <c r="AK523" s="17">
        <f t="shared" si="542"/>
        <v>0</v>
      </c>
      <c r="AL523" s="17">
        <f t="shared" si="543"/>
        <v>0</v>
      </c>
      <c r="AN523" s="34">
        <v>15</v>
      </c>
      <c r="AO523" s="34">
        <f t="shared" si="544"/>
        <v>0</v>
      </c>
      <c r="AP523" s="34">
        <f t="shared" si="545"/>
        <v>0</v>
      </c>
      <c r="AQ523" s="28" t="s">
        <v>7</v>
      </c>
      <c r="AV523" s="34">
        <f t="shared" si="546"/>
        <v>0</v>
      </c>
      <c r="AW523" s="34">
        <f t="shared" si="547"/>
        <v>0</v>
      </c>
      <c r="AX523" s="34">
        <f t="shared" si="548"/>
        <v>0</v>
      </c>
      <c r="AY523" s="35" t="s">
        <v>1720</v>
      </c>
      <c r="AZ523" s="35" t="s">
        <v>1730</v>
      </c>
      <c r="BA523" s="29" t="s">
        <v>1737</v>
      </c>
      <c r="BC523" s="34">
        <f t="shared" si="549"/>
        <v>0</v>
      </c>
      <c r="BD523" s="34">
        <f t="shared" si="550"/>
        <v>0</v>
      </c>
      <c r="BE523" s="34">
        <v>0</v>
      </c>
      <c r="BF523" s="34">
        <f>523</f>
        <v>523</v>
      </c>
      <c r="BH523" s="17">
        <f t="shared" si="551"/>
        <v>0</v>
      </c>
      <c r="BI523" s="17">
        <f t="shared" si="552"/>
        <v>0</v>
      </c>
      <c r="BJ523" s="17">
        <f t="shared" si="553"/>
        <v>0</v>
      </c>
    </row>
    <row r="524" spans="1:62" x14ac:dyDescent="0.2">
      <c r="A524" s="4" t="s">
        <v>475</v>
      </c>
      <c r="B524" s="4" t="s">
        <v>957</v>
      </c>
      <c r="C524" s="240" t="s">
        <v>1546</v>
      </c>
      <c r="D524" s="241"/>
      <c r="E524" s="241"/>
      <c r="F524" s="4" t="s">
        <v>1646</v>
      </c>
      <c r="G524" s="69">
        <v>30</v>
      </c>
      <c r="H524" s="168"/>
      <c r="I524" s="17">
        <f t="shared" si="530"/>
        <v>0</v>
      </c>
      <c r="J524" s="17">
        <f t="shared" si="531"/>
        <v>0</v>
      </c>
      <c r="K524" s="17">
        <f t="shared" si="532"/>
        <v>0</v>
      </c>
      <c r="L524" s="28"/>
      <c r="Z524" s="34">
        <f t="shared" si="533"/>
        <v>0</v>
      </c>
      <c r="AB524" s="34">
        <f t="shared" si="534"/>
        <v>0</v>
      </c>
      <c r="AC524" s="34">
        <f t="shared" si="535"/>
        <v>0</v>
      </c>
      <c r="AD524" s="34">
        <f t="shared" si="536"/>
        <v>0</v>
      </c>
      <c r="AE524" s="34">
        <f t="shared" si="537"/>
        <v>0</v>
      </c>
      <c r="AF524" s="34">
        <f t="shared" si="538"/>
        <v>0</v>
      </c>
      <c r="AG524" s="34">
        <f t="shared" si="539"/>
        <v>0</v>
      </c>
      <c r="AH524" s="34">
        <f t="shared" si="540"/>
        <v>0</v>
      </c>
      <c r="AI524" s="29"/>
      <c r="AJ524" s="17">
        <f t="shared" si="541"/>
        <v>0</v>
      </c>
      <c r="AK524" s="17">
        <f t="shared" si="542"/>
        <v>0</v>
      </c>
      <c r="AL524" s="17">
        <f t="shared" si="543"/>
        <v>0</v>
      </c>
      <c r="AN524" s="34">
        <v>15</v>
      </c>
      <c r="AO524" s="34">
        <f t="shared" si="544"/>
        <v>0</v>
      </c>
      <c r="AP524" s="34">
        <f t="shared" si="545"/>
        <v>0</v>
      </c>
      <c r="AQ524" s="28" t="s">
        <v>7</v>
      </c>
      <c r="AV524" s="34">
        <f t="shared" si="546"/>
        <v>0</v>
      </c>
      <c r="AW524" s="34">
        <f t="shared" si="547"/>
        <v>0</v>
      </c>
      <c r="AX524" s="34">
        <f t="shared" si="548"/>
        <v>0</v>
      </c>
      <c r="AY524" s="35" t="s">
        <v>1720</v>
      </c>
      <c r="AZ524" s="35" t="s">
        <v>1730</v>
      </c>
      <c r="BA524" s="29" t="s">
        <v>1737</v>
      </c>
      <c r="BC524" s="34">
        <f t="shared" si="549"/>
        <v>0</v>
      </c>
      <c r="BD524" s="34">
        <f t="shared" si="550"/>
        <v>0</v>
      </c>
      <c r="BE524" s="34">
        <v>0</v>
      </c>
      <c r="BF524" s="34">
        <f>524</f>
        <v>524</v>
      </c>
      <c r="BH524" s="17">
        <f t="shared" si="551"/>
        <v>0</v>
      </c>
      <c r="BI524" s="17">
        <f t="shared" si="552"/>
        <v>0</v>
      </c>
      <c r="BJ524" s="17">
        <f t="shared" si="553"/>
        <v>0</v>
      </c>
    </row>
    <row r="525" spans="1:62" x14ac:dyDescent="0.2">
      <c r="A525" s="4" t="s">
        <v>476</v>
      </c>
      <c r="B525" s="4" t="s">
        <v>958</v>
      </c>
      <c r="C525" s="240" t="s">
        <v>1547</v>
      </c>
      <c r="D525" s="241"/>
      <c r="E525" s="241"/>
      <c r="F525" s="4" t="s">
        <v>1646</v>
      </c>
      <c r="G525" s="69">
        <v>100</v>
      </c>
      <c r="H525" s="168"/>
      <c r="I525" s="17">
        <f t="shared" si="530"/>
        <v>0</v>
      </c>
      <c r="J525" s="17">
        <f t="shared" si="531"/>
        <v>0</v>
      </c>
      <c r="K525" s="17">
        <f t="shared" si="532"/>
        <v>0</v>
      </c>
      <c r="L525" s="28"/>
      <c r="Z525" s="34">
        <f t="shared" si="533"/>
        <v>0</v>
      </c>
      <c r="AB525" s="34">
        <f t="shared" si="534"/>
        <v>0</v>
      </c>
      <c r="AC525" s="34">
        <f t="shared" si="535"/>
        <v>0</v>
      </c>
      <c r="AD525" s="34">
        <f t="shared" si="536"/>
        <v>0</v>
      </c>
      <c r="AE525" s="34">
        <f t="shared" si="537"/>
        <v>0</v>
      </c>
      <c r="AF525" s="34">
        <f t="shared" si="538"/>
        <v>0</v>
      </c>
      <c r="AG525" s="34">
        <f t="shared" si="539"/>
        <v>0</v>
      </c>
      <c r="AH525" s="34">
        <f t="shared" si="540"/>
        <v>0</v>
      </c>
      <c r="AI525" s="29"/>
      <c r="AJ525" s="17">
        <f t="shared" si="541"/>
        <v>0</v>
      </c>
      <c r="AK525" s="17">
        <f t="shared" si="542"/>
        <v>0</v>
      </c>
      <c r="AL525" s="17">
        <f t="shared" si="543"/>
        <v>0</v>
      </c>
      <c r="AN525" s="34">
        <v>15</v>
      </c>
      <c r="AO525" s="34">
        <f t="shared" si="544"/>
        <v>0</v>
      </c>
      <c r="AP525" s="34">
        <f t="shared" si="545"/>
        <v>0</v>
      </c>
      <c r="AQ525" s="28" t="s">
        <v>7</v>
      </c>
      <c r="AV525" s="34">
        <f t="shared" si="546"/>
        <v>0</v>
      </c>
      <c r="AW525" s="34">
        <f t="shared" si="547"/>
        <v>0</v>
      </c>
      <c r="AX525" s="34">
        <f t="shared" si="548"/>
        <v>0</v>
      </c>
      <c r="AY525" s="35" t="s">
        <v>1720</v>
      </c>
      <c r="AZ525" s="35" t="s">
        <v>1730</v>
      </c>
      <c r="BA525" s="29" t="s">
        <v>1737</v>
      </c>
      <c r="BC525" s="34">
        <f t="shared" si="549"/>
        <v>0</v>
      </c>
      <c r="BD525" s="34">
        <f t="shared" si="550"/>
        <v>0</v>
      </c>
      <c r="BE525" s="34">
        <v>0</v>
      </c>
      <c r="BF525" s="34">
        <f>525</f>
        <v>525</v>
      </c>
      <c r="BH525" s="17">
        <f t="shared" si="551"/>
        <v>0</v>
      </c>
      <c r="BI525" s="17">
        <f t="shared" si="552"/>
        <v>0</v>
      </c>
      <c r="BJ525" s="17">
        <f t="shared" si="553"/>
        <v>0</v>
      </c>
    </row>
    <row r="526" spans="1:62" x14ac:dyDescent="0.2">
      <c r="A526" s="4" t="s">
        <v>477</v>
      </c>
      <c r="B526" s="4" t="s">
        <v>959</v>
      </c>
      <c r="C526" s="240" t="s">
        <v>1548</v>
      </c>
      <c r="D526" s="241"/>
      <c r="E526" s="241"/>
      <c r="F526" s="4" t="s">
        <v>1644</v>
      </c>
      <c r="G526" s="69">
        <v>4</v>
      </c>
      <c r="H526" s="168"/>
      <c r="I526" s="17">
        <f t="shared" si="530"/>
        <v>0</v>
      </c>
      <c r="J526" s="17">
        <f t="shared" si="531"/>
        <v>0</v>
      </c>
      <c r="K526" s="17">
        <f t="shared" si="532"/>
        <v>0</v>
      </c>
      <c r="L526" s="28"/>
      <c r="Z526" s="34">
        <f t="shared" si="533"/>
        <v>0</v>
      </c>
      <c r="AB526" s="34">
        <f t="shared" si="534"/>
        <v>0</v>
      </c>
      <c r="AC526" s="34">
        <f t="shared" si="535"/>
        <v>0</v>
      </c>
      <c r="AD526" s="34">
        <f t="shared" si="536"/>
        <v>0</v>
      </c>
      <c r="AE526" s="34">
        <f t="shared" si="537"/>
        <v>0</v>
      </c>
      <c r="AF526" s="34">
        <f t="shared" si="538"/>
        <v>0</v>
      </c>
      <c r="AG526" s="34">
        <f t="shared" si="539"/>
        <v>0</v>
      </c>
      <c r="AH526" s="34">
        <f t="shared" si="540"/>
        <v>0</v>
      </c>
      <c r="AI526" s="29"/>
      <c r="AJ526" s="17">
        <f t="shared" si="541"/>
        <v>0</v>
      </c>
      <c r="AK526" s="17">
        <f t="shared" si="542"/>
        <v>0</v>
      </c>
      <c r="AL526" s="17">
        <f t="shared" si="543"/>
        <v>0</v>
      </c>
      <c r="AN526" s="34">
        <v>15</v>
      </c>
      <c r="AO526" s="34">
        <f t="shared" si="544"/>
        <v>0</v>
      </c>
      <c r="AP526" s="34">
        <f t="shared" si="545"/>
        <v>0</v>
      </c>
      <c r="AQ526" s="28" t="s">
        <v>7</v>
      </c>
      <c r="AV526" s="34">
        <f t="shared" si="546"/>
        <v>0</v>
      </c>
      <c r="AW526" s="34">
        <f t="shared" si="547"/>
        <v>0</v>
      </c>
      <c r="AX526" s="34">
        <f t="shared" si="548"/>
        <v>0</v>
      </c>
      <c r="AY526" s="35" t="s">
        <v>1720</v>
      </c>
      <c r="AZ526" s="35" t="s">
        <v>1730</v>
      </c>
      <c r="BA526" s="29" t="s">
        <v>1737</v>
      </c>
      <c r="BC526" s="34">
        <f t="shared" si="549"/>
        <v>0</v>
      </c>
      <c r="BD526" s="34">
        <f t="shared" si="550"/>
        <v>0</v>
      </c>
      <c r="BE526" s="34">
        <v>0</v>
      </c>
      <c r="BF526" s="34">
        <f>526</f>
        <v>526</v>
      </c>
      <c r="BH526" s="17">
        <f t="shared" si="551"/>
        <v>0</v>
      </c>
      <c r="BI526" s="17">
        <f t="shared" si="552"/>
        <v>0</v>
      </c>
      <c r="BJ526" s="17">
        <f t="shared" si="553"/>
        <v>0</v>
      </c>
    </row>
    <row r="527" spans="1:62" x14ac:dyDescent="0.2">
      <c r="A527" s="4" t="s">
        <v>478</v>
      </c>
      <c r="B527" s="4" t="s">
        <v>960</v>
      </c>
      <c r="C527" s="240" t="s">
        <v>1549</v>
      </c>
      <c r="D527" s="241"/>
      <c r="E527" s="241"/>
      <c r="F527" s="4" t="s">
        <v>1644</v>
      </c>
      <c r="G527" s="69">
        <v>6</v>
      </c>
      <c r="H527" s="168"/>
      <c r="I527" s="17">
        <f t="shared" si="530"/>
        <v>0</v>
      </c>
      <c r="J527" s="17">
        <f t="shared" si="531"/>
        <v>0</v>
      </c>
      <c r="K527" s="17">
        <f t="shared" si="532"/>
        <v>0</v>
      </c>
      <c r="L527" s="28"/>
      <c r="Z527" s="34">
        <f t="shared" si="533"/>
        <v>0</v>
      </c>
      <c r="AB527" s="34">
        <f t="shared" si="534"/>
        <v>0</v>
      </c>
      <c r="AC527" s="34">
        <f t="shared" si="535"/>
        <v>0</v>
      </c>
      <c r="AD527" s="34">
        <f t="shared" si="536"/>
        <v>0</v>
      </c>
      <c r="AE527" s="34">
        <f t="shared" si="537"/>
        <v>0</v>
      </c>
      <c r="AF527" s="34">
        <f t="shared" si="538"/>
        <v>0</v>
      </c>
      <c r="AG527" s="34">
        <f t="shared" si="539"/>
        <v>0</v>
      </c>
      <c r="AH527" s="34">
        <f t="shared" si="540"/>
        <v>0</v>
      </c>
      <c r="AI527" s="29"/>
      <c r="AJ527" s="17">
        <f t="shared" si="541"/>
        <v>0</v>
      </c>
      <c r="AK527" s="17">
        <f t="shared" si="542"/>
        <v>0</v>
      </c>
      <c r="AL527" s="17">
        <f t="shared" si="543"/>
        <v>0</v>
      </c>
      <c r="AN527" s="34">
        <v>15</v>
      </c>
      <c r="AO527" s="34">
        <f t="shared" si="544"/>
        <v>0</v>
      </c>
      <c r="AP527" s="34">
        <f t="shared" si="545"/>
        <v>0</v>
      </c>
      <c r="AQ527" s="28" t="s">
        <v>7</v>
      </c>
      <c r="AV527" s="34">
        <f t="shared" si="546"/>
        <v>0</v>
      </c>
      <c r="AW527" s="34">
        <f t="shared" si="547"/>
        <v>0</v>
      </c>
      <c r="AX527" s="34">
        <f t="shared" si="548"/>
        <v>0</v>
      </c>
      <c r="AY527" s="35" t="s">
        <v>1720</v>
      </c>
      <c r="AZ527" s="35" t="s">
        <v>1730</v>
      </c>
      <c r="BA527" s="29" t="s">
        <v>1737</v>
      </c>
      <c r="BC527" s="34">
        <f t="shared" si="549"/>
        <v>0</v>
      </c>
      <c r="BD527" s="34">
        <f t="shared" si="550"/>
        <v>0</v>
      </c>
      <c r="BE527" s="34">
        <v>0</v>
      </c>
      <c r="BF527" s="34">
        <f>527</f>
        <v>527</v>
      </c>
      <c r="BH527" s="17">
        <f t="shared" si="551"/>
        <v>0</v>
      </c>
      <c r="BI527" s="17">
        <f t="shared" si="552"/>
        <v>0</v>
      </c>
      <c r="BJ527" s="17">
        <f t="shared" si="553"/>
        <v>0</v>
      </c>
    </row>
    <row r="528" spans="1:62" x14ac:dyDescent="0.2">
      <c r="A528" s="4" t="s">
        <v>479</v>
      </c>
      <c r="B528" s="4" t="s">
        <v>961</v>
      </c>
      <c r="C528" s="240" t="s">
        <v>1550</v>
      </c>
      <c r="D528" s="241"/>
      <c r="E528" s="241"/>
      <c r="F528" s="4" t="s">
        <v>1646</v>
      </c>
      <c r="G528" s="69">
        <v>80</v>
      </c>
      <c r="H528" s="168"/>
      <c r="I528" s="17">
        <f t="shared" si="530"/>
        <v>0</v>
      </c>
      <c r="J528" s="17">
        <f t="shared" si="531"/>
        <v>0</v>
      </c>
      <c r="K528" s="17">
        <f t="shared" si="532"/>
        <v>0</v>
      </c>
      <c r="L528" s="28"/>
      <c r="Z528" s="34">
        <f t="shared" si="533"/>
        <v>0</v>
      </c>
      <c r="AB528" s="34">
        <f t="shared" si="534"/>
        <v>0</v>
      </c>
      <c r="AC528" s="34">
        <f t="shared" si="535"/>
        <v>0</v>
      </c>
      <c r="AD528" s="34">
        <f t="shared" si="536"/>
        <v>0</v>
      </c>
      <c r="AE528" s="34">
        <f t="shared" si="537"/>
        <v>0</v>
      </c>
      <c r="AF528" s="34">
        <f t="shared" si="538"/>
        <v>0</v>
      </c>
      <c r="AG528" s="34">
        <f t="shared" si="539"/>
        <v>0</v>
      </c>
      <c r="AH528" s="34">
        <f t="shared" si="540"/>
        <v>0</v>
      </c>
      <c r="AI528" s="29"/>
      <c r="AJ528" s="17">
        <f t="shared" si="541"/>
        <v>0</v>
      </c>
      <c r="AK528" s="17">
        <f t="shared" si="542"/>
        <v>0</v>
      </c>
      <c r="AL528" s="17">
        <f t="shared" si="543"/>
        <v>0</v>
      </c>
      <c r="AN528" s="34">
        <v>15</v>
      </c>
      <c r="AO528" s="34">
        <f t="shared" si="544"/>
        <v>0</v>
      </c>
      <c r="AP528" s="34">
        <f t="shared" si="545"/>
        <v>0</v>
      </c>
      <c r="AQ528" s="28" t="s">
        <v>7</v>
      </c>
      <c r="AV528" s="34">
        <f t="shared" si="546"/>
        <v>0</v>
      </c>
      <c r="AW528" s="34">
        <f t="shared" si="547"/>
        <v>0</v>
      </c>
      <c r="AX528" s="34">
        <f t="shared" si="548"/>
        <v>0</v>
      </c>
      <c r="AY528" s="35" t="s">
        <v>1720</v>
      </c>
      <c r="AZ528" s="35" t="s">
        <v>1730</v>
      </c>
      <c r="BA528" s="29" t="s">
        <v>1737</v>
      </c>
      <c r="BC528" s="34">
        <f t="shared" si="549"/>
        <v>0</v>
      </c>
      <c r="BD528" s="34">
        <f t="shared" si="550"/>
        <v>0</v>
      </c>
      <c r="BE528" s="34">
        <v>0</v>
      </c>
      <c r="BF528" s="34">
        <f>528</f>
        <v>528</v>
      </c>
      <c r="BH528" s="17">
        <f t="shared" si="551"/>
        <v>0</v>
      </c>
      <c r="BI528" s="17">
        <f t="shared" si="552"/>
        <v>0</v>
      </c>
      <c r="BJ528" s="17">
        <f t="shared" si="553"/>
        <v>0</v>
      </c>
    </row>
    <row r="529" spans="1:62" x14ac:dyDescent="0.2">
      <c r="A529" s="4" t="s">
        <v>480</v>
      </c>
      <c r="B529" s="4" t="s">
        <v>962</v>
      </c>
      <c r="C529" s="240" t="s">
        <v>1551</v>
      </c>
      <c r="D529" s="241"/>
      <c r="E529" s="241"/>
      <c r="F529" s="4" t="s">
        <v>1644</v>
      </c>
      <c r="G529" s="69">
        <v>1</v>
      </c>
      <c r="H529" s="168"/>
      <c r="I529" s="17">
        <f t="shared" si="530"/>
        <v>0</v>
      </c>
      <c r="J529" s="17">
        <f t="shared" si="531"/>
        <v>0</v>
      </c>
      <c r="K529" s="17">
        <f t="shared" si="532"/>
        <v>0</v>
      </c>
      <c r="L529" s="28"/>
      <c r="Z529" s="34">
        <f t="shared" si="533"/>
        <v>0</v>
      </c>
      <c r="AB529" s="34">
        <f t="shared" si="534"/>
        <v>0</v>
      </c>
      <c r="AC529" s="34">
        <f t="shared" si="535"/>
        <v>0</v>
      </c>
      <c r="AD529" s="34">
        <f t="shared" si="536"/>
        <v>0</v>
      </c>
      <c r="AE529" s="34">
        <f t="shared" si="537"/>
        <v>0</v>
      </c>
      <c r="AF529" s="34">
        <f t="shared" si="538"/>
        <v>0</v>
      </c>
      <c r="AG529" s="34">
        <f t="shared" si="539"/>
        <v>0</v>
      </c>
      <c r="AH529" s="34">
        <f t="shared" si="540"/>
        <v>0</v>
      </c>
      <c r="AI529" s="29"/>
      <c r="AJ529" s="17">
        <f t="shared" si="541"/>
        <v>0</v>
      </c>
      <c r="AK529" s="17">
        <f t="shared" si="542"/>
        <v>0</v>
      </c>
      <c r="AL529" s="17">
        <f t="shared" si="543"/>
        <v>0</v>
      </c>
      <c r="AN529" s="34">
        <v>15</v>
      </c>
      <c r="AO529" s="34">
        <f t="shared" si="544"/>
        <v>0</v>
      </c>
      <c r="AP529" s="34">
        <f t="shared" si="545"/>
        <v>0</v>
      </c>
      <c r="AQ529" s="28" t="s">
        <v>7</v>
      </c>
      <c r="AV529" s="34">
        <f t="shared" si="546"/>
        <v>0</v>
      </c>
      <c r="AW529" s="34">
        <f t="shared" si="547"/>
        <v>0</v>
      </c>
      <c r="AX529" s="34">
        <f t="shared" si="548"/>
        <v>0</v>
      </c>
      <c r="AY529" s="35" t="s">
        <v>1720</v>
      </c>
      <c r="AZ529" s="35" t="s">
        <v>1730</v>
      </c>
      <c r="BA529" s="29" t="s">
        <v>1737</v>
      </c>
      <c r="BC529" s="34">
        <f t="shared" si="549"/>
        <v>0</v>
      </c>
      <c r="BD529" s="34">
        <f t="shared" si="550"/>
        <v>0</v>
      </c>
      <c r="BE529" s="34">
        <v>0</v>
      </c>
      <c r="BF529" s="34">
        <f>529</f>
        <v>529</v>
      </c>
      <c r="BH529" s="17">
        <f t="shared" si="551"/>
        <v>0</v>
      </c>
      <c r="BI529" s="17">
        <f t="shared" si="552"/>
        <v>0</v>
      </c>
      <c r="BJ529" s="17">
        <f t="shared" si="553"/>
        <v>0</v>
      </c>
    </row>
    <row r="530" spans="1:62" x14ac:dyDescent="0.2">
      <c r="A530" s="4" t="s">
        <v>481</v>
      </c>
      <c r="B530" s="4" t="s">
        <v>963</v>
      </c>
      <c r="C530" s="240" t="s">
        <v>1552</v>
      </c>
      <c r="D530" s="241"/>
      <c r="E530" s="241"/>
      <c r="F530" s="4" t="s">
        <v>1644</v>
      </c>
      <c r="G530" s="69">
        <v>1</v>
      </c>
      <c r="H530" s="168"/>
      <c r="I530" s="17">
        <f t="shared" si="530"/>
        <v>0</v>
      </c>
      <c r="J530" s="17">
        <f t="shared" si="531"/>
        <v>0</v>
      </c>
      <c r="K530" s="17">
        <f t="shared" si="532"/>
        <v>0</v>
      </c>
      <c r="L530" s="28"/>
      <c r="Z530" s="34">
        <f t="shared" si="533"/>
        <v>0</v>
      </c>
      <c r="AB530" s="34">
        <f t="shared" si="534"/>
        <v>0</v>
      </c>
      <c r="AC530" s="34">
        <f t="shared" si="535"/>
        <v>0</v>
      </c>
      <c r="AD530" s="34">
        <f t="shared" si="536"/>
        <v>0</v>
      </c>
      <c r="AE530" s="34">
        <f t="shared" si="537"/>
        <v>0</v>
      </c>
      <c r="AF530" s="34">
        <f t="shared" si="538"/>
        <v>0</v>
      </c>
      <c r="AG530" s="34">
        <f t="shared" si="539"/>
        <v>0</v>
      </c>
      <c r="AH530" s="34">
        <f t="shared" si="540"/>
        <v>0</v>
      </c>
      <c r="AI530" s="29"/>
      <c r="AJ530" s="17">
        <f t="shared" si="541"/>
        <v>0</v>
      </c>
      <c r="AK530" s="17">
        <f t="shared" si="542"/>
        <v>0</v>
      </c>
      <c r="AL530" s="17">
        <f t="shared" si="543"/>
        <v>0</v>
      </c>
      <c r="AN530" s="34">
        <v>15</v>
      </c>
      <c r="AO530" s="34">
        <f t="shared" si="544"/>
        <v>0</v>
      </c>
      <c r="AP530" s="34">
        <f t="shared" si="545"/>
        <v>0</v>
      </c>
      <c r="AQ530" s="28" t="s">
        <v>7</v>
      </c>
      <c r="AV530" s="34">
        <f t="shared" si="546"/>
        <v>0</v>
      </c>
      <c r="AW530" s="34">
        <f t="shared" si="547"/>
        <v>0</v>
      </c>
      <c r="AX530" s="34">
        <f t="shared" si="548"/>
        <v>0</v>
      </c>
      <c r="AY530" s="35" t="s">
        <v>1720</v>
      </c>
      <c r="AZ530" s="35" t="s">
        <v>1730</v>
      </c>
      <c r="BA530" s="29" t="s">
        <v>1737</v>
      </c>
      <c r="BC530" s="34">
        <f t="shared" si="549"/>
        <v>0</v>
      </c>
      <c r="BD530" s="34">
        <f t="shared" si="550"/>
        <v>0</v>
      </c>
      <c r="BE530" s="34">
        <v>0</v>
      </c>
      <c r="BF530" s="34">
        <f>530</f>
        <v>530</v>
      </c>
      <c r="BH530" s="17">
        <f t="shared" si="551"/>
        <v>0</v>
      </c>
      <c r="BI530" s="17">
        <f t="shared" si="552"/>
        <v>0</v>
      </c>
      <c r="BJ530" s="17">
        <f t="shared" si="553"/>
        <v>0</v>
      </c>
    </row>
    <row r="531" spans="1:62" x14ac:dyDescent="0.2">
      <c r="A531" s="4" t="s">
        <v>482</v>
      </c>
      <c r="B531" s="4" t="s">
        <v>964</v>
      </c>
      <c r="C531" s="240" t="s">
        <v>1553</v>
      </c>
      <c r="D531" s="241"/>
      <c r="E531" s="241"/>
      <c r="F531" s="4" t="s">
        <v>1644</v>
      </c>
      <c r="G531" s="69">
        <v>1</v>
      </c>
      <c r="H531" s="168"/>
      <c r="I531" s="17">
        <f t="shared" si="530"/>
        <v>0</v>
      </c>
      <c r="J531" s="17">
        <f t="shared" si="531"/>
        <v>0</v>
      </c>
      <c r="K531" s="17">
        <f t="shared" si="532"/>
        <v>0</v>
      </c>
      <c r="L531" s="28"/>
      <c r="Z531" s="34">
        <f t="shared" si="533"/>
        <v>0</v>
      </c>
      <c r="AB531" s="34">
        <f t="shared" si="534"/>
        <v>0</v>
      </c>
      <c r="AC531" s="34">
        <f t="shared" si="535"/>
        <v>0</v>
      </c>
      <c r="AD531" s="34">
        <f t="shared" si="536"/>
        <v>0</v>
      </c>
      <c r="AE531" s="34">
        <f t="shared" si="537"/>
        <v>0</v>
      </c>
      <c r="AF531" s="34">
        <f t="shared" si="538"/>
        <v>0</v>
      </c>
      <c r="AG531" s="34">
        <f t="shared" si="539"/>
        <v>0</v>
      </c>
      <c r="AH531" s="34">
        <f t="shared" si="540"/>
        <v>0</v>
      </c>
      <c r="AI531" s="29"/>
      <c r="AJ531" s="17">
        <f t="shared" si="541"/>
        <v>0</v>
      </c>
      <c r="AK531" s="17">
        <f t="shared" si="542"/>
        <v>0</v>
      </c>
      <c r="AL531" s="17">
        <f t="shared" si="543"/>
        <v>0</v>
      </c>
      <c r="AN531" s="34">
        <v>15</v>
      </c>
      <c r="AO531" s="34">
        <f t="shared" si="544"/>
        <v>0</v>
      </c>
      <c r="AP531" s="34">
        <f t="shared" si="545"/>
        <v>0</v>
      </c>
      <c r="AQ531" s="28" t="s">
        <v>7</v>
      </c>
      <c r="AV531" s="34">
        <f t="shared" si="546"/>
        <v>0</v>
      </c>
      <c r="AW531" s="34">
        <f t="shared" si="547"/>
        <v>0</v>
      </c>
      <c r="AX531" s="34">
        <f t="shared" si="548"/>
        <v>0</v>
      </c>
      <c r="AY531" s="35" t="s">
        <v>1720</v>
      </c>
      <c r="AZ531" s="35" t="s">
        <v>1730</v>
      </c>
      <c r="BA531" s="29" t="s">
        <v>1737</v>
      </c>
      <c r="BC531" s="34">
        <f t="shared" si="549"/>
        <v>0</v>
      </c>
      <c r="BD531" s="34">
        <f t="shared" si="550"/>
        <v>0</v>
      </c>
      <c r="BE531" s="34">
        <v>0</v>
      </c>
      <c r="BF531" s="34">
        <f>531</f>
        <v>531</v>
      </c>
      <c r="BH531" s="17">
        <f t="shared" si="551"/>
        <v>0</v>
      </c>
      <c r="BI531" s="17">
        <f t="shared" si="552"/>
        <v>0</v>
      </c>
      <c r="BJ531" s="17">
        <f t="shared" si="553"/>
        <v>0</v>
      </c>
    </row>
    <row r="532" spans="1:62" x14ac:dyDescent="0.2">
      <c r="A532" s="4" t="s">
        <v>483</v>
      </c>
      <c r="B532" s="4" t="s">
        <v>965</v>
      </c>
      <c r="C532" s="240" t="s">
        <v>1554</v>
      </c>
      <c r="D532" s="241"/>
      <c r="E532" s="241"/>
      <c r="F532" s="4" t="s">
        <v>1644</v>
      </c>
      <c r="G532" s="69">
        <v>1</v>
      </c>
      <c r="H532" s="168"/>
      <c r="I532" s="17">
        <f t="shared" si="530"/>
        <v>0</v>
      </c>
      <c r="J532" s="17">
        <f t="shared" si="531"/>
        <v>0</v>
      </c>
      <c r="K532" s="17">
        <f t="shared" si="532"/>
        <v>0</v>
      </c>
      <c r="L532" s="28"/>
      <c r="Z532" s="34">
        <f t="shared" si="533"/>
        <v>0</v>
      </c>
      <c r="AB532" s="34">
        <f t="shared" si="534"/>
        <v>0</v>
      </c>
      <c r="AC532" s="34">
        <f t="shared" si="535"/>
        <v>0</v>
      </c>
      <c r="AD532" s="34">
        <f t="shared" si="536"/>
        <v>0</v>
      </c>
      <c r="AE532" s="34">
        <f t="shared" si="537"/>
        <v>0</v>
      </c>
      <c r="AF532" s="34">
        <f t="shared" si="538"/>
        <v>0</v>
      </c>
      <c r="AG532" s="34">
        <f t="shared" si="539"/>
        <v>0</v>
      </c>
      <c r="AH532" s="34">
        <f t="shared" si="540"/>
        <v>0</v>
      </c>
      <c r="AI532" s="29"/>
      <c r="AJ532" s="17">
        <f t="shared" si="541"/>
        <v>0</v>
      </c>
      <c r="AK532" s="17">
        <f t="shared" si="542"/>
        <v>0</v>
      </c>
      <c r="AL532" s="17">
        <f t="shared" si="543"/>
        <v>0</v>
      </c>
      <c r="AN532" s="34">
        <v>15</v>
      </c>
      <c r="AO532" s="34">
        <f t="shared" si="544"/>
        <v>0</v>
      </c>
      <c r="AP532" s="34">
        <f t="shared" si="545"/>
        <v>0</v>
      </c>
      <c r="AQ532" s="28" t="s">
        <v>7</v>
      </c>
      <c r="AV532" s="34">
        <f t="shared" si="546"/>
        <v>0</v>
      </c>
      <c r="AW532" s="34">
        <f t="shared" si="547"/>
        <v>0</v>
      </c>
      <c r="AX532" s="34">
        <f t="shared" si="548"/>
        <v>0</v>
      </c>
      <c r="AY532" s="35" t="s">
        <v>1720</v>
      </c>
      <c r="AZ532" s="35" t="s">
        <v>1730</v>
      </c>
      <c r="BA532" s="29" t="s">
        <v>1737</v>
      </c>
      <c r="BC532" s="34">
        <f t="shared" si="549"/>
        <v>0</v>
      </c>
      <c r="BD532" s="34">
        <f t="shared" si="550"/>
        <v>0</v>
      </c>
      <c r="BE532" s="34">
        <v>0</v>
      </c>
      <c r="BF532" s="34">
        <f>532</f>
        <v>532</v>
      </c>
      <c r="BH532" s="17">
        <f t="shared" si="551"/>
        <v>0</v>
      </c>
      <c r="BI532" s="17">
        <f t="shared" si="552"/>
        <v>0</v>
      </c>
      <c r="BJ532" s="17">
        <f t="shared" si="553"/>
        <v>0</v>
      </c>
    </row>
    <row r="533" spans="1:62" x14ac:dyDescent="0.2">
      <c r="A533" s="4" t="s">
        <v>484</v>
      </c>
      <c r="B533" s="4" t="s">
        <v>966</v>
      </c>
      <c r="C533" s="240" t="s">
        <v>1555</v>
      </c>
      <c r="D533" s="241"/>
      <c r="E533" s="241"/>
      <c r="F533" s="4" t="s">
        <v>1644</v>
      </c>
      <c r="G533" s="69">
        <v>1</v>
      </c>
      <c r="H533" s="168"/>
      <c r="I533" s="17">
        <f t="shared" si="530"/>
        <v>0</v>
      </c>
      <c r="J533" s="17">
        <f t="shared" si="531"/>
        <v>0</v>
      </c>
      <c r="K533" s="17">
        <f t="shared" si="532"/>
        <v>0</v>
      </c>
      <c r="L533" s="28"/>
      <c r="Z533" s="34">
        <f t="shared" si="533"/>
        <v>0</v>
      </c>
      <c r="AB533" s="34">
        <f t="shared" si="534"/>
        <v>0</v>
      </c>
      <c r="AC533" s="34">
        <f t="shared" si="535"/>
        <v>0</v>
      </c>
      <c r="AD533" s="34">
        <f t="shared" si="536"/>
        <v>0</v>
      </c>
      <c r="AE533" s="34">
        <f t="shared" si="537"/>
        <v>0</v>
      </c>
      <c r="AF533" s="34">
        <f t="shared" si="538"/>
        <v>0</v>
      </c>
      <c r="AG533" s="34">
        <f t="shared" si="539"/>
        <v>0</v>
      </c>
      <c r="AH533" s="34">
        <f t="shared" si="540"/>
        <v>0</v>
      </c>
      <c r="AI533" s="29"/>
      <c r="AJ533" s="17">
        <f t="shared" si="541"/>
        <v>0</v>
      </c>
      <c r="AK533" s="17">
        <f t="shared" si="542"/>
        <v>0</v>
      </c>
      <c r="AL533" s="17">
        <f t="shared" si="543"/>
        <v>0</v>
      </c>
      <c r="AN533" s="34">
        <v>15</v>
      </c>
      <c r="AO533" s="34">
        <f t="shared" si="544"/>
        <v>0</v>
      </c>
      <c r="AP533" s="34">
        <f t="shared" si="545"/>
        <v>0</v>
      </c>
      <c r="AQ533" s="28" t="s">
        <v>7</v>
      </c>
      <c r="AV533" s="34">
        <f t="shared" si="546"/>
        <v>0</v>
      </c>
      <c r="AW533" s="34">
        <f t="shared" si="547"/>
        <v>0</v>
      </c>
      <c r="AX533" s="34">
        <f t="shared" si="548"/>
        <v>0</v>
      </c>
      <c r="AY533" s="35" t="s">
        <v>1720</v>
      </c>
      <c r="AZ533" s="35" t="s">
        <v>1730</v>
      </c>
      <c r="BA533" s="29" t="s">
        <v>1737</v>
      </c>
      <c r="BC533" s="34">
        <f t="shared" si="549"/>
        <v>0</v>
      </c>
      <c r="BD533" s="34">
        <f t="shared" si="550"/>
        <v>0</v>
      </c>
      <c r="BE533" s="34">
        <v>0</v>
      </c>
      <c r="BF533" s="34">
        <f>533</f>
        <v>533</v>
      </c>
      <c r="BH533" s="17">
        <f t="shared" si="551"/>
        <v>0</v>
      </c>
      <c r="BI533" s="17">
        <f t="shared" si="552"/>
        <v>0</v>
      </c>
      <c r="BJ533" s="17">
        <f t="shared" si="553"/>
        <v>0</v>
      </c>
    </row>
    <row r="534" spans="1:62" x14ac:dyDescent="0.2">
      <c r="A534" s="5"/>
      <c r="B534" s="13" t="s">
        <v>967</v>
      </c>
      <c r="C534" s="244" t="s">
        <v>1556</v>
      </c>
      <c r="D534" s="245"/>
      <c r="E534" s="245"/>
      <c r="F534" s="5" t="s">
        <v>6</v>
      </c>
      <c r="G534" s="5" t="s">
        <v>6</v>
      </c>
      <c r="H534" s="5" t="s">
        <v>6</v>
      </c>
      <c r="I534" s="37">
        <f>SUM(I535:I536)</f>
        <v>0</v>
      </c>
      <c r="J534" s="37">
        <f>SUM(J535:J536)</f>
        <v>0</v>
      </c>
      <c r="K534" s="37">
        <f>SUM(K535:K536)</f>
        <v>0</v>
      </c>
      <c r="L534" s="29"/>
      <c r="AI534" s="29"/>
      <c r="AS534" s="37">
        <f>SUM(AJ535:AJ536)</f>
        <v>0</v>
      </c>
      <c r="AT534" s="37">
        <f>SUM(AK535:AK536)</f>
        <v>0</v>
      </c>
      <c r="AU534" s="37">
        <f>SUM(AL535:AL536)</f>
        <v>0</v>
      </c>
    </row>
    <row r="535" spans="1:62" x14ac:dyDescent="0.2">
      <c r="A535" s="4" t="s">
        <v>485</v>
      </c>
      <c r="B535" s="4" t="s">
        <v>968</v>
      </c>
      <c r="C535" s="240" t="s">
        <v>1557</v>
      </c>
      <c r="D535" s="241"/>
      <c r="E535" s="241"/>
      <c r="F535" s="4" t="s">
        <v>1644</v>
      </c>
      <c r="G535" s="69">
        <v>1</v>
      </c>
      <c r="H535" s="168"/>
      <c r="I535" s="17">
        <f>G535*AO535</f>
        <v>0</v>
      </c>
      <c r="J535" s="17">
        <f>G535*AP535</f>
        <v>0</v>
      </c>
      <c r="K535" s="17">
        <f>G535*H535</f>
        <v>0</v>
      </c>
      <c r="L535" s="28" t="s">
        <v>1671</v>
      </c>
      <c r="Z535" s="34">
        <f>IF(AQ535="5",BJ535,0)</f>
        <v>0</v>
      </c>
      <c r="AB535" s="34">
        <f>IF(AQ535="1",BH535,0)</f>
        <v>0</v>
      </c>
      <c r="AC535" s="34">
        <f>IF(AQ535="1",BI535,0)</f>
        <v>0</v>
      </c>
      <c r="AD535" s="34">
        <f>IF(AQ535="7",BH535,0)</f>
        <v>0</v>
      </c>
      <c r="AE535" s="34">
        <f>IF(AQ535="7",BI535,0)</f>
        <v>0</v>
      </c>
      <c r="AF535" s="34">
        <f>IF(AQ535="2",BH535,0)</f>
        <v>0</v>
      </c>
      <c r="AG535" s="34">
        <f>IF(AQ535="2",BI535,0)</f>
        <v>0</v>
      </c>
      <c r="AH535" s="34">
        <f>IF(AQ535="0",BJ535,0)</f>
        <v>0</v>
      </c>
      <c r="AI535" s="29"/>
      <c r="AJ535" s="17">
        <f>IF(AN535=0,K535,0)</f>
        <v>0</v>
      </c>
      <c r="AK535" s="17">
        <f>IF(AN535=15,K535,0)</f>
        <v>0</v>
      </c>
      <c r="AL535" s="17">
        <f>IF(AN535=21,K535,0)</f>
        <v>0</v>
      </c>
      <c r="AN535" s="34">
        <v>15</v>
      </c>
      <c r="AO535" s="34">
        <f>H535*0</f>
        <v>0</v>
      </c>
      <c r="AP535" s="34">
        <f>H535*(1-0)</f>
        <v>0</v>
      </c>
      <c r="AQ535" s="28" t="s">
        <v>8</v>
      </c>
      <c r="AV535" s="34">
        <f>AW535+AX535</f>
        <v>0</v>
      </c>
      <c r="AW535" s="34">
        <f>G535*AO535</f>
        <v>0</v>
      </c>
      <c r="AX535" s="34">
        <f>G535*AP535</f>
        <v>0</v>
      </c>
      <c r="AY535" s="35" t="s">
        <v>1721</v>
      </c>
      <c r="AZ535" s="35" t="s">
        <v>1730</v>
      </c>
      <c r="BA535" s="29" t="s">
        <v>1737</v>
      </c>
      <c r="BC535" s="34">
        <f>AW535+AX535</f>
        <v>0</v>
      </c>
      <c r="BD535" s="34">
        <f>H535/(100-BE535)*100</f>
        <v>0</v>
      </c>
      <c r="BE535" s="34">
        <v>0</v>
      </c>
      <c r="BF535" s="34">
        <f>535</f>
        <v>535</v>
      </c>
      <c r="BH535" s="17">
        <f>G535*AO535</f>
        <v>0</v>
      </c>
      <c r="BI535" s="17">
        <f>G535*AP535</f>
        <v>0</v>
      </c>
      <c r="BJ535" s="17">
        <f>G535*H535</f>
        <v>0</v>
      </c>
    </row>
    <row r="536" spans="1:62" x14ac:dyDescent="0.2">
      <c r="A536" s="4" t="s">
        <v>486</v>
      </c>
      <c r="B536" s="4" t="s">
        <v>969</v>
      </c>
      <c r="C536" s="240" t="s">
        <v>1558</v>
      </c>
      <c r="D536" s="241"/>
      <c r="E536" s="241"/>
      <c r="F536" s="4" t="s">
        <v>1644</v>
      </c>
      <c r="G536" s="69">
        <v>1</v>
      </c>
      <c r="H536" s="168"/>
      <c r="I536" s="17">
        <f>G536*AO536</f>
        <v>0</v>
      </c>
      <c r="J536" s="17">
        <f>G536*AP536</f>
        <v>0</v>
      </c>
      <c r="K536" s="17">
        <f>G536*H536</f>
        <v>0</v>
      </c>
      <c r="L536" s="28" t="s">
        <v>1671</v>
      </c>
      <c r="Z536" s="34">
        <f>IF(AQ536="5",BJ536,0)</f>
        <v>0</v>
      </c>
      <c r="AB536" s="34">
        <f>IF(AQ536="1",BH536,0)</f>
        <v>0</v>
      </c>
      <c r="AC536" s="34">
        <f>IF(AQ536="1",BI536,0)</f>
        <v>0</v>
      </c>
      <c r="AD536" s="34">
        <f>IF(AQ536="7",BH536,0)</f>
        <v>0</v>
      </c>
      <c r="AE536" s="34">
        <f>IF(AQ536="7",BI536,0)</f>
        <v>0</v>
      </c>
      <c r="AF536" s="34">
        <f>IF(AQ536="2",BH536,0)</f>
        <v>0</v>
      </c>
      <c r="AG536" s="34">
        <f>IF(AQ536="2",BI536,0)</f>
        <v>0</v>
      </c>
      <c r="AH536" s="34">
        <f>IF(AQ536="0",BJ536,0)</f>
        <v>0</v>
      </c>
      <c r="AI536" s="29"/>
      <c r="AJ536" s="17">
        <f>IF(AN536=0,K536,0)</f>
        <v>0</v>
      </c>
      <c r="AK536" s="17">
        <f>IF(AN536=15,K536,0)</f>
        <v>0</v>
      </c>
      <c r="AL536" s="17">
        <f>IF(AN536=21,K536,0)</f>
        <v>0</v>
      </c>
      <c r="AN536" s="34">
        <v>15</v>
      </c>
      <c r="AO536" s="34">
        <f>H536*0</f>
        <v>0</v>
      </c>
      <c r="AP536" s="34">
        <f>H536*(1-0)</f>
        <v>0</v>
      </c>
      <c r="AQ536" s="28" t="s">
        <v>8</v>
      </c>
      <c r="AV536" s="34">
        <f>AW536+AX536</f>
        <v>0</v>
      </c>
      <c r="AW536" s="34">
        <f>G536*AO536</f>
        <v>0</v>
      </c>
      <c r="AX536" s="34">
        <f>G536*AP536</f>
        <v>0</v>
      </c>
      <c r="AY536" s="35" t="s">
        <v>1721</v>
      </c>
      <c r="AZ536" s="35" t="s">
        <v>1730</v>
      </c>
      <c r="BA536" s="29" t="s">
        <v>1737</v>
      </c>
      <c r="BC536" s="34">
        <f>AW536+AX536</f>
        <v>0</v>
      </c>
      <c r="BD536" s="34">
        <f>H536/(100-BE536)*100</f>
        <v>0</v>
      </c>
      <c r="BE536" s="34">
        <v>0</v>
      </c>
      <c r="BF536" s="34">
        <f>536</f>
        <v>536</v>
      </c>
      <c r="BH536" s="17">
        <f>G536*AO536</f>
        <v>0</v>
      </c>
      <c r="BI536" s="17">
        <f>G536*AP536</f>
        <v>0</v>
      </c>
      <c r="BJ536" s="17">
        <f>G536*H536</f>
        <v>0</v>
      </c>
    </row>
    <row r="537" spans="1:62" x14ac:dyDescent="0.2">
      <c r="A537" s="5"/>
      <c r="B537" s="13" t="s">
        <v>970</v>
      </c>
      <c r="C537" s="244" t="s">
        <v>1559</v>
      </c>
      <c r="D537" s="245"/>
      <c r="E537" s="245"/>
      <c r="F537" s="5" t="s">
        <v>6</v>
      </c>
      <c r="G537" s="5" t="s">
        <v>6</v>
      </c>
      <c r="H537" s="5"/>
      <c r="I537" s="37">
        <f>SUM(I538:I612)</f>
        <v>0</v>
      </c>
      <c r="J537" s="37">
        <f>SUM(J538:J612)</f>
        <v>0</v>
      </c>
      <c r="K537" s="37">
        <f>SUM(K538:K612)</f>
        <v>0</v>
      </c>
      <c r="L537" s="29"/>
      <c r="AI537" s="29"/>
      <c r="AS537" s="37">
        <f>SUM(AJ538:AJ612)</f>
        <v>0</v>
      </c>
      <c r="AT537" s="37">
        <f>SUM(AK538:AK612)</f>
        <v>0</v>
      </c>
      <c r="AU537" s="37">
        <f>SUM(AL538:AL612)</f>
        <v>0</v>
      </c>
    </row>
    <row r="538" spans="1:62" x14ac:dyDescent="0.2">
      <c r="A538" s="4" t="s">
        <v>487</v>
      </c>
      <c r="B538" s="4" t="s">
        <v>971</v>
      </c>
      <c r="C538" s="240" t="s">
        <v>1560</v>
      </c>
      <c r="D538" s="241"/>
      <c r="E538" s="241"/>
      <c r="F538" s="4" t="s">
        <v>1644</v>
      </c>
      <c r="G538" s="69">
        <v>1</v>
      </c>
      <c r="H538" s="168"/>
      <c r="I538" s="17">
        <f t="shared" ref="I538:I569" si="554">G538*AO538</f>
        <v>0</v>
      </c>
      <c r="J538" s="17">
        <f t="shared" ref="J538:J569" si="555">G538*AP538</f>
        <v>0</v>
      </c>
      <c r="K538" s="17">
        <f t="shared" ref="K538:K569" si="556">G538*H538</f>
        <v>0</v>
      </c>
      <c r="L538" s="28"/>
      <c r="Z538" s="34">
        <f t="shared" ref="Z538:Z569" si="557">IF(AQ538="5",BJ538,0)</f>
        <v>0</v>
      </c>
      <c r="AB538" s="34">
        <f t="shared" ref="AB538:AB569" si="558">IF(AQ538="1",BH538,0)</f>
        <v>0</v>
      </c>
      <c r="AC538" s="34">
        <f t="shared" ref="AC538:AC569" si="559">IF(AQ538="1",BI538,0)</f>
        <v>0</v>
      </c>
      <c r="AD538" s="34">
        <f t="shared" ref="AD538:AD569" si="560">IF(AQ538="7",BH538,0)</f>
        <v>0</v>
      </c>
      <c r="AE538" s="34">
        <f t="shared" ref="AE538:AE569" si="561">IF(AQ538="7",BI538,0)</f>
        <v>0</v>
      </c>
      <c r="AF538" s="34">
        <f t="shared" ref="AF538:AF569" si="562">IF(AQ538="2",BH538,0)</f>
        <v>0</v>
      </c>
      <c r="AG538" s="34">
        <f t="shared" ref="AG538:AG569" si="563">IF(AQ538="2",BI538,0)</f>
        <v>0</v>
      </c>
      <c r="AH538" s="34">
        <f t="shared" ref="AH538:AH569" si="564">IF(AQ538="0",BJ538,0)</f>
        <v>0</v>
      </c>
      <c r="AI538" s="29"/>
      <c r="AJ538" s="17">
        <f t="shared" ref="AJ538:AJ569" si="565">IF(AN538=0,K538,0)</f>
        <v>0</v>
      </c>
      <c r="AK538" s="17">
        <f t="shared" ref="AK538:AK569" si="566">IF(AN538=15,K538,0)</f>
        <v>0</v>
      </c>
      <c r="AL538" s="17">
        <f t="shared" ref="AL538:AL569" si="567">IF(AN538=21,K538,0)</f>
        <v>0</v>
      </c>
      <c r="AN538" s="34">
        <v>15</v>
      </c>
      <c r="AO538" s="34">
        <f t="shared" ref="AO538:AO569" si="568">H538*0</f>
        <v>0</v>
      </c>
      <c r="AP538" s="34">
        <f t="shared" ref="AP538:AP569" si="569">H538*(1-0)</f>
        <v>0</v>
      </c>
      <c r="AQ538" s="28" t="s">
        <v>7</v>
      </c>
      <c r="AV538" s="34">
        <f t="shared" ref="AV538:AV569" si="570">AW538+AX538</f>
        <v>0</v>
      </c>
      <c r="AW538" s="34">
        <f t="shared" ref="AW538:AW569" si="571">G538*AO538</f>
        <v>0</v>
      </c>
      <c r="AX538" s="34">
        <f t="shared" ref="AX538:AX569" si="572">G538*AP538</f>
        <v>0</v>
      </c>
      <c r="AY538" s="35" t="s">
        <v>1722</v>
      </c>
      <c r="AZ538" s="35" t="s">
        <v>1730</v>
      </c>
      <c r="BA538" s="29" t="s">
        <v>1737</v>
      </c>
      <c r="BC538" s="34">
        <f t="shared" ref="BC538:BC569" si="573">AW538+AX538</f>
        <v>0</v>
      </c>
      <c r="BD538" s="34">
        <f t="shared" ref="BD538:BD569" si="574">H538/(100-BE538)*100</f>
        <v>0</v>
      </c>
      <c r="BE538" s="34">
        <v>0</v>
      </c>
      <c r="BF538" s="34">
        <f>538</f>
        <v>538</v>
      </c>
      <c r="BH538" s="17">
        <f t="shared" ref="BH538:BH569" si="575">G538*AO538</f>
        <v>0</v>
      </c>
      <c r="BI538" s="17">
        <f t="shared" ref="BI538:BI569" si="576">G538*AP538</f>
        <v>0</v>
      </c>
      <c r="BJ538" s="17">
        <f t="shared" ref="BJ538:BJ569" si="577">G538*H538</f>
        <v>0</v>
      </c>
    </row>
    <row r="539" spans="1:62" x14ac:dyDescent="0.2">
      <c r="A539" s="4" t="s">
        <v>488</v>
      </c>
      <c r="B539" s="4" t="s">
        <v>972</v>
      </c>
      <c r="C539" s="240" t="s">
        <v>1561</v>
      </c>
      <c r="D539" s="241"/>
      <c r="E539" s="241"/>
      <c r="F539" s="4" t="s">
        <v>1644</v>
      </c>
      <c r="G539" s="69">
        <v>1</v>
      </c>
      <c r="H539" s="168"/>
      <c r="I539" s="17">
        <f t="shared" si="554"/>
        <v>0</v>
      </c>
      <c r="J539" s="17">
        <f t="shared" si="555"/>
        <v>0</v>
      </c>
      <c r="K539" s="17">
        <f t="shared" si="556"/>
        <v>0</v>
      </c>
      <c r="L539" s="28"/>
      <c r="Z539" s="34">
        <f t="shared" si="557"/>
        <v>0</v>
      </c>
      <c r="AB539" s="34">
        <f t="shared" si="558"/>
        <v>0</v>
      </c>
      <c r="AC539" s="34">
        <f t="shared" si="559"/>
        <v>0</v>
      </c>
      <c r="AD539" s="34">
        <f t="shared" si="560"/>
        <v>0</v>
      </c>
      <c r="AE539" s="34">
        <f t="shared" si="561"/>
        <v>0</v>
      </c>
      <c r="AF539" s="34">
        <f t="shared" si="562"/>
        <v>0</v>
      </c>
      <c r="AG539" s="34">
        <f t="shared" si="563"/>
        <v>0</v>
      </c>
      <c r="AH539" s="34">
        <f t="shared" si="564"/>
        <v>0</v>
      </c>
      <c r="AI539" s="29"/>
      <c r="AJ539" s="17">
        <f t="shared" si="565"/>
        <v>0</v>
      </c>
      <c r="AK539" s="17">
        <f t="shared" si="566"/>
        <v>0</v>
      </c>
      <c r="AL539" s="17">
        <f t="shared" si="567"/>
        <v>0</v>
      </c>
      <c r="AN539" s="34">
        <v>15</v>
      </c>
      <c r="AO539" s="34">
        <f t="shared" si="568"/>
        <v>0</v>
      </c>
      <c r="AP539" s="34">
        <f t="shared" si="569"/>
        <v>0</v>
      </c>
      <c r="AQ539" s="28" t="s">
        <v>7</v>
      </c>
      <c r="AV539" s="34">
        <f t="shared" si="570"/>
        <v>0</v>
      </c>
      <c r="AW539" s="34">
        <f t="shared" si="571"/>
        <v>0</v>
      </c>
      <c r="AX539" s="34">
        <f t="shared" si="572"/>
        <v>0</v>
      </c>
      <c r="AY539" s="35" t="s">
        <v>1722</v>
      </c>
      <c r="AZ539" s="35" t="s">
        <v>1730</v>
      </c>
      <c r="BA539" s="29" t="s">
        <v>1737</v>
      </c>
      <c r="BC539" s="34">
        <f t="shared" si="573"/>
        <v>0</v>
      </c>
      <c r="BD539" s="34">
        <f t="shared" si="574"/>
        <v>0</v>
      </c>
      <c r="BE539" s="34">
        <v>0</v>
      </c>
      <c r="BF539" s="34">
        <f>539</f>
        <v>539</v>
      </c>
      <c r="BH539" s="17">
        <f t="shared" si="575"/>
        <v>0</v>
      </c>
      <c r="BI539" s="17">
        <f t="shared" si="576"/>
        <v>0</v>
      </c>
      <c r="BJ539" s="17">
        <f t="shared" si="577"/>
        <v>0</v>
      </c>
    </row>
    <row r="540" spans="1:62" x14ac:dyDescent="0.2">
      <c r="A540" s="4" t="s">
        <v>489</v>
      </c>
      <c r="B540" s="4" t="s">
        <v>973</v>
      </c>
      <c r="C540" s="240" t="s">
        <v>1562</v>
      </c>
      <c r="D540" s="241"/>
      <c r="E540" s="241"/>
      <c r="F540" s="4" t="s">
        <v>1644</v>
      </c>
      <c r="G540" s="69">
        <v>1</v>
      </c>
      <c r="H540" s="168"/>
      <c r="I540" s="17">
        <f t="shared" si="554"/>
        <v>0</v>
      </c>
      <c r="J540" s="17">
        <f t="shared" si="555"/>
        <v>0</v>
      </c>
      <c r="K540" s="17">
        <f t="shared" si="556"/>
        <v>0</v>
      </c>
      <c r="L540" s="28"/>
      <c r="Z540" s="34">
        <f t="shared" si="557"/>
        <v>0</v>
      </c>
      <c r="AB540" s="34">
        <f t="shared" si="558"/>
        <v>0</v>
      </c>
      <c r="AC540" s="34">
        <f t="shared" si="559"/>
        <v>0</v>
      </c>
      <c r="AD540" s="34">
        <f t="shared" si="560"/>
        <v>0</v>
      </c>
      <c r="AE540" s="34">
        <f t="shared" si="561"/>
        <v>0</v>
      </c>
      <c r="AF540" s="34">
        <f t="shared" si="562"/>
        <v>0</v>
      </c>
      <c r="AG540" s="34">
        <f t="shared" si="563"/>
        <v>0</v>
      </c>
      <c r="AH540" s="34">
        <f t="shared" si="564"/>
        <v>0</v>
      </c>
      <c r="AI540" s="29"/>
      <c r="AJ540" s="17">
        <f t="shared" si="565"/>
        <v>0</v>
      </c>
      <c r="AK540" s="17">
        <f t="shared" si="566"/>
        <v>0</v>
      </c>
      <c r="AL540" s="17">
        <f t="shared" si="567"/>
        <v>0</v>
      </c>
      <c r="AN540" s="34">
        <v>15</v>
      </c>
      <c r="AO540" s="34">
        <f t="shared" si="568"/>
        <v>0</v>
      </c>
      <c r="AP540" s="34">
        <f t="shared" si="569"/>
        <v>0</v>
      </c>
      <c r="AQ540" s="28" t="s">
        <v>7</v>
      </c>
      <c r="AV540" s="34">
        <f t="shared" si="570"/>
        <v>0</v>
      </c>
      <c r="AW540" s="34">
        <f t="shared" si="571"/>
        <v>0</v>
      </c>
      <c r="AX540" s="34">
        <f t="shared" si="572"/>
        <v>0</v>
      </c>
      <c r="AY540" s="35" t="s">
        <v>1722</v>
      </c>
      <c r="AZ540" s="35" t="s">
        <v>1730</v>
      </c>
      <c r="BA540" s="29" t="s">
        <v>1737</v>
      </c>
      <c r="BC540" s="34">
        <f t="shared" si="573"/>
        <v>0</v>
      </c>
      <c r="BD540" s="34">
        <f t="shared" si="574"/>
        <v>0</v>
      </c>
      <c r="BE540" s="34">
        <v>0</v>
      </c>
      <c r="BF540" s="34">
        <f>540</f>
        <v>540</v>
      </c>
      <c r="BH540" s="17">
        <f t="shared" si="575"/>
        <v>0</v>
      </c>
      <c r="BI540" s="17">
        <f t="shared" si="576"/>
        <v>0</v>
      </c>
      <c r="BJ540" s="17">
        <f t="shared" si="577"/>
        <v>0</v>
      </c>
    </row>
    <row r="541" spans="1:62" x14ac:dyDescent="0.2">
      <c r="A541" s="4" t="s">
        <v>490</v>
      </c>
      <c r="B541" s="4" t="s">
        <v>974</v>
      </c>
      <c r="C541" s="240" t="s">
        <v>1563</v>
      </c>
      <c r="D541" s="241"/>
      <c r="E541" s="241"/>
      <c r="F541" s="4" t="s">
        <v>1644</v>
      </c>
      <c r="G541" s="69">
        <v>1</v>
      </c>
      <c r="H541" s="168"/>
      <c r="I541" s="17">
        <f t="shared" si="554"/>
        <v>0</v>
      </c>
      <c r="J541" s="17">
        <f t="shared" si="555"/>
        <v>0</v>
      </c>
      <c r="K541" s="17">
        <f t="shared" si="556"/>
        <v>0</v>
      </c>
      <c r="L541" s="28"/>
      <c r="Z541" s="34">
        <f t="shared" si="557"/>
        <v>0</v>
      </c>
      <c r="AB541" s="34">
        <f t="shared" si="558"/>
        <v>0</v>
      </c>
      <c r="AC541" s="34">
        <f t="shared" si="559"/>
        <v>0</v>
      </c>
      <c r="AD541" s="34">
        <f t="shared" si="560"/>
        <v>0</v>
      </c>
      <c r="AE541" s="34">
        <f t="shared" si="561"/>
        <v>0</v>
      </c>
      <c r="AF541" s="34">
        <f t="shared" si="562"/>
        <v>0</v>
      </c>
      <c r="AG541" s="34">
        <f t="shared" si="563"/>
        <v>0</v>
      </c>
      <c r="AH541" s="34">
        <f t="shared" si="564"/>
        <v>0</v>
      </c>
      <c r="AI541" s="29"/>
      <c r="AJ541" s="17">
        <f t="shared" si="565"/>
        <v>0</v>
      </c>
      <c r="AK541" s="17">
        <f t="shared" si="566"/>
        <v>0</v>
      </c>
      <c r="AL541" s="17">
        <f t="shared" si="567"/>
        <v>0</v>
      </c>
      <c r="AN541" s="34">
        <v>15</v>
      </c>
      <c r="AO541" s="34">
        <f t="shared" si="568"/>
        <v>0</v>
      </c>
      <c r="AP541" s="34">
        <f t="shared" si="569"/>
        <v>0</v>
      </c>
      <c r="AQ541" s="28" t="s">
        <v>7</v>
      </c>
      <c r="AV541" s="34">
        <f t="shared" si="570"/>
        <v>0</v>
      </c>
      <c r="AW541" s="34">
        <f t="shared" si="571"/>
        <v>0</v>
      </c>
      <c r="AX541" s="34">
        <f t="shared" si="572"/>
        <v>0</v>
      </c>
      <c r="AY541" s="35" t="s">
        <v>1722</v>
      </c>
      <c r="AZ541" s="35" t="s">
        <v>1730</v>
      </c>
      <c r="BA541" s="29" t="s">
        <v>1737</v>
      </c>
      <c r="BC541" s="34">
        <f t="shared" si="573"/>
        <v>0</v>
      </c>
      <c r="BD541" s="34">
        <f t="shared" si="574"/>
        <v>0</v>
      </c>
      <c r="BE541" s="34">
        <v>0</v>
      </c>
      <c r="BF541" s="34">
        <f>541</f>
        <v>541</v>
      </c>
      <c r="BH541" s="17">
        <f t="shared" si="575"/>
        <v>0</v>
      </c>
      <c r="BI541" s="17">
        <f t="shared" si="576"/>
        <v>0</v>
      </c>
      <c r="BJ541" s="17">
        <f t="shared" si="577"/>
        <v>0</v>
      </c>
    </row>
    <row r="542" spans="1:62" x14ac:dyDescent="0.2">
      <c r="A542" s="4" t="s">
        <v>491</v>
      </c>
      <c r="B542" s="4" t="s">
        <v>975</v>
      </c>
      <c r="C542" s="240" t="s">
        <v>1564</v>
      </c>
      <c r="D542" s="241"/>
      <c r="E542" s="241"/>
      <c r="F542" s="4" t="s">
        <v>1644</v>
      </c>
      <c r="G542" s="69">
        <v>1</v>
      </c>
      <c r="H542" s="168"/>
      <c r="I542" s="17">
        <f t="shared" si="554"/>
        <v>0</v>
      </c>
      <c r="J542" s="17">
        <f t="shared" si="555"/>
        <v>0</v>
      </c>
      <c r="K542" s="17">
        <f t="shared" si="556"/>
        <v>0</v>
      </c>
      <c r="L542" s="28"/>
      <c r="Z542" s="34">
        <f t="shared" si="557"/>
        <v>0</v>
      </c>
      <c r="AB542" s="34">
        <f t="shared" si="558"/>
        <v>0</v>
      </c>
      <c r="AC542" s="34">
        <f t="shared" si="559"/>
        <v>0</v>
      </c>
      <c r="AD542" s="34">
        <f t="shared" si="560"/>
        <v>0</v>
      </c>
      <c r="AE542" s="34">
        <f t="shared" si="561"/>
        <v>0</v>
      </c>
      <c r="AF542" s="34">
        <f t="shared" si="562"/>
        <v>0</v>
      </c>
      <c r="AG542" s="34">
        <f t="shared" si="563"/>
        <v>0</v>
      </c>
      <c r="AH542" s="34">
        <f t="shared" si="564"/>
        <v>0</v>
      </c>
      <c r="AI542" s="29"/>
      <c r="AJ542" s="17">
        <f t="shared" si="565"/>
        <v>0</v>
      </c>
      <c r="AK542" s="17">
        <f t="shared" si="566"/>
        <v>0</v>
      </c>
      <c r="AL542" s="17">
        <f t="shared" si="567"/>
        <v>0</v>
      </c>
      <c r="AN542" s="34">
        <v>15</v>
      </c>
      <c r="AO542" s="34">
        <f t="shared" si="568"/>
        <v>0</v>
      </c>
      <c r="AP542" s="34">
        <f t="shared" si="569"/>
        <v>0</v>
      </c>
      <c r="AQ542" s="28" t="s">
        <v>7</v>
      </c>
      <c r="AV542" s="34">
        <f t="shared" si="570"/>
        <v>0</v>
      </c>
      <c r="AW542" s="34">
        <f t="shared" si="571"/>
        <v>0</v>
      </c>
      <c r="AX542" s="34">
        <f t="shared" si="572"/>
        <v>0</v>
      </c>
      <c r="AY542" s="35" t="s">
        <v>1722</v>
      </c>
      <c r="AZ542" s="35" t="s">
        <v>1730</v>
      </c>
      <c r="BA542" s="29" t="s">
        <v>1737</v>
      </c>
      <c r="BC542" s="34">
        <f t="shared" si="573"/>
        <v>0</v>
      </c>
      <c r="BD542" s="34">
        <f t="shared" si="574"/>
        <v>0</v>
      </c>
      <c r="BE542" s="34">
        <v>0</v>
      </c>
      <c r="BF542" s="34">
        <f>542</f>
        <v>542</v>
      </c>
      <c r="BH542" s="17">
        <f t="shared" si="575"/>
        <v>0</v>
      </c>
      <c r="BI542" s="17">
        <f t="shared" si="576"/>
        <v>0</v>
      </c>
      <c r="BJ542" s="17">
        <f t="shared" si="577"/>
        <v>0</v>
      </c>
    </row>
    <row r="543" spans="1:62" x14ac:dyDescent="0.2">
      <c r="A543" s="4" t="s">
        <v>492</v>
      </c>
      <c r="B543" s="4" t="s">
        <v>976</v>
      </c>
      <c r="C543" s="240" t="s">
        <v>1565</v>
      </c>
      <c r="D543" s="241"/>
      <c r="E543" s="241"/>
      <c r="F543" s="4" t="s">
        <v>1644</v>
      </c>
      <c r="G543" s="69">
        <v>2</v>
      </c>
      <c r="H543" s="168"/>
      <c r="I543" s="17">
        <f t="shared" si="554"/>
        <v>0</v>
      </c>
      <c r="J543" s="17">
        <f t="shared" si="555"/>
        <v>0</v>
      </c>
      <c r="K543" s="17">
        <f t="shared" si="556"/>
        <v>0</v>
      </c>
      <c r="L543" s="28"/>
      <c r="Z543" s="34">
        <f t="shared" si="557"/>
        <v>0</v>
      </c>
      <c r="AB543" s="34">
        <f t="shared" si="558"/>
        <v>0</v>
      </c>
      <c r="AC543" s="34">
        <f t="shared" si="559"/>
        <v>0</v>
      </c>
      <c r="AD543" s="34">
        <f t="shared" si="560"/>
        <v>0</v>
      </c>
      <c r="AE543" s="34">
        <f t="shared" si="561"/>
        <v>0</v>
      </c>
      <c r="AF543" s="34">
        <f t="shared" si="562"/>
        <v>0</v>
      </c>
      <c r="AG543" s="34">
        <f t="shared" si="563"/>
        <v>0</v>
      </c>
      <c r="AH543" s="34">
        <f t="shared" si="564"/>
        <v>0</v>
      </c>
      <c r="AI543" s="29"/>
      <c r="AJ543" s="17">
        <f t="shared" si="565"/>
        <v>0</v>
      </c>
      <c r="AK543" s="17">
        <f t="shared" si="566"/>
        <v>0</v>
      </c>
      <c r="AL543" s="17">
        <f t="shared" si="567"/>
        <v>0</v>
      </c>
      <c r="AN543" s="34">
        <v>15</v>
      </c>
      <c r="AO543" s="34">
        <f t="shared" si="568"/>
        <v>0</v>
      </c>
      <c r="AP543" s="34">
        <f t="shared" si="569"/>
        <v>0</v>
      </c>
      <c r="AQ543" s="28" t="s">
        <v>7</v>
      </c>
      <c r="AV543" s="34">
        <f t="shared" si="570"/>
        <v>0</v>
      </c>
      <c r="AW543" s="34">
        <f t="shared" si="571"/>
        <v>0</v>
      </c>
      <c r="AX543" s="34">
        <f t="shared" si="572"/>
        <v>0</v>
      </c>
      <c r="AY543" s="35" t="s">
        <v>1722</v>
      </c>
      <c r="AZ543" s="35" t="s">
        <v>1730</v>
      </c>
      <c r="BA543" s="29" t="s">
        <v>1737</v>
      </c>
      <c r="BC543" s="34">
        <f t="shared" si="573"/>
        <v>0</v>
      </c>
      <c r="BD543" s="34">
        <f t="shared" si="574"/>
        <v>0</v>
      </c>
      <c r="BE543" s="34">
        <v>0</v>
      </c>
      <c r="BF543" s="34">
        <f>543</f>
        <v>543</v>
      </c>
      <c r="BH543" s="17">
        <f t="shared" si="575"/>
        <v>0</v>
      </c>
      <c r="BI543" s="17">
        <f t="shared" si="576"/>
        <v>0</v>
      </c>
      <c r="BJ543" s="17">
        <f t="shared" si="577"/>
        <v>0</v>
      </c>
    </row>
    <row r="544" spans="1:62" x14ac:dyDescent="0.2">
      <c r="A544" s="4" t="s">
        <v>493</v>
      </c>
      <c r="B544" s="4" t="s">
        <v>977</v>
      </c>
      <c r="C544" s="240" t="s">
        <v>1566</v>
      </c>
      <c r="D544" s="241"/>
      <c r="E544" s="241"/>
      <c r="F544" s="4" t="s">
        <v>1644</v>
      </c>
      <c r="G544" s="69">
        <v>1</v>
      </c>
      <c r="H544" s="168"/>
      <c r="I544" s="17">
        <f t="shared" si="554"/>
        <v>0</v>
      </c>
      <c r="J544" s="17">
        <f t="shared" si="555"/>
        <v>0</v>
      </c>
      <c r="K544" s="17">
        <f t="shared" si="556"/>
        <v>0</v>
      </c>
      <c r="L544" s="28"/>
      <c r="Z544" s="34">
        <f t="shared" si="557"/>
        <v>0</v>
      </c>
      <c r="AB544" s="34">
        <f t="shared" si="558"/>
        <v>0</v>
      </c>
      <c r="AC544" s="34">
        <f t="shared" si="559"/>
        <v>0</v>
      </c>
      <c r="AD544" s="34">
        <f t="shared" si="560"/>
        <v>0</v>
      </c>
      <c r="AE544" s="34">
        <f t="shared" si="561"/>
        <v>0</v>
      </c>
      <c r="AF544" s="34">
        <f t="shared" si="562"/>
        <v>0</v>
      </c>
      <c r="AG544" s="34">
        <f t="shared" si="563"/>
        <v>0</v>
      </c>
      <c r="AH544" s="34">
        <f t="shared" si="564"/>
        <v>0</v>
      </c>
      <c r="AI544" s="29"/>
      <c r="AJ544" s="17">
        <f t="shared" si="565"/>
        <v>0</v>
      </c>
      <c r="AK544" s="17">
        <f t="shared" si="566"/>
        <v>0</v>
      </c>
      <c r="AL544" s="17">
        <f t="shared" si="567"/>
        <v>0</v>
      </c>
      <c r="AN544" s="34">
        <v>15</v>
      </c>
      <c r="AO544" s="34">
        <f t="shared" si="568"/>
        <v>0</v>
      </c>
      <c r="AP544" s="34">
        <f t="shared" si="569"/>
        <v>0</v>
      </c>
      <c r="AQ544" s="28" t="s">
        <v>7</v>
      </c>
      <c r="AV544" s="34">
        <f t="shared" si="570"/>
        <v>0</v>
      </c>
      <c r="AW544" s="34">
        <f t="shared" si="571"/>
        <v>0</v>
      </c>
      <c r="AX544" s="34">
        <f t="shared" si="572"/>
        <v>0</v>
      </c>
      <c r="AY544" s="35" t="s">
        <v>1722</v>
      </c>
      <c r="AZ544" s="35" t="s">
        <v>1730</v>
      </c>
      <c r="BA544" s="29" t="s">
        <v>1737</v>
      </c>
      <c r="BC544" s="34">
        <f t="shared" si="573"/>
        <v>0</v>
      </c>
      <c r="BD544" s="34">
        <f t="shared" si="574"/>
        <v>0</v>
      </c>
      <c r="BE544" s="34">
        <v>0</v>
      </c>
      <c r="BF544" s="34">
        <f>544</f>
        <v>544</v>
      </c>
      <c r="BH544" s="17">
        <f t="shared" si="575"/>
        <v>0</v>
      </c>
      <c r="BI544" s="17">
        <f t="shared" si="576"/>
        <v>0</v>
      </c>
      <c r="BJ544" s="17">
        <f t="shared" si="577"/>
        <v>0</v>
      </c>
    </row>
    <row r="545" spans="1:62" x14ac:dyDescent="0.2">
      <c r="A545" s="4" t="s">
        <v>494</v>
      </c>
      <c r="B545" s="4" t="s">
        <v>978</v>
      </c>
      <c r="C545" s="240" t="s">
        <v>1567</v>
      </c>
      <c r="D545" s="241"/>
      <c r="E545" s="241"/>
      <c r="F545" s="4" t="s">
        <v>1644</v>
      </c>
      <c r="G545" s="69">
        <v>1</v>
      </c>
      <c r="H545" s="168"/>
      <c r="I545" s="17">
        <f t="shared" si="554"/>
        <v>0</v>
      </c>
      <c r="J545" s="17">
        <f t="shared" si="555"/>
        <v>0</v>
      </c>
      <c r="K545" s="17">
        <f t="shared" si="556"/>
        <v>0</v>
      </c>
      <c r="L545" s="28"/>
      <c r="Z545" s="34">
        <f t="shared" si="557"/>
        <v>0</v>
      </c>
      <c r="AB545" s="34">
        <f t="shared" si="558"/>
        <v>0</v>
      </c>
      <c r="AC545" s="34">
        <f t="shared" si="559"/>
        <v>0</v>
      </c>
      <c r="AD545" s="34">
        <f t="shared" si="560"/>
        <v>0</v>
      </c>
      <c r="AE545" s="34">
        <f t="shared" si="561"/>
        <v>0</v>
      </c>
      <c r="AF545" s="34">
        <f t="shared" si="562"/>
        <v>0</v>
      </c>
      <c r="AG545" s="34">
        <f t="shared" si="563"/>
        <v>0</v>
      </c>
      <c r="AH545" s="34">
        <f t="shared" si="564"/>
        <v>0</v>
      </c>
      <c r="AI545" s="29"/>
      <c r="AJ545" s="17">
        <f t="shared" si="565"/>
        <v>0</v>
      </c>
      <c r="AK545" s="17">
        <f t="shared" si="566"/>
        <v>0</v>
      </c>
      <c r="AL545" s="17">
        <f t="shared" si="567"/>
        <v>0</v>
      </c>
      <c r="AN545" s="34">
        <v>15</v>
      </c>
      <c r="AO545" s="34">
        <f t="shared" si="568"/>
        <v>0</v>
      </c>
      <c r="AP545" s="34">
        <f t="shared" si="569"/>
        <v>0</v>
      </c>
      <c r="AQ545" s="28" t="s">
        <v>7</v>
      </c>
      <c r="AV545" s="34">
        <f t="shared" si="570"/>
        <v>0</v>
      </c>
      <c r="AW545" s="34">
        <f t="shared" si="571"/>
        <v>0</v>
      </c>
      <c r="AX545" s="34">
        <f t="shared" si="572"/>
        <v>0</v>
      </c>
      <c r="AY545" s="35" t="s">
        <v>1722</v>
      </c>
      <c r="AZ545" s="35" t="s">
        <v>1730</v>
      </c>
      <c r="BA545" s="29" t="s">
        <v>1737</v>
      </c>
      <c r="BC545" s="34">
        <f t="shared" si="573"/>
        <v>0</v>
      </c>
      <c r="BD545" s="34">
        <f t="shared" si="574"/>
        <v>0</v>
      </c>
      <c r="BE545" s="34">
        <v>0</v>
      </c>
      <c r="BF545" s="34">
        <f>545</f>
        <v>545</v>
      </c>
      <c r="BH545" s="17">
        <f t="shared" si="575"/>
        <v>0</v>
      </c>
      <c r="BI545" s="17">
        <f t="shared" si="576"/>
        <v>0</v>
      </c>
      <c r="BJ545" s="17">
        <f t="shared" si="577"/>
        <v>0</v>
      </c>
    </row>
    <row r="546" spans="1:62" x14ac:dyDescent="0.2">
      <c r="A546" s="4" t="s">
        <v>495</v>
      </c>
      <c r="B546" s="4" t="s">
        <v>979</v>
      </c>
      <c r="C546" s="240" t="s">
        <v>1568</v>
      </c>
      <c r="D546" s="241"/>
      <c r="E546" s="241"/>
      <c r="F546" s="4" t="s">
        <v>1644</v>
      </c>
      <c r="G546" s="69">
        <v>1</v>
      </c>
      <c r="H546" s="168"/>
      <c r="I546" s="17">
        <f t="shared" si="554"/>
        <v>0</v>
      </c>
      <c r="J546" s="17">
        <f t="shared" si="555"/>
        <v>0</v>
      </c>
      <c r="K546" s="17">
        <f t="shared" si="556"/>
        <v>0</v>
      </c>
      <c r="L546" s="28"/>
      <c r="Z546" s="34">
        <f t="shared" si="557"/>
        <v>0</v>
      </c>
      <c r="AB546" s="34">
        <f t="shared" si="558"/>
        <v>0</v>
      </c>
      <c r="AC546" s="34">
        <f t="shared" si="559"/>
        <v>0</v>
      </c>
      <c r="AD546" s="34">
        <f t="shared" si="560"/>
        <v>0</v>
      </c>
      <c r="AE546" s="34">
        <f t="shared" si="561"/>
        <v>0</v>
      </c>
      <c r="AF546" s="34">
        <f t="shared" si="562"/>
        <v>0</v>
      </c>
      <c r="AG546" s="34">
        <f t="shared" si="563"/>
        <v>0</v>
      </c>
      <c r="AH546" s="34">
        <f t="shared" si="564"/>
        <v>0</v>
      </c>
      <c r="AI546" s="29"/>
      <c r="AJ546" s="17">
        <f t="shared" si="565"/>
        <v>0</v>
      </c>
      <c r="AK546" s="17">
        <f t="shared" si="566"/>
        <v>0</v>
      </c>
      <c r="AL546" s="17">
        <f t="shared" si="567"/>
        <v>0</v>
      </c>
      <c r="AN546" s="34">
        <v>15</v>
      </c>
      <c r="AO546" s="34">
        <f t="shared" si="568"/>
        <v>0</v>
      </c>
      <c r="AP546" s="34">
        <f t="shared" si="569"/>
        <v>0</v>
      </c>
      <c r="AQ546" s="28" t="s">
        <v>7</v>
      </c>
      <c r="AV546" s="34">
        <f t="shared" si="570"/>
        <v>0</v>
      </c>
      <c r="AW546" s="34">
        <f t="shared" si="571"/>
        <v>0</v>
      </c>
      <c r="AX546" s="34">
        <f t="shared" si="572"/>
        <v>0</v>
      </c>
      <c r="AY546" s="35" t="s">
        <v>1722</v>
      </c>
      <c r="AZ546" s="35" t="s">
        <v>1730</v>
      </c>
      <c r="BA546" s="29" t="s">
        <v>1737</v>
      </c>
      <c r="BC546" s="34">
        <f t="shared" si="573"/>
        <v>0</v>
      </c>
      <c r="BD546" s="34">
        <f t="shared" si="574"/>
        <v>0</v>
      </c>
      <c r="BE546" s="34">
        <v>0</v>
      </c>
      <c r="BF546" s="34">
        <f>546</f>
        <v>546</v>
      </c>
      <c r="BH546" s="17">
        <f t="shared" si="575"/>
        <v>0</v>
      </c>
      <c r="BI546" s="17">
        <f t="shared" si="576"/>
        <v>0</v>
      </c>
      <c r="BJ546" s="17">
        <f t="shared" si="577"/>
        <v>0</v>
      </c>
    </row>
    <row r="547" spans="1:62" x14ac:dyDescent="0.2">
      <c r="A547" s="4" t="s">
        <v>496</v>
      </c>
      <c r="B547" s="4" t="s">
        <v>980</v>
      </c>
      <c r="C547" s="240" t="s">
        <v>1569</v>
      </c>
      <c r="D547" s="241"/>
      <c r="E547" s="241"/>
      <c r="F547" s="4" t="s">
        <v>1644</v>
      </c>
      <c r="G547" s="69">
        <v>1</v>
      </c>
      <c r="H547" s="168"/>
      <c r="I547" s="17">
        <f t="shared" si="554"/>
        <v>0</v>
      </c>
      <c r="J547" s="17">
        <f t="shared" si="555"/>
        <v>0</v>
      </c>
      <c r="K547" s="17">
        <f t="shared" si="556"/>
        <v>0</v>
      </c>
      <c r="L547" s="28"/>
      <c r="Z547" s="34">
        <f t="shared" si="557"/>
        <v>0</v>
      </c>
      <c r="AB547" s="34">
        <f t="shared" si="558"/>
        <v>0</v>
      </c>
      <c r="AC547" s="34">
        <f t="shared" si="559"/>
        <v>0</v>
      </c>
      <c r="AD547" s="34">
        <f t="shared" si="560"/>
        <v>0</v>
      </c>
      <c r="AE547" s="34">
        <f t="shared" si="561"/>
        <v>0</v>
      </c>
      <c r="AF547" s="34">
        <f t="shared" si="562"/>
        <v>0</v>
      </c>
      <c r="AG547" s="34">
        <f t="shared" si="563"/>
        <v>0</v>
      </c>
      <c r="AH547" s="34">
        <f t="shared" si="564"/>
        <v>0</v>
      </c>
      <c r="AI547" s="29"/>
      <c r="AJ547" s="17">
        <f t="shared" si="565"/>
        <v>0</v>
      </c>
      <c r="AK547" s="17">
        <f t="shared" si="566"/>
        <v>0</v>
      </c>
      <c r="AL547" s="17">
        <f t="shared" si="567"/>
        <v>0</v>
      </c>
      <c r="AN547" s="34">
        <v>15</v>
      </c>
      <c r="AO547" s="34">
        <f t="shared" si="568"/>
        <v>0</v>
      </c>
      <c r="AP547" s="34">
        <f t="shared" si="569"/>
        <v>0</v>
      </c>
      <c r="AQ547" s="28" t="s">
        <v>7</v>
      </c>
      <c r="AV547" s="34">
        <f t="shared" si="570"/>
        <v>0</v>
      </c>
      <c r="AW547" s="34">
        <f t="shared" si="571"/>
        <v>0</v>
      </c>
      <c r="AX547" s="34">
        <f t="shared" si="572"/>
        <v>0</v>
      </c>
      <c r="AY547" s="35" t="s">
        <v>1722</v>
      </c>
      <c r="AZ547" s="35" t="s">
        <v>1730</v>
      </c>
      <c r="BA547" s="29" t="s">
        <v>1737</v>
      </c>
      <c r="BC547" s="34">
        <f t="shared" si="573"/>
        <v>0</v>
      </c>
      <c r="BD547" s="34">
        <f t="shared" si="574"/>
        <v>0</v>
      </c>
      <c r="BE547" s="34">
        <v>0</v>
      </c>
      <c r="BF547" s="34">
        <f>547</f>
        <v>547</v>
      </c>
      <c r="BH547" s="17">
        <f t="shared" si="575"/>
        <v>0</v>
      </c>
      <c r="BI547" s="17">
        <f t="shared" si="576"/>
        <v>0</v>
      </c>
      <c r="BJ547" s="17">
        <f t="shared" si="577"/>
        <v>0</v>
      </c>
    </row>
    <row r="548" spans="1:62" x14ac:dyDescent="0.2">
      <c r="A548" s="4" t="s">
        <v>497</v>
      </c>
      <c r="B548" s="4" t="s">
        <v>981</v>
      </c>
      <c r="C548" s="240" t="s">
        <v>1570</v>
      </c>
      <c r="D548" s="241"/>
      <c r="E548" s="241"/>
      <c r="F548" s="4" t="s">
        <v>1644</v>
      </c>
      <c r="G548" s="69">
        <v>1</v>
      </c>
      <c r="H548" s="168"/>
      <c r="I548" s="17">
        <f t="shared" si="554"/>
        <v>0</v>
      </c>
      <c r="J548" s="17">
        <f t="shared" si="555"/>
        <v>0</v>
      </c>
      <c r="K548" s="17">
        <f t="shared" si="556"/>
        <v>0</v>
      </c>
      <c r="L548" s="28"/>
      <c r="Z548" s="34">
        <f t="shared" si="557"/>
        <v>0</v>
      </c>
      <c r="AB548" s="34">
        <f t="shared" si="558"/>
        <v>0</v>
      </c>
      <c r="AC548" s="34">
        <f t="shared" si="559"/>
        <v>0</v>
      </c>
      <c r="AD548" s="34">
        <f t="shared" si="560"/>
        <v>0</v>
      </c>
      <c r="AE548" s="34">
        <f t="shared" si="561"/>
        <v>0</v>
      </c>
      <c r="AF548" s="34">
        <f t="shared" si="562"/>
        <v>0</v>
      </c>
      <c r="AG548" s="34">
        <f t="shared" si="563"/>
        <v>0</v>
      </c>
      <c r="AH548" s="34">
        <f t="shared" si="564"/>
        <v>0</v>
      </c>
      <c r="AI548" s="29"/>
      <c r="AJ548" s="17">
        <f t="shared" si="565"/>
        <v>0</v>
      </c>
      <c r="AK548" s="17">
        <f t="shared" si="566"/>
        <v>0</v>
      </c>
      <c r="AL548" s="17">
        <f t="shared" si="567"/>
        <v>0</v>
      </c>
      <c r="AN548" s="34">
        <v>15</v>
      </c>
      <c r="AO548" s="34">
        <f t="shared" si="568"/>
        <v>0</v>
      </c>
      <c r="AP548" s="34">
        <f t="shared" si="569"/>
        <v>0</v>
      </c>
      <c r="AQ548" s="28" t="s">
        <v>7</v>
      </c>
      <c r="AV548" s="34">
        <f t="shared" si="570"/>
        <v>0</v>
      </c>
      <c r="AW548" s="34">
        <f t="shared" si="571"/>
        <v>0</v>
      </c>
      <c r="AX548" s="34">
        <f t="shared" si="572"/>
        <v>0</v>
      </c>
      <c r="AY548" s="35" t="s">
        <v>1722</v>
      </c>
      <c r="AZ548" s="35" t="s">
        <v>1730</v>
      </c>
      <c r="BA548" s="29" t="s">
        <v>1737</v>
      </c>
      <c r="BC548" s="34">
        <f t="shared" si="573"/>
        <v>0</v>
      </c>
      <c r="BD548" s="34">
        <f t="shared" si="574"/>
        <v>0</v>
      </c>
      <c r="BE548" s="34">
        <v>0</v>
      </c>
      <c r="BF548" s="34">
        <f>548</f>
        <v>548</v>
      </c>
      <c r="BH548" s="17">
        <f t="shared" si="575"/>
        <v>0</v>
      </c>
      <c r="BI548" s="17">
        <f t="shared" si="576"/>
        <v>0</v>
      </c>
      <c r="BJ548" s="17">
        <f t="shared" si="577"/>
        <v>0</v>
      </c>
    </row>
    <row r="549" spans="1:62" x14ac:dyDescent="0.2">
      <c r="A549" s="4" t="s">
        <v>498</v>
      </c>
      <c r="B549" s="4" t="s">
        <v>982</v>
      </c>
      <c r="C549" s="240" t="s">
        <v>1571</v>
      </c>
      <c r="D549" s="241"/>
      <c r="E549" s="241"/>
      <c r="F549" s="4" t="s">
        <v>1644</v>
      </c>
      <c r="G549" s="69">
        <v>1</v>
      </c>
      <c r="H549" s="168"/>
      <c r="I549" s="17">
        <f t="shared" si="554"/>
        <v>0</v>
      </c>
      <c r="J549" s="17">
        <f t="shared" si="555"/>
        <v>0</v>
      </c>
      <c r="K549" s="17">
        <f t="shared" si="556"/>
        <v>0</v>
      </c>
      <c r="L549" s="28"/>
      <c r="Z549" s="34">
        <f t="shared" si="557"/>
        <v>0</v>
      </c>
      <c r="AB549" s="34">
        <f t="shared" si="558"/>
        <v>0</v>
      </c>
      <c r="AC549" s="34">
        <f t="shared" si="559"/>
        <v>0</v>
      </c>
      <c r="AD549" s="34">
        <f t="shared" si="560"/>
        <v>0</v>
      </c>
      <c r="AE549" s="34">
        <f t="shared" si="561"/>
        <v>0</v>
      </c>
      <c r="AF549" s="34">
        <f t="shared" si="562"/>
        <v>0</v>
      </c>
      <c r="AG549" s="34">
        <f t="shared" si="563"/>
        <v>0</v>
      </c>
      <c r="AH549" s="34">
        <f t="shared" si="564"/>
        <v>0</v>
      </c>
      <c r="AI549" s="29"/>
      <c r="AJ549" s="17">
        <f t="shared" si="565"/>
        <v>0</v>
      </c>
      <c r="AK549" s="17">
        <f t="shared" si="566"/>
        <v>0</v>
      </c>
      <c r="AL549" s="17">
        <f t="shared" si="567"/>
        <v>0</v>
      </c>
      <c r="AN549" s="34">
        <v>15</v>
      </c>
      <c r="AO549" s="34">
        <f t="shared" si="568"/>
        <v>0</v>
      </c>
      <c r="AP549" s="34">
        <f t="shared" si="569"/>
        <v>0</v>
      </c>
      <c r="AQ549" s="28" t="s">
        <v>7</v>
      </c>
      <c r="AV549" s="34">
        <f t="shared" si="570"/>
        <v>0</v>
      </c>
      <c r="AW549" s="34">
        <f t="shared" si="571"/>
        <v>0</v>
      </c>
      <c r="AX549" s="34">
        <f t="shared" si="572"/>
        <v>0</v>
      </c>
      <c r="AY549" s="35" t="s">
        <v>1722</v>
      </c>
      <c r="AZ549" s="35" t="s">
        <v>1730</v>
      </c>
      <c r="BA549" s="29" t="s">
        <v>1737</v>
      </c>
      <c r="BC549" s="34">
        <f t="shared" si="573"/>
        <v>0</v>
      </c>
      <c r="BD549" s="34">
        <f t="shared" si="574"/>
        <v>0</v>
      </c>
      <c r="BE549" s="34">
        <v>0</v>
      </c>
      <c r="BF549" s="34">
        <f>549</f>
        <v>549</v>
      </c>
      <c r="BH549" s="17">
        <f t="shared" si="575"/>
        <v>0</v>
      </c>
      <c r="BI549" s="17">
        <f t="shared" si="576"/>
        <v>0</v>
      </c>
      <c r="BJ549" s="17">
        <f t="shared" si="577"/>
        <v>0</v>
      </c>
    </row>
    <row r="550" spans="1:62" x14ac:dyDescent="0.2">
      <c r="A550" s="4" t="s">
        <v>499</v>
      </c>
      <c r="B550" s="4" t="s">
        <v>983</v>
      </c>
      <c r="C550" s="240" t="s">
        <v>1572</v>
      </c>
      <c r="D550" s="241"/>
      <c r="E550" s="241"/>
      <c r="F550" s="4" t="s">
        <v>1644</v>
      </c>
      <c r="G550" s="69">
        <v>1</v>
      </c>
      <c r="H550" s="168"/>
      <c r="I550" s="17">
        <f t="shared" si="554"/>
        <v>0</v>
      </c>
      <c r="J550" s="17">
        <f t="shared" si="555"/>
        <v>0</v>
      </c>
      <c r="K550" s="17">
        <f t="shared" si="556"/>
        <v>0</v>
      </c>
      <c r="L550" s="28"/>
      <c r="Z550" s="34">
        <f t="shared" si="557"/>
        <v>0</v>
      </c>
      <c r="AB550" s="34">
        <f t="shared" si="558"/>
        <v>0</v>
      </c>
      <c r="AC550" s="34">
        <f t="shared" si="559"/>
        <v>0</v>
      </c>
      <c r="AD550" s="34">
        <f t="shared" si="560"/>
        <v>0</v>
      </c>
      <c r="AE550" s="34">
        <f t="shared" si="561"/>
        <v>0</v>
      </c>
      <c r="AF550" s="34">
        <f t="shared" si="562"/>
        <v>0</v>
      </c>
      <c r="AG550" s="34">
        <f t="shared" si="563"/>
        <v>0</v>
      </c>
      <c r="AH550" s="34">
        <f t="shared" si="564"/>
        <v>0</v>
      </c>
      <c r="AI550" s="29"/>
      <c r="AJ550" s="17">
        <f t="shared" si="565"/>
        <v>0</v>
      </c>
      <c r="AK550" s="17">
        <f t="shared" si="566"/>
        <v>0</v>
      </c>
      <c r="AL550" s="17">
        <f t="shared" si="567"/>
        <v>0</v>
      </c>
      <c r="AN550" s="34">
        <v>15</v>
      </c>
      <c r="AO550" s="34">
        <f t="shared" si="568"/>
        <v>0</v>
      </c>
      <c r="AP550" s="34">
        <f t="shared" si="569"/>
        <v>0</v>
      </c>
      <c r="AQ550" s="28" t="s">
        <v>7</v>
      </c>
      <c r="AV550" s="34">
        <f t="shared" si="570"/>
        <v>0</v>
      </c>
      <c r="AW550" s="34">
        <f t="shared" si="571"/>
        <v>0</v>
      </c>
      <c r="AX550" s="34">
        <f t="shared" si="572"/>
        <v>0</v>
      </c>
      <c r="AY550" s="35" t="s">
        <v>1722</v>
      </c>
      <c r="AZ550" s="35" t="s">
        <v>1730</v>
      </c>
      <c r="BA550" s="29" t="s">
        <v>1737</v>
      </c>
      <c r="BC550" s="34">
        <f t="shared" si="573"/>
        <v>0</v>
      </c>
      <c r="BD550" s="34">
        <f t="shared" si="574"/>
        <v>0</v>
      </c>
      <c r="BE550" s="34">
        <v>0</v>
      </c>
      <c r="BF550" s="34">
        <f>550</f>
        <v>550</v>
      </c>
      <c r="BH550" s="17">
        <f t="shared" si="575"/>
        <v>0</v>
      </c>
      <c r="BI550" s="17">
        <f t="shared" si="576"/>
        <v>0</v>
      </c>
      <c r="BJ550" s="17">
        <f t="shared" si="577"/>
        <v>0</v>
      </c>
    </row>
    <row r="551" spans="1:62" x14ac:dyDescent="0.2">
      <c r="A551" s="4" t="s">
        <v>500</v>
      </c>
      <c r="B551" s="4" t="s">
        <v>984</v>
      </c>
      <c r="C551" s="240" t="s">
        <v>1573</v>
      </c>
      <c r="D551" s="241"/>
      <c r="E551" s="241"/>
      <c r="F551" s="4" t="s">
        <v>1644</v>
      </c>
      <c r="G551" s="69">
        <v>1</v>
      </c>
      <c r="H551" s="168"/>
      <c r="I551" s="17">
        <f t="shared" si="554"/>
        <v>0</v>
      </c>
      <c r="J551" s="17">
        <f t="shared" si="555"/>
        <v>0</v>
      </c>
      <c r="K551" s="17">
        <f t="shared" si="556"/>
        <v>0</v>
      </c>
      <c r="L551" s="28"/>
      <c r="Z551" s="34">
        <f t="shared" si="557"/>
        <v>0</v>
      </c>
      <c r="AB551" s="34">
        <f t="shared" si="558"/>
        <v>0</v>
      </c>
      <c r="AC551" s="34">
        <f t="shared" si="559"/>
        <v>0</v>
      </c>
      <c r="AD551" s="34">
        <f t="shared" si="560"/>
        <v>0</v>
      </c>
      <c r="AE551" s="34">
        <f t="shared" si="561"/>
        <v>0</v>
      </c>
      <c r="AF551" s="34">
        <f t="shared" si="562"/>
        <v>0</v>
      </c>
      <c r="AG551" s="34">
        <f t="shared" si="563"/>
        <v>0</v>
      </c>
      <c r="AH551" s="34">
        <f t="shared" si="564"/>
        <v>0</v>
      </c>
      <c r="AI551" s="29"/>
      <c r="AJ551" s="17">
        <f t="shared" si="565"/>
        <v>0</v>
      </c>
      <c r="AK551" s="17">
        <f t="shared" si="566"/>
        <v>0</v>
      </c>
      <c r="AL551" s="17">
        <f t="shared" si="567"/>
        <v>0</v>
      </c>
      <c r="AN551" s="34">
        <v>15</v>
      </c>
      <c r="AO551" s="34">
        <f t="shared" si="568"/>
        <v>0</v>
      </c>
      <c r="AP551" s="34">
        <f t="shared" si="569"/>
        <v>0</v>
      </c>
      <c r="AQ551" s="28" t="s">
        <v>7</v>
      </c>
      <c r="AV551" s="34">
        <f t="shared" si="570"/>
        <v>0</v>
      </c>
      <c r="AW551" s="34">
        <f t="shared" si="571"/>
        <v>0</v>
      </c>
      <c r="AX551" s="34">
        <f t="shared" si="572"/>
        <v>0</v>
      </c>
      <c r="AY551" s="35" t="s">
        <v>1722</v>
      </c>
      <c r="AZ551" s="35" t="s">
        <v>1730</v>
      </c>
      <c r="BA551" s="29" t="s">
        <v>1737</v>
      </c>
      <c r="BC551" s="34">
        <f t="shared" si="573"/>
        <v>0</v>
      </c>
      <c r="BD551" s="34">
        <f t="shared" si="574"/>
        <v>0</v>
      </c>
      <c r="BE551" s="34">
        <v>0</v>
      </c>
      <c r="BF551" s="34">
        <f>551</f>
        <v>551</v>
      </c>
      <c r="BH551" s="17">
        <f t="shared" si="575"/>
        <v>0</v>
      </c>
      <c r="BI551" s="17">
        <f t="shared" si="576"/>
        <v>0</v>
      </c>
      <c r="BJ551" s="17">
        <f t="shared" si="577"/>
        <v>0</v>
      </c>
    </row>
    <row r="552" spans="1:62" x14ac:dyDescent="0.2">
      <c r="A552" s="4" t="s">
        <v>501</v>
      </c>
      <c r="B552" s="4" t="s">
        <v>985</v>
      </c>
      <c r="C552" s="240" t="s">
        <v>1574</v>
      </c>
      <c r="D552" s="241"/>
      <c r="E552" s="241"/>
      <c r="F552" s="4" t="s">
        <v>1644</v>
      </c>
      <c r="G552" s="69">
        <v>1</v>
      </c>
      <c r="H552" s="168"/>
      <c r="I552" s="17">
        <f t="shared" si="554"/>
        <v>0</v>
      </c>
      <c r="J552" s="17">
        <f t="shared" si="555"/>
        <v>0</v>
      </c>
      <c r="K552" s="17">
        <f t="shared" si="556"/>
        <v>0</v>
      </c>
      <c r="L552" s="28"/>
      <c r="Z552" s="34">
        <f t="shared" si="557"/>
        <v>0</v>
      </c>
      <c r="AB552" s="34">
        <f t="shared" si="558"/>
        <v>0</v>
      </c>
      <c r="AC552" s="34">
        <f t="shared" si="559"/>
        <v>0</v>
      </c>
      <c r="AD552" s="34">
        <f t="shared" si="560"/>
        <v>0</v>
      </c>
      <c r="AE552" s="34">
        <f t="shared" si="561"/>
        <v>0</v>
      </c>
      <c r="AF552" s="34">
        <f t="shared" si="562"/>
        <v>0</v>
      </c>
      <c r="AG552" s="34">
        <f t="shared" si="563"/>
        <v>0</v>
      </c>
      <c r="AH552" s="34">
        <f t="shared" si="564"/>
        <v>0</v>
      </c>
      <c r="AI552" s="29"/>
      <c r="AJ552" s="17">
        <f t="shared" si="565"/>
        <v>0</v>
      </c>
      <c r="AK552" s="17">
        <f t="shared" si="566"/>
        <v>0</v>
      </c>
      <c r="AL552" s="17">
        <f t="shared" si="567"/>
        <v>0</v>
      </c>
      <c r="AN552" s="34">
        <v>15</v>
      </c>
      <c r="AO552" s="34">
        <f t="shared" si="568"/>
        <v>0</v>
      </c>
      <c r="AP552" s="34">
        <f t="shared" si="569"/>
        <v>0</v>
      </c>
      <c r="AQ552" s="28" t="s">
        <v>7</v>
      </c>
      <c r="AV552" s="34">
        <f t="shared" si="570"/>
        <v>0</v>
      </c>
      <c r="AW552" s="34">
        <f t="shared" si="571"/>
        <v>0</v>
      </c>
      <c r="AX552" s="34">
        <f t="shared" si="572"/>
        <v>0</v>
      </c>
      <c r="AY552" s="35" t="s">
        <v>1722</v>
      </c>
      <c r="AZ552" s="35" t="s">
        <v>1730</v>
      </c>
      <c r="BA552" s="29" t="s">
        <v>1737</v>
      </c>
      <c r="BC552" s="34">
        <f t="shared" si="573"/>
        <v>0</v>
      </c>
      <c r="BD552" s="34">
        <f t="shared" si="574"/>
        <v>0</v>
      </c>
      <c r="BE552" s="34">
        <v>0</v>
      </c>
      <c r="BF552" s="34">
        <f>552</f>
        <v>552</v>
      </c>
      <c r="BH552" s="17">
        <f t="shared" si="575"/>
        <v>0</v>
      </c>
      <c r="BI552" s="17">
        <f t="shared" si="576"/>
        <v>0</v>
      </c>
      <c r="BJ552" s="17">
        <f t="shared" si="577"/>
        <v>0</v>
      </c>
    </row>
    <row r="553" spans="1:62" x14ac:dyDescent="0.2">
      <c r="A553" s="4" t="s">
        <v>502</v>
      </c>
      <c r="B553" s="4" t="s">
        <v>986</v>
      </c>
      <c r="C553" s="240" t="s">
        <v>1575</v>
      </c>
      <c r="D553" s="241"/>
      <c r="E553" s="241"/>
      <c r="F553" s="4" t="s">
        <v>1644</v>
      </c>
      <c r="G553" s="69">
        <v>1</v>
      </c>
      <c r="H553" s="168"/>
      <c r="I553" s="17">
        <f t="shared" si="554"/>
        <v>0</v>
      </c>
      <c r="J553" s="17">
        <f t="shared" si="555"/>
        <v>0</v>
      </c>
      <c r="K553" s="17">
        <f t="shared" si="556"/>
        <v>0</v>
      </c>
      <c r="L553" s="28"/>
      <c r="Z553" s="34">
        <f t="shared" si="557"/>
        <v>0</v>
      </c>
      <c r="AB553" s="34">
        <f t="shared" si="558"/>
        <v>0</v>
      </c>
      <c r="AC553" s="34">
        <f t="shared" si="559"/>
        <v>0</v>
      </c>
      <c r="AD553" s="34">
        <f t="shared" si="560"/>
        <v>0</v>
      </c>
      <c r="AE553" s="34">
        <f t="shared" si="561"/>
        <v>0</v>
      </c>
      <c r="AF553" s="34">
        <f t="shared" si="562"/>
        <v>0</v>
      </c>
      <c r="AG553" s="34">
        <f t="shared" si="563"/>
        <v>0</v>
      </c>
      <c r="AH553" s="34">
        <f t="shared" si="564"/>
        <v>0</v>
      </c>
      <c r="AI553" s="29"/>
      <c r="AJ553" s="17">
        <f t="shared" si="565"/>
        <v>0</v>
      </c>
      <c r="AK553" s="17">
        <f t="shared" si="566"/>
        <v>0</v>
      </c>
      <c r="AL553" s="17">
        <f t="shared" si="567"/>
        <v>0</v>
      </c>
      <c r="AN553" s="34">
        <v>15</v>
      </c>
      <c r="AO553" s="34">
        <f t="shared" si="568"/>
        <v>0</v>
      </c>
      <c r="AP553" s="34">
        <f t="shared" si="569"/>
        <v>0</v>
      </c>
      <c r="AQ553" s="28" t="s">
        <v>7</v>
      </c>
      <c r="AV553" s="34">
        <f t="shared" si="570"/>
        <v>0</v>
      </c>
      <c r="AW553" s="34">
        <f t="shared" si="571"/>
        <v>0</v>
      </c>
      <c r="AX553" s="34">
        <f t="shared" si="572"/>
        <v>0</v>
      </c>
      <c r="AY553" s="35" t="s">
        <v>1722</v>
      </c>
      <c r="AZ553" s="35" t="s">
        <v>1730</v>
      </c>
      <c r="BA553" s="29" t="s">
        <v>1737</v>
      </c>
      <c r="BC553" s="34">
        <f t="shared" si="573"/>
        <v>0</v>
      </c>
      <c r="BD553" s="34">
        <f t="shared" si="574"/>
        <v>0</v>
      </c>
      <c r="BE553" s="34">
        <v>0</v>
      </c>
      <c r="BF553" s="34">
        <f>553</f>
        <v>553</v>
      </c>
      <c r="BH553" s="17">
        <f t="shared" si="575"/>
        <v>0</v>
      </c>
      <c r="BI553" s="17">
        <f t="shared" si="576"/>
        <v>0</v>
      </c>
      <c r="BJ553" s="17">
        <f t="shared" si="577"/>
        <v>0</v>
      </c>
    </row>
    <row r="554" spans="1:62" x14ac:dyDescent="0.2">
      <c r="A554" s="4" t="s">
        <v>503</v>
      </c>
      <c r="B554" s="4" t="s">
        <v>987</v>
      </c>
      <c r="C554" s="240" t="s">
        <v>1576</v>
      </c>
      <c r="D554" s="241"/>
      <c r="E554" s="241"/>
      <c r="F554" s="4" t="s">
        <v>1644</v>
      </c>
      <c r="G554" s="69">
        <v>1</v>
      </c>
      <c r="H554" s="168"/>
      <c r="I554" s="17">
        <f t="shared" si="554"/>
        <v>0</v>
      </c>
      <c r="J554" s="17">
        <f t="shared" si="555"/>
        <v>0</v>
      </c>
      <c r="K554" s="17">
        <f t="shared" si="556"/>
        <v>0</v>
      </c>
      <c r="L554" s="28"/>
      <c r="Z554" s="34">
        <f t="shared" si="557"/>
        <v>0</v>
      </c>
      <c r="AB554" s="34">
        <f t="shared" si="558"/>
        <v>0</v>
      </c>
      <c r="AC554" s="34">
        <f t="shared" si="559"/>
        <v>0</v>
      </c>
      <c r="AD554" s="34">
        <f t="shared" si="560"/>
        <v>0</v>
      </c>
      <c r="AE554" s="34">
        <f t="shared" si="561"/>
        <v>0</v>
      </c>
      <c r="AF554" s="34">
        <f t="shared" si="562"/>
        <v>0</v>
      </c>
      <c r="AG554" s="34">
        <f t="shared" si="563"/>
        <v>0</v>
      </c>
      <c r="AH554" s="34">
        <f t="shared" si="564"/>
        <v>0</v>
      </c>
      <c r="AI554" s="29"/>
      <c r="AJ554" s="17">
        <f t="shared" si="565"/>
        <v>0</v>
      </c>
      <c r="AK554" s="17">
        <f t="shared" si="566"/>
        <v>0</v>
      </c>
      <c r="AL554" s="17">
        <f t="shared" si="567"/>
        <v>0</v>
      </c>
      <c r="AN554" s="34">
        <v>15</v>
      </c>
      <c r="AO554" s="34">
        <f t="shared" si="568"/>
        <v>0</v>
      </c>
      <c r="AP554" s="34">
        <f t="shared" si="569"/>
        <v>0</v>
      </c>
      <c r="AQ554" s="28" t="s">
        <v>7</v>
      </c>
      <c r="AV554" s="34">
        <f t="shared" si="570"/>
        <v>0</v>
      </c>
      <c r="AW554" s="34">
        <f t="shared" si="571"/>
        <v>0</v>
      </c>
      <c r="AX554" s="34">
        <f t="shared" si="572"/>
        <v>0</v>
      </c>
      <c r="AY554" s="35" t="s">
        <v>1722</v>
      </c>
      <c r="AZ554" s="35" t="s">
        <v>1730</v>
      </c>
      <c r="BA554" s="29" t="s">
        <v>1737</v>
      </c>
      <c r="BC554" s="34">
        <f t="shared" si="573"/>
        <v>0</v>
      </c>
      <c r="BD554" s="34">
        <f t="shared" si="574"/>
        <v>0</v>
      </c>
      <c r="BE554" s="34">
        <v>0</v>
      </c>
      <c r="BF554" s="34">
        <f>554</f>
        <v>554</v>
      </c>
      <c r="BH554" s="17">
        <f t="shared" si="575"/>
        <v>0</v>
      </c>
      <c r="BI554" s="17">
        <f t="shared" si="576"/>
        <v>0</v>
      </c>
      <c r="BJ554" s="17">
        <f t="shared" si="577"/>
        <v>0</v>
      </c>
    </row>
    <row r="555" spans="1:62" x14ac:dyDescent="0.2">
      <c r="A555" s="4" t="s">
        <v>504</v>
      </c>
      <c r="B555" s="4" t="s">
        <v>973</v>
      </c>
      <c r="C555" s="240" t="s">
        <v>1577</v>
      </c>
      <c r="D555" s="241"/>
      <c r="E555" s="241"/>
      <c r="F555" s="4" t="s">
        <v>1644</v>
      </c>
      <c r="G555" s="69">
        <v>1</v>
      </c>
      <c r="H555" s="168"/>
      <c r="I555" s="17">
        <f t="shared" si="554"/>
        <v>0</v>
      </c>
      <c r="J555" s="17">
        <f t="shared" si="555"/>
        <v>0</v>
      </c>
      <c r="K555" s="17">
        <f t="shared" si="556"/>
        <v>0</v>
      </c>
      <c r="L555" s="28"/>
      <c r="Z555" s="34">
        <f t="shared" si="557"/>
        <v>0</v>
      </c>
      <c r="AB555" s="34">
        <f t="shared" si="558"/>
        <v>0</v>
      </c>
      <c r="AC555" s="34">
        <f t="shared" si="559"/>
        <v>0</v>
      </c>
      <c r="AD555" s="34">
        <f t="shared" si="560"/>
        <v>0</v>
      </c>
      <c r="AE555" s="34">
        <f t="shared" si="561"/>
        <v>0</v>
      </c>
      <c r="AF555" s="34">
        <f t="shared" si="562"/>
        <v>0</v>
      </c>
      <c r="AG555" s="34">
        <f t="shared" si="563"/>
        <v>0</v>
      </c>
      <c r="AH555" s="34">
        <f t="shared" si="564"/>
        <v>0</v>
      </c>
      <c r="AI555" s="29"/>
      <c r="AJ555" s="17">
        <f t="shared" si="565"/>
        <v>0</v>
      </c>
      <c r="AK555" s="17">
        <f t="shared" si="566"/>
        <v>0</v>
      </c>
      <c r="AL555" s="17">
        <f t="shared" si="567"/>
        <v>0</v>
      </c>
      <c r="AN555" s="34">
        <v>15</v>
      </c>
      <c r="AO555" s="34">
        <f t="shared" si="568"/>
        <v>0</v>
      </c>
      <c r="AP555" s="34">
        <f t="shared" si="569"/>
        <v>0</v>
      </c>
      <c r="AQ555" s="28" t="s">
        <v>7</v>
      </c>
      <c r="AV555" s="34">
        <f t="shared" si="570"/>
        <v>0</v>
      </c>
      <c r="AW555" s="34">
        <f t="shared" si="571"/>
        <v>0</v>
      </c>
      <c r="AX555" s="34">
        <f t="shared" si="572"/>
        <v>0</v>
      </c>
      <c r="AY555" s="35" t="s">
        <v>1722</v>
      </c>
      <c r="AZ555" s="35" t="s">
        <v>1730</v>
      </c>
      <c r="BA555" s="29" t="s">
        <v>1737</v>
      </c>
      <c r="BC555" s="34">
        <f t="shared" si="573"/>
        <v>0</v>
      </c>
      <c r="BD555" s="34">
        <f t="shared" si="574"/>
        <v>0</v>
      </c>
      <c r="BE555" s="34">
        <v>0</v>
      </c>
      <c r="BF555" s="34">
        <f>555</f>
        <v>555</v>
      </c>
      <c r="BH555" s="17">
        <f t="shared" si="575"/>
        <v>0</v>
      </c>
      <c r="BI555" s="17">
        <f t="shared" si="576"/>
        <v>0</v>
      </c>
      <c r="BJ555" s="17">
        <f t="shared" si="577"/>
        <v>0</v>
      </c>
    </row>
    <row r="556" spans="1:62" x14ac:dyDescent="0.2">
      <c r="A556" s="4" t="s">
        <v>505</v>
      </c>
      <c r="B556" s="4" t="s">
        <v>988</v>
      </c>
      <c r="C556" s="240" t="s">
        <v>1578</v>
      </c>
      <c r="D556" s="241"/>
      <c r="E556" s="241"/>
      <c r="F556" s="4" t="s">
        <v>1644</v>
      </c>
      <c r="G556" s="69">
        <v>1</v>
      </c>
      <c r="H556" s="168"/>
      <c r="I556" s="17">
        <f t="shared" si="554"/>
        <v>0</v>
      </c>
      <c r="J556" s="17">
        <f t="shared" si="555"/>
        <v>0</v>
      </c>
      <c r="K556" s="17">
        <f t="shared" si="556"/>
        <v>0</v>
      </c>
      <c r="L556" s="28"/>
      <c r="Z556" s="34">
        <f t="shared" si="557"/>
        <v>0</v>
      </c>
      <c r="AB556" s="34">
        <f t="shared" si="558"/>
        <v>0</v>
      </c>
      <c r="AC556" s="34">
        <f t="shared" si="559"/>
        <v>0</v>
      </c>
      <c r="AD556" s="34">
        <f t="shared" si="560"/>
        <v>0</v>
      </c>
      <c r="AE556" s="34">
        <f t="shared" si="561"/>
        <v>0</v>
      </c>
      <c r="AF556" s="34">
        <f t="shared" si="562"/>
        <v>0</v>
      </c>
      <c r="AG556" s="34">
        <f t="shared" si="563"/>
        <v>0</v>
      </c>
      <c r="AH556" s="34">
        <f t="shared" si="564"/>
        <v>0</v>
      </c>
      <c r="AI556" s="29"/>
      <c r="AJ556" s="17">
        <f t="shared" si="565"/>
        <v>0</v>
      </c>
      <c r="AK556" s="17">
        <f t="shared" si="566"/>
        <v>0</v>
      </c>
      <c r="AL556" s="17">
        <f t="shared" si="567"/>
        <v>0</v>
      </c>
      <c r="AN556" s="34">
        <v>15</v>
      </c>
      <c r="AO556" s="34">
        <f t="shared" si="568"/>
        <v>0</v>
      </c>
      <c r="AP556" s="34">
        <f t="shared" si="569"/>
        <v>0</v>
      </c>
      <c r="AQ556" s="28" t="s">
        <v>7</v>
      </c>
      <c r="AV556" s="34">
        <f t="shared" si="570"/>
        <v>0</v>
      </c>
      <c r="AW556" s="34">
        <f t="shared" si="571"/>
        <v>0</v>
      </c>
      <c r="AX556" s="34">
        <f t="shared" si="572"/>
        <v>0</v>
      </c>
      <c r="AY556" s="35" t="s">
        <v>1722</v>
      </c>
      <c r="AZ556" s="35" t="s">
        <v>1730</v>
      </c>
      <c r="BA556" s="29" t="s">
        <v>1737</v>
      </c>
      <c r="BC556" s="34">
        <f t="shared" si="573"/>
        <v>0</v>
      </c>
      <c r="BD556" s="34">
        <f t="shared" si="574"/>
        <v>0</v>
      </c>
      <c r="BE556" s="34">
        <v>0</v>
      </c>
      <c r="BF556" s="34">
        <f>556</f>
        <v>556</v>
      </c>
      <c r="BH556" s="17">
        <f t="shared" si="575"/>
        <v>0</v>
      </c>
      <c r="BI556" s="17">
        <f t="shared" si="576"/>
        <v>0</v>
      </c>
      <c r="BJ556" s="17">
        <f t="shared" si="577"/>
        <v>0</v>
      </c>
    </row>
    <row r="557" spans="1:62" x14ac:dyDescent="0.2">
      <c r="A557" s="4" t="s">
        <v>506</v>
      </c>
      <c r="B557" s="4" t="s">
        <v>989</v>
      </c>
      <c r="C557" s="240" t="s">
        <v>1579</v>
      </c>
      <c r="D557" s="241"/>
      <c r="E557" s="241"/>
      <c r="F557" s="4" t="s">
        <v>1644</v>
      </c>
      <c r="G557" s="69">
        <v>1</v>
      </c>
      <c r="H557" s="168"/>
      <c r="I557" s="17">
        <f t="shared" si="554"/>
        <v>0</v>
      </c>
      <c r="J557" s="17">
        <f t="shared" si="555"/>
        <v>0</v>
      </c>
      <c r="K557" s="17">
        <f t="shared" si="556"/>
        <v>0</v>
      </c>
      <c r="L557" s="28"/>
      <c r="Z557" s="34">
        <f t="shared" si="557"/>
        <v>0</v>
      </c>
      <c r="AB557" s="34">
        <f t="shared" si="558"/>
        <v>0</v>
      </c>
      <c r="AC557" s="34">
        <f t="shared" si="559"/>
        <v>0</v>
      </c>
      <c r="AD557" s="34">
        <f t="shared" si="560"/>
        <v>0</v>
      </c>
      <c r="AE557" s="34">
        <f t="shared" si="561"/>
        <v>0</v>
      </c>
      <c r="AF557" s="34">
        <f t="shared" si="562"/>
        <v>0</v>
      </c>
      <c r="AG557" s="34">
        <f t="shared" si="563"/>
        <v>0</v>
      </c>
      <c r="AH557" s="34">
        <f t="shared" si="564"/>
        <v>0</v>
      </c>
      <c r="AI557" s="29"/>
      <c r="AJ557" s="17">
        <f t="shared" si="565"/>
        <v>0</v>
      </c>
      <c r="AK557" s="17">
        <f t="shared" si="566"/>
        <v>0</v>
      </c>
      <c r="AL557" s="17">
        <f t="shared" si="567"/>
        <v>0</v>
      </c>
      <c r="AN557" s="34">
        <v>15</v>
      </c>
      <c r="AO557" s="34">
        <f t="shared" si="568"/>
        <v>0</v>
      </c>
      <c r="AP557" s="34">
        <f t="shared" si="569"/>
        <v>0</v>
      </c>
      <c r="AQ557" s="28" t="s">
        <v>7</v>
      </c>
      <c r="AV557" s="34">
        <f t="shared" si="570"/>
        <v>0</v>
      </c>
      <c r="AW557" s="34">
        <f t="shared" si="571"/>
        <v>0</v>
      </c>
      <c r="AX557" s="34">
        <f t="shared" si="572"/>
        <v>0</v>
      </c>
      <c r="AY557" s="35" t="s">
        <v>1722</v>
      </c>
      <c r="AZ557" s="35" t="s">
        <v>1730</v>
      </c>
      <c r="BA557" s="29" t="s">
        <v>1737</v>
      </c>
      <c r="BC557" s="34">
        <f t="shared" si="573"/>
        <v>0</v>
      </c>
      <c r="BD557" s="34">
        <f t="shared" si="574"/>
        <v>0</v>
      </c>
      <c r="BE557" s="34">
        <v>0</v>
      </c>
      <c r="BF557" s="34">
        <f>557</f>
        <v>557</v>
      </c>
      <c r="BH557" s="17">
        <f t="shared" si="575"/>
        <v>0</v>
      </c>
      <c r="BI557" s="17">
        <f t="shared" si="576"/>
        <v>0</v>
      </c>
      <c r="BJ557" s="17">
        <f t="shared" si="577"/>
        <v>0</v>
      </c>
    </row>
    <row r="558" spans="1:62" x14ac:dyDescent="0.2">
      <c r="A558" s="4" t="s">
        <v>507</v>
      </c>
      <c r="B558" s="4" t="s">
        <v>990</v>
      </c>
      <c r="C558" s="240" t="s">
        <v>1580</v>
      </c>
      <c r="D558" s="241"/>
      <c r="E558" s="241"/>
      <c r="F558" s="4" t="s">
        <v>1644</v>
      </c>
      <c r="G558" s="69">
        <v>1</v>
      </c>
      <c r="H558" s="168"/>
      <c r="I558" s="17">
        <f t="shared" si="554"/>
        <v>0</v>
      </c>
      <c r="J558" s="17">
        <f t="shared" si="555"/>
        <v>0</v>
      </c>
      <c r="K558" s="17">
        <f t="shared" si="556"/>
        <v>0</v>
      </c>
      <c r="L558" s="28"/>
      <c r="Z558" s="34">
        <f t="shared" si="557"/>
        <v>0</v>
      </c>
      <c r="AB558" s="34">
        <f t="shared" si="558"/>
        <v>0</v>
      </c>
      <c r="AC558" s="34">
        <f t="shared" si="559"/>
        <v>0</v>
      </c>
      <c r="AD558" s="34">
        <f t="shared" si="560"/>
        <v>0</v>
      </c>
      <c r="AE558" s="34">
        <f t="shared" si="561"/>
        <v>0</v>
      </c>
      <c r="AF558" s="34">
        <f t="shared" si="562"/>
        <v>0</v>
      </c>
      <c r="AG558" s="34">
        <f t="shared" si="563"/>
        <v>0</v>
      </c>
      <c r="AH558" s="34">
        <f t="shared" si="564"/>
        <v>0</v>
      </c>
      <c r="AI558" s="29"/>
      <c r="AJ558" s="17">
        <f t="shared" si="565"/>
        <v>0</v>
      </c>
      <c r="AK558" s="17">
        <f t="shared" si="566"/>
        <v>0</v>
      </c>
      <c r="AL558" s="17">
        <f t="shared" si="567"/>
        <v>0</v>
      </c>
      <c r="AN558" s="34">
        <v>15</v>
      </c>
      <c r="AO558" s="34">
        <f t="shared" si="568"/>
        <v>0</v>
      </c>
      <c r="AP558" s="34">
        <f t="shared" si="569"/>
        <v>0</v>
      </c>
      <c r="AQ558" s="28" t="s">
        <v>7</v>
      </c>
      <c r="AV558" s="34">
        <f t="shared" si="570"/>
        <v>0</v>
      </c>
      <c r="AW558" s="34">
        <f t="shared" si="571"/>
        <v>0</v>
      </c>
      <c r="AX558" s="34">
        <f t="shared" si="572"/>
        <v>0</v>
      </c>
      <c r="AY558" s="35" t="s">
        <v>1722</v>
      </c>
      <c r="AZ558" s="35" t="s">
        <v>1730</v>
      </c>
      <c r="BA558" s="29" t="s">
        <v>1737</v>
      </c>
      <c r="BC558" s="34">
        <f t="shared" si="573"/>
        <v>0</v>
      </c>
      <c r="BD558" s="34">
        <f t="shared" si="574"/>
        <v>0</v>
      </c>
      <c r="BE558" s="34">
        <v>0</v>
      </c>
      <c r="BF558" s="34">
        <f>558</f>
        <v>558</v>
      </c>
      <c r="BH558" s="17">
        <f t="shared" si="575"/>
        <v>0</v>
      </c>
      <c r="BI558" s="17">
        <f t="shared" si="576"/>
        <v>0</v>
      </c>
      <c r="BJ558" s="17">
        <f t="shared" si="577"/>
        <v>0</v>
      </c>
    </row>
    <row r="559" spans="1:62" x14ac:dyDescent="0.2">
      <c r="A559" s="4" t="s">
        <v>508</v>
      </c>
      <c r="B559" s="4" t="s">
        <v>991</v>
      </c>
      <c r="C559" s="240" t="s">
        <v>1581</v>
      </c>
      <c r="D559" s="241"/>
      <c r="E559" s="241"/>
      <c r="F559" s="4" t="s">
        <v>1644</v>
      </c>
      <c r="G559" s="69">
        <v>2</v>
      </c>
      <c r="H559" s="168"/>
      <c r="I559" s="17">
        <f t="shared" si="554"/>
        <v>0</v>
      </c>
      <c r="J559" s="17">
        <f t="shared" si="555"/>
        <v>0</v>
      </c>
      <c r="K559" s="17">
        <f t="shared" si="556"/>
        <v>0</v>
      </c>
      <c r="L559" s="28"/>
      <c r="Z559" s="34">
        <f t="shared" si="557"/>
        <v>0</v>
      </c>
      <c r="AB559" s="34">
        <f t="shared" si="558"/>
        <v>0</v>
      </c>
      <c r="AC559" s="34">
        <f t="shared" si="559"/>
        <v>0</v>
      </c>
      <c r="AD559" s="34">
        <f t="shared" si="560"/>
        <v>0</v>
      </c>
      <c r="AE559" s="34">
        <f t="shared" si="561"/>
        <v>0</v>
      </c>
      <c r="AF559" s="34">
        <f t="shared" si="562"/>
        <v>0</v>
      </c>
      <c r="AG559" s="34">
        <f t="shared" si="563"/>
        <v>0</v>
      </c>
      <c r="AH559" s="34">
        <f t="shared" si="564"/>
        <v>0</v>
      </c>
      <c r="AI559" s="29"/>
      <c r="AJ559" s="17">
        <f t="shared" si="565"/>
        <v>0</v>
      </c>
      <c r="AK559" s="17">
        <f t="shared" si="566"/>
        <v>0</v>
      </c>
      <c r="AL559" s="17">
        <f t="shared" si="567"/>
        <v>0</v>
      </c>
      <c r="AN559" s="34">
        <v>15</v>
      </c>
      <c r="AO559" s="34">
        <f t="shared" si="568"/>
        <v>0</v>
      </c>
      <c r="AP559" s="34">
        <f t="shared" si="569"/>
        <v>0</v>
      </c>
      <c r="AQ559" s="28" t="s">
        <v>7</v>
      </c>
      <c r="AV559" s="34">
        <f t="shared" si="570"/>
        <v>0</v>
      </c>
      <c r="AW559" s="34">
        <f t="shared" si="571"/>
        <v>0</v>
      </c>
      <c r="AX559" s="34">
        <f t="shared" si="572"/>
        <v>0</v>
      </c>
      <c r="AY559" s="35" t="s">
        <v>1722</v>
      </c>
      <c r="AZ559" s="35" t="s">
        <v>1730</v>
      </c>
      <c r="BA559" s="29" t="s">
        <v>1737</v>
      </c>
      <c r="BC559" s="34">
        <f t="shared" si="573"/>
        <v>0</v>
      </c>
      <c r="BD559" s="34">
        <f t="shared" si="574"/>
        <v>0</v>
      </c>
      <c r="BE559" s="34">
        <v>0</v>
      </c>
      <c r="BF559" s="34">
        <f>559</f>
        <v>559</v>
      </c>
      <c r="BH559" s="17">
        <f t="shared" si="575"/>
        <v>0</v>
      </c>
      <c r="BI559" s="17">
        <f t="shared" si="576"/>
        <v>0</v>
      </c>
      <c r="BJ559" s="17">
        <f t="shared" si="577"/>
        <v>0</v>
      </c>
    </row>
    <row r="560" spans="1:62" x14ac:dyDescent="0.2">
      <c r="A560" s="4" t="s">
        <v>509</v>
      </c>
      <c r="B560" s="4" t="s">
        <v>992</v>
      </c>
      <c r="C560" s="240" t="s">
        <v>1582</v>
      </c>
      <c r="D560" s="241"/>
      <c r="E560" s="241"/>
      <c r="F560" s="4" t="s">
        <v>1644</v>
      </c>
      <c r="G560" s="69">
        <v>1</v>
      </c>
      <c r="H560" s="168"/>
      <c r="I560" s="17">
        <f t="shared" si="554"/>
        <v>0</v>
      </c>
      <c r="J560" s="17">
        <f t="shared" si="555"/>
        <v>0</v>
      </c>
      <c r="K560" s="17">
        <f t="shared" si="556"/>
        <v>0</v>
      </c>
      <c r="L560" s="28"/>
      <c r="Z560" s="34">
        <f t="shared" si="557"/>
        <v>0</v>
      </c>
      <c r="AB560" s="34">
        <f t="shared" si="558"/>
        <v>0</v>
      </c>
      <c r="AC560" s="34">
        <f t="shared" si="559"/>
        <v>0</v>
      </c>
      <c r="AD560" s="34">
        <f t="shared" si="560"/>
        <v>0</v>
      </c>
      <c r="AE560" s="34">
        <f t="shared" si="561"/>
        <v>0</v>
      </c>
      <c r="AF560" s="34">
        <f t="shared" si="562"/>
        <v>0</v>
      </c>
      <c r="AG560" s="34">
        <f t="shared" si="563"/>
        <v>0</v>
      </c>
      <c r="AH560" s="34">
        <f t="shared" si="564"/>
        <v>0</v>
      </c>
      <c r="AI560" s="29"/>
      <c r="AJ560" s="17">
        <f t="shared" si="565"/>
        <v>0</v>
      </c>
      <c r="AK560" s="17">
        <f t="shared" si="566"/>
        <v>0</v>
      </c>
      <c r="AL560" s="17">
        <f t="shared" si="567"/>
        <v>0</v>
      </c>
      <c r="AN560" s="34">
        <v>15</v>
      </c>
      <c r="AO560" s="34">
        <f t="shared" si="568"/>
        <v>0</v>
      </c>
      <c r="AP560" s="34">
        <f t="shared" si="569"/>
        <v>0</v>
      </c>
      <c r="AQ560" s="28" t="s">
        <v>7</v>
      </c>
      <c r="AV560" s="34">
        <f t="shared" si="570"/>
        <v>0</v>
      </c>
      <c r="AW560" s="34">
        <f t="shared" si="571"/>
        <v>0</v>
      </c>
      <c r="AX560" s="34">
        <f t="shared" si="572"/>
        <v>0</v>
      </c>
      <c r="AY560" s="35" t="s">
        <v>1722</v>
      </c>
      <c r="AZ560" s="35" t="s">
        <v>1730</v>
      </c>
      <c r="BA560" s="29" t="s">
        <v>1737</v>
      </c>
      <c r="BC560" s="34">
        <f t="shared" si="573"/>
        <v>0</v>
      </c>
      <c r="BD560" s="34">
        <f t="shared" si="574"/>
        <v>0</v>
      </c>
      <c r="BE560" s="34">
        <v>0</v>
      </c>
      <c r="BF560" s="34">
        <f>560</f>
        <v>560</v>
      </c>
      <c r="BH560" s="17">
        <f t="shared" si="575"/>
        <v>0</v>
      </c>
      <c r="BI560" s="17">
        <f t="shared" si="576"/>
        <v>0</v>
      </c>
      <c r="BJ560" s="17">
        <f t="shared" si="577"/>
        <v>0</v>
      </c>
    </row>
    <row r="561" spans="1:62" x14ac:dyDescent="0.2">
      <c r="A561" s="4" t="s">
        <v>510</v>
      </c>
      <c r="B561" s="4" t="s">
        <v>975</v>
      </c>
      <c r="C561" s="240" t="s">
        <v>1583</v>
      </c>
      <c r="D561" s="241"/>
      <c r="E561" s="241"/>
      <c r="F561" s="4" t="s">
        <v>1644</v>
      </c>
      <c r="G561" s="69">
        <v>1</v>
      </c>
      <c r="H561" s="168"/>
      <c r="I561" s="17">
        <f t="shared" si="554"/>
        <v>0</v>
      </c>
      <c r="J561" s="17">
        <f t="shared" si="555"/>
        <v>0</v>
      </c>
      <c r="K561" s="17">
        <f t="shared" si="556"/>
        <v>0</v>
      </c>
      <c r="L561" s="28"/>
      <c r="Z561" s="34">
        <f t="shared" si="557"/>
        <v>0</v>
      </c>
      <c r="AB561" s="34">
        <f t="shared" si="558"/>
        <v>0</v>
      </c>
      <c r="AC561" s="34">
        <f t="shared" si="559"/>
        <v>0</v>
      </c>
      <c r="AD561" s="34">
        <f t="shared" si="560"/>
        <v>0</v>
      </c>
      <c r="AE561" s="34">
        <f t="shared" si="561"/>
        <v>0</v>
      </c>
      <c r="AF561" s="34">
        <f t="shared" si="562"/>
        <v>0</v>
      </c>
      <c r="AG561" s="34">
        <f t="shared" si="563"/>
        <v>0</v>
      </c>
      <c r="AH561" s="34">
        <f t="shared" si="564"/>
        <v>0</v>
      </c>
      <c r="AI561" s="29"/>
      <c r="AJ561" s="17">
        <f t="shared" si="565"/>
        <v>0</v>
      </c>
      <c r="AK561" s="17">
        <f t="shared" si="566"/>
        <v>0</v>
      </c>
      <c r="AL561" s="17">
        <f t="shared" si="567"/>
        <v>0</v>
      </c>
      <c r="AN561" s="34">
        <v>15</v>
      </c>
      <c r="AO561" s="34">
        <f t="shared" si="568"/>
        <v>0</v>
      </c>
      <c r="AP561" s="34">
        <f t="shared" si="569"/>
        <v>0</v>
      </c>
      <c r="AQ561" s="28" t="s">
        <v>7</v>
      </c>
      <c r="AV561" s="34">
        <f t="shared" si="570"/>
        <v>0</v>
      </c>
      <c r="AW561" s="34">
        <f t="shared" si="571"/>
        <v>0</v>
      </c>
      <c r="AX561" s="34">
        <f t="shared" si="572"/>
        <v>0</v>
      </c>
      <c r="AY561" s="35" t="s">
        <v>1722</v>
      </c>
      <c r="AZ561" s="35" t="s">
        <v>1730</v>
      </c>
      <c r="BA561" s="29" t="s">
        <v>1737</v>
      </c>
      <c r="BC561" s="34">
        <f t="shared" si="573"/>
        <v>0</v>
      </c>
      <c r="BD561" s="34">
        <f t="shared" si="574"/>
        <v>0</v>
      </c>
      <c r="BE561" s="34">
        <v>0</v>
      </c>
      <c r="BF561" s="34">
        <f>561</f>
        <v>561</v>
      </c>
      <c r="BH561" s="17">
        <f t="shared" si="575"/>
        <v>0</v>
      </c>
      <c r="BI561" s="17">
        <f t="shared" si="576"/>
        <v>0</v>
      </c>
      <c r="BJ561" s="17">
        <f t="shared" si="577"/>
        <v>0</v>
      </c>
    </row>
    <row r="562" spans="1:62" x14ac:dyDescent="0.2">
      <c r="A562" s="4" t="s">
        <v>511</v>
      </c>
      <c r="B562" s="4" t="s">
        <v>993</v>
      </c>
      <c r="C562" s="240" t="s">
        <v>1581</v>
      </c>
      <c r="D562" s="241"/>
      <c r="E562" s="241"/>
      <c r="F562" s="4" t="s">
        <v>1644</v>
      </c>
      <c r="G562" s="69">
        <v>1</v>
      </c>
      <c r="H562" s="168"/>
      <c r="I562" s="17">
        <f t="shared" si="554"/>
        <v>0</v>
      </c>
      <c r="J562" s="17">
        <f t="shared" si="555"/>
        <v>0</v>
      </c>
      <c r="K562" s="17">
        <f t="shared" si="556"/>
        <v>0</v>
      </c>
      <c r="L562" s="28"/>
      <c r="Z562" s="34">
        <f t="shared" si="557"/>
        <v>0</v>
      </c>
      <c r="AB562" s="34">
        <f t="shared" si="558"/>
        <v>0</v>
      </c>
      <c r="AC562" s="34">
        <f t="shared" si="559"/>
        <v>0</v>
      </c>
      <c r="AD562" s="34">
        <f t="shared" si="560"/>
        <v>0</v>
      </c>
      <c r="AE562" s="34">
        <f t="shared" si="561"/>
        <v>0</v>
      </c>
      <c r="AF562" s="34">
        <f t="shared" si="562"/>
        <v>0</v>
      </c>
      <c r="AG562" s="34">
        <f t="shared" si="563"/>
        <v>0</v>
      </c>
      <c r="AH562" s="34">
        <f t="shared" si="564"/>
        <v>0</v>
      </c>
      <c r="AI562" s="29"/>
      <c r="AJ562" s="17">
        <f t="shared" si="565"/>
        <v>0</v>
      </c>
      <c r="AK562" s="17">
        <f t="shared" si="566"/>
        <v>0</v>
      </c>
      <c r="AL562" s="17">
        <f t="shared" si="567"/>
        <v>0</v>
      </c>
      <c r="AN562" s="34">
        <v>15</v>
      </c>
      <c r="AO562" s="34">
        <f t="shared" si="568"/>
        <v>0</v>
      </c>
      <c r="AP562" s="34">
        <f t="shared" si="569"/>
        <v>0</v>
      </c>
      <c r="AQ562" s="28" t="s">
        <v>7</v>
      </c>
      <c r="AV562" s="34">
        <f t="shared" si="570"/>
        <v>0</v>
      </c>
      <c r="AW562" s="34">
        <f t="shared" si="571"/>
        <v>0</v>
      </c>
      <c r="AX562" s="34">
        <f t="shared" si="572"/>
        <v>0</v>
      </c>
      <c r="AY562" s="35" t="s">
        <v>1722</v>
      </c>
      <c r="AZ562" s="35" t="s">
        <v>1730</v>
      </c>
      <c r="BA562" s="29" t="s">
        <v>1737</v>
      </c>
      <c r="BC562" s="34">
        <f t="shared" si="573"/>
        <v>0</v>
      </c>
      <c r="BD562" s="34">
        <f t="shared" si="574"/>
        <v>0</v>
      </c>
      <c r="BE562" s="34">
        <v>0</v>
      </c>
      <c r="BF562" s="34">
        <f>562</f>
        <v>562</v>
      </c>
      <c r="BH562" s="17">
        <f t="shared" si="575"/>
        <v>0</v>
      </c>
      <c r="BI562" s="17">
        <f t="shared" si="576"/>
        <v>0</v>
      </c>
      <c r="BJ562" s="17">
        <f t="shared" si="577"/>
        <v>0</v>
      </c>
    </row>
    <row r="563" spans="1:62" x14ac:dyDescent="0.2">
      <c r="A563" s="4" t="s">
        <v>512</v>
      </c>
      <c r="B563" s="4" t="s">
        <v>994</v>
      </c>
      <c r="C563" s="240" t="s">
        <v>1584</v>
      </c>
      <c r="D563" s="241"/>
      <c r="E563" s="241"/>
      <c r="F563" s="4" t="s">
        <v>1644</v>
      </c>
      <c r="G563" s="69">
        <v>2</v>
      </c>
      <c r="H563" s="168"/>
      <c r="I563" s="17">
        <f t="shared" si="554"/>
        <v>0</v>
      </c>
      <c r="J563" s="17">
        <f t="shared" si="555"/>
        <v>0</v>
      </c>
      <c r="K563" s="17">
        <f t="shared" si="556"/>
        <v>0</v>
      </c>
      <c r="L563" s="28"/>
      <c r="Z563" s="34">
        <f t="shared" si="557"/>
        <v>0</v>
      </c>
      <c r="AB563" s="34">
        <f t="shared" si="558"/>
        <v>0</v>
      </c>
      <c r="AC563" s="34">
        <f t="shared" si="559"/>
        <v>0</v>
      </c>
      <c r="AD563" s="34">
        <f t="shared" si="560"/>
        <v>0</v>
      </c>
      <c r="AE563" s="34">
        <f t="shared" si="561"/>
        <v>0</v>
      </c>
      <c r="AF563" s="34">
        <f t="shared" si="562"/>
        <v>0</v>
      </c>
      <c r="AG563" s="34">
        <f t="shared" si="563"/>
        <v>0</v>
      </c>
      <c r="AH563" s="34">
        <f t="shared" si="564"/>
        <v>0</v>
      </c>
      <c r="AI563" s="29"/>
      <c r="AJ563" s="17">
        <f t="shared" si="565"/>
        <v>0</v>
      </c>
      <c r="AK563" s="17">
        <f t="shared" si="566"/>
        <v>0</v>
      </c>
      <c r="AL563" s="17">
        <f t="shared" si="567"/>
        <v>0</v>
      </c>
      <c r="AN563" s="34">
        <v>15</v>
      </c>
      <c r="AO563" s="34">
        <f t="shared" si="568"/>
        <v>0</v>
      </c>
      <c r="AP563" s="34">
        <f t="shared" si="569"/>
        <v>0</v>
      </c>
      <c r="AQ563" s="28" t="s">
        <v>7</v>
      </c>
      <c r="AV563" s="34">
        <f t="shared" si="570"/>
        <v>0</v>
      </c>
      <c r="AW563" s="34">
        <f t="shared" si="571"/>
        <v>0</v>
      </c>
      <c r="AX563" s="34">
        <f t="shared" si="572"/>
        <v>0</v>
      </c>
      <c r="AY563" s="35" t="s">
        <v>1722</v>
      </c>
      <c r="AZ563" s="35" t="s">
        <v>1730</v>
      </c>
      <c r="BA563" s="29" t="s">
        <v>1737</v>
      </c>
      <c r="BC563" s="34">
        <f t="shared" si="573"/>
        <v>0</v>
      </c>
      <c r="BD563" s="34">
        <f t="shared" si="574"/>
        <v>0</v>
      </c>
      <c r="BE563" s="34">
        <v>0</v>
      </c>
      <c r="BF563" s="34">
        <f>563</f>
        <v>563</v>
      </c>
      <c r="BH563" s="17">
        <f t="shared" si="575"/>
        <v>0</v>
      </c>
      <c r="BI563" s="17">
        <f t="shared" si="576"/>
        <v>0</v>
      </c>
      <c r="BJ563" s="17">
        <f t="shared" si="577"/>
        <v>0</v>
      </c>
    </row>
    <row r="564" spans="1:62" x14ac:dyDescent="0.2">
      <c r="A564" s="4" t="s">
        <v>513</v>
      </c>
      <c r="B564" s="4" t="s">
        <v>995</v>
      </c>
      <c r="C564" s="240" t="s">
        <v>1585</v>
      </c>
      <c r="D564" s="241"/>
      <c r="E564" s="241"/>
      <c r="F564" s="4" t="s">
        <v>1644</v>
      </c>
      <c r="G564" s="69">
        <v>1</v>
      </c>
      <c r="H564" s="168"/>
      <c r="I564" s="17">
        <f t="shared" si="554"/>
        <v>0</v>
      </c>
      <c r="J564" s="17">
        <f t="shared" si="555"/>
        <v>0</v>
      </c>
      <c r="K564" s="17">
        <f t="shared" si="556"/>
        <v>0</v>
      </c>
      <c r="L564" s="28"/>
      <c r="Z564" s="34">
        <f t="shared" si="557"/>
        <v>0</v>
      </c>
      <c r="AB564" s="34">
        <f t="shared" si="558"/>
        <v>0</v>
      </c>
      <c r="AC564" s="34">
        <f t="shared" si="559"/>
        <v>0</v>
      </c>
      <c r="AD564" s="34">
        <f t="shared" si="560"/>
        <v>0</v>
      </c>
      <c r="AE564" s="34">
        <f t="shared" si="561"/>
        <v>0</v>
      </c>
      <c r="AF564" s="34">
        <f t="shared" si="562"/>
        <v>0</v>
      </c>
      <c r="AG564" s="34">
        <f t="shared" si="563"/>
        <v>0</v>
      </c>
      <c r="AH564" s="34">
        <f t="shared" si="564"/>
        <v>0</v>
      </c>
      <c r="AI564" s="29"/>
      <c r="AJ564" s="17">
        <f t="shared" si="565"/>
        <v>0</v>
      </c>
      <c r="AK564" s="17">
        <f t="shared" si="566"/>
        <v>0</v>
      </c>
      <c r="AL564" s="17">
        <f t="shared" si="567"/>
        <v>0</v>
      </c>
      <c r="AN564" s="34">
        <v>15</v>
      </c>
      <c r="AO564" s="34">
        <f t="shared" si="568"/>
        <v>0</v>
      </c>
      <c r="AP564" s="34">
        <f t="shared" si="569"/>
        <v>0</v>
      </c>
      <c r="AQ564" s="28" t="s">
        <v>7</v>
      </c>
      <c r="AV564" s="34">
        <f t="shared" si="570"/>
        <v>0</v>
      </c>
      <c r="AW564" s="34">
        <f t="shared" si="571"/>
        <v>0</v>
      </c>
      <c r="AX564" s="34">
        <f t="shared" si="572"/>
        <v>0</v>
      </c>
      <c r="AY564" s="35" t="s">
        <v>1722</v>
      </c>
      <c r="AZ564" s="35" t="s">
        <v>1730</v>
      </c>
      <c r="BA564" s="29" t="s">
        <v>1737</v>
      </c>
      <c r="BC564" s="34">
        <f t="shared" si="573"/>
        <v>0</v>
      </c>
      <c r="BD564" s="34">
        <f t="shared" si="574"/>
        <v>0</v>
      </c>
      <c r="BE564" s="34">
        <v>0</v>
      </c>
      <c r="BF564" s="34">
        <f>564</f>
        <v>564</v>
      </c>
      <c r="BH564" s="17">
        <f t="shared" si="575"/>
        <v>0</v>
      </c>
      <c r="BI564" s="17">
        <f t="shared" si="576"/>
        <v>0</v>
      </c>
      <c r="BJ564" s="17">
        <f t="shared" si="577"/>
        <v>0</v>
      </c>
    </row>
    <row r="565" spans="1:62" x14ac:dyDescent="0.2">
      <c r="A565" s="4" t="s">
        <v>514</v>
      </c>
      <c r="B565" s="4" t="s">
        <v>996</v>
      </c>
      <c r="C565" s="240" t="s">
        <v>1586</v>
      </c>
      <c r="D565" s="241"/>
      <c r="E565" s="241"/>
      <c r="F565" s="4" t="s">
        <v>1644</v>
      </c>
      <c r="G565" s="69">
        <v>1</v>
      </c>
      <c r="H565" s="168"/>
      <c r="I565" s="17">
        <f t="shared" si="554"/>
        <v>0</v>
      </c>
      <c r="J565" s="17">
        <f t="shared" si="555"/>
        <v>0</v>
      </c>
      <c r="K565" s="17">
        <f t="shared" si="556"/>
        <v>0</v>
      </c>
      <c r="L565" s="28"/>
      <c r="Z565" s="34">
        <f t="shared" si="557"/>
        <v>0</v>
      </c>
      <c r="AB565" s="34">
        <f t="shared" si="558"/>
        <v>0</v>
      </c>
      <c r="AC565" s="34">
        <f t="shared" si="559"/>
        <v>0</v>
      </c>
      <c r="AD565" s="34">
        <f t="shared" si="560"/>
        <v>0</v>
      </c>
      <c r="AE565" s="34">
        <f t="shared" si="561"/>
        <v>0</v>
      </c>
      <c r="AF565" s="34">
        <f t="shared" si="562"/>
        <v>0</v>
      </c>
      <c r="AG565" s="34">
        <f t="shared" si="563"/>
        <v>0</v>
      </c>
      <c r="AH565" s="34">
        <f t="shared" si="564"/>
        <v>0</v>
      </c>
      <c r="AI565" s="29"/>
      <c r="AJ565" s="17">
        <f t="shared" si="565"/>
        <v>0</v>
      </c>
      <c r="AK565" s="17">
        <f t="shared" si="566"/>
        <v>0</v>
      </c>
      <c r="AL565" s="17">
        <f t="shared" si="567"/>
        <v>0</v>
      </c>
      <c r="AN565" s="34">
        <v>15</v>
      </c>
      <c r="AO565" s="34">
        <f t="shared" si="568"/>
        <v>0</v>
      </c>
      <c r="AP565" s="34">
        <f t="shared" si="569"/>
        <v>0</v>
      </c>
      <c r="AQ565" s="28" t="s">
        <v>7</v>
      </c>
      <c r="AV565" s="34">
        <f t="shared" si="570"/>
        <v>0</v>
      </c>
      <c r="AW565" s="34">
        <f t="shared" si="571"/>
        <v>0</v>
      </c>
      <c r="AX565" s="34">
        <f t="shared" si="572"/>
        <v>0</v>
      </c>
      <c r="AY565" s="35" t="s">
        <v>1722</v>
      </c>
      <c r="AZ565" s="35" t="s">
        <v>1730</v>
      </c>
      <c r="BA565" s="29" t="s">
        <v>1737</v>
      </c>
      <c r="BC565" s="34">
        <f t="shared" si="573"/>
        <v>0</v>
      </c>
      <c r="BD565" s="34">
        <f t="shared" si="574"/>
        <v>0</v>
      </c>
      <c r="BE565" s="34">
        <v>0</v>
      </c>
      <c r="BF565" s="34">
        <f>565</f>
        <v>565</v>
      </c>
      <c r="BH565" s="17">
        <f t="shared" si="575"/>
        <v>0</v>
      </c>
      <c r="BI565" s="17">
        <f t="shared" si="576"/>
        <v>0</v>
      </c>
      <c r="BJ565" s="17">
        <f t="shared" si="577"/>
        <v>0</v>
      </c>
    </row>
    <row r="566" spans="1:62" x14ac:dyDescent="0.2">
      <c r="A566" s="4" t="s">
        <v>515</v>
      </c>
      <c r="B566" s="4" t="s">
        <v>996</v>
      </c>
      <c r="C566" s="240" t="s">
        <v>1587</v>
      </c>
      <c r="D566" s="241"/>
      <c r="E566" s="241"/>
      <c r="F566" s="4" t="s">
        <v>1644</v>
      </c>
      <c r="G566" s="69">
        <v>1</v>
      </c>
      <c r="H566" s="168"/>
      <c r="I566" s="17">
        <f t="shared" si="554"/>
        <v>0</v>
      </c>
      <c r="J566" s="17">
        <f t="shared" si="555"/>
        <v>0</v>
      </c>
      <c r="K566" s="17">
        <f t="shared" si="556"/>
        <v>0</v>
      </c>
      <c r="L566" s="28"/>
      <c r="Z566" s="34">
        <f t="shared" si="557"/>
        <v>0</v>
      </c>
      <c r="AB566" s="34">
        <f t="shared" si="558"/>
        <v>0</v>
      </c>
      <c r="AC566" s="34">
        <f t="shared" si="559"/>
        <v>0</v>
      </c>
      <c r="AD566" s="34">
        <f t="shared" si="560"/>
        <v>0</v>
      </c>
      <c r="AE566" s="34">
        <f t="shared" si="561"/>
        <v>0</v>
      </c>
      <c r="AF566" s="34">
        <f t="shared" si="562"/>
        <v>0</v>
      </c>
      <c r="AG566" s="34">
        <f t="shared" si="563"/>
        <v>0</v>
      </c>
      <c r="AH566" s="34">
        <f t="shared" si="564"/>
        <v>0</v>
      </c>
      <c r="AI566" s="29"/>
      <c r="AJ566" s="17">
        <f t="shared" si="565"/>
        <v>0</v>
      </c>
      <c r="AK566" s="17">
        <f t="shared" si="566"/>
        <v>0</v>
      </c>
      <c r="AL566" s="17">
        <f t="shared" si="567"/>
        <v>0</v>
      </c>
      <c r="AN566" s="34">
        <v>15</v>
      </c>
      <c r="AO566" s="34">
        <f t="shared" si="568"/>
        <v>0</v>
      </c>
      <c r="AP566" s="34">
        <f t="shared" si="569"/>
        <v>0</v>
      </c>
      <c r="AQ566" s="28" t="s">
        <v>7</v>
      </c>
      <c r="AV566" s="34">
        <f t="shared" si="570"/>
        <v>0</v>
      </c>
      <c r="AW566" s="34">
        <f t="shared" si="571"/>
        <v>0</v>
      </c>
      <c r="AX566" s="34">
        <f t="shared" si="572"/>
        <v>0</v>
      </c>
      <c r="AY566" s="35" t="s">
        <v>1722</v>
      </c>
      <c r="AZ566" s="35" t="s">
        <v>1730</v>
      </c>
      <c r="BA566" s="29" t="s">
        <v>1737</v>
      </c>
      <c r="BC566" s="34">
        <f t="shared" si="573"/>
        <v>0</v>
      </c>
      <c r="BD566" s="34">
        <f t="shared" si="574"/>
        <v>0</v>
      </c>
      <c r="BE566" s="34">
        <v>0</v>
      </c>
      <c r="BF566" s="34">
        <f>566</f>
        <v>566</v>
      </c>
      <c r="BH566" s="17">
        <f t="shared" si="575"/>
        <v>0</v>
      </c>
      <c r="BI566" s="17">
        <f t="shared" si="576"/>
        <v>0</v>
      </c>
      <c r="BJ566" s="17">
        <f t="shared" si="577"/>
        <v>0</v>
      </c>
    </row>
    <row r="567" spans="1:62" x14ac:dyDescent="0.2">
      <c r="A567" s="4" t="s">
        <v>516</v>
      </c>
      <c r="B567" s="4" t="s">
        <v>997</v>
      </c>
      <c r="C567" s="240" t="s">
        <v>1588</v>
      </c>
      <c r="D567" s="241"/>
      <c r="E567" s="241"/>
      <c r="F567" s="4" t="s">
        <v>1644</v>
      </c>
      <c r="G567" s="69">
        <v>1</v>
      </c>
      <c r="H567" s="168"/>
      <c r="I567" s="17">
        <f t="shared" si="554"/>
        <v>0</v>
      </c>
      <c r="J567" s="17">
        <f t="shared" si="555"/>
        <v>0</v>
      </c>
      <c r="K567" s="17">
        <f t="shared" si="556"/>
        <v>0</v>
      </c>
      <c r="L567" s="28"/>
      <c r="Z567" s="34">
        <f t="shared" si="557"/>
        <v>0</v>
      </c>
      <c r="AB567" s="34">
        <f t="shared" si="558"/>
        <v>0</v>
      </c>
      <c r="AC567" s="34">
        <f t="shared" si="559"/>
        <v>0</v>
      </c>
      <c r="AD567" s="34">
        <f t="shared" si="560"/>
        <v>0</v>
      </c>
      <c r="AE567" s="34">
        <f t="shared" si="561"/>
        <v>0</v>
      </c>
      <c r="AF567" s="34">
        <f t="shared" si="562"/>
        <v>0</v>
      </c>
      <c r="AG567" s="34">
        <f t="shared" si="563"/>
        <v>0</v>
      </c>
      <c r="AH567" s="34">
        <f t="shared" si="564"/>
        <v>0</v>
      </c>
      <c r="AI567" s="29"/>
      <c r="AJ567" s="17">
        <f t="shared" si="565"/>
        <v>0</v>
      </c>
      <c r="AK567" s="17">
        <f t="shared" si="566"/>
        <v>0</v>
      </c>
      <c r="AL567" s="17">
        <f t="shared" si="567"/>
        <v>0</v>
      </c>
      <c r="AN567" s="34">
        <v>15</v>
      </c>
      <c r="AO567" s="34">
        <f t="shared" si="568"/>
        <v>0</v>
      </c>
      <c r="AP567" s="34">
        <f t="shared" si="569"/>
        <v>0</v>
      </c>
      <c r="AQ567" s="28" t="s">
        <v>7</v>
      </c>
      <c r="AV567" s="34">
        <f t="shared" si="570"/>
        <v>0</v>
      </c>
      <c r="AW567" s="34">
        <f t="shared" si="571"/>
        <v>0</v>
      </c>
      <c r="AX567" s="34">
        <f t="shared" si="572"/>
        <v>0</v>
      </c>
      <c r="AY567" s="35" t="s">
        <v>1722</v>
      </c>
      <c r="AZ567" s="35" t="s">
        <v>1730</v>
      </c>
      <c r="BA567" s="29" t="s">
        <v>1737</v>
      </c>
      <c r="BC567" s="34">
        <f t="shared" si="573"/>
        <v>0</v>
      </c>
      <c r="BD567" s="34">
        <f t="shared" si="574"/>
        <v>0</v>
      </c>
      <c r="BE567" s="34">
        <v>0</v>
      </c>
      <c r="BF567" s="34">
        <f>567</f>
        <v>567</v>
      </c>
      <c r="BH567" s="17">
        <f t="shared" si="575"/>
        <v>0</v>
      </c>
      <c r="BI567" s="17">
        <f t="shared" si="576"/>
        <v>0</v>
      </c>
      <c r="BJ567" s="17">
        <f t="shared" si="577"/>
        <v>0</v>
      </c>
    </row>
    <row r="568" spans="1:62" x14ac:dyDescent="0.2">
      <c r="A568" s="4" t="s">
        <v>517</v>
      </c>
      <c r="B568" s="4" t="s">
        <v>997</v>
      </c>
      <c r="C568" s="240" t="s">
        <v>1589</v>
      </c>
      <c r="D568" s="241"/>
      <c r="E568" s="241"/>
      <c r="F568" s="4" t="s">
        <v>1644</v>
      </c>
      <c r="G568" s="69">
        <v>1</v>
      </c>
      <c r="H568" s="168"/>
      <c r="I568" s="17">
        <f t="shared" si="554"/>
        <v>0</v>
      </c>
      <c r="J568" s="17">
        <f t="shared" si="555"/>
        <v>0</v>
      </c>
      <c r="K568" s="17">
        <f t="shared" si="556"/>
        <v>0</v>
      </c>
      <c r="L568" s="28"/>
      <c r="Z568" s="34">
        <f t="shared" si="557"/>
        <v>0</v>
      </c>
      <c r="AB568" s="34">
        <f t="shared" si="558"/>
        <v>0</v>
      </c>
      <c r="AC568" s="34">
        <f t="shared" si="559"/>
        <v>0</v>
      </c>
      <c r="AD568" s="34">
        <f t="shared" si="560"/>
        <v>0</v>
      </c>
      <c r="AE568" s="34">
        <f t="shared" si="561"/>
        <v>0</v>
      </c>
      <c r="AF568" s="34">
        <f t="shared" si="562"/>
        <v>0</v>
      </c>
      <c r="AG568" s="34">
        <f t="shared" si="563"/>
        <v>0</v>
      </c>
      <c r="AH568" s="34">
        <f t="shared" si="564"/>
        <v>0</v>
      </c>
      <c r="AI568" s="29"/>
      <c r="AJ568" s="17">
        <f t="shared" si="565"/>
        <v>0</v>
      </c>
      <c r="AK568" s="17">
        <f t="shared" si="566"/>
        <v>0</v>
      </c>
      <c r="AL568" s="17">
        <f t="shared" si="567"/>
        <v>0</v>
      </c>
      <c r="AN568" s="34">
        <v>15</v>
      </c>
      <c r="AO568" s="34">
        <f t="shared" si="568"/>
        <v>0</v>
      </c>
      <c r="AP568" s="34">
        <f t="shared" si="569"/>
        <v>0</v>
      </c>
      <c r="AQ568" s="28" t="s">
        <v>7</v>
      </c>
      <c r="AV568" s="34">
        <f t="shared" si="570"/>
        <v>0</v>
      </c>
      <c r="AW568" s="34">
        <f t="shared" si="571"/>
        <v>0</v>
      </c>
      <c r="AX568" s="34">
        <f t="shared" si="572"/>
        <v>0</v>
      </c>
      <c r="AY568" s="35" t="s">
        <v>1722</v>
      </c>
      <c r="AZ568" s="35" t="s">
        <v>1730</v>
      </c>
      <c r="BA568" s="29" t="s">
        <v>1737</v>
      </c>
      <c r="BC568" s="34">
        <f t="shared" si="573"/>
        <v>0</v>
      </c>
      <c r="BD568" s="34">
        <f t="shared" si="574"/>
        <v>0</v>
      </c>
      <c r="BE568" s="34">
        <v>0</v>
      </c>
      <c r="BF568" s="34">
        <f>568</f>
        <v>568</v>
      </c>
      <c r="BH568" s="17">
        <f t="shared" si="575"/>
        <v>0</v>
      </c>
      <c r="BI568" s="17">
        <f t="shared" si="576"/>
        <v>0</v>
      </c>
      <c r="BJ568" s="17">
        <f t="shared" si="577"/>
        <v>0</v>
      </c>
    </row>
    <row r="569" spans="1:62" x14ac:dyDescent="0.2">
      <c r="A569" s="4" t="s">
        <v>518</v>
      </c>
      <c r="B569" s="4" t="s">
        <v>977</v>
      </c>
      <c r="C569" s="240" t="s">
        <v>1590</v>
      </c>
      <c r="D569" s="241"/>
      <c r="E569" s="241"/>
      <c r="F569" s="4" t="s">
        <v>1644</v>
      </c>
      <c r="G569" s="69">
        <v>1</v>
      </c>
      <c r="H569" s="168"/>
      <c r="I569" s="17">
        <f t="shared" si="554"/>
        <v>0</v>
      </c>
      <c r="J569" s="17">
        <f t="shared" si="555"/>
        <v>0</v>
      </c>
      <c r="K569" s="17">
        <f t="shared" si="556"/>
        <v>0</v>
      </c>
      <c r="L569" s="28"/>
      <c r="Z569" s="34">
        <f t="shared" si="557"/>
        <v>0</v>
      </c>
      <c r="AB569" s="34">
        <f t="shared" si="558"/>
        <v>0</v>
      </c>
      <c r="AC569" s="34">
        <f t="shared" si="559"/>
        <v>0</v>
      </c>
      <c r="AD569" s="34">
        <f t="shared" si="560"/>
        <v>0</v>
      </c>
      <c r="AE569" s="34">
        <f t="shared" si="561"/>
        <v>0</v>
      </c>
      <c r="AF569" s="34">
        <f t="shared" si="562"/>
        <v>0</v>
      </c>
      <c r="AG569" s="34">
        <f t="shared" si="563"/>
        <v>0</v>
      </c>
      <c r="AH569" s="34">
        <f t="shared" si="564"/>
        <v>0</v>
      </c>
      <c r="AI569" s="29"/>
      <c r="AJ569" s="17">
        <f t="shared" si="565"/>
        <v>0</v>
      </c>
      <c r="AK569" s="17">
        <f t="shared" si="566"/>
        <v>0</v>
      </c>
      <c r="AL569" s="17">
        <f t="shared" si="567"/>
        <v>0</v>
      </c>
      <c r="AN569" s="34">
        <v>15</v>
      </c>
      <c r="AO569" s="34">
        <f t="shared" si="568"/>
        <v>0</v>
      </c>
      <c r="AP569" s="34">
        <f t="shared" si="569"/>
        <v>0</v>
      </c>
      <c r="AQ569" s="28" t="s">
        <v>7</v>
      </c>
      <c r="AV569" s="34">
        <f t="shared" si="570"/>
        <v>0</v>
      </c>
      <c r="AW569" s="34">
        <f t="shared" si="571"/>
        <v>0</v>
      </c>
      <c r="AX569" s="34">
        <f t="shared" si="572"/>
        <v>0</v>
      </c>
      <c r="AY569" s="35" t="s">
        <v>1722</v>
      </c>
      <c r="AZ569" s="35" t="s">
        <v>1730</v>
      </c>
      <c r="BA569" s="29" t="s">
        <v>1737</v>
      </c>
      <c r="BC569" s="34">
        <f t="shared" si="573"/>
        <v>0</v>
      </c>
      <c r="BD569" s="34">
        <f t="shared" si="574"/>
        <v>0</v>
      </c>
      <c r="BE569" s="34">
        <v>0</v>
      </c>
      <c r="BF569" s="34">
        <f>569</f>
        <v>569</v>
      </c>
      <c r="BH569" s="17">
        <f t="shared" si="575"/>
        <v>0</v>
      </c>
      <c r="BI569" s="17">
        <f t="shared" si="576"/>
        <v>0</v>
      </c>
      <c r="BJ569" s="17">
        <f t="shared" si="577"/>
        <v>0</v>
      </c>
    </row>
    <row r="570" spans="1:62" x14ac:dyDescent="0.2">
      <c r="A570" s="4" t="s">
        <v>519</v>
      </c>
      <c r="B570" s="4" t="s">
        <v>998</v>
      </c>
      <c r="C570" s="240" t="s">
        <v>1591</v>
      </c>
      <c r="D570" s="241"/>
      <c r="E570" s="241"/>
      <c r="F570" s="4" t="s">
        <v>1644</v>
      </c>
      <c r="G570" s="69">
        <v>1</v>
      </c>
      <c r="H570" s="168"/>
      <c r="I570" s="17">
        <f t="shared" ref="I570:I601" si="578">G570*AO570</f>
        <v>0</v>
      </c>
      <c r="J570" s="17">
        <f t="shared" ref="J570:J601" si="579">G570*AP570</f>
        <v>0</v>
      </c>
      <c r="K570" s="17">
        <f t="shared" ref="K570:K601" si="580">G570*H570</f>
        <v>0</v>
      </c>
      <c r="L570" s="28"/>
      <c r="Z570" s="34">
        <f t="shared" ref="Z570:Z601" si="581">IF(AQ570="5",BJ570,0)</f>
        <v>0</v>
      </c>
      <c r="AB570" s="34">
        <f t="shared" ref="AB570:AB601" si="582">IF(AQ570="1",BH570,0)</f>
        <v>0</v>
      </c>
      <c r="AC570" s="34">
        <f t="shared" ref="AC570:AC601" si="583">IF(AQ570="1",BI570,0)</f>
        <v>0</v>
      </c>
      <c r="AD570" s="34">
        <f t="shared" ref="AD570:AD601" si="584">IF(AQ570="7",BH570,0)</f>
        <v>0</v>
      </c>
      <c r="AE570" s="34">
        <f t="shared" ref="AE570:AE601" si="585">IF(AQ570="7",BI570,0)</f>
        <v>0</v>
      </c>
      <c r="AF570" s="34">
        <f t="shared" ref="AF570:AF601" si="586">IF(AQ570="2",BH570,0)</f>
        <v>0</v>
      </c>
      <c r="AG570" s="34">
        <f t="shared" ref="AG570:AG601" si="587">IF(AQ570="2",BI570,0)</f>
        <v>0</v>
      </c>
      <c r="AH570" s="34">
        <f t="shared" ref="AH570:AH601" si="588">IF(AQ570="0",BJ570,0)</f>
        <v>0</v>
      </c>
      <c r="AI570" s="29"/>
      <c r="AJ570" s="17">
        <f t="shared" ref="AJ570:AJ601" si="589">IF(AN570=0,K570,0)</f>
        <v>0</v>
      </c>
      <c r="AK570" s="17">
        <f t="shared" ref="AK570:AK601" si="590">IF(AN570=15,K570,0)</f>
        <v>0</v>
      </c>
      <c r="AL570" s="17">
        <f t="shared" ref="AL570:AL601" si="591">IF(AN570=21,K570,0)</f>
        <v>0</v>
      </c>
      <c r="AN570" s="34">
        <v>15</v>
      </c>
      <c r="AO570" s="34">
        <f t="shared" ref="AO570:AO601" si="592">H570*0</f>
        <v>0</v>
      </c>
      <c r="AP570" s="34">
        <f t="shared" ref="AP570:AP601" si="593">H570*(1-0)</f>
        <v>0</v>
      </c>
      <c r="AQ570" s="28" t="s">
        <v>7</v>
      </c>
      <c r="AV570" s="34">
        <f t="shared" ref="AV570:AV601" si="594">AW570+AX570</f>
        <v>0</v>
      </c>
      <c r="AW570" s="34">
        <f t="shared" ref="AW570:AW601" si="595">G570*AO570</f>
        <v>0</v>
      </c>
      <c r="AX570" s="34">
        <f t="shared" ref="AX570:AX601" si="596">G570*AP570</f>
        <v>0</v>
      </c>
      <c r="AY570" s="35" t="s">
        <v>1722</v>
      </c>
      <c r="AZ570" s="35" t="s">
        <v>1730</v>
      </c>
      <c r="BA570" s="29" t="s">
        <v>1737</v>
      </c>
      <c r="BC570" s="34">
        <f t="shared" ref="BC570:BC601" si="597">AW570+AX570</f>
        <v>0</v>
      </c>
      <c r="BD570" s="34">
        <f t="shared" ref="BD570:BD601" si="598">H570/(100-BE570)*100</f>
        <v>0</v>
      </c>
      <c r="BE570" s="34">
        <v>0</v>
      </c>
      <c r="BF570" s="34">
        <f>570</f>
        <v>570</v>
      </c>
      <c r="BH570" s="17">
        <f t="shared" ref="BH570:BH601" si="599">G570*AO570</f>
        <v>0</v>
      </c>
      <c r="BI570" s="17">
        <f t="shared" ref="BI570:BI601" si="600">G570*AP570</f>
        <v>0</v>
      </c>
      <c r="BJ570" s="17">
        <f t="shared" ref="BJ570:BJ601" si="601">G570*H570</f>
        <v>0</v>
      </c>
    </row>
    <row r="571" spans="1:62" x14ac:dyDescent="0.2">
      <c r="A571" s="4" t="s">
        <v>520</v>
      </c>
      <c r="B571" s="4" t="s">
        <v>999</v>
      </c>
      <c r="C571" s="240" t="s">
        <v>1586</v>
      </c>
      <c r="D571" s="241"/>
      <c r="E571" s="241"/>
      <c r="F571" s="4" t="s">
        <v>1644</v>
      </c>
      <c r="G571" s="69">
        <v>2</v>
      </c>
      <c r="H571" s="168"/>
      <c r="I571" s="17">
        <f t="shared" si="578"/>
        <v>0</v>
      </c>
      <c r="J571" s="17">
        <f t="shared" si="579"/>
        <v>0</v>
      </c>
      <c r="K571" s="17">
        <f t="shared" si="580"/>
        <v>0</v>
      </c>
      <c r="L571" s="28"/>
      <c r="Z571" s="34">
        <f t="shared" si="581"/>
        <v>0</v>
      </c>
      <c r="AB571" s="34">
        <f t="shared" si="582"/>
        <v>0</v>
      </c>
      <c r="AC571" s="34">
        <f t="shared" si="583"/>
        <v>0</v>
      </c>
      <c r="AD571" s="34">
        <f t="shared" si="584"/>
        <v>0</v>
      </c>
      <c r="AE571" s="34">
        <f t="shared" si="585"/>
        <v>0</v>
      </c>
      <c r="AF571" s="34">
        <f t="shared" si="586"/>
        <v>0</v>
      </c>
      <c r="AG571" s="34">
        <f t="shared" si="587"/>
        <v>0</v>
      </c>
      <c r="AH571" s="34">
        <f t="shared" si="588"/>
        <v>0</v>
      </c>
      <c r="AI571" s="29"/>
      <c r="AJ571" s="17">
        <f t="shared" si="589"/>
        <v>0</v>
      </c>
      <c r="AK571" s="17">
        <f t="shared" si="590"/>
        <v>0</v>
      </c>
      <c r="AL571" s="17">
        <f t="shared" si="591"/>
        <v>0</v>
      </c>
      <c r="AN571" s="34">
        <v>15</v>
      </c>
      <c r="AO571" s="34">
        <f t="shared" si="592"/>
        <v>0</v>
      </c>
      <c r="AP571" s="34">
        <f t="shared" si="593"/>
        <v>0</v>
      </c>
      <c r="AQ571" s="28" t="s">
        <v>7</v>
      </c>
      <c r="AV571" s="34">
        <f t="shared" si="594"/>
        <v>0</v>
      </c>
      <c r="AW571" s="34">
        <f t="shared" si="595"/>
        <v>0</v>
      </c>
      <c r="AX571" s="34">
        <f t="shared" si="596"/>
        <v>0</v>
      </c>
      <c r="AY571" s="35" t="s">
        <v>1722</v>
      </c>
      <c r="AZ571" s="35" t="s">
        <v>1730</v>
      </c>
      <c r="BA571" s="29" t="s">
        <v>1737</v>
      </c>
      <c r="BC571" s="34">
        <f t="shared" si="597"/>
        <v>0</v>
      </c>
      <c r="BD571" s="34">
        <f t="shared" si="598"/>
        <v>0</v>
      </c>
      <c r="BE571" s="34">
        <v>0</v>
      </c>
      <c r="BF571" s="34">
        <f>571</f>
        <v>571</v>
      </c>
      <c r="BH571" s="17">
        <f t="shared" si="599"/>
        <v>0</v>
      </c>
      <c r="BI571" s="17">
        <f t="shared" si="600"/>
        <v>0</v>
      </c>
      <c r="BJ571" s="17">
        <f t="shared" si="601"/>
        <v>0</v>
      </c>
    </row>
    <row r="572" spans="1:62" x14ac:dyDescent="0.2">
      <c r="A572" s="4" t="s">
        <v>521</v>
      </c>
      <c r="B572" s="4" t="s">
        <v>999</v>
      </c>
      <c r="C572" s="240" t="s">
        <v>1587</v>
      </c>
      <c r="D572" s="241"/>
      <c r="E572" s="241"/>
      <c r="F572" s="4" t="s">
        <v>1644</v>
      </c>
      <c r="G572" s="69">
        <v>2</v>
      </c>
      <c r="H572" s="168"/>
      <c r="I572" s="17">
        <f t="shared" si="578"/>
        <v>0</v>
      </c>
      <c r="J572" s="17">
        <f t="shared" si="579"/>
        <v>0</v>
      </c>
      <c r="K572" s="17">
        <f t="shared" si="580"/>
        <v>0</v>
      </c>
      <c r="L572" s="28"/>
      <c r="Z572" s="34">
        <f t="shared" si="581"/>
        <v>0</v>
      </c>
      <c r="AB572" s="34">
        <f t="shared" si="582"/>
        <v>0</v>
      </c>
      <c r="AC572" s="34">
        <f t="shared" si="583"/>
        <v>0</v>
      </c>
      <c r="AD572" s="34">
        <f t="shared" si="584"/>
        <v>0</v>
      </c>
      <c r="AE572" s="34">
        <f t="shared" si="585"/>
        <v>0</v>
      </c>
      <c r="AF572" s="34">
        <f t="shared" si="586"/>
        <v>0</v>
      </c>
      <c r="AG572" s="34">
        <f t="shared" si="587"/>
        <v>0</v>
      </c>
      <c r="AH572" s="34">
        <f t="shared" si="588"/>
        <v>0</v>
      </c>
      <c r="AI572" s="29"/>
      <c r="AJ572" s="17">
        <f t="shared" si="589"/>
        <v>0</v>
      </c>
      <c r="AK572" s="17">
        <f t="shared" si="590"/>
        <v>0</v>
      </c>
      <c r="AL572" s="17">
        <f t="shared" si="591"/>
        <v>0</v>
      </c>
      <c r="AN572" s="34">
        <v>15</v>
      </c>
      <c r="AO572" s="34">
        <f t="shared" si="592"/>
        <v>0</v>
      </c>
      <c r="AP572" s="34">
        <f t="shared" si="593"/>
        <v>0</v>
      </c>
      <c r="AQ572" s="28" t="s">
        <v>7</v>
      </c>
      <c r="AV572" s="34">
        <f t="shared" si="594"/>
        <v>0</v>
      </c>
      <c r="AW572" s="34">
        <f t="shared" si="595"/>
        <v>0</v>
      </c>
      <c r="AX572" s="34">
        <f t="shared" si="596"/>
        <v>0</v>
      </c>
      <c r="AY572" s="35" t="s">
        <v>1722</v>
      </c>
      <c r="AZ572" s="35" t="s">
        <v>1730</v>
      </c>
      <c r="BA572" s="29" t="s">
        <v>1737</v>
      </c>
      <c r="BC572" s="34">
        <f t="shared" si="597"/>
        <v>0</v>
      </c>
      <c r="BD572" s="34">
        <f t="shared" si="598"/>
        <v>0</v>
      </c>
      <c r="BE572" s="34">
        <v>0</v>
      </c>
      <c r="BF572" s="34">
        <f>572</f>
        <v>572</v>
      </c>
      <c r="BH572" s="17">
        <f t="shared" si="599"/>
        <v>0</v>
      </c>
      <c r="BI572" s="17">
        <f t="shared" si="600"/>
        <v>0</v>
      </c>
      <c r="BJ572" s="17">
        <f t="shared" si="601"/>
        <v>0</v>
      </c>
    </row>
    <row r="573" spans="1:62" x14ac:dyDescent="0.2">
      <c r="A573" s="4" t="s">
        <v>522</v>
      </c>
      <c r="B573" s="4" t="s">
        <v>1000</v>
      </c>
      <c r="C573" s="240" t="s">
        <v>1581</v>
      </c>
      <c r="D573" s="241"/>
      <c r="E573" s="241"/>
      <c r="F573" s="4" t="s">
        <v>1644</v>
      </c>
      <c r="G573" s="69">
        <v>1</v>
      </c>
      <c r="H573" s="168"/>
      <c r="I573" s="17">
        <f t="shared" si="578"/>
        <v>0</v>
      </c>
      <c r="J573" s="17">
        <f t="shared" si="579"/>
        <v>0</v>
      </c>
      <c r="K573" s="17">
        <f t="shared" si="580"/>
        <v>0</v>
      </c>
      <c r="L573" s="28"/>
      <c r="Z573" s="34">
        <f t="shared" si="581"/>
        <v>0</v>
      </c>
      <c r="AB573" s="34">
        <f t="shared" si="582"/>
        <v>0</v>
      </c>
      <c r="AC573" s="34">
        <f t="shared" si="583"/>
        <v>0</v>
      </c>
      <c r="AD573" s="34">
        <f t="shared" si="584"/>
        <v>0</v>
      </c>
      <c r="AE573" s="34">
        <f t="shared" si="585"/>
        <v>0</v>
      </c>
      <c r="AF573" s="34">
        <f t="shared" si="586"/>
        <v>0</v>
      </c>
      <c r="AG573" s="34">
        <f t="shared" si="587"/>
        <v>0</v>
      </c>
      <c r="AH573" s="34">
        <f t="shared" si="588"/>
        <v>0</v>
      </c>
      <c r="AI573" s="29"/>
      <c r="AJ573" s="17">
        <f t="shared" si="589"/>
        <v>0</v>
      </c>
      <c r="AK573" s="17">
        <f t="shared" si="590"/>
        <v>0</v>
      </c>
      <c r="AL573" s="17">
        <f t="shared" si="591"/>
        <v>0</v>
      </c>
      <c r="AN573" s="34">
        <v>15</v>
      </c>
      <c r="AO573" s="34">
        <f t="shared" si="592"/>
        <v>0</v>
      </c>
      <c r="AP573" s="34">
        <f t="shared" si="593"/>
        <v>0</v>
      </c>
      <c r="AQ573" s="28" t="s">
        <v>7</v>
      </c>
      <c r="AV573" s="34">
        <f t="shared" si="594"/>
        <v>0</v>
      </c>
      <c r="AW573" s="34">
        <f t="shared" si="595"/>
        <v>0</v>
      </c>
      <c r="AX573" s="34">
        <f t="shared" si="596"/>
        <v>0</v>
      </c>
      <c r="AY573" s="35" t="s">
        <v>1722</v>
      </c>
      <c r="AZ573" s="35" t="s">
        <v>1730</v>
      </c>
      <c r="BA573" s="29" t="s">
        <v>1737</v>
      </c>
      <c r="BC573" s="34">
        <f t="shared" si="597"/>
        <v>0</v>
      </c>
      <c r="BD573" s="34">
        <f t="shared" si="598"/>
        <v>0</v>
      </c>
      <c r="BE573" s="34">
        <v>0</v>
      </c>
      <c r="BF573" s="34">
        <f>573</f>
        <v>573</v>
      </c>
      <c r="BH573" s="17">
        <f t="shared" si="599"/>
        <v>0</v>
      </c>
      <c r="BI573" s="17">
        <f t="shared" si="600"/>
        <v>0</v>
      </c>
      <c r="BJ573" s="17">
        <f t="shared" si="601"/>
        <v>0</v>
      </c>
    </row>
    <row r="574" spans="1:62" x14ac:dyDescent="0.2">
      <c r="A574" s="4" t="s">
        <v>523</v>
      </c>
      <c r="B574" s="4" t="s">
        <v>1001</v>
      </c>
      <c r="C574" s="240" t="s">
        <v>1592</v>
      </c>
      <c r="D574" s="241"/>
      <c r="E574" s="241"/>
      <c r="F574" s="4" t="s">
        <v>1644</v>
      </c>
      <c r="G574" s="69">
        <v>1</v>
      </c>
      <c r="H574" s="168"/>
      <c r="I574" s="17">
        <f t="shared" si="578"/>
        <v>0</v>
      </c>
      <c r="J574" s="17">
        <f t="shared" si="579"/>
        <v>0</v>
      </c>
      <c r="K574" s="17">
        <f t="shared" si="580"/>
        <v>0</v>
      </c>
      <c r="L574" s="28"/>
      <c r="Z574" s="34">
        <f t="shared" si="581"/>
        <v>0</v>
      </c>
      <c r="AB574" s="34">
        <f t="shared" si="582"/>
        <v>0</v>
      </c>
      <c r="AC574" s="34">
        <f t="shared" si="583"/>
        <v>0</v>
      </c>
      <c r="AD574" s="34">
        <f t="shared" si="584"/>
        <v>0</v>
      </c>
      <c r="AE574" s="34">
        <f t="shared" si="585"/>
        <v>0</v>
      </c>
      <c r="AF574" s="34">
        <f t="shared" si="586"/>
        <v>0</v>
      </c>
      <c r="AG574" s="34">
        <f t="shared" si="587"/>
        <v>0</v>
      </c>
      <c r="AH574" s="34">
        <f t="shared" si="588"/>
        <v>0</v>
      </c>
      <c r="AI574" s="29"/>
      <c r="AJ574" s="17">
        <f t="shared" si="589"/>
        <v>0</v>
      </c>
      <c r="AK574" s="17">
        <f t="shared" si="590"/>
        <v>0</v>
      </c>
      <c r="AL574" s="17">
        <f t="shared" si="591"/>
        <v>0</v>
      </c>
      <c r="AN574" s="34">
        <v>15</v>
      </c>
      <c r="AO574" s="34">
        <f t="shared" si="592"/>
        <v>0</v>
      </c>
      <c r="AP574" s="34">
        <f t="shared" si="593"/>
        <v>0</v>
      </c>
      <c r="AQ574" s="28" t="s">
        <v>7</v>
      </c>
      <c r="AV574" s="34">
        <f t="shared" si="594"/>
        <v>0</v>
      </c>
      <c r="AW574" s="34">
        <f t="shared" si="595"/>
        <v>0</v>
      </c>
      <c r="AX574" s="34">
        <f t="shared" si="596"/>
        <v>0</v>
      </c>
      <c r="AY574" s="35" t="s">
        <v>1722</v>
      </c>
      <c r="AZ574" s="35" t="s">
        <v>1730</v>
      </c>
      <c r="BA574" s="29" t="s">
        <v>1737</v>
      </c>
      <c r="BC574" s="34">
        <f t="shared" si="597"/>
        <v>0</v>
      </c>
      <c r="BD574" s="34">
        <f t="shared" si="598"/>
        <v>0</v>
      </c>
      <c r="BE574" s="34">
        <v>0</v>
      </c>
      <c r="BF574" s="34">
        <f>574</f>
        <v>574</v>
      </c>
      <c r="BH574" s="17">
        <f t="shared" si="599"/>
        <v>0</v>
      </c>
      <c r="BI574" s="17">
        <f t="shared" si="600"/>
        <v>0</v>
      </c>
      <c r="BJ574" s="17">
        <f t="shared" si="601"/>
        <v>0</v>
      </c>
    </row>
    <row r="575" spans="1:62" x14ac:dyDescent="0.2">
      <c r="A575" s="4" t="s">
        <v>524</v>
      </c>
      <c r="B575" s="4" t="s">
        <v>1002</v>
      </c>
      <c r="C575" s="240" t="s">
        <v>1593</v>
      </c>
      <c r="D575" s="241"/>
      <c r="E575" s="241"/>
      <c r="F575" s="4" t="s">
        <v>1644</v>
      </c>
      <c r="G575" s="69">
        <v>1</v>
      </c>
      <c r="H575" s="168"/>
      <c r="I575" s="17">
        <f t="shared" si="578"/>
        <v>0</v>
      </c>
      <c r="J575" s="17">
        <f t="shared" si="579"/>
        <v>0</v>
      </c>
      <c r="K575" s="17">
        <f t="shared" si="580"/>
        <v>0</v>
      </c>
      <c r="L575" s="28"/>
      <c r="Z575" s="34">
        <f t="shared" si="581"/>
        <v>0</v>
      </c>
      <c r="AB575" s="34">
        <f t="shared" si="582"/>
        <v>0</v>
      </c>
      <c r="AC575" s="34">
        <f t="shared" si="583"/>
        <v>0</v>
      </c>
      <c r="AD575" s="34">
        <f t="shared" si="584"/>
        <v>0</v>
      </c>
      <c r="AE575" s="34">
        <f t="shared" si="585"/>
        <v>0</v>
      </c>
      <c r="AF575" s="34">
        <f t="shared" si="586"/>
        <v>0</v>
      </c>
      <c r="AG575" s="34">
        <f t="shared" si="587"/>
        <v>0</v>
      </c>
      <c r="AH575" s="34">
        <f t="shared" si="588"/>
        <v>0</v>
      </c>
      <c r="AI575" s="29"/>
      <c r="AJ575" s="17">
        <f t="shared" si="589"/>
        <v>0</v>
      </c>
      <c r="AK575" s="17">
        <f t="shared" si="590"/>
        <v>0</v>
      </c>
      <c r="AL575" s="17">
        <f t="shared" si="591"/>
        <v>0</v>
      </c>
      <c r="AN575" s="34">
        <v>15</v>
      </c>
      <c r="AO575" s="34">
        <f t="shared" si="592"/>
        <v>0</v>
      </c>
      <c r="AP575" s="34">
        <f t="shared" si="593"/>
        <v>0</v>
      </c>
      <c r="AQ575" s="28" t="s">
        <v>7</v>
      </c>
      <c r="AV575" s="34">
        <f t="shared" si="594"/>
        <v>0</v>
      </c>
      <c r="AW575" s="34">
        <f t="shared" si="595"/>
        <v>0</v>
      </c>
      <c r="AX575" s="34">
        <f t="shared" si="596"/>
        <v>0</v>
      </c>
      <c r="AY575" s="35" t="s">
        <v>1722</v>
      </c>
      <c r="AZ575" s="35" t="s">
        <v>1730</v>
      </c>
      <c r="BA575" s="29" t="s">
        <v>1737</v>
      </c>
      <c r="BC575" s="34">
        <f t="shared" si="597"/>
        <v>0</v>
      </c>
      <c r="BD575" s="34">
        <f t="shared" si="598"/>
        <v>0</v>
      </c>
      <c r="BE575" s="34">
        <v>0</v>
      </c>
      <c r="BF575" s="34">
        <f>575</f>
        <v>575</v>
      </c>
      <c r="BH575" s="17">
        <f t="shared" si="599"/>
        <v>0</v>
      </c>
      <c r="BI575" s="17">
        <f t="shared" si="600"/>
        <v>0</v>
      </c>
      <c r="BJ575" s="17">
        <f t="shared" si="601"/>
        <v>0</v>
      </c>
    </row>
    <row r="576" spans="1:62" x14ac:dyDescent="0.2">
      <c r="A576" s="4" t="s">
        <v>525</v>
      </c>
      <c r="B576" s="4" t="s">
        <v>1003</v>
      </c>
      <c r="C576" s="240" t="s">
        <v>1594</v>
      </c>
      <c r="D576" s="241"/>
      <c r="E576" s="241"/>
      <c r="F576" s="4" t="s">
        <v>1644</v>
      </c>
      <c r="G576" s="69">
        <v>1</v>
      </c>
      <c r="H576" s="168"/>
      <c r="I576" s="17">
        <f t="shared" si="578"/>
        <v>0</v>
      </c>
      <c r="J576" s="17">
        <f t="shared" si="579"/>
        <v>0</v>
      </c>
      <c r="K576" s="17">
        <f t="shared" si="580"/>
        <v>0</v>
      </c>
      <c r="L576" s="28"/>
      <c r="Z576" s="34">
        <f t="shared" si="581"/>
        <v>0</v>
      </c>
      <c r="AB576" s="34">
        <f t="shared" si="582"/>
        <v>0</v>
      </c>
      <c r="AC576" s="34">
        <f t="shared" si="583"/>
        <v>0</v>
      </c>
      <c r="AD576" s="34">
        <f t="shared" si="584"/>
        <v>0</v>
      </c>
      <c r="AE576" s="34">
        <f t="shared" si="585"/>
        <v>0</v>
      </c>
      <c r="AF576" s="34">
        <f t="shared" si="586"/>
        <v>0</v>
      </c>
      <c r="AG576" s="34">
        <f t="shared" si="587"/>
        <v>0</v>
      </c>
      <c r="AH576" s="34">
        <f t="shared" si="588"/>
        <v>0</v>
      </c>
      <c r="AI576" s="29"/>
      <c r="AJ576" s="17">
        <f t="shared" si="589"/>
        <v>0</v>
      </c>
      <c r="AK576" s="17">
        <f t="shared" si="590"/>
        <v>0</v>
      </c>
      <c r="AL576" s="17">
        <f t="shared" si="591"/>
        <v>0</v>
      </c>
      <c r="AN576" s="34">
        <v>15</v>
      </c>
      <c r="AO576" s="34">
        <f t="shared" si="592"/>
        <v>0</v>
      </c>
      <c r="AP576" s="34">
        <f t="shared" si="593"/>
        <v>0</v>
      </c>
      <c r="AQ576" s="28" t="s">
        <v>7</v>
      </c>
      <c r="AV576" s="34">
        <f t="shared" si="594"/>
        <v>0</v>
      </c>
      <c r="AW576" s="34">
        <f t="shared" si="595"/>
        <v>0</v>
      </c>
      <c r="AX576" s="34">
        <f t="shared" si="596"/>
        <v>0</v>
      </c>
      <c r="AY576" s="35" t="s">
        <v>1722</v>
      </c>
      <c r="AZ576" s="35" t="s">
        <v>1730</v>
      </c>
      <c r="BA576" s="29" t="s">
        <v>1737</v>
      </c>
      <c r="BC576" s="34">
        <f t="shared" si="597"/>
        <v>0</v>
      </c>
      <c r="BD576" s="34">
        <f t="shared" si="598"/>
        <v>0</v>
      </c>
      <c r="BE576" s="34">
        <v>0</v>
      </c>
      <c r="BF576" s="34">
        <f>576</f>
        <v>576</v>
      </c>
      <c r="BH576" s="17">
        <f t="shared" si="599"/>
        <v>0</v>
      </c>
      <c r="BI576" s="17">
        <f t="shared" si="600"/>
        <v>0</v>
      </c>
      <c r="BJ576" s="17">
        <f t="shared" si="601"/>
        <v>0</v>
      </c>
    </row>
    <row r="577" spans="1:62" x14ac:dyDescent="0.2">
      <c r="A577" s="4" t="s">
        <v>526</v>
      </c>
      <c r="B577" s="4" t="s">
        <v>1003</v>
      </c>
      <c r="C577" s="240" t="s">
        <v>1595</v>
      </c>
      <c r="D577" s="241"/>
      <c r="E577" s="241"/>
      <c r="F577" s="4" t="s">
        <v>1644</v>
      </c>
      <c r="G577" s="69">
        <v>1</v>
      </c>
      <c r="H577" s="168"/>
      <c r="I577" s="17">
        <f t="shared" si="578"/>
        <v>0</v>
      </c>
      <c r="J577" s="17">
        <f t="shared" si="579"/>
        <v>0</v>
      </c>
      <c r="K577" s="17">
        <f t="shared" si="580"/>
        <v>0</v>
      </c>
      <c r="L577" s="28"/>
      <c r="Z577" s="34">
        <f t="shared" si="581"/>
        <v>0</v>
      </c>
      <c r="AB577" s="34">
        <f t="shared" si="582"/>
        <v>0</v>
      </c>
      <c r="AC577" s="34">
        <f t="shared" si="583"/>
        <v>0</v>
      </c>
      <c r="AD577" s="34">
        <f t="shared" si="584"/>
        <v>0</v>
      </c>
      <c r="AE577" s="34">
        <f t="shared" si="585"/>
        <v>0</v>
      </c>
      <c r="AF577" s="34">
        <f t="shared" si="586"/>
        <v>0</v>
      </c>
      <c r="AG577" s="34">
        <f t="shared" si="587"/>
        <v>0</v>
      </c>
      <c r="AH577" s="34">
        <f t="shared" si="588"/>
        <v>0</v>
      </c>
      <c r="AI577" s="29"/>
      <c r="AJ577" s="17">
        <f t="shared" si="589"/>
        <v>0</v>
      </c>
      <c r="AK577" s="17">
        <f t="shared" si="590"/>
        <v>0</v>
      </c>
      <c r="AL577" s="17">
        <f t="shared" si="591"/>
        <v>0</v>
      </c>
      <c r="AN577" s="34">
        <v>15</v>
      </c>
      <c r="AO577" s="34">
        <f t="shared" si="592"/>
        <v>0</v>
      </c>
      <c r="AP577" s="34">
        <f t="shared" si="593"/>
        <v>0</v>
      </c>
      <c r="AQ577" s="28" t="s">
        <v>7</v>
      </c>
      <c r="AV577" s="34">
        <f t="shared" si="594"/>
        <v>0</v>
      </c>
      <c r="AW577" s="34">
        <f t="shared" si="595"/>
        <v>0</v>
      </c>
      <c r="AX577" s="34">
        <f t="shared" si="596"/>
        <v>0</v>
      </c>
      <c r="AY577" s="35" t="s">
        <v>1722</v>
      </c>
      <c r="AZ577" s="35" t="s">
        <v>1730</v>
      </c>
      <c r="BA577" s="29" t="s">
        <v>1737</v>
      </c>
      <c r="BC577" s="34">
        <f t="shared" si="597"/>
        <v>0</v>
      </c>
      <c r="BD577" s="34">
        <f t="shared" si="598"/>
        <v>0</v>
      </c>
      <c r="BE577" s="34">
        <v>0</v>
      </c>
      <c r="BF577" s="34">
        <f>577</f>
        <v>577</v>
      </c>
      <c r="BH577" s="17">
        <f t="shared" si="599"/>
        <v>0</v>
      </c>
      <c r="BI577" s="17">
        <f t="shared" si="600"/>
        <v>0</v>
      </c>
      <c r="BJ577" s="17">
        <f t="shared" si="601"/>
        <v>0</v>
      </c>
    </row>
    <row r="578" spans="1:62" x14ac:dyDescent="0.2">
      <c r="A578" s="4" t="s">
        <v>527</v>
      </c>
      <c r="B578" s="4" t="s">
        <v>1004</v>
      </c>
      <c r="C578" s="240" t="s">
        <v>1596</v>
      </c>
      <c r="D578" s="241"/>
      <c r="E578" s="241"/>
      <c r="F578" s="4" t="s">
        <v>1644</v>
      </c>
      <c r="G578" s="69">
        <v>1</v>
      </c>
      <c r="H578" s="168"/>
      <c r="I578" s="17">
        <f t="shared" si="578"/>
        <v>0</v>
      </c>
      <c r="J578" s="17">
        <f t="shared" si="579"/>
        <v>0</v>
      </c>
      <c r="K578" s="17">
        <f t="shared" si="580"/>
        <v>0</v>
      </c>
      <c r="L578" s="28"/>
      <c r="Z578" s="34">
        <f t="shared" si="581"/>
        <v>0</v>
      </c>
      <c r="AB578" s="34">
        <f t="shared" si="582"/>
        <v>0</v>
      </c>
      <c r="AC578" s="34">
        <f t="shared" si="583"/>
        <v>0</v>
      </c>
      <c r="AD578" s="34">
        <f t="shared" si="584"/>
        <v>0</v>
      </c>
      <c r="AE578" s="34">
        <f t="shared" si="585"/>
        <v>0</v>
      </c>
      <c r="AF578" s="34">
        <f t="shared" si="586"/>
        <v>0</v>
      </c>
      <c r="AG578" s="34">
        <f t="shared" si="587"/>
        <v>0</v>
      </c>
      <c r="AH578" s="34">
        <f t="shared" si="588"/>
        <v>0</v>
      </c>
      <c r="AI578" s="29"/>
      <c r="AJ578" s="17">
        <f t="shared" si="589"/>
        <v>0</v>
      </c>
      <c r="AK578" s="17">
        <f t="shared" si="590"/>
        <v>0</v>
      </c>
      <c r="AL578" s="17">
        <f t="shared" si="591"/>
        <v>0</v>
      </c>
      <c r="AN578" s="34">
        <v>15</v>
      </c>
      <c r="AO578" s="34">
        <f t="shared" si="592"/>
        <v>0</v>
      </c>
      <c r="AP578" s="34">
        <f t="shared" si="593"/>
        <v>0</v>
      </c>
      <c r="AQ578" s="28" t="s">
        <v>7</v>
      </c>
      <c r="AV578" s="34">
        <f t="shared" si="594"/>
        <v>0</v>
      </c>
      <c r="AW578" s="34">
        <f t="shared" si="595"/>
        <v>0</v>
      </c>
      <c r="AX578" s="34">
        <f t="shared" si="596"/>
        <v>0</v>
      </c>
      <c r="AY578" s="35" t="s">
        <v>1722</v>
      </c>
      <c r="AZ578" s="35" t="s">
        <v>1730</v>
      </c>
      <c r="BA578" s="29" t="s">
        <v>1737</v>
      </c>
      <c r="BC578" s="34">
        <f t="shared" si="597"/>
        <v>0</v>
      </c>
      <c r="BD578" s="34">
        <f t="shared" si="598"/>
        <v>0</v>
      </c>
      <c r="BE578" s="34">
        <v>0</v>
      </c>
      <c r="BF578" s="34">
        <f>578</f>
        <v>578</v>
      </c>
      <c r="BH578" s="17">
        <f t="shared" si="599"/>
        <v>0</v>
      </c>
      <c r="BI578" s="17">
        <f t="shared" si="600"/>
        <v>0</v>
      </c>
      <c r="BJ578" s="17">
        <f t="shared" si="601"/>
        <v>0</v>
      </c>
    </row>
    <row r="579" spans="1:62" x14ac:dyDescent="0.2">
      <c r="A579" s="4" t="s">
        <v>528</v>
      </c>
      <c r="B579" s="4" t="s">
        <v>1005</v>
      </c>
      <c r="C579" s="240" t="s">
        <v>1597</v>
      </c>
      <c r="D579" s="241"/>
      <c r="E579" s="241"/>
      <c r="F579" s="4" t="s">
        <v>1644</v>
      </c>
      <c r="G579" s="69">
        <v>1</v>
      </c>
      <c r="H579" s="168"/>
      <c r="I579" s="17">
        <f t="shared" si="578"/>
        <v>0</v>
      </c>
      <c r="J579" s="17">
        <f t="shared" si="579"/>
        <v>0</v>
      </c>
      <c r="K579" s="17">
        <f t="shared" si="580"/>
        <v>0</v>
      </c>
      <c r="L579" s="28"/>
      <c r="Z579" s="34">
        <f t="shared" si="581"/>
        <v>0</v>
      </c>
      <c r="AB579" s="34">
        <f t="shared" si="582"/>
        <v>0</v>
      </c>
      <c r="AC579" s="34">
        <f t="shared" si="583"/>
        <v>0</v>
      </c>
      <c r="AD579" s="34">
        <f t="shared" si="584"/>
        <v>0</v>
      </c>
      <c r="AE579" s="34">
        <f t="shared" si="585"/>
        <v>0</v>
      </c>
      <c r="AF579" s="34">
        <f t="shared" si="586"/>
        <v>0</v>
      </c>
      <c r="AG579" s="34">
        <f t="shared" si="587"/>
        <v>0</v>
      </c>
      <c r="AH579" s="34">
        <f t="shared" si="588"/>
        <v>0</v>
      </c>
      <c r="AI579" s="29"/>
      <c r="AJ579" s="17">
        <f t="shared" si="589"/>
        <v>0</v>
      </c>
      <c r="AK579" s="17">
        <f t="shared" si="590"/>
        <v>0</v>
      </c>
      <c r="AL579" s="17">
        <f t="shared" si="591"/>
        <v>0</v>
      </c>
      <c r="AN579" s="34">
        <v>15</v>
      </c>
      <c r="AO579" s="34">
        <f t="shared" si="592"/>
        <v>0</v>
      </c>
      <c r="AP579" s="34">
        <f t="shared" si="593"/>
        <v>0</v>
      </c>
      <c r="AQ579" s="28" t="s">
        <v>7</v>
      </c>
      <c r="AV579" s="34">
        <f t="shared" si="594"/>
        <v>0</v>
      </c>
      <c r="AW579" s="34">
        <f t="shared" si="595"/>
        <v>0</v>
      </c>
      <c r="AX579" s="34">
        <f t="shared" si="596"/>
        <v>0</v>
      </c>
      <c r="AY579" s="35" t="s">
        <v>1722</v>
      </c>
      <c r="AZ579" s="35" t="s">
        <v>1730</v>
      </c>
      <c r="BA579" s="29" t="s">
        <v>1737</v>
      </c>
      <c r="BC579" s="34">
        <f t="shared" si="597"/>
        <v>0</v>
      </c>
      <c r="BD579" s="34">
        <f t="shared" si="598"/>
        <v>0</v>
      </c>
      <c r="BE579" s="34">
        <v>0</v>
      </c>
      <c r="BF579" s="34">
        <f>579</f>
        <v>579</v>
      </c>
      <c r="BH579" s="17">
        <f t="shared" si="599"/>
        <v>0</v>
      </c>
      <c r="BI579" s="17">
        <f t="shared" si="600"/>
        <v>0</v>
      </c>
      <c r="BJ579" s="17">
        <f t="shared" si="601"/>
        <v>0</v>
      </c>
    </row>
    <row r="580" spans="1:62" x14ac:dyDescent="0.2">
      <c r="A580" s="4" t="s">
        <v>529</v>
      </c>
      <c r="B580" s="4" t="s">
        <v>1006</v>
      </c>
      <c r="C580" s="240" t="s">
        <v>1598</v>
      </c>
      <c r="D580" s="241"/>
      <c r="E580" s="241"/>
      <c r="F580" s="4" t="s">
        <v>1644</v>
      </c>
      <c r="G580" s="69">
        <v>1</v>
      </c>
      <c r="H580" s="168"/>
      <c r="I580" s="17">
        <f t="shared" si="578"/>
        <v>0</v>
      </c>
      <c r="J580" s="17">
        <f t="shared" si="579"/>
        <v>0</v>
      </c>
      <c r="K580" s="17">
        <f t="shared" si="580"/>
        <v>0</v>
      </c>
      <c r="L580" s="28"/>
      <c r="Z580" s="34">
        <f t="shared" si="581"/>
        <v>0</v>
      </c>
      <c r="AB580" s="34">
        <f t="shared" si="582"/>
        <v>0</v>
      </c>
      <c r="AC580" s="34">
        <f t="shared" si="583"/>
        <v>0</v>
      </c>
      <c r="AD580" s="34">
        <f t="shared" si="584"/>
        <v>0</v>
      </c>
      <c r="AE580" s="34">
        <f t="shared" si="585"/>
        <v>0</v>
      </c>
      <c r="AF580" s="34">
        <f t="shared" si="586"/>
        <v>0</v>
      </c>
      <c r="AG580" s="34">
        <f t="shared" si="587"/>
        <v>0</v>
      </c>
      <c r="AH580" s="34">
        <f t="shared" si="588"/>
        <v>0</v>
      </c>
      <c r="AI580" s="29"/>
      <c r="AJ580" s="17">
        <f t="shared" si="589"/>
        <v>0</v>
      </c>
      <c r="AK580" s="17">
        <f t="shared" si="590"/>
        <v>0</v>
      </c>
      <c r="AL580" s="17">
        <f t="shared" si="591"/>
        <v>0</v>
      </c>
      <c r="AN580" s="34">
        <v>15</v>
      </c>
      <c r="AO580" s="34">
        <f t="shared" si="592"/>
        <v>0</v>
      </c>
      <c r="AP580" s="34">
        <f t="shared" si="593"/>
        <v>0</v>
      </c>
      <c r="AQ580" s="28" t="s">
        <v>7</v>
      </c>
      <c r="AV580" s="34">
        <f t="shared" si="594"/>
        <v>0</v>
      </c>
      <c r="AW580" s="34">
        <f t="shared" si="595"/>
        <v>0</v>
      </c>
      <c r="AX580" s="34">
        <f t="shared" si="596"/>
        <v>0</v>
      </c>
      <c r="AY580" s="35" t="s">
        <v>1722</v>
      </c>
      <c r="AZ580" s="35" t="s">
        <v>1730</v>
      </c>
      <c r="BA580" s="29" t="s">
        <v>1737</v>
      </c>
      <c r="BC580" s="34">
        <f t="shared" si="597"/>
        <v>0</v>
      </c>
      <c r="BD580" s="34">
        <f t="shared" si="598"/>
        <v>0</v>
      </c>
      <c r="BE580" s="34">
        <v>0</v>
      </c>
      <c r="BF580" s="34">
        <f>580</f>
        <v>580</v>
      </c>
      <c r="BH580" s="17">
        <f t="shared" si="599"/>
        <v>0</v>
      </c>
      <c r="BI580" s="17">
        <f t="shared" si="600"/>
        <v>0</v>
      </c>
      <c r="BJ580" s="17">
        <f t="shared" si="601"/>
        <v>0</v>
      </c>
    </row>
    <row r="581" spans="1:62" x14ac:dyDescent="0.2">
      <c r="A581" s="4" t="s">
        <v>530</v>
      </c>
      <c r="B581" s="4" t="s">
        <v>1007</v>
      </c>
      <c r="C581" s="240" t="s">
        <v>1599</v>
      </c>
      <c r="D581" s="241"/>
      <c r="E581" s="241"/>
      <c r="F581" s="4" t="s">
        <v>1644</v>
      </c>
      <c r="G581" s="69">
        <v>1</v>
      </c>
      <c r="H581" s="168"/>
      <c r="I581" s="17">
        <f t="shared" si="578"/>
        <v>0</v>
      </c>
      <c r="J581" s="17">
        <f t="shared" si="579"/>
        <v>0</v>
      </c>
      <c r="K581" s="17">
        <f t="shared" si="580"/>
        <v>0</v>
      </c>
      <c r="L581" s="28"/>
      <c r="Z581" s="34">
        <f t="shared" si="581"/>
        <v>0</v>
      </c>
      <c r="AB581" s="34">
        <f t="shared" si="582"/>
        <v>0</v>
      </c>
      <c r="AC581" s="34">
        <f t="shared" si="583"/>
        <v>0</v>
      </c>
      <c r="AD581" s="34">
        <f t="shared" si="584"/>
        <v>0</v>
      </c>
      <c r="AE581" s="34">
        <f t="shared" si="585"/>
        <v>0</v>
      </c>
      <c r="AF581" s="34">
        <f t="shared" si="586"/>
        <v>0</v>
      </c>
      <c r="AG581" s="34">
        <f t="shared" si="587"/>
        <v>0</v>
      </c>
      <c r="AH581" s="34">
        <f t="shared" si="588"/>
        <v>0</v>
      </c>
      <c r="AI581" s="29"/>
      <c r="AJ581" s="17">
        <f t="shared" si="589"/>
        <v>0</v>
      </c>
      <c r="AK581" s="17">
        <f t="shared" si="590"/>
        <v>0</v>
      </c>
      <c r="AL581" s="17">
        <f t="shared" si="591"/>
        <v>0</v>
      </c>
      <c r="AN581" s="34">
        <v>15</v>
      </c>
      <c r="AO581" s="34">
        <f t="shared" si="592"/>
        <v>0</v>
      </c>
      <c r="AP581" s="34">
        <f t="shared" si="593"/>
        <v>0</v>
      </c>
      <c r="AQ581" s="28" t="s">
        <v>7</v>
      </c>
      <c r="AV581" s="34">
        <f t="shared" si="594"/>
        <v>0</v>
      </c>
      <c r="AW581" s="34">
        <f t="shared" si="595"/>
        <v>0</v>
      </c>
      <c r="AX581" s="34">
        <f t="shared" si="596"/>
        <v>0</v>
      </c>
      <c r="AY581" s="35" t="s">
        <v>1722</v>
      </c>
      <c r="AZ581" s="35" t="s">
        <v>1730</v>
      </c>
      <c r="BA581" s="29" t="s">
        <v>1737</v>
      </c>
      <c r="BC581" s="34">
        <f t="shared" si="597"/>
        <v>0</v>
      </c>
      <c r="BD581" s="34">
        <f t="shared" si="598"/>
        <v>0</v>
      </c>
      <c r="BE581" s="34">
        <v>0</v>
      </c>
      <c r="BF581" s="34">
        <f>581</f>
        <v>581</v>
      </c>
      <c r="BH581" s="17">
        <f t="shared" si="599"/>
        <v>0</v>
      </c>
      <c r="BI581" s="17">
        <f t="shared" si="600"/>
        <v>0</v>
      </c>
      <c r="BJ581" s="17">
        <f t="shared" si="601"/>
        <v>0</v>
      </c>
    </row>
    <row r="582" spans="1:62" x14ac:dyDescent="0.2">
      <c r="A582" s="4" t="s">
        <v>531</v>
      </c>
      <c r="B582" s="4" t="s">
        <v>1008</v>
      </c>
      <c r="C582" s="240" t="s">
        <v>1600</v>
      </c>
      <c r="D582" s="241"/>
      <c r="E582" s="241"/>
      <c r="F582" s="4" t="s">
        <v>1644</v>
      </c>
      <c r="G582" s="69">
        <v>1</v>
      </c>
      <c r="H582" s="168"/>
      <c r="I582" s="17">
        <f t="shared" si="578"/>
        <v>0</v>
      </c>
      <c r="J582" s="17">
        <f t="shared" si="579"/>
        <v>0</v>
      </c>
      <c r="K582" s="17">
        <f t="shared" si="580"/>
        <v>0</v>
      </c>
      <c r="L582" s="28"/>
      <c r="Z582" s="34">
        <f t="shared" si="581"/>
        <v>0</v>
      </c>
      <c r="AB582" s="34">
        <f t="shared" si="582"/>
        <v>0</v>
      </c>
      <c r="AC582" s="34">
        <f t="shared" si="583"/>
        <v>0</v>
      </c>
      <c r="AD582" s="34">
        <f t="shared" si="584"/>
        <v>0</v>
      </c>
      <c r="AE582" s="34">
        <f t="shared" si="585"/>
        <v>0</v>
      </c>
      <c r="AF582" s="34">
        <f t="shared" si="586"/>
        <v>0</v>
      </c>
      <c r="AG582" s="34">
        <f t="shared" si="587"/>
        <v>0</v>
      </c>
      <c r="AH582" s="34">
        <f t="shared" si="588"/>
        <v>0</v>
      </c>
      <c r="AI582" s="29"/>
      <c r="AJ582" s="17">
        <f t="shared" si="589"/>
        <v>0</v>
      </c>
      <c r="AK582" s="17">
        <f t="shared" si="590"/>
        <v>0</v>
      </c>
      <c r="AL582" s="17">
        <f t="shared" si="591"/>
        <v>0</v>
      </c>
      <c r="AN582" s="34">
        <v>15</v>
      </c>
      <c r="AO582" s="34">
        <f t="shared" si="592"/>
        <v>0</v>
      </c>
      <c r="AP582" s="34">
        <f t="shared" si="593"/>
        <v>0</v>
      </c>
      <c r="AQ582" s="28" t="s">
        <v>7</v>
      </c>
      <c r="AV582" s="34">
        <f t="shared" si="594"/>
        <v>0</v>
      </c>
      <c r="AW582" s="34">
        <f t="shared" si="595"/>
        <v>0</v>
      </c>
      <c r="AX582" s="34">
        <f t="shared" si="596"/>
        <v>0</v>
      </c>
      <c r="AY582" s="35" t="s">
        <v>1722</v>
      </c>
      <c r="AZ582" s="35" t="s">
        <v>1730</v>
      </c>
      <c r="BA582" s="29" t="s">
        <v>1737</v>
      </c>
      <c r="BC582" s="34">
        <f t="shared" si="597"/>
        <v>0</v>
      </c>
      <c r="BD582" s="34">
        <f t="shared" si="598"/>
        <v>0</v>
      </c>
      <c r="BE582" s="34">
        <v>0</v>
      </c>
      <c r="BF582" s="34">
        <f>582</f>
        <v>582</v>
      </c>
      <c r="BH582" s="17">
        <f t="shared" si="599"/>
        <v>0</v>
      </c>
      <c r="BI582" s="17">
        <f t="shared" si="600"/>
        <v>0</v>
      </c>
      <c r="BJ582" s="17">
        <f t="shared" si="601"/>
        <v>0</v>
      </c>
    </row>
    <row r="583" spans="1:62" x14ac:dyDescent="0.2">
      <c r="A583" s="4" t="s">
        <v>532</v>
      </c>
      <c r="B583" s="4" t="s">
        <v>1009</v>
      </c>
      <c r="C583" s="240" t="s">
        <v>1601</v>
      </c>
      <c r="D583" s="241"/>
      <c r="E583" s="241"/>
      <c r="F583" s="4" t="s">
        <v>1644</v>
      </c>
      <c r="G583" s="69">
        <v>1</v>
      </c>
      <c r="H583" s="168"/>
      <c r="I583" s="17">
        <f t="shared" si="578"/>
        <v>0</v>
      </c>
      <c r="J583" s="17">
        <f t="shared" si="579"/>
        <v>0</v>
      </c>
      <c r="K583" s="17">
        <f t="shared" si="580"/>
        <v>0</v>
      </c>
      <c r="L583" s="28"/>
      <c r="Z583" s="34">
        <f t="shared" si="581"/>
        <v>0</v>
      </c>
      <c r="AB583" s="34">
        <f t="shared" si="582"/>
        <v>0</v>
      </c>
      <c r="AC583" s="34">
        <f t="shared" si="583"/>
        <v>0</v>
      </c>
      <c r="AD583" s="34">
        <f t="shared" si="584"/>
        <v>0</v>
      </c>
      <c r="AE583" s="34">
        <f t="shared" si="585"/>
        <v>0</v>
      </c>
      <c r="AF583" s="34">
        <f t="shared" si="586"/>
        <v>0</v>
      </c>
      <c r="AG583" s="34">
        <f t="shared" si="587"/>
        <v>0</v>
      </c>
      <c r="AH583" s="34">
        <f t="shared" si="588"/>
        <v>0</v>
      </c>
      <c r="AI583" s="29"/>
      <c r="AJ583" s="17">
        <f t="shared" si="589"/>
        <v>0</v>
      </c>
      <c r="AK583" s="17">
        <f t="shared" si="590"/>
        <v>0</v>
      </c>
      <c r="AL583" s="17">
        <f t="shared" si="591"/>
        <v>0</v>
      </c>
      <c r="AN583" s="34">
        <v>15</v>
      </c>
      <c r="AO583" s="34">
        <f t="shared" si="592"/>
        <v>0</v>
      </c>
      <c r="AP583" s="34">
        <f t="shared" si="593"/>
        <v>0</v>
      </c>
      <c r="AQ583" s="28" t="s">
        <v>7</v>
      </c>
      <c r="AV583" s="34">
        <f t="shared" si="594"/>
        <v>0</v>
      </c>
      <c r="AW583" s="34">
        <f t="shared" si="595"/>
        <v>0</v>
      </c>
      <c r="AX583" s="34">
        <f t="shared" si="596"/>
        <v>0</v>
      </c>
      <c r="AY583" s="35" t="s">
        <v>1722</v>
      </c>
      <c r="AZ583" s="35" t="s">
        <v>1730</v>
      </c>
      <c r="BA583" s="29" t="s">
        <v>1737</v>
      </c>
      <c r="BC583" s="34">
        <f t="shared" si="597"/>
        <v>0</v>
      </c>
      <c r="BD583" s="34">
        <f t="shared" si="598"/>
        <v>0</v>
      </c>
      <c r="BE583" s="34">
        <v>0</v>
      </c>
      <c r="BF583" s="34">
        <f>583</f>
        <v>583</v>
      </c>
      <c r="BH583" s="17">
        <f t="shared" si="599"/>
        <v>0</v>
      </c>
      <c r="BI583" s="17">
        <f t="shared" si="600"/>
        <v>0</v>
      </c>
      <c r="BJ583" s="17">
        <f t="shared" si="601"/>
        <v>0</v>
      </c>
    </row>
    <row r="584" spans="1:62" x14ac:dyDescent="0.2">
      <c r="A584" s="4" t="s">
        <v>533</v>
      </c>
      <c r="B584" s="4" t="s">
        <v>1010</v>
      </c>
      <c r="C584" s="240" t="s">
        <v>1602</v>
      </c>
      <c r="D584" s="241"/>
      <c r="E584" s="241"/>
      <c r="F584" s="4" t="s">
        <v>1646</v>
      </c>
      <c r="G584" s="69">
        <v>20</v>
      </c>
      <c r="H584" s="168"/>
      <c r="I584" s="17">
        <f t="shared" si="578"/>
        <v>0</v>
      </c>
      <c r="J584" s="17">
        <f t="shared" si="579"/>
        <v>0</v>
      </c>
      <c r="K584" s="17">
        <f t="shared" si="580"/>
        <v>0</v>
      </c>
      <c r="L584" s="28"/>
      <c r="Z584" s="34">
        <f t="shared" si="581"/>
        <v>0</v>
      </c>
      <c r="AB584" s="34">
        <f t="shared" si="582"/>
        <v>0</v>
      </c>
      <c r="AC584" s="34">
        <f t="shared" si="583"/>
        <v>0</v>
      </c>
      <c r="AD584" s="34">
        <f t="shared" si="584"/>
        <v>0</v>
      </c>
      <c r="AE584" s="34">
        <f t="shared" si="585"/>
        <v>0</v>
      </c>
      <c r="AF584" s="34">
        <f t="shared" si="586"/>
        <v>0</v>
      </c>
      <c r="AG584" s="34">
        <f t="shared" si="587"/>
        <v>0</v>
      </c>
      <c r="AH584" s="34">
        <f t="shared" si="588"/>
        <v>0</v>
      </c>
      <c r="AI584" s="29"/>
      <c r="AJ584" s="17">
        <f t="shared" si="589"/>
        <v>0</v>
      </c>
      <c r="AK584" s="17">
        <f t="shared" si="590"/>
        <v>0</v>
      </c>
      <c r="AL584" s="17">
        <f t="shared" si="591"/>
        <v>0</v>
      </c>
      <c r="AN584" s="34">
        <v>15</v>
      </c>
      <c r="AO584" s="34">
        <f t="shared" si="592"/>
        <v>0</v>
      </c>
      <c r="AP584" s="34">
        <f t="shared" si="593"/>
        <v>0</v>
      </c>
      <c r="AQ584" s="28" t="s">
        <v>7</v>
      </c>
      <c r="AV584" s="34">
        <f t="shared" si="594"/>
        <v>0</v>
      </c>
      <c r="AW584" s="34">
        <f t="shared" si="595"/>
        <v>0</v>
      </c>
      <c r="AX584" s="34">
        <f t="shared" si="596"/>
        <v>0</v>
      </c>
      <c r="AY584" s="35" t="s">
        <v>1722</v>
      </c>
      <c r="AZ584" s="35" t="s">
        <v>1730</v>
      </c>
      <c r="BA584" s="29" t="s">
        <v>1737</v>
      </c>
      <c r="BC584" s="34">
        <f t="shared" si="597"/>
        <v>0</v>
      </c>
      <c r="BD584" s="34">
        <f t="shared" si="598"/>
        <v>0</v>
      </c>
      <c r="BE584" s="34">
        <v>0</v>
      </c>
      <c r="BF584" s="34">
        <f>584</f>
        <v>584</v>
      </c>
      <c r="BH584" s="17">
        <f t="shared" si="599"/>
        <v>0</v>
      </c>
      <c r="BI584" s="17">
        <f t="shared" si="600"/>
        <v>0</v>
      </c>
      <c r="BJ584" s="17">
        <f t="shared" si="601"/>
        <v>0</v>
      </c>
    </row>
    <row r="585" spans="1:62" x14ac:dyDescent="0.2">
      <c r="A585" s="4" t="s">
        <v>534</v>
      </c>
      <c r="B585" s="4" t="s">
        <v>1011</v>
      </c>
      <c r="C585" s="240" t="s">
        <v>1603</v>
      </c>
      <c r="D585" s="241"/>
      <c r="E585" s="241"/>
      <c r="F585" s="4" t="s">
        <v>1646</v>
      </c>
      <c r="G585" s="69">
        <v>10</v>
      </c>
      <c r="H585" s="168"/>
      <c r="I585" s="17">
        <f t="shared" si="578"/>
        <v>0</v>
      </c>
      <c r="J585" s="17">
        <f t="shared" si="579"/>
        <v>0</v>
      </c>
      <c r="K585" s="17">
        <f t="shared" si="580"/>
        <v>0</v>
      </c>
      <c r="L585" s="28"/>
      <c r="Z585" s="34">
        <f t="shared" si="581"/>
        <v>0</v>
      </c>
      <c r="AB585" s="34">
        <f t="shared" si="582"/>
        <v>0</v>
      </c>
      <c r="AC585" s="34">
        <f t="shared" si="583"/>
        <v>0</v>
      </c>
      <c r="AD585" s="34">
        <f t="shared" si="584"/>
        <v>0</v>
      </c>
      <c r="AE585" s="34">
        <f t="shared" si="585"/>
        <v>0</v>
      </c>
      <c r="AF585" s="34">
        <f t="shared" si="586"/>
        <v>0</v>
      </c>
      <c r="AG585" s="34">
        <f t="shared" si="587"/>
        <v>0</v>
      </c>
      <c r="AH585" s="34">
        <f t="shared" si="588"/>
        <v>0</v>
      </c>
      <c r="AI585" s="29"/>
      <c r="AJ585" s="17">
        <f t="shared" si="589"/>
        <v>0</v>
      </c>
      <c r="AK585" s="17">
        <f t="shared" si="590"/>
        <v>0</v>
      </c>
      <c r="AL585" s="17">
        <f t="shared" si="591"/>
        <v>0</v>
      </c>
      <c r="AN585" s="34">
        <v>15</v>
      </c>
      <c r="AO585" s="34">
        <f t="shared" si="592"/>
        <v>0</v>
      </c>
      <c r="AP585" s="34">
        <f t="shared" si="593"/>
        <v>0</v>
      </c>
      <c r="AQ585" s="28" t="s">
        <v>7</v>
      </c>
      <c r="AV585" s="34">
        <f t="shared" si="594"/>
        <v>0</v>
      </c>
      <c r="AW585" s="34">
        <f t="shared" si="595"/>
        <v>0</v>
      </c>
      <c r="AX585" s="34">
        <f t="shared" si="596"/>
        <v>0</v>
      </c>
      <c r="AY585" s="35" t="s">
        <v>1722</v>
      </c>
      <c r="AZ585" s="35" t="s">
        <v>1730</v>
      </c>
      <c r="BA585" s="29" t="s">
        <v>1737</v>
      </c>
      <c r="BC585" s="34">
        <f t="shared" si="597"/>
        <v>0</v>
      </c>
      <c r="BD585" s="34">
        <f t="shared" si="598"/>
        <v>0</v>
      </c>
      <c r="BE585" s="34">
        <v>0</v>
      </c>
      <c r="BF585" s="34">
        <f>585</f>
        <v>585</v>
      </c>
      <c r="BH585" s="17">
        <f t="shared" si="599"/>
        <v>0</v>
      </c>
      <c r="BI585" s="17">
        <f t="shared" si="600"/>
        <v>0</v>
      </c>
      <c r="BJ585" s="17">
        <f t="shared" si="601"/>
        <v>0</v>
      </c>
    </row>
    <row r="586" spans="1:62" x14ac:dyDescent="0.2">
      <c r="A586" s="4" t="s">
        <v>535</v>
      </c>
      <c r="B586" s="4" t="s">
        <v>1012</v>
      </c>
      <c r="C586" s="240" t="s">
        <v>1604</v>
      </c>
      <c r="D586" s="241"/>
      <c r="E586" s="241"/>
      <c r="F586" s="4" t="s">
        <v>1646</v>
      </c>
      <c r="G586" s="69">
        <v>5</v>
      </c>
      <c r="H586" s="168"/>
      <c r="I586" s="17">
        <f t="shared" si="578"/>
        <v>0</v>
      </c>
      <c r="J586" s="17">
        <f t="shared" si="579"/>
        <v>0</v>
      </c>
      <c r="K586" s="17">
        <f t="shared" si="580"/>
        <v>0</v>
      </c>
      <c r="L586" s="28"/>
      <c r="Z586" s="34">
        <f t="shared" si="581"/>
        <v>0</v>
      </c>
      <c r="AB586" s="34">
        <f t="shared" si="582"/>
        <v>0</v>
      </c>
      <c r="AC586" s="34">
        <f t="shared" si="583"/>
        <v>0</v>
      </c>
      <c r="AD586" s="34">
        <f t="shared" si="584"/>
        <v>0</v>
      </c>
      <c r="AE586" s="34">
        <f t="shared" si="585"/>
        <v>0</v>
      </c>
      <c r="AF586" s="34">
        <f t="shared" si="586"/>
        <v>0</v>
      </c>
      <c r="AG586" s="34">
        <f t="shared" si="587"/>
        <v>0</v>
      </c>
      <c r="AH586" s="34">
        <f t="shared" si="588"/>
        <v>0</v>
      </c>
      <c r="AI586" s="29"/>
      <c r="AJ586" s="17">
        <f t="shared" si="589"/>
        <v>0</v>
      </c>
      <c r="AK586" s="17">
        <f t="shared" si="590"/>
        <v>0</v>
      </c>
      <c r="AL586" s="17">
        <f t="shared" si="591"/>
        <v>0</v>
      </c>
      <c r="AN586" s="34">
        <v>15</v>
      </c>
      <c r="AO586" s="34">
        <f t="shared" si="592"/>
        <v>0</v>
      </c>
      <c r="AP586" s="34">
        <f t="shared" si="593"/>
        <v>0</v>
      </c>
      <c r="AQ586" s="28" t="s">
        <v>7</v>
      </c>
      <c r="AV586" s="34">
        <f t="shared" si="594"/>
        <v>0</v>
      </c>
      <c r="AW586" s="34">
        <f t="shared" si="595"/>
        <v>0</v>
      </c>
      <c r="AX586" s="34">
        <f t="shared" si="596"/>
        <v>0</v>
      </c>
      <c r="AY586" s="35" t="s">
        <v>1722</v>
      </c>
      <c r="AZ586" s="35" t="s">
        <v>1730</v>
      </c>
      <c r="BA586" s="29" t="s">
        <v>1737</v>
      </c>
      <c r="BC586" s="34">
        <f t="shared" si="597"/>
        <v>0</v>
      </c>
      <c r="BD586" s="34">
        <f t="shared" si="598"/>
        <v>0</v>
      </c>
      <c r="BE586" s="34">
        <v>0</v>
      </c>
      <c r="BF586" s="34">
        <f>586</f>
        <v>586</v>
      </c>
      <c r="BH586" s="17">
        <f t="shared" si="599"/>
        <v>0</v>
      </c>
      <c r="BI586" s="17">
        <f t="shared" si="600"/>
        <v>0</v>
      </c>
      <c r="BJ586" s="17">
        <f t="shared" si="601"/>
        <v>0</v>
      </c>
    </row>
    <row r="587" spans="1:62" x14ac:dyDescent="0.2">
      <c r="A587" s="4" t="s">
        <v>536</v>
      </c>
      <c r="B587" s="4" t="s">
        <v>1013</v>
      </c>
      <c r="C587" s="240" t="s">
        <v>1605</v>
      </c>
      <c r="D587" s="241"/>
      <c r="E587" s="241"/>
      <c r="F587" s="4" t="s">
        <v>1646</v>
      </c>
      <c r="G587" s="69">
        <v>5</v>
      </c>
      <c r="H587" s="168"/>
      <c r="I587" s="17">
        <f t="shared" si="578"/>
        <v>0</v>
      </c>
      <c r="J587" s="17">
        <f t="shared" si="579"/>
        <v>0</v>
      </c>
      <c r="K587" s="17">
        <f t="shared" si="580"/>
        <v>0</v>
      </c>
      <c r="L587" s="28"/>
      <c r="Z587" s="34">
        <f t="shared" si="581"/>
        <v>0</v>
      </c>
      <c r="AB587" s="34">
        <f t="shared" si="582"/>
        <v>0</v>
      </c>
      <c r="AC587" s="34">
        <f t="shared" si="583"/>
        <v>0</v>
      </c>
      <c r="AD587" s="34">
        <f t="shared" si="584"/>
        <v>0</v>
      </c>
      <c r="AE587" s="34">
        <f t="shared" si="585"/>
        <v>0</v>
      </c>
      <c r="AF587" s="34">
        <f t="shared" si="586"/>
        <v>0</v>
      </c>
      <c r="AG587" s="34">
        <f t="shared" si="587"/>
        <v>0</v>
      </c>
      <c r="AH587" s="34">
        <f t="shared" si="588"/>
        <v>0</v>
      </c>
      <c r="AI587" s="29"/>
      <c r="AJ587" s="17">
        <f t="shared" si="589"/>
        <v>0</v>
      </c>
      <c r="AK587" s="17">
        <f t="shared" si="590"/>
        <v>0</v>
      </c>
      <c r="AL587" s="17">
        <f t="shared" si="591"/>
        <v>0</v>
      </c>
      <c r="AN587" s="34">
        <v>15</v>
      </c>
      <c r="AO587" s="34">
        <f t="shared" si="592"/>
        <v>0</v>
      </c>
      <c r="AP587" s="34">
        <f t="shared" si="593"/>
        <v>0</v>
      </c>
      <c r="AQ587" s="28" t="s">
        <v>7</v>
      </c>
      <c r="AV587" s="34">
        <f t="shared" si="594"/>
        <v>0</v>
      </c>
      <c r="AW587" s="34">
        <f t="shared" si="595"/>
        <v>0</v>
      </c>
      <c r="AX587" s="34">
        <f t="shared" si="596"/>
        <v>0</v>
      </c>
      <c r="AY587" s="35" t="s">
        <v>1722</v>
      </c>
      <c r="AZ587" s="35" t="s">
        <v>1730</v>
      </c>
      <c r="BA587" s="29" t="s">
        <v>1737</v>
      </c>
      <c r="BC587" s="34">
        <f t="shared" si="597"/>
        <v>0</v>
      </c>
      <c r="BD587" s="34">
        <f t="shared" si="598"/>
        <v>0</v>
      </c>
      <c r="BE587" s="34">
        <v>0</v>
      </c>
      <c r="BF587" s="34">
        <f>587</f>
        <v>587</v>
      </c>
      <c r="BH587" s="17">
        <f t="shared" si="599"/>
        <v>0</v>
      </c>
      <c r="BI587" s="17">
        <f t="shared" si="600"/>
        <v>0</v>
      </c>
      <c r="BJ587" s="17">
        <f t="shared" si="601"/>
        <v>0</v>
      </c>
    </row>
    <row r="588" spans="1:62" x14ac:dyDescent="0.2">
      <c r="A588" s="4" t="s">
        <v>537</v>
      </c>
      <c r="B588" s="4" t="s">
        <v>1014</v>
      </c>
      <c r="C588" s="240" t="s">
        <v>1606</v>
      </c>
      <c r="D588" s="241"/>
      <c r="E588" s="241"/>
      <c r="F588" s="4" t="s">
        <v>1646</v>
      </c>
      <c r="G588" s="69">
        <v>20</v>
      </c>
      <c r="H588" s="168"/>
      <c r="I588" s="17">
        <f t="shared" si="578"/>
        <v>0</v>
      </c>
      <c r="J588" s="17">
        <f t="shared" si="579"/>
        <v>0</v>
      </c>
      <c r="K588" s="17">
        <f t="shared" si="580"/>
        <v>0</v>
      </c>
      <c r="L588" s="28"/>
      <c r="Z588" s="34">
        <f t="shared" si="581"/>
        <v>0</v>
      </c>
      <c r="AB588" s="34">
        <f t="shared" si="582"/>
        <v>0</v>
      </c>
      <c r="AC588" s="34">
        <f t="shared" si="583"/>
        <v>0</v>
      </c>
      <c r="AD588" s="34">
        <f t="shared" si="584"/>
        <v>0</v>
      </c>
      <c r="AE588" s="34">
        <f t="shared" si="585"/>
        <v>0</v>
      </c>
      <c r="AF588" s="34">
        <f t="shared" si="586"/>
        <v>0</v>
      </c>
      <c r="AG588" s="34">
        <f t="shared" si="587"/>
        <v>0</v>
      </c>
      <c r="AH588" s="34">
        <f t="shared" si="588"/>
        <v>0</v>
      </c>
      <c r="AI588" s="29"/>
      <c r="AJ588" s="17">
        <f t="shared" si="589"/>
        <v>0</v>
      </c>
      <c r="AK588" s="17">
        <f t="shared" si="590"/>
        <v>0</v>
      </c>
      <c r="AL588" s="17">
        <f t="shared" si="591"/>
        <v>0</v>
      </c>
      <c r="AN588" s="34">
        <v>15</v>
      </c>
      <c r="AO588" s="34">
        <f t="shared" si="592"/>
        <v>0</v>
      </c>
      <c r="AP588" s="34">
        <f t="shared" si="593"/>
        <v>0</v>
      </c>
      <c r="AQ588" s="28" t="s">
        <v>7</v>
      </c>
      <c r="AV588" s="34">
        <f t="shared" si="594"/>
        <v>0</v>
      </c>
      <c r="AW588" s="34">
        <f t="shared" si="595"/>
        <v>0</v>
      </c>
      <c r="AX588" s="34">
        <f t="shared" si="596"/>
        <v>0</v>
      </c>
      <c r="AY588" s="35" t="s">
        <v>1722</v>
      </c>
      <c r="AZ588" s="35" t="s">
        <v>1730</v>
      </c>
      <c r="BA588" s="29" t="s">
        <v>1737</v>
      </c>
      <c r="BC588" s="34">
        <f t="shared" si="597"/>
        <v>0</v>
      </c>
      <c r="BD588" s="34">
        <f t="shared" si="598"/>
        <v>0</v>
      </c>
      <c r="BE588" s="34">
        <v>0</v>
      </c>
      <c r="BF588" s="34">
        <f>588</f>
        <v>588</v>
      </c>
      <c r="BH588" s="17">
        <f t="shared" si="599"/>
        <v>0</v>
      </c>
      <c r="BI588" s="17">
        <f t="shared" si="600"/>
        <v>0</v>
      </c>
      <c r="BJ588" s="17">
        <f t="shared" si="601"/>
        <v>0</v>
      </c>
    </row>
    <row r="589" spans="1:62" x14ac:dyDescent="0.2">
      <c r="A589" s="4" t="s">
        <v>538</v>
      </c>
      <c r="B589" s="4" t="s">
        <v>1015</v>
      </c>
      <c r="C589" s="240" t="s">
        <v>1607</v>
      </c>
      <c r="D589" s="241"/>
      <c r="E589" s="241"/>
      <c r="F589" s="4" t="s">
        <v>1646</v>
      </c>
      <c r="G589" s="69">
        <v>10</v>
      </c>
      <c r="H589" s="168"/>
      <c r="I589" s="17">
        <f t="shared" si="578"/>
        <v>0</v>
      </c>
      <c r="J589" s="17">
        <f t="shared" si="579"/>
        <v>0</v>
      </c>
      <c r="K589" s="17">
        <f t="shared" si="580"/>
        <v>0</v>
      </c>
      <c r="L589" s="28"/>
      <c r="Z589" s="34">
        <f t="shared" si="581"/>
        <v>0</v>
      </c>
      <c r="AB589" s="34">
        <f t="shared" si="582"/>
        <v>0</v>
      </c>
      <c r="AC589" s="34">
        <f t="shared" si="583"/>
        <v>0</v>
      </c>
      <c r="AD589" s="34">
        <f t="shared" si="584"/>
        <v>0</v>
      </c>
      <c r="AE589" s="34">
        <f t="shared" si="585"/>
        <v>0</v>
      </c>
      <c r="AF589" s="34">
        <f t="shared" si="586"/>
        <v>0</v>
      </c>
      <c r="AG589" s="34">
        <f t="shared" si="587"/>
        <v>0</v>
      </c>
      <c r="AH589" s="34">
        <f t="shared" si="588"/>
        <v>0</v>
      </c>
      <c r="AI589" s="29"/>
      <c r="AJ589" s="17">
        <f t="shared" si="589"/>
        <v>0</v>
      </c>
      <c r="AK589" s="17">
        <f t="shared" si="590"/>
        <v>0</v>
      </c>
      <c r="AL589" s="17">
        <f t="shared" si="591"/>
        <v>0</v>
      </c>
      <c r="AN589" s="34">
        <v>15</v>
      </c>
      <c r="AO589" s="34">
        <f t="shared" si="592"/>
        <v>0</v>
      </c>
      <c r="AP589" s="34">
        <f t="shared" si="593"/>
        <v>0</v>
      </c>
      <c r="AQ589" s="28" t="s">
        <v>7</v>
      </c>
      <c r="AV589" s="34">
        <f t="shared" si="594"/>
        <v>0</v>
      </c>
      <c r="AW589" s="34">
        <f t="shared" si="595"/>
        <v>0</v>
      </c>
      <c r="AX589" s="34">
        <f t="shared" si="596"/>
        <v>0</v>
      </c>
      <c r="AY589" s="35" t="s">
        <v>1722</v>
      </c>
      <c r="AZ589" s="35" t="s">
        <v>1730</v>
      </c>
      <c r="BA589" s="29" t="s">
        <v>1737</v>
      </c>
      <c r="BC589" s="34">
        <f t="shared" si="597"/>
        <v>0</v>
      </c>
      <c r="BD589" s="34">
        <f t="shared" si="598"/>
        <v>0</v>
      </c>
      <c r="BE589" s="34">
        <v>0</v>
      </c>
      <c r="BF589" s="34">
        <f>589</f>
        <v>589</v>
      </c>
      <c r="BH589" s="17">
        <f t="shared" si="599"/>
        <v>0</v>
      </c>
      <c r="BI589" s="17">
        <f t="shared" si="600"/>
        <v>0</v>
      </c>
      <c r="BJ589" s="17">
        <f t="shared" si="601"/>
        <v>0</v>
      </c>
    </row>
    <row r="590" spans="1:62" x14ac:dyDescent="0.2">
      <c r="A590" s="4" t="s">
        <v>539</v>
      </c>
      <c r="B590" s="4" t="s">
        <v>1016</v>
      </c>
      <c r="C590" s="240" t="s">
        <v>1608</v>
      </c>
      <c r="D590" s="241"/>
      <c r="E590" s="241"/>
      <c r="F590" s="4" t="s">
        <v>1644</v>
      </c>
      <c r="G590" s="69">
        <v>70</v>
      </c>
      <c r="H590" s="168"/>
      <c r="I590" s="17">
        <f t="shared" si="578"/>
        <v>0</v>
      </c>
      <c r="J590" s="17">
        <f t="shared" si="579"/>
        <v>0</v>
      </c>
      <c r="K590" s="17">
        <f t="shared" si="580"/>
        <v>0</v>
      </c>
      <c r="L590" s="28"/>
      <c r="Z590" s="34">
        <f t="shared" si="581"/>
        <v>0</v>
      </c>
      <c r="AB590" s="34">
        <f t="shared" si="582"/>
        <v>0</v>
      </c>
      <c r="AC590" s="34">
        <f t="shared" si="583"/>
        <v>0</v>
      </c>
      <c r="AD590" s="34">
        <f t="shared" si="584"/>
        <v>0</v>
      </c>
      <c r="AE590" s="34">
        <f t="shared" si="585"/>
        <v>0</v>
      </c>
      <c r="AF590" s="34">
        <f t="shared" si="586"/>
        <v>0</v>
      </c>
      <c r="AG590" s="34">
        <f t="shared" si="587"/>
        <v>0</v>
      </c>
      <c r="AH590" s="34">
        <f t="shared" si="588"/>
        <v>0</v>
      </c>
      <c r="AI590" s="29"/>
      <c r="AJ590" s="17">
        <f t="shared" si="589"/>
        <v>0</v>
      </c>
      <c r="AK590" s="17">
        <f t="shared" si="590"/>
        <v>0</v>
      </c>
      <c r="AL590" s="17">
        <f t="shared" si="591"/>
        <v>0</v>
      </c>
      <c r="AN590" s="34">
        <v>15</v>
      </c>
      <c r="AO590" s="34">
        <f t="shared" si="592"/>
        <v>0</v>
      </c>
      <c r="AP590" s="34">
        <f t="shared" si="593"/>
        <v>0</v>
      </c>
      <c r="AQ590" s="28" t="s">
        <v>7</v>
      </c>
      <c r="AV590" s="34">
        <f t="shared" si="594"/>
        <v>0</v>
      </c>
      <c r="AW590" s="34">
        <f t="shared" si="595"/>
        <v>0</v>
      </c>
      <c r="AX590" s="34">
        <f t="shared" si="596"/>
        <v>0</v>
      </c>
      <c r="AY590" s="35" t="s">
        <v>1722</v>
      </c>
      <c r="AZ590" s="35" t="s">
        <v>1730</v>
      </c>
      <c r="BA590" s="29" t="s">
        <v>1737</v>
      </c>
      <c r="BC590" s="34">
        <f t="shared" si="597"/>
        <v>0</v>
      </c>
      <c r="BD590" s="34">
        <f t="shared" si="598"/>
        <v>0</v>
      </c>
      <c r="BE590" s="34">
        <v>0</v>
      </c>
      <c r="BF590" s="34">
        <f>590</f>
        <v>590</v>
      </c>
      <c r="BH590" s="17">
        <f t="shared" si="599"/>
        <v>0</v>
      </c>
      <c r="BI590" s="17">
        <f t="shared" si="600"/>
        <v>0</v>
      </c>
      <c r="BJ590" s="17">
        <f t="shared" si="601"/>
        <v>0</v>
      </c>
    </row>
    <row r="591" spans="1:62" x14ac:dyDescent="0.2">
      <c r="A591" s="4" t="s">
        <v>540</v>
      </c>
      <c r="B591" s="4" t="s">
        <v>1017</v>
      </c>
      <c r="C591" s="240" t="s">
        <v>1609</v>
      </c>
      <c r="D591" s="241"/>
      <c r="E591" s="241"/>
      <c r="F591" s="4" t="s">
        <v>1644</v>
      </c>
      <c r="G591" s="69">
        <v>3</v>
      </c>
      <c r="H591" s="168"/>
      <c r="I591" s="17">
        <f t="shared" si="578"/>
        <v>0</v>
      </c>
      <c r="J591" s="17">
        <f t="shared" si="579"/>
        <v>0</v>
      </c>
      <c r="K591" s="17">
        <f t="shared" si="580"/>
        <v>0</v>
      </c>
      <c r="L591" s="28"/>
      <c r="Z591" s="34">
        <f t="shared" si="581"/>
        <v>0</v>
      </c>
      <c r="AB591" s="34">
        <f t="shared" si="582"/>
        <v>0</v>
      </c>
      <c r="AC591" s="34">
        <f t="shared" si="583"/>
        <v>0</v>
      </c>
      <c r="AD591" s="34">
        <f t="shared" si="584"/>
        <v>0</v>
      </c>
      <c r="AE591" s="34">
        <f t="shared" si="585"/>
        <v>0</v>
      </c>
      <c r="AF591" s="34">
        <f t="shared" si="586"/>
        <v>0</v>
      </c>
      <c r="AG591" s="34">
        <f t="shared" si="587"/>
        <v>0</v>
      </c>
      <c r="AH591" s="34">
        <f t="shared" si="588"/>
        <v>0</v>
      </c>
      <c r="AI591" s="29"/>
      <c r="AJ591" s="17">
        <f t="shared" si="589"/>
        <v>0</v>
      </c>
      <c r="AK591" s="17">
        <f t="shared" si="590"/>
        <v>0</v>
      </c>
      <c r="AL591" s="17">
        <f t="shared" si="591"/>
        <v>0</v>
      </c>
      <c r="AN591" s="34">
        <v>15</v>
      </c>
      <c r="AO591" s="34">
        <f t="shared" si="592"/>
        <v>0</v>
      </c>
      <c r="AP591" s="34">
        <f t="shared" si="593"/>
        <v>0</v>
      </c>
      <c r="AQ591" s="28" t="s">
        <v>7</v>
      </c>
      <c r="AV591" s="34">
        <f t="shared" si="594"/>
        <v>0</v>
      </c>
      <c r="AW591" s="34">
        <f t="shared" si="595"/>
        <v>0</v>
      </c>
      <c r="AX591" s="34">
        <f t="shared" si="596"/>
        <v>0</v>
      </c>
      <c r="AY591" s="35" t="s">
        <v>1722</v>
      </c>
      <c r="AZ591" s="35" t="s">
        <v>1730</v>
      </c>
      <c r="BA591" s="29" t="s">
        <v>1737</v>
      </c>
      <c r="BC591" s="34">
        <f t="shared" si="597"/>
        <v>0</v>
      </c>
      <c r="BD591" s="34">
        <f t="shared" si="598"/>
        <v>0</v>
      </c>
      <c r="BE591" s="34">
        <v>0</v>
      </c>
      <c r="BF591" s="34">
        <f>591</f>
        <v>591</v>
      </c>
      <c r="BH591" s="17">
        <f t="shared" si="599"/>
        <v>0</v>
      </c>
      <c r="BI591" s="17">
        <f t="shared" si="600"/>
        <v>0</v>
      </c>
      <c r="BJ591" s="17">
        <f t="shared" si="601"/>
        <v>0</v>
      </c>
    </row>
    <row r="592" spans="1:62" x14ac:dyDescent="0.2">
      <c r="A592" s="4" t="s">
        <v>541</v>
      </c>
      <c r="B592" s="4" t="s">
        <v>1018</v>
      </c>
      <c r="C592" s="240" t="s">
        <v>1610</v>
      </c>
      <c r="D592" s="241"/>
      <c r="E592" s="241"/>
      <c r="F592" s="4" t="s">
        <v>1644</v>
      </c>
      <c r="G592" s="69">
        <v>1</v>
      </c>
      <c r="H592" s="168"/>
      <c r="I592" s="17">
        <f t="shared" si="578"/>
        <v>0</v>
      </c>
      <c r="J592" s="17">
        <f t="shared" si="579"/>
        <v>0</v>
      </c>
      <c r="K592" s="17">
        <f t="shared" si="580"/>
        <v>0</v>
      </c>
      <c r="L592" s="28"/>
      <c r="Z592" s="34">
        <f t="shared" si="581"/>
        <v>0</v>
      </c>
      <c r="AB592" s="34">
        <f t="shared" si="582"/>
        <v>0</v>
      </c>
      <c r="AC592" s="34">
        <f t="shared" si="583"/>
        <v>0</v>
      </c>
      <c r="AD592" s="34">
        <f t="shared" si="584"/>
        <v>0</v>
      </c>
      <c r="AE592" s="34">
        <f t="shared" si="585"/>
        <v>0</v>
      </c>
      <c r="AF592" s="34">
        <f t="shared" si="586"/>
        <v>0</v>
      </c>
      <c r="AG592" s="34">
        <f t="shared" si="587"/>
        <v>0</v>
      </c>
      <c r="AH592" s="34">
        <f t="shared" si="588"/>
        <v>0</v>
      </c>
      <c r="AI592" s="29"/>
      <c r="AJ592" s="17">
        <f t="shared" si="589"/>
        <v>0</v>
      </c>
      <c r="AK592" s="17">
        <f t="shared" si="590"/>
        <v>0</v>
      </c>
      <c r="AL592" s="17">
        <f t="shared" si="591"/>
        <v>0</v>
      </c>
      <c r="AN592" s="34">
        <v>15</v>
      </c>
      <c r="AO592" s="34">
        <f t="shared" si="592"/>
        <v>0</v>
      </c>
      <c r="AP592" s="34">
        <f t="shared" si="593"/>
        <v>0</v>
      </c>
      <c r="AQ592" s="28" t="s">
        <v>7</v>
      </c>
      <c r="AV592" s="34">
        <f t="shared" si="594"/>
        <v>0</v>
      </c>
      <c r="AW592" s="34">
        <f t="shared" si="595"/>
        <v>0</v>
      </c>
      <c r="AX592" s="34">
        <f t="shared" si="596"/>
        <v>0</v>
      </c>
      <c r="AY592" s="35" t="s">
        <v>1722</v>
      </c>
      <c r="AZ592" s="35" t="s">
        <v>1730</v>
      </c>
      <c r="BA592" s="29" t="s">
        <v>1737</v>
      </c>
      <c r="BC592" s="34">
        <f t="shared" si="597"/>
        <v>0</v>
      </c>
      <c r="BD592" s="34">
        <f t="shared" si="598"/>
        <v>0</v>
      </c>
      <c r="BE592" s="34">
        <v>0</v>
      </c>
      <c r="BF592" s="34">
        <f>592</f>
        <v>592</v>
      </c>
      <c r="BH592" s="17">
        <f t="shared" si="599"/>
        <v>0</v>
      </c>
      <c r="BI592" s="17">
        <f t="shared" si="600"/>
        <v>0</v>
      </c>
      <c r="BJ592" s="17">
        <f t="shared" si="601"/>
        <v>0</v>
      </c>
    </row>
    <row r="593" spans="1:62" x14ac:dyDescent="0.2">
      <c r="A593" s="4" t="s">
        <v>542</v>
      </c>
      <c r="B593" s="4" t="s">
        <v>1019</v>
      </c>
      <c r="C593" s="240" t="s">
        <v>1611</v>
      </c>
      <c r="D593" s="241"/>
      <c r="E593" s="241"/>
      <c r="F593" s="4" t="s">
        <v>1651</v>
      </c>
      <c r="G593" s="69">
        <v>1</v>
      </c>
      <c r="H593" s="168"/>
      <c r="I593" s="17">
        <f t="shared" si="578"/>
        <v>0</v>
      </c>
      <c r="J593" s="17">
        <f t="shared" si="579"/>
        <v>0</v>
      </c>
      <c r="K593" s="17">
        <f t="shared" si="580"/>
        <v>0</v>
      </c>
      <c r="L593" s="28"/>
      <c r="Z593" s="34">
        <f t="shared" si="581"/>
        <v>0</v>
      </c>
      <c r="AB593" s="34">
        <f t="shared" si="582"/>
        <v>0</v>
      </c>
      <c r="AC593" s="34">
        <f t="shared" si="583"/>
        <v>0</v>
      </c>
      <c r="AD593" s="34">
        <f t="shared" si="584"/>
        <v>0</v>
      </c>
      <c r="AE593" s="34">
        <f t="shared" si="585"/>
        <v>0</v>
      </c>
      <c r="AF593" s="34">
        <f t="shared" si="586"/>
        <v>0</v>
      </c>
      <c r="AG593" s="34">
        <f t="shared" si="587"/>
        <v>0</v>
      </c>
      <c r="AH593" s="34">
        <f t="shared" si="588"/>
        <v>0</v>
      </c>
      <c r="AI593" s="29"/>
      <c r="AJ593" s="17">
        <f t="shared" si="589"/>
        <v>0</v>
      </c>
      <c r="AK593" s="17">
        <f t="shared" si="590"/>
        <v>0</v>
      </c>
      <c r="AL593" s="17">
        <f t="shared" si="591"/>
        <v>0</v>
      </c>
      <c r="AN593" s="34">
        <v>15</v>
      </c>
      <c r="AO593" s="34">
        <f t="shared" si="592"/>
        <v>0</v>
      </c>
      <c r="AP593" s="34">
        <f t="shared" si="593"/>
        <v>0</v>
      </c>
      <c r="AQ593" s="28" t="s">
        <v>7</v>
      </c>
      <c r="AV593" s="34">
        <f t="shared" si="594"/>
        <v>0</v>
      </c>
      <c r="AW593" s="34">
        <f t="shared" si="595"/>
        <v>0</v>
      </c>
      <c r="AX593" s="34">
        <f t="shared" si="596"/>
        <v>0</v>
      </c>
      <c r="AY593" s="35" t="s">
        <v>1722</v>
      </c>
      <c r="AZ593" s="35" t="s">
        <v>1730</v>
      </c>
      <c r="BA593" s="29" t="s">
        <v>1737</v>
      </c>
      <c r="BC593" s="34">
        <f t="shared" si="597"/>
        <v>0</v>
      </c>
      <c r="BD593" s="34">
        <f t="shared" si="598"/>
        <v>0</v>
      </c>
      <c r="BE593" s="34">
        <v>0</v>
      </c>
      <c r="BF593" s="34">
        <f>593</f>
        <v>593</v>
      </c>
      <c r="BH593" s="17">
        <f t="shared" si="599"/>
        <v>0</v>
      </c>
      <c r="BI593" s="17">
        <f t="shared" si="600"/>
        <v>0</v>
      </c>
      <c r="BJ593" s="17">
        <f t="shared" si="601"/>
        <v>0</v>
      </c>
    </row>
    <row r="594" spans="1:62" x14ac:dyDescent="0.2">
      <c r="A594" s="4" t="s">
        <v>543</v>
      </c>
      <c r="B594" s="4" t="s">
        <v>1020</v>
      </c>
      <c r="C594" s="240" t="s">
        <v>1612</v>
      </c>
      <c r="D594" s="241"/>
      <c r="E594" s="241"/>
      <c r="F594" s="4" t="s">
        <v>1646</v>
      </c>
      <c r="G594" s="69">
        <v>140</v>
      </c>
      <c r="H594" s="168"/>
      <c r="I594" s="17">
        <f t="shared" si="578"/>
        <v>0</v>
      </c>
      <c r="J594" s="17">
        <f t="shared" si="579"/>
        <v>0</v>
      </c>
      <c r="K594" s="17">
        <f t="shared" si="580"/>
        <v>0</v>
      </c>
      <c r="L594" s="28"/>
      <c r="Z594" s="34">
        <f t="shared" si="581"/>
        <v>0</v>
      </c>
      <c r="AB594" s="34">
        <f t="shared" si="582"/>
        <v>0</v>
      </c>
      <c r="AC594" s="34">
        <f t="shared" si="583"/>
        <v>0</v>
      </c>
      <c r="AD594" s="34">
        <f t="shared" si="584"/>
        <v>0</v>
      </c>
      <c r="AE594" s="34">
        <f t="shared" si="585"/>
        <v>0</v>
      </c>
      <c r="AF594" s="34">
        <f t="shared" si="586"/>
        <v>0</v>
      </c>
      <c r="AG594" s="34">
        <f t="shared" si="587"/>
        <v>0</v>
      </c>
      <c r="AH594" s="34">
        <f t="shared" si="588"/>
        <v>0</v>
      </c>
      <c r="AI594" s="29"/>
      <c r="AJ594" s="17">
        <f t="shared" si="589"/>
        <v>0</v>
      </c>
      <c r="AK594" s="17">
        <f t="shared" si="590"/>
        <v>0</v>
      </c>
      <c r="AL594" s="17">
        <f t="shared" si="591"/>
        <v>0</v>
      </c>
      <c r="AN594" s="34">
        <v>15</v>
      </c>
      <c r="AO594" s="34">
        <f t="shared" si="592"/>
        <v>0</v>
      </c>
      <c r="AP594" s="34">
        <f t="shared" si="593"/>
        <v>0</v>
      </c>
      <c r="AQ594" s="28" t="s">
        <v>7</v>
      </c>
      <c r="AV594" s="34">
        <f t="shared" si="594"/>
        <v>0</v>
      </c>
      <c r="AW594" s="34">
        <f t="shared" si="595"/>
        <v>0</v>
      </c>
      <c r="AX594" s="34">
        <f t="shared" si="596"/>
        <v>0</v>
      </c>
      <c r="AY594" s="35" t="s">
        <v>1722</v>
      </c>
      <c r="AZ594" s="35" t="s">
        <v>1730</v>
      </c>
      <c r="BA594" s="29" t="s">
        <v>1737</v>
      </c>
      <c r="BC594" s="34">
        <f t="shared" si="597"/>
        <v>0</v>
      </c>
      <c r="BD594" s="34">
        <f t="shared" si="598"/>
        <v>0</v>
      </c>
      <c r="BE594" s="34">
        <v>0</v>
      </c>
      <c r="BF594" s="34">
        <f>594</f>
        <v>594</v>
      </c>
      <c r="BH594" s="17">
        <f t="shared" si="599"/>
        <v>0</v>
      </c>
      <c r="BI594" s="17">
        <f t="shared" si="600"/>
        <v>0</v>
      </c>
      <c r="BJ594" s="17">
        <f t="shared" si="601"/>
        <v>0</v>
      </c>
    </row>
    <row r="595" spans="1:62" x14ac:dyDescent="0.2">
      <c r="A595" s="4" t="s">
        <v>544</v>
      </c>
      <c r="B595" s="4" t="s">
        <v>1021</v>
      </c>
      <c r="C595" s="240" t="s">
        <v>1613</v>
      </c>
      <c r="D595" s="241"/>
      <c r="E595" s="241"/>
      <c r="F595" s="4" t="s">
        <v>1646</v>
      </c>
      <c r="G595" s="69">
        <v>40</v>
      </c>
      <c r="H595" s="168"/>
      <c r="I595" s="17">
        <f t="shared" si="578"/>
        <v>0</v>
      </c>
      <c r="J595" s="17">
        <f t="shared" si="579"/>
        <v>0</v>
      </c>
      <c r="K595" s="17">
        <f t="shared" si="580"/>
        <v>0</v>
      </c>
      <c r="L595" s="28"/>
      <c r="Z595" s="34">
        <f t="shared" si="581"/>
        <v>0</v>
      </c>
      <c r="AB595" s="34">
        <f t="shared" si="582"/>
        <v>0</v>
      </c>
      <c r="AC595" s="34">
        <f t="shared" si="583"/>
        <v>0</v>
      </c>
      <c r="AD595" s="34">
        <f t="shared" si="584"/>
        <v>0</v>
      </c>
      <c r="AE595" s="34">
        <f t="shared" si="585"/>
        <v>0</v>
      </c>
      <c r="AF595" s="34">
        <f t="shared" si="586"/>
        <v>0</v>
      </c>
      <c r="AG595" s="34">
        <f t="shared" si="587"/>
        <v>0</v>
      </c>
      <c r="AH595" s="34">
        <f t="shared" si="588"/>
        <v>0</v>
      </c>
      <c r="AI595" s="29"/>
      <c r="AJ595" s="17">
        <f t="shared" si="589"/>
        <v>0</v>
      </c>
      <c r="AK595" s="17">
        <f t="shared" si="590"/>
        <v>0</v>
      </c>
      <c r="AL595" s="17">
        <f t="shared" si="591"/>
        <v>0</v>
      </c>
      <c r="AN595" s="34">
        <v>15</v>
      </c>
      <c r="AO595" s="34">
        <f t="shared" si="592"/>
        <v>0</v>
      </c>
      <c r="AP595" s="34">
        <f t="shared" si="593"/>
        <v>0</v>
      </c>
      <c r="AQ595" s="28" t="s">
        <v>7</v>
      </c>
      <c r="AV595" s="34">
        <f t="shared" si="594"/>
        <v>0</v>
      </c>
      <c r="AW595" s="34">
        <f t="shared" si="595"/>
        <v>0</v>
      </c>
      <c r="AX595" s="34">
        <f t="shared" si="596"/>
        <v>0</v>
      </c>
      <c r="AY595" s="35" t="s">
        <v>1722</v>
      </c>
      <c r="AZ595" s="35" t="s">
        <v>1730</v>
      </c>
      <c r="BA595" s="29" t="s">
        <v>1737</v>
      </c>
      <c r="BC595" s="34">
        <f t="shared" si="597"/>
        <v>0</v>
      </c>
      <c r="BD595" s="34">
        <f t="shared" si="598"/>
        <v>0</v>
      </c>
      <c r="BE595" s="34">
        <v>0</v>
      </c>
      <c r="BF595" s="34">
        <f>595</f>
        <v>595</v>
      </c>
      <c r="BH595" s="17">
        <f t="shared" si="599"/>
        <v>0</v>
      </c>
      <c r="BI595" s="17">
        <f t="shared" si="600"/>
        <v>0</v>
      </c>
      <c r="BJ595" s="17">
        <f t="shared" si="601"/>
        <v>0</v>
      </c>
    </row>
    <row r="596" spans="1:62" x14ac:dyDescent="0.2">
      <c r="A596" s="4" t="s">
        <v>545</v>
      </c>
      <c r="B596" s="4" t="s">
        <v>1022</v>
      </c>
      <c r="C596" s="240" t="s">
        <v>1614</v>
      </c>
      <c r="D596" s="241"/>
      <c r="E596" s="241"/>
      <c r="F596" s="4" t="s">
        <v>1646</v>
      </c>
      <c r="G596" s="69">
        <v>60</v>
      </c>
      <c r="H596" s="168"/>
      <c r="I596" s="17">
        <f t="shared" si="578"/>
        <v>0</v>
      </c>
      <c r="J596" s="17">
        <f t="shared" si="579"/>
        <v>0</v>
      </c>
      <c r="K596" s="17">
        <f t="shared" si="580"/>
        <v>0</v>
      </c>
      <c r="L596" s="28"/>
      <c r="Z596" s="34">
        <f t="shared" si="581"/>
        <v>0</v>
      </c>
      <c r="AB596" s="34">
        <f t="shared" si="582"/>
        <v>0</v>
      </c>
      <c r="AC596" s="34">
        <f t="shared" si="583"/>
        <v>0</v>
      </c>
      <c r="AD596" s="34">
        <f t="shared" si="584"/>
        <v>0</v>
      </c>
      <c r="AE596" s="34">
        <f t="shared" si="585"/>
        <v>0</v>
      </c>
      <c r="AF596" s="34">
        <f t="shared" si="586"/>
        <v>0</v>
      </c>
      <c r="AG596" s="34">
        <f t="shared" si="587"/>
        <v>0</v>
      </c>
      <c r="AH596" s="34">
        <f t="shared" si="588"/>
        <v>0</v>
      </c>
      <c r="AI596" s="29"/>
      <c r="AJ596" s="17">
        <f t="shared" si="589"/>
        <v>0</v>
      </c>
      <c r="AK596" s="17">
        <f t="shared" si="590"/>
        <v>0</v>
      </c>
      <c r="AL596" s="17">
        <f t="shared" si="591"/>
        <v>0</v>
      </c>
      <c r="AN596" s="34">
        <v>15</v>
      </c>
      <c r="AO596" s="34">
        <f t="shared" si="592"/>
        <v>0</v>
      </c>
      <c r="AP596" s="34">
        <f t="shared" si="593"/>
        <v>0</v>
      </c>
      <c r="AQ596" s="28" t="s">
        <v>7</v>
      </c>
      <c r="AV596" s="34">
        <f t="shared" si="594"/>
        <v>0</v>
      </c>
      <c r="AW596" s="34">
        <f t="shared" si="595"/>
        <v>0</v>
      </c>
      <c r="AX596" s="34">
        <f t="shared" si="596"/>
        <v>0</v>
      </c>
      <c r="AY596" s="35" t="s">
        <v>1722</v>
      </c>
      <c r="AZ596" s="35" t="s">
        <v>1730</v>
      </c>
      <c r="BA596" s="29" t="s">
        <v>1737</v>
      </c>
      <c r="BC596" s="34">
        <f t="shared" si="597"/>
        <v>0</v>
      </c>
      <c r="BD596" s="34">
        <f t="shared" si="598"/>
        <v>0</v>
      </c>
      <c r="BE596" s="34">
        <v>0</v>
      </c>
      <c r="BF596" s="34">
        <f>596</f>
        <v>596</v>
      </c>
      <c r="BH596" s="17">
        <f t="shared" si="599"/>
        <v>0</v>
      </c>
      <c r="BI596" s="17">
        <f t="shared" si="600"/>
        <v>0</v>
      </c>
      <c r="BJ596" s="17">
        <f t="shared" si="601"/>
        <v>0</v>
      </c>
    </row>
    <row r="597" spans="1:62" x14ac:dyDescent="0.2">
      <c r="A597" s="4" t="s">
        <v>546</v>
      </c>
      <c r="B597" s="4" t="s">
        <v>1023</v>
      </c>
      <c r="C597" s="240" t="s">
        <v>1615</v>
      </c>
      <c r="D597" s="241"/>
      <c r="E597" s="241"/>
      <c r="F597" s="4" t="s">
        <v>1646</v>
      </c>
      <c r="G597" s="69">
        <v>30</v>
      </c>
      <c r="H597" s="168"/>
      <c r="I597" s="17">
        <f t="shared" si="578"/>
        <v>0</v>
      </c>
      <c r="J597" s="17">
        <f t="shared" si="579"/>
        <v>0</v>
      </c>
      <c r="K597" s="17">
        <f t="shared" si="580"/>
        <v>0</v>
      </c>
      <c r="L597" s="28"/>
      <c r="Z597" s="34">
        <f t="shared" si="581"/>
        <v>0</v>
      </c>
      <c r="AB597" s="34">
        <f t="shared" si="582"/>
        <v>0</v>
      </c>
      <c r="AC597" s="34">
        <f t="shared" si="583"/>
        <v>0</v>
      </c>
      <c r="AD597" s="34">
        <f t="shared" si="584"/>
        <v>0</v>
      </c>
      <c r="AE597" s="34">
        <f t="shared" si="585"/>
        <v>0</v>
      </c>
      <c r="AF597" s="34">
        <f t="shared" si="586"/>
        <v>0</v>
      </c>
      <c r="AG597" s="34">
        <f t="shared" si="587"/>
        <v>0</v>
      </c>
      <c r="AH597" s="34">
        <f t="shared" si="588"/>
        <v>0</v>
      </c>
      <c r="AI597" s="29"/>
      <c r="AJ597" s="17">
        <f t="shared" si="589"/>
        <v>0</v>
      </c>
      <c r="AK597" s="17">
        <f t="shared" si="590"/>
        <v>0</v>
      </c>
      <c r="AL597" s="17">
        <f t="shared" si="591"/>
        <v>0</v>
      </c>
      <c r="AN597" s="34">
        <v>15</v>
      </c>
      <c r="AO597" s="34">
        <f t="shared" si="592"/>
        <v>0</v>
      </c>
      <c r="AP597" s="34">
        <f t="shared" si="593"/>
        <v>0</v>
      </c>
      <c r="AQ597" s="28" t="s">
        <v>7</v>
      </c>
      <c r="AV597" s="34">
        <f t="shared" si="594"/>
        <v>0</v>
      </c>
      <c r="AW597" s="34">
        <f t="shared" si="595"/>
        <v>0</v>
      </c>
      <c r="AX597" s="34">
        <f t="shared" si="596"/>
        <v>0</v>
      </c>
      <c r="AY597" s="35" t="s">
        <v>1722</v>
      </c>
      <c r="AZ597" s="35" t="s">
        <v>1730</v>
      </c>
      <c r="BA597" s="29" t="s">
        <v>1737</v>
      </c>
      <c r="BC597" s="34">
        <f t="shared" si="597"/>
        <v>0</v>
      </c>
      <c r="BD597" s="34">
        <f t="shared" si="598"/>
        <v>0</v>
      </c>
      <c r="BE597" s="34">
        <v>0</v>
      </c>
      <c r="BF597" s="34">
        <f>597</f>
        <v>597</v>
      </c>
      <c r="BH597" s="17">
        <f t="shared" si="599"/>
        <v>0</v>
      </c>
      <c r="BI597" s="17">
        <f t="shared" si="600"/>
        <v>0</v>
      </c>
      <c r="BJ597" s="17">
        <f t="shared" si="601"/>
        <v>0</v>
      </c>
    </row>
    <row r="598" spans="1:62" x14ac:dyDescent="0.2">
      <c r="A598" s="4" t="s">
        <v>547</v>
      </c>
      <c r="B598" s="4" t="s">
        <v>1024</v>
      </c>
      <c r="C598" s="240" t="s">
        <v>1616</v>
      </c>
      <c r="D598" s="241"/>
      <c r="E598" s="241"/>
      <c r="F598" s="4" t="s">
        <v>1646</v>
      </c>
      <c r="G598" s="69">
        <v>35</v>
      </c>
      <c r="H598" s="168"/>
      <c r="I598" s="17">
        <f t="shared" si="578"/>
        <v>0</v>
      </c>
      <c r="J598" s="17">
        <f t="shared" si="579"/>
        <v>0</v>
      </c>
      <c r="K598" s="17">
        <f t="shared" si="580"/>
        <v>0</v>
      </c>
      <c r="L598" s="28"/>
      <c r="Z598" s="34">
        <f t="shared" si="581"/>
        <v>0</v>
      </c>
      <c r="AB598" s="34">
        <f t="shared" si="582"/>
        <v>0</v>
      </c>
      <c r="AC598" s="34">
        <f t="shared" si="583"/>
        <v>0</v>
      </c>
      <c r="AD598" s="34">
        <f t="shared" si="584"/>
        <v>0</v>
      </c>
      <c r="AE598" s="34">
        <f t="shared" si="585"/>
        <v>0</v>
      </c>
      <c r="AF598" s="34">
        <f t="shared" si="586"/>
        <v>0</v>
      </c>
      <c r="AG598" s="34">
        <f t="shared" si="587"/>
        <v>0</v>
      </c>
      <c r="AH598" s="34">
        <f t="shared" si="588"/>
        <v>0</v>
      </c>
      <c r="AI598" s="29"/>
      <c r="AJ598" s="17">
        <f t="shared" si="589"/>
        <v>0</v>
      </c>
      <c r="AK598" s="17">
        <f t="shared" si="590"/>
        <v>0</v>
      </c>
      <c r="AL598" s="17">
        <f t="shared" si="591"/>
        <v>0</v>
      </c>
      <c r="AN598" s="34">
        <v>15</v>
      </c>
      <c r="AO598" s="34">
        <f t="shared" si="592"/>
        <v>0</v>
      </c>
      <c r="AP598" s="34">
        <f t="shared" si="593"/>
        <v>0</v>
      </c>
      <c r="AQ598" s="28" t="s">
        <v>7</v>
      </c>
      <c r="AV598" s="34">
        <f t="shared" si="594"/>
        <v>0</v>
      </c>
      <c r="AW598" s="34">
        <f t="shared" si="595"/>
        <v>0</v>
      </c>
      <c r="AX598" s="34">
        <f t="shared" si="596"/>
        <v>0</v>
      </c>
      <c r="AY598" s="35" t="s">
        <v>1722</v>
      </c>
      <c r="AZ598" s="35" t="s">
        <v>1730</v>
      </c>
      <c r="BA598" s="29" t="s">
        <v>1737</v>
      </c>
      <c r="BC598" s="34">
        <f t="shared" si="597"/>
        <v>0</v>
      </c>
      <c r="BD598" s="34">
        <f t="shared" si="598"/>
        <v>0</v>
      </c>
      <c r="BE598" s="34">
        <v>0</v>
      </c>
      <c r="BF598" s="34">
        <f>598</f>
        <v>598</v>
      </c>
      <c r="BH598" s="17">
        <f t="shared" si="599"/>
        <v>0</v>
      </c>
      <c r="BI598" s="17">
        <f t="shared" si="600"/>
        <v>0</v>
      </c>
      <c r="BJ598" s="17">
        <f t="shared" si="601"/>
        <v>0</v>
      </c>
    </row>
    <row r="599" spans="1:62" x14ac:dyDescent="0.2">
      <c r="A599" s="4" t="s">
        <v>548</v>
      </c>
      <c r="B599" s="4" t="s">
        <v>1025</v>
      </c>
      <c r="C599" s="240" t="s">
        <v>1617</v>
      </c>
      <c r="D599" s="241"/>
      <c r="E599" s="241"/>
      <c r="F599" s="4" t="s">
        <v>1646</v>
      </c>
      <c r="G599" s="69">
        <v>30</v>
      </c>
      <c r="H599" s="168"/>
      <c r="I599" s="17">
        <f t="shared" si="578"/>
        <v>0</v>
      </c>
      <c r="J599" s="17">
        <f t="shared" si="579"/>
        <v>0</v>
      </c>
      <c r="K599" s="17">
        <f t="shared" si="580"/>
        <v>0</v>
      </c>
      <c r="L599" s="28"/>
      <c r="Z599" s="34">
        <f t="shared" si="581"/>
        <v>0</v>
      </c>
      <c r="AB599" s="34">
        <f t="shared" si="582"/>
        <v>0</v>
      </c>
      <c r="AC599" s="34">
        <f t="shared" si="583"/>
        <v>0</v>
      </c>
      <c r="AD599" s="34">
        <f t="shared" si="584"/>
        <v>0</v>
      </c>
      <c r="AE599" s="34">
        <f t="shared" si="585"/>
        <v>0</v>
      </c>
      <c r="AF599" s="34">
        <f t="shared" si="586"/>
        <v>0</v>
      </c>
      <c r="AG599" s="34">
        <f t="shared" si="587"/>
        <v>0</v>
      </c>
      <c r="AH599" s="34">
        <f t="shared" si="588"/>
        <v>0</v>
      </c>
      <c r="AI599" s="29"/>
      <c r="AJ599" s="17">
        <f t="shared" si="589"/>
        <v>0</v>
      </c>
      <c r="AK599" s="17">
        <f t="shared" si="590"/>
        <v>0</v>
      </c>
      <c r="AL599" s="17">
        <f t="shared" si="591"/>
        <v>0</v>
      </c>
      <c r="AN599" s="34">
        <v>15</v>
      </c>
      <c r="AO599" s="34">
        <f t="shared" si="592"/>
        <v>0</v>
      </c>
      <c r="AP599" s="34">
        <f t="shared" si="593"/>
        <v>0</v>
      </c>
      <c r="AQ599" s="28" t="s">
        <v>7</v>
      </c>
      <c r="AV599" s="34">
        <f t="shared" si="594"/>
        <v>0</v>
      </c>
      <c r="AW599" s="34">
        <f t="shared" si="595"/>
        <v>0</v>
      </c>
      <c r="AX599" s="34">
        <f t="shared" si="596"/>
        <v>0</v>
      </c>
      <c r="AY599" s="35" t="s">
        <v>1722</v>
      </c>
      <c r="AZ599" s="35" t="s">
        <v>1730</v>
      </c>
      <c r="BA599" s="29" t="s">
        <v>1737</v>
      </c>
      <c r="BC599" s="34">
        <f t="shared" si="597"/>
        <v>0</v>
      </c>
      <c r="BD599" s="34">
        <f t="shared" si="598"/>
        <v>0</v>
      </c>
      <c r="BE599" s="34">
        <v>0</v>
      </c>
      <c r="BF599" s="34">
        <f>599</f>
        <v>599</v>
      </c>
      <c r="BH599" s="17">
        <f t="shared" si="599"/>
        <v>0</v>
      </c>
      <c r="BI599" s="17">
        <f t="shared" si="600"/>
        <v>0</v>
      </c>
      <c r="BJ599" s="17">
        <f t="shared" si="601"/>
        <v>0</v>
      </c>
    </row>
    <row r="600" spans="1:62" x14ac:dyDescent="0.2">
      <c r="A600" s="4" t="s">
        <v>549</v>
      </c>
      <c r="B600" s="4" t="s">
        <v>1026</v>
      </c>
      <c r="C600" s="240" t="s">
        <v>1618</v>
      </c>
      <c r="D600" s="241"/>
      <c r="E600" s="241"/>
      <c r="F600" s="4" t="s">
        <v>1646</v>
      </c>
      <c r="G600" s="69">
        <v>25</v>
      </c>
      <c r="H600" s="168"/>
      <c r="I600" s="17">
        <f t="shared" si="578"/>
        <v>0</v>
      </c>
      <c r="J600" s="17">
        <f t="shared" si="579"/>
        <v>0</v>
      </c>
      <c r="K600" s="17">
        <f t="shared" si="580"/>
        <v>0</v>
      </c>
      <c r="L600" s="28"/>
      <c r="Z600" s="34">
        <f t="shared" si="581"/>
        <v>0</v>
      </c>
      <c r="AB600" s="34">
        <f t="shared" si="582"/>
        <v>0</v>
      </c>
      <c r="AC600" s="34">
        <f t="shared" si="583"/>
        <v>0</v>
      </c>
      <c r="AD600" s="34">
        <f t="shared" si="584"/>
        <v>0</v>
      </c>
      <c r="AE600" s="34">
        <f t="shared" si="585"/>
        <v>0</v>
      </c>
      <c r="AF600" s="34">
        <f t="shared" si="586"/>
        <v>0</v>
      </c>
      <c r="AG600" s="34">
        <f t="shared" si="587"/>
        <v>0</v>
      </c>
      <c r="AH600" s="34">
        <f t="shared" si="588"/>
        <v>0</v>
      </c>
      <c r="AI600" s="29"/>
      <c r="AJ600" s="17">
        <f t="shared" si="589"/>
        <v>0</v>
      </c>
      <c r="AK600" s="17">
        <f t="shared" si="590"/>
        <v>0</v>
      </c>
      <c r="AL600" s="17">
        <f t="shared" si="591"/>
        <v>0</v>
      </c>
      <c r="AN600" s="34">
        <v>15</v>
      </c>
      <c r="AO600" s="34">
        <f t="shared" si="592"/>
        <v>0</v>
      </c>
      <c r="AP600" s="34">
        <f t="shared" si="593"/>
        <v>0</v>
      </c>
      <c r="AQ600" s="28" t="s">
        <v>7</v>
      </c>
      <c r="AV600" s="34">
        <f t="shared" si="594"/>
        <v>0</v>
      </c>
      <c r="AW600" s="34">
        <f t="shared" si="595"/>
        <v>0</v>
      </c>
      <c r="AX600" s="34">
        <f t="shared" si="596"/>
        <v>0</v>
      </c>
      <c r="AY600" s="35" t="s">
        <v>1722</v>
      </c>
      <c r="AZ600" s="35" t="s">
        <v>1730</v>
      </c>
      <c r="BA600" s="29" t="s">
        <v>1737</v>
      </c>
      <c r="BC600" s="34">
        <f t="shared" si="597"/>
        <v>0</v>
      </c>
      <c r="BD600" s="34">
        <f t="shared" si="598"/>
        <v>0</v>
      </c>
      <c r="BE600" s="34">
        <v>0</v>
      </c>
      <c r="BF600" s="34">
        <f>600</f>
        <v>600</v>
      </c>
      <c r="BH600" s="17">
        <f t="shared" si="599"/>
        <v>0</v>
      </c>
      <c r="BI600" s="17">
        <f t="shared" si="600"/>
        <v>0</v>
      </c>
      <c r="BJ600" s="17">
        <f t="shared" si="601"/>
        <v>0</v>
      </c>
    </row>
    <row r="601" spans="1:62" x14ac:dyDescent="0.2">
      <c r="A601" s="4" t="s">
        <v>550</v>
      </c>
      <c r="B601" s="4" t="s">
        <v>1027</v>
      </c>
      <c r="C601" s="240" t="s">
        <v>1619</v>
      </c>
      <c r="D601" s="241"/>
      <c r="E601" s="241"/>
      <c r="F601" s="4" t="s">
        <v>1644</v>
      </c>
      <c r="G601" s="69">
        <v>1</v>
      </c>
      <c r="H601" s="168"/>
      <c r="I601" s="17">
        <f t="shared" si="578"/>
        <v>0</v>
      </c>
      <c r="J601" s="17">
        <f t="shared" si="579"/>
        <v>0</v>
      </c>
      <c r="K601" s="17">
        <f t="shared" si="580"/>
        <v>0</v>
      </c>
      <c r="L601" s="28"/>
      <c r="Z601" s="34">
        <f t="shared" si="581"/>
        <v>0</v>
      </c>
      <c r="AB601" s="34">
        <f t="shared" si="582"/>
        <v>0</v>
      </c>
      <c r="AC601" s="34">
        <f t="shared" si="583"/>
        <v>0</v>
      </c>
      <c r="AD601" s="34">
        <f t="shared" si="584"/>
        <v>0</v>
      </c>
      <c r="AE601" s="34">
        <f t="shared" si="585"/>
        <v>0</v>
      </c>
      <c r="AF601" s="34">
        <f t="shared" si="586"/>
        <v>0</v>
      </c>
      <c r="AG601" s="34">
        <f t="shared" si="587"/>
        <v>0</v>
      </c>
      <c r="AH601" s="34">
        <f t="shared" si="588"/>
        <v>0</v>
      </c>
      <c r="AI601" s="29"/>
      <c r="AJ601" s="17">
        <f t="shared" si="589"/>
        <v>0</v>
      </c>
      <c r="AK601" s="17">
        <f t="shared" si="590"/>
        <v>0</v>
      </c>
      <c r="AL601" s="17">
        <f t="shared" si="591"/>
        <v>0</v>
      </c>
      <c r="AN601" s="34">
        <v>15</v>
      </c>
      <c r="AO601" s="34">
        <f t="shared" si="592"/>
        <v>0</v>
      </c>
      <c r="AP601" s="34">
        <f t="shared" si="593"/>
        <v>0</v>
      </c>
      <c r="AQ601" s="28" t="s">
        <v>7</v>
      </c>
      <c r="AV601" s="34">
        <f t="shared" si="594"/>
        <v>0</v>
      </c>
      <c r="AW601" s="34">
        <f t="shared" si="595"/>
        <v>0</v>
      </c>
      <c r="AX601" s="34">
        <f t="shared" si="596"/>
        <v>0</v>
      </c>
      <c r="AY601" s="35" t="s">
        <v>1722</v>
      </c>
      <c r="AZ601" s="35" t="s">
        <v>1730</v>
      </c>
      <c r="BA601" s="29" t="s">
        <v>1737</v>
      </c>
      <c r="BC601" s="34">
        <f t="shared" si="597"/>
        <v>0</v>
      </c>
      <c r="BD601" s="34">
        <f t="shared" si="598"/>
        <v>0</v>
      </c>
      <c r="BE601" s="34">
        <v>0</v>
      </c>
      <c r="BF601" s="34">
        <f>601</f>
        <v>601</v>
      </c>
      <c r="BH601" s="17">
        <f t="shared" si="599"/>
        <v>0</v>
      </c>
      <c r="BI601" s="17">
        <f t="shared" si="600"/>
        <v>0</v>
      </c>
      <c r="BJ601" s="17">
        <f t="shared" si="601"/>
        <v>0</v>
      </c>
    </row>
    <row r="602" spans="1:62" x14ac:dyDescent="0.2">
      <c r="A602" s="4" t="s">
        <v>551</v>
      </c>
      <c r="B602" s="4" t="s">
        <v>1028</v>
      </c>
      <c r="C602" s="240" t="s">
        <v>1620</v>
      </c>
      <c r="D602" s="241"/>
      <c r="E602" s="241"/>
      <c r="F602" s="4" t="s">
        <v>1644</v>
      </c>
      <c r="G602" s="69">
        <v>1</v>
      </c>
      <c r="H602" s="168"/>
      <c r="I602" s="17">
        <f t="shared" ref="I602:I612" si="602">G602*AO602</f>
        <v>0</v>
      </c>
      <c r="J602" s="17">
        <f t="shared" ref="J602:J612" si="603">G602*AP602</f>
        <v>0</v>
      </c>
      <c r="K602" s="17">
        <f t="shared" ref="K602:K612" si="604">G602*H602</f>
        <v>0</v>
      </c>
      <c r="L602" s="28"/>
      <c r="Z602" s="34">
        <f t="shared" ref="Z602:Z612" si="605">IF(AQ602="5",BJ602,0)</f>
        <v>0</v>
      </c>
      <c r="AB602" s="34">
        <f t="shared" ref="AB602:AB612" si="606">IF(AQ602="1",BH602,0)</f>
        <v>0</v>
      </c>
      <c r="AC602" s="34">
        <f t="shared" ref="AC602:AC612" si="607">IF(AQ602="1",BI602,0)</f>
        <v>0</v>
      </c>
      <c r="AD602" s="34">
        <f t="shared" ref="AD602:AD612" si="608">IF(AQ602="7",BH602,0)</f>
        <v>0</v>
      </c>
      <c r="AE602" s="34">
        <f t="shared" ref="AE602:AE612" si="609">IF(AQ602="7",BI602,0)</f>
        <v>0</v>
      </c>
      <c r="AF602" s="34">
        <f t="shared" ref="AF602:AF612" si="610">IF(AQ602="2",BH602,0)</f>
        <v>0</v>
      </c>
      <c r="AG602" s="34">
        <f t="shared" ref="AG602:AG612" si="611">IF(AQ602="2",BI602,0)</f>
        <v>0</v>
      </c>
      <c r="AH602" s="34">
        <f t="shared" ref="AH602:AH612" si="612">IF(AQ602="0",BJ602,0)</f>
        <v>0</v>
      </c>
      <c r="AI602" s="29"/>
      <c r="AJ602" s="17">
        <f t="shared" ref="AJ602:AJ612" si="613">IF(AN602=0,K602,0)</f>
        <v>0</v>
      </c>
      <c r="AK602" s="17">
        <f t="shared" ref="AK602:AK612" si="614">IF(AN602=15,K602,0)</f>
        <v>0</v>
      </c>
      <c r="AL602" s="17">
        <f t="shared" ref="AL602:AL612" si="615">IF(AN602=21,K602,0)</f>
        <v>0</v>
      </c>
      <c r="AN602" s="34">
        <v>15</v>
      </c>
      <c r="AO602" s="34">
        <f t="shared" ref="AO602:AO612" si="616">H602*0</f>
        <v>0</v>
      </c>
      <c r="AP602" s="34">
        <f t="shared" ref="AP602:AP612" si="617">H602*(1-0)</f>
        <v>0</v>
      </c>
      <c r="AQ602" s="28" t="s">
        <v>7</v>
      </c>
      <c r="AV602" s="34">
        <f t="shared" ref="AV602:AV612" si="618">AW602+AX602</f>
        <v>0</v>
      </c>
      <c r="AW602" s="34">
        <f t="shared" ref="AW602:AW612" si="619">G602*AO602</f>
        <v>0</v>
      </c>
      <c r="AX602" s="34">
        <f t="shared" ref="AX602:AX612" si="620">G602*AP602</f>
        <v>0</v>
      </c>
      <c r="AY602" s="35" t="s">
        <v>1722</v>
      </c>
      <c r="AZ602" s="35" t="s">
        <v>1730</v>
      </c>
      <c r="BA602" s="29" t="s">
        <v>1737</v>
      </c>
      <c r="BC602" s="34">
        <f t="shared" ref="BC602:BC612" si="621">AW602+AX602</f>
        <v>0</v>
      </c>
      <c r="BD602" s="34">
        <f t="shared" ref="BD602:BD612" si="622">H602/(100-BE602)*100</f>
        <v>0</v>
      </c>
      <c r="BE602" s="34">
        <v>0</v>
      </c>
      <c r="BF602" s="34">
        <f>602</f>
        <v>602</v>
      </c>
      <c r="BH602" s="17">
        <f t="shared" ref="BH602:BH612" si="623">G602*AO602</f>
        <v>0</v>
      </c>
      <c r="BI602" s="17">
        <f t="shared" ref="BI602:BI612" si="624">G602*AP602</f>
        <v>0</v>
      </c>
      <c r="BJ602" s="17">
        <f t="shared" ref="BJ602:BJ612" si="625">G602*H602</f>
        <v>0</v>
      </c>
    </row>
    <row r="603" spans="1:62" x14ac:dyDescent="0.2">
      <c r="A603" s="4" t="s">
        <v>552</v>
      </c>
      <c r="B603" s="4" t="s">
        <v>1029</v>
      </c>
      <c r="C603" s="240" t="s">
        <v>1621</v>
      </c>
      <c r="D603" s="241"/>
      <c r="E603" s="241"/>
      <c r="F603" s="4" t="s">
        <v>1644</v>
      </c>
      <c r="G603" s="69">
        <v>1</v>
      </c>
      <c r="H603" s="168"/>
      <c r="I603" s="17">
        <f t="shared" si="602"/>
        <v>0</v>
      </c>
      <c r="J603" s="17">
        <f t="shared" si="603"/>
        <v>0</v>
      </c>
      <c r="K603" s="17">
        <f t="shared" si="604"/>
        <v>0</v>
      </c>
      <c r="L603" s="28"/>
      <c r="Z603" s="34">
        <f t="shared" si="605"/>
        <v>0</v>
      </c>
      <c r="AB603" s="34">
        <f t="shared" si="606"/>
        <v>0</v>
      </c>
      <c r="AC603" s="34">
        <f t="shared" si="607"/>
        <v>0</v>
      </c>
      <c r="AD603" s="34">
        <f t="shared" si="608"/>
        <v>0</v>
      </c>
      <c r="AE603" s="34">
        <f t="shared" si="609"/>
        <v>0</v>
      </c>
      <c r="AF603" s="34">
        <f t="shared" si="610"/>
        <v>0</v>
      </c>
      <c r="AG603" s="34">
        <f t="shared" si="611"/>
        <v>0</v>
      </c>
      <c r="AH603" s="34">
        <f t="shared" si="612"/>
        <v>0</v>
      </c>
      <c r="AI603" s="29"/>
      <c r="AJ603" s="17">
        <f t="shared" si="613"/>
        <v>0</v>
      </c>
      <c r="AK603" s="17">
        <f t="shared" si="614"/>
        <v>0</v>
      </c>
      <c r="AL603" s="17">
        <f t="shared" si="615"/>
        <v>0</v>
      </c>
      <c r="AN603" s="34">
        <v>15</v>
      </c>
      <c r="AO603" s="34">
        <f t="shared" si="616"/>
        <v>0</v>
      </c>
      <c r="AP603" s="34">
        <f t="shared" si="617"/>
        <v>0</v>
      </c>
      <c r="AQ603" s="28" t="s">
        <v>7</v>
      </c>
      <c r="AV603" s="34">
        <f t="shared" si="618"/>
        <v>0</v>
      </c>
      <c r="AW603" s="34">
        <f t="shared" si="619"/>
        <v>0</v>
      </c>
      <c r="AX603" s="34">
        <f t="shared" si="620"/>
        <v>0</v>
      </c>
      <c r="AY603" s="35" t="s">
        <v>1722</v>
      </c>
      <c r="AZ603" s="35" t="s">
        <v>1730</v>
      </c>
      <c r="BA603" s="29" t="s">
        <v>1737</v>
      </c>
      <c r="BC603" s="34">
        <f t="shared" si="621"/>
        <v>0</v>
      </c>
      <c r="BD603" s="34">
        <f t="shared" si="622"/>
        <v>0</v>
      </c>
      <c r="BE603" s="34">
        <v>0</v>
      </c>
      <c r="BF603" s="34">
        <f>603</f>
        <v>603</v>
      </c>
      <c r="BH603" s="17">
        <f t="shared" si="623"/>
        <v>0</v>
      </c>
      <c r="BI603" s="17">
        <f t="shared" si="624"/>
        <v>0</v>
      </c>
      <c r="BJ603" s="17">
        <f t="shared" si="625"/>
        <v>0</v>
      </c>
    </row>
    <row r="604" spans="1:62" x14ac:dyDescent="0.2">
      <c r="A604" s="4" t="s">
        <v>553</v>
      </c>
      <c r="B604" s="4" t="s">
        <v>1030</v>
      </c>
      <c r="C604" s="240" t="s">
        <v>1622</v>
      </c>
      <c r="D604" s="241"/>
      <c r="E604" s="241"/>
      <c r="F604" s="4" t="s">
        <v>1644</v>
      </c>
      <c r="G604" s="69">
        <v>1</v>
      </c>
      <c r="H604" s="168"/>
      <c r="I604" s="17">
        <f t="shared" si="602"/>
        <v>0</v>
      </c>
      <c r="J604" s="17">
        <f t="shared" si="603"/>
        <v>0</v>
      </c>
      <c r="K604" s="17">
        <f t="shared" si="604"/>
        <v>0</v>
      </c>
      <c r="L604" s="28"/>
      <c r="Z604" s="34">
        <f t="shared" si="605"/>
        <v>0</v>
      </c>
      <c r="AB604" s="34">
        <f t="shared" si="606"/>
        <v>0</v>
      </c>
      <c r="AC604" s="34">
        <f t="shared" si="607"/>
        <v>0</v>
      </c>
      <c r="AD604" s="34">
        <f t="shared" si="608"/>
        <v>0</v>
      </c>
      <c r="AE604" s="34">
        <f t="shared" si="609"/>
        <v>0</v>
      </c>
      <c r="AF604" s="34">
        <f t="shared" si="610"/>
        <v>0</v>
      </c>
      <c r="AG604" s="34">
        <f t="shared" si="611"/>
        <v>0</v>
      </c>
      <c r="AH604" s="34">
        <f t="shared" si="612"/>
        <v>0</v>
      </c>
      <c r="AI604" s="29"/>
      <c r="AJ604" s="17">
        <f t="shared" si="613"/>
        <v>0</v>
      </c>
      <c r="AK604" s="17">
        <f t="shared" si="614"/>
        <v>0</v>
      </c>
      <c r="AL604" s="17">
        <f t="shared" si="615"/>
        <v>0</v>
      </c>
      <c r="AN604" s="34">
        <v>15</v>
      </c>
      <c r="AO604" s="34">
        <f t="shared" si="616"/>
        <v>0</v>
      </c>
      <c r="AP604" s="34">
        <f t="shared" si="617"/>
        <v>0</v>
      </c>
      <c r="AQ604" s="28" t="s">
        <v>7</v>
      </c>
      <c r="AV604" s="34">
        <f t="shared" si="618"/>
        <v>0</v>
      </c>
      <c r="AW604" s="34">
        <f t="shared" si="619"/>
        <v>0</v>
      </c>
      <c r="AX604" s="34">
        <f t="shared" si="620"/>
        <v>0</v>
      </c>
      <c r="AY604" s="35" t="s">
        <v>1722</v>
      </c>
      <c r="AZ604" s="35" t="s">
        <v>1730</v>
      </c>
      <c r="BA604" s="29" t="s">
        <v>1737</v>
      </c>
      <c r="BC604" s="34">
        <f t="shared" si="621"/>
        <v>0</v>
      </c>
      <c r="BD604" s="34">
        <f t="shared" si="622"/>
        <v>0</v>
      </c>
      <c r="BE604" s="34">
        <v>0</v>
      </c>
      <c r="BF604" s="34">
        <f>604</f>
        <v>604</v>
      </c>
      <c r="BH604" s="17">
        <f t="shared" si="623"/>
        <v>0</v>
      </c>
      <c r="BI604" s="17">
        <f t="shared" si="624"/>
        <v>0</v>
      </c>
      <c r="BJ604" s="17">
        <f t="shared" si="625"/>
        <v>0</v>
      </c>
    </row>
    <row r="605" spans="1:62" x14ac:dyDescent="0.2">
      <c r="A605" s="4" t="s">
        <v>554</v>
      </c>
      <c r="B605" s="4" t="s">
        <v>1031</v>
      </c>
      <c r="C605" s="240" t="s">
        <v>1623</v>
      </c>
      <c r="D605" s="241"/>
      <c r="E605" s="241"/>
      <c r="F605" s="4" t="s">
        <v>1644</v>
      </c>
      <c r="G605" s="69">
        <v>1</v>
      </c>
      <c r="H605" s="168"/>
      <c r="I605" s="17">
        <f t="shared" si="602"/>
        <v>0</v>
      </c>
      <c r="J605" s="17">
        <f t="shared" si="603"/>
        <v>0</v>
      </c>
      <c r="K605" s="17">
        <f t="shared" si="604"/>
        <v>0</v>
      </c>
      <c r="L605" s="28"/>
      <c r="Z605" s="34">
        <f t="shared" si="605"/>
        <v>0</v>
      </c>
      <c r="AB605" s="34">
        <f t="shared" si="606"/>
        <v>0</v>
      </c>
      <c r="AC605" s="34">
        <f t="shared" si="607"/>
        <v>0</v>
      </c>
      <c r="AD605" s="34">
        <f t="shared" si="608"/>
        <v>0</v>
      </c>
      <c r="AE605" s="34">
        <f t="shared" si="609"/>
        <v>0</v>
      </c>
      <c r="AF605" s="34">
        <f t="shared" si="610"/>
        <v>0</v>
      </c>
      <c r="AG605" s="34">
        <f t="shared" si="611"/>
        <v>0</v>
      </c>
      <c r="AH605" s="34">
        <f t="shared" si="612"/>
        <v>0</v>
      </c>
      <c r="AI605" s="29"/>
      <c r="AJ605" s="17">
        <f t="shared" si="613"/>
        <v>0</v>
      </c>
      <c r="AK605" s="17">
        <f t="shared" si="614"/>
        <v>0</v>
      </c>
      <c r="AL605" s="17">
        <f t="shared" si="615"/>
        <v>0</v>
      </c>
      <c r="AN605" s="34">
        <v>15</v>
      </c>
      <c r="AO605" s="34">
        <f t="shared" si="616"/>
        <v>0</v>
      </c>
      <c r="AP605" s="34">
        <f t="shared" si="617"/>
        <v>0</v>
      </c>
      <c r="AQ605" s="28" t="s">
        <v>7</v>
      </c>
      <c r="AV605" s="34">
        <f t="shared" si="618"/>
        <v>0</v>
      </c>
      <c r="AW605" s="34">
        <f t="shared" si="619"/>
        <v>0</v>
      </c>
      <c r="AX605" s="34">
        <f t="shared" si="620"/>
        <v>0</v>
      </c>
      <c r="AY605" s="35" t="s">
        <v>1722</v>
      </c>
      <c r="AZ605" s="35" t="s">
        <v>1730</v>
      </c>
      <c r="BA605" s="29" t="s">
        <v>1737</v>
      </c>
      <c r="BC605" s="34">
        <f t="shared" si="621"/>
        <v>0</v>
      </c>
      <c r="BD605" s="34">
        <f t="shared" si="622"/>
        <v>0</v>
      </c>
      <c r="BE605" s="34">
        <v>0</v>
      </c>
      <c r="BF605" s="34">
        <f>605</f>
        <v>605</v>
      </c>
      <c r="BH605" s="17">
        <f t="shared" si="623"/>
        <v>0</v>
      </c>
      <c r="BI605" s="17">
        <f t="shared" si="624"/>
        <v>0</v>
      </c>
      <c r="BJ605" s="17">
        <f t="shared" si="625"/>
        <v>0</v>
      </c>
    </row>
    <row r="606" spans="1:62" x14ac:dyDescent="0.2">
      <c r="A606" s="4" t="s">
        <v>555</v>
      </c>
      <c r="B606" s="4" t="s">
        <v>1032</v>
      </c>
      <c r="C606" s="240" t="s">
        <v>1624</v>
      </c>
      <c r="D606" s="241"/>
      <c r="E606" s="241"/>
      <c r="F606" s="4" t="s">
        <v>1644</v>
      </c>
      <c r="G606" s="69">
        <v>1</v>
      </c>
      <c r="H606" s="168"/>
      <c r="I606" s="17">
        <f t="shared" si="602"/>
        <v>0</v>
      </c>
      <c r="J606" s="17">
        <f t="shared" si="603"/>
        <v>0</v>
      </c>
      <c r="K606" s="17">
        <f t="shared" si="604"/>
        <v>0</v>
      </c>
      <c r="L606" s="28"/>
      <c r="Z606" s="34">
        <f t="shared" si="605"/>
        <v>0</v>
      </c>
      <c r="AB606" s="34">
        <f t="shared" si="606"/>
        <v>0</v>
      </c>
      <c r="AC606" s="34">
        <f t="shared" si="607"/>
        <v>0</v>
      </c>
      <c r="AD606" s="34">
        <f t="shared" si="608"/>
        <v>0</v>
      </c>
      <c r="AE606" s="34">
        <f t="shared" si="609"/>
        <v>0</v>
      </c>
      <c r="AF606" s="34">
        <f t="shared" si="610"/>
        <v>0</v>
      </c>
      <c r="AG606" s="34">
        <f t="shared" si="611"/>
        <v>0</v>
      </c>
      <c r="AH606" s="34">
        <f t="shared" si="612"/>
        <v>0</v>
      </c>
      <c r="AI606" s="29"/>
      <c r="AJ606" s="17">
        <f t="shared" si="613"/>
        <v>0</v>
      </c>
      <c r="AK606" s="17">
        <f t="shared" si="614"/>
        <v>0</v>
      </c>
      <c r="AL606" s="17">
        <f t="shared" si="615"/>
        <v>0</v>
      </c>
      <c r="AN606" s="34">
        <v>15</v>
      </c>
      <c r="AO606" s="34">
        <f t="shared" si="616"/>
        <v>0</v>
      </c>
      <c r="AP606" s="34">
        <f t="shared" si="617"/>
        <v>0</v>
      </c>
      <c r="AQ606" s="28" t="s">
        <v>7</v>
      </c>
      <c r="AV606" s="34">
        <f t="shared" si="618"/>
        <v>0</v>
      </c>
      <c r="AW606" s="34">
        <f t="shared" si="619"/>
        <v>0</v>
      </c>
      <c r="AX606" s="34">
        <f t="shared" si="620"/>
        <v>0</v>
      </c>
      <c r="AY606" s="35" t="s">
        <v>1722</v>
      </c>
      <c r="AZ606" s="35" t="s">
        <v>1730</v>
      </c>
      <c r="BA606" s="29" t="s">
        <v>1737</v>
      </c>
      <c r="BC606" s="34">
        <f t="shared" si="621"/>
        <v>0</v>
      </c>
      <c r="BD606" s="34">
        <f t="shared" si="622"/>
        <v>0</v>
      </c>
      <c r="BE606" s="34">
        <v>0</v>
      </c>
      <c r="BF606" s="34">
        <f>606</f>
        <v>606</v>
      </c>
      <c r="BH606" s="17">
        <f t="shared" si="623"/>
        <v>0</v>
      </c>
      <c r="BI606" s="17">
        <f t="shared" si="624"/>
        <v>0</v>
      </c>
      <c r="BJ606" s="17">
        <f t="shared" si="625"/>
        <v>0</v>
      </c>
    </row>
    <row r="607" spans="1:62" x14ac:dyDescent="0.2">
      <c r="A607" s="4" t="s">
        <v>556</v>
      </c>
      <c r="B607" s="4" t="s">
        <v>1033</v>
      </c>
      <c r="C607" s="240" t="s">
        <v>1625</v>
      </c>
      <c r="D607" s="241"/>
      <c r="E607" s="241"/>
      <c r="F607" s="4" t="s">
        <v>1644</v>
      </c>
      <c r="G607" s="69">
        <v>1</v>
      </c>
      <c r="H607" s="168"/>
      <c r="I607" s="17">
        <f t="shared" si="602"/>
        <v>0</v>
      </c>
      <c r="J607" s="17">
        <f t="shared" si="603"/>
        <v>0</v>
      </c>
      <c r="K607" s="17">
        <f t="shared" si="604"/>
        <v>0</v>
      </c>
      <c r="L607" s="28"/>
      <c r="Z607" s="34">
        <f t="shared" si="605"/>
        <v>0</v>
      </c>
      <c r="AB607" s="34">
        <f t="shared" si="606"/>
        <v>0</v>
      </c>
      <c r="AC607" s="34">
        <f t="shared" si="607"/>
        <v>0</v>
      </c>
      <c r="AD607" s="34">
        <f t="shared" si="608"/>
        <v>0</v>
      </c>
      <c r="AE607" s="34">
        <f t="shared" si="609"/>
        <v>0</v>
      </c>
      <c r="AF607" s="34">
        <f t="shared" si="610"/>
        <v>0</v>
      </c>
      <c r="AG607" s="34">
        <f t="shared" si="611"/>
        <v>0</v>
      </c>
      <c r="AH607" s="34">
        <f t="shared" si="612"/>
        <v>0</v>
      </c>
      <c r="AI607" s="29"/>
      <c r="AJ607" s="17">
        <f t="shared" si="613"/>
        <v>0</v>
      </c>
      <c r="AK607" s="17">
        <f t="shared" si="614"/>
        <v>0</v>
      </c>
      <c r="AL607" s="17">
        <f t="shared" si="615"/>
        <v>0</v>
      </c>
      <c r="AN607" s="34">
        <v>15</v>
      </c>
      <c r="AO607" s="34">
        <f t="shared" si="616"/>
        <v>0</v>
      </c>
      <c r="AP607" s="34">
        <f t="shared" si="617"/>
        <v>0</v>
      </c>
      <c r="AQ607" s="28" t="s">
        <v>7</v>
      </c>
      <c r="AV607" s="34">
        <f t="shared" si="618"/>
        <v>0</v>
      </c>
      <c r="AW607" s="34">
        <f t="shared" si="619"/>
        <v>0</v>
      </c>
      <c r="AX607" s="34">
        <f t="shared" si="620"/>
        <v>0</v>
      </c>
      <c r="AY607" s="35" t="s">
        <v>1722</v>
      </c>
      <c r="AZ607" s="35" t="s">
        <v>1730</v>
      </c>
      <c r="BA607" s="29" t="s">
        <v>1737</v>
      </c>
      <c r="BC607" s="34">
        <f t="shared" si="621"/>
        <v>0</v>
      </c>
      <c r="BD607" s="34">
        <f t="shared" si="622"/>
        <v>0</v>
      </c>
      <c r="BE607" s="34">
        <v>0</v>
      </c>
      <c r="BF607" s="34">
        <f>607</f>
        <v>607</v>
      </c>
      <c r="BH607" s="17">
        <f t="shared" si="623"/>
        <v>0</v>
      </c>
      <c r="BI607" s="17">
        <f t="shared" si="624"/>
        <v>0</v>
      </c>
      <c r="BJ607" s="17">
        <f t="shared" si="625"/>
        <v>0</v>
      </c>
    </row>
    <row r="608" spans="1:62" x14ac:dyDescent="0.2">
      <c r="A608" s="4" t="s">
        <v>557</v>
      </c>
      <c r="B608" s="4" t="s">
        <v>1034</v>
      </c>
      <c r="C608" s="240" t="s">
        <v>1626</v>
      </c>
      <c r="D608" s="241"/>
      <c r="E608" s="241"/>
      <c r="F608" s="4" t="s">
        <v>1644</v>
      </c>
      <c r="G608" s="69">
        <v>1</v>
      </c>
      <c r="H608" s="168"/>
      <c r="I608" s="17">
        <f t="shared" si="602"/>
        <v>0</v>
      </c>
      <c r="J608" s="17">
        <f t="shared" si="603"/>
        <v>0</v>
      </c>
      <c r="K608" s="17">
        <f t="shared" si="604"/>
        <v>0</v>
      </c>
      <c r="L608" s="28"/>
      <c r="Z608" s="34">
        <f t="shared" si="605"/>
        <v>0</v>
      </c>
      <c r="AB608" s="34">
        <f t="shared" si="606"/>
        <v>0</v>
      </c>
      <c r="AC608" s="34">
        <f t="shared" si="607"/>
        <v>0</v>
      </c>
      <c r="AD608" s="34">
        <f t="shared" si="608"/>
        <v>0</v>
      </c>
      <c r="AE608" s="34">
        <f t="shared" si="609"/>
        <v>0</v>
      </c>
      <c r="AF608" s="34">
        <f t="shared" si="610"/>
        <v>0</v>
      </c>
      <c r="AG608" s="34">
        <f t="shared" si="611"/>
        <v>0</v>
      </c>
      <c r="AH608" s="34">
        <f t="shared" si="612"/>
        <v>0</v>
      </c>
      <c r="AI608" s="29"/>
      <c r="AJ608" s="17">
        <f t="shared" si="613"/>
        <v>0</v>
      </c>
      <c r="AK608" s="17">
        <f t="shared" si="614"/>
        <v>0</v>
      </c>
      <c r="AL608" s="17">
        <f t="shared" si="615"/>
        <v>0</v>
      </c>
      <c r="AN608" s="34">
        <v>15</v>
      </c>
      <c r="AO608" s="34">
        <f t="shared" si="616"/>
        <v>0</v>
      </c>
      <c r="AP608" s="34">
        <f t="shared" si="617"/>
        <v>0</v>
      </c>
      <c r="AQ608" s="28" t="s">
        <v>7</v>
      </c>
      <c r="AV608" s="34">
        <f t="shared" si="618"/>
        <v>0</v>
      </c>
      <c r="AW608" s="34">
        <f t="shared" si="619"/>
        <v>0</v>
      </c>
      <c r="AX608" s="34">
        <f t="shared" si="620"/>
        <v>0</v>
      </c>
      <c r="AY608" s="35" t="s">
        <v>1722</v>
      </c>
      <c r="AZ608" s="35" t="s">
        <v>1730</v>
      </c>
      <c r="BA608" s="29" t="s">
        <v>1737</v>
      </c>
      <c r="BC608" s="34">
        <f t="shared" si="621"/>
        <v>0</v>
      </c>
      <c r="BD608" s="34">
        <f t="shared" si="622"/>
        <v>0</v>
      </c>
      <c r="BE608" s="34">
        <v>0</v>
      </c>
      <c r="BF608" s="34">
        <f>608</f>
        <v>608</v>
      </c>
      <c r="BH608" s="17">
        <f t="shared" si="623"/>
        <v>0</v>
      </c>
      <c r="BI608" s="17">
        <f t="shared" si="624"/>
        <v>0</v>
      </c>
      <c r="BJ608" s="17">
        <f t="shared" si="625"/>
        <v>0</v>
      </c>
    </row>
    <row r="609" spans="1:62" x14ac:dyDescent="0.2">
      <c r="A609" s="4" t="s">
        <v>558</v>
      </c>
      <c r="B609" s="4" t="s">
        <v>1035</v>
      </c>
      <c r="C609" s="240" t="s">
        <v>1627</v>
      </c>
      <c r="D609" s="241"/>
      <c r="E609" s="241"/>
      <c r="F609" s="4" t="s">
        <v>1644</v>
      </c>
      <c r="G609" s="69">
        <v>1</v>
      </c>
      <c r="H609" s="168"/>
      <c r="I609" s="17">
        <f t="shared" si="602"/>
        <v>0</v>
      </c>
      <c r="J609" s="17">
        <f t="shared" si="603"/>
        <v>0</v>
      </c>
      <c r="K609" s="17">
        <f t="shared" si="604"/>
        <v>0</v>
      </c>
      <c r="L609" s="28"/>
      <c r="Z609" s="34">
        <f t="shared" si="605"/>
        <v>0</v>
      </c>
      <c r="AB609" s="34">
        <f t="shared" si="606"/>
        <v>0</v>
      </c>
      <c r="AC609" s="34">
        <f t="shared" si="607"/>
        <v>0</v>
      </c>
      <c r="AD609" s="34">
        <f t="shared" si="608"/>
        <v>0</v>
      </c>
      <c r="AE609" s="34">
        <f t="shared" si="609"/>
        <v>0</v>
      </c>
      <c r="AF609" s="34">
        <f t="shared" si="610"/>
        <v>0</v>
      </c>
      <c r="AG609" s="34">
        <f t="shared" si="611"/>
        <v>0</v>
      </c>
      <c r="AH609" s="34">
        <f t="shared" si="612"/>
        <v>0</v>
      </c>
      <c r="AI609" s="29"/>
      <c r="AJ609" s="17">
        <f t="shared" si="613"/>
        <v>0</v>
      </c>
      <c r="AK609" s="17">
        <f t="shared" si="614"/>
        <v>0</v>
      </c>
      <c r="AL609" s="17">
        <f t="shared" si="615"/>
        <v>0</v>
      </c>
      <c r="AN609" s="34">
        <v>15</v>
      </c>
      <c r="AO609" s="34">
        <f t="shared" si="616"/>
        <v>0</v>
      </c>
      <c r="AP609" s="34">
        <f t="shared" si="617"/>
        <v>0</v>
      </c>
      <c r="AQ609" s="28" t="s">
        <v>7</v>
      </c>
      <c r="AV609" s="34">
        <f t="shared" si="618"/>
        <v>0</v>
      </c>
      <c r="AW609" s="34">
        <f t="shared" si="619"/>
        <v>0</v>
      </c>
      <c r="AX609" s="34">
        <f t="shared" si="620"/>
        <v>0</v>
      </c>
      <c r="AY609" s="35" t="s">
        <v>1722</v>
      </c>
      <c r="AZ609" s="35" t="s">
        <v>1730</v>
      </c>
      <c r="BA609" s="29" t="s">
        <v>1737</v>
      </c>
      <c r="BC609" s="34">
        <f t="shared" si="621"/>
        <v>0</v>
      </c>
      <c r="BD609" s="34">
        <f t="shared" si="622"/>
        <v>0</v>
      </c>
      <c r="BE609" s="34">
        <v>0</v>
      </c>
      <c r="BF609" s="34">
        <f>609</f>
        <v>609</v>
      </c>
      <c r="BH609" s="17">
        <f t="shared" si="623"/>
        <v>0</v>
      </c>
      <c r="BI609" s="17">
        <f t="shared" si="624"/>
        <v>0</v>
      </c>
      <c r="BJ609" s="17">
        <f t="shared" si="625"/>
        <v>0</v>
      </c>
    </row>
    <row r="610" spans="1:62" x14ac:dyDescent="0.2">
      <c r="A610" s="4" t="s">
        <v>559</v>
      </c>
      <c r="B610" s="4" t="s">
        <v>1036</v>
      </c>
      <c r="C610" s="240" t="s">
        <v>1628</v>
      </c>
      <c r="D610" s="241"/>
      <c r="E610" s="241"/>
      <c r="F610" s="4" t="s">
        <v>1644</v>
      </c>
      <c r="G610" s="69">
        <v>1</v>
      </c>
      <c r="H610" s="168"/>
      <c r="I610" s="17">
        <f t="shared" si="602"/>
        <v>0</v>
      </c>
      <c r="J610" s="17">
        <f t="shared" si="603"/>
        <v>0</v>
      </c>
      <c r="K610" s="17">
        <f t="shared" si="604"/>
        <v>0</v>
      </c>
      <c r="L610" s="28"/>
      <c r="Z610" s="34">
        <f t="shared" si="605"/>
        <v>0</v>
      </c>
      <c r="AB610" s="34">
        <f t="shared" si="606"/>
        <v>0</v>
      </c>
      <c r="AC610" s="34">
        <f t="shared" si="607"/>
        <v>0</v>
      </c>
      <c r="AD610" s="34">
        <f t="shared" si="608"/>
        <v>0</v>
      </c>
      <c r="AE610" s="34">
        <f t="shared" si="609"/>
        <v>0</v>
      </c>
      <c r="AF610" s="34">
        <f t="shared" si="610"/>
        <v>0</v>
      </c>
      <c r="AG610" s="34">
        <f t="shared" si="611"/>
        <v>0</v>
      </c>
      <c r="AH610" s="34">
        <f t="shared" si="612"/>
        <v>0</v>
      </c>
      <c r="AI610" s="29"/>
      <c r="AJ610" s="17">
        <f t="shared" si="613"/>
        <v>0</v>
      </c>
      <c r="AK610" s="17">
        <f t="shared" si="614"/>
        <v>0</v>
      </c>
      <c r="AL610" s="17">
        <f t="shared" si="615"/>
        <v>0</v>
      </c>
      <c r="AN610" s="34">
        <v>15</v>
      </c>
      <c r="AO610" s="34">
        <f t="shared" si="616"/>
        <v>0</v>
      </c>
      <c r="AP610" s="34">
        <f t="shared" si="617"/>
        <v>0</v>
      </c>
      <c r="AQ610" s="28" t="s">
        <v>7</v>
      </c>
      <c r="AV610" s="34">
        <f t="shared" si="618"/>
        <v>0</v>
      </c>
      <c r="AW610" s="34">
        <f t="shared" si="619"/>
        <v>0</v>
      </c>
      <c r="AX610" s="34">
        <f t="shared" si="620"/>
        <v>0</v>
      </c>
      <c r="AY610" s="35" t="s">
        <v>1722</v>
      </c>
      <c r="AZ610" s="35" t="s">
        <v>1730</v>
      </c>
      <c r="BA610" s="29" t="s">
        <v>1737</v>
      </c>
      <c r="BC610" s="34">
        <f t="shared" si="621"/>
        <v>0</v>
      </c>
      <c r="BD610" s="34">
        <f t="shared" si="622"/>
        <v>0</v>
      </c>
      <c r="BE610" s="34">
        <v>0</v>
      </c>
      <c r="BF610" s="34">
        <f>610</f>
        <v>610</v>
      </c>
      <c r="BH610" s="17">
        <f t="shared" si="623"/>
        <v>0</v>
      </c>
      <c r="BI610" s="17">
        <f t="shared" si="624"/>
        <v>0</v>
      </c>
      <c r="BJ610" s="17">
        <f t="shared" si="625"/>
        <v>0</v>
      </c>
    </row>
    <row r="611" spans="1:62" x14ac:dyDescent="0.2">
      <c r="A611" s="4" t="s">
        <v>560</v>
      </c>
      <c r="B611" s="4" t="s">
        <v>1037</v>
      </c>
      <c r="C611" s="240" t="s">
        <v>1629</v>
      </c>
      <c r="D611" s="241"/>
      <c r="E611" s="241"/>
      <c r="F611" s="4" t="s">
        <v>1644</v>
      </c>
      <c r="G611" s="69">
        <v>1</v>
      </c>
      <c r="H611" s="168"/>
      <c r="I611" s="17">
        <f t="shared" si="602"/>
        <v>0</v>
      </c>
      <c r="J611" s="17">
        <f t="shared" si="603"/>
        <v>0</v>
      </c>
      <c r="K611" s="17">
        <f t="shared" si="604"/>
        <v>0</v>
      </c>
      <c r="L611" s="28"/>
      <c r="Z611" s="34">
        <f t="shared" si="605"/>
        <v>0</v>
      </c>
      <c r="AB611" s="34">
        <f t="shared" si="606"/>
        <v>0</v>
      </c>
      <c r="AC611" s="34">
        <f t="shared" si="607"/>
        <v>0</v>
      </c>
      <c r="AD611" s="34">
        <f t="shared" si="608"/>
        <v>0</v>
      </c>
      <c r="AE611" s="34">
        <f t="shared" si="609"/>
        <v>0</v>
      </c>
      <c r="AF611" s="34">
        <f t="shared" si="610"/>
        <v>0</v>
      </c>
      <c r="AG611" s="34">
        <f t="shared" si="611"/>
        <v>0</v>
      </c>
      <c r="AH611" s="34">
        <f t="shared" si="612"/>
        <v>0</v>
      </c>
      <c r="AI611" s="29"/>
      <c r="AJ611" s="17">
        <f t="shared" si="613"/>
        <v>0</v>
      </c>
      <c r="AK611" s="17">
        <f t="shared" si="614"/>
        <v>0</v>
      </c>
      <c r="AL611" s="17">
        <f t="shared" si="615"/>
        <v>0</v>
      </c>
      <c r="AN611" s="34">
        <v>15</v>
      </c>
      <c r="AO611" s="34">
        <f t="shared" si="616"/>
        <v>0</v>
      </c>
      <c r="AP611" s="34">
        <f t="shared" si="617"/>
        <v>0</v>
      </c>
      <c r="AQ611" s="28" t="s">
        <v>7</v>
      </c>
      <c r="AV611" s="34">
        <f t="shared" si="618"/>
        <v>0</v>
      </c>
      <c r="AW611" s="34">
        <f t="shared" si="619"/>
        <v>0</v>
      </c>
      <c r="AX611" s="34">
        <f t="shared" si="620"/>
        <v>0</v>
      </c>
      <c r="AY611" s="35" t="s">
        <v>1722</v>
      </c>
      <c r="AZ611" s="35" t="s">
        <v>1730</v>
      </c>
      <c r="BA611" s="29" t="s">
        <v>1737</v>
      </c>
      <c r="BC611" s="34">
        <f t="shared" si="621"/>
        <v>0</v>
      </c>
      <c r="BD611" s="34">
        <f t="shared" si="622"/>
        <v>0</v>
      </c>
      <c r="BE611" s="34">
        <v>0</v>
      </c>
      <c r="BF611" s="34">
        <f>611</f>
        <v>611</v>
      </c>
      <c r="BH611" s="17">
        <f t="shared" si="623"/>
        <v>0</v>
      </c>
      <c r="BI611" s="17">
        <f t="shared" si="624"/>
        <v>0</v>
      </c>
      <c r="BJ611" s="17">
        <f t="shared" si="625"/>
        <v>0</v>
      </c>
    </row>
    <row r="612" spans="1:62" x14ac:dyDescent="0.2">
      <c r="A612" s="4" t="s">
        <v>561</v>
      </c>
      <c r="B612" s="4" t="s">
        <v>1038</v>
      </c>
      <c r="C612" s="240" t="s">
        <v>1630</v>
      </c>
      <c r="D612" s="241"/>
      <c r="E612" s="241"/>
      <c r="F612" s="4" t="s">
        <v>1644</v>
      </c>
      <c r="G612" s="69">
        <v>1</v>
      </c>
      <c r="H612" s="168"/>
      <c r="I612" s="17">
        <f t="shared" si="602"/>
        <v>0</v>
      </c>
      <c r="J612" s="17">
        <f t="shared" si="603"/>
        <v>0</v>
      </c>
      <c r="K612" s="17">
        <f t="shared" si="604"/>
        <v>0</v>
      </c>
      <c r="L612" s="28"/>
      <c r="Z612" s="34">
        <f t="shared" si="605"/>
        <v>0</v>
      </c>
      <c r="AB612" s="34">
        <f t="shared" si="606"/>
        <v>0</v>
      </c>
      <c r="AC612" s="34">
        <f t="shared" si="607"/>
        <v>0</v>
      </c>
      <c r="AD612" s="34">
        <f t="shared" si="608"/>
        <v>0</v>
      </c>
      <c r="AE612" s="34">
        <f t="shared" si="609"/>
        <v>0</v>
      </c>
      <c r="AF612" s="34">
        <f t="shared" si="610"/>
        <v>0</v>
      </c>
      <c r="AG612" s="34">
        <f t="shared" si="611"/>
        <v>0</v>
      </c>
      <c r="AH612" s="34">
        <f t="shared" si="612"/>
        <v>0</v>
      </c>
      <c r="AI612" s="29"/>
      <c r="AJ612" s="17">
        <f t="shared" si="613"/>
        <v>0</v>
      </c>
      <c r="AK612" s="17">
        <f t="shared" si="614"/>
        <v>0</v>
      </c>
      <c r="AL612" s="17">
        <f t="shared" si="615"/>
        <v>0</v>
      </c>
      <c r="AN612" s="34">
        <v>15</v>
      </c>
      <c r="AO612" s="34">
        <f t="shared" si="616"/>
        <v>0</v>
      </c>
      <c r="AP612" s="34">
        <f t="shared" si="617"/>
        <v>0</v>
      </c>
      <c r="AQ612" s="28" t="s">
        <v>7</v>
      </c>
      <c r="AV612" s="34">
        <f t="shared" si="618"/>
        <v>0</v>
      </c>
      <c r="AW612" s="34">
        <f t="shared" si="619"/>
        <v>0</v>
      </c>
      <c r="AX612" s="34">
        <f t="shared" si="620"/>
        <v>0</v>
      </c>
      <c r="AY612" s="35" t="s">
        <v>1722</v>
      </c>
      <c r="AZ612" s="35" t="s">
        <v>1730</v>
      </c>
      <c r="BA612" s="29" t="s">
        <v>1737</v>
      </c>
      <c r="BC612" s="34">
        <f t="shared" si="621"/>
        <v>0</v>
      </c>
      <c r="BD612" s="34">
        <f t="shared" si="622"/>
        <v>0</v>
      </c>
      <c r="BE612" s="34">
        <v>0</v>
      </c>
      <c r="BF612" s="34">
        <f>612</f>
        <v>612</v>
      </c>
      <c r="BH612" s="17">
        <f t="shared" si="623"/>
        <v>0</v>
      </c>
      <c r="BI612" s="17">
        <f t="shared" si="624"/>
        <v>0</v>
      </c>
      <c r="BJ612" s="17">
        <f t="shared" si="625"/>
        <v>0</v>
      </c>
    </row>
    <row r="613" spans="1:62" x14ac:dyDescent="0.2">
      <c r="A613" s="5"/>
      <c r="B613" s="13" t="s">
        <v>1039</v>
      </c>
      <c r="C613" s="244" t="s">
        <v>1631</v>
      </c>
      <c r="D613" s="245"/>
      <c r="E613" s="245"/>
      <c r="F613" s="5" t="s">
        <v>6</v>
      </c>
      <c r="G613" s="5" t="s">
        <v>6</v>
      </c>
      <c r="H613" s="5"/>
      <c r="I613" s="37">
        <f>SUM(I614:I620)</f>
        <v>0</v>
      </c>
      <c r="J613" s="37">
        <f>SUM(J614:J620)</f>
        <v>0</v>
      </c>
      <c r="K613" s="37">
        <f>SUM(K614:K620)</f>
        <v>0</v>
      </c>
      <c r="L613" s="29"/>
      <c r="AI613" s="29"/>
      <c r="AS613" s="37">
        <f>SUM(AJ614:AJ620)</f>
        <v>0</v>
      </c>
      <c r="AT613" s="37">
        <f>SUM(AK614:AK620)</f>
        <v>0</v>
      </c>
      <c r="AU613" s="37">
        <f>SUM(AL614:AL620)</f>
        <v>0</v>
      </c>
    </row>
    <row r="614" spans="1:62" x14ac:dyDescent="0.2">
      <c r="A614" s="4" t="s">
        <v>562</v>
      </c>
      <c r="B614" s="4" t="s">
        <v>1040</v>
      </c>
      <c r="C614" s="240" t="s">
        <v>1632</v>
      </c>
      <c r="D614" s="241"/>
      <c r="E614" s="241"/>
      <c r="F614" s="4" t="s">
        <v>1644</v>
      </c>
      <c r="G614" s="69">
        <v>1</v>
      </c>
      <c r="H614" s="168"/>
      <c r="I614" s="17">
        <f t="shared" ref="I614:I620" si="626">G614*AO614</f>
        <v>0</v>
      </c>
      <c r="J614" s="17">
        <f t="shared" ref="J614:J620" si="627">G614*AP614</f>
        <v>0</v>
      </c>
      <c r="K614" s="17">
        <f t="shared" ref="K614:K620" si="628">G614*H614</f>
        <v>0</v>
      </c>
      <c r="L614" s="28" t="s">
        <v>1671</v>
      </c>
      <c r="Z614" s="34">
        <f t="shared" ref="Z614:Z620" si="629">IF(AQ614="5",BJ614,0)</f>
        <v>0</v>
      </c>
      <c r="AB614" s="34">
        <f t="shared" ref="AB614:AB620" si="630">IF(AQ614="1",BH614,0)</f>
        <v>0</v>
      </c>
      <c r="AC614" s="34">
        <f t="shared" ref="AC614:AC620" si="631">IF(AQ614="1",BI614,0)</f>
        <v>0</v>
      </c>
      <c r="AD614" s="34">
        <f t="shared" ref="AD614:AD620" si="632">IF(AQ614="7",BH614,0)</f>
        <v>0</v>
      </c>
      <c r="AE614" s="34">
        <f t="shared" ref="AE614:AE620" si="633">IF(AQ614="7",BI614,0)</f>
        <v>0</v>
      </c>
      <c r="AF614" s="34">
        <f t="shared" ref="AF614:AF620" si="634">IF(AQ614="2",BH614,0)</f>
        <v>0</v>
      </c>
      <c r="AG614" s="34">
        <f t="shared" ref="AG614:AG620" si="635">IF(AQ614="2",BI614,0)</f>
        <v>0</v>
      </c>
      <c r="AH614" s="34">
        <f t="shared" ref="AH614:AH620" si="636">IF(AQ614="0",BJ614,0)</f>
        <v>0</v>
      </c>
      <c r="AI614" s="29"/>
      <c r="AJ614" s="17">
        <f t="shared" ref="AJ614:AJ620" si="637">IF(AN614=0,K614,0)</f>
        <v>0</v>
      </c>
      <c r="AK614" s="17">
        <f t="shared" ref="AK614:AK620" si="638">IF(AN614=15,K614,0)</f>
        <v>0</v>
      </c>
      <c r="AL614" s="17">
        <f t="shared" ref="AL614:AL620" si="639">IF(AN614=21,K614,0)</f>
        <v>0</v>
      </c>
      <c r="AN614" s="34">
        <v>15</v>
      </c>
      <c r="AO614" s="34">
        <f t="shared" ref="AO614:AO620" si="640">H614*0</f>
        <v>0</v>
      </c>
      <c r="AP614" s="34">
        <f t="shared" ref="AP614:AP620" si="641">H614*(1-0)</f>
        <v>0</v>
      </c>
      <c r="AQ614" s="28" t="s">
        <v>7</v>
      </c>
      <c r="AV614" s="34">
        <f t="shared" ref="AV614:AV620" si="642">AW614+AX614</f>
        <v>0</v>
      </c>
      <c r="AW614" s="34">
        <f t="shared" ref="AW614:AW620" si="643">G614*AO614</f>
        <v>0</v>
      </c>
      <c r="AX614" s="34">
        <f t="shared" ref="AX614:AX620" si="644">G614*AP614</f>
        <v>0</v>
      </c>
      <c r="AY614" s="35" t="s">
        <v>1723</v>
      </c>
      <c r="AZ614" s="35" t="s">
        <v>1730</v>
      </c>
      <c r="BA614" s="29" t="s">
        <v>1737</v>
      </c>
      <c r="BC614" s="34">
        <f t="shared" ref="BC614:BC620" si="645">AW614+AX614</f>
        <v>0</v>
      </c>
      <c r="BD614" s="34">
        <f t="shared" ref="BD614:BD620" si="646">H614/(100-BE614)*100</f>
        <v>0</v>
      </c>
      <c r="BE614" s="34">
        <v>0</v>
      </c>
      <c r="BF614" s="34">
        <f>614</f>
        <v>614</v>
      </c>
      <c r="BH614" s="17">
        <f t="shared" ref="BH614:BH620" si="647">G614*AO614</f>
        <v>0</v>
      </c>
      <c r="BI614" s="17">
        <f t="shared" ref="BI614:BI620" si="648">G614*AP614</f>
        <v>0</v>
      </c>
      <c r="BJ614" s="17">
        <f t="shared" ref="BJ614:BJ620" si="649">G614*H614</f>
        <v>0</v>
      </c>
    </row>
    <row r="615" spans="1:62" x14ac:dyDescent="0.2">
      <c r="A615" s="4" t="s">
        <v>563</v>
      </c>
      <c r="B615" s="4" t="s">
        <v>1041</v>
      </c>
      <c r="C615" s="240" t="s">
        <v>1633</v>
      </c>
      <c r="D615" s="241"/>
      <c r="E615" s="241"/>
      <c r="F615" s="4" t="s">
        <v>1644</v>
      </c>
      <c r="G615" s="69">
        <v>1</v>
      </c>
      <c r="H615" s="168"/>
      <c r="I615" s="17">
        <f t="shared" si="626"/>
        <v>0</v>
      </c>
      <c r="J615" s="17">
        <f t="shared" si="627"/>
        <v>0</v>
      </c>
      <c r="K615" s="17">
        <f t="shared" si="628"/>
        <v>0</v>
      </c>
      <c r="L615" s="28" t="s">
        <v>1671</v>
      </c>
      <c r="Z615" s="34">
        <f t="shared" si="629"/>
        <v>0</v>
      </c>
      <c r="AB615" s="34">
        <f t="shared" si="630"/>
        <v>0</v>
      </c>
      <c r="AC615" s="34">
        <f t="shared" si="631"/>
        <v>0</v>
      </c>
      <c r="AD615" s="34">
        <f t="shared" si="632"/>
        <v>0</v>
      </c>
      <c r="AE615" s="34">
        <f t="shared" si="633"/>
        <v>0</v>
      </c>
      <c r="AF615" s="34">
        <f t="shared" si="634"/>
        <v>0</v>
      </c>
      <c r="AG615" s="34">
        <f t="shared" si="635"/>
        <v>0</v>
      </c>
      <c r="AH615" s="34">
        <f t="shared" si="636"/>
        <v>0</v>
      </c>
      <c r="AI615" s="29"/>
      <c r="AJ615" s="17">
        <f t="shared" si="637"/>
        <v>0</v>
      </c>
      <c r="AK615" s="17">
        <f t="shared" si="638"/>
        <v>0</v>
      </c>
      <c r="AL615" s="17">
        <f t="shared" si="639"/>
        <v>0</v>
      </c>
      <c r="AN615" s="34">
        <v>15</v>
      </c>
      <c r="AO615" s="34">
        <f t="shared" si="640"/>
        <v>0</v>
      </c>
      <c r="AP615" s="34">
        <f t="shared" si="641"/>
        <v>0</v>
      </c>
      <c r="AQ615" s="28" t="s">
        <v>7</v>
      </c>
      <c r="AV615" s="34">
        <f t="shared" si="642"/>
        <v>0</v>
      </c>
      <c r="AW615" s="34">
        <f t="shared" si="643"/>
        <v>0</v>
      </c>
      <c r="AX615" s="34">
        <f t="shared" si="644"/>
        <v>0</v>
      </c>
      <c r="AY615" s="35" t="s">
        <v>1723</v>
      </c>
      <c r="AZ615" s="35" t="s">
        <v>1730</v>
      </c>
      <c r="BA615" s="29" t="s">
        <v>1737</v>
      </c>
      <c r="BC615" s="34">
        <f t="shared" si="645"/>
        <v>0</v>
      </c>
      <c r="BD615" s="34">
        <f t="shared" si="646"/>
        <v>0</v>
      </c>
      <c r="BE615" s="34">
        <v>0</v>
      </c>
      <c r="BF615" s="34">
        <f>615</f>
        <v>615</v>
      </c>
      <c r="BH615" s="17">
        <f t="shared" si="647"/>
        <v>0</v>
      </c>
      <c r="BI615" s="17">
        <f t="shared" si="648"/>
        <v>0</v>
      </c>
      <c r="BJ615" s="17">
        <f t="shared" si="649"/>
        <v>0</v>
      </c>
    </row>
    <row r="616" spans="1:62" x14ac:dyDescent="0.2">
      <c r="A616" s="4" t="s">
        <v>564</v>
      </c>
      <c r="B616" s="4" t="s">
        <v>1042</v>
      </c>
      <c r="C616" s="240" t="s">
        <v>1634</v>
      </c>
      <c r="D616" s="241"/>
      <c r="E616" s="241"/>
      <c r="F616" s="4" t="s">
        <v>1644</v>
      </c>
      <c r="G616" s="69">
        <v>1</v>
      </c>
      <c r="H616" s="168"/>
      <c r="I616" s="17">
        <f t="shared" si="626"/>
        <v>0</v>
      </c>
      <c r="J616" s="17">
        <f t="shared" si="627"/>
        <v>0</v>
      </c>
      <c r="K616" s="17">
        <f t="shared" si="628"/>
        <v>0</v>
      </c>
      <c r="L616" s="28" t="s">
        <v>1671</v>
      </c>
      <c r="Z616" s="34">
        <f t="shared" si="629"/>
        <v>0</v>
      </c>
      <c r="AB616" s="34">
        <f t="shared" si="630"/>
        <v>0</v>
      </c>
      <c r="AC616" s="34">
        <f t="shared" si="631"/>
        <v>0</v>
      </c>
      <c r="AD616" s="34">
        <f t="shared" si="632"/>
        <v>0</v>
      </c>
      <c r="AE616" s="34">
        <f t="shared" si="633"/>
        <v>0</v>
      </c>
      <c r="AF616" s="34">
        <f t="shared" si="634"/>
        <v>0</v>
      </c>
      <c r="AG616" s="34">
        <f t="shared" si="635"/>
        <v>0</v>
      </c>
      <c r="AH616" s="34">
        <f t="shared" si="636"/>
        <v>0</v>
      </c>
      <c r="AI616" s="29"/>
      <c r="AJ616" s="17">
        <f t="shared" si="637"/>
        <v>0</v>
      </c>
      <c r="AK616" s="17">
        <f t="shared" si="638"/>
        <v>0</v>
      </c>
      <c r="AL616" s="17">
        <f t="shared" si="639"/>
        <v>0</v>
      </c>
      <c r="AN616" s="34">
        <v>15</v>
      </c>
      <c r="AO616" s="34">
        <f t="shared" si="640"/>
        <v>0</v>
      </c>
      <c r="AP616" s="34">
        <f t="shared" si="641"/>
        <v>0</v>
      </c>
      <c r="AQ616" s="28" t="s">
        <v>7</v>
      </c>
      <c r="AV616" s="34">
        <f t="shared" si="642"/>
        <v>0</v>
      </c>
      <c r="AW616" s="34">
        <f t="shared" si="643"/>
        <v>0</v>
      </c>
      <c r="AX616" s="34">
        <f t="shared" si="644"/>
        <v>0</v>
      </c>
      <c r="AY616" s="35" t="s">
        <v>1723</v>
      </c>
      <c r="AZ616" s="35" t="s">
        <v>1730</v>
      </c>
      <c r="BA616" s="29" t="s">
        <v>1737</v>
      </c>
      <c r="BC616" s="34">
        <f t="shared" si="645"/>
        <v>0</v>
      </c>
      <c r="BD616" s="34">
        <f t="shared" si="646"/>
        <v>0</v>
      </c>
      <c r="BE616" s="34">
        <v>0</v>
      </c>
      <c r="BF616" s="34">
        <f>616</f>
        <v>616</v>
      </c>
      <c r="BH616" s="17">
        <f t="shared" si="647"/>
        <v>0</v>
      </c>
      <c r="BI616" s="17">
        <f t="shared" si="648"/>
        <v>0</v>
      </c>
      <c r="BJ616" s="17">
        <f t="shared" si="649"/>
        <v>0</v>
      </c>
    </row>
    <row r="617" spans="1:62" x14ac:dyDescent="0.2">
      <c r="A617" s="4" t="s">
        <v>565</v>
      </c>
      <c r="B617" s="4" t="s">
        <v>1043</v>
      </c>
      <c r="C617" s="240" t="s">
        <v>1635</v>
      </c>
      <c r="D617" s="241"/>
      <c r="E617" s="241"/>
      <c r="F617" s="4" t="s">
        <v>1644</v>
      </c>
      <c r="G617" s="69">
        <v>1</v>
      </c>
      <c r="H617" s="168"/>
      <c r="I617" s="17">
        <f t="shared" si="626"/>
        <v>0</v>
      </c>
      <c r="J617" s="17">
        <f t="shared" si="627"/>
        <v>0</v>
      </c>
      <c r="K617" s="17">
        <f t="shared" si="628"/>
        <v>0</v>
      </c>
      <c r="L617" s="28" t="s">
        <v>1671</v>
      </c>
      <c r="Z617" s="34">
        <f t="shared" si="629"/>
        <v>0</v>
      </c>
      <c r="AB617" s="34">
        <f t="shared" si="630"/>
        <v>0</v>
      </c>
      <c r="AC617" s="34">
        <f t="shared" si="631"/>
        <v>0</v>
      </c>
      <c r="AD617" s="34">
        <f t="shared" si="632"/>
        <v>0</v>
      </c>
      <c r="AE617" s="34">
        <f t="shared" si="633"/>
        <v>0</v>
      </c>
      <c r="AF617" s="34">
        <f t="shared" si="634"/>
        <v>0</v>
      </c>
      <c r="AG617" s="34">
        <f t="shared" si="635"/>
        <v>0</v>
      </c>
      <c r="AH617" s="34">
        <f t="shared" si="636"/>
        <v>0</v>
      </c>
      <c r="AI617" s="29"/>
      <c r="AJ617" s="17">
        <f t="shared" si="637"/>
        <v>0</v>
      </c>
      <c r="AK617" s="17">
        <f t="shared" si="638"/>
        <v>0</v>
      </c>
      <c r="AL617" s="17">
        <f t="shared" si="639"/>
        <v>0</v>
      </c>
      <c r="AN617" s="34">
        <v>15</v>
      </c>
      <c r="AO617" s="34">
        <f t="shared" si="640"/>
        <v>0</v>
      </c>
      <c r="AP617" s="34">
        <f t="shared" si="641"/>
        <v>0</v>
      </c>
      <c r="AQ617" s="28" t="s">
        <v>7</v>
      </c>
      <c r="AV617" s="34">
        <f t="shared" si="642"/>
        <v>0</v>
      </c>
      <c r="AW617" s="34">
        <f t="shared" si="643"/>
        <v>0</v>
      </c>
      <c r="AX617" s="34">
        <f t="shared" si="644"/>
        <v>0</v>
      </c>
      <c r="AY617" s="35" t="s">
        <v>1723</v>
      </c>
      <c r="AZ617" s="35" t="s">
        <v>1730</v>
      </c>
      <c r="BA617" s="29" t="s">
        <v>1737</v>
      </c>
      <c r="BC617" s="34">
        <f t="shared" si="645"/>
        <v>0</v>
      </c>
      <c r="BD617" s="34">
        <f t="shared" si="646"/>
        <v>0</v>
      </c>
      <c r="BE617" s="34">
        <v>0</v>
      </c>
      <c r="BF617" s="34">
        <f>617</f>
        <v>617</v>
      </c>
      <c r="BH617" s="17">
        <f t="shared" si="647"/>
        <v>0</v>
      </c>
      <c r="BI617" s="17">
        <f t="shared" si="648"/>
        <v>0</v>
      </c>
      <c r="BJ617" s="17">
        <f t="shared" si="649"/>
        <v>0</v>
      </c>
    </row>
    <row r="618" spans="1:62" x14ac:dyDescent="0.2">
      <c r="A618" s="4" t="s">
        <v>566</v>
      </c>
      <c r="B618" s="4" t="s">
        <v>1044</v>
      </c>
      <c r="C618" s="240" t="s">
        <v>1636</v>
      </c>
      <c r="D618" s="241"/>
      <c r="E618" s="241"/>
      <c r="F618" s="4" t="s">
        <v>1644</v>
      </c>
      <c r="G618" s="69">
        <v>1</v>
      </c>
      <c r="H618" s="168"/>
      <c r="I618" s="17">
        <f t="shared" si="626"/>
        <v>0</v>
      </c>
      <c r="J618" s="17">
        <f t="shared" si="627"/>
        <v>0</v>
      </c>
      <c r="K618" s="17">
        <f t="shared" si="628"/>
        <v>0</v>
      </c>
      <c r="L618" s="28" t="s">
        <v>1671</v>
      </c>
      <c r="Z618" s="34">
        <f t="shared" si="629"/>
        <v>0</v>
      </c>
      <c r="AB618" s="34">
        <f t="shared" si="630"/>
        <v>0</v>
      </c>
      <c r="AC618" s="34">
        <f t="shared" si="631"/>
        <v>0</v>
      </c>
      <c r="AD618" s="34">
        <f t="shared" si="632"/>
        <v>0</v>
      </c>
      <c r="AE618" s="34">
        <f t="shared" si="633"/>
        <v>0</v>
      </c>
      <c r="AF618" s="34">
        <f t="shared" si="634"/>
        <v>0</v>
      </c>
      <c r="AG618" s="34">
        <f t="shared" si="635"/>
        <v>0</v>
      </c>
      <c r="AH618" s="34">
        <f t="shared" si="636"/>
        <v>0</v>
      </c>
      <c r="AI618" s="29"/>
      <c r="AJ618" s="17">
        <f t="shared" si="637"/>
        <v>0</v>
      </c>
      <c r="AK618" s="17">
        <f t="shared" si="638"/>
        <v>0</v>
      </c>
      <c r="AL618" s="17">
        <f t="shared" si="639"/>
        <v>0</v>
      </c>
      <c r="AN618" s="34">
        <v>15</v>
      </c>
      <c r="AO618" s="34">
        <f t="shared" si="640"/>
        <v>0</v>
      </c>
      <c r="AP618" s="34">
        <f t="shared" si="641"/>
        <v>0</v>
      </c>
      <c r="AQ618" s="28" t="s">
        <v>7</v>
      </c>
      <c r="AV618" s="34">
        <f t="shared" si="642"/>
        <v>0</v>
      </c>
      <c r="AW618" s="34">
        <f t="shared" si="643"/>
        <v>0</v>
      </c>
      <c r="AX618" s="34">
        <f t="shared" si="644"/>
        <v>0</v>
      </c>
      <c r="AY618" s="35" t="s">
        <v>1723</v>
      </c>
      <c r="AZ618" s="35" t="s">
        <v>1730</v>
      </c>
      <c r="BA618" s="29" t="s">
        <v>1737</v>
      </c>
      <c r="BC618" s="34">
        <f t="shared" si="645"/>
        <v>0</v>
      </c>
      <c r="BD618" s="34">
        <f t="shared" si="646"/>
        <v>0</v>
      </c>
      <c r="BE618" s="34">
        <v>0</v>
      </c>
      <c r="BF618" s="34">
        <f>618</f>
        <v>618</v>
      </c>
      <c r="BH618" s="17">
        <f t="shared" si="647"/>
        <v>0</v>
      </c>
      <c r="BI618" s="17">
        <f t="shared" si="648"/>
        <v>0</v>
      </c>
      <c r="BJ618" s="17">
        <f t="shared" si="649"/>
        <v>0</v>
      </c>
    </row>
    <row r="619" spans="1:62" x14ac:dyDescent="0.2">
      <c r="A619" s="4" t="s">
        <v>567</v>
      </c>
      <c r="B619" s="4" t="s">
        <v>1045</v>
      </c>
      <c r="C619" s="240" t="s">
        <v>1637</v>
      </c>
      <c r="D619" s="241"/>
      <c r="E619" s="241"/>
      <c r="F619" s="4" t="s">
        <v>1644</v>
      </c>
      <c r="G619" s="69">
        <v>1</v>
      </c>
      <c r="H619" s="168"/>
      <c r="I619" s="17">
        <f t="shared" si="626"/>
        <v>0</v>
      </c>
      <c r="J619" s="17">
        <f t="shared" si="627"/>
        <v>0</v>
      </c>
      <c r="K619" s="17">
        <f t="shared" si="628"/>
        <v>0</v>
      </c>
      <c r="L619" s="28" t="s">
        <v>1671</v>
      </c>
      <c r="Z619" s="34">
        <f t="shared" si="629"/>
        <v>0</v>
      </c>
      <c r="AB619" s="34">
        <f t="shared" si="630"/>
        <v>0</v>
      </c>
      <c r="AC619" s="34">
        <f t="shared" si="631"/>
        <v>0</v>
      </c>
      <c r="AD619" s="34">
        <f t="shared" si="632"/>
        <v>0</v>
      </c>
      <c r="AE619" s="34">
        <f t="shared" si="633"/>
        <v>0</v>
      </c>
      <c r="AF619" s="34">
        <f t="shared" si="634"/>
        <v>0</v>
      </c>
      <c r="AG619" s="34">
        <f t="shared" si="635"/>
        <v>0</v>
      </c>
      <c r="AH619" s="34">
        <f t="shared" si="636"/>
        <v>0</v>
      </c>
      <c r="AI619" s="29"/>
      <c r="AJ619" s="17">
        <f t="shared" si="637"/>
        <v>0</v>
      </c>
      <c r="AK619" s="17">
        <f t="shared" si="638"/>
        <v>0</v>
      </c>
      <c r="AL619" s="17">
        <f t="shared" si="639"/>
        <v>0</v>
      </c>
      <c r="AN619" s="34">
        <v>15</v>
      </c>
      <c r="AO619" s="34">
        <f t="shared" si="640"/>
        <v>0</v>
      </c>
      <c r="AP619" s="34">
        <f t="shared" si="641"/>
        <v>0</v>
      </c>
      <c r="AQ619" s="28" t="s">
        <v>7</v>
      </c>
      <c r="AV619" s="34">
        <f t="shared" si="642"/>
        <v>0</v>
      </c>
      <c r="AW619" s="34">
        <f t="shared" si="643"/>
        <v>0</v>
      </c>
      <c r="AX619" s="34">
        <f t="shared" si="644"/>
        <v>0</v>
      </c>
      <c r="AY619" s="35" t="s">
        <v>1723</v>
      </c>
      <c r="AZ619" s="35" t="s">
        <v>1730</v>
      </c>
      <c r="BA619" s="29" t="s">
        <v>1737</v>
      </c>
      <c r="BC619" s="34">
        <f t="shared" si="645"/>
        <v>0</v>
      </c>
      <c r="BD619" s="34">
        <f t="shared" si="646"/>
        <v>0</v>
      </c>
      <c r="BE619" s="34">
        <v>0</v>
      </c>
      <c r="BF619" s="34">
        <f>619</f>
        <v>619</v>
      </c>
      <c r="BH619" s="17">
        <f t="shared" si="647"/>
        <v>0</v>
      </c>
      <c r="BI619" s="17">
        <f t="shared" si="648"/>
        <v>0</v>
      </c>
      <c r="BJ619" s="17">
        <f t="shared" si="649"/>
        <v>0</v>
      </c>
    </row>
    <row r="620" spans="1:62" x14ac:dyDescent="0.2">
      <c r="A620" s="7" t="s">
        <v>568</v>
      </c>
      <c r="B620" s="7" t="s">
        <v>1046</v>
      </c>
      <c r="C620" s="249" t="s">
        <v>1638</v>
      </c>
      <c r="D620" s="250"/>
      <c r="E620" s="250"/>
      <c r="F620" s="7" t="s">
        <v>1644</v>
      </c>
      <c r="G620" s="74">
        <v>1</v>
      </c>
      <c r="H620" s="170"/>
      <c r="I620" s="19">
        <f t="shared" si="626"/>
        <v>0</v>
      </c>
      <c r="J620" s="19">
        <f t="shared" si="627"/>
        <v>0</v>
      </c>
      <c r="K620" s="19">
        <f t="shared" si="628"/>
        <v>0</v>
      </c>
      <c r="L620" s="31" t="s">
        <v>1671</v>
      </c>
      <c r="Z620" s="34">
        <f t="shared" si="629"/>
        <v>0</v>
      </c>
      <c r="AB620" s="34">
        <f t="shared" si="630"/>
        <v>0</v>
      </c>
      <c r="AC620" s="34">
        <f t="shared" si="631"/>
        <v>0</v>
      </c>
      <c r="AD620" s="34">
        <f t="shared" si="632"/>
        <v>0</v>
      </c>
      <c r="AE620" s="34">
        <f t="shared" si="633"/>
        <v>0</v>
      </c>
      <c r="AF620" s="34">
        <f t="shared" si="634"/>
        <v>0</v>
      </c>
      <c r="AG620" s="34">
        <f t="shared" si="635"/>
        <v>0</v>
      </c>
      <c r="AH620" s="34">
        <f t="shared" si="636"/>
        <v>0</v>
      </c>
      <c r="AI620" s="29"/>
      <c r="AJ620" s="17">
        <f t="shared" si="637"/>
        <v>0</v>
      </c>
      <c r="AK620" s="17">
        <f t="shared" si="638"/>
        <v>0</v>
      </c>
      <c r="AL620" s="17">
        <f t="shared" si="639"/>
        <v>0</v>
      </c>
      <c r="AN620" s="34">
        <v>15</v>
      </c>
      <c r="AO620" s="34">
        <f t="shared" si="640"/>
        <v>0</v>
      </c>
      <c r="AP620" s="34">
        <f t="shared" si="641"/>
        <v>0</v>
      </c>
      <c r="AQ620" s="28" t="s">
        <v>7</v>
      </c>
      <c r="AV620" s="34">
        <f t="shared" si="642"/>
        <v>0</v>
      </c>
      <c r="AW620" s="34">
        <f t="shared" si="643"/>
        <v>0</v>
      </c>
      <c r="AX620" s="34">
        <f t="shared" si="644"/>
        <v>0</v>
      </c>
      <c r="AY620" s="35" t="s">
        <v>1723</v>
      </c>
      <c r="AZ620" s="35" t="s">
        <v>1730</v>
      </c>
      <c r="BA620" s="29" t="s">
        <v>1737</v>
      </c>
      <c r="BC620" s="34">
        <f t="shared" si="645"/>
        <v>0</v>
      </c>
      <c r="BD620" s="34">
        <f t="shared" si="646"/>
        <v>0</v>
      </c>
      <c r="BE620" s="34">
        <v>0</v>
      </c>
      <c r="BF620" s="34">
        <f>620</f>
        <v>620</v>
      </c>
      <c r="BH620" s="17">
        <f t="shared" si="647"/>
        <v>0</v>
      </c>
      <c r="BI620" s="17">
        <f t="shared" si="648"/>
        <v>0</v>
      </c>
      <c r="BJ620" s="17">
        <f t="shared" si="649"/>
        <v>0</v>
      </c>
    </row>
    <row r="621" spans="1:62" x14ac:dyDescent="0.2">
      <c r="A621" s="8"/>
      <c r="B621" s="8"/>
      <c r="C621" s="8"/>
      <c r="D621" s="8"/>
      <c r="E621" s="8"/>
      <c r="F621" s="8"/>
      <c r="G621" s="8"/>
      <c r="H621" s="154">
        <f>SUM(H13:H620)</f>
        <v>0</v>
      </c>
      <c r="I621" s="248" t="s">
        <v>1666</v>
      </c>
      <c r="J621" s="180"/>
      <c r="K621" s="38">
        <f>K12+K20+K22+K27+K31+K37+K39+K42+K45+K51+K55+K58+K65+K89+K91+K94+K97+K100+K108+K119+K139+K157+K159+K176+K178+K183+K192+K217+K244+K321+K347+K371+K400+K436+K449+K470+K474+K489+K497+K503+K534+K537+K613</f>
        <v>0</v>
      </c>
      <c r="L621" s="8"/>
    </row>
    <row r="622" spans="1:62" ht="11.25" customHeight="1" x14ac:dyDescent="0.2">
      <c r="A622" s="9" t="s">
        <v>569</v>
      </c>
    </row>
    <row r="623" spans="1:62" x14ac:dyDescent="0.2">
      <c r="A623" s="187"/>
      <c r="B623" s="178"/>
      <c r="C623" s="178"/>
      <c r="D623" s="178"/>
      <c r="E623" s="178"/>
      <c r="F623" s="178"/>
      <c r="G623" s="178"/>
      <c r="H623" s="178"/>
      <c r="I623" s="178"/>
      <c r="J623" s="178"/>
      <c r="K623" s="178"/>
      <c r="L623" s="178"/>
    </row>
  </sheetData>
  <sheetProtection algorithmName="SHA-512" hashValue="XZgoHma1uiWqt5ZI2pXsNEsqc2w5vZkrpc5dqMTk4fVlcDwf9keMzPZvdC+CIktoYk2CY/cbn7G87TRKMzzkkA==" saltValue="uXv8wy1sYW/ntwmmDPlrNw==" spinCount="100000" sheet="1" objects="1" scenarios="1"/>
  <mergeCells count="635">
    <mergeCell ref="I621:J621"/>
    <mergeCell ref="A623:L623"/>
    <mergeCell ref="C615:E615"/>
    <mergeCell ref="C616:E616"/>
    <mergeCell ref="C617:E617"/>
    <mergeCell ref="C618:E618"/>
    <mergeCell ref="C619:E619"/>
    <mergeCell ref="C620:E620"/>
    <mergeCell ref="C609:E609"/>
    <mergeCell ref="C610:E610"/>
    <mergeCell ref="C611:E611"/>
    <mergeCell ref="C612:E612"/>
    <mergeCell ref="C613:E613"/>
    <mergeCell ref="C614:E614"/>
    <mergeCell ref="C603:E603"/>
    <mergeCell ref="C604:E604"/>
    <mergeCell ref="C605:E605"/>
    <mergeCell ref="C606:E606"/>
    <mergeCell ref="C607:E607"/>
    <mergeCell ref="C608:E608"/>
    <mergeCell ref="C597:E597"/>
    <mergeCell ref="C598:E598"/>
    <mergeCell ref="C599:E599"/>
    <mergeCell ref="C600:E600"/>
    <mergeCell ref="C601:E601"/>
    <mergeCell ref="C602:E602"/>
    <mergeCell ref="C591:E591"/>
    <mergeCell ref="C592:E592"/>
    <mergeCell ref="C593:E593"/>
    <mergeCell ref="C594:E594"/>
    <mergeCell ref="C595:E595"/>
    <mergeCell ref="C596:E596"/>
    <mergeCell ref="C585:E585"/>
    <mergeCell ref="C586:E586"/>
    <mergeCell ref="C587:E587"/>
    <mergeCell ref="C588:E588"/>
    <mergeCell ref="C589:E589"/>
    <mergeCell ref="C590:E590"/>
    <mergeCell ref="C579:E579"/>
    <mergeCell ref="C580:E580"/>
    <mergeCell ref="C581:E581"/>
    <mergeCell ref="C582:E582"/>
    <mergeCell ref="C583:E583"/>
    <mergeCell ref="C584:E584"/>
    <mergeCell ref="C573:E573"/>
    <mergeCell ref="C574:E574"/>
    <mergeCell ref="C575:E575"/>
    <mergeCell ref="C576:E576"/>
    <mergeCell ref="C577:E577"/>
    <mergeCell ref="C578:E578"/>
    <mergeCell ref="C567:E567"/>
    <mergeCell ref="C568:E568"/>
    <mergeCell ref="C569:E569"/>
    <mergeCell ref="C570:E570"/>
    <mergeCell ref="C571:E571"/>
    <mergeCell ref="C572:E572"/>
    <mergeCell ref="C561:E561"/>
    <mergeCell ref="C562:E562"/>
    <mergeCell ref="C563:E563"/>
    <mergeCell ref="C564:E564"/>
    <mergeCell ref="C565:E565"/>
    <mergeCell ref="C566:E566"/>
    <mergeCell ref="C555:E555"/>
    <mergeCell ref="C556:E556"/>
    <mergeCell ref="C557:E557"/>
    <mergeCell ref="C558:E558"/>
    <mergeCell ref="C559:E559"/>
    <mergeCell ref="C560:E560"/>
    <mergeCell ref="C549:E549"/>
    <mergeCell ref="C550:E550"/>
    <mergeCell ref="C551:E551"/>
    <mergeCell ref="C552:E552"/>
    <mergeCell ref="C553:E553"/>
    <mergeCell ref="C554:E554"/>
    <mergeCell ref="C543:E543"/>
    <mergeCell ref="C544:E544"/>
    <mergeCell ref="C545:E545"/>
    <mergeCell ref="C546:E546"/>
    <mergeCell ref="C547:E547"/>
    <mergeCell ref="C548:E548"/>
    <mergeCell ref="C537:E537"/>
    <mergeCell ref="C538:E538"/>
    <mergeCell ref="C539:E539"/>
    <mergeCell ref="C540:E540"/>
    <mergeCell ref="C541:E541"/>
    <mergeCell ref="C542:E542"/>
    <mergeCell ref="C531:E531"/>
    <mergeCell ref="C532:E532"/>
    <mergeCell ref="C533:E533"/>
    <mergeCell ref="C534:E534"/>
    <mergeCell ref="C535:E535"/>
    <mergeCell ref="C536:E536"/>
    <mergeCell ref="C525:E525"/>
    <mergeCell ref="C526:E526"/>
    <mergeCell ref="C527:E527"/>
    <mergeCell ref="C528:E528"/>
    <mergeCell ref="C529:E529"/>
    <mergeCell ref="C530:E530"/>
    <mergeCell ref="C519:E519"/>
    <mergeCell ref="C520:E520"/>
    <mergeCell ref="C521:E521"/>
    <mergeCell ref="C522:E522"/>
    <mergeCell ref="C523:E523"/>
    <mergeCell ref="C524:E524"/>
    <mergeCell ref="C513:E513"/>
    <mergeCell ref="C514:E514"/>
    <mergeCell ref="C515:E515"/>
    <mergeCell ref="C516:E516"/>
    <mergeCell ref="C517:E517"/>
    <mergeCell ref="C518:E518"/>
    <mergeCell ref="C507:E507"/>
    <mergeCell ref="C508:E508"/>
    <mergeCell ref="C509:E509"/>
    <mergeCell ref="C510:E510"/>
    <mergeCell ref="C511:E511"/>
    <mergeCell ref="C512:E512"/>
    <mergeCell ref="C501:E501"/>
    <mergeCell ref="C502:E502"/>
    <mergeCell ref="C503:E503"/>
    <mergeCell ref="C504:E504"/>
    <mergeCell ref="C505:E505"/>
    <mergeCell ref="C506:E506"/>
    <mergeCell ref="C495:E495"/>
    <mergeCell ref="C496:E496"/>
    <mergeCell ref="C497:E497"/>
    <mergeCell ref="C498:E498"/>
    <mergeCell ref="C499:E499"/>
    <mergeCell ref="C500:E500"/>
    <mergeCell ref="C489:E489"/>
    <mergeCell ref="C490:E490"/>
    <mergeCell ref="C491:E491"/>
    <mergeCell ref="C492:E492"/>
    <mergeCell ref="C493:E493"/>
    <mergeCell ref="C494:E494"/>
    <mergeCell ref="C483:E483"/>
    <mergeCell ref="C484:E484"/>
    <mergeCell ref="C485:E485"/>
    <mergeCell ref="C486:E486"/>
    <mergeCell ref="C487:E487"/>
    <mergeCell ref="C488:E488"/>
    <mergeCell ref="C477:E477"/>
    <mergeCell ref="C478:E478"/>
    <mergeCell ref="C479:E479"/>
    <mergeCell ref="C480:E480"/>
    <mergeCell ref="C481:E481"/>
    <mergeCell ref="C482:E482"/>
    <mergeCell ref="C471:E471"/>
    <mergeCell ref="C472:E472"/>
    <mergeCell ref="C473:E473"/>
    <mergeCell ref="C474:E474"/>
    <mergeCell ref="C475:E475"/>
    <mergeCell ref="C476:E476"/>
    <mergeCell ref="C465:E465"/>
    <mergeCell ref="C466:E466"/>
    <mergeCell ref="C467:E467"/>
    <mergeCell ref="C468:E468"/>
    <mergeCell ref="C469:E469"/>
    <mergeCell ref="C470:E470"/>
    <mergeCell ref="C459:E459"/>
    <mergeCell ref="C460:E460"/>
    <mergeCell ref="C461:E461"/>
    <mergeCell ref="C462:E462"/>
    <mergeCell ref="C463:E463"/>
    <mergeCell ref="C464:E464"/>
    <mergeCell ref="C453:E453"/>
    <mergeCell ref="C454:E454"/>
    <mergeCell ref="C455:E455"/>
    <mergeCell ref="C456:E456"/>
    <mergeCell ref="C457:E457"/>
    <mergeCell ref="C458:E458"/>
    <mergeCell ref="C447:E447"/>
    <mergeCell ref="C448:E448"/>
    <mergeCell ref="C449:E449"/>
    <mergeCell ref="C450:E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35:E435"/>
    <mergeCell ref="C436:E436"/>
    <mergeCell ref="C437:E437"/>
    <mergeCell ref="C438:E438"/>
    <mergeCell ref="C439:E439"/>
    <mergeCell ref="C440:E440"/>
    <mergeCell ref="C429:E429"/>
    <mergeCell ref="C430:E430"/>
    <mergeCell ref="C431:E431"/>
    <mergeCell ref="C432:E432"/>
    <mergeCell ref="C433:E433"/>
    <mergeCell ref="C434:E434"/>
    <mergeCell ref="C423:E423"/>
    <mergeCell ref="C424:E424"/>
    <mergeCell ref="C425:E425"/>
    <mergeCell ref="C426:E426"/>
    <mergeCell ref="C427:E427"/>
    <mergeCell ref="C428:E428"/>
    <mergeCell ref="C417:E417"/>
    <mergeCell ref="C418:E418"/>
    <mergeCell ref="C419:E419"/>
    <mergeCell ref="C420:E420"/>
    <mergeCell ref="C421:E421"/>
    <mergeCell ref="C422:E422"/>
    <mergeCell ref="C411:E411"/>
    <mergeCell ref="C412:E412"/>
    <mergeCell ref="C413:E413"/>
    <mergeCell ref="C414:E414"/>
    <mergeCell ref="C415:E415"/>
    <mergeCell ref="C416:E416"/>
    <mergeCell ref="C405:E405"/>
    <mergeCell ref="C406:E406"/>
    <mergeCell ref="C407:E407"/>
    <mergeCell ref="C408:E408"/>
    <mergeCell ref="C409:E409"/>
    <mergeCell ref="C410:E410"/>
    <mergeCell ref="C399:E399"/>
    <mergeCell ref="C400:E400"/>
    <mergeCell ref="C401:E401"/>
    <mergeCell ref="C402:E402"/>
    <mergeCell ref="C403:E403"/>
    <mergeCell ref="C404:E404"/>
    <mergeCell ref="C393:E393"/>
    <mergeCell ref="C394:E394"/>
    <mergeCell ref="C395:E395"/>
    <mergeCell ref="C396:E396"/>
    <mergeCell ref="C397:E397"/>
    <mergeCell ref="C398:E398"/>
    <mergeCell ref="C387:E387"/>
    <mergeCell ref="C388:E388"/>
    <mergeCell ref="C389:E389"/>
    <mergeCell ref="C390:E390"/>
    <mergeCell ref="C391:E391"/>
    <mergeCell ref="C392:E392"/>
    <mergeCell ref="C381:E381"/>
    <mergeCell ref="C382:E382"/>
    <mergeCell ref="C383:E383"/>
    <mergeCell ref="C384:E384"/>
    <mergeCell ref="C385:E385"/>
    <mergeCell ref="C386:E386"/>
    <mergeCell ref="C375:E375"/>
    <mergeCell ref="C376:E376"/>
    <mergeCell ref="C377:E377"/>
    <mergeCell ref="C378:E378"/>
    <mergeCell ref="C379:E379"/>
    <mergeCell ref="C380:E380"/>
    <mergeCell ref="C369:E369"/>
    <mergeCell ref="C370:E370"/>
    <mergeCell ref="C371:E371"/>
    <mergeCell ref="C372:E372"/>
    <mergeCell ref="C373:E373"/>
    <mergeCell ref="C374:E374"/>
    <mergeCell ref="C363:E363"/>
    <mergeCell ref="C364:E364"/>
    <mergeCell ref="C365:E365"/>
    <mergeCell ref="C366:E366"/>
    <mergeCell ref="C367:E367"/>
    <mergeCell ref="C368:E368"/>
    <mergeCell ref="C357:E357"/>
    <mergeCell ref="C358:E358"/>
    <mergeCell ref="C359:E359"/>
    <mergeCell ref="C360:E360"/>
    <mergeCell ref="C361:E361"/>
    <mergeCell ref="C362:E362"/>
    <mergeCell ref="C351:E351"/>
    <mergeCell ref="C352:E352"/>
    <mergeCell ref="C353:E353"/>
    <mergeCell ref="C354:E354"/>
    <mergeCell ref="C355:E355"/>
    <mergeCell ref="C356:E356"/>
    <mergeCell ref="C345:E345"/>
    <mergeCell ref="C346:E346"/>
    <mergeCell ref="C347:E347"/>
    <mergeCell ref="C348:E348"/>
    <mergeCell ref="C349:E349"/>
    <mergeCell ref="C350:E350"/>
    <mergeCell ref="C339:E339"/>
    <mergeCell ref="C340:E340"/>
    <mergeCell ref="C341:E341"/>
    <mergeCell ref="C342:E342"/>
    <mergeCell ref="C343:E343"/>
    <mergeCell ref="C344:E344"/>
    <mergeCell ref="C333:E333"/>
    <mergeCell ref="C334:E334"/>
    <mergeCell ref="C335:E335"/>
    <mergeCell ref="C336:E336"/>
    <mergeCell ref="C337:E337"/>
    <mergeCell ref="C338:E338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E323"/>
    <mergeCell ref="C324:E324"/>
    <mergeCell ref="C325:E325"/>
    <mergeCell ref="C326:E326"/>
    <mergeCell ref="C315:E315"/>
    <mergeCell ref="C316:E316"/>
    <mergeCell ref="C317:E317"/>
    <mergeCell ref="C318:E318"/>
    <mergeCell ref="C319:E319"/>
    <mergeCell ref="C320:E320"/>
    <mergeCell ref="C309:E309"/>
    <mergeCell ref="C310:E310"/>
    <mergeCell ref="C311:E311"/>
    <mergeCell ref="C312:E312"/>
    <mergeCell ref="C313:E313"/>
    <mergeCell ref="C314:E314"/>
    <mergeCell ref="C303:E303"/>
    <mergeCell ref="C304:E304"/>
    <mergeCell ref="C305:E305"/>
    <mergeCell ref="C306:E306"/>
    <mergeCell ref="C307:E307"/>
    <mergeCell ref="C308:E308"/>
    <mergeCell ref="C297:E297"/>
    <mergeCell ref="C298:E298"/>
    <mergeCell ref="C299:E299"/>
    <mergeCell ref="C300:E300"/>
    <mergeCell ref="C301:E301"/>
    <mergeCell ref="C302:E302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C287:E287"/>
    <mergeCell ref="C288:E288"/>
    <mergeCell ref="C289:E289"/>
    <mergeCell ref="C290:E290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C275:E275"/>
    <mergeCell ref="C276:E276"/>
    <mergeCell ref="C277:E277"/>
    <mergeCell ref="C278:E278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E263"/>
    <mergeCell ref="C264:E264"/>
    <mergeCell ref="C265:E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7:E77"/>
    <mergeCell ref="C79:E79"/>
    <mergeCell ref="C80:E80"/>
    <mergeCell ref="C69:E69"/>
    <mergeCell ref="C70:E70"/>
    <mergeCell ref="C71:E71"/>
    <mergeCell ref="C73:E73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27:E27"/>
    <mergeCell ref="C28:E28"/>
    <mergeCell ref="C29:E29"/>
    <mergeCell ref="C30:E30"/>
    <mergeCell ref="C31:E31"/>
    <mergeCell ref="C32:E32"/>
    <mergeCell ref="C21:E21"/>
    <mergeCell ref="C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C10:E10"/>
    <mergeCell ref="I10:K10"/>
    <mergeCell ref="C11:E11"/>
    <mergeCell ref="C12:E12"/>
    <mergeCell ref="C13:E13"/>
    <mergeCell ref="C14:E14"/>
    <mergeCell ref="A8:B9"/>
    <mergeCell ref="C8:C9"/>
    <mergeCell ref="D8:E9"/>
    <mergeCell ref="F8:G9"/>
    <mergeCell ref="H8:H9"/>
    <mergeCell ref="I8:L9"/>
    <mergeCell ref="A1:L1"/>
    <mergeCell ref="A2:B3"/>
    <mergeCell ref="C2:C3"/>
    <mergeCell ref="D2:E3"/>
    <mergeCell ref="F2:G3"/>
    <mergeCell ref="H2:H3"/>
    <mergeCell ref="I2:L3"/>
    <mergeCell ref="A6:B7"/>
    <mergeCell ref="C6:C7"/>
    <mergeCell ref="D6:E7"/>
    <mergeCell ref="F6:G7"/>
    <mergeCell ref="H6:H7"/>
    <mergeCell ref="I6:L7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9" fitToHeight="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C8FBA-5C49-4E62-944C-F1965F92C472}">
  <sheetPr>
    <pageSetUpPr fitToPage="1"/>
  </sheetPr>
  <dimension ref="A1:I33"/>
  <sheetViews>
    <sheetView workbookViewId="0">
      <pane ySplit="10" topLeftCell="A11" activePane="bottomLeft" state="frozenSplit"/>
      <selection pane="bottomLeft" activeCell="A2" sqref="A2:A3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rozpočet-SO09'!C2</f>
        <v>Snížení energetické.náročnosti objektů Domova Kladno-Švermov</v>
      </c>
      <c r="C2" s="291"/>
      <c r="D2" s="293" t="s">
        <v>1657</v>
      </c>
      <c r="E2" s="293" t="str">
        <f>'Stavební rozpočet-SO09'!I2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rozpočet-SO09'!C4</f>
        <v>SO 09 - OBJEKT 9 - č.p.1052</v>
      </c>
      <c r="C4" s="256"/>
      <c r="D4" s="255" t="s">
        <v>1658</v>
      </c>
      <c r="E4" s="255" t="str">
        <f>'Stavební rozpočet-SO09'!I4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rozpočet-SO09'!C6</f>
        <v xml:space="preserve"> </v>
      </c>
      <c r="C6" s="256"/>
      <c r="D6" s="255" t="s">
        <v>1659</v>
      </c>
      <c r="E6" s="255" t="str">
        <f>'Stavební rozpočet-SO09'!I6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rozpočet-SO09'!I8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19</v>
      </c>
      <c r="C11" s="297" t="s">
        <v>1061</v>
      </c>
      <c r="D11" s="298"/>
      <c r="E11" s="101">
        <f>'Stavební rozpočet-SO09'!I12</f>
        <v>0</v>
      </c>
      <c r="F11" s="101">
        <f>'Stavební rozpočet-SO09'!J12</f>
        <v>0</v>
      </c>
      <c r="G11" s="101">
        <f>'Stavební rozpočet-SO09'!K12</f>
        <v>0</v>
      </c>
      <c r="H11" s="100" t="s">
        <v>1747</v>
      </c>
      <c r="I11" s="100">
        <f t="shared" ref="I11:I31" si="0">IF(H11="F",0,G11)</f>
        <v>0</v>
      </c>
    </row>
    <row r="12" spans="1:9" x14ac:dyDescent="0.2">
      <c r="A12" s="96"/>
      <c r="B12" s="96" t="s">
        <v>22</v>
      </c>
      <c r="C12" s="282" t="s">
        <v>1066</v>
      </c>
      <c r="D12" s="256"/>
      <c r="E12" s="100">
        <f>'Stavební rozpočet-SO09'!I14</f>
        <v>0</v>
      </c>
      <c r="F12" s="100">
        <f>'Stavební rozpočet-SO09'!J14</f>
        <v>0</v>
      </c>
      <c r="G12" s="100">
        <f>'Stavební rozpočet-SO09'!K14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23</v>
      </c>
      <c r="C13" s="282" t="s">
        <v>1070</v>
      </c>
      <c r="D13" s="256"/>
      <c r="E13" s="100">
        <f>'Stavební rozpočet-SO09'!I18</f>
        <v>0</v>
      </c>
      <c r="F13" s="100">
        <f>'Stavební rozpočet-SO09'!J18</f>
        <v>0</v>
      </c>
      <c r="G13" s="100">
        <f>'Stavební rozpočet-SO09'!K18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37</v>
      </c>
      <c r="C14" s="282" t="s">
        <v>1084</v>
      </c>
      <c r="D14" s="256"/>
      <c r="E14" s="100">
        <f>'Stavební rozpočet-SO09'!I21</f>
        <v>0</v>
      </c>
      <c r="F14" s="100">
        <f>'Stavební rozpočet-SO09'!J21</f>
        <v>0</v>
      </c>
      <c r="G14" s="100">
        <f>'Stavební rozpočet-SO09'!K21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67</v>
      </c>
      <c r="C15" s="282" t="s">
        <v>1097</v>
      </c>
      <c r="D15" s="256"/>
      <c r="E15" s="100">
        <f>'Stavební rozpočet-SO09'!I24</f>
        <v>0</v>
      </c>
      <c r="F15" s="100">
        <f>'Stavební rozpočet-SO09'!J24</f>
        <v>0</v>
      </c>
      <c r="G15" s="100">
        <f>'Stavební rozpočet-SO09'!K24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68</v>
      </c>
      <c r="C16" s="282" t="s">
        <v>1104</v>
      </c>
      <c r="D16" s="256"/>
      <c r="E16" s="100">
        <f>'Stavební rozpočet-SO09'!I28</f>
        <v>0</v>
      </c>
      <c r="F16" s="100">
        <f>'Stavební rozpočet-SO09'!J28</f>
        <v>0</v>
      </c>
      <c r="G16" s="100">
        <f>'Stavební rozpočet-SO09'!K28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100</v>
      </c>
      <c r="C17" s="282" t="s">
        <v>1139</v>
      </c>
      <c r="D17" s="256"/>
      <c r="E17" s="100">
        <f>'Stavební rozpočet-SO09'!I46</f>
        <v>0</v>
      </c>
      <c r="F17" s="100">
        <f>'Stavební rozpočet-SO09'!J46</f>
        <v>0</v>
      </c>
      <c r="G17" s="100">
        <f>'Stavební rozpočet-SO09'!K46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101</v>
      </c>
      <c r="C18" s="282" t="s">
        <v>1147</v>
      </c>
      <c r="D18" s="256"/>
      <c r="E18" s="100">
        <f>'Stavební rozpočet-SO09'!I53</f>
        <v>0</v>
      </c>
      <c r="F18" s="100">
        <f>'Stavební rozpočet-SO09'!J53</f>
        <v>0</v>
      </c>
      <c r="G18" s="100">
        <f>'Stavební rozpočet-SO09'!K53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102</v>
      </c>
      <c r="C19" s="282" t="s">
        <v>1158</v>
      </c>
      <c r="D19" s="256"/>
      <c r="E19" s="100">
        <f>'Stavební rozpočet-SO09'!I58</f>
        <v>0</v>
      </c>
      <c r="F19" s="100">
        <f>'Stavební rozpočet-SO09'!J58</f>
        <v>0</v>
      </c>
      <c r="G19" s="100">
        <f>'Stavební rozpočet-SO09'!K58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103</v>
      </c>
      <c r="C20" s="282" t="s">
        <v>1178</v>
      </c>
      <c r="D20" s="256"/>
      <c r="E20" s="100">
        <f>'Stavební rozpočet-SO09'!I64</f>
        <v>0</v>
      </c>
      <c r="F20" s="100">
        <f>'Stavební rozpočet-SO09'!J64</f>
        <v>0</v>
      </c>
      <c r="G20" s="100">
        <f>'Stavební rozpočet-SO09'!K64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686</v>
      </c>
      <c r="C21" s="282" t="s">
        <v>1198</v>
      </c>
      <c r="D21" s="256"/>
      <c r="E21" s="100">
        <f>'Stavební rozpočet-SO09'!I77</f>
        <v>0</v>
      </c>
      <c r="F21" s="100">
        <f>'Stavební rozpočet-SO09'!J77</f>
        <v>0</v>
      </c>
      <c r="G21" s="100">
        <f>'Stavební rozpočet-SO09'!K77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703</v>
      </c>
      <c r="C22" s="282" t="s">
        <v>1215</v>
      </c>
      <c r="D22" s="256"/>
      <c r="E22" s="100">
        <f>'Stavební rozpočet-SO09'!I88</f>
        <v>0</v>
      </c>
      <c r="F22" s="100">
        <f>'Stavební rozpočet-SO09'!J88</f>
        <v>0</v>
      </c>
      <c r="G22" s="100">
        <f>'Stavební rozpočet-SO09'!K88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744</v>
      </c>
      <c r="C23" s="282" t="s">
        <v>1256</v>
      </c>
      <c r="D23" s="256"/>
      <c r="E23" s="100">
        <f>'Stavební rozpočet-SO09'!I90</f>
        <v>0</v>
      </c>
      <c r="F23" s="100">
        <f>'Stavební rozpočet-SO09'!J90</f>
        <v>0</v>
      </c>
      <c r="G23" s="100">
        <f>'Stavební rozpočet-SO09'!K90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771</v>
      </c>
      <c r="C24" s="282" t="s">
        <v>1283</v>
      </c>
      <c r="D24" s="256"/>
      <c r="E24" s="100">
        <f>'Stavební rozpočet-SO09'!I104</f>
        <v>0</v>
      </c>
      <c r="F24" s="100">
        <f>'Stavební rozpočet-SO09'!J104</f>
        <v>0</v>
      </c>
      <c r="G24" s="100">
        <f>'Stavební rozpočet-SO09'!K104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772</v>
      </c>
      <c r="C25" s="282" t="s">
        <v>1355</v>
      </c>
      <c r="D25" s="256"/>
      <c r="E25" s="100">
        <f>'Stavební rozpočet-SO09'!I142</f>
        <v>0</v>
      </c>
      <c r="F25" s="100">
        <f>'Stavební rozpočet-SO09'!J142</f>
        <v>0</v>
      </c>
      <c r="G25" s="100">
        <f>'Stavební rozpočet-SO09'!K142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798</v>
      </c>
      <c r="C26" s="282" t="s">
        <v>1379</v>
      </c>
      <c r="D26" s="256"/>
      <c r="E26" s="100">
        <f>'Stavební rozpočet-SO09'!I155</f>
        <v>0</v>
      </c>
      <c r="F26" s="100">
        <f>'Stavební rozpočet-SO09'!J155</f>
        <v>0</v>
      </c>
      <c r="G26" s="100">
        <f>'Stavební rozpočet-SO09'!K155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907</v>
      </c>
      <c r="C27" s="282" t="s">
        <v>1496</v>
      </c>
      <c r="D27" s="256"/>
      <c r="E27" s="100">
        <f>'Stavební rozpočet-SO09'!I179</f>
        <v>0</v>
      </c>
      <c r="F27" s="100">
        <f>'Stavební rozpočet-SO09'!J179</f>
        <v>0</v>
      </c>
      <c r="G27" s="100">
        <f>'Stavební rozpočet-SO09'!K179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922</v>
      </c>
      <c r="C28" s="282" t="s">
        <v>1511</v>
      </c>
      <c r="D28" s="256"/>
      <c r="E28" s="100">
        <f>'Stavební rozpočet-SO09'!I182</f>
        <v>0</v>
      </c>
      <c r="F28" s="100">
        <f>'Stavební rozpočet-SO09'!J182</f>
        <v>0</v>
      </c>
      <c r="G28" s="100">
        <f>'Stavební rozpočet-SO09'!K182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930</v>
      </c>
      <c r="C29" s="282" t="s">
        <v>1519</v>
      </c>
      <c r="D29" s="256"/>
      <c r="E29" s="100">
        <f>'Stavební rozpočet-SO09'!I190</f>
        <v>0</v>
      </c>
      <c r="F29" s="100">
        <f>'Stavební rozpočet-SO09'!J190</f>
        <v>0</v>
      </c>
      <c r="G29" s="100">
        <f>'Stavební rozpočet-SO09'!K190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936</v>
      </c>
      <c r="C30" s="282" t="s">
        <v>1525</v>
      </c>
      <c r="D30" s="256"/>
      <c r="E30" s="100">
        <f>'Stavební rozpočet-SO09'!I195</f>
        <v>0</v>
      </c>
      <c r="F30" s="100">
        <f>'Stavební rozpočet-SO09'!J195</f>
        <v>0</v>
      </c>
      <c r="G30" s="100">
        <f>'Stavební rozpočet-SO09'!K195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1039</v>
      </c>
      <c r="C31" s="282" t="s">
        <v>1631</v>
      </c>
      <c r="D31" s="256"/>
      <c r="E31" s="100">
        <f>'Stavební rozpočet-SO09'!I215</f>
        <v>0</v>
      </c>
      <c r="F31" s="100">
        <f>'Stavební rozpočet-SO09'!J215</f>
        <v>0</v>
      </c>
      <c r="G31" s="100">
        <f>'Stavební rozpočet-SO09'!K215</f>
        <v>0</v>
      </c>
      <c r="H31" s="100" t="s">
        <v>1747</v>
      </c>
      <c r="I31" s="100">
        <f t="shared" si="0"/>
        <v>0</v>
      </c>
    </row>
    <row r="33" spans="6:7" x14ac:dyDescent="0.2">
      <c r="F33" s="99" t="s">
        <v>1666</v>
      </c>
      <c r="G33" s="98">
        <f>SUM(I11:I31)</f>
        <v>0</v>
      </c>
    </row>
  </sheetData>
  <sheetProtection algorithmName="SHA-512" hashValue="5foSAolYLSYSpLQ1ATg16J1CzjZPIR0v8uZsE3aow8dM2bhrDLdVkNAM92AiQO4NY19Vy7DheSTRQMNFdtUS0A==" saltValue="1bVYO9V3ZI7/lxzJrAPIbg==" spinCount="100000" sheet="1" objects="1" scenarios="1"/>
  <mergeCells count="39">
    <mergeCell ref="C19:D19"/>
    <mergeCell ref="C20:D20"/>
    <mergeCell ref="C28:D28"/>
    <mergeCell ref="C21:D21"/>
    <mergeCell ref="C29:D29"/>
    <mergeCell ref="C30:D30"/>
    <mergeCell ref="C31:D31"/>
    <mergeCell ref="C22:D22"/>
    <mergeCell ref="C23:D23"/>
    <mergeCell ref="C24:D24"/>
    <mergeCell ref="C25:D25"/>
    <mergeCell ref="C26:D26"/>
    <mergeCell ref="C27:D27"/>
    <mergeCell ref="C15:D15"/>
    <mergeCell ref="C16:D16"/>
    <mergeCell ref="C17:D17"/>
    <mergeCell ref="C18:D18"/>
    <mergeCell ref="A6:A7"/>
    <mergeCell ref="B6:C7"/>
    <mergeCell ref="D6:D7"/>
    <mergeCell ref="C10:D10"/>
    <mergeCell ref="C11:D11"/>
    <mergeCell ref="C12:D12"/>
    <mergeCell ref="C13:D13"/>
    <mergeCell ref="C14:D14"/>
    <mergeCell ref="E6:G7"/>
    <mergeCell ref="A8:A9"/>
    <mergeCell ref="B8:C9"/>
    <mergeCell ref="D8:D9"/>
    <mergeCell ref="E8:G9"/>
    <mergeCell ref="A4:A5"/>
    <mergeCell ref="B4:C5"/>
    <mergeCell ref="D4:D5"/>
    <mergeCell ref="E4:G5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D11B-23AF-488D-BB22-009AA082855F}">
  <sheetPr>
    <pageSetUpPr fitToPage="1"/>
  </sheetPr>
  <dimension ref="A1:BJ224"/>
  <sheetViews>
    <sheetView topLeftCell="C1" workbookViewId="0">
      <pane ySplit="11" topLeftCell="A154" activePane="bottomLeft" state="frozenSplit"/>
      <selection activeCell="A2" sqref="A2:A3"/>
      <selection pane="bottomLeft" activeCell="H162" sqref="H162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2851562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4435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19</v>
      </c>
      <c r="C12" s="322" t="s">
        <v>1061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SUM(I13:I13)</f>
        <v>0</v>
      </c>
      <c r="J12" s="127">
        <f>SUM(J13:J13)</f>
        <v>0</v>
      </c>
      <c r="K12" s="127">
        <f>SUM(K13:K13)</f>
        <v>0</v>
      </c>
      <c r="L12" s="126"/>
      <c r="AI12" s="109"/>
      <c r="AS12" s="118">
        <f>SUM(AJ13:AJ13)</f>
        <v>0</v>
      </c>
      <c r="AT12" s="118">
        <f>SUM(AK13:AK13)</f>
        <v>0</v>
      </c>
      <c r="AU12" s="118">
        <f>SUM(AL13:AL13)</f>
        <v>0</v>
      </c>
    </row>
    <row r="13" spans="1:62" x14ac:dyDescent="0.2">
      <c r="A13" s="117" t="s">
        <v>7</v>
      </c>
      <c r="B13" s="117" t="s">
        <v>580</v>
      </c>
      <c r="C13" s="304" t="s">
        <v>4434</v>
      </c>
      <c r="D13" s="305"/>
      <c r="E13" s="305"/>
      <c r="F13" s="117" t="s">
        <v>1647</v>
      </c>
      <c r="G13" s="116">
        <v>1.56</v>
      </c>
      <c r="H13" s="159"/>
      <c r="I13" s="108">
        <f>G13*AO13</f>
        <v>0</v>
      </c>
      <c r="J13" s="108">
        <f>G13*AP13</f>
        <v>0</v>
      </c>
      <c r="K13" s="108">
        <f>G13*H13</f>
        <v>0</v>
      </c>
      <c r="L13" s="111" t="s">
        <v>1671</v>
      </c>
      <c r="Z13" s="100">
        <f>IF(AQ13="5",BJ13,0)</f>
        <v>0</v>
      </c>
      <c r="AB13" s="100">
        <f>IF(AQ13="1",BH13,0)</f>
        <v>0</v>
      </c>
      <c r="AC13" s="100">
        <f>IF(AQ13="1",BI13,0)</f>
        <v>0</v>
      </c>
      <c r="AD13" s="100">
        <f>IF(AQ13="7",BH13,0)</f>
        <v>0</v>
      </c>
      <c r="AE13" s="100">
        <f>IF(AQ13="7",BI13,0)</f>
        <v>0</v>
      </c>
      <c r="AF13" s="100">
        <f>IF(AQ13="2",BH13,0)</f>
        <v>0</v>
      </c>
      <c r="AG13" s="100">
        <f>IF(AQ13="2",BI13,0)</f>
        <v>0</v>
      </c>
      <c r="AH13" s="100">
        <f>IF(AQ13="0",BJ13,0)</f>
        <v>0</v>
      </c>
      <c r="AI13" s="109"/>
      <c r="AJ13" s="108">
        <f>IF(AN13=0,K13,0)</f>
        <v>0</v>
      </c>
      <c r="AK13" s="108">
        <f>IF(AN13=15,K13,0)</f>
        <v>0</v>
      </c>
      <c r="AL13" s="108">
        <f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>AW13+AX13</f>
        <v>0</v>
      </c>
      <c r="AW13" s="100">
        <f>G13*AO13</f>
        <v>0</v>
      </c>
      <c r="AX13" s="100">
        <f>G13*AP13</f>
        <v>0</v>
      </c>
      <c r="AY13" s="110" t="s">
        <v>1683</v>
      </c>
      <c r="AZ13" s="110" t="s">
        <v>1724</v>
      </c>
      <c r="BA13" s="109" t="s">
        <v>1737</v>
      </c>
      <c r="BC13" s="100">
        <f>AW13+AX13</f>
        <v>0</v>
      </c>
      <c r="BD13" s="100">
        <f>H13/(100-BE13)*100</f>
        <v>0</v>
      </c>
      <c r="BE13" s="100">
        <v>0</v>
      </c>
      <c r="BF13" s="100">
        <f>13</f>
        <v>13</v>
      </c>
      <c r="BH13" s="108">
        <f>G13*AO13</f>
        <v>0</v>
      </c>
      <c r="BI13" s="108">
        <f>G13*AP13</f>
        <v>0</v>
      </c>
      <c r="BJ13" s="108">
        <f>G13*H13</f>
        <v>0</v>
      </c>
    </row>
    <row r="14" spans="1:62" x14ac:dyDescent="0.2">
      <c r="A14" s="119"/>
      <c r="B14" s="120" t="s">
        <v>22</v>
      </c>
      <c r="C14" s="306" t="s">
        <v>1066</v>
      </c>
      <c r="D14" s="307"/>
      <c r="E14" s="307"/>
      <c r="F14" s="119" t="s">
        <v>6</v>
      </c>
      <c r="G14" s="119" t="s">
        <v>6</v>
      </c>
      <c r="H14" s="119" t="s">
        <v>6</v>
      </c>
      <c r="I14" s="118">
        <f>SUM(I15:I17)</f>
        <v>0</v>
      </c>
      <c r="J14" s="118">
        <f>SUM(J15:J17)</f>
        <v>0</v>
      </c>
      <c r="K14" s="118">
        <f>SUM(K15:K17)</f>
        <v>0</v>
      </c>
      <c r="L14" s="109"/>
      <c r="AI14" s="109"/>
      <c r="AS14" s="118">
        <f>SUM(AJ15:AJ17)</f>
        <v>0</v>
      </c>
      <c r="AT14" s="118">
        <f>SUM(AK15:AK17)</f>
        <v>0</v>
      </c>
      <c r="AU14" s="118">
        <f>SUM(AL15:AL17)</f>
        <v>0</v>
      </c>
    </row>
    <row r="15" spans="1:62" x14ac:dyDescent="0.2">
      <c r="A15" s="117" t="s">
        <v>8</v>
      </c>
      <c r="B15" s="117" t="s">
        <v>581</v>
      </c>
      <c r="C15" s="304" t="s">
        <v>1067</v>
      </c>
      <c r="D15" s="305"/>
      <c r="E15" s="305"/>
      <c r="F15" s="117" t="s">
        <v>1647</v>
      </c>
      <c r="G15" s="116">
        <v>0.156</v>
      </c>
      <c r="H15" s="159"/>
      <c r="I15" s="108">
        <f>G15*AO15</f>
        <v>0</v>
      </c>
      <c r="J15" s="108">
        <f>G15*AP15</f>
        <v>0</v>
      </c>
      <c r="K15" s="108">
        <f>G15*H15</f>
        <v>0</v>
      </c>
      <c r="L15" s="111" t="s">
        <v>1671</v>
      </c>
      <c r="Z15" s="100">
        <f>IF(AQ15="5",BJ15,0)</f>
        <v>0</v>
      </c>
      <c r="AB15" s="100">
        <f>IF(AQ15="1",BH15,0)</f>
        <v>0</v>
      </c>
      <c r="AC15" s="100">
        <f>IF(AQ15="1",BI15,0)</f>
        <v>0</v>
      </c>
      <c r="AD15" s="100">
        <f>IF(AQ15="7",BH15,0)</f>
        <v>0</v>
      </c>
      <c r="AE15" s="100">
        <f>IF(AQ15="7",BI15,0)</f>
        <v>0</v>
      </c>
      <c r="AF15" s="100">
        <f>IF(AQ15="2",BH15,0)</f>
        <v>0</v>
      </c>
      <c r="AG15" s="100">
        <f>IF(AQ15="2",BI15,0)</f>
        <v>0</v>
      </c>
      <c r="AH15" s="100">
        <f>IF(AQ15="0",BJ15,0)</f>
        <v>0</v>
      </c>
      <c r="AI15" s="109"/>
      <c r="AJ15" s="108">
        <f>IF(AN15=0,K15,0)</f>
        <v>0</v>
      </c>
      <c r="AK15" s="108">
        <f>IF(AN15=15,K15,0)</f>
        <v>0</v>
      </c>
      <c r="AL15" s="108">
        <f>IF(AN15=21,K15,0)</f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>AW15+AX15</f>
        <v>0</v>
      </c>
      <c r="AW15" s="100">
        <f>G15*AO15</f>
        <v>0</v>
      </c>
      <c r="AX15" s="100">
        <f>G15*AP15</f>
        <v>0</v>
      </c>
      <c r="AY15" s="110" t="s">
        <v>1684</v>
      </c>
      <c r="AZ15" s="110" t="s">
        <v>1724</v>
      </c>
      <c r="BA15" s="109" t="s">
        <v>1737</v>
      </c>
      <c r="BC15" s="100">
        <f>AW15+AX15</f>
        <v>0</v>
      </c>
      <c r="BD15" s="100">
        <f>H15/(100-BE15)*100</f>
        <v>0</v>
      </c>
      <c r="BE15" s="100">
        <v>0</v>
      </c>
      <c r="BF15" s="100">
        <f>15</f>
        <v>15</v>
      </c>
      <c r="BH15" s="108">
        <f>G15*AO15</f>
        <v>0</v>
      </c>
      <c r="BI15" s="108">
        <f>G15*AP15</f>
        <v>0</v>
      </c>
      <c r="BJ15" s="108">
        <f>G15*H15</f>
        <v>0</v>
      </c>
    </row>
    <row r="16" spans="1:62" x14ac:dyDescent="0.2">
      <c r="A16" s="117" t="s">
        <v>9</v>
      </c>
      <c r="B16" s="117" t="s">
        <v>582</v>
      </c>
      <c r="C16" s="304" t="s">
        <v>1068</v>
      </c>
      <c r="D16" s="305"/>
      <c r="E16" s="305"/>
      <c r="F16" s="117" t="s">
        <v>1648</v>
      </c>
      <c r="G16" s="116">
        <v>0.27300000000000002</v>
      </c>
      <c r="H16" s="159"/>
      <c r="I16" s="108">
        <f>G16*AO16</f>
        <v>0</v>
      </c>
      <c r="J16" s="108">
        <f>G16*AP16</f>
        <v>0</v>
      </c>
      <c r="K16" s="108">
        <f>G16*H16</f>
        <v>0</v>
      </c>
      <c r="L16" s="111" t="s">
        <v>1671</v>
      </c>
      <c r="Z16" s="100">
        <f>IF(AQ16="5",BJ16,0)</f>
        <v>0</v>
      </c>
      <c r="AB16" s="100">
        <f>IF(AQ16="1",BH16,0)</f>
        <v>0</v>
      </c>
      <c r="AC16" s="100">
        <f>IF(AQ16="1",BI16,0)</f>
        <v>0</v>
      </c>
      <c r="AD16" s="100">
        <f>IF(AQ16="7",BH16,0)</f>
        <v>0</v>
      </c>
      <c r="AE16" s="100">
        <f>IF(AQ16="7",BI16,0)</f>
        <v>0</v>
      </c>
      <c r="AF16" s="100">
        <f>IF(AQ16="2",BH16,0)</f>
        <v>0</v>
      </c>
      <c r="AG16" s="100">
        <f>IF(AQ16="2",BI16,0)</f>
        <v>0</v>
      </c>
      <c r="AH16" s="100">
        <f>IF(AQ16="0",BJ16,0)</f>
        <v>0</v>
      </c>
      <c r="AI16" s="109"/>
      <c r="AJ16" s="108">
        <f>IF(AN16=0,K16,0)</f>
        <v>0</v>
      </c>
      <c r="AK16" s="108">
        <f>IF(AN16=15,K16,0)</f>
        <v>0</v>
      </c>
      <c r="AL16" s="108">
        <f>IF(AN16=21,K16,0)</f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>AW16+AX16</f>
        <v>0</v>
      </c>
      <c r="AW16" s="100">
        <f>G16*AO16</f>
        <v>0</v>
      </c>
      <c r="AX16" s="100">
        <f>G16*AP16</f>
        <v>0</v>
      </c>
      <c r="AY16" s="110" t="s">
        <v>1684</v>
      </c>
      <c r="AZ16" s="110" t="s">
        <v>1724</v>
      </c>
      <c r="BA16" s="109" t="s">
        <v>1737</v>
      </c>
      <c r="BC16" s="100">
        <f>AW16+AX16</f>
        <v>0</v>
      </c>
      <c r="BD16" s="100">
        <f>H16/(100-BE16)*100</f>
        <v>0</v>
      </c>
      <c r="BE16" s="100">
        <v>0</v>
      </c>
      <c r="BF16" s="100">
        <f>16</f>
        <v>16</v>
      </c>
      <c r="BH16" s="108">
        <f>G16*AO16</f>
        <v>0</v>
      </c>
      <c r="BI16" s="108">
        <f>G16*AP16</f>
        <v>0</v>
      </c>
      <c r="BJ16" s="108">
        <f>G16*H16</f>
        <v>0</v>
      </c>
    </row>
    <row r="17" spans="1:62" x14ac:dyDescent="0.2">
      <c r="A17" s="117" t="s">
        <v>10</v>
      </c>
      <c r="B17" s="117" t="s">
        <v>583</v>
      </c>
      <c r="C17" s="304" t="s">
        <v>1069</v>
      </c>
      <c r="D17" s="305"/>
      <c r="E17" s="305"/>
      <c r="F17" s="117" t="s">
        <v>1647</v>
      </c>
      <c r="G17" s="116">
        <v>0.156</v>
      </c>
      <c r="H17" s="159"/>
      <c r="I17" s="108">
        <f>G17*AO17</f>
        <v>0</v>
      </c>
      <c r="J17" s="108">
        <f>G17*AP17</f>
        <v>0</v>
      </c>
      <c r="K17" s="108">
        <f>G17*H17</f>
        <v>0</v>
      </c>
      <c r="L17" s="111" t="s">
        <v>1671</v>
      </c>
      <c r="Z17" s="100">
        <f>IF(AQ17="5",BJ17,0)</f>
        <v>0</v>
      </c>
      <c r="AB17" s="100">
        <f>IF(AQ17="1",BH17,0)</f>
        <v>0</v>
      </c>
      <c r="AC17" s="100">
        <f>IF(AQ17="1",BI17,0)</f>
        <v>0</v>
      </c>
      <c r="AD17" s="100">
        <f>IF(AQ17="7",BH17,0)</f>
        <v>0</v>
      </c>
      <c r="AE17" s="100">
        <f>IF(AQ17="7",BI17,0)</f>
        <v>0</v>
      </c>
      <c r="AF17" s="100">
        <f>IF(AQ17="2",BH17,0)</f>
        <v>0</v>
      </c>
      <c r="AG17" s="100">
        <f>IF(AQ17="2",BI17,0)</f>
        <v>0</v>
      </c>
      <c r="AH17" s="100">
        <f>IF(AQ17="0",BJ17,0)</f>
        <v>0</v>
      </c>
      <c r="AI17" s="109"/>
      <c r="AJ17" s="108">
        <f>IF(AN17=0,K17,0)</f>
        <v>0</v>
      </c>
      <c r="AK17" s="108">
        <f>IF(AN17=15,K17,0)</f>
        <v>0</v>
      </c>
      <c r="AL17" s="108">
        <f>IF(AN17=21,K17,0)</f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>AW17+AX17</f>
        <v>0</v>
      </c>
      <c r="AW17" s="100">
        <f>G17*AO17</f>
        <v>0</v>
      </c>
      <c r="AX17" s="100">
        <f>G17*AP17</f>
        <v>0</v>
      </c>
      <c r="AY17" s="110" t="s">
        <v>1684</v>
      </c>
      <c r="AZ17" s="110" t="s">
        <v>1724</v>
      </c>
      <c r="BA17" s="109" t="s">
        <v>1737</v>
      </c>
      <c r="BC17" s="100">
        <f>AW17+AX17</f>
        <v>0</v>
      </c>
      <c r="BD17" s="100">
        <f>H17/(100-BE17)*100</f>
        <v>0</v>
      </c>
      <c r="BE17" s="100">
        <v>0</v>
      </c>
      <c r="BF17" s="100">
        <f>17</f>
        <v>17</v>
      </c>
      <c r="BH17" s="108">
        <f>G17*AO17</f>
        <v>0</v>
      </c>
      <c r="BI17" s="108">
        <f>G17*AP17</f>
        <v>0</v>
      </c>
      <c r="BJ17" s="108">
        <f>G17*H17</f>
        <v>0</v>
      </c>
    </row>
    <row r="18" spans="1:62" x14ac:dyDescent="0.2">
      <c r="A18" s="119"/>
      <c r="B18" s="120" t="s">
        <v>23</v>
      </c>
      <c r="C18" s="306" t="s">
        <v>1070</v>
      </c>
      <c r="D18" s="307"/>
      <c r="E18" s="307"/>
      <c r="F18" s="119" t="s">
        <v>6</v>
      </c>
      <c r="G18" s="119" t="s">
        <v>6</v>
      </c>
      <c r="H18" s="119" t="s">
        <v>6</v>
      </c>
      <c r="I18" s="118">
        <f>SUM(I19:I20)</f>
        <v>0</v>
      </c>
      <c r="J18" s="118">
        <f>SUM(J19:J20)</f>
        <v>0</v>
      </c>
      <c r="K18" s="118">
        <f>SUM(K19:K20)</f>
        <v>0</v>
      </c>
      <c r="L18" s="109"/>
      <c r="AI18" s="109"/>
      <c r="AS18" s="118">
        <f>SUM(AJ19:AJ20)</f>
        <v>0</v>
      </c>
      <c r="AT18" s="118">
        <f>SUM(AK19:AK20)</f>
        <v>0</v>
      </c>
      <c r="AU18" s="118">
        <f>SUM(AL19:AL20)</f>
        <v>0</v>
      </c>
    </row>
    <row r="19" spans="1:62" x14ac:dyDescent="0.2">
      <c r="A19" s="117" t="s">
        <v>11</v>
      </c>
      <c r="B19" s="117" t="s">
        <v>584</v>
      </c>
      <c r="C19" s="304" t="s">
        <v>1071</v>
      </c>
      <c r="D19" s="305"/>
      <c r="E19" s="305"/>
      <c r="F19" s="117" t="s">
        <v>1647</v>
      </c>
      <c r="G19" s="116">
        <v>0.156</v>
      </c>
      <c r="H19" s="159"/>
      <c r="I19" s="108">
        <f>G19*AO19</f>
        <v>0</v>
      </c>
      <c r="J19" s="108">
        <f>G19*AP19</f>
        <v>0</v>
      </c>
      <c r="K19" s="108">
        <f>G19*H19</f>
        <v>0</v>
      </c>
      <c r="L19" s="111" t="s">
        <v>1671</v>
      </c>
      <c r="Z19" s="100">
        <f>IF(AQ19="5",BJ19,0)</f>
        <v>0</v>
      </c>
      <c r="AB19" s="100">
        <f>IF(AQ19="1",BH19,0)</f>
        <v>0</v>
      </c>
      <c r="AC19" s="100">
        <f>IF(AQ19="1",BI19,0)</f>
        <v>0</v>
      </c>
      <c r="AD19" s="100">
        <f>IF(AQ19="7",BH19,0)</f>
        <v>0</v>
      </c>
      <c r="AE19" s="100">
        <f>IF(AQ19="7",BI19,0)</f>
        <v>0</v>
      </c>
      <c r="AF19" s="100">
        <f>IF(AQ19="2",BH19,0)</f>
        <v>0</v>
      </c>
      <c r="AG19" s="100">
        <f>IF(AQ19="2",BI19,0)</f>
        <v>0</v>
      </c>
      <c r="AH19" s="100">
        <f>IF(AQ19="0",BJ19,0)</f>
        <v>0</v>
      </c>
      <c r="AI19" s="109"/>
      <c r="AJ19" s="108">
        <f>IF(AN19=0,K19,0)</f>
        <v>0</v>
      </c>
      <c r="AK19" s="108">
        <f>IF(AN19=15,K19,0)</f>
        <v>0</v>
      </c>
      <c r="AL19" s="108">
        <f>IF(AN19=21,K19,0)</f>
        <v>0</v>
      </c>
      <c r="AN19" s="100">
        <v>15</v>
      </c>
      <c r="AO19" s="100">
        <f>H19*0</f>
        <v>0</v>
      </c>
      <c r="AP19" s="100">
        <f>H19*(1-0)</f>
        <v>0</v>
      </c>
      <c r="AQ19" s="111" t="s">
        <v>7</v>
      </c>
      <c r="AV19" s="100">
        <f>AW19+AX19</f>
        <v>0</v>
      </c>
      <c r="AW19" s="100">
        <f>G19*AO19</f>
        <v>0</v>
      </c>
      <c r="AX19" s="100">
        <f>G19*AP19</f>
        <v>0</v>
      </c>
      <c r="AY19" s="110" t="s">
        <v>1685</v>
      </c>
      <c r="AZ19" s="110" t="s">
        <v>1724</v>
      </c>
      <c r="BA19" s="109" t="s">
        <v>1737</v>
      </c>
      <c r="BC19" s="100">
        <f>AW19+AX19</f>
        <v>0</v>
      </c>
      <c r="BD19" s="100">
        <f>H19/(100-BE19)*100</f>
        <v>0</v>
      </c>
      <c r="BE19" s="100">
        <v>0</v>
      </c>
      <c r="BF19" s="100">
        <f>19</f>
        <v>19</v>
      </c>
      <c r="BH19" s="108">
        <f>G19*AO19</f>
        <v>0</v>
      </c>
      <c r="BI19" s="108">
        <f>G19*AP19</f>
        <v>0</v>
      </c>
      <c r="BJ19" s="108">
        <f>G19*H19</f>
        <v>0</v>
      </c>
    </row>
    <row r="20" spans="1:62" x14ac:dyDescent="0.2">
      <c r="A20" s="117" t="s">
        <v>12</v>
      </c>
      <c r="B20" s="117" t="s">
        <v>586</v>
      </c>
      <c r="C20" s="304" t="s">
        <v>4433</v>
      </c>
      <c r="D20" s="305"/>
      <c r="E20" s="305"/>
      <c r="F20" s="117" t="s">
        <v>1647</v>
      </c>
      <c r="G20" s="116">
        <v>1.4039999999999999</v>
      </c>
      <c r="H20" s="159"/>
      <c r="I20" s="108">
        <f>G20*AO20</f>
        <v>0</v>
      </c>
      <c r="J20" s="108">
        <f>G20*AP20</f>
        <v>0</v>
      </c>
      <c r="K20" s="108">
        <f>G20*H20</f>
        <v>0</v>
      </c>
      <c r="L20" s="111" t="s">
        <v>1671</v>
      </c>
      <c r="Z20" s="100">
        <f>IF(AQ20="5",BJ20,0)</f>
        <v>0</v>
      </c>
      <c r="AB20" s="100">
        <f>IF(AQ20="1",BH20,0)</f>
        <v>0</v>
      </c>
      <c r="AC20" s="100">
        <f>IF(AQ20="1",BI20,0)</f>
        <v>0</v>
      </c>
      <c r="AD20" s="100">
        <f>IF(AQ20="7",BH20,0)</f>
        <v>0</v>
      </c>
      <c r="AE20" s="100">
        <f>IF(AQ20="7",BI20,0)</f>
        <v>0</v>
      </c>
      <c r="AF20" s="100">
        <f>IF(AQ20="2",BH20,0)</f>
        <v>0</v>
      </c>
      <c r="AG20" s="100">
        <f>IF(AQ20="2",BI20,0)</f>
        <v>0</v>
      </c>
      <c r="AH20" s="100">
        <f>IF(AQ20="0",BJ20,0)</f>
        <v>0</v>
      </c>
      <c r="AI20" s="109"/>
      <c r="AJ20" s="108">
        <f>IF(AN20=0,K20,0)</f>
        <v>0</v>
      </c>
      <c r="AK20" s="108">
        <f>IF(AN20=15,K20,0)</f>
        <v>0</v>
      </c>
      <c r="AL20" s="108">
        <f>IF(AN20=21,K20,0)</f>
        <v>0</v>
      </c>
      <c r="AN20" s="100">
        <v>15</v>
      </c>
      <c r="AO20" s="100">
        <f>H20*0</f>
        <v>0</v>
      </c>
      <c r="AP20" s="100">
        <f>H20*(1-0)</f>
        <v>0</v>
      </c>
      <c r="AQ20" s="111" t="s">
        <v>7</v>
      </c>
      <c r="AV20" s="100">
        <f>AW20+AX20</f>
        <v>0</v>
      </c>
      <c r="AW20" s="100">
        <f>G20*AO20</f>
        <v>0</v>
      </c>
      <c r="AX20" s="100">
        <f>G20*AP20</f>
        <v>0</v>
      </c>
      <c r="AY20" s="110" t="s">
        <v>1685</v>
      </c>
      <c r="AZ20" s="110" t="s">
        <v>1724</v>
      </c>
      <c r="BA20" s="109" t="s">
        <v>1737</v>
      </c>
      <c r="BC20" s="100">
        <f>AW20+AX20</f>
        <v>0</v>
      </c>
      <c r="BD20" s="100">
        <f>H20/(100-BE20)*100</f>
        <v>0</v>
      </c>
      <c r="BE20" s="100">
        <v>0</v>
      </c>
      <c r="BF20" s="100">
        <f>20</f>
        <v>20</v>
      </c>
      <c r="BH20" s="108">
        <f>G20*AO20</f>
        <v>0</v>
      </c>
      <c r="BI20" s="108">
        <f>G20*AP20</f>
        <v>0</v>
      </c>
      <c r="BJ20" s="108">
        <f>G20*H20</f>
        <v>0</v>
      </c>
    </row>
    <row r="21" spans="1:62" x14ac:dyDescent="0.2">
      <c r="A21" s="119"/>
      <c r="B21" s="120" t="s">
        <v>37</v>
      </c>
      <c r="C21" s="306" t="s">
        <v>1084</v>
      </c>
      <c r="D21" s="307"/>
      <c r="E21" s="307"/>
      <c r="F21" s="119" t="s">
        <v>6</v>
      </c>
      <c r="G21" s="119" t="s">
        <v>6</v>
      </c>
      <c r="H21" s="119" t="s">
        <v>6</v>
      </c>
      <c r="I21" s="118">
        <f>SUM(I22:I23)</f>
        <v>0</v>
      </c>
      <c r="J21" s="118">
        <f>SUM(J22:J23)</f>
        <v>0</v>
      </c>
      <c r="K21" s="118">
        <f>SUM(K22:K23)</f>
        <v>0</v>
      </c>
      <c r="L21" s="109"/>
      <c r="AI21" s="109"/>
      <c r="AS21" s="118">
        <f>SUM(AJ22:AJ23)</f>
        <v>0</v>
      </c>
      <c r="AT21" s="118">
        <f>SUM(AK22:AK23)</f>
        <v>0</v>
      </c>
      <c r="AU21" s="118">
        <f>SUM(AL22:AL23)</f>
        <v>0</v>
      </c>
    </row>
    <row r="22" spans="1:62" x14ac:dyDescent="0.2">
      <c r="A22" s="117" t="s">
        <v>13</v>
      </c>
      <c r="B22" s="117" t="s">
        <v>592</v>
      </c>
      <c r="C22" s="304" t="s">
        <v>4432</v>
      </c>
      <c r="D22" s="305"/>
      <c r="E22" s="305"/>
      <c r="F22" s="117" t="s">
        <v>1644</v>
      </c>
      <c r="G22" s="116">
        <v>1</v>
      </c>
      <c r="H22" s="159"/>
      <c r="I22" s="108">
        <f>G22*AO22</f>
        <v>0</v>
      </c>
      <c r="J22" s="108">
        <f>G22*AP22</f>
        <v>0</v>
      </c>
      <c r="K22" s="108">
        <f>G22*H22</f>
        <v>0</v>
      </c>
      <c r="L22" s="111" t="s">
        <v>1671</v>
      </c>
      <c r="Z22" s="100">
        <f>IF(AQ22="5",BJ22,0)</f>
        <v>0</v>
      </c>
      <c r="AB22" s="100">
        <f>IF(AQ22="1",BH22,0)</f>
        <v>0</v>
      </c>
      <c r="AC22" s="100">
        <f>IF(AQ22="1",BI22,0)</f>
        <v>0</v>
      </c>
      <c r="AD22" s="100">
        <f>IF(AQ22="7",BH22,0)</f>
        <v>0</v>
      </c>
      <c r="AE22" s="100">
        <f>IF(AQ22="7",BI22,0)</f>
        <v>0</v>
      </c>
      <c r="AF22" s="100">
        <f>IF(AQ22="2",BH22,0)</f>
        <v>0</v>
      </c>
      <c r="AG22" s="100">
        <f>IF(AQ22="2",BI22,0)</f>
        <v>0</v>
      </c>
      <c r="AH22" s="100">
        <f>IF(AQ22="0",BJ22,0)</f>
        <v>0</v>
      </c>
      <c r="AI22" s="109"/>
      <c r="AJ22" s="108">
        <f>IF(AN22=0,K22,0)</f>
        <v>0</v>
      </c>
      <c r="AK22" s="108">
        <f>IF(AN22=15,K22,0)</f>
        <v>0</v>
      </c>
      <c r="AL22" s="108">
        <f>IF(AN22=21,K22,0)</f>
        <v>0</v>
      </c>
      <c r="AN22" s="100">
        <v>15</v>
      </c>
      <c r="AO22" s="100">
        <f>H22*0.535388860807912</f>
        <v>0</v>
      </c>
      <c r="AP22" s="100">
        <f>H22*(1-0.535388860807912)</f>
        <v>0</v>
      </c>
      <c r="AQ22" s="111" t="s">
        <v>7</v>
      </c>
      <c r="AV22" s="100">
        <f>AW22+AX22</f>
        <v>0</v>
      </c>
      <c r="AW22" s="100">
        <f>G22*AO22</f>
        <v>0</v>
      </c>
      <c r="AX22" s="100">
        <f>G22*AP22</f>
        <v>0</v>
      </c>
      <c r="AY22" s="110" t="s">
        <v>1689</v>
      </c>
      <c r="AZ22" s="110" t="s">
        <v>1726</v>
      </c>
      <c r="BA22" s="109" t="s">
        <v>1737</v>
      </c>
      <c r="BC22" s="100">
        <f>AW22+AX22</f>
        <v>0</v>
      </c>
      <c r="BD22" s="100">
        <f>H22/(100-BE22)*100</f>
        <v>0</v>
      </c>
      <c r="BE22" s="100">
        <v>0</v>
      </c>
      <c r="BF22" s="100">
        <f>22</f>
        <v>22</v>
      </c>
      <c r="BH22" s="108">
        <f>G22*AO22</f>
        <v>0</v>
      </c>
      <c r="BI22" s="108">
        <f>G22*AP22</f>
        <v>0</v>
      </c>
      <c r="BJ22" s="108">
        <f>G22*H22</f>
        <v>0</v>
      </c>
    </row>
    <row r="23" spans="1:62" x14ac:dyDescent="0.2">
      <c r="A23" s="117" t="s">
        <v>14</v>
      </c>
      <c r="B23" s="117" t="s">
        <v>594</v>
      </c>
      <c r="C23" s="304" t="s">
        <v>4431</v>
      </c>
      <c r="D23" s="305"/>
      <c r="E23" s="305"/>
      <c r="F23" s="117" t="s">
        <v>1648</v>
      </c>
      <c r="G23" s="116">
        <v>3.4000000000000002E-2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H23*0.782234965034965</f>
        <v>0</v>
      </c>
      <c r="AP23" s="100">
        <f>H23*(1-0.782234965034965)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1689</v>
      </c>
      <c r="AZ23" s="110" t="s">
        <v>1726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9"/>
      <c r="B24" s="120" t="s">
        <v>67</v>
      </c>
      <c r="C24" s="306" t="s">
        <v>1097</v>
      </c>
      <c r="D24" s="307"/>
      <c r="E24" s="307"/>
      <c r="F24" s="119" t="s">
        <v>6</v>
      </c>
      <c r="G24" s="119" t="s">
        <v>6</v>
      </c>
      <c r="H24" s="119" t="s">
        <v>6</v>
      </c>
      <c r="I24" s="118">
        <f>SUM(I25:I27)</f>
        <v>0</v>
      </c>
      <c r="J24" s="118">
        <f>SUM(J25:J27)</f>
        <v>0</v>
      </c>
      <c r="K24" s="118">
        <f>SUM(K25:K27)</f>
        <v>0</v>
      </c>
      <c r="L24" s="109"/>
      <c r="AI24" s="109"/>
      <c r="AS24" s="118">
        <f>SUM(AJ25:AJ27)</f>
        <v>0</v>
      </c>
      <c r="AT24" s="118">
        <f>SUM(AK25:AK27)</f>
        <v>0</v>
      </c>
      <c r="AU24" s="118">
        <f>SUM(AL25:AL27)</f>
        <v>0</v>
      </c>
    </row>
    <row r="25" spans="1:62" x14ac:dyDescent="0.2">
      <c r="A25" s="117" t="s">
        <v>15</v>
      </c>
      <c r="B25" s="117" t="s">
        <v>601</v>
      </c>
      <c r="C25" s="304" t="s">
        <v>4430</v>
      </c>
      <c r="D25" s="305"/>
      <c r="E25" s="305"/>
      <c r="F25" s="117" t="s">
        <v>1645</v>
      </c>
      <c r="G25" s="116">
        <v>19.751000000000001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H25*0.137604636695518</f>
        <v>0</v>
      </c>
      <c r="AP25" s="100">
        <f>H25*(1-0.137604636695518)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1692</v>
      </c>
      <c r="AZ25" s="110" t="s">
        <v>1728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7" t="s">
        <v>16</v>
      </c>
      <c r="B26" s="117" t="s">
        <v>604</v>
      </c>
      <c r="C26" s="304" t="s">
        <v>4429</v>
      </c>
      <c r="D26" s="305"/>
      <c r="E26" s="305"/>
      <c r="F26" s="117" t="s">
        <v>1645</v>
      </c>
      <c r="G26" s="116">
        <v>11.377000000000001</v>
      </c>
      <c r="H26" s="159"/>
      <c r="I26" s="108">
        <f>G26*AO26</f>
        <v>0</v>
      </c>
      <c r="J26" s="108">
        <f>G26*AP26</f>
        <v>0</v>
      </c>
      <c r="K26" s="108">
        <f>G26*H26</f>
        <v>0</v>
      </c>
      <c r="L26" s="111" t="s">
        <v>1671</v>
      </c>
      <c r="Z26" s="100">
        <f>IF(AQ26="5",BJ26,0)</f>
        <v>0</v>
      </c>
      <c r="AB26" s="100">
        <f>IF(AQ26="1",BH26,0)</f>
        <v>0</v>
      </c>
      <c r="AC26" s="100">
        <f>IF(AQ26="1",BI26,0)</f>
        <v>0</v>
      </c>
      <c r="AD26" s="100">
        <f>IF(AQ26="7",BH26,0)</f>
        <v>0</v>
      </c>
      <c r="AE26" s="100">
        <f>IF(AQ26="7",BI26,0)</f>
        <v>0</v>
      </c>
      <c r="AF26" s="100">
        <f>IF(AQ26="2",BH26,0)</f>
        <v>0</v>
      </c>
      <c r="AG26" s="100">
        <f>IF(AQ26="2",BI26,0)</f>
        <v>0</v>
      </c>
      <c r="AH26" s="100">
        <f>IF(AQ26="0",BJ26,0)</f>
        <v>0</v>
      </c>
      <c r="AI26" s="109"/>
      <c r="AJ26" s="108">
        <f>IF(AN26=0,K26,0)</f>
        <v>0</v>
      </c>
      <c r="AK26" s="108">
        <f>IF(AN26=15,K26,0)</f>
        <v>0</v>
      </c>
      <c r="AL26" s="108">
        <f>IF(AN26=21,K26,0)</f>
        <v>0</v>
      </c>
      <c r="AN26" s="100">
        <v>15</v>
      </c>
      <c r="AO26" s="100">
        <f>H26*0.0969232802999217</f>
        <v>0</v>
      </c>
      <c r="AP26" s="100">
        <f>H26*(1-0.0969232802999217)</f>
        <v>0</v>
      </c>
      <c r="AQ26" s="111" t="s">
        <v>7</v>
      </c>
      <c r="AV26" s="100">
        <f>AW26+AX26</f>
        <v>0</v>
      </c>
      <c r="AW26" s="100">
        <f>G26*AO26</f>
        <v>0</v>
      </c>
      <c r="AX26" s="100">
        <f>G26*AP26</f>
        <v>0</v>
      </c>
      <c r="AY26" s="110" t="s">
        <v>1692</v>
      </c>
      <c r="AZ26" s="110" t="s">
        <v>1728</v>
      </c>
      <c r="BA26" s="109" t="s">
        <v>1737</v>
      </c>
      <c r="BC26" s="100">
        <f>AW26+AX26</f>
        <v>0</v>
      </c>
      <c r="BD26" s="100">
        <f>H26/(100-BE26)*100</f>
        <v>0</v>
      </c>
      <c r="BE26" s="100">
        <v>0</v>
      </c>
      <c r="BF26" s="100">
        <f>26</f>
        <v>26</v>
      </c>
      <c r="BH26" s="108">
        <f>G26*AO26</f>
        <v>0</v>
      </c>
      <c r="BI26" s="108">
        <f>G26*AP26</f>
        <v>0</v>
      </c>
      <c r="BJ26" s="108">
        <f>G26*H26</f>
        <v>0</v>
      </c>
    </row>
    <row r="27" spans="1:62" x14ac:dyDescent="0.2">
      <c r="A27" s="117" t="s">
        <v>17</v>
      </c>
      <c r="B27" s="117" t="s">
        <v>606</v>
      </c>
      <c r="C27" s="304" t="s">
        <v>4428</v>
      </c>
      <c r="D27" s="305"/>
      <c r="E27" s="305"/>
      <c r="F27" s="117" t="s">
        <v>1645</v>
      </c>
      <c r="G27" s="116">
        <v>23.64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H27*0.523085271317829</f>
        <v>0</v>
      </c>
      <c r="AP27" s="100">
        <f>H27*(1-0.523085271317829)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1692</v>
      </c>
      <c r="AZ27" s="110" t="s">
        <v>1728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9"/>
      <c r="B28" s="120" t="s">
        <v>68</v>
      </c>
      <c r="C28" s="306" t="s">
        <v>1104</v>
      </c>
      <c r="D28" s="307"/>
      <c r="E28" s="307"/>
      <c r="F28" s="119" t="s">
        <v>6</v>
      </c>
      <c r="G28" s="119" t="s">
        <v>6</v>
      </c>
      <c r="H28" s="119" t="s">
        <v>6</v>
      </c>
      <c r="I28" s="118">
        <f>SUM(I29:I45)</f>
        <v>0</v>
      </c>
      <c r="J28" s="118">
        <f>SUM(J29:J45)</f>
        <v>0</v>
      </c>
      <c r="K28" s="118">
        <f>SUM(K29:K45)</f>
        <v>0</v>
      </c>
      <c r="L28" s="109"/>
      <c r="AI28" s="109"/>
      <c r="AS28" s="118">
        <f>SUM(AJ29:AJ45)</f>
        <v>0</v>
      </c>
      <c r="AT28" s="118">
        <f>SUM(AK29:AK45)</f>
        <v>0</v>
      </c>
      <c r="AU28" s="118">
        <f>SUM(AL29:AL45)</f>
        <v>0</v>
      </c>
    </row>
    <row r="29" spans="1:62" x14ac:dyDescent="0.2">
      <c r="A29" s="117" t="s">
        <v>18</v>
      </c>
      <c r="B29" s="117" t="s">
        <v>607</v>
      </c>
      <c r="C29" s="304" t="s">
        <v>1105</v>
      </c>
      <c r="D29" s="305"/>
      <c r="E29" s="305"/>
      <c r="F29" s="117" t="s">
        <v>1645</v>
      </c>
      <c r="G29" s="116">
        <v>85.462000000000003</v>
      </c>
      <c r="H29" s="159"/>
      <c r="I29" s="108">
        <f t="shared" ref="I29:I45" si="0">G29*AO29</f>
        <v>0</v>
      </c>
      <c r="J29" s="108">
        <f t="shared" ref="J29:J45" si="1">G29*AP29</f>
        <v>0</v>
      </c>
      <c r="K29" s="108">
        <f t="shared" ref="K29:K45" si="2">G29*H29</f>
        <v>0</v>
      </c>
      <c r="L29" s="111" t="s">
        <v>1671</v>
      </c>
      <c r="Z29" s="100">
        <f t="shared" ref="Z29:Z45" si="3">IF(AQ29="5",BJ29,0)</f>
        <v>0</v>
      </c>
      <c r="AB29" s="100">
        <f t="shared" ref="AB29:AB45" si="4">IF(AQ29="1",BH29,0)</f>
        <v>0</v>
      </c>
      <c r="AC29" s="100">
        <f t="shared" ref="AC29:AC45" si="5">IF(AQ29="1",BI29,0)</f>
        <v>0</v>
      </c>
      <c r="AD29" s="100">
        <f t="shared" ref="AD29:AD45" si="6">IF(AQ29="7",BH29,0)</f>
        <v>0</v>
      </c>
      <c r="AE29" s="100">
        <f t="shared" ref="AE29:AE45" si="7">IF(AQ29="7",BI29,0)</f>
        <v>0</v>
      </c>
      <c r="AF29" s="100">
        <f t="shared" ref="AF29:AF45" si="8">IF(AQ29="2",BH29,0)</f>
        <v>0</v>
      </c>
      <c r="AG29" s="100">
        <f t="shared" ref="AG29:AG45" si="9">IF(AQ29="2",BI29,0)</f>
        <v>0</v>
      </c>
      <c r="AH29" s="100">
        <f t="shared" ref="AH29:AH45" si="10">IF(AQ29="0",BJ29,0)</f>
        <v>0</v>
      </c>
      <c r="AI29" s="109"/>
      <c r="AJ29" s="108">
        <f t="shared" ref="AJ29:AJ45" si="11">IF(AN29=0,K29,0)</f>
        <v>0</v>
      </c>
      <c r="AK29" s="108">
        <f t="shared" ref="AK29:AK45" si="12">IF(AN29=15,K29,0)</f>
        <v>0</v>
      </c>
      <c r="AL29" s="108">
        <f t="shared" ref="AL29:AL45" si="13">IF(AN29=21,K29,0)</f>
        <v>0</v>
      </c>
      <c r="AN29" s="100">
        <v>15</v>
      </c>
      <c r="AO29" s="100">
        <f>H29*0.285592635201426</f>
        <v>0</v>
      </c>
      <c r="AP29" s="100">
        <f>H29*(1-0.285592635201426)</f>
        <v>0</v>
      </c>
      <c r="AQ29" s="111" t="s">
        <v>7</v>
      </c>
      <c r="AV29" s="100">
        <f t="shared" ref="AV29:AV45" si="14">AW29+AX29</f>
        <v>0</v>
      </c>
      <c r="AW29" s="100">
        <f t="shared" ref="AW29:AW45" si="15">G29*AO29</f>
        <v>0</v>
      </c>
      <c r="AX29" s="100">
        <f t="shared" ref="AX29:AX45" si="16">G29*AP29</f>
        <v>0</v>
      </c>
      <c r="AY29" s="110" t="s">
        <v>1693</v>
      </c>
      <c r="AZ29" s="110" t="s">
        <v>1728</v>
      </c>
      <c r="BA29" s="109" t="s">
        <v>1737</v>
      </c>
      <c r="BC29" s="100">
        <f t="shared" ref="BC29:BC45" si="17">AW29+AX29</f>
        <v>0</v>
      </c>
      <c r="BD29" s="100">
        <f t="shared" ref="BD29:BD45" si="18">H29/(100-BE29)*100</f>
        <v>0</v>
      </c>
      <c r="BE29" s="100">
        <v>0</v>
      </c>
      <c r="BF29" s="100">
        <f>29</f>
        <v>29</v>
      </c>
      <c r="BH29" s="108">
        <f t="shared" ref="BH29:BH45" si="19">G29*AO29</f>
        <v>0</v>
      </c>
      <c r="BI29" s="108">
        <f t="shared" ref="BI29:BI45" si="20">G29*AP29</f>
        <v>0</v>
      </c>
      <c r="BJ29" s="108">
        <f t="shared" ref="BJ29:BJ45" si="21">G29*H29</f>
        <v>0</v>
      </c>
    </row>
    <row r="30" spans="1:62" x14ac:dyDescent="0.2">
      <c r="A30" s="117" t="s">
        <v>19</v>
      </c>
      <c r="B30" s="117" t="s">
        <v>608</v>
      </c>
      <c r="C30" s="304" t="s">
        <v>4427</v>
      </c>
      <c r="D30" s="305"/>
      <c r="E30" s="305"/>
      <c r="F30" s="117" t="s">
        <v>1645</v>
      </c>
      <c r="G30" s="116">
        <v>489.03699999999998</v>
      </c>
      <c r="H30" s="159"/>
      <c r="I30" s="108">
        <f t="shared" si="0"/>
        <v>0</v>
      </c>
      <c r="J30" s="108">
        <f t="shared" si="1"/>
        <v>0</v>
      </c>
      <c r="K30" s="108">
        <f t="shared" si="2"/>
        <v>0</v>
      </c>
      <c r="L30" s="111" t="s">
        <v>1671</v>
      </c>
      <c r="Z30" s="100">
        <f t="shared" si="3"/>
        <v>0</v>
      </c>
      <c r="AB30" s="100">
        <f t="shared" si="4"/>
        <v>0</v>
      </c>
      <c r="AC30" s="100">
        <f t="shared" si="5"/>
        <v>0</v>
      </c>
      <c r="AD30" s="100">
        <f t="shared" si="6"/>
        <v>0</v>
      </c>
      <c r="AE30" s="100">
        <f t="shared" si="7"/>
        <v>0</v>
      </c>
      <c r="AF30" s="100">
        <f t="shared" si="8"/>
        <v>0</v>
      </c>
      <c r="AG30" s="100">
        <f t="shared" si="9"/>
        <v>0</v>
      </c>
      <c r="AH30" s="100">
        <f t="shared" si="10"/>
        <v>0</v>
      </c>
      <c r="AI30" s="109"/>
      <c r="AJ30" s="108">
        <f t="shared" si="11"/>
        <v>0</v>
      </c>
      <c r="AK30" s="108">
        <f t="shared" si="12"/>
        <v>0</v>
      </c>
      <c r="AL30" s="108">
        <f t="shared" si="13"/>
        <v>0</v>
      </c>
      <c r="AN30" s="100">
        <v>15</v>
      </c>
      <c r="AO30" s="100">
        <f>H30*0.578269332038759</f>
        <v>0</v>
      </c>
      <c r="AP30" s="100">
        <f>H30*(1-0.578269332038759)</f>
        <v>0</v>
      </c>
      <c r="AQ30" s="111" t="s">
        <v>7</v>
      </c>
      <c r="AV30" s="100">
        <f t="shared" si="14"/>
        <v>0</v>
      </c>
      <c r="AW30" s="100">
        <f t="shared" si="15"/>
        <v>0</v>
      </c>
      <c r="AX30" s="100">
        <f t="shared" si="16"/>
        <v>0</v>
      </c>
      <c r="AY30" s="110" t="s">
        <v>1693</v>
      </c>
      <c r="AZ30" s="110" t="s">
        <v>1728</v>
      </c>
      <c r="BA30" s="109" t="s">
        <v>1737</v>
      </c>
      <c r="BC30" s="100">
        <f t="shared" si="17"/>
        <v>0</v>
      </c>
      <c r="BD30" s="100">
        <f t="shared" si="18"/>
        <v>0</v>
      </c>
      <c r="BE30" s="100">
        <v>0</v>
      </c>
      <c r="BF30" s="100">
        <f>30</f>
        <v>30</v>
      </c>
      <c r="BH30" s="108">
        <f t="shared" si="19"/>
        <v>0</v>
      </c>
      <c r="BI30" s="108">
        <f t="shared" si="20"/>
        <v>0</v>
      </c>
      <c r="BJ30" s="108">
        <f t="shared" si="21"/>
        <v>0</v>
      </c>
    </row>
    <row r="31" spans="1:62" x14ac:dyDescent="0.2">
      <c r="A31" s="117" t="s">
        <v>20</v>
      </c>
      <c r="B31" s="117" t="s">
        <v>608</v>
      </c>
      <c r="C31" s="304" t="s">
        <v>4426</v>
      </c>
      <c r="D31" s="305"/>
      <c r="E31" s="305"/>
      <c r="F31" s="117" t="s">
        <v>1645</v>
      </c>
      <c r="G31" s="116">
        <v>102.908</v>
      </c>
      <c r="H31" s="159"/>
      <c r="I31" s="108">
        <f t="shared" si="0"/>
        <v>0</v>
      </c>
      <c r="J31" s="108">
        <f t="shared" si="1"/>
        <v>0</v>
      </c>
      <c r="K31" s="108">
        <f t="shared" si="2"/>
        <v>0</v>
      </c>
      <c r="L31" s="111" t="s">
        <v>1671</v>
      </c>
      <c r="Z31" s="100">
        <f t="shared" si="3"/>
        <v>0</v>
      </c>
      <c r="AB31" s="100">
        <f t="shared" si="4"/>
        <v>0</v>
      </c>
      <c r="AC31" s="100">
        <f t="shared" si="5"/>
        <v>0</v>
      </c>
      <c r="AD31" s="100">
        <f t="shared" si="6"/>
        <v>0</v>
      </c>
      <c r="AE31" s="100">
        <f t="shared" si="7"/>
        <v>0</v>
      </c>
      <c r="AF31" s="100">
        <f t="shared" si="8"/>
        <v>0</v>
      </c>
      <c r="AG31" s="100">
        <f t="shared" si="9"/>
        <v>0</v>
      </c>
      <c r="AH31" s="100">
        <f t="shared" si="10"/>
        <v>0</v>
      </c>
      <c r="AI31" s="109"/>
      <c r="AJ31" s="108">
        <f t="shared" si="11"/>
        <v>0</v>
      </c>
      <c r="AK31" s="108">
        <f t="shared" si="12"/>
        <v>0</v>
      </c>
      <c r="AL31" s="108">
        <f t="shared" si="13"/>
        <v>0</v>
      </c>
      <c r="AN31" s="100">
        <v>15</v>
      </c>
      <c r="AO31" s="100">
        <f>H31*0.578269341264061</f>
        <v>0</v>
      </c>
      <c r="AP31" s="100">
        <f>H31*(1-0.578269341264061)</f>
        <v>0</v>
      </c>
      <c r="AQ31" s="111" t="s">
        <v>7</v>
      </c>
      <c r="AV31" s="100">
        <f t="shared" si="14"/>
        <v>0</v>
      </c>
      <c r="AW31" s="100">
        <f t="shared" si="15"/>
        <v>0</v>
      </c>
      <c r="AX31" s="100">
        <f t="shared" si="16"/>
        <v>0</v>
      </c>
      <c r="AY31" s="110" t="s">
        <v>1693</v>
      </c>
      <c r="AZ31" s="110" t="s">
        <v>1728</v>
      </c>
      <c r="BA31" s="109" t="s">
        <v>1737</v>
      </c>
      <c r="BC31" s="100">
        <f t="shared" si="17"/>
        <v>0</v>
      </c>
      <c r="BD31" s="100">
        <f t="shared" si="18"/>
        <v>0</v>
      </c>
      <c r="BE31" s="100">
        <v>0</v>
      </c>
      <c r="BF31" s="100">
        <f>31</f>
        <v>31</v>
      </c>
      <c r="BH31" s="108">
        <f t="shared" si="19"/>
        <v>0</v>
      </c>
      <c r="BI31" s="108">
        <f t="shared" si="20"/>
        <v>0</v>
      </c>
      <c r="BJ31" s="108">
        <f t="shared" si="21"/>
        <v>0</v>
      </c>
    </row>
    <row r="32" spans="1:62" x14ac:dyDescent="0.2">
      <c r="A32" s="117" t="s">
        <v>21</v>
      </c>
      <c r="B32" s="117" t="s">
        <v>608</v>
      </c>
      <c r="C32" s="304" t="s">
        <v>4425</v>
      </c>
      <c r="D32" s="305"/>
      <c r="E32" s="305"/>
      <c r="F32" s="117" t="s">
        <v>1645</v>
      </c>
      <c r="G32" s="116">
        <v>15.743</v>
      </c>
      <c r="H32" s="159"/>
      <c r="I32" s="108">
        <f t="shared" si="0"/>
        <v>0</v>
      </c>
      <c r="J32" s="108">
        <f t="shared" si="1"/>
        <v>0</v>
      </c>
      <c r="K32" s="108">
        <f t="shared" si="2"/>
        <v>0</v>
      </c>
      <c r="L32" s="111" t="s">
        <v>1671</v>
      </c>
      <c r="Z32" s="100">
        <f t="shared" si="3"/>
        <v>0</v>
      </c>
      <c r="AB32" s="100">
        <f t="shared" si="4"/>
        <v>0</v>
      </c>
      <c r="AC32" s="100">
        <f t="shared" si="5"/>
        <v>0</v>
      </c>
      <c r="AD32" s="100">
        <f t="shared" si="6"/>
        <v>0</v>
      </c>
      <c r="AE32" s="100">
        <f t="shared" si="7"/>
        <v>0</v>
      </c>
      <c r="AF32" s="100">
        <f t="shared" si="8"/>
        <v>0</v>
      </c>
      <c r="AG32" s="100">
        <f t="shared" si="9"/>
        <v>0</v>
      </c>
      <c r="AH32" s="100">
        <f t="shared" si="10"/>
        <v>0</v>
      </c>
      <c r="AI32" s="109"/>
      <c r="AJ32" s="108">
        <f t="shared" si="11"/>
        <v>0</v>
      </c>
      <c r="AK32" s="108">
        <f t="shared" si="12"/>
        <v>0</v>
      </c>
      <c r="AL32" s="108">
        <f t="shared" si="13"/>
        <v>0</v>
      </c>
      <c r="AN32" s="100">
        <v>15</v>
      </c>
      <c r="AO32" s="100">
        <f>H32*0.578269140802579</f>
        <v>0</v>
      </c>
      <c r="AP32" s="100">
        <f>H32*(1-0.578269140802579)</f>
        <v>0</v>
      </c>
      <c r="AQ32" s="111" t="s">
        <v>7</v>
      </c>
      <c r="AV32" s="100">
        <f t="shared" si="14"/>
        <v>0</v>
      </c>
      <c r="AW32" s="100">
        <f t="shared" si="15"/>
        <v>0</v>
      </c>
      <c r="AX32" s="100">
        <f t="shared" si="16"/>
        <v>0</v>
      </c>
      <c r="AY32" s="110" t="s">
        <v>1693</v>
      </c>
      <c r="AZ32" s="110" t="s">
        <v>1728</v>
      </c>
      <c r="BA32" s="109" t="s">
        <v>1737</v>
      </c>
      <c r="BC32" s="100">
        <f t="shared" si="17"/>
        <v>0</v>
      </c>
      <c r="BD32" s="100">
        <f t="shared" si="18"/>
        <v>0</v>
      </c>
      <c r="BE32" s="100">
        <v>0</v>
      </c>
      <c r="BF32" s="100">
        <f>32</f>
        <v>32</v>
      </c>
      <c r="BH32" s="108">
        <f t="shared" si="19"/>
        <v>0</v>
      </c>
      <c r="BI32" s="108">
        <f t="shared" si="20"/>
        <v>0</v>
      </c>
      <c r="BJ32" s="108">
        <f t="shared" si="21"/>
        <v>0</v>
      </c>
    </row>
    <row r="33" spans="1:62" x14ac:dyDescent="0.2">
      <c r="A33" s="117" t="s">
        <v>22</v>
      </c>
      <c r="B33" s="117" t="s">
        <v>4424</v>
      </c>
      <c r="C33" s="304" t="s">
        <v>4423</v>
      </c>
      <c r="D33" s="305"/>
      <c r="E33" s="305"/>
      <c r="F33" s="117" t="s">
        <v>1645</v>
      </c>
      <c r="G33" s="116">
        <v>0.45</v>
      </c>
      <c r="H33" s="159"/>
      <c r="I33" s="108">
        <f t="shared" si="0"/>
        <v>0</v>
      </c>
      <c r="J33" s="108">
        <f t="shared" si="1"/>
        <v>0</v>
      </c>
      <c r="K33" s="108">
        <f t="shared" si="2"/>
        <v>0</v>
      </c>
      <c r="L33" s="111" t="s">
        <v>1671</v>
      </c>
      <c r="Z33" s="100">
        <f t="shared" si="3"/>
        <v>0</v>
      </c>
      <c r="AB33" s="100">
        <f t="shared" si="4"/>
        <v>0</v>
      </c>
      <c r="AC33" s="100">
        <f t="shared" si="5"/>
        <v>0</v>
      </c>
      <c r="AD33" s="100">
        <f t="shared" si="6"/>
        <v>0</v>
      </c>
      <c r="AE33" s="100">
        <f t="shared" si="7"/>
        <v>0</v>
      </c>
      <c r="AF33" s="100">
        <f t="shared" si="8"/>
        <v>0</v>
      </c>
      <c r="AG33" s="100">
        <f t="shared" si="9"/>
        <v>0</v>
      </c>
      <c r="AH33" s="100">
        <f t="shared" si="10"/>
        <v>0</v>
      </c>
      <c r="AI33" s="109"/>
      <c r="AJ33" s="108">
        <f t="shared" si="11"/>
        <v>0</v>
      </c>
      <c r="AK33" s="108">
        <f t="shared" si="12"/>
        <v>0</v>
      </c>
      <c r="AL33" s="108">
        <f t="shared" si="13"/>
        <v>0</v>
      </c>
      <c r="AN33" s="100">
        <v>15</v>
      </c>
      <c r="AO33" s="100">
        <f>H33*0.638983908045977</f>
        <v>0</v>
      </c>
      <c r="AP33" s="100">
        <f>H33*(1-0.638983908045977)</f>
        <v>0</v>
      </c>
      <c r="AQ33" s="111" t="s">
        <v>7</v>
      </c>
      <c r="AV33" s="100">
        <f t="shared" si="14"/>
        <v>0</v>
      </c>
      <c r="AW33" s="100">
        <f t="shared" si="15"/>
        <v>0</v>
      </c>
      <c r="AX33" s="100">
        <f t="shared" si="16"/>
        <v>0</v>
      </c>
      <c r="AY33" s="110" t="s">
        <v>1693</v>
      </c>
      <c r="AZ33" s="110" t="s">
        <v>1728</v>
      </c>
      <c r="BA33" s="109" t="s">
        <v>1737</v>
      </c>
      <c r="BC33" s="100">
        <f t="shared" si="17"/>
        <v>0</v>
      </c>
      <c r="BD33" s="100">
        <f t="shared" si="18"/>
        <v>0</v>
      </c>
      <c r="BE33" s="100">
        <v>0</v>
      </c>
      <c r="BF33" s="100">
        <f>33</f>
        <v>33</v>
      </c>
      <c r="BH33" s="108">
        <f t="shared" si="19"/>
        <v>0</v>
      </c>
      <c r="BI33" s="108">
        <f t="shared" si="20"/>
        <v>0</v>
      </c>
      <c r="BJ33" s="108">
        <f t="shared" si="21"/>
        <v>0</v>
      </c>
    </row>
    <row r="34" spans="1:62" x14ac:dyDescent="0.2">
      <c r="A34" s="117" t="s">
        <v>23</v>
      </c>
      <c r="B34" s="117" t="s">
        <v>4422</v>
      </c>
      <c r="C34" s="304" t="s">
        <v>4421</v>
      </c>
      <c r="D34" s="305"/>
      <c r="E34" s="305"/>
      <c r="F34" s="117" t="s">
        <v>1645</v>
      </c>
      <c r="G34" s="116">
        <v>559.01300000000003</v>
      </c>
      <c r="H34" s="159"/>
      <c r="I34" s="108">
        <f t="shared" si="0"/>
        <v>0</v>
      </c>
      <c r="J34" s="108">
        <f t="shared" si="1"/>
        <v>0</v>
      </c>
      <c r="K34" s="108">
        <f t="shared" si="2"/>
        <v>0</v>
      </c>
      <c r="L34" s="111" t="s">
        <v>1671</v>
      </c>
      <c r="Z34" s="100">
        <f t="shared" si="3"/>
        <v>0</v>
      </c>
      <c r="AB34" s="100">
        <f t="shared" si="4"/>
        <v>0</v>
      </c>
      <c r="AC34" s="100">
        <f t="shared" si="5"/>
        <v>0</v>
      </c>
      <c r="AD34" s="100">
        <f t="shared" si="6"/>
        <v>0</v>
      </c>
      <c r="AE34" s="100">
        <f t="shared" si="7"/>
        <v>0</v>
      </c>
      <c r="AF34" s="100">
        <f t="shared" si="8"/>
        <v>0</v>
      </c>
      <c r="AG34" s="100">
        <f t="shared" si="9"/>
        <v>0</v>
      </c>
      <c r="AH34" s="100">
        <f t="shared" si="10"/>
        <v>0</v>
      </c>
      <c r="AI34" s="109"/>
      <c r="AJ34" s="108">
        <f t="shared" si="11"/>
        <v>0</v>
      </c>
      <c r="AK34" s="108">
        <f t="shared" si="12"/>
        <v>0</v>
      </c>
      <c r="AL34" s="108">
        <f t="shared" si="13"/>
        <v>0</v>
      </c>
      <c r="AN34" s="100">
        <v>15</v>
      </c>
      <c r="AO34" s="100">
        <f>H34*0.547233159018966</f>
        <v>0</v>
      </c>
      <c r="AP34" s="100">
        <f>H34*(1-0.547233159018966)</f>
        <v>0</v>
      </c>
      <c r="AQ34" s="111" t="s">
        <v>7</v>
      </c>
      <c r="AV34" s="100">
        <f t="shared" si="14"/>
        <v>0</v>
      </c>
      <c r="AW34" s="100">
        <f t="shared" si="15"/>
        <v>0</v>
      </c>
      <c r="AX34" s="100">
        <f t="shared" si="16"/>
        <v>0</v>
      </c>
      <c r="AY34" s="110" t="s">
        <v>1693</v>
      </c>
      <c r="AZ34" s="110" t="s">
        <v>1728</v>
      </c>
      <c r="BA34" s="109" t="s">
        <v>1737</v>
      </c>
      <c r="BC34" s="100">
        <f t="shared" si="17"/>
        <v>0</v>
      </c>
      <c r="BD34" s="100">
        <f t="shared" si="18"/>
        <v>0</v>
      </c>
      <c r="BE34" s="100">
        <v>0</v>
      </c>
      <c r="BF34" s="100">
        <f>34</f>
        <v>34</v>
      </c>
      <c r="BH34" s="108">
        <f t="shared" si="19"/>
        <v>0</v>
      </c>
      <c r="BI34" s="108">
        <f t="shared" si="20"/>
        <v>0</v>
      </c>
      <c r="BJ34" s="108">
        <f t="shared" si="21"/>
        <v>0</v>
      </c>
    </row>
    <row r="35" spans="1:62" x14ac:dyDescent="0.2">
      <c r="A35" s="117" t="s">
        <v>24</v>
      </c>
      <c r="B35" s="117" t="s">
        <v>4420</v>
      </c>
      <c r="C35" s="304" t="s">
        <v>4419</v>
      </c>
      <c r="D35" s="305"/>
      <c r="E35" s="305"/>
      <c r="F35" s="117" t="s">
        <v>1645</v>
      </c>
      <c r="G35" s="116">
        <v>559.01300000000003</v>
      </c>
      <c r="H35" s="159"/>
      <c r="I35" s="108">
        <f t="shared" si="0"/>
        <v>0</v>
      </c>
      <c r="J35" s="108">
        <f t="shared" si="1"/>
        <v>0</v>
      </c>
      <c r="K35" s="108">
        <f t="shared" si="2"/>
        <v>0</v>
      </c>
      <c r="L35" s="111" t="s">
        <v>1671</v>
      </c>
      <c r="Z35" s="100">
        <f t="shared" si="3"/>
        <v>0</v>
      </c>
      <c r="AB35" s="100">
        <f t="shared" si="4"/>
        <v>0</v>
      </c>
      <c r="AC35" s="100">
        <f t="shared" si="5"/>
        <v>0</v>
      </c>
      <c r="AD35" s="100">
        <f t="shared" si="6"/>
        <v>0</v>
      </c>
      <c r="AE35" s="100">
        <f t="shared" si="7"/>
        <v>0</v>
      </c>
      <c r="AF35" s="100">
        <f t="shared" si="8"/>
        <v>0</v>
      </c>
      <c r="AG35" s="100">
        <f t="shared" si="9"/>
        <v>0</v>
      </c>
      <c r="AH35" s="100">
        <f t="shared" si="10"/>
        <v>0</v>
      </c>
      <c r="AI35" s="109"/>
      <c r="AJ35" s="108">
        <f t="shared" si="11"/>
        <v>0</v>
      </c>
      <c r="AK35" s="108">
        <f t="shared" si="12"/>
        <v>0</v>
      </c>
      <c r="AL35" s="108">
        <f t="shared" si="13"/>
        <v>0</v>
      </c>
      <c r="AN35" s="100">
        <v>15</v>
      </c>
      <c r="AO35" s="100">
        <f>H35*0.519305208612983</f>
        <v>0</v>
      </c>
      <c r="AP35" s="100">
        <f>H35*(1-0.519305208612983)</f>
        <v>0</v>
      </c>
      <c r="AQ35" s="111" t="s">
        <v>7</v>
      </c>
      <c r="AV35" s="100">
        <f t="shared" si="14"/>
        <v>0</v>
      </c>
      <c r="AW35" s="100">
        <f t="shared" si="15"/>
        <v>0</v>
      </c>
      <c r="AX35" s="100">
        <f t="shared" si="16"/>
        <v>0</v>
      </c>
      <c r="AY35" s="110" t="s">
        <v>1693</v>
      </c>
      <c r="AZ35" s="110" t="s">
        <v>1728</v>
      </c>
      <c r="BA35" s="109" t="s">
        <v>1737</v>
      </c>
      <c r="BC35" s="100">
        <f t="shared" si="17"/>
        <v>0</v>
      </c>
      <c r="BD35" s="100">
        <f t="shared" si="18"/>
        <v>0</v>
      </c>
      <c r="BE35" s="100">
        <v>0</v>
      </c>
      <c r="BF35" s="100">
        <f>35</f>
        <v>35</v>
      </c>
      <c r="BH35" s="108">
        <f t="shared" si="19"/>
        <v>0</v>
      </c>
      <c r="BI35" s="108">
        <f t="shared" si="20"/>
        <v>0</v>
      </c>
      <c r="BJ35" s="108">
        <f t="shared" si="21"/>
        <v>0</v>
      </c>
    </row>
    <row r="36" spans="1:62" x14ac:dyDescent="0.2">
      <c r="A36" s="117" t="s">
        <v>25</v>
      </c>
      <c r="B36" s="117" t="s">
        <v>4418</v>
      </c>
      <c r="C36" s="304" t="s">
        <v>4417</v>
      </c>
      <c r="D36" s="305"/>
      <c r="E36" s="305"/>
      <c r="F36" s="117" t="s">
        <v>1645</v>
      </c>
      <c r="G36" s="116">
        <v>15.743</v>
      </c>
      <c r="H36" s="159"/>
      <c r="I36" s="108">
        <f t="shared" si="0"/>
        <v>0</v>
      </c>
      <c r="J36" s="108">
        <f t="shared" si="1"/>
        <v>0</v>
      </c>
      <c r="K36" s="108">
        <f t="shared" si="2"/>
        <v>0</v>
      </c>
      <c r="L36" s="111" t="s">
        <v>1671</v>
      </c>
      <c r="Z36" s="100">
        <f t="shared" si="3"/>
        <v>0</v>
      </c>
      <c r="AB36" s="100">
        <f t="shared" si="4"/>
        <v>0</v>
      </c>
      <c r="AC36" s="100">
        <f t="shared" si="5"/>
        <v>0</v>
      </c>
      <c r="AD36" s="100">
        <f t="shared" si="6"/>
        <v>0</v>
      </c>
      <c r="AE36" s="100">
        <f t="shared" si="7"/>
        <v>0</v>
      </c>
      <c r="AF36" s="100">
        <f t="shared" si="8"/>
        <v>0</v>
      </c>
      <c r="AG36" s="100">
        <f t="shared" si="9"/>
        <v>0</v>
      </c>
      <c r="AH36" s="100">
        <f t="shared" si="10"/>
        <v>0</v>
      </c>
      <c r="AI36" s="109"/>
      <c r="AJ36" s="108">
        <f t="shared" si="11"/>
        <v>0</v>
      </c>
      <c r="AK36" s="108">
        <f t="shared" si="12"/>
        <v>0</v>
      </c>
      <c r="AL36" s="108">
        <f t="shared" si="13"/>
        <v>0</v>
      </c>
      <c r="AN36" s="100">
        <v>15</v>
      </c>
      <c r="AO36" s="100">
        <f>H36*0.0594483946640781</f>
        <v>0</v>
      </c>
      <c r="AP36" s="100">
        <f>H36*(1-0.0594483946640781)</f>
        <v>0</v>
      </c>
      <c r="AQ36" s="111" t="s">
        <v>7</v>
      </c>
      <c r="AV36" s="100">
        <f t="shared" si="14"/>
        <v>0</v>
      </c>
      <c r="AW36" s="100">
        <f t="shared" si="15"/>
        <v>0</v>
      </c>
      <c r="AX36" s="100">
        <f t="shared" si="16"/>
        <v>0</v>
      </c>
      <c r="AY36" s="110" t="s">
        <v>1693</v>
      </c>
      <c r="AZ36" s="110" t="s">
        <v>1728</v>
      </c>
      <c r="BA36" s="109" t="s">
        <v>1737</v>
      </c>
      <c r="BC36" s="100">
        <f t="shared" si="17"/>
        <v>0</v>
      </c>
      <c r="BD36" s="100">
        <f t="shared" si="18"/>
        <v>0</v>
      </c>
      <c r="BE36" s="100">
        <v>0</v>
      </c>
      <c r="BF36" s="100">
        <f>36</f>
        <v>36</v>
      </c>
      <c r="BH36" s="108">
        <f t="shared" si="19"/>
        <v>0</v>
      </c>
      <c r="BI36" s="108">
        <f t="shared" si="20"/>
        <v>0</v>
      </c>
      <c r="BJ36" s="108">
        <f t="shared" si="21"/>
        <v>0</v>
      </c>
    </row>
    <row r="37" spans="1:62" x14ac:dyDescent="0.2">
      <c r="A37" s="117" t="s">
        <v>26</v>
      </c>
      <c r="B37" s="117" t="s">
        <v>4416</v>
      </c>
      <c r="C37" s="304" t="s">
        <v>4415</v>
      </c>
      <c r="D37" s="305"/>
      <c r="E37" s="305"/>
      <c r="F37" s="117" t="s">
        <v>1645</v>
      </c>
      <c r="G37" s="116">
        <v>31.071999999999999</v>
      </c>
      <c r="H37" s="159"/>
      <c r="I37" s="108">
        <f t="shared" si="0"/>
        <v>0</v>
      </c>
      <c r="J37" s="108">
        <f t="shared" si="1"/>
        <v>0</v>
      </c>
      <c r="K37" s="108">
        <f t="shared" si="2"/>
        <v>0</v>
      </c>
      <c r="L37" s="111" t="s">
        <v>1671</v>
      </c>
      <c r="Z37" s="100">
        <f t="shared" si="3"/>
        <v>0</v>
      </c>
      <c r="AB37" s="100">
        <f t="shared" si="4"/>
        <v>0</v>
      </c>
      <c r="AC37" s="100">
        <f t="shared" si="5"/>
        <v>0</v>
      </c>
      <c r="AD37" s="100">
        <f t="shared" si="6"/>
        <v>0</v>
      </c>
      <c r="AE37" s="100">
        <f t="shared" si="7"/>
        <v>0</v>
      </c>
      <c r="AF37" s="100">
        <f t="shared" si="8"/>
        <v>0</v>
      </c>
      <c r="AG37" s="100">
        <f t="shared" si="9"/>
        <v>0</v>
      </c>
      <c r="AH37" s="100">
        <f t="shared" si="10"/>
        <v>0</v>
      </c>
      <c r="AI37" s="109"/>
      <c r="AJ37" s="108">
        <f t="shared" si="11"/>
        <v>0</v>
      </c>
      <c r="AK37" s="108">
        <f t="shared" si="12"/>
        <v>0</v>
      </c>
      <c r="AL37" s="108">
        <f t="shared" si="13"/>
        <v>0</v>
      </c>
      <c r="AN37" s="100">
        <v>15</v>
      </c>
      <c r="AO37" s="100">
        <f>H37*0.504683760683761</f>
        <v>0</v>
      </c>
      <c r="AP37" s="100">
        <f>H37*(1-0.504683760683761)</f>
        <v>0</v>
      </c>
      <c r="AQ37" s="111" t="s">
        <v>7</v>
      </c>
      <c r="AV37" s="100">
        <f t="shared" si="14"/>
        <v>0</v>
      </c>
      <c r="AW37" s="100">
        <f t="shared" si="15"/>
        <v>0</v>
      </c>
      <c r="AX37" s="100">
        <f t="shared" si="16"/>
        <v>0</v>
      </c>
      <c r="AY37" s="110" t="s">
        <v>1693</v>
      </c>
      <c r="AZ37" s="110" t="s">
        <v>1728</v>
      </c>
      <c r="BA37" s="109" t="s">
        <v>1737</v>
      </c>
      <c r="BC37" s="100">
        <f t="shared" si="17"/>
        <v>0</v>
      </c>
      <c r="BD37" s="100">
        <f t="shared" si="18"/>
        <v>0</v>
      </c>
      <c r="BE37" s="100">
        <v>0</v>
      </c>
      <c r="BF37" s="100">
        <f>37</f>
        <v>37</v>
      </c>
      <c r="BH37" s="108">
        <f t="shared" si="19"/>
        <v>0</v>
      </c>
      <c r="BI37" s="108">
        <f t="shared" si="20"/>
        <v>0</v>
      </c>
      <c r="BJ37" s="108">
        <f t="shared" si="21"/>
        <v>0</v>
      </c>
    </row>
    <row r="38" spans="1:62" x14ac:dyDescent="0.2">
      <c r="A38" s="117" t="s">
        <v>27</v>
      </c>
      <c r="B38" s="117" t="s">
        <v>623</v>
      </c>
      <c r="C38" s="304" t="s">
        <v>4414</v>
      </c>
      <c r="D38" s="305"/>
      <c r="E38" s="305"/>
      <c r="F38" s="117" t="s">
        <v>1645</v>
      </c>
      <c r="G38" s="116">
        <v>591.94500000000005</v>
      </c>
      <c r="H38" s="159"/>
      <c r="I38" s="108">
        <f t="shared" si="0"/>
        <v>0</v>
      </c>
      <c r="J38" s="108">
        <f t="shared" si="1"/>
        <v>0</v>
      </c>
      <c r="K38" s="108">
        <f t="shared" si="2"/>
        <v>0</v>
      </c>
      <c r="L38" s="111" t="s">
        <v>1671</v>
      </c>
      <c r="Z38" s="100">
        <f t="shared" si="3"/>
        <v>0</v>
      </c>
      <c r="AB38" s="100">
        <f t="shared" si="4"/>
        <v>0</v>
      </c>
      <c r="AC38" s="100">
        <f t="shared" si="5"/>
        <v>0</v>
      </c>
      <c r="AD38" s="100">
        <f t="shared" si="6"/>
        <v>0</v>
      </c>
      <c r="AE38" s="100">
        <f t="shared" si="7"/>
        <v>0</v>
      </c>
      <c r="AF38" s="100">
        <f t="shared" si="8"/>
        <v>0</v>
      </c>
      <c r="AG38" s="100">
        <f t="shared" si="9"/>
        <v>0</v>
      </c>
      <c r="AH38" s="100">
        <f t="shared" si="10"/>
        <v>0</v>
      </c>
      <c r="AI38" s="109"/>
      <c r="AJ38" s="108">
        <f t="shared" si="11"/>
        <v>0</v>
      </c>
      <c r="AK38" s="108">
        <f t="shared" si="12"/>
        <v>0</v>
      </c>
      <c r="AL38" s="108">
        <f t="shared" si="13"/>
        <v>0</v>
      </c>
      <c r="AN38" s="100">
        <v>15</v>
      </c>
      <c r="AO38" s="100">
        <f>H38*0</f>
        <v>0</v>
      </c>
      <c r="AP38" s="100">
        <f>H38*(1-0)</f>
        <v>0</v>
      </c>
      <c r="AQ38" s="111" t="s">
        <v>7</v>
      </c>
      <c r="AV38" s="100">
        <f t="shared" si="14"/>
        <v>0</v>
      </c>
      <c r="AW38" s="100">
        <f t="shared" si="15"/>
        <v>0</v>
      </c>
      <c r="AX38" s="100">
        <f t="shared" si="16"/>
        <v>0</v>
      </c>
      <c r="AY38" s="110" t="s">
        <v>1693</v>
      </c>
      <c r="AZ38" s="110" t="s">
        <v>1728</v>
      </c>
      <c r="BA38" s="109" t="s">
        <v>1737</v>
      </c>
      <c r="BC38" s="100">
        <f t="shared" si="17"/>
        <v>0</v>
      </c>
      <c r="BD38" s="100">
        <f t="shared" si="18"/>
        <v>0</v>
      </c>
      <c r="BE38" s="100">
        <v>0</v>
      </c>
      <c r="BF38" s="100">
        <f>38</f>
        <v>38</v>
      </c>
      <c r="BH38" s="108">
        <f t="shared" si="19"/>
        <v>0</v>
      </c>
      <c r="BI38" s="108">
        <f t="shared" si="20"/>
        <v>0</v>
      </c>
      <c r="BJ38" s="108">
        <f t="shared" si="21"/>
        <v>0</v>
      </c>
    </row>
    <row r="39" spans="1:62" x14ac:dyDescent="0.2">
      <c r="A39" s="117" t="s">
        <v>28</v>
      </c>
      <c r="B39" s="117" t="s">
        <v>623</v>
      </c>
      <c r="C39" s="304" t="s">
        <v>4413</v>
      </c>
      <c r="D39" s="305"/>
      <c r="E39" s="305"/>
      <c r="F39" s="117" t="s">
        <v>1645</v>
      </c>
      <c r="G39" s="116">
        <v>76.945999999999998</v>
      </c>
      <c r="H39" s="159"/>
      <c r="I39" s="108">
        <f t="shared" si="0"/>
        <v>0</v>
      </c>
      <c r="J39" s="108">
        <f t="shared" si="1"/>
        <v>0</v>
      </c>
      <c r="K39" s="108">
        <f t="shared" si="2"/>
        <v>0</v>
      </c>
      <c r="L39" s="111" t="s">
        <v>1671</v>
      </c>
      <c r="Z39" s="100">
        <f t="shared" si="3"/>
        <v>0</v>
      </c>
      <c r="AB39" s="100">
        <f t="shared" si="4"/>
        <v>0</v>
      </c>
      <c r="AC39" s="100">
        <f t="shared" si="5"/>
        <v>0</v>
      </c>
      <c r="AD39" s="100">
        <f t="shared" si="6"/>
        <v>0</v>
      </c>
      <c r="AE39" s="100">
        <f t="shared" si="7"/>
        <v>0</v>
      </c>
      <c r="AF39" s="100">
        <f t="shared" si="8"/>
        <v>0</v>
      </c>
      <c r="AG39" s="100">
        <f t="shared" si="9"/>
        <v>0</v>
      </c>
      <c r="AH39" s="100">
        <f t="shared" si="10"/>
        <v>0</v>
      </c>
      <c r="AI39" s="109"/>
      <c r="AJ39" s="108">
        <f t="shared" si="11"/>
        <v>0</v>
      </c>
      <c r="AK39" s="108">
        <f t="shared" si="12"/>
        <v>0</v>
      </c>
      <c r="AL39" s="108">
        <f t="shared" si="13"/>
        <v>0</v>
      </c>
      <c r="AN39" s="100">
        <v>15</v>
      </c>
      <c r="AO39" s="100">
        <f>H39*0</f>
        <v>0</v>
      </c>
      <c r="AP39" s="100">
        <f>H39*(1-0)</f>
        <v>0</v>
      </c>
      <c r="AQ39" s="111" t="s">
        <v>7</v>
      </c>
      <c r="AV39" s="100">
        <f t="shared" si="14"/>
        <v>0</v>
      </c>
      <c r="AW39" s="100">
        <f t="shared" si="15"/>
        <v>0</v>
      </c>
      <c r="AX39" s="100">
        <f t="shared" si="16"/>
        <v>0</v>
      </c>
      <c r="AY39" s="110" t="s">
        <v>1693</v>
      </c>
      <c r="AZ39" s="110" t="s">
        <v>1728</v>
      </c>
      <c r="BA39" s="109" t="s">
        <v>1737</v>
      </c>
      <c r="BC39" s="100">
        <f t="shared" si="17"/>
        <v>0</v>
      </c>
      <c r="BD39" s="100">
        <f t="shared" si="18"/>
        <v>0</v>
      </c>
      <c r="BE39" s="100">
        <v>0</v>
      </c>
      <c r="BF39" s="100">
        <f>39</f>
        <v>39</v>
      </c>
      <c r="BH39" s="108">
        <f t="shared" si="19"/>
        <v>0</v>
      </c>
      <c r="BI39" s="108">
        <f t="shared" si="20"/>
        <v>0</v>
      </c>
      <c r="BJ39" s="108">
        <f t="shared" si="21"/>
        <v>0</v>
      </c>
    </row>
    <row r="40" spans="1:62" x14ac:dyDescent="0.2">
      <c r="A40" s="117" t="s">
        <v>29</v>
      </c>
      <c r="B40" s="117" t="s">
        <v>624</v>
      </c>
      <c r="C40" s="304" t="s">
        <v>4412</v>
      </c>
      <c r="D40" s="305"/>
      <c r="E40" s="305"/>
      <c r="F40" s="117" t="s">
        <v>1645</v>
      </c>
      <c r="G40" s="116">
        <v>591.94500000000005</v>
      </c>
      <c r="H40" s="159"/>
      <c r="I40" s="108">
        <f t="shared" si="0"/>
        <v>0</v>
      </c>
      <c r="J40" s="108">
        <f t="shared" si="1"/>
        <v>0</v>
      </c>
      <c r="K40" s="108">
        <f t="shared" si="2"/>
        <v>0</v>
      </c>
      <c r="L40" s="111" t="s">
        <v>1671</v>
      </c>
      <c r="Z40" s="100">
        <f t="shared" si="3"/>
        <v>0</v>
      </c>
      <c r="AB40" s="100">
        <f t="shared" si="4"/>
        <v>0</v>
      </c>
      <c r="AC40" s="100">
        <f t="shared" si="5"/>
        <v>0</v>
      </c>
      <c r="AD40" s="100">
        <f t="shared" si="6"/>
        <v>0</v>
      </c>
      <c r="AE40" s="100">
        <f t="shared" si="7"/>
        <v>0</v>
      </c>
      <c r="AF40" s="100">
        <f t="shared" si="8"/>
        <v>0</v>
      </c>
      <c r="AG40" s="100">
        <f t="shared" si="9"/>
        <v>0</v>
      </c>
      <c r="AH40" s="100">
        <f t="shared" si="10"/>
        <v>0</v>
      </c>
      <c r="AI40" s="109"/>
      <c r="AJ40" s="108">
        <f t="shared" si="11"/>
        <v>0</v>
      </c>
      <c r="AK40" s="108">
        <f t="shared" si="12"/>
        <v>0</v>
      </c>
      <c r="AL40" s="108">
        <f t="shared" si="13"/>
        <v>0</v>
      </c>
      <c r="AN40" s="100">
        <v>15</v>
      </c>
      <c r="AO40" s="100">
        <f>H40*0.065540548021667</f>
        <v>0</v>
      </c>
      <c r="AP40" s="100">
        <f>H40*(1-0.065540548021667)</f>
        <v>0</v>
      </c>
      <c r="AQ40" s="111" t="s">
        <v>7</v>
      </c>
      <c r="AV40" s="100">
        <f t="shared" si="14"/>
        <v>0</v>
      </c>
      <c r="AW40" s="100">
        <f t="shared" si="15"/>
        <v>0</v>
      </c>
      <c r="AX40" s="100">
        <f t="shared" si="16"/>
        <v>0</v>
      </c>
      <c r="AY40" s="110" t="s">
        <v>1693</v>
      </c>
      <c r="AZ40" s="110" t="s">
        <v>1728</v>
      </c>
      <c r="BA40" s="109" t="s">
        <v>1737</v>
      </c>
      <c r="BC40" s="100">
        <f t="shared" si="17"/>
        <v>0</v>
      </c>
      <c r="BD40" s="100">
        <f t="shared" si="18"/>
        <v>0</v>
      </c>
      <c r="BE40" s="100">
        <v>0</v>
      </c>
      <c r="BF40" s="100">
        <f>40</f>
        <v>40</v>
      </c>
      <c r="BH40" s="108">
        <f t="shared" si="19"/>
        <v>0</v>
      </c>
      <c r="BI40" s="108">
        <f t="shared" si="20"/>
        <v>0</v>
      </c>
      <c r="BJ40" s="108">
        <f t="shared" si="21"/>
        <v>0</v>
      </c>
    </row>
    <row r="41" spans="1:62" x14ac:dyDescent="0.2">
      <c r="A41" s="117" t="s">
        <v>30</v>
      </c>
      <c r="B41" s="117" t="s">
        <v>624</v>
      </c>
      <c r="C41" s="304" t="s">
        <v>4411</v>
      </c>
      <c r="D41" s="305"/>
      <c r="E41" s="305"/>
      <c r="F41" s="117" t="s">
        <v>1645</v>
      </c>
      <c r="G41" s="116">
        <v>76.945999999999998</v>
      </c>
      <c r="H41" s="159"/>
      <c r="I41" s="108">
        <f t="shared" si="0"/>
        <v>0</v>
      </c>
      <c r="J41" s="108">
        <f t="shared" si="1"/>
        <v>0</v>
      </c>
      <c r="K41" s="108">
        <f t="shared" si="2"/>
        <v>0</v>
      </c>
      <c r="L41" s="111" t="s">
        <v>1671</v>
      </c>
      <c r="Z41" s="100">
        <f t="shared" si="3"/>
        <v>0</v>
      </c>
      <c r="AB41" s="100">
        <f t="shared" si="4"/>
        <v>0</v>
      </c>
      <c r="AC41" s="100">
        <f t="shared" si="5"/>
        <v>0</v>
      </c>
      <c r="AD41" s="100">
        <f t="shared" si="6"/>
        <v>0</v>
      </c>
      <c r="AE41" s="100">
        <f t="shared" si="7"/>
        <v>0</v>
      </c>
      <c r="AF41" s="100">
        <f t="shared" si="8"/>
        <v>0</v>
      </c>
      <c r="AG41" s="100">
        <f t="shared" si="9"/>
        <v>0</v>
      </c>
      <c r="AH41" s="100">
        <f t="shared" si="10"/>
        <v>0</v>
      </c>
      <c r="AI41" s="109"/>
      <c r="AJ41" s="108">
        <f t="shared" si="11"/>
        <v>0</v>
      </c>
      <c r="AK41" s="108">
        <f t="shared" si="12"/>
        <v>0</v>
      </c>
      <c r="AL41" s="108">
        <f t="shared" si="13"/>
        <v>0</v>
      </c>
      <c r="AN41" s="100">
        <v>15</v>
      </c>
      <c r="AO41" s="100">
        <f>H41*0.0655405865823674</f>
        <v>0</v>
      </c>
      <c r="AP41" s="100">
        <f>H41*(1-0.0655405865823674)</f>
        <v>0</v>
      </c>
      <c r="AQ41" s="111" t="s">
        <v>7</v>
      </c>
      <c r="AV41" s="100">
        <f t="shared" si="14"/>
        <v>0</v>
      </c>
      <c r="AW41" s="100">
        <f t="shared" si="15"/>
        <v>0</v>
      </c>
      <c r="AX41" s="100">
        <f t="shared" si="16"/>
        <v>0</v>
      </c>
      <c r="AY41" s="110" t="s">
        <v>1693</v>
      </c>
      <c r="AZ41" s="110" t="s">
        <v>1728</v>
      </c>
      <c r="BA41" s="109" t="s">
        <v>1737</v>
      </c>
      <c r="BC41" s="100">
        <f t="shared" si="17"/>
        <v>0</v>
      </c>
      <c r="BD41" s="100">
        <f t="shared" si="18"/>
        <v>0</v>
      </c>
      <c r="BE41" s="100">
        <v>0</v>
      </c>
      <c r="BF41" s="100">
        <f>41</f>
        <v>41</v>
      </c>
      <c r="BH41" s="108">
        <f t="shared" si="19"/>
        <v>0</v>
      </c>
      <c r="BI41" s="108">
        <f t="shared" si="20"/>
        <v>0</v>
      </c>
      <c r="BJ41" s="108">
        <f t="shared" si="21"/>
        <v>0</v>
      </c>
    </row>
    <row r="42" spans="1:62" x14ac:dyDescent="0.2">
      <c r="A42" s="117" t="s">
        <v>31</v>
      </c>
      <c r="B42" s="117" t="s">
        <v>625</v>
      </c>
      <c r="C42" s="304" t="s">
        <v>4410</v>
      </c>
      <c r="D42" s="305"/>
      <c r="E42" s="305"/>
      <c r="F42" s="117" t="s">
        <v>1645</v>
      </c>
      <c r="G42" s="116">
        <v>295.97300000000001</v>
      </c>
      <c r="H42" s="159"/>
      <c r="I42" s="108">
        <f t="shared" si="0"/>
        <v>0</v>
      </c>
      <c r="J42" s="108">
        <f t="shared" si="1"/>
        <v>0</v>
      </c>
      <c r="K42" s="108">
        <f t="shared" si="2"/>
        <v>0</v>
      </c>
      <c r="L42" s="111" t="s">
        <v>1671</v>
      </c>
      <c r="Z42" s="100">
        <f t="shared" si="3"/>
        <v>0</v>
      </c>
      <c r="AB42" s="100">
        <f t="shared" si="4"/>
        <v>0</v>
      </c>
      <c r="AC42" s="100">
        <f t="shared" si="5"/>
        <v>0</v>
      </c>
      <c r="AD42" s="100">
        <f t="shared" si="6"/>
        <v>0</v>
      </c>
      <c r="AE42" s="100">
        <f t="shared" si="7"/>
        <v>0</v>
      </c>
      <c r="AF42" s="100">
        <f t="shared" si="8"/>
        <v>0</v>
      </c>
      <c r="AG42" s="100">
        <f t="shared" si="9"/>
        <v>0</v>
      </c>
      <c r="AH42" s="100">
        <f t="shared" si="10"/>
        <v>0</v>
      </c>
      <c r="AI42" s="109"/>
      <c r="AJ42" s="108">
        <f t="shared" si="11"/>
        <v>0</v>
      </c>
      <c r="AK42" s="108">
        <f t="shared" si="12"/>
        <v>0</v>
      </c>
      <c r="AL42" s="108">
        <f t="shared" si="13"/>
        <v>0</v>
      </c>
      <c r="AN42" s="100">
        <v>15</v>
      </c>
      <c r="AO42" s="100">
        <f>H42*0</f>
        <v>0</v>
      </c>
      <c r="AP42" s="100">
        <f>H42*(1-0)</f>
        <v>0</v>
      </c>
      <c r="AQ42" s="111" t="s">
        <v>7</v>
      </c>
      <c r="AV42" s="100">
        <f t="shared" si="14"/>
        <v>0</v>
      </c>
      <c r="AW42" s="100">
        <f t="shared" si="15"/>
        <v>0</v>
      </c>
      <c r="AX42" s="100">
        <f t="shared" si="16"/>
        <v>0</v>
      </c>
      <c r="AY42" s="110" t="s">
        <v>1693</v>
      </c>
      <c r="AZ42" s="110" t="s">
        <v>1728</v>
      </c>
      <c r="BA42" s="109" t="s">
        <v>1737</v>
      </c>
      <c r="BC42" s="100">
        <f t="shared" si="17"/>
        <v>0</v>
      </c>
      <c r="BD42" s="100">
        <f t="shared" si="18"/>
        <v>0</v>
      </c>
      <c r="BE42" s="100">
        <v>0</v>
      </c>
      <c r="BF42" s="100">
        <f>42</f>
        <v>42</v>
      </c>
      <c r="BH42" s="108">
        <f t="shared" si="19"/>
        <v>0</v>
      </c>
      <c r="BI42" s="108">
        <f t="shared" si="20"/>
        <v>0</v>
      </c>
      <c r="BJ42" s="108">
        <f t="shared" si="21"/>
        <v>0</v>
      </c>
    </row>
    <row r="43" spans="1:62" x14ac:dyDescent="0.2">
      <c r="A43" s="117" t="s">
        <v>32</v>
      </c>
      <c r="B43" s="117" t="s">
        <v>625</v>
      </c>
      <c r="C43" s="304" t="s">
        <v>4409</v>
      </c>
      <c r="D43" s="305"/>
      <c r="E43" s="305"/>
      <c r="F43" s="117" t="s">
        <v>1645</v>
      </c>
      <c r="G43" s="116">
        <v>38.472999999999999</v>
      </c>
      <c r="H43" s="159"/>
      <c r="I43" s="108">
        <f t="shared" si="0"/>
        <v>0</v>
      </c>
      <c r="J43" s="108">
        <f t="shared" si="1"/>
        <v>0</v>
      </c>
      <c r="K43" s="108">
        <f t="shared" si="2"/>
        <v>0</v>
      </c>
      <c r="L43" s="111" t="s">
        <v>1671</v>
      </c>
      <c r="Z43" s="100">
        <f t="shared" si="3"/>
        <v>0</v>
      </c>
      <c r="AB43" s="100">
        <f t="shared" si="4"/>
        <v>0</v>
      </c>
      <c r="AC43" s="100">
        <f t="shared" si="5"/>
        <v>0</v>
      </c>
      <c r="AD43" s="100">
        <f t="shared" si="6"/>
        <v>0</v>
      </c>
      <c r="AE43" s="100">
        <f t="shared" si="7"/>
        <v>0</v>
      </c>
      <c r="AF43" s="100">
        <f t="shared" si="8"/>
        <v>0</v>
      </c>
      <c r="AG43" s="100">
        <f t="shared" si="9"/>
        <v>0</v>
      </c>
      <c r="AH43" s="100">
        <f t="shared" si="10"/>
        <v>0</v>
      </c>
      <c r="AI43" s="109"/>
      <c r="AJ43" s="108">
        <f t="shared" si="11"/>
        <v>0</v>
      </c>
      <c r="AK43" s="108">
        <f t="shared" si="12"/>
        <v>0</v>
      </c>
      <c r="AL43" s="108">
        <f t="shared" si="13"/>
        <v>0</v>
      </c>
      <c r="AN43" s="100">
        <v>15</v>
      </c>
      <c r="AO43" s="100">
        <f>H43*0</f>
        <v>0</v>
      </c>
      <c r="AP43" s="100">
        <f>H43*(1-0)</f>
        <v>0</v>
      </c>
      <c r="AQ43" s="111" t="s">
        <v>7</v>
      </c>
      <c r="AV43" s="100">
        <f t="shared" si="14"/>
        <v>0</v>
      </c>
      <c r="AW43" s="100">
        <f t="shared" si="15"/>
        <v>0</v>
      </c>
      <c r="AX43" s="100">
        <f t="shared" si="16"/>
        <v>0</v>
      </c>
      <c r="AY43" s="110" t="s">
        <v>1693</v>
      </c>
      <c r="AZ43" s="110" t="s">
        <v>1728</v>
      </c>
      <c r="BA43" s="109" t="s">
        <v>1737</v>
      </c>
      <c r="BC43" s="100">
        <f t="shared" si="17"/>
        <v>0</v>
      </c>
      <c r="BD43" s="100">
        <f t="shared" si="18"/>
        <v>0</v>
      </c>
      <c r="BE43" s="100">
        <v>0</v>
      </c>
      <c r="BF43" s="100">
        <f>43</f>
        <v>43</v>
      </c>
      <c r="BH43" s="108">
        <f t="shared" si="19"/>
        <v>0</v>
      </c>
      <c r="BI43" s="108">
        <f t="shared" si="20"/>
        <v>0</v>
      </c>
      <c r="BJ43" s="108">
        <f t="shared" si="21"/>
        <v>0</v>
      </c>
    </row>
    <row r="44" spans="1:62" x14ac:dyDescent="0.2">
      <c r="A44" s="117" t="s">
        <v>33</v>
      </c>
      <c r="B44" s="117" t="s">
        <v>626</v>
      </c>
      <c r="C44" s="304" t="s">
        <v>4408</v>
      </c>
      <c r="D44" s="305"/>
      <c r="E44" s="305"/>
      <c r="F44" s="117" t="s">
        <v>1645</v>
      </c>
      <c r="G44" s="116">
        <v>295.97300000000001</v>
      </c>
      <c r="H44" s="159"/>
      <c r="I44" s="108">
        <f t="shared" si="0"/>
        <v>0</v>
      </c>
      <c r="J44" s="108">
        <f t="shared" si="1"/>
        <v>0</v>
      </c>
      <c r="K44" s="108">
        <f t="shared" si="2"/>
        <v>0</v>
      </c>
      <c r="L44" s="111" t="s">
        <v>1671</v>
      </c>
      <c r="Z44" s="100">
        <f t="shared" si="3"/>
        <v>0</v>
      </c>
      <c r="AB44" s="100">
        <f t="shared" si="4"/>
        <v>0</v>
      </c>
      <c r="AC44" s="100">
        <f t="shared" si="5"/>
        <v>0</v>
      </c>
      <c r="AD44" s="100">
        <f t="shared" si="6"/>
        <v>0</v>
      </c>
      <c r="AE44" s="100">
        <f t="shared" si="7"/>
        <v>0</v>
      </c>
      <c r="AF44" s="100">
        <f t="shared" si="8"/>
        <v>0</v>
      </c>
      <c r="AG44" s="100">
        <f t="shared" si="9"/>
        <v>0</v>
      </c>
      <c r="AH44" s="100">
        <f t="shared" si="10"/>
        <v>0</v>
      </c>
      <c r="AI44" s="109"/>
      <c r="AJ44" s="108">
        <f t="shared" si="11"/>
        <v>0</v>
      </c>
      <c r="AK44" s="108">
        <f t="shared" si="12"/>
        <v>0</v>
      </c>
      <c r="AL44" s="108">
        <f t="shared" si="13"/>
        <v>0</v>
      </c>
      <c r="AN44" s="100">
        <v>15</v>
      </c>
      <c r="AO44" s="100">
        <f>H44*0.313660676437103</f>
        <v>0</v>
      </c>
      <c r="AP44" s="100">
        <f>H44*(1-0.313660676437103)</f>
        <v>0</v>
      </c>
      <c r="AQ44" s="111" t="s">
        <v>7</v>
      </c>
      <c r="AV44" s="100">
        <f t="shared" si="14"/>
        <v>0</v>
      </c>
      <c r="AW44" s="100">
        <f t="shared" si="15"/>
        <v>0</v>
      </c>
      <c r="AX44" s="100">
        <f t="shared" si="16"/>
        <v>0</v>
      </c>
      <c r="AY44" s="110" t="s">
        <v>1693</v>
      </c>
      <c r="AZ44" s="110" t="s">
        <v>1728</v>
      </c>
      <c r="BA44" s="109" t="s">
        <v>1737</v>
      </c>
      <c r="BC44" s="100">
        <f t="shared" si="17"/>
        <v>0</v>
      </c>
      <c r="BD44" s="100">
        <f t="shared" si="18"/>
        <v>0</v>
      </c>
      <c r="BE44" s="100">
        <v>0</v>
      </c>
      <c r="BF44" s="100">
        <f>44</f>
        <v>44</v>
      </c>
      <c r="BH44" s="108">
        <f t="shared" si="19"/>
        <v>0</v>
      </c>
      <c r="BI44" s="108">
        <f t="shared" si="20"/>
        <v>0</v>
      </c>
      <c r="BJ44" s="108">
        <f t="shared" si="21"/>
        <v>0</v>
      </c>
    </row>
    <row r="45" spans="1:62" x14ac:dyDescent="0.2">
      <c r="A45" s="117" t="s">
        <v>34</v>
      </c>
      <c r="B45" s="117" t="s">
        <v>626</v>
      </c>
      <c r="C45" s="304" t="s">
        <v>4407</v>
      </c>
      <c r="D45" s="305"/>
      <c r="E45" s="305"/>
      <c r="F45" s="117" t="s">
        <v>1645</v>
      </c>
      <c r="G45" s="116">
        <v>38.472999999999999</v>
      </c>
      <c r="H45" s="159"/>
      <c r="I45" s="108">
        <f t="shared" si="0"/>
        <v>0</v>
      </c>
      <c r="J45" s="108">
        <f t="shared" si="1"/>
        <v>0</v>
      </c>
      <c r="K45" s="108">
        <f t="shared" si="2"/>
        <v>0</v>
      </c>
      <c r="L45" s="111" t="s">
        <v>1671</v>
      </c>
      <c r="Z45" s="100">
        <f t="shared" si="3"/>
        <v>0</v>
      </c>
      <c r="AB45" s="100">
        <f t="shared" si="4"/>
        <v>0</v>
      </c>
      <c r="AC45" s="100">
        <f t="shared" si="5"/>
        <v>0</v>
      </c>
      <c r="AD45" s="100">
        <f t="shared" si="6"/>
        <v>0</v>
      </c>
      <c r="AE45" s="100">
        <f t="shared" si="7"/>
        <v>0</v>
      </c>
      <c r="AF45" s="100">
        <f t="shared" si="8"/>
        <v>0</v>
      </c>
      <c r="AG45" s="100">
        <f t="shared" si="9"/>
        <v>0</v>
      </c>
      <c r="AH45" s="100">
        <f t="shared" si="10"/>
        <v>0</v>
      </c>
      <c r="AI45" s="109"/>
      <c r="AJ45" s="108">
        <f t="shared" si="11"/>
        <v>0</v>
      </c>
      <c r="AK45" s="108">
        <f t="shared" si="12"/>
        <v>0</v>
      </c>
      <c r="AL45" s="108">
        <f t="shared" si="13"/>
        <v>0</v>
      </c>
      <c r="AN45" s="100">
        <v>15</v>
      </c>
      <c r="AO45" s="100">
        <f>H45*0.313660423116376</f>
        <v>0</v>
      </c>
      <c r="AP45" s="100">
        <f>H45*(1-0.313660423116376)</f>
        <v>0</v>
      </c>
      <c r="AQ45" s="111" t="s">
        <v>7</v>
      </c>
      <c r="AV45" s="100">
        <f t="shared" si="14"/>
        <v>0</v>
      </c>
      <c r="AW45" s="100">
        <f t="shared" si="15"/>
        <v>0</v>
      </c>
      <c r="AX45" s="100">
        <f t="shared" si="16"/>
        <v>0</v>
      </c>
      <c r="AY45" s="110" t="s">
        <v>1693</v>
      </c>
      <c r="AZ45" s="110" t="s">
        <v>1728</v>
      </c>
      <c r="BA45" s="109" t="s">
        <v>1737</v>
      </c>
      <c r="BC45" s="100">
        <f t="shared" si="17"/>
        <v>0</v>
      </c>
      <c r="BD45" s="100">
        <f t="shared" si="18"/>
        <v>0</v>
      </c>
      <c r="BE45" s="100">
        <v>0</v>
      </c>
      <c r="BF45" s="100">
        <f>45</f>
        <v>45</v>
      </c>
      <c r="BH45" s="108">
        <f t="shared" si="19"/>
        <v>0</v>
      </c>
      <c r="BI45" s="108">
        <f t="shared" si="20"/>
        <v>0</v>
      </c>
      <c r="BJ45" s="108">
        <f t="shared" si="21"/>
        <v>0</v>
      </c>
    </row>
    <row r="46" spans="1:62" x14ac:dyDescent="0.2">
      <c r="A46" s="119"/>
      <c r="B46" s="120" t="s">
        <v>100</v>
      </c>
      <c r="C46" s="306" t="s">
        <v>1139</v>
      </c>
      <c r="D46" s="307"/>
      <c r="E46" s="307"/>
      <c r="F46" s="119" t="s">
        <v>6</v>
      </c>
      <c r="G46" s="119" t="s">
        <v>6</v>
      </c>
      <c r="H46" s="119" t="s">
        <v>6</v>
      </c>
      <c r="I46" s="118">
        <f>SUM(I47:I52)</f>
        <v>0</v>
      </c>
      <c r="J46" s="118">
        <f>SUM(J47:J52)</f>
        <v>0</v>
      </c>
      <c r="K46" s="118">
        <f>SUM(K47:K52)</f>
        <v>0</v>
      </c>
      <c r="L46" s="109"/>
      <c r="AI46" s="109"/>
      <c r="AS46" s="118">
        <f>SUM(AJ47:AJ52)</f>
        <v>0</v>
      </c>
      <c r="AT46" s="118">
        <f>SUM(AK47:AK52)</f>
        <v>0</v>
      </c>
      <c r="AU46" s="118">
        <f>SUM(AL47:AL52)</f>
        <v>0</v>
      </c>
    </row>
    <row r="47" spans="1:62" x14ac:dyDescent="0.2">
      <c r="A47" s="117" t="s">
        <v>35</v>
      </c>
      <c r="B47" s="117" t="s">
        <v>634</v>
      </c>
      <c r="C47" s="304" t="s">
        <v>1140</v>
      </c>
      <c r="D47" s="305"/>
      <c r="E47" s="305"/>
      <c r="F47" s="117" t="s">
        <v>1645</v>
      </c>
      <c r="G47" s="116">
        <v>735.98500000000001</v>
      </c>
      <c r="H47" s="159"/>
      <c r="I47" s="108">
        <f t="shared" ref="I47:I52" si="22">G47*AO47</f>
        <v>0</v>
      </c>
      <c r="J47" s="108">
        <f t="shared" ref="J47:J52" si="23">G47*AP47</f>
        <v>0</v>
      </c>
      <c r="K47" s="108">
        <f t="shared" ref="K47:K52" si="24">G47*H47</f>
        <v>0</v>
      </c>
      <c r="L47" s="111" t="s">
        <v>1671</v>
      </c>
      <c r="Z47" s="100">
        <f t="shared" ref="Z47:Z52" si="25">IF(AQ47="5",BJ47,0)</f>
        <v>0</v>
      </c>
      <c r="AB47" s="100">
        <f t="shared" ref="AB47:AB52" si="26">IF(AQ47="1",BH47,0)</f>
        <v>0</v>
      </c>
      <c r="AC47" s="100">
        <f t="shared" ref="AC47:AC52" si="27">IF(AQ47="1",BI47,0)</f>
        <v>0</v>
      </c>
      <c r="AD47" s="100">
        <f t="shared" ref="AD47:AD52" si="28">IF(AQ47="7",BH47,0)</f>
        <v>0</v>
      </c>
      <c r="AE47" s="100">
        <f t="shared" ref="AE47:AE52" si="29">IF(AQ47="7",BI47,0)</f>
        <v>0</v>
      </c>
      <c r="AF47" s="100">
        <f t="shared" ref="AF47:AF52" si="30">IF(AQ47="2",BH47,0)</f>
        <v>0</v>
      </c>
      <c r="AG47" s="100">
        <f t="shared" ref="AG47:AG52" si="31">IF(AQ47="2",BI47,0)</f>
        <v>0</v>
      </c>
      <c r="AH47" s="100">
        <f t="shared" ref="AH47:AH52" si="32">IF(AQ47="0",BJ47,0)</f>
        <v>0</v>
      </c>
      <c r="AI47" s="109"/>
      <c r="AJ47" s="108">
        <f t="shared" ref="AJ47:AJ52" si="33">IF(AN47=0,K47,0)</f>
        <v>0</v>
      </c>
      <c r="AK47" s="108">
        <f t="shared" ref="AK47:AK52" si="34">IF(AN47=15,K47,0)</f>
        <v>0</v>
      </c>
      <c r="AL47" s="108">
        <f t="shared" ref="AL47:AL52" si="35">IF(AN47=21,K47,0)</f>
        <v>0</v>
      </c>
      <c r="AN47" s="100">
        <v>15</v>
      </c>
      <c r="AO47" s="100">
        <f>H47*0.000315955769583701</f>
        <v>0</v>
      </c>
      <c r="AP47" s="100">
        <f>H47*(1-0.000315955769583701)</f>
        <v>0</v>
      </c>
      <c r="AQ47" s="111" t="s">
        <v>7</v>
      </c>
      <c r="AV47" s="100">
        <f t="shared" ref="AV47:AV52" si="36">AW47+AX47</f>
        <v>0</v>
      </c>
      <c r="AW47" s="100">
        <f t="shared" ref="AW47:AW52" si="37">G47*AO47</f>
        <v>0</v>
      </c>
      <c r="AX47" s="100">
        <f t="shared" ref="AX47:AX52" si="38">G47*AP47</f>
        <v>0</v>
      </c>
      <c r="AY47" s="110" t="s">
        <v>1698</v>
      </c>
      <c r="AZ47" s="110" t="s">
        <v>1730</v>
      </c>
      <c r="BA47" s="109" t="s">
        <v>1737</v>
      </c>
      <c r="BC47" s="100">
        <f t="shared" ref="BC47:BC52" si="39">AW47+AX47</f>
        <v>0</v>
      </c>
      <c r="BD47" s="100">
        <f t="shared" ref="BD47:BD52" si="40">H47/(100-BE47)*100</f>
        <v>0</v>
      </c>
      <c r="BE47" s="100">
        <v>0</v>
      </c>
      <c r="BF47" s="100">
        <f>47</f>
        <v>47</v>
      </c>
      <c r="BH47" s="108">
        <f t="shared" ref="BH47:BH52" si="41">G47*AO47</f>
        <v>0</v>
      </c>
      <c r="BI47" s="108">
        <f t="shared" ref="BI47:BI52" si="42">G47*AP47</f>
        <v>0</v>
      </c>
      <c r="BJ47" s="108">
        <f t="shared" ref="BJ47:BJ52" si="43">G47*H47</f>
        <v>0</v>
      </c>
    </row>
    <row r="48" spans="1:62" x14ac:dyDescent="0.2">
      <c r="A48" s="117" t="s">
        <v>36</v>
      </c>
      <c r="B48" s="117" t="s">
        <v>635</v>
      </c>
      <c r="C48" s="304" t="s">
        <v>1141</v>
      </c>
      <c r="D48" s="305"/>
      <c r="E48" s="305"/>
      <c r="F48" s="117" t="s">
        <v>1645</v>
      </c>
      <c r="G48" s="116">
        <v>1471.97</v>
      </c>
      <c r="H48" s="159"/>
      <c r="I48" s="108">
        <f t="shared" si="22"/>
        <v>0</v>
      </c>
      <c r="J48" s="108">
        <f t="shared" si="23"/>
        <v>0</v>
      </c>
      <c r="K48" s="108">
        <f t="shared" si="24"/>
        <v>0</v>
      </c>
      <c r="L48" s="111" t="s">
        <v>1671</v>
      </c>
      <c r="Z48" s="100">
        <f t="shared" si="25"/>
        <v>0</v>
      </c>
      <c r="AB48" s="100">
        <f t="shared" si="26"/>
        <v>0</v>
      </c>
      <c r="AC48" s="100">
        <f t="shared" si="27"/>
        <v>0</v>
      </c>
      <c r="AD48" s="100">
        <f t="shared" si="28"/>
        <v>0</v>
      </c>
      <c r="AE48" s="100">
        <f t="shared" si="29"/>
        <v>0</v>
      </c>
      <c r="AF48" s="100">
        <f t="shared" si="30"/>
        <v>0</v>
      </c>
      <c r="AG48" s="100">
        <f t="shared" si="31"/>
        <v>0</v>
      </c>
      <c r="AH48" s="100">
        <f t="shared" si="32"/>
        <v>0</v>
      </c>
      <c r="AI48" s="109"/>
      <c r="AJ48" s="108">
        <f t="shared" si="33"/>
        <v>0</v>
      </c>
      <c r="AK48" s="108">
        <f t="shared" si="34"/>
        <v>0</v>
      </c>
      <c r="AL48" s="108">
        <f t="shared" si="35"/>
        <v>0</v>
      </c>
      <c r="AN48" s="100">
        <v>15</v>
      </c>
      <c r="AO48" s="100">
        <f>H48*0.909487564667163</f>
        <v>0</v>
      </c>
      <c r="AP48" s="100">
        <f>H48*(1-0.909487564667163)</f>
        <v>0</v>
      </c>
      <c r="AQ48" s="111" t="s">
        <v>7</v>
      </c>
      <c r="AV48" s="100">
        <f t="shared" si="36"/>
        <v>0</v>
      </c>
      <c r="AW48" s="100">
        <f t="shared" si="37"/>
        <v>0</v>
      </c>
      <c r="AX48" s="100">
        <f t="shared" si="38"/>
        <v>0</v>
      </c>
      <c r="AY48" s="110" t="s">
        <v>1698</v>
      </c>
      <c r="AZ48" s="110" t="s">
        <v>1730</v>
      </c>
      <c r="BA48" s="109" t="s">
        <v>1737</v>
      </c>
      <c r="BC48" s="100">
        <f t="shared" si="39"/>
        <v>0</v>
      </c>
      <c r="BD48" s="100">
        <f t="shared" si="40"/>
        <v>0</v>
      </c>
      <c r="BE48" s="100">
        <v>0</v>
      </c>
      <c r="BF48" s="100">
        <f>48</f>
        <v>48</v>
      </c>
      <c r="BH48" s="108">
        <f t="shared" si="41"/>
        <v>0</v>
      </c>
      <c r="BI48" s="108">
        <f t="shared" si="42"/>
        <v>0</v>
      </c>
      <c r="BJ48" s="108">
        <f t="shared" si="43"/>
        <v>0</v>
      </c>
    </row>
    <row r="49" spans="1:62" x14ac:dyDescent="0.2">
      <c r="A49" s="117" t="s">
        <v>37</v>
      </c>
      <c r="B49" s="117" t="s">
        <v>636</v>
      </c>
      <c r="C49" s="304" t="s">
        <v>1142</v>
      </c>
      <c r="D49" s="305"/>
      <c r="E49" s="305"/>
      <c r="F49" s="117" t="s">
        <v>1645</v>
      </c>
      <c r="G49" s="116">
        <v>735.98500000000001</v>
      </c>
      <c r="H49" s="159"/>
      <c r="I49" s="108">
        <f t="shared" si="22"/>
        <v>0</v>
      </c>
      <c r="J49" s="108">
        <f t="shared" si="23"/>
        <v>0</v>
      </c>
      <c r="K49" s="108">
        <f t="shared" si="24"/>
        <v>0</v>
      </c>
      <c r="L49" s="111" t="s">
        <v>1671</v>
      </c>
      <c r="Z49" s="100">
        <f t="shared" si="25"/>
        <v>0</v>
      </c>
      <c r="AB49" s="100">
        <f t="shared" si="26"/>
        <v>0</v>
      </c>
      <c r="AC49" s="100">
        <f t="shared" si="27"/>
        <v>0</v>
      </c>
      <c r="AD49" s="100">
        <f t="shared" si="28"/>
        <v>0</v>
      </c>
      <c r="AE49" s="100">
        <f t="shared" si="29"/>
        <v>0</v>
      </c>
      <c r="AF49" s="100">
        <f t="shared" si="30"/>
        <v>0</v>
      </c>
      <c r="AG49" s="100">
        <f t="shared" si="31"/>
        <v>0</v>
      </c>
      <c r="AH49" s="100">
        <f t="shared" si="32"/>
        <v>0</v>
      </c>
      <c r="AI49" s="109"/>
      <c r="AJ49" s="108">
        <f t="shared" si="33"/>
        <v>0</v>
      </c>
      <c r="AK49" s="108">
        <f t="shared" si="34"/>
        <v>0</v>
      </c>
      <c r="AL49" s="108">
        <f t="shared" si="35"/>
        <v>0</v>
      </c>
      <c r="AN49" s="100">
        <v>15</v>
      </c>
      <c r="AO49" s="100">
        <f>H49*0</f>
        <v>0</v>
      </c>
      <c r="AP49" s="100">
        <f>H49*(1-0)</f>
        <v>0</v>
      </c>
      <c r="AQ49" s="111" t="s">
        <v>7</v>
      </c>
      <c r="AV49" s="100">
        <f t="shared" si="36"/>
        <v>0</v>
      </c>
      <c r="AW49" s="100">
        <f t="shared" si="37"/>
        <v>0</v>
      </c>
      <c r="AX49" s="100">
        <f t="shared" si="38"/>
        <v>0</v>
      </c>
      <c r="AY49" s="110" t="s">
        <v>1698</v>
      </c>
      <c r="AZ49" s="110" t="s">
        <v>1730</v>
      </c>
      <c r="BA49" s="109" t="s">
        <v>1737</v>
      </c>
      <c r="BC49" s="100">
        <f t="shared" si="39"/>
        <v>0</v>
      </c>
      <c r="BD49" s="100">
        <f t="shared" si="40"/>
        <v>0</v>
      </c>
      <c r="BE49" s="100">
        <v>0</v>
      </c>
      <c r="BF49" s="100">
        <f>49</f>
        <v>49</v>
      </c>
      <c r="BH49" s="108">
        <f t="shared" si="41"/>
        <v>0</v>
      </c>
      <c r="BI49" s="108">
        <f t="shared" si="42"/>
        <v>0</v>
      </c>
      <c r="BJ49" s="108">
        <f t="shared" si="43"/>
        <v>0</v>
      </c>
    </row>
    <row r="50" spans="1:62" x14ac:dyDescent="0.2">
      <c r="A50" s="117" t="s">
        <v>38</v>
      </c>
      <c r="B50" s="117" t="s">
        <v>637</v>
      </c>
      <c r="C50" s="304" t="s">
        <v>1143</v>
      </c>
      <c r="D50" s="305"/>
      <c r="E50" s="305"/>
      <c r="F50" s="117" t="s">
        <v>1645</v>
      </c>
      <c r="G50" s="116">
        <v>735.98500000000001</v>
      </c>
      <c r="H50" s="159"/>
      <c r="I50" s="108">
        <f t="shared" si="22"/>
        <v>0</v>
      </c>
      <c r="J50" s="108">
        <f t="shared" si="23"/>
        <v>0</v>
      </c>
      <c r="K50" s="108">
        <f t="shared" si="24"/>
        <v>0</v>
      </c>
      <c r="L50" s="111" t="s">
        <v>1671</v>
      </c>
      <c r="Z50" s="100">
        <f t="shared" si="25"/>
        <v>0</v>
      </c>
      <c r="AB50" s="100">
        <f t="shared" si="26"/>
        <v>0</v>
      </c>
      <c r="AC50" s="100">
        <f t="shared" si="27"/>
        <v>0</v>
      </c>
      <c r="AD50" s="100">
        <f t="shared" si="28"/>
        <v>0</v>
      </c>
      <c r="AE50" s="100">
        <f t="shared" si="29"/>
        <v>0</v>
      </c>
      <c r="AF50" s="100">
        <f t="shared" si="30"/>
        <v>0</v>
      </c>
      <c r="AG50" s="100">
        <f t="shared" si="31"/>
        <v>0</v>
      </c>
      <c r="AH50" s="100">
        <f t="shared" si="32"/>
        <v>0</v>
      </c>
      <c r="AI50" s="109"/>
      <c r="AJ50" s="108">
        <f t="shared" si="33"/>
        <v>0</v>
      </c>
      <c r="AK50" s="108">
        <f t="shared" si="34"/>
        <v>0</v>
      </c>
      <c r="AL50" s="108">
        <f t="shared" si="35"/>
        <v>0</v>
      </c>
      <c r="AN50" s="100">
        <v>15</v>
      </c>
      <c r="AO50" s="100">
        <f>H50*0</f>
        <v>0</v>
      </c>
      <c r="AP50" s="100">
        <f>H50*(1-0)</f>
        <v>0</v>
      </c>
      <c r="AQ50" s="111" t="s">
        <v>7</v>
      </c>
      <c r="AV50" s="100">
        <f t="shared" si="36"/>
        <v>0</v>
      </c>
      <c r="AW50" s="100">
        <f t="shared" si="37"/>
        <v>0</v>
      </c>
      <c r="AX50" s="100">
        <f t="shared" si="38"/>
        <v>0</v>
      </c>
      <c r="AY50" s="110" t="s">
        <v>1698</v>
      </c>
      <c r="AZ50" s="110" t="s">
        <v>1730</v>
      </c>
      <c r="BA50" s="109" t="s">
        <v>1737</v>
      </c>
      <c r="BC50" s="100">
        <f t="shared" si="39"/>
        <v>0</v>
      </c>
      <c r="BD50" s="100">
        <f t="shared" si="40"/>
        <v>0</v>
      </c>
      <c r="BE50" s="100">
        <v>0</v>
      </c>
      <c r="BF50" s="100">
        <f>50</f>
        <v>50</v>
      </c>
      <c r="BH50" s="108">
        <f t="shared" si="41"/>
        <v>0</v>
      </c>
      <c r="BI50" s="108">
        <f t="shared" si="42"/>
        <v>0</v>
      </c>
      <c r="BJ50" s="108">
        <f t="shared" si="43"/>
        <v>0</v>
      </c>
    </row>
    <row r="51" spans="1:62" x14ac:dyDescent="0.2">
      <c r="A51" s="117" t="s">
        <v>39</v>
      </c>
      <c r="B51" s="117" t="s">
        <v>638</v>
      </c>
      <c r="C51" s="304" t="s">
        <v>1144</v>
      </c>
      <c r="D51" s="305"/>
      <c r="E51" s="305"/>
      <c r="F51" s="117" t="s">
        <v>1645</v>
      </c>
      <c r="G51" s="116">
        <v>1471.97</v>
      </c>
      <c r="H51" s="159"/>
      <c r="I51" s="108">
        <f t="shared" si="22"/>
        <v>0</v>
      </c>
      <c r="J51" s="108">
        <f t="shared" si="23"/>
        <v>0</v>
      </c>
      <c r="K51" s="108">
        <f t="shared" si="24"/>
        <v>0</v>
      </c>
      <c r="L51" s="111" t="s">
        <v>1671</v>
      </c>
      <c r="Z51" s="100">
        <f t="shared" si="25"/>
        <v>0</v>
      </c>
      <c r="AB51" s="100">
        <f t="shared" si="26"/>
        <v>0</v>
      </c>
      <c r="AC51" s="100">
        <f t="shared" si="27"/>
        <v>0</v>
      </c>
      <c r="AD51" s="100">
        <f t="shared" si="28"/>
        <v>0</v>
      </c>
      <c r="AE51" s="100">
        <f t="shared" si="29"/>
        <v>0</v>
      </c>
      <c r="AF51" s="100">
        <f t="shared" si="30"/>
        <v>0</v>
      </c>
      <c r="AG51" s="100">
        <f t="shared" si="31"/>
        <v>0</v>
      </c>
      <c r="AH51" s="100">
        <f t="shared" si="32"/>
        <v>0</v>
      </c>
      <c r="AI51" s="109"/>
      <c r="AJ51" s="108">
        <f t="shared" si="33"/>
        <v>0</v>
      </c>
      <c r="AK51" s="108">
        <f t="shared" si="34"/>
        <v>0</v>
      </c>
      <c r="AL51" s="108">
        <f t="shared" si="35"/>
        <v>0</v>
      </c>
      <c r="AN51" s="100">
        <v>15</v>
      </c>
      <c r="AO51" s="100">
        <f>H51*0.999999911771219</f>
        <v>0</v>
      </c>
      <c r="AP51" s="100">
        <f>H51*(1-0.999999911771219)</f>
        <v>0</v>
      </c>
      <c r="AQ51" s="111" t="s">
        <v>7</v>
      </c>
      <c r="AV51" s="100">
        <f t="shared" si="36"/>
        <v>0</v>
      </c>
      <c r="AW51" s="100">
        <f t="shared" si="37"/>
        <v>0</v>
      </c>
      <c r="AX51" s="100">
        <f t="shared" si="38"/>
        <v>0</v>
      </c>
      <c r="AY51" s="110" t="s">
        <v>1698</v>
      </c>
      <c r="AZ51" s="110" t="s">
        <v>1730</v>
      </c>
      <c r="BA51" s="109" t="s">
        <v>1737</v>
      </c>
      <c r="BC51" s="100">
        <f t="shared" si="39"/>
        <v>0</v>
      </c>
      <c r="BD51" s="100">
        <f t="shared" si="40"/>
        <v>0</v>
      </c>
      <c r="BE51" s="100">
        <v>0</v>
      </c>
      <c r="BF51" s="100">
        <f>51</f>
        <v>51</v>
      </c>
      <c r="BH51" s="108">
        <f t="shared" si="41"/>
        <v>0</v>
      </c>
      <c r="BI51" s="108">
        <f t="shared" si="42"/>
        <v>0</v>
      </c>
      <c r="BJ51" s="108">
        <f t="shared" si="43"/>
        <v>0</v>
      </c>
    </row>
    <row r="52" spans="1:62" x14ac:dyDescent="0.2">
      <c r="A52" s="117" t="s">
        <v>40</v>
      </c>
      <c r="B52" s="117" t="s">
        <v>639</v>
      </c>
      <c r="C52" s="304" t="s">
        <v>1145</v>
      </c>
      <c r="D52" s="305"/>
      <c r="E52" s="305"/>
      <c r="F52" s="117" t="s">
        <v>1645</v>
      </c>
      <c r="G52" s="116">
        <v>735.98500000000001</v>
      </c>
      <c r="H52" s="159"/>
      <c r="I52" s="108">
        <f t="shared" si="22"/>
        <v>0</v>
      </c>
      <c r="J52" s="108">
        <f t="shared" si="23"/>
        <v>0</v>
      </c>
      <c r="K52" s="108">
        <f t="shared" si="24"/>
        <v>0</v>
      </c>
      <c r="L52" s="111" t="s">
        <v>1671</v>
      </c>
      <c r="Z52" s="100">
        <f t="shared" si="25"/>
        <v>0</v>
      </c>
      <c r="AB52" s="100">
        <f t="shared" si="26"/>
        <v>0</v>
      </c>
      <c r="AC52" s="100">
        <f t="shared" si="27"/>
        <v>0</v>
      </c>
      <c r="AD52" s="100">
        <f t="shared" si="28"/>
        <v>0</v>
      </c>
      <c r="AE52" s="100">
        <f t="shared" si="29"/>
        <v>0</v>
      </c>
      <c r="AF52" s="100">
        <f t="shared" si="30"/>
        <v>0</v>
      </c>
      <c r="AG52" s="100">
        <f t="shared" si="31"/>
        <v>0</v>
      </c>
      <c r="AH52" s="100">
        <f t="shared" si="32"/>
        <v>0</v>
      </c>
      <c r="AI52" s="109"/>
      <c r="AJ52" s="108">
        <f t="shared" si="33"/>
        <v>0</v>
      </c>
      <c r="AK52" s="108">
        <f t="shared" si="34"/>
        <v>0</v>
      </c>
      <c r="AL52" s="108">
        <f t="shared" si="35"/>
        <v>0</v>
      </c>
      <c r="AN52" s="100">
        <v>15</v>
      </c>
      <c r="AO52" s="100">
        <f>H52*0</f>
        <v>0</v>
      </c>
      <c r="AP52" s="100">
        <f>H52*(1-0)</f>
        <v>0</v>
      </c>
      <c r="AQ52" s="111" t="s">
        <v>7</v>
      </c>
      <c r="AV52" s="100">
        <f t="shared" si="36"/>
        <v>0</v>
      </c>
      <c r="AW52" s="100">
        <f t="shared" si="37"/>
        <v>0</v>
      </c>
      <c r="AX52" s="100">
        <f t="shared" si="38"/>
        <v>0</v>
      </c>
      <c r="AY52" s="110" t="s">
        <v>1698</v>
      </c>
      <c r="AZ52" s="110" t="s">
        <v>1730</v>
      </c>
      <c r="BA52" s="109" t="s">
        <v>1737</v>
      </c>
      <c r="BC52" s="100">
        <f t="shared" si="39"/>
        <v>0</v>
      </c>
      <c r="BD52" s="100">
        <f t="shared" si="40"/>
        <v>0</v>
      </c>
      <c r="BE52" s="100">
        <v>0</v>
      </c>
      <c r="BF52" s="100">
        <f>52</f>
        <v>52</v>
      </c>
      <c r="BH52" s="108">
        <f t="shared" si="41"/>
        <v>0</v>
      </c>
      <c r="BI52" s="108">
        <f t="shared" si="42"/>
        <v>0</v>
      </c>
      <c r="BJ52" s="108">
        <f t="shared" si="43"/>
        <v>0</v>
      </c>
    </row>
    <row r="53" spans="1:62" x14ac:dyDescent="0.2">
      <c r="A53" s="119"/>
      <c r="B53" s="120" t="s">
        <v>101</v>
      </c>
      <c r="C53" s="306" t="s">
        <v>1147</v>
      </c>
      <c r="D53" s="307"/>
      <c r="E53" s="307"/>
      <c r="F53" s="119" t="s">
        <v>6</v>
      </c>
      <c r="G53" s="119" t="s">
        <v>6</v>
      </c>
      <c r="H53" s="119" t="s">
        <v>6</v>
      </c>
      <c r="I53" s="118">
        <f>SUM(I54:I57)</f>
        <v>0</v>
      </c>
      <c r="J53" s="118">
        <f>SUM(J54:J57)</f>
        <v>0</v>
      </c>
      <c r="K53" s="118">
        <f>SUM(K54:K57)</f>
        <v>0</v>
      </c>
      <c r="L53" s="109"/>
      <c r="AI53" s="109"/>
      <c r="AS53" s="118">
        <f>SUM(AJ54:AJ57)</f>
        <v>0</v>
      </c>
      <c r="AT53" s="118">
        <f>SUM(AK54:AK57)</f>
        <v>0</v>
      </c>
      <c r="AU53" s="118">
        <f>SUM(AL54:AL57)</f>
        <v>0</v>
      </c>
    </row>
    <row r="54" spans="1:62" x14ac:dyDescent="0.2">
      <c r="A54" s="117" t="s">
        <v>41</v>
      </c>
      <c r="B54" s="117" t="s">
        <v>641</v>
      </c>
      <c r="C54" s="304" t="s">
        <v>1148</v>
      </c>
      <c r="D54" s="305"/>
      <c r="E54" s="305"/>
      <c r="F54" s="117" t="s">
        <v>1645</v>
      </c>
      <c r="G54" s="116">
        <v>85.462000000000003</v>
      </c>
      <c r="H54" s="159"/>
      <c r="I54" s="108">
        <f>G54*AO54</f>
        <v>0</v>
      </c>
      <c r="J54" s="108">
        <f>G54*AP54</f>
        <v>0</v>
      </c>
      <c r="K54" s="108">
        <f>G54*H54</f>
        <v>0</v>
      </c>
      <c r="L54" s="111" t="s">
        <v>1671</v>
      </c>
      <c r="Z54" s="100">
        <f>IF(AQ54="5",BJ54,0)</f>
        <v>0</v>
      </c>
      <c r="AB54" s="100">
        <f>IF(AQ54="1",BH54,0)</f>
        <v>0</v>
      </c>
      <c r="AC54" s="100">
        <f>IF(AQ54="1",BI54,0)</f>
        <v>0</v>
      </c>
      <c r="AD54" s="100">
        <f>IF(AQ54="7",BH54,0)</f>
        <v>0</v>
      </c>
      <c r="AE54" s="100">
        <f>IF(AQ54="7",BI54,0)</f>
        <v>0</v>
      </c>
      <c r="AF54" s="100">
        <f>IF(AQ54="2",BH54,0)</f>
        <v>0</v>
      </c>
      <c r="AG54" s="100">
        <f>IF(AQ54="2",BI54,0)</f>
        <v>0</v>
      </c>
      <c r="AH54" s="100">
        <f>IF(AQ54="0",BJ54,0)</f>
        <v>0</v>
      </c>
      <c r="AI54" s="109"/>
      <c r="AJ54" s="108">
        <f>IF(AN54=0,K54,0)</f>
        <v>0</v>
      </c>
      <c r="AK54" s="108">
        <f>IF(AN54=15,K54,0)</f>
        <v>0</v>
      </c>
      <c r="AL54" s="108">
        <f>IF(AN54=21,K54,0)</f>
        <v>0</v>
      </c>
      <c r="AN54" s="100">
        <v>15</v>
      </c>
      <c r="AO54" s="100">
        <f>H54*0.0189490125262869</f>
        <v>0</v>
      </c>
      <c r="AP54" s="100">
        <f>H54*(1-0.0189490125262869)</f>
        <v>0</v>
      </c>
      <c r="AQ54" s="111" t="s">
        <v>7</v>
      </c>
      <c r="AV54" s="100">
        <f>AW54+AX54</f>
        <v>0</v>
      </c>
      <c r="AW54" s="100">
        <f>G54*AO54</f>
        <v>0</v>
      </c>
      <c r="AX54" s="100">
        <f>G54*AP54</f>
        <v>0</v>
      </c>
      <c r="AY54" s="110" t="s">
        <v>1699</v>
      </c>
      <c r="AZ54" s="110" t="s">
        <v>1730</v>
      </c>
      <c r="BA54" s="109" t="s">
        <v>1737</v>
      </c>
      <c r="BC54" s="100">
        <f>AW54+AX54</f>
        <v>0</v>
      </c>
      <c r="BD54" s="100">
        <f>H54/(100-BE54)*100</f>
        <v>0</v>
      </c>
      <c r="BE54" s="100">
        <v>0</v>
      </c>
      <c r="BF54" s="100">
        <f>54</f>
        <v>54</v>
      </c>
      <c r="BH54" s="108">
        <f>G54*AO54</f>
        <v>0</v>
      </c>
      <c r="BI54" s="108">
        <f>G54*AP54</f>
        <v>0</v>
      </c>
      <c r="BJ54" s="108">
        <f>G54*H54</f>
        <v>0</v>
      </c>
    </row>
    <row r="55" spans="1:62" x14ac:dyDescent="0.2">
      <c r="A55" s="117" t="s">
        <v>42</v>
      </c>
      <c r="B55" s="117" t="s">
        <v>642</v>
      </c>
      <c r="C55" s="304" t="s">
        <v>1149</v>
      </c>
      <c r="D55" s="305"/>
      <c r="E55" s="305"/>
      <c r="F55" s="117" t="s">
        <v>1645</v>
      </c>
      <c r="G55" s="116">
        <v>17.954999999999998</v>
      </c>
      <c r="H55" s="159"/>
      <c r="I55" s="108">
        <f>G55*AO55</f>
        <v>0</v>
      </c>
      <c r="J55" s="108">
        <f>G55*AP55</f>
        <v>0</v>
      </c>
      <c r="K55" s="108">
        <f>G55*H55</f>
        <v>0</v>
      </c>
      <c r="L55" s="111" t="s">
        <v>1671</v>
      </c>
      <c r="Z55" s="100">
        <f>IF(AQ55="5",BJ55,0)</f>
        <v>0</v>
      </c>
      <c r="AB55" s="100">
        <f>IF(AQ55="1",BH55,0)</f>
        <v>0</v>
      </c>
      <c r="AC55" s="100">
        <f>IF(AQ55="1",BI55,0)</f>
        <v>0</v>
      </c>
      <c r="AD55" s="100">
        <f>IF(AQ55="7",BH55,0)</f>
        <v>0</v>
      </c>
      <c r="AE55" s="100">
        <f>IF(AQ55="7",BI55,0)</f>
        <v>0</v>
      </c>
      <c r="AF55" s="100">
        <f>IF(AQ55="2",BH55,0)</f>
        <v>0</v>
      </c>
      <c r="AG55" s="100">
        <f>IF(AQ55="2",BI55,0)</f>
        <v>0</v>
      </c>
      <c r="AH55" s="100">
        <f>IF(AQ55="0",BJ55,0)</f>
        <v>0</v>
      </c>
      <c r="AI55" s="109"/>
      <c r="AJ55" s="108">
        <f>IF(AN55=0,K55,0)</f>
        <v>0</v>
      </c>
      <c r="AK55" s="108">
        <f>IF(AN55=15,K55,0)</f>
        <v>0</v>
      </c>
      <c r="AL55" s="108">
        <f>IF(AN55=21,K55,0)</f>
        <v>0</v>
      </c>
      <c r="AN55" s="100">
        <v>15</v>
      </c>
      <c r="AO55" s="100">
        <f>H55*0.0118672062045314</f>
        <v>0</v>
      </c>
      <c r="AP55" s="100">
        <f>H55*(1-0.0118672062045314)</f>
        <v>0</v>
      </c>
      <c r="AQ55" s="111" t="s">
        <v>7</v>
      </c>
      <c r="AV55" s="100">
        <f>AW55+AX55</f>
        <v>0</v>
      </c>
      <c r="AW55" s="100">
        <f>G55*AO55</f>
        <v>0</v>
      </c>
      <c r="AX55" s="100">
        <f>G55*AP55</f>
        <v>0</v>
      </c>
      <c r="AY55" s="110" t="s">
        <v>1699</v>
      </c>
      <c r="AZ55" s="110" t="s">
        <v>1730</v>
      </c>
      <c r="BA55" s="109" t="s">
        <v>1737</v>
      </c>
      <c r="BC55" s="100">
        <f>AW55+AX55</f>
        <v>0</v>
      </c>
      <c r="BD55" s="100">
        <f>H55/(100-BE55)*100</f>
        <v>0</v>
      </c>
      <c r="BE55" s="100">
        <v>0</v>
      </c>
      <c r="BF55" s="100">
        <f>55</f>
        <v>55</v>
      </c>
      <c r="BH55" s="108">
        <f>G55*AO55</f>
        <v>0</v>
      </c>
      <c r="BI55" s="108">
        <f>G55*AP55</f>
        <v>0</v>
      </c>
      <c r="BJ55" s="108">
        <f>G55*H55</f>
        <v>0</v>
      </c>
    </row>
    <row r="56" spans="1:62" x14ac:dyDescent="0.2">
      <c r="A56" s="117" t="s">
        <v>43</v>
      </c>
      <c r="B56" s="117" t="s">
        <v>3180</v>
      </c>
      <c r="C56" s="304" t="s">
        <v>4406</v>
      </c>
      <c r="D56" s="305"/>
      <c r="E56" s="305"/>
      <c r="F56" s="117" t="s">
        <v>1644</v>
      </c>
      <c r="G56" s="116">
        <v>1</v>
      </c>
      <c r="H56" s="159"/>
      <c r="I56" s="108">
        <f>G56*AO56</f>
        <v>0</v>
      </c>
      <c r="J56" s="108">
        <f>G56*AP56</f>
        <v>0</v>
      </c>
      <c r="K56" s="108">
        <f>G56*H56</f>
        <v>0</v>
      </c>
      <c r="L56" s="111" t="s">
        <v>1671</v>
      </c>
      <c r="Z56" s="100">
        <f>IF(AQ56="5",BJ56,0)</f>
        <v>0</v>
      </c>
      <c r="AB56" s="100">
        <f>IF(AQ56="1",BH56,0)</f>
        <v>0</v>
      </c>
      <c r="AC56" s="100">
        <f>IF(AQ56="1",BI56,0)</f>
        <v>0</v>
      </c>
      <c r="AD56" s="100">
        <f>IF(AQ56="7",BH56,0)</f>
        <v>0</v>
      </c>
      <c r="AE56" s="100">
        <f>IF(AQ56="7",BI56,0)</f>
        <v>0</v>
      </c>
      <c r="AF56" s="100">
        <f>IF(AQ56="2",BH56,0)</f>
        <v>0</v>
      </c>
      <c r="AG56" s="100">
        <f>IF(AQ56="2",BI56,0)</f>
        <v>0</v>
      </c>
      <c r="AH56" s="100">
        <f>IF(AQ56="0",BJ56,0)</f>
        <v>0</v>
      </c>
      <c r="AI56" s="109"/>
      <c r="AJ56" s="108">
        <f>IF(AN56=0,K56,0)</f>
        <v>0</v>
      </c>
      <c r="AK56" s="108">
        <f>IF(AN56=15,K56,0)</f>
        <v>0</v>
      </c>
      <c r="AL56" s="108">
        <f>IF(AN56=21,K56,0)</f>
        <v>0</v>
      </c>
      <c r="AN56" s="100">
        <v>15</v>
      </c>
      <c r="AO56" s="100">
        <f>H56*0.0119666666666667</f>
        <v>0</v>
      </c>
      <c r="AP56" s="100">
        <f>H56*(1-0.0119666666666667)</f>
        <v>0</v>
      </c>
      <c r="AQ56" s="111" t="s">
        <v>7</v>
      </c>
      <c r="AV56" s="100">
        <f>AW56+AX56</f>
        <v>0</v>
      </c>
      <c r="AW56" s="100">
        <f>G56*AO56</f>
        <v>0</v>
      </c>
      <c r="AX56" s="100">
        <f>G56*AP56</f>
        <v>0</v>
      </c>
      <c r="AY56" s="110" t="s">
        <v>1699</v>
      </c>
      <c r="AZ56" s="110" t="s">
        <v>1730</v>
      </c>
      <c r="BA56" s="109" t="s">
        <v>1737</v>
      </c>
      <c r="BC56" s="100">
        <f>AW56+AX56</f>
        <v>0</v>
      </c>
      <c r="BD56" s="100">
        <f>H56/(100-BE56)*100</f>
        <v>0</v>
      </c>
      <c r="BE56" s="100">
        <v>0</v>
      </c>
      <c r="BF56" s="100">
        <f>56</f>
        <v>56</v>
      </c>
      <c r="BH56" s="108">
        <f>G56*AO56</f>
        <v>0</v>
      </c>
      <c r="BI56" s="108">
        <f>G56*AP56</f>
        <v>0</v>
      </c>
      <c r="BJ56" s="108">
        <f>G56*H56</f>
        <v>0</v>
      </c>
    </row>
    <row r="57" spans="1:62" x14ac:dyDescent="0.2">
      <c r="A57" s="117" t="s">
        <v>44</v>
      </c>
      <c r="B57" s="117" t="s">
        <v>646</v>
      </c>
      <c r="C57" s="304" t="s">
        <v>1153</v>
      </c>
      <c r="D57" s="305"/>
      <c r="E57" s="305"/>
      <c r="F57" s="117" t="s">
        <v>1650</v>
      </c>
      <c r="G57" s="116">
        <v>30</v>
      </c>
      <c r="H57" s="159"/>
      <c r="I57" s="108">
        <f>G57*AO57</f>
        <v>0</v>
      </c>
      <c r="J57" s="108">
        <f>G57*AP57</f>
        <v>0</v>
      </c>
      <c r="K57" s="108">
        <f>G57*H57</f>
        <v>0</v>
      </c>
      <c r="L57" s="111" t="s">
        <v>1671</v>
      </c>
      <c r="Z57" s="100">
        <f>IF(AQ57="5",BJ57,0)</f>
        <v>0</v>
      </c>
      <c r="AB57" s="100">
        <f>IF(AQ57="1",BH57,0)</f>
        <v>0</v>
      </c>
      <c r="AC57" s="100">
        <f>IF(AQ57="1",BI57,0)</f>
        <v>0</v>
      </c>
      <c r="AD57" s="100">
        <f>IF(AQ57="7",BH57,0)</f>
        <v>0</v>
      </c>
      <c r="AE57" s="100">
        <f>IF(AQ57="7",BI57,0)</f>
        <v>0</v>
      </c>
      <c r="AF57" s="100">
        <f>IF(AQ57="2",BH57,0)</f>
        <v>0</v>
      </c>
      <c r="AG57" s="100">
        <f>IF(AQ57="2",BI57,0)</f>
        <v>0</v>
      </c>
      <c r="AH57" s="100">
        <f>IF(AQ57="0",BJ57,0)</f>
        <v>0</v>
      </c>
      <c r="AI57" s="109"/>
      <c r="AJ57" s="108">
        <f>IF(AN57=0,K57,0)</f>
        <v>0</v>
      </c>
      <c r="AK57" s="108">
        <f>IF(AN57=15,K57,0)</f>
        <v>0</v>
      </c>
      <c r="AL57" s="108">
        <f>IF(AN57=21,K57,0)</f>
        <v>0</v>
      </c>
      <c r="AN57" s="100">
        <v>15</v>
      </c>
      <c r="AO57" s="100">
        <f>H57*0.412803738317757</f>
        <v>0</v>
      </c>
      <c r="AP57" s="100">
        <f>H57*(1-0.412803738317757)</f>
        <v>0</v>
      </c>
      <c r="AQ57" s="111" t="s">
        <v>7</v>
      </c>
      <c r="AV57" s="100">
        <f>AW57+AX57</f>
        <v>0</v>
      </c>
      <c r="AW57" s="100">
        <f>G57*AO57</f>
        <v>0</v>
      </c>
      <c r="AX57" s="100">
        <f>G57*AP57</f>
        <v>0</v>
      </c>
      <c r="AY57" s="110" t="s">
        <v>1699</v>
      </c>
      <c r="AZ57" s="110" t="s">
        <v>1730</v>
      </c>
      <c r="BA57" s="109" t="s">
        <v>1737</v>
      </c>
      <c r="BC57" s="100">
        <f>AW57+AX57</f>
        <v>0</v>
      </c>
      <c r="BD57" s="100">
        <f>H57/(100-BE57)*100</f>
        <v>0</v>
      </c>
      <c r="BE57" s="100">
        <v>0</v>
      </c>
      <c r="BF57" s="100">
        <f>57</f>
        <v>57</v>
      </c>
      <c r="BH57" s="108">
        <f>G57*AO57</f>
        <v>0</v>
      </c>
      <c r="BI57" s="108">
        <f>G57*AP57</f>
        <v>0</v>
      </c>
      <c r="BJ57" s="108">
        <f>G57*H57</f>
        <v>0</v>
      </c>
    </row>
    <row r="58" spans="1:62" x14ac:dyDescent="0.2">
      <c r="A58" s="119"/>
      <c r="B58" s="120" t="s">
        <v>102</v>
      </c>
      <c r="C58" s="306" t="s">
        <v>1158</v>
      </c>
      <c r="D58" s="307"/>
      <c r="E58" s="307"/>
      <c r="F58" s="119" t="s">
        <v>6</v>
      </c>
      <c r="G58" s="119" t="s">
        <v>6</v>
      </c>
      <c r="H58" s="119" t="s">
        <v>6</v>
      </c>
      <c r="I58" s="118">
        <f>SUM(I59:I63)</f>
        <v>0</v>
      </c>
      <c r="J58" s="118">
        <f>SUM(J59:J63)</f>
        <v>0</v>
      </c>
      <c r="K58" s="118">
        <f>SUM(K59:K63)</f>
        <v>0</v>
      </c>
      <c r="L58" s="109"/>
      <c r="AI58" s="109"/>
      <c r="AS58" s="118">
        <f>SUM(AJ59:AJ63)</f>
        <v>0</v>
      </c>
      <c r="AT58" s="118">
        <f>SUM(AK59:AK63)</f>
        <v>0</v>
      </c>
      <c r="AU58" s="118">
        <f>SUM(AL59:AL63)</f>
        <v>0</v>
      </c>
    </row>
    <row r="59" spans="1:62" x14ac:dyDescent="0.2">
      <c r="A59" s="117" t="s">
        <v>45</v>
      </c>
      <c r="B59" s="117" t="s">
        <v>653</v>
      </c>
      <c r="C59" s="304" t="s">
        <v>4405</v>
      </c>
      <c r="D59" s="305"/>
      <c r="E59" s="305"/>
      <c r="F59" s="117" t="s">
        <v>1647</v>
      </c>
      <c r="G59" s="116">
        <v>0.12</v>
      </c>
      <c r="H59" s="159"/>
      <c r="I59" s="108">
        <f>G59*AO59</f>
        <v>0</v>
      </c>
      <c r="J59" s="108">
        <f>G59*AP59</f>
        <v>0</v>
      </c>
      <c r="K59" s="108">
        <f>G59*H59</f>
        <v>0</v>
      </c>
      <c r="L59" s="111" t="s">
        <v>1671</v>
      </c>
      <c r="Z59" s="100">
        <f>IF(AQ59="5",BJ59,0)</f>
        <v>0</v>
      </c>
      <c r="AB59" s="100">
        <f>IF(AQ59="1",BH59,0)</f>
        <v>0</v>
      </c>
      <c r="AC59" s="100">
        <f>IF(AQ59="1",BI59,0)</f>
        <v>0</v>
      </c>
      <c r="AD59" s="100">
        <f>IF(AQ59="7",BH59,0)</f>
        <v>0</v>
      </c>
      <c r="AE59" s="100">
        <f>IF(AQ59="7",BI59,0)</f>
        <v>0</v>
      </c>
      <c r="AF59" s="100">
        <f>IF(AQ59="2",BH59,0)</f>
        <v>0</v>
      </c>
      <c r="AG59" s="100">
        <f>IF(AQ59="2",BI59,0)</f>
        <v>0</v>
      </c>
      <c r="AH59" s="100">
        <f>IF(AQ59="0",BJ59,0)</f>
        <v>0</v>
      </c>
      <c r="AI59" s="109"/>
      <c r="AJ59" s="108">
        <f>IF(AN59=0,K59,0)</f>
        <v>0</v>
      </c>
      <c r="AK59" s="108">
        <f>IF(AN59=15,K59,0)</f>
        <v>0</v>
      </c>
      <c r="AL59" s="108">
        <f>IF(AN59=21,K59,0)</f>
        <v>0</v>
      </c>
      <c r="AN59" s="100">
        <v>15</v>
      </c>
      <c r="AO59" s="100">
        <f>H59*0</f>
        <v>0</v>
      </c>
      <c r="AP59" s="100">
        <f>H59*(1-0)</f>
        <v>0</v>
      </c>
      <c r="AQ59" s="111" t="s">
        <v>7</v>
      </c>
      <c r="AV59" s="100">
        <f>AW59+AX59</f>
        <v>0</v>
      </c>
      <c r="AW59" s="100">
        <f>G59*AO59</f>
        <v>0</v>
      </c>
      <c r="AX59" s="100">
        <f>G59*AP59</f>
        <v>0</v>
      </c>
      <c r="AY59" s="110" t="s">
        <v>1700</v>
      </c>
      <c r="AZ59" s="110" t="s">
        <v>1730</v>
      </c>
      <c r="BA59" s="109" t="s">
        <v>1737</v>
      </c>
      <c r="BC59" s="100">
        <f>AW59+AX59</f>
        <v>0</v>
      </c>
      <c r="BD59" s="100">
        <f>H59/(100-BE59)*100</f>
        <v>0</v>
      </c>
      <c r="BE59" s="100">
        <v>0</v>
      </c>
      <c r="BF59" s="100">
        <f>59</f>
        <v>59</v>
      </c>
      <c r="BH59" s="108">
        <f>G59*AO59</f>
        <v>0</v>
      </c>
      <c r="BI59" s="108">
        <f>G59*AP59</f>
        <v>0</v>
      </c>
      <c r="BJ59" s="108">
        <f>G59*H59</f>
        <v>0</v>
      </c>
    </row>
    <row r="60" spans="1:62" x14ac:dyDescent="0.2">
      <c r="A60" s="117" t="s">
        <v>46</v>
      </c>
      <c r="B60" s="117" t="s">
        <v>658</v>
      </c>
      <c r="C60" s="304" t="s">
        <v>4404</v>
      </c>
      <c r="D60" s="305"/>
      <c r="E60" s="305"/>
      <c r="F60" s="117" t="s">
        <v>1645</v>
      </c>
      <c r="G60" s="116">
        <v>17.954999999999998</v>
      </c>
      <c r="H60" s="159"/>
      <c r="I60" s="108">
        <f>G60*AO60</f>
        <v>0</v>
      </c>
      <c r="J60" s="108">
        <f>G60*AP60</f>
        <v>0</v>
      </c>
      <c r="K60" s="108">
        <f>G60*H60</f>
        <v>0</v>
      </c>
      <c r="L60" s="111" t="s">
        <v>1671</v>
      </c>
      <c r="Z60" s="100">
        <f>IF(AQ60="5",BJ60,0)</f>
        <v>0</v>
      </c>
      <c r="AB60" s="100">
        <f>IF(AQ60="1",BH60,0)</f>
        <v>0</v>
      </c>
      <c r="AC60" s="100">
        <f>IF(AQ60="1",BI60,0)</f>
        <v>0</v>
      </c>
      <c r="AD60" s="100">
        <f>IF(AQ60="7",BH60,0)</f>
        <v>0</v>
      </c>
      <c r="AE60" s="100">
        <f>IF(AQ60="7",BI60,0)</f>
        <v>0</v>
      </c>
      <c r="AF60" s="100">
        <f>IF(AQ60="2",BH60,0)</f>
        <v>0</v>
      </c>
      <c r="AG60" s="100">
        <f>IF(AQ60="2",BI60,0)</f>
        <v>0</v>
      </c>
      <c r="AH60" s="100">
        <f>IF(AQ60="0",BJ60,0)</f>
        <v>0</v>
      </c>
      <c r="AI60" s="109"/>
      <c r="AJ60" s="108">
        <f>IF(AN60=0,K60,0)</f>
        <v>0</v>
      </c>
      <c r="AK60" s="108">
        <f>IF(AN60=15,K60,0)</f>
        <v>0</v>
      </c>
      <c r="AL60" s="108">
        <f>IF(AN60=21,K60,0)</f>
        <v>0</v>
      </c>
      <c r="AN60" s="100">
        <v>15</v>
      </c>
      <c r="AO60" s="100">
        <f>H60*0</f>
        <v>0</v>
      </c>
      <c r="AP60" s="100">
        <f>H60*(1-0)</f>
        <v>0</v>
      </c>
      <c r="AQ60" s="111" t="s">
        <v>7</v>
      </c>
      <c r="AV60" s="100">
        <f>AW60+AX60</f>
        <v>0</v>
      </c>
      <c r="AW60" s="100">
        <f>G60*AO60</f>
        <v>0</v>
      </c>
      <c r="AX60" s="100">
        <f>G60*AP60</f>
        <v>0</v>
      </c>
      <c r="AY60" s="110" t="s">
        <v>1700</v>
      </c>
      <c r="AZ60" s="110" t="s">
        <v>1730</v>
      </c>
      <c r="BA60" s="109" t="s">
        <v>1737</v>
      </c>
      <c r="BC60" s="100">
        <f>AW60+AX60</f>
        <v>0</v>
      </c>
      <c r="BD60" s="100">
        <f>H60/(100-BE60)*100</f>
        <v>0</v>
      </c>
      <c r="BE60" s="100">
        <v>0</v>
      </c>
      <c r="BF60" s="100">
        <f>60</f>
        <v>60</v>
      </c>
      <c r="BH60" s="108">
        <f>G60*AO60</f>
        <v>0</v>
      </c>
      <c r="BI60" s="108">
        <f>G60*AP60</f>
        <v>0</v>
      </c>
      <c r="BJ60" s="108">
        <f>G60*H60</f>
        <v>0</v>
      </c>
    </row>
    <row r="61" spans="1:62" x14ac:dyDescent="0.2">
      <c r="A61" s="117" t="s">
        <v>47</v>
      </c>
      <c r="B61" s="117" t="s">
        <v>659</v>
      </c>
      <c r="C61" s="304" t="s">
        <v>4403</v>
      </c>
      <c r="D61" s="305"/>
      <c r="E61" s="305"/>
      <c r="F61" s="117" t="s">
        <v>1646</v>
      </c>
      <c r="G61" s="116">
        <v>16.079999999999998</v>
      </c>
      <c r="H61" s="159"/>
      <c r="I61" s="108">
        <f>G61*AO61</f>
        <v>0</v>
      </c>
      <c r="J61" s="108">
        <f>G61*AP61</f>
        <v>0</v>
      </c>
      <c r="K61" s="108">
        <f>G61*H61</f>
        <v>0</v>
      </c>
      <c r="L61" s="111" t="s">
        <v>1671</v>
      </c>
      <c r="Z61" s="100">
        <f>IF(AQ61="5",BJ61,0)</f>
        <v>0</v>
      </c>
      <c r="AB61" s="100">
        <f>IF(AQ61="1",BH61,0)</f>
        <v>0</v>
      </c>
      <c r="AC61" s="100">
        <f>IF(AQ61="1",BI61,0)</f>
        <v>0</v>
      </c>
      <c r="AD61" s="100">
        <f>IF(AQ61="7",BH61,0)</f>
        <v>0</v>
      </c>
      <c r="AE61" s="100">
        <f>IF(AQ61="7",BI61,0)</f>
        <v>0</v>
      </c>
      <c r="AF61" s="100">
        <f>IF(AQ61="2",BH61,0)</f>
        <v>0</v>
      </c>
      <c r="AG61" s="100">
        <f>IF(AQ61="2",BI61,0)</f>
        <v>0</v>
      </c>
      <c r="AH61" s="100">
        <f>IF(AQ61="0",BJ61,0)</f>
        <v>0</v>
      </c>
      <c r="AI61" s="109"/>
      <c r="AJ61" s="108">
        <f>IF(AN61=0,K61,0)</f>
        <v>0</v>
      </c>
      <c r="AK61" s="108">
        <f>IF(AN61=15,K61,0)</f>
        <v>0</v>
      </c>
      <c r="AL61" s="108">
        <f>IF(AN61=21,K61,0)</f>
        <v>0</v>
      </c>
      <c r="AN61" s="100">
        <v>15</v>
      </c>
      <c r="AO61" s="100">
        <f>H61*0</f>
        <v>0</v>
      </c>
      <c r="AP61" s="100">
        <f>H61*(1-0)</f>
        <v>0</v>
      </c>
      <c r="AQ61" s="111" t="s">
        <v>7</v>
      </c>
      <c r="AV61" s="100">
        <f>AW61+AX61</f>
        <v>0</v>
      </c>
      <c r="AW61" s="100">
        <f>G61*AO61</f>
        <v>0</v>
      </c>
      <c r="AX61" s="100">
        <f>G61*AP61</f>
        <v>0</v>
      </c>
      <c r="AY61" s="110" t="s">
        <v>1700</v>
      </c>
      <c r="AZ61" s="110" t="s">
        <v>1730</v>
      </c>
      <c r="BA61" s="109" t="s">
        <v>1737</v>
      </c>
      <c r="BC61" s="100">
        <f>AW61+AX61</f>
        <v>0</v>
      </c>
      <c r="BD61" s="100">
        <f>H61/(100-BE61)*100</f>
        <v>0</v>
      </c>
      <c r="BE61" s="100">
        <v>0</v>
      </c>
      <c r="BF61" s="100">
        <f>61</f>
        <v>61</v>
      </c>
      <c r="BH61" s="108">
        <f>G61*AO61</f>
        <v>0</v>
      </c>
      <c r="BI61" s="108">
        <f>G61*AP61</f>
        <v>0</v>
      </c>
      <c r="BJ61" s="108">
        <f>G61*H61</f>
        <v>0</v>
      </c>
    </row>
    <row r="62" spans="1:62" x14ac:dyDescent="0.2">
      <c r="A62" s="117" t="s">
        <v>48</v>
      </c>
      <c r="B62" s="117" t="s">
        <v>660</v>
      </c>
      <c r="C62" s="304" t="s">
        <v>4402</v>
      </c>
      <c r="D62" s="305"/>
      <c r="E62" s="305"/>
      <c r="F62" s="117" t="s">
        <v>1645</v>
      </c>
      <c r="G62" s="116">
        <v>17.954999999999998</v>
      </c>
      <c r="H62" s="159"/>
      <c r="I62" s="108">
        <f>G62*AO62</f>
        <v>0</v>
      </c>
      <c r="J62" s="108">
        <f>G62*AP62</f>
        <v>0</v>
      </c>
      <c r="K62" s="108">
        <f>G62*H62</f>
        <v>0</v>
      </c>
      <c r="L62" s="111" t="s">
        <v>1671</v>
      </c>
      <c r="Z62" s="100">
        <f>IF(AQ62="5",BJ62,0)</f>
        <v>0</v>
      </c>
      <c r="AB62" s="100">
        <f>IF(AQ62="1",BH62,0)</f>
        <v>0</v>
      </c>
      <c r="AC62" s="100">
        <f>IF(AQ62="1",BI62,0)</f>
        <v>0</v>
      </c>
      <c r="AD62" s="100">
        <f>IF(AQ62="7",BH62,0)</f>
        <v>0</v>
      </c>
      <c r="AE62" s="100">
        <f>IF(AQ62="7",BI62,0)</f>
        <v>0</v>
      </c>
      <c r="AF62" s="100">
        <f>IF(AQ62="2",BH62,0)</f>
        <v>0</v>
      </c>
      <c r="AG62" s="100">
        <f>IF(AQ62="2",BI62,0)</f>
        <v>0</v>
      </c>
      <c r="AH62" s="100">
        <f>IF(AQ62="0",BJ62,0)</f>
        <v>0</v>
      </c>
      <c r="AI62" s="109"/>
      <c r="AJ62" s="108">
        <f>IF(AN62=0,K62,0)</f>
        <v>0</v>
      </c>
      <c r="AK62" s="108">
        <f>IF(AN62=15,K62,0)</f>
        <v>0</v>
      </c>
      <c r="AL62" s="108">
        <f>IF(AN62=21,K62,0)</f>
        <v>0</v>
      </c>
      <c r="AN62" s="100">
        <v>15</v>
      </c>
      <c r="AO62" s="100">
        <f>H62*0</f>
        <v>0</v>
      </c>
      <c r="AP62" s="100">
        <f>H62*(1-0)</f>
        <v>0</v>
      </c>
      <c r="AQ62" s="111" t="s">
        <v>7</v>
      </c>
      <c r="AV62" s="100">
        <f>AW62+AX62</f>
        <v>0</v>
      </c>
      <c r="AW62" s="100">
        <f>G62*AO62</f>
        <v>0</v>
      </c>
      <c r="AX62" s="100">
        <f>G62*AP62</f>
        <v>0</v>
      </c>
      <c r="AY62" s="110" t="s">
        <v>1700</v>
      </c>
      <c r="AZ62" s="110" t="s">
        <v>1730</v>
      </c>
      <c r="BA62" s="109" t="s">
        <v>1737</v>
      </c>
      <c r="BC62" s="100">
        <f>AW62+AX62</f>
        <v>0</v>
      </c>
      <c r="BD62" s="100">
        <f>H62/(100-BE62)*100</f>
        <v>0</v>
      </c>
      <c r="BE62" s="100">
        <v>0</v>
      </c>
      <c r="BF62" s="100">
        <f>62</f>
        <v>62</v>
      </c>
      <c r="BH62" s="108">
        <f>G62*AO62</f>
        <v>0</v>
      </c>
      <c r="BI62" s="108">
        <f>G62*AP62</f>
        <v>0</v>
      </c>
      <c r="BJ62" s="108">
        <f>G62*H62</f>
        <v>0</v>
      </c>
    </row>
    <row r="63" spans="1:62" x14ac:dyDescent="0.2">
      <c r="A63" s="117" t="s">
        <v>49</v>
      </c>
      <c r="B63" s="117" t="s">
        <v>2145</v>
      </c>
      <c r="C63" s="304" t="s">
        <v>4401</v>
      </c>
      <c r="D63" s="305"/>
      <c r="E63" s="305"/>
      <c r="F63" s="117" t="s">
        <v>1644</v>
      </c>
      <c r="G63" s="116">
        <v>1</v>
      </c>
      <c r="H63" s="159"/>
      <c r="I63" s="108">
        <f>G63*AO63</f>
        <v>0</v>
      </c>
      <c r="J63" s="108">
        <f>G63*AP63</f>
        <v>0</v>
      </c>
      <c r="K63" s="108">
        <f>G63*H63</f>
        <v>0</v>
      </c>
      <c r="L63" s="111" t="s">
        <v>1671</v>
      </c>
      <c r="Z63" s="100">
        <f>IF(AQ63="5",BJ63,0)</f>
        <v>0</v>
      </c>
      <c r="AB63" s="100">
        <f>IF(AQ63="1",BH63,0)</f>
        <v>0</v>
      </c>
      <c r="AC63" s="100">
        <f>IF(AQ63="1",BI63,0)</f>
        <v>0</v>
      </c>
      <c r="AD63" s="100">
        <f>IF(AQ63="7",BH63,0)</f>
        <v>0</v>
      </c>
      <c r="AE63" s="100">
        <f>IF(AQ63="7",BI63,0)</f>
        <v>0</v>
      </c>
      <c r="AF63" s="100">
        <f>IF(AQ63="2",BH63,0)</f>
        <v>0</v>
      </c>
      <c r="AG63" s="100">
        <f>IF(AQ63="2",BI63,0)</f>
        <v>0</v>
      </c>
      <c r="AH63" s="100">
        <f>IF(AQ63="0",BJ63,0)</f>
        <v>0</v>
      </c>
      <c r="AI63" s="109"/>
      <c r="AJ63" s="108">
        <f>IF(AN63=0,K63,0)</f>
        <v>0</v>
      </c>
      <c r="AK63" s="108">
        <f>IF(AN63=15,K63,0)</f>
        <v>0</v>
      </c>
      <c r="AL63" s="108">
        <f>IF(AN63=21,K63,0)</f>
        <v>0</v>
      </c>
      <c r="AN63" s="100">
        <v>15</v>
      </c>
      <c r="AO63" s="100">
        <f>H63*0.14559</f>
        <v>0</v>
      </c>
      <c r="AP63" s="100">
        <f>H63*(1-0.14559)</f>
        <v>0</v>
      </c>
      <c r="AQ63" s="111" t="s">
        <v>7</v>
      </c>
      <c r="AV63" s="100">
        <f>AW63+AX63</f>
        <v>0</v>
      </c>
      <c r="AW63" s="100">
        <f>G63*AO63</f>
        <v>0</v>
      </c>
      <c r="AX63" s="100">
        <f>G63*AP63</f>
        <v>0</v>
      </c>
      <c r="AY63" s="110" t="s">
        <v>1700</v>
      </c>
      <c r="AZ63" s="110" t="s">
        <v>1730</v>
      </c>
      <c r="BA63" s="109" t="s">
        <v>1737</v>
      </c>
      <c r="BC63" s="100">
        <f>AW63+AX63</f>
        <v>0</v>
      </c>
      <c r="BD63" s="100">
        <f>H63/(100-BE63)*100</f>
        <v>0</v>
      </c>
      <c r="BE63" s="100">
        <v>0</v>
      </c>
      <c r="BF63" s="100">
        <f>63</f>
        <v>63</v>
      </c>
      <c r="BH63" s="108">
        <f>G63*AO63</f>
        <v>0</v>
      </c>
      <c r="BI63" s="108">
        <f>G63*AP63</f>
        <v>0</v>
      </c>
      <c r="BJ63" s="108">
        <f>G63*H63</f>
        <v>0</v>
      </c>
    </row>
    <row r="64" spans="1:62" x14ac:dyDescent="0.2">
      <c r="A64" s="119"/>
      <c r="B64" s="120" t="s">
        <v>103</v>
      </c>
      <c r="C64" s="306" t="s">
        <v>1178</v>
      </c>
      <c r="D64" s="307"/>
      <c r="E64" s="307"/>
      <c r="F64" s="119" t="s">
        <v>6</v>
      </c>
      <c r="G64" s="119" t="s">
        <v>6</v>
      </c>
      <c r="H64" s="119" t="s">
        <v>6</v>
      </c>
      <c r="I64" s="118">
        <f>SUM(I65:I76)</f>
        <v>0</v>
      </c>
      <c r="J64" s="118">
        <f>SUM(J65:J76)</f>
        <v>0</v>
      </c>
      <c r="K64" s="118">
        <f>SUM(K65:K76)</f>
        <v>0</v>
      </c>
      <c r="L64" s="109"/>
      <c r="AI64" s="109"/>
      <c r="AS64" s="118">
        <f>SUM(AJ65:AJ76)</f>
        <v>0</v>
      </c>
      <c r="AT64" s="118">
        <f>SUM(AK65:AK76)</f>
        <v>0</v>
      </c>
      <c r="AU64" s="118">
        <f>SUM(AL65:AL76)</f>
        <v>0</v>
      </c>
    </row>
    <row r="65" spans="1:62" x14ac:dyDescent="0.2">
      <c r="A65" s="117" t="s">
        <v>50</v>
      </c>
      <c r="B65" s="117" t="s">
        <v>670</v>
      </c>
      <c r="C65" s="304" t="s">
        <v>1179</v>
      </c>
      <c r="D65" s="305"/>
      <c r="E65" s="305"/>
      <c r="F65" s="117" t="s">
        <v>1646</v>
      </c>
      <c r="G65" s="116">
        <v>0.9</v>
      </c>
      <c r="H65" s="159"/>
      <c r="I65" s="108">
        <f t="shared" ref="I65:I76" si="44">G65*AO65</f>
        <v>0</v>
      </c>
      <c r="J65" s="108">
        <f t="shared" ref="J65:J76" si="45">G65*AP65</f>
        <v>0</v>
      </c>
      <c r="K65" s="108">
        <f t="shared" ref="K65:K76" si="46">G65*H65</f>
        <v>0</v>
      </c>
      <c r="L65" s="111" t="s">
        <v>1671</v>
      </c>
      <c r="Z65" s="100">
        <f t="shared" ref="Z65:Z76" si="47">IF(AQ65="5",BJ65,0)</f>
        <v>0</v>
      </c>
      <c r="AB65" s="100">
        <f t="shared" ref="AB65:AB76" si="48">IF(AQ65="1",BH65,0)</f>
        <v>0</v>
      </c>
      <c r="AC65" s="100">
        <f t="shared" ref="AC65:AC76" si="49">IF(AQ65="1",BI65,0)</f>
        <v>0</v>
      </c>
      <c r="AD65" s="100">
        <f t="shared" ref="AD65:AD76" si="50">IF(AQ65="7",BH65,0)</f>
        <v>0</v>
      </c>
      <c r="AE65" s="100">
        <f t="shared" ref="AE65:AE76" si="51">IF(AQ65="7",BI65,0)</f>
        <v>0</v>
      </c>
      <c r="AF65" s="100">
        <f t="shared" ref="AF65:AF76" si="52">IF(AQ65="2",BH65,0)</f>
        <v>0</v>
      </c>
      <c r="AG65" s="100">
        <f t="shared" ref="AG65:AG76" si="53">IF(AQ65="2",BI65,0)</f>
        <v>0</v>
      </c>
      <c r="AH65" s="100">
        <f t="shared" ref="AH65:AH76" si="54">IF(AQ65="0",BJ65,0)</f>
        <v>0</v>
      </c>
      <c r="AI65" s="109"/>
      <c r="AJ65" s="108">
        <f t="shared" ref="AJ65:AJ76" si="55">IF(AN65=0,K65,0)</f>
        <v>0</v>
      </c>
      <c r="AK65" s="108">
        <f t="shared" ref="AK65:AK76" si="56">IF(AN65=15,K65,0)</f>
        <v>0</v>
      </c>
      <c r="AL65" s="108">
        <f t="shared" ref="AL65:AL76" si="57">IF(AN65=21,K65,0)</f>
        <v>0</v>
      </c>
      <c r="AN65" s="100">
        <v>15</v>
      </c>
      <c r="AO65" s="100">
        <f>H65*0.317346200241255</f>
        <v>0</v>
      </c>
      <c r="AP65" s="100">
        <f>H65*(1-0.317346200241255)</f>
        <v>0</v>
      </c>
      <c r="AQ65" s="111" t="s">
        <v>7</v>
      </c>
      <c r="AV65" s="100">
        <f t="shared" ref="AV65:AV76" si="58">AW65+AX65</f>
        <v>0</v>
      </c>
      <c r="AW65" s="100">
        <f t="shared" ref="AW65:AW76" si="59">G65*AO65</f>
        <v>0</v>
      </c>
      <c r="AX65" s="100">
        <f t="shared" ref="AX65:AX76" si="60">G65*AP65</f>
        <v>0</v>
      </c>
      <c r="AY65" s="110" t="s">
        <v>1701</v>
      </c>
      <c r="AZ65" s="110" t="s">
        <v>1730</v>
      </c>
      <c r="BA65" s="109" t="s">
        <v>1737</v>
      </c>
      <c r="BC65" s="100">
        <f t="shared" ref="BC65:BC76" si="61">AW65+AX65</f>
        <v>0</v>
      </c>
      <c r="BD65" s="100">
        <f t="shared" ref="BD65:BD76" si="62">H65/(100-BE65)*100</f>
        <v>0</v>
      </c>
      <c r="BE65" s="100">
        <v>0</v>
      </c>
      <c r="BF65" s="100">
        <f>65</f>
        <v>65</v>
      </c>
      <c r="BH65" s="108">
        <f t="shared" ref="BH65:BH76" si="63">G65*AO65</f>
        <v>0</v>
      </c>
      <c r="BI65" s="108">
        <f t="shared" ref="BI65:BI76" si="64">G65*AP65</f>
        <v>0</v>
      </c>
      <c r="BJ65" s="108">
        <f t="shared" ref="BJ65:BJ76" si="65">G65*H65</f>
        <v>0</v>
      </c>
    </row>
    <row r="66" spans="1:62" x14ac:dyDescent="0.2">
      <c r="A66" s="117" t="s">
        <v>51</v>
      </c>
      <c r="B66" s="117" t="s">
        <v>671</v>
      </c>
      <c r="C66" s="304" t="s">
        <v>1180</v>
      </c>
      <c r="D66" s="305"/>
      <c r="E66" s="305"/>
      <c r="F66" s="117" t="s">
        <v>1646</v>
      </c>
      <c r="G66" s="116">
        <v>0.9</v>
      </c>
      <c r="H66" s="159"/>
      <c r="I66" s="108">
        <f t="shared" si="44"/>
        <v>0</v>
      </c>
      <c r="J66" s="108">
        <f t="shared" si="45"/>
        <v>0</v>
      </c>
      <c r="K66" s="108">
        <f t="shared" si="46"/>
        <v>0</v>
      </c>
      <c r="L66" s="111" t="s">
        <v>1671</v>
      </c>
      <c r="Z66" s="100">
        <f t="shared" si="47"/>
        <v>0</v>
      </c>
      <c r="AB66" s="100">
        <f t="shared" si="48"/>
        <v>0</v>
      </c>
      <c r="AC66" s="100">
        <f t="shared" si="49"/>
        <v>0</v>
      </c>
      <c r="AD66" s="100">
        <f t="shared" si="50"/>
        <v>0</v>
      </c>
      <c r="AE66" s="100">
        <f t="shared" si="51"/>
        <v>0</v>
      </c>
      <c r="AF66" s="100">
        <f t="shared" si="52"/>
        <v>0</v>
      </c>
      <c r="AG66" s="100">
        <f t="shared" si="53"/>
        <v>0</v>
      </c>
      <c r="AH66" s="100">
        <f t="shared" si="54"/>
        <v>0</v>
      </c>
      <c r="AI66" s="109"/>
      <c r="AJ66" s="108">
        <f t="shared" si="55"/>
        <v>0</v>
      </c>
      <c r="AK66" s="108">
        <f t="shared" si="56"/>
        <v>0</v>
      </c>
      <c r="AL66" s="108">
        <f t="shared" si="57"/>
        <v>0</v>
      </c>
      <c r="AN66" s="100">
        <v>15</v>
      </c>
      <c r="AO66" s="100">
        <f>H66*0.0581320754716981</f>
        <v>0</v>
      </c>
      <c r="AP66" s="100">
        <f>H66*(1-0.0581320754716981)</f>
        <v>0</v>
      </c>
      <c r="AQ66" s="111" t="s">
        <v>7</v>
      </c>
      <c r="AV66" s="100">
        <f t="shared" si="58"/>
        <v>0</v>
      </c>
      <c r="AW66" s="100">
        <f t="shared" si="59"/>
        <v>0</v>
      </c>
      <c r="AX66" s="100">
        <f t="shared" si="60"/>
        <v>0</v>
      </c>
      <c r="AY66" s="110" t="s">
        <v>1701</v>
      </c>
      <c r="AZ66" s="110" t="s">
        <v>1730</v>
      </c>
      <c r="BA66" s="109" t="s">
        <v>1737</v>
      </c>
      <c r="BC66" s="100">
        <f t="shared" si="61"/>
        <v>0</v>
      </c>
      <c r="BD66" s="100">
        <f t="shared" si="62"/>
        <v>0</v>
      </c>
      <c r="BE66" s="100">
        <v>0</v>
      </c>
      <c r="BF66" s="100">
        <f>66</f>
        <v>66</v>
      </c>
      <c r="BH66" s="108">
        <f t="shared" si="63"/>
        <v>0</v>
      </c>
      <c r="BI66" s="108">
        <f t="shared" si="64"/>
        <v>0</v>
      </c>
      <c r="BJ66" s="108">
        <f t="shared" si="65"/>
        <v>0</v>
      </c>
    </row>
    <row r="67" spans="1:62" x14ac:dyDescent="0.2">
      <c r="A67" s="117" t="s">
        <v>52</v>
      </c>
      <c r="B67" s="117" t="s">
        <v>672</v>
      </c>
      <c r="C67" s="304" t="s">
        <v>1181</v>
      </c>
      <c r="D67" s="305"/>
      <c r="E67" s="305"/>
      <c r="F67" s="117" t="s">
        <v>1646</v>
      </c>
      <c r="G67" s="116">
        <v>0.9</v>
      </c>
      <c r="H67" s="159"/>
      <c r="I67" s="108">
        <f t="shared" si="44"/>
        <v>0</v>
      </c>
      <c r="J67" s="108">
        <f t="shared" si="45"/>
        <v>0</v>
      </c>
      <c r="K67" s="108">
        <f t="shared" si="46"/>
        <v>0</v>
      </c>
      <c r="L67" s="111" t="s">
        <v>1671</v>
      </c>
      <c r="Z67" s="100">
        <f t="shared" si="47"/>
        <v>0</v>
      </c>
      <c r="AB67" s="100">
        <f t="shared" si="48"/>
        <v>0</v>
      </c>
      <c r="AC67" s="100">
        <f t="shared" si="49"/>
        <v>0</v>
      </c>
      <c r="AD67" s="100">
        <f t="shared" si="50"/>
        <v>0</v>
      </c>
      <c r="AE67" s="100">
        <f t="shared" si="51"/>
        <v>0</v>
      </c>
      <c r="AF67" s="100">
        <f t="shared" si="52"/>
        <v>0</v>
      </c>
      <c r="AG67" s="100">
        <f t="shared" si="53"/>
        <v>0</v>
      </c>
      <c r="AH67" s="100">
        <f t="shared" si="54"/>
        <v>0</v>
      </c>
      <c r="AI67" s="109"/>
      <c r="AJ67" s="108">
        <f t="shared" si="55"/>
        <v>0</v>
      </c>
      <c r="AK67" s="108">
        <f t="shared" si="56"/>
        <v>0</v>
      </c>
      <c r="AL67" s="108">
        <f t="shared" si="57"/>
        <v>0</v>
      </c>
      <c r="AN67" s="100">
        <v>15</v>
      </c>
      <c r="AO67" s="100">
        <f>H67*0.26691503456599</f>
        <v>0</v>
      </c>
      <c r="AP67" s="100">
        <f>H67*(1-0.26691503456599)</f>
        <v>0</v>
      </c>
      <c r="AQ67" s="111" t="s">
        <v>7</v>
      </c>
      <c r="AV67" s="100">
        <f t="shared" si="58"/>
        <v>0</v>
      </c>
      <c r="AW67" s="100">
        <f t="shared" si="59"/>
        <v>0</v>
      </c>
      <c r="AX67" s="100">
        <f t="shared" si="60"/>
        <v>0</v>
      </c>
      <c r="AY67" s="110" t="s">
        <v>1701</v>
      </c>
      <c r="AZ67" s="110" t="s">
        <v>1730</v>
      </c>
      <c r="BA67" s="109" t="s">
        <v>1737</v>
      </c>
      <c r="BC67" s="100">
        <f t="shared" si="61"/>
        <v>0</v>
      </c>
      <c r="BD67" s="100">
        <f t="shared" si="62"/>
        <v>0</v>
      </c>
      <c r="BE67" s="100">
        <v>0</v>
      </c>
      <c r="BF67" s="100">
        <f>67</f>
        <v>67</v>
      </c>
      <c r="BH67" s="108">
        <f t="shared" si="63"/>
        <v>0</v>
      </c>
      <c r="BI67" s="108">
        <f t="shared" si="64"/>
        <v>0</v>
      </c>
      <c r="BJ67" s="108">
        <f t="shared" si="65"/>
        <v>0</v>
      </c>
    </row>
    <row r="68" spans="1:62" x14ac:dyDescent="0.2">
      <c r="A68" s="117" t="s">
        <v>53</v>
      </c>
      <c r="B68" s="117" t="s">
        <v>2479</v>
      </c>
      <c r="C68" s="304" t="s">
        <v>2478</v>
      </c>
      <c r="D68" s="305"/>
      <c r="E68" s="305"/>
      <c r="F68" s="117" t="s">
        <v>1646</v>
      </c>
      <c r="G68" s="116">
        <v>0.45</v>
      </c>
      <c r="H68" s="159"/>
      <c r="I68" s="108">
        <f t="shared" si="44"/>
        <v>0</v>
      </c>
      <c r="J68" s="108">
        <f t="shared" si="45"/>
        <v>0</v>
      </c>
      <c r="K68" s="108">
        <f t="shared" si="46"/>
        <v>0</v>
      </c>
      <c r="L68" s="111" t="s">
        <v>1671</v>
      </c>
      <c r="Z68" s="100">
        <f t="shared" si="47"/>
        <v>0</v>
      </c>
      <c r="AB68" s="100">
        <f t="shared" si="48"/>
        <v>0</v>
      </c>
      <c r="AC68" s="100">
        <f t="shared" si="49"/>
        <v>0</v>
      </c>
      <c r="AD68" s="100">
        <f t="shared" si="50"/>
        <v>0</v>
      </c>
      <c r="AE68" s="100">
        <f t="shared" si="51"/>
        <v>0</v>
      </c>
      <c r="AF68" s="100">
        <f t="shared" si="52"/>
        <v>0</v>
      </c>
      <c r="AG68" s="100">
        <f t="shared" si="53"/>
        <v>0</v>
      </c>
      <c r="AH68" s="100">
        <f t="shared" si="54"/>
        <v>0</v>
      </c>
      <c r="AI68" s="109"/>
      <c r="AJ68" s="108">
        <f t="shared" si="55"/>
        <v>0</v>
      </c>
      <c r="AK68" s="108">
        <f t="shared" si="56"/>
        <v>0</v>
      </c>
      <c r="AL68" s="108">
        <f t="shared" si="57"/>
        <v>0</v>
      </c>
      <c r="AN68" s="100">
        <v>15</v>
      </c>
      <c r="AO68" s="100">
        <f>H68*0.328942398489141</f>
        <v>0</v>
      </c>
      <c r="AP68" s="100">
        <f>H68*(1-0.328942398489141)</f>
        <v>0</v>
      </c>
      <c r="AQ68" s="111" t="s">
        <v>7</v>
      </c>
      <c r="AV68" s="100">
        <f t="shared" si="58"/>
        <v>0</v>
      </c>
      <c r="AW68" s="100">
        <f t="shared" si="59"/>
        <v>0</v>
      </c>
      <c r="AX68" s="100">
        <f t="shared" si="60"/>
        <v>0</v>
      </c>
      <c r="AY68" s="110" t="s">
        <v>1701</v>
      </c>
      <c r="AZ68" s="110" t="s">
        <v>1730</v>
      </c>
      <c r="BA68" s="109" t="s">
        <v>1737</v>
      </c>
      <c r="BC68" s="100">
        <f t="shared" si="61"/>
        <v>0</v>
      </c>
      <c r="BD68" s="100">
        <f t="shared" si="62"/>
        <v>0</v>
      </c>
      <c r="BE68" s="100">
        <v>0</v>
      </c>
      <c r="BF68" s="100">
        <f>68</f>
        <v>68</v>
      </c>
      <c r="BH68" s="108">
        <f t="shared" si="63"/>
        <v>0</v>
      </c>
      <c r="BI68" s="108">
        <f t="shared" si="64"/>
        <v>0</v>
      </c>
      <c r="BJ68" s="108">
        <f t="shared" si="65"/>
        <v>0</v>
      </c>
    </row>
    <row r="69" spans="1:62" x14ac:dyDescent="0.2">
      <c r="A69" s="117" t="s">
        <v>54</v>
      </c>
      <c r="B69" s="117" t="s">
        <v>3721</v>
      </c>
      <c r="C69" s="304" t="s">
        <v>3720</v>
      </c>
      <c r="D69" s="305"/>
      <c r="E69" s="305"/>
      <c r="F69" s="117" t="s">
        <v>1646</v>
      </c>
      <c r="G69" s="116">
        <v>0.45</v>
      </c>
      <c r="H69" s="159"/>
      <c r="I69" s="108">
        <f t="shared" si="44"/>
        <v>0</v>
      </c>
      <c r="J69" s="108">
        <f t="shared" si="45"/>
        <v>0</v>
      </c>
      <c r="K69" s="108">
        <f t="shared" si="46"/>
        <v>0</v>
      </c>
      <c r="L69" s="111" t="s">
        <v>1671</v>
      </c>
      <c r="Z69" s="100">
        <f t="shared" si="47"/>
        <v>0</v>
      </c>
      <c r="AB69" s="100">
        <f t="shared" si="48"/>
        <v>0</v>
      </c>
      <c r="AC69" s="100">
        <f t="shared" si="49"/>
        <v>0</v>
      </c>
      <c r="AD69" s="100">
        <f t="shared" si="50"/>
        <v>0</v>
      </c>
      <c r="AE69" s="100">
        <f t="shared" si="51"/>
        <v>0</v>
      </c>
      <c r="AF69" s="100">
        <f t="shared" si="52"/>
        <v>0</v>
      </c>
      <c r="AG69" s="100">
        <f t="shared" si="53"/>
        <v>0</v>
      </c>
      <c r="AH69" s="100">
        <f t="shared" si="54"/>
        <v>0</v>
      </c>
      <c r="AI69" s="109"/>
      <c r="AJ69" s="108">
        <f t="shared" si="55"/>
        <v>0</v>
      </c>
      <c r="AK69" s="108">
        <f t="shared" si="56"/>
        <v>0</v>
      </c>
      <c r="AL69" s="108">
        <f t="shared" si="57"/>
        <v>0</v>
      </c>
      <c r="AN69" s="100">
        <v>15</v>
      </c>
      <c r="AO69" s="100">
        <f>H69*0.0464705882352941</f>
        <v>0</v>
      </c>
      <c r="AP69" s="100">
        <f>H69*(1-0.0464705882352941)</f>
        <v>0</v>
      </c>
      <c r="AQ69" s="111" t="s">
        <v>7</v>
      </c>
      <c r="AV69" s="100">
        <f t="shared" si="58"/>
        <v>0</v>
      </c>
      <c r="AW69" s="100">
        <f t="shared" si="59"/>
        <v>0</v>
      </c>
      <c r="AX69" s="100">
        <f t="shared" si="60"/>
        <v>0</v>
      </c>
      <c r="AY69" s="110" t="s">
        <v>1701</v>
      </c>
      <c r="AZ69" s="110" t="s">
        <v>1730</v>
      </c>
      <c r="BA69" s="109" t="s">
        <v>1737</v>
      </c>
      <c r="BC69" s="100">
        <f t="shared" si="61"/>
        <v>0</v>
      </c>
      <c r="BD69" s="100">
        <f t="shared" si="62"/>
        <v>0</v>
      </c>
      <c r="BE69" s="100">
        <v>0</v>
      </c>
      <c r="BF69" s="100">
        <f>69</f>
        <v>69</v>
      </c>
      <c r="BH69" s="108">
        <f t="shared" si="63"/>
        <v>0</v>
      </c>
      <c r="BI69" s="108">
        <f t="shared" si="64"/>
        <v>0</v>
      </c>
      <c r="BJ69" s="108">
        <f t="shared" si="65"/>
        <v>0</v>
      </c>
    </row>
    <row r="70" spans="1:62" x14ac:dyDescent="0.2">
      <c r="A70" s="117" t="s">
        <v>55</v>
      </c>
      <c r="B70" s="117" t="s">
        <v>2477</v>
      </c>
      <c r="C70" s="304" t="s">
        <v>2476</v>
      </c>
      <c r="D70" s="305"/>
      <c r="E70" s="305"/>
      <c r="F70" s="117" t="s">
        <v>1646</v>
      </c>
      <c r="G70" s="116">
        <v>0.45</v>
      </c>
      <c r="H70" s="159"/>
      <c r="I70" s="108">
        <f t="shared" si="44"/>
        <v>0</v>
      </c>
      <c r="J70" s="108">
        <f t="shared" si="45"/>
        <v>0</v>
      </c>
      <c r="K70" s="108">
        <f t="shared" si="46"/>
        <v>0</v>
      </c>
      <c r="L70" s="111" t="s">
        <v>1671</v>
      </c>
      <c r="Z70" s="100">
        <f t="shared" si="47"/>
        <v>0</v>
      </c>
      <c r="AB70" s="100">
        <f t="shared" si="48"/>
        <v>0</v>
      </c>
      <c r="AC70" s="100">
        <f t="shared" si="49"/>
        <v>0</v>
      </c>
      <c r="AD70" s="100">
        <f t="shared" si="50"/>
        <v>0</v>
      </c>
      <c r="AE70" s="100">
        <f t="shared" si="51"/>
        <v>0</v>
      </c>
      <c r="AF70" s="100">
        <f t="shared" si="52"/>
        <v>0</v>
      </c>
      <c r="AG70" s="100">
        <f t="shared" si="53"/>
        <v>0</v>
      </c>
      <c r="AH70" s="100">
        <f t="shared" si="54"/>
        <v>0</v>
      </c>
      <c r="AI70" s="109"/>
      <c r="AJ70" s="108">
        <f t="shared" si="55"/>
        <v>0</v>
      </c>
      <c r="AK70" s="108">
        <f t="shared" si="56"/>
        <v>0</v>
      </c>
      <c r="AL70" s="108">
        <f t="shared" si="57"/>
        <v>0</v>
      </c>
      <c r="AN70" s="100">
        <v>15</v>
      </c>
      <c r="AO70" s="100">
        <f>H70*0.207794117647059</f>
        <v>0</v>
      </c>
      <c r="AP70" s="100">
        <f>H70*(1-0.207794117647059)</f>
        <v>0</v>
      </c>
      <c r="AQ70" s="111" t="s">
        <v>7</v>
      </c>
      <c r="AV70" s="100">
        <f t="shared" si="58"/>
        <v>0</v>
      </c>
      <c r="AW70" s="100">
        <f t="shared" si="59"/>
        <v>0</v>
      </c>
      <c r="AX70" s="100">
        <f t="shared" si="60"/>
        <v>0</v>
      </c>
      <c r="AY70" s="110" t="s">
        <v>1701</v>
      </c>
      <c r="AZ70" s="110" t="s">
        <v>1730</v>
      </c>
      <c r="BA70" s="109" t="s">
        <v>1737</v>
      </c>
      <c r="BC70" s="100">
        <f t="shared" si="61"/>
        <v>0</v>
      </c>
      <c r="BD70" s="100">
        <f t="shared" si="62"/>
        <v>0</v>
      </c>
      <c r="BE70" s="100">
        <v>0</v>
      </c>
      <c r="BF70" s="100">
        <f>70</f>
        <v>70</v>
      </c>
      <c r="BH70" s="108">
        <f t="shared" si="63"/>
        <v>0</v>
      </c>
      <c r="BI70" s="108">
        <f t="shared" si="64"/>
        <v>0</v>
      </c>
      <c r="BJ70" s="108">
        <f t="shared" si="65"/>
        <v>0</v>
      </c>
    </row>
    <row r="71" spans="1:62" x14ac:dyDescent="0.2">
      <c r="A71" s="117" t="s">
        <v>56</v>
      </c>
      <c r="B71" s="117" t="s">
        <v>3719</v>
      </c>
      <c r="C71" s="304" t="s">
        <v>4400</v>
      </c>
      <c r="D71" s="305"/>
      <c r="E71" s="305"/>
      <c r="F71" s="117" t="s">
        <v>1646</v>
      </c>
      <c r="G71" s="116">
        <v>1.5</v>
      </c>
      <c r="H71" s="159"/>
      <c r="I71" s="108">
        <f t="shared" si="44"/>
        <v>0</v>
      </c>
      <c r="J71" s="108">
        <f t="shared" si="45"/>
        <v>0</v>
      </c>
      <c r="K71" s="108">
        <f t="shared" si="46"/>
        <v>0</v>
      </c>
      <c r="L71" s="111" t="s">
        <v>1671</v>
      </c>
      <c r="Z71" s="100">
        <f t="shared" si="47"/>
        <v>0</v>
      </c>
      <c r="AB71" s="100">
        <f t="shared" si="48"/>
        <v>0</v>
      </c>
      <c r="AC71" s="100">
        <f t="shared" si="49"/>
        <v>0</v>
      </c>
      <c r="AD71" s="100">
        <f t="shared" si="50"/>
        <v>0</v>
      </c>
      <c r="AE71" s="100">
        <f t="shared" si="51"/>
        <v>0</v>
      </c>
      <c r="AF71" s="100">
        <f t="shared" si="52"/>
        <v>0</v>
      </c>
      <c r="AG71" s="100">
        <f t="shared" si="53"/>
        <v>0</v>
      </c>
      <c r="AH71" s="100">
        <f t="shared" si="54"/>
        <v>0</v>
      </c>
      <c r="AI71" s="109"/>
      <c r="AJ71" s="108">
        <f t="shared" si="55"/>
        <v>0</v>
      </c>
      <c r="AK71" s="108">
        <f t="shared" si="56"/>
        <v>0</v>
      </c>
      <c r="AL71" s="108">
        <f t="shared" si="57"/>
        <v>0</v>
      </c>
      <c r="AN71" s="100">
        <v>15</v>
      </c>
      <c r="AO71" s="100">
        <f>H71*0.0787456445993032</f>
        <v>0</v>
      </c>
      <c r="AP71" s="100">
        <f>H71*(1-0.0787456445993032)</f>
        <v>0</v>
      </c>
      <c r="AQ71" s="111" t="s">
        <v>7</v>
      </c>
      <c r="AV71" s="100">
        <f t="shared" si="58"/>
        <v>0</v>
      </c>
      <c r="AW71" s="100">
        <f t="shared" si="59"/>
        <v>0</v>
      </c>
      <c r="AX71" s="100">
        <f t="shared" si="60"/>
        <v>0</v>
      </c>
      <c r="AY71" s="110" t="s">
        <v>1701</v>
      </c>
      <c r="AZ71" s="110" t="s">
        <v>1730</v>
      </c>
      <c r="BA71" s="109" t="s">
        <v>1737</v>
      </c>
      <c r="BC71" s="100">
        <f t="shared" si="61"/>
        <v>0</v>
      </c>
      <c r="BD71" s="100">
        <f t="shared" si="62"/>
        <v>0</v>
      </c>
      <c r="BE71" s="100">
        <v>0</v>
      </c>
      <c r="BF71" s="100">
        <f>71</f>
        <v>71</v>
      </c>
      <c r="BH71" s="108">
        <f t="shared" si="63"/>
        <v>0</v>
      </c>
      <c r="BI71" s="108">
        <f t="shared" si="64"/>
        <v>0</v>
      </c>
      <c r="BJ71" s="108">
        <f t="shared" si="65"/>
        <v>0</v>
      </c>
    </row>
    <row r="72" spans="1:62" x14ac:dyDescent="0.2">
      <c r="A72" s="117" t="s">
        <v>57</v>
      </c>
      <c r="B72" s="117" t="s">
        <v>677</v>
      </c>
      <c r="C72" s="304" t="s">
        <v>4399</v>
      </c>
      <c r="D72" s="305"/>
      <c r="E72" s="305"/>
      <c r="F72" s="117" t="s">
        <v>1645</v>
      </c>
      <c r="G72" s="116">
        <v>19.751000000000001</v>
      </c>
      <c r="H72" s="159"/>
      <c r="I72" s="108">
        <f t="shared" si="44"/>
        <v>0</v>
      </c>
      <c r="J72" s="108">
        <f t="shared" si="45"/>
        <v>0</v>
      </c>
      <c r="K72" s="108">
        <f t="shared" si="46"/>
        <v>0</v>
      </c>
      <c r="L72" s="111" t="s">
        <v>1671</v>
      </c>
      <c r="Z72" s="100">
        <f t="shared" si="47"/>
        <v>0</v>
      </c>
      <c r="AB72" s="100">
        <f t="shared" si="48"/>
        <v>0</v>
      </c>
      <c r="AC72" s="100">
        <f t="shared" si="49"/>
        <v>0</v>
      </c>
      <c r="AD72" s="100">
        <f t="shared" si="50"/>
        <v>0</v>
      </c>
      <c r="AE72" s="100">
        <f t="shared" si="51"/>
        <v>0</v>
      </c>
      <c r="AF72" s="100">
        <f t="shared" si="52"/>
        <v>0</v>
      </c>
      <c r="AG72" s="100">
        <f t="shared" si="53"/>
        <v>0</v>
      </c>
      <c r="AH72" s="100">
        <f t="shared" si="54"/>
        <v>0</v>
      </c>
      <c r="AI72" s="109"/>
      <c r="AJ72" s="108">
        <f t="shared" si="55"/>
        <v>0</v>
      </c>
      <c r="AK72" s="108">
        <f t="shared" si="56"/>
        <v>0</v>
      </c>
      <c r="AL72" s="108">
        <f t="shared" si="57"/>
        <v>0</v>
      </c>
      <c r="AN72" s="100">
        <v>15</v>
      </c>
      <c r="AO72" s="100">
        <f>H72*0</f>
        <v>0</v>
      </c>
      <c r="AP72" s="100">
        <f>H72*(1-0)</f>
        <v>0</v>
      </c>
      <c r="AQ72" s="111" t="s">
        <v>7</v>
      </c>
      <c r="AV72" s="100">
        <f t="shared" si="58"/>
        <v>0</v>
      </c>
      <c r="AW72" s="100">
        <f t="shared" si="59"/>
        <v>0</v>
      </c>
      <c r="AX72" s="100">
        <f t="shared" si="60"/>
        <v>0</v>
      </c>
      <c r="AY72" s="110" t="s">
        <v>1701</v>
      </c>
      <c r="AZ72" s="110" t="s">
        <v>1730</v>
      </c>
      <c r="BA72" s="109" t="s">
        <v>1737</v>
      </c>
      <c r="BC72" s="100">
        <f t="shared" si="61"/>
        <v>0</v>
      </c>
      <c r="BD72" s="100">
        <f t="shared" si="62"/>
        <v>0</v>
      </c>
      <c r="BE72" s="100">
        <v>0</v>
      </c>
      <c r="BF72" s="100">
        <f>72</f>
        <v>72</v>
      </c>
      <c r="BH72" s="108">
        <f t="shared" si="63"/>
        <v>0</v>
      </c>
      <c r="BI72" s="108">
        <f t="shared" si="64"/>
        <v>0</v>
      </c>
      <c r="BJ72" s="108">
        <f t="shared" si="65"/>
        <v>0</v>
      </c>
    </row>
    <row r="73" spans="1:62" x14ac:dyDescent="0.2">
      <c r="A73" s="117" t="s">
        <v>58</v>
      </c>
      <c r="B73" s="117" t="s">
        <v>678</v>
      </c>
      <c r="C73" s="304" t="s">
        <v>4398</v>
      </c>
      <c r="D73" s="305"/>
      <c r="E73" s="305"/>
      <c r="F73" s="117" t="s">
        <v>1645</v>
      </c>
      <c r="G73" s="116">
        <v>23.64</v>
      </c>
      <c r="H73" s="159"/>
      <c r="I73" s="108">
        <f t="shared" si="44"/>
        <v>0</v>
      </c>
      <c r="J73" s="108">
        <f t="shared" si="45"/>
        <v>0</v>
      </c>
      <c r="K73" s="108">
        <f t="shared" si="46"/>
        <v>0</v>
      </c>
      <c r="L73" s="111" t="s">
        <v>1671</v>
      </c>
      <c r="Z73" s="100">
        <f t="shared" si="47"/>
        <v>0</v>
      </c>
      <c r="AB73" s="100">
        <f t="shared" si="48"/>
        <v>0</v>
      </c>
      <c r="AC73" s="100">
        <f t="shared" si="49"/>
        <v>0</v>
      </c>
      <c r="AD73" s="100">
        <f t="shared" si="50"/>
        <v>0</v>
      </c>
      <c r="AE73" s="100">
        <f t="shared" si="51"/>
        <v>0</v>
      </c>
      <c r="AF73" s="100">
        <f t="shared" si="52"/>
        <v>0</v>
      </c>
      <c r="AG73" s="100">
        <f t="shared" si="53"/>
        <v>0</v>
      </c>
      <c r="AH73" s="100">
        <f t="shared" si="54"/>
        <v>0</v>
      </c>
      <c r="AI73" s="109"/>
      <c r="AJ73" s="108">
        <f t="shared" si="55"/>
        <v>0</v>
      </c>
      <c r="AK73" s="108">
        <f t="shared" si="56"/>
        <v>0</v>
      </c>
      <c r="AL73" s="108">
        <f t="shared" si="57"/>
        <v>0</v>
      </c>
      <c r="AN73" s="100">
        <v>15</v>
      </c>
      <c r="AO73" s="100">
        <f>H73*0</f>
        <v>0</v>
      </c>
      <c r="AP73" s="100">
        <f>H73*(1-0)</f>
        <v>0</v>
      </c>
      <c r="AQ73" s="111" t="s">
        <v>7</v>
      </c>
      <c r="AV73" s="100">
        <f t="shared" si="58"/>
        <v>0</v>
      </c>
      <c r="AW73" s="100">
        <f t="shared" si="59"/>
        <v>0</v>
      </c>
      <c r="AX73" s="100">
        <f t="shared" si="60"/>
        <v>0</v>
      </c>
      <c r="AY73" s="110" t="s">
        <v>1701</v>
      </c>
      <c r="AZ73" s="110" t="s">
        <v>1730</v>
      </c>
      <c r="BA73" s="109" t="s">
        <v>1737</v>
      </c>
      <c r="BC73" s="100">
        <f t="shared" si="61"/>
        <v>0</v>
      </c>
      <c r="BD73" s="100">
        <f t="shared" si="62"/>
        <v>0</v>
      </c>
      <c r="BE73" s="100">
        <v>0</v>
      </c>
      <c r="BF73" s="100">
        <f>73</f>
        <v>73</v>
      </c>
      <c r="BH73" s="108">
        <f t="shared" si="63"/>
        <v>0</v>
      </c>
      <c r="BI73" s="108">
        <f t="shared" si="64"/>
        <v>0</v>
      </c>
      <c r="BJ73" s="108">
        <f t="shared" si="65"/>
        <v>0</v>
      </c>
    </row>
    <row r="74" spans="1:62" x14ac:dyDescent="0.2">
      <c r="A74" s="117" t="s">
        <v>59</v>
      </c>
      <c r="B74" s="117" t="s">
        <v>679</v>
      </c>
      <c r="C74" s="304" t="s">
        <v>4397</v>
      </c>
      <c r="D74" s="305"/>
      <c r="E74" s="305"/>
      <c r="F74" s="117" t="s">
        <v>1645</v>
      </c>
      <c r="G74" s="116">
        <v>11.377000000000001</v>
      </c>
      <c r="H74" s="159"/>
      <c r="I74" s="108">
        <f t="shared" si="44"/>
        <v>0</v>
      </c>
      <c r="J74" s="108">
        <f t="shared" si="45"/>
        <v>0</v>
      </c>
      <c r="K74" s="108">
        <f t="shared" si="46"/>
        <v>0</v>
      </c>
      <c r="L74" s="111" t="s">
        <v>1671</v>
      </c>
      <c r="Z74" s="100">
        <f t="shared" si="47"/>
        <v>0</v>
      </c>
      <c r="AB74" s="100">
        <f t="shared" si="48"/>
        <v>0</v>
      </c>
      <c r="AC74" s="100">
        <f t="shared" si="49"/>
        <v>0</v>
      </c>
      <c r="AD74" s="100">
        <f t="shared" si="50"/>
        <v>0</v>
      </c>
      <c r="AE74" s="100">
        <f t="shared" si="51"/>
        <v>0</v>
      </c>
      <c r="AF74" s="100">
        <f t="shared" si="52"/>
        <v>0</v>
      </c>
      <c r="AG74" s="100">
        <f t="shared" si="53"/>
        <v>0</v>
      </c>
      <c r="AH74" s="100">
        <f t="shared" si="54"/>
        <v>0</v>
      </c>
      <c r="AI74" s="109"/>
      <c r="AJ74" s="108">
        <f t="shared" si="55"/>
        <v>0</v>
      </c>
      <c r="AK74" s="108">
        <f t="shared" si="56"/>
        <v>0</v>
      </c>
      <c r="AL74" s="108">
        <f t="shared" si="57"/>
        <v>0</v>
      </c>
      <c r="AN74" s="100">
        <v>15</v>
      </c>
      <c r="AO74" s="100">
        <f>H74*0</f>
        <v>0</v>
      </c>
      <c r="AP74" s="100">
        <f>H74*(1-0)</f>
        <v>0</v>
      </c>
      <c r="AQ74" s="111" t="s">
        <v>7</v>
      </c>
      <c r="AV74" s="100">
        <f t="shared" si="58"/>
        <v>0</v>
      </c>
      <c r="AW74" s="100">
        <f t="shared" si="59"/>
        <v>0</v>
      </c>
      <c r="AX74" s="100">
        <f t="shared" si="60"/>
        <v>0</v>
      </c>
      <c r="AY74" s="110" t="s">
        <v>1701</v>
      </c>
      <c r="AZ74" s="110" t="s">
        <v>1730</v>
      </c>
      <c r="BA74" s="109" t="s">
        <v>1737</v>
      </c>
      <c r="BC74" s="100">
        <f t="shared" si="61"/>
        <v>0</v>
      </c>
      <c r="BD74" s="100">
        <f t="shared" si="62"/>
        <v>0</v>
      </c>
      <c r="BE74" s="100">
        <v>0</v>
      </c>
      <c r="BF74" s="100">
        <f>74</f>
        <v>74</v>
      </c>
      <c r="BH74" s="108">
        <f t="shared" si="63"/>
        <v>0</v>
      </c>
      <c r="BI74" s="108">
        <f t="shared" si="64"/>
        <v>0</v>
      </c>
      <c r="BJ74" s="108">
        <f t="shared" si="65"/>
        <v>0</v>
      </c>
    </row>
    <row r="75" spans="1:62" x14ac:dyDescent="0.2">
      <c r="A75" s="117" t="s">
        <v>60</v>
      </c>
      <c r="B75" s="117" t="s">
        <v>673</v>
      </c>
      <c r="C75" s="304" t="s">
        <v>1182</v>
      </c>
      <c r="D75" s="305"/>
      <c r="E75" s="305"/>
      <c r="F75" s="117" t="s">
        <v>1644</v>
      </c>
      <c r="G75" s="116">
        <v>8</v>
      </c>
      <c r="H75" s="159"/>
      <c r="I75" s="108">
        <f t="shared" si="44"/>
        <v>0</v>
      </c>
      <c r="J75" s="108">
        <f t="shared" si="45"/>
        <v>0</v>
      </c>
      <c r="K75" s="108">
        <f t="shared" si="46"/>
        <v>0</v>
      </c>
      <c r="L75" s="111" t="s">
        <v>1671</v>
      </c>
      <c r="Z75" s="100">
        <f t="shared" si="47"/>
        <v>0</v>
      </c>
      <c r="AB75" s="100">
        <f t="shared" si="48"/>
        <v>0</v>
      </c>
      <c r="AC75" s="100">
        <f t="shared" si="49"/>
        <v>0</v>
      </c>
      <c r="AD75" s="100">
        <f t="shared" si="50"/>
        <v>0</v>
      </c>
      <c r="AE75" s="100">
        <f t="shared" si="51"/>
        <v>0</v>
      </c>
      <c r="AF75" s="100">
        <f t="shared" si="52"/>
        <v>0</v>
      </c>
      <c r="AG75" s="100">
        <f t="shared" si="53"/>
        <v>0</v>
      </c>
      <c r="AH75" s="100">
        <f t="shared" si="54"/>
        <v>0</v>
      </c>
      <c r="AI75" s="109"/>
      <c r="AJ75" s="108">
        <f t="shared" si="55"/>
        <v>0</v>
      </c>
      <c r="AK75" s="108">
        <f t="shared" si="56"/>
        <v>0</v>
      </c>
      <c r="AL75" s="108">
        <f t="shared" si="57"/>
        <v>0</v>
      </c>
      <c r="AN75" s="100">
        <v>15</v>
      </c>
      <c r="AO75" s="100">
        <f>H75*0.0466942148760331</f>
        <v>0</v>
      </c>
      <c r="AP75" s="100">
        <f>H75*(1-0.0466942148760331)</f>
        <v>0</v>
      </c>
      <c r="AQ75" s="111" t="s">
        <v>7</v>
      </c>
      <c r="AV75" s="100">
        <f t="shared" si="58"/>
        <v>0</v>
      </c>
      <c r="AW75" s="100">
        <f t="shared" si="59"/>
        <v>0</v>
      </c>
      <c r="AX75" s="100">
        <f t="shared" si="60"/>
        <v>0</v>
      </c>
      <c r="AY75" s="110" t="s">
        <v>1701</v>
      </c>
      <c r="AZ75" s="110" t="s">
        <v>1730</v>
      </c>
      <c r="BA75" s="109" t="s">
        <v>1737</v>
      </c>
      <c r="BC75" s="100">
        <f t="shared" si="61"/>
        <v>0</v>
      </c>
      <c r="BD75" s="100">
        <f t="shared" si="62"/>
        <v>0</v>
      </c>
      <c r="BE75" s="100">
        <v>0</v>
      </c>
      <c r="BF75" s="100">
        <f>75</f>
        <v>75</v>
      </c>
      <c r="BH75" s="108">
        <f t="shared" si="63"/>
        <v>0</v>
      </c>
      <c r="BI75" s="108">
        <f t="shared" si="64"/>
        <v>0</v>
      </c>
      <c r="BJ75" s="108">
        <f t="shared" si="65"/>
        <v>0</v>
      </c>
    </row>
    <row r="76" spans="1:62" x14ac:dyDescent="0.2">
      <c r="A76" s="117" t="s">
        <v>61</v>
      </c>
      <c r="B76" s="117" t="s">
        <v>683</v>
      </c>
      <c r="C76" s="304" t="s">
        <v>1194</v>
      </c>
      <c r="D76" s="305"/>
      <c r="E76" s="305"/>
      <c r="F76" s="117" t="s">
        <v>1645</v>
      </c>
      <c r="G76" s="116">
        <v>23.64</v>
      </c>
      <c r="H76" s="159"/>
      <c r="I76" s="108">
        <f t="shared" si="44"/>
        <v>0</v>
      </c>
      <c r="J76" s="108">
        <f t="shared" si="45"/>
        <v>0</v>
      </c>
      <c r="K76" s="108">
        <f t="shared" si="46"/>
        <v>0</v>
      </c>
      <c r="L76" s="111" t="s">
        <v>1671</v>
      </c>
      <c r="Z76" s="100">
        <f t="shared" si="47"/>
        <v>0</v>
      </c>
      <c r="AB76" s="100">
        <f t="shared" si="48"/>
        <v>0</v>
      </c>
      <c r="AC76" s="100">
        <f t="shared" si="49"/>
        <v>0</v>
      </c>
      <c r="AD76" s="100">
        <f t="shared" si="50"/>
        <v>0</v>
      </c>
      <c r="AE76" s="100">
        <f t="shared" si="51"/>
        <v>0</v>
      </c>
      <c r="AF76" s="100">
        <f t="shared" si="52"/>
        <v>0</v>
      </c>
      <c r="AG76" s="100">
        <f t="shared" si="53"/>
        <v>0</v>
      </c>
      <c r="AH76" s="100">
        <f t="shared" si="54"/>
        <v>0</v>
      </c>
      <c r="AI76" s="109"/>
      <c r="AJ76" s="108">
        <f t="shared" si="55"/>
        <v>0</v>
      </c>
      <c r="AK76" s="108">
        <f t="shared" si="56"/>
        <v>0</v>
      </c>
      <c r="AL76" s="108">
        <f t="shared" si="57"/>
        <v>0</v>
      </c>
      <c r="AN76" s="100">
        <v>15</v>
      </c>
      <c r="AO76" s="100">
        <f>H76*0</f>
        <v>0</v>
      </c>
      <c r="AP76" s="100">
        <f>H76*(1-0)</f>
        <v>0</v>
      </c>
      <c r="AQ76" s="111" t="s">
        <v>7</v>
      </c>
      <c r="AV76" s="100">
        <f t="shared" si="58"/>
        <v>0</v>
      </c>
      <c r="AW76" s="100">
        <f t="shared" si="59"/>
        <v>0</v>
      </c>
      <c r="AX76" s="100">
        <f t="shared" si="60"/>
        <v>0</v>
      </c>
      <c r="AY76" s="110" t="s">
        <v>1701</v>
      </c>
      <c r="AZ76" s="110" t="s">
        <v>1730</v>
      </c>
      <c r="BA76" s="109" t="s">
        <v>1737</v>
      </c>
      <c r="BC76" s="100">
        <f t="shared" si="61"/>
        <v>0</v>
      </c>
      <c r="BD76" s="100">
        <f t="shared" si="62"/>
        <v>0</v>
      </c>
      <c r="BE76" s="100">
        <v>0</v>
      </c>
      <c r="BF76" s="100">
        <f>76</f>
        <v>76</v>
      </c>
      <c r="BH76" s="108">
        <f t="shared" si="63"/>
        <v>0</v>
      </c>
      <c r="BI76" s="108">
        <f t="shared" si="64"/>
        <v>0</v>
      </c>
      <c r="BJ76" s="108">
        <f t="shared" si="65"/>
        <v>0</v>
      </c>
    </row>
    <row r="77" spans="1:62" x14ac:dyDescent="0.2">
      <c r="A77" s="119"/>
      <c r="B77" s="120" t="s">
        <v>686</v>
      </c>
      <c r="C77" s="306" t="s">
        <v>1198</v>
      </c>
      <c r="D77" s="307"/>
      <c r="E77" s="307"/>
      <c r="F77" s="119" t="s">
        <v>6</v>
      </c>
      <c r="G77" s="119" t="s">
        <v>6</v>
      </c>
      <c r="H77" s="119" t="s">
        <v>6</v>
      </c>
      <c r="I77" s="118">
        <f>SUM(I78:I87)</f>
        <v>0</v>
      </c>
      <c r="J77" s="118">
        <f>SUM(J78:J87)</f>
        <v>0</v>
      </c>
      <c r="K77" s="118">
        <f>SUM(K78:K87)</f>
        <v>0</v>
      </c>
      <c r="L77" s="109"/>
      <c r="AI77" s="109"/>
      <c r="AS77" s="118">
        <f>SUM(AJ78:AJ87)</f>
        <v>0</v>
      </c>
      <c r="AT77" s="118">
        <f>SUM(AK78:AK87)</f>
        <v>0</v>
      </c>
      <c r="AU77" s="118">
        <f>SUM(AL78:AL87)</f>
        <v>0</v>
      </c>
    </row>
    <row r="78" spans="1:62" x14ac:dyDescent="0.2">
      <c r="A78" s="117" t="s">
        <v>62</v>
      </c>
      <c r="B78" s="117" t="s">
        <v>689</v>
      </c>
      <c r="C78" s="304" t="s">
        <v>1201</v>
      </c>
      <c r="D78" s="305"/>
      <c r="E78" s="305"/>
      <c r="F78" s="117" t="s">
        <v>1648</v>
      </c>
      <c r="G78" s="116">
        <v>2.8660000000000001</v>
      </c>
      <c r="H78" s="159"/>
      <c r="I78" s="108">
        <f t="shared" ref="I78:I87" si="66">G78*AO78</f>
        <v>0</v>
      </c>
      <c r="J78" s="108">
        <f t="shared" ref="J78:J87" si="67">G78*AP78</f>
        <v>0</v>
      </c>
      <c r="K78" s="108">
        <f t="shared" ref="K78:K87" si="68">G78*H78</f>
        <v>0</v>
      </c>
      <c r="L78" s="111" t="s">
        <v>1671</v>
      </c>
      <c r="Z78" s="100">
        <f t="shared" ref="Z78:Z87" si="69">IF(AQ78="5",BJ78,0)</f>
        <v>0</v>
      </c>
      <c r="AB78" s="100">
        <f t="shared" ref="AB78:AB87" si="70">IF(AQ78="1",BH78,0)</f>
        <v>0</v>
      </c>
      <c r="AC78" s="100">
        <f t="shared" ref="AC78:AC87" si="71">IF(AQ78="1",BI78,0)</f>
        <v>0</v>
      </c>
      <c r="AD78" s="100">
        <f t="shared" ref="AD78:AD87" si="72">IF(AQ78="7",BH78,0)</f>
        <v>0</v>
      </c>
      <c r="AE78" s="100">
        <f t="shared" ref="AE78:AE87" si="73">IF(AQ78="7",BI78,0)</f>
        <v>0</v>
      </c>
      <c r="AF78" s="100">
        <f t="shared" ref="AF78:AF87" si="74">IF(AQ78="2",BH78,0)</f>
        <v>0</v>
      </c>
      <c r="AG78" s="100">
        <f t="shared" ref="AG78:AG87" si="75">IF(AQ78="2",BI78,0)</f>
        <v>0</v>
      </c>
      <c r="AH78" s="100">
        <f t="shared" ref="AH78:AH87" si="76">IF(AQ78="0",BJ78,0)</f>
        <v>0</v>
      </c>
      <c r="AI78" s="109"/>
      <c r="AJ78" s="108">
        <f t="shared" ref="AJ78:AJ87" si="77">IF(AN78=0,K78,0)</f>
        <v>0</v>
      </c>
      <c r="AK78" s="108">
        <f t="shared" ref="AK78:AK87" si="78">IF(AN78=15,K78,0)</f>
        <v>0</v>
      </c>
      <c r="AL78" s="108">
        <f t="shared" ref="AL78:AL87" si="79">IF(AN78=21,K78,0)</f>
        <v>0</v>
      </c>
      <c r="AN78" s="100">
        <v>15</v>
      </c>
      <c r="AO78" s="100">
        <f t="shared" ref="AO78:AO87" si="80">H78*0</f>
        <v>0</v>
      </c>
      <c r="AP78" s="100">
        <f t="shared" ref="AP78:AP87" si="81">H78*(1-0)</f>
        <v>0</v>
      </c>
      <c r="AQ78" s="111" t="s">
        <v>11</v>
      </c>
      <c r="AV78" s="100">
        <f t="shared" ref="AV78:AV87" si="82">AW78+AX78</f>
        <v>0</v>
      </c>
      <c r="AW78" s="100">
        <f t="shared" ref="AW78:AW87" si="83">G78*AO78</f>
        <v>0</v>
      </c>
      <c r="AX78" s="100">
        <f t="shared" ref="AX78:AX87" si="84">G78*AP78</f>
        <v>0</v>
      </c>
      <c r="AY78" s="110" t="s">
        <v>1703</v>
      </c>
      <c r="AZ78" s="110" t="s">
        <v>1730</v>
      </c>
      <c r="BA78" s="109" t="s">
        <v>1737</v>
      </c>
      <c r="BC78" s="100">
        <f t="shared" ref="BC78:BC87" si="85">AW78+AX78</f>
        <v>0</v>
      </c>
      <c r="BD78" s="100">
        <f t="shared" ref="BD78:BD87" si="86">H78/(100-BE78)*100</f>
        <v>0</v>
      </c>
      <c r="BE78" s="100">
        <v>0</v>
      </c>
      <c r="BF78" s="100">
        <f>78</f>
        <v>78</v>
      </c>
      <c r="BH78" s="108">
        <f t="shared" ref="BH78:BH87" si="87">G78*AO78</f>
        <v>0</v>
      </c>
      <c r="BI78" s="108">
        <f t="shared" ref="BI78:BI87" si="88">G78*AP78</f>
        <v>0</v>
      </c>
      <c r="BJ78" s="108">
        <f t="shared" ref="BJ78:BJ87" si="89">G78*H78</f>
        <v>0</v>
      </c>
    </row>
    <row r="79" spans="1:62" x14ac:dyDescent="0.2">
      <c r="A79" s="117" t="s">
        <v>63</v>
      </c>
      <c r="B79" s="117" t="s">
        <v>690</v>
      </c>
      <c r="C79" s="304" t="s">
        <v>1202</v>
      </c>
      <c r="D79" s="305"/>
      <c r="E79" s="305"/>
      <c r="F79" s="117" t="s">
        <v>1648</v>
      </c>
      <c r="G79" s="116">
        <v>25.794</v>
      </c>
      <c r="H79" s="159"/>
      <c r="I79" s="108">
        <f t="shared" si="66"/>
        <v>0</v>
      </c>
      <c r="J79" s="108">
        <f t="shared" si="67"/>
        <v>0</v>
      </c>
      <c r="K79" s="108">
        <f t="shared" si="68"/>
        <v>0</v>
      </c>
      <c r="L79" s="111" t="s">
        <v>1671</v>
      </c>
      <c r="Z79" s="100">
        <f t="shared" si="69"/>
        <v>0</v>
      </c>
      <c r="AB79" s="100">
        <f t="shared" si="70"/>
        <v>0</v>
      </c>
      <c r="AC79" s="100">
        <f t="shared" si="71"/>
        <v>0</v>
      </c>
      <c r="AD79" s="100">
        <f t="shared" si="72"/>
        <v>0</v>
      </c>
      <c r="AE79" s="100">
        <f t="shared" si="73"/>
        <v>0</v>
      </c>
      <c r="AF79" s="100">
        <f t="shared" si="74"/>
        <v>0</v>
      </c>
      <c r="AG79" s="100">
        <f t="shared" si="75"/>
        <v>0</v>
      </c>
      <c r="AH79" s="100">
        <f t="shared" si="76"/>
        <v>0</v>
      </c>
      <c r="AI79" s="109"/>
      <c r="AJ79" s="108">
        <f t="shared" si="77"/>
        <v>0</v>
      </c>
      <c r="AK79" s="108">
        <f t="shared" si="78"/>
        <v>0</v>
      </c>
      <c r="AL79" s="108">
        <f t="shared" si="79"/>
        <v>0</v>
      </c>
      <c r="AN79" s="100">
        <v>15</v>
      </c>
      <c r="AO79" s="100">
        <f t="shared" si="80"/>
        <v>0</v>
      </c>
      <c r="AP79" s="100">
        <f t="shared" si="81"/>
        <v>0</v>
      </c>
      <c r="AQ79" s="111" t="s">
        <v>11</v>
      </c>
      <c r="AV79" s="100">
        <f t="shared" si="82"/>
        <v>0</v>
      </c>
      <c r="AW79" s="100">
        <f t="shared" si="83"/>
        <v>0</v>
      </c>
      <c r="AX79" s="100">
        <f t="shared" si="84"/>
        <v>0</v>
      </c>
      <c r="AY79" s="110" t="s">
        <v>1703</v>
      </c>
      <c r="AZ79" s="110" t="s">
        <v>1730</v>
      </c>
      <c r="BA79" s="109" t="s">
        <v>1737</v>
      </c>
      <c r="BC79" s="100">
        <f t="shared" si="85"/>
        <v>0</v>
      </c>
      <c r="BD79" s="100">
        <f t="shared" si="86"/>
        <v>0</v>
      </c>
      <c r="BE79" s="100">
        <v>0</v>
      </c>
      <c r="BF79" s="100">
        <f>79</f>
        <v>79</v>
      </c>
      <c r="BH79" s="108">
        <f t="shared" si="87"/>
        <v>0</v>
      </c>
      <c r="BI79" s="108">
        <f t="shared" si="88"/>
        <v>0</v>
      </c>
      <c r="BJ79" s="108">
        <f t="shared" si="89"/>
        <v>0</v>
      </c>
    </row>
    <row r="80" spans="1:62" x14ac:dyDescent="0.2">
      <c r="A80" s="117" t="s">
        <v>64</v>
      </c>
      <c r="B80" s="117" t="s">
        <v>691</v>
      </c>
      <c r="C80" s="304" t="s">
        <v>1203</v>
      </c>
      <c r="D80" s="305"/>
      <c r="E80" s="305"/>
      <c r="F80" s="117" t="s">
        <v>1648</v>
      </c>
      <c r="G80" s="116">
        <v>2.8660000000000001</v>
      </c>
      <c r="H80" s="159"/>
      <c r="I80" s="108">
        <f t="shared" si="66"/>
        <v>0</v>
      </c>
      <c r="J80" s="108">
        <f t="shared" si="67"/>
        <v>0</v>
      </c>
      <c r="K80" s="108">
        <f t="shared" si="68"/>
        <v>0</v>
      </c>
      <c r="L80" s="111" t="s">
        <v>1671</v>
      </c>
      <c r="Z80" s="100">
        <f t="shared" si="69"/>
        <v>0</v>
      </c>
      <c r="AB80" s="100">
        <f t="shared" si="70"/>
        <v>0</v>
      </c>
      <c r="AC80" s="100">
        <f t="shared" si="71"/>
        <v>0</v>
      </c>
      <c r="AD80" s="100">
        <f t="shared" si="72"/>
        <v>0</v>
      </c>
      <c r="AE80" s="100">
        <f t="shared" si="73"/>
        <v>0</v>
      </c>
      <c r="AF80" s="100">
        <f t="shared" si="74"/>
        <v>0</v>
      </c>
      <c r="AG80" s="100">
        <f t="shared" si="75"/>
        <v>0</v>
      </c>
      <c r="AH80" s="100">
        <f t="shared" si="76"/>
        <v>0</v>
      </c>
      <c r="AI80" s="109"/>
      <c r="AJ80" s="108">
        <f t="shared" si="77"/>
        <v>0</v>
      </c>
      <c r="AK80" s="108">
        <f t="shared" si="78"/>
        <v>0</v>
      </c>
      <c r="AL80" s="108">
        <f t="shared" si="79"/>
        <v>0</v>
      </c>
      <c r="AN80" s="100">
        <v>15</v>
      </c>
      <c r="AO80" s="100">
        <f t="shared" si="80"/>
        <v>0</v>
      </c>
      <c r="AP80" s="100">
        <f t="shared" si="81"/>
        <v>0</v>
      </c>
      <c r="AQ80" s="111" t="s">
        <v>11</v>
      </c>
      <c r="AV80" s="100">
        <f t="shared" si="82"/>
        <v>0</v>
      </c>
      <c r="AW80" s="100">
        <f t="shared" si="83"/>
        <v>0</v>
      </c>
      <c r="AX80" s="100">
        <f t="shared" si="84"/>
        <v>0</v>
      </c>
      <c r="AY80" s="110" t="s">
        <v>1703</v>
      </c>
      <c r="AZ80" s="110" t="s">
        <v>1730</v>
      </c>
      <c r="BA80" s="109" t="s">
        <v>1737</v>
      </c>
      <c r="BC80" s="100">
        <f t="shared" si="85"/>
        <v>0</v>
      </c>
      <c r="BD80" s="100">
        <f t="shared" si="86"/>
        <v>0</v>
      </c>
      <c r="BE80" s="100">
        <v>0</v>
      </c>
      <c r="BF80" s="100">
        <f>80</f>
        <v>80</v>
      </c>
      <c r="BH80" s="108">
        <f t="shared" si="87"/>
        <v>0</v>
      </c>
      <c r="BI80" s="108">
        <f t="shared" si="88"/>
        <v>0</v>
      </c>
      <c r="BJ80" s="108">
        <f t="shared" si="89"/>
        <v>0</v>
      </c>
    </row>
    <row r="81" spans="1:62" x14ac:dyDescent="0.2">
      <c r="A81" s="117" t="s">
        <v>65</v>
      </c>
      <c r="B81" s="117" t="s">
        <v>692</v>
      </c>
      <c r="C81" s="304" t="s">
        <v>1204</v>
      </c>
      <c r="D81" s="305"/>
      <c r="E81" s="305"/>
      <c r="F81" s="117" t="s">
        <v>1648</v>
      </c>
      <c r="G81" s="116">
        <v>11.464</v>
      </c>
      <c r="H81" s="159"/>
      <c r="I81" s="108">
        <f t="shared" si="66"/>
        <v>0</v>
      </c>
      <c r="J81" s="108">
        <f t="shared" si="67"/>
        <v>0</v>
      </c>
      <c r="K81" s="108">
        <f t="shared" si="68"/>
        <v>0</v>
      </c>
      <c r="L81" s="111" t="s">
        <v>1671</v>
      </c>
      <c r="Z81" s="100">
        <f t="shared" si="69"/>
        <v>0</v>
      </c>
      <c r="AB81" s="100">
        <f t="shared" si="70"/>
        <v>0</v>
      </c>
      <c r="AC81" s="100">
        <f t="shared" si="71"/>
        <v>0</v>
      </c>
      <c r="AD81" s="100">
        <f t="shared" si="72"/>
        <v>0</v>
      </c>
      <c r="AE81" s="100">
        <f t="shared" si="73"/>
        <v>0</v>
      </c>
      <c r="AF81" s="100">
        <f t="shared" si="74"/>
        <v>0</v>
      </c>
      <c r="AG81" s="100">
        <f t="shared" si="75"/>
        <v>0</v>
      </c>
      <c r="AH81" s="100">
        <f t="shared" si="76"/>
        <v>0</v>
      </c>
      <c r="AI81" s="109"/>
      <c r="AJ81" s="108">
        <f t="shared" si="77"/>
        <v>0</v>
      </c>
      <c r="AK81" s="108">
        <f t="shared" si="78"/>
        <v>0</v>
      </c>
      <c r="AL81" s="108">
        <f t="shared" si="79"/>
        <v>0</v>
      </c>
      <c r="AN81" s="100">
        <v>15</v>
      </c>
      <c r="AO81" s="100">
        <f t="shared" si="80"/>
        <v>0</v>
      </c>
      <c r="AP81" s="100">
        <f t="shared" si="81"/>
        <v>0</v>
      </c>
      <c r="AQ81" s="111" t="s">
        <v>11</v>
      </c>
      <c r="AV81" s="100">
        <f t="shared" si="82"/>
        <v>0</v>
      </c>
      <c r="AW81" s="100">
        <f t="shared" si="83"/>
        <v>0</v>
      </c>
      <c r="AX81" s="100">
        <f t="shared" si="84"/>
        <v>0</v>
      </c>
      <c r="AY81" s="110" t="s">
        <v>1703</v>
      </c>
      <c r="AZ81" s="110" t="s">
        <v>1730</v>
      </c>
      <c r="BA81" s="109" t="s">
        <v>1737</v>
      </c>
      <c r="BC81" s="100">
        <f t="shared" si="85"/>
        <v>0</v>
      </c>
      <c r="BD81" s="100">
        <f t="shared" si="86"/>
        <v>0</v>
      </c>
      <c r="BE81" s="100">
        <v>0</v>
      </c>
      <c r="BF81" s="100">
        <f>81</f>
        <v>81</v>
      </c>
      <c r="BH81" s="108">
        <f t="shared" si="87"/>
        <v>0</v>
      </c>
      <c r="BI81" s="108">
        <f t="shared" si="88"/>
        <v>0</v>
      </c>
      <c r="BJ81" s="108">
        <f t="shared" si="89"/>
        <v>0</v>
      </c>
    </row>
    <row r="82" spans="1:62" x14ac:dyDescent="0.2">
      <c r="A82" s="117" t="s">
        <v>66</v>
      </c>
      <c r="B82" s="117" t="s">
        <v>693</v>
      </c>
      <c r="C82" s="304" t="s">
        <v>1205</v>
      </c>
      <c r="D82" s="305"/>
      <c r="E82" s="305"/>
      <c r="F82" s="117" t="s">
        <v>1648</v>
      </c>
      <c r="G82" s="116">
        <v>2.8660000000000001</v>
      </c>
      <c r="H82" s="159"/>
      <c r="I82" s="108">
        <f t="shared" si="66"/>
        <v>0</v>
      </c>
      <c r="J82" s="108">
        <f t="shared" si="67"/>
        <v>0</v>
      </c>
      <c r="K82" s="108">
        <f t="shared" si="68"/>
        <v>0</v>
      </c>
      <c r="L82" s="111" t="s">
        <v>1671</v>
      </c>
      <c r="Z82" s="100">
        <f t="shared" si="69"/>
        <v>0</v>
      </c>
      <c r="AB82" s="100">
        <f t="shared" si="70"/>
        <v>0</v>
      </c>
      <c r="AC82" s="100">
        <f t="shared" si="71"/>
        <v>0</v>
      </c>
      <c r="AD82" s="100">
        <f t="shared" si="72"/>
        <v>0</v>
      </c>
      <c r="AE82" s="100">
        <f t="shared" si="73"/>
        <v>0</v>
      </c>
      <c r="AF82" s="100">
        <f t="shared" si="74"/>
        <v>0</v>
      </c>
      <c r="AG82" s="100">
        <f t="shared" si="75"/>
        <v>0</v>
      </c>
      <c r="AH82" s="100">
        <f t="shared" si="76"/>
        <v>0</v>
      </c>
      <c r="AI82" s="109"/>
      <c r="AJ82" s="108">
        <f t="shared" si="77"/>
        <v>0</v>
      </c>
      <c r="AK82" s="108">
        <f t="shared" si="78"/>
        <v>0</v>
      </c>
      <c r="AL82" s="108">
        <f t="shared" si="79"/>
        <v>0</v>
      </c>
      <c r="AN82" s="100">
        <v>15</v>
      </c>
      <c r="AO82" s="100">
        <f t="shared" si="80"/>
        <v>0</v>
      </c>
      <c r="AP82" s="100">
        <f t="shared" si="81"/>
        <v>0</v>
      </c>
      <c r="AQ82" s="111" t="s">
        <v>11</v>
      </c>
      <c r="AV82" s="100">
        <f t="shared" si="82"/>
        <v>0</v>
      </c>
      <c r="AW82" s="100">
        <f t="shared" si="83"/>
        <v>0</v>
      </c>
      <c r="AX82" s="100">
        <f t="shared" si="84"/>
        <v>0</v>
      </c>
      <c r="AY82" s="110" t="s">
        <v>1703</v>
      </c>
      <c r="AZ82" s="110" t="s">
        <v>1730</v>
      </c>
      <c r="BA82" s="109" t="s">
        <v>1737</v>
      </c>
      <c r="BC82" s="100">
        <f t="shared" si="85"/>
        <v>0</v>
      </c>
      <c r="BD82" s="100">
        <f t="shared" si="86"/>
        <v>0</v>
      </c>
      <c r="BE82" s="100">
        <v>0</v>
      </c>
      <c r="BF82" s="100">
        <f>82</f>
        <v>82</v>
      </c>
      <c r="BH82" s="108">
        <f t="shared" si="87"/>
        <v>0</v>
      </c>
      <c r="BI82" s="108">
        <f t="shared" si="88"/>
        <v>0</v>
      </c>
      <c r="BJ82" s="108">
        <f t="shared" si="89"/>
        <v>0</v>
      </c>
    </row>
    <row r="83" spans="1:62" x14ac:dyDescent="0.2">
      <c r="A83" s="117" t="s">
        <v>67</v>
      </c>
      <c r="B83" s="117" t="s">
        <v>694</v>
      </c>
      <c r="C83" s="304" t="s">
        <v>1206</v>
      </c>
      <c r="D83" s="305"/>
      <c r="E83" s="305"/>
      <c r="F83" s="117" t="s">
        <v>1648</v>
      </c>
      <c r="G83" s="116">
        <v>2.8660000000000001</v>
      </c>
      <c r="H83" s="159"/>
      <c r="I83" s="108">
        <f t="shared" si="66"/>
        <v>0</v>
      </c>
      <c r="J83" s="108">
        <f t="shared" si="67"/>
        <v>0</v>
      </c>
      <c r="K83" s="108">
        <f t="shared" si="68"/>
        <v>0</v>
      </c>
      <c r="L83" s="111" t="s">
        <v>1671</v>
      </c>
      <c r="Z83" s="100">
        <f t="shared" si="69"/>
        <v>0</v>
      </c>
      <c r="AB83" s="100">
        <f t="shared" si="70"/>
        <v>0</v>
      </c>
      <c r="AC83" s="100">
        <f t="shared" si="71"/>
        <v>0</v>
      </c>
      <c r="AD83" s="100">
        <f t="shared" si="72"/>
        <v>0</v>
      </c>
      <c r="AE83" s="100">
        <f t="shared" si="73"/>
        <v>0</v>
      </c>
      <c r="AF83" s="100">
        <f t="shared" si="74"/>
        <v>0</v>
      </c>
      <c r="AG83" s="100">
        <f t="shared" si="75"/>
        <v>0</v>
      </c>
      <c r="AH83" s="100">
        <f t="shared" si="76"/>
        <v>0</v>
      </c>
      <c r="AI83" s="109"/>
      <c r="AJ83" s="108">
        <f t="shared" si="77"/>
        <v>0</v>
      </c>
      <c r="AK83" s="108">
        <f t="shared" si="78"/>
        <v>0</v>
      </c>
      <c r="AL83" s="108">
        <f t="shared" si="79"/>
        <v>0</v>
      </c>
      <c r="AN83" s="100">
        <v>15</v>
      </c>
      <c r="AO83" s="100">
        <f t="shared" si="80"/>
        <v>0</v>
      </c>
      <c r="AP83" s="100">
        <f t="shared" si="81"/>
        <v>0</v>
      </c>
      <c r="AQ83" s="111" t="s">
        <v>11</v>
      </c>
      <c r="AV83" s="100">
        <f t="shared" si="82"/>
        <v>0</v>
      </c>
      <c r="AW83" s="100">
        <f t="shared" si="83"/>
        <v>0</v>
      </c>
      <c r="AX83" s="100">
        <f t="shared" si="84"/>
        <v>0</v>
      </c>
      <c r="AY83" s="110" t="s">
        <v>1703</v>
      </c>
      <c r="AZ83" s="110" t="s">
        <v>1730</v>
      </c>
      <c r="BA83" s="109" t="s">
        <v>1737</v>
      </c>
      <c r="BC83" s="100">
        <f t="shared" si="85"/>
        <v>0</v>
      </c>
      <c r="BD83" s="100">
        <f t="shared" si="86"/>
        <v>0</v>
      </c>
      <c r="BE83" s="100">
        <v>0</v>
      </c>
      <c r="BF83" s="100">
        <f>83</f>
        <v>83</v>
      </c>
      <c r="BH83" s="108">
        <f t="shared" si="87"/>
        <v>0</v>
      </c>
      <c r="BI83" s="108">
        <f t="shared" si="88"/>
        <v>0</v>
      </c>
      <c r="BJ83" s="108">
        <f t="shared" si="89"/>
        <v>0</v>
      </c>
    </row>
    <row r="84" spans="1:62" x14ac:dyDescent="0.2">
      <c r="A84" s="117" t="s">
        <v>68</v>
      </c>
      <c r="B84" s="117" t="s">
        <v>696</v>
      </c>
      <c r="C84" s="304" t="s">
        <v>1208</v>
      </c>
      <c r="D84" s="305"/>
      <c r="E84" s="305"/>
      <c r="F84" s="117" t="s">
        <v>1648</v>
      </c>
      <c r="G84" s="116">
        <v>0.28799999999999998</v>
      </c>
      <c r="H84" s="159"/>
      <c r="I84" s="108">
        <f t="shared" si="66"/>
        <v>0</v>
      </c>
      <c r="J84" s="108">
        <f t="shared" si="67"/>
        <v>0</v>
      </c>
      <c r="K84" s="108">
        <f t="shared" si="68"/>
        <v>0</v>
      </c>
      <c r="L84" s="111" t="s">
        <v>1671</v>
      </c>
      <c r="Z84" s="100">
        <f t="shared" si="69"/>
        <v>0</v>
      </c>
      <c r="AB84" s="100">
        <f t="shared" si="70"/>
        <v>0</v>
      </c>
      <c r="AC84" s="100">
        <f t="shared" si="71"/>
        <v>0</v>
      </c>
      <c r="AD84" s="100">
        <f t="shared" si="72"/>
        <v>0</v>
      </c>
      <c r="AE84" s="100">
        <f t="shared" si="73"/>
        <v>0</v>
      </c>
      <c r="AF84" s="100">
        <f t="shared" si="74"/>
        <v>0</v>
      </c>
      <c r="AG84" s="100">
        <f t="shared" si="75"/>
        <v>0</v>
      </c>
      <c r="AH84" s="100">
        <f t="shared" si="76"/>
        <v>0</v>
      </c>
      <c r="AI84" s="109"/>
      <c r="AJ84" s="108">
        <f t="shared" si="77"/>
        <v>0</v>
      </c>
      <c r="AK84" s="108">
        <f t="shared" si="78"/>
        <v>0</v>
      </c>
      <c r="AL84" s="108">
        <f t="shared" si="79"/>
        <v>0</v>
      </c>
      <c r="AN84" s="100">
        <v>15</v>
      </c>
      <c r="AO84" s="100">
        <f t="shared" si="80"/>
        <v>0</v>
      </c>
      <c r="AP84" s="100">
        <f t="shared" si="81"/>
        <v>0</v>
      </c>
      <c r="AQ84" s="111" t="s">
        <v>11</v>
      </c>
      <c r="AV84" s="100">
        <f t="shared" si="82"/>
        <v>0</v>
      </c>
      <c r="AW84" s="100">
        <f t="shared" si="83"/>
        <v>0</v>
      </c>
      <c r="AX84" s="100">
        <f t="shared" si="84"/>
        <v>0</v>
      </c>
      <c r="AY84" s="110" t="s">
        <v>1703</v>
      </c>
      <c r="AZ84" s="110" t="s">
        <v>1730</v>
      </c>
      <c r="BA84" s="109" t="s">
        <v>1737</v>
      </c>
      <c r="BC84" s="100">
        <f t="shared" si="85"/>
        <v>0</v>
      </c>
      <c r="BD84" s="100">
        <f t="shared" si="86"/>
        <v>0</v>
      </c>
      <c r="BE84" s="100">
        <v>0</v>
      </c>
      <c r="BF84" s="100">
        <f>84</f>
        <v>84</v>
      </c>
      <c r="BH84" s="108">
        <f t="shared" si="87"/>
        <v>0</v>
      </c>
      <c r="BI84" s="108">
        <f t="shared" si="88"/>
        <v>0</v>
      </c>
      <c r="BJ84" s="108">
        <f t="shared" si="89"/>
        <v>0</v>
      </c>
    </row>
    <row r="85" spans="1:62" x14ac:dyDescent="0.2">
      <c r="A85" s="117" t="s">
        <v>69</v>
      </c>
      <c r="B85" s="117" t="s">
        <v>697</v>
      </c>
      <c r="C85" s="304" t="s">
        <v>1209</v>
      </c>
      <c r="D85" s="305"/>
      <c r="E85" s="305"/>
      <c r="F85" s="117" t="s">
        <v>1648</v>
      </c>
      <c r="G85" s="116">
        <v>0.28599999999999998</v>
      </c>
      <c r="H85" s="159"/>
      <c r="I85" s="108">
        <f t="shared" si="66"/>
        <v>0</v>
      </c>
      <c r="J85" s="108">
        <f t="shared" si="67"/>
        <v>0</v>
      </c>
      <c r="K85" s="108">
        <f t="shared" si="68"/>
        <v>0</v>
      </c>
      <c r="L85" s="111" t="s">
        <v>1671</v>
      </c>
      <c r="Z85" s="100">
        <f t="shared" si="69"/>
        <v>0</v>
      </c>
      <c r="AB85" s="100">
        <f t="shared" si="70"/>
        <v>0</v>
      </c>
      <c r="AC85" s="100">
        <f t="shared" si="71"/>
        <v>0</v>
      </c>
      <c r="AD85" s="100">
        <f t="shared" si="72"/>
        <v>0</v>
      </c>
      <c r="AE85" s="100">
        <f t="shared" si="73"/>
        <v>0</v>
      </c>
      <c r="AF85" s="100">
        <f t="shared" si="74"/>
        <v>0</v>
      </c>
      <c r="AG85" s="100">
        <f t="shared" si="75"/>
        <v>0</v>
      </c>
      <c r="AH85" s="100">
        <f t="shared" si="76"/>
        <v>0</v>
      </c>
      <c r="AI85" s="109"/>
      <c r="AJ85" s="108">
        <f t="shared" si="77"/>
        <v>0</v>
      </c>
      <c r="AK85" s="108">
        <f t="shared" si="78"/>
        <v>0</v>
      </c>
      <c r="AL85" s="108">
        <f t="shared" si="79"/>
        <v>0</v>
      </c>
      <c r="AN85" s="100">
        <v>15</v>
      </c>
      <c r="AO85" s="100">
        <f t="shared" si="80"/>
        <v>0</v>
      </c>
      <c r="AP85" s="100">
        <f t="shared" si="81"/>
        <v>0</v>
      </c>
      <c r="AQ85" s="111" t="s">
        <v>11</v>
      </c>
      <c r="AV85" s="100">
        <f t="shared" si="82"/>
        <v>0</v>
      </c>
      <c r="AW85" s="100">
        <f t="shared" si="83"/>
        <v>0</v>
      </c>
      <c r="AX85" s="100">
        <f t="shared" si="84"/>
        <v>0</v>
      </c>
      <c r="AY85" s="110" t="s">
        <v>1703</v>
      </c>
      <c r="AZ85" s="110" t="s">
        <v>1730</v>
      </c>
      <c r="BA85" s="109" t="s">
        <v>1737</v>
      </c>
      <c r="BC85" s="100">
        <f t="shared" si="85"/>
        <v>0</v>
      </c>
      <c r="BD85" s="100">
        <f t="shared" si="86"/>
        <v>0</v>
      </c>
      <c r="BE85" s="100">
        <v>0</v>
      </c>
      <c r="BF85" s="100">
        <f>85</f>
        <v>85</v>
      </c>
      <c r="BH85" s="108">
        <f t="shared" si="87"/>
        <v>0</v>
      </c>
      <c r="BI85" s="108">
        <f t="shared" si="88"/>
        <v>0</v>
      </c>
      <c r="BJ85" s="108">
        <f t="shared" si="89"/>
        <v>0</v>
      </c>
    </row>
    <row r="86" spans="1:62" x14ac:dyDescent="0.2">
      <c r="A86" s="117" t="s">
        <v>70</v>
      </c>
      <c r="B86" s="117" t="s">
        <v>698</v>
      </c>
      <c r="C86" s="304" t="s">
        <v>1210</v>
      </c>
      <c r="D86" s="305"/>
      <c r="E86" s="305"/>
      <c r="F86" s="117" t="s">
        <v>1648</v>
      </c>
      <c r="G86" s="116">
        <v>1.927</v>
      </c>
      <c r="H86" s="159"/>
      <c r="I86" s="108">
        <f t="shared" si="66"/>
        <v>0</v>
      </c>
      <c r="J86" s="108">
        <f t="shared" si="67"/>
        <v>0</v>
      </c>
      <c r="K86" s="108">
        <f t="shared" si="68"/>
        <v>0</v>
      </c>
      <c r="L86" s="111" t="s">
        <v>1671</v>
      </c>
      <c r="Z86" s="100">
        <f t="shared" si="69"/>
        <v>0</v>
      </c>
      <c r="AB86" s="100">
        <f t="shared" si="70"/>
        <v>0</v>
      </c>
      <c r="AC86" s="100">
        <f t="shared" si="71"/>
        <v>0</v>
      </c>
      <c r="AD86" s="100">
        <f t="shared" si="72"/>
        <v>0</v>
      </c>
      <c r="AE86" s="100">
        <f t="shared" si="73"/>
        <v>0</v>
      </c>
      <c r="AF86" s="100">
        <f t="shared" si="74"/>
        <v>0</v>
      </c>
      <c r="AG86" s="100">
        <f t="shared" si="75"/>
        <v>0</v>
      </c>
      <c r="AH86" s="100">
        <f t="shared" si="76"/>
        <v>0</v>
      </c>
      <c r="AI86" s="109"/>
      <c r="AJ86" s="108">
        <f t="shared" si="77"/>
        <v>0</v>
      </c>
      <c r="AK86" s="108">
        <f t="shared" si="78"/>
        <v>0</v>
      </c>
      <c r="AL86" s="108">
        <f t="shared" si="79"/>
        <v>0</v>
      </c>
      <c r="AN86" s="100">
        <v>15</v>
      </c>
      <c r="AO86" s="100">
        <f t="shared" si="80"/>
        <v>0</v>
      </c>
      <c r="AP86" s="100">
        <f t="shared" si="81"/>
        <v>0</v>
      </c>
      <c r="AQ86" s="111" t="s">
        <v>11</v>
      </c>
      <c r="AV86" s="100">
        <f t="shared" si="82"/>
        <v>0</v>
      </c>
      <c r="AW86" s="100">
        <f t="shared" si="83"/>
        <v>0</v>
      </c>
      <c r="AX86" s="100">
        <f t="shared" si="84"/>
        <v>0</v>
      </c>
      <c r="AY86" s="110" t="s">
        <v>1703</v>
      </c>
      <c r="AZ86" s="110" t="s">
        <v>1730</v>
      </c>
      <c r="BA86" s="109" t="s">
        <v>1737</v>
      </c>
      <c r="BC86" s="100">
        <f t="shared" si="85"/>
        <v>0</v>
      </c>
      <c r="BD86" s="100">
        <f t="shared" si="86"/>
        <v>0</v>
      </c>
      <c r="BE86" s="100">
        <v>0</v>
      </c>
      <c r="BF86" s="100">
        <f>86</f>
        <v>86</v>
      </c>
      <c r="BH86" s="108">
        <f t="shared" si="87"/>
        <v>0</v>
      </c>
      <c r="BI86" s="108">
        <f t="shared" si="88"/>
        <v>0</v>
      </c>
      <c r="BJ86" s="108">
        <f t="shared" si="89"/>
        <v>0</v>
      </c>
    </row>
    <row r="87" spans="1:62" x14ac:dyDescent="0.2">
      <c r="A87" s="117" t="s">
        <v>71</v>
      </c>
      <c r="B87" s="117" t="s">
        <v>700</v>
      </c>
      <c r="C87" s="304" t="s">
        <v>1212</v>
      </c>
      <c r="D87" s="305"/>
      <c r="E87" s="305"/>
      <c r="F87" s="117" t="s">
        <v>1648</v>
      </c>
      <c r="G87" s="116">
        <v>0.36499999999999999</v>
      </c>
      <c r="H87" s="159"/>
      <c r="I87" s="108">
        <f t="shared" si="66"/>
        <v>0</v>
      </c>
      <c r="J87" s="108">
        <f t="shared" si="67"/>
        <v>0</v>
      </c>
      <c r="K87" s="108">
        <f t="shared" si="68"/>
        <v>0</v>
      </c>
      <c r="L87" s="111" t="s">
        <v>1671</v>
      </c>
      <c r="Z87" s="100">
        <f t="shared" si="69"/>
        <v>0</v>
      </c>
      <c r="AB87" s="100">
        <f t="shared" si="70"/>
        <v>0</v>
      </c>
      <c r="AC87" s="100">
        <f t="shared" si="71"/>
        <v>0</v>
      </c>
      <c r="AD87" s="100">
        <f t="shared" si="72"/>
        <v>0</v>
      </c>
      <c r="AE87" s="100">
        <f t="shared" si="73"/>
        <v>0</v>
      </c>
      <c r="AF87" s="100">
        <f t="shared" si="74"/>
        <v>0</v>
      </c>
      <c r="AG87" s="100">
        <f t="shared" si="75"/>
        <v>0</v>
      </c>
      <c r="AH87" s="100">
        <f t="shared" si="76"/>
        <v>0</v>
      </c>
      <c r="AI87" s="109"/>
      <c r="AJ87" s="108">
        <f t="shared" si="77"/>
        <v>0</v>
      </c>
      <c r="AK87" s="108">
        <f t="shared" si="78"/>
        <v>0</v>
      </c>
      <c r="AL87" s="108">
        <f t="shared" si="79"/>
        <v>0</v>
      </c>
      <c r="AN87" s="100">
        <v>15</v>
      </c>
      <c r="AO87" s="100">
        <f t="shared" si="80"/>
        <v>0</v>
      </c>
      <c r="AP87" s="100">
        <f t="shared" si="81"/>
        <v>0</v>
      </c>
      <c r="AQ87" s="111" t="s">
        <v>11</v>
      </c>
      <c r="AV87" s="100">
        <f t="shared" si="82"/>
        <v>0</v>
      </c>
      <c r="AW87" s="100">
        <f t="shared" si="83"/>
        <v>0</v>
      </c>
      <c r="AX87" s="100">
        <f t="shared" si="84"/>
        <v>0</v>
      </c>
      <c r="AY87" s="110" t="s">
        <v>1703</v>
      </c>
      <c r="AZ87" s="110" t="s">
        <v>1730</v>
      </c>
      <c r="BA87" s="109" t="s">
        <v>1737</v>
      </c>
      <c r="BC87" s="100">
        <f t="shared" si="85"/>
        <v>0</v>
      </c>
      <c r="BD87" s="100">
        <f t="shared" si="86"/>
        <v>0</v>
      </c>
      <c r="BE87" s="100">
        <v>0</v>
      </c>
      <c r="BF87" s="100">
        <f>87</f>
        <v>87</v>
      </c>
      <c r="BH87" s="108">
        <f t="shared" si="87"/>
        <v>0</v>
      </c>
      <c r="BI87" s="108">
        <f t="shared" si="88"/>
        <v>0</v>
      </c>
      <c r="BJ87" s="108">
        <f t="shared" si="89"/>
        <v>0</v>
      </c>
    </row>
    <row r="88" spans="1:62" x14ac:dyDescent="0.2">
      <c r="A88" s="119"/>
      <c r="B88" s="120" t="s">
        <v>703</v>
      </c>
      <c r="C88" s="306" t="s">
        <v>1215</v>
      </c>
      <c r="D88" s="307"/>
      <c r="E88" s="307"/>
      <c r="F88" s="119" t="s">
        <v>6</v>
      </c>
      <c r="G88" s="119" t="s">
        <v>6</v>
      </c>
      <c r="H88" s="119" t="s">
        <v>6</v>
      </c>
      <c r="I88" s="118">
        <f>SUM(I89:I89)</f>
        <v>0</v>
      </c>
      <c r="J88" s="118">
        <f>SUM(J89:J89)</f>
        <v>0</v>
      </c>
      <c r="K88" s="118">
        <f>SUM(K89:K89)</f>
        <v>0</v>
      </c>
      <c r="L88" s="109"/>
      <c r="AI88" s="109"/>
      <c r="AS88" s="118">
        <f>SUM(AJ89:AJ89)</f>
        <v>0</v>
      </c>
      <c r="AT88" s="118">
        <f>SUM(AK89:AK89)</f>
        <v>0</v>
      </c>
      <c r="AU88" s="118">
        <f>SUM(AL89:AL89)</f>
        <v>0</v>
      </c>
    </row>
    <row r="89" spans="1:62" x14ac:dyDescent="0.2">
      <c r="A89" s="117" t="s">
        <v>72</v>
      </c>
      <c r="B89" s="117" t="s">
        <v>704</v>
      </c>
      <c r="C89" s="304" t="s">
        <v>1216</v>
      </c>
      <c r="D89" s="305"/>
      <c r="E89" s="305"/>
      <c r="F89" s="117" t="s">
        <v>1648</v>
      </c>
      <c r="G89" s="116">
        <v>24.123999999999999</v>
      </c>
      <c r="H89" s="159"/>
      <c r="I89" s="108">
        <f>G89*AO89</f>
        <v>0</v>
      </c>
      <c r="J89" s="108">
        <f>G89*AP89</f>
        <v>0</v>
      </c>
      <c r="K89" s="108">
        <f>G89*H89</f>
        <v>0</v>
      </c>
      <c r="L89" s="111" t="s">
        <v>1671</v>
      </c>
      <c r="Z89" s="100">
        <f>IF(AQ89="5",BJ89,0)</f>
        <v>0</v>
      </c>
      <c r="AB89" s="100">
        <f>IF(AQ89="1",BH89,0)</f>
        <v>0</v>
      </c>
      <c r="AC89" s="100">
        <f>IF(AQ89="1",BI89,0)</f>
        <v>0</v>
      </c>
      <c r="AD89" s="100">
        <f>IF(AQ89="7",BH89,0)</f>
        <v>0</v>
      </c>
      <c r="AE89" s="100">
        <f>IF(AQ89="7",BI89,0)</f>
        <v>0</v>
      </c>
      <c r="AF89" s="100">
        <f>IF(AQ89="2",BH89,0)</f>
        <v>0</v>
      </c>
      <c r="AG89" s="100">
        <f>IF(AQ89="2",BI89,0)</f>
        <v>0</v>
      </c>
      <c r="AH89" s="100">
        <f>IF(AQ89="0",BJ89,0)</f>
        <v>0</v>
      </c>
      <c r="AI89" s="109"/>
      <c r="AJ89" s="108">
        <f>IF(AN89=0,K89,0)</f>
        <v>0</v>
      </c>
      <c r="AK89" s="108">
        <f>IF(AN89=15,K89,0)</f>
        <v>0</v>
      </c>
      <c r="AL89" s="108">
        <f>IF(AN89=21,K89,0)</f>
        <v>0</v>
      </c>
      <c r="AN89" s="100">
        <v>15</v>
      </c>
      <c r="AO89" s="100">
        <f>H89*0</f>
        <v>0</v>
      </c>
      <c r="AP89" s="100">
        <f>H89*(1-0)</f>
        <v>0</v>
      </c>
      <c r="AQ89" s="111" t="s">
        <v>11</v>
      </c>
      <c r="AV89" s="100">
        <f>AW89+AX89</f>
        <v>0</v>
      </c>
      <c r="AW89" s="100">
        <f>G89*AO89</f>
        <v>0</v>
      </c>
      <c r="AX89" s="100">
        <f>G89*AP89</f>
        <v>0</v>
      </c>
      <c r="AY89" s="110" t="s">
        <v>1704</v>
      </c>
      <c r="AZ89" s="110" t="s">
        <v>1730</v>
      </c>
      <c r="BA89" s="109" t="s">
        <v>1737</v>
      </c>
      <c r="BC89" s="100">
        <f>AW89+AX89</f>
        <v>0</v>
      </c>
      <c r="BD89" s="100">
        <f>H89/(100-BE89)*100</f>
        <v>0</v>
      </c>
      <c r="BE89" s="100">
        <v>0</v>
      </c>
      <c r="BF89" s="100">
        <f>89</f>
        <v>89</v>
      </c>
      <c r="BH89" s="108">
        <f>G89*AO89</f>
        <v>0</v>
      </c>
      <c r="BI89" s="108">
        <f>G89*AP89</f>
        <v>0</v>
      </c>
      <c r="BJ89" s="108">
        <f>G89*H89</f>
        <v>0</v>
      </c>
    </row>
    <row r="90" spans="1:62" x14ac:dyDescent="0.2">
      <c r="A90" s="119"/>
      <c r="B90" s="120" t="s">
        <v>744</v>
      </c>
      <c r="C90" s="306" t="s">
        <v>1256</v>
      </c>
      <c r="D90" s="307"/>
      <c r="E90" s="307"/>
      <c r="F90" s="119" t="s">
        <v>6</v>
      </c>
      <c r="G90" s="119" t="s">
        <v>6</v>
      </c>
      <c r="H90" s="119" t="s">
        <v>6</v>
      </c>
      <c r="I90" s="118">
        <f>SUM(I91:I103)</f>
        <v>0</v>
      </c>
      <c r="J90" s="118">
        <f>SUM(J91:J103)</f>
        <v>0</v>
      </c>
      <c r="K90" s="118">
        <f>SUM(K91:K103)</f>
        <v>0</v>
      </c>
      <c r="L90" s="109"/>
      <c r="AI90" s="109"/>
      <c r="AS90" s="118">
        <f>SUM(AJ91:AJ103)</f>
        <v>0</v>
      </c>
      <c r="AT90" s="118">
        <f>SUM(AK91:AK103)</f>
        <v>0</v>
      </c>
      <c r="AU90" s="118">
        <f>SUM(AL91:AL103)</f>
        <v>0</v>
      </c>
    </row>
    <row r="91" spans="1:62" x14ac:dyDescent="0.2">
      <c r="A91" s="117" t="s">
        <v>73</v>
      </c>
      <c r="B91" s="117" t="s">
        <v>4396</v>
      </c>
      <c r="C91" s="304" t="s">
        <v>1258</v>
      </c>
      <c r="D91" s="305"/>
      <c r="E91" s="305"/>
      <c r="F91" s="117" t="s">
        <v>1646</v>
      </c>
      <c r="G91" s="116">
        <v>4</v>
      </c>
      <c r="H91" s="159"/>
      <c r="I91" s="108">
        <f t="shared" ref="I91:I103" si="90">G91*AO91</f>
        <v>0</v>
      </c>
      <c r="J91" s="108">
        <f t="shared" ref="J91:J103" si="91">G91*AP91</f>
        <v>0</v>
      </c>
      <c r="K91" s="108">
        <f t="shared" ref="K91:K103" si="92">G91*H91</f>
        <v>0</v>
      </c>
      <c r="L91" s="111"/>
      <c r="Z91" s="100">
        <f t="shared" ref="Z91:Z103" si="93">IF(AQ91="5",BJ91,0)</f>
        <v>0</v>
      </c>
      <c r="AB91" s="100">
        <f t="shared" ref="AB91:AB103" si="94">IF(AQ91="1",BH91,0)</f>
        <v>0</v>
      </c>
      <c r="AC91" s="100">
        <f t="shared" ref="AC91:AC103" si="95">IF(AQ91="1",BI91,0)</f>
        <v>0</v>
      </c>
      <c r="AD91" s="100">
        <f t="shared" ref="AD91:AD103" si="96">IF(AQ91="7",BH91,0)</f>
        <v>0</v>
      </c>
      <c r="AE91" s="100">
        <f t="shared" ref="AE91:AE103" si="97">IF(AQ91="7",BI91,0)</f>
        <v>0</v>
      </c>
      <c r="AF91" s="100">
        <f t="shared" ref="AF91:AF103" si="98">IF(AQ91="2",BH91,0)</f>
        <v>0</v>
      </c>
      <c r="AG91" s="100">
        <f t="shared" ref="AG91:AG103" si="99">IF(AQ91="2",BI91,0)</f>
        <v>0</v>
      </c>
      <c r="AH91" s="100">
        <f t="shared" ref="AH91:AH103" si="100">IF(AQ91="0",BJ91,0)</f>
        <v>0</v>
      </c>
      <c r="AI91" s="109"/>
      <c r="AJ91" s="108">
        <f t="shared" ref="AJ91:AJ103" si="101">IF(AN91=0,K91,0)</f>
        <v>0</v>
      </c>
      <c r="AK91" s="108">
        <f t="shared" ref="AK91:AK103" si="102">IF(AN91=15,K91,0)</f>
        <v>0</v>
      </c>
      <c r="AL91" s="108">
        <f t="shared" ref="AL91:AL103" si="103">IF(AN91=21,K91,0)</f>
        <v>0</v>
      </c>
      <c r="AN91" s="100">
        <v>15</v>
      </c>
      <c r="AO91" s="100">
        <f t="shared" ref="AO91:AO103" si="104">H91*0</f>
        <v>0</v>
      </c>
      <c r="AP91" s="100">
        <f t="shared" ref="AP91:AP103" si="105">H91*(1-0)</f>
        <v>0</v>
      </c>
      <c r="AQ91" s="111" t="s">
        <v>13</v>
      </c>
      <c r="AV91" s="100">
        <f t="shared" ref="AV91:AV103" si="106">AW91+AX91</f>
        <v>0</v>
      </c>
      <c r="AW91" s="100">
        <f t="shared" ref="AW91:AW103" si="107">G91*AO91</f>
        <v>0</v>
      </c>
      <c r="AX91" s="100">
        <f t="shared" ref="AX91:AX103" si="108">G91*AP91</f>
        <v>0</v>
      </c>
      <c r="AY91" s="110" t="s">
        <v>1708</v>
      </c>
      <c r="AZ91" s="110" t="s">
        <v>1732</v>
      </c>
      <c r="BA91" s="109" t="s">
        <v>1737</v>
      </c>
      <c r="BC91" s="100">
        <f t="shared" ref="BC91:BC103" si="109">AW91+AX91</f>
        <v>0</v>
      </c>
      <c r="BD91" s="100">
        <f t="shared" ref="BD91:BD103" si="110">H91/(100-BE91)*100</f>
        <v>0</v>
      </c>
      <c r="BE91" s="100">
        <v>0</v>
      </c>
      <c r="BF91" s="100">
        <f>91</f>
        <v>91</v>
      </c>
      <c r="BH91" s="108">
        <f t="shared" ref="BH91:BH103" si="111">G91*AO91</f>
        <v>0</v>
      </c>
      <c r="BI91" s="108">
        <f t="shared" ref="BI91:BI103" si="112">G91*AP91</f>
        <v>0</v>
      </c>
      <c r="BJ91" s="108">
        <f t="shared" ref="BJ91:BJ103" si="113">G91*H91</f>
        <v>0</v>
      </c>
    </row>
    <row r="92" spans="1:62" x14ac:dyDescent="0.2">
      <c r="A92" s="117" t="s">
        <v>74</v>
      </c>
      <c r="B92" s="117" t="s">
        <v>4395</v>
      </c>
      <c r="C92" s="304" t="s">
        <v>2133</v>
      </c>
      <c r="D92" s="305"/>
      <c r="E92" s="305"/>
      <c r="F92" s="117" t="s">
        <v>1646</v>
      </c>
      <c r="G92" s="116">
        <v>1</v>
      </c>
      <c r="H92" s="159"/>
      <c r="I92" s="108">
        <f t="shared" si="90"/>
        <v>0</v>
      </c>
      <c r="J92" s="108">
        <f t="shared" si="91"/>
        <v>0</v>
      </c>
      <c r="K92" s="108">
        <f t="shared" si="92"/>
        <v>0</v>
      </c>
      <c r="L92" s="111"/>
      <c r="Z92" s="100">
        <f t="shared" si="93"/>
        <v>0</v>
      </c>
      <c r="AB92" s="100">
        <f t="shared" si="94"/>
        <v>0</v>
      </c>
      <c r="AC92" s="100">
        <f t="shared" si="95"/>
        <v>0</v>
      </c>
      <c r="AD92" s="100">
        <f t="shared" si="96"/>
        <v>0</v>
      </c>
      <c r="AE92" s="100">
        <f t="shared" si="97"/>
        <v>0</v>
      </c>
      <c r="AF92" s="100">
        <f t="shared" si="98"/>
        <v>0</v>
      </c>
      <c r="AG92" s="100">
        <f t="shared" si="99"/>
        <v>0</v>
      </c>
      <c r="AH92" s="100">
        <f t="shared" si="100"/>
        <v>0</v>
      </c>
      <c r="AI92" s="109"/>
      <c r="AJ92" s="108">
        <f t="shared" si="101"/>
        <v>0</v>
      </c>
      <c r="AK92" s="108">
        <f t="shared" si="102"/>
        <v>0</v>
      </c>
      <c r="AL92" s="108">
        <f t="shared" si="103"/>
        <v>0</v>
      </c>
      <c r="AN92" s="100">
        <v>15</v>
      </c>
      <c r="AO92" s="100">
        <f t="shared" si="104"/>
        <v>0</v>
      </c>
      <c r="AP92" s="100">
        <f t="shared" si="105"/>
        <v>0</v>
      </c>
      <c r="AQ92" s="111" t="s">
        <v>13</v>
      </c>
      <c r="AV92" s="100">
        <f t="shared" si="106"/>
        <v>0</v>
      </c>
      <c r="AW92" s="100">
        <f t="shared" si="107"/>
        <v>0</v>
      </c>
      <c r="AX92" s="100">
        <f t="shared" si="108"/>
        <v>0</v>
      </c>
      <c r="AY92" s="110" t="s">
        <v>1708</v>
      </c>
      <c r="AZ92" s="110" t="s">
        <v>1732</v>
      </c>
      <c r="BA92" s="109" t="s">
        <v>1737</v>
      </c>
      <c r="BC92" s="100">
        <f t="shared" si="109"/>
        <v>0</v>
      </c>
      <c r="BD92" s="100">
        <f t="shared" si="110"/>
        <v>0</v>
      </c>
      <c r="BE92" s="100">
        <v>0</v>
      </c>
      <c r="BF92" s="100">
        <f>92</f>
        <v>92</v>
      </c>
      <c r="BH92" s="108">
        <f t="shared" si="111"/>
        <v>0</v>
      </c>
      <c r="BI92" s="108">
        <f t="shared" si="112"/>
        <v>0</v>
      </c>
      <c r="BJ92" s="108">
        <f t="shared" si="113"/>
        <v>0</v>
      </c>
    </row>
    <row r="93" spans="1:62" x14ac:dyDescent="0.2">
      <c r="A93" s="117" t="s">
        <v>75</v>
      </c>
      <c r="B93" s="117" t="s">
        <v>4394</v>
      </c>
      <c r="C93" s="304" t="s">
        <v>1263</v>
      </c>
      <c r="D93" s="305"/>
      <c r="E93" s="305"/>
      <c r="F93" s="117" t="s">
        <v>1644</v>
      </c>
      <c r="G93" s="116">
        <v>4</v>
      </c>
      <c r="H93" s="159"/>
      <c r="I93" s="108">
        <f t="shared" si="90"/>
        <v>0</v>
      </c>
      <c r="J93" s="108">
        <f t="shared" si="91"/>
        <v>0</v>
      </c>
      <c r="K93" s="108">
        <f t="shared" si="92"/>
        <v>0</v>
      </c>
      <c r="L93" s="111"/>
      <c r="Z93" s="100">
        <f t="shared" si="93"/>
        <v>0</v>
      </c>
      <c r="AB93" s="100">
        <f t="shared" si="94"/>
        <v>0</v>
      </c>
      <c r="AC93" s="100">
        <f t="shared" si="95"/>
        <v>0</v>
      </c>
      <c r="AD93" s="100">
        <f t="shared" si="96"/>
        <v>0</v>
      </c>
      <c r="AE93" s="100">
        <f t="shared" si="97"/>
        <v>0</v>
      </c>
      <c r="AF93" s="100">
        <f t="shared" si="98"/>
        <v>0</v>
      </c>
      <c r="AG93" s="100">
        <f t="shared" si="99"/>
        <v>0</v>
      </c>
      <c r="AH93" s="100">
        <f t="shared" si="100"/>
        <v>0</v>
      </c>
      <c r="AI93" s="109"/>
      <c r="AJ93" s="108">
        <f t="shared" si="101"/>
        <v>0</v>
      </c>
      <c r="AK93" s="108">
        <f t="shared" si="102"/>
        <v>0</v>
      </c>
      <c r="AL93" s="108">
        <f t="shared" si="103"/>
        <v>0</v>
      </c>
      <c r="AN93" s="100">
        <v>15</v>
      </c>
      <c r="AO93" s="100">
        <f t="shared" si="104"/>
        <v>0</v>
      </c>
      <c r="AP93" s="100">
        <f t="shared" si="105"/>
        <v>0</v>
      </c>
      <c r="AQ93" s="111" t="s">
        <v>13</v>
      </c>
      <c r="AV93" s="100">
        <f t="shared" si="106"/>
        <v>0</v>
      </c>
      <c r="AW93" s="100">
        <f t="shared" si="107"/>
        <v>0</v>
      </c>
      <c r="AX93" s="100">
        <f t="shared" si="108"/>
        <v>0</v>
      </c>
      <c r="AY93" s="110" t="s">
        <v>1708</v>
      </c>
      <c r="AZ93" s="110" t="s">
        <v>1732</v>
      </c>
      <c r="BA93" s="109" t="s">
        <v>1737</v>
      </c>
      <c r="BC93" s="100">
        <f t="shared" si="109"/>
        <v>0</v>
      </c>
      <c r="BD93" s="100">
        <f t="shared" si="110"/>
        <v>0</v>
      </c>
      <c r="BE93" s="100">
        <v>0</v>
      </c>
      <c r="BF93" s="100">
        <f>93</f>
        <v>93</v>
      </c>
      <c r="BH93" s="108">
        <f t="shared" si="111"/>
        <v>0</v>
      </c>
      <c r="BI93" s="108">
        <f t="shared" si="112"/>
        <v>0</v>
      </c>
      <c r="BJ93" s="108">
        <f t="shared" si="113"/>
        <v>0</v>
      </c>
    </row>
    <row r="94" spans="1:62" x14ac:dyDescent="0.2">
      <c r="A94" s="117" t="s">
        <v>76</v>
      </c>
      <c r="B94" s="117" t="s">
        <v>4393</v>
      </c>
      <c r="C94" s="304" t="s">
        <v>1269</v>
      </c>
      <c r="D94" s="305"/>
      <c r="E94" s="305"/>
      <c r="F94" s="117" t="s">
        <v>1644</v>
      </c>
      <c r="G94" s="116">
        <v>1</v>
      </c>
      <c r="H94" s="159"/>
      <c r="I94" s="108">
        <f t="shared" si="90"/>
        <v>0</v>
      </c>
      <c r="J94" s="108">
        <f t="shared" si="91"/>
        <v>0</v>
      </c>
      <c r="K94" s="108">
        <f t="shared" si="92"/>
        <v>0</v>
      </c>
      <c r="L94" s="111"/>
      <c r="Z94" s="100">
        <f t="shared" si="93"/>
        <v>0</v>
      </c>
      <c r="AB94" s="100">
        <f t="shared" si="94"/>
        <v>0</v>
      </c>
      <c r="AC94" s="100">
        <f t="shared" si="95"/>
        <v>0</v>
      </c>
      <c r="AD94" s="100">
        <f t="shared" si="96"/>
        <v>0</v>
      </c>
      <c r="AE94" s="100">
        <f t="shared" si="97"/>
        <v>0</v>
      </c>
      <c r="AF94" s="100">
        <f t="shared" si="98"/>
        <v>0</v>
      </c>
      <c r="AG94" s="100">
        <f t="shared" si="99"/>
        <v>0</v>
      </c>
      <c r="AH94" s="100">
        <f t="shared" si="100"/>
        <v>0</v>
      </c>
      <c r="AI94" s="109"/>
      <c r="AJ94" s="108">
        <f t="shared" si="101"/>
        <v>0</v>
      </c>
      <c r="AK94" s="108">
        <f t="shared" si="102"/>
        <v>0</v>
      </c>
      <c r="AL94" s="108">
        <f t="shared" si="103"/>
        <v>0</v>
      </c>
      <c r="AN94" s="100">
        <v>15</v>
      </c>
      <c r="AO94" s="100">
        <f t="shared" si="104"/>
        <v>0</v>
      </c>
      <c r="AP94" s="100">
        <f t="shared" si="105"/>
        <v>0</v>
      </c>
      <c r="AQ94" s="111" t="s">
        <v>13</v>
      </c>
      <c r="AV94" s="100">
        <f t="shared" si="106"/>
        <v>0</v>
      </c>
      <c r="AW94" s="100">
        <f t="shared" si="107"/>
        <v>0</v>
      </c>
      <c r="AX94" s="100">
        <f t="shared" si="108"/>
        <v>0</v>
      </c>
      <c r="AY94" s="110" t="s">
        <v>1708</v>
      </c>
      <c r="AZ94" s="110" t="s">
        <v>1732</v>
      </c>
      <c r="BA94" s="109" t="s">
        <v>1737</v>
      </c>
      <c r="BC94" s="100">
        <f t="shared" si="109"/>
        <v>0</v>
      </c>
      <c r="BD94" s="100">
        <f t="shared" si="110"/>
        <v>0</v>
      </c>
      <c r="BE94" s="100">
        <v>0</v>
      </c>
      <c r="BF94" s="100">
        <f>94</f>
        <v>94</v>
      </c>
      <c r="BH94" s="108">
        <f t="shared" si="111"/>
        <v>0</v>
      </c>
      <c r="BI94" s="108">
        <f t="shared" si="112"/>
        <v>0</v>
      </c>
      <c r="BJ94" s="108">
        <f t="shared" si="113"/>
        <v>0</v>
      </c>
    </row>
    <row r="95" spans="1:62" x14ac:dyDescent="0.2">
      <c r="A95" s="117" t="s">
        <v>77</v>
      </c>
      <c r="B95" s="117" t="s">
        <v>4392</v>
      </c>
      <c r="C95" s="304" t="s">
        <v>1270</v>
      </c>
      <c r="D95" s="305"/>
      <c r="E95" s="305"/>
      <c r="F95" s="117" t="s">
        <v>1644</v>
      </c>
      <c r="G95" s="116">
        <v>1</v>
      </c>
      <c r="H95" s="159"/>
      <c r="I95" s="108">
        <f t="shared" si="90"/>
        <v>0</v>
      </c>
      <c r="J95" s="108">
        <f t="shared" si="91"/>
        <v>0</v>
      </c>
      <c r="K95" s="108">
        <f t="shared" si="92"/>
        <v>0</v>
      </c>
      <c r="L95" s="111"/>
      <c r="Z95" s="100">
        <f t="shared" si="93"/>
        <v>0</v>
      </c>
      <c r="AB95" s="100">
        <f t="shared" si="94"/>
        <v>0</v>
      </c>
      <c r="AC95" s="100">
        <f t="shared" si="95"/>
        <v>0</v>
      </c>
      <c r="AD95" s="100">
        <f t="shared" si="96"/>
        <v>0</v>
      </c>
      <c r="AE95" s="100">
        <f t="shared" si="97"/>
        <v>0</v>
      </c>
      <c r="AF95" s="100">
        <f t="shared" si="98"/>
        <v>0</v>
      </c>
      <c r="AG95" s="100">
        <f t="shared" si="99"/>
        <v>0</v>
      </c>
      <c r="AH95" s="100">
        <f t="shared" si="100"/>
        <v>0</v>
      </c>
      <c r="AI95" s="109"/>
      <c r="AJ95" s="108">
        <f t="shared" si="101"/>
        <v>0</v>
      </c>
      <c r="AK95" s="108">
        <f t="shared" si="102"/>
        <v>0</v>
      </c>
      <c r="AL95" s="108">
        <f t="shared" si="103"/>
        <v>0</v>
      </c>
      <c r="AN95" s="100">
        <v>15</v>
      </c>
      <c r="AO95" s="100">
        <f t="shared" si="104"/>
        <v>0</v>
      </c>
      <c r="AP95" s="100">
        <f t="shared" si="105"/>
        <v>0</v>
      </c>
      <c r="AQ95" s="111" t="s">
        <v>13</v>
      </c>
      <c r="AV95" s="100">
        <f t="shared" si="106"/>
        <v>0</v>
      </c>
      <c r="AW95" s="100">
        <f t="shared" si="107"/>
        <v>0</v>
      </c>
      <c r="AX95" s="100">
        <f t="shared" si="108"/>
        <v>0</v>
      </c>
      <c r="AY95" s="110" t="s">
        <v>1708</v>
      </c>
      <c r="AZ95" s="110" t="s">
        <v>1732</v>
      </c>
      <c r="BA95" s="109" t="s">
        <v>1737</v>
      </c>
      <c r="BC95" s="100">
        <f t="shared" si="109"/>
        <v>0</v>
      </c>
      <c r="BD95" s="100">
        <f t="shared" si="110"/>
        <v>0</v>
      </c>
      <c r="BE95" s="100">
        <v>0</v>
      </c>
      <c r="BF95" s="100">
        <f>95</f>
        <v>95</v>
      </c>
      <c r="BH95" s="108">
        <f t="shared" si="111"/>
        <v>0</v>
      </c>
      <c r="BI95" s="108">
        <f t="shared" si="112"/>
        <v>0</v>
      </c>
      <c r="BJ95" s="108">
        <f t="shared" si="113"/>
        <v>0</v>
      </c>
    </row>
    <row r="96" spans="1:62" x14ac:dyDescent="0.2">
      <c r="A96" s="117" t="s">
        <v>78</v>
      </c>
      <c r="B96" s="117" t="s">
        <v>4391</v>
      </c>
      <c r="C96" s="304" t="s">
        <v>1271</v>
      </c>
      <c r="D96" s="305"/>
      <c r="E96" s="305"/>
      <c r="F96" s="117" t="s">
        <v>1644</v>
      </c>
      <c r="G96" s="116">
        <v>1</v>
      </c>
      <c r="H96" s="159"/>
      <c r="I96" s="108">
        <f t="shared" si="90"/>
        <v>0</v>
      </c>
      <c r="J96" s="108">
        <f t="shared" si="91"/>
        <v>0</v>
      </c>
      <c r="K96" s="108">
        <f t="shared" si="92"/>
        <v>0</v>
      </c>
      <c r="L96" s="111"/>
      <c r="Z96" s="100">
        <f t="shared" si="93"/>
        <v>0</v>
      </c>
      <c r="AB96" s="100">
        <f t="shared" si="94"/>
        <v>0</v>
      </c>
      <c r="AC96" s="100">
        <f t="shared" si="95"/>
        <v>0</v>
      </c>
      <c r="AD96" s="100">
        <f t="shared" si="96"/>
        <v>0</v>
      </c>
      <c r="AE96" s="100">
        <f t="shared" si="97"/>
        <v>0</v>
      </c>
      <c r="AF96" s="100">
        <f t="shared" si="98"/>
        <v>0</v>
      </c>
      <c r="AG96" s="100">
        <f t="shared" si="99"/>
        <v>0</v>
      </c>
      <c r="AH96" s="100">
        <f t="shared" si="100"/>
        <v>0</v>
      </c>
      <c r="AI96" s="109"/>
      <c r="AJ96" s="108">
        <f t="shared" si="101"/>
        <v>0</v>
      </c>
      <c r="AK96" s="108">
        <f t="shared" si="102"/>
        <v>0</v>
      </c>
      <c r="AL96" s="108">
        <f t="shared" si="103"/>
        <v>0</v>
      </c>
      <c r="AN96" s="100">
        <v>15</v>
      </c>
      <c r="AO96" s="100">
        <f t="shared" si="104"/>
        <v>0</v>
      </c>
      <c r="AP96" s="100">
        <f t="shared" si="105"/>
        <v>0</v>
      </c>
      <c r="AQ96" s="111" t="s">
        <v>13</v>
      </c>
      <c r="AV96" s="100">
        <f t="shared" si="106"/>
        <v>0</v>
      </c>
      <c r="AW96" s="100">
        <f t="shared" si="107"/>
        <v>0</v>
      </c>
      <c r="AX96" s="100">
        <f t="shared" si="108"/>
        <v>0</v>
      </c>
      <c r="AY96" s="110" t="s">
        <v>1708</v>
      </c>
      <c r="AZ96" s="110" t="s">
        <v>1732</v>
      </c>
      <c r="BA96" s="109" t="s">
        <v>1737</v>
      </c>
      <c r="BC96" s="100">
        <f t="shared" si="109"/>
        <v>0</v>
      </c>
      <c r="BD96" s="100">
        <f t="shared" si="110"/>
        <v>0</v>
      </c>
      <c r="BE96" s="100">
        <v>0</v>
      </c>
      <c r="BF96" s="100">
        <f>96</f>
        <v>96</v>
      </c>
      <c r="BH96" s="108">
        <f t="shared" si="111"/>
        <v>0</v>
      </c>
      <c r="BI96" s="108">
        <f t="shared" si="112"/>
        <v>0</v>
      </c>
      <c r="BJ96" s="108">
        <f t="shared" si="113"/>
        <v>0</v>
      </c>
    </row>
    <row r="97" spans="1:62" x14ac:dyDescent="0.2">
      <c r="A97" s="117" t="s">
        <v>79</v>
      </c>
      <c r="B97" s="117" t="s">
        <v>4390</v>
      </c>
      <c r="C97" s="304" t="s">
        <v>1272</v>
      </c>
      <c r="D97" s="305"/>
      <c r="E97" s="305"/>
      <c r="F97" s="117" t="s">
        <v>1644</v>
      </c>
      <c r="G97" s="116">
        <v>1</v>
      </c>
      <c r="H97" s="159"/>
      <c r="I97" s="108">
        <f t="shared" si="90"/>
        <v>0</v>
      </c>
      <c r="J97" s="108">
        <f t="shared" si="91"/>
        <v>0</v>
      </c>
      <c r="K97" s="108">
        <f t="shared" si="92"/>
        <v>0</v>
      </c>
      <c r="L97" s="111"/>
      <c r="Z97" s="100">
        <f t="shared" si="93"/>
        <v>0</v>
      </c>
      <c r="AB97" s="100">
        <f t="shared" si="94"/>
        <v>0</v>
      </c>
      <c r="AC97" s="100">
        <f t="shared" si="95"/>
        <v>0</v>
      </c>
      <c r="AD97" s="100">
        <f t="shared" si="96"/>
        <v>0</v>
      </c>
      <c r="AE97" s="100">
        <f t="shared" si="97"/>
        <v>0</v>
      </c>
      <c r="AF97" s="100">
        <f t="shared" si="98"/>
        <v>0</v>
      </c>
      <c r="AG97" s="100">
        <f t="shared" si="99"/>
        <v>0</v>
      </c>
      <c r="AH97" s="100">
        <f t="shared" si="100"/>
        <v>0</v>
      </c>
      <c r="AI97" s="109"/>
      <c r="AJ97" s="108">
        <f t="shared" si="101"/>
        <v>0</v>
      </c>
      <c r="AK97" s="108">
        <f t="shared" si="102"/>
        <v>0</v>
      </c>
      <c r="AL97" s="108">
        <f t="shared" si="103"/>
        <v>0</v>
      </c>
      <c r="AN97" s="100">
        <v>15</v>
      </c>
      <c r="AO97" s="100">
        <f t="shared" si="104"/>
        <v>0</v>
      </c>
      <c r="AP97" s="100">
        <f t="shared" si="105"/>
        <v>0</v>
      </c>
      <c r="AQ97" s="111" t="s">
        <v>13</v>
      </c>
      <c r="AV97" s="100">
        <f t="shared" si="106"/>
        <v>0</v>
      </c>
      <c r="AW97" s="100">
        <f t="shared" si="107"/>
        <v>0</v>
      </c>
      <c r="AX97" s="100">
        <f t="shared" si="108"/>
        <v>0</v>
      </c>
      <c r="AY97" s="110" t="s">
        <v>1708</v>
      </c>
      <c r="AZ97" s="110" t="s">
        <v>1732</v>
      </c>
      <c r="BA97" s="109" t="s">
        <v>1737</v>
      </c>
      <c r="BC97" s="100">
        <f t="shared" si="109"/>
        <v>0</v>
      </c>
      <c r="BD97" s="100">
        <f t="shared" si="110"/>
        <v>0</v>
      </c>
      <c r="BE97" s="100">
        <v>0</v>
      </c>
      <c r="BF97" s="100">
        <f>97</f>
        <v>97</v>
      </c>
      <c r="BH97" s="108">
        <f t="shared" si="111"/>
        <v>0</v>
      </c>
      <c r="BI97" s="108">
        <f t="shared" si="112"/>
        <v>0</v>
      </c>
      <c r="BJ97" s="108">
        <f t="shared" si="113"/>
        <v>0</v>
      </c>
    </row>
    <row r="98" spans="1:62" x14ac:dyDescent="0.2">
      <c r="A98" s="117" t="s">
        <v>80</v>
      </c>
      <c r="B98" s="117" t="s">
        <v>4389</v>
      </c>
      <c r="C98" s="304" t="s">
        <v>1276</v>
      </c>
      <c r="D98" s="305"/>
      <c r="E98" s="305"/>
      <c r="F98" s="117" t="s">
        <v>1644</v>
      </c>
      <c r="G98" s="116">
        <v>1</v>
      </c>
      <c r="H98" s="159"/>
      <c r="I98" s="108">
        <f t="shared" si="90"/>
        <v>0</v>
      </c>
      <c r="J98" s="108">
        <f t="shared" si="91"/>
        <v>0</v>
      </c>
      <c r="K98" s="108">
        <f t="shared" si="92"/>
        <v>0</v>
      </c>
      <c r="L98" s="111"/>
      <c r="Z98" s="100">
        <f t="shared" si="93"/>
        <v>0</v>
      </c>
      <c r="AB98" s="100">
        <f t="shared" si="94"/>
        <v>0</v>
      </c>
      <c r="AC98" s="100">
        <f t="shared" si="95"/>
        <v>0</v>
      </c>
      <c r="AD98" s="100">
        <f t="shared" si="96"/>
        <v>0</v>
      </c>
      <c r="AE98" s="100">
        <f t="shared" si="97"/>
        <v>0</v>
      </c>
      <c r="AF98" s="100">
        <f t="shared" si="98"/>
        <v>0</v>
      </c>
      <c r="AG98" s="100">
        <f t="shared" si="99"/>
        <v>0</v>
      </c>
      <c r="AH98" s="100">
        <f t="shared" si="100"/>
        <v>0</v>
      </c>
      <c r="AI98" s="109"/>
      <c r="AJ98" s="108">
        <f t="shared" si="101"/>
        <v>0</v>
      </c>
      <c r="AK98" s="108">
        <f t="shared" si="102"/>
        <v>0</v>
      </c>
      <c r="AL98" s="108">
        <f t="shared" si="103"/>
        <v>0</v>
      </c>
      <c r="AN98" s="100">
        <v>15</v>
      </c>
      <c r="AO98" s="100">
        <f t="shared" si="104"/>
        <v>0</v>
      </c>
      <c r="AP98" s="100">
        <f t="shared" si="105"/>
        <v>0</v>
      </c>
      <c r="AQ98" s="111" t="s">
        <v>13</v>
      </c>
      <c r="AV98" s="100">
        <f t="shared" si="106"/>
        <v>0</v>
      </c>
      <c r="AW98" s="100">
        <f t="shared" si="107"/>
        <v>0</v>
      </c>
      <c r="AX98" s="100">
        <f t="shared" si="108"/>
        <v>0</v>
      </c>
      <c r="AY98" s="110" t="s">
        <v>1708</v>
      </c>
      <c r="AZ98" s="110" t="s">
        <v>1732</v>
      </c>
      <c r="BA98" s="109" t="s">
        <v>1737</v>
      </c>
      <c r="BC98" s="100">
        <f t="shared" si="109"/>
        <v>0</v>
      </c>
      <c r="BD98" s="100">
        <f t="shared" si="110"/>
        <v>0</v>
      </c>
      <c r="BE98" s="100">
        <v>0</v>
      </c>
      <c r="BF98" s="100">
        <f>98</f>
        <v>98</v>
      </c>
      <c r="BH98" s="108">
        <f t="shared" si="111"/>
        <v>0</v>
      </c>
      <c r="BI98" s="108">
        <f t="shared" si="112"/>
        <v>0</v>
      </c>
      <c r="BJ98" s="108">
        <f t="shared" si="113"/>
        <v>0</v>
      </c>
    </row>
    <row r="99" spans="1:62" x14ac:dyDescent="0.2">
      <c r="A99" s="117" t="s">
        <v>81</v>
      </c>
      <c r="B99" s="117" t="s">
        <v>4388</v>
      </c>
      <c r="C99" s="304" t="s">
        <v>1278</v>
      </c>
      <c r="D99" s="305"/>
      <c r="E99" s="305"/>
      <c r="F99" s="117" t="s">
        <v>1644</v>
      </c>
      <c r="G99" s="116">
        <v>2</v>
      </c>
      <c r="H99" s="159"/>
      <c r="I99" s="108">
        <f t="shared" si="90"/>
        <v>0</v>
      </c>
      <c r="J99" s="108">
        <f t="shared" si="91"/>
        <v>0</v>
      </c>
      <c r="K99" s="108">
        <f t="shared" si="92"/>
        <v>0</v>
      </c>
      <c r="L99" s="111"/>
      <c r="Z99" s="100">
        <f t="shared" si="93"/>
        <v>0</v>
      </c>
      <c r="AB99" s="100">
        <f t="shared" si="94"/>
        <v>0</v>
      </c>
      <c r="AC99" s="100">
        <f t="shared" si="95"/>
        <v>0</v>
      </c>
      <c r="AD99" s="100">
        <f t="shared" si="96"/>
        <v>0</v>
      </c>
      <c r="AE99" s="100">
        <f t="shared" si="97"/>
        <v>0</v>
      </c>
      <c r="AF99" s="100">
        <f t="shared" si="98"/>
        <v>0</v>
      </c>
      <c r="AG99" s="100">
        <f t="shared" si="99"/>
        <v>0</v>
      </c>
      <c r="AH99" s="100">
        <f t="shared" si="100"/>
        <v>0</v>
      </c>
      <c r="AI99" s="109"/>
      <c r="AJ99" s="108">
        <f t="shared" si="101"/>
        <v>0</v>
      </c>
      <c r="AK99" s="108">
        <f t="shared" si="102"/>
        <v>0</v>
      </c>
      <c r="AL99" s="108">
        <f t="shared" si="103"/>
        <v>0</v>
      </c>
      <c r="AN99" s="100">
        <v>15</v>
      </c>
      <c r="AO99" s="100">
        <f t="shared" si="104"/>
        <v>0</v>
      </c>
      <c r="AP99" s="100">
        <f t="shared" si="105"/>
        <v>0</v>
      </c>
      <c r="AQ99" s="111" t="s">
        <v>13</v>
      </c>
      <c r="AV99" s="100">
        <f t="shared" si="106"/>
        <v>0</v>
      </c>
      <c r="AW99" s="100">
        <f t="shared" si="107"/>
        <v>0</v>
      </c>
      <c r="AX99" s="100">
        <f t="shared" si="108"/>
        <v>0</v>
      </c>
      <c r="AY99" s="110" t="s">
        <v>1708</v>
      </c>
      <c r="AZ99" s="110" t="s">
        <v>1732</v>
      </c>
      <c r="BA99" s="109" t="s">
        <v>1737</v>
      </c>
      <c r="BC99" s="100">
        <f t="shared" si="109"/>
        <v>0</v>
      </c>
      <c r="BD99" s="100">
        <f t="shared" si="110"/>
        <v>0</v>
      </c>
      <c r="BE99" s="100">
        <v>0</v>
      </c>
      <c r="BF99" s="100">
        <f>99</f>
        <v>99</v>
      </c>
      <c r="BH99" s="108">
        <f t="shared" si="111"/>
        <v>0</v>
      </c>
      <c r="BI99" s="108">
        <f t="shared" si="112"/>
        <v>0</v>
      </c>
      <c r="BJ99" s="108">
        <f t="shared" si="113"/>
        <v>0</v>
      </c>
    </row>
    <row r="100" spans="1:62" x14ac:dyDescent="0.2">
      <c r="A100" s="117" t="s">
        <v>82</v>
      </c>
      <c r="B100" s="117" t="s">
        <v>4387</v>
      </c>
      <c r="C100" s="304" t="s">
        <v>2123</v>
      </c>
      <c r="D100" s="305"/>
      <c r="E100" s="305"/>
      <c r="F100" s="117" t="s">
        <v>1644</v>
      </c>
      <c r="G100" s="116">
        <v>1</v>
      </c>
      <c r="H100" s="159"/>
      <c r="I100" s="108">
        <f t="shared" si="90"/>
        <v>0</v>
      </c>
      <c r="J100" s="108">
        <f t="shared" si="91"/>
        <v>0</v>
      </c>
      <c r="K100" s="108">
        <f t="shared" si="92"/>
        <v>0</v>
      </c>
      <c r="L100" s="111"/>
      <c r="Z100" s="100">
        <f t="shared" si="93"/>
        <v>0</v>
      </c>
      <c r="AB100" s="100">
        <f t="shared" si="94"/>
        <v>0</v>
      </c>
      <c r="AC100" s="100">
        <f t="shared" si="95"/>
        <v>0</v>
      </c>
      <c r="AD100" s="100">
        <f t="shared" si="96"/>
        <v>0</v>
      </c>
      <c r="AE100" s="100">
        <f t="shared" si="97"/>
        <v>0</v>
      </c>
      <c r="AF100" s="100">
        <f t="shared" si="98"/>
        <v>0</v>
      </c>
      <c r="AG100" s="100">
        <f t="shared" si="99"/>
        <v>0</v>
      </c>
      <c r="AH100" s="100">
        <f t="shared" si="100"/>
        <v>0</v>
      </c>
      <c r="AI100" s="109"/>
      <c r="AJ100" s="108">
        <f t="shared" si="101"/>
        <v>0</v>
      </c>
      <c r="AK100" s="108">
        <f t="shared" si="102"/>
        <v>0</v>
      </c>
      <c r="AL100" s="108">
        <f t="shared" si="103"/>
        <v>0</v>
      </c>
      <c r="AN100" s="100">
        <v>15</v>
      </c>
      <c r="AO100" s="100">
        <f t="shared" si="104"/>
        <v>0</v>
      </c>
      <c r="AP100" s="100">
        <f t="shared" si="105"/>
        <v>0</v>
      </c>
      <c r="AQ100" s="111" t="s">
        <v>13</v>
      </c>
      <c r="AV100" s="100">
        <f t="shared" si="106"/>
        <v>0</v>
      </c>
      <c r="AW100" s="100">
        <f t="shared" si="107"/>
        <v>0</v>
      </c>
      <c r="AX100" s="100">
        <f t="shared" si="108"/>
        <v>0</v>
      </c>
      <c r="AY100" s="110" t="s">
        <v>1708</v>
      </c>
      <c r="AZ100" s="110" t="s">
        <v>1732</v>
      </c>
      <c r="BA100" s="109" t="s">
        <v>1737</v>
      </c>
      <c r="BC100" s="100">
        <f t="shared" si="109"/>
        <v>0</v>
      </c>
      <c r="BD100" s="100">
        <f t="shared" si="110"/>
        <v>0</v>
      </c>
      <c r="BE100" s="100">
        <v>0</v>
      </c>
      <c r="BF100" s="100">
        <f>100</f>
        <v>100</v>
      </c>
      <c r="BH100" s="108">
        <f t="shared" si="111"/>
        <v>0</v>
      </c>
      <c r="BI100" s="108">
        <f t="shared" si="112"/>
        <v>0</v>
      </c>
      <c r="BJ100" s="108">
        <f t="shared" si="113"/>
        <v>0</v>
      </c>
    </row>
    <row r="101" spans="1:62" x14ac:dyDescent="0.2">
      <c r="A101" s="117" t="s">
        <v>83</v>
      </c>
      <c r="B101" s="117" t="s">
        <v>4386</v>
      </c>
      <c r="C101" s="304" t="s">
        <v>1280</v>
      </c>
      <c r="D101" s="305"/>
      <c r="E101" s="305"/>
      <c r="F101" s="117" t="s">
        <v>1646</v>
      </c>
      <c r="G101" s="116">
        <v>8</v>
      </c>
      <c r="H101" s="159"/>
      <c r="I101" s="108">
        <f t="shared" si="90"/>
        <v>0</v>
      </c>
      <c r="J101" s="108">
        <f t="shared" si="91"/>
        <v>0</v>
      </c>
      <c r="K101" s="108">
        <f t="shared" si="92"/>
        <v>0</v>
      </c>
      <c r="L101" s="111"/>
      <c r="Z101" s="100">
        <f t="shared" si="93"/>
        <v>0</v>
      </c>
      <c r="AB101" s="100">
        <f t="shared" si="94"/>
        <v>0</v>
      </c>
      <c r="AC101" s="100">
        <f t="shared" si="95"/>
        <v>0</v>
      </c>
      <c r="AD101" s="100">
        <f t="shared" si="96"/>
        <v>0</v>
      </c>
      <c r="AE101" s="100">
        <f t="shared" si="97"/>
        <v>0</v>
      </c>
      <c r="AF101" s="100">
        <f t="shared" si="98"/>
        <v>0</v>
      </c>
      <c r="AG101" s="100">
        <f t="shared" si="99"/>
        <v>0</v>
      </c>
      <c r="AH101" s="100">
        <f t="shared" si="100"/>
        <v>0</v>
      </c>
      <c r="AI101" s="109"/>
      <c r="AJ101" s="108">
        <f t="shared" si="101"/>
        <v>0</v>
      </c>
      <c r="AK101" s="108">
        <f t="shared" si="102"/>
        <v>0</v>
      </c>
      <c r="AL101" s="108">
        <f t="shared" si="103"/>
        <v>0</v>
      </c>
      <c r="AN101" s="100">
        <v>15</v>
      </c>
      <c r="AO101" s="100">
        <f t="shared" si="104"/>
        <v>0</v>
      </c>
      <c r="AP101" s="100">
        <f t="shared" si="105"/>
        <v>0</v>
      </c>
      <c r="AQ101" s="111" t="s">
        <v>13</v>
      </c>
      <c r="AV101" s="100">
        <f t="shared" si="106"/>
        <v>0</v>
      </c>
      <c r="AW101" s="100">
        <f t="shared" si="107"/>
        <v>0</v>
      </c>
      <c r="AX101" s="100">
        <f t="shared" si="108"/>
        <v>0</v>
      </c>
      <c r="AY101" s="110" t="s">
        <v>1708</v>
      </c>
      <c r="AZ101" s="110" t="s">
        <v>1732</v>
      </c>
      <c r="BA101" s="109" t="s">
        <v>1737</v>
      </c>
      <c r="BC101" s="100">
        <f t="shared" si="109"/>
        <v>0</v>
      </c>
      <c r="BD101" s="100">
        <f t="shared" si="110"/>
        <v>0</v>
      </c>
      <c r="BE101" s="100">
        <v>0</v>
      </c>
      <c r="BF101" s="100">
        <f>101</f>
        <v>101</v>
      </c>
      <c r="BH101" s="108">
        <f t="shared" si="111"/>
        <v>0</v>
      </c>
      <c r="BI101" s="108">
        <f t="shared" si="112"/>
        <v>0</v>
      </c>
      <c r="BJ101" s="108">
        <f t="shared" si="113"/>
        <v>0</v>
      </c>
    </row>
    <row r="102" spans="1:62" x14ac:dyDescent="0.2">
      <c r="A102" s="117" t="s">
        <v>84</v>
      </c>
      <c r="B102" s="117" t="s">
        <v>4385</v>
      </c>
      <c r="C102" s="304" t="s">
        <v>1281</v>
      </c>
      <c r="D102" s="305"/>
      <c r="E102" s="305"/>
      <c r="F102" s="117" t="s">
        <v>1646</v>
      </c>
      <c r="G102" s="116">
        <v>4</v>
      </c>
      <c r="H102" s="159"/>
      <c r="I102" s="108">
        <f t="shared" si="90"/>
        <v>0</v>
      </c>
      <c r="J102" s="108">
        <f t="shared" si="91"/>
        <v>0</v>
      </c>
      <c r="K102" s="108">
        <f t="shared" si="92"/>
        <v>0</v>
      </c>
      <c r="L102" s="111"/>
      <c r="Z102" s="100">
        <f t="shared" si="93"/>
        <v>0</v>
      </c>
      <c r="AB102" s="100">
        <f t="shared" si="94"/>
        <v>0</v>
      </c>
      <c r="AC102" s="100">
        <f t="shared" si="95"/>
        <v>0</v>
      </c>
      <c r="AD102" s="100">
        <f t="shared" si="96"/>
        <v>0</v>
      </c>
      <c r="AE102" s="100">
        <f t="shared" si="97"/>
        <v>0</v>
      </c>
      <c r="AF102" s="100">
        <f t="shared" si="98"/>
        <v>0</v>
      </c>
      <c r="AG102" s="100">
        <f t="shared" si="99"/>
        <v>0</v>
      </c>
      <c r="AH102" s="100">
        <f t="shared" si="100"/>
        <v>0</v>
      </c>
      <c r="AI102" s="109"/>
      <c r="AJ102" s="108">
        <f t="shared" si="101"/>
        <v>0</v>
      </c>
      <c r="AK102" s="108">
        <f t="shared" si="102"/>
        <v>0</v>
      </c>
      <c r="AL102" s="108">
        <f t="shared" si="103"/>
        <v>0</v>
      </c>
      <c r="AN102" s="100">
        <v>15</v>
      </c>
      <c r="AO102" s="100">
        <f t="shared" si="104"/>
        <v>0</v>
      </c>
      <c r="AP102" s="100">
        <f t="shared" si="105"/>
        <v>0</v>
      </c>
      <c r="AQ102" s="111" t="s">
        <v>13</v>
      </c>
      <c r="AV102" s="100">
        <f t="shared" si="106"/>
        <v>0</v>
      </c>
      <c r="AW102" s="100">
        <f t="shared" si="107"/>
        <v>0</v>
      </c>
      <c r="AX102" s="100">
        <f t="shared" si="108"/>
        <v>0</v>
      </c>
      <c r="AY102" s="110" t="s">
        <v>1708</v>
      </c>
      <c r="AZ102" s="110" t="s">
        <v>1732</v>
      </c>
      <c r="BA102" s="109" t="s">
        <v>1737</v>
      </c>
      <c r="BC102" s="100">
        <f t="shared" si="109"/>
        <v>0</v>
      </c>
      <c r="BD102" s="100">
        <f t="shared" si="110"/>
        <v>0</v>
      </c>
      <c r="BE102" s="100">
        <v>0</v>
      </c>
      <c r="BF102" s="100">
        <f>102</f>
        <v>102</v>
      </c>
      <c r="BH102" s="108">
        <f t="shared" si="111"/>
        <v>0</v>
      </c>
      <c r="BI102" s="108">
        <f t="shared" si="112"/>
        <v>0</v>
      </c>
      <c r="BJ102" s="108">
        <f t="shared" si="113"/>
        <v>0</v>
      </c>
    </row>
    <row r="103" spans="1:62" x14ac:dyDescent="0.2">
      <c r="A103" s="117" t="s">
        <v>85</v>
      </c>
      <c r="B103" s="117" t="s">
        <v>4384</v>
      </c>
      <c r="C103" s="304" t="s">
        <v>1282</v>
      </c>
      <c r="D103" s="305"/>
      <c r="E103" s="305"/>
      <c r="F103" s="117" t="s">
        <v>1644</v>
      </c>
      <c r="G103" s="116">
        <v>1</v>
      </c>
      <c r="H103" s="159"/>
      <c r="I103" s="108">
        <f t="shared" si="90"/>
        <v>0</v>
      </c>
      <c r="J103" s="108">
        <f t="shared" si="91"/>
        <v>0</v>
      </c>
      <c r="K103" s="108">
        <f t="shared" si="92"/>
        <v>0</v>
      </c>
      <c r="L103" s="111"/>
      <c r="Z103" s="100">
        <f t="shared" si="93"/>
        <v>0</v>
      </c>
      <c r="AB103" s="100">
        <f t="shared" si="94"/>
        <v>0</v>
      </c>
      <c r="AC103" s="100">
        <f t="shared" si="95"/>
        <v>0</v>
      </c>
      <c r="AD103" s="100">
        <f t="shared" si="96"/>
        <v>0</v>
      </c>
      <c r="AE103" s="100">
        <f t="shared" si="97"/>
        <v>0</v>
      </c>
      <c r="AF103" s="100">
        <f t="shared" si="98"/>
        <v>0</v>
      </c>
      <c r="AG103" s="100">
        <f t="shared" si="99"/>
        <v>0</v>
      </c>
      <c r="AH103" s="100">
        <f t="shared" si="100"/>
        <v>0</v>
      </c>
      <c r="AI103" s="109"/>
      <c r="AJ103" s="108">
        <f t="shared" si="101"/>
        <v>0</v>
      </c>
      <c r="AK103" s="108">
        <f t="shared" si="102"/>
        <v>0</v>
      </c>
      <c r="AL103" s="108">
        <f t="shared" si="103"/>
        <v>0</v>
      </c>
      <c r="AN103" s="100">
        <v>15</v>
      </c>
      <c r="AO103" s="100">
        <f t="shared" si="104"/>
        <v>0</v>
      </c>
      <c r="AP103" s="100">
        <f t="shared" si="105"/>
        <v>0</v>
      </c>
      <c r="AQ103" s="111" t="s">
        <v>13</v>
      </c>
      <c r="AV103" s="100">
        <f t="shared" si="106"/>
        <v>0</v>
      </c>
      <c r="AW103" s="100">
        <f t="shared" si="107"/>
        <v>0</v>
      </c>
      <c r="AX103" s="100">
        <f t="shared" si="108"/>
        <v>0</v>
      </c>
      <c r="AY103" s="110" t="s">
        <v>1708</v>
      </c>
      <c r="AZ103" s="110" t="s">
        <v>1732</v>
      </c>
      <c r="BA103" s="109" t="s">
        <v>1737</v>
      </c>
      <c r="BC103" s="100">
        <f t="shared" si="109"/>
        <v>0</v>
      </c>
      <c r="BD103" s="100">
        <f t="shared" si="110"/>
        <v>0</v>
      </c>
      <c r="BE103" s="100">
        <v>0</v>
      </c>
      <c r="BF103" s="100">
        <f>103</f>
        <v>103</v>
      </c>
      <c r="BH103" s="108">
        <f t="shared" si="111"/>
        <v>0</v>
      </c>
      <c r="BI103" s="108">
        <f t="shared" si="112"/>
        <v>0</v>
      </c>
      <c r="BJ103" s="108">
        <f t="shared" si="113"/>
        <v>0</v>
      </c>
    </row>
    <row r="104" spans="1:62" x14ac:dyDescent="0.2">
      <c r="A104" s="119"/>
      <c r="B104" s="120" t="s">
        <v>771</v>
      </c>
      <c r="C104" s="306" t="s">
        <v>1283</v>
      </c>
      <c r="D104" s="307"/>
      <c r="E104" s="307"/>
      <c r="F104" s="119" t="s">
        <v>6</v>
      </c>
      <c r="G104" s="119" t="s">
        <v>6</v>
      </c>
      <c r="H104" s="119" t="s">
        <v>6</v>
      </c>
      <c r="I104" s="118">
        <f>SUM(I105:I141)</f>
        <v>0</v>
      </c>
      <c r="J104" s="118">
        <f>SUM(J105:J141)</f>
        <v>0</v>
      </c>
      <c r="K104" s="118">
        <f>SUM(K105:K141)</f>
        <v>0</v>
      </c>
      <c r="L104" s="109"/>
      <c r="AI104" s="109"/>
      <c r="AS104" s="118">
        <f>SUM(AJ105:AJ141)</f>
        <v>0</v>
      </c>
      <c r="AT104" s="118">
        <f>SUM(AK105:AK141)</f>
        <v>0</v>
      </c>
      <c r="AU104" s="118">
        <f>SUM(AL105:AL141)</f>
        <v>0</v>
      </c>
    </row>
    <row r="105" spans="1:62" x14ac:dyDescent="0.2">
      <c r="A105" s="117" t="s">
        <v>86</v>
      </c>
      <c r="B105" s="117" t="s">
        <v>4383</v>
      </c>
      <c r="C105" s="304" t="s">
        <v>3625</v>
      </c>
      <c r="D105" s="305"/>
      <c r="E105" s="305"/>
      <c r="F105" s="117" t="s">
        <v>1644</v>
      </c>
      <c r="G105" s="116">
        <v>1</v>
      </c>
      <c r="H105" s="159"/>
      <c r="I105" s="108">
        <f t="shared" ref="I105:I141" si="114">G105*AO105</f>
        <v>0</v>
      </c>
      <c r="J105" s="108">
        <f t="shared" ref="J105:J141" si="115">G105*AP105</f>
        <v>0</v>
      </c>
      <c r="K105" s="108">
        <f t="shared" ref="K105:K141" si="116">G105*H105</f>
        <v>0</v>
      </c>
      <c r="L105" s="111"/>
      <c r="Z105" s="100">
        <f t="shared" ref="Z105:Z141" si="117">IF(AQ105="5",BJ105,0)</f>
        <v>0</v>
      </c>
      <c r="AB105" s="100">
        <f t="shared" ref="AB105:AB141" si="118">IF(AQ105="1",BH105,0)</f>
        <v>0</v>
      </c>
      <c r="AC105" s="100">
        <f t="shared" ref="AC105:AC141" si="119">IF(AQ105="1",BI105,0)</f>
        <v>0</v>
      </c>
      <c r="AD105" s="100">
        <f t="shared" ref="AD105:AD141" si="120">IF(AQ105="7",BH105,0)</f>
        <v>0</v>
      </c>
      <c r="AE105" s="100">
        <f t="shared" ref="AE105:AE141" si="121">IF(AQ105="7",BI105,0)</f>
        <v>0</v>
      </c>
      <c r="AF105" s="100">
        <f t="shared" ref="AF105:AF141" si="122">IF(AQ105="2",BH105,0)</f>
        <v>0</v>
      </c>
      <c r="AG105" s="100">
        <f t="shared" ref="AG105:AG141" si="123">IF(AQ105="2",BI105,0)</f>
        <v>0</v>
      </c>
      <c r="AH105" s="100">
        <f t="shared" ref="AH105:AH141" si="124">IF(AQ105="0",BJ105,0)</f>
        <v>0</v>
      </c>
      <c r="AI105" s="109"/>
      <c r="AJ105" s="108">
        <f t="shared" ref="AJ105:AJ141" si="125">IF(AN105=0,K105,0)</f>
        <v>0</v>
      </c>
      <c r="AK105" s="108">
        <f t="shared" ref="AK105:AK141" si="126">IF(AN105=15,K105,0)</f>
        <v>0</v>
      </c>
      <c r="AL105" s="108">
        <f t="shared" ref="AL105:AL141" si="127">IF(AN105=21,K105,0)</f>
        <v>0</v>
      </c>
      <c r="AN105" s="100">
        <v>15</v>
      </c>
      <c r="AO105" s="100">
        <f t="shared" ref="AO105:AO141" si="128">H105*0</f>
        <v>0</v>
      </c>
      <c r="AP105" s="100">
        <f t="shared" ref="AP105:AP141" si="129">H105*(1-0)</f>
        <v>0</v>
      </c>
      <c r="AQ105" s="111" t="s">
        <v>13</v>
      </c>
      <c r="AV105" s="100">
        <f t="shared" ref="AV105:AV141" si="130">AW105+AX105</f>
        <v>0</v>
      </c>
      <c r="AW105" s="100">
        <f t="shared" ref="AW105:AW141" si="131">G105*AO105</f>
        <v>0</v>
      </c>
      <c r="AX105" s="100">
        <f t="shared" ref="AX105:AX141" si="132">G105*AP105</f>
        <v>0</v>
      </c>
      <c r="AY105" s="110" t="s">
        <v>1709</v>
      </c>
      <c r="AZ105" s="110" t="s">
        <v>1733</v>
      </c>
      <c r="BA105" s="109" t="s">
        <v>1737</v>
      </c>
      <c r="BC105" s="100">
        <f t="shared" ref="BC105:BC141" si="133">AW105+AX105</f>
        <v>0</v>
      </c>
      <c r="BD105" s="100">
        <f t="shared" ref="BD105:BD141" si="134">H105/(100-BE105)*100</f>
        <v>0</v>
      </c>
      <c r="BE105" s="100">
        <v>0</v>
      </c>
      <c r="BF105" s="100">
        <f>105</f>
        <v>105</v>
      </c>
      <c r="BH105" s="108">
        <f t="shared" ref="BH105:BH141" si="135">G105*AO105</f>
        <v>0</v>
      </c>
      <c r="BI105" s="108">
        <f t="shared" ref="BI105:BI141" si="136">G105*AP105</f>
        <v>0</v>
      </c>
      <c r="BJ105" s="108">
        <f t="shared" ref="BJ105:BJ141" si="137">G105*H105</f>
        <v>0</v>
      </c>
    </row>
    <row r="106" spans="1:62" x14ac:dyDescent="0.2">
      <c r="A106" s="117" t="s">
        <v>87</v>
      </c>
      <c r="B106" s="117" t="s">
        <v>4382</v>
      </c>
      <c r="C106" s="304" t="s">
        <v>1311</v>
      </c>
      <c r="D106" s="305"/>
      <c r="E106" s="305"/>
      <c r="F106" s="117" t="s">
        <v>1644</v>
      </c>
      <c r="G106" s="116">
        <v>1</v>
      </c>
      <c r="H106" s="159"/>
      <c r="I106" s="108">
        <f t="shared" si="114"/>
        <v>0</v>
      </c>
      <c r="J106" s="108">
        <f t="shared" si="115"/>
        <v>0</v>
      </c>
      <c r="K106" s="108">
        <f t="shared" si="116"/>
        <v>0</v>
      </c>
      <c r="L106" s="111"/>
      <c r="Z106" s="100">
        <f t="shared" si="117"/>
        <v>0</v>
      </c>
      <c r="AB106" s="100">
        <f t="shared" si="118"/>
        <v>0</v>
      </c>
      <c r="AC106" s="100">
        <f t="shared" si="119"/>
        <v>0</v>
      </c>
      <c r="AD106" s="100">
        <f t="shared" si="120"/>
        <v>0</v>
      </c>
      <c r="AE106" s="100">
        <f t="shared" si="121"/>
        <v>0</v>
      </c>
      <c r="AF106" s="100">
        <f t="shared" si="122"/>
        <v>0</v>
      </c>
      <c r="AG106" s="100">
        <f t="shared" si="123"/>
        <v>0</v>
      </c>
      <c r="AH106" s="100">
        <f t="shared" si="124"/>
        <v>0</v>
      </c>
      <c r="AI106" s="109"/>
      <c r="AJ106" s="108">
        <f t="shared" si="125"/>
        <v>0</v>
      </c>
      <c r="AK106" s="108">
        <f t="shared" si="126"/>
        <v>0</v>
      </c>
      <c r="AL106" s="108">
        <f t="shared" si="127"/>
        <v>0</v>
      </c>
      <c r="AN106" s="100">
        <v>15</v>
      </c>
      <c r="AO106" s="100">
        <f t="shared" si="128"/>
        <v>0</v>
      </c>
      <c r="AP106" s="100">
        <f t="shared" si="129"/>
        <v>0</v>
      </c>
      <c r="AQ106" s="111" t="s">
        <v>13</v>
      </c>
      <c r="AV106" s="100">
        <f t="shared" si="130"/>
        <v>0</v>
      </c>
      <c r="AW106" s="100">
        <f t="shared" si="131"/>
        <v>0</v>
      </c>
      <c r="AX106" s="100">
        <f t="shared" si="132"/>
        <v>0</v>
      </c>
      <c r="AY106" s="110" t="s">
        <v>1709</v>
      </c>
      <c r="AZ106" s="110" t="s">
        <v>1733</v>
      </c>
      <c r="BA106" s="109" t="s">
        <v>1737</v>
      </c>
      <c r="BC106" s="100">
        <f t="shared" si="133"/>
        <v>0</v>
      </c>
      <c r="BD106" s="100">
        <f t="shared" si="134"/>
        <v>0</v>
      </c>
      <c r="BE106" s="100">
        <v>0</v>
      </c>
      <c r="BF106" s="100">
        <f>106</f>
        <v>106</v>
      </c>
      <c r="BH106" s="108">
        <f t="shared" si="135"/>
        <v>0</v>
      </c>
      <c r="BI106" s="108">
        <f t="shared" si="136"/>
        <v>0</v>
      </c>
      <c r="BJ106" s="108">
        <f t="shared" si="137"/>
        <v>0</v>
      </c>
    </row>
    <row r="107" spans="1:62" x14ac:dyDescent="0.2">
      <c r="A107" s="117" t="s">
        <v>88</v>
      </c>
      <c r="B107" s="117" t="s">
        <v>4381</v>
      </c>
      <c r="C107" s="304" t="s">
        <v>4380</v>
      </c>
      <c r="D107" s="305"/>
      <c r="E107" s="305"/>
      <c r="F107" s="117" t="s">
        <v>1644</v>
      </c>
      <c r="G107" s="116">
        <v>1</v>
      </c>
      <c r="H107" s="159"/>
      <c r="I107" s="108">
        <f t="shared" si="114"/>
        <v>0</v>
      </c>
      <c r="J107" s="108">
        <f t="shared" si="115"/>
        <v>0</v>
      </c>
      <c r="K107" s="108">
        <f t="shared" si="116"/>
        <v>0</v>
      </c>
      <c r="L107" s="111"/>
      <c r="Z107" s="100">
        <f t="shared" si="117"/>
        <v>0</v>
      </c>
      <c r="AB107" s="100">
        <f t="shared" si="118"/>
        <v>0</v>
      </c>
      <c r="AC107" s="100">
        <f t="shared" si="119"/>
        <v>0</v>
      </c>
      <c r="AD107" s="100">
        <f t="shared" si="120"/>
        <v>0</v>
      </c>
      <c r="AE107" s="100">
        <f t="shared" si="121"/>
        <v>0</v>
      </c>
      <c r="AF107" s="100">
        <f t="shared" si="122"/>
        <v>0</v>
      </c>
      <c r="AG107" s="100">
        <f t="shared" si="123"/>
        <v>0</v>
      </c>
      <c r="AH107" s="100">
        <f t="shared" si="124"/>
        <v>0</v>
      </c>
      <c r="AI107" s="109"/>
      <c r="AJ107" s="108">
        <f t="shared" si="125"/>
        <v>0</v>
      </c>
      <c r="AK107" s="108">
        <f t="shared" si="126"/>
        <v>0</v>
      </c>
      <c r="AL107" s="108">
        <f t="shared" si="127"/>
        <v>0</v>
      </c>
      <c r="AN107" s="100">
        <v>15</v>
      </c>
      <c r="AO107" s="100">
        <f t="shared" si="128"/>
        <v>0</v>
      </c>
      <c r="AP107" s="100">
        <f t="shared" si="129"/>
        <v>0</v>
      </c>
      <c r="AQ107" s="111" t="s">
        <v>13</v>
      </c>
      <c r="AV107" s="100">
        <f t="shared" si="130"/>
        <v>0</v>
      </c>
      <c r="AW107" s="100">
        <f t="shared" si="131"/>
        <v>0</v>
      </c>
      <c r="AX107" s="100">
        <f t="shared" si="132"/>
        <v>0</v>
      </c>
      <c r="AY107" s="110" t="s">
        <v>1709</v>
      </c>
      <c r="AZ107" s="110" t="s">
        <v>1733</v>
      </c>
      <c r="BA107" s="109" t="s">
        <v>1737</v>
      </c>
      <c r="BC107" s="100">
        <f t="shared" si="133"/>
        <v>0</v>
      </c>
      <c r="BD107" s="100">
        <f t="shared" si="134"/>
        <v>0</v>
      </c>
      <c r="BE107" s="100">
        <v>0</v>
      </c>
      <c r="BF107" s="100">
        <f>107</f>
        <v>107</v>
      </c>
      <c r="BH107" s="108">
        <f t="shared" si="135"/>
        <v>0</v>
      </c>
      <c r="BI107" s="108">
        <f t="shared" si="136"/>
        <v>0</v>
      </c>
      <c r="BJ107" s="108">
        <f t="shared" si="137"/>
        <v>0</v>
      </c>
    </row>
    <row r="108" spans="1:62" x14ac:dyDescent="0.2">
      <c r="A108" s="117" t="s">
        <v>89</v>
      </c>
      <c r="B108" s="117" t="s">
        <v>4379</v>
      </c>
      <c r="C108" s="304" t="s">
        <v>1320</v>
      </c>
      <c r="D108" s="305"/>
      <c r="E108" s="305"/>
      <c r="F108" s="117" t="s">
        <v>1644</v>
      </c>
      <c r="G108" s="116">
        <v>3</v>
      </c>
      <c r="H108" s="159"/>
      <c r="I108" s="108">
        <f t="shared" si="114"/>
        <v>0</v>
      </c>
      <c r="J108" s="108">
        <f t="shared" si="115"/>
        <v>0</v>
      </c>
      <c r="K108" s="108">
        <f t="shared" si="116"/>
        <v>0</v>
      </c>
      <c r="L108" s="111"/>
      <c r="Z108" s="100">
        <f t="shared" si="117"/>
        <v>0</v>
      </c>
      <c r="AB108" s="100">
        <f t="shared" si="118"/>
        <v>0</v>
      </c>
      <c r="AC108" s="100">
        <f t="shared" si="119"/>
        <v>0</v>
      </c>
      <c r="AD108" s="100">
        <f t="shared" si="120"/>
        <v>0</v>
      </c>
      <c r="AE108" s="100">
        <f t="shared" si="121"/>
        <v>0</v>
      </c>
      <c r="AF108" s="100">
        <f t="shared" si="122"/>
        <v>0</v>
      </c>
      <c r="AG108" s="100">
        <f t="shared" si="123"/>
        <v>0</v>
      </c>
      <c r="AH108" s="100">
        <f t="shared" si="124"/>
        <v>0</v>
      </c>
      <c r="AI108" s="109"/>
      <c r="AJ108" s="108">
        <f t="shared" si="125"/>
        <v>0</v>
      </c>
      <c r="AK108" s="108">
        <f t="shared" si="126"/>
        <v>0</v>
      </c>
      <c r="AL108" s="108">
        <f t="shared" si="127"/>
        <v>0</v>
      </c>
      <c r="AN108" s="100">
        <v>15</v>
      </c>
      <c r="AO108" s="100">
        <f t="shared" si="128"/>
        <v>0</v>
      </c>
      <c r="AP108" s="100">
        <f t="shared" si="129"/>
        <v>0</v>
      </c>
      <c r="AQ108" s="111" t="s">
        <v>13</v>
      </c>
      <c r="AV108" s="100">
        <f t="shared" si="130"/>
        <v>0</v>
      </c>
      <c r="AW108" s="100">
        <f t="shared" si="131"/>
        <v>0</v>
      </c>
      <c r="AX108" s="100">
        <f t="shared" si="132"/>
        <v>0</v>
      </c>
      <c r="AY108" s="110" t="s">
        <v>1709</v>
      </c>
      <c r="AZ108" s="110" t="s">
        <v>1733</v>
      </c>
      <c r="BA108" s="109" t="s">
        <v>1737</v>
      </c>
      <c r="BC108" s="100">
        <f t="shared" si="133"/>
        <v>0</v>
      </c>
      <c r="BD108" s="100">
        <f t="shared" si="134"/>
        <v>0</v>
      </c>
      <c r="BE108" s="100">
        <v>0</v>
      </c>
      <c r="BF108" s="100">
        <f>108</f>
        <v>108</v>
      </c>
      <c r="BH108" s="108">
        <f t="shared" si="135"/>
        <v>0</v>
      </c>
      <c r="BI108" s="108">
        <f t="shared" si="136"/>
        <v>0</v>
      </c>
      <c r="BJ108" s="108">
        <f t="shared" si="137"/>
        <v>0</v>
      </c>
    </row>
    <row r="109" spans="1:62" x14ac:dyDescent="0.2">
      <c r="A109" s="117" t="s">
        <v>90</v>
      </c>
      <c r="B109" s="117" t="s">
        <v>4378</v>
      </c>
      <c r="C109" s="304" t="s">
        <v>1321</v>
      </c>
      <c r="D109" s="305"/>
      <c r="E109" s="305"/>
      <c r="F109" s="117" t="s">
        <v>1644</v>
      </c>
      <c r="G109" s="116">
        <v>1</v>
      </c>
      <c r="H109" s="159"/>
      <c r="I109" s="108">
        <f t="shared" si="114"/>
        <v>0</v>
      </c>
      <c r="J109" s="108">
        <f t="shared" si="115"/>
        <v>0</v>
      </c>
      <c r="K109" s="108">
        <f t="shared" si="116"/>
        <v>0</v>
      </c>
      <c r="L109" s="111"/>
      <c r="Z109" s="100">
        <f t="shared" si="117"/>
        <v>0</v>
      </c>
      <c r="AB109" s="100">
        <f t="shared" si="118"/>
        <v>0</v>
      </c>
      <c r="AC109" s="100">
        <f t="shared" si="119"/>
        <v>0</v>
      </c>
      <c r="AD109" s="100">
        <f t="shared" si="120"/>
        <v>0</v>
      </c>
      <c r="AE109" s="100">
        <f t="shared" si="121"/>
        <v>0</v>
      </c>
      <c r="AF109" s="100">
        <f t="shared" si="122"/>
        <v>0</v>
      </c>
      <c r="AG109" s="100">
        <f t="shared" si="123"/>
        <v>0</v>
      </c>
      <c r="AH109" s="100">
        <f t="shared" si="124"/>
        <v>0</v>
      </c>
      <c r="AI109" s="109"/>
      <c r="AJ109" s="108">
        <f t="shared" si="125"/>
        <v>0</v>
      </c>
      <c r="AK109" s="108">
        <f t="shared" si="126"/>
        <v>0</v>
      </c>
      <c r="AL109" s="108">
        <f t="shared" si="127"/>
        <v>0</v>
      </c>
      <c r="AN109" s="100">
        <v>15</v>
      </c>
      <c r="AO109" s="100">
        <f t="shared" si="128"/>
        <v>0</v>
      </c>
      <c r="AP109" s="100">
        <f t="shared" si="129"/>
        <v>0</v>
      </c>
      <c r="AQ109" s="111" t="s">
        <v>13</v>
      </c>
      <c r="AV109" s="100">
        <f t="shared" si="130"/>
        <v>0</v>
      </c>
      <c r="AW109" s="100">
        <f t="shared" si="131"/>
        <v>0</v>
      </c>
      <c r="AX109" s="100">
        <f t="shared" si="132"/>
        <v>0</v>
      </c>
      <c r="AY109" s="110" t="s">
        <v>1709</v>
      </c>
      <c r="AZ109" s="110" t="s">
        <v>1733</v>
      </c>
      <c r="BA109" s="109" t="s">
        <v>1737</v>
      </c>
      <c r="BC109" s="100">
        <f t="shared" si="133"/>
        <v>0</v>
      </c>
      <c r="BD109" s="100">
        <f t="shared" si="134"/>
        <v>0</v>
      </c>
      <c r="BE109" s="100">
        <v>0</v>
      </c>
      <c r="BF109" s="100">
        <f>109</f>
        <v>109</v>
      </c>
      <c r="BH109" s="108">
        <f t="shared" si="135"/>
        <v>0</v>
      </c>
      <c r="BI109" s="108">
        <f t="shared" si="136"/>
        <v>0</v>
      </c>
      <c r="BJ109" s="108">
        <f t="shared" si="137"/>
        <v>0</v>
      </c>
    </row>
    <row r="110" spans="1:62" x14ac:dyDescent="0.2">
      <c r="A110" s="117" t="s">
        <v>91</v>
      </c>
      <c r="B110" s="117" t="s">
        <v>4377</v>
      </c>
      <c r="C110" s="304" t="s">
        <v>1323</v>
      </c>
      <c r="D110" s="305"/>
      <c r="E110" s="305"/>
      <c r="F110" s="117" t="s">
        <v>1644</v>
      </c>
      <c r="G110" s="116">
        <v>1</v>
      </c>
      <c r="H110" s="159"/>
      <c r="I110" s="108">
        <f t="shared" si="114"/>
        <v>0</v>
      </c>
      <c r="J110" s="108">
        <f t="shared" si="115"/>
        <v>0</v>
      </c>
      <c r="K110" s="108">
        <f t="shared" si="116"/>
        <v>0</v>
      </c>
      <c r="L110" s="111"/>
      <c r="Z110" s="100">
        <f t="shared" si="117"/>
        <v>0</v>
      </c>
      <c r="AB110" s="100">
        <f t="shared" si="118"/>
        <v>0</v>
      </c>
      <c r="AC110" s="100">
        <f t="shared" si="119"/>
        <v>0</v>
      </c>
      <c r="AD110" s="100">
        <f t="shared" si="120"/>
        <v>0</v>
      </c>
      <c r="AE110" s="100">
        <f t="shared" si="121"/>
        <v>0</v>
      </c>
      <c r="AF110" s="100">
        <f t="shared" si="122"/>
        <v>0</v>
      </c>
      <c r="AG110" s="100">
        <f t="shared" si="123"/>
        <v>0</v>
      </c>
      <c r="AH110" s="100">
        <f t="shared" si="124"/>
        <v>0</v>
      </c>
      <c r="AI110" s="109"/>
      <c r="AJ110" s="108">
        <f t="shared" si="125"/>
        <v>0</v>
      </c>
      <c r="AK110" s="108">
        <f t="shared" si="126"/>
        <v>0</v>
      </c>
      <c r="AL110" s="108">
        <f t="shared" si="127"/>
        <v>0</v>
      </c>
      <c r="AN110" s="100">
        <v>15</v>
      </c>
      <c r="AO110" s="100">
        <f t="shared" si="128"/>
        <v>0</v>
      </c>
      <c r="AP110" s="100">
        <f t="shared" si="129"/>
        <v>0</v>
      </c>
      <c r="AQ110" s="111" t="s">
        <v>13</v>
      </c>
      <c r="AV110" s="100">
        <f t="shared" si="130"/>
        <v>0</v>
      </c>
      <c r="AW110" s="100">
        <f t="shared" si="131"/>
        <v>0</v>
      </c>
      <c r="AX110" s="100">
        <f t="shared" si="132"/>
        <v>0</v>
      </c>
      <c r="AY110" s="110" t="s">
        <v>1709</v>
      </c>
      <c r="AZ110" s="110" t="s">
        <v>1733</v>
      </c>
      <c r="BA110" s="109" t="s">
        <v>1737</v>
      </c>
      <c r="BC110" s="100">
        <f t="shared" si="133"/>
        <v>0</v>
      </c>
      <c r="BD110" s="100">
        <f t="shared" si="134"/>
        <v>0</v>
      </c>
      <c r="BE110" s="100">
        <v>0</v>
      </c>
      <c r="BF110" s="100">
        <f>110</f>
        <v>110</v>
      </c>
      <c r="BH110" s="108">
        <f t="shared" si="135"/>
        <v>0</v>
      </c>
      <c r="BI110" s="108">
        <f t="shared" si="136"/>
        <v>0</v>
      </c>
      <c r="BJ110" s="108">
        <f t="shared" si="137"/>
        <v>0</v>
      </c>
    </row>
    <row r="111" spans="1:62" x14ac:dyDescent="0.2">
      <c r="A111" s="117" t="s">
        <v>92</v>
      </c>
      <c r="B111" s="117" t="s">
        <v>4376</v>
      </c>
      <c r="C111" s="304" t="s">
        <v>1297</v>
      </c>
      <c r="D111" s="305"/>
      <c r="E111" s="305"/>
      <c r="F111" s="117" t="s">
        <v>1644</v>
      </c>
      <c r="G111" s="116">
        <v>2</v>
      </c>
      <c r="H111" s="159"/>
      <c r="I111" s="108">
        <f t="shared" si="114"/>
        <v>0</v>
      </c>
      <c r="J111" s="108">
        <f t="shared" si="115"/>
        <v>0</v>
      </c>
      <c r="K111" s="108">
        <f t="shared" si="116"/>
        <v>0</v>
      </c>
      <c r="L111" s="111"/>
      <c r="Z111" s="100">
        <f t="shared" si="117"/>
        <v>0</v>
      </c>
      <c r="AB111" s="100">
        <f t="shared" si="118"/>
        <v>0</v>
      </c>
      <c r="AC111" s="100">
        <f t="shared" si="119"/>
        <v>0</v>
      </c>
      <c r="AD111" s="100">
        <f t="shared" si="120"/>
        <v>0</v>
      </c>
      <c r="AE111" s="100">
        <f t="shared" si="121"/>
        <v>0</v>
      </c>
      <c r="AF111" s="100">
        <f t="shared" si="122"/>
        <v>0</v>
      </c>
      <c r="AG111" s="100">
        <f t="shared" si="123"/>
        <v>0</v>
      </c>
      <c r="AH111" s="100">
        <f t="shared" si="124"/>
        <v>0</v>
      </c>
      <c r="AI111" s="109"/>
      <c r="AJ111" s="108">
        <f t="shared" si="125"/>
        <v>0</v>
      </c>
      <c r="AK111" s="108">
        <f t="shared" si="126"/>
        <v>0</v>
      </c>
      <c r="AL111" s="108">
        <f t="shared" si="127"/>
        <v>0</v>
      </c>
      <c r="AN111" s="100">
        <v>15</v>
      </c>
      <c r="AO111" s="100">
        <f t="shared" si="128"/>
        <v>0</v>
      </c>
      <c r="AP111" s="100">
        <f t="shared" si="129"/>
        <v>0</v>
      </c>
      <c r="AQ111" s="111" t="s">
        <v>13</v>
      </c>
      <c r="AV111" s="100">
        <f t="shared" si="130"/>
        <v>0</v>
      </c>
      <c r="AW111" s="100">
        <f t="shared" si="131"/>
        <v>0</v>
      </c>
      <c r="AX111" s="100">
        <f t="shared" si="132"/>
        <v>0</v>
      </c>
      <c r="AY111" s="110" t="s">
        <v>1709</v>
      </c>
      <c r="AZ111" s="110" t="s">
        <v>1733</v>
      </c>
      <c r="BA111" s="109" t="s">
        <v>1737</v>
      </c>
      <c r="BC111" s="100">
        <f t="shared" si="133"/>
        <v>0</v>
      </c>
      <c r="BD111" s="100">
        <f t="shared" si="134"/>
        <v>0</v>
      </c>
      <c r="BE111" s="100">
        <v>0</v>
      </c>
      <c r="BF111" s="100">
        <f>111</f>
        <v>111</v>
      </c>
      <c r="BH111" s="108">
        <f t="shared" si="135"/>
        <v>0</v>
      </c>
      <c r="BI111" s="108">
        <f t="shared" si="136"/>
        <v>0</v>
      </c>
      <c r="BJ111" s="108">
        <f t="shared" si="137"/>
        <v>0</v>
      </c>
    </row>
    <row r="112" spans="1:62" x14ac:dyDescent="0.2">
      <c r="A112" s="117" t="s">
        <v>93</v>
      </c>
      <c r="B112" s="117" t="s">
        <v>4375</v>
      </c>
      <c r="C112" s="304" t="s">
        <v>1327</v>
      </c>
      <c r="D112" s="305"/>
      <c r="E112" s="305"/>
      <c r="F112" s="117" t="s">
        <v>1644</v>
      </c>
      <c r="G112" s="116">
        <v>2</v>
      </c>
      <c r="H112" s="159"/>
      <c r="I112" s="108">
        <f t="shared" si="114"/>
        <v>0</v>
      </c>
      <c r="J112" s="108">
        <f t="shared" si="115"/>
        <v>0</v>
      </c>
      <c r="K112" s="108">
        <f t="shared" si="116"/>
        <v>0</v>
      </c>
      <c r="L112" s="111"/>
      <c r="Z112" s="100">
        <f t="shared" si="117"/>
        <v>0</v>
      </c>
      <c r="AB112" s="100">
        <f t="shared" si="118"/>
        <v>0</v>
      </c>
      <c r="AC112" s="100">
        <f t="shared" si="119"/>
        <v>0</v>
      </c>
      <c r="AD112" s="100">
        <f t="shared" si="120"/>
        <v>0</v>
      </c>
      <c r="AE112" s="100">
        <f t="shared" si="121"/>
        <v>0</v>
      </c>
      <c r="AF112" s="100">
        <f t="shared" si="122"/>
        <v>0</v>
      </c>
      <c r="AG112" s="100">
        <f t="shared" si="123"/>
        <v>0</v>
      </c>
      <c r="AH112" s="100">
        <f t="shared" si="124"/>
        <v>0</v>
      </c>
      <c r="AI112" s="109"/>
      <c r="AJ112" s="108">
        <f t="shared" si="125"/>
        <v>0</v>
      </c>
      <c r="AK112" s="108">
        <f t="shared" si="126"/>
        <v>0</v>
      </c>
      <c r="AL112" s="108">
        <f t="shared" si="127"/>
        <v>0</v>
      </c>
      <c r="AN112" s="100">
        <v>15</v>
      </c>
      <c r="AO112" s="100">
        <f t="shared" si="128"/>
        <v>0</v>
      </c>
      <c r="AP112" s="100">
        <f t="shared" si="129"/>
        <v>0</v>
      </c>
      <c r="AQ112" s="111" t="s">
        <v>13</v>
      </c>
      <c r="AV112" s="100">
        <f t="shared" si="130"/>
        <v>0</v>
      </c>
      <c r="AW112" s="100">
        <f t="shared" si="131"/>
        <v>0</v>
      </c>
      <c r="AX112" s="100">
        <f t="shared" si="132"/>
        <v>0</v>
      </c>
      <c r="AY112" s="110" t="s">
        <v>1709</v>
      </c>
      <c r="AZ112" s="110" t="s">
        <v>1733</v>
      </c>
      <c r="BA112" s="109" t="s">
        <v>1737</v>
      </c>
      <c r="BC112" s="100">
        <f t="shared" si="133"/>
        <v>0</v>
      </c>
      <c r="BD112" s="100">
        <f t="shared" si="134"/>
        <v>0</v>
      </c>
      <c r="BE112" s="100">
        <v>0</v>
      </c>
      <c r="BF112" s="100">
        <f>112</f>
        <v>112</v>
      </c>
      <c r="BH112" s="108">
        <f t="shared" si="135"/>
        <v>0</v>
      </c>
      <c r="BI112" s="108">
        <f t="shared" si="136"/>
        <v>0</v>
      </c>
      <c r="BJ112" s="108">
        <f t="shared" si="137"/>
        <v>0</v>
      </c>
    </row>
    <row r="113" spans="1:62" x14ac:dyDescent="0.2">
      <c r="A113" s="117" t="s">
        <v>94</v>
      </c>
      <c r="B113" s="117" t="s">
        <v>4374</v>
      </c>
      <c r="C113" s="304" t="s">
        <v>1294</v>
      </c>
      <c r="D113" s="305"/>
      <c r="E113" s="305"/>
      <c r="F113" s="117" t="s">
        <v>1644</v>
      </c>
      <c r="G113" s="116">
        <v>1</v>
      </c>
      <c r="H113" s="159"/>
      <c r="I113" s="108">
        <f t="shared" si="114"/>
        <v>0</v>
      </c>
      <c r="J113" s="108">
        <f t="shared" si="115"/>
        <v>0</v>
      </c>
      <c r="K113" s="108">
        <f t="shared" si="116"/>
        <v>0</v>
      </c>
      <c r="L113" s="111"/>
      <c r="Z113" s="100">
        <f t="shared" si="117"/>
        <v>0</v>
      </c>
      <c r="AB113" s="100">
        <f t="shared" si="118"/>
        <v>0</v>
      </c>
      <c r="AC113" s="100">
        <f t="shared" si="119"/>
        <v>0</v>
      </c>
      <c r="AD113" s="100">
        <f t="shared" si="120"/>
        <v>0</v>
      </c>
      <c r="AE113" s="100">
        <f t="shared" si="121"/>
        <v>0</v>
      </c>
      <c r="AF113" s="100">
        <f t="shared" si="122"/>
        <v>0</v>
      </c>
      <c r="AG113" s="100">
        <f t="shared" si="123"/>
        <v>0</v>
      </c>
      <c r="AH113" s="100">
        <f t="shared" si="124"/>
        <v>0</v>
      </c>
      <c r="AI113" s="109"/>
      <c r="AJ113" s="108">
        <f t="shared" si="125"/>
        <v>0</v>
      </c>
      <c r="AK113" s="108">
        <f t="shared" si="126"/>
        <v>0</v>
      </c>
      <c r="AL113" s="108">
        <f t="shared" si="127"/>
        <v>0</v>
      </c>
      <c r="AN113" s="100">
        <v>15</v>
      </c>
      <c r="AO113" s="100">
        <f t="shared" si="128"/>
        <v>0</v>
      </c>
      <c r="AP113" s="100">
        <f t="shared" si="129"/>
        <v>0</v>
      </c>
      <c r="AQ113" s="111" t="s">
        <v>13</v>
      </c>
      <c r="AV113" s="100">
        <f t="shared" si="130"/>
        <v>0</v>
      </c>
      <c r="AW113" s="100">
        <f t="shared" si="131"/>
        <v>0</v>
      </c>
      <c r="AX113" s="100">
        <f t="shared" si="132"/>
        <v>0</v>
      </c>
      <c r="AY113" s="110" t="s">
        <v>1709</v>
      </c>
      <c r="AZ113" s="110" t="s">
        <v>1733</v>
      </c>
      <c r="BA113" s="109" t="s">
        <v>1737</v>
      </c>
      <c r="BC113" s="100">
        <f t="shared" si="133"/>
        <v>0</v>
      </c>
      <c r="BD113" s="100">
        <f t="shared" si="134"/>
        <v>0</v>
      </c>
      <c r="BE113" s="100">
        <v>0</v>
      </c>
      <c r="BF113" s="100">
        <f>113</f>
        <v>113</v>
      </c>
      <c r="BH113" s="108">
        <f t="shared" si="135"/>
        <v>0</v>
      </c>
      <c r="BI113" s="108">
        <f t="shared" si="136"/>
        <v>0</v>
      </c>
      <c r="BJ113" s="108">
        <f t="shared" si="137"/>
        <v>0</v>
      </c>
    </row>
    <row r="114" spans="1:62" x14ac:dyDescent="0.2">
      <c r="A114" s="117" t="s">
        <v>95</v>
      </c>
      <c r="B114" s="117" t="s">
        <v>4373</v>
      </c>
      <c r="C114" s="304" t="s">
        <v>1295</v>
      </c>
      <c r="D114" s="305"/>
      <c r="E114" s="305"/>
      <c r="F114" s="117" t="s">
        <v>1644</v>
      </c>
      <c r="G114" s="116">
        <v>1</v>
      </c>
      <c r="H114" s="159"/>
      <c r="I114" s="108">
        <f t="shared" si="114"/>
        <v>0</v>
      </c>
      <c r="J114" s="108">
        <f t="shared" si="115"/>
        <v>0</v>
      </c>
      <c r="K114" s="108">
        <f t="shared" si="116"/>
        <v>0</v>
      </c>
      <c r="L114" s="111"/>
      <c r="Z114" s="100">
        <f t="shared" si="117"/>
        <v>0</v>
      </c>
      <c r="AB114" s="100">
        <f t="shared" si="118"/>
        <v>0</v>
      </c>
      <c r="AC114" s="100">
        <f t="shared" si="119"/>
        <v>0</v>
      </c>
      <c r="AD114" s="100">
        <f t="shared" si="120"/>
        <v>0</v>
      </c>
      <c r="AE114" s="100">
        <f t="shared" si="121"/>
        <v>0</v>
      </c>
      <c r="AF114" s="100">
        <f t="shared" si="122"/>
        <v>0</v>
      </c>
      <c r="AG114" s="100">
        <f t="shared" si="123"/>
        <v>0</v>
      </c>
      <c r="AH114" s="100">
        <f t="shared" si="124"/>
        <v>0</v>
      </c>
      <c r="AI114" s="109"/>
      <c r="AJ114" s="108">
        <f t="shared" si="125"/>
        <v>0</v>
      </c>
      <c r="AK114" s="108">
        <f t="shared" si="126"/>
        <v>0</v>
      </c>
      <c r="AL114" s="108">
        <f t="shared" si="127"/>
        <v>0</v>
      </c>
      <c r="AN114" s="100">
        <v>15</v>
      </c>
      <c r="AO114" s="100">
        <f t="shared" si="128"/>
        <v>0</v>
      </c>
      <c r="AP114" s="100">
        <f t="shared" si="129"/>
        <v>0</v>
      </c>
      <c r="AQ114" s="111" t="s">
        <v>13</v>
      </c>
      <c r="AV114" s="100">
        <f t="shared" si="130"/>
        <v>0</v>
      </c>
      <c r="AW114" s="100">
        <f t="shared" si="131"/>
        <v>0</v>
      </c>
      <c r="AX114" s="100">
        <f t="shared" si="132"/>
        <v>0</v>
      </c>
      <c r="AY114" s="110" t="s">
        <v>1709</v>
      </c>
      <c r="AZ114" s="110" t="s">
        <v>1733</v>
      </c>
      <c r="BA114" s="109" t="s">
        <v>1737</v>
      </c>
      <c r="BC114" s="100">
        <f t="shared" si="133"/>
        <v>0</v>
      </c>
      <c r="BD114" s="100">
        <f t="shared" si="134"/>
        <v>0</v>
      </c>
      <c r="BE114" s="100">
        <v>0</v>
      </c>
      <c r="BF114" s="100">
        <f>114</f>
        <v>114</v>
      </c>
      <c r="BH114" s="108">
        <f t="shared" si="135"/>
        <v>0</v>
      </c>
      <c r="BI114" s="108">
        <f t="shared" si="136"/>
        <v>0</v>
      </c>
      <c r="BJ114" s="108">
        <f t="shared" si="137"/>
        <v>0</v>
      </c>
    </row>
    <row r="115" spans="1:62" x14ac:dyDescent="0.2">
      <c r="A115" s="117" t="s">
        <v>96</v>
      </c>
      <c r="B115" s="117" t="s">
        <v>4372</v>
      </c>
      <c r="C115" s="304" t="s">
        <v>1328</v>
      </c>
      <c r="D115" s="305"/>
      <c r="E115" s="305"/>
      <c r="F115" s="117" t="s">
        <v>1644</v>
      </c>
      <c r="G115" s="116">
        <v>3</v>
      </c>
      <c r="H115" s="159"/>
      <c r="I115" s="108">
        <f t="shared" si="114"/>
        <v>0</v>
      </c>
      <c r="J115" s="108">
        <f t="shared" si="115"/>
        <v>0</v>
      </c>
      <c r="K115" s="108">
        <f t="shared" si="116"/>
        <v>0</v>
      </c>
      <c r="L115" s="111"/>
      <c r="Z115" s="100">
        <f t="shared" si="117"/>
        <v>0</v>
      </c>
      <c r="AB115" s="100">
        <f t="shared" si="118"/>
        <v>0</v>
      </c>
      <c r="AC115" s="100">
        <f t="shared" si="119"/>
        <v>0</v>
      </c>
      <c r="AD115" s="100">
        <f t="shared" si="120"/>
        <v>0</v>
      </c>
      <c r="AE115" s="100">
        <f t="shared" si="121"/>
        <v>0</v>
      </c>
      <c r="AF115" s="100">
        <f t="shared" si="122"/>
        <v>0</v>
      </c>
      <c r="AG115" s="100">
        <f t="shared" si="123"/>
        <v>0</v>
      </c>
      <c r="AH115" s="100">
        <f t="shared" si="124"/>
        <v>0</v>
      </c>
      <c r="AI115" s="109"/>
      <c r="AJ115" s="108">
        <f t="shared" si="125"/>
        <v>0</v>
      </c>
      <c r="AK115" s="108">
        <f t="shared" si="126"/>
        <v>0</v>
      </c>
      <c r="AL115" s="108">
        <f t="shared" si="127"/>
        <v>0</v>
      </c>
      <c r="AN115" s="100">
        <v>15</v>
      </c>
      <c r="AO115" s="100">
        <f t="shared" si="128"/>
        <v>0</v>
      </c>
      <c r="AP115" s="100">
        <f t="shared" si="129"/>
        <v>0</v>
      </c>
      <c r="AQ115" s="111" t="s">
        <v>13</v>
      </c>
      <c r="AV115" s="100">
        <f t="shared" si="130"/>
        <v>0</v>
      </c>
      <c r="AW115" s="100">
        <f t="shared" si="131"/>
        <v>0</v>
      </c>
      <c r="AX115" s="100">
        <f t="shared" si="132"/>
        <v>0</v>
      </c>
      <c r="AY115" s="110" t="s">
        <v>1709</v>
      </c>
      <c r="AZ115" s="110" t="s">
        <v>1733</v>
      </c>
      <c r="BA115" s="109" t="s">
        <v>1737</v>
      </c>
      <c r="BC115" s="100">
        <f t="shared" si="133"/>
        <v>0</v>
      </c>
      <c r="BD115" s="100">
        <f t="shared" si="134"/>
        <v>0</v>
      </c>
      <c r="BE115" s="100">
        <v>0</v>
      </c>
      <c r="BF115" s="100">
        <f>115</f>
        <v>115</v>
      </c>
      <c r="BH115" s="108">
        <f t="shared" si="135"/>
        <v>0</v>
      </c>
      <c r="BI115" s="108">
        <f t="shared" si="136"/>
        <v>0</v>
      </c>
      <c r="BJ115" s="108">
        <f t="shared" si="137"/>
        <v>0</v>
      </c>
    </row>
    <row r="116" spans="1:62" x14ac:dyDescent="0.2">
      <c r="A116" s="117" t="s">
        <v>97</v>
      </c>
      <c r="B116" s="117" t="s">
        <v>4371</v>
      </c>
      <c r="C116" s="304" t="s">
        <v>1330</v>
      </c>
      <c r="D116" s="305"/>
      <c r="E116" s="305"/>
      <c r="F116" s="117" t="s">
        <v>1646</v>
      </c>
      <c r="G116" s="116">
        <v>10</v>
      </c>
      <c r="H116" s="159"/>
      <c r="I116" s="108">
        <f t="shared" si="114"/>
        <v>0</v>
      </c>
      <c r="J116" s="108">
        <f t="shared" si="115"/>
        <v>0</v>
      </c>
      <c r="K116" s="108">
        <f t="shared" si="116"/>
        <v>0</v>
      </c>
      <c r="L116" s="111"/>
      <c r="Z116" s="100">
        <f t="shared" si="117"/>
        <v>0</v>
      </c>
      <c r="AB116" s="100">
        <f t="shared" si="118"/>
        <v>0</v>
      </c>
      <c r="AC116" s="100">
        <f t="shared" si="119"/>
        <v>0</v>
      </c>
      <c r="AD116" s="100">
        <f t="shared" si="120"/>
        <v>0</v>
      </c>
      <c r="AE116" s="100">
        <f t="shared" si="121"/>
        <v>0</v>
      </c>
      <c r="AF116" s="100">
        <f t="shared" si="122"/>
        <v>0</v>
      </c>
      <c r="AG116" s="100">
        <f t="shared" si="123"/>
        <v>0</v>
      </c>
      <c r="AH116" s="100">
        <f t="shared" si="124"/>
        <v>0</v>
      </c>
      <c r="AI116" s="109"/>
      <c r="AJ116" s="108">
        <f t="shared" si="125"/>
        <v>0</v>
      </c>
      <c r="AK116" s="108">
        <f t="shared" si="126"/>
        <v>0</v>
      </c>
      <c r="AL116" s="108">
        <f t="shared" si="127"/>
        <v>0</v>
      </c>
      <c r="AN116" s="100">
        <v>15</v>
      </c>
      <c r="AO116" s="100">
        <f t="shared" si="128"/>
        <v>0</v>
      </c>
      <c r="AP116" s="100">
        <f t="shared" si="129"/>
        <v>0</v>
      </c>
      <c r="AQ116" s="111" t="s">
        <v>13</v>
      </c>
      <c r="AV116" s="100">
        <f t="shared" si="130"/>
        <v>0</v>
      </c>
      <c r="AW116" s="100">
        <f t="shared" si="131"/>
        <v>0</v>
      </c>
      <c r="AX116" s="100">
        <f t="shared" si="132"/>
        <v>0</v>
      </c>
      <c r="AY116" s="110" t="s">
        <v>1709</v>
      </c>
      <c r="AZ116" s="110" t="s">
        <v>1733</v>
      </c>
      <c r="BA116" s="109" t="s">
        <v>1737</v>
      </c>
      <c r="BC116" s="100">
        <f t="shared" si="133"/>
        <v>0</v>
      </c>
      <c r="BD116" s="100">
        <f t="shared" si="134"/>
        <v>0</v>
      </c>
      <c r="BE116" s="100">
        <v>0</v>
      </c>
      <c r="BF116" s="100">
        <f>116</f>
        <v>116</v>
      </c>
      <c r="BH116" s="108">
        <f t="shared" si="135"/>
        <v>0</v>
      </c>
      <c r="BI116" s="108">
        <f t="shared" si="136"/>
        <v>0</v>
      </c>
      <c r="BJ116" s="108">
        <f t="shared" si="137"/>
        <v>0</v>
      </c>
    </row>
    <row r="117" spans="1:62" x14ac:dyDescent="0.2">
      <c r="A117" s="117" t="s">
        <v>98</v>
      </c>
      <c r="B117" s="117" t="s">
        <v>4370</v>
      </c>
      <c r="C117" s="304" t="s">
        <v>1331</v>
      </c>
      <c r="D117" s="305"/>
      <c r="E117" s="305"/>
      <c r="F117" s="117" t="s">
        <v>1646</v>
      </c>
      <c r="G117" s="116">
        <v>1</v>
      </c>
      <c r="H117" s="159"/>
      <c r="I117" s="108">
        <f t="shared" si="114"/>
        <v>0</v>
      </c>
      <c r="J117" s="108">
        <f t="shared" si="115"/>
        <v>0</v>
      </c>
      <c r="K117" s="108">
        <f t="shared" si="116"/>
        <v>0</v>
      </c>
      <c r="L117" s="111"/>
      <c r="Z117" s="100">
        <f t="shared" si="117"/>
        <v>0</v>
      </c>
      <c r="AB117" s="100">
        <f t="shared" si="118"/>
        <v>0</v>
      </c>
      <c r="AC117" s="100">
        <f t="shared" si="119"/>
        <v>0</v>
      </c>
      <c r="AD117" s="100">
        <f t="shared" si="120"/>
        <v>0</v>
      </c>
      <c r="AE117" s="100">
        <f t="shared" si="121"/>
        <v>0</v>
      </c>
      <c r="AF117" s="100">
        <f t="shared" si="122"/>
        <v>0</v>
      </c>
      <c r="AG117" s="100">
        <f t="shared" si="123"/>
        <v>0</v>
      </c>
      <c r="AH117" s="100">
        <f t="shared" si="124"/>
        <v>0</v>
      </c>
      <c r="AI117" s="109"/>
      <c r="AJ117" s="108">
        <f t="shared" si="125"/>
        <v>0</v>
      </c>
      <c r="AK117" s="108">
        <f t="shared" si="126"/>
        <v>0</v>
      </c>
      <c r="AL117" s="108">
        <f t="shared" si="127"/>
        <v>0</v>
      </c>
      <c r="AN117" s="100">
        <v>15</v>
      </c>
      <c r="AO117" s="100">
        <f t="shared" si="128"/>
        <v>0</v>
      </c>
      <c r="AP117" s="100">
        <f t="shared" si="129"/>
        <v>0</v>
      </c>
      <c r="AQ117" s="111" t="s">
        <v>13</v>
      </c>
      <c r="AV117" s="100">
        <f t="shared" si="130"/>
        <v>0</v>
      </c>
      <c r="AW117" s="100">
        <f t="shared" si="131"/>
        <v>0</v>
      </c>
      <c r="AX117" s="100">
        <f t="shared" si="132"/>
        <v>0</v>
      </c>
      <c r="AY117" s="110" t="s">
        <v>1709</v>
      </c>
      <c r="AZ117" s="110" t="s">
        <v>1733</v>
      </c>
      <c r="BA117" s="109" t="s">
        <v>1737</v>
      </c>
      <c r="BC117" s="100">
        <f t="shared" si="133"/>
        <v>0</v>
      </c>
      <c r="BD117" s="100">
        <f t="shared" si="134"/>
        <v>0</v>
      </c>
      <c r="BE117" s="100">
        <v>0</v>
      </c>
      <c r="BF117" s="100">
        <f>117</f>
        <v>117</v>
      </c>
      <c r="BH117" s="108">
        <f t="shared" si="135"/>
        <v>0</v>
      </c>
      <c r="BI117" s="108">
        <f t="shared" si="136"/>
        <v>0</v>
      </c>
      <c r="BJ117" s="108">
        <f t="shared" si="137"/>
        <v>0</v>
      </c>
    </row>
    <row r="118" spans="1:62" x14ac:dyDescent="0.2">
      <c r="A118" s="117" t="s">
        <v>99</v>
      </c>
      <c r="B118" s="117" t="s">
        <v>4369</v>
      </c>
      <c r="C118" s="304" t="s">
        <v>1332</v>
      </c>
      <c r="D118" s="305"/>
      <c r="E118" s="305"/>
      <c r="F118" s="117" t="s">
        <v>1646</v>
      </c>
      <c r="G118" s="116">
        <v>2</v>
      </c>
      <c r="H118" s="159"/>
      <c r="I118" s="108">
        <f t="shared" si="114"/>
        <v>0</v>
      </c>
      <c r="J118" s="108">
        <f t="shared" si="115"/>
        <v>0</v>
      </c>
      <c r="K118" s="108">
        <f t="shared" si="116"/>
        <v>0</v>
      </c>
      <c r="L118" s="111"/>
      <c r="Z118" s="100">
        <f t="shared" si="117"/>
        <v>0</v>
      </c>
      <c r="AB118" s="100">
        <f t="shared" si="118"/>
        <v>0</v>
      </c>
      <c r="AC118" s="100">
        <f t="shared" si="119"/>
        <v>0</v>
      </c>
      <c r="AD118" s="100">
        <f t="shared" si="120"/>
        <v>0</v>
      </c>
      <c r="AE118" s="100">
        <f t="shared" si="121"/>
        <v>0</v>
      </c>
      <c r="AF118" s="100">
        <f t="shared" si="122"/>
        <v>0</v>
      </c>
      <c r="AG118" s="100">
        <f t="shared" si="123"/>
        <v>0</v>
      </c>
      <c r="AH118" s="100">
        <f t="shared" si="124"/>
        <v>0</v>
      </c>
      <c r="AI118" s="109"/>
      <c r="AJ118" s="108">
        <f t="shared" si="125"/>
        <v>0</v>
      </c>
      <c r="AK118" s="108">
        <f t="shared" si="126"/>
        <v>0</v>
      </c>
      <c r="AL118" s="108">
        <f t="shared" si="127"/>
        <v>0</v>
      </c>
      <c r="AN118" s="100">
        <v>15</v>
      </c>
      <c r="AO118" s="100">
        <f t="shared" si="128"/>
        <v>0</v>
      </c>
      <c r="AP118" s="100">
        <f t="shared" si="129"/>
        <v>0</v>
      </c>
      <c r="AQ118" s="111" t="s">
        <v>13</v>
      </c>
      <c r="AV118" s="100">
        <f t="shared" si="130"/>
        <v>0</v>
      </c>
      <c r="AW118" s="100">
        <f t="shared" si="131"/>
        <v>0</v>
      </c>
      <c r="AX118" s="100">
        <f t="shared" si="132"/>
        <v>0</v>
      </c>
      <c r="AY118" s="110" t="s">
        <v>1709</v>
      </c>
      <c r="AZ118" s="110" t="s">
        <v>1733</v>
      </c>
      <c r="BA118" s="109" t="s">
        <v>1737</v>
      </c>
      <c r="BC118" s="100">
        <f t="shared" si="133"/>
        <v>0</v>
      </c>
      <c r="BD118" s="100">
        <f t="shared" si="134"/>
        <v>0</v>
      </c>
      <c r="BE118" s="100">
        <v>0</v>
      </c>
      <c r="BF118" s="100">
        <f>118</f>
        <v>118</v>
      </c>
      <c r="BH118" s="108">
        <f t="shared" si="135"/>
        <v>0</v>
      </c>
      <c r="BI118" s="108">
        <f t="shared" si="136"/>
        <v>0</v>
      </c>
      <c r="BJ118" s="108">
        <f t="shared" si="137"/>
        <v>0</v>
      </c>
    </row>
    <row r="119" spans="1:62" x14ac:dyDescent="0.2">
      <c r="A119" s="117" t="s">
        <v>100</v>
      </c>
      <c r="B119" s="117" t="s">
        <v>4368</v>
      </c>
      <c r="C119" s="304" t="s">
        <v>1333</v>
      </c>
      <c r="D119" s="305"/>
      <c r="E119" s="305"/>
      <c r="F119" s="117" t="s">
        <v>1646</v>
      </c>
      <c r="G119" s="116">
        <v>10</v>
      </c>
      <c r="H119" s="159"/>
      <c r="I119" s="108">
        <f t="shared" si="114"/>
        <v>0</v>
      </c>
      <c r="J119" s="108">
        <f t="shared" si="115"/>
        <v>0</v>
      </c>
      <c r="K119" s="108">
        <f t="shared" si="116"/>
        <v>0</v>
      </c>
      <c r="L119" s="111"/>
      <c r="Z119" s="100">
        <f t="shared" si="117"/>
        <v>0</v>
      </c>
      <c r="AB119" s="100">
        <f t="shared" si="118"/>
        <v>0</v>
      </c>
      <c r="AC119" s="100">
        <f t="shared" si="119"/>
        <v>0</v>
      </c>
      <c r="AD119" s="100">
        <f t="shared" si="120"/>
        <v>0</v>
      </c>
      <c r="AE119" s="100">
        <f t="shared" si="121"/>
        <v>0</v>
      </c>
      <c r="AF119" s="100">
        <f t="shared" si="122"/>
        <v>0</v>
      </c>
      <c r="AG119" s="100">
        <f t="shared" si="123"/>
        <v>0</v>
      </c>
      <c r="AH119" s="100">
        <f t="shared" si="124"/>
        <v>0</v>
      </c>
      <c r="AI119" s="109"/>
      <c r="AJ119" s="108">
        <f t="shared" si="125"/>
        <v>0</v>
      </c>
      <c r="AK119" s="108">
        <f t="shared" si="126"/>
        <v>0</v>
      </c>
      <c r="AL119" s="108">
        <f t="shared" si="127"/>
        <v>0</v>
      </c>
      <c r="AN119" s="100">
        <v>15</v>
      </c>
      <c r="AO119" s="100">
        <f t="shared" si="128"/>
        <v>0</v>
      </c>
      <c r="AP119" s="100">
        <f t="shared" si="129"/>
        <v>0</v>
      </c>
      <c r="AQ119" s="111" t="s">
        <v>13</v>
      </c>
      <c r="AV119" s="100">
        <f t="shared" si="130"/>
        <v>0</v>
      </c>
      <c r="AW119" s="100">
        <f t="shared" si="131"/>
        <v>0</v>
      </c>
      <c r="AX119" s="100">
        <f t="shared" si="132"/>
        <v>0</v>
      </c>
      <c r="AY119" s="110" t="s">
        <v>1709</v>
      </c>
      <c r="AZ119" s="110" t="s">
        <v>1733</v>
      </c>
      <c r="BA119" s="109" t="s">
        <v>1737</v>
      </c>
      <c r="BC119" s="100">
        <f t="shared" si="133"/>
        <v>0</v>
      </c>
      <c r="BD119" s="100">
        <f t="shared" si="134"/>
        <v>0</v>
      </c>
      <c r="BE119" s="100">
        <v>0</v>
      </c>
      <c r="BF119" s="100">
        <f>119</f>
        <v>119</v>
      </c>
      <c r="BH119" s="108">
        <f t="shared" si="135"/>
        <v>0</v>
      </c>
      <c r="BI119" s="108">
        <f t="shared" si="136"/>
        <v>0</v>
      </c>
      <c r="BJ119" s="108">
        <f t="shared" si="137"/>
        <v>0</v>
      </c>
    </row>
    <row r="120" spans="1:62" x14ac:dyDescent="0.2">
      <c r="A120" s="117" t="s">
        <v>101</v>
      </c>
      <c r="B120" s="117" t="s">
        <v>4367</v>
      </c>
      <c r="C120" s="304" t="s">
        <v>1335</v>
      </c>
      <c r="D120" s="305"/>
      <c r="E120" s="305"/>
      <c r="F120" s="117" t="s">
        <v>1645</v>
      </c>
      <c r="G120" s="116">
        <v>0.7</v>
      </c>
      <c r="H120" s="159"/>
      <c r="I120" s="108">
        <f t="shared" si="114"/>
        <v>0</v>
      </c>
      <c r="J120" s="108">
        <f t="shared" si="115"/>
        <v>0</v>
      </c>
      <c r="K120" s="108">
        <f t="shared" si="116"/>
        <v>0</v>
      </c>
      <c r="L120" s="111"/>
      <c r="Z120" s="100">
        <f t="shared" si="117"/>
        <v>0</v>
      </c>
      <c r="AB120" s="100">
        <f t="shared" si="118"/>
        <v>0</v>
      </c>
      <c r="AC120" s="100">
        <f t="shared" si="119"/>
        <v>0</v>
      </c>
      <c r="AD120" s="100">
        <f t="shared" si="120"/>
        <v>0</v>
      </c>
      <c r="AE120" s="100">
        <f t="shared" si="121"/>
        <v>0</v>
      </c>
      <c r="AF120" s="100">
        <f t="shared" si="122"/>
        <v>0</v>
      </c>
      <c r="AG120" s="100">
        <f t="shared" si="123"/>
        <v>0</v>
      </c>
      <c r="AH120" s="100">
        <f t="shared" si="124"/>
        <v>0</v>
      </c>
      <c r="AI120" s="109"/>
      <c r="AJ120" s="108">
        <f t="shared" si="125"/>
        <v>0</v>
      </c>
      <c r="AK120" s="108">
        <f t="shared" si="126"/>
        <v>0</v>
      </c>
      <c r="AL120" s="108">
        <f t="shared" si="127"/>
        <v>0</v>
      </c>
      <c r="AN120" s="100">
        <v>15</v>
      </c>
      <c r="AO120" s="100">
        <f t="shared" si="128"/>
        <v>0</v>
      </c>
      <c r="AP120" s="100">
        <f t="shared" si="129"/>
        <v>0</v>
      </c>
      <c r="AQ120" s="111" t="s">
        <v>13</v>
      </c>
      <c r="AV120" s="100">
        <f t="shared" si="130"/>
        <v>0</v>
      </c>
      <c r="AW120" s="100">
        <f t="shared" si="131"/>
        <v>0</v>
      </c>
      <c r="AX120" s="100">
        <f t="shared" si="132"/>
        <v>0</v>
      </c>
      <c r="AY120" s="110" t="s">
        <v>1709</v>
      </c>
      <c r="AZ120" s="110" t="s">
        <v>1733</v>
      </c>
      <c r="BA120" s="109" t="s">
        <v>1737</v>
      </c>
      <c r="BC120" s="100">
        <f t="shared" si="133"/>
        <v>0</v>
      </c>
      <c r="BD120" s="100">
        <f t="shared" si="134"/>
        <v>0</v>
      </c>
      <c r="BE120" s="100">
        <v>0</v>
      </c>
      <c r="BF120" s="100">
        <f>120</f>
        <v>120</v>
      </c>
      <c r="BH120" s="108">
        <f t="shared" si="135"/>
        <v>0</v>
      </c>
      <c r="BI120" s="108">
        <f t="shared" si="136"/>
        <v>0</v>
      </c>
      <c r="BJ120" s="108">
        <f t="shared" si="137"/>
        <v>0</v>
      </c>
    </row>
    <row r="121" spans="1:62" x14ac:dyDescent="0.2">
      <c r="A121" s="117" t="s">
        <v>102</v>
      </c>
      <c r="B121" s="117" t="s">
        <v>4366</v>
      </c>
      <c r="C121" s="304" t="s">
        <v>1336</v>
      </c>
      <c r="D121" s="305"/>
      <c r="E121" s="305"/>
      <c r="F121" s="117" t="s">
        <v>1644</v>
      </c>
      <c r="G121" s="116">
        <v>1</v>
      </c>
      <c r="H121" s="159"/>
      <c r="I121" s="108">
        <f t="shared" si="114"/>
        <v>0</v>
      </c>
      <c r="J121" s="108">
        <f t="shared" si="115"/>
        <v>0</v>
      </c>
      <c r="K121" s="108">
        <f t="shared" si="116"/>
        <v>0</v>
      </c>
      <c r="L121" s="111"/>
      <c r="Z121" s="100">
        <f t="shared" si="117"/>
        <v>0</v>
      </c>
      <c r="AB121" s="100">
        <f t="shared" si="118"/>
        <v>0</v>
      </c>
      <c r="AC121" s="100">
        <f t="shared" si="119"/>
        <v>0</v>
      </c>
      <c r="AD121" s="100">
        <f t="shared" si="120"/>
        <v>0</v>
      </c>
      <c r="AE121" s="100">
        <f t="shared" si="121"/>
        <v>0</v>
      </c>
      <c r="AF121" s="100">
        <f t="shared" si="122"/>
        <v>0</v>
      </c>
      <c r="AG121" s="100">
        <f t="shared" si="123"/>
        <v>0</v>
      </c>
      <c r="AH121" s="100">
        <f t="shared" si="124"/>
        <v>0</v>
      </c>
      <c r="AI121" s="109"/>
      <c r="AJ121" s="108">
        <f t="shared" si="125"/>
        <v>0</v>
      </c>
      <c r="AK121" s="108">
        <f t="shared" si="126"/>
        <v>0</v>
      </c>
      <c r="AL121" s="108">
        <f t="shared" si="127"/>
        <v>0</v>
      </c>
      <c r="AN121" s="100">
        <v>15</v>
      </c>
      <c r="AO121" s="100">
        <f t="shared" si="128"/>
        <v>0</v>
      </c>
      <c r="AP121" s="100">
        <f t="shared" si="129"/>
        <v>0</v>
      </c>
      <c r="AQ121" s="111" t="s">
        <v>13</v>
      </c>
      <c r="AV121" s="100">
        <f t="shared" si="130"/>
        <v>0</v>
      </c>
      <c r="AW121" s="100">
        <f t="shared" si="131"/>
        <v>0</v>
      </c>
      <c r="AX121" s="100">
        <f t="shared" si="132"/>
        <v>0</v>
      </c>
      <c r="AY121" s="110" t="s">
        <v>1709</v>
      </c>
      <c r="AZ121" s="110" t="s">
        <v>1733</v>
      </c>
      <c r="BA121" s="109" t="s">
        <v>1737</v>
      </c>
      <c r="BC121" s="100">
        <f t="shared" si="133"/>
        <v>0</v>
      </c>
      <c r="BD121" s="100">
        <f t="shared" si="134"/>
        <v>0</v>
      </c>
      <c r="BE121" s="100">
        <v>0</v>
      </c>
      <c r="BF121" s="100">
        <f>121</f>
        <v>121</v>
      </c>
      <c r="BH121" s="108">
        <f t="shared" si="135"/>
        <v>0</v>
      </c>
      <c r="BI121" s="108">
        <f t="shared" si="136"/>
        <v>0</v>
      </c>
      <c r="BJ121" s="108">
        <f t="shared" si="137"/>
        <v>0</v>
      </c>
    </row>
    <row r="122" spans="1:62" x14ac:dyDescent="0.2">
      <c r="A122" s="117" t="s">
        <v>103</v>
      </c>
      <c r="B122" s="117" t="s">
        <v>4365</v>
      </c>
      <c r="C122" s="304" t="s">
        <v>1337</v>
      </c>
      <c r="D122" s="305"/>
      <c r="E122" s="305"/>
      <c r="F122" s="117" t="s">
        <v>1644</v>
      </c>
      <c r="G122" s="116">
        <v>1</v>
      </c>
      <c r="H122" s="159"/>
      <c r="I122" s="108">
        <f t="shared" si="114"/>
        <v>0</v>
      </c>
      <c r="J122" s="108">
        <f t="shared" si="115"/>
        <v>0</v>
      </c>
      <c r="K122" s="108">
        <f t="shared" si="116"/>
        <v>0</v>
      </c>
      <c r="L122" s="111"/>
      <c r="Z122" s="100">
        <f t="shared" si="117"/>
        <v>0</v>
      </c>
      <c r="AB122" s="100">
        <f t="shared" si="118"/>
        <v>0</v>
      </c>
      <c r="AC122" s="100">
        <f t="shared" si="119"/>
        <v>0</v>
      </c>
      <c r="AD122" s="100">
        <f t="shared" si="120"/>
        <v>0</v>
      </c>
      <c r="AE122" s="100">
        <f t="shared" si="121"/>
        <v>0</v>
      </c>
      <c r="AF122" s="100">
        <f t="shared" si="122"/>
        <v>0</v>
      </c>
      <c r="AG122" s="100">
        <f t="shared" si="123"/>
        <v>0</v>
      </c>
      <c r="AH122" s="100">
        <f t="shared" si="124"/>
        <v>0</v>
      </c>
      <c r="AI122" s="109"/>
      <c r="AJ122" s="108">
        <f t="shared" si="125"/>
        <v>0</v>
      </c>
      <c r="AK122" s="108">
        <f t="shared" si="126"/>
        <v>0</v>
      </c>
      <c r="AL122" s="108">
        <f t="shared" si="127"/>
        <v>0</v>
      </c>
      <c r="AN122" s="100">
        <v>15</v>
      </c>
      <c r="AO122" s="100">
        <f t="shared" si="128"/>
        <v>0</v>
      </c>
      <c r="AP122" s="100">
        <f t="shared" si="129"/>
        <v>0</v>
      </c>
      <c r="AQ122" s="111" t="s">
        <v>13</v>
      </c>
      <c r="AV122" s="100">
        <f t="shared" si="130"/>
        <v>0</v>
      </c>
      <c r="AW122" s="100">
        <f t="shared" si="131"/>
        <v>0</v>
      </c>
      <c r="AX122" s="100">
        <f t="shared" si="132"/>
        <v>0</v>
      </c>
      <c r="AY122" s="110" t="s">
        <v>1709</v>
      </c>
      <c r="AZ122" s="110" t="s">
        <v>1733</v>
      </c>
      <c r="BA122" s="109" t="s">
        <v>1737</v>
      </c>
      <c r="BC122" s="100">
        <f t="shared" si="133"/>
        <v>0</v>
      </c>
      <c r="BD122" s="100">
        <f t="shared" si="134"/>
        <v>0</v>
      </c>
      <c r="BE122" s="100">
        <v>0</v>
      </c>
      <c r="BF122" s="100">
        <f>122</f>
        <v>122</v>
      </c>
      <c r="BH122" s="108">
        <f t="shared" si="135"/>
        <v>0</v>
      </c>
      <c r="BI122" s="108">
        <f t="shared" si="136"/>
        <v>0</v>
      </c>
      <c r="BJ122" s="108">
        <f t="shared" si="137"/>
        <v>0</v>
      </c>
    </row>
    <row r="123" spans="1:62" x14ac:dyDescent="0.2">
      <c r="A123" s="117" t="s">
        <v>104</v>
      </c>
      <c r="B123" s="117" t="s">
        <v>4364</v>
      </c>
      <c r="C123" s="304" t="s">
        <v>1338</v>
      </c>
      <c r="D123" s="305"/>
      <c r="E123" s="305"/>
      <c r="F123" s="117" t="s">
        <v>1644</v>
      </c>
      <c r="G123" s="116">
        <v>1</v>
      </c>
      <c r="H123" s="159"/>
      <c r="I123" s="108">
        <f t="shared" si="114"/>
        <v>0</v>
      </c>
      <c r="J123" s="108">
        <f t="shared" si="115"/>
        <v>0</v>
      </c>
      <c r="K123" s="108">
        <f t="shared" si="116"/>
        <v>0</v>
      </c>
      <c r="L123" s="111"/>
      <c r="Z123" s="100">
        <f t="shared" si="117"/>
        <v>0</v>
      </c>
      <c r="AB123" s="100">
        <f t="shared" si="118"/>
        <v>0</v>
      </c>
      <c r="AC123" s="100">
        <f t="shared" si="119"/>
        <v>0</v>
      </c>
      <c r="AD123" s="100">
        <f t="shared" si="120"/>
        <v>0</v>
      </c>
      <c r="AE123" s="100">
        <f t="shared" si="121"/>
        <v>0</v>
      </c>
      <c r="AF123" s="100">
        <f t="shared" si="122"/>
        <v>0</v>
      </c>
      <c r="AG123" s="100">
        <f t="shared" si="123"/>
        <v>0</v>
      </c>
      <c r="AH123" s="100">
        <f t="shared" si="124"/>
        <v>0</v>
      </c>
      <c r="AI123" s="109"/>
      <c r="AJ123" s="108">
        <f t="shared" si="125"/>
        <v>0</v>
      </c>
      <c r="AK123" s="108">
        <f t="shared" si="126"/>
        <v>0</v>
      </c>
      <c r="AL123" s="108">
        <f t="shared" si="127"/>
        <v>0</v>
      </c>
      <c r="AN123" s="100">
        <v>15</v>
      </c>
      <c r="AO123" s="100">
        <f t="shared" si="128"/>
        <v>0</v>
      </c>
      <c r="AP123" s="100">
        <f t="shared" si="129"/>
        <v>0</v>
      </c>
      <c r="AQ123" s="111" t="s">
        <v>13</v>
      </c>
      <c r="AV123" s="100">
        <f t="shared" si="130"/>
        <v>0</v>
      </c>
      <c r="AW123" s="100">
        <f t="shared" si="131"/>
        <v>0</v>
      </c>
      <c r="AX123" s="100">
        <f t="shared" si="132"/>
        <v>0</v>
      </c>
      <c r="AY123" s="110" t="s">
        <v>1709</v>
      </c>
      <c r="AZ123" s="110" t="s">
        <v>1733</v>
      </c>
      <c r="BA123" s="109" t="s">
        <v>1737</v>
      </c>
      <c r="BC123" s="100">
        <f t="shared" si="133"/>
        <v>0</v>
      </c>
      <c r="BD123" s="100">
        <f t="shared" si="134"/>
        <v>0</v>
      </c>
      <c r="BE123" s="100">
        <v>0</v>
      </c>
      <c r="BF123" s="100">
        <f>123</f>
        <v>123</v>
      </c>
      <c r="BH123" s="108">
        <f t="shared" si="135"/>
        <v>0</v>
      </c>
      <c r="BI123" s="108">
        <f t="shared" si="136"/>
        <v>0</v>
      </c>
      <c r="BJ123" s="108">
        <f t="shared" si="137"/>
        <v>0</v>
      </c>
    </row>
    <row r="124" spans="1:62" x14ac:dyDescent="0.2">
      <c r="A124" s="117" t="s">
        <v>105</v>
      </c>
      <c r="B124" s="117" t="s">
        <v>4363</v>
      </c>
      <c r="C124" s="304" t="s">
        <v>1339</v>
      </c>
      <c r="D124" s="305"/>
      <c r="E124" s="305"/>
      <c r="F124" s="117" t="s">
        <v>1644</v>
      </c>
      <c r="G124" s="116">
        <v>1</v>
      </c>
      <c r="H124" s="159"/>
      <c r="I124" s="108">
        <f t="shared" si="114"/>
        <v>0</v>
      </c>
      <c r="J124" s="108">
        <f t="shared" si="115"/>
        <v>0</v>
      </c>
      <c r="K124" s="108">
        <f t="shared" si="116"/>
        <v>0</v>
      </c>
      <c r="L124" s="111"/>
      <c r="Z124" s="100">
        <f t="shared" si="117"/>
        <v>0</v>
      </c>
      <c r="AB124" s="100">
        <f t="shared" si="118"/>
        <v>0</v>
      </c>
      <c r="AC124" s="100">
        <f t="shared" si="119"/>
        <v>0</v>
      </c>
      <c r="AD124" s="100">
        <f t="shared" si="120"/>
        <v>0</v>
      </c>
      <c r="AE124" s="100">
        <f t="shared" si="121"/>
        <v>0</v>
      </c>
      <c r="AF124" s="100">
        <f t="shared" si="122"/>
        <v>0</v>
      </c>
      <c r="AG124" s="100">
        <f t="shared" si="123"/>
        <v>0</v>
      </c>
      <c r="AH124" s="100">
        <f t="shared" si="124"/>
        <v>0</v>
      </c>
      <c r="AI124" s="109"/>
      <c r="AJ124" s="108">
        <f t="shared" si="125"/>
        <v>0</v>
      </c>
      <c r="AK124" s="108">
        <f t="shared" si="126"/>
        <v>0</v>
      </c>
      <c r="AL124" s="108">
        <f t="shared" si="127"/>
        <v>0</v>
      </c>
      <c r="AN124" s="100">
        <v>15</v>
      </c>
      <c r="AO124" s="100">
        <f t="shared" si="128"/>
        <v>0</v>
      </c>
      <c r="AP124" s="100">
        <f t="shared" si="129"/>
        <v>0</v>
      </c>
      <c r="AQ124" s="111" t="s">
        <v>13</v>
      </c>
      <c r="AV124" s="100">
        <f t="shared" si="130"/>
        <v>0</v>
      </c>
      <c r="AW124" s="100">
        <f t="shared" si="131"/>
        <v>0</v>
      </c>
      <c r="AX124" s="100">
        <f t="shared" si="132"/>
        <v>0</v>
      </c>
      <c r="AY124" s="110" t="s">
        <v>1709</v>
      </c>
      <c r="AZ124" s="110" t="s">
        <v>1733</v>
      </c>
      <c r="BA124" s="109" t="s">
        <v>1737</v>
      </c>
      <c r="BC124" s="100">
        <f t="shared" si="133"/>
        <v>0</v>
      </c>
      <c r="BD124" s="100">
        <f t="shared" si="134"/>
        <v>0</v>
      </c>
      <c r="BE124" s="100">
        <v>0</v>
      </c>
      <c r="BF124" s="100">
        <f>124</f>
        <v>124</v>
      </c>
      <c r="BH124" s="108">
        <f t="shared" si="135"/>
        <v>0</v>
      </c>
      <c r="BI124" s="108">
        <f t="shared" si="136"/>
        <v>0</v>
      </c>
      <c r="BJ124" s="108">
        <f t="shared" si="137"/>
        <v>0</v>
      </c>
    </row>
    <row r="125" spans="1:62" x14ac:dyDescent="0.2">
      <c r="A125" s="117" t="s">
        <v>106</v>
      </c>
      <c r="B125" s="117" t="s">
        <v>4362</v>
      </c>
      <c r="C125" s="304" t="s">
        <v>1340</v>
      </c>
      <c r="D125" s="305"/>
      <c r="E125" s="305"/>
      <c r="F125" s="117" t="s">
        <v>1644</v>
      </c>
      <c r="G125" s="116">
        <v>2</v>
      </c>
      <c r="H125" s="159"/>
      <c r="I125" s="108">
        <f t="shared" si="114"/>
        <v>0</v>
      </c>
      <c r="J125" s="108">
        <f t="shared" si="115"/>
        <v>0</v>
      </c>
      <c r="K125" s="108">
        <f t="shared" si="116"/>
        <v>0</v>
      </c>
      <c r="L125" s="111"/>
      <c r="Z125" s="100">
        <f t="shared" si="117"/>
        <v>0</v>
      </c>
      <c r="AB125" s="100">
        <f t="shared" si="118"/>
        <v>0</v>
      </c>
      <c r="AC125" s="100">
        <f t="shared" si="119"/>
        <v>0</v>
      </c>
      <c r="AD125" s="100">
        <f t="shared" si="120"/>
        <v>0</v>
      </c>
      <c r="AE125" s="100">
        <f t="shared" si="121"/>
        <v>0</v>
      </c>
      <c r="AF125" s="100">
        <f t="shared" si="122"/>
        <v>0</v>
      </c>
      <c r="AG125" s="100">
        <f t="shared" si="123"/>
        <v>0</v>
      </c>
      <c r="AH125" s="100">
        <f t="shared" si="124"/>
        <v>0</v>
      </c>
      <c r="AI125" s="109"/>
      <c r="AJ125" s="108">
        <f t="shared" si="125"/>
        <v>0</v>
      </c>
      <c r="AK125" s="108">
        <f t="shared" si="126"/>
        <v>0</v>
      </c>
      <c r="AL125" s="108">
        <f t="shared" si="127"/>
        <v>0</v>
      </c>
      <c r="AN125" s="100">
        <v>15</v>
      </c>
      <c r="AO125" s="100">
        <f t="shared" si="128"/>
        <v>0</v>
      </c>
      <c r="AP125" s="100">
        <f t="shared" si="129"/>
        <v>0</v>
      </c>
      <c r="AQ125" s="111" t="s">
        <v>13</v>
      </c>
      <c r="AV125" s="100">
        <f t="shared" si="130"/>
        <v>0</v>
      </c>
      <c r="AW125" s="100">
        <f t="shared" si="131"/>
        <v>0</v>
      </c>
      <c r="AX125" s="100">
        <f t="shared" si="132"/>
        <v>0</v>
      </c>
      <c r="AY125" s="110" t="s">
        <v>1709</v>
      </c>
      <c r="AZ125" s="110" t="s">
        <v>1733</v>
      </c>
      <c r="BA125" s="109" t="s">
        <v>1737</v>
      </c>
      <c r="BC125" s="100">
        <f t="shared" si="133"/>
        <v>0</v>
      </c>
      <c r="BD125" s="100">
        <f t="shared" si="134"/>
        <v>0</v>
      </c>
      <c r="BE125" s="100">
        <v>0</v>
      </c>
      <c r="BF125" s="100">
        <f>125</f>
        <v>125</v>
      </c>
      <c r="BH125" s="108">
        <f t="shared" si="135"/>
        <v>0</v>
      </c>
      <c r="BI125" s="108">
        <f t="shared" si="136"/>
        <v>0</v>
      </c>
      <c r="BJ125" s="108">
        <f t="shared" si="137"/>
        <v>0</v>
      </c>
    </row>
    <row r="126" spans="1:62" x14ac:dyDescent="0.2">
      <c r="A126" s="117" t="s">
        <v>107</v>
      </c>
      <c r="B126" s="117" t="s">
        <v>4361</v>
      </c>
      <c r="C126" s="304" t="s">
        <v>1341</v>
      </c>
      <c r="D126" s="305"/>
      <c r="E126" s="305"/>
      <c r="F126" s="117" t="s">
        <v>1644</v>
      </c>
      <c r="G126" s="116">
        <v>1</v>
      </c>
      <c r="H126" s="159"/>
      <c r="I126" s="108">
        <f t="shared" si="114"/>
        <v>0</v>
      </c>
      <c r="J126" s="108">
        <f t="shared" si="115"/>
        <v>0</v>
      </c>
      <c r="K126" s="108">
        <f t="shared" si="116"/>
        <v>0</v>
      </c>
      <c r="L126" s="111"/>
      <c r="Z126" s="100">
        <f t="shared" si="117"/>
        <v>0</v>
      </c>
      <c r="AB126" s="100">
        <f t="shared" si="118"/>
        <v>0</v>
      </c>
      <c r="AC126" s="100">
        <f t="shared" si="119"/>
        <v>0</v>
      </c>
      <c r="AD126" s="100">
        <f t="shared" si="120"/>
        <v>0</v>
      </c>
      <c r="AE126" s="100">
        <f t="shared" si="121"/>
        <v>0</v>
      </c>
      <c r="AF126" s="100">
        <f t="shared" si="122"/>
        <v>0</v>
      </c>
      <c r="AG126" s="100">
        <f t="shared" si="123"/>
        <v>0</v>
      </c>
      <c r="AH126" s="100">
        <f t="shared" si="124"/>
        <v>0</v>
      </c>
      <c r="AI126" s="109"/>
      <c r="AJ126" s="108">
        <f t="shared" si="125"/>
        <v>0</v>
      </c>
      <c r="AK126" s="108">
        <f t="shared" si="126"/>
        <v>0</v>
      </c>
      <c r="AL126" s="108">
        <f t="shared" si="127"/>
        <v>0</v>
      </c>
      <c r="AN126" s="100">
        <v>15</v>
      </c>
      <c r="AO126" s="100">
        <f t="shared" si="128"/>
        <v>0</v>
      </c>
      <c r="AP126" s="100">
        <f t="shared" si="129"/>
        <v>0</v>
      </c>
      <c r="AQ126" s="111" t="s">
        <v>13</v>
      </c>
      <c r="AV126" s="100">
        <f t="shared" si="130"/>
        <v>0</v>
      </c>
      <c r="AW126" s="100">
        <f t="shared" si="131"/>
        <v>0</v>
      </c>
      <c r="AX126" s="100">
        <f t="shared" si="132"/>
        <v>0</v>
      </c>
      <c r="AY126" s="110" t="s">
        <v>1709</v>
      </c>
      <c r="AZ126" s="110" t="s">
        <v>1733</v>
      </c>
      <c r="BA126" s="109" t="s">
        <v>1737</v>
      </c>
      <c r="BC126" s="100">
        <f t="shared" si="133"/>
        <v>0</v>
      </c>
      <c r="BD126" s="100">
        <f t="shared" si="134"/>
        <v>0</v>
      </c>
      <c r="BE126" s="100">
        <v>0</v>
      </c>
      <c r="BF126" s="100">
        <f>126</f>
        <v>126</v>
      </c>
      <c r="BH126" s="108">
        <f t="shared" si="135"/>
        <v>0</v>
      </c>
      <c r="BI126" s="108">
        <f t="shared" si="136"/>
        <v>0</v>
      </c>
      <c r="BJ126" s="108">
        <f t="shared" si="137"/>
        <v>0</v>
      </c>
    </row>
    <row r="127" spans="1:62" x14ac:dyDescent="0.2">
      <c r="A127" s="117" t="s">
        <v>108</v>
      </c>
      <c r="B127" s="117" t="s">
        <v>4360</v>
      </c>
      <c r="C127" s="304" t="s">
        <v>1342</v>
      </c>
      <c r="D127" s="305"/>
      <c r="E127" s="305"/>
      <c r="F127" s="117" t="s">
        <v>1646</v>
      </c>
      <c r="G127" s="116">
        <v>5</v>
      </c>
      <c r="H127" s="159"/>
      <c r="I127" s="108">
        <f t="shared" si="114"/>
        <v>0</v>
      </c>
      <c r="J127" s="108">
        <f t="shared" si="115"/>
        <v>0</v>
      </c>
      <c r="K127" s="108">
        <f t="shared" si="116"/>
        <v>0</v>
      </c>
      <c r="L127" s="111"/>
      <c r="Z127" s="100">
        <f t="shared" si="117"/>
        <v>0</v>
      </c>
      <c r="AB127" s="100">
        <f t="shared" si="118"/>
        <v>0</v>
      </c>
      <c r="AC127" s="100">
        <f t="shared" si="119"/>
        <v>0</v>
      </c>
      <c r="AD127" s="100">
        <f t="shared" si="120"/>
        <v>0</v>
      </c>
      <c r="AE127" s="100">
        <f t="shared" si="121"/>
        <v>0</v>
      </c>
      <c r="AF127" s="100">
        <f t="shared" si="122"/>
        <v>0</v>
      </c>
      <c r="AG127" s="100">
        <f t="shared" si="123"/>
        <v>0</v>
      </c>
      <c r="AH127" s="100">
        <f t="shared" si="124"/>
        <v>0</v>
      </c>
      <c r="AI127" s="109"/>
      <c r="AJ127" s="108">
        <f t="shared" si="125"/>
        <v>0</v>
      </c>
      <c r="AK127" s="108">
        <f t="shared" si="126"/>
        <v>0</v>
      </c>
      <c r="AL127" s="108">
        <f t="shared" si="127"/>
        <v>0</v>
      </c>
      <c r="AN127" s="100">
        <v>15</v>
      </c>
      <c r="AO127" s="100">
        <f t="shared" si="128"/>
        <v>0</v>
      </c>
      <c r="AP127" s="100">
        <f t="shared" si="129"/>
        <v>0</v>
      </c>
      <c r="AQ127" s="111" t="s">
        <v>13</v>
      </c>
      <c r="AV127" s="100">
        <f t="shared" si="130"/>
        <v>0</v>
      </c>
      <c r="AW127" s="100">
        <f t="shared" si="131"/>
        <v>0</v>
      </c>
      <c r="AX127" s="100">
        <f t="shared" si="132"/>
        <v>0</v>
      </c>
      <c r="AY127" s="110" t="s">
        <v>1709</v>
      </c>
      <c r="AZ127" s="110" t="s">
        <v>1733</v>
      </c>
      <c r="BA127" s="109" t="s">
        <v>1737</v>
      </c>
      <c r="BC127" s="100">
        <f t="shared" si="133"/>
        <v>0</v>
      </c>
      <c r="BD127" s="100">
        <f t="shared" si="134"/>
        <v>0</v>
      </c>
      <c r="BE127" s="100">
        <v>0</v>
      </c>
      <c r="BF127" s="100">
        <f>127</f>
        <v>127</v>
      </c>
      <c r="BH127" s="108">
        <f t="shared" si="135"/>
        <v>0</v>
      </c>
      <c r="BI127" s="108">
        <f t="shared" si="136"/>
        <v>0</v>
      </c>
      <c r="BJ127" s="108">
        <f t="shared" si="137"/>
        <v>0</v>
      </c>
    </row>
    <row r="128" spans="1:62" x14ac:dyDescent="0.2">
      <c r="A128" s="117" t="s">
        <v>109</v>
      </c>
      <c r="B128" s="117" t="s">
        <v>4359</v>
      </c>
      <c r="C128" s="304" t="s">
        <v>1343</v>
      </c>
      <c r="D128" s="305"/>
      <c r="E128" s="305"/>
      <c r="F128" s="117" t="s">
        <v>1646</v>
      </c>
      <c r="G128" s="116">
        <v>9</v>
      </c>
      <c r="H128" s="159"/>
      <c r="I128" s="108">
        <f t="shared" si="114"/>
        <v>0</v>
      </c>
      <c r="J128" s="108">
        <f t="shared" si="115"/>
        <v>0</v>
      </c>
      <c r="K128" s="108">
        <f t="shared" si="116"/>
        <v>0</v>
      </c>
      <c r="L128" s="111"/>
      <c r="Z128" s="100">
        <f t="shared" si="117"/>
        <v>0</v>
      </c>
      <c r="AB128" s="100">
        <f t="shared" si="118"/>
        <v>0</v>
      </c>
      <c r="AC128" s="100">
        <f t="shared" si="119"/>
        <v>0</v>
      </c>
      <c r="AD128" s="100">
        <f t="shared" si="120"/>
        <v>0</v>
      </c>
      <c r="AE128" s="100">
        <f t="shared" si="121"/>
        <v>0</v>
      </c>
      <c r="AF128" s="100">
        <f t="shared" si="122"/>
        <v>0</v>
      </c>
      <c r="AG128" s="100">
        <f t="shared" si="123"/>
        <v>0</v>
      </c>
      <c r="AH128" s="100">
        <f t="shared" si="124"/>
        <v>0</v>
      </c>
      <c r="AI128" s="109"/>
      <c r="AJ128" s="108">
        <f t="shared" si="125"/>
        <v>0</v>
      </c>
      <c r="AK128" s="108">
        <f t="shared" si="126"/>
        <v>0</v>
      </c>
      <c r="AL128" s="108">
        <f t="shared" si="127"/>
        <v>0</v>
      </c>
      <c r="AN128" s="100">
        <v>15</v>
      </c>
      <c r="AO128" s="100">
        <f t="shared" si="128"/>
        <v>0</v>
      </c>
      <c r="AP128" s="100">
        <f t="shared" si="129"/>
        <v>0</v>
      </c>
      <c r="AQ128" s="111" t="s">
        <v>13</v>
      </c>
      <c r="AV128" s="100">
        <f t="shared" si="130"/>
        <v>0</v>
      </c>
      <c r="AW128" s="100">
        <f t="shared" si="131"/>
        <v>0</v>
      </c>
      <c r="AX128" s="100">
        <f t="shared" si="132"/>
        <v>0</v>
      </c>
      <c r="AY128" s="110" t="s">
        <v>1709</v>
      </c>
      <c r="AZ128" s="110" t="s">
        <v>1733</v>
      </c>
      <c r="BA128" s="109" t="s">
        <v>1737</v>
      </c>
      <c r="BC128" s="100">
        <f t="shared" si="133"/>
        <v>0</v>
      </c>
      <c r="BD128" s="100">
        <f t="shared" si="134"/>
        <v>0</v>
      </c>
      <c r="BE128" s="100">
        <v>0</v>
      </c>
      <c r="BF128" s="100">
        <f>128</f>
        <v>128</v>
      </c>
      <c r="BH128" s="108">
        <f t="shared" si="135"/>
        <v>0</v>
      </c>
      <c r="BI128" s="108">
        <f t="shared" si="136"/>
        <v>0</v>
      </c>
      <c r="BJ128" s="108">
        <f t="shared" si="137"/>
        <v>0</v>
      </c>
    </row>
    <row r="129" spans="1:62" x14ac:dyDescent="0.2">
      <c r="A129" s="117" t="s">
        <v>110</v>
      </c>
      <c r="B129" s="117" t="s">
        <v>4358</v>
      </c>
      <c r="C129" s="304" t="s">
        <v>1344</v>
      </c>
      <c r="D129" s="305"/>
      <c r="E129" s="305"/>
      <c r="F129" s="117" t="s">
        <v>1646</v>
      </c>
      <c r="G129" s="116">
        <v>6</v>
      </c>
      <c r="H129" s="159"/>
      <c r="I129" s="108">
        <f t="shared" si="114"/>
        <v>0</v>
      </c>
      <c r="J129" s="108">
        <f t="shared" si="115"/>
        <v>0</v>
      </c>
      <c r="K129" s="108">
        <f t="shared" si="116"/>
        <v>0</v>
      </c>
      <c r="L129" s="111"/>
      <c r="Z129" s="100">
        <f t="shared" si="117"/>
        <v>0</v>
      </c>
      <c r="AB129" s="100">
        <f t="shared" si="118"/>
        <v>0</v>
      </c>
      <c r="AC129" s="100">
        <f t="shared" si="119"/>
        <v>0</v>
      </c>
      <c r="AD129" s="100">
        <f t="shared" si="120"/>
        <v>0</v>
      </c>
      <c r="AE129" s="100">
        <f t="shared" si="121"/>
        <v>0</v>
      </c>
      <c r="AF129" s="100">
        <f t="shared" si="122"/>
        <v>0</v>
      </c>
      <c r="AG129" s="100">
        <f t="shared" si="123"/>
        <v>0</v>
      </c>
      <c r="AH129" s="100">
        <f t="shared" si="124"/>
        <v>0</v>
      </c>
      <c r="AI129" s="109"/>
      <c r="AJ129" s="108">
        <f t="shared" si="125"/>
        <v>0</v>
      </c>
      <c r="AK129" s="108">
        <f t="shared" si="126"/>
        <v>0</v>
      </c>
      <c r="AL129" s="108">
        <f t="shared" si="127"/>
        <v>0</v>
      </c>
      <c r="AN129" s="100">
        <v>15</v>
      </c>
      <c r="AO129" s="100">
        <f t="shared" si="128"/>
        <v>0</v>
      </c>
      <c r="AP129" s="100">
        <f t="shared" si="129"/>
        <v>0</v>
      </c>
      <c r="AQ129" s="111" t="s">
        <v>13</v>
      </c>
      <c r="AV129" s="100">
        <f t="shared" si="130"/>
        <v>0</v>
      </c>
      <c r="AW129" s="100">
        <f t="shared" si="131"/>
        <v>0</v>
      </c>
      <c r="AX129" s="100">
        <f t="shared" si="132"/>
        <v>0</v>
      </c>
      <c r="AY129" s="110" t="s">
        <v>1709</v>
      </c>
      <c r="AZ129" s="110" t="s">
        <v>1733</v>
      </c>
      <c r="BA129" s="109" t="s">
        <v>1737</v>
      </c>
      <c r="BC129" s="100">
        <f t="shared" si="133"/>
        <v>0</v>
      </c>
      <c r="BD129" s="100">
        <f t="shared" si="134"/>
        <v>0</v>
      </c>
      <c r="BE129" s="100">
        <v>0</v>
      </c>
      <c r="BF129" s="100">
        <f>129</f>
        <v>129</v>
      </c>
      <c r="BH129" s="108">
        <f t="shared" si="135"/>
        <v>0</v>
      </c>
      <c r="BI129" s="108">
        <f t="shared" si="136"/>
        <v>0</v>
      </c>
      <c r="BJ129" s="108">
        <f t="shared" si="137"/>
        <v>0</v>
      </c>
    </row>
    <row r="130" spans="1:62" x14ac:dyDescent="0.2">
      <c r="A130" s="117" t="s">
        <v>111</v>
      </c>
      <c r="B130" s="117" t="s">
        <v>4357</v>
      </c>
      <c r="C130" s="304" t="s">
        <v>1345</v>
      </c>
      <c r="D130" s="305"/>
      <c r="E130" s="305"/>
      <c r="F130" s="117" t="s">
        <v>1646</v>
      </c>
      <c r="G130" s="116">
        <v>20</v>
      </c>
      <c r="H130" s="159"/>
      <c r="I130" s="108">
        <f t="shared" si="114"/>
        <v>0</v>
      </c>
      <c r="J130" s="108">
        <f t="shared" si="115"/>
        <v>0</v>
      </c>
      <c r="K130" s="108">
        <f t="shared" si="116"/>
        <v>0</v>
      </c>
      <c r="L130" s="111"/>
      <c r="Z130" s="100">
        <f t="shared" si="117"/>
        <v>0</v>
      </c>
      <c r="AB130" s="100">
        <f t="shared" si="118"/>
        <v>0</v>
      </c>
      <c r="AC130" s="100">
        <f t="shared" si="119"/>
        <v>0</v>
      </c>
      <c r="AD130" s="100">
        <f t="shared" si="120"/>
        <v>0</v>
      </c>
      <c r="AE130" s="100">
        <f t="shared" si="121"/>
        <v>0</v>
      </c>
      <c r="AF130" s="100">
        <f t="shared" si="122"/>
        <v>0</v>
      </c>
      <c r="AG130" s="100">
        <f t="shared" si="123"/>
        <v>0</v>
      </c>
      <c r="AH130" s="100">
        <f t="shared" si="124"/>
        <v>0</v>
      </c>
      <c r="AI130" s="109"/>
      <c r="AJ130" s="108">
        <f t="shared" si="125"/>
        <v>0</v>
      </c>
      <c r="AK130" s="108">
        <f t="shared" si="126"/>
        <v>0</v>
      </c>
      <c r="AL130" s="108">
        <f t="shared" si="127"/>
        <v>0</v>
      </c>
      <c r="AN130" s="100">
        <v>15</v>
      </c>
      <c r="AO130" s="100">
        <f t="shared" si="128"/>
        <v>0</v>
      </c>
      <c r="AP130" s="100">
        <f t="shared" si="129"/>
        <v>0</v>
      </c>
      <c r="AQ130" s="111" t="s">
        <v>13</v>
      </c>
      <c r="AV130" s="100">
        <f t="shared" si="130"/>
        <v>0</v>
      </c>
      <c r="AW130" s="100">
        <f t="shared" si="131"/>
        <v>0</v>
      </c>
      <c r="AX130" s="100">
        <f t="shared" si="132"/>
        <v>0</v>
      </c>
      <c r="AY130" s="110" t="s">
        <v>1709</v>
      </c>
      <c r="AZ130" s="110" t="s">
        <v>1733</v>
      </c>
      <c r="BA130" s="109" t="s">
        <v>1737</v>
      </c>
      <c r="BC130" s="100">
        <f t="shared" si="133"/>
        <v>0</v>
      </c>
      <c r="BD130" s="100">
        <f t="shared" si="134"/>
        <v>0</v>
      </c>
      <c r="BE130" s="100">
        <v>0</v>
      </c>
      <c r="BF130" s="100">
        <f>130</f>
        <v>130</v>
      </c>
      <c r="BH130" s="108">
        <f t="shared" si="135"/>
        <v>0</v>
      </c>
      <c r="BI130" s="108">
        <f t="shared" si="136"/>
        <v>0</v>
      </c>
      <c r="BJ130" s="108">
        <f t="shared" si="137"/>
        <v>0</v>
      </c>
    </row>
    <row r="131" spans="1:62" x14ac:dyDescent="0.2">
      <c r="A131" s="117" t="s">
        <v>112</v>
      </c>
      <c r="B131" s="117" t="s">
        <v>4356</v>
      </c>
      <c r="C131" s="304" t="s">
        <v>1346</v>
      </c>
      <c r="D131" s="305"/>
      <c r="E131" s="305"/>
      <c r="F131" s="117" t="s">
        <v>1644</v>
      </c>
      <c r="G131" s="116">
        <v>1</v>
      </c>
      <c r="H131" s="159"/>
      <c r="I131" s="108">
        <f t="shared" si="114"/>
        <v>0</v>
      </c>
      <c r="J131" s="108">
        <f t="shared" si="115"/>
        <v>0</v>
      </c>
      <c r="K131" s="108">
        <f t="shared" si="116"/>
        <v>0</v>
      </c>
      <c r="L131" s="111"/>
      <c r="Z131" s="100">
        <f t="shared" si="117"/>
        <v>0</v>
      </c>
      <c r="AB131" s="100">
        <f t="shared" si="118"/>
        <v>0</v>
      </c>
      <c r="AC131" s="100">
        <f t="shared" si="119"/>
        <v>0</v>
      </c>
      <c r="AD131" s="100">
        <f t="shared" si="120"/>
        <v>0</v>
      </c>
      <c r="AE131" s="100">
        <f t="shared" si="121"/>
        <v>0</v>
      </c>
      <c r="AF131" s="100">
        <f t="shared" si="122"/>
        <v>0</v>
      </c>
      <c r="AG131" s="100">
        <f t="shared" si="123"/>
        <v>0</v>
      </c>
      <c r="AH131" s="100">
        <f t="shared" si="124"/>
        <v>0</v>
      </c>
      <c r="AI131" s="109"/>
      <c r="AJ131" s="108">
        <f t="shared" si="125"/>
        <v>0</v>
      </c>
      <c r="AK131" s="108">
        <f t="shared" si="126"/>
        <v>0</v>
      </c>
      <c r="AL131" s="108">
        <f t="shared" si="127"/>
        <v>0</v>
      </c>
      <c r="AN131" s="100">
        <v>15</v>
      </c>
      <c r="AO131" s="100">
        <f t="shared" si="128"/>
        <v>0</v>
      </c>
      <c r="AP131" s="100">
        <f t="shared" si="129"/>
        <v>0</v>
      </c>
      <c r="AQ131" s="111" t="s">
        <v>13</v>
      </c>
      <c r="AV131" s="100">
        <f t="shared" si="130"/>
        <v>0</v>
      </c>
      <c r="AW131" s="100">
        <f t="shared" si="131"/>
        <v>0</v>
      </c>
      <c r="AX131" s="100">
        <f t="shared" si="132"/>
        <v>0</v>
      </c>
      <c r="AY131" s="110" t="s">
        <v>1709</v>
      </c>
      <c r="AZ131" s="110" t="s">
        <v>1733</v>
      </c>
      <c r="BA131" s="109" t="s">
        <v>1737</v>
      </c>
      <c r="BC131" s="100">
        <f t="shared" si="133"/>
        <v>0</v>
      </c>
      <c r="BD131" s="100">
        <f t="shared" si="134"/>
        <v>0</v>
      </c>
      <c r="BE131" s="100">
        <v>0</v>
      </c>
      <c r="BF131" s="100">
        <f>131</f>
        <v>131</v>
      </c>
      <c r="BH131" s="108">
        <f t="shared" si="135"/>
        <v>0</v>
      </c>
      <c r="BI131" s="108">
        <f t="shared" si="136"/>
        <v>0</v>
      </c>
      <c r="BJ131" s="108">
        <f t="shared" si="137"/>
        <v>0</v>
      </c>
    </row>
    <row r="132" spans="1:62" x14ac:dyDescent="0.2">
      <c r="A132" s="117" t="s">
        <v>113</v>
      </c>
      <c r="B132" s="117" t="s">
        <v>4355</v>
      </c>
      <c r="C132" s="304" t="s">
        <v>1253</v>
      </c>
      <c r="D132" s="305"/>
      <c r="E132" s="305"/>
      <c r="F132" s="117" t="s">
        <v>1644</v>
      </c>
      <c r="G132" s="116">
        <v>1</v>
      </c>
      <c r="H132" s="159"/>
      <c r="I132" s="108">
        <f t="shared" si="114"/>
        <v>0</v>
      </c>
      <c r="J132" s="108">
        <f t="shared" si="115"/>
        <v>0</v>
      </c>
      <c r="K132" s="108">
        <f t="shared" si="116"/>
        <v>0</v>
      </c>
      <c r="L132" s="111"/>
      <c r="Z132" s="100">
        <f t="shared" si="117"/>
        <v>0</v>
      </c>
      <c r="AB132" s="100">
        <f t="shared" si="118"/>
        <v>0</v>
      </c>
      <c r="AC132" s="100">
        <f t="shared" si="119"/>
        <v>0</v>
      </c>
      <c r="AD132" s="100">
        <f t="shared" si="120"/>
        <v>0</v>
      </c>
      <c r="AE132" s="100">
        <f t="shared" si="121"/>
        <v>0</v>
      </c>
      <c r="AF132" s="100">
        <f t="shared" si="122"/>
        <v>0</v>
      </c>
      <c r="AG132" s="100">
        <f t="shared" si="123"/>
        <v>0</v>
      </c>
      <c r="AH132" s="100">
        <f t="shared" si="124"/>
        <v>0</v>
      </c>
      <c r="AI132" s="109"/>
      <c r="AJ132" s="108">
        <f t="shared" si="125"/>
        <v>0</v>
      </c>
      <c r="AK132" s="108">
        <f t="shared" si="126"/>
        <v>0</v>
      </c>
      <c r="AL132" s="108">
        <f t="shared" si="127"/>
        <v>0</v>
      </c>
      <c r="AN132" s="100">
        <v>15</v>
      </c>
      <c r="AO132" s="100">
        <f t="shared" si="128"/>
        <v>0</v>
      </c>
      <c r="AP132" s="100">
        <f t="shared" si="129"/>
        <v>0</v>
      </c>
      <c r="AQ132" s="111" t="s">
        <v>13</v>
      </c>
      <c r="AV132" s="100">
        <f t="shared" si="130"/>
        <v>0</v>
      </c>
      <c r="AW132" s="100">
        <f t="shared" si="131"/>
        <v>0</v>
      </c>
      <c r="AX132" s="100">
        <f t="shared" si="132"/>
        <v>0</v>
      </c>
      <c r="AY132" s="110" t="s">
        <v>1709</v>
      </c>
      <c r="AZ132" s="110" t="s">
        <v>1733</v>
      </c>
      <c r="BA132" s="109" t="s">
        <v>1737</v>
      </c>
      <c r="BC132" s="100">
        <f t="shared" si="133"/>
        <v>0</v>
      </c>
      <c r="BD132" s="100">
        <f t="shared" si="134"/>
        <v>0</v>
      </c>
      <c r="BE132" s="100">
        <v>0</v>
      </c>
      <c r="BF132" s="100">
        <f>132</f>
        <v>132</v>
      </c>
      <c r="BH132" s="108">
        <f t="shared" si="135"/>
        <v>0</v>
      </c>
      <c r="BI132" s="108">
        <f t="shared" si="136"/>
        <v>0</v>
      </c>
      <c r="BJ132" s="108">
        <f t="shared" si="137"/>
        <v>0</v>
      </c>
    </row>
    <row r="133" spans="1:62" x14ac:dyDescent="0.2">
      <c r="A133" s="117" t="s">
        <v>114</v>
      </c>
      <c r="B133" s="117" t="s">
        <v>4354</v>
      </c>
      <c r="C133" s="304" t="s">
        <v>1347</v>
      </c>
      <c r="D133" s="305"/>
      <c r="E133" s="305"/>
      <c r="F133" s="117" t="s">
        <v>1646</v>
      </c>
      <c r="G133" s="116">
        <v>13</v>
      </c>
      <c r="H133" s="159"/>
      <c r="I133" s="108">
        <f t="shared" si="114"/>
        <v>0</v>
      </c>
      <c r="J133" s="108">
        <f t="shared" si="115"/>
        <v>0</v>
      </c>
      <c r="K133" s="108">
        <f t="shared" si="116"/>
        <v>0</v>
      </c>
      <c r="L133" s="111"/>
      <c r="Z133" s="100">
        <f t="shared" si="117"/>
        <v>0</v>
      </c>
      <c r="AB133" s="100">
        <f t="shared" si="118"/>
        <v>0</v>
      </c>
      <c r="AC133" s="100">
        <f t="shared" si="119"/>
        <v>0</v>
      </c>
      <c r="AD133" s="100">
        <f t="shared" si="120"/>
        <v>0</v>
      </c>
      <c r="AE133" s="100">
        <f t="shared" si="121"/>
        <v>0</v>
      </c>
      <c r="AF133" s="100">
        <f t="shared" si="122"/>
        <v>0</v>
      </c>
      <c r="AG133" s="100">
        <f t="shared" si="123"/>
        <v>0</v>
      </c>
      <c r="AH133" s="100">
        <f t="shared" si="124"/>
        <v>0</v>
      </c>
      <c r="AI133" s="109"/>
      <c r="AJ133" s="108">
        <f t="shared" si="125"/>
        <v>0</v>
      </c>
      <c r="AK133" s="108">
        <f t="shared" si="126"/>
        <v>0</v>
      </c>
      <c r="AL133" s="108">
        <f t="shared" si="127"/>
        <v>0</v>
      </c>
      <c r="AN133" s="100">
        <v>15</v>
      </c>
      <c r="AO133" s="100">
        <f t="shared" si="128"/>
        <v>0</v>
      </c>
      <c r="AP133" s="100">
        <f t="shared" si="129"/>
        <v>0</v>
      </c>
      <c r="AQ133" s="111" t="s">
        <v>13</v>
      </c>
      <c r="AV133" s="100">
        <f t="shared" si="130"/>
        <v>0</v>
      </c>
      <c r="AW133" s="100">
        <f t="shared" si="131"/>
        <v>0</v>
      </c>
      <c r="AX133" s="100">
        <f t="shared" si="132"/>
        <v>0</v>
      </c>
      <c r="AY133" s="110" t="s">
        <v>1709</v>
      </c>
      <c r="AZ133" s="110" t="s">
        <v>1733</v>
      </c>
      <c r="BA133" s="109" t="s">
        <v>1737</v>
      </c>
      <c r="BC133" s="100">
        <f t="shared" si="133"/>
        <v>0</v>
      </c>
      <c r="BD133" s="100">
        <f t="shared" si="134"/>
        <v>0</v>
      </c>
      <c r="BE133" s="100">
        <v>0</v>
      </c>
      <c r="BF133" s="100">
        <f>133</f>
        <v>133</v>
      </c>
      <c r="BH133" s="108">
        <f t="shared" si="135"/>
        <v>0</v>
      </c>
      <c r="BI133" s="108">
        <f t="shared" si="136"/>
        <v>0</v>
      </c>
      <c r="BJ133" s="108">
        <f t="shared" si="137"/>
        <v>0</v>
      </c>
    </row>
    <row r="134" spans="1:62" x14ac:dyDescent="0.2">
      <c r="A134" s="117" t="s">
        <v>115</v>
      </c>
      <c r="B134" s="117" t="s">
        <v>4353</v>
      </c>
      <c r="C134" s="304" t="s">
        <v>1348</v>
      </c>
      <c r="D134" s="305"/>
      <c r="E134" s="305"/>
      <c r="F134" s="117" t="s">
        <v>1644</v>
      </c>
      <c r="G134" s="116">
        <v>1</v>
      </c>
      <c r="H134" s="159"/>
      <c r="I134" s="108">
        <f t="shared" si="114"/>
        <v>0</v>
      </c>
      <c r="J134" s="108">
        <f t="shared" si="115"/>
        <v>0</v>
      </c>
      <c r="K134" s="108">
        <f t="shared" si="116"/>
        <v>0</v>
      </c>
      <c r="L134" s="111"/>
      <c r="Z134" s="100">
        <f t="shared" si="117"/>
        <v>0</v>
      </c>
      <c r="AB134" s="100">
        <f t="shared" si="118"/>
        <v>0</v>
      </c>
      <c r="AC134" s="100">
        <f t="shared" si="119"/>
        <v>0</v>
      </c>
      <c r="AD134" s="100">
        <f t="shared" si="120"/>
        <v>0</v>
      </c>
      <c r="AE134" s="100">
        <f t="shared" si="121"/>
        <v>0</v>
      </c>
      <c r="AF134" s="100">
        <f t="shared" si="122"/>
        <v>0</v>
      </c>
      <c r="AG134" s="100">
        <f t="shared" si="123"/>
        <v>0</v>
      </c>
      <c r="AH134" s="100">
        <f t="shared" si="124"/>
        <v>0</v>
      </c>
      <c r="AI134" s="109"/>
      <c r="AJ134" s="108">
        <f t="shared" si="125"/>
        <v>0</v>
      </c>
      <c r="AK134" s="108">
        <f t="shared" si="126"/>
        <v>0</v>
      </c>
      <c r="AL134" s="108">
        <f t="shared" si="127"/>
        <v>0</v>
      </c>
      <c r="AN134" s="100">
        <v>15</v>
      </c>
      <c r="AO134" s="100">
        <f t="shared" si="128"/>
        <v>0</v>
      </c>
      <c r="AP134" s="100">
        <f t="shared" si="129"/>
        <v>0</v>
      </c>
      <c r="AQ134" s="111" t="s">
        <v>13</v>
      </c>
      <c r="AV134" s="100">
        <f t="shared" si="130"/>
        <v>0</v>
      </c>
      <c r="AW134" s="100">
        <f t="shared" si="131"/>
        <v>0</v>
      </c>
      <c r="AX134" s="100">
        <f t="shared" si="132"/>
        <v>0</v>
      </c>
      <c r="AY134" s="110" t="s">
        <v>1709</v>
      </c>
      <c r="AZ134" s="110" t="s">
        <v>1733</v>
      </c>
      <c r="BA134" s="109" t="s">
        <v>1737</v>
      </c>
      <c r="BC134" s="100">
        <f t="shared" si="133"/>
        <v>0</v>
      </c>
      <c r="BD134" s="100">
        <f t="shared" si="134"/>
        <v>0</v>
      </c>
      <c r="BE134" s="100">
        <v>0</v>
      </c>
      <c r="BF134" s="100">
        <f>134</f>
        <v>134</v>
      </c>
      <c r="BH134" s="108">
        <f t="shared" si="135"/>
        <v>0</v>
      </c>
      <c r="BI134" s="108">
        <f t="shared" si="136"/>
        <v>0</v>
      </c>
      <c r="BJ134" s="108">
        <f t="shared" si="137"/>
        <v>0</v>
      </c>
    </row>
    <row r="135" spans="1:62" x14ac:dyDescent="0.2">
      <c r="A135" s="117" t="s">
        <v>116</v>
      </c>
      <c r="B135" s="117" t="s">
        <v>4352</v>
      </c>
      <c r="C135" s="304" t="s">
        <v>1349</v>
      </c>
      <c r="D135" s="305"/>
      <c r="E135" s="305"/>
      <c r="F135" s="117" t="s">
        <v>1644</v>
      </c>
      <c r="G135" s="116">
        <v>1</v>
      </c>
      <c r="H135" s="159"/>
      <c r="I135" s="108">
        <f t="shared" si="114"/>
        <v>0</v>
      </c>
      <c r="J135" s="108">
        <f t="shared" si="115"/>
        <v>0</v>
      </c>
      <c r="K135" s="108">
        <f t="shared" si="116"/>
        <v>0</v>
      </c>
      <c r="L135" s="111"/>
      <c r="Z135" s="100">
        <f t="shared" si="117"/>
        <v>0</v>
      </c>
      <c r="AB135" s="100">
        <f t="shared" si="118"/>
        <v>0</v>
      </c>
      <c r="AC135" s="100">
        <f t="shared" si="119"/>
        <v>0</v>
      </c>
      <c r="AD135" s="100">
        <f t="shared" si="120"/>
        <v>0</v>
      </c>
      <c r="AE135" s="100">
        <f t="shared" si="121"/>
        <v>0</v>
      </c>
      <c r="AF135" s="100">
        <f t="shared" si="122"/>
        <v>0</v>
      </c>
      <c r="AG135" s="100">
        <f t="shared" si="123"/>
        <v>0</v>
      </c>
      <c r="AH135" s="100">
        <f t="shared" si="124"/>
        <v>0</v>
      </c>
      <c r="AI135" s="109"/>
      <c r="AJ135" s="108">
        <f t="shared" si="125"/>
        <v>0</v>
      </c>
      <c r="AK135" s="108">
        <f t="shared" si="126"/>
        <v>0</v>
      </c>
      <c r="AL135" s="108">
        <f t="shared" si="127"/>
        <v>0</v>
      </c>
      <c r="AN135" s="100">
        <v>15</v>
      </c>
      <c r="AO135" s="100">
        <f t="shared" si="128"/>
        <v>0</v>
      </c>
      <c r="AP135" s="100">
        <f t="shared" si="129"/>
        <v>0</v>
      </c>
      <c r="AQ135" s="111" t="s">
        <v>13</v>
      </c>
      <c r="AV135" s="100">
        <f t="shared" si="130"/>
        <v>0</v>
      </c>
      <c r="AW135" s="100">
        <f t="shared" si="131"/>
        <v>0</v>
      </c>
      <c r="AX135" s="100">
        <f t="shared" si="132"/>
        <v>0</v>
      </c>
      <c r="AY135" s="110" t="s">
        <v>1709</v>
      </c>
      <c r="AZ135" s="110" t="s">
        <v>1733</v>
      </c>
      <c r="BA135" s="109" t="s">
        <v>1737</v>
      </c>
      <c r="BC135" s="100">
        <f t="shared" si="133"/>
        <v>0</v>
      </c>
      <c r="BD135" s="100">
        <f t="shared" si="134"/>
        <v>0</v>
      </c>
      <c r="BE135" s="100">
        <v>0</v>
      </c>
      <c r="BF135" s="100">
        <f>135</f>
        <v>135</v>
      </c>
      <c r="BH135" s="108">
        <f t="shared" si="135"/>
        <v>0</v>
      </c>
      <c r="BI135" s="108">
        <f t="shared" si="136"/>
        <v>0</v>
      </c>
      <c r="BJ135" s="108">
        <f t="shared" si="137"/>
        <v>0</v>
      </c>
    </row>
    <row r="136" spans="1:62" x14ac:dyDescent="0.2">
      <c r="A136" s="117" t="s">
        <v>117</v>
      </c>
      <c r="B136" s="117" t="s">
        <v>4351</v>
      </c>
      <c r="C136" s="304" t="s">
        <v>1350</v>
      </c>
      <c r="D136" s="305"/>
      <c r="E136" s="305"/>
      <c r="F136" s="117" t="s">
        <v>1644</v>
      </c>
      <c r="G136" s="116">
        <v>1</v>
      </c>
      <c r="H136" s="159"/>
      <c r="I136" s="108">
        <f t="shared" si="114"/>
        <v>0</v>
      </c>
      <c r="J136" s="108">
        <f t="shared" si="115"/>
        <v>0</v>
      </c>
      <c r="K136" s="108">
        <f t="shared" si="116"/>
        <v>0</v>
      </c>
      <c r="L136" s="111"/>
      <c r="Z136" s="100">
        <f t="shared" si="117"/>
        <v>0</v>
      </c>
      <c r="AB136" s="100">
        <f t="shared" si="118"/>
        <v>0</v>
      </c>
      <c r="AC136" s="100">
        <f t="shared" si="119"/>
        <v>0</v>
      </c>
      <c r="AD136" s="100">
        <f t="shared" si="120"/>
        <v>0</v>
      </c>
      <c r="AE136" s="100">
        <f t="shared" si="121"/>
        <v>0</v>
      </c>
      <c r="AF136" s="100">
        <f t="shared" si="122"/>
        <v>0</v>
      </c>
      <c r="AG136" s="100">
        <f t="shared" si="123"/>
        <v>0</v>
      </c>
      <c r="AH136" s="100">
        <f t="shared" si="124"/>
        <v>0</v>
      </c>
      <c r="AI136" s="109"/>
      <c r="AJ136" s="108">
        <f t="shared" si="125"/>
        <v>0</v>
      </c>
      <c r="AK136" s="108">
        <f t="shared" si="126"/>
        <v>0</v>
      </c>
      <c r="AL136" s="108">
        <f t="shared" si="127"/>
        <v>0</v>
      </c>
      <c r="AN136" s="100">
        <v>15</v>
      </c>
      <c r="AO136" s="100">
        <f t="shared" si="128"/>
        <v>0</v>
      </c>
      <c r="AP136" s="100">
        <f t="shared" si="129"/>
        <v>0</v>
      </c>
      <c r="AQ136" s="111" t="s">
        <v>13</v>
      </c>
      <c r="AV136" s="100">
        <f t="shared" si="130"/>
        <v>0</v>
      </c>
      <c r="AW136" s="100">
        <f t="shared" si="131"/>
        <v>0</v>
      </c>
      <c r="AX136" s="100">
        <f t="shared" si="132"/>
        <v>0</v>
      </c>
      <c r="AY136" s="110" t="s">
        <v>1709</v>
      </c>
      <c r="AZ136" s="110" t="s">
        <v>1733</v>
      </c>
      <c r="BA136" s="109" t="s">
        <v>1737</v>
      </c>
      <c r="BC136" s="100">
        <f t="shared" si="133"/>
        <v>0</v>
      </c>
      <c r="BD136" s="100">
        <f t="shared" si="134"/>
        <v>0</v>
      </c>
      <c r="BE136" s="100">
        <v>0</v>
      </c>
      <c r="BF136" s="100">
        <f>136</f>
        <v>136</v>
      </c>
      <c r="BH136" s="108">
        <f t="shared" si="135"/>
        <v>0</v>
      </c>
      <c r="BI136" s="108">
        <f t="shared" si="136"/>
        <v>0</v>
      </c>
      <c r="BJ136" s="108">
        <f t="shared" si="137"/>
        <v>0</v>
      </c>
    </row>
    <row r="137" spans="1:62" x14ac:dyDescent="0.2">
      <c r="A137" s="117" t="s">
        <v>118</v>
      </c>
      <c r="B137" s="117" t="s">
        <v>4350</v>
      </c>
      <c r="C137" s="304" t="s">
        <v>4349</v>
      </c>
      <c r="D137" s="305"/>
      <c r="E137" s="305"/>
      <c r="F137" s="117" t="s">
        <v>1644</v>
      </c>
      <c r="G137" s="116">
        <v>1</v>
      </c>
      <c r="H137" s="159"/>
      <c r="I137" s="108">
        <f t="shared" si="114"/>
        <v>0</v>
      </c>
      <c r="J137" s="108">
        <f t="shared" si="115"/>
        <v>0</v>
      </c>
      <c r="K137" s="108">
        <f t="shared" si="116"/>
        <v>0</v>
      </c>
      <c r="L137" s="111"/>
      <c r="Z137" s="100">
        <f t="shared" si="117"/>
        <v>0</v>
      </c>
      <c r="AB137" s="100">
        <f t="shared" si="118"/>
        <v>0</v>
      </c>
      <c r="AC137" s="100">
        <f t="shared" si="119"/>
        <v>0</v>
      </c>
      <c r="AD137" s="100">
        <f t="shared" si="120"/>
        <v>0</v>
      </c>
      <c r="AE137" s="100">
        <f t="shared" si="121"/>
        <v>0</v>
      </c>
      <c r="AF137" s="100">
        <f t="shared" si="122"/>
        <v>0</v>
      </c>
      <c r="AG137" s="100">
        <f t="shared" si="123"/>
        <v>0</v>
      </c>
      <c r="AH137" s="100">
        <f t="shared" si="124"/>
        <v>0</v>
      </c>
      <c r="AI137" s="109"/>
      <c r="AJ137" s="108">
        <f t="shared" si="125"/>
        <v>0</v>
      </c>
      <c r="AK137" s="108">
        <f t="shared" si="126"/>
        <v>0</v>
      </c>
      <c r="AL137" s="108">
        <f t="shared" si="127"/>
        <v>0</v>
      </c>
      <c r="AN137" s="100">
        <v>15</v>
      </c>
      <c r="AO137" s="100">
        <f t="shared" si="128"/>
        <v>0</v>
      </c>
      <c r="AP137" s="100">
        <f t="shared" si="129"/>
        <v>0</v>
      </c>
      <c r="AQ137" s="111" t="s">
        <v>13</v>
      </c>
      <c r="AV137" s="100">
        <f t="shared" si="130"/>
        <v>0</v>
      </c>
      <c r="AW137" s="100">
        <f t="shared" si="131"/>
        <v>0</v>
      </c>
      <c r="AX137" s="100">
        <f t="shared" si="132"/>
        <v>0</v>
      </c>
      <c r="AY137" s="110" t="s">
        <v>1709</v>
      </c>
      <c r="AZ137" s="110" t="s">
        <v>1733</v>
      </c>
      <c r="BA137" s="109" t="s">
        <v>1737</v>
      </c>
      <c r="BC137" s="100">
        <f t="shared" si="133"/>
        <v>0</v>
      </c>
      <c r="BD137" s="100">
        <f t="shared" si="134"/>
        <v>0</v>
      </c>
      <c r="BE137" s="100">
        <v>0</v>
      </c>
      <c r="BF137" s="100">
        <f>137</f>
        <v>137</v>
      </c>
      <c r="BH137" s="108">
        <f t="shared" si="135"/>
        <v>0</v>
      </c>
      <c r="BI137" s="108">
        <f t="shared" si="136"/>
        <v>0</v>
      </c>
      <c r="BJ137" s="108">
        <f t="shared" si="137"/>
        <v>0</v>
      </c>
    </row>
    <row r="138" spans="1:62" x14ac:dyDescent="0.2">
      <c r="A138" s="117" t="s">
        <v>119</v>
      </c>
      <c r="B138" s="117" t="s">
        <v>4348</v>
      </c>
      <c r="C138" s="304" t="s">
        <v>1351</v>
      </c>
      <c r="D138" s="305"/>
      <c r="E138" s="305"/>
      <c r="F138" s="117" t="s">
        <v>1644</v>
      </c>
      <c r="G138" s="116">
        <v>1</v>
      </c>
      <c r="H138" s="159"/>
      <c r="I138" s="108">
        <f t="shared" si="114"/>
        <v>0</v>
      </c>
      <c r="J138" s="108">
        <f t="shared" si="115"/>
        <v>0</v>
      </c>
      <c r="K138" s="108">
        <f t="shared" si="116"/>
        <v>0</v>
      </c>
      <c r="L138" s="111"/>
      <c r="Z138" s="100">
        <f t="shared" si="117"/>
        <v>0</v>
      </c>
      <c r="AB138" s="100">
        <f t="shared" si="118"/>
        <v>0</v>
      </c>
      <c r="AC138" s="100">
        <f t="shared" si="119"/>
        <v>0</v>
      </c>
      <c r="AD138" s="100">
        <f t="shared" si="120"/>
        <v>0</v>
      </c>
      <c r="AE138" s="100">
        <f t="shared" si="121"/>
        <v>0</v>
      </c>
      <c r="AF138" s="100">
        <f t="shared" si="122"/>
        <v>0</v>
      </c>
      <c r="AG138" s="100">
        <f t="shared" si="123"/>
        <v>0</v>
      </c>
      <c r="AH138" s="100">
        <f t="shared" si="124"/>
        <v>0</v>
      </c>
      <c r="AI138" s="109"/>
      <c r="AJ138" s="108">
        <f t="shared" si="125"/>
        <v>0</v>
      </c>
      <c r="AK138" s="108">
        <f t="shared" si="126"/>
        <v>0</v>
      </c>
      <c r="AL138" s="108">
        <f t="shared" si="127"/>
        <v>0</v>
      </c>
      <c r="AN138" s="100">
        <v>15</v>
      </c>
      <c r="AO138" s="100">
        <f t="shared" si="128"/>
        <v>0</v>
      </c>
      <c r="AP138" s="100">
        <f t="shared" si="129"/>
        <v>0</v>
      </c>
      <c r="AQ138" s="111" t="s">
        <v>13</v>
      </c>
      <c r="AV138" s="100">
        <f t="shared" si="130"/>
        <v>0</v>
      </c>
      <c r="AW138" s="100">
        <f t="shared" si="131"/>
        <v>0</v>
      </c>
      <c r="AX138" s="100">
        <f t="shared" si="132"/>
        <v>0</v>
      </c>
      <c r="AY138" s="110" t="s">
        <v>1709</v>
      </c>
      <c r="AZ138" s="110" t="s">
        <v>1733</v>
      </c>
      <c r="BA138" s="109" t="s">
        <v>1737</v>
      </c>
      <c r="BC138" s="100">
        <f t="shared" si="133"/>
        <v>0</v>
      </c>
      <c r="BD138" s="100">
        <f t="shared" si="134"/>
        <v>0</v>
      </c>
      <c r="BE138" s="100">
        <v>0</v>
      </c>
      <c r="BF138" s="100">
        <f>138</f>
        <v>138</v>
      </c>
      <c r="BH138" s="108">
        <f t="shared" si="135"/>
        <v>0</v>
      </c>
      <c r="BI138" s="108">
        <f t="shared" si="136"/>
        <v>0</v>
      </c>
      <c r="BJ138" s="108">
        <f t="shared" si="137"/>
        <v>0</v>
      </c>
    </row>
    <row r="139" spans="1:62" x14ac:dyDescent="0.2">
      <c r="A139" s="117" t="s">
        <v>120</v>
      </c>
      <c r="B139" s="117" t="s">
        <v>4347</v>
      </c>
      <c r="C139" s="304" t="s">
        <v>1352</v>
      </c>
      <c r="D139" s="305"/>
      <c r="E139" s="305"/>
      <c r="F139" s="117" t="s">
        <v>1644</v>
      </c>
      <c r="G139" s="116">
        <v>16</v>
      </c>
      <c r="H139" s="159"/>
      <c r="I139" s="108">
        <f t="shared" si="114"/>
        <v>0</v>
      </c>
      <c r="J139" s="108">
        <f t="shared" si="115"/>
        <v>0</v>
      </c>
      <c r="K139" s="108">
        <f t="shared" si="116"/>
        <v>0</v>
      </c>
      <c r="L139" s="111"/>
      <c r="Z139" s="100">
        <f t="shared" si="117"/>
        <v>0</v>
      </c>
      <c r="AB139" s="100">
        <f t="shared" si="118"/>
        <v>0</v>
      </c>
      <c r="AC139" s="100">
        <f t="shared" si="119"/>
        <v>0</v>
      </c>
      <c r="AD139" s="100">
        <f t="shared" si="120"/>
        <v>0</v>
      </c>
      <c r="AE139" s="100">
        <f t="shared" si="121"/>
        <v>0</v>
      </c>
      <c r="AF139" s="100">
        <f t="shared" si="122"/>
        <v>0</v>
      </c>
      <c r="AG139" s="100">
        <f t="shared" si="123"/>
        <v>0</v>
      </c>
      <c r="AH139" s="100">
        <f t="shared" si="124"/>
        <v>0</v>
      </c>
      <c r="AI139" s="109"/>
      <c r="AJ139" s="108">
        <f t="shared" si="125"/>
        <v>0</v>
      </c>
      <c r="AK139" s="108">
        <f t="shared" si="126"/>
        <v>0</v>
      </c>
      <c r="AL139" s="108">
        <f t="shared" si="127"/>
        <v>0</v>
      </c>
      <c r="AN139" s="100">
        <v>15</v>
      </c>
      <c r="AO139" s="100">
        <f t="shared" si="128"/>
        <v>0</v>
      </c>
      <c r="AP139" s="100">
        <f t="shared" si="129"/>
        <v>0</v>
      </c>
      <c r="AQ139" s="111" t="s">
        <v>13</v>
      </c>
      <c r="AV139" s="100">
        <f t="shared" si="130"/>
        <v>0</v>
      </c>
      <c r="AW139" s="100">
        <f t="shared" si="131"/>
        <v>0</v>
      </c>
      <c r="AX139" s="100">
        <f t="shared" si="132"/>
        <v>0</v>
      </c>
      <c r="AY139" s="110" t="s">
        <v>1709</v>
      </c>
      <c r="AZ139" s="110" t="s">
        <v>1733</v>
      </c>
      <c r="BA139" s="109" t="s">
        <v>1737</v>
      </c>
      <c r="BC139" s="100">
        <f t="shared" si="133"/>
        <v>0</v>
      </c>
      <c r="BD139" s="100">
        <f t="shared" si="134"/>
        <v>0</v>
      </c>
      <c r="BE139" s="100">
        <v>0</v>
      </c>
      <c r="BF139" s="100">
        <f>139</f>
        <v>139</v>
      </c>
      <c r="BH139" s="108">
        <f t="shared" si="135"/>
        <v>0</v>
      </c>
      <c r="BI139" s="108">
        <f t="shared" si="136"/>
        <v>0</v>
      </c>
      <c r="BJ139" s="108">
        <f t="shared" si="137"/>
        <v>0</v>
      </c>
    </row>
    <row r="140" spans="1:62" x14ac:dyDescent="0.2">
      <c r="A140" s="117" t="s">
        <v>121</v>
      </c>
      <c r="B140" s="117" t="s">
        <v>4346</v>
      </c>
      <c r="C140" s="304" t="s">
        <v>1353</v>
      </c>
      <c r="D140" s="305"/>
      <c r="E140" s="305"/>
      <c r="F140" s="117" t="s">
        <v>1644</v>
      </c>
      <c r="G140" s="116">
        <v>1</v>
      </c>
      <c r="H140" s="159"/>
      <c r="I140" s="108">
        <f t="shared" si="114"/>
        <v>0</v>
      </c>
      <c r="J140" s="108">
        <f t="shared" si="115"/>
        <v>0</v>
      </c>
      <c r="K140" s="108">
        <f t="shared" si="116"/>
        <v>0</v>
      </c>
      <c r="L140" s="111"/>
      <c r="Z140" s="100">
        <f t="shared" si="117"/>
        <v>0</v>
      </c>
      <c r="AB140" s="100">
        <f t="shared" si="118"/>
        <v>0</v>
      </c>
      <c r="AC140" s="100">
        <f t="shared" si="119"/>
        <v>0</v>
      </c>
      <c r="AD140" s="100">
        <f t="shared" si="120"/>
        <v>0</v>
      </c>
      <c r="AE140" s="100">
        <f t="shared" si="121"/>
        <v>0</v>
      </c>
      <c r="AF140" s="100">
        <f t="shared" si="122"/>
        <v>0</v>
      </c>
      <c r="AG140" s="100">
        <f t="shared" si="123"/>
        <v>0</v>
      </c>
      <c r="AH140" s="100">
        <f t="shared" si="124"/>
        <v>0</v>
      </c>
      <c r="AI140" s="109"/>
      <c r="AJ140" s="108">
        <f t="shared" si="125"/>
        <v>0</v>
      </c>
      <c r="AK140" s="108">
        <f t="shared" si="126"/>
        <v>0</v>
      </c>
      <c r="AL140" s="108">
        <f t="shared" si="127"/>
        <v>0</v>
      </c>
      <c r="AN140" s="100">
        <v>15</v>
      </c>
      <c r="AO140" s="100">
        <f t="shared" si="128"/>
        <v>0</v>
      </c>
      <c r="AP140" s="100">
        <f t="shared" si="129"/>
        <v>0</v>
      </c>
      <c r="AQ140" s="111" t="s">
        <v>13</v>
      </c>
      <c r="AV140" s="100">
        <f t="shared" si="130"/>
        <v>0</v>
      </c>
      <c r="AW140" s="100">
        <f t="shared" si="131"/>
        <v>0</v>
      </c>
      <c r="AX140" s="100">
        <f t="shared" si="132"/>
        <v>0</v>
      </c>
      <c r="AY140" s="110" t="s">
        <v>1709</v>
      </c>
      <c r="AZ140" s="110" t="s">
        <v>1733</v>
      </c>
      <c r="BA140" s="109" t="s">
        <v>1737</v>
      </c>
      <c r="BC140" s="100">
        <f t="shared" si="133"/>
        <v>0</v>
      </c>
      <c r="BD140" s="100">
        <f t="shared" si="134"/>
        <v>0</v>
      </c>
      <c r="BE140" s="100">
        <v>0</v>
      </c>
      <c r="BF140" s="100">
        <f>140</f>
        <v>140</v>
      </c>
      <c r="BH140" s="108">
        <f t="shared" si="135"/>
        <v>0</v>
      </c>
      <c r="BI140" s="108">
        <f t="shared" si="136"/>
        <v>0</v>
      </c>
      <c r="BJ140" s="108">
        <f t="shared" si="137"/>
        <v>0</v>
      </c>
    </row>
    <row r="141" spans="1:62" x14ac:dyDescent="0.2">
      <c r="A141" s="117" t="s">
        <v>122</v>
      </c>
      <c r="B141" s="117" t="s">
        <v>4345</v>
      </c>
      <c r="C141" s="304" t="s">
        <v>1354</v>
      </c>
      <c r="D141" s="305"/>
      <c r="E141" s="305"/>
      <c r="F141" s="117" t="s">
        <v>1644</v>
      </c>
      <c r="G141" s="116">
        <v>1</v>
      </c>
      <c r="H141" s="159"/>
      <c r="I141" s="108">
        <f t="shared" si="114"/>
        <v>0</v>
      </c>
      <c r="J141" s="108">
        <f t="shared" si="115"/>
        <v>0</v>
      </c>
      <c r="K141" s="108">
        <f t="shared" si="116"/>
        <v>0</v>
      </c>
      <c r="L141" s="111"/>
      <c r="Z141" s="100">
        <f t="shared" si="117"/>
        <v>0</v>
      </c>
      <c r="AB141" s="100">
        <f t="shared" si="118"/>
        <v>0</v>
      </c>
      <c r="AC141" s="100">
        <f t="shared" si="119"/>
        <v>0</v>
      </c>
      <c r="AD141" s="100">
        <f t="shared" si="120"/>
        <v>0</v>
      </c>
      <c r="AE141" s="100">
        <f t="shared" si="121"/>
        <v>0</v>
      </c>
      <c r="AF141" s="100">
        <f t="shared" si="122"/>
        <v>0</v>
      </c>
      <c r="AG141" s="100">
        <f t="shared" si="123"/>
        <v>0</v>
      </c>
      <c r="AH141" s="100">
        <f t="shared" si="124"/>
        <v>0</v>
      </c>
      <c r="AI141" s="109"/>
      <c r="AJ141" s="108">
        <f t="shared" si="125"/>
        <v>0</v>
      </c>
      <c r="AK141" s="108">
        <f t="shared" si="126"/>
        <v>0</v>
      </c>
      <c r="AL141" s="108">
        <f t="shared" si="127"/>
        <v>0</v>
      </c>
      <c r="AN141" s="100">
        <v>15</v>
      </c>
      <c r="AO141" s="100">
        <f t="shared" si="128"/>
        <v>0</v>
      </c>
      <c r="AP141" s="100">
        <f t="shared" si="129"/>
        <v>0</v>
      </c>
      <c r="AQ141" s="111" t="s">
        <v>13</v>
      </c>
      <c r="AV141" s="100">
        <f t="shared" si="130"/>
        <v>0</v>
      </c>
      <c r="AW141" s="100">
        <f t="shared" si="131"/>
        <v>0</v>
      </c>
      <c r="AX141" s="100">
        <f t="shared" si="132"/>
        <v>0</v>
      </c>
      <c r="AY141" s="110" t="s">
        <v>1709</v>
      </c>
      <c r="AZ141" s="110" t="s">
        <v>1733</v>
      </c>
      <c r="BA141" s="109" t="s">
        <v>1737</v>
      </c>
      <c r="BC141" s="100">
        <f t="shared" si="133"/>
        <v>0</v>
      </c>
      <c r="BD141" s="100">
        <f t="shared" si="134"/>
        <v>0</v>
      </c>
      <c r="BE141" s="100">
        <v>0</v>
      </c>
      <c r="BF141" s="100">
        <f>141</f>
        <v>141</v>
      </c>
      <c r="BH141" s="108">
        <f t="shared" si="135"/>
        <v>0</v>
      </c>
      <c r="BI141" s="108">
        <f t="shared" si="136"/>
        <v>0</v>
      </c>
      <c r="BJ141" s="108">
        <f t="shared" si="137"/>
        <v>0</v>
      </c>
    </row>
    <row r="142" spans="1:62" x14ac:dyDescent="0.2">
      <c r="A142" s="119"/>
      <c r="B142" s="120" t="s">
        <v>772</v>
      </c>
      <c r="C142" s="306" t="s">
        <v>1355</v>
      </c>
      <c r="D142" s="307"/>
      <c r="E142" s="307"/>
      <c r="F142" s="119" t="s">
        <v>6</v>
      </c>
      <c r="G142" s="119" t="s">
        <v>6</v>
      </c>
      <c r="H142" s="119" t="s">
        <v>6</v>
      </c>
      <c r="I142" s="118">
        <f>SUM(I143:I154)</f>
        <v>0</v>
      </c>
      <c r="J142" s="118">
        <f>SUM(J143:J154)</f>
        <v>0</v>
      </c>
      <c r="K142" s="118">
        <f>SUM(K143:K154)</f>
        <v>0</v>
      </c>
      <c r="L142" s="109"/>
      <c r="AI142" s="109"/>
      <c r="AS142" s="118">
        <f>SUM(AJ143:AJ154)</f>
        <v>0</v>
      </c>
      <c r="AT142" s="118">
        <f>SUM(AK143:AK154)</f>
        <v>0</v>
      </c>
      <c r="AU142" s="118">
        <f>SUM(AL143:AL154)</f>
        <v>0</v>
      </c>
    </row>
    <row r="143" spans="1:62" x14ac:dyDescent="0.2">
      <c r="A143" s="117" t="s">
        <v>123</v>
      </c>
      <c r="B143" s="117" t="s">
        <v>4344</v>
      </c>
      <c r="C143" s="304" t="s">
        <v>4343</v>
      </c>
      <c r="D143" s="305"/>
      <c r="E143" s="305"/>
      <c r="F143" s="117" t="s">
        <v>1644</v>
      </c>
      <c r="G143" s="116">
        <v>1</v>
      </c>
      <c r="H143" s="159"/>
      <c r="I143" s="108">
        <f t="shared" ref="I143:I154" si="138">G143*AO143</f>
        <v>0</v>
      </c>
      <c r="J143" s="108">
        <f t="shared" ref="J143:J154" si="139">G143*AP143</f>
        <v>0</v>
      </c>
      <c r="K143" s="108">
        <f t="shared" ref="K143:K154" si="140">G143*H143</f>
        <v>0</v>
      </c>
      <c r="L143" s="111"/>
      <c r="Z143" s="100">
        <f t="shared" ref="Z143:Z154" si="141">IF(AQ143="5",BJ143,0)</f>
        <v>0</v>
      </c>
      <c r="AB143" s="100">
        <f t="shared" ref="AB143:AB154" si="142">IF(AQ143="1",BH143,0)</f>
        <v>0</v>
      </c>
      <c r="AC143" s="100">
        <f t="shared" ref="AC143:AC154" si="143">IF(AQ143="1",BI143,0)</f>
        <v>0</v>
      </c>
      <c r="AD143" s="100">
        <f t="shared" ref="AD143:AD154" si="144">IF(AQ143="7",BH143,0)</f>
        <v>0</v>
      </c>
      <c r="AE143" s="100">
        <f t="shared" ref="AE143:AE154" si="145">IF(AQ143="7",BI143,0)</f>
        <v>0</v>
      </c>
      <c r="AF143" s="100">
        <f t="shared" ref="AF143:AF154" si="146">IF(AQ143="2",BH143,0)</f>
        <v>0</v>
      </c>
      <c r="AG143" s="100">
        <f t="shared" ref="AG143:AG154" si="147">IF(AQ143="2",BI143,0)</f>
        <v>0</v>
      </c>
      <c r="AH143" s="100">
        <f t="shared" ref="AH143:AH154" si="148">IF(AQ143="0",BJ143,0)</f>
        <v>0</v>
      </c>
      <c r="AI143" s="109"/>
      <c r="AJ143" s="108">
        <f t="shared" ref="AJ143:AJ154" si="149">IF(AN143=0,K143,0)</f>
        <v>0</v>
      </c>
      <c r="AK143" s="108">
        <f t="shared" ref="AK143:AK154" si="150">IF(AN143=15,K143,0)</f>
        <v>0</v>
      </c>
      <c r="AL143" s="108">
        <f t="shared" ref="AL143:AL154" si="151">IF(AN143=21,K143,0)</f>
        <v>0</v>
      </c>
      <c r="AN143" s="100">
        <v>15</v>
      </c>
      <c r="AO143" s="100">
        <f t="shared" ref="AO143:AO154" si="152">H143*0</f>
        <v>0</v>
      </c>
      <c r="AP143" s="100">
        <f t="shared" ref="AP143:AP154" si="153">H143*(1-0)</f>
        <v>0</v>
      </c>
      <c r="AQ143" s="111" t="s">
        <v>13</v>
      </c>
      <c r="AV143" s="100">
        <f t="shared" ref="AV143:AV154" si="154">AW143+AX143</f>
        <v>0</v>
      </c>
      <c r="AW143" s="100">
        <f t="shared" ref="AW143:AW154" si="155">G143*AO143</f>
        <v>0</v>
      </c>
      <c r="AX143" s="100">
        <f t="shared" ref="AX143:AX154" si="156">G143*AP143</f>
        <v>0</v>
      </c>
      <c r="AY143" s="110" t="s">
        <v>1710</v>
      </c>
      <c r="AZ143" s="110" t="s">
        <v>1733</v>
      </c>
      <c r="BA143" s="109" t="s">
        <v>1737</v>
      </c>
      <c r="BC143" s="100">
        <f t="shared" ref="BC143:BC154" si="157">AW143+AX143</f>
        <v>0</v>
      </c>
      <c r="BD143" s="100">
        <f t="shared" ref="BD143:BD154" si="158">H143/(100-BE143)*100</f>
        <v>0</v>
      </c>
      <c r="BE143" s="100">
        <v>0</v>
      </c>
      <c r="BF143" s="100">
        <f>143</f>
        <v>143</v>
      </c>
      <c r="BH143" s="108">
        <f t="shared" ref="BH143:BH154" si="159">G143*AO143</f>
        <v>0</v>
      </c>
      <c r="BI143" s="108">
        <f t="shared" ref="BI143:BI154" si="160">G143*AP143</f>
        <v>0</v>
      </c>
      <c r="BJ143" s="108">
        <f t="shared" ref="BJ143:BJ154" si="161">G143*H143</f>
        <v>0</v>
      </c>
    </row>
    <row r="144" spans="1:62" x14ac:dyDescent="0.2">
      <c r="A144" s="117" t="s">
        <v>124</v>
      </c>
      <c r="B144" s="117" t="s">
        <v>4342</v>
      </c>
      <c r="C144" s="304" t="s">
        <v>1358</v>
      </c>
      <c r="D144" s="305"/>
      <c r="E144" s="305"/>
      <c r="F144" s="117" t="s">
        <v>1644</v>
      </c>
      <c r="G144" s="116">
        <v>1</v>
      </c>
      <c r="H144" s="159"/>
      <c r="I144" s="108">
        <f t="shared" si="138"/>
        <v>0</v>
      </c>
      <c r="J144" s="108">
        <f t="shared" si="139"/>
        <v>0</v>
      </c>
      <c r="K144" s="108">
        <f t="shared" si="140"/>
        <v>0</v>
      </c>
      <c r="L144" s="111"/>
      <c r="Z144" s="100">
        <f t="shared" si="141"/>
        <v>0</v>
      </c>
      <c r="AB144" s="100">
        <f t="shared" si="142"/>
        <v>0</v>
      </c>
      <c r="AC144" s="100">
        <f t="shared" si="143"/>
        <v>0</v>
      </c>
      <c r="AD144" s="100">
        <f t="shared" si="144"/>
        <v>0</v>
      </c>
      <c r="AE144" s="100">
        <f t="shared" si="145"/>
        <v>0</v>
      </c>
      <c r="AF144" s="100">
        <f t="shared" si="146"/>
        <v>0</v>
      </c>
      <c r="AG144" s="100">
        <f t="shared" si="147"/>
        <v>0</v>
      </c>
      <c r="AH144" s="100">
        <f t="shared" si="148"/>
        <v>0</v>
      </c>
      <c r="AI144" s="109"/>
      <c r="AJ144" s="108">
        <f t="shared" si="149"/>
        <v>0</v>
      </c>
      <c r="AK144" s="108">
        <f t="shared" si="150"/>
        <v>0</v>
      </c>
      <c r="AL144" s="108">
        <f t="shared" si="151"/>
        <v>0</v>
      </c>
      <c r="AN144" s="100">
        <v>15</v>
      </c>
      <c r="AO144" s="100">
        <f t="shared" si="152"/>
        <v>0</v>
      </c>
      <c r="AP144" s="100">
        <f t="shared" si="153"/>
        <v>0</v>
      </c>
      <c r="AQ144" s="111" t="s">
        <v>13</v>
      </c>
      <c r="AV144" s="100">
        <f t="shared" si="154"/>
        <v>0</v>
      </c>
      <c r="AW144" s="100">
        <f t="shared" si="155"/>
        <v>0</v>
      </c>
      <c r="AX144" s="100">
        <f t="shared" si="156"/>
        <v>0</v>
      </c>
      <c r="AY144" s="110" t="s">
        <v>1710</v>
      </c>
      <c r="AZ144" s="110" t="s">
        <v>1733</v>
      </c>
      <c r="BA144" s="109" t="s">
        <v>1737</v>
      </c>
      <c r="BC144" s="100">
        <f t="shared" si="157"/>
        <v>0</v>
      </c>
      <c r="BD144" s="100">
        <f t="shared" si="158"/>
        <v>0</v>
      </c>
      <c r="BE144" s="100">
        <v>0</v>
      </c>
      <c r="BF144" s="100">
        <f>144</f>
        <v>144</v>
      </c>
      <c r="BH144" s="108">
        <f t="shared" si="159"/>
        <v>0</v>
      </c>
      <c r="BI144" s="108">
        <f t="shared" si="160"/>
        <v>0</v>
      </c>
      <c r="BJ144" s="108">
        <f t="shared" si="161"/>
        <v>0</v>
      </c>
    </row>
    <row r="145" spans="1:62" x14ac:dyDescent="0.2">
      <c r="A145" s="117" t="s">
        <v>125</v>
      </c>
      <c r="B145" s="117" t="s">
        <v>4341</v>
      </c>
      <c r="C145" s="304" t="s">
        <v>1363</v>
      </c>
      <c r="D145" s="305"/>
      <c r="E145" s="305"/>
      <c r="F145" s="117" t="s">
        <v>1644</v>
      </c>
      <c r="G145" s="116">
        <v>1</v>
      </c>
      <c r="H145" s="159"/>
      <c r="I145" s="108">
        <f t="shared" si="138"/>
        <v>0</v>
      </c>
      <c r="J145" s="108">
        <f t="shared" si="139"/>
        <v>0</v>
      </c>
      <c r="K145" s="108">
        <f t="shared" si="140"/>
        <v>0</v>
      </c>
      <c r="L145" s="111"/>
      <c r="Z145" s="100">
        <f t="shared" si="141"/>
        <v>0</v>
      </c>
      <c r="AB145" s="100">
        <f t="shared" si="142"/>
        <v>0</v>
      </c>
      <c r="AC145" s="100">
        <f t="shared" si="143"/>
        <v>0</v>
      </c>
      <c r="AD145" s="100">
        <f t="shared" si="144"/>
        <v>0</v>
      </c>
      <c r="AE145" s="100">
        <f t="shared" si="145"/>
        <v>0</v>
      </c>
      <c r="AF145" s="100">
        <f t="shared" si="146"/>
        <v>0</v>
      </c>
      <c r="AG145" s="100">
        <f t="shared" si="147"/>
        <v>0</v>
      </c>
      <c r="AH145" s="100">
        <f t="shared" si="148"/>
        <v>0</v>
      </c>
      <c r="AI145" s="109"/>
      <c r="AJ145" s="108">
        <f t="shared" si="149"/>
        <v>0</v>
      </c>
      <c r="AK145" s="108">
        <f t="shared" si="150"/>
        <v>0</v>
      </c>
      <c r="AL145" s="108">
        <f t="shared" si="151"/>
        <v>0</v>
      </c>
      <c r="AN145" s="100">
        <v>15</v>
      </c>
      <c r="AO145" s="100">
        <f t="shared" si="152"/>
        <v>0</v>
      </c>
      <c r="AP145" s="100">
        <f t="shared" si="153"/>
        <v>0</v>
      </c>
      <c r="AQ145" s="111" t="s">
        <v>13</v>
      </c>
      <c r="AV145" s="100">
        <f t="shared" si="154"/>
        <v>0</v>
      </c>
      <c r="AW145" s="100">
        <f t="shared" si="155"/>
        <v>0</v>
      </c>
      <c r="AX145" s="100">
        <f t="shared" si="156"/>
        <v>0</v>
      </c>
      <c r="AY145" s="110" t="s">
        <v>1710</v>
      </c>
      <c r="AZ145" s="110" t="s">
        <v>1733</v>
      </c>
      <c r="BA145" s="109" t="s">
        <v>1737</v>
      </c>
      <c r="BC145" s="100">
        <f t="shared" si="157"/>
        <v>0</v>
      </c>
      <c r="BD145" s="100">
        <f t="shared" si="158"/>
        <v>0</v>
      </c>
      <c r="BE145" s="100">
        <v>0</v>
      </c>
      <c r="BF145" s="100">
        <f>145</f>
        <v>145</v>
      </c>
      <c r="BH145" s="108">
        <f t="shared" si="159"/>
        <v>0</v>
      </c>
      <c r="BI145" s="108">
        <f t="shared" si="160"/>
        <v>0</v>
      </c>
      <c r="BJ145" s="108">
        <f t="shared" si="161"/>
        <v>0</v>
      </c>
    </row>
    <row r="146" spans="1:62" x14ac:dyDescent="0.2">
      <c r="A146" s="117" t="s">
        <v>126</v>
      </c>
      <c r="B146" s="117" t="s">
        <v>4340</v>
      </c>
      <c r="C146" s="304" t="s">
        <v>1364</v>
      </c>
      <c r="D146" s="305"/>
      <c r="E146" s="305"/>
      <c r="F146" s="117" t="s">
        <v>1644</v>
      </c>
      <c r="G146" s="116">
        <v>1</v>
      </c>
      <c r="H146" s="159"/>
      <c r="I146" s="108">
        <f t="shared" si="138"/>
        <v>0</v>
      </c>
      <c r="J146" s="108">
        <f t="shared" si="139"/>
        <v>0</v>
      </c>
      <c r="K146" s="108">
        <f t="shared" si="140"/>
        <v>0</v>
      </c>
      <c r="L146" s="111"/>
      <c r="Z146" s="100">
        <f t="shared" si="141"/>
        <v>0</v>
      </c>
      <c r="AB146" s="100">
        <f t="shared" si="142"/>
        <v>0</v>
      </c>
      <c r="AC146" s="100">
        <f t="shared" si="143"/>
        <v>0</v>
      </c>
      <c r="AD146" s="100">
        <f t="shared" si="144"/>
        <v>0</v>
      </c>
      <c r="AE146" s="100">
        <f t="shared" si="145"/>
        <v>0</v>
      </c>
      <c r="AF146" s="100">
        <f t="shared" si="146"/>
        <v>0</v>
      </c>
      <c r="AG146" s="100">
        <f t="shared" si="147"/>
        <v>0</v>
      </c>
      <c r="AH146" s="100">
        <f t="shared" si="148"/>
        <v>0</v>
      </c>
      <c r="AI146" s="109"/>
      <c r="AJ146" s="108">
        <f t="shared" si="149"/>
        <v>0</v>
      </c>
      <c r="AK146" s="108">
        <f t="shared" si="150"/>
        <v>0</v>
      </c>
      <c r="AL146" s="108">
        <f t="shared" si="151"/>
        <v>0</v>
      </c>
      <c r="AN146" s="100">
        <v>15</v>
      </c>
      <c r="AO146" s="100">
        <f t="shared" si="152"/>
        <v>0</v>
      </c>
      <c r="AP146" s="100">
        <f t="shared" si="153"/>
        <v>0</v>
      </c>
      <c r="AQ146" s="111" t="s">
        <v>13</v>
      </c>
      <c r="AV146" s="100">
        <f t="shared" si="154"/>
        <v>0</v>
      </c>
      <c r="AW146" s="100">
        <f t="shared" si="155"/>
        <v>0</v>
      </c>
      <c r="AX146" s="100">
        <f t="shared" si="156"/>
        <v>0</v>
      </c>
      <c r="AY146" s="110" t="s">
        <v>1710</v>
      </c>
      <c r="AZ146" s="110" t="s">
        <v>1733</v>
      </c>
      <c r="BA146" s="109" t="s">
        <v>1737</v>
      </c>
      <c r="BC146" s="100">
        <f t="shared" si="157"/>
        <v>0</v>
      </c>
      <c r="BD146" s="100">
        <f t="shared" si="158"/>
        <v>0</v>
      </c>
      <c r="BE146" s="100">
        <v>0</v>
      </c>
      <c r="BF146" s="100">
        <f>146</f>
        <v>146</v>
      </c>
      <c r="BH146" s="108">
        <f t="shared" si="159"/>
        <v>0</v>
      </c>
      <c r="BI146" s="108">
        <f t="shared" si="160"/>
        <v>0</v>
      </c>
      <c r="BJ146" s="108">
        <f t="shared" si="161"/>
        <v>0</v>
      </c>
    </row>
    <row r="147" spans="1:62" x14ac:dyDescent="0.2">
      <c r="A147" s="117" t="s">
        <v>127</v>
      </c>
      <c r="B147" s="117" t="s">
        <v>4339</v>
      </c>
      <c r="C147" s="304" t="s">
        <v>1365</v>
      </c>
      <c r="D147" s="305"/>
      <c r="E147" s="305"/>
      <c r="F147" s="117" t="s">
        <v>1644</v>
      </c>
      <c r="G147" s="116">
        <v>1</v>
      </c>
      <c r="H147" s="159"/>
      <c r="I147" s="108">
        <f t="shared" si="138"/>
        <v>0</v>
      </c>
      <c r="J147" s="108">
        <f t="shared" si="139"/>
        <v>0</v>
      </c>
      <c r="K147" s="108">
        <f t="shared" si="140"/>
        <v>0</v>
      </c>
      <c r="L147" s="111"/>
      <c r="Z147" s="100">
        <f t="shared" si="141"/>
        <v>0</v>
      </c>
      <c r="AB147" s="100">
        <f t="shared" si="142"/>
        <v>0</v>
      </c>
      <c r="AC147" s="100">
        <f t="shared" si="143"/>
        <v>0</v>
      </c>
      <c r="AD147" s="100">
        <f t="shared" si="144"/>
        <v>0</v>
      </c>
      <c r="AE147" s="100">
        <f t="shared" si="145"/>
        <v>0</v>
      </c>
      <c r="AF147" s="100">
        <f t="shared" si="146"/>
        <v>0</v>
      </c>
      <c r="AG147" s="100">
        <f t="shared" si="147"/>
        <v>0</v>
      </c>
      <c r="AH147" s="100">
        <f t="shared" si="148"/>
        <v>0</v>
      </c>
      <c r="AI147" s="109"/>
      <c r="AJ147" s="108">
        <f t="shared" si="149"/>
        <v>0</v>
      </c>
      <c r="AK147" s="108">
        <f t="shared" si="150"/>
        <v>0</v>
      </c>
      <c r="AL147" s="108">
        <f t="shared" si="151"/>
        <v>0</v>
      </c>
      <c r="AN147" s="100">
        <v>15</v>
      </c>
      <c r="AO147" s="100">
        <f t="shared" si="152"/>
        <v>0</v>
      </c>
      <c r="AP147" s="100">
        <f t="shared" si="153"/>
        <v>0</v>
      </c>
      <c r="AQ147" s="111" t="s">
        <v>13</v>
      </c>
      <c r="AV147" s="100">
        <f t="shared" si="154"/>
        <v>0</v>
      </c>
      <c r="AW147" s="100">
        <f t="shared" si="155"/>
        <v>0</v>
      </c>
      <c r="AX147" s="100">
        <f t="shared" si="156"/>
        <v>0</v>
      </c>
      <c r="AY147" s="110" t="s">
        <v>1710</v>
      </c>
      <c r="AZ147" s="110" t="s">
        <v>1733</v>
      </c>
      <c r="BA147" s="109" t="s">
        <v>1737</v>
      </c>
      <c r="BC147" s="100">
        <f t="shared" si="157"/>
        <v>0</v>
      </c>
      <c r="BD147" s="100">
        <f t="shared" si="158"/>
        <v>0</v>
      </c>
      <c r="BE147" s="100">
        <v>0</v>
      </c>
      <c r="BF147" s="100">
        <f>147</f>
        <v>147</v>
      </c>
      <c r="BH147" s="108">
        <f t="shared" si="159"/>
        <v>0</v>
      </c>
      <c r="BI147" s="108">
        <f t="shared" si="160"/>
        <v>0</v>
      </c>
      <c r="BJ147" s="108">
        <f t="shared" si="161"/>
        <v>0</v>
      </c>
    </row>
    <row r="148" spans="1:62" x14ac:dyDescent="0.2">
      <c r="A148" s="117" t="s">
        <v>128</v>
      </c>
      <c r="B148" s="117" t="s">
        <v>4338</v>
      </c>
      <c r="C148" s="304" t="s">
        <v>1368</v>
      </c>
      <c r="D148" s="305"/>
      <c r="E148" s="305"/>
      <c r="F148" s="117" t="s">
        <v>1644</v>
      </c>
      <c r="G148" s="116">
        <v>2</v>
      </c>
      <c r="H148" s="159"/>
      <c r="I148" s="108">
        <f t="shared" si="138"/>
        <v>0</v>
      </c>
      <c r="J148" s="108">
        <f t="shared" si="139"/>
        <v>0</v>
      </c>
      <c r="K148" s="108">
        <f t="shared" si="140"/>
        <v>0</v>
      </c>
      <c r="L148" s="111"/>
      <c r="Z148" s="100">
        <f t="shared" si="141"/>
        <v>0</v>
      </c>
      <c r="AB148" s="100">
        <f t="shared" si="142"/>
        <v>0</v>
      </c>
      <c r="AC148" s="100">
        <f t="shared" si="143"/>
        <v>0</v>
      </c>
      <c r="AD148" s="100">
        <f t="shared" si="144"/>
        <v>0</v>
      </c>
      <c r="AE148" s="100">
        <f t="shared" si="145"/>
        <v>0</v>
      </c>
      <c r="AF148" s="100">
        <f t="shared" si="146"/>
        <v>0</v>
      </c>
      <c r="AG148" s="100">
        <f t="shared" si="147"/>
        <v>0</v>
      </c>
      <c r="AH148" s="100">
        <f t="shared" si="148"/>
        <v>0</v>
      </c>
      <c r="AI148" s="109"/>
      <c r="AJ148" s="108">
        <f t="shared" si="149"/>
        <v>0</v>
      </c>
      <c r="AK148" s="108">
        <f t="shared" si="150"/>
        <v>0</v>
      </c>
      <c r="AL148" s="108">
        <f t="shared" si="151"/>
        <v>0</v>
      </c>
      <c r="AN148" s="100">
        <v>15</v>
      </c>
      <c r="AO148" s="100">
        <f t="shared" si="152"/>
        <v>0</v>
      </c>
      <c r="AP148" s="100">
        <f t="shared" si="153"/>
        <v>0</v>
      </c>
      <c r="AQ148" s="111" t="s">
        <v>13</v>
      </c>
      <c r="AV148" s="100">
        <f t="shared" si="154"/>
        <v>0</v>
      </c>
      <c r="AW148" s="100">
        <f t="shared" si="155"/>
        <v>0</v>
      </c>
      <c r="AX148" s="100">
        <f t="shared" si="156"/>
        <v>0</v>
      </c>
      <c r="AY148" s="110" t="s">
        <v>1710</v>
      </c>
      <c r="AZ148" s="110" t="s">
        <v>1733</v>
      </c>
      <c r="BA148" s="109" t="s">
        <v>1737</v>
      </c>
      <c r="BC148" s="100">
        <f t="shared" si="157"/>
        <v>0</v>
      </c>
      <c r="BD148" s="100">
        <f t="shared" si="158"/>
        <v>0</v>
      </c>
      <c r="BE148" s="100">
        <v>0</v>
      </c>
      <c r="BF148" s="100">
        <f>148</f>
        <v>148</v>
      </c>
      <c r="BH148" s="108">
        <f t="shared" si="159"/>
        <v>0</v>
      </c>
      <c r="BI148" s="108">
        <f t="shared" si="160"/>
        <v>0</v>
      </c>
      <c r="BJ148" s="108">
        <f t="shared" si="161"/>
        <v>0</v>
      </c>
    </row>
    <row r="149" spans="1:62" x14ac:dyDescent="0.2">
      <c r="A149" s="117" t="s">
        <v>129</v>
      </c>
      <c r="B149" s="117" t="s">
        <v>4337</v>
      </c>
      <c r="C149" s="304" t="s">
        <v>1327</v>
      </c>
      <c r="D149" s="305"/>
      <c r="E149" s="305"/>
      <c r="F149" s="117" t="s">
        <v>1644</v>
      </c>
      <c r="G149" s="116">
        <v>1</v>
      </c>
      <c r="H149" s="159"/>
      <c r="I149" s="108">
        <f t="shared" si="138"/>
        <v>0</v>
      </c>
      <c r="J149" s="108">
        <f t="shared" si="139"/>
        <v>0</v>
      </c>
      <c r="K149" s="108">
        <f t="shared" si="140"/>
        <v>0</v>
      </c>
      <c r="L149" s="111"/>
      <c r="Z149" s="100">
        <f t="shared" si="141"/>
        <v>0</v>
      </c>
      <c r="AB149" s="100">
        <f t="shared" si="142"/>
        <v>0</v>
      </c>
      <c r="AC149" s="100">
        <f t="shared" si="143"/>
        <v>0</v>
      </c>
      <c r="AD149" s="100">
        <f t="shared" si="144"/>
        <v>0</v>
      </c>
      <c r="AE149" s="100">
        <f t="shared" si="145"/>
        <v>0</v>
      </c>
      <c r="AF149" s="100">
        <f t="shared" si="146"/>
        <v>0</v>
      </c>
      <c r="AG149" s="100">
        <f t="shared" si="147"/>
        <v>0</v>
      </c>
      <c r="AH149" s="100">
        <f t="shared" si="148"/>
        <v>0</v>
      </c>
      <c r="AI149" s="109"/>
      <c r="AJ149" s="108">
        <f t="shared" si="149"/>
        <v>0</v>
      </c>
      <c r="AK149" s="108">
        <f t="shared" si="150"/>
        <v>0</v>
      </c>
      <c r="AL149" s="108">
        <f t="shared" si="151"/>
        <v>0</v>
      </c>
      <c r="AN149" s="100">
        <v>15</v>
      </c>
      <c r="AO149" s="100">
        <f t="shared" si="152"/>
        <v>0</v>
      </c>
      <c r="AP149" s="100">
        <f t="shared" si="153"/>
        <v>0</v>
      </c>
      <c r="AQ149" s="111" t="s">
        <v>13</v>
      </c>
      <c r="AV149" s="100">
        <f t="shared" si="154"/>
        <v>0</v>
      </c>
      <c r="AW149" s="100">
        <f t="shared" si="155"/>
        <v>0</v>
      </c>
      <c r="AX149" s="100">
        <f t="shared" si="156"/>
        <v>0</v>
      </c>
      <c r="AY149" s="110" t="s">
        <v>1710</v>
      </c>
      <c r="AZ149" s="110" t="s">
        <v>1733</v>
      </c>
      <c r="BA149" s="109" t="s">
        <v>1737</v>
      </c>
      <c r="BC149" s="100">
        <f t="shared" si="157"/>
        <v>0</v>
      </c>
      <c r="BD149" s="100">
        <f t="shared" si="158"/>
        <v>0</v>
      </c>
      <c r="BE149" s="100">
        <v>0</v>
      </c>
      <c r="BF149" s="100">
        <f>149</f>
        <v>149</v>
      </c>
      <c r="BH149" s="108">
        <f t="shared" si="159"/>
        <v>0</v>
      </c>
      <c r="BI149" s="108">
        <f t="shared" si="160"/>
        <v>0</v>
      </c>
      <c r="BJ149" s="108">
        <f t="shared" si="161"/>
        <v>0</v>
      </c>
    </row>
    <row r="150" spans="1:62" x14ac:dyDescent="0.2">
      <c r="A150" s="117" t="s">
        <v>130</v>
      </c>
      <c r="B150" s="117" t="s">
        <v>4336</v>
      </c>
      <c r="C150" s="304" t="s">
        <v>1326</v>
      </c>
      <c r="D150" s="305"/>
      <c r="E150" s="305"/>
      <c r="F150" s="117" t="s">
        <v>1644</v>
      </c>
      <c r="G150" s="116">
        <v>1</v>
      </c>
      <c r="H150" s="159"/>
      <c r="I150" s="108">
        <f t="shared" si="138"/>
        <v>0</v>
      </c>
      <c r="J150" s="108">
        <f t="shared" si="139"/>
        <v>0</v>
      </c>
      <c r="K150" s="108">
        <f t="shared" si="140"/>
        <v>0</v>
      </c>
      <c r="L150" s="111"/>
      <c r="Z150" s="100">
        <f t="shared" si="141"/>
        <v>0</v>
      </c>
      <c r="AB150" s="100">
        <f t="shared" si="142"/>
        <v>0</v>
      </c>
      <c r="AC150" s="100">
        <f t="shared" si="143"/>
        <v>0</v>
      </c>
      <c r="AD150" s="100">
        <f t="shared" si="144"/>
        <v>0</v>
      </c>
      <c r="AE150" s="100">
        <f t="shared" si="145"/>
        <v>0</v>
      </c>
      <c r="AF150" s="100">
        <f t="shared" si="146"/>
        <v>0</v>
      </c>
      <c r="AG150" s="100">
        <f t="shared" si="147"/>
        <v>0</v>
      </c>
      <c r="AH150" s="100">
        <f t="shared" si="148"/>
        <v>0</v>
      </c>
      <c r="AI150" s="109"/>
      <c r="AJ150" s="108">
        <f t="shared" si="149"/>
        <v>0</v>
      </c>
      <c r="AK150" s="108">
        <f t="shared" si="150"/>
        <v>0</v>
      </c>
      <c r="AL150" s="108">
        <f t="shared" si="151"/>
        <v>0</v>
      </c>
      <c r="AN150" s="100">
        <v>15</v>
      </c>
      <c r="AO150" s="100">
        <f t="shared" si="152"/>
        <v>0</v>
      </c>
      <c r="AP150" s="100">
        <f t="shared" si="153"/>
        <v>0</v>
      </c>
      <c r="AQ150" s="111" t="s">
        <v>13</v>
      </c>
      <c r="AV150" s="100">
        <f t="shared" si="154"/>
        <v>0</v>
      </c>
      <c r="AW150" s="100">
        <f t="shared" si="155"/>
        <v>0</v>
      </c>
      <c r="AX150" s="100">
        <f t="shared" si="156"/>
        <v>0</v>
      </c>
      <c r="AY150" s="110" t="s">
        <v>1710</v>
      </c>
      <c r="AZ150" s="110" t="s">
        <v>1733</v>
      </c>
      <c r="BA150" s="109" t="s">
        <v>1737</v>
      </c>
      <c r="BC150" s="100">
        <f t="shared" si="157"/>
        <v>0</v>
      </c>
      <c r="BD150" s="100">
        <f t="shared" si="158"/>
        <v>0</v>
      </c>
      <c r="BE150" s="100">
        <v>0</v>
      </c>
      <c r="BF150" s="100">
        <f>150</f>
        <v>150</v>
      </c>
      <c r="BH150" s="108">
        <f t="shared" si="159"/>
        <v>0</v>
      </c>
      <c r="BI150" s="108">
        <f t="shared" si="160"/>
        <v>0</v>
      </c>
      <c r="BJ150" s="108">
        <f t="shared" si="161"/>
        <v>0</v>
      </c>
    </row>
    <row r="151" spans="1:62" x14ac:dyDescent="0.2">
      <c r="A151" s="117" t="s">
        <v>131</v>
      </c>
      <c r="B151" s="117" t="s">
        <v>4335</v>
      </c>
      <c r="C151" s="304" t="s">
        <v>1372</v>
      </c>
      <c r="D151" s="305"/>
      <c r="E151" s="305"/>
      <c r="F151" s="117" t="s">
        <v>1646</v>
      </c>
      <c r="G151" s="116">
        <v>16</v>
      </c>
      <c r="H151" s="159"/>
      <c r="I151" s="108">
        <f t="shared" si="138"/>
        <v>0</v>
      </c>
      <c r="J151" s="108">
        <f t="shared" si="139"/>
        <v>0</v>
      </c>
      <c r="K151" s="108">
        <f t="shared" si="140"/>
        <v>0</v>
      </c>
      <c r="L151" s="111"/>
      <c r="Z151" s="100">
        <f t="shared" si="141"/>
        <v>0</v>
      </c>
      <c r="AB151" s="100">
        <f t="shared" si="142"/>
        <v>0</v>
      </c>
      <c r="AC151" s="100">
        <f t="shared" si="143"/>
        <v>0</v>
      </c>
      <c r="AD151" s="100">
        <f t="shared" si="144"/>
        <v>0</v>
      </c>
      <c r="AE151" s="100">
        <f t="shared" si="145"/>
        <v>0</v>
      </c>
      <c r="AF151" s="100">
        <f t="shared" si="146"/>
        <v>0</v>
      </c>
      <c r="AG151" s="100">
        <f t="shared" si="147"/>
        <v>0</v>
      </c>
      <c r="AH151" s="100">
        <f t="shared" si="148"/>
        <v>0</v>
      </c>
      <c r="AI151" s="109"/>
      <c r="AJ151" s="108">
        <f t="shared" si="149"/>
        <v>0</v>
      </c>
      <c r="AK151" s="108">
        <f t="shared" si="150"/>
        <v>0</v>
      </c>
      <c r="AL151" s="108">
        <f t="shared" si="151"/>
        <v>0</v>
      </c>
      <c r="AN151" s="100">
        <v>15</v>
      </c>
      <c r="AO151" s="100">
        <f t="shared" si="152"/>
        <v>0</v>
      </c>
      <c r="AP151" s="100">
        <f t="shared" si="153"/>
        <v>0</v>
      </c>
      <c r="AQ151" s="111" t="s">
        <v>13</v>
      </c>
      <c r="AV151" s="100">
        <f t="shared" si="154"/>
        <v>0</v>
      </c>
      <c r="AW151" s="100">
        <f t="shared" si="155"/>
        <v>0</v>
      </c>
      <c r="AX151" s="100">
        <f t="shared" si="156"/>
        <v>0</v>
      </c>
      <c r="AY151" s="110" t="s">
        <v>1710</v>
      </c>
      <c r="AZ151" s="110" t="s">
        <v>1733</v>
      </c>
      <c r="BA151" s="109" t="s">
        <v>1737</v>
      </c>
      <c r="BC151" s="100">
        <f t="shared" si="157"/>
        <v>0</v>
      </c>
      <c r="BD151" s="100">
        <f t="shared" si="158"/>
        <v>0</v>
      </c>
      <c r="BE151" s="100">
        <v>0</v>
      </c>
      <c r="BF151" s="100">
        <f>151</f>
        <v>151</v>
      </c>
      <c r="BH151" s="108">
        <f t="shared" si="159"/>
        <v>0</v>
      </c>
      <c r="BI151" s="108">
        <f t="shared" si="160"/>
        <v>0</v>
      </c>
      <c r="BJ151" s="108">
        <f t="shared" si="161"/>
        <v>0</v>
      </c>
    </row>
    <row r="152" spans="1:62" x14ac:dyDescent="0.2">
      <c r="A152" s="117" t="s">
        <v>132</v>
      </c>
      <c r="B152" s="117" t="s">
        <v>4334</v>
      </c>
      <c r="C152" s="304" t="s">
        <v>1374</v>
      </c>
      <c r="D152" s="305"/>
      <c r="E152" s="305"/>
      <c r="F152" s="117" t="s">
        <v>1646</v>
      </c>
      <c r="G152" s="116">
        <v>7</v>
      </c>
      <c r="H152" s="159"/>
      <c r="I152" s="108">
        <f t="shared" si="138"/>
        <v>0</v>
      </c>
      <c r="J152" s="108">
        <f t="shared" si="139"/>
        <v>0</v>
      </c>
      <c r="K152" s="108">
        <f t="shared" si="140"/>
        <v>0</v>
      </c>
      <c r="L152" s="111"/>
      <c r="Z152" s="100">
        <f t="shared" si="141"/>
        <v>0</v>
      </c>
      <c r="AB152" s="100">
        <f t="shared" si="142"/>
        <v>0</v>
      </c>
      <c r="AC152" s="100">
        <f t="shared" si="143"/>
        <v>0</v>
      </c>
      <c r="AD152" s="100">
        <f t="shared" si="144"/>
        <v>0</v>
      </c>
      <c r="AE152" s="100">
        <f t="shared" si="145"/>
        <v>0</v>
      </c>
      <c r="AF152" s="100">
        <f t="shared" si="146"/>
        <v>0</v>
      </c>
      <c r="AG152" s="100">
        <f t="shared" si="147"/>
        <v>0</v>
      </c>
      <c r="AH152" s="100">
        <f t="shared" si="148"/>
        <v>0</v>
      </c>
      <c r="AI152" s="109"/>
      <c r="AJ152" s="108">
        <f t="shared" si="149"/>
        <v>0</v>
      </c>
      <c r="AK152" s="108">
        <f t="shared" si="150"/>
        <v>0</v>
      </c>
      <c r="AL152" s="108">
        <f t="shared" si="151"/>
        <v>0</v>
      </c>
      <c r="AN152" s="100">
        <v>15</v>
      </c>
      <c r="AO152" s="100">
        <f t="shared" si="152"/>
        <v>0</v>
      </c>
      <c r="AP152" s="100">
        <f t="shared" si="153"/>
        <v>0</v>
      </c>
      <c r="AQ152" s="111" t="s">
        <v>13</v>
      </c>
      <c r="AV152" s="100">
        <f t="shared" si="154"/>
        <v>0</v>
      </c>
      <c r="AW152" s="100">
        <f t="shared" si="155"/>
        <v>0</v>
      </c>
      <c r="AX152" s="100">
        <f t="shared" si="156"/>
        <v>0</v>
      </c>
      <c r="AY152" s="110" t="s">
        <v>1710</v>
      </c>
      <c r="AZ152" s="110" t="s">
        <v>1733</v>
      </c>
      <c r="BA152" s="109" t="s">
        <v>1737</v>
      </c>
      <c r="BC152" s="100">
        <f t="shared" si="157"/>
        <v>0</v>
      </c>
      <c r="BD152" s="100">
        <f t="shared" si="158"/>
        <v>0</v>
      </c>
      <c r="BE152" s="100">
        <v>0</v>
      </c>
      <c r="BF152" s="100">
        <f>152</f>
        <v>152</v>
      </c>
      <c r="BH152" s="108">
        <f t="shared" si="159"/>
        <v>0</v>
      </c>
      <c r="BI152" s="108">
        <f t="shared" si="160"/>
        <v>0</v>
      </c>
      <c r="BJ152" s="108">
        <f t="shared" si="161"/>
        <v>0</v>
      </c>
    </row>
    <row r="153" spans="1:62" x14ac:dyDescent="0.2">
      <c r="A153" s="117" t="s">
        <v>133</v>
      </c>
      <c r="B153" s="117" t="s">
        <v>4333</v>
      </c>
      <c r="C153" s="304" t="s">
        <v>1376</v>
      </c>
      <c r="D153" s="305"/>
      <c r="E153" s="305"/>
      <c r="F153" s="117" t="s">
        <v>1646</v>
      </c>
      <c r="G153" s="116">
        <v>10</v>
      </c>
      <c r="H153" s="159"/>
      <c r="I153" s="108">
        <f t="shared" si="138"/>
        <v>0</v>
      </c>
      <c r="J153" s="108">
        <f t="shared" si="139"/>
        <v>0</v>
      </c>
      <c r="K153" s="108">
        <f t="shared" si="140"/>
        <v>0</v>
      </c>
      <c r="L153" s="111"/>
      <c r="Z153" s="100">
        <f t="shared" si="141"/>
        <v>0</v>
      </c>
      <c r="AB153" s="100">
        <f t="shared" si="142"/>
        <v>0</v>
      </c>
      <c r="AC153" s="100">
        <f t="shared" si="143"/>
        <v>0</v>
      </c>
      <c r="AD153" s="100">
        <f t="shared" si="144"/>
        <v>0</v>
      </c>
      <c r="AE153" s="100">
        <f t="shared" si="145"/>
        <v>0</v>
      </c>
      <c r="AF153" s="100">
        <f t="shared" si="146"/>
        <v>0</v>
      </c>
      <c r="AG153" s="100">
        <f t="shared" si="147"/>
        <v>0</v>
      </c>
      <c r="AH153" s="100">
        <f t="shared" si="148"/>
        <v>0</v>
      </c>
      <c r="AI153" s="109"/>
      <c r="AJ153" s="108">
        <f t="shared" si="149"/>
        <v>0</v>
      </c>
      <c r="AK153" s="108">
        <f t="shared" si="150"/>
        <v>0</v>
      </c>
      <c r="AL153" s="108">
        <f t="shared" si="151"/>
        <v>0</v>
      </c>
      <c r="AN153" s="100">
        <v>15</v>
      </c>
      <c r="AO153" s="100">
        <f t="shared" si="152"/>
        <v>0</v>
      </c>
      <c r="AP153" s="100">
        <f t="shared" si="153"/>
        <v>0</v>
      </c>
      <c r="AQ153" s="111" t="s">
        <v>13</v>
      </c>
      <c r="AV153" s="100">
        <f t="shared" si="154"/>
        <v>0</v>
      </c>
      <c r="AW153" s="100">
        <f t="shared" si="155"/>
        <v>0</v>
      </c>
      <c r="AX153" s="100">
        <f t="shared" si="156"/>
        <v>0</v>
      </c>
      <c r="AY153" s="110" t="s">
        <v>1710</v>
      </c>
      <c r="AZ153" s="110" t="s">
        <v>1733</v>
      </c>
      <c r="BA153" s="109" t="s">
        <v>1737</v>
      </c>
      <c r="BC153" s="100">
        <f t="shared" si="157"/>
        <v>0</v>
      </c>
      <c r="BD153" s="100">
        <f t="shared" si="158"/>
        <v>0</v>
      </c>
      <c r="BE153" s="100">
        <v>0</v>
      </c>
      <c r="BF153" s="100">
        <f>153</f>
        <v>153</v>
      </c>
      <c r="BH153" s="108">
        <f t="shared" si="159"/>
        <v>0</v>
      </c>
      <c r="BI153" s="108">
        <f t="shared" si="160"/>
        <v>0</v>
      </c>
      <c r="BJ153" s="108">
        <f t="shared" si="161"/>
        <v>0</v>
      </c>
    </row>
    <row r="154" spans="1:62" x14ac:dyDescent="0.2">
      <c r="A154" s="117" t="s">
        <v>134</v>
      </c>
      <c r="B154" s="117" t="s">
        <v>4332</v>
      </c>
      <c r="C154" s="304" t="s">
        <v>1377</v>
      </c>
      <c r="D154" s="305"/>
      <c r="E154" s="305"/>
      <c r="F154" s="117" t="s">
        <v>1646</v>
      </c>
      <c r="G154" s="116">
        <v>23</v>
      </c>
      <c r="H154" s="159"/>
      <c r="I154" s="108">
        <f t="shared" si="138"/>
        <v>0</v>
      </c>
      <c r="J154" s="108">
        <f t="shared" si="139"/>
        <v>0</v>
      </c>
      <c r="K154" s="108">
        <f t="shared" si="140"/>
        <v>0</v>
      </c>
      <c r="L154" s="111"/>
      <c r="Z154" s="100">
        <f t="shared" si="141"/>
        <v>0</v>
      </c>
      <c r="AB154" s="100">
        <f t="shared" si="142"/>
        <v>0</v>
      </c>
      <c r="AC154" s="100">
        <f t="shared" si="143"/>
        <v>0</v>
      </c>
      <c r="AD154" s="100">
        <f t="shared" si="144"/>
        <v>0</v>
      </c>
      <c r="AE154" s="100">
        <f t="shared" si="145"/>
        <v>0</v>
      </c>
      <c r="AF154" s="100">
        <f t="shared" si="146"/>
        <v>0</v>
      </c>
      <c r="AG154" s="100">
        <f t="shared" si="147"/>
        <v>0</v>
      </c>
      <c r="AH154" s="100">
        <f t="shared" si="148"/>
        <v>0</v>
      </c>
      <c r="AI154" s="109"/>
      <c r="AJ154" s="108">
        <f t="shared" si="149"/>
        <v>0</v>
      </c>
      <c r="AK154" s="108">
        <f t="shared" si="150"/>
        <v>0</v>
      </c>
      <c r="AL154" s="108">
        <f t="shared" si="151"/>
        <v>0</v>
      </c>
      <c r="AN154" s="100">
        <v>15</v>
      </c>
      <c r="AO154" s="100">
        <f t="shared" si="152"/>
        <v>0</v>
      </c>
      <c r="AP154" s="100">
        <f t="shared" si="153"/>
        <v>0</v>
      </c>
      <c r="AQ154" s="111" t="s">
        <v>13</v>
      </c>
      <c r="AV154" s="100">
        <f t="shared" si="154"/>
        <v>0</v>
      </c>
      <c r="AW154" s="100">
        <f t="shared" si="155"/>
        <v>0</v>
      </c>
      <c r="AX154" s="100">
        <f t="shared" si="156"/>
        <v>0</v>
      </c>
      <c r="AY154" s="110" t="s">
        <v>1710</v>
      </c>
      <c r="AZ154" s="110" t="s">
        <v>1733</v>
      </c>
      <c r="BA154" s="109" t="s">
        <v>1737</v>
      </c>
      <c r="BC154" s="100">
        <f t="shared" si="157"/>
        <v>0</v>
      </c>
      <c r="BD154" s="100">
        <f t="shared" si="158"/>
        <v>0</v>
      </c>
      <c r="BE154" s="100">
        <v>0</v>
      </c>
      <c r="BF154" s="100">
        <f>154</f>
        <v>154</v>
      </c>
      <c r="BH154" s="108">
        <f t="shared" si="159"/>
        <v>0</v>
      </c>
      <c r="BI154" s="108">
        <f t="shared" si="160"/>
        <v>0</v>
      </c>
      <c r="BJ154" s="108">
        <f t="shared" si="161"/>
        <v>0</v>
      </c>
    </row>
    <row r="155" spans="1:62" x14ac:dyDescent="0.2">
      <c r="A155" s="119"/>
      <c r="B155" s="120" t="s">
        <v>798</v>
      </c>
      <c r="C155" s="306" t="s">
        <v>1379</v>
      </c>
      <c r="D155" s="307"/>
      <c r="E155" s="307"/>
      <c r="F155" s="119" t="s">
        <v>6</v>
      </c>
      <c r="G155" s="119" t="s">
        <v>6</v>
      </c>
      <c r="H155" s="119" t="s">
        <v>6</v>
      </c>
      <c r="I155" s="118">
        <f>SUM(I156:I178)</f>
        <v>0</v>
      </c>
      <c r="J155" s="118">
        <f>SUM(J156:J178)</f>
        <v>0</v>
      </c>
      <c r="K155" s="118">
        <f>SUM(K156:K178)</f>
        <v>0</v>
      </c>
      <c r="L155" s="109"/>
      <c r="AI155" s="109"/>
      <c r="AS155" s="118">
        <f>SUM(AJ156:AJ178)</f>
        <v>0</v>
      </c>
      <c r="AT155" s="118">
        <f>SUM(AK156:AK178)</f>
        <v>0</v>
      </c>
      <c r="AU155" s="118">
        <f>SUM(AL156:AL178)</f>
        <v>0</v>
      </c>
    </row>
    <row r="156" spans="1:62" x14ac:dyDescent="0.2">
      <c r="A156" s="117" t="s">
        <v>135</v>
      </c>
      <c r="B156" s="117" t="s">
        <v>4331</v>
      </c>
      <c r="C156" s="304" t="s">
        <v>1380</v>
      </c>
      <c r="D156" s="305"/>
      <c r="E156" s="305"/>
      <c r="F156" s="117" t="s">
        <v>1646</v>
      </c>
      <c r="G156" s="116">
        <v>2</v>
      </c>
      <c r="H156" s="159"/>
      <c r="I156" s="108">
        <f t="shared" ref="I156:I178" si="162">G156*AO156</f>
        <v>0</v>
      </c>
      <c r="J156" s="108">
        <f t="shared" ref="J156:J178" si="163">G156*AP156</f>
        <v>0</v>
      </c>
      <c r="K156" s="108">
        <f t="shared" ref="K156:K178" si="164">G156*H156</f>
        <v>0</v>
      </c>
      <c r="L156" s="111"/>
      <c r="Z156" s="100">
        <f t="shared" ref="Z156:Z178" si="165">IF(AQ156="5",BJ156,0)</f>
        <v>0</v>
      </c>
      <c r="AB156" s="100">
        <f t="shared" ref="AB156:AB178" si="166">IF(AQ156="1",BH156,0)</f>
        <v>0</v>
      </c>
      <c r="AC156" s="100">
        <f t="shared" ref="AC156:AC178" si="167">IF(AQ156="1",BI156,0)</f>
        <v>0</v>
      </c>
      <c r="AD156" s="100">
        <f t="shared" ref="AD156:AD178" si="168">IF(AQ156="7",BH156,0)</f>
        <v>0</v>
      </c>
      <c r="AE156" s="100">
        <f t="shared" ref="AE156:AE178" si="169">IF(AQ156="7",BI156,0)</f>
        <v>0</v>
      </c>
      <c r="AF156" s="100">
        <f t="shared" ref="AF156:AF178" si="170">IF(AQ156="2",BH156,0)</f>
        <v>0</v>
      </c>
      <c r="AG156" s="100">
        <f t="shared" ref="AG156:AG178" si="171">IF(AQ156="2",BI156,0)</f>
        <v>0</v>
      </c>
      <c r="AH156" s="100">
        <f t="shared" ref="AH156:AH178" si="172">IF(AQ156="0",BJ156,0)</f>
        <v>0</v>
      </c>
      <c r="AI156" s="109"/>
      <c r="AJ156" s="108">
        <f t="shared" ref="AJ156:AJ178" si="173">IF(AN156=0,K156,0)</f>
        <v>0</v>
      </c>
      <c r="AK156" s="108">
        <f t="shared" ref="AK156:AK178" si="174">IF(AN156=15,K156,0)</f>
        <v>0</v>
      </c>
      <c r="AL156" s="108">
        <f t="shared" ref="AL156:AL178" si="175">IF(AN156=21,K156,0)</f>
        <v>0</v>
      </c>
      <c r="AN156" s="100">
        <v>15</v>
      </c>
      <c r="AO156" s="100">
        <f t="shared" ref="AO156:AO178" si="176">H156*0</f>
        <v>0</v>
      </c>
      <c r="AP156" s="100">
        <f t="shared" ref="AP156:AP178" si="177">H156*(1-0)</f>
        <v>0</v>
      </c>
      <c r="AQ156" s="111" t="s">
        <v>13</v>
      </c>
      <c r="AV156" s="100">
        <f t="shared" ref="AV156:AV178" si="178">AW156+AX156</f>
        <v>0</v>
      </c>
      <c r="AW156" s="100">
        <f t="shared" ref="AW156:AW178" si="179">G156*AO156</f>
        <v>0</v>
      </c>
      <c r="AX156" s="100">
        <f t="shared" ref="AX156:AX178" si="180">G156*AP156</f>
        <v>0</v>
      </c>
      <c r="AY156" s="110" t="s">
        <v>1711</v>
      </c>
      <c r="AZ156" s="110" t="s">
        <v>1733</v>
      </c>
      <c r="BA156" s="109" t="s">
        <v>1737</v>
      </c>
      <c r="BC156" s="100">
        <f t="shared" ref="BC156:BC178" si="181">AW156+AX156</f>
        <v>0</v>
      </c>
      <c r="BD156" s="100">
        <f t="shared" ref="BD156:BD178" si="182">H156/(100-BE156)*100</f>
        <v>0</v>
      </c>
      <c r="BE156" s="100">
        <v>0</v>
      </c>
      <c r="BF156" s="100">
        <f>156</f>
        <v>156</v>
      </c>
      <c r="BH156" s="108">
        <f t="shared" ref="BH156:BH178" si="183">G156*AO156</f>
        <v>0</v>
      </c>
      <c r="BI156" s="108">
        <f t="shared" ref="BI156:BI178" si="184">G156*AP156</f>
        <v>0</v>
      </c>
      <c r="BJ156" s="108">
        <f t="shared" ref="BJ156:BJ178" si="185">G156*H156</f>
        <v>0</v>
      </c>
    </row>
    <row r="157" spans="1:62" x14ac:dyDescent="0.2">
      <c r="A157" s="117" t="s">
        <v>136</v>
      </c>
      <c r="B157" s="117" t="s">
        <v>4330</v>
      </c>
      <c r="C157" s="304" t="s">
        <v>1381</v>
      </c>
      <c r="D157" s="305"/>
      <c r="E157" s="305"/>
      <c r="F157" s="117" t="s">
        <v>1644</v>
      </c>
      <c r="G157" s="116">
        <v>1</v>
      </c>
      <c r="H157" s="159"/>
      <c r="I157" s="108">
        <f t="shared" si="162"/>
        <v>0</v>
      </c>
      <c r="J157" s="108">
        <f t="shared" si="163"/>
        <v>0</v>
      </c>
      <c r="K157" s="108">
        <f t="shared" si="164"/>
        <v>0</v>
      </c>
      <c r="L157" s="111"/>
      <c r="Z157" s="100">
        <f t="shared" si="165"/>
        <v>0</v>
      </c>
      <c r="AB157" s="100">
        <f t="shared" si="166"/>
        <v>0</v>
      </c>
      <c r="AC157" s="100">
        <f t="shared" si="167"/>
        <v>0</v>
      </c>
      <c r="AD157" s="100">
        <f t="shared" si="168"/>
        <v>0</v>
      </c>
      <c r="AE157" s="100">
        <f t="shared" si="169"/>
        <v>0</v>
      </c>
      <c r="AF157" s="100">
        <f t="shared" si="170"/>
        <v>0</v>
      </c>
      <c r="AG157" s="100">
        <f t="shared" si="171"/>
        <v>0</v>
      </c>
      <c r="AH157" s="100">
        <f t="shared" si="172"/>
        <v>0</v>
      </c>
      <c r="AI157" s="109"/>
      <c r="AJ157" s="108">
        <f t="shared" si="173"/>
        <v>0</v>
      </c>
      <c r="AK157" s="108">
        <f t="shared" si="174"/>
        <v>0</v>
      </c>
      <c r="AL157" s="108">
        <f t="shared" si="175"/>
        <v>0</v>
      </c>
      <c r="AN157" s="100">
        <v>15</v>
      </c>
      <c r="AO157" s="100">
        <f t="shared" si="176"/>
        <v>0</v>
      </c>
      <c r="AP157" s="100">
        <f t="shared" si="177"/>
        <v>0</v>
      </c>
      <c r="AQ157" s="111" t="s">
        <v>13</v>
      </c>
      <c r="AV157" s="100">
        <f t="shared" si="178"/>
        <v>0</v>
      </c>
      <c r="AW157" s="100">
        <f t="shared" si="179"/>
        <v>0</v>
      </c>
      <c r="AX157" s="100">
        <f t="shared" si="180"/>
        <v>0</v>
      </c>
      <c r="AY157" s="110" t="s">
        <v>1711</v>
      </c>
      <c r="AZ157" s="110" t="s">
        <v>1733</v>
      </c>
      <c r="BA157" s="109" t="s">
        <v>1737</v>
      </c>
      <c r="BC157" s="100">
        <f t="shared" si="181"/>
        <v>0</v>
      </c>
      <c r="BD157" s="100">
        <f t="shared" si="182"/>
        <v>0</v>
      </c>
      <c r="BE157" s="100">
        <v>0</v>
      </c>
      <c r="BF157" s="100">
        <f>157</f>
        <v>157</v>
      </c>
      <c r="BH157" s="108">
        <f t="shared" si="183"/>
        <v>0</v>
      </c>
      <c r="BI157" s="108">
        <f t="shared" si="184"/>
        <v>0</v>
      </c>
      <c r="BJ157" s="108">
        <f t="shared" si="185"/>
        <v>0</v>
      </c>
    </row>
    <row r="158" spans="1:62" x14ac:dyDescent="0.2">
      <c r="A158" s="117" t="s">
        <v>137</v>
      </c>
      <c r="B158" s="117" t="s">
        <v>4329</v>
      </c>
      <c r="C158" s="304" t="s">
        <v>1382</v>
      </c>
      <c r="D158" s="305"/>
      <c r="E158" s="305"/>
      <c r="F158" s="117" t="s">
        <v>1644</v>
      </c>
      <c r="G158" s="116">
        <v>2</v>
      </c>
      <c r="H158" s="159"/>
      <c r="I158" s="108">
        <f t="shared" si="162"/>
        <v>0</v>
      </c>
      <c r="J158" s="108">
        <f t="shared" si="163"/>
        <v>0</v>
      </c>
      <c r="K158" s="108">
        <f t="shared" si="164"/>
        <v>0</v>
      </c>
      <c r="L158" s="111"/>
      <c r="Z158" s="100">
        <f t="shared" si="165"/>
        <v>0</v>
      </c>
      <c r="AB158" s="100">
        <f t="shared" si="166"/>
        <v>0</v>
      </c>
      <c r="AC158" s="100">
        <f t="shared" si="167"/>
        <v>0</v>
      </c>
      <c r="AD158" s="100">
        <f t="shared" si="168"/>
        <v>0</v>
      </c>
      <c r="AE158" s="100">
        <f t="shared" si="169"/>
        <v>0</v>
      </c>
      <c r="AF158" s="100">
        <f t="shared" si="170"/>
        <v>0</v>
      </c>
      <c r="AG158" s="100">
        <f t="shared" si="171"/>
        <v>0</v>
      </c>
      <c r="AH158" s="100">
        <f t="shared" si="172"/>
        <v>0</v>
      </c>
      <c r="AI158" s="109"/>
      <c r="AJ158" s="108">
        <f t="shared" si="173"/>
        <v>0</v>
      </c>
      <c r="AK158" s="108">
        <f t="shared" si="174"/>
        <v>0</v>
      </c>
      <c r="AL158" s="108">
        <f t="shared" si="175"/>
        <v>0</v>
      </c>
      <c r="AN158" s="100">
        <v>15</v>
      </c>
      <c r="AO158" s="100">
        <f t="shared" si="176"/>
        <v>0</v>
      </c>
      <c r="AP158" s="100">
        <f t="shared" si="177"/>
        <v>0</v>
      </c>
      <c r="AQ158" s="111" t="s">
        <v>13</v>
      </c>
      <c r="AV158" s="100">
        <f t="shared" si="178"/>
        <v>0</v>
      </c>
      <c r="AW158" s="100">
        <f t="shared" si="179"/>
        <v>0</v>
      </c>
      <c r="AX158" s="100">
        <f t="shared" si="180"/>
        <v>0</v>
      </c>
      <c r="AY158" s="110" t="s">
        <v>1711</v>
      </c>
      <c r="AZ158" s="110" t="s">
        <v>1733</v>
      </c>
      <c r="BA158" s="109" t="s">
        <v>1737</v>
      </c>
      <c r="BC158" s="100">
        <f t="shared" si="181"/>
        <v>0</v>
      </c>
      <c r="BD158" s="100">
        <f t="shared" si="182"/>
        <v>0</v>
      </c>
      <c r="BE158" s="100">
        <v>0</v>
      </c>
      <c r="BF158" s="100">
        <f>158</f>
        <v>158</v>
      </c>
      <c r="BH158" s="108">
        <f t="shared" si="183"/>
        <v>0</v>
      </c>
      <c r="BI158" s="108">
        <f t="shared" si="184"/>
        <v>0</v>
      </c>
      <c r="BJ158" s="108">
        <f t="shared" si="185"/>
        <v>0</v>
      </c>
    </row>
    <row r="159" spans="1:62" x14ac:dyDescent="0.2">
      <c r="A159" s="117" t="s">
        <v>138</v>
      </c>
      <c r="B159" s="117" t="s">
        <v>4328</v>
      </c>
      <c r="C159" s="304" t="s">
        <v>1383</v>
      </c>
      <c r="D159" s="305"/>
      <c r="E159" s="305"/>
      <c r="F159" s="117" t="s">
        <v>1644</v>
      </c>
      <c r="G159" s="116">
        <v>1</v>
      </c>
      <c r="H159" s="159"/>
      <c r="I159" s="108">
        <f t="shared" si="162"/>
        <v>0</v>
      </c>
      <c r="J159" s="108">
        <f t="shared" si="163"/>
        <v>0</v>
      </c>
      <c r="K159" s="108">
        <f t="shared" si="164"/>
        <v>0</v>
      </c>
      <c r="L159" s="111"/>
      <c r="Z159" s="100">
        <f t="shared" si="165"/>
        <v>0</v>
      </c>
      <c r="AB159" s="100">
        <f t="shared" si="166"/>
        <v>0</v>
      </c>
      <c r="AC159" s="100">
        <f t="shared" si="167"/>
        <v>0</v>
      </c>
      <c r="AD159" s="100">
        <f t="shared" si="168"/>
        <v>0</v>
      </c>
      <c r="AE159" s="100">
        <f t="shared" si="169"/>
        <v>0</v>
      </c>
      <c r="AF159" s="100">
        <f t="shared" si="170"/>
        <v>0</v>
      </c>
      <c r="AG159" s="100">
        <f t="shared" si="171"/>
        <v>0</v>
      </c>
      <c r="AH159" s="100">
        <f t="shared" si="172"/>
        <v>0</v>
      </c>
      <c r="AI159" s="109"/>
      <c r="AJ159" s="108">
        <f t="shared" si="173"/>
        <v>0</v>
      </c>
      <c r="AK159" s="108">
        <f t="shared" si="174"/>
        <v>0</v>
      </c>
      <c r="AL159" s="108">
        <f t="shared" si="175"/>
        <v>0</v>
      </c>
      <c r="AN159" s="100">
        <v>15</v>
      </c>
      <c r="AO159" s="100">
        <f t="shared" si="176"/>
        <v>0</v>
      </c>
      <c r="AP159" s="100">
        <f t="shared" si="177"/>
        <v>0</v>
      </c>
      <c r="AQ159" s="111" t="s">
        <v>13</v>
      </c>
      <c r="AV159" s="100">
        <f t="shared" si="178"/>
        <v>0</v>
      </c>
      <c r="AW159" s="100">
        <f t="shared" si="179"/>
        <v>0</v>
      </c>
      <c r="AX159" s="100">
        <f t="shared" si="180"/>
        <v>0</v>
      </c>
      <c r="AY159" s="110" t="s">
        <v>1711</v>
      </c>
      <c r="AZ159" s="110" t="s">
        <v>1733</v>
      </c>
      <c r="BA159" s="109" t="s">
        <v>1737</v>
      </c>
      <c r="BC159" s="100">
        <f t="shared" si="181"/>
        <v>0</v>
      </c>
      <c r="BD159" s="100">
        <f t="shared" si="182"/>
        <v>0</v>
      </c>
      <c r="BE159" s="100">
        <v>0</v>
      </c>
      <c r="BF159" s="100">
        <f>159</f>
        <v>159</v>
      </c>
      <c r="BH159" s="108">
        <f t="shared" si="183"/>
        <v>0</v>
      </c>
      <c r="BI159" s="108">
        <f t="shared" si="184"/>
        <v>0</v>
      </c>
      <c r="BJ159" s="108">
        <f t="shared" si="185"/>
        <v>0</v>
      </c>
    </row>
    <row r="160" spans="1:62" x14ac:dyDescent="0.2">
      <c r="A160" s="117" t="s">
        <v>139</v>
      </c>
      <c r="B160" s="117" t="s">
        <v>4327</v>
      </c>
      <c r="C160" s="304" t="s">
        <v>1384</v>
      </c>
      <c r="D160" s="305"/>
      <c r="E160" s="305"/>
      <c r="F160" s="117" t="s">
        <v>1644</v>
      </c>
      <c r="G160" s="116">
        <v>1</v>
      </c>
      <c r="H160" s="159"/>
      <c r="I160" s="108">
        <f t="shared" si="162"/>
        <v>0</v>
      </c>
      <c r="J160" s="108">
        <f t="shared" si="163"/>
        <v>0</v>
      </c>
      <c r="K160" s="108">
        <f t="shared" si="164"/>
        <v>0</v>
      </c>
      <c r="L160" s="111"/>
      <c r="Z160" s="100">
        <f t="shared" si="165"/>
        <v>0</v>
      </c>
      <c r="AB160" s="100">
        <f t="shared" si="166"/>
        <v>0</v>
      </c>
      <c r="AC160" s="100">
        <f t="shared" si="167"/>
        <v>0</v>
      </c>
      <c r="AD160" s="100">
        <f t="shared" si="168"/>
        <v>0</v>
      </c>
      <c r="AE160" s="100">
        <f t="shared" si="169"/>
        <v>0</v>
      </c>
      <c r="AF160" s="100">
        <f t="shared" si="170"/>
        <v>0</v>
      </c>
      <c r="AG160" s="100">
        <f t="shared" si="171"/>
        <v>0</v>
      </c>
      <c r="AH160" s="100">
        <f t="shared" si="172"/>
        <v>0</v>
      </c>
      <c r="AI160" s="109"/>
      <c r="AJ160" s="108">
        <f t="shared" si="173"/>
        <v>0</v>
      </c>
      <c r="AK160" s="108">
        <f t="shared" si="174"/>
        <v>0</v>
      </c>
      <c r="AL160" s="108">
        <f t="shared" si="175"/>
        <v>0</v>
      </c>
      <c r="AN160" s="100">
        <v>15</v>
      </c>
      <c r="AO160" s="100">
        <f t="shared" si="176"/>
        <v>0</v>
      </c>
      <c r="AP160" s="100">
        <f t="shared" si="177"/>
        <v>0</v>
      </c>
      <c r="AQ160" s="111" t="s">
        <v>13</v>
      </c>
      <c r="AV160" s="100">
        <f t="shared" si="178"/>
        <v>0</v>
      </c>
      <c r="AW160" s="100">
        <f t="shared" si="179"/>
        <v>0</v>
      </c>
      <c r="AX160" s="100">
        <f t="shared" si="180"/>
        <v>0</v>
      </c>
      <c r="AY160" s="110" t="s">
        <v>1711</v>
      </c>
      <c r="AZ160" s="110" t="s">
        <v>1733</v>
      </c>
      <c r="BA160" s="109" t="s">
        <v>1737</v>
      </c>
      <c r="BC160" s="100">
        <f t="shared" si="181"/>
        <v>0</v>
      </c>
      <c r="BD160" s="100">
        <f t="shared" si="182"/>
        <v>0</v>
      </c>
      <c r="BE160" s="100">
        <v>0</v>
      </c>
      <c r="BF160" s="100">
        <f>160</f>
        <v>160</v>
      </c>
      <c r="BH160" s="108">
        <f t="shared" si="183"/>
        <v>0</v>
      </c>
      <c r="BI160" s="108">
        <f t="shared" si="184"/>
        <v>0</v>
      </c>
      <c r="BJ160" s="108">
        <f t="shared" si="185"/>
        <v>0</v>
      </c>
    </row>
    <row r="161" spans="1:62" x14ac:dyDescent="0.2">
      <c r="A161" s="117" t="s">
        <v>140</v>
      </c>
      <c r="B161" s="117" t="s">
        <v>4326</v>
      </c>
      <c r="C161" s="304" t="s">
        <v>1385</v>
      </c>
      <c r="D161" s="305"/>
      <c r="E161" s="305"/>
      <c r="F161" s="117" t="s">
        <v>1646</v>
      </c>
      <c r="G161" s="116">
        <v>9</v>
      </c>
      <c r="H161" s="159"/>
      <c r="I161" s="108">
        <f t="shared" si="162"/>
        <v>0</v>
      </c>
      <c r="J161" s="108">
        <f t="shared" si="163"/>
        <v>0</v>
      </c>
      <c r="K161" s="108">
        <f t="shared" si="164"/>
        <v>0</v>
      </c>
      <c r="L161" s="111"/>
      <c r="Z161" s="100">
        <f t="shared" si="165"/>
        <v>0</v>
      </c>
      <c r="AB161" s="100">
        <f t="shared" si="166"/>
        <v>0</v>
      </c>
      <c r="AC161" s="100">
        <f t="shared" si="167"/>
        <v>0</v>
      </c>
      <c r="AD161" s="100">
        <f t="shared" si="168"/>
        <v>0</v>
      </c>
      <c r="AE161" s="100">
        <f t="shared" si="169"/>
        <v>0</v>
      </c>
      <c r="AF161" s="100">
        <f t="shared" si="170"/>
        <v>0</v>
      </c>
      <c r="AG161" s="100">
        <f t="shared" si="171"/>
        <v>0</v>
      </c>
      <c r="AH161" s="100">
        <f t="shared" si="172"/>
        <v>0</v>
      </c>
      <c r="AI161" s="109"/>
      <c r="AJ161" s="108">
        <f t="shared" si="173"/>
        <v>0</v>
      </c>
      <c r="AK161" s="108">
        <f t="shared" si="174"/>
        <v>0</v>
      </c>
      <c r="AL161" s="108">
        <f t="shared" si="175"/>
        <v>0</v>
      </c>
      <c r="AN161" s="100">
        <v>15</v>
      </c>
      <c r="AO161" s="100">
        <f t="shared" si="176"/>
        <v>0</v>
      </c>
      <c r="AP161" s="100">
        <f t="shared" si="177"/>
        <v>0</v>
      </c>
      <c r="AQ161" s="111" t="s">
        <v>13</v>
      </c>
      <c r="AV161" s="100">
        <f t="shared" si="178"/>
        <v>0</v>
      </c>
      <c r="AW161" s="100">
        <f t="shared" si="179"/>
        <v>0</v>
      </c>
      <c r="AX161" s="100">
        <f t="shared" si="180"/>
        <v>0</v>
      </c>
      <c r="AY161" s="110" t="s">
        <v>1711</v>
      </c>
      <c r="AZ161" s="110" t="s">
        <v>1733</v>
      </c>
      <c r="BA161" s="109" t="s">
        <v>1737</v>
      </c>
      <c r="BC161" s="100">
        <f t="shared" si="181"/>
        <v>0</v>
      </c>
      <c r="BD161" s="100">
        <f t="shared" si="182"/>
        <v>0</v>
      </c>
      <c r="BE161" s="100">
        <v>0</v>
      </c>
      <c r="BF161" s="100">
        <f>161</f>
        <v>161</v>
      </c>
      <c r="BH161" s="108">
        <f t="shared" si="183"/>
        <v>0</v>
      </c>
      <c r="BI161" s="108">
        <f t="shared" si="184"/>
        <v>0</v>
      </c>
      <c r="BJ161" s="108">
        <f t="shared" si="185"/>
        <v>0</v>
      </c>
    </row>
    <row r="162" spans="1:62" x14ac:dyDescent="0.2">
      <c r="A162" s="117" t="s">
        <v>141</v>
      </c>
      <c r="B162" s="117" t="s">
        <v>4325</v>
      </c>
      <c r="C162" s="304" t="s">
        <v>1386</v>
      </c>
      <c r="D162" s="305"/>
      <c r="E162" s="305"/>
      <c r="F162" s="117" t="s">
        <v>1644</v>
      </c>
      <c r="G162" s="116">
        <v>1</v>
      </c>
      <c r="H162" s="162"/>
      <c r="I162" s="108">
        <f t="shared" si="162"/>
        <v>0</v>
      </c>
      <c r="J162" s="108">
        <f t="shared" si="163"/>
        <v>0</v>
      </c>
      <c r="K162" s="108">
        <f t="shared" si="164"/>
        <v>0</v>
      </c>
      <c r="L162" s="111"/>
      <c r="Z162" s="100">
        <f t="shared" si="165"/>
        <v>0</v>
      </c>
      <c r="AB162" s="100">
        <f t="shared" si="166"/>
        <v>0</v>
      </c>
      <c r="AC162" s="100">
        <f t="shared" si="167"/>
        <v>0</v>
      </c>
      <c r="AD162" s="100">
        <f t="shared" si="168"/>
        <v>0</v>
      </c>
      <c r="AE162" s="100">
        <f t="shared" si="169"/>
        <v>0</v>
      </c>
      <c r="AF162" s="100">
        <f t="shared" si="170"/>
        <v>0</v>
      </c>
      <c r="AG162" s="100">
        <f t="shared" si="171"/>
        <v>0</v>
      </c>
      <c r="AH162" s="100">
        <f t="shared" si="172"/>
        <v>0</v>
      </c>
      <c r="AI162" s="109"/>
      <c r="AJ162" s="108">
        <f t="shared" si="173"/>
        <v>0</v>
      </c>
      <c r="AK162" s="108">
        <f t="shared" si="174"/>
        <v>0</v>
      </c>
      <c r="AL162" s="108">
        <f t="shared" si="175"/>
        <v>0</v>
      </c>
      <c r="AN162" s="100">
        <v>15</v>
      </c>
      <c r="AO162" s="100">
        <f t="shared" si="176"/>
        <v>0</v>
      </c>
      <c r="AP162" s="100">
        <f t="shared" si="177"/>
        <v>0</v>
      </c>
      <c r="AQ162" s="111" t="s">
        <v>13</v>
      </c>
      <c r="AV162" s="100">
        <f t="shared" si="178"/>
        <v>0</v>
      </c>
      <c r="AW162" s="100">
        <f t="shared" si="179"/>
        <v>0</v>
      </c>
      <c r="AX162" s="100">
        <f t="shared" si="180"/>
        <v>0</v>
      </c>
      <c r="AY162" s="110" t="s">
        <v>1711</v>
      </c>
      <c r="AZ162" s="110" t="s">
        <v>1733</v>
      </c>
      <c r="BA162" s="109" t="s">
        <v>1737</v>
      </c>
      <c r="BC162" s="100">
        <f t="shared" si="181"/>
        <v>0</v>
      </c>
      <c r="BD162" s="100">
        <f t="shared" si="182"/>
        <v>0</v>
      </c>
      <c r="BE162" s="100">
        <v>0</v>
      </c>
      <c r="BF162" s="100">
        <f>162</f>
        <v>162</v>
      </c>
      <c r="BH162" s="108">
        <f t="shared" si="183"/>
        <v>0</v>
      </c>
      <c r="BI162" s="108">
        <f t="shared" si="184"/>
        <v>0</v>
      </c>
      <c r="BJ162" s="108">
        <f t="shared" si="185"/>
        <v>0</v>
      </c>
    </row>
    <row r="163" spans="1:62" x14ac:dyDescent="0.2">
      <c r="A163" s="117" t="s">
        <v>142</v>
      </c>
      <c r="B163" s="117" t="s">
        <v>4324</v>
      </c>
      <c r="C163" s="304" t="s">
        <v>1387</v>
      </c>
      <c r="D163" s="305"/>
      <c r="E163" s="305"/>
      <c r="F163" s="117" t="s">
        <v>1644</v>
      </c>
      <c r="G163" s="116">
        <v>1</v>
      </c>
      <c r="H163" s="159"/>
      <c r="I163" s="108">
        <f t="shared" si="162"/>
        <v>0</v>
      </c>
      <c r="J163" s="108">
        <f t="shared" si="163"/>
        <v>0</v>
      </c>
      <c r="K163" s="108">
        <f t="shared" si="164"/>
        <v>0</v>
      </c>
      <c r="L163" s="111"/>
      <c r="Z163" s="100">
        <f t="shared" si="165"/>
        <v>0</v>
      </c>
      <c r="AB163" s="100">
        <f t="shared" si="166"/>
        <v>0</v>
      </c>
      <c r="AC163" s="100">
        <f t="shared" si="167"/>
        <v>0</v>
      </c>
      <c r="AD163" s="100">
        <f t="shared" si="168"/>
        <v>0</v>
      </c>
      <c r="AE163" s="100">
        <f t="shared" si="169"/>
        <v>0</v>
      </c>
      <c r="AF163" s="100">
        <f t="shared" si="170"/>
        <v>0</v>
      </c>
      <c r="AG163" s="100">
        <f t="shared" si="171"/>
        <v>0</v>
      </c>
      <c r="AH163" s="100">
        <f t="shared" si="172"/>
        <v>0</v>
      </c>
      <c r="AI163" s="109"/>
      <c r="AJ163" s="108">
        <f t="shared" si="173"/>
        <v>0</v>
      </c>
      <c r="AK163" s="108">
        <f t="shared" si="174"/>
        <v>0</v>
      </c>
      <c r="AL163" s="108">
        <f t="shared" si="175"/>
        <v>0</v>
      </c>
      <c r="AN163" s="100">
        <v>15</v>
      </c>
      <c r="AO163" s="100">
        <f t="shared" si="176"/>
        <v>0</v>
      </c>
      <c r="AP163" s="100">
        <f t="shared" si="177"/>
        <v>0</v>
      </c>
      <c r="AQ163" s="111" t="s">
        <v>13</v>
      </c>
      <c r="AV163" s="100">
        <f t="shared" si="178"/>
        <v>0</v>
      </c>
      <c r="AW163" s="100">
        <f t="shared" si="179"/>
        <v>0</v>
      </c>
      <c r="AX163" s="100">
        <f t="shared" si="180"/>
        <v>0</v>
      </c>
      <c r="AY163" s="110" t="s">
        <v>1711</v>
      </c>
      <c r="AZ163" s="110" t="s">
        <v>1733</v>
      </c>
      <c r="BA163" s="109" t="s">
        <v>1737</v>
      </c>
      <c r="BC163" s="100">
        <f t="shared" si="181"/>
        <v>0</v>
      </c>
      <c r="BD163" s="100">
        <f t="shared" si="182"/>
        <v>0</v>
      </c>
      <c r="BE163" s="100">
        <v>0</v>
      </c>
      <c r="BF163" s="100">
        <f>163</f>
        <v>163</v>
      </c>
      <c r="BH163" s="108">
        <f t="shared" si="183"/>
        <v>0</v>
      </c>
      <c r="BI163" s="108">
        <f t="shared" si="184"/>
        <v>0</v>
      </c>
      <c r="BJ163" s="108">
        <f t="shared" si="185"/>
        <v>0</v>
      </c>
    </row>
    <row r="164" spans="1:62" x14ac:dyDescent="0.2">
      <c r="A164" s="117" t="s">
        <v>143</v>
      </c>
      <c r="B164" s="117" t="s">
        <v>4323</v>
      </c>
      <c r="C164" s="304" t="s">
        <v>1388</v>
      </c>
      <c r="D164" s="305"/>
      <c r="E164" s="305"/>
      <c r="F164" s="117" t="s">
        <v>1644</v>
      </c>
      <c r="G164" s="116">
        <v>1</v>
      </c>
      <c r="H164" s="159"/>
      <c r="I164" s="108">
        <f t="shared" si="162"/>
        <v>0</v>
      </c>
      <c r="J164" s="108">
        <f t="shared" si="163"/>
        <v>0</v>
      </c>
      <c r="K164" s="108">
        <f t="shared" si="164"/>
        <v>0</v>
      </c>
      <c r="L164" s="111"/>
      <c r="Z164" s="100">
        <f t="shared" si="165"/>
        <v>0</v>
      </c>
      <c r="AB164" s="100">
        <f t="shared" si="166"/>
        <v>0</v>
      </c>
      <c r="AC164" s="100">
        <f t="shared" si="167"/>
        <v>0</v>
      </c>
      <c r="AD164" s="100">
        <f t="shared" si="168"/>
        <v>0</v>
      </c>
      <c r="AE164" s="100">
        <f t="shared" si="169"/>
        <v>0</v>
      </c>
      <c r="AF164" s="100">
        <f t="shared" si="170"/>
        <v>0</v>
      </c>
      <c r="AG164" s="100">
        <f t="shared" si="171"/>
        <v>0</v>
      </c>
      <c r="AH164" s="100">
        <f t="shared" si="172"/>
        <v>0</v>
      </c>
      <c r="AI164" s="109"/>
      <c r="AJ164" s="108">
        <f t="shared" si="173"/>
        <v>0</v>
      </c>
      <c r="AK164" s="108">
        <f t="shared" si="174"/>
        <v>0</v>
      </c>
      <c r="AL164" s="108">
        <f t="shared" si="175"/>
        <v>0</v>
      </c>
      <c r="AN164" s="100">
        <v>15</v>
      </c>
      <c r="AO164" s="100">
        <f t="shared" si="176"/>
        <v>0</v>
      </c>
      <c r="AP164" s="100">
        <f t="shared" si="177"/>
        <v>0</v>
      </c>
      <c r="AQ164" s="111" t="s">
        <v>13</v>
      </c>
      <c r="AV164" s="100">
        <f t="shared" si="178"/>
        <v>0</v>
      </c>
      <c r="AW164" s="100">
        <f t="shared" si="179"/>
        <v>0</v>
      </c>
      <c r="AX164" s="100">
        <f t="shared" si="180"/>
        <v>0</v>
      </c>
      <c r="AY164" s="110" t="s">
        <v>1711</v>
      </c>
      <c r="AZ164" s="110" t="s">
        <v>1733</v>
      </c>
      <c r="BA164" s="109" t="s">
        <v>1737</v>
      </c>
      <c r="BC164" s="100">
        <f t="shared" si="181"/>
        <v>0</v>
      </c>
      <c r="BD164" s="100">
        <f t="shared" si="182"/>
        <v>0</v>
      </c>
      <c r="BE164" s="100">
        <v>0</v>
      </c>
      <c r="BF164" s="100">
        <f>164</f>
        <v>164</v>
      </c>
      <c r="BH164" s="108">
        <f t="shared" si="183"/>
        <v>0</v>
      </c>
      <c r="BI164" s="108">
        <f t="shared" si="184"/>
        <v>0</v>
      </c>
      <c r="BJ164" s="108">
        <f t="shared" si="185"/>
        <v>0</v>
      </c>
    </row>
    <row r="165" spans="1:62" x14ac:dyDescent="0.2">
      <c r="A165" s="117" t="s">
        <v>144</v>
      </c>
      <c r="B165" s="117" t="s">
        <v>4322</v>
      </c>
      <c r="C165" s="304" t="s">
        <v>1389</v>
      </c>
      <c r="D165" s="305"/>
      <c r="E165" s="305"/>
      <c r="F165" s="117" t="s">
        <v>1644</v>
      </c>
      <c r="G165" s="116">
        <v>1</v>
      </c>
      <c r="H165" s="159"/>
      <c r="I165" s="108">
        <f t="shared" si="162"/>
        <v>0</v>
      </c>
      <c r="J165" s="108">
        <f t="shared" si="163"/>
        <v>0</v>
      </c>
      <c r="K165" s="108">
        <f t="shared" si="164"/>
        <v>0</v>
      </c>
      <c r="L165" s="111"/>
      <c r="Z165" s="100">
        <f t="shared" si="165"/>
        <v>0</v>
      </c>
      <c r="AB165" s="100">
        <f t="shared" si="166"/>
        <v>0</v>
      </c>
      <c r="AC165" s="100">
        <f t="shared" si="167"/>
        <v>0</v>
      </c>
      <c r="AD165" s="100">
        <f t="shared" si="168"/>
        <v>0</v>
      </c>
      <c r="AE165" s="100">
        <f t="shared" si="169"/>
        <v>0</v>
      </c>
      <c r="AF165" s="100">
        <f t="shared" si="170"/>
        <v>0</v>
      </c>
      <c r="AG165" s="100">
        <f t="shared" si="171"/>
        <v>0</v>
      </c>
      <c r="AH165" s="100">
        <f t="shared" si="172"/>
        <v>0</v>
      </c>
      <c r="AI165" s="109"/>
      <c r="AJ165" s="108">
        <f t="shared" si="173"/>
        <v>0</v>
      </c>
      <c r="AK165" s="108">
        <f t="shared" si="174"/>
        <v>0</v>
      </c>
      <c r="AL165" s="108">
        <f t="shared" si="175"/>
        <v>0</v>
      </c>
      <c r="AN165" s="100">
        <v>15</v>
      </c>
      <c r="AO165" s="100">
        <f t="shared" si="176"/>
        <v>0</v>
      </c>
      <c r="AP165" s="100">
        <f t="shared" si="177"/>
        <v>0</v>
      </c>
      <c r="AQ165" s="111" t="s">
        <v>13</v>
      </c>
      <c r="AV165" s="100">
        <f t="shared" si="178"/>
        <v>0</v>
      </c>
      <c r="AW165" s="100">
        <f t="shared" si="179"/>
        <v>0</v>
      </c>
      <c r="AX165" s="100">
        <f t="shared" si="180"/>
        <v>0</v>
      </c>
      <c r="AY165" s="110" t="s">
        <v>1711</v>
      </c>
      <c r="AZ165" s="110" t="s">
        <v>1733</v>
      </c>
      <c r="BA165" s="109" t="s">
        <v>1737</v>
      </c>
      <c r="BC165" s="100">
        <f t="shared" si="181"/>
        <v>0</v>
      </c>
      <c r="BD165" s="100">
        <f t="shared" si="182"/>
        <v>0</v>
      </c>
      <c r="BE165" s="100">
        <v>0</v>
      </c>
      <c r="BF165" s="100">
        <f>165</f>
        <v>165</v>
      </c>
      <c r="BH165" s="108">
        <f t="shared" si="183"/>
        <v>0</v>
      </c>
      <c r="BI165" s="108">
        <f t="shared" si="184"/>
        <v>0</v>
      </c>
      <c r="BJ165" s="108">
        <f t="shared" si="185"/>
        <v>0</v>
      </c>
    </row>
    <row r="166" spans="1:62" x14ac:dyDescent="0.2">
      <c r="A166" s="117" t="s">
        <v>145</v>
      </c>
      <c r="B166" s="117" t="s">
        <v>4321</v>
      </c>
      <c r="C166" s="304" t="s">
        <v>1380</v>
      </c>
      <c r="D166" s="305"/>
      <c r="E166" s="305"/>
      <c r="F166" s="117" t="s">
        <v>1646</v>
      </c>
      <c r="G166" s="116">
        <v>3</v>
      </c>
      <c r="H166" s="159"/>
      <c r="I166" s="108">
        <f t="shared" si="162"/>
        <v>0</v>
      </c>
      <c r="J166" s="108">
        <f t="shared" si="163"/>
        <v>0</v>
      </c>
      <c r="K166" s="108">
        <f t="shared" si="164"/>
        <v>0</v>
      </c>
      <c r="L166" s="111"/>
      <c r="Z166" s="100">
        <f t="shared" si="165"/>
        <v>0</v>
      </c>
      <c r="AB166" s="100">
        <f t="shared" si="166"/>
        <v>0</v>
      </c>
      <c r="AC166" s="100">
        <f t="shared" si="167"/>
        <v>0</v>
      </c>
      <c r="AD166" s="100">
        <f t="shared" si="168"/>
        <v>0</v>
      </c>
      <c r="AE166" s="100">
        <f t="shared" si="169"/>
        <v>0</v>
      </c>
      <c r="AF166" s="100">
        <f t="shared" si="170"/>
        <v>0</v>
      </c>
      <c r="AG166" s="100">
        <f t="shared" si="171"/>
        <v>0</v>
      </c>
      <c r="AH166" s="100">
        <f t="shared" si="172"/>
        <v>0</v>
      </c>
      <c r="AI166" s="109"/>
      <c r="AJ166" s="108">
        <f t="shared" si="173"/>
        <v>0</v>
      </c>
      <c r="AK166" s="108">
        <f t="shared" si="174"/>
        <v>0</v>
      </c>
      <c r="AL166" s="108">
        <f t="shared" si="175"/>
        <v>0</v>
      </c>
      <c r="AN166" s="100">
        <v>15</v>
      </c>
      <c r="AO166" s="100">
        <f t="shared" si="176"/>
        <v>0</v>
      </c>
      <c r="AP166" s="100">
        <f t="shared" si="177"/>
        <v>0</v>
      </c>
      <c r="AQ166" s="111" t="s">
        <v>13</v>
      </c>
      <c r="AV166" s="100">
        <f t="shared" si="178"/>
        <v>0</v>
      </c>
      <c r="AW166" s="100">
        <f t="shared" si="179"/>
        <v>0</v>
      </c>
      <c r="AX166" s="100">
        <f t="shared" si="180"/>
        <v>0</v>
      </c>
      <c r="AY166" s="110" t="s">
        <v>1711</v>
      </c>
      <c r="AZ166" s="110" t="s">
        <v>1733</v>
      </c>
      <c r="BA166" s="109" t="s">
        <v>1737</v>
      </c>
      <c r="BC166" s="100">
        <f t="shared" si="181"/>
        <v>0</v>
      </c>
      <c r="BD166" s="100">
        <f t="shared" si="182"/>
        <v>0</v>
      </c>
      <c r="BE166" s="100">
        <v>0</v>
      </c>
      <c r="BF166" s="100">
        <f>166</f>
        <v>166</v>
      </c>
      <c r="BH166" s="108">
        <f t="shared" si="183"/>
        <v>0</v>
      </c>
      <c r="BI166" s="108">
        <f t="shared" si="184"/>
        <v>0</v>
      </c>
      <c r="BJ166" s="108">
        <f t="shared" si="185"/>
        <v>0</v>
      </c>
    </row>
    <row r="167" spans="1:62" x14ac:dyDescent="0.2">
      <c r="A167" s="117" t="s">
        <v>146</v>
      </c>
      <c r="B167" s="117" t="s">
        <v>4320</v>
      </c>
      <c r="C167" s="304" t="s">
        <v>1382</v>
      </c>
      <c r="D167" s="305"/>
      <c r="E167" s="305"/>
      <c r="F167" s="117" t="s">
        <v>1644</v>
      </c>
      <c r="G167" s="116">
        <v>2</v>
      </c>
      <c r="H167" s="159"/>
      <c r="I167" s="108">
        <f t="shared" si="162"/>
        <v>0</v>
      </c>
      <c r="J167" s="108">
        <f t="shared" si="163"/>
        <v>0</v>
      </c>
      <c r="K167" s="108">
        <f t="shared" si="164"/>
        <v>0</v>
      </c>
      <c r="L167" s="111"/>
      <c r="Z167" s="100">
        <f t="shared" si="165"/>
        <v>0</v>
      </c>
      <c r="AB167" s="100">
        <f t="shared" si="166"/>
        <v>0</v>
      </c>
      <c r="AC167" s="100">
        <f t="shared" si="167"/>
        <v>0</v>
      </c>
      <c r="AD167" s="100">
        <f t="shared" si="168"/>
        <v>0</v>
      </c>
      <c r="AE167" s="100">
        <f t="shared" si="169"/>
        <v>0</v>
      </c>
      <c r="AF167" s="100">
        <f t="shared" si="170"/>
        <v>0</v>
      </c>
      <c r="AG167" s="100">
        <f t="shared" si="171"/>
        <v>0</v>
      </c>
      <c r="AH167" s="100">
        <f t="shared" si="172"/>
        <v>0</v>
      </c>
      <c r="AI167" s="109"/>
      <c r="AJ167" s="108">
        <f t="shared" si="173"/>
        <v>0</v>
      </c>
      <c r="AK167" s="108">
        <f t="shared" si="174"/>
        <v>0</v>
      </c>
      <c r="AL167" s="108">
        <f t="shared" si="175"/>
        <v>0</v>
      </c>
      <c r="AN167" s="100">
        <v>15</v>
      </c>
      <c r="AO167" s="100">
        <f t="shared" si="176"/>
        <v>0</v>
      </c>
      <c r="AP167" s="100">
        <f t="shared" si="177"/>
        <v>0</v>
      </c>
      <c r="AQ167" s="111" t="s">
        <v>13</v>
      </c>
      <c r="AV167" s="100">
        <f t="shared" si="178"/>
        <v>0</v>
      </c>
      <c r="AW167" s="100">
        <f t="shared" si="179"/>
        <v>0</v>
      </c>
      <c r="AX167" s="100">
        <f t="shared" si="180"/>
        <v>0</v>
      </c>
      <c r="AY167" s="110" t="s">
        <v>1711</v>
      </c>
      <c r="AZ167" s="110" t="s">
        <v>1733</v>
      </c>
      <c r="BA167" s="109" t="s">
        <v>1737</v>
      </c>
      <c r="BC167" s="100">
        <f t="shared" si="181"/>
        <v>0</v>
      </c>
      <c r="BD167" s="100">
        <f t="shared" si="182"/>
        <v>0</v>
      </c>
      <c r="BE167" s="100">
        <v>0</v>
      </c>
      <c r="BF167" s="100">
        <f>167</f>
        <v>167</v>
      </c>
      <c r="BH167" s="108">
        <f t="shared" si="183"/>
        <v>0</v>
      </c>
      <c r="BI167" s="108">
        <f t="shared" si="184"/>
        <v>0</v>
      </c>
      <c r="BJ167" s="108">
        <f t="shared" si="185"/>
        <v>0</v>
      </c>
    </row>
    <row r="168" spans="1:62" x14ac:dyDescent="0.2">
      <c r="A168" s="117" t="s">
        <v>147</v>
      </c>
      <c r="B168" s="117" t="s">
        <v>4319</v>
      </c>
      <c r="C168" s="304" t="s">
        <v>1383</v>
      </c>
      <c r="D168" s="305"/>
      <c r="E168" s="305"/>
      <c r="F168" s="117" t="s">
        <v>1644</v>
      </c>
      <c r="G168" s="116">
        <v>1</v>
      </c>
      <c r="H168" s="159"/>
      <c r="I168" s="108">
        <f t="shared" si="162"/>
        <v>0</v>
      </c>
      <c r="J168" s="108">
        <f t="shared" si="163"/>
        <v>0</v>
      </c>
      <c r="K168" s="108">
        <f t="shared" si="164"/>
        <v>0</v>
      </c>
      <c r="L168" s="111"/>
      <c r="Z168" s="100">
        <f t="shared" si="165"/>
        <v>0</v>
      </c>
      <c r="AB168" s="100">
        <f t="shared" si="166"/>
        <v>0</v>
      </c>
      <c r="AC168" s="100">
        <f t="shared" si="167"/>
        <v>0</v>
      </c>
      <c r="AD168" s="100">
        <f t="shared" si="168"/>
        <v>0</v>
      </c>
      <c r="AE168" s="100">
        <f t="shared" si="169"/>
        <v>0</v>
      </c>
      <c r="AF168" s="100">
        <f t="shared" si="170"/>
        <v>0</v>
      </c>
      <c r="AG168" s="100">
        <f t="shared" si="171"/>
        <v>0</v>
      </c>
      <c r="AH168" s="100">
        <f t="shared" si="172"/>
        <v>0</v>
      </c>
      <c r="AI168" s="109"/>
      <c r="AJ168" s="108">
        <f t="shared" si="173"/>
        <v>0</v>
      </c>
      <c r="AK168" s="108">
        <f t="shared" si="174"/>
        <v>0</v>
      </c>
      <c r="AL168" s="108">
        <f t="shared" si="175"/>
        <v>0</v>
      </c>
      <c r="AN168" s="100">
        <v>15</v>
      </c>
      <c r="AO168" s="100">
        <f t="shared" si="176"/>
        <v>0</v>
      </c>
      <c r="AP168" s="100">
        <f t="shared" si="177"/>
        <v>0</v>
      </c>
      <c r="AQ168" s="111" t="s">
        <v>13</v>
      </c>
      <c r="AV168" s="100">
        <f t="shared" si="178"/>
        <v>0</v>
      </c>
      <c r="AW168" s="100">
        <f t="shared" si="179"/>
        <v>0</v>
      </c>
      <c r="AX168" s="100">
        <f t="shared" si="180"/>
        <v>0</v>
      </c>
      <c r="AY168" s="110" t="s">
        <v>1711</v>
      </c>
      <c r="AZ168" s="110" t="s">
        <v>1733</v>
      </c>
      <c r="BA168" s="109" t="s">
        <v>1737</v>
      </c>
      <c r="BC168" s="100">
        <f t="shared" si="181"/>
        <v>0</v>
      </c>
      <c r="BD168" s="100">
        <f t="shared" si="182"/>
        <v>0</v>
      </c>
      <c r="BE168" s="100">
        <v>0</v>
      </c>
      <c r="BF168" s="100">
        <f>168</f>
        <v>168</v>
      </c>
      <c r="BH168" s="108">
        <f t="shared" si="183"/>
        <v>0</v>
      </c>
      <c r="BI168" s="108">
        <f t="shared" si="184"/>
        <v>0</v>
      </c>
      <c r="BJ168" s="108">
        <f t="shared" si="185"/>
        <v>0</v>
      </c>
    </row>
    <row r="169" spans="1:62" x14ac:dyDescent="0.2">
      <c r="A169" s="117" t="s">
        <v>148</v>
      </c>
      <c r="B169" s="117" t="s">
        <v>4318</v>
      </c>
      <c r="C169" s="304" t="s">
        <v>4317</v>
      </c>
      <c r="D169" s="305"/>
      <c r="E169" s="305"/>
      <c r="F169" s="117" t="s">
        <v>1644</v>
      </c>
      <c r="G169" s="116">
        <v>1</v>
      </c>
      <c r="H169" s="159"/>
      <c r="I169" s="108">
        <f t="shared" si="162"/>
        <v>0</v>
      </c>
      <c r="J169" s="108">
        <f t="shared" si="163"/>
        <v>0</v>
      </c>
      <c r="K169" s="108">
        <f t="shared" si="164"/>
        <v>0</v>
      </c>
      <c r="L169" s="111"/>
      <c r="Z169" s="100">
        <f t="shared" si="165"/>
        <v>0</v>
      </c>
      <c r="AB169" s="100">
        <f t="shared" si="166"/>
        <v>0</v>
      </c>
      <c r="AC169" s="100">
        <f t="shared" si="167"/>
        <v>0</v>
      </c>
      <c r="AD169" s="100">
        <f t="shared" si="168"/>
        <v>0</v>
      </c>
      <c r="AE169" s="100">
        <f t="shared" si="169"/>
        <v>0</v>
      </c>
      <c r="AF169" s="100">
        <f t="shared" si="170"/>
        <v>0</v>
      </c>
      <c r="AG169" s="100">
        <f t="shared" si="171"/>
        <v>0</v>
      </c>
      <c r="AH169" s="100">
        <f t="shared" si="172"/>
        <v>0</v>
      </c>
      <c r="AI169" s="109"/>
      <c r="AJ169" s="108">
        <f t="shared" si="173"/>
        <v>0</v>
      </c>
      <c r="AK169" s="108">
        <f t="shared" si="174"/>
        <v>0</v>
      </c>
      <c r="AL169" s="108">
        <f t="shared" si="175"/>
        <v>0</v>
      </c>
      <c r="AN169" s="100">
        <v>15</v>
      </c>
      <c r="AO169" s="100">
        <f t="shared" si="176"/>
        <v>0</v>
      </c>
      <c r="AP169" s="100">
        <f t="shared" si="177"/>
        <v>0</v>
      </c>
      <c r="AQ169" s="111" t="s">
        <v>13</v>
      </c>
      <c r="AV169" s="100">
        <f t="shared" si="178"/>
        <v>0</v>
      </c>
      <c r="AW169" s="100">
        <f t="shared" si="179"/>
        <v>0</v>
      </c>
      <c r="AX169" s="100">
        <f t="shared" si="180"/>
        <v>0</v>
      </c>
      <c r="AY169" s="110" t="s">
        <v>1711</v>
      </c>
      <c r="AZ169" s="110" t="s">
        <v>1733</v>
      </c>
      <c r="BA169" s="109" t="s">
        <v>1737</v>
      </c>
      <c r="BC169" s="100">
        <f t="shared" si="181"/>
        <v>0</v>
      </c>
      <c r="BD169" s="100">
        <f t="shared" si="182"/>
        <v>0</v>
      </c>
      <c r="BE169" s="100">
        <v>0</v>
      </c>
      <c r="BF169" s="100">
        <f>169</f>
        <v>169</v>
      </c>
      <c r="BH169" s="108">
        <f t="shared" si="183"/>
        <v>0</v>
      </c>
      <c r="BI169" s="108">
        <f t="shared" si="184"/>
        <v>0</v>
      </c>
      <c r="BJ169" s="108">
        <f t="shared" si="185"/>
        <v>0</v>
      </c>
    </row>
    <row r="170" spans="1:62" x14ac:dyDescent="0.2">
      <c r="A170" s="117" t="s">
        <v>149</v>
      </c>
      <c r="B170" s="117" t="s">
        <v>4316</v>
      </c>
      <c r="C170" s="304" t="s">
        <v>1384</v>
      </c>
      <c r="D170" s="305"/>
      <c r="E170" s="305"/>
      <c r="F170" s="117" t="s">
        <v>1644</v>
      </c>
      <c r="G170" s="116">
        <v>1</v>
      </c>
      <c r="H170" s="159"/>
      <c r="I170" s="108">
        <f t="shared" si="162"/>
        <v>0</v>
      </c>
      <c r="J170" s="108">
        <f t="shared" si="163"/>
        <v>0</v>
      </c>
      <c r="K170" s="108">
        <f t="shared" si="164"/>
        <v>0</v>
      </c>
      <c r="L170" s="111"/>
      <c r="Z170" s="100">
        <f t="shared" si="165"/>
        <v>0</v>
      </c>
      <c r="AB170" s="100">
        <f t="shared" si="166"/>
        <v>0</v>
      </c>
      <c r="AC170" s="100">
        <f t="shared" si="167"/>
        <v>0</v>
      </c>
      <c r="AD170" s="100">
        <f t="shared" si="168"/>
        <v>0</v>
      </c>
      <c r="AE170" s="100">
        <f t="shared" si="169"/>
        <v>0</v>
      </c>
      <c r="AF170" s="100">
        <f t="shared" si="170"/>
        <v>0</v>
      </c>
      <c r="AG170" s="100">
        <f t="shared" si="171"/>
        <v>0</v>
      </c>
      <c r="AH170" s="100">
        <f t="shared" si="172"/>
        <v>0</v>
      </c>
      <c r="AI170" s="109"/>
      <c r="AJ170" s="108">
        <f t="shared" si="173"/>
        <v>0</v>
      </c>
      <c r="AK170" s="108">
        <f t="shared" si="174"/>
        <v>0</v>
      </c>
      <c r="AL170" s="108">
        <f t="shared" si="175"/>
        <v>0</v>
      </c>
      <c r="AN170" s="100">
        <v>15</v>
      </c>
      <c r="AO170" s="100">
        <f t="shared" si="176"/>
        <v>0</v>
      </c>
      <c r="AP170" s="100">
        <f t="shared" si="177"/>
        <v>0</v>
      </c>
      <c r="AQ170" s="111" t="s">
        <v>13</v>
      </c>
      <c r="AV170" s="100">
        <f t="shared" si="178"/>
        <v>0</v>
      </c>
      <c r="AW170" s="100">
        <f t="shared" si="179"/>
        <v>0</v>
      </c>
      <c r="AX170" s="100">
        <f t="shared" si="180"/>
        <v>0</v>
      </c>
      <c r="AY170" s="110" t="s">
        <v>1711</v>
      </c>
      <c r="AZ170" s="110" t="s">
        <v>1733</v>
      </c>
      <c r="BA170" s="109" t="s">
        <v>1737</v>
      </c>
      <c r="BC170" s="100">
        <f t="shared" si="181"/>
        <v>0</v>
      </c>
      <c r="BD170" s="100">
        <f t="shared" si="182"/>
        <v>0</v>
      </c>
      <c r="BE170" s="100">
        <v>0</v>
      </c>
      <c r="BF170" s="100">
        <f>170</f>
        <v>170</v>
      </c>
      <c r="BH170" s="108">
        <f t="shared" si="183"/>
        <v>0</v>
      </c>
      <c r="BI170" s="108">
        <f t="shared" si="184"/>
        <v>0</v>
      </c>
      <c r="BJ170" s="108">
        <f t="shared" si="185"/>
        <v>0</v>
      </c>
    </row>
    <row r="171" spans="1:62" x14ac:dyDescent="0.2">
      <c r="A171" s="117" t="s">
        <v>150</v>
      </c>
      <c r="B171" s="117" t="s">
        <v>4315</v>
      </c>
      <c r="C171" s="304" t="s">
        <v>1385</v>
      </c>
      <c r="D171" s="305"/>
      <c r="E171" s="305"/>
      <c r="F171" s="117" t="s">
        <v>1646</v>
      </c>
      <c r="G171" s="116">
        <v>9</v>
      </c>
      <c r="H171" s="159"/>
      <c r="I171" s="108">
        <f t="shared" si="162"/>
        <v>0</v>
      </c>
      <c r="J171" s="108">
        <f t="shared" si="163"/>
        <v>0</v>
      </c>
      <c r="K171" s="108">
        <f t="shared" si="164"/>
        <v>0</v>
      </c>
      <c r="L171" s="111"/>
      <c r="Z171" s="100">
        <f t="shared" si="165"/>
        <v>0</v>
      </c>
      <c r="AB171" s="100">
        <f t="shared" si="166"/>
        <v>0</v>
      </c>
      <c r="AC171" s="100">
        <f t="shared" si="167"/>
        <v>0</v>
      </c>
      <c r="AD171" s="100">
        <f t="shared" si="168"/>
        <v>0</v>
      </c>
      <c r="AE171" s="100">
        <f t="shared" si="169"/>
        <v>0</v>
      </c>
      <c r="AF171" s="100">
        <f t="shared" si="170"/>
        <v>0</v>
      </c>
      <c r="AG171" s="100">
        <f t="shared" si="171"/>
        <v>0</v>
      </c>
      <c r="AH171" s="100">
        <f t="shared" si="172"/>
        <v>0</v>
      </c>
      <c r="AI171" s="109"/>
      <c r="AJ171" s="108">
        <f t="shared" si="173"/>
        <v>0</v>
      </c>
      <c r="AK171" s="108">
        <f t="shared" si="174"/>
        <v>0</v>
      </c>
      <c r="AL171" s="108">
        <f t="shared" si="175"/>
        <v>0</v>
      </c>
      <c r="AN171" s="100">
        <v>15</v>
      </c>
      <c r="AO171" s="100">
        <f t="shared" si="176"/>
        <v>0</v>
      </c>
      <c r="AP171" s="100">
        <f t="shared" si="177"/>
        <v>0</v>
      </c>
      <c r="AQ171" s="111" t="s">
        <v>13</v>
      </c>
      <c r="AV171" s="100">
        <f t="shared" si="178"/>
        <v>0</v>
      </c>
      <c r="AW171" s="100">
        <f t="shared" si="179"/>
        <v>0</v>
      </c>
      <c r="AX171" s="100">
        <f t="shared" si="180"/>
        <v>0</v>
      </c>
      <c r="AY171" s="110" t="s">
        <v>1711</v>
      </c>
      <c r="AZ171" s="110" t="s">
        <v>1733</v>
      </c>
      <c r="BA171" s="109" t="s">
        <v>1737</v>
      </c>
      <c r="BC171" s="100">
        <f t="shared" si="181"/>
        <v>0</v>
      </c>
      <c r="BD171" s="100">
        <f t="shared" si="182"/>
        <v>0</v>
      </c>
      <c r="BE171" s="100">
        <v>0</v>
      </c>
      <c r="BF171" s="100">
        <f>171</f>
        <v>171</v>
      </c>
      <c r="BH171" s="108">
        <f t="shared" si="183"/>
        <v>0</v>
      </c>
      <c r="BI171" s="108">
        <f t="shared" si="184"/>
        <v>0</v>
      </c>
      <c r="BJ171" s="108">
        <f t="shared" si="185"/>
        <v>0</v>
      </c>
    </row>
    <row r="172" spans="1:62" x14ac:dyDescent="0.2">
      <c r="A172" s="117" t="s">
        <v>151</v>
      </c>
      <c r="B172" s="117" t="s">
        <v>4314</v>
      </c>
      <c r="C172" s="304" t="s">
        <v>1386</v>
      </c>
      <c r="D172" s="305"/>
      <c r="E172" s="305"/>
      <c r="F172" s="117" t="s">
        <v>1644</v>
      </c>
      <c r="G172" s="116">
        <v>1</v>
      </c>
      <c r="H172" s="159"/>
      <c r="I172" s="108">
        <f t="shared" si="162"/>
        <v>0</v>
      </c>
      <c r="J172" s="108">
        <f t="shared" si="163"/>
        <v>0</v>
      </c>
      <c r="K172" s="108">
        <f t="shared" si="164"/>
        <v>0</v>
      </c>
      <c r="L172" s="111"/>
      <c r="Z172" s="100">
        <f t="shared" si="165"/>
        <v>0</v>
      </c>
      <c r="AB172" s="100">
        <f t="shared" si="166"/>
        <v>0</v>
      </c>
      <c r="AC172" s="100">
        <f t="shared" si="167"/>
        <v>0</v>
      </c>
      <c r="AD172" s="100">
        <f t="shared" si="168"/>
        <v>0</v>
      </c>
      <c r="AE172" s="100">
        <f t="shared" si="169"/>
        <v>0</v>
      </c>
      <c r="AF172" s="100">
        <f t="shared" si="170"/>
        <v>0</v>
      </c>
      <c r="AG172" s="100">
        <f t="shared" si="171"/>
        <v>0</v>
      </c>
      <c r="AH172" s="100">
        <f t="shared" si="172"/>
        <v>0</v>
      </c>
      <c r="AI172" s="109"/>
      <c r="AJ172" s="108">
        <f t="shared" si="173"/>
        <v>0</v>
      </c>
      <c r="AK172" s="108">
        <f t="shared" si="174"/>
        <v>0</v>
      </c>
      <c r="AL172" s="108">
        <f t="shared" si="175"/>
        <v>0</v>
      </c>
      <c r="AN172" s="100">
        <v>15</v>
      </c>
      <c r="AO172" s="100">
        <f t="shared" si="176"/>
        <v>0</v>
      </c>
      <c r="AP172" s="100">
        <f t="shared" si="177"/>
        <v>0</v>
      </c>
      <c r="AQ172" s="111" t="s">
        <v>13</v>
      </c>
      <c r="AV172" s="100">
        <f t="shared" si="178"/>
        <v>0</v>
      </c>
      <c r="AW172" s="100">
        <f t="shared" si="179"/>
        <v>0</v>
      </c>
      <c r="AX172" s="100">
        <f t="shared" si="180"/>
        <v>0</v>
      </c>
      <c r="AY172" s="110" t="s">
        <v>1711</v>
      </c>
      <c r="AZ172" s="110" t="s">
        <v>1733</v>
      </c>
      <c r="BA172" s="109" t="s">
        <v>1737</v>
      </c>
      <c r="BC172" s="100">
        <f t="shared" si="181"/>
        <v>0</v>
      </c>
      <c r="BD172" s="100">
        <f t="shared" si="182"/>
        <v>0</v>
      </c>
      <c r="BE172" s="100">
        <v>0</v>
      </c>
      <c r="BF172" s="100">
        <f>172</f>
        <v>172</v>
      </c>
      <c r="BH172" s="108">
        <f t="shared" si="183"/>
        <v>0</v>
      </c>
      <c r="BI172" s="108">
        <f t="shared" si="184"/>
        <v>0</v>
      </c>
      <c r="BJ172" s="108">
        <f t="shared" si="185"/>
        <v>0</v>
      </c>
    </row>
    <row r="173" spans="1:62" x14ac:dyDescent="0.2">
      <c r="A173" s="117" t="s">
        <v>152</v>
      </c>
      <c r="B173" s="117" t="s">
        <v>4313</v>
      </c>
      <c r="C173" s="304" t="s">
        <v>1387</v>
      </c>
      <c r="D173" s="305"/>
      <c r="E173" s="305"/>
      <c r="F173" s="117" t="s">
        <v>1644</v>
      </c>
      <c r="G173" s="116">
        <v>1</v>
      </c>
      <c r="H173" s="159"/>
      <c r="I173" s="108">
        <f t="shared" si="162"/>
        <v>0</v>
      </c>
      <c r="J173" s="108">
        <f t="shared" si="163"/>
        <v>0</v>
      </c>
      <c r="K173" s="108">
        <f t="shared" si="164"/>
        <v>0</v>
      </c>
      <c r="L173" s="111"/>
      <c r="Z173" s="100">
        <f t="shared" si="165"/>
        <v>0</v>
      </c>
      <c r="AB173" s="100">
        <f t="shared" si="166"/>
        <v>0</v>
      </c>
      <c r="AC173" s="100">
        <f t="shared" si="167"/>
        <v>0</v>
      </c>
      <c r="AD173" s="100">
        <f t="shared" si="168"/>
        <v>0</v>
      </c>
      <c r="AE173" s="100">
        <f t="shared" si="169"/>
        <v>0</v>
      </c>
      <c r="AF173" s="100">
        <f t="shared" si="170"/>
        <v>0</v>
      </c>
      <c r="AG173" s="100">
        <f t="shared" si="171"/>
        <v>0</v>
      </c>
      <c r="AH173" s="100">
        <f t="shared" si="172"/>
        <v>0</v>
      </c>
      <c r="AI173" s="109"/>
      <c r="AJ173" s="108">
        <f t="shared" si="173"/>
        <v>0</v>
      </c>
      <c r="AK173" s="108">
        <f t="shared" si="174"/>
        <v>0</v>
      </c>
      <c r="AL173" s="108">
        <f t="shared" si="175"/>
        <v>0</v>
      </c>
      <c r="AN173" s="100">
        <v>15</v>
      </c>
      <c r="AO173" s="100">
        <f t="shared" si="176"/>
        <v>0</v>
      </c>
      <c r="AP173" s="100">
        <f t="shared" si="177"/>
        <v>0</v>
      </c>
      <c r="AQ173" s="111" t="s">
        <v>13</v>
      </c>
      <c r="AV173" s="100">
        <f t="shared" si="178"/>
        <v>0</v>
      </c>
      <c r="AW173" s="100">
        <f t="shared" si="179"/>
        <v>0</v>
      </c>
      <c r="AX173" s="100">
        <f t="shared" si="180"/>
        <v>0</v>
      </c>
      <c r="AY173" s="110" t="s">
        <v>1711</v>
      </c>
      <c r="AZ173" s="110" t="s">
        <v>1733</v>
      </c>
      <c r="BA173" s="109" t="s">
        <v>1737</v>
      </c>
      <c r="BC173" s="100">
        <f t="shared" si="181"/>
        <v>0</v>
      </c>
      <c r="BD173" s="100">
        <f t="shared" si="182"/>
        <v>0</v>
      </c>
      <c r="BE173" s="100">
        <v>0</v>
      </c>
      <c r="BF173" s="100">
        <f>173</f>
        <v>173</v>
      </c>
      <c r="BH173" s="108">
        <f t="shared" si="183"/>
        <v>0</v>
      </c>
      <c r="BI173" s="108">
        <f t="shared" si="184"/>
        <v>0</v>
      </c>
      <c r="BJ173" s="108">
        <f t="shared" si="185"/>
        <v>0</v>
      </c>
    </row>
    <row r="174" spans="1:62" x14ac:dyDescent="0.2">
      <c r="A174" s="117" t="s">
        <v>153</v>
      </c>
      <c r="B174" s="117" t="s">
        <v>4312</v>
      </c>
      <c r="C174" s="304" t="s">
        <v>1388</v>
      </c>
      <c r="D174" s="305"/>
      <c r="E174" s="305"/>
      <c r="F174" s="117" t="s">
        <v>1644</v>
      </c>
      <c r="G174" s="116">
        <v>1</v>
      </c>
      <c r="H174" s="159"/>
      <c r="I174" s="108">
        <f t="shared" si="162"/>
        <v>0</v>
      </c>
      <c r="J174" s="108">
        <f t="shared" si="163"/>
        <v>0</v>
      </c>
      <c r="K174" s="108">
        <f t="shared" si="164"/>
        <v>0</v>
      </c>
      <c r="L174" s="111"/>
      <c r="Z174" s="100">
        <f t="shared" si="165"/>
        <v>0</v>
      </c>
      <c r="AB174" s="100">
        <f t="shared" si="166"/>
        <v>0</v>
      </c>
      <c r="AC174" s="100">
        <f t="shared" si="167"/>
        <v>0</v>
      </c>
      <c r="AD174" s="100">
        <f t="shared" si="168"/>
        <v>0</v>
      </c>
      <c r="AE174" s="100">
        <f t="shared" si="169"/>
        <v>0</v>
      </c>
      <c r="AF174" s="100">
        <f t="shared" si="170"/>
        <v>0</v>
      </c>
      <c r="AG174" s="100">
        <f t="shared" si="171"/>
        <v>0</v>
      </c>
      <c r="AH174" s="100">
        <f t="shared" si="172"/>
        <v>0</v>
      </c>
      <c r="AI174" s="109"/>
      <c r="AJ174" s="108">
        <f t="shared" si="173"/>
        <v>0</v>
      </c>
      <c r="AK174" s="108">
        <f t="shared" si="174"/>
        <v>0</v>
      </c>
      <c r="AL174" s="108">
        <f t="shared" si="175"/>
        <v>0</v>
      </c>
      <c r="AN174" s="100">
        <v>15</v>
      </c>
      <c r="AO174" s="100">
        <f t="shared" si="176"/>
        <v>0</v>
      </c>
      <c r="AP174" s="100">
        <f t="shared" si="177"/>
        <v>0</v>
      </c>
      <c r="AQ174" s="111" t="s">
        <v>13</v>
      </c>
      <c r="AV174" s="100">
        <f t="shared" si="178"/>
        <v>0</v>
      </c>
      <c r="AW174" s="100">
        <f t="shared" si="179"/>
        <v>0</v>
      </c>
      <c r="AX174" s="100">
        <f t="shared" si="180"/>
        <v>0</v>
      </c>
      <c r="AY174" s="110" t="s">
        <v>1711</v>
      </c>
      <c r="AZ174" s="110" t="s">
        <v>1733</v>
      </c>
      <c r="BA174" s="109" t="s">
        <v>1737</v>
      </c>
      <c r="BC174" s="100">
        <f t="shared" si="181"/>
        <v>0</v>
      </c>
      <c r="BD174" s="100">
        <f t="shared" si="182"/>
        <v>0</v>
      </c>
      <c r="BE174" s="100">
        <v>0</v>
      </c>
      <c r="BF174" s="100">
        <f>174</f>
        <v>174</v>
      </c>
      <c r="BH174" s="108">
        <f t="shared" si="183"/>
        <v>0</v>
      </c>
      <c r="BI174" s="108">
        <f t="shared" si="184"/>
        <v>0</v>
      </c>
      <c r="BJ174" s="108">
        <f t="shared" si="185"/>
        <v>0</v>
      </c>
    </row>
    <row r="175" spans="1:62" x14ac:dyDescent="0.2">
      <c r="A175" s="117" t="s">
        <v>154</v>
      </c>
      <c r="B175" s="117" t="s">
        <v>4311</v>
      </c>
      <c r="C175" s="304" t="s">
        <v>1389</v>
      </c>
      <c r="D175" s="305"/>
      <c r="E175" s="305"/>
      <c r="F175" s="117" t="s">
        <v>1644</v>
      </c>
      <c r="G175" s="116">
        <v>1</v>
      </c>
      <c r="H175" s="159"/>
      <c r="I175" s="108">
        <f t="shared" si="162"/>
        <v>0</v>
      </c>
      <c r="J175" s="108">
        <f t="shared" si="163"/>
        <v>0</v>
      </c>
      <c r="K175" s="108">
        <f t="shared" si="164"/>
        <v>0</v>
      </c>
      <c r="L175" s="111"/>
      <c r="Z175" s="100">
        <f t="shared" si="165"/>
        <v>0</v>
      </c>
      <c r="AB175" s="100">
        <f t="shared" si="166"/>
        <v>0</v>
      </c>
      <c r="AC175" s="100">
        <f t="shared" si="167"/>
        <v>0</v>
      </c>
      <c r="AD175" s="100">
        <f t="shared" si="168"/>
        <v>0</v>
      </c>
      <c r="AE175" s="100">
        <f t="shared" si="169"/>
        <v>0</v>
      </c>
      <c r="AF175" s="100">
        <f t="shared" si="170"/>
        <v>0</v>
      </c>
      <c r="AG175" s="100">
        <f t="shared" si="171"/>
        <v>0</v>
      </c>
      <c r="AH175" s="100">
        <f t="shared" si="172"/>
        <v>0</v>
      </c>
      <c r="AI175" s="109"/>
      <c r="AJ175" s="108">
        <f t="shared" si="173"/>
        <v>0</v>
      </c>
      <c r="AK175" s="108">
        <f t="shared" si="174"/>
        <v>0</v>
      </c>
      <c r="AL175" s="108">
        <f t="shared" si="175"/>
        <v>0</v>
      </c>
      <c r="AN175" s="100">
        <v>15</v>
      </c>
      <c r="AO175" s="100">
        <f t="shared" si="176"/>
        <v>0</v>
      </c>
      <c r="AP175" s="100">
        <f t="shared" si="177"/>
        <v>0</v>
      </c>
      <c r="AQ175" s="111" t="s">
        <v>13</v>
      </c>
      <c r="AV175" s="100">
        <f t="shared" si="178"/>
        <v>0</v>
      </c>
      <c r="AW175" s="100">
        <f t="shared" si="179"/>
        <v>0</v>
      </c>
      <c r="AX175" s="100">
        <f t="shared" si="180"/>
        <v>0</v>
      </c>
      <c r="AY175" s="110" t="s">
        <v>1711</v>
      </c>
      <c r="AZ175" s="110" t="s">
        <v>1733</v>
      </c>
      <c r="BA175" s="109" t="s">
        <v>1737</v>
      </c>
      <c r="BC175" s="100">
        <f t="shared" si="181"/>
        <v>0</v>
      </c>
      <c r="BD175" s="100">
        <f t="shared" si="182"/>
        <v>0</v>
      </c>
      <c r="BE175" s="100">
        <v>0</v>
      </c>
      <c r="BF175" s="100">
        <f>175</f>
        <v>175</v>
      </c>
      <c r="BH175" s="108">
        <f t="shared" si="183"/>
        <v>0</v>
      </c>
      <c r="BI175" s="108">
        <f t="shared" si="184"/>
        <v>0</v>
      </c>
      <c r="BJ175" s="108">
        <f t="shared" si="185"/>
        <v>0</v>
      </c>
    </row>
    <row r="176" spans="1:62" x14ac:dyDescent="0.2">
      <c r="A176" s="117" t="s">
        <v>155</v>
      </c>
      <c r="B176" s="117" t="s">
        <v>4310</v>
      </c>
      <c r="C176" s="304" t="s">
        <v>1392</v>
      </c>
      <c r="D176" s="305"/>
      <c r="E176" s="305"/>
      <c r="F176" s="117" t="s">
        <v>1644</v>
      </c>
      <c r="G176" s="116">
        <v>2</v>
      </c>
      <c r="H176" s="159"/>
      <c r="I176" s="108">
        <f t="shared" si="162"/>
        <v>0</v>
      </c>
      <c r="J176" s="108">
        <f t="shared" si="163"/>
        <v>0</v>
      </c>
      <c r="K176" s="108">
        <f t="shared" si="164"/>
        <v>0</v>
      </c>
      <c r="L176" s="111"/>
      <c r="Z176" s="100">
        <f t="shared" si="165"/>
        <v>0</v>
      </c>
      <c r="AB176" s="100">
        <f t="shared" si="166"/>
        <v>0</v>
      </c>
      <c r="AC176" s="100">
        <f t="shared" si="167"/>
        <v>0</v>
      </c>
      <c r="AD176" s="100">
        <f t="shared" si="168"/>
        <v>0</v>
      </c>
      <c r="AE176" s="100">
        <f t="shared" si="169"/>
        <v>0</v>
      </c>
      <c r="AF176" s="100">
        <f t="shared" si="170"/>
        <v>0</v>
      </c>
      <c r="AG176" s="100">
        <f t="shared" si="171"/>
        <v>0</v>
      </c>
      <c r="AH176" s="100">
        <f t="shared" si="172"/>
        <v>0</v>
      </c>
      <c r="AI176" s="109"/>
      <c r="AJ176" s="108">
        <f t="shared" si="173"/>
        <v>0</v>
      </c>
      <c r="AK176" s="108">
        <f t="shared" si="174"/>
        <v>0</v>
      </c>
      <c r="AL176" s="108">
        <f t="shared" si="175"/>
        <v>0</v>
      </c>
      <c r="AN176" s="100">
        <v>15</v>
      </c>
      <c r="AO176" s="100">
        <f t="shared" si="176"/>
        <v>0</v>
      </c>
      <c r="AP176" s="100">
        <f t="shared" si="177"/>
        <v>0</v>
      </c>
      <c r="AQ176" s="111" t="s">
        <v>13</v>
      </c>
      <c r="AV176" s="100">
        <f t="shared" si="178"/>
        <v>0</v>
      </c>
      <c r="AW176" s="100">
        <f t="shared" si="179"/>
        <v>0</v>
      </c>
      <c r="AX176" s="100">
        <f t="shared" si="180"/>
        <v>0</v>
      </c>
      <c r="AY176" s="110" t="s">
        <v>1711</v>
      </c>
      <c r="AZ176" s="110" t="s">
        <v>1733</v>
      </c>
      <c r="BA176" s="109" t="s">
        <v>1737</v>
      </c>
      <c r="BC176" s="100">
        <f t="shared" si="181"/>
        <v>0</v>
      </c>
      <c r="BD176" s="100">
        <f t="shared" si="182"/>
        <v>0</v>
      </c>
      <c r="BE176" s="100">
        <v>0</v>
      </c>
      <c r="BF176" s="100">
        <f>176</f>
        <v>176</v>
      </c>
      <c r="BH176" s="108">
        <f t="shared" si="183"/>
        <v>0</v>
      </c>
      <c r="BI176" s="108">
        <f t="shared" si="184"/>
        <v>0</v>
      </c>
      <c r="BJ176" s="108">
        <f t="shared" si="185"/>
        <v>0</v>
      </c>
    </row>
    <row r="177" spans="1:62" x14ac:dyDescent="0.2">
      <c r="A177" s="117" t="s">
        <v>156</v>
      </c>
      <c r="B177" s="117" t="s">
        <v>4309</v>
      </c>
      <c r="C177" s="304" t="s">
        <v>1393</v>
      </c>
      <c r="D177" s="305"/>
      <c r="E177" s="305"/>
      <c r="F177" s="117" t="s">
        <v>1644</v>
      </c>
      <c r="G177" s="116">
        <v>1</v>
      </c>
      <c r="H177" s="159"/>
      <c r="I177" s="108">
        <f t="shared" si="162"/>
        <v>0</v>
      </c>
      <c r="J177" s="108">
        <f t="shared" si="163"/>
        <v>0</v>
      </c>
      <c r="K177" s="108">
        <f t="shared" si="164"/>
        <v>0</v>
      </c>
      <c r="L177" s="111"/>
      <c r="Z177" s="100">
        <f t="shared" si="165"/>
        <v>0</v>
      </c>
      <c r="AB177" s="100">
        <f t="shared" si="166"/>
        <v>0</v>
      </c>
      <c r="AC177" s="100">
        <f t="shared" si="167"/>
        <v>0</v>
      </c>
      <c r="AD177" s="100">
        <f t="shared" si="168"/>
        <v>0</v>
      </c>
      <c r="AE177" s="100">
        <f t="shared" si="169"/>
        <v>0</v>
      </c>
      <c r="AF177" s="100">
        <f t="shared" si="170"/>
        <v>0</v>
      </c>
      <c r="AG177" s="100">
        <f t="shared" si="171"/>
        <v>0</v>
      </c>
      <c r="AH177" s="100">
        <f t="shared" si="172"/>
        <v>0</v>
      </c>
      <c r="AI177" s="109"/>
      <c r="AJ177" s="108">
        <f t="shared" si="173"/>
        <v>0</v>
      </c>
      <c r="AK177" s="108">
        <f t="shared" si="174"/>
        <v>0</v>
      </c>
      <c r="AL177" s="108">
        <f t="shared" si="175"/>
        <v>0</v>
      </c>
      <c r="AN177" s="100">
        <v>15</v>
      </c>
      <c r="AO177" s="100">
        <f t="shared" si="176"/>
        <v>0</v>
      </c>
      <c r="AP177" s="100">
        <f t="shared" si="177"/>
        <v>0</v>
      </c>
      <c r="AQ177" s="111" t="s">
        <v>13</v>
      </c>
      <c r="AV177" s="100">
        <f t="shared" si="178"/>
        <v>0</v>
      </c>
      <c r="AW177" s="100">
        <f t="shared" si="179"/>
        <v>0</v>
      </c>
      <c r="AX177" s="100">
        <f t="shared" si="180"/>
        <v>0</v>
      </c>
      <c r="AY177" s="110" t="s">
        <v>1711</v>
      </c>
      <c r="AZ177" s="110" t="s">
        <v>1733</v>
      </c>
      <c r="BA177" s="109" t="s">
        <v>1737</v>
      </c>
      <c r="BC177" s="100">
        <f t="shared" si="181"/>
        <v>0</v>
      </c>
      <c r="BD177" s="100">
        <f t="shared" si="182"/>
        <v>0</v>
      </c>
      <c r="BE177" s="100">
        <v>0</v>
      </c>
      <c r="BF177" s="100">
        <f>177</f>
        <v>177</v>
      </c>
      <c r="BH177" s="108">
        <f t="shared" si="183"/>
        <v>0</v>
      </c>
      <c r="BI177" s="108">
        <f t="shared" si="184"/>
        <v>0</v>
      </c>
      <c r="BJ177" s="108">
        <f t="shared" si="185"/>
        <v>0</v>
      </c>
    </row>
    <row r="178" spans="1:62" x14ac:dyDescent="0.2">
      <c r="A178" s="117" t="s">
        <v>157</v>
      </c>
      <c r="B178" s="117" t="s">
        <v>4308</v>
      </c>
      <c r="C178" s="304" t="s">
        <v>1394</v>
      </c>
      <c r="D178" s="305"/>
      <c r="E178" s="305"/>
      <c r="F178" s="117" t="s">
        <v>1644</v>
      </c>
      <c r="G178" s="116">
        <v>1</v>
      </c>
      <c r="H178" s="159"/>
      <c r="I178" s="108">
        <f t="shared" si="162"/>
        <v>0</v>
      </c>
      <c r="J178" s="108">
        <f t="shared" si="163"/>
        <v>0</v>
      </c>
      <c r="K178" s="108">
        <f t="shared" si="164"/>
        <v>0</v>
      </c>
      <c r="L178" s="111"/>
      <c r="Z178" s="100">
        <f t="shared" si="165"/>
        <v>0</v>
      </c>
      <c r="AB178" s="100">
        <f t="shared" si="166"/>
        <v>0</v>
      </c>
      <c r="AC178" s="100">
        <f t="shared" si="167"/>
        <v>0</v>
      </c>
      <c r="AD178" s="100">
        <f t="shared" si="168"/>
        <v>0</v>
      </c>
      <c r="AE178" s="100">
        <f t="shared" si="169"/>
        <v>0</v>
      </c>
      <c r="AF178" s="100">
        <f t="shared" si="170"/>
        <v>0</v>
      </c>
      <c r="AG178" s="100">
        <f t="shared" si="171"/>
        <v>0</v>
      </c>
      <c r="AH178" s="100">
        <f t="shared" si="172"/>
        <v>0</v>
      </c>
      <c r="AI178" s="109"/>
      <c r="AJ178" s="108">
        <f t="shared" si="173"/>
        <v>0</v>
      </c>
      <c r="AK178" s="108">
        <f t="shared" si="174"/>
        <v>0</v>
      </c>
      <c r="AL178" s="108">
        <f t="shared" si="175"/>
        <v>0</v>
      </c>
      <c r="AN178" s="100">
        <v>15</v>
      </c>
      <c r="AO178" s="100">
        <f t="shared" si="176"/>
        <v>0</v>
      </c>
      <c r="AP178" s="100">
        <f t="shared" si="177"/>
        <v>0</v>
      </c>
      <c r="AQ178" s="111" t="s">
        <v>13</v>
      </c>
      <c r="AV178" s="100">
        <f t="shared" si="178"/>
        <v>0</v>
      </c>
      <c r="AW178" s="100">
        <f t="shared" si="179"/>
        <v>0</v>
      </c>
      <c r="AX178" s="100">
        <f t="shared" si="180"/>
        <v>0</v>
      </c>
      <c r="AY178" s="110" t="s">
        <v>1711</v>
      </c>
      <c r="AZ178" s="110" t="s">
        <v>1733</v>
      </c>
      <c r="BA178" s="109" t="s">
        <v>1737</v>
      </c>
      <c r="BC178" s="100">
        <f t="shared" si="181"/>
        <v>0</v>
      </c>
      <c r="BD178" s="100">
        <f t="shared" si="182"/>
        <v>0</v>
      </c>
      <c r="BE178" s="100">
        <v>0</v>
      </c>
      <c r="BF178" s="100">
        <f>178</f>
        <v>178</v>
      </c>
      <c r="BH178" s="108">
        <f t="shared" si="183"/>
        <v>0</v>
      </c>
      <c r="BI178" s="108">
        <f t="shared" si="184"/>
        <v>0</v>
      </c>
      <c r="BJ178" s="108">
        <f t="shared" si="185"/>
        <v>0</v>
      </c>
    </row>
    <row r="179" spans="1:62" x14ac:dyDescent="0.2">
      <c r="A179" s="119"/>
      <c r="B179" s="120" t="s">
        <v>907</v>
      </c>
      <c r="C179" s="306" t="s">
        <v>1496</v>
      </c>
      <c r="D179" s="307"/>
      <c r="E179" s="307"/>
      <c r="F179" s="119" t="s">
        <v>6</v>
      </c>
      <c r="G179" s="119" t="s">
        <v>6</v>
      </c>
      <c r="H179" s="119" t="s">
        <v>6</v>
      </c>
      <c r="I179" s="118">
        <f>SUM(I180:I181)</f>
        <v>0</v>
      </c>
      <c r="J179" s="118">
        <f>SUM(J180:J181)</f>
        <v>0</v>
      </c>
      <c r="K179" s="118">
        <f>SUM(K180:K181)</f>
        <v>0</v>
      </c>
      <c r="L179" s="109"/>
      <c r="AI179" s="109"/>
      <c r="AS179" s="118">
        <f>SUM(AJ180:AJ181)</f>
        <v>0</v>
      </c>
      <c r="AT179" s="118">
        <f>SUM(AK180:AK181)</f>
        <v>0</v>
      </c>
      <c r="AU179" s="118">
        <f>SUM(AL180:AL181)</f>
        <v>0</v>
      </c>
    </row>
    <row r="180" spans="1:62" x14ac:dyDescent="0.2">
      <c r="A180" s="117" t="s">
        <v>158</v>
      </c>
      <c r="B180" s="117" t="s">
        <v>909</v>
      </c>
      <c r="C180" s="304" t="s">
        <v>4307</v>
      </c>
      <c r="D180" s="305"/>
      <c r="E180" s="305"/>
      <c r="F180" s="117" t="s">
        <v>1644</v>
      </c>
      <c r="G180" s="116">
        <v>1</v>
      </c>
      <c r="H180" s="159"/>
      <c r="I180" s="108">
        <f>G180*AO180</f>
        <v>0</v>
      </c>
      <c r="J180" s="108">
        <f>G180*AP180</f>
        <v>0</v>
      </c>
      <c r="K180" s="108">
        <f>G180*H180</f>
        <v>0</v>
      </c>
      <c r="L180" s="111" t="s">
        <v>1671</v>
      </c>
      <c r="Z180" s="100">
        <f>IF(AQ180="5",BJ180,0)</f>
        <v>0</v>
      </c>
      <c r="AB180" s="100">
        <f>IF(AQ180="1",BH180,0)</f>
        <v>0</v>
      </c>
      <c r="AC180" s="100">
        <f>IF(AQ180="1",BI180,0)</f>
        <v>0</v>
      </c>
      <c r="AD180" s="100">
        <f>IF(AQ180="7",BH180,0)</f>
        <v>0</v>
      </c>
      <c r="AE180" s="100">
        <f>IF(AQ180="7",BI180,0)</f>
        <v>0</v>
      </c>
      <c r="AF180" s="100">
        <f>IF(AQ180="2",BH180,0)</f>
        <v>0</v>
      </c>
      <c r="AG180" s="100">
        <f>IF(AQ180="2",BI180,0)</f>
        <v>0</v>
      </c>
      <c r="AH180" s="100">
        <f>IF(AQ180="0",BJ180,0)</f>
        <v>0</v>
      </c>
      <c r="AI180" s="109"/>
      <c r="AJ180" s="108">
        <f>IF(AN180=0,K180,0)</f>
        <v>0</v>
      </c>
      <c r="AK180" s="108">
        <f>IF(AN180=15,K180,0)</f>
        <v>0</v>
      </c>
      <c r="AL180" s="108">
        <f>IF(AN180=21,K180,0)</f>
        <v>0</v>
      </c>
      <c r="AN180" s="100">
        <v>15</v>
      </c>
      <c r="AO180" s="100">
        <f>H180*0</f>
        <v>0</v>
      </c>
      <c r="AP180" s="100">
        <f>H180*(1-0)</f>
        <v>0</v>
      </c>
      <c r="AQ180" s="111" t="s">
        <v>13</v>
      </c>
      <c r="AV180" s="100">
        <f>AW180+AX180</f>
        <v>0</v>
      </c>
      <c r="AW180" s="100">
        <f>G180*AO180</f>
        <v>0</v>
      </c>
      <c r="AX180" s="100">
        <f>G180*AP180</f>
        <v>0</v>
      </c>
      <c r="AY180" s="110" t="s">
        <v>1717</v>
      </c>
      <c r="AZ180" s="110" t="s">
        <v>1734</v>
      </c>
      <c r="BA180" s="109" t="s">
        <v>1737</v>
      </c>
      <c r="BC180" s="100">
        <f>AW180+AX180</f>
        <v>0</v>
      </c>
      <c r="BD180" s="100">
        <f>H180/(100-BE180)*100</f>
        <v>0</v>
      </c>
      <c r="BE180" s="100">
        <v>0</v>
      </c>
      <c r="BF180" s="100">
        <f>180</f>
        <v>180</v>
      </c>
      <c r="BH180" s="108">
        <f>G180*AO180</f>
        <v>0</v>
      </c>
      <c r="BI180" s="108">
        <f>G180*AP180</f>
        <v>0</v>
      </c>
      <c r="BJ180" s="108">
        <f>G180*H180</f>
        <v>0</v>
      </c>
    </row>
    <row r="181" spans="1:62" x14ac:dyDescent="0.2">
      <c r="A181" s="117" t="s">
        <v>159</v>
      </c>
      <c r="B181" s="117" t="s">
        <v>921</v>
      </c>
      <c r="C181" s="304" t="s">
        <v>1510</v>
      </c>
      <c r="D181" s="305"/>
      <c r="E181" s="305"/>
      <c r="F181" s="117" t="s">
        <v>1648</v>
      </c>
      <c r="G181" s="116">
        <v>1E-3</v>
      </c>
      <c r="H181" s="159"/>
      <c r="I181" s="108">
        <f>G181*AO181</f>
        <v>0</v>
      </c>
      <c r="J181" s="108">
        <f>G181*AP181</f>
        <v>0</v>
      </c>
      <c r="K181" s="108">
        <f>G181*H181</f>
        <v>0</v>
      </c>
      <c r="L181" s="111" t="s">
        <v>1671</v>
      </c>
      <c r="Z181" s="100">
        <f>IF(AQ181="5",BJ181,0)</f>
        <v>0</v>
      </c>
      <c r="AB181" s="100">
        <f>IF(AQ181="1",BH181,0)</f>
        <v>0</v>
      </c>
      <c r="AC181" s="100">
        <f>IF(AQ181="1",BI181,0)</f>
        <v>0</v>
      </c>
      <c r="AD181" s="100">
        <f>IF(AQ181="7",BH181,0)</f>
        <v>0</v>
      </c>
      <c r="AE181" s="100">
        <f>IF(AQ181="7",BI181,0)</f>
        <v>0</v>
      </c>
      <c r="AF181" s="100">
        <f>IF(AQ181="2",BH181,0)</f>
        <v>0</v>
      </c>
      <c r="AG181" s="100">
        <f>IF(AQ181="2",BI181,0)</f>
        <v>0</v>
      </c>
      <c r="AH181" s="100">
        <f>IF(AQ181="0",BJ181,0)</f>
        <v>0</v>
      </c>
      <c r="AI181" s="109"/>
      <c r="AJ181" s="108">
        <f>IF(AN181=0,K181,0)</f>
        <v>0</v>
      </c>
      <c r="AK181" s="108">
        <f>IF(AN181=15,K181,0)</f>
        <v>0</v>
      </c>
      <c r="AL181" s="108">
        <f>IF(AN181=21,K181,0)</f>
        <v>0</v>
      </c>
      <c r="AN181" s="100">
        <v>15</v>
      </c>
      <c r="AO181" s="100">
        <f>H181*0</f>
        <v>0</v>
      </c>
      <c r="AP181" s="100">
        <f>H181*(1-0)</f>
        <v>0</v>
      </c>
      <c r="AQ181" s="111" t="s">
        <v>11</v>
      </c>
      <c r="AV181" s="100">
        <f>AW181+AX181</f>
        <v>0</v>
      </c>
      <c r="AW181" s="100">
        <f>G181*AO181</f>
        <v>0</v>
      </c>
      <c r="AX181" s="100">
        <f>G181*AP181</f>
        <v>0</v>
      </c>
      <c r="AY181" s="110" t="s">
        <v>1717</v>
      </c>
      <c r="AZ181" s="110" t="s">
        <v>1734</v>
      </c>
      <c r="BA181" s="109" t="s">
        <v>1737</v>
      </c>
      <c r="BC181" s="100">
        <f>AW181+AX181</f>
        <v>0</v>
      </c>
      <c r="BD181" s="100">
        <f>H181/(100-BE181)*100</f>
        <v>0</v>
      </c>
      <c r="BE181" s="100">
        <v>0</v>
      </c>
      <c r="BF181" s="100">
        <f>181</f>
        <v>181</v>
      </c>
      <c r="BH181" s="108">
        <f>G181*AO181</f>
        <v>0</v>
      </c>
      <c r="BI181" s="108">
        <f>G181*AP181</f>
        <v>0</v>
      </c>
      <c r="BJ181" s="108">
        <f>G181*H181</f>
        <v>0</v>
      </c>
    </row>
    <row r="182" spans="1:62" x14ac:dyDescent="0.2">
      <c r="A182" s="119"/>
      <c r="B182" s="120" t="s">
        <v>922</v>
      </c>
      <c r="C182" s="306" t="s">
        <v>1511</v>
      </c>
      <c r="D182" s="307"/>
      <c r="E182" s="307"/>
      <c r="F182" s="119" t="s">
        <v>6</v>
      </c>
      <c r="G182" s="119" t="s">
        <v>6</v>
      </c>
      <c r="H182" s="119" t="s">
        <v>6</v>
      </c>
      <c r="I182" s="118">
        <f>SUM(I183:I189)</f>
        <v>0</v>
      </c>
      <c r="J182" s="118">
        <f>SUM(J183:J189)</f>
        <v>0</v>
      </c>
      <c r="K182" s="118">
        <f>SUM(K183:K189)</f>
        <v>0</v>
      </c>
      <c r="L182" s="109"/>
      <c r="AI182" s="109"/>
      <c r="AS182" s="118">
        <f>SUM(AJ183:AJ189)</f>
        <v>0</v>
      </c>
      <c r="AT182" s="118">
        <f>SUM(AK183:AK189)</f>
        <v>0</v>
      </c>
      <c r="AU182" s="118">
        <f>SUM(AL183:AL189)</f>
        <v>0</v>
      </c>
    </row>
    <row r="183" spans="1:62" x14ac:dyDescent="0.2">
      <c r="A183" s="117" t="s">
        <v>160</v>
      </c>
      <c r="B183" s="117" t="s">
        <v>4306</v>
      </c>
      <c r="C183" s="304" t="s">
        <v>4305</v>
      </c>
      <c r="D183" s="305"/>
      <c r="E183" s="305"/>
      <c r="F183" s="117" t="s">
        <v>1645</v>
      </c>
      <c r="G183" s="116">
        <v>17.954999999999998</v>
      </c>
      <c r="H183" s="159"/>
      <c r="I183" s="108">
        <f t="shared" ref="I183:I189" si="186">G183*AO183</f>
        <v>0</v>
      </c>
      <c r="J183" s="108">
        <f t="shared" ref="J183:J189" si="187">G183*AP183</f>
        <v>0</v>
      </c>
      <c r="K183" s="108">
        <f t="shared" ref="K183:K189" si="188">G183*H183</f>
        <v>0</v>
      </c>
      <c r="L183" s="111" t="s">
        <v>1671</v>
      </c>
      <c r="Z183" s="100">
        <f t="shared" ref="Z183:Z189" si="189">IF(AQ183="5",BJ183,0)</f>
        <v>0</v>
      </c>
      <c r="AB183" s="100">
        <f t="shared" ref="AB183:AB189" si="190">IF(AQ183="1",BH183,0)</f>
        <v>0</v>
      </c>
      <c r="AC183" s="100">
        <f t="shared" ref="AC183:AC189" si="191">IF(AQ183="1",BI183,0)</f>
        <v>0</v>
      </c>
      <c r="AD183" s="100">
        <f t="shared" ref="AD183:AD189" si="192">IF(AQ183="7",BH183,0)</f>
        <v>0</v>
      </c>
      <c r="AE183" s="100">
        <f t="shared" ref="AE183:AE189" si="193">IF(AQ183="7",BI183,0)</f>
        <v>0</v>
      </c>
      <c r="AF183" s="100">
        <f t="shared" ref="AF183:AF189" si="194">IF(AQ183="2",BH183,0)</f>
        <v>0</v>
      </c>
      <c r="AG183" s="100">
        <f t="shared" ref="AG183:AG189" si="195">IF(AQ183="2",BI183,0)</f>
        <v>0</v>
      </c>
      <c r="AH183" s="100">
        <f t="shared" ref="AH183:AH189" si="196">IF(AQ183="0",BJ183,0)</f>
        <v>0</v>
      </c>
      <c r="AI183" s="109"/>
      <c r="AJ183" s="108">
        <f t="shared" ref="AJ183:AJ189" si="197">IF(AN183=0,K183,0)</f>
        <v>0</v>
      </c>
      <c r="AK183" s="108">
        <f t="shared" ref="AK183:AK189" si="198">IF(AN183=15,K183,0)</f>
        <v>0</v>
      </c>
      <c r="AL183" s="108">
        <f t="shared" ref="AL183:AL189" si="199">IF(AN183=21,K183,0)</f>
        <v>0</v>
      </c>
      <c r="AN183" s="100">
        <v>15</v>
      </c>
      <c r="AO183" s="100">
        <f>H183*0</f>
        <v>0</v>
      </c>
      <c r="AP183" s="100">
        <f>H183*(1-0)</f>
        <v>0</v>
      </c>
      <c r="AQ183" s="111" t="s">
        <v>13</v>
      </c>
      <c r="AV183" s="100">
        <f t="shared" ref="AV183:AV189" si="200">AW183+AX183</f>
        <v>0</v>
      </c>
      <c r="AW183" s="100">
        <f t="shared" ref="AW183:AW189" si="201">G183*AO183</f>
        <v>0</v>
      </c>
      <c r="AX183" s="100">
        <f t="shared" ref="AX183:AX189" si="202">G183*AP183</f>
        <v>0</v>
      </c>
      <c r="AY183" s="110" t="s">
        <v>1718</v>
      </c>
      <c r="AZ183" s="110" t="s">
        <v>1735</v>
      </c>
      <c r="BA183" s="109" t="s">
        <v>1737</v>
      </c>
      <c r="BC183" s="100">
        <f t="shared" ref="BC183:BC189" si="203">AW183+AX183</f>
        <v>0</v>
      </c>
      <c r="BD183" s="100">
        <f t="shared" ref="BD183:BD189" si="204">H183/(100-BE183)*100</f>
        <v>0</v>
      </c>
      <c r="BE183" s="100">
        <v>0</v>
      </c>
      <c r="BF183" s="100">
        <f>183</f>
        <v>183</v>
      </c>
      <c r="BH183" s="108">
        <f t="shared" ref="BH183:BH189" si="205">G183*AO183</f>
        <v>0</v>
      </c>
      <c r="BI183" s="108">
        <f t="shared" ref="BI183:BI189" si="206">G183*AP183</f>
        <v>0</v>
      </c>
      <c r="BJ183" s="108">
        <f t="shared" ref="BJ183:BJ189" si="207">G183*H183</f>
        <v>0</v>
      </c>
    </row>
    <row r="184" spans="1:62" x14ac:dyDescent="0.2">
      <c r="A184" s="117" t="s">
        <v>161</v>
      </c>
      <c r="B184" s="117" t="s">
        <v>924</v>
      </c>
      <c r="C184" s="304" t="s">
        <v>1513</v>
      </c>
      <c r="D184" s="305"/>
      <c r="E184" s="305"/>
      <c r="F184" s="117" t="s">
        <v>1645</v>
      </c>
      <c r="G184" s="116">
        <v>17.954999999999998</v>
      </c>
      <c r="H184" s="159"/>
      <c r="I184" s="108">
        <f t="shared" si="186"/>
        <v>0</v>
      </c>
      <c r="J184" s="108">
        <f t="shared" si="187"/>
        <v>0</v>
      </c>
      <c r="K184" s="108">
        <f t="shared" si="188"/>
        <v>0</v>
      </c>
      <c r="L184" s="111" t="s">
        <v>1671</v>
      </c>
      <c r="Z184" s="100">
        <f t="shared" si="189"/>
        <v>0</v>
      </c>
      <c r="AB184" s="100">
        <f t="shared" si="190"/>
        <v>0</v>
      </c>
      <c r="AC184" s="100">
        <f t="shared" si="191"/>
        <v>0</v>
      </c>
      <c r="AD184" s="100">
        <f t="shared" si="192"/>
        <v>0</v>
      </c>
      <c r="AE184" s="100">
        <f t="shared" si="193"/>
        <v>0</v>
      </c>
      <c r="AF184" s="100">
        <f t="shared" si="194"/>
        <v>0</v>
      </c>
      <c r="AG184" s="100">
        <f t="shared" si="195"/>
        <v>0</v>
      </c>
      <c r="AH184" s="100">
        <f t="shared" si="196"/>
        <v>0</v>
      </c>
      <c r="AI184" s="109"/>
      <c r="AJ184" s="108">
        <f t="shared" si="197"/>
        <v>0</v>
      </c>
      <c r="AK184" s="108">
        <f t="shared" si="198"/>
        <v>0</v>
      </c>
      <c r="AL184" s="108">
        <f t="shared" si="199"/>
        <v>0</v>
      </c>
      <c r="AN184" s="100">
        <v>15</v>
      </c>
      <c r="AO184" s="100">
        <f>H184*0.476941152431549</f>
        <v>0</v>
      </c>
      <c r="AP184" s="100">
        <f>H184*(1-0.476941152431549)</f>
        <v>0</v>
      </c>
      <c r="AQ184" s="111" t="s">
        <v>13</v>
      </c>
      <c r="AV184" s="100">
        <f t="shared" si="200"/>
        <v>0</v>
      </c>
      <c r="AW184" s="100">
        <f t="shared" si="201"/>
        <v>0</v>
      </c>
      <c r="AX184" s="100">
        <f t="shared" si="202"/>
        <v>0</v>
      </c>
      <c r="AY184" s="110" t="s">
        <v>1718</v>
      </c>
      <c r="AZ184" s="110" t="s">
        <v>1735</v>
      </c>
      <c r="BA184" s="109" t="s">
        <v>1737</v>
      </c>
      <c r="BC184" s="100">
        <f t="shared" si="203"/>
        <v>0</v>
      </c>
      <c r="BD184" s="100">
        <f t="shared" si="204"/>
        <v>0</v>
      </c>
      <c r="BE184" s="100">
        <v>0</v>
      </c>
      <c r="BF184" s="100">
        <f>184</f>
        <v>184</v>
      </c>
      <c r="BH184" s="108">
        <f t="shared" si="205"/>
        <v>0</v>
      </c>
      <c r="BI184" s="108">
        <f t="shared" si="206"/>
        <v>0</v>
      </c>
      <c r="BJ184" s="108">
        <f t="shared" si="207"/>
        <v>0</v>
      </c>
    </row>
    <row r="185" spans="1:62" x14ac:dyDescent="0.2">
      <c r="A185" s="117" t="s">
        <v>162</v>
      </c>
      <c r="B185" s="117" t="s">
        <v>925</v>
      </c>
      <c r="C185" s="304" t="s">
        <v>1514</v>
      </c>
      <c r="D185" s="305"/>
      <c r="E185" s="305"/>
      <c r="F185" s="117" t="s">
        <v>1645</v>
      </c>
      <c r="G185" s="116">
        <v>17.954999999999998</v>
      </c>
      <c r="H185" s="159"/>
      <c r="I185" s="108">
        <f t="shared" si="186"/>
        <v>0</v>
      </c>
      <c r="J185" s="108">
        <f t="shared" si="187"/>
        <v>0</v>
      </c>
      <c r="K185" s="108">
        <f t="shared" si="188"/>
        <v>0</v>
      </c>
      <c r="L185" s="111" t="s">
        <v>1671</v>
      </c>
      <c r="Z185" s="100">
        <f t="shared" si="189"/>
        <v>0</v>
      </c>
      <c r="AB185" s="100">
        <f t="shared" si="190"/>
        <v>0</v>
      </c>
      <c r="AC185" s="100">
        <f t="shared" si="191"/>
        <v>0</v>
      </c>
      <c r="AD185" s="100">
        <f t="shared" si="192"/>
        <v>0</v>
      </c>
      <c r="AE185" s="100">
        <f t="shared" si="193"/>
        <v>0</v>
      </c>
      <c r="AF185" s="100">
        <f t="shared" si="194"/>
        <v>0</v>
      </c>
      <c r="AG185" s="100">
        <f t="shared" si="195"/>
        <v>0</v>
      </c>
      <c r="AH185" s="100">
        <f t="shared" si="196"/>
        <v>0</v>
      </c>
      <c r="AI185" s="109"/>
      <c r="AJ185" s="108">
        <f t="shared" si="197"/>
        <v>0</v>
      </c>
      <c r="AK185" s="108">
        <f t="shared" si="198"/>
        <v>0</v>
      </c>
      <c r="AL185" s="108">
        <f t="shared" si="199"/>
        <v>0</v>
      </c>
      <c r="AN185" s="100">
        <v>15</v>
      </c>
      <c r="AO185" s="100">
        <f>H185*0</f>
        <v>0</v>
      </c>
      <c r="AP185" s="100">
        <f>H185*(1-0)</f>
        <v>0</v>
      </c>
      <c r="AQ185" s="111" t="s">
        <v>13</v>
      </c>
      <c r="AV185" s="100">
        <f t="shared" si="200"/>
        <v>0</v>
      </c>
      <c r="AW185" s="100">
        <f t="shared" si="201"/>
        <v>0</v>
      </c>
      <c r="AX185" s="100">
        <f t="shared" si="202"/>
        <v>0</v>
      </c>
      <c r="AY185" s="110" t="s">
        <v>1718</v>
      </c>
      <c r="AZ185" s="110" t="s">
        <v>1735</v>
      </c>
      <c r="BA185" s="109" t="s">
        <v>1737</v>
      </c>
      <c r="BC185" s="100">
        <f t="shared" si="203"/>
        <v>0</v>
      </c>
      <c r="BD185" s="100">
        <f t="shared" si="204"/>
        <v>0</v>
      </c>
      <c r="BE185" s="100">
        <v>0</v>
      </c>
      <c r="BF185" s="100">
        <f>185</f>
        <v>185</v>
      </c>
      <c r="BH185" s="108">
        <f t="shared" si="205"/>
        <v>0</v>
      </c>
      <c r="BI185" s="108">
        <f t="shared" si="206"/>
        <v>0</v>
      </c>
      <c r="BJ185" s="108">
        <f t="shared" si="207"/>
        <v>0</v>
      </c>
    </row>
    <row r="186" spans="1:62" x14ac:dyDescent="0.2">
      <c r="A186" s="124" t="s">
        <v>163</v>
      </c>
      <c r="B186" s="124" t="s">
        <v>926</v>
      </c>
      <c r="C186" s="311" t="s">
        <v>1515</v>
      </c>
      <c r="D186" s="312"/>
      <c r="E186" s="312"/>
      <c r="F186" s="124" t="s">
        <v>1645</v>
      </c>
      <c r="G186" s="123">
        <v>18.853000000000002</v>
      </c>
      <c r="H186" s="160"/>
      <c r="I186" s="121">
        <f t="shared" si="186"/>
        <v>0</v>
      </c>
      <c r="J186" s="121">
        <f t="shared" si="187"/>
        <v>0</v>
      </c>
      <c r="K186" s="121">
        <f t="shared" si="188"/>
        <v>0</v>
      </c>
      <c r="L186" s="122" t="s">
        <v>1671</v>
      </c>
      <c r="Z186" s="100">
        <f t="shared" si="189"/>
        <v>0</v>
      </c>
      <c r="AB186" s="100">
        <f t="shared" si="190"/>
        <v>0</v>
      </c>
      <c r="AC186" s="100">
        <f t="shared" si="191"/>
        <v>0</v>
      </c>
      <c r="AD186" s="100">
        <f t="shared" si="192"/>
        <v>0</v>
      </c>
      <c r="AE186" s="100">
        <f t="shared" si="193"/>
        <v>0</v>
      </c>
      <c r="AF186" s="100">
        <f t="shared" si="194"/>
        <v>0</v>
      </c>
      <c r="AG186" s="100">
        <f t="shared" si="195"/>
        <v>0</v>
      </c>
      <c r="AH186" s="100">
        <f t="shared" si="196"/>
        <v>0</v>
      </c>
      <c r="AI186" s="109"/>
      <c r="AJ186" s="121">
        <f t="shared" si="197"/>
        <v>0</v>
      </c>
      <c r="AK186" s="121">
        <f t="shared" si="198"/>
        <v>0</v>
      </c>
      <c r="AL186" s="121">
        <f t="shared" si="199"/>
        <v>0</v>
      </c>
      <c r="AN186" s="100">
        <v>15</v>
      </c>
      <c r="AO186" s="100">
        <f>H186*1</f>
        <v>0</v>
      </c>
      <c r="AP186" s="100">
        <f>H186*(1-1)</f>
        <v>0</v>
      </c>
      <c r="AQ186" s="122" t="s">
        <v>13</v>
      </c>
      <c r="AV186" s="100">
        <f t="shared" si="200"/>
        <v>0</v>
      </c>
      <c r="AW186" s="100">
        <f t="shared" si="201"/>
        <v>0</v>
      </c>
      <c r="AX186" s="100">
        <f t="shared" si="202"/>
        <v>0</v>
      </c>
      <c r="AY186" s="110" t="s">
        <v>1718</v>
      </c>
      <c r="AZ186" s="110" t="s">
        <v>1735</v>
      </c>
      <c r="BA186" s="109" t="s">
        <v>1737</v>
      </c>
      <c r="BC186" s="100">
        <f t="shared" si="203"/>
        <v>0</v>
      </c>
      <c r="BD186" s="100">
        <f t="shared" si="204"/>
        <v>0</v>
      </c>
      <c r="BE186" s="100">
        <v>0</v>
      </c>
      <c r="BF186" s="100">
        <f>186</f>
        <v>186</v>
      </c>
      <c r="BH186" s="121">
        <f t="shared" si="205"/>
        <v>0</v>
      </c>
      <c r="BI186" s="121">
        <f t="shared" si="206"/>
        <v>0</v>
      </c>
      <c r="BJ186" s="121">
        <f t="shared" si="207"/>
        <v>0</v>
      </c>
    </row>
    <row r="187" spans="1:62" x14ac:dyDescent="0.2">
      <c r="A187" s="117" t="s">
        <v>164</v>
      </c>
      <c r="B187" s="117" t="s">
        <v>927</v>
      </c>
      <c r="C187" s="304" t="s">
        <v>1516</v>
      </c>
      <c r="D187" s="305"/>
      <c r="E187" s="305"/>
      <c r="F187" s="117" t="s">
        <v>1646</v>
      </c>
      <c r="G187" s="116">
        <v>16.079999999999998</v>
      </c>
      <c r="H187" s="159"/>
      <c r="I187" s="108">
        <f t="shared" si="186"/>
        <v>0</v>
      </c>
      <c r="J187" s="108">
        <f t="shared" si="187"/>
        <v>0</v>
      </c>
      <c r="K187" s="108">
        <f t="shared" si="188"/>
        <v>0</v>
      </c>
      <c r="L187" s="111" t="s">
        <v>1671</v>
      </c>
      <c r="Z187" s="100">
        <f t="shared" si="189"/>
        <v>0</v>
      </c>
      <c r="AB187" s="100">
        <f t="shared" si="190"/>
        <v>0</v>
      </c>
      <c r="AC187" s="100">
        <f t="shared" si="191"/>
        <v>0</v>
      </c>
      <c r="AD187" s="100">
        <f t="shared" si="192"/>
        <v>0</v>
      </c>
      <c r="AE187" s="100">
        <f t="shared" si="193"/>
        <v>0</v>
      </c>
      <c r="AF187" s="100">
        <f t="shared" si="194"/>
        <v>0</v>
      </c>
      <c r="AG187" s="100">
        <f t="shared" si="195"/>
        <v>0</v>
      </c>
      <c r="AH187" s="100">
        <f t="shared" si="196"/>
        <v>0</v>
      </c>
      <c r="AI187" s="109"/>
      <c r="AJ187" s="108">
        <f t="shared" si="197"/>
        <v>0</v>
      </c>
      <c r="AK187" s="108">
        <f t="shared" si="198"/>
        <v>0</v>
      </c>
      <c r="AL187" s="108">
        <f t="shared" si="199"/>
        <v>0</v>
      </c>
      <c r="AN187" s="100">
        <v>15</v>
      </c>
      <c r="AO187" s="100">
        <f>H187*0.0774901960784314</f>
        <v>0</v>
      </c>
      <c r="AP187" s="100">
        <f>H187*(1-0.0774901960784314)</f>
        <v>0</v>
      </c>
      <c r="AQ187" s="111" t="s">
        <v>13</v>
      </c>
      <c r="AV187" s="100">
        <f t="shared" si="200"/>
        <v>0</v>
      </c>
      <c r="AW187" s="100">
        <f t="shared" si="201"/>
        <v>0</v>
      </c>
      <c r="AX187" s="100">
        <f t="shared" si="202"/>
        <v>0</v>
      </c>
      <c r="AY187" s="110" t="s">
        <v>1718</v>
      </c>
      <c r="AZ187" s="110" t="s">
        <v>1735</v>
      </c>
      <c r="BA187" s="109" t="s">
        <v>1737</v>
      </c>
      <c r="BC187" s="100">
        <f t="shared" si="203"/>
        <v>0</v>
      </c>
      <c r="BD187" s="100">
        <f t="shared" si="204"/>
        <v>0</v>
      </c>
      <c r="BE187" s="100">
        <v>0</v>
      </c>
      <c r="BF187" s="100">
        <f>187</f>
        <v>187</v>
      </c>
      <c r="BH187" s="108">
        <f t="shared" si="205"/>
        <v>0</v>
      </c>
      <c r="BI187" s="108">
        <f t="shared" si="206"/>
        <v>0</v>
      </c>
      <c r="BJ187" s="108">
        <f t="shared" si="207"/>
        <v>0</v>
      </c>
    </row>
    <row r="188" spans="1:62" x14ac:dyDescent="0.2">
      <c r="A188" s="124" t="s">
        <v>165</v>
      </c>
      <c r="B188" s="124" t="s">
        <v>928</v>
      </c>
      <c r="C188" s="311" t="s">
        <v>1517</v>
      </c>
      <c r="D188" s="312"/>
      <c r="E188" s="312"/>
      <c r="F188" s="124" t="s">
        <v>1645</v>
      </c>
      <c r="G188" s="123">
        <v>2.0099999999999998</v>
      </c>
      <c r="H188" s="160"/>
      <c r="I188" s="121">
        <f t="shared" si="186"/>
        <v>0</v>
      </c>
      <c r="J188" s="121">
        <f t="shared" si="187"/>
        <v>0</v>
      </c>
      <c r="K188" s="121">
        <f t="shared" si="188"/>
        <v>0</v>
      </c>
      <c r="L188" s="122" t="s">
        <v>1671</v>
      </c>
      <c r="Z188" s="100">
        <f t="shared" si="189"/>
        <v>0</v>
      </c>
      <c r="AB188" s="100">
        <f t="shared" si="190"/>
        <v>0</v>
      </c>
      <c r="AC188" s="100">
        <f t="shared" si="191"/>
        <v>0</v>
      </c>
      <c r="AD188" s="100">
        <f t="shared" si="192"/>
        <v>0</v>
      </c>
      <c r="AE188" s="100">
        <f t="shared" si="193"/>
        <v>0</v>
      </c>
      <c r="AF188" s="100">
        <f t="shared" si="194"/>
        <v>0</v>
      </c>
      <c r="AG188" s="100">
        <f t="shared" si="195"/>
        <v>0</v>
      </c>
      <c r="AH188" s="100">
        <f t="shared" si="196"/>
        <v>0</v>
      </c>
      <c r="AI188" s="109"/>
      <c r="AJ188" s="121">
        <f t="shared" si="197"/>
        <v>0</v>
      </c>
      <c r="AK188" s="121">
        <f t="shared" si="198"/>
        <v>0</v>
      </c>
      <c r="AL188" s="121">
        <f t="shared" si="199"/>
        <v>0</v>
      </c>
      <c r="AN188" s="100">
        <v>15</v>
      </c>
      <c r="AO188" s="100">
        <f>H188*1</f>
        <v>0</v>
      </c>
      <c r="AP188" s="100">
        <f>H188*(1-1)</f>
        <v>0</v>
      </c>
      <c r="AQ188" s="122" t="s">
        <v>13</v>
      </c>
      <c r="AV188" s="100">
        <f t="shared" si="200"/>
        <v>0</v>
      </c>
      <c r="AW188" s="100">
        <f t="shared" si="201"/>
        <v>0</v>
      </c>
      <c r="AX188" s="100">
        <f t="shared" si="202"/>
        <v>0</v>
      </c>
      <c r="AY188" s="110" t="s">
        <v>1718</v>
      </c>
      <c r="AZ188" s="110" t="s">
        <v>1735</v>
      </c>
      <c r="BA188" s="109" t="s">
        <v>1737</v>
      </c>
      <c r="BC188" s="100">
        <f t="shared" si="203"/>
        <v>0</v>
      </c>
      <c r="BD188" s="100">
        <f t="shared" si="204"/>
        <v>0</v>
      </c>
      <c r="BE188" s="100">
        <v>0</v>
      </c>
      <c r="BF188" s="100">
        <f>188</f>
        <v>188</v>
      </c>
      <c r="BH188" s="121">
        <f t="shared" si="205"/>
        <v>0</v>
      </c>
      <c r="BI188" s="121">
        <f t="shared" si="206"/>
        <v>0</v>
      </c>
      <c r="BJ188" s="121">
        <f t="shared" si="207"/>
        <v>0</v>
      </c>
    </row>
    <row r="189" spans="1:62" x14ac:dyDescent="0.2">
      <c r="A189" s="117" t="s">
        <v>166</v>
      </c>
      <c r="B189" s="117" t="s">
        <v>929</v>
      </c>
      <c r="C189" s="304" t="s">
        <v>1518</v>
      </c>
      <c r="D189" s="305"/>
      <c r="E189" s="305"/>
      <c r="F189" s="117" t="s">
        <v>1648</v>
      </c>
      <c r="G189" s="116">
        <v>0.47399999999999998</v>
      </c>
      <c r="H189" s="159"/>
      <c r="I189" s="108">
        <f t="shared" si="186"/>
        <v>0</v>
      </c>
      <c r="J189" s="108">
        <f t="shared" si="187"/>
        <v>0</v>
      </c>
      <c r="K189" s="108">
        <f t="shared" si="188"/>
        <v>0</v>
      </c>
      <c r="L189" s="111" t="s">
        <v>1671</v>
      </c>
      <c r="Z189" s="100">
        <f t="shared" si="189"/>
        <v>0</v>
      </c>
      <c r="AB189" s="100">
        <f t="shared" si="190"/>
        <v>0</v>
      </c>
      <c r="AC189" s="100">
        <f t="shared" si="191"/>
        <v>0</v>
      </c>
      <c r="AD189" s="100">
        <f t="shared" si="192"/>
        <v>0</v>
      </c>
      <c r="AE189" s="100">
        <f t="shared" si="193"/>
        <v>0</v>
      </c>
      <c r="AF189" s="100">
        <f t="shared" si="194"/>
        <v>0</v>
      </c>
      <c r="AG189" s="100">
        <f t="shared" si="195"/>
        <v>0</v>
      </c>
      <c r="AH189" s="100">
        <f t="shared" si="196"/>
        <v>0</v>
      </c>
      <c r="AI189" s="109"/>
      <c r="AJ189" s="108">
        <f t="shared" si="197"/>
        <v>0</v>
      </c>
      <c r="AK189" s="108">
        <f t="shared" si="198"/>
        <v>0</v>
      </c>
      <c r="AL189" s="108">
        <f t="shared" si="199"/>
        <v>0</v>
      </c>
      <c r="AN189" s="100">
        <v>15</v>
      </c>
      <c r="AO189" s="100">
        <f>H189*0</f>
        <v>0</v>
      </c>
      <c r="AP189" s="100">
        <f>H189*(1-0)</f>
        <v>0</v>
      </c>
      <c r="AQ189" s="111" t="s">
        <v>11</v>
      </c>
      <c r="AV189" s="100">
        <f t="shared" si="200"/>
        <v>0</v>
      </c>
      <c r="AW189" s="100">
        <f t="shared" si="201"/>
        <v>0</v>
      </c>
      <c r="AX189" s="100">
        <f t="shared" si="202"/>
        <v>0</v>
      </c>
      <c r="AY189" s="110" t="s">
        <v>1718</v>
      </c>
      <c r="AZ189" s="110" t="s">
        <v>1735</v>
      </c>
      <c r="BA189" s="109" t="s">
        <v>1737</v>
      </c>
      <c r="BC189" s="100">
        <f t="shared" si="203"/>
        <v>0</v>
      </c>
      <c r="BD189" s="100">
        <f t="shared" si="204"/>
        <v>0</v>
      </c>
      <c r="BE189" s="100">
        <v>0</v>
      </c>
      <c r="BF189" s="100">
        <f>189</f>
        <v>189</v>
      </c>
      <c r="BH189" s="108">
        <f t="shared" si="205"/>
        <v>0</v>
      </c>
      <c r="BI189" s="108">
        <f t="shared" si="206"/>
        <v>0</v>
      </c>
      <c r="BJ189" s="108">
        <f t="shared" si="207"/>
        <v>0</v>
      </c>
    </row>
    <row r="190" spans="1:62" x14ac:dyDescent="0.2">
      <c r="A190" s="119"/>
      <c r="B190" s="120" t="s">
        <v>930</v>
      </c>
      <c r="C190" s="306" t="s">
        <v>1519</v>
      </c>
      <c r="D190" s="307"/>
      <c r="E190" s="307"/>
      <c r="F190" s="119" t="s">
        <v>6</v>
      </c>
      <c r="G190" s="119" t="s">
        <v>6</v>
      </c>
      <c r="H190" s="119" t="s">
        <v>6</v>
      </c>
      <c r="I190" s="118">
        <f>SUM(I191:I194)</f>
        <v>0</v>
      </c>
      <c r="J190" s="118">
        <f>SUM(J191:J194)</f>
        <v>0</v>
      </c>
      <c r="K190" s="118">
        <f>SUM(K191:K194)</f>
        <v>0</v>
      </c>
      <c r="L190" s="109"/>
      <c r="AI190" s="109"/>
      <c r="AS190" s="118">
        <f>SUM(AJ191:AJ194)</f>
        <v>0</v>
      </c>
      <c r="AT190" s="118">
        <f>SUM(AK191:AK194)</f>
        <v>0</v>
      </c>
      <c r="AU190" s="118">
        <f>SUM(AL191:AL194)</f>
        <v>0</v>
      </c>
    </row>
    <row r="191" spans="1:62" x14ac:dyDescent="0.2">
      <c r="A191" s="117" t="s">
        <v>167</v>
      </c>
      <c r="B191" s="117" t="s">
        <v>931</v>
      </c>
      <c r="C191" s="304" t="s">
        <v>4304</v>
      </c>
      <c r="D191" s="305"/>
      <c r="E191" s="305"/>
      <c r="F191" s="117" t="s">
        <v>1645</v>
      </c>
      <c r="G191" s="116">
        <v>54.768000000000001</v>
      </c>
      <c r="H191" s="159"/>
      <c r="I191" s="108">
        <f>G191*AO191</f>
        <v>0</v>
      </c>
      <c r="J191" s="108">
        <f>G191*AP191</f>
        <v>0</v>
      </c>
      <c r="K191" s="108">
        <f>G191*H191</f>
        <v>0</v>
      </c>
      <c r="L191" s="111" t="s">
        <v>1671</v>
      </c>
      <c r="Z191" s="100">
        <f>IF(AQ191="5",BJ191,0)</f>
        <v>0</v>
      </c>
      <c r="AB191" s="100">
        <f>IF(AQ191="1",BH191,0)</f>
        <v>0</v>
      </c>
      <c r="AC191" s="100">
        <f>IF(AQ191="1",BI191,0)</f>
        <v>0</v>
      </c>
      <c r="AD191" s="100">
        <f>IF(AQ191="7",BH191,0)</f>
        <v>0</v>
      </c>
      <c r="AE191" s="100">
        <f>IF(AQ191="7",BI191,0)</f>
        <v>0</v>
      </c>
      <c r="AF191" s="100">
        <f>IF(AQ191="2",BH191,0)</f>
        <v>0</v>
      </c>
      <c r="AG191" s="100">
        <f>IF(AQ191="2",BI191,0)</f>
        <v>0</v>
      </c>
      <c r="AH191" s="100">
        <f>IF(AQ191="0",BJ191,0)</f>
        <v>0</v>
      </c>
      <c r="AI191" s="109"/>
      <c r="AJ191" s="108">
        <f>IF(AN191=0,K191,0)</f>
        <v>0</v>
      </c>
      <c r="AK191" s="108">
        <f>IF(AN191=15,K191,0)</f>
        <v>0</v>
      </c>
      <c r="AL191" s="108">
        <f>IF(AN191=21,K191,0)</f>
        <v>0</v>
      </c>
      <c r="AN191" s="100">
        <v>15</v>
      </c>
      <c r="AO191" s="100">
        <f>H191*0</f>
        <v>0</v>
      </c>
      <c r="AP191" s="100">
        <f>H191*(1-0)</f>
        <v>0</v>
      </c>
      <c r="AQ191" s="111" t="s">
        <v>13</v>
      </c>
      <c r="AV191" s="100">
        <f>AW191+AX191</f>
        <v>0</v>
      </c>
      <c r="AW191" s="100">
        <f>G191*AO191</f>
        <v>0</v>
      </c>
      <c r="AX191" s="100">
        <f>G191*AP191</f>
        <v>0</v>
      </c>
      <c r="AY191" s="110" t="s">
        <v>1719</v>
      </c>
      <c r="AZ191" s="110" t="s">
        <v>1736</v>
      </c>
      <c r="BA191" s="109" t="s">
        <v>1737</v>
      </c>
      <c r="BC191" s="100">
        <f>AW191+AX191</f>
        <v>0</v>
      </c>
      <c r="BD191" s="100">
        <f>H191/(100-BE191)*100</f>
        <v>0</v>
      </c>
      <c r="BE191" s="100">
        <v>0</v>
      </c>
      <c r="BF191" s="100">
        <f>191</f>
        <v>191</v>
      </c>
      <c r="BH191" s="108">
        <f>G191*AO191</f>
        <v>0</v>
      </c>
      <c r="BI191" s="108">
        <f>G191*AP191</f>
        <v>0</v>
      </c>
      <c r="BJ191" s="108">
        <f>G191*H191</f>
        <v>0</v>
      </c>
    </row>
    <row r="192" spans="1:62" x14ac:dyDescent="0.2">
      <c r="A192" s="117" t="s">
        <v>168</v>
      </c>
      <c r="B192" s="117" t="s">
        <v>932</v>
      </c>
      <c r="C192" s="304" t="s">
        <v>4303</v>
      </c>
      <c r="D192" s="305"/>
      <c r="E192" s="305"/>
      <c r="F192" s="117" t="s">
        <v>1645</v>
      </c>
      <c r="G192" s="116">
        <v>17.954999999999998</v>
      </c>
      <c r="H192" s="159"/>
      <c r="I192" s="108">
        <f>G192*AO192</f>
        <v>0</v>
      </c>
      <c r="J192" s="108">
        <f>G192*AP192</f>
        <v>0</v>
      </c>
      <c r="K192" s="108">
        <f>G192*H192</f>
        <v>0</v>
      </c>
      <c r="L192" s="111" t="s">
        <v>1671</v>
      </c>
      <c r="Z192" s="100">
        <f>IF(AQ192="5",BJ192,0)</f>
        <v>0</v>
      </c>
      <c r="AB192" s="100">
        <f>IF(AQ192="1",BH192,0)</f>
        <v>0</v>
      </c>
      <c r="AC192" s="100">
        <f>IF(AQ192="1",BI192,0)</f>
        <v>0</v>
      </c>
      <c r="AD192" s="100">
        <f>IF(AQ192="7",BH192,0)</f>
        <v>0</v>
      </c>
      <c r="AE192" s="100">
        <f>IF(AQ192="7",BI192,0)</f>
        <v>0</v>
      </c>
      <c r="AF192" s="100">
        <f>IF(AQ192="2",BH192,0)</f>
        <v>0</v>
      </c>
      <c r="AG192" s="100">
        <f>IF(AQ192="2",BI192,0)</f>
        <v>0</v>
      </c>
      <c r="AH192" s="100">
        <f>IF(AQ192="0",BJ192,0)</f>
        <v>0</v>
      </c>
      <c r="AI192" s="109"/>
      <c r="AJ192" s="108">
        <f>IF(AN192=0,K192,0)</f>
        <v>0</v>
      </c>
      <c r="AK192" s="108">
        <f>IF(AN192=15,K192,0)</f>
        <v>0</v>
      </c>
      <c r="AL192" s="108">
        <f>IF(AN192=21,K192,0)</f>
        <v>0</v>
      </c>
      <c r="AN192" s="100">
        <v>15</v>
      </c>
      <c r="AO192" s="100">
        <f>H192*0.590830463952291</f>
        <v>0</v>
      </c>
      <c r="AP192" s="100">
        <f>H192*(1-0.590830463952291)</f>
        <v>0</v>
      </c>
      <c r="AQ192" s="111" t="s">
        <v>13</v>
      </c>
      <c r="AV192" s="100">
        <f>AW192+AX192</f>
        <v>0</v>
      </c>
      <c r="AW192" s="100">
        <f>G192*AO192</f>
        <v>0</v>
      </c>
      <c r="AX192" s="100">
        <f>G192*AP192</f>
        <v>0</v>
      </c>
      <c r="AY192" s="110" t="s">
        <v>1719</v>
      </c>
      <c r="AZ192" s="110" t="s">
        <v>1736</v>
      </c>
      <c r="BA192" s="109" t="s">
        <v>1737</v>
      </c>
      <c r="BC192" s="100">
        <f>AW192+AX192</f>
        <v>0</v>
      </c>
      <c r="BD192" s="100">
        <f>H192/(100-BE192)*100</f>
        <v>0</v>
      </c>
      <c r="BE192" s="100">
        <v>0</v>
      </c>
      <c r="BF192" s="100">
        <f>192</f>
        <v>192</v>
      </c>
      <c r="BH192" s="108">
        <f>G192*AO192</f>
        <v>0</v>
      </c>
      <c r="BI192" s="108">
        <f>G192*AP192</f>
        <v>0</v>
      </c>
      <c r="BJ192" s="108">
        <f>G192*H192</f>
        <v>0</v>
      </c>
    </row>
    <row r="193" spans="1:62" x14ac:dyDescent="0.2">
      <c r="A193" s="117" t="s">
        <v>169</v>
      </c>
      <c r="B193" s="117" t="s">
        <v>933</v>
      </c>
      <c r="C193" s="304" t="s">
        <v>4302</v>
      </c>
      <c r="D193" s="305"/>
      <c r="E193" s="305"/>
      <c r="F193" s="117" t="s">
        <v>1645</v>
      </c>
      <c r="G193" s="116">
        <v>54.768000000000001</v>
      </c>
      <c r="H193" s="159"/>
      <c r="I193" s="108">
        <f>G193*AO193</f>
        <v>0</v>
      </c>
      <c r="J193" s="108">
        <f>G193*AP193</f>
        <v>0</v>
      </c>
      <c r="K193" s="108">
        <f>G193*H193</f>
        <v>0</v>
      </c>
      <c r="L193" s="111" t="s">
        <v>1671</v>
      </c>
      <c r="Z193" s="100">
        <f>IF(AQ193="5",BJ193,0)</f>
        <v>0</v>
      </c>
      <c r="AB193" s="100">
        <f>IF(AQ193="1",BH193,0)</f>
        <v>0</v>
      </c>
      <c r="AC193" s="100">
        <f>IF(AQ193="1",BI193,0)</f>
        <v>0</v>
      </c>
      <c r="AD193" s="100">
        <f>IF(AQ193="7",BH193,0)</f>
        <v>0</v>
      </c>
      <c r="AE193" s="100">
        <f>IF(AQ193="7",BI193,0)</f>
        <v>0</v>
      </c>
      <c r="AF193" s="100">
        <f>IF(AQ193="2",BH193,0)</f>
        <v>0</v>
      </c>
      <c r="AG193" s="100">
        <f>IF(AQ193="2",BI193,0)</f>
        <v>0</v>
      </c>
      <c r="AH193" s="100">
        <f>IF(AQ193="0",BJ193,0)</f>
        <v>0</v>
      </c>
      <c r="AI193" s="109"/>
      <c r="AJ193" s="108">
        <f>IF(AN193=0,K193,0)</f>
        <v>0</v>
      </c>
      <c r="AK193" s="108">
        <f>IF(AN193=15,K193,0)</f>
        <v>0</v>
      </c>
      <c r="AL193" s="108">
        <f>IF(AN193=21,K193,0)</f>
        <v>0</v>
      </c>
      <c r="AN193" s="100">
        <v>15</v>
      </c>
      <c r="AO193" s="100">
        <f>H193*0.400704534495728</f>
        <v>0</v>
      </c>
      <c r="AP193" s="100">
        <f>H193*(1-0.400704534495728)</f>
        <v>0</v>
      </c>
      <c r="AQ193" s="111" t="s">
        <v>13</v>
      </c>
      <c r="AV193" s="100">
        <f>AW193+AX193</f>
        <v>0</v>
      </c>
      <c r="AW193" s="100">
        <f>G193*AO193</f>
        <v>0</v>
      </c>
      <c r="AX193" s="100">
        <f>G193*AP193</f>
        <v>0</v>
      </c>
      <c r="AY193" s="110" t="s">
        <v>1719</v>
      </c>
      <c r="AZ193" s="110" t="s">
        <v>1736</v>
      </c>
      <c r="BA193" s="109" t="s">
        <v>1737</v>
      </c>
      <c r="BC193" s="100">
        <f>AW193+AX193</f>
        <v>0</v>
      </c>
      <c r="BD193" s="100">
        <f>H193/(100-BE193)*100</f>
        <v>0</v>
      </c>
      <c r="BE193" s="100">
        <v>0</v>
      </c>
      <c r="BF193" s="100">
        <f>193</f>
        <v>193</v>
      </c>
      <c r="BH193" s="108">
        <f>G193*AO193</f>
        <v>0</v>
      </c>
      <c r="BI193" s="108">
        <f>G193*AP193</f>
        <v>0</v>
      </c>
      <c r="BJ193" s="108">
        <f>G193*H193</f>
        <v>0</v>
      </c>
    </row>
    <row r="194" spans="1:62" x14ac:dyDescent="0.2">
      <c r="A194" s="117" t="s">
        <v>170</v>
      </c>
      <c r="B194" s="117" t="s">
        <v>935</v>
      </c>
      <c r="C194" s="304" t="s">
        <v>4301</v>
      </c>
      <c r="D194" s="305"/>
      <c r="E194" s="305"/>
      <c r="F194" s="117" t="s">
        <v>1645</v>
      </c>
      <c r="G194" s="116">
        <v>54.768000000000001</v>
      </c>
      <c r="H194" s="159"/>
      <c r="I194" s="108">
        <f>G194*AO194</f>
        <v>0</v>
      </c>
      <c r="J194" s="108">
        <f>G194*AP194</f>
        <v>0</v>
      </c>
      <c r="K194" s="108">
        <f>G194*H194</f>
        <v>0</v>
      </c>
      <c r="L194" s="111" t="s">
        <v>1671</v>
      </c>
      <c r="Z194" s="100">
        <f>IF(AQ194="5",BJ194,0)</f>
        <v>0</v>
      </c>
      <c r="AB194" s="100">
        <f>IF(AQ194="1",BH194,0)</f>
        <v>0</v>
      </c>
      <c r="AC194" s="100">
        <f>IF(AQ194="1",BI194,0)</f>
        <v>0</v>
      </c>
      <c r="AD194" s="100">
        <f>IF(AQ194="7",BH194,0)</f>
        <v>0</v>
      </c>
      <c r="AE194" s="100">
        <f>IF(AQ194="7",BI194,0)</f>
        <v>0</v>
      </c>
      <c r="AF194" s="100">
        <f>IF(AQ194="2",BH194,0)</f>
        <v>0</v>
      </c>
      <c r="AG194" s="100">
        <f>IF(AQ194="2",BI194,0)</f>
        <v>0</v>
      </c>
      <c r="AH194" s="100">
        <f>IF(AQ194="0",BJ194,0)</f>
        <v>0</v>
      </c>
      <c r="AI194" s="109"/>
      <c r="AJ194" s="108">
        <f>IF(AN194=0,K194,0)</f>
        <v>0</v>
      </c>
      <c r="AK194" s="108">
        <f>IF(AN194=15,K194,0)</f>
        <v>0</v>
      </c>
      <c r="AL194" s="108">
        <f>IF(AN194=21,K194,0)</f>
        <v>0</v>
      </c>
      <c r="AN194" s="100">
        <v>15</v>
      </c>
      <c r="AO194" s="100">
        <f>H194*0.0909911392405063</f>
        <v>0</v>
      </c>
      <c r="AP194" s="100">
        <f>H194*(1-0.0909911392405063)</f>
        <v>0</v>
      </c>
      <c r="AQ194" s="111" t="s">
        <v>13</v>
      </c>
      <c r="AV194" s="100">
        <f>AW194+AX194</f>
        <v>0</v>
      </c>
      <c r="AW194" s="100">
        <f>G194*AO194</f>
        <v>0</v>
      </c>
      <c r="AX194" s="100">
        <f>G194*AP194</f>
        <v>0</v>
      </c>
      <c r="AY194" s="110" t="s">
        <v>1719</v>
      </c>
      <c r="AZ194" s="110" t="s">
        <v>1736</v>
      </c>
      <c r="BA194" s="109" t="s">
        <v>1737</v>
      </c>
      <c r="BC194" s="100">
        <f>AW194+AX194</f>
        <v>0</v>
      </c>
      <c r="BD194" s="100">
        <f>H194/(100-BE194)*100</f>
        <v>0</v>
      </c>
      <c r="BE194" s="100">
        <v>0</v>
      </c>
      <c r="BF194" s="100">
        <f>194</f>
        <v>194</v>
      </c>
      <c r="BH194" s="108">
        <f>G194*AO194</f>
        <v>0</v>
      </c>
      <c r="BI194" s="108">
        <f>G194*AP194</f>
        <v>0</v>
      </c>
      <c r="BJ194" s="108">
        <f>G194*H194</f>
        <v>0</v>
      </c>
    </row>
    <row r="195" spans="1:62" x14ac:dyDescent="0.2">
      <c r="A195" s="119"/>
      <c r="B195" s="120" t="s">
        <v>936</v>
      </c>
      <c r="C195" s="306" t="s">
        <v>1525</v>
      </c>
      <c r="D195" s="307"/>
      <c r="E195" s="307"/>
      <c r="F195" s="119" t="s">
        <v>6</v>
      </c>
      <c r="G195" s="119" t="s">
        <v>6</v>
      </c>
      <c r="H195" s="119" t="s">
        <v>6</v>
      </c>
      <c r="I195" s="118">
        <f>SUM(I196:I214)</f>
        <v>0</v>
      </c>
      <c r="J195" s="118">
        <f>SUM(J196:J214)</f>
        <v>0</v>
      </c>
      <c r="K195" s="118">
        <f>SUM(K196:K214)</f>
        <v>0</v>
      </c>
      <c r="L195" s="109"/>
      <c r="AI195" s="109"/>
      <c r="AS195" s="118">
        <f>SUM(AJ196:AJ214)</f>
        <v>0</v>
      </c>
      <c r="AT195" s="118">
        <f>SUM(AK196:AK214)</f>
        <v>0</v>
      </c>
      <c r="AU195" s="118">
        <f>SUM(AL196:AL214)</f>
        <v>0</v>
      </c>
    </row>
    <row r="196" spans="1:62" x14ac:dyDescent="0.2">
      <c r="A196" s="117" t="s">
        <v>171</v>
      </c>
      <c r="B196" s="117" t="s">
        <v>4300</v>
      </c>
      <c r="C196" s="304" t="s">
        <v>1531</v>
      </c>
      <c r="D196" s="305"/>
      <c r="E196" s="305"/>
      <c r="F196" s="117" t="s">
        <v>1644</v>
      </c>
      <c r="G196" s="116">
        <v>1</v>
      </c>
      <c r="H196" s="159"/>
      <c r="I196" s="108">
        <f t="shared" ref="I196:I214" si="208">G196*AO196</f>
        <v>0</v>
      </c>
      <c r="J196" s="108">
        <f t="shared" ref="J196:J214" si="209">G196*AP196</f>
        <v>0</v>
      </c>
      <c r="K196" s="108">
        <f t="shared" ref="K196:K214" si="210">G196*H196</f>
        <v>0</v>
      </c>
      <c r="L196" s="111"/>
      <c r="Z196" s="100">
        <f t="shared" ref="Z196:Z214" si="211">IF(AQ196="5",BJ196,0)</f>
        <v>0</v>
      </c>
      <c r="AB196" s="100">
        <f t="shared" ref="AB196:AB214" si="212">IF(AQ196="1",BH196,0)</f>
        <v>0</v>
      </c>
      <c r="AC196" s="100">
        <f t="shared" ref="AC196:AC214" si="213">IF(AQ196="1",BI196,0)</f>
        <v>0</v>
      </c>
      <c r="AD196" s="100">
        <f t="shared" ref="AD196:AD214" si="214">IF(AQ196="7",BH196,0)</f>
        <v>0</v>
      </c>
      <c r="AE196" s="100">
        <f t="shared" ref="AE196:AE214" si="215">IF(AQ196="7",BI196,0)</f>
        <v>0</v>
      </c>
      <c r="AF196" s="100">
        <f t="shared" ref="AF196:AF214" si="216">IF(AQ196="2",BH196,0)</f>
        <v>0</v>
      </c>
      <c r="AG196" s="100">
        <f t="shared" ref="AG196:AG214" si="217">IF(AQ196="2",BI196,0)</f>
        <v>0</v>
      </c>
      <c r="AH196" s="100">
        <f t="shared" ref="AH196:AH214" si="218">IF(AQ196="0",BJ196,0)</f>
        <v>0</v>
      </c>
      <c r="AI196" s="109"/>
      <c r="AJ196" s="108">
        <f t="shared" ref="AJ196:AJ214" si="219">IF(AN196=0,K196,0)</f>
        <v>0</v>
      </c>
      <c r="AK196" s="108">
        <f t="shared" ref="AK196:AK214" si="220">IF(AN196=15,K196,0)</f>
        <v>0</v>
      </c>
      <c r="AL196" s="108">
        <f t="shared" ref="AL196:AL214" si="221">IF(AN196=21,K196,0)</f>
        <v>0</v>
      </c>
      <c r="AN196" s="100">
        <v>15</v>
      </c>
      <c r="AO196" s="100">
        <f t="shared" ref="AO196:AO214" si="222">H196*0</f>
        <v>0</v>
      </c>
      <c r="AP196" s="100">
        <f t="shared" ref="AP196:AP214" si="223">H196*(1-0)</f>
        <v>0</v>
      </c>
      <c r="AQ196" s="111" t="s">
        <v>7</v>
      </c>
      <c r="AV196" s="100">
        <f t="shared" ref="AV196:AV214" si="224">AW196+AX196</f>
        <v>0</v>
      </c>
      <c r="AW196" s="100">
        <f t="shared" ref="AW196:AW214" si="225">G196*AO196</f>
        <v>0</v>
      </c>
      <c r="AX196" s="100">
        <f t="shared" ref="AX196:AX214" si="226">G196*AP196</f>
        <v>0</v>
      </c>
      <c r="AY196" s="110" t="s">
        <v>1720</v>
      </c>
      <c r="AZ196" s="110" t="s">
        <v>1730</v>
      </c>
      <c r="BA196" s="109" t="s">
        <v>1737</v>
      </c>
      <c r="BC196" s="100">
        <f t="shared" ref="BC196:BC214" si="227">AW196+AX196</f>
        <v>0</v>
      </c>
      <c r="BD196" s="100">
        <f t="shared" ref="BD196:BD214" si="228">H196/(100-BE196)*100</f>
        <v>0</v>
      </c>
      <c r="BE196" s="100">
        <v>0</v>
      </c>
      <c r="BF196" s="100">
        <f>196</f>
        <v>196</v>
      </c>
      <c r="BH196" s="108">
        <f t="shared" ref="BH196:BH214" si="229">G196*AO196</f>
        <v>0</v>
      </c>
      <c r="BI196" s="108">
        <f t="shared" ref="BI196:BI214" si="230">G196*AP196</f>
        <v>0</v>
      </c>
      <c r="BJ196" s="108">
        <f t="shared" ref="BJ196:BJ214" si="231">G196*H196</f>
        <v>0</v>
      </c>
    </row>
    <row r="197" spans="1:62" x14ac:dyDescent="0.2">
      <c r="A197" s="117" t="s">
        <v>172</v>
      </c>
      <c r="B197" s="117" t="s">
        <v>4299</v>
      </c>
      <c r="C197" s="304" t="s">
        <v>1532</v>
      </c>
      <c r="D197" s="305"/>
      <c r="E197" s="305"/>
      <c r="F197" s="117" t="s">
        <v>1646</v>
      </c>
      <c r="G197" s="116">
        <v>40</v>
      </c>
      <c r="H197" s="159"/>
      <c r="I197" s="108">
        <f t="shared" si="208"/>
        <v>0</v>
      </c>
      <c r="J197" s="108">
        <f t="shared" si="209"/>
        <v>0</v>
      </c>
      <c r="K197" s="108">
        <f t="shared" si="210"/>
        <v>0</v>
      </c>
      <c r="L197" s="111"/>
      <c r="Z197" s="100">
        <f t="shared" si="211"/>
        <v>0</v>
      </c>
      <c r="AB197" s="100">
        <f t="shared" si="212"/>
        <v>0</v>
      </c>
      <c r="AC197" s="100">
        <f t="shared" si="213"/>
        <v>0</v>
      </c>
      <c r="AD197" s="100">
        <f t="shared" si="214"/>
        <v>0</v>
      </c>
      <c r="AE197" s="100">
        <f t="shared" si="215"/>
        <v>0</v>
      </c>
      <c r="AF197" s="100">
        <f t="shared" si="216"/>
        <v>0</v>
      </c>
      <c r="AG197" s="100">
        <f t="shared" si="217"/>
        <v>0</v>
      </c>
      <c r="AH197" s="100">
        <f t="shared" si="218"/>
        <v>0</v>
      </c>
      <c r="AI197" s="109"/>
      <c r="AJ197" s="108">
        <f t="shared" si="219"/>
        <v>0</v>
      </c>
      <c r="AK197" s="108">
        <f t="shared" si="220"/>
        <v>0</v>
      </c>
      <c r="AL197" s="108">
        <f t="shared" si="221"/>
        <v>0</v>
      </c>
      <c r="AN197" s="100">
        <v>15</v>
      </c>
      <c r="AO197" s="100">
        <f t="shared" si="222"/>
        <v>0</v>
      </c>
      <c r="AP197" s="100">
        <f t="shared" si="223"/>
        <v>0</v>
      </c>
      <c r="AQ197" s="111" t="s">
        <v>7</v>
      </c>
      <c r="AV197" s="100">
        <f t="shared" si="224"/>
        <v>0</v>
      </c>
      <c r="AW197" s="100">
        <f t="shared" si="225"/>
        <v>0</v>
      </c>
      <c r="AX197" s="100">
        <f t="shared" si="226"/>
        <v>0</v>
      </c>
      <c r="AY197" s="110" t="s">
        <v>1720</v>
      </c>
      <c r="AZ197" s="110" t="s">
        <v>1730</v>
      </c>
      <c r="BA197" s="109" t="s">
        <v>1737</v>
      </c>
      <c r="BC197" s="100">
        <f t="shared" si="227"/>
        <v>0</v>
      </c>
      <c r="BD197" s="100">
        <f t="shared" si="228"/>
        <v>0</v>
      </c>
      <c r="BE197" s="100">
        <v>0</v>
      </c>
      <c r="BF197" s="100">
        <f>197</f>
        <v>197</v>
      </c>
      <c r="BH197" s="108">
        <f t="shared" si="229"/>
        <v>0</v>
      </c>
      <c r="BI197" s="108">
        <f t="shared" si="230"/>
        <v>0</v>
      </c>
      <c r="BJ197" s="108">
        <f t="shared" si="231"/>
        <v>0</v>
      </c>
    </row>
    <row r="198" spans="1:62" x14ac:dyDescent="0.2">
      <c r="A198" s="117" t="s">
        <v>173</v>
      </c>
      <c r="B198" s="117" t="s">
        <v>4298</v>
      </c>
      <c r="C198" s="304" t="s">
        <v>1533</v>
      </c>
      <c r="D198" s="305"/>
      <c r="E198" s="305"/>
      <c r="F198" s="117" t="s">
        <v>1646</v>
      </c>
      <c r="G198" s="116">
        <v>10</v>
      </c>
      <c r="H198" s="159"/>
      <c r="I198" s="108">
        <f t="shared" si="208"/>
        <v>0</v>
      </c>
      <c r="J198" s="108">
        <f t="shared" si="209"/>
        <v>0</v>
      </c>
      <c r="K198" s="108">
        <f t="shared" si="210"/>
        <v>0</v>
      </c>
      <c r="L198" s="111"/>
      <c r="Z198" s="100">
        <f t="shared" si="211"/>
        <v>0</v>
      </c>
      <c r="AB198" s="100">
        <f t="shared" si="212"/>
        <v>0</v>
      </c>
      <c r="AC198" s="100">
        <f t="shared" si="213"/>
        <v>0</v>
      </c>
      <c r="AD198" s="100">
        <f t="shared" si="214"/>
        <v>0</v>
      </c>
      <c r="AE198" s="100">
        <f t="shared" si="215"/>
        <v>0</v>
      </c>
      <c r="AF198" s="100">
        <f t="shared" si="216"/>
        <v>0</v>
      </c>
      <c r="AG198" s="100">
        <f t="shared" si="217"/>
        <v>0</v>
      </c>
      <c r="AH198" s="100">
        <f t="shared" si="218"/>
        <v>0</v>
      </c>
      <c r="AI198" s="109"/>
      <c r="AJ198" s="108">
        <f t="shared" si="219"/>
        <v>0</v>
      </c>
      <c r="AK198" s="108">
        <f t="shared" si="220"/>
        <v>0</v>
      </c>
      <c r="AL198" s="108">
        <f t="shared" si="221"/>
        <v>0</v>
      </c>
      <c r="AN198" s="100">
        <v>15</v>
      </c>
      <c r="AO198" s="100">
        <f t="shared" si="222"/>
        <v>0</v>
      </c>
      <c r="AP198" s="100">
        <f t="shared" si="223"/>
        <v>0</v>
      </c>
      <c r="AQ198" s="111" t="s">
        <v>7</v>
      </c>
      <c r="AV198" s="100">
        <f t="shared" si="224"/>
        <v>0</v>
      </c>
      <c r="AW198" s="100">
        <f t="shared" si="225"/>
        <v>0</v>
      </c>
      <c r="AX198" s="100">
        <f t="shared" si="226"/>
        <v>0</v>
      </c>
      <c r="AY198" s="110" t="s">
        <v>1720</v>
      </c>
      <c r="AZ198" s="110" t="s">
        <v>1730</v>
      </c>
      <c r="BA198" s="109" t="s">
        <v>1737</v>
      </c>
      <c r="BC198" s="100">
        <f t="shared" si="227"/>
        <v>0</v>
      </c>
      <c r="BD198" s="100">
        <f t="shared" si="228"/>
        <v>0</v>
      </c>
      <c r="BE198" s="100">
        <v>0</v>
      </c>
      <c r="BF198" s="100">
        <f>198</f>
        <v>198</v>
      </c>
      <c r="BH198" s="108">
        <f t="shared" si="229"/>
        <v>0</v>
      </c>
      <c r="BI198" s="108">
        <f t="shared" si="230"/>
        <v>0</v>
      </c>
      <c r="BJ198" s="108">
        <f t="shared" si="231"/>
        <v>0</v>
      </c>
    </row>
    <row r="199" spans="1:62" x14ac:dyDescent="0.2">
      <c r="A199" s="117" t="s">
        <v>174</v>
      </c>
      <c r="B199" s="117" t="s">
        <v>4298</v>
      </c>
      <c r="C199" s="304" t="s">
        <v>1534</v>
      </c>
      <c r="D199" s="305"/>
      <c r="E199" s="305"/>
      <c r="F199" s="117" t="s">
        <v>1644</v>
      </c>
      <c r="G199" s="116">
        <v>5</v>
      </c>
      <c r="H199" s="159"/>
      <c r="I199" s="108">
        <f t="shared" si="208"/>
        <v>0</v>
      </c>
      <c r="J199" s="108">
        <f t="shared" si="209"/>
        <v>0</v>
      </c>
      <c r="K199" s="108">
        <f t="shared" si="210"/>
        <v>0</v>
      </c>
      <c r="L199" s="111"/>
      <c r="Z199" s="100">
        <f t="shared" si="211"/>
        <v>0</v>
      </c>
      <c r="AB199" s="100">
        <f t="shared" si="212"/>
        <v>0</v>
      </c>
      <c r="AC199" s="100">
        <f t="shared" si="213"/>
        <v>0</v>
      </c>
      <c r="AD199" s="100">
        <f t="shared" si="214"/>
        <v>0</v>
      </c>
      <c r="AE199" s="100">
        <f t="shared" si="215"/>
        <v>0</v>
      </c>
      <c r="AF199" s="100">
        <f t="shared" si="216"/>
        <v>0</v>
      </c>
      <c r="AG199" s="100">
        <f t="shared" si="217"/>
        <v>0</v>
      </c>
      <c r="AH199" s="100">
        <f t="shared" si="218"/>
        <v>0</v>
      </c>
      <c r="AI199" s="109"/>
      <c r="AJ199" s="108">
        <f t="shared" si="219"/>
        <v>0</v>
      </c>
      <c r="AK199" s="108">
        <f t="shared" si="220"/>
        <v>0</v>
      </c>
      <c r="AL199" s="108">
        <f t="shared" si="221"/>
        <v>0</v>
      </c>
      <c r="AN199" s="100">
        <v>15</v>
      </c>
      <c r="AO199" s="100">
        <f t="shared" si="222"/>
        <v>0</v>
      </c>
      <c r="AP199" s="100">
        <f t="shared" si="223"/>
        <v>0</v>
      </c>
      <c r="AQ199" s="111" t="s">
        <v>7</v>
      </c>
      <c r="AV199" s="100">
        <f t="shared" si="224"/>
        <v>0</v>
      </c>
      <c r="AW199" s="100">
        <f t="shared" si="225"/>
        <v>0</v>
      </c>
      <c r="AX199" s="100">
        <f t="shared" si="226"/>
        <v>0</v>
      </c>
      <c r="AY199" s="110" t="s">
        <v>1720</v>
      </c>
      <c r="AZ199" s="110" t="s">
        <v>1730</v>
      </c>
      <c r="BA199" s="109" t="s">
        <v>1737</v>
      </c>
      <c r="BC199" s="100">
        <f t="shared" si="227"/>
        <v>0</v>
      </c>
      <c r="BD199" s="100">
        <f t="shared" si="228"/>
        <v>0</v>
      </c>
      <c r="BE199" s="100">
        <v>0</v>
      </c>
      <c r="BF199" s="100">
        <f>199</f>
        <v>199</v>
      </c>
      <c r="BH199" s="108">
        <f t="shared" si="229"/>
        <v>0</v>
      </c>
      <c r="BI199" s="108">
        <f t="shared" si="230"/>
        <v>0</v>
      </c>
      <c r="BJ199" s="108">
        <f t="shared" si="231"/>
        <v>0</v>
      </c>
    </row>
    <row r="200" spans="1:62" x14ac:dyDescent="0.2">
      <c r="A200" s="117" t="s">
        <v>175</v>
      </c>
      <c r="B200" s="117" t="s">
        <v>4297</v>
      </c>
      <c r="C200" s="304" t="s">
        <v>1535</v>
      </c>
      <c r="D200" s="305"/>
      <c r="E200" s="305"/>
      <c r="F200" s="117" t="s">
        <v>1644</v>
      </c>
      <c r="G200" s="116">
        <v>3</v>
      </c>
      <c r="H200" s="159"/>
      <c r="I200" s="108">
        <f t="shared" si="208"/>
        <v>0</v>
      </c>
      <c r="J200" s="108">
        <f t="shared" si="209"/>
        <v>0</v>
      </c>
      <c r="K200" s="108">
        <f t="shared" si="210"/>
        <v>0</v>
      </c>
      <c r="L200" s="111"/>
      <c r="Z200" s="100">
        <f t="shared" si="211"/>
        <v>0</v>
      </c>
      <c r="AB200" s="100">
        <f t="shared" si="212"/>
        <v>0</v>
      </c>
      <c r="AC200" s="100">
        <f t="shared" si="213"/>
        <v>0</v>
      </c>
      <c r="AD200" s="100">
        <f t="shared" si="214"/>
        <v>0</v>
      </c>
      <c r="AE200" s="100">
        <f t="shared" si="215"/>
        <v>0</v>
      </c>
      <c r="AF200" s="100">
        <f t="shared" si="216"/>
        <v>0</v>
      </c>
      <c r="AG200" s="100">
        <f t="shared" si="217"/>
        <v>0</v>
      </c>
      <c r="AH200" s="100">
        <f t="shared" si="218"/>
        <v>0</v>
      </c>
      <c r="AI200" s="109"/>
      <c r="AJ200" s="108">
        <f t="shared" si="219"/>
        <v>0</v>
      </c>
      <c r="AK200" s="108">
        <f t="shared" si="220"/>
        <v>0</v>
      </c>
      <c r="AL200" s="108">
        <f t="shared" si="221"/>
        <v>0</v>
      </c>
      <c r="AN200" s="100">
        <v>15</v>
      </c>
      <c r="AO200" s="100">
        <f t="shared" si="222"/>
        <v>0</v>
      </c>
      <c r="AP200" s="100">
        <f t="shared" si="223"/>
        <v>0</v>
      </c>
      <c r="AQ200" s="111" t="s">
        <v>7</v>
      </c>
      <c r="AV200" s="100">
        <f t="shared" si="224"/>
        <v>0</v>
      </c>
      <c r="AW200" s="100">
        <f t="shared" si="225"/>
        <v>0</v>
      </c>
      <c r="AX200" s="100">
        <f t="shared" si="226"/>
        <v>0</v>
      </c>
      <c r="AY200" s="110" t="s">
        <v>1720</v>
      </c>
      <c r="AZ200" s="110" t="s">
        <v>1730</v>
      </c>
      <c r="BA200" s="109" t="s">
        <v>1737</v>
      </c>
      <c r="BC200" s="100">
        <f t="shared" si="227"/>
        <v>0</v>
      </c>
      <c r="BD200" s="100">
        <f t="shared" si="228"/>
        <v>0</v>
      </c>
      <c r="BE200" s="100">
        <v>0</v>
      </c>
      <c r="BF200" s="100">
        <f>200</f>
        <v>200</v>
      </c>
      <c r="BH200" s="108">
        <f t="shared" si="229"/>
        <v>0</v>
      </c>
      <c r="BI200" s="108">
        <f t="shared" si="230"/>
        <v>0</v>
      </c>
      <c r="BJ200" s="108">
        <f t="shared" si="231"/>
        <v>0</v>
      </c>
    </row>
    <row r="201" spans="1:62" x14ac:dyDescent="0.2">
      <c r="A201" s="117" t="s">
        <v>176</v>
      </c>
      <c r="B201" s="117" t="s">
        <v>4296</v>
      </c>
      <c r="C201" s="304" t="s">
        <v>1536</v>
      </c>
      <c r="D201" s="305"/>
      <c r="E201" s="305"/>
      <c r="F201" s="117" t="s">
        <v>1644</v>
      </c>
      <c r="G201" s="116">
        <v>24</v>
      </c>
      <c r="H201" s="159"/>
      <c r="I201" s="108">
        <f t="shared" si="208"/>
        <v>0</v>
      </c>
      <c r="J201" s="108">
        <f t="shared" si="209"/>
        <v>0</v>
      </c>
      <c r="K201" s="108">
        <f t="shared" si="210"/>
        <v>0</v>
      </c>
      <c r="L201" s="111"/>
      <c r="Z201" s="100">
        <f t="shared" si="211"/>
        <v>0</v>
      </c>
      <c r="AB201" s="100">
        <f t="shared" si="212"/>
        <v>0</v>
      </c>
      <c r="AC201" s="100">
        <f t="shared" si="213"/>
        <v>0</v>
      </c>
      <c r="AD201" s="100">
        <f t="shared" si="214"/>
        <v>0</v>
      </c>
      <c r="AE201" s="100">
        <f t="shared" si="215"/>
        <v>0</v>
      </c>
      <c r="AF201" s="100">
        <f t="shared" si="216"/>
        <v>0</v>
      </c>
      <c r="AG201" s="100">
        <f t="shared" si="217"/>
        <v>0</v>
      </c>
      <c r="AH201" s="100">
        <f t="shared" si="218"/>
        <v>0</v>
      </c>
      <c r="AI201" s="109"/>
      <c r="AJ201" s="108">
        <f t="shared" si="219"/>
        <v>0</v>
      </c>
      <c r="AK201" s="108">
        <f t="shared" si="220"/>
        <v>0</v>
      </c>
      <c r="AL201" s="108">
        <f t="shared" si="221"/>
        <v>0</v>
      </c>
      <c r="AN201" s="100">
        <v>15</v>
      </c>
      <c r="AO201" s="100">
        <f t="shared" si="222"/>
        <v>0</v>
      </c>
      <c r="AP201" s="100">
        <f t="shared" si="223"/>
        <v>0</v>
      </c>
      <c r="AQ201" s="111" t="s">
        <v>7</v>
      </c>
      <c r="AV201" s="100">
        <f t="shared" si="224"/>
        <v>0</v>
      </c>
      <c r="AW201" s="100">
        <f t="shared" si="225"/>
        <v>0</v>
      </c>
      <c r="AX201" s="100">
        <f t="shared" si="226"/>
        <v>0</v>
      </c>
      <c r="AY201" s="110" t="s">
        <v>1720</v>
      </c>
      <c r="AZ201" s="110" t="s">
        <v>1730</v>
      </c>
      <c r="BA201" s="109" t="s">
        <v>1737</v>
      </c>
      <c r="BC201" s="100">
        <f t="shared" si="227"/>
        <v>0</v>
      </c>
      <c r="BD201" s="100">
        <f t="shared" si="228"/>
        <v>0</v>
      </c>
      <c r="BE201" s="100">
        <v>0</v>
      </c>
      <c r="BF201" s="100">
        <f>201</f>
        <v>201</v>
      </c>
      <c r="BH201" s="108">
        <f t="shared" si="229"/>
        <v>0</v>
      </c>
      <c r="BI201" s="108">
        <f t="shared" si="230"/>
        <v>0</v>
      </c>
      <c r="BJ201" s="108">
        <f t="shared" si="231"/>
        <v>0</v>
      </c>
    </row>
    <row r="202" spans="1:62" x14ac:dyDescent="0.2">
      <c r="A202" s="117" t="s">
        <v>177</v>
      </c>
      <c r="B202" s="117" t="s">
        <v>4295</v>
      </c>
      <c r="C202" s="304" t="s">
        <v>1537</v>
      </c>
      <c r="D202" s="305"/>
      <c r="E202" s="305"/>
      <c r="F202" s="117" t="s">
        <v>1644</v>
      </c>
      <c r="G202" s="116">
        <v>1</v>
      </c>
      <c r="H202" s="159"/>
      <c r="I202" s="108">
        <f t="shared" si="208"/>
        <v>0</v>
      </c>
      <c r="J202" s="108">
        <f t="shared" si="209"/>
        <v>0</v>
      </c>
      <c r="K202" s="108">
        <f t="shared" si="210"/>
        <v>0</v>
      </c>
      <c r="L202" s="111"/>
      <c r="Z202" s="100">
        <f t="shared" si="211"/>
        <v>0</v>
      </c>
      <c r="AB202" s="100">
        <f t="shared" si="212"/>
        <v>0</v>
      </c>
      <c r="AC202" s="100">
        <f t="shared" si="213"/>
        <v>0</v>
      </c>
      <c r="AD202" s="100">
        <f t="shared" si="214"/>
        <v>0</v>
      </c>
      <c r="AE202" s="100">
        <f t="shared" si="215"/>
        <v>0</v>
      </c>
      <c r="AF202" s="100">
        <f t="shared" si="216"/>
        <v>0</v>
      </c>
      <c r="AG202" s="100">
        <f t="shared" si="217"/>
        <v>0</v>
      </c>
      <c r="AH202" s="100">
        <f t="shared" si="218"/>
        <v>0</v>
      </c>
      <c r="AI202" s="109"/>
      <c r="AJ202" s="108">
        <f t="shared" si="219"/>
        <v>0</v>
      </c>
      <c r="AK202" s="108">
        <f t="shared" si="220"/>
        <v>0</v>
      </c>
      <c r="AL202" s="108">
        <f t="shared" si="221"/>
        <v>0</v>
      </c>
      <c r="AN202" s="100">
        <v>15</v>
      </c>
      <c r="AO202" s="100">
        <f t="shared" si="222"/>
        <v>0</v>
      </c>
      <c r="AP202" s="100">
        <f t="shared" si="223"/>
        <v>0</v>
      </c>
      <c r="AQ202" s="111" t="s">
        <v>7</v>
      </c>
      <c r="AV202" s="100">
        <f t="shared" si="224"/>
        <v>0</v>
      </c>
      <c r="AW202" s="100">
        <f t="shared" si="225"/>
        <v>0</v>
      </c>
      <c r="AX202" s="100">
        <f t="shared" si="226"/>
        <v>0</v>
      </c>
      <c r="AY202" s="110" t="s">
        <v>1720</v>
      </c>
      <c r="AZ202" s="110" t="s">
        <v>1730</v>
      </c>
      <c r="BA202" s="109" t="s">
        <v>1737</v>
      </c>
      <c r="BC202" s="100">
        <f t="shared" si="227"/>
        <v>0</v>
      </c>
      <c r="BD202" s="100">
        <f t="shared" si="228"/>
        <v>0</v>
      </c>
      <c r="BE202" s="100">
        <v>0</v>
      </c>
      <c r="BF202" s="100">
        <f>202</f>
        <v>202</v>
      </c>
      <c r="BH202" s="108">
        <f t="shared" si="229"/>
        <v>0</v>
      </c>
      <c r="BI202" s="108">
        <f t="shared" si="230"/>
        <v>0</v>
      </c>
      <c r="BJ202" s="108">
        <f t="shared" si="231"/>
        <v>0</v>
      </c>
    </row>
    <row r="203" spans="1:62" x14ac:dyDescent="0.2">
      <c r="A203" s="117" t="s">
        <v>178</v>
      </c>
      <c r="B203" s="117" t="s">
        <v>4294</v>
      </c>
      <c r="C203" s="304" t="s">
        <v>1538</v>
      </c>
      <c r="D203" s="305"/>
      <c r="E203" s="305"/>
      <c r="F203" s="117" t="s">
        <v>1646</v>
      </c>
      <c r="G203" s="116">
        <v>10</v>
      </c>
      <c r="H203" s="159"/>
      <c r="I203" s="108">
        <f t="shared" si="208"/>
        <v>0</v>
      </c>
      <c r="J203" s="108">
        <f t="shared" si="209"/>
        <v>0</v>
      </c>
      <c r="K203" s="108">
        <f t="shared" si="210"/>
        <v>0</v>
      </c>
      <c r="L203" s="111"/>
      <c r="Z203" s="100">
        <f t="shared" si="211"/>
        <v>0</v>
      </c>
      <c r="AB203" s="100">
        <f t="shared" si="212"/>
        <v>0</v>
      </c>
      <c r="AC203" s="100">
        <f t="shared" si="213"/>
        <v>0</v>
      </c>
      <c r="AD203" s="100">
        <f t="shared" si="214"/>
        <v>0</v>
      </c>
      <c r="AE203" s="100">
        <f t="shared" si="215"/>
        <v>0</v>
      </c>
      <c r="AF203" s="100">
        <f t="shared" si="216"/>
        <v>0</v>
      </c>
      <c r="AG203" s="100">
        <f t="shared" si="217"/>
        <v>0</v>
      </c>
      <c r="AH203" s="100">
        <f t="shared" si="218"/>
        <v>0</v>
      </c>
      <c r="AI203" s="109"/>
      <c r="AJ203" s="108">
        <f t="shared" si="219"/>
        <v>0</v>
      </c>
      <c r="AK203" s="108">
        <f t="shared" si="220"/>
        <v>0</v>
      </c>
      <c r="AL203" s="108">
        <f t="shared" si="221"/>
        <v>0</v>
      </c>
      <c r="AN203" s="100">
        <v>15</v>
      </c>
      <c r="AO203" s="100">
        <f t="shared" si="222"/>
        <v>0</v>
      </c>
      <c r="AP203" s="100">
        <f t="shared" si="223"/>
        <v>0</v>
      </c>
      <c r="AQ203" s="111" t="s">
        <v>7</v>
      </c>
      <c r="AV203" s="100">
        <f t="shared" si="224"/>
        <v>0</v>
      </c>
      <c r="AW203" s="100">
        <f t="shared" si="225"/>
        <v>0</v>
      </c>
      <c r="AX203" s="100">
        <f t="shared" si="226"/>
        <v>0</v>
      </c>
      <c r="AY203" s="110" t="s">
        <v>1720</v>
      </c>
      <c r="AZ203" s="110" t="s">
        <v>1730</v>
      </c>
      <c r="BA203" s="109" t="s">
        <v>1737</v>
      </c>
      <c r="BC203" s="100">
        <f t="shared" si="227"/>
        <v>0</v>
      </c>
      <c r="BD203" s="100">
        <f t="shared" si="228"/>
        <v>0</v>
      </c>
      <c r="BE203" s="100">
        <v>0</v>
      </c>
      <c r="BF203" s="100">
        <f>203</f>
        <v>203</v>
      </c>
      <c r="BH203" s="108">
        <f t="shared" si="229"/>
        <v>0</v>
      </c>
      <c r="BI203" s="108">
        <f t="shared" si="230"/>
        <v>0</v>
      </c>
      <c r="BJ203" s="108">
        <f t="shared" si="231"/>
        <v>0</v>
      </c>
    </row>
    <row r="204" spans="1:62" x14ac:dyDescent="0.2">
      <c r="A204" s="117" t="s">
        <v>179</v>
      </c>
      <c r="B204" s="117" t="s">
        <v>4293</v>
      </c>
      <c r="C204" s="304" t="s">
        <v>1539</v>
      </c>
      <c r="D204" s="305"/>
      <c r="E204" s="305"/>
      <c r="F204" s="117" t="s">
        <v>1646</v>
      </c>
      <c r="G204" s="116">
        <v>20</v>
      </c>
      <c r="H204" s="159"/>
      <c r="I204" s="108">
        <f t="shared" si="208"/>
        <v>0</v>
      </c>
      <c r="J204" s="108">
        <f t="shared" si="209"/>
        <v>0</v>
      </c>
      <c r="K204" s="108">
        <f t="shared" si="210"/>
        <v>0</v>
      </c>
      <c r="L204" s="111"/>
      <c r="Z204" s="100">
        <f t="shared" si="211"/>
        <v>0</v>
      </c>
      <c r="AB204" s="100">
        <f t="shared" si="212"/>
        <v>0</v>
      </c>
      <c r="AC204" s="100">
        <f t="shared" si="213"/>
        <v>0</v>
      </c>
      <c r="AD204" s="100">
        <f t="shared" si="214"/>
        <v>0</v>
      </c>
      <c r="AE204" s="100">
        <f t="shared" si="215"/>
        <v>0</v>
      </c>
      <c r="AF204" s="100">
        <f t="shared" si="216"/>
        <v>0</v>
      </c>
      <c r="AG204" s="100">
        <f t="shared" si="217"/>
        <v>0</v>
      </c>
      <c r="AH204" s="100">
        <f t="shared" si="218"/>
        <v>0</v>
      </c>
      <c r="AI204" s="109"/>
      <c r="AJ204" s="108">
        <f t="shared" si="219"/>
        <v>0</v>
      </c>
      <c r="AK204" s="108">
        <f t="shared" si="220"/>
        <v>0</v>
      </c>
      <c r="AL204" s="108">
        <f t="shared" si="221"/>
        <v>0</v>
      </c>
      <c r="AN204" s="100">
        <v>15</v>
      </c>
      <c r="AO204" s="100">
        <f t="shared" si="222"/>
        <v>0</v>
      </c>
      <c r="AP204" s="100">
        <f t="shared" si="223"/>
        <v>0</v>
      </c>
      <c r="AQ204" s="111" t="s">
        <v>7</v>
      </c>
      <c r="AV204" s="100">
        <f t="shared" si="224"/>
        <v>0</v>
      </c>
      <c r="AW204" s="100">
        <f t="shared" si="225"/>
        <v>0</v>
      </c>
      <c r="AX204" s="100">
        <f t="shared" si="226"/>
        <v>0</v>
      </c>
      <c r="AY204" s="110" t="s">
        <v>1720</v>
      </c>
      <c r="AZ204" s="110" t="s">
        <v>1730</v>
      </c>
      <c r="BA204" s="109" t="s">
        <v>1737</v>
      </c>
      <c r="BC204" s="100">
        <f t="shared" si="227"/>
        <v>0</v>
      </c>
      <c r="BD204" s="100">
        <f t="shared" si="228"/>
        <v>0</v>
      </c>
      <c r="BE204" s="100">
        <v>0</v>
      </c>
      <c r="BF204" s="100">
        <f>204</f>
        <v>204</v>
      </c>
      <c r="BH204" s="108">
        <f t="shared" si="229"/>
        <v>0</v>
      </c>
      <c r="BI204" s="108">
        <f t="shared" si="230"/>
        <v>0</v>
      </c>
      <c r="BJ204" s="108">
        <f t="shared" si="231"/>
        <v>0</v>
      </c>
    </row>
    <row r="205" spans="1:62" x14ac:dyDescent="0.2">
      <c r="A205" s="117" t="s">
        <v>180</v>
      </c>
      <c r="B205" s="117" t="s">
        <v>4292</v>
      </c>
      <c r="C205" s="304" t="s">
        <v>1540</v>
      </c>
      <c r="D205" s="305"/>
      <c r="E205" s="305"/>
      <c r="F205" s="117" t="s">
        <v>1646</v>
      </c>
      <c r="G205" s="116">
        <v>50</v>
      </c>
      <c r="H205" s="159"/>
      <c r="I205" s="108">
        <f t="shared" si="208"/>
        <v>0</v>
      </c>
      <c r="J205" s="108">
        <f t="shared" si="209"/>
        <v>0</v>
      </c>
      <c r="K205" s="108">
        <f t="shared" si="210"/>
        <v>0</v>
      </c>
      <c r="L205" s="111"/>
      <c r="Z205" s="100">
        <f t="shared" si="211"/>
        <v>0</v>
      </c>
      <c r="AB205" s="100">
        <f t="shared" si="212"/>
        <v>0</v>
      </c>
      <c r="AC205" s="100">
        <f t="shared" si="213"/>
        <v>0</v>
      </c>
      <c r="AD205" s="100">
        <f t="shared" si="214"/>
        <v>0</v>
      </c>
      <c r="AE205" s="100">
        <f t="shared" si="215"/>
        <v>0</v>
      </c>
      <c r="AF205" s="100">
        <f t="shared" si="216"/>
        <v>0</v>
      </c>
      <c r="AG205" s="100">
        <f t="shared" si="217"/>
        <v>0</v>
      </c>
      <c r="AH205" s="100">
        <f t="shared" si="218"/>
        <v>0</v>
      </c>
      <c r="AI205" s="109"/>
      <c r="AJ205" s="108">
        <f t="shared" si="219"/>
        <v>0</v>
      </c>
      <c r="AK205" s="108">
        <f t="shared" si="220"/>
        <v>0</v>
      </c>
      <c r="AL205" s="108">
        <f t="shared" si="221"/>
        <v>0</v>
      </c>
      <c r="AN205" s="100">
        <v>15</v>
      </c>
      <c r="AO205" s="100">
        <f t="shared" si="222"/>
        <v>0</v>
      </c>
      <c r="AP205" s="100">
        <f t="shared" si="223"/>
        <v>0</v>
      </c>
      <c r="AQ205" s="111" t="s">
        <v>7</v>
      </c>
      <c r="AV205" s="100">
        <f t="shared" si="224"/>
        <v>0</v>
      </c>
      <c r="AW205" s="100">
        <f t="shared" si="225"/>
        <v>0</v>
      </c>
      <c r="AX205" s="100">
        <f t="shared" si="226"/>
        <v>0</v>
      </c>
      <c r="AY205" s="110" t="s">
        <v>1720</v>
      </c>
      <c r="AZ205" s="110" t="s">
        <v>1730</v>
      </c>
      <c r="BA205" s="109" t="s">
        <v>1737</v>
      </c>
      <c r="BC205" s="100">
        <f t="shared" si="227"/>
        <v>0</v>
      </c>
      <c r="BD205" s="100">
        <f t="shared" si="228"/>
        <v>0</v>
      </c>
      <c r="BE205" s="100">
        <v>0</v>
      </c>
      <c r="BF205" s="100">
        <f>205</f>
        <v>205</v>
      </c>
      <c r="BH205" s="108">
        <f t="shared" si="229"/>
        <v>0</v>
      </c>
      <c r="BI205" s="108">
        <f t="shared" si="230"/>
        <v>0</v>
      </c>
      <c r="BJ205" s="108">
        <f t="shared" si="231"/>
        <v>0</v>
      </c>
    </row>
    <row r="206" spans="1:62" x14ac:dyDescent="0.2">
      <c r="A206" s="117" t="s">
        <v>181</v>
      </c>
      <c r="B206" s="117" t="s">
        <v>4291</v>
      </c>
      <c r="C206" s="304" t="s">
        <v>1541</v>
      </c>
      <c r="D206" s="305"/>
      <c r="E206" s="305"/>
      <c r="F206" s="117" t="s">
        <v>1646</v>
      </c>
      <c r="G206" s="116">
        <v>20</v>
      </c>
      <c r="H206" s="159"/>
      <c r="I206" s="108">
        <f t="shared" si="208"/>
        <v>0</v>
      </c>
      <c r="J206" s="108">
        <f t="shared" si="209"/>
        <v>0</v>
      </c>
      <c r="K206" s="108">
        <f t="shared" si="210"/>
        <v>0</v>
      </c>
      <c r="L206" s="111"/>
      <c r="Z206" s="100">
        <f t="shared" si="211"/>
        <v>0</v>
      </c>
      <c r="AB206" s="100">
        <f t="shared" si="212"/>
        <v>0</v>
      </c>
      <c r="AC206" s="100">
        <f t="shared" si="213"/>
        <v>0</v>
      </c>
      <c r="AD206" s="100">
        <f t="shared" si="214"/>
        <v>0</v>
      </c>
      <c r="AE206" s="100">
        <f t="shared" si="215"/>
        <v>0</v>
      </c>
      <c r="AF206" s="100">
        <f t="shared" si="216"/>
        <v>0</v>
      </c>
      <c r="AG206" s="100">
        <f t="shared" si="217"/>
        <v>0</v>
      </c>
      <c r="AH206" s="100">
        <f t="shared" si="218"/>
        <v>0</v>
      </c>
      <c r="AI206" s="109"/>
      <c r="AJ206" s="108">
        <f t="shared" si="219"/>
        <v>0</v>
      </c>
      <c r="AK206" s="108">
        <f t="shared" si="220"/>
        <v>0</v>
      </c>
      <c r="AL206" s="108">
        <f t="shared" si="221"/>
        <v>0</v>
      </c>
      <c r="AN206" s="100">
        <v>15</v>
      </c>
      <c r="AO206" s="100">
        <f t="shared" si="222"/>
        <v>0</v>
      </c>
      <c r="AP206" s="100">
        <f t="shared" si="223"/>
        <v>0</v>
      </c>
      <c r="AQ206" s="111" t="s">
        <v>7</v>
      </c>
      <c r="AV206" s="100">
        <f t="shared" si="224"/>
        <v>0</v>
      </c>
      <c r="AW206" s="100">
        <f t="shared" si="225"/>
        <v>0</v>
      </c>
      <c r="AX206" s="100">
        <f t="shared" si="226"/>
        <v>0</v>
      </c>
      <c r="AY206" s="110" t="s">
        <v>1720</v>
      </c>
      <c r="AZ206" s="110" t="s">
        <v>1730</v>
      </c>
      <c r="BA206" s="109" t="s">
        <v>1737</v>
      </c>
      <c r="BC206" s="100">
        <f t="shared" si="227"/>
        <v>0</v>
      </c>
      <c r="BD206" s="100">
        <f t="shared" si="228"/>
        <v>0</v>
      </c>
      <c r="BE206" s="100">
        <v>0</v>
      </c>
      <c r="BF206" s="100">
        <f>206</f>
        <v>206</v>
      </c>
      <c r="BH206" s="108">
        <f t="shared" si="229"/>
        <v>0</v>
      </c>
      <c r="BI206" s="108">
        <f t="shared" si="230"/>
        <v>0</v>
      </c>
      <c r="BJ206" s="108">
        <f t="shared" si="231"/>
        <v>0</v>
      </c>
    </row>
    <row r="207" spans="1:62" x14ac:dyDescent="0.2">
      <c r="A207" s="117" t="s">
        <v>182</v>
      </c>
      <c r="B207" s="117" t="s">
        <v>4290</v>
      </c>
      <c r="C207" s="304" t="s">
        <v>1542</v>
      </c>
      <c r="D207" s="305"/>
      <c r="E207" s="305"/>
      <c r="F207" s="117" t="s">
        <v>1646</v>
      </c>
      <c r="G207" s="116">
        <v>10</v>
      </c>
      <c r="H207" s="159"/>
      <c r="I207" s="108">
        <f t="shared" si="208"/>
        <v>0</v>
      </c>
      <c r="J207" s="108">
        <f t="shared" si="209"/>
        <v>0</v>
      </c>
      <c r="K207" s="108">
        <f t="shared" si="210"/>
        <v>0</v>
      </c>
      <c r="L207" s="111"/>
      <c r="Z207" s="100">
        <f t="shared" si="211"/>
        <v>0</v>
      </c>
      <c r="AB207" s="100">
        <f t="shared" si="212"/>
        <v>0</v>
      </c>
      <c r="AC207" s="100">
        <f t="shared" si="213"/>
        <v>0</v>
      </c>
      <c r="AD207" s="100">
        <f t="shared" si="214"/>
        <v>0</v>
      </c>
      <c r="AE207" s="100">
        <f t="shared" si="215"/>
        <v>0</v>
      </c>
      <c r="AF207" s="100">
        <f t="shared" si="216"/>
        <v>0</v>
      </c>
      <c r="AG207" s="100">
        <f t="shared" si="217"/>
        <v>0</v>
      </c>
      <c r="AH207" s="100">
        <f t="shared" si="218"/>
        <v>0</v>
      </c>
      <c r="AI207" s="109"/>
      <c r="AJ207" s="108">
        <f t="shared" si="219"/>
        <v>0</v>
      </c>
      <c r="AK207" s="108">
        <f t="shared" si="220"/>
        <v>0</v>
      </c>
      <c r="AL207" s="108">
        <f t="shared" si="221"/>
        <v>0</v>
      </c>
      <c r="AN207" s="100">
        <v>15</v>
      </c>
      <c r="AO207" s="100">
        <f t="shared" si="222"/>
        <v>0</v>
      </c>
      <c r="AP207" s="100">
        <f t="shared" si="223"/>
        <v>0</v>
      </c>
      <c r="AQ207" s="111" t="s">
        <v>7</v>
      </c>
      <c r="AV207" s="100">
        <f t="shared" si="224"/>
        <v>0</v>
      </c>
      <c r="AW207" s="100">
        <f t="shared" si="225"/>
        <v>0</v>
      </c>
      <c r="AX207" s="100">
        <f t="shared" si="226"/>
        <v>0</v>
      </c>
      <c r="AY207" s="110" t="s">
        <v>1720</v>
      </c>
      <c r="AZ207" s="110" t="s">
        <v>1730</v>
      </c>
      <c r="BA207" s="109" t="s">
        <v>1737</v>
      </c>
      <c r="BC207" s="100">
        <f t="shared" si="227"/>
        <v>0</v>
      </c>
      <c r="BD207" s="100">
        <f t="shared" si="228"/>
        <v>0</v>
      </c>
      <c r="BE207" s="100">
        <v>0</v>
      </c>
      <c r="BF207" s="100">
        <f>207</f>
        <v>207</v>
      </c>
      <c r="BH207" s="108">
        <f t="shared" si="229"/>
        <v>0</v>
      </c>
      <c r="BI207" s="108">
        <f t="shared" si="230"/>
        <v>0</v>
      </c>
      <c r="BJ207" s="108">
        <f t="shared" si="231"/>
        <v>0</v>
      </c>
    </row>
    <row r="208" spans="1:62" x14ac:dyDescent="0.2">
      <c r="A208" s="117" t="s">
        <v>183</v>
      </c>
      <c r="B208" s="117" t="s">
        <v>4289</v>
      </c>
      <c r="C208" s="304" t="s">
        <v>1543</v>
      </c>
      <c r="D208" s="305"/>
      <c r="E208" s="305"/>
      <c r="F208" s="117" t="s">
        <v>1644</v>
      </c>
      <c r="G208" s="116">
        <v>1</v>
      </c>
      <c r="H208" s="159"/>
      <c r="I208" s="108">
        <f t="shared" si="208"/>
        <v>0</v>
      </c>
      <c r="J208" s="108">
        <f t="shared" si="209"/>
        <v>0</v>
      </c>
      <c r="K208" s="108">
        <f t="shared" si="210"/>
        <v>0</v>
      </c>
      <c r="L208" s="111"/>
      <c r="Z208" s="100">
        <f t="shared" si="211"/>
        <v>0</v>
      </c>
      <c r="AB208" s="100">
        <f t="shared" si="212"/>
        <v>0</v>
      </c>
      <c r="AC208" s="100">
        <f t="shared" si="213"/>
        <v>0</v>
      </c>
      <c r="AD208" s="100">
        <f t="shared" si="214"/>
        <v>0</v>
      </c>
      <c r="AE208" s="100">
        <f t="shared" si="215"/>
        <v>0</v>
      </c>
      <c r="AF208" s="100">
        <f t="shared" si="216"/>
        <v>0</v>
      </c>
      <c r="AG208" s="100">
        <f t="shared" si="217"/>
        <v>0</v>
      </c>
      <c r="AH208" s="100">
        <f t="shared" si="218"/>
        <v>0</v>
      </c>
      <c r="AI208" s="109"/>
      <c r="AJ208" s="108">
        <f t="shared" si="219"/>
        <v>0</v>
      </c>
      <c r="AK208" s="108">
        <f t="shared" si="220"/>
        <v>0</v>
      </c>
      <c r="AL208" s="108">
        <f t="shared" si="221"/>
        <v>0</v>
      </c>
      <c r="AN208" s="100">
        <v>15</v>
      </c>
      <c r="AO208" s="100">
        <f t="shared" si="222"/>
        <v>0</v>
      </c>
      <c r="AP208" s="100">
        <f t="shared" si="223"/>
        <v>0</v>
      </c>
      <c r="AQ208" s="111" t="s">
        <v>7</v>
      </c>
      <c r="AV208" s="100">
        <f t="shared" si="224"/>
        <v>0</v>
      </c>
      <c r="AW208" s="100">
        <f t="shared" si="225"/>
        <v>0</v>
      </c>
      <c r="AX208" s="100">
        <f t="shared" si="226"/>
        <v>0</v>
      </c>
      <c r="AY208" s="110" t="s">
        <v>1720</v>
      </c>
      <c r="AZ208" s="110" t="s">
        <v>1730</v>
      </c>
      <c r="BA208" s="109" t="s">
        <v>1737</v>
      </c>
      <c r="BC208" s="100">
        <f t="shared" si="227"/>
        <v>0</v>
      </c>
      <c r="BD208" s="100">
        <f t="shared" si="228"/>
        <v>0</v>
      </c>
      <c r="BE208" s="100">
        <v>0</v>
      </c>
      <c r="BF208" s="100">
        <f>208</f>
        <v>208</v>
      </c>
      <c r="BH208" s="108">
        <f t="shared" si="229"/>
        <v>0</v>
      </c>
      <c r="BI208" s="108">
        <f t="shared" si="230"/>
        <v>0</v>
      </c>
      <c r="BJ208" s="108">
        <f t="shared" si="231"/>
        <v>0</v>
      </c>
    </row>
    <row r="209" spans="1:62" x14ac:dyDescent="0.2">
      <c r="A209" s="117" t="s">
        <v>184</v>
      </c>
      <c r="B209" s="117" t="s">
        <v>4288</v>
      </c>
      <c r="C209" s="304" t="s">
        <v>4287</v>
      </c>
      <c r="D209" s="305"/>
      <c r="E209" s="305"/>
      <c r="F209" s="117" t="s">
        <v>1644</v>
      </c>
      <c r="G209" s="116">
        <v>1</v>
      </c>
      <c r="H209" s="159"/>
      <c r="I209" s="108">
        <f t="shared" si="208"/>
        <v>0</v>
      </c>
      <c r="J209" s="108">
        <f t="shared" si="209"/>
        <v>0</v>
      </c>
      <c r="K209" s="108">
        <f t="shared" si="210"/>
        <v>0</v>
      </c>
      <c r="L209" s="111"/>
      <c r="Z209" s="100">
        <f t="shared" si="211"/>
        <v>0</v>
      </c>
      <c r="AB209" s="100">
        <f t="shared" si="212"/>
        <v>0</v>
      </c>
      <c r="AC209" s="100">
        <f t="shared" si="213"/>
        <v>0</v>
      </c>
      <c r="AD209" s="100">
        <f t="shared" si="214"/>
        <v>0</v>
      </c>
      <c r="AE209" s="100">
        <f t="shared" si="215"/>
        <v>0</v>
      </c>
      <c r="AF209" s="100">
        <f t="shared" si="216"/>
        <v>0</v>
      </c>
      <c r="AG209" s="100">
        <f t="shared" si="217"/>
        <v>0</v>
      </c>
      <c r="AH209" s="100">
        <f t="shared" si="218"/>
        <v>0</v>
      </c>
      <c r="AI209" s="109"/>
      <c r="AJ209" s="108">
        <f t="shared" si="219"/>
        <v>0</v>
      </c>
      <c r="AK209" s="108">
        <f t="shared" si="220"/>
        <v>0</v>
      </c>
      <c r="AL209" s="108">
        <f t="shared" si="221"/>
        <v>0</v>
      </c>
      <c r="AN209" s="100">
        <v>15</v>
      </c>
      <c r="AO209" s="100">
        <f t="shared" si="222"/>
        <v>0</v>
      </c>
      <c r="AP209" s="100">
        <f t="shared" si="223"/>
        <v>0</v>
      </c>
      <c r="AQ209" s="111" t="s">
        <v>7</v>
      </c>
      <c r="AV209" s="100">
        <f t="shared" si="224"/>
        <v>0</v>
      </c>
      <c r="AW209" s="100">
        <f t="shared" si="225"/>
        <v>0</v>
      </c>
      <c r="AX209" s="100">
        <f t="shared" si="226"/>
        <v>0</v>
      </c>
      <c r="AY209" s="110" t="s">
        <v>1720</v>
      </c>
      <c r="AZ209" s="110" t="s">
        <v>1730</v>
      </c>
      <c r="BA209" s="109" t="s">
        <v>1737</v>
      </c>
      <c r="BC209" s="100">
        <f t="shared" si="227"/>
        <v>0</v>
      </c>
      <c r="BD209" s="100">
        <f t="shared" si="228"/>
        <v>0</v>
      </c>
      <c r="BE209" s="100">
        <v>0</v>
      </c>
      <c r="BF209" s="100">
        <f>209</f>
        <v>209</v>
      </c>
      <c r="BH209" s="108">
        <f t="shared" si="229"/>
        <v>0</v>
      </c>
      <c r="BI209" s="108">
        <f t="shared" si="230"/>
        <v>0</v>
      </c>
      <c r="BJ209" s="108">
        <f t="shared" si="231"/>
        <v>0</v>
      </c>
    </row>
    <row r="210" spans="1:62" x14ac:dyDescent="0.2">
      <c r="A210" s="117" t="s">
        <v>185</v>
      </c>
      <c r="B210" s="117" t="s">
        <v>4286</v>
      </c>
      <c r="C210" s="304" t="s">
        <v>1551</v>
      </c>
      <c r="D210" s="305"/>
      <c r="E210" s="305"/>
      <c r="F210" s="117" t="s">
        <v>1644</v>
      </c>
      <c r="G210" s="116">
        <v>1</v>
      </c>
      <c r="H210" s="159"/>
      <c r="I210" s="108">
        <f t="shared" si="208"/>
        <v>0</v>
      </c>
      <c r="J210" s="108">
        <f t="shared" si="209"/>
        <v>0</v>
      </c>
      <c r="K210" s="108">
        <f t="shared" si="210"/>
        <v>0</v>
      </c>
      <c r="L210" s="111"/>
      <c r="Z210" s="100">
        <f t="shared" si="211"/>
        <v>0</v>
      </c>
      <c r="AB210" s="100">
        <f t="shared" si="212"/>
        <v>0</v>
      </c>
      <c r="AC210" s="100">
        <f t="shared" si="213"/>
        <v>0</v>
      </c>
      <c r="AD210" s="100">
        <f t="shared" si="214"/>
        <v>0</v>
      </c>
      <c r="AE210" s="100">
        <f t="shared" si="215"/>
        <v>0</v>
      </c>
      <c r="AF210" s="100">
        <f t="shared" si="216"/>
        <v>0</v>
      </c>
      <c r="AG210" s="100">
        <f t="shared" si="217"/>
        <v>0</v>
      </c>
      <c r="AH210" s="100">
        <f t="shared" si="218"/>
        <v>0</v>
      </c>
      <c r="AI210" s="109"/>
      <c r="AJ210" s="108">
        <f t="shared" si="219"/>
        <v>0</v>
      </c>
      <c r="AK210" s="108">
        <f t="shared" si="220"/>
        <v>0</v>
      </c>
      <c r="AL210" s="108">
        <f t="shared" si="221"/>
        <v>0</v>
      </c>
      <c r="AN210" s="100">
        <v>15</v>
      </c>
      <c r="AO210" s="100">
        <f t="shared" si="222"/>
        <v>0</v>
      </c>
      <c r="AP210" s="100">
        <f t="shared" si="223"/>
        <v>0</v>
      </c>
      <c r="AQ210" s="111" t="s">
        <v>7</v>
      </c>
      <c r="AV210" s="100">
        <f t="shared" si="224"/>
        <v>0</v>
      </c>
      <c r="AW210" s="100">
        <f t="shared" si="225"/>
        <v>0</v>
      </c>
      <c r="AX210" s="100">
        <f t="shared" si="226"/>
        <v>0</v>
      </c>
      <c r="AY210" s="110" t="s">
        <v>1720</v>
      </c>
      <c r="AZ210" s="110" t="s">
        <v>1730</v>
      </c>
      <c r="BA210" s="109" t="s">
        <v>1737</v>
      </c>
      <c r="BC210" s="100">
        <f t="shared" si="227"/>
        <v>0</v>
      </c>
      <c r="BD210" s="100">
        <f t="shared" si="228"/>
        <v>0</v>
      </c>
      <c r="BE210" s="100">
        <v>0</v>
      </c>
      <c r="BF210" s="100">
        <f>210</f>
        <v>210</v>
      </c>
      <c r="BH210" s="108">
        <f t="shared" si="229"/>
        <v>0</v>
      </c>
      <c r="BI210" s="108">
        <f t="shared" si="230"/>
        <v>0</v>
      </c>
      <c r="BJ210" s="108">
        <f t="shared" si="231"/>
        <v>0</v>
      </c>
    </row>
    <row r="211" spans="1:62" x14ac:dyDescent="0.2">
      <c r="A211" s="117" t="s">
        <v>186</v>
      </c>
      <c r="B211" s="117" t="s">
        <v>4285</v>
      </c>
      <c r="C211" s="304" t="s">
        <v>1552</v>
      </c>
      <c r="D211" s="305"/>
      <c r="E211" s="305"/>
      <c r="F211" s="117" t="s">
        <v>1644</v>
      </c>
      <c r="G211" s="116">
        <v>1</v>
      </c>
      <c r="H211" s="159"/>
      <c r="I211" s="108">
        <f t="shared" si="208"/>
        <v>0</v>
      </c>
      <c r="J211" s="108">
        <f t="shared" si="209"/>
        <v>0</v>
      </c>
      <c r="K211" s="108">
        <f t="shared" si="210"/>
        <v>0</v>
      </c>
      <c r="L211" s="111"/>
      <c r="Z211" s="100">
        <f t="shared" si="211"/>
        <v>0</v>
      </c>
      <c r="AB211" s="100">
        <f t="shared" si="212"/>
        <v>0</v>
      </c>
      <c r="AC211" s="100">
        <f t="shared" si="213"/>
        <v>0</v>
      </c>
      <c r="AD211" s="100">
        <f t="shared" si="214"/>
        <v>0</v>
      </c>
      <c r="AE211" s="100">
        <f t="shared" si="215"/>
        <v>0</v>
      </c>
      <c r="AF211" s="100">
        <f t="shared" si="216"/>
        <v>0</v>
      </c>
      <c r="AG211" s="100">
        <f t="shared" si="217"/>
        <v>0</v>
      </c>
      <c r="AH211" s="100">
        <f t="shared" si="218"/>
        <v>0</v>
      </c>
      <c r="AI211" s="109"/>
      <c r="AJ211" s="108">
        <f t="shared" si="219"/>
        <v>0</v>
      </c>
      <c r="AK211" s="108">
        <f t="shared" si="220"/>
        <v>0</v>
      </c>
      <c r="AL211" s="108">
        <f t="shared" si="221"/>
        <v>0</v>
      </c>
      <c r="AN211" s="100">
        <v>15</v>
      </c>
      <c r="AO211" s="100">
        <f t="shared" si="222"/>
        <v>0</v>
      </c>
      <c r="AP211" s="100">
        <f t="shared" si="223"/>
        <v>0</v>
      </c>
      <c r="AQ211" s="111" t="s">
        <v>7</v>
      </c>
      <c r="AV211" s="100">
        <f t="shared" si="224"/>
        <v>0</v>
      </c>
      <c r="AW211" s="100">
        <f t="shared" si="225"/>
        <v>0</v>
      </c>
      <c r="AX211" s="100">
        <f t="shared" si="226"/>
        <v>0</v>
      </c>
      <c r="AY211" s="110" t="s">
        <v>1720</v>
      </c>
      <c r="AZ211" s="110" t="s">
        <v>1730</v>
      </c>
      <c r="BA211" s="109" t="s">
        <v>1737</v>
      </c>
      <c r="BC211" s="100">
        <f t="shared" si="227"/>
        <v>0</v>
      </c>
      <c r="BD211" s="100">
        <f t="shared" si="228"/>
        <v>0</v>
      </c>
      <c r="BE211" s="100">
        <v>0</v>
      </c>
      <c r="BF211" s="100">
        <f>211</f>
        <v>211</v>
      </c>
      <c r="BH211" s="108">
        <f t="shared" si="229"/>
        <v>0</v>
      </c>
      <c r="BI211" s="108">
        <f t="shared" si="230"/>
        <v>0</v>
      </c>
      <c r="BJ211" s="108">
        <f t="shared" si="231"/>
        <v>0</v>
      </c>
    </row>
    <row r="212" spans="1:62" x14ac:dyDescent="0.2">
      <c r="A212" s="117" t="s">
        <v>187</v>
      </c>
      <c r="B212" s="117" t="s">
        <v>4284</v>
      </c>
      <c r="C212" s="304" t="s">
        <v>1553</v>
      </c>
      <c r="D212" s="305"/>
      <c r="E212" s="305"/>
      <c r="F212" s="117" t="s">
        <v>1644</v>
      </c>
      <c r="G212" s="116">
        <v>1</v>
      </c>
      <c r="H212" s="159"/>
      <c r="I212" s="108">
        <f t="shared" si="208"/>
        <v>0</v>
      </c>
      <c r="J212" s="108">
        <f t="shared" si="209"/>
        <v>0</v>
      </c>
      <c r="K212" s="108">
        <f t="shared" si="210"/>
        <v>0</v>
      </c>
      <c r="L212" s="111"/>
      <c r="Z212" s="100">
        <f t="shared" si="211"/>
        <v>0</v>
      </c>
      <c r="AB212" s="100">
        <f t="shared" si="212"/>
        <v>0</v>
      </c>
      <c r="AC212" s="100">
        <f t="shared" si="213"/>
        <v>0</v>
      </c>
      <c r="AD212" s="100">
        <f t="shared" si="214"/>
        <v>0</v>
      </c>
      <c r="AE212" s="100">
        <f t="shared" si="215"/>
        <v>0</v>
      </c>
      <c r="AF212" s="100">
        <f t="shared" si="216"/>
        <v>0</v>
      </c>
      <c r="AG212" s="100">
        <f t="shared" si="217"/>
        <v>0</v>
      </c>
      <c r="AH212" s="100">
        <f t="shared" si="218"/>
        <v>0</v>
      </c>
      <c r="AI212" s="109"/>
      <c r="AJ212" s="108">
        <f t="shared" si="219"/>
        <v>0</v>
      </c>
      <c r="AK212" s="108">
        <f t="shared" si="220"/>
        <v>0</v>
      </c>
      <c r="AL212" s="108">
        <f t="shared" si="221"/>
        <v>0</v>
      </c>
      <c r="AN212" s="100">
        <v>15</v>
      </c>
      <c r="AO212" s="100">
        <f t="shared" si="222"/>
        <v>0</v>
      </c>
      <c r="AP212" s="100">
        <f t="shared" si="223"/>
        <v>0</v>
      </c>
      <c r="AQ212" s="111" t="s">
        <v>7</v>
      </c>
      <c r="AV212" s="100">
        <f t="shared" si="224"/>
        <v>0</v>
      </c>
      <c r="AW212" s="100">
        <f t="shared" si="225"/>
        <v>0</v>
      </c>
      <c r="AX212" s="100">
        <f t="shared" si="226"/>
        <v>0</v>
      </c>
      <c r="AY212" s="110" t="s">
        <v>1720</v>
      </c>
      <c r="AZ212" s="110" t="s">
        <v>1730</v>
      </c>
      <c r="BA212" s="109" t="s">
        <v>1737</v>
      </c>
      <c r="BC212" s="100">
        <f t="shared" si="227"/>
        <v>0</v>
      </c>
      <c r="BD212" s="100">
        <f t="shared" si="228"/>
        <v>0</v>
      </c>
      <c r="BE212" s="100">
        <v>0</v>
      </c>
      <c r="BF212" s="100">
        <f>212</f>
        <v>212</v>
      </c>
      <c r="BH212" s="108">
        <f t="shared" si="229"/>
        <v>0</v>
      </c>
      <c r="BI212" s="108">
        <f t="shared" si="230"/>
        <v>0</v>
      </c>
      <c r="BJ212" s="108">
        <f t="shared" si="231"/>
        <v>0</v>
      </c>
    </row>
    <row r="213" spans="1:62" x14ac:dyDescent="0.2">
      <c r="A213" s="117" t="s">
        <v>188</v>
      </c>
      <c r="B213" s="117" t="s">
        <v>4283</v>
      </c>
      <c r="C213" s="304" t="s">
        <v>1554</v>
      </c>
      <c r="D213" s="305"/>
      <c r="E213" s="305"/>
      <c r="F213" s="117" t="s">
        <v>1644</v>
      </c>
      <c r="G213" s="116">
        <v>1</v>
      </c>
      <c r="H213" s="159"/>
      <c r="I213" s="108">
        <f t="shared" si="208"/>
        <v>0</v>
      </c>
      <c r="J213" s="108">
        <f t="shared" si="209"/>
        <v>0</v>
      </c>
      <c r="K213" s="108">
        <f t="shared" si="210"/>
        <v>0</v>
      </c>
      <c r="L213" s="111"/>
      <c r="Z213" s="100">
        <f t="shared" si="211"/>
        <v>0</v>
      </c>
      <c r="AB213" s="100">
        <f t="shared" si="212"/>
        <v>0</v>
      </c>
      <c r="AC213" s="100">
        <f t="shared" si="213"/>
        <v>0</v>
      </c>
      <c r="AD213" s="100">
        <f t="shared" si="214"/>
        <v>0</v>
      </c>
      <c r="AE213" s="100">
        <f t="shared" si="215"/>
        <v>0</v>
      </c>
      <c r="AF213" s="100">
        <f t="shared" si="216"/>
        <v>0</v>
      </c>
      <c r="AG213" s="100">
        <f t="shared" si="217"/>
        <v>0</v>
      </c>
      <c r="AH213" s="100">
        <f t="shared" si="218"/>
        <v>0</v>
      </c>
      <c r="AI213" s="109"/>
      <c r="AJ213" s="108">
        <f t="shared" si="219"/>
        <v>0</v>
      </c>
      <c r="AK213" s="108">
        <f t="shared" si="220"/>
        <v>0</v>
      </c>
      <c r="AL213" s="108">
        <f t="shared" si="221"/>
        <v>0</v>
      </c>
      <c r="AN213" s="100">
        <v>15</v>
      </c>
      <c r="AO213" s="100">
        <f t="shared" si="222"/>
        <v>0</v>
      </c>
      <c r="AP213" s="100">
        <f t="shared" si="223"/>
        <v>0</v>
      </c>
      <c r="AQ213" s="111" t="s">
        <v>7</v>
      </c>
      <c r="AV213" s="100">
        <f t="shared" si="224"/>
        <v>0</v>
      </c>
      <c r="AW213" s="100">
        <f t="shared" si="225"/>
        <v>0</v>
      </c>
      <c r="AX213" s="100">
        <f t="shared" si="226"/>
        <v>0</v>
      </c>
      <c r="AY213" s="110" t="s">
        <v>1720</v>
      </c>
      <c r="AZ213" s="110" t="s">
        <v>1730</v>
      </c>
      <c r="BA213" s="109" t="s">
        <v>1737</v>
      </c>
      <c r="BC213" s="100">
        <f t="shared" si="227"/>
        <v>0</v>
      </c>
      <c r="BD213" s="100">
        <f t="shared" si="228"/>
        <v>0</v>
      </c>
      <c r="BE213" s="100">
        <v>0</v>
      </c>
      <c r="BF213" s="100">
        <f>213</f>
        <v>213</v>
      </c>
      <c r="BH213" s="108">
        <f t="shared" si="229"/>
        <v>0</v>
      </c>
      <c r="BI213" s="108">
        <f t="shared" si="230"/>
        <v>0</v>
      </c>
      <c r="BJ213" s="108">
        <f t="shared" si="231"/>
        <v>0</v>
      </c>
    </row>
    <row r="214" spans="1:62" x14ac:dyDescent="0.2">
      <c r="A214" s="117" t="s">
        <v>189</v>
      </c>
      <c r="B214" s="117" t="s">
        <v>4282</v>
      </c>
      <c r="C214" s="304" t="s">
        <v>1555</v>
      </c>
      <c r="D214" s="305"/>
      <c r="E214" s="305"/>
      <c r="F214" s="117" t="s">
        <v>1644</v>
      </c>
      <c r="G214" s="116">
        <v>1</v>
      </c>
      <c r="H214" s="159"/>
      <c r="I214" s="108">
        <f t="shared" si="208"/>
        <v>0</v>
      </c>
      <c r="J214" s="108">
        <f t="shared" si="209"/>
        <v>0</v>
      </c>
      <c r="K214" s="108">
        <f t="shared" si="210"/>
        <v>0</v>
      </c>
      <c r="L214" s="111"/>
      <c r="Z214" s="100">
        <f t="shared" si="211"/>
        <v>0</v>
      </c>
      <c r="AB214" s="100">
        <f t="shared" si="212"/>
        <v>0</v>
      </c>
      <c r="AC214" s="100">
        <f t="shared" si="213"/>
        <v>0</v>
      </c>
      <c r="AD214" s="100">
        <f t="shared" si="214"/>
        <v>0</v>
      </c>
      <c r="AE214" s="100">
        <f t="shared" si="215"/>
        <v>0</v>
      </c>
      <c r="AF214" s="100">
        <f t="shared" si="216"/>
        <v>0</v>
      </c>
      <c r="AG214" s="100">
        <f t="shared" si="217"/>
        <v>0</v>
      </c>
      <c r="AH214" s="100">
        <f t="shared" si="218"/>
        <v>0</v>
      </c>
      <c r="AI214" s="109"/>
      <c r="AJ214" s="108">
        <f t="shared" si="219"/>
        <v>0</v>
      </c>
      <c r="AK214" s="108">
        <f t="shared" si="220"/>
        <v>0</v>
      </c>
      <c r="AL214" s="108">
        <f t="shared" si="221"/>
        <v>0</v>
      </c>
      <c r="AN214" s="100">
        <v>15</v>
      </c>
      <c r="AO214" s="100">
        <f t="shared" si="222"/>
        <v>0</v>
      </c>
      <c r="AP214" s="100">
        <f t="shared" si="223"/>
        <v>0</v>
      </c>
      <c r="AQ214" s="111" t="s">
        <v>7</v>
      </c>
      <c r="AV214" s="100">
        <f t="shared" si="224"/>
        <v>0</v>
      </c>
      <c r="AW214" s="100">
        <f t="shared" si="225"/>
        <v>0</v>
      </c>
      <c r="AX214" s="100">
        <f t="shared" si="226"/>
        <v>0</v>
      </c>
      <c r="AY214" s="110" t="s">
        <v>1720</v>
      </c>
      <c r="AZ214" s="110" t="s">
        <v>1730</v>
      </c>
      <c r="BA214" s="109" t="s">
        <v>1737</v>
      </c>
      <c r="BC214" s="100">
        <f t="shared" si="227"/>
        <v>0</v>
      </c>
      <c r="BD214" s="100">
        <f t="shared" si="228"/>
        <v>0</v>
      </c>
      <c r="BE214" s="100">
        <v>0</v>
      </c>
      <c r="BF214" s="100">
        <f>214</f>
        <v>214</v>
      </c>
      <c r="BH214" s="108">
        <f t="shared" si="229"/>
        <v>0</v>
      </c>
      <c r="BI214" s="108">
        <f t="shared" si="230"/>
        <v>0</v>
      </c>
      <c r="BJ214" s="108">
        <f t="shared" si="231"/>
        <v>0</v>
      </c>
    </row>
    <row r="215" spans="1:62" x14ac:dyDescent="0.2">
      <c r="A215" s="119"/>
      <c r="B215" s="120" t="s">
        <v>1039</v>
      </c>
      <c r="C215" s="306" t="s">
        <v>1631</v>
      </c>
      <c r="D215" s="307"/>
      <c r="E215" s="307"/>
      <c r="F215" s="119" t="s">
        <v>6</v>
      </c>
      <c r="G215" s="119" t="s">
        <v>6</v>
      </c>
      <c r="H215" s="119" t="s">
        <v>6</v>
      </c>
      <c r="I215" s="118">
        <f>SUM(I216:I221)</f>
        <v>0</v>
      </c>
      <c r="J215" s="118">
        <f>SUM(J216:J221)</f>
        <v>0</v>
      </c>
      <c r="K215" s="118">
        <f>SUM(K216:K221)</f>
        <v>0</v>
      </c>
      <c r="L215" s="109"/>
      <c r="AI215" s="109"/>
      <c r="AS215" s="118">
        <f>SUM(AJ216:AJ221)</f>
        <v>0</v>
      </c>
      <c r="AT215" s="118">
        <f>SUM(AK216:AK221)</f>
        <v>0</v>
      </c>
      <c r="AU215" s="118">
        <f>SUM(AL216:AL221)</f>
        <v>0</v>
      </c>
    </row>
    <row r="216" spans="1:62" x14ac:dyDescent="0.2">
      <c r="A216" s="117" t="s">
        <v>190</v>
      </c>
      <c r="B216" s="117" t="s">
        <v>1041</v>
      </c>
      <c r="C216" s="304" t="s">
        <v>1633</v>
      </c>
      <c r="D216" s="305"/>
      <c r="E216" s="305"/>
      <c r="F216" s="117" t="s">
        <v>1644</v>
      </c>
      <c r="G216" s="116">
        <v>1</v>
      </c>
      <c r="H216" s="159"/>
      <c r="I216" s="108">
        <f t="shared" ref="I216:I221" si="232">G216*AO216</f>
        <v>0</v>
      </c>
      <c r="J216" s="108">
        <f t="shared" ref="J216:J221" si="233">G216*AP216</f>
        <v>0</v>
      </c>
      <c r="K216" s="108">
        <f t="shared" ref="K216:K221" si="234">G216*H216</f>
        <v>0</v>
      </c>
      <c r="L216" s="111" t="s">
        <v>1671</v>
      </c>
      <c r="Z216" s="100">
        <f t="shared" ref="Z216:Z221" si="235">IF(AQ216="5",BJ216,0)</f>
        <v>0</v>
      </c>
      <c r="AB216" s="100">
        <f t="shared" ref="AB216:AB221" si="236">IF(AQ216="1",BH216,0)</f>
        <v>0</v>
      </c>
      <c r="AC216" s="100">
        <f t="shared" ref="AC216:AC221" si="237">IF(AQ216="1",BI216,0)</f>
        <v>0</v>
      </c>
      <c r="AD216" s="100">
        <f t="shared" ref="AD216:AD221" si="238">IF(AQ216="7",BH216,0)</f>
        <v>0</v>
      </c>
      <c r="AE216" s="100">
        <f t="shared" ref="AE216:AE221" si="239">IF(AQ216="7",BI216,0)</f>
        <v>0</v>
      </c>
      <c r="AF216" s="100">
        <f t="shared" ref="AF216:AF221" si="240">IF(AQ216="2",BH216,0)</f>
        <v>0</v>
      </c>
      <c r="AG216" s="100">
        <f t="shared" ref="AG216:AG221" si="241">IF(AQ216="2",BI216,0)</f>
        <v>0</v>
      </c>
      <c r="AH216" s="100">
        <f t="shared" ref="AH216:AH221" si="242">IF(AQ216="0",BJ216,0)</f>
        <v>0</v>
      </c>
      <c r="AI216" s="109"/>
      <c r="AJ216" s="108">
        <f t="shared" ref="AJ216:AJ221" si="243">IF(AN216=0,K216,0)</f>
        <v>0</v>
      </c>
      <c r="AK216" s="108">
        <f t="shared" ref="AK216:AK221" si="244">IF(AN216=15,K216,0)</f>
        <v>0</v>
      </c>
      <c r="AL216" s="108">
        <f t="shared" ref="AL216:AL221" si="245">IF(AN216=21,K216,0)</f>
        <v>0</v>
      </c>
      <c r="AN216" s="100">
        <v>15</v>
      </c>
      <c r="AO216" s="100">
        <f t="shared" ref="AO216:AO221" si="246">H216*0</f>
        <v>0</v>
      </c>
      <c r="AP216" s="100">
        <f t="shared" ref="AP216:AP221" si="247">H216*(1-0)</f>
        <v>0</v>
      </c>
      <c r="AQ216" s="111" t="s">
        <v>7</v>
      </c>
      <c r="AV216" s="100">
        <f t="shared" ref="AV216:AV221" si="248">AW216+AX216</f>
        <v>0</v>
      </c>
      <c r="AW216" s="100">
        <f t="shared" ref="AW216:AW221" si="249">G216*AO216</f>
        <v>0</v>
      </c>
      <c r="AX216" s="100">
        <f t="shared" ref="AX216:AX221" si="250">G216*AP216</f>
        <v>0</v>
      </c>
      <c r="AY216" s="110" t="s">
        <v>1723</v>
      </c>
      <c r="AZ216" s="110" t="s">
        <v>1730</v>
      </c>
      <c r="BA216" s="109" t="s">
        <v>1737</v>
      </c>
      <c r="BC216" s="100">
        <f t="shared" ref="BC216:BC221" si="251">AW216+AX216</f>
        <v>0</v>
      </c>
      <c r="BD216" s="100">
        <f t="shared" ref="BD216:BD221" si="252">H216/(100-BE216)*100</f>
        <v>0</v>
      </c>
      <c r="BE216" s="100">
        <v>0</v>
      </c>
      <c r="BF216" s="100">
        <f>216</f>
        <v>216</v>
      </c>
      <c r="BH216" s="108">
        <f t="shared" ref="BH216:BH221" si="253">G216*AO216</f>
        <v>0</v>
      </c>
      <c r="BI216" s="108">
        <f t="shared" ref="BI216:BI221" si="254">G216*AP216</f>
        <v>0</v>
      </c>
      <c r="BJ216" s="108">
        <f t="shared" ref="BJ216:BJ221" si="255">G216*H216</f>
        <v>0</v>
      </c>
    </row>
    <row r="217" spans="1:62" x14ac:dyDescent="0.2">
      <c r="A217" s="117" t="s">
        <v>191</v>
      </c>
      <c r="B217" s="117" t="s">
        <v>1042</v>
      </c>
      <c r="C217" s="304" t="s">
        <v>1634</v>
      </c>
      <c r="D217" s="305"/>
      <c r="E217" s="305"/>
      <c r="F217" s="117" t="s">
        <v>1644</v>
      </c>
      <c r="G217" s="116">
        <v>1</v>
      </c>
      <c r="H217" s="159"/>
      <c r="I217" s="108">
        <f t="shared" si="232"/>
        <v>0</v>
      </c>
      <c r="J217" s="108">
        <f t="shared" si="233"/>
        <v>0</v>
      </c>
      <c r="K217" s="108">
        <f t="shared" si="234"/>
        <v>0</v>
      </c>
      <c r="L217" s="111" t="s">
        <v>1671</v>
      </c>
      <c r="Z217" s="100">
        <f t="shared" si="235"/>
        <v>0</v>
      </c>
      <c r="AB217" s="100">
        <f t="shared" si="236"/>
        <v>0</v>
      </c>
      <c r="AC217" s="100">
        <f t="shared" si="237"/>
        <v>0</v>
      </c>
      <c r="AD217" s="100">
        <f t="shared" si="238"/>
        <v>0</v>
      </c>
      <c r="AE217" s="100">
        <f t="shared" si="239"/>
        <v>0</v>
      </c>
      <c r="AF217" s="100">
        <f t="shared" si="240"/>
        <v>0</v>
      </c>
      <c r="AG217" s="100">
        <f t="shared" si="241"/>
        <v>0</v>
      </c>
      <c r="AH217" s="100">
        <f t="shared" si="242"/>
        <v>0</v>
      </c>
      <c r="AI217" s="109"/>
      <c r="AJ217" s="108">
        <f t="shared" si="243"/>
        <v>0</v>
      </c>
      <c r="AK217" s="108">
        <f t="shared" si="244"/>
        <v>0</v>
      </c>
      <c r="AL217" s="108">
        <f t="shared" si="245"/>
        <v>0</v>
      </c>
      <c r="AN217" s="100">
        <v>15</v>
      </c>
      <c r="AO217" s="100">
        <f t="shared" si="246"/>
        <v>0</v>
      </c>
      <c r="AP217" s="100">
        <f t="shared" si="247"/>
        <v>0</v>
      </c>
      <c r="AQ217" s="111" t="s">
        <v>7</v>
      </c>
      <c r="AV217" s="100">
        <f t="shared" si="248"/>
        <v>0</v>
      </c>
      <c r="AW217" s="100">
        <f t="shared" si="249"/>
        <v>0</v>
      </c>
      <c r="AX217" s="100">
        <f t="shared" si="250"/>
        <v>0</v>
      </c>
      <c r="AY217" s="110" t="s">
        <v>1723</v>
      </c>
      <c r="AZ217" s="110" t="s">
        <v>1730</v>
      </c>
      <c r="BA217" s="109" t="s">
        <v>1737</v>
      </c>
      <c r="BC217" s="100">
        <f t="shared" si="251"/>
        <v>0</v>
      </c>
      <c r="BD217" s="100">
        <f t="shared" si="252"/>
        <v>0</v>
      </c>
      <c r="BE217" s="100">
        <v>0</v>
      </c>
      <c r="BF217" s="100">
        <f>217</f>
        <v>217</v>
      </c>
      <c r="BH217" s="108">
        <f t="shared" si="253"/>
        <v>0</v>
      </c>
      <c r="BI217" s="108">
        <f t="shared" si="254"/>
        <v>0</v>
      </c>
      <c r="BJ217" s="108">
        <f t="shared" si="255"/>
        <v>0</v>
      </c>
    </row>
    <row r="218" spans="1:62" x14ac:dyDescent="0.2">
      <c r="A218" s="117" t="s">
        <v>192</v>
      </c>
      <c r="B218" s="117" t="s">
        <v>1043</v>
      </c>
      <c r="C218" s="304" t="s">
        <v>1635</v>
      </c>
      <c r="D218" s="305"/>
      <c r="E218" s="305"/>
      <c r="F218" s="117" t="s">
        <v>1644</v>
      </c>
      <c r="G218" s="116">
        <v>1</v>
      </c>
      <c r="H218" s="159"/>
      <c r="I218" s="108">
        <f t="shared" si="232"/>
        <v>0</v>
      </c>
      <c r="J218" s="108">
        <f t="shared" si="233"/>
        <v>0</v>
      </c>
      <c r="K218" s="108">
        <f t="shared" si="234"/>
        <v>0</v>
      </c>
      <c r="L218" s="111" t="s">
        <v>1671</v>
      </c>
      <c r="Z218" s="100">
        <f t="shared" si="235"/>
        <v>0</v>
      </c>
      <c r="AB218" s="100">
        <f t="shared" si="236"/>
        <v>0</v>
      </c>
      <c r="AC218" s="100">
        <f t="shared" si="237"/>
        <v>0</v>
      </c>
      <c r="AD218" s="100">
        <f t="shared" si="238"/>
        <v>0</v>
      </c>
      <c r="AE218" s="100">
        <f t="shared" si="239"/>
        <v>0</v>
      </c>
      <c r="AF218" s="100">
        <f t="shared" si="240"/>
        <v>0</v>
      </c>
      <c r="AG218" s="100">
        <f t="shared" si="241"/>
        <v>0</v>
      </c>
      <c r="AH218" s="100">
        <f t="shared" si="242"/>
        <v>0</v>
      </c>
      <c r="AI218" s="109"/>
      <c r="AJ218" s="108">
        <f t="shared" si="243"/>
        <v>0</v>
      </c>
      <c r="AK218" s="108">
        <f t="shared" si="244"/>
        <v>0</v>
      </c>
      <c r="AL218" s="108">
        <f t="shared" si="245"/>
        <v>0</v>
      </c>
      <c r="AN218" s="100">
        <v>15</v>
      </c>
      <c r="AO218" s="100">
        <f t="shared" si="246"/>
        <v>0</v>
      </c>
      <c r="AP218" s="100">
        <f t="shared" si="247"/>
        <v>0</v>
      </c>
      <c r="AQ218" s="111" t="s">
        <v>7</v>
      </c>
      <c r="AV218" s="100">
        <f t="shared" si="248"/>
        <v>0</v>
      </c>
      <c r="AW218" s="100">
        <f t="shared" si="249"/>
        <v>0</v>
      </c>
      <c r="AX218" s="100">
        <f t="shared" si="250"/>
        <v>0</v>
      </c>
      <c r="AY218" s="110" t="s">
        <v>1723</v>
      </c>
      <c r="AZ218" s="110" t="s">
        <v>1730</v>
      </c>
      <c r="BA218" s="109" t="s">
        <v>1737</v>
      </c>
      <c r="BC218" s="100">
        <f t="shared" si="251"/>
        <v>0</v>
      </c>
      <c r="BD218" s="100">
        <f t="shared" si="252"/>
        <v>0</v>
      </c>
      <c r="BE218" s="100">
        <v>0</v>
      </c>
      <c r="BF218" s="100">
        <f>218</f>
        <v>218</v>
      </c>
      <c r="BH218" s="108">
        <f t="shared" si="253"/>
        <v>0</v>
      </c>
      <c r="BI218" s="108">
        <f t="shared" si="254"/>
        <v>0</v>
      </c>
      <c r="BJ218" s="108">
        <f t="shared" si="255"/>
        <v>0</v>
      </c>
    </row>
    <row r="219" spans="1:62" x14ac:dyDescent="0.2">
      <c r="A219" s="117" t="s">
        <v>193</v>
      </c>
      <c r="B219" s="117" t="s">
        <v>1044</v>
      </c>
      <c r="C219" s="304" t="s">
        <v>1636</v>
      </c>
      <c r="D219" s="305"/>
      <c r="E219" s="305"/>
      <c r="F219" s="117" t="s">
        <v>1644</v>
      </c>
      <c r="G219" s="116">
        <v>1</v>
      </c>
      <c r="H219" s="159"/>
      <c r="I219" s="108">
        <f t="shared" si="232"/>
        <v>0</v>
      </c>
      <c r="J219" s="108">
        <f t="shared" si="233"/>
        <v>0</v>
      </c>
      <c r="K219" s="108">
        <f t="shared" si="234"/>
        <v>0</v>
      </c>
      <c r="L219" s="111" t="s">
        <v>1671</v>
      </c>
      <c r="Z219" s="100">
        <f t="shared" si="235"/>
        <v>0</v>
      </c>
      <c r="AB219" s="100">
        <f t="shared" si="236"/>
        <v>0</v>
      </c>
      <c r="AC219" s="100">
        <f t="shared" si="237"/>
        <v>0</v>
      </c>
      <c r="AD219" s="100">
        <f t="shared" si="238"/>
        <v>0</v>
      </c>
      <c r="AE219" s="100">
        <f t="shared" si="239"/>
        <v>0</v>
      </c>
      <c r="AF219" s="100">
        <f t="shared" si="240"/>
        <v>0</v>
      </c>
      <c r="AG219" s="100">
        <f t="shared" si="241"/>
        <v>0</v>
      </c>
      <c r="AH219" s="100">
        <f t="shared" si="242"/>
        <v>0</v>
      </c>
      <c r="AI219" s="109"/>
      <c r="AJ219" s="108">
        <f t="shared" si="243"/>
        <v>0</v>
      </c>
      <c r="AK219" s="108">
        <f t="shared" si="244"/>
        <v>0</v>
      </c>
      <c r="AL219" s="108">
        <f t="shared" si="245"/>
        <v>0</v>
      </c>
      <c r="AN219" s="100">
        <v>15</v>
      </c>
      <c r="AO219" s="100">
        <f t="shared" si="246"/>
        <v>0</v>
      </c>
      <c r="AP219" s="100">
        <f t="shared" si="247"/>
        <v>0</v>
      </c>
      <c r="AQ219" s="111" t="s">
        <v>7</v>
      </c>
      <c r="AV219" s="100">
        <f t="shared" si="248"/>
        <v>0</v>
      </c>
      <c r="AW219" s="100">
        <f t="shared" si="249"/>
        <v>0</v>
      </c>
      <c r="AX219" s="100">
        <f t="shared" si="250"/>
        <v>0</v>
      </c>
      <c r="AY219" s="110" t="s">
        <v>1723</v>
      </c>
      <c r="AZ219" s="110" t="s">
        <v>1730</v>
      </c>
      <c r="BA219" s="109" t="s">
        <v>1737</v>
      </c>
      <c r="BC219" s="100">
        <f t="shared" si="251"/>
        <v>0</v>
      </c>
      <c r="BD219" s="100">
        <f t="shared" si="252"/>
        <v>0</v>
      </c>
      <c r="BE219" s="100">
        <v>0</v>
      </c>
      <c r="BF219" s="100">
        <f>219</f>
        <v>219</v>
      </c>
      <c r="BH219" s="108">
        <f t="shared" si="253"/>
        <v>0</v>
      </c>
      <c r="BI219" s="108">
        <f t="shared" si="254"/>
        <v>0</v>
      </c>
      <c r="BJ219" s="108">
        <f t="shared" si="255"/>
        <v>0</v>
      </c>
    </row>
    <row r="220" spans="1:62" x14ac:dyDescent="0.2">
      <c r="A220" s="117" t="s">
        <v>194</v>
      </c>
      <c r="B220" s="117" t="s">
        <v>1045</v>
      </c>
      <c r="C220" s="304" t="s">
        <v>1637</v>
      </c>
      <c r="D220" s="305"/>
      <c r="E220" s="305"/>
      <c r="F220" s="117" t="s">
        <v>1644</v>
      </c>
      <c r="G220" s="116">
        <v>1</v>
      </c>
      <c r="H220" s="159"/>
      <c r="I220" s="108">
        <f t="shared" si="232"/>
        <v>0</v>
      </c>
      <c r="J220" s="108">
        <f t="shared" si="233"/>
        <v>0</v>
      </c>
      <c r="K220" s="108">
        <f t="shared" si="234"/>
        <v>0</v>
      </c>
      <c r="L220" s="111" t="s">
        <v>1671</v>
      </c>
      <c r="Z220" s="100">
        <f t="shared" si="235"/>
        <v>0</v>
      </c>
      <c r="AB220" s="100">
        <f t="shared" si="236"/>
        <v>0</v>
      </c>
      <c r="AC220" s="100">
        <f t="shared" si="237"/>
        <v>0</v>
      </c>
      <c r="AD220" s="100">
        <f t="shared" si="238"/>
        <v>0</v>
      </c>
      <c r="AE220" s="100">
        <f t="shared" si="239"/>
        <v>0</v>
      </c>
      <c r="AF220" s="100">
        <f t="shared" si="240"/>
        <v>0</v>
      </c>
      <c r="AG220" s="100">
        <f t="shared" si="241"/>
        <v>0</v>
      </c>
      <c r="AH220" s="100">
        <f t="shared" si="242"/>
        <v>0</v>
      </c>
      <c r="AI220" s="109"/>
      <c r="AJ220" s="108">
        <f t="shared" si="243"/>
        <v>0</v>
      </c>
      <c r="AK220" s="108">
        <f t="shared" si="244"/>
        <v>0</v>
      </c>
      <c r="AL220" s="108">
        <f t="shared" si="245"/>
        <v>0</v>
      </c>
      <c r="AN220" s="100">
        <v>15</v>
      </c>
      <c r="AO220" s="100">
        <f t="shared" si="246"/>
        <v>0</v>
      </c>
      <c r="AP220" s="100">
        <f t="shared" si="247"/>
        <v>0</v>
      </c>
      <c r="AQ220" s="111" t="s">
        <v>7</v>
      </c>
      <c r="AV220" s="100">
        <f t="shared" si="248"/>
        <v>0</v>
      </c>
      <c r="AW220" s="100">
        <f t="shared" si="249"/>
        <v>0</v>
      </c>
      <c r="AX220" s="100">
        <f t="shared" si="250"/>
        <v>0</v>
      </c>
      <c r="AY220" s="110" t="s">
        <v>1723</v>
      </c>
      <c r="AZ220" s="110" t="s">
        <v>1730</v>
      </c>
      <c r="BA220" s="109" t="s">
        <v>1737</v>
      </c>
      <c r="BC220" s="100">
        <f t="shared" si="251"/>
        <v>0</v>
      </c>
      <c r="BD220" s="100">
        <f t="shared" si="252"/>
        <v>0</v>
      </c>
      <c r="BE220" s="100">
        <v>0</v>
      </c>
      <c r="BF220" s="100">
        <f>220</f>
        <v>220</v>
      </c>
      <c r="BH220" s="108">
        <f t="shared" si="253"/>
        <v>0</v>
      </c>
      <c r="BI220" s="108">
        <f t="shared" si="254"/>
        <v>0</v>
      </c>
      <c r="BJ220" s="108">
        <f t="shared" si="255"/>
        <v>0</v>
      </c>
    </row>
    <row r="221" spans="1:62" x14ac:dyDescent="0.2">
      <c r="A221" s="115" t="s">
        <v>195</v>
      </c>
      <c r="B221" s="115" t="s">
        <v>1046</v>
      </c>
      <c r="C221" s="308" t="s">
        <v>1638</v>
      </c>
      <c r="D221" s="309"/>
      <c r="E221" s="309"/>
      <c r="F221" s="115" t="s">
        <v>1644</v>
      </c>
      <c r="G221" s="114">
        <v>1</v>
      </c>
      <c r="H221" s="161"/>
      <c r="I221" s="113">
        <f t="shared" si="232"/>
        <v>0</v>
      </c>
      <c r="J221" s="113">
        <f t="shared" si="233"/>
        <v>0</v>
      </c>
      <c r="K221" s="113">
        <f t="shared" si="234"/>
        <v>0</v>
      </c>
      <c r="L221" s="112" t="s">
        <v>1671</v>
      </c>
      <c r="Z221" s="100">
        <f t="shared" si="235"/>
        <v>0</v>
      </c>
      <c r="AB221" s="100">
        <f t="shared" si="236"/>
        <v>0</v>
      </c>
      <c r="AC221" s="100">
        <f t="shared" si="237"/>
        <v>0</v>
      </c>
      <c r="AD221" s="100">
        <f t="shared" si="238"/>
        <v>0</v>
      </c>
      <c r="AE221" s="100">
        <f t="shared" si="239"/>
        <v>0</v>
      </c>
      <c r="AF221" s="100">
        <f t="shared" si="240"/>
        <v>0</v>
      </c>
      <c r="AG221" s="100">
        <f t="shared" si="241"/>
        <v>0</v>
      </c>
      <c r="AH221" s="100">
        <f t="shared" si="242"/>
        <v>0</v>
      </c>
      <c r="AI221" s="109"/>
      <c r="AJ221" s="108">
        <f t="shared" si="243"/>
        <v>0</v>
      </c>
      <c r="AK221" s="108">
        <f t="shared" si="244"/>
        <v>0</v>
      </c>
      <c r="AL221" s="108">
        <f t="shared" si="245"/>
        <v>0</v>
      </c>
      <c r="AN221" s="100">
        <v>15</v>
      </c>
      <c r="AO221" s="100">
        <f t="shared" si="246"/>
        <v>0</v>
      </c>
      <c r="AP221" s="100">
        <f t="shared" si="247"/>
        <v>0</v>
      </c>
      <c r="AQ221" s="111" t="s">
        <v>7</v>
      </c>
      <c r="AV221" s="100">
        <f t="shared" si="248"/>
        <v>0</v>
      </c>
      <c r="AW221" s="100">
        <f t="shared" si="249"/>
        <v>0</v>
      </c>
      <c r="AX221" s="100">
        <f t="shared" si="250"/>
        <v>0</v>
      </c>
      <c r="AY221" s="110" t="s">
        <v>1723</v>
      </c>
      <c r="AZ221" s="110" t="s">
        <v>1730</v>
      </c>
      <c r="BA221" s="109" t="s">
        <v>1737</v>
      </c>
      <c r="BC221" s="100">
        <f t="shared" si="251"/>
        <v>0</v>
      </c>
      <c r="BD221" s="100">
        <f t="shared" si="252"/>
        <v>0</v>
      </c>
      <c r="BE221" s="100">
        <v>0</v>
      </c>
      <c r="BF221" s="100">
        <f>221</f>
        <v>221</v>
      </c>
      <c r="BH221" s="108">
        <f t="shared" si="253"/>
        <v>0</v>
      </c>
      <c r="BI221" s="108">
        <f t="shared" si="254"/>
        <v>0</v>
      </c>
      <c r="BJ221" s="108">
        <f t="shared" si="255"/>
        <v>0</v>
      </c>
    </row>
    <row r="222" spans="1:62" x14ac:dyDescent="0.2">
      <c r="A222" s="84"/>
      <c r="B222" s="84"/>
      <c r="C222" s="84"/>
      <c r="D222" s="84"/>
      <c r="E222" s="84"/>
      <c r="F222" s="84"/>
      <c r="G222" s="84"/>
      <c r="H222" s="84"/>
      <c r="I222" s="310" t="s">
        <v>1666</v>
      </c>
      <c r="J222" s="291"/>
      <c r="K222" s="107">
        <f>K12+K14+K18+K21+K24+K28+K46+K53+K58+K64+K77+K88+K90+K104+K142+K155+K179+K182+K190+K195+K215</f>
        <v>0</v>
      </c>
      <c r="L222" s="84"/>
    </row>
    <row r="223" spans="1:62" ht="11.25" customHeight="1" x14ac:dyDescent="0.2">
      <c r="A223" s="106" t="s">
        <v>569</v>
      </c>
    </row>
    <row r="224" spans="1:62" x14ac:dyDescent="0.2">
      <c r="A224" s="255"/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</row>
  </sheetData>
  <sheetProtection algorithmName="SHA-512" hashValue="ehDaS6wJConvAVexWtrQQuX0wLp9pJrImkkQ+E9tcexg3qsSjF8s3wxYjNwzsNHUYdX1RvMp4qy/057DUaCopA==" saltValue="tAGb6ANCkkxIxwY7wNQL1w==" spinCount="100000" sheet="1" objects="1" scenarios="1"/>
  <mergeCells count="240">
    <mergeCell ref="C218:E218"/>
    <mergeCell ref="C219:E219"/>
    <mergeCell ref="C220:E220"/>
    <mergeCell ref="C221:E221"/>
    <mergeCell ref="I222:J222"/>
    <mergeCell ref="A224:L224"/>
    <mergeCell ref="C213:E213"/>
    <mergeCell ref="C214:E214"/>
    <mergeCell ref="C215:E215"/>
    <mergeCell ref="C216:E216"/>
    <mergeCell ref="C217:E217"/>
    <mergeCell ref="C210:E210"/>
    <mergeCell ref="C211:E211"/>
    <mergeCell ref="C212:E212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186:E186"/>
    <mergeCell ref="C187:E187"/>
    <mergeCell ref="C188:E188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62:E162"/>
    <mergeCell ref="C163:E163"/>
    <mergeCell ref="C164:E164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38:E138"/>
    <mergeCell ref="C139:E139"/>
    <mergeCell ref="C140:E140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14:E114"/>
    <mergeCell ref="C115:E115"/>
    <mergeCell ref="C116:E116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90:E90"/>
    <mergeCell ref="C91:E91"/>
    <mergeCell ref="C92:E92"/>
    <mergeCell ref="C69:E69"/>
    <mergeCell ref="C70:E70"/>
    <mergeCell ref="C71:E71"/>
    <mergeCell ref="C72:E72"/>
    <mergeCell ref="C73:E73"/>
    <mergeCell ref="C74:E74"/>
    <mergeCell ref="C75:E75"/>
    <mergeCell ref="C76:E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66:E66"/>
    <mergeCell ref="C67:E67"/>
    <mergeCell ref="C68:E68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42:E42"/>
    <mergeCell ref="C43:E43"/>
    <mergeCell ref="C44:E44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18:E18"/>
    <mergeCell ref="C19:E19"/>
    <mergeCell ref="C20:E20"/>
    <mergeCell ref="A6:B7"/>
    <mergeCell ref="C6:C7"/>
    <mergeCell ref="D6:E7"/>
    <mergeCell ref="F6:G7"/>
    <mergeCell ref="H6:H7"/>
    <mergeCell ref="I6:L7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C12:E12"/>
    <mergeCell ref="C13:E13"/>
    <mergeCell ref="C14:E14"/>
    <mergeCell ref="C15:E15"/>
    <mergeCell ref="C16:E16"/>
    <mergeCell ref="C17:E17"/>
    <mergeCell ref="A1:L1"/>
    <mergeCell ref="A2:B3"/>
    <mergeCell ref="C2:C3"/>
    <mergeCell ref="D2:E3"/>
    <mergeCell ref="F2:G3"/>
    <mergeCell ref="H2:H3"/>
    <mergeCell ref="I2:L3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5B73-2B3D-4DED-8C87-8EBB50EE02A3}">
  <sheetPr>
    <pageSetUpPr fitToPage="1"/>
  </sheetPr>
  <dimension ref="A1:I316"/>
  <sheetViews>
    <sheetView workbookViewId="0">
      <pane ySplit="10" topLeftCell="A11" activePane="bottomLeft" state="frozenSplit"/>
      <selection pane="bottomLeft" activeCell="A2" sqref="A2:B3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7.7109375" style="75" customWidth="1"/>
    <col min="7" max="7" width="13.570312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rozpočet-SO09'!C2</f>
        <v>Snížení energetické.náročnosti objektů Domova Kladno-Švermov</v>
      </c>
      <c r="D2" s="291"/>
      <c r="E2" s="293" t="s">
        <v>1657</v>
      </c>
      <c r="F2" s="293" t="str">
        <f>'Stavební rozpočet-SO09'!I2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rozpočet-SO09'!C4</f>
        <v>SO 09 - OBJEKT 9 - č.p.1052</v>
      </c>
      <c r="D4" s="256"/>
      <c r="E4" s="255" t="s">
        <v>1658</v>
      </c>
      <c r="F4" s="255" t="str">
        <f>'Stavební rozpočet-SO09'!I4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rozpočet-SO09'!C6</f>
        <v xml:space="preserve"> </v>
      </c>
      <c r="D6" s="256"/>
      <c r="E6" s="255" t="s">
        <v>1659</v>
      </c>
      <c r="F6" s="255" t="str">
        <f>'Stavební rozpočet-SO09'!I6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rozpočet-SO09'!I8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19</v>
      </c>
      <c r="D11" s="322" t="s">
        <v>1061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580</v>
      </c>
      <c r="D12" s="304" t="s">
        <v>4434</v>
      </c>
      <c r="E12" s="305"/>
      <c r="F12" s="117" t="s">
        <v>1647</v>
      </c>
      <c r="G12" s="116">
        <v>1.56</v>
      </c>
      <c r="H12" s="108">
        <v>0</v>
      </c>
    </row>
    <row r="13" spans="1:9" ht="12.2" customHeight="1" x14ac:dyDescent="0.2">
      <c r="D13" s="334" t="s">
        <v>4479</v>
      </c>
      <c r="E13" s="335"/>
      <c r="F13" s="335"/>
      <c r="G13" s="143">
        <v>1.56</v>
      </c>
    </row>
    <row r="14" spans="1:9" x14ac:dyDescent="0.2">
      <c r="A14" s="120"/>
      <c r="B14" s="120"/>
      <c r="C14" s="120" t="s">
        <v>22</v>
      </c>
      <c r="D14" s="306" t="s">
        <v>1066</v>
      </c>
      <c r="E14" s="307"/>
      <c r="F14" s="120"/>
      <c r="G14" s="142"/>
      <c r="H14" s="109"/>
    </row>
    <row r="15" spans="1:9" x14ac:dyDescent="0.2">
      <c r="A15" s="117" t="s">
        <v>8</v>
      </c>
      <c r="B15" s="117"/>
      <c r="C15" s="117" t="s">
        <v>581</v>
      </c>
      <c r="D15" s="304" t="s">
        <v>1067</v>
      </c>
      <c r="E15" s="305"/>
      <c r="F15" s="117" t="s">
        <v>1647</v>
      </c>
      <c r="G15" s="116">
        <v>0.156</v>
      </c>
      <c r="H15" s="108">
        <v>0</v>
      </c>
    </row>
    <row r="16" spans="1:9" ht="12.2" customHeight="1" x14ac:dyDescent="0.2">
      <c r="D16" s="334" t="s">
        <v>4477</v>
      </c>
      <c r="E16" s="335"/>
      <c r="F16" s="335"/>
      <c r="G16" s="143">
        <v>0.156</v>
      </c>
    </row>
    <row r="17" spans="1:8" x14ac:dyDescent="0.2">
      <c r="A17" s="117" t="s">
        <v>9</v>
      </c>
      <c r="B17" s="117"/>
      <c r="C17" s="117" t="s">
        <v>582</v>
      </c>
      <c r="D17" s="304" t="s">
        <v>1068</v>
      </c>
      <c r="E17" s="305"/>
      <c r="F17" s="117" t="s">
        <v>1648</v>
      </c>
      <c r="G17" s="116">
        <v>0.27300000000000002</v>
      </c>
      <c r="H17" s="108">
        <v>0</v>
      </c>
    </row>
    <row r="18" spans="1:8" ht="12.2" customHeight="1" x14ac:dyDescent="0.2">
      <c r="D18" s="334" t="s">
        <v>4478</v>
      </c>
      <c r="E18" s="335"/>
      <c r="F18" s="335"/>
      <c r="G18" s="143">
        <v>0.27300000000000002</v>
      </c>
    </row>
    <row r="19" spans="1:8" x14ac:dyDescent="0.2">
      <c r="A19" s="117" t="s">
        <v>10</v>
      </c>
      <c r="B19" s="117"/>
      <c r="C19" s="117" t="s">
        <v>583</v>
      </c>
      <c r="D19" s="304" t="s">
        <v>1069</v>
      </c>
      <c r="E19" s="305"/>
      <c r="F19" s="117" t="s">
        <v>1647</v>
      </c>
      <c r="G19" s="116">
        <v>0.156</v>
      </c>
      <c r="H19" s="108">
        <v>0</v>
      </c>
    </row>
    <row r="20" spans="1:8" ht="12.2" customHeight="1" x14ac:dyDescent="0.2">
      <c r="D20" s="334" t="s">
        <v>4477</v>
      </c>
      <c r="E20" s="335"/>
      <c r="F20" s="335"/>
      <c r="G20" s="143">
        <v>0.156</v>
      </c>
    </row>
    <row r="21" spans="1:8" x14ac:dyDescent="0.2">
      <c r="A21" s="120"/>
      <c r="B21" s="120"/>
      <c r="C21" s="120" t="s">
        <v>23</v>
      </c>
      <c r="D21" s="306" t="s">
        <v>1070</v>
      </c>
      <c r="E21" s="307"/>
      <c r="F21" s="120"/>
      <c r="G21" s="142"/>
      <c r="H21" s="109"/>
    </row>
    <row r="22" spans="1:8" x14ac:dyDescent="0.2">
      <c r="A22" s="117" t="s">
        <v>11</v>
      </c>
      <c r="B22" s="117"/>
      <c r="C22" s="117" t="s">
        <v>584</v>
      </c>
      <c r="D22" s="304" t="s">
        <v>1071</v>
      </c>
      <c r="E22" s="305"/>
      <c r="F22" s="117" t="s">
        <v>1647</v>
      </c>
      <c r="G22" s="116">
        <v>0.156</v>
      </c>
      <c r="H22" s="108">
        <v>0</v>
      </c>
    </row>
    <row r="23" spans="1:8" ht="12.2" customHeight="1" x14ac:dyDescent="0.2">
      <c r="D23" s="334" t="s">
        <v>4477</v>
      </c>
      <c r="E23" s="335"/>
      <c r="F23" s="335"/>
      <c r="G23" s="143">
        <v>0.156</v>
      </c>
    </row>
    <row r="24" spans="1:8" x14ac:dyDescent="0.2">
      <c r="A24" s="117" t="s">
        <v>12</v>
      </c>
      <c r="B24" s="117"/>
      <c r="C24" s="117" t="s">
        <v>586</v>
      </c>
      <c r="D24" s="304" t="s">
        <v>4433</v>
      </c>
      <c r="E24" s="305"/>
      <c r="F24" s="117" t="s">
        <v>1647</v>
      </c>
      <c r="G24" s="116">
        <v>1.4039999999999999</v>
      </c>
      <c r="H24" s="108">
        <v>0</v>
      </c>
    </row>
    <row r="25" spans="1:8" ht="12.2" customHeight="1" x14ac:dyDescent="0.2">
      <c r="D25" s="334" t="s">
        <v>4476</v>
      </c>
      <c r="E25" s="335"/>
      <c r="F25" s="335"/>
      <c r="G25" s="143">
        <v>1.4039999999999999</v>
      </c>
    </row>
    <row r="26" spans="1:8" x14ac:dyDescent="0.2">
      <c r="A26" s="120"/>
      <c r="B26" s="120"/>
      <c r="C26" s="120" t="s">
        <v>37</v>
      </c>
      <c r="D26" s="306" t="s">
        <v>1084</v>
      </c>
      <c r="E26" s="307"/>
      <c r="F26" s="120"/>
      <c r="G26" s="142"/>
      <c r="H26" s="109"/>
    </row>
    <row r="27" spans="1:8" x14ac:dyDescent="0.2">
      <c r="A27" s="117" t="s">
        <v>13</v>
      </c>
      <c r="B27" s="117"/>
      <c r="C27" s="117" t="s">
        <v>592</v>
      </c>
      <c r="D27" s="304" t="s">
        <v>4432</v>
      </c>
      <c r="E27" s="305"/>
      <c r="F27" s="117" t="s">
        <v>1644</v>
      </c>
      <c r="G27" s="116">
        <v>1</v>
      </c>
      <c r="H27" s="108">
        <v>0</v>
      </c>
    </row>
    <row r="28" spans="1:8" ht="12.2" customHeight="1" x14ac:dyDescent="0.2">
      <c r="D28" s="334" t="s">
        <v>1749</v>
      </c>
      <c r="E28" s="335"/>
      <c r="F28" s="335"/>
      <c r="G28" s="143">
        <v>1</v>
      </c>
    </row>
    <row r="29" spans="1:8" x14ac:dyDescent="0.2">
      <c r="A29" s="117" t="s">
        <v>14</v>
      </c>
      <c r="B29" s="117"/>
      <c r="C29" s="117" t="s">
        <v>594</v>
      </c>
      <c r="D29" s="304" t="s">
        <v>4431</v>
      </c>
      <c r="E29" s="305"/>
      <c r="F29" s="117" t="s">
        <v>1648</v>
      </c>
      <c r="G29" s="116">
        <v>3.4000000000000002E-2</v>
      </c>
      <c r="H29" s="108">
        <v>0</v>
      </c>
    </row>
    <row r="30" spans="1:8" ht="12.2" customHeight="1" x14ac:dyDescent="0.2">
      <c r="D30" s="334" t="s">
        <v>1774</v>
      </c>
      <c r="E30" s="335"/>
      <c r="F30" s="335"/>
      <c r="G30" s="143">
        <v>3.4000000000000002E-2</v>
      </c>
    </row>
    <row r="31" spans="1:8" x14ac:dyDescent="0.2">
      <c r="A31" s="120"/>
      <c r="B31" s="120"/>
      <c r="C31" s="120" t="s">
        <v>67</v>
      </c>
      <c r="D31" s="306" t="s">
        <v>1097</v>
      </c>
      <c r="E31" s="307"/>
      <c r="F31" s="120"/>
      <c r="G31" s="142"/>
      <c r="H31" s="109"/>
    </row>
    <row r="32" spans="1:8" x14ac:dyDescent="0.2">
      <c r="A32" s="117" t="s">
        <v>15</v>
      </c>
      <c r="B32" s="117"/>
      <c r="C32" s="117" t="s">
        <v>601</v>
      </c>
      <c r="D32" s="304" t="s">
        <v>4430</v>
      </c>
      <c r="E32" s="305"/>
      <c r="F32" s="117" t="s">
        <v>1645</v>
      </c>
      <c r="G32" s="116">
        <v>19.751000000000001</v>
      </c>
      <c r="H32" s="108">
        <v>0</v>
      </c>
    </row>
    <row r="33" spans="1:8" ht="12.2" customHeight="1" x14ac:dyDescent="0.2">
      <c r="D33" s="334" t="s">
        <v>4455</v>
      </c>
      <c r="E33" s="335"/>
      <c r="F33" s="335"/>
      <c r="G33" s="143">
        <v>19.751000000000001</v>
      </c>
    </row>
    <row r="34" spans="1:8" x14ac:dyDescent="0.2">
      <c r="A34" s="117" t="s">
        <v>16</v>
      </c>
      <c r="B34" s="117"/>
      <c r="C34" s="117" t="s">
        <v>604</v>
      </c>
      <c r="D34" s="304" t="s">
        <v>4429</v>
      </c>
      <c r="E34" s="305"/>
      <c r="F34" s="117" t="s">
        <v>1645</v>
      </c>
      <c r="G34" s="116">
        <v>11.377000000000001</v>
      </c>
      <c r="H34" s="108">
        <v>0</v>
      </c>
    </row>
    <row r="35" spans="1:8" ht="12.2" customHeight="1" x14ac:dyDescent="0.2">
      <c r="D35" s="334" t="s">
        <v>4454</v>
      </c>
      <c r="E35" s="335"/>
      <c r="F35" s="335"/>
      <c r="G35" s="143">
        <v>11.377000000000001</v>
      </c>
    </row>
    <row r="36" spans="1:8" x14ac:dyDescent="0.2">
      <c r="A36" s="117" t="s">
        <v>17</v>
      </c>
      <c r="B36" s="117"/>
      <c r="C36" s="117" t="s">
        <v>606</v>
      </c>
      <c r="D36" s="304" t="s">
        <v>4428</v>
      </c>
      <c r="E36" s="305"/>
      <c r="F36" s="117" t="s">
        <v>1645</v>
      </c>
      <c r="G36" s="116">
        <v>23.64</v>
      </c>
      <c r="H36" s="108">
        <v>0</v>
      </c>
    </row>
    <row r="37" spans="1:8" ht="12.2" customHeight="1" x14ac:dyDescent="0.2">
      <c r="D37" s="334" t="s">
        <v>4453</v>
      </c>
      <c r="E37" s="335"/>
      <c r="F37" s="335"/>
      <c r="G37" s="143">
        <v>23.64</v>
      </c>
    </row>
    <row r="38" spans="1:8" x14ac:dyDescent="0.2">
      <c r="A38" s="120"/>
      <c r="B38" s="120"/>
      <c r="C38" s="120" t="s">
        <v>68</v>
      </c>
      <c r="D38" s="306" t="s">
        <v>1104</v>
      </c>
      <c r="E38" s="307"/>
      <c r="F38" s="120"/>
      <c r="G38" s="142"/>
      <c r="H38" s="109"/>
    </row>
    <row r="39" spans="1:8" x14ac:dyDescent="0.2">
      <c r="A39" s="117" t="s">
        <v>18</v>
      </c>
      <c r="B39" s="117"/>
      <c r="C39" s="117" t="s">
        <v>607</v>
      </c>
      <c r="D39" s="304" t="s">
        <v>1105</v>
      </c>
      <c r="E39" s="305"/>
      <c r="F39" s="117" t="s">
        <v>1645</v>
      </c>
      <c r="G39" s="116">
        <v>85.462000000000003</v>
      </c>
      <c r="H39" s="108">
        <v>0</v>
      </c>
    </row>
    <row r="40" spans="1:8" ht="12.2" customHeight="1" x14ac:dyDescent="0.2">
      <c r="D40" s="334" t="s">
        <v>4459</v>
      </c>
      <c r="E40" s="335"/>
      <c r="F40" s="335"/>
      <c r="G40" s="143">
        <v>77.16</v>
      </c>
    </row>
    <row r="41" spans="1:8" ht="12.2" customHeight="1" x14ac:dyDescent="0.2">
      <c r="A41" s="117"/>
      <c r="B41" s="117"/>
      <c r="C41" s="117"/>
      <c r="D41" s="334" t="s">
        <v>4458</v>
      </c>
      <c r="E41" s="335"/>
      <c r="F41" s="334"/>
      <c r="G41" s="144">
        <v>8.3019999999999996</v>
      </c>
      <c r="H41" s="111"/>
    </row>
    <row r="42" spans="1:8" x14ac:dyDescent="0.2">
      <c r="A42" s="117" t="s">
        <v>19</v>
      </c>
      <c r="B42" s="117"/>
      <c r="C42" s="117" t="s">
        <v>608</v>
      </c>
      <c r="D42" s="304" t="s">
        <v>4427</v>
      </c>
      <c r="E42" s="305"/>
      <c r="F42" s="117" t="s">
        <v>1645</v>
      </c>
      <c r="G42" s="116">
        <v>489.03699999999998</v>
      </c>
      <c r="H42" s="108">
        <v>0</v>
      </c>
    </row>
    <row r="43" spans="1:8" ht="12.2" customHeight="1" x14ac:dyDescent="0.2">
      <c r="D43" s="334" t="s">
        <v>4468</v>
      </c>
      <c r="E43" s="335"/>
      <c r="F43" s="335"/>
      <c r="G43" s="143">
        <v>562.09699999999998</v>
      </c>
    </row>
    <row r="44" spans="1:8" ht="12.2" customHeight="1" x14ac:dyDescent="0.2">
      <c r="A44" s="117"/>
      <c r="B44" s="117"/>
      <c r="C44" s="117"/>
      <c r="D44" s="334" t="s">
        <v>4467</v>
      </c>
      <c r="E44" s="335"/>
      <c r="F44" s="334"/>
      <c r="G44" s="144">
        <v>-73.06</v>
      </c>
      <c r="H44" s="111"/>
    </row>
    <row r="45" spans="1:8" x14ac:dyDescent="0.2">
      <c r="A45" s="117" t="s">
        <v>20</v>
      </c>
      <c r="B45" s="117"/>
      <c r="C45" s="117" t="s">
        <v>608</v>
      </c>
      <c r="D45" s="304" t="s">
        <v>4426</v>
      </c>
      <c r="E45" s="305"/>
      <c r="F45" s="117" t="s">
        <v>1645</v>
      </c>
      <c r="G45" s="116">
        <v>102.908</v>
      </c>
      <c r="H45" s="108">
        <v>0</v>
      </c>
    </row>
    <row r="46" spans="1:8" ht="12.2" customHeight="1" x14ac:dyDescent="0.2">
      <c r="D46" s="334" t="s">
        <v>4466</v>
      </c>
      <c r="E46" s="335"/>
      <c r="F46" s="335"/>
      <c r="G46" s="143">
        <v>102.908</v>
      </c>
    </row>
    <row r="47" spans="1:8" x14ac:dyDescent="0.2">
      <c r="A47" s="117" t="s">
        <v>21</v>
      </c>
      <c r="B47" s="117"/>
      <c r="C47" s="117" t="s">
        <v>608</v>
      </c>
      <c r="D47" s="304" t="s">
        <v>4425</v>
      </c>
      <c r="E47" s="305"/>
      <c r="F47" s="117" t="s">
        <v>1645</v>
      </c>
      <c r="G47" s="116">
        <v>15.743</v>
      </c>
      <c r="H47" s="108">
        <v>0</v>
      </c>
    </row>
    <row r="48" spans="1:8" ht="12.2" customHeight="1" x14ac:dyDescent="0.2">
      <c r="D48" s="334" t="s">
        <v>4471</v>
      </c>
      <c r="E48" s="335"/>
      <c r="F48" s="335"/>
      <c r="G48" s="143">
        <v>15.743</v>
      </c>
    </row>
    <row r="49" spans="1:8" x14ac:dyDescent="0.2">
      <c r="A49" s="117" t="s">
        <v>22</v>
      </c>
      <c r="B49" s="117"/>
      <c r="C49" s="117" t="s">
        <v>4424</v>
      </c>
      <c r="D49" s="304" t="s">
        <v>4423</v>
      </c>
      <c r="E49" s="305"/>
      <c r="F49" s="117" t="s">
        <v>1645</v>
      </c>
      <c r="G49" s="116">
        <v>0.45</v>
      </c>
      <c r="H49" s="108">
        <v>0</v>
      </c>
    </row>
    <row r="50" spans="1:8" ht="12.2" customHeight="1" x14ac:dyDescent="0.2">
      <c r="D50" s="334" t="s">
        <v>4475</v>
      </c>
      <c r="E50" s="335"/>
      <c r="F50" s="335"/>
      <c r="G50" s="143">
        <v>0.45</v>
      </c>
    </row>
    <row r="51" spans="1:8" x14ac:dyDescent="0.2">
      <c r="A51" s="117" t="s">
        <v>23</v>
      </c>
      <c r="B51" s="117"/>
      <c r="C51" s="117" t="s">
        <v>4422</v>
      </c>
      <c r="D51" s="304" t="s">
        <v>4421</v>
      </c>
      <c r="E51" s="305"/>
      <c r="F51" s="117" t="s">
        <v>1645</v>
      </c>
      <c r="G51" s="116">
        <v>559.01300000000003</v>
      </c>
      <c r="H51" s="108">
        <v>0</v>
      </c>
    </row>
    <row r="52" spans="1:8" ht="12.2" customHeight="1" x14ac:dyDescent="0.2">
      <c r="D52" s="334" t="s">
        <v>4474</v>
      </c>
      <c r="E52" s="335"/>
      <c r="F52" s="335"/>
      <c r="G52" s="143">
        <v>559.01300000000003</v>
      </c>
    </row>
    <row r="53" spans="1:8" x14ac:dyDescent="0.2">
      <c r="A53" s="117" t="s">
        <v>24</v>
      </c>
      <c r="B53" s="117"/>
      <c r="C53" s="117" t="s">
        <v>4420</v>
      </c>
      <c r="D53" s="304" t="s">
        <v>4419</v>
      </c>
      <c r="E53" s="305"/>
      <c r="F53" s="117" t="s">
        <v>1645</v>
      </c>
      <c r="G53" s="116">
        <v>559.01300000000003</v>
      </c>
      <c r="H53" s="108">
        <v>0</v>
      </c>
    </row>
    <row r="54" spans="1:8" ht="12.2" customHeight="1" x14ac:dyDescent="0.2">
      <c r="D54" s="334" t="s">
        <v>4473</v>
      </c>
      <c r="E54" s="335"/>
      <c r="F54" s="335"/>
      <c r="G54" s="143">
        <v>459.79700000000003</v>
      </c>
    </row>
    <row r="55" spans="1:8" ht="12.2" customHeight="1" x14ac:dyDescent="0.2">
      <c r="A55" s="117"/>
      <c r="B55" s="117"/>
      <c r="C55" s="117"/>
      <c r="D55" s="334" t="s">
        <v>4472</v>
      </c>
      <c r="E55" s="335"/>
      <c r="F55" s="334"/>
      <c r="G55" s="144">
        <v>99.215999999999994</v>
      </c>
      <c r="H55" s="111"/>
    </row>
    <row r="56" spans="1:8" x14ac:dyDescent="0.2">
      <c r="A56" s="117" t="s">
        <v>25</v>
      </c>
      <c r="B56" s="117"/>
      <c r="C56" s="117" t="s">
        <v>4418</v>
      </c>
      <c r="D56" s="304" t="s">
        <v>4417</v>
      </c>
      <c r="E56" s="305"/>
      <c r="F56" s="117" t="s">
        <v>1645</v>
      </c>
      <c r="G56" s="116">
        <v>15.743</v>
      </c>
      <c r="H56" s="108">
        <v>0</v>
      </c>
    </row>
    <row r="57" spans="1:8" ht="12.2" customHeight="1" x14ac:dyDescent="0.2">
      <c r="D57" s="334" t="s">
        <v>4471</v>
      </c>
      <c r="E57" s="335"/>
      <c r="F57" s="335"/>
      <c r="G57" s="143">
        <v>15.743</v>
      </c>
    </row>
    <row r="58" spans="1:8" x14ac:dyDescent="0.2">
      <c r="A58" s="117" t="s">
        <v>26</v>
      </c>
      <c r="B58" s="117"/>
      <c r="C58" s="117" t="s">
        <v>4416</v>
      </c>
      <c r="D58" s="304" t="s">
        <v>4415</v>
      </c>
      <c r="E58" s="305"/>
      <c r="F58" s="117" t="s">
        <v>1645</v>
      </c>
      <c r="G58" s="116">
        <v>31.071999999999999</v>
      </c>
      <c r="H58" s="108">
        <v>0</v>
      </c>
    </row>
    <row r="59" spans="1:8" ht="12.2" customHeight="1" x14ac:dyDescent="0.2">
      <c r="D59" s="334" t="s">
        <v>4470</v>
      </c>
      <c r="E59" s="335"/>
      <c r="F59" s="335"/>
      <c r="G59" s="143">
        <v>27.38</v>
      </c>
    </row>
    <row r="60" spans="1:8" ht="12.2" customHeight="1" x14ac:dyDescent="0.2">
      <c r="A60" s="117"/>
      <c r="B60" s="117"/>
      <c r="C60" s="117"/>
      <c r="D60" s="334" t="s">
        <v>4469</v>
      </c>
      <c r="E60" s="335"/>
      <c r="F60" s="334"/>
      <c r="G60" s="144">
        <v>3.6920000000000002</v>
      </c>
      <c r="H60" s="111"/>
    </row>
    <row r="61" spans="1:8" x14ac:dyDescent="0.2">
      <c r="A61" s="117" t="s">
        <v>27</v>
      </c>
      <c r="B61" s="117"/>
      <c r="C61" s="117" t="s">
        <v>623</v>
      </c>
      <c r="D61" s="304" t="s">
        <v>4414</v>
      </c>
      <c r="E61" s="305"/>
      <c r="F61" s="117" t="s">
        <v>1645</v>
      </c>
      <c r="G61" s="116">
        <v>591.94500000000005</v>
      </c>
      <c r="H61" s="108">
        <v>0</v>
      </c>
    </row>
    <row r="62" spans="1:8" ht="12.2" customHeight="1" x14ac:dyDescent="0.2">
      <c r="D62" s="334" t="s">
        <v>4468</v>
      </c>
      <c r="E62" s="335"/>
      <c r="F62" s="335"/>
      <c r="G62" s="143">
        <v>562.09699999999998</v>
      </c>
    </row>
    <row r="63" spans="1:8" ht="12.2" customHeight="1" x14ac:dyDescent="0.2">
      <c r="A63" s="117"/>
      <c r="B63" s="117"/>
      <c r="C63" s="117"/>
      <c r="D63" s="334" t="s">
        <v>4467</v>
      </c>
      <c r="E63" s="335"/>
      <c r="F63" s="334"/>
      <c r="G63" s="144">
        <v>-73.06</v>
      </c>
      <c r="H63" s="111"/>
    </row>
    <row r="64" spans="1:8" ht="12.2" customHeight="1" x14ac:dyDescent="0.2">
      <c r="A64" s="117"/>
      <c r="B64" s="117"/>
      <c r="C64" s="117"/>
      <c r="D64" s="334" t="s">
        <v>4466</v>
      </c>
      <c r="E64" s="335"/>
      <c r="F64" s="334"/>
      <c r="G64" s="144">
        <v>102.908</v>
      </c>
      <c r="H64" s="111"/>
    </row>
    <row r="65" spans="1:8" x14ac:dyDescent="0.2">
      <c r="A65" s="117" t="s">
        <v>28</v>
      </c>
      <c r="B65" s="117"/>
      <c r="C65" s="117" t="s">
        <v>623</v>
      </c>
      <c r="D65" s="304" t="s">
        <v>4413</v>
      </c>
      <c r="E65" s="305"/>
      <c r="F65" s="117" t="s">
        <v>1645</v>
      </c>
      <c r="G65" s="116">
        <v>76.945999999999998</v>
      </c>
      <c r="H65" s="108">
        <v>0</v>
      </c>
    </row>
    <row r="66" spans="1:8" ht="12.2" customHeight="1" x14ac:dyDescent="0.2">
      <c r="D66" s="334" t="s">
        <v>4465</v>
      </c>
      <c r="E66" s="335"/>
      <c r="F66" s="335"/>
      <c r="G66" s="143">
        <v>85.248000000000005</v>
      </c>
    </row>
    <row r="67" spans="1:8" ht="12.2" customHeight="1" x14ac:dyDescent="0.2">
      <c r="A67" s="117"/>
      <c r="B67" s="117"/>
      <c r="C67" s="117"/>
      <c r="D67" s="334" t="s">
        <v>4464</v>
      </c>
      <c r="E67" s="335"/>
      <c r="F67" s="334"/>
      <c r="G67" s="144">
        <v>-8.3019999999999996</v>
      </c>
      <c r="H67" s="111"/>
    </row>
    <row r="68" spans="1:8" x14ac:dyDescent="0.2">
      <c r="A68" s="117" t="s">
        <v>29</v>
      </c>
      <c r="B68" s="117"/>
      <c r="C68" s="117" t="s">
        <v>624</v>
      </c>
      <c r="D68" s="304" t="s">
        <v>4412</v>
      </c>
      <c r="E68" s="305"/>
      <c r="F68" s="117" t="s">
        <v>1645</v>
      </c>
      <c r="G68" s="116">
        <v>591.94500000000005</v>
      </c>
      <c r="H68" s="108">
        <v>0</v>
      </c>
    </row>
    <row r="69" spans="1:8" ht="12.2" customHeight="1" x14ac:dyDescent="0.2">
      <c r="D69" s="334" t="s">
        <v>4468</v>
      </c>
      <c r="E69" s="335"/>
      <c r="F69" s="335"/>
      <c r="G69" s="143">
        <v>562.09699999999998</v>
      </c>
    </row>
    <row r="70" spans="1:8" ht="12.2" customHeight="1" x14ac:dyDescent="0.2">
      <c r="A70" s="117"/>
      <c r="B70" s="117"/>
      <c r="C70" s="117"/>
      <c r="D70" s="334" t="s">
        <v>4467</v>
      </c>
      <c r="E70" s="335"/>
      <c r="F70" s="334"/>
      <c r="G70" s="144">
        <v>-73.06</v>
      </c>
      <c r="H70" s="111"/>
    </row>
    <row r="71" spans="1:8" ht="12.2" customHeight="1" x14ac:dyDescent="0.2">
      <c r="A71" s="117"/>
      <c r="B71" s="117"/>
      <c r="C71" s="117"/>
      <c r="D71" s="334" t="s">
        <v>4466</v>
      </c>
      <c r="E71" s="335"/>
      <c r="F71" s="334"/>
      <c r="G71" s="144">
        <v>102.908</v>
      </c>
      <c r="H71" s="111"/>
    </row>
    <row r="72" spans="1:8" x14ac:dyDescent="0.2">
      <c r="A72" s="117" t="s">
        <v>30</v>
      </c>
      <c r="B72" s="117"/>
      <c r="C72" s="117" t="s">
        <v>624</v>
      </c>
      <c r="D72" s="304" t="s">
        <v>4411</v>
      </c>
      <c r="E72" s="305"/>
      <c r="F72" s="117" t="s">
        <v>1645</v>
      </c>
      <c r="G72" s="116">
        <v>76.945999999999998</v>
      </c>
      <c r="H72" s="108">
        <v>0</v>
      </c>
    </row>
    <row r="73" spans="1:8" ht="12.2" customHeight="1" x14ac:dyDescent="0.2">
      <c r="D73" s="334" t="s">
        <v>4465</v>
      </c>
      <c r="E73" s="335"/>
      <c r="F73" s="335"/>
      <c r="G73" s="143">
        <v>85.248000000000005</v>
      </c>
    </row>
    <row r="74" spans="1:8" ht="12.2" customHeight="1" x14ac:dyDescent="0.2">
      <c r="A74" s="117"/>
      <c r="B74" s="117"/>
      <c r="C74" s="117"/>
      <c r="D74" s="334" t="s">
        <v>4464</v>
      </c>
      <c r="E74" s="335"/>
      <c r="F74" s="334"/>
      <c r="G74" s="144">
        <v>-8.3019999999999996</v>
      </c>
      <c r="H74" s="111"/>
    </row>
    <row r="75" spans="1:8" x14ac:dyDescent="0.2">
      <c r="A75" s="117" t="s">
        <v>31</v>
      </c>
      <c r="B75" s="117"/>
      <c r="C75" s="117" t="s">
        <v>625</v>
      </c>
      <c r="D75" s="304" t="s">
        <v>4410</v>
      </c>
      <c r="E75" s="305"/>
      <c r="F75" s="117" t="s">
        <v>1645</v>
      </c>
      <c r="G75" s="116">
        <v>295.97300000000001</v>
      </c>
      <c r="H75" s="108">
        <v>0</v>
      </c>
    </row>
    <row r="76" spans="1:8" ht="12.2" customHeight="1" x14ac:dyDescent="0.2">
      <c r="D76" s="334" t="s">
        <v>4463</v>
      </c>
      <c r="E76" s="335"/>
      <c r="F76" s="335"/>
      <c r="G76" s="143">
        <v>295.97300000000001</v>
      </c>
    </row>
    <row r="77" spans="1:8" x14ac:dyDescent="0.2">
      <c r="A77" s="117" t="s">
        <v>32</v>
      </c>
      <c r="B77" s="117"/>
      <c r="C77" s="117" t="s">
        <v>625</v>
      </c>
      <c r="D77" s="304" t="s">
        <v>4409</v>
      </c>
      <c r="E77" s="305"/>
      <c r="F77" s="117" t="s">
        <v>1645</v>
      </c>
      <c r="G77" s="116">
        <v>38.472999999999999</v>
      </c>
      <c r="H77" s="108">
        <v>0</v>
      </c>
    </row>
    <row r="78" spans="1:8" ht="12.2" customHeight="1" x14ac:dyDescent="0.2">
      <c r="D78" s="334" t="s">
        <v>4462</v>
      </c>
      <c r="E78" s="335"/>
      <c r="F78" s="335"/>
      <c r="G78" s="143">
        <v>38.472999999999999</v>
      </c>
    </row>
    <row r="79" spans="1:8" x14ac:dyDescent="0.2">
      <c r="A79" s="117" t="s">
        <v>33</v>
      </c>
      <c r="B79" s="117"/>
      <c r="C79" s="117" t="s">
        <v>626</v>
      </c>
      <c r="D79" s="304" t="s">
        <v>4408</v>
      </c>
      <c r="E79" s="305"/>
      <c r="F79" s="117" t="s">
        <v>1645</v>
      </c>
      <c r="G79" s="116">
        <v>295.97300000000001</v>
      </c>
      <c r="H79" s="108">
        <v>0</v>
      </c>
    </row>
    <row r="80" spans="1:8" ht="12.2" customHeight="1" x14ac:dyDescent="0.2">
      <c r="D80" s="334" t="s">
        <v>4463</v>
      </c>
      <c r="E80" s="335"/>
      <c r="F80" s="335"/>
      <c r="G80" s="143">
        <v>295.97300000000001</v>
      </c>
    </row>
    <row r="81" spans="1:8" x14ac:dyDescent="0.2">
      <c r="A81" s="117" t="s">
        <v>34</v>
      </c>
      <c r="B81" s="117"/>
      <c r="C81" s="117" t="s">
        <v>626</v>
      </c>
      <c r="D81" s="304" t="s">
        <v>4407</v>
      </c>
      <c r="E81" s="305"/>
      <c r="F81" s="117" t="s">
        <v>1645</v>
      </c>
      <c r="G81" s="116">
        <v>38.472999999999999</v>
      </c>
      <c r="H81" s="108">
        <v>0</v>
      </c>
    </row>
    <row r="82" spans="1:8" ht="12.2" customHeight="1" x14ac:dyDescent="0.2">
      <c r="D82" s="334" t="s">
        <v>4462</v>
      </c>
      <c r="E82" s="335"/>
      <c r="F82" s="335"/>
      <c r="G82" s="143">
        <v>38.472999999999999</v>
      </c>
    </row>
    <row r="83" spans="1:8" x14ac:dyDescent="0.2">
      <c r="A83" s="120"/>
      <c r="B83" s="120"/>
      <c r="C83" s="120" t="s">
        <v>100</v>
      </c>
      <c r="D83" s="306" t="s">
        <v>1139</v>
      </c>
      <c r="E83" s="307"/>
      <c r="F83" s="120"/>
      <c r="G83" s="142"/>
      <c r="H83" s="109"/>
    </row>
    <row r="84" spans="1:8" x14ac:dyDescent="0.2">
      <c r="A84" s="117" t="s">
        <v>35</v>
      </c>
      <c r="B84" s="117"/>
      <c r="C84" s="117" t="s">
        <v>634</v>
      </c>
      <c r="D84" s="304" t="s">
        <v>1140</v>
      </c>
      <c r="E84" s="305"/>
      <c r="F84" s="117" t="s">
        <v>1645</v>
      </c>
      <c r="G84" s="116">
        <v>735.98500000000001</v>
      </c>
      <c r="H84" s="108">
        <v>0</v>
      </c>
    </row>
    <row r="85" spans="1:8" ht="12.2" customHeight="1" x14ac:dyDescent="0.2">
      <c r="D85" s="334" t="s">
        <v>4460</v>
      </c>
      <c r="E85" s="335"/>
      <c r="F85" s="335"/>
      <c r="G85" s="143">
        <v>735.98500000000001</v>
      </c>
    </row>
    <row r="86" spans="1:8" x14ac:dyDescent="0.2">
      <c r="A86" s="117" t="s">
        <v>36</v>
      </c>
      <c r="B86" s="117"/>
      <c r="C86" s="117" t="s">
        <v>635</v>
      </c>
      <c r="D86" s="304" t="s">
        <v>1141</v>
      </c>
      <c r="E86" s="305"/>
      <c r="F86" s="117" t="s">
        <v>1645</v>
      </c>
      <c r="G86" s="116">
        <v>1471.97</v>
      </c>
      <c r="H86" s="108">
        <v>0</v>
      </c>
    </row>
    <row r="87" spans="1:8" ht="12.2" customHeight="1" x14ac:dyDescent="0.2">
      <c r="D87" s="334" t="s">
        <v>4461</v>
      </c>
      <c r="E87" s="335"/>
      <c r="F87" s="335"/>
      <c r="G87" s="143">
        <v>1471.97</v>
      </c>
    </row>
    <row r="88" spans="1:8" x14ac:dyDescent="0.2">
      <c r="A88" s="117" t="s">
        <v>37</v>
      </c>
      <c r="B88" s="117"/>
      <c r="C88" s="117" t="s">
        <v>636</v>
      </c>
      <c r="D88" s="304" t="s">
        <v>1142</v>
      </c>
      <c r="E88" s="305"/>
      <c r="F88" s="117" t="s">
        <v>1645</v>
      </c>
      <c r="G88" s="116">
        <v>735.98500000000001</v>
      </c>
      <c r="H88" s="108">
        <v>0</v>
      </c>
    </row>
    <row r="89" spans="1:8" ht="12.2" customHeight="1" x14ac:dyDescent="0.2">
      <c r="D89" s="334" t="s">
        <v>4460</v>
      </c>
      <c r="E89" s="335"/>
      <c r="F89" s="335"/>
      <c r="G89" s="143">
        <v>735.98500000000001</v>
      </c>
    </row>
    <row r="90" spans="1:8" x14ac:dyDescent="0.2">
      <c r="A90" s="117" t="s">
        <v>38</v>
      </c>
      <c r="B90" s="117"/>
      <c r="C90" s="117" t="s">
        <v>637</v>
      </c>
      <c r="D90" s="304" t="s">
        <v>1143</v>
      </c>
      <c r="E90" s="305"/>
      <c r="F90" s="117" t="s">
        <v>1645</v>
      </c>
      <c r="G90" s="116">
        <v>735.98500000000001</v>
      </c>
      <c r="H90" s="108">
        <v>0</v>
      </c>
    </row>
    <row r="91" spans="1:8" ht="12.2" customHeight="1" x14ac:dyDescent="0.2">
      <c r="D91" s="334" t="s">
        <v>4460</v>
      </c>
      <c r="E91" s="335"/>
      <c r="F91" s="335"/>
      <c r="G91" s="143">
        <v>735.98500000000001</v>
      </c>
    </row>
    <row r="92" spans="1:8" x14ac:dyDescent="0.2">
      <c r="A92" s="117" t="s">
        <v>39</v>
      </c>
      <c r="B92" s="117"/>
      <c r="C92" s="117" t="s">
        <v>638</v>
      </c>
      <c r="D92" s="304" t="s">
        <v>1144</v>
      </c>
      <c r="E92" s="305"/>
      <c r="F92" s="117" t="s">
        <v>1645</v>
      </c>
      <c r="G92" s="116">
        <v>1471.97</v>
      </c>
      <c r="H92" s="108">
        <v>0</v>
      </c>
    </row>
    <row r="93" spans="1:8" ht="12.2" customHeight="1" x14ac:dyDescent="0.2">
      <c r="D93" s="334" t="s">
        <v>4461</v>
      </c>
      <c r="E93" s="335"/>
      <c r="F93" s="335"/>
      <c r="G93" s="143">
        <v>1471.97</v>
      </c>
    </row>
    <row r="94" spans="1:8" x14ac:dyDescent="0.2">
      <c r="A94" s="117" t="s">
        <v>40</v>
      </c>
      <c r="B94" s="117"/>
      <c r="C94" s="117" t="s">
        <v>639</v>
      </c>
      <c r="D94" s="304" t="s">
        <v>1145</v>
      </c>
      <c r="E94" s="305"/>
      <c r="F94" s="117" t="s">
        <v>1645</v>
      </c>
      <c r="G94" s="116">
        <v>735.98500000000001</v>
      </c>
      <c r="H94" s="108">
        <v>0</v>
      </c>
    </row>
    <row r="95" spans="1:8" ht="12.2" customHeight="1" x14ac:dyDescent="0.2">
      <c r="D95" s="334" t="s">
        <v>4460</v>
      </c>
      <c r="E95" s="335"/>
      <c r="F95" s="335"/>
      <c r="G95" s="143">
        <v>735.98500000000001</v>
      </c>
    </row>
    <row r="96" spans="1:8" x14ac:dyDescent="0.2">
      <c r="A96" s="120"/>
      <c r="B96" s="120"/>
      <c r="C96" s="120" t="s">
        <v>101</v>
      </c>
      <c r="D96" s="306" t="s">
        <v>1147</v>
      </c>
      <c r="E96" s="307"/>
      <c r="F96" s="120"/>
      <c r="G96" s="142"/>
      <c r="H96" s="109"/>
    </row>
    <row r="97" spans="1:8" x14ac:dyDescent="0.2">
      <c r="A97" s="117" t="s">
        <v>41</v>
      </c>
      <c r="B97" s="117"/>
      <c r="C97" s="117" t="s">
        <v>641</v>
      </c>
      <c r="D97" s="304" t="s">
        <v>1148</v>
      </c>
      <c r="E97" s="305"/>
      <c r="F97" s="117" t="s">
        <v>1645</v>
      </c>
      <c r="G97" s="116">
        <v>85.462000000000003</v>
      </c>
      <c r="H97" s="108">
        <v>0</v>
      </c>
    </row>
    <row r="98" spans="1:8" ht="12.2" customHeight="1" x14ac:dyDescent="0.2">
      <c r="D98" s="334" t="s">
        <v>4459</v>
      </c>
      <c r="E98" s="335"/>
      <c r="F98" s="335"/>
      <c r="G98" s="143">
        <v>77.16</v>
      </c>
    </row>
    <row r="99" spans="1:8" ht="12.2" customHeight="1" x14ac:dyDescent="0.2">
      <c r="A99" s="117"/>
      <c r="B99" s="117"/>
      <c r="C99" s="117"/>
      <c r="D99" s="334" t="s">
        <v>4458</v>
      </c>
      <c r="E99" s="335"/>
      <c r="F99" s="334"/>
      <c r="G99" s="144">
        <v>8.3019999999999996</v>
      </c>
      <c r="H99" s="111"/>
    </row>
    <row r="100" spans="1:8" x14ac:dyDescent="0.2">
      <c r="A100" s="117" t="s">
        <v>42</v>
      </c>
      <c r="B100" s="117"/>
      <c r="C100" s="117" t="s">
        <v>642</v>
      </c>
      <c r="D100" s="304" t="s">
        <v>1149</v>
      </c>
      <c r="E100" s="305"/>
      <c r="F100" s="117" t="s">
        <v>1645</v>
      </c>
      <c r="G100" s="116">
        <v>17.954999999999998</v>
      </c>
      <c r="H100" s="108">
        <v>0</v>
      </c>
    </row>
    <row r="101" spans="1:8" ht="12.2" customHeight="1" x14ac:dyDescent="0.2">
      <c r="D101" s="334" t="s">
        <v>4457</v>
      </c>
      <c r="E101" s="335"/>
      <c r="F101" s="335"/>
      <c r="G101" s="143">
        <v>17.954999999999998</v>
      </c>
    </row>
    <row r="102" spans="1:8" x14ac:dyDescent="0.2">
      <c r="A102" s="117" t="s">
        <v>43</v>
      </c>
      <c r="B102" s="117"/>
      <c r="C102" s="117" t="s">
        <v>3180</v>
      </c>
      <c r="D102" s="304" t="s">
        <v>4406</v>
      </c>
      <c r="E102" s="305"/>
      <c r="F102" s="117" t="s">
        <v>1644</v>
      </c>
      <c r="G102" s="116">
        <v>1</v>
      </c>
      <c r="H102" s="108">
        <v>0</v>
      </c>
    </row>
    <row r="103" spans="1:8" ht="12.2" customHeight="1" x14ac:dyDescent="0.2">
      <c r="D103" s="334" t="s">
        <v>1749</v>
      </c>
      <c r="E103" s="335"/>
      <c r="F103" s="335"/>
      <c r="G103" s="143">
        <v>1</v>
      </c>
    </row>
    <row r="104" spans="1:8" x14ac:dyDescent="0.2">
      <c r="A104" s="117" t="s">
        <v>44</v>
      </c>
      <c r="B104" s="117"/>
      <c r="C104" s="117" t="s">
        <v>646</v>
      </c>
      <c r="D104" s="304" t="s">
        <v>1153</v>
      </c>
      <c r="E104" s="305"/>
      <c r="F104" s="117" t="s">
        <v>1650</v>
      </c>
      <c r="G104" s="116">
        <v>30</v>
      </c>
      <c r="H104" s="108">
        <v>0</v>
      </c>
    </row>
    <row r="105" spans="1:8" ht="12.2" customHeight="1" x14ac:dyDescent="0.2">
      <c r="D105" s="334" t="s">
        <v>2203</v>
      </c>
      <c r="E105" s="335"/>
      <c r="F105" s="335"/>
      <c r="G105" s="143">
        <v>30</v>
      </c>
    </row>
    <row r="106" spans="1:8" x14ac:dyDescent="0.2">
      <c r="A106" s="120"/>
      <c r="B106" s="120"/>
      <c r="C106" s="120" t="s">
        <v>102</v>
      </c>
      <c r="D106" s="306" t="s">
        <v>1158</v>
      </c>
      <c r="E106" s="307"/>
      <c r="F106" s="120"/>
      <c r="G106" s="142"/>
      <c r="H106" s="109"/>
    </row>
    <row r="107" spans="1:8" x14ac:dyDescent="0.2">
      <c r="A107" s="117" t="s">
        <v>45</v>
      </c>
      <c r="B107" s="117"/>
      <c r="C107" s="117" t="s">
        <v>653</v>
      </c>
      <c r="D107" s="304" t="s">
        <v>4405</v>
      </c>
      <c r="E107" s="305"/>
      <c r="F107" s="117" t="s">
        <v>1647</v>
      </c>
      <c r="G107" s="116">
        <v>0.12</v>
      </c>
      <c r="H107" s="108">
        <v>0</v>
      </c>
    </row>
    <row r="108" spans="1:8" ht="12.2" customHeight="1" x14ac:dyDescent="0.2">
      <c r="D108" s="334" t="s">
        <v>4456</v>
      </c>
      <c r="E108" s="335"/>
      <c r="F108" s="335"/>
      <c r="G108" s="143">
        <v>0.12</v>
      </c>
    </row>
    <row r="109" spans="1:8" x14ac:dyDescent="0.2">
      <c r="A109" s="117" t="s">
        <v>46</v>
      </c>
      <c r="B109" s="117"/>
      <c r="C109" s="117" t="s">
        <v>658</v>
      </c>
      <c r="D109" s="304" t="s">
        <v>4404</v>
      </c>
      <c r="E109" s="305"/>
      <c r="F109" s="117" t="s">
        <v>1645</v>
      </c>
      <c r="G109" s="116">
        <v>17.954999999999998</v>
      </c>
      <c r="H109" s="108">
        <v>0</v>
      </c>
    </row>
    <row r="110" spans="1:8" ht="12.2" customHeight="1" x14ac:dyDescent="0.2">
      <c r="D110" s="334" t="s">
        <v>4437</v>
      </c>
      <c r="E110" s="335"/>
      <c r="F110" s="335"/>
      <c r="G110" s="143">
        <v>17.954999999999998</v>
      </c>
    </row>
    <row r="111" spans="1:8" x14ac:dyDescent="0.2">
      <c r="A111" s="117" t="s">
        <v>47</v>
      </c>
      <c r="B111" s="117"/>
      <c r="C111" s="117" t="s">
        <v>659</v>
      </c>
      <c r="D111" s="304" t="s">
        <v>4403</v>
      </c>
      <c r="E111" s="305"/>
      <c r="F111" s="117" t="s">
        <v>1646</v>
      </c>
      <c r="G111" s="116">
        <v>16.079999999999998</v>
      </c>
      <c r="H111" s="108">
        <v>0</v>
      </c>
    </row>
    <row r="112" spans="1:8" ht="12.2" customHeight="1" x14ac:dyDescent="0.2">
      <c r="D112" s="334" t="s">
        <v>4441</v>
      </c>
      <c r="E112" s="335"/>
      <c r="F112" s="335"/>
      <c r="G112" s="143">
        <v>16.079999999999998</v>
      </c>
    </row>
    <row r="113" spans="1:8" x14ac:dyDescent="0.2">
      <c r="A113" s="117" t="s">
        <v>48</v>
      </c>
      <c r="B113" s="117"/>
      <c r="C113" s="117" t="s">
        <v>660</v>
      </c>
      <c r="D113" s="304" t="s">
        <v>4402</v>
      </c>
      <c r="E113" s="305"/>
      <c r="F113" s="117" t="s">
        <v>1645</v>
      </c>
      <c r="G113" s="116">
        <v>17.954999999999998</v>
      </c>
      <c r="H113" s="108">
        <v>0</v>
      </c>
    </row>
    <row r="114" spans="1:8" ht="12.2" customHeight="1" x14ac:dyDescent="0.2">
      <c r="D114" s="334" t="s">
        <v>4437</v>
      </c>
      <c r="E114" s="335"/>
      <c r="F114" s="335"/>
      <c r="G114" s="143">
        <v>17.954999999999998</v>
      </c>
    </row>
    <row r="115" spans="1:8" x14ac:dyDescent="0.2">
      <c r="A115" s="117" t="s">
        <v>49</v>
      </c>
      <c r="B115" s="117"/>
      <c r="C115" s="117" t="s">
        <v>2145</v>
      </c>
      <c r="D115" s="304" t="s">
        <v>4401</v>
      </c>
      <c r="E115" s="305"/>
      <c r="F115" s="117" t="s">
        <v>1644</v>
      </c>
      <c r="G115" s="116">
        <v>1</v>
      </c>
      <c r="H115" s="108">
        <v>0</v>
      </c>
    </row>
    <row r="116" spans="1:8" ht="12.2" customHeight="1" x14ac:dyDescent="0.2">
      <c r="D116" s="334" t="s">
        <v>1749</v>
      </c>
      <c r="E116" s="335"/>
      <c r="F116" s="335"/>
      <c r="G116" s="143">
        <v>1</v>
      </c>
    </row>
    <row r="117" spans="1:8" x14ac:dyDescent="0.2">
      <c r="A117" s="120"/>
      <c r="B117" s="120"/>
      <c r="C117" s="120" t="s">
        <v>103</v>
      </c>
      <c r="D117" s="306" t="s">
        <v>1178</v>
      </c>
      <c r="E117" s="307"/>
      <c r="F117" s="120"/>
      <c r="G117" s="142"/>
      <c r="H117" s="109"/>
    </row>
    <row r="118" spans="1:8" x14ac:dyDescent="0.2">
      <c r="A118" s="117" t="s">
        <v>50</v>
      </c>
      <c r="B118" s="117"/>
      <c r="C118" s="117" t="s">
        <v>670</v>
      </c>
      <c r="D118" s="304" t="s">
        <v>1179</v>
      </c>
      <c r="E118" s="305"/>
      <c r="F118" s="117" t="s">
        <v>1646</v>
      </c>
      <c r="G118" s="116">
        <v>0.9</v>
      </c>
      <c r="H118" s="108">
        <v>0</v>
      </c>
    </row>
    <row r="119" spans="1:8" ht="12.2" customHeight="1" x14ac:dyDescent="0.2">
      <c r="D119" s="334" t="s">
        <v>3217</v>
      </c>
      <c r="E119" s="335"/>
      <c r="F119" s="335"/>
      <c r="G119" s="143">
        <v>0.9</v>
      </c>
    </row>
    <row r="120" spans="1:8" x14ac:dyDescent="0.2">
      <c r="A120" s="117" t="s">
        <v>51</v>
      </c>
      <c r="B120" s="117"/>
      <c r="C120" s="117" t="s">
        <v>671</v>
      </c>
      <c r="D120" s="304" t="s">
        <v>1180</v>
      </c>
      <c r="E120" s="305"/>
      <c r="F120" s="117" t="s">
        <v>1646</v>
      </c>
      <c r="G120" s="116">
        <v>0.9</v>
      </c>
      <c r="H120" s="108">
        <v>0</v>
      </c>
    </row>
    <row r="121" spans="1:8" ht="12.2" customHeight="1" x14ac:dyDescent="0.2">
      <c r="D121" s="334" t="s">
        <v>3217</v>
      </c>
      <c r="E121" s="335"/>
      <c r="F121" s="335"/>
      <c r="G121" s="143">
        <v>0.9</v>
      </c>
    </row>
    <row r="122" spans="1:8" x14ac:dyDescent="0.2">
      <c r="A122" s="117" t="s">
        <v>52</v>
      </c>
      <c r="B122" s="117"/>
      <c r="C122" s="117" t="s">
        <v>672</v>
      </c>
      <c r="D122" s="304" t="s">
        <v>1181</v>
      </c>
      <c r="E122" s="305"/>
      <c r="F122" s="117" t="s">
        <v>1646</v>
      </c>
      <c r="G122" s="116">
        <v>0.9</v>
      </c>
      <c r="H122" s="108">
        <v>0</v>
      </c>
    </row>
    <row r="123" spans="1:8" ht="12.2" customHeight="1" x14ac:dyDescent="0.2">
      <c r="D123" s="334" t="s">
        <v>3217</v>
      </c>
      <c r="E123" s="335"/>
      <c r="F123" s="335"/>
      <c r="G123" s="143">
        <v>0.9</v>
      </c>
    </row>
    <row r="124" spans="1:8" x14ac:dyDescent="0.2">
      <c r="A124" s="117" t="s">
        <v>53</v>
      </c>
      <c r="B124" s="117"/>
      <c r="C124" s="117" t="s">
        <v>2479</v>
      </c>
      <c r="D124" s="304" t="s">
        <v>2478</v>
      </c>
      <c r="E124" s="305"/>
      <c r="F124" s="117" t="s">
        <v>1646</v>
      </c>
      <c r="G124" s="116">
        <v>0.45</v>
      </c>
      <c r="H124" s="108">
        <v>0</v>
      </c>
    </row>
    <row r="125" spans="1:8" ht="12.2" customHeight="1" x14ac:dyDescent="0.2">
      <c r="D125" s="334" t="s">
        <v>2546</v>
      </c>
      <c r="E125" s="335"/>
      <c r="F125" s="335"/>
      <c r="G125" s="143">
        <v>0.45</v>
      </c>
    </row>
    <row r="126" spans="1:8" x14ac:dyDescent="0.2">
      <c r="A126" s="117" t="s">
        <v>54</v>
      </c>
      <c r="B126" s="117"/>
      <c r="C126" s="117" t="s">
        <v>3721</v>
      </c>
      <c r="D126" s="304" t="s">
        <v>3720</v>
      </c>
      <c r="E126" s="305"/>
      <c r="F126" s="117" t="s">
        <v>1646</v>
      </c>
      <c r="G126" s="116">
        <v>0.45</v>
      </c>
      <c r="H126" s="108">
        <v>0</v>
      </c>
    </row>
    <row r="127" spans="1:8" ht="12.2" customHeight="1" x14ac:dyDescent="0.2">
      <c r="D127" s="334" t="s">
        <v>2546</v>
      </c>
      <c r="E127" s="335"/>
      <c r="F127" s="335"/>
      <c r="G127" s="143">
        <v>0.45</v>
      </c>
    </row>
    <row r="128" spans="1:8" x14ac:dyDescent="0.2">
      <c r="A128" s="117" t="s">
        <v>55</v>
      </c>
      <c r="B128" s="117"/>
      <c r="C128" s="117" t="s">
        <v>2477</v>
      </c>
      <c r="D128" s="304" t="s">
        <v>2476</v>
      </c>
      <c r="E128" s="305"/>
      <c r="F128" s="117" t="s">
        <v>1646</v>
      </c>
      <c r="G128" s="116">
        <v>0.45</v>
      </c>
      <c r="H128" s="108">
        <v>0</v>
      </c>
    </row>
    <row r="129" spans="1:8" ht="12.2" customHeight="1" x14ac:dyDescent="0.2">
      <c r="D129" s="334" t="s">
        <v>2546</v>
      </c>
      <c r="E129" s="335"/>
      <c r="F129" s="335"/>
      <c r="G129" s="143">
        <v>0.45</v>
      </c>
    </row>
    <row r="130" spans="1:8" x14ac:dyDescent="0.2">
      <c r="A130" s="117" t="s">
        <v>56</v>
      </c>
      <c r="B130" s="117"/>
      <c r="C130" s="117" t="s">
        <v>3719</v>
      </c>
      <c r="D130" s="304" t="s">
        <v>4400</v>
      </c>
      <c r="E130" s="305"/>
      <c r="F130" s="117" t="s">
        <v>1646</v>
      </c>
      <c r="G130" s="116">
        <v>1.5</v>
      </c>
      <c r="H130" s="108">
        <v>0</v>
      </c>
    </row>
    <row r="131" spans="1:8" ht="12.2" customHeight="1" x14ac:dyDescent="0.2">
      <c r="D131" s="334" t="s">
        <v>2545</v>
      </c>
      <c r="E131" s="335"/>
      <c r="F131" s="335"/>
      <c r="G131" s="143">
        <v>1.5</v>
      </c>
    </row>
    <row r="132" spans="1:8" x14ac:dyDescent="0.2">
      <c r="A132" s="117" t="s">
        <v>57</v>
      </c>
      <c r="B132" s="117"/>
      <c r="C132" s="117" t="s">
        <v>677</v>
      </c>
      <c r="D132" s="304" t="s">
        <v>4399</v>
      </c>
      <c r="E132" s="305"/>
      <c r="F132" s="117" t="s">
        <v>1645</v>
      </c>
      <c r="G132" s="116">
        <v>19.751000000000001</v>
      </c>
      <c r="H132" s="108">
        <v>0</v>
      </c>
    </row>
    <row r="133" spans="1:8" ht="12.2" customHeight="1" x14ac:dyDescent="0.2">
      <c r="D133" s="334" t="s">
        <v>4455</v>
      </c>
      <c r="E133" s="335"/>
      <c r="F133" s="335"/>
      <c r="G133" s="143">
        <v>19.751000000000001</v>
      </c>
    </row>
    <row r="134" spans="1:8" x14ac:dyDescent="0.2">
      <c r="A134" s="117" t="s">
        <v>58</v>
      </c>
      <c r="B134" s="117"/>
      <c r="C134" s="117" t="s">
        <v>678</v>
      </c>
      <c r="D134" s="304" t="s">
        <v>4398</v>
      </c>
      <c r="E134" s="305"/>
      <c r="F134" s="117" t="s">
        <v>1645</v>
      </c>
      <c r="G134" s="116">
        <v>23.64</v>
      </c>
      <c r="H134" s="108">
        <v>0</v>
      </c>
    </row>
    <row r="135" spans="1:8" ht="12.2" customHeight="1" x14ac:dyDescent="0.2">
      <c r="D135" s="334" t="s">
        <v>4453</v>
      </c>
      <c r="E135" s="335"/>
      <c r="F135" s="335"/>
      <c r="G135" s="143">
        <v>23.64</v>
      </c>
    </row>
    <row r="136" spans="1:8" x14ac:dyDescent="0.2">
      <c r="A136" s="117" t="s">
        <v>59</v>
      </c>
      <c r="B136" s="117"/>
      <c r="C136" s="117" t="s">
        <v>679</v>
      </c>
      <c r="D136" s="304" t="s">
        <v>4397</v>
      </c>
      <c r="E136" s="305"/>
      <c r="F136" s="117" t="s">
        <v>1645</v>
      </c>
      <c r="G136" s="116">
        <v>11.377000000000001</v>
      </c>
      <c r="H136" s="108">
        <v>0</v>
      </c>
    </row>
    <row r="137" spans="1:8" ht="12.2" customHeight="1" x14ac:dyDescent="0.2">
      <c r="D137" s="334" t="s">
        <v>4454</v>
      </c>
      <c r="E137" s="335"/>
      <c r="F137" s="335"/>
      <c r="G137" s="143">
        <v>11.377000000000001</v>
      </c>
    </row>
    <row r="138" spans="1:8" x14ac:dyDescent="0.2">
      <c r="A138" s="117" t="s">
        <v>60</v>
      </c>
      <c r="B138" s="117"/>
      <c r="C138" s="117" t="s">
        <v>673</v>
      </c>
      <c r="D138" s="304" t="s">
        <v>1182</v>
      </c>
      <c r="E138" s="305"/>
      <c r="F138" s="117" t="s">
        <v>1644</v>
      </c>
      <c r="G138" s="116">
        <v>8</v>
      </c>
      <c r="H138" s="108">
        <v>0</v>
      </c>
    </row>
    <row r="139" spans="1:8" ht="12.2" customHeight="1" x14ac:dyDescent="0.2">
      <c r="D139" s="334" t="s">
        <v>1821</v>
      </c>
      <c r="E139" s="335"/>
      <c r="F139" s="335"/>
      <c r="G139" s="143">
        <v>8</v>
      </c>
    </row>
    <row r="140" spans="1:8" x14ac:dyDescent="0.2">
      <c r="A140" s="117" t="s">
        <v>61</v>
      </c>
      <c r="B140" s="117"/>
      <c r="C140" s="117" t="s">
        <v>683</v>
      </c>
      <c r="D140" s="304" t="s">
        <v>1194</v>
      </c>
      <c r="E140" s="305"/>
      <c r="F140" s="117" t="s">
        <v>1645</v>
      </c>
      <c r="G140" s="116">
        <v>23.64</v>
      </c>
      <c r="H140" s="108">
        <v>0</v>
      </c>
    </row>
    <row r="141" spans="1:8" ht="12.2" customHeight="1" x14ac:dyDescent="0.2">
      <c r="D141" s="334" t="s">
        <v>4453</v>
      </c>
      <c r="E141" s="335"/>
      <c r="F141" s="335"/>
      <c r="G141" s="143">
        <v>23.64</v>
      </c>
    </row>
    <row r="142" spans="1:8" x14ac:dyDescent="0.2">
      <c r="A142" s="120"/>
      <c r="B142" s="120"/>
      <c r="C142" s="120" t="s">
        <v>686</v>
      </c>
      <c r="D142" s="306" t="s">
        <v>1198</v>
      </c>
      <c r="E142" s="307"/>
      <c r="F142" s="120"/>
      <c r="G142" s="142"/>
      <c r="H142" s="109"/>
    </row>
    <row r="143" spans="1:8" x14ac:dyDescent="0.2">
      <c r="A143" s="117" t="s">
        <v>62</v>
      </c>
      <c r="B143" s="117"/>
      <c r="C143" s="117" t="s">
        <v>689</v>
      </c>
      <c r="D143" s="304" t="s">
        <v>1201</v>
      </c>
      <c r="E143" s="305"/>
      <c r="F143" s="117" t="s">
        <v>1648</v>
      </c>
      <c r="G143" s="116">
        <v>2.8660000000000001</v>
      </c>
      <c r="H143" s="108">
        <v>0</v>
      </c>
    </row>
    <row r="144" spans="1:8" ht="12.2" customHeight="1" x14ac:dyDescent="0.2">
      <c r="D144" s="334" t="s">
        <v>4450</v>
      </c>
      <c r="E144" s="335"/>
      <c r="F144" s="335"/>
      <c r="G144" s="143">
        <v>2.8660000000000001</v>
      </c>
    </row>
    <row r="145" spans="1:8" x14ac:dyDescent="0.2">
      <c r="A145" s="117" t="s">
        <v>63</v>
      </c>
      <c r="B145" s="117"/>
      <c r="C145" s="117" t="s">
        <v>690</v>
      </c>
      <c r="D145" s="304" t="s">
        <v>1202</v>
      </c>
      <c r="E145" s="305"/>
      <c r="F145" s="117" t="s">
        <v>1648</v>
      </c>
      <c r="G145" s="116">
        <v>25.794</v>
      </c>
      <c r="H145" s="108">
        <v>0</v>
      </c>
    </row>
    <row r="146" spans="1:8" ht="12.2" customHeight="1" x14ac:dyDescent="0.2">
      <c r="D146" s="334" t="s">
        <v>4452</v>
      </c>
      <c r="E146" s="335"/>
      <c r="F146" s="335"/>
      <c r="G146" s="143">
        <v>25.794</v>
      </c>
    </row>
    <row r="147" spans="1:8" x14ac:dyDescent="0.2">
      <c r="A147" s="117" t="s">
        <v>64</v>
      </c>
      <c r="B147" s="117"/>
      <c r="C147" s="117" t="s">
        <v>691</v>
      </c>
      <c r="D147" s="304" t="s">
        <v>1203</v>
      </c>
      <c r="E147" s="305"/>
      <c r="F147" s="117" t="s">
        <v>1648</v>
      </c>
      <c r="G147" s="116">
        <v>2.8660000000000001</v>
      </c>
      <c r="H147" s="108">
        <v>0</v>
      </c>
    </row>
    <row r="148" spans="1:8" ht="12.2" customHeight="1" x14ac:dyDescent="0.2">
      <c r="D148" s="334" t="s">
        <v>4450</v>
      </c>
      <c r="E148" s="335"/>
      <c r="F148" s="335"/>
      <c r="G148" s="143">
        <v>2.8660000000000001</v>
      </c>
    </row>
    <row r="149" spans="1:8" x14ac:dyDescent="0.2">
      <c r="A149" s="117" t="s">
        <v>65</v>
      </c>
      <c r="B149" s="117"/>
      <c r="C149" s="117" t="s">
        <v>692</v>
      </c>
      <c r="D149" s="304" t="s">
        <v>1204</v>
      </c>
      <c r="E149" s="305"/>
      <c r="F149" s="117" t="s">
        <v>1648</v>
      </c>
      <c r="G149" s="116">
        <v>11.464</v>
      </c>
      <c r="H149" s="108">
        <v>0</v>
      </c>
    </row>
    <row r="150" spans="1:8" ht="12.2" customHeight="1" x14ac:dyDescent="0.2">
      <c r="D150" s="334" t="s">
        <v>4451</v>
      </c>
      <c r="E150" s="335"/>
      <c r="F150" s="335"/>
      <c r="G150" s="143">
        <v>11.464</v>
      </c>
    </row>
    <row r="151" spans="1:8" x14ac:dyDescent="0.2">
      <c r="A151" s="117" t="s">
        <v>66</v>
      </c>
      <c r="B151" s="117"/>
      <c r="C151" s="117" t="s">
        <v>693</v>
      </c>
      <c r="D151" s="304" t="s">
        <v>1205</v>
      </c>
      <c r="E151" s="305"/>
      <c r="F151" s="117" t="s">
        <v>1648</v>
      </c>
      <c r="G151" s="116">
        <v>2.8660000000000001</v>
      </c>
      <c r="H151" s="108">
        <v>0</v>
      </c>
    </row>
    <row r="152" spans="1:8" ht="12.2" customHeight="1" x14ac:dyDescent="0.2">
      <c r="D152" s="334" t="s">
        <v>4450</v>
      </c>
      <c r="E152" s="335"/>
      <c r="F152" s="335"/>
      <c r="G152" s="143">
        <v>2.8660000000000001</v>
      </c>
    </row>
    <row r="153" spans="1:8" x14ac:dyDescent="0.2">
      <c r="A153" s="117" t="s">
        <v>67</v>
      </c>
      <c r="B153" s="117"/>
      <c r="C153" s="117" t="s">
        <v>694</v>
      </c>
      <c r="D153" s="304" t="s">
        <v>1206</v>
      </c>
      <c r="E153" s="305"/>
      <c r="F153" s="117" t="s">
        <v>1648</v>
      </c>
      <c r="G153" s="116">
        <v>2.8660000000000001</v>
      </c>
      <c r="H153" s="108">
        <v>0</v>
      </c>
    </row>
    <row r="154" spans="1:8" ht="12.2" customHeight="1" x14ac:dyDescent="0.2">
      <c r="D154" s="334" t="s">
        <v>4450</v>
      </c>
      <c r="E154" s="335"/>
      <c r="F154" s="335"/>
      <c r="G154" s="143">
        <v>2.8660000000000001</v>
      </c>
    </row>
    <row r="155" spans="1:8" x14ac:dyDescent="0.2">
      <c r="A155" s="117" t="s">
        <v>68</v>
      </c>
      <c r="B155" s="117"/>
      <c r="C155" s="117" t="s">
        <v>696</v>
      </c>
      <c r="D155" s="304" t="s">
        <v>1208</v>
      </c>
      <c r="E155" s="305"/>
      <c r="F155" s="117" t="s">
        <v>1648</v>
      </c>
      <c r="G155" s="116">
        <v>0.28799999999999998</v>
      </c>
      <c r="H155" s="108">
        <v>0</v>
      </c>
    </row>
    <row r="156" spans="1:8" ht="12.2" customHeight="1" x14ac:dyDescent="0.2">
      <c r="D156" s="334" t="s">
        <v>4449</v>
      </c>
      <c r="E156" s="335"/>
      <c r="F156" s="335"/>
      <c r="G156" s="143">
        <v>0.28799999999999998</v>
      </c>
    </row>
    <row r="157" spans="1:8" x14ac:dyDescent="0.2">
      <c r="A157" s="117" t="s">
        <v>69</v>
      </c>
      <c r="B157" s="117"/>
      <c r="C157" s="117" t="s">
        <v>697</v>
      </c>
      <c r="D157" s="304" t="s">
        <v>1209</v>
      </c>
      <c r="E157" s="305"/>
      <c r="F157" s="117" t="s">
        <v>1648</v>
      </c>
      <c r="G157" s="116">
        <v>0.28599999999999998</v>
      </c>
      <c r="H157" s="108">
        <v>0</v>
      </c>
    </row>
    <row r="158" spans="1:8" ht="12.2" customHeight="1" x14ac:dyDescent="0.2">
      <c r="D158" s="334" t="s">
        <v>4448</v>
      </c>
      <c r="E158" s="335"/>
      <c r="F158" s="335"/>
      <c r="G158" s="143">
        <v>0.28599999999999998</v>
      </c>
    </row>
    <row r="159" spans="1:8" x14ac:dyDescent="0.2">
      <c r="A159" s="117" t="s">
        <v>70</v>
      </c>
      <c r="B159" s="117"/>
      <c r="C159" s="117" t="s">
        <v>698</v>
      </c>
      <c r="D159" s="304" t="s">
        <v>1210</v>
      </c>
      <c r="E159" s="305"/>
      <c r="F159" s="117" t="s">
        <v>1648</v>
      </c>
      <c r="G159" s="116">
        <v>1.927</v>
      </c>
      <c r="H159" s="108">
        <v>0</v>
      </c>
    </row>
    <row r="160" spans="1:8" ht="12.2" customHeight="1" x14ac:dyDescent="0.2">
      <c r="D160" s="334" t="s">
        <v>4447</v>
      </c>
      <c r="E160" s="335"/>
      <c r="F160" s="335"/>
      <c r="G160" s="143">
        <v>1.9079999999999999</v>
      </c>
    </row>
    <row r="161" spans="1:8" ht="12.2" customHeight="1" x14ac:dyDescent="0.2">
      <c r="A161" s="117"/>
      <c r="B161" s="117"/>
      <c r="C161" s="117"/>
      <c r="D161" s="334" t="s">
        <v>4446</v>
      </c>
      <c r="E161" s="335"/>
      <c r="F161" s="334"/>
      <c r="G161" s="144">
        <v>1.9E-2</v>
      </c>
      <c r="H161" s="111"/>
    </row>
    <row r="162" spans="1:8" x14ac:dyDescent="0.2">
      <c r="A162" s="117" t="s">
        <v>71</v>
      </c>
      <c r="B162" s="117"/>
      <c r="C162" s="117" t="s">
        <v>700</v>
      </c>
      <c r="D162" s="304" t="s">
        <v>1212</v>
      </c>
      <c r="E162" s="305"/>
      <c r="F162" s="117" t="s">
        <v>1648</v>
      </c>
      <c r="G162" s="116">
        <v>0.36499999999999999</v>
      </c>
      <c r="H162" s="108">
        <v>0</v>
      </c>
    </row>
    <row r="163" spans="1:8" ht="12.2" customHeight="1" x14ac:dyDescent="0.2">
      <c r="D163" s="334" t="s">
        <v>4445</v>
      </c>
      <c r="E163" s="335"/>
      <c r="F163" s="335"/>
      <c r="G163" s="143">
        <v>0.36499999999999999</v>
      </c>
    </row>
    <row r="164" spans="1:8" x14ac:dyDescent="0.2">
      <c r="A164" s="120"/>
      <c r="B164" s="120"/>
      <c r="C164" s="120" t="s">
        <v>703</v>
      </c>
      <c r="D164" s="306" t="s">
        <v>1215</v>
      </c>
      <c r="E164" s="307"/>
      <c r="F164" s="120"/>
      <c r="G164" s="142"/>
      <c r="H164" s="109"/>
    </row>
    <row r="165" spans="1:8" x14ac:dyDescent="0.2">
      <c r="A165" s="117" t="s">
        <v>72</v>
      </c>
      <c r="B165" s="117"/>
      <c r="C165" s="117" t="s">
        <v>704</v>
      </c>
      <c r="D165" s="304" t="s">
        <v>1216</v>
      </c>
      <c r="E165" s="305"/>
      <c r="F165" s="117" t="s">
        <v>1648</v>
      </c>
      <c r="G165" s="116">
        <v>24.123999999999999</v>
      </c>
      <c r="H165" s="108">
        <v>0</v>
      </c>
    </row>
    <row r="166" spans="1:8" ht="12.2" customHeight="1" x14ac:dyDescent="0.2">
      <c r="D166" s="334" t="s">
        <v>4444</v>
      </c>
      <c r="E166" s="335"/>
      <c r="F166" s="335"/>
      <c r="G166" s="143">
        <v>24.123999999999999</v>
      </c>
    </row>
    <row r="167" spans="1:8" x14ac:dyDescent="0.2">
      <c r="A167" s="120"/>
      <c r="B167" s="120"/>
      <c r="C167" s="120" t="s">
        <v>744</v>
      </c>
      <c r="D167" s="306" t="s">
        <v>1256</v>
      </c>
      <c r="E167" s="307"/>
      <c r="F167" s="120"/>
      <c r="G167" s="142"/>
      <c r="H167" s="109"/>
    </row>
    <row r="168" spans="1:8" x14ac:dyDescent="0.2">
      <c r="A168" s="117" t="s">
        <v>73</v>
      </c>
      <c r="B168" s="117"/>
      <c r="C168" s="117" t="s">
        <v>4396</v>
      </c>
      <c r="D168" s="304" t="s">
        <v>1258</v>
      </c>
      <c r="E168" s="305"/>
      <c r="F168" s="117" t="s">
        <v>1646</v>
      </c>
      <c r="G168" s="116">
        <v>4</v>
      </c>
      <c r="H168" s="108">
        <v>0</v>
      </c>
    </row>
    <row r="169" spans="1:8" x14ac:dyDescent="0.2">
      <c r="A169" s="117" t="s">
        <v>74</v>
      </c>
      <c r="B169" s="117"/>
      <c r="C169" s="117" t="s">
        <v>4395</v>
      </c>
      <c r="D169" s="304" t="s">
        <v>2133</v>
      </c>
      <c r="E169" s="305"/>
      <c r="F169" s="117" t="s">
        <v>1646</v>
      </c>
      <c r="G169" s="116">
        <v>1</v>
      </c>
      <c r="H169" s="108">
        <v>0</v>
      </c>
    </row>
    <row r="170" spans="1:8" x14ac:dyDescent="0.2">
      <c r="A170" s="117" t="s">
        <v>75</v>
      </c>
      <c r="B170" s="117"/>
      <c r="C170" s="117" t="s">
        <v>4394</v>
      </c>
      <c r="D170" s="304" t="s">
        <v>1263</v>
      </c>
      <c r="E170" s="305"/>
      <c r="F170" s="117" t="s">
        <v>1644</v>
      </c>
      <c r="G170" s="116">
        <v>4</v>
      </c>
      <c r="H170" s="108">
        <v>0</v>
      </c>
    </row>
    <row r="171" spans="1:8" x14ac:dyDescent="0.2">
      <c r="A171" s="117" t="s">
        <v>76</v>
      </c>
      <c r="B171" s="117"/>
      <c r="C171" s="117" t="s">
        <v>4393</v>
      </c>
      <c r="D171" s="304" t="s">
        <v>1269</v>
      </c>
      <c r="E171" s="305"/>
      <c r="F171" s="117" t="s">
        <v>1644</v>
      </c>
      <c r="G171" s="116">
        <v>1</v>
      </c>
      <c r="H171" s="108">
        <v>0</v>
      </c>
    </row>
    <row r="172" spans="1:8" x14ac:dyDescent="0.2">
      <c r="A172" s="117" t="s">
        <v>77</v>
      </c>
      <c r="B172" s="117"/>
      <c r="C172" s="117" t="s">
        <v>4392</v>
      </c>
      <c r="D172" s="304" t="s">
        <v>1270</v>
      </c>
      <c r="E172" s="305"/>
      <c r="F172" s="117" t="s">
        <v>1644</v>
      </c>
      <c r="G172" s="116">
        <v>1</v>
      </c>
      <c r="H172" s="108">
        <v>0</v>
      </c>
    </row>
    <row r="173" spans="1:8" x14ac:dyDescent="0.2">
      <c r="A173" s="117" t="s">
        <v>78</v>
      </c>
      <c r="B173" s="117"/>
      <c r="C173" s="117" t="s">
        <v>4391</v>
      </c>
      <c r="D173" s="304" t="s">
        <v>1271</v>
      </c>
      <c r="E173" s="305"/>
      <c r="F173" s="117" t="s">
        <v>1644</v>
      </c>
      <c r="G173" s="116">
        <v>1</v>
      </c>
      <c r="H173" s="108">
        <v>0</v>
      </c>
    </row>
    <row r="174" spans="1:8" x14ac:dyDescent="0.2">
      <c r="A174" s="117" t="s">
        <v>79</v>
      </c>
      <c r="B174" s="117"/>
      <c r="C174" s="117" t="s">
        <v>4390</v>
      </c>
      <c r="D174" s="304" t="s">
        <v>1272</v>
      </c>
      <c r="E174" s="305"/>
      <c r="F174" s="117" t="s">
        <v>1644</v>
      </c>
      <c r="G174" s="116">
        <v>1</v>
      </c>
      <c r="H174" s="108">
        <v>0</v>
      </c>
    </row>
    <row r="175" spans="1:8" x14ac:dyDescent="0.2">
      <c r="A175" s="117" t="s">
        <v>80</v>
      </c>
      <c r="B175" s="117"/>
      <c r="C175" s="117" t="s">
        <v>4389</v>
      </c>
      <c r="D175" s="304" t="s">
        <v>1276</v>
      </c>
      <c r="E175" s="305"/>
      <c r="F175" s="117" t="s">
        <v>1644</v>
      </c>
      <c r="G175" s="116">
        <v>1</v>
      </c>
      <c r="H175" s="108">
        <v>0</v>
      </c>
    </row>
    <row r="176" spans="1:8" x14ac:dyDescent="0.2">
      <c r="A176" s="117" t="s">
        <v>81</v>
      </c>
      <c r="B176" s="117"/>
      <c r="C176" s="117" t="s">
        <v>4388</v>
      </c>
      <c r="D176" s="304" t="s">
        <v>1278</v>
      </c>
      <c r="E176" s="305"/>
      <c r="F176" s="117" t="s">
        <v>1644</v>
      </c>
      <c r="G176" s="116">
        <v>2</v>
      </c>
      <c r="H176" s="108">
        <v>0</v>
      </c>
    </row>
    <row r="177" spans="1:8" x14ac:dyDescent="0.2">
      <c r="A177" s="117" t="s">
        <v>82</v>
      </c>
      <c r="B177" s="117"/>
      <c r="C177" s="117" t="s">
        <v>4387</v>
      </c>
      <c r="D177" s="304" t="s">
        <v>2123</v>
      </c>
      <c r="E177" s="305"/>
      <c r="F177" s="117" t="s">
        <v>1644</v>
      </c>
      <c r="G177" s="116">
        <v>1</v>
      </c>
      <c r="H177" s="108">
        <v>0</v>
      </c>
    </row>
    <row r="178" spans="1:8" x14ac:dyDescent="0.2">
      <c r="A178" s="117" t="s">
        <v>83</v>
      </c>
      <c r="B178" s="117"/>
      <c r="C178" s="117" t="s">
        <v>4386</v>
      </c>
      <c r="D178" s="304" t="s">
        <v>1280</v>
      </c>
      <c r="E178" s="305"/>
      <c r="F178" s="117" t="s">
        <v>1646</v>
      </c>
      <c r="G178" s="116">
        <v>8</v>
      </c>
      <c r="H178" s="108">
        <v>0</v>
      </c>
    </row>
    <row r="179" spans="1:8" x14ac:dyDescent="0.2">
      <c r="A179" s="117" t="s">
        <v>84</v>
      </c>
      <c r="B179" s="117"/>
      <c r="C179" s="117" t="s">
        <v>4385</v>
      </c>
      <c r="D179" s="304" t="s">
        <v>1281</v>
      </c>
      <c r="E179" s="305"/>
      <c r="F179" s="117" t="s">
        <v>1646</v>
      </c>
      <c r="G179" s="116">
        <v>4</v>
      </c>
      <c r="H179" s="108">
        <v>0</v>
      </c>
    </row>
    <row r="180" spans="1:8" x14ac:dyDescent="0.2">
      <c r="A180" s="117" t="s">
        <v>85</v>
      </c>
      <c r="B180" s="117"/>
      <c r="C180" s="117" t="s">
        <v>4384</v>
      </c>
      <c r="D180" s="304" t="s">
        <v>1282</v>
      </c>
      <c r="E180" s="305"/>
      <c r="F180" s="117" t="s">
        <v>1644</v>
      </c>
      <c r="G180" s="116">
        <v>1</v>
      </c>
      <c r="H180" s="108">
        <v>0</v>
      </c>
    </row>
    <row r="181" spans="1:8" x14ac:dyDescent="0.2">
      <c r="A181" s="120"/>
      <c r="B181" s="120"/>
      <c r="C181" s="120" t="s">
        <v>771</v>
      </c>
      <c r="D181" s="306" t="s">
        <v>1283</v>
      </c>
      <c r="E181" s="307"/>
      <c r="F181" s="120"/>
      <c r="G181" s="142"/>
      <c r="H181" s="109"/>
    </row>
    <row r="182" spans="1:8" x14ac:dyDescent="0.2">
      <c r="A182" s="117" t="s">
        <v>86</v>
      </c>
      <c r="B182" s="117"/>
      <c r="C182" s="117" t="s">
        <v>4383</v>
      </c>
      <c r="D182" s="304" t="s">
        <v>3625</v>
      </c>
      <c r="E182" s="305"/>
      <c r="F182" s="117" t="s">
        <v>1644</v>
      </c>
      <c r="G182" s="116">
        <v>1</v>
      </c>
      <c r="H182" s="108">
        <v>0</v>
      </c>
    </row>
    <row r="183" spans="1:8" x14ac:dyDescent="0.2">
      <c r="A183" s="117" t="s">
        <v>87</v>
      </c>
      <c r="B183" s="117"/>
      <c r="C183" s="117" t="s">
        <v>4382</v>
      </c>
      <c r="D183" s="304" t="s">
        <v>1311</v>
      </c>
      <c r="E183" s="305"/>
      <c r="F183" s="117" t="s">
        <v>1644</v>
      </c>
      <c r="G183" s="116">
        <v>1</v>
      </c>
      <c r="H183" s="108">
        <v>0</v>
      </c>
    </row>
    <row r="184" spans="1:8" x14ac:dyDescent="0.2">
      <c r="A184" s="117" t="s">
        <v>88</v>
      </c>
      <c r="B184" s="117"/>
      <c r="C184" s="117" t="s">
        <v>4381</v>
      </c>
      <c r="D184" s="304" t="s">
        <v>4380</v>
      </c>
      <c r="E184" s="305"/>
      <c r="F184" s="117" t="s">
        <v>1644</v>
      </c>
      <c r="G184" s="116">
        <v>1</v>
      </c>
      <c r="H184" s="108">
        <v>0</v>
      </c>
    </row>
    <row r="185" spans="1:8" x14ac:dyDescent="0.2">
      <c r="A185" s="117" t="s">
        <v>89</v>
      </c>
      <c r="B185" s="117"/>
      <c r="C185" s="117" t="s">
        <v>4379</v>
      </c>
      <c r="D185" s="304" t="s">
        <v>1320</v>
      </c>
      <c r="E185" s="305"/>
      <c r="F185" s="117" t="s">
        <v>1644</v>
      </c>
      <c r="G185" s="116">
        <v>3</v>
      </c>
      <c r="H185" s="108">
        <v>0</v>
      </c>
    </row>
    <row r="186" spans="1:8" x14ac:dyDescent="0.2">
      <c r="A186" s="117" t="s">
        <v>90</v>
      </c>
      <c r="B186" s="117"/>
      <c r="C186" s="117" t="s">
        <v>4378</v>
      </c>
      <c r="D186" s="304" t="s">
        <v>1321</v>
      </c>
      <c r="E186" s="305"/>
      <c r="F186" s="117" t="s">
        <v>1644</v>
      </c>
      <c r="G186" s="116">
        <v>1</v>
      </c>
      <c r="H186" s="108">
        <v>0</v>
      </c>
    </row>
    <row r="187" spans="1:8" x14ac:dyDescent="0.2">
      <c r="A187" s="117" t="s">
        <v>91</v>
      </c>
      <c r="B187" s="117"/>
      <c r="C187" s="117" t="s">
        <v>4377</v>
      </c>
      <c r="D187" s="304" t="s">
        <v>1323</v>
      </c>
      <c r="E187" s="305"/>
      <c r="F187" s="117" t="s">
        <v>1644</v>
      </c>
      <c r="G187" s="116">
        <v>1</v>
      </c>
      <c r="H187" s="108">
        <v>0</v>
      </c>
    </row>
    <row r="188" spans="1:8" x14ac:dyDescent="0.2">
      <c r="A188" s="117" t="s">
        <v>92</v>
      </c>
      <c r="B188" s="117"/>
      <c r="C188" s="117" t="s">
        <v>4376</v>
      </c>
      <c r="D188" s="304" t="s">
        <v>1297</v>
      </c>
      <c r="E188" s="305"/>
      <c r="F188" s="117" t="s">
        <v>1644</v>
      </c>
      <c r="G188" s="116">
        <v>2</v>
      </c>
      <c r="H188" s="108">
        <v>0</v>
      </c>
    </row>
    <row r="189" spans="1:8" x14ac:dyDescent="0.2">
      <c r="A189" s="117" t="s">
        <v>93</v>
      </c>
      <c r="B189" s="117"/>
      <c r="C189" s="117" t="s">
        <v>4375</v>
      </c>
      <c r="D189" s="304" t="s">
        <v>1327</v>
      </c>
      <c r="E189" s="305"/>
      <c r="F189" s="117" t="s">
        <v>1644</v>
      </c>
      <c r="G189" s="116">
        <v>2</v>
      </c>
      <c r="H189" s="108">
        <v>0</v>
      </c>
    </row>
    <row r="190" spans="1:8" x14ac:dyDescent="0.2">
      <c r="A190" s="117" t="s">
        <v>94</v>
      </c>
      <c r="B190" s="117"/>
      <c r="C190" s="117" t="s">
        <v>4374</v>
      </c>
      <c r="D190" s="304" t="s">
        <v>1294</v>
      </c>
      <c r="E190" s="305"/>
      <c r="F190" s="117" t="s">
        <v>1644</v>
      </c>
      <c r="G190" s="116">
        <v>1</v>
      </c>
      <c r="H190" s="108">
        <v>0</v>
      </c>
    </row>
    <row r="191" spans="1:8" x14ac:dyDescent="0.2">
      <c r="A191" s="117" t="s">
        <v>95</v>
      </c>
      <c r="B191" s="117"/>
      <c r="C191" s="117" t="s">
        <v>4373</v>
      </c>
      <c r="D191" s="304" t="s">
        <v>1295</v>
      </c>
      <c r="E191" s="305"/>
      <c r="F191" s="117" t="s">
        <v>1644</v>
      </c>
      <c r="G191" s="116">
        <v>1</v>
      </c>
      <c r="H191" s="108">
        <v>0</v>
      </c>
    </row>
    <row r="192" spans="1:8" x14ac:dyDescent="0.2">
      <c r="A192" s="117" t="s">
        <v>96</v>
      </c>
      <c r="B192" s="117"/>
      <c r="C192" s="117" t="s">
        <v>4372</v>
      </c>
      <c r="D192" s="304" t="s">
        <v>1328</v>
      </c>
      <c r="E192" s="305"/>
      <c r="F192" s="117" t="s">
        <v>1644</v>
      </c>
      <c r="G192" s="116">
        <v>3</v>
      </c>
      <c r="H192" s="108">
        <v>0</v>
      </c>
    </row>
    <row r="193" spans="1:8" x14ac:dyDescent="0.2">
      <c r="A193" s="117" t="s">
        <v>97</v>
      </c>
      <c r="B193" s="117"/>
      <c r="C193" s="117" t="s">
        <v>4371</v>
      </c>
      <c r="D193" s="304" t="s">
        <v>1330</v>
      </c>
      <c r="E193" s="305"/>
      <c r="F193" s="117" t="s">
        <v>1646</v>
      </c>
      <c r="G193" s="116">
        <v>10</v>
      </c>
      <c r="H193" s="108">
        <v>0</v>
      </c>
    </row>
    <row r="194" spans="1:8" x14ac:dyDescent="0.2">
      <c r="A194" s="117" t="s">
        <v>98</v>
      </c>
      <c r="B194" s="117"/>
      <c r="C194" s="117" t="s">
        <v>4370</v>
      </c>
      <c r="D194" s="304" t="s">
        <v>1331</v>
      </c>
      <c r="E194" s="305"/>
      <c r="F194" s="117" t="s">
        <v>1646</v>
      </c>
      <c r="G194" s="116">
        <v>1</v>
      </c>
      <c r="H194" s="108">
        <v>0</v>
      </c>
    </row>
    <row r="195" spans="1:8" x14ac:dyDescent="0.2">
      <c r="A195" s="117" t="s">
        <v>99</v>
      </c>
      <c r="B195" s="117"/>
      <c r="C195" s="117" t="s">
        <v>4369</v>
      </c>
      <c r="D195" s="304" t="s">
        <v>1332</v>
      </c>
      <c r="E195" s="305"/>
      <c r="F195" s="117" t="s">
        <v>1646</v>
      </c>
      <c r="G195" s="116">
        <v>2</v>
      </c>
      <c r="H195" s="108">
        <v>0</v>
      </c>
    </row>
    <row r="196" spans="1:8" x14ac:dyDescent="0.2">
      <c r="A196" s="117" t="s">
        <v>100</v>
      </c>
      <c r="B196" s="117"/>
      <c r="C196" s="117" t="s">
        <v>4368</v>
      </c>
      <c r="D196" s="304" t="s">
        <v>1333</v>
      </c>
      <c r="E196" s="305"/>
      <c r="F196" s="117" t="s">
        <v>1646</v>
      </c>
      <c r="G196" s="116">
        <v>10</v>
      </c>
      <c r="H196" s="108">
        <v>0</v>
      </c>
    </row>
    <row r="197" spans="1:8" x14ac:dyDescent="0.2">
      <c r="A197" s="117" t="s">
        <v>101</v>
      </c>
      <c r="B197" s="117"/>
      <c r="C197" s="117" t="s">
        <v>4367</v>
      </c>
      <c r="D197" s="304" t="s">
        <v>1335</v>
      </c>
      <c r="E197" s="305"/>
      <c r="F197" s="117" t="s">
        <v>1645</v>
      </c>
      <c r="G197" s="116">
        <v>0.7</v>
      </c>
      <c r="H197" s="108">
        <v>0</v>
      </c>
    </row>
    <row r="198" spans="1:8" x14ac:dyDescent="0.2">
      <c r="A198" s="117" t="s">
        <v>102</v>
      </c>
      <c r="B198" s="117"/>
      <c r="C198" s="117" t="s">
        <v>4366</v>
      </c>
      <c r="D198" s="304" t="s">
        <v>1336</v>
      </c>
      <c r="E198" s="305"/>
      <c r="F198" s="117" t="s">
        <v>1644</v>
      </c>
      <c r="G198" s="116">
        <v>1</v>
      </c>
      <c r="H198" s="108">
        <v>0</v>
      </c>
    </row>
    <row r="199" spans="1:8" x14ac:dyDescent="0.2">
      <c r="A199" s="117" t="s">
        <v>103</v>
      </c>
      <c r="B199" s="117"/>
      <c r="C199" s="117" t="s">
        <v>4365</v>
      </c>
      <c r="D199" s="304" t="s">
        <v>1337</v>
      </c>
      <c r="E199" s="305"/>
      <c r="F199" s="117" t="s">
        <v>1644</v>
      </c>
      <c r="G199" s="116">
        <v>1</v>
      </c>
      <c r="H199" s="108">
        <v>0</v>
      </c>
    </row>
    <row r="200" spans="1:8" x14ac:dyDescent="0.2">
      <c r="A200" s="117" t="s">
        <v>104</v>
      </c>
      <c r="B200" s="117"/>
      <c r="C200" s="117" t="s">
        <v>4364</v>
      </c>
      <c r="D200" s="304" t="s">
        <v>1338</v>
      </c>
      <c r="E200" s="305"/>
      <c r="F200" s="117" t="s">
        <v>1644</v>
      </c>
      <c r="G200" s="116">
        <v>1</v>
      </c>
      <c r="H200" s="108">
        <v>0</v>
      </c>
    </row>
    <row r="201" spans="1:8" x14ac:dyDescent="0.2">
      <c r="A201" s="117" t="s">
        <v>105</v>
      </c>
      <c r="B201" s="117"/>
      <c r="C201" s="117" t="s">
        <v>4363</v>
      </c>
      <c r="D201" s="304" t="s">
        <v>1339</v>
      </c>
      <c r="E201" s="305"/>
      <c r="F201" s="117" t="s">
        <v>1644</v>
      </c>
      <c r="G201" s="116">
        <v>1</v>
      </c>
      <c r="H201" s="108">
        <v>0</v>
      </c>
    </row>
    <row r="202" spans="1:8" x14ac:dyDescent="0.2">
      <c r="A202" s="117" t="s">
        <v>106</v>
      </c>
      <c r="B202" s="117"/>
      <c r="C202" s="117" t="s">
        <v>4362</v>
      </c>
      <c r="D202" s="304" t="s">
        <v>1340</v>
      </c>
      <c r="E202" s="305"/>
      <c r="F202" s="117" t="s">
        <v>1644</v>
      </c>
      <c r="G202" s="116">
        <v>2</v>
      </c>
      <c r="H202" s="108">
        <v>0</v>
      </c>
    </row>
    <row r="203" spans="1:8" x14ac:dyDescent="0.2">
      <c r="A203" s="117" t="s">
        <v>107</v>
      </c>
      <c r="B203" s="117"/>
      <c r="C203" s="117" t="s">
        <v>4361</v>
      </c>
      <c r="D203" s="304" t="s">
        <v>1341</v>
      </c>
      <c r="E203" s="305"/>
      <c r="F203" s="117" t="s">
        <v>1644</v>
      </c>
      <c r="G203" s="116">
        <v>1</v>
      </c>
      <c r="H203" s="108">
        <v>0</v>
      </c>
    </row>
    <row r="204" spans="1:8" x14ac:dyDescent="0.2">
      <c r="A204" s="117" t="s">
        <v>108</v>
      </c>
      <c r="B204" s="117"/>
      <c r="C204" s="117" t="s">
        <v>4360</v>
      </c>
      <c r="D204" s="304" t="s">
        <v>1342</v>
      </c>
      <c r="E204" s="305"/>
      <c r="F204" s="117" t="s">
        <v>1646</v>
      </c>
      <c r="G204" s="116">
        <v>5</v>
      </c>
      <c r="H204" s="108">
        <v>0</v>
      </c>
    </row>
    <row r="205" spans="1:8" x14ac:dyDescent="0.2">
      <c r="A205" s="117" t="s">
        <v>109</v>
      </c>
      <c r="B205" s="117"/>
      <c r="C205" s="117" t="s">
        <v>4359</v>
      </c>
      <c r="D205" s="304" t="s">
        <v>1343</v>
      </c>
      <c r="E205" s="305"/>
      <c r="F205" s="117" t="s">
        <v>1646</v>
      </c>
      <c r="G205" s="116">
        <v>9</v>
      </c>
      <c r="H205" s="108">
        <v>0</v>
      </c>
    </row>
    <row r="206" spans="1:8" x14ac:dyDescent="0.2">
      <c r="A206" s="117" t="s">
        <v>110</v>
      </c>
      <c r="B206" s="117"/>
      <c r="C206" s="117" t="s">
        <v>4358</v>
      </c>
      <c r="D206" s="304" t="s">
        <v>1344</v>
      </c>
      <c r="E206" s="305"/>
      <c r="F206" s="117" t="s">
        <v>1646</v>
      </c>
      <c r="G206" s="116">
        <v>6</v>
      </c>
      <c r="H206" s="108">
        <v>0</v>
      </c>
    </row>
    <row r="207" spans="1:8" x14ac:dyDescent="0.2">
      <c r="A207" s="117" t="s">
        <v>111</v>
      </c>
      <c r="B207" s="117"/>
      <c r="C207" s="117" t="s">
        <v>4357</v>
      </c>
      <c r="D207" s="304" t="s">
        <v>1345</v>
      </c>
      <c r="E207" s="305"/>
      <c r="F207" s="117" t="s">
        <v>1646</v>
      </c>
      <c r="G207" s="116">
        <v>20</v>
      </c>
      <c r="H207" s="108">
        <v>0</v>
      </c>
    </row>
    <row r="208" spans="1:8" x14ac:dyDescent="0.2">
      <c r="A208" s="117" t="s">
        <v>112</v>
      </c>
      <c r="B208" s="117"/>
      <c r="C208" s="117" t="s">
        <v>4356</v>
      </c>
      <c r="D208" s="304" t="s">
        <v>1346</v>
      </c>
      <c r="E208" s="305"/>
      <c r="F208" s="117" t="s">
        <v>1644</v>
      </c>
      <c r="G208" s="116">
        <v>1</v>
      </c>
      <c r="H208" s="108">
        <v>0</v>
      </c>
    </row>
    <row r="209" spans="1:8" x14ac:dyDescent="0.2">
      <c r="A209" s="117" t="s">
        <v>113</v>
      </c>
      <c r="B209" s="117"/>
      <c r="C209" s="117" t="s">
        <v>4355</v>
      </c>
      <c r="D209" s="304" t="s">
        <v>1253</v>
      </c>
      <c r="E209" s="305"/>
      <c r="F209" s="117" t="s">
        <v>1644</v>
      </c>
      <c r="G209" s="116">
        <v>1</v>
      </c>
      <c r="H209" s="108">
        <v>0</v>
      </c>
    </row>
    <row r="210" spans="1:8" x14ac:dyDescent="0.2">
      <c r="A210" s="117" t="s">
        <v>114</v>
      </c>
      <c r="B210" s="117"/>
      <c r="C210" s="117" t="s">
        <v>4354</v>
      </c>
      <c r="D210" s="304" t="s">
        <v>1347</v>
      </c>
      <c r="E210" s="305"/>
      <c r="F210" s="117" t="s">
        <v>1646</v>
      </c>
      <c r="G210" s="116">
        <v>13</v>
      </c>
      <c r="H210" s="108">
        <v>0</v>
      </c>
    </row>
    <row r="211" spans="1:8" x14ac:dyDescent="0.2">
      <c r="A211" s="117" t="s">
        <v>115</v>
      </c>
      <c r="B211" s="117"/>
      <c r="C211" s="117" t="s">
        <v>4353</v>
      </c>
      <c r="D211" s="304" t="s">
        <v>1348</v>
      </c>
      <c r="E211" s="305"/>
      <c r="F211" s="117" t="s">
        <v>1644</v>
      </c>
      <c r="G211" s="116">
        <v>1</v>
      </c>
      <c r="H211" s="108">
        <v>0</v>
      </c>
    </row>
    <row r="212" spans="1:8" x14ac:dyDescent="0.2">
      <c r="A212" s="117" t="s">
        <v>116</v>
      </c>
      <c r="B212" s="117"/>
      <c r="C212" s="117" t="s">
        <v>4352</v>
      </c>
      <c r="D212" s="304" t="s">
        <v>1349</v>
      </c>
      <c r="E212" s="305"/>
      <c r="F212" s="117" t="s">
        <v>1644</v>
      </c>
      <c r="G212" s="116">
        <v>1</v>
      </c>
      <c r="H212" s="108">
        <v>0</v>
      </c>
    </row>
    <row r="213" spans="1:8" x14ac:dyDescent="0.2">
      <c r="A213" s="117" t="s">
        <v>117</v>
      </c>
      <c r="B213" s="117"/>
      <c r="C213" s="117" t="s">
        <v>4351</v>
      </c>
      <c r="D213" s="304" t="s">
        <v>1350</v>
      </c>
      <c r="E213" s="305"/>
      <c r="F213" s="117" t="s">
        <v>1644</v>
      </c>
      <c r="G213" s="116">
        <v>1</v>
      </c>
      <c r="H213" s="108">
        <v>0</v>
      </c>
    </row>
    <row r="214" spans="1:8" x14ac:dyDescent="0.2">
      <c r="A214" s="117" t="s">
        <v>118</v>
      </c>
      <c r="B214" s="117"/>
      <c r="C214" s="117" t="s">
        <v>4350</v>
      </c>
      <c r="D214" s="304" t="s">
        <v>4349</v>
      </c>
      <c r="E214" s="305"/>
      <c r="F214" s="117" t="s">
        <v>1644</v>
      </c>
      <c r="G214" s="116">
        <v>1</v>
      </c>
      <c r="H214" s="108">
        <v>0</v>
      </c>
    </row>
    <row r="215" spans="1:8" x14ac:dyDescent="0.2">
      <c r="A215" s="117" t="s">
        <v>119</v>
      </c>
      <c r="B215" s="117"/>
      <c r="C215" s="117" t="s">
        <v>4348</v>
      </c>
      <c r="D215" s="304" t="s">
        <v>1351</v>
      </c>
      <c r="E215" s="305"/>
      <c r="F215" s="117" t="s">
        <v>1644</v>
      </c>
      <c r="G215" s="116">
        <v>1</v>
      </c>
      <c r="H215" s="108">
        <v>0</v>
      </c>
    </row>
    <row r="216" spans="1:8" x14ac:dyDescent="0.2">
      <c r="A216" s="117" t="s">
        <v>120</v>
      </c>
      <c r="B216" s="117"/>
      <c r="C216" s="117" t="s">
        <v>4347</v>
      </c>
      <c r="D216" s="304" t="s">
        <v>1352</v>
      </c>
      <c r="E216" s="305"/>
      <c r="F216" s="117" t="s">
        <v>1644</v>
      </c>
      <c r="G216" s="116">
        <v>16</v>
      </c>
      <c r="H216" s="108">
        <v>0</v>
      </c>
    </row>
    <row r="217" spans="1:8" x14ac:dyDescent="0.2">
      <c r="A217" s="117" t="s">
        <v>121</v>
      </c>
      <c r="B217" s="117"/>
      <c r="C217" s="117" t="s">
        <v>4346</v>
      </c>
      <c r="D217" s="304" t="s">
        <v>1353</v>
      </c>
      <c r="E217" s="305"/>
      <c r="F217" s="117" t="s">
        <v>1644</v>
      </c>
      <c r="G217" s="116">
        <v>1</v>
      </c>
      <c r="H217" s="108">
        <v>0</v>
      </c>
    </row>
    <row r="218" spans="1:8" x14ac:dyDescent="0.2">
      <c r="A218" s="117" t="s">
        <v>122</v>
      </c>
      <c r="B218" s="117"/>
      <c r="C218" s="117" t="s">
        <v>4345</v>
      </c>
      <c r="D218" s="304" t="s">
        <v>1354</v>
      </c>
      <c r="E218" s="305"/>
      <c r="F218" s="117" t="s">
        <v>1644</v>
      </c>
      <c r="G218" s="116">
        <v>1</v>
      </c>
      <c r="H218" s="108">
        <v>0</v>
      </c>
    </row>
    <row r="219" spans="1:8" x14ac:dyDescent="0.2">
      <c r="A219" s="120"/>
      <c r="B219" s="120"/>
      <c r="C219" s="120" t="s">
        <v>772</v>
      </c>
      <c r="D219" s="306" t="s">
        <v>1355</v>
      </c>
      <c r="E219" s="307"/>
      <c r="F219" s="120"/>
      <c r="G219" s="142"/>
      <c r="H219" s="109"/>
    </row>
    <row r="220" spans="1:8" x14ac:dyDescent="0.2">
      <c r="A220" s="117" t="s">
        <v>123</v>
      </c>
      <c r="B220" s="117"/>
      <c r="C220" s="117" t="s">
        <v>4344</v>
      </c>
      <c r="D220" s="304" t="s">
        <v>4343</v>
      </c>
      <c r="E220" s="305"/>
      <c r="F220" s="117" t="s">
        <v>1644</v>
      </c>
      <c r="G220" s="116">
        <v>1</v>
      </c>
      <c r="H220" s="108">
        <v>0</v>
      </c>
    </row>
    <row r="221" spans="1:8" x14ac:dyDescent="0.2">
      <c r="A221" s="117" t="s">
        <v>124</v>
      </c>
      <c r="B221" s="117"/>
      <c r="C221" s="117" t="s">
        <v>4342</v>
      </c>
      <c r="D221" s="304" t="s">
        <v>1358</v>
      </c>
      <c r="E221" s="305"/>
      <c r="F221" s="117" t="s">
        <v>1644</v>
      </c>
      <c r="G221" s="116">
        <v>1</v>
      </c>
      <c r="H221" s="108">
        <v>0</v>
      </c>
    </row>
    <row r="222" spans="1:8" x14ac:dyDescent="0.2">
      <c r="A222" s="117" t="s">
        <v>125</v>
      </c>
      <c r="B222" s="117"/>
      <c r="C222" s="117" t="s">
        <v>4341</v>
      </c>
      <c r="D222" s="304" t="s">
        <v>1363</v>
      </c>
      <c r="E222" s="305"/>
      <c r="F222" s="117" t="s">
        <v>1644</v>
      </c>
      <c r="G222" s="116">
        <v>1</v>
      </c>
      <c r="H222" s="108">
        <v>0</v>
      </c>
    </row>
    <row r="223" spans="1:8" x14ac:dyDescent="0.2">
      <c r="A223" s="117" t="s">
        <v>126</v>
      </c>
      <c r="B223" s="117"/>
      <c r="C223" s="117" t="s">
        <v>4340</v>
      </c>
      <c r="D223" s="304" t="s">
        <v>1364</v>
      </c>
      <c r="E223" s="305"/>
      <c r="F223" s="117" t="s">
        <v>1644</v>
      </c>
      <c r="G223" s="116">
        <v>1</v>
      </c>
      <c r="H223" s="108">
        <v>0</v>
      </c>
    </row>
    <row r="224" spans="1:8" x14ac:dyDescent="0.2">
      <c r="A224" s="117" t="s">
        <v>127</v>
      </c>
      <c r="B224" s="117"/>
      <c r="C224" s="117" t="s">
        <v>4339</v>
      </c>
      <c r="D224" s="304" t="s">
        <v>1365</v>
      </c>
      <c r="E224" s="305"/>
      <c r="F224" s="117" t="s">
        <v>1644</v>
      </c>
      <c r="G224" s="116">
        <v>1</v>
      </c>
      <c r="H224" s="108">
        <v>0</v>
      </c>
    </row>
    <row r="225" spans="1:8" x14ac:dyDescent="0.2">
      <c r="A225" s="117" t="s">
        <v>128</v>
      </c>
      <c r="B225" s="117"/>
      <c r="C225" s="117" t="s">
        <v>4338</v>
      </c>
      <c r="D225" s="304" t="s">
        <v>1368</v>
      </c>
      <c r="E225" s="305"/>
      <c r="F225" s="117" t="s">
        <v>1644</v>
      </c>
      <c r="G225" s="116">
        <v>2</v>
      </c>
      <c r="H225" s="108">
        <v>0</v>
      </c>
    </row>
    <row r="226" spans="1:8" x14ac:dyDescent="0.2">
      <c r="A226" s="117" t="s">
        <v>129</v>
      </c>
      <c r="B226" s="117"/>
      <c r="C226" s="117" t="s">
        <v>4337</v>
      </c>
      <c r="D226" s="304" t="s">
        <v>1327</v>
      </c>
      <c r="E226" s="305"/>
      <c r="F226" s="117" t="s">
        <v>1644</v>
      </c>
      <c r="G226" s="116">
        <v>1</v>
      </c>
      <c r="H226" s="108">
        <v>0</v>
      </c>
    </row>
    <row r="227" spans="1:8" x14ac:dyDescent="0.2">
      <c r="A227" s="117" t="s">
        <v>130</v>
      </c>
      <c r="B227" s="117"/>
      <c r="C227" s="117" t="s">
        <v>4336</v>
      </c>
      <c r="D227" s="304" t="s">
        <v>1326</v>
      </c>
      <c r="E227" s="305"/>
      <c r="F227" s="117" t="s">
        <v>1644</v>
      </c>
      <c r="G227" s="116">
        <v>1</v>
      </c>
      <c r="H227" s="108">
        <v>0</v>
      </c>
    </row>
    <row r="228" spans="1:8" x14ac:dyDescent="0.2">
      <c r="A228" s="117" t="s">
        <v>131</v>
      </c>
      <c r="B228" s="117"/>
      <c r="C228" s="117" t="s">
        <v>4335</v>
      </c>
      <c r="D228" s="304" t="s">
        <v>1372</v>
      </c>
      <c r="E228" s="305"/>
      <c r="F228" s="117" t="s">
        <v>1646</v>
      </c>
      <c r="G228" s="116">
        <v>16</v>
      </c>
      <c r="H228" s="108">
        <v>0</v>
      </c>
    </row>
    <row r="229" spans="1:8" x14ac:dyDescent="0.2">
      <c r="A229" s="117" t="s">
        <v>132</v>
      </c>
      <c r="B229" s="117"/>
      <c r="C229" s="117" t="s">
        <v>4334</v>
      </c>
      <c r="D229" s="304" t="s">
        <v>1374</v>
      </c>
      <c r="E229" s="305"/>
      <c r="F229" s="117" t="s">
        <v>1646</v>
      </c>
      <c r="G229" s="116">
        <v>7</v>
      </c>
      <c r="H229" s="108">
        <v>0</v>
      </c>
    </row>
    <row r="230" spans="1:8" x14ac:dyDescent="0.2">
      <c r="A230" s="117" t="s">
        <v>133</v>
      </c>
      <c r="B230" s="117"/>
      <c r="C230" s="117" t="s">
        <v>4333</v>
      </c>
      <c r="D230" s="304" t="s">
        <v>1376</v>
      </c>
      <c r="E230" s="305"/>
      <c r="F230" s="117" t="s">
        <v>1646</v>
      </c>
      <c r="G230" s="116">
        <v>10</v>
      </c>
      <c r="H230" s="108">
        <v>0</v>
      </c>
    </row>
    <row r="231" spans="1:8" x14ac:dyDescent="0.2">
      <c r="A231" s="117" t="s">
        <v>134</v>
      </c>
      <c r="B231" s="117"/>
      <c r="C231" s="117" t="s">
        <v>4332</v>
      </c>
      <c r="D231" s="304" t="s">
        <v>1377</v>
      </c>
      <c r="E231" s="305"/>
      <c r="F231" s="117" t="s">
        <v>1646</v>
      </c>
      <c r="G231" s="116">
        <v>23</v>
      </c>
      <c r="H231" s="108">
        <v>0</v>
      </c>
    </row>
    <row r="232" spans="1:8" x14ac:dyDescent="0.2">
      <c r="A232" s="120"/>
      <c r="B232" s="120"/>
      <c r="C232" s="120" t="s">
        <v>798</v>
      </c>
      <c r="D232" s="306" t="s">
        <v>1379</v>
      </c>
      <c r="E232" s="307"/>
      <c r="F232" s="120"/>
      <c r="G232" s="142"/>
      <c r="H232" s="109"/>
    </row>
    <row r="233" spans="1:8" x14ac:dyDescent="0.2">
      <c r="A233" s="117" t="s">
        <v>135</v>
      </c>
      <c r="B233" s="117"/>
      <c r="C233" s="117" t="s">
        <v>4331</v>
      </c>
      <c r="D233" s="304" t="s">
        <v>1380</v>
      </c>
      <c r="E233" s="305"/>
      <c r="F233" s="117" t="s">
        <v>1646</v>
      </c>
      <c r="G233" s="116">
        <v>2</v>
      </c>
      <c r="H233" s="108">
        <v>0</v>
      </c>
    </row>
    <row r="234" spans="1:8" x14ac:dyDescent="0.2">
      <c r="A234" s="117" t="s">
        <v>136</v>
      </c>
      <c r="B234" s="117"/>
      <c r="C234" s="117" t="s">
        <v>4330</v>
      </c>
      <c r="D234" s="304" t="s">
        <v>1381</v>
      </c>
      <c r="E234" s="305"/>
      <c r="F234" s="117" t="s">
        <v>1644</v>
      </c>
      <c r="G234" s="116">
        <v>1</v>
      </c>
      <c r="H234" s="108">
        <v>0</v>
      </c>
    </row>
    <row r="235" spans="1:8" x14ac:dyDescent="0.2">
      <c r="A235" s="117" t="s">
        <v>137</v>
      </c>
      <c r="B235" s="117"/>
      <c r="C235" s="117" t="s">
        <v>4329</v>
      </c>
      <c r="D235" s="304" t="s">
        <v>1382</v>
      </c>
      <c r="E235" s="305"/>
      <c r="F235" s="117" t="s">
        <v>1644</v>
      </c>
      <c r="G235" s="116">
        <v>2</v>
      </c>
      <c r="H235" s="108">
        <v>0</v>
      </c>
    </row>
    <row r="236" spans="1:8" x14ac:dyDescent="0.2">
      <c r="A236" s="117" t="s">
        <v>138</v>
      </c>
      <c r="B236" s="117"/>
      <c r="C236" s="117" t="s">
        <v>4328</v>
      </c>
      <c r="D236" s="304" t="s">
        <v>1383</v>
      </c>
      <c r="E236" s="305"/>
      <c r="F236" s="117" t="s">
        <v>1644</v>
      </c>
      <c r="G236" s="116">
        <v>1</v>
      </c>
      <c r="H236" s="108">
        <v>0</v>
      </c>
    </row>
    <row r="237" spans="1:8" x14ac:dyDescent="0.2">
      <c r="A237" s="117" t="s">
        <v>139</v>
      </c>
      <c r="B237" s="117"/>
      <c r="C237" s="117" t="s">
        <v>4327</v>
      </c>
      <c r="D237" s="304" t="s">
        <v>1384</v>
      </c>
      <c r="E237" s="305"/>
      <c r="F237" s="117" t="s">
        <v>1644</v>
      </c>
      <c r="G237" s="116">
        <v>1</v>
      </c>
      <c r="H237" s="108">
        <v>0</v>
      </c>
    </row>
    <row r="238" spans="1:8" x14ac:dyDescent="0.2">
      <c r="A238" s="117" t="s">
        <v>140</v>
      </c>
      <c r="B238" s="117"/>
      <c r="C238" s="117" t="s">
        <v>4326</v>
      </c>
      <c r="D238" s="304" t="s">
        <v>1385</v>
      </c>
      <c r="E238" s="305"/>
      <c r="F238" s="117" t="s">
        <v>1646</v>
      </c>
      <c r="G238" s="116">
        <v>9</v>
      </c>
      <c r="H238" s="108">
        <v>0</v>
      </c>
    </row>
    <row r="239" spans="1:8" x14ac:dyDescent="0.2">
      <c r="A239" s="117" t="s">
        <v>141</v>
      </c>
      <c r="B239" s="117"/>
      <c r="C239" s="117" t="s">
        <v>4325</v>
      </c>
      <c r="D239" s="304" t="s">
        <v>1386</v>
      </c>
      <c r="E239" s="305"/>
      <c r="F239" s="117" t="s">
        <v>1644</v>
      </c>
      <c r="G239" s="116">
        <v>1</v>
      </c>
      <c r="H239" s="108">
        <v>0</v>
      </c>
    </row>
    <row r="240" spans="1:8" x14ac:dyDescent="0.2">
      <c r="A240" s="117" t="s">
        <v>142</v>
      </c>
      <c r="B240" s="117"/>
      <c r="C240" s="117" t="s">
        <v>4324</v>
      </c>
      <c r="D240" s="304" t="s">
        <v>1387</v>
      </c>
      <c r="E240" s="305"/>
      <c r="F240" s="117" t="s">
        <v>1644</v>
      </c>
      <c r="G240" s="116">
        <v>1</v>
      </c>
      <c r="H240" s="108">
        <v>0</v>
      </c>
    </row>
    <row r="241" spans="1:8" x14ac:dyDescent="0.2">
      <c r="A241" s="117" t="s">
        <v>143</v>
      </c>
      <c r="B241" s="117"/>
      <c r="C241" s="117" t="s">
        <v>4323</v>
      </c>
      <c r="D241" s="304" t="s">
        <v>1388</v>
      </c>
      <c r="E241" s="305"/>
      <c r="F241" s="117" t="s">
        <v>1644</v>
      </c>
      <c r="G241" s="116">
        <v>1</v>
      </c>
      <c r="H241" s="108">
        <v>0</v>
      </c>
    </row>
    <row r="242" spans="1:8" x14ac:dyDescent="0.2">
      <c r="A242" s="117" t="s">
        <v>144</v>
      </c>
      <c r="B242" s="117"/>
      <c r="C242" s="117" t="s">
        <v>4322</v>
      </c>
      <c r="D242" s="304" t="s">
        <v>1389</v>
      </c>
      <c r="E242" s="305"/>
      <c r="F242" s="117" t="s">
        <v>1644</v>
      </c>
      <c r="G242" s="116">
        <v>1</v>
      </c>
      <c r="H242" s="108">
        <v>0</v>
      </c>
    </row>
    <row r="243" spans="1:8" x14ac:dyDescent="0.2">
      <c r="A243" s="117" t="s">
        <v>145</v>
      </c>
      <c r="B243" s="117"/>
      <c r="C243" s="117" t="s">
        <v>4321</v>
      </c>
      <c r="D243" s="304" t="s">
        <v>1380</v>
      </c>
      <c r="E243" s="305"/>
      <c r="F243" s="117" t="s">
        <v>1646</v>
      </c>
      <c r="G243" s="116">
        <v>3</v>
      </c>
      <c r="H243" s="108">
        <v>0</v>
      </c>
    </row>
    <row r="244" spans="1:8" x14ac:dyDescent="0.2">
      <c r="A244" s="117" t="s">
        <v>146</v>
      </c>
      <c r="B244" s="117"/>
      <c r="C244" s="117" t="s">
        <v>4320</v>
      </c>
      <c r="D244" s="304" t="s">
        <v>1382</v>
      </c>
      <c r="E244" s="305"/>
      <c r="F244" s="117" t="s">
        <v>1644</v>
      </c>
      <c r="G244" s="116">
        <v>2</v>
      </c>
      <c r="H244" s="108">
        <v>0</v>
      </c>
    </row>
    <row r="245" spans="1:8" x14ac:dyDescent="0.2">
      <c r="A245" s="117" t="s">
        <v>147</v>
      </c>
      <c r="B245" s="117"/>
      <c r="C245" s="117" t="s">
        <v>4319</v>
      </c>
      <c r="D245" s="304" t="s">
        <v>1383</v>
      </c>
      <c r="E245" s="305"/>
      <c r="F245" s="117" t="s">
        <v>1644</v>
      </c>
      <c r="G245" s="116">
        <v>1</v>
      </c>
      <c r="H245" s="108">
        <v>0</v>
      </c>
    </row>
    <row r="246" spans="1:8" x14ac:dyDescent="0.2">
      <c r="A246" s="117" t="s">
        <v>148</v>
      </c>
      <c r="B246" s="117"/>
      <c r="C246" s="117" t="s">
        <v>4318</v>
      </c>
      <c r="D246" s="304" t="s">
        <v>4317</v>
      </c>
      <c r="E246" s="305"/>
      <c r="F246" s="117" t="s">
        <v>1644</v>
      </c>
      <c r="G246" s="116">
        <v>1</v>
      </c>
      <c r="H246" s="108">
        <v>0</v>
      </c>
    </row>
    <row r="247" spans="1:8" x14ac:dyDescent="0.2">
      <c r="A247" s="117" t="s">
        <v>149</v>
      </c>
      <c r="B247" s="117"/>
      <c r="C247" s="117" t="s">
        <v>4316</v>
      </c>
      <c r="D247" s="304" t="s">
        <v>1384</v>
      </c>
      <c r="E247" s="305"/>
      <c r="F247" s="117" t="s">
        <v>1644</v>
      </c>
      <c r="G247" s="116">
        <v>1</v>
      </c>
      <c r="H247" s="108">
        <v>0</v>
      </c>
    </row>
    <row r="248" spans="1:8" x14ac:dyDescent="0.2">
      <c r="A248" s="117" t="s">
        <v>150</v>
      </c>
      <c r="B248" s="117"/>
      <c r="C248" s="117" t="s">
        <v>4315</v>
      </c>
      <c r="D248" s="304" t="s">
        <v>1385</v>
      </c>
      <c r="E248" s="305"/>
      <c r="F248" s="117" t="s">
        <v>1646</v>
      </c>
      <c r="G248" s="116">
        <v>9</v>
      </c>
      <c r="H248" s="108">
        <v>0</v>
      </c>
    </row>
    <row r="249" spans="1:8" x14ac:dyDescent="0.2">
      <c r="A249" s="117" t="s">
        <v>151</v>
      </c>
      <c r="B249" s="117"/>
      <c r="C249" s="117" t="s">
        <v>4314</v>
      </c>
      <c r="D249" s="304" t="s">
        <v>1386</v>
      </c>
      <c r="E249" s="305"/>
      <c r="F249" s="117" t="s">
        <v>1644</v>
      </c>
      <c r="G249" s="116">
        <v>1</v>
      </c>
      <c r="H249" s="108">
        <v>0</v>
      </c>
    </row>
    <row r="250" spans="1:8" x14ac:dyDescent="0.2">
      <c r="A250" s="117" t="s">
        <v>152</v>
      </c>
      <c r="B250" s="117"/>
      <c r="C250" s="117" t="s">
        <v>4313</v>
      </c>
      <c r="D250" s="304" t="s">
        <v>1387</v>
      </c>
      <c r="E250" s="305"/>
      <c r="F250" s="117" t="s">
        <v>1644</v>
      </c>
      <c r="G250" s="116">
        <v>1</v>
      </c>
      <c r="H250" s="108">
        <v>0</v>
      </c>
    </row>
    <row r="251" spans="1:8" x14ac:dyDescent="0.2">
      <c r="A251" s="117" t="s">
        <v>153</v>
      </c>
      <c r="B251" s="117"/>
      <c r="C251" s="117" t="s">
        <v>4312</v>
      </c>
      <c r="D251" s="304" t="s">
        <v>1388</v>
      </c>
      <c r="E251" s="305"/>
      <c r="F251" s="117" t="s">
        <v>1644</v>
      </c>
      <c r="G251" s="116">
        <v>1</v>
      </c>
      <c r="H251" s="108">
        <v>0</v>
      </c>
    </row>
    <row r="252" spans="1:8" x14ac:dyDescent="0.2">
      <c r="A252" s="117" t="s">
        <v>154</v>
      </c>
      <c r="B252" s="117"/>
      <c r="C252" s="117" t="s">
        <v>4311</v>
      </c>
      <c r="D252" s="304" t="s">
        <v>1389</v>
      </c>
      <c r="E252" s="305"/>
      <c r="F252" s="117" t="s">
        <v>1644</v>
      </c>
      <c r="G252" s="116">
        <v>1</v>
      </c>
      <c r="H252" s="108">
        <v>0</v>
      </c>
    </row>
    <row r="253" spans="1:8" x14ac:dyDescent="0.2">
      <c r="A253" s="117" t="s">
        <v>155</v>
      </c>
      <c r="B253" s="117"/>
      <c r="C253" s="117" t="s">
        <v>4310</v>
      </c>
      <c r="D253" s="304" t="s">
        <v>1392</v>
      </c>
      <c r="E253" s="305"/>
      <c r="F253" s="117" t="s">
        <v>1644</v>
      </c>
      <c r="G253" s="116">
        <v>2</v>
      </c>
      <c r="H253" s="108">
        <v>0</v>
      </c>
    </row>
    <row r="254" spans="1:8" x14ac:dyDescent="0.2">
      <c r="A254" s="117" t="s">
        <v>156</v>
      </c>
      <c r="B254" s="117"/>
      <c r="C254" s="117" t="s">
        <v>4309</v>
      </c>
      <c r="D254" s="304" t="s">
        <v>1393</v>
      </c>
      <c r="E254" s="305"/>
      <c r="F254" s="117" t="s">
        <v>1644</v>
      </c>
      <c r="G254" s="116">
        <v>1</v>
      </c>
      <c r="H254" s="108">
        <v>0</v>
      </c>
    </row>
    <row r="255" spans="1:8" x14ac:dyDescent="0.2">
      <c r="A255" s="117" t="s">
        <v>157</v>
      </c>
      <c r="B255" s="117"/>
      <c r="C255" s="117" t="s">
        <v>4308</v>
      </c>
      <c r="D255" s="304" t="s">
        <v>1394</v>
      </c>
      <c r="E255" s="305"/>
      <c r="F255" s="117" t="s">
        <v>1644</v>
      </c>
      <c r="G255" s="116">
        <v>1</v>
      </c>
      <c r="H255" s="108">
        <v>0</v>
      </c>
    </row>
    <row r="256" spans="1:8" x14ac:dyDescent="0.2">
      <c r="A256" s="120"/>
      <c r="B256" s="120"/>
      <c r="C256" s="120" t="s">
        <v>907</v>
      </c>
      <c r="D256" s="306" t="s">
        <v>1496</v>
      </c>
      <c r="E256" s="307"/>
      <c r="F256" s="120"/>
      <c r="G256" s="142"/>
      <c r="H256" s="109"/>
    </row>
    <row r="257" spans="1:8" x14ac:dyDescent="0.2">
      <c r="A257" s="117" t="s">
        <v>158</v>
      </c>
      <c r="B257" s="117"/>
      <c r="C257" s="117" t="s">
        <v>909</v>
      </c>
      <c r="D257" s="304" t="s">
        <v>4307</v>
      </c>
      <c r="E257" s="305"/>
      <c r="F257" s="117" t="s">
        <v>1644</v>
      </c>
      <c r="G257" s="116">
        <v>1</v>
      </c>
      <c r="H257" s="108">
        <v>0</v>
      </c>
    </row>
    <row r="258" spans="1:8" ht="12.2" customHeight="1" x14ac:dyDescent="0.2">
      <c r="D258" s="334" t="s">
        <v>1749</v>
      </c>
      <c r="E258" s="335"/>
      <c r="F258" s="335"/>
      <c r="G258" s="143">
        <v>1</v>
      </c>
    </row>
    <row r="259" spans="1:8" x14ac:dyDescent="0.2">
      <c r="A259" s="117" t="s">
        <v>159</v>
      </c>
      <c r="B259" s="117"/>
      <c r="C259" s="117" t="s">
        <v>921</v>
      </c>
      <c r="D259" s="304" t="s">
        <v>1510</v>
      </c>
      <c r="E259" s="305"/>
      <c r="F259" s="117" t="s">
        <v>1648</v>
      </c>
      <c r="G259" s="116">
        <v>1E-3</v>
      </c>
      <c r="H259" s="108">
        <v>0</v>
      </c>
    </row>
    <row r="260" spans="1:8" ht="12.2" customHeight="1" x14ac:dyDescent="0.2">
      <c r="D260" s="334" t="s">
        <v>4443</v>
      </c>
      <c r="E260" s="335"/>
      <c r="F260" s="335"/>
      <c r="G260" s="143">
        <v>1E-3</v>
      </c>
    </row>
    <row r="261" spans="1:8" x14ac:dyDescent="0.2">
      <c r="A261" s="120"/>
      <c r="B261" s="120"/>
      <c r="C261" s="120" t="s">
        <v>922</v>
      </c>
      <c r="D261" s="306" t="s">
        <v>1511</v>
      </c>
      <c r="E261" s="307"/>
      <c r="F261" s="120"/>
      <c r="G261" s="142"/>
      <c r="H261" s="109"/>
    </row>
    <row r="262" spans="1:8" x14ac:dyDescent="0.2">
      <c r="A262" s="117" t="s">
        <v>160</v>
      </c>
      <c r="B262" s="117"/>
      <c r="C262" s="117" t="s">
        <v>4306</v>
      </c>
      <c r="D262" s="304" t="s">
        <v>4305</v>
      </c>
      <c r="E262" s="305"/>
      <c r="F262" s="117" t="s">
        <v>1645</v>
      </c>
      <c r="G262" s="116">
        <v>17.954999999999998</v>
      </c>
      <c r="H262" s="108">
        <v>0</v>
      </c>
    </row>
    <row r="263" spans="1:8" ht="12.2" customHeight="1" x14ac:dyDescent="0.2">
      <c r="D263" s="334" t="s">
        <v>4437</v>
      </c>
      <c r="E263" s="335"/>
      <c r="F263" s="335"/>
      <c r="G263" s="143">
        <v>17.954999999999998</v>
      </c>
    </row>
    <row r="264" spans="1:8" x14ac:dyDescent="0.2">
      <c r="A264" s="117" t="s">
        <v>161</v>
      </c>
      <c r="B264" s="117"/>
      <c r="C264" s="117" t="s">
        <v>924</v>
      </c>
      <c r="D264" s="304" t="s">
        <v>1513</v>
      </c>
      <c r="E264" s="305"/>
      <c r="F264" s="117" t="s">
        <v>1645</v>
      </c>
      <c r="G264" s="116">
        <v>17.954999999999998</v>
      </c>
      <c r="H264" s="108">
        <v>0</v>
      </c>
    </row>
    <row r="265" spans="1:8" ht="12.2" customHeight="1" x14ac:dyDescent="0.2">
      <c r="D265" s="334" t="s">
        <v>4437</v>
      </c>
      <c r="E265" s="335"/>
      <c r="F265" s="335"/>
      <c r="G265" s="143">
        <v>17.954999999999998</v>
      </c>
    </row>
    <row r="266" spans="1:8" x14ac:dyDescent="0.2">
      <c r="A266" s="117" t="s">
        <v>162</v>
      </c>
      <c r="B266" s="117"/>
      <c r="C266" s="117" t="s">
        <v>925</v>
      </c>
      <c r="D266" s="304" t="s">
        <v>1514</v>
      </c>
      <c r="E266" s="305"/>
      <c r="F266" s="117" t="s">
        <v>1645</v>
      </c>
      <c r="G266" s="116">
        <v>17.954999999999998</v>
      </c>
      <c r="H266" s="108">
        <v>0</v>
      </c>
    </row>
    <row r="267" spans="1:8" ht="12.2" customHeight="1" x14ac:dyDescent="0.2">
      <c r="D267" s="334" t="s">
        <v>4437</v>
      </c>
      <c r="E267" s="335"/>
      <c r="F267" s="335"/>
      <c r="G267" s="143">
        <v>17.954999999999998</v>
      </c>
    </row>
    <row r="268" spans="1:8" x14ac:dyDescent="0.2">
      <c r="A268" s="124" t="s">
        <v>163</v>
      </c>
      <c r="B268" s="124"/>
      <c r="C268" s="124" t="s">
        <v>926</v>
      </c>
      <c r="D268" s="311" t="s">
        <v>1515</v>
      </c>
      <c r="E268" s="312"/>
      <c r="F268" s="124" t="s">
        <v>1645</v>
      </c>
      <c r="G268" s="123">
        <v>18.853000000000002</v>
      </c>
      <c r="H268" s="121">
        <v>0</v>
      </c>
    </row>
    <row r="269" spans="1:8" ht="12.2" customHeight="1" x14ac:dyDescent="0.2">
      <c r="D269" s="336" t="s">
        <v>4437</v>
      </c>
      <c r="E269" s="337"/>
      <c r="F269" s="337"/>
      <c r="G269" s="146">
        <v>17.954999999999998</v>
      </c>
    </row>
    <row r="270" spans="1:8" ht="12.2" customHeight="1" x14ac:dyDescent="0.2">
      <c r="A270" s="124"/>
      <c r="B270" s="124"/>
      <c r="C270" s="124"/>
      <c r="D270" s="336" t="s">
        <v>4442</v>
      </c>
      <c r="E270" s="337"/>
      <c r="F270" s="336"/>
      <c r="G270" s="145">
        <v>0.89800000000000002</v>
      </c>
      <c r="H270" s="122"/>
    </row>
    <row r="271" spans="1:8" x14ac:dyDescent="0.2">
      <c r="A271" s="117" t="s">
        <v>164</v>
      </c>
      <c r="B271" s="117"/>
      <c r="C271" s="117" t="s">
        <v>927</v>
      </c>
      <c r="D271" s="304" t="s">
        <v>1516</v>
      </c>
      <c r="E271" s="305"/>
      <c r="F271" s="117" t="s">
        <v>1646</v>
      </c>
      <c r="G271" s="116">
        <v>16.079999999999998</v>
      </c>
      <c r="H271" s="108">
        <v>0</v>
      </c>
    </row>
    <row r="272" spans="1:8" ht="12.2" customHeight="1" x14ac:dyDescent="0.2">
      <c r="D272" s="334" t="s">
        <v>4441</v>
      </c>
      <c r="E272" s="335"/>
      <c r="F272" s="335"/>
      <c r="G272" s="143">
        <v>16.079999999999998</v>
      </c>
    </row>
    <row r="273" spans="1:8" x14ac:dyDescent="0.2">
      <c r="A273" s="124" t="s">
        <v>165</v>
      </c>
      <c r="B273" s="124"/>
      <c r="C273" s="124" t="s">
        <v>928</v>
      </c>
      <c r="D273" s="311" t="s">
        <v>1517</v>
      </c>
      <c r="E273" s="312"/>
      <c r="F273" s="124" t="s">
        <v>1645</v>
      </c>
      <c r="G273" s="123">
        <v>2.0099999999999998</v>
      </c>
      <c r="H273" s="121">
        <v>0</v>
      </c>
    </row>
    <row r="274" spans="1:8" ht="12.2" customHeight="1" x14ac:dyDescent="0.2">
      <c r="D274" s="336" t="s">
        <v>4440</v>
      </c>
      <c r="E274" s="337"/>
      <c r="F274" s="337"/>
      <c r="G274" s="146">
        <v>1.6080000000000001</v>
      </c>
    </row>
    <row r="275" spans="1:8" ht="12.2" customHeight="1" x14ac:dyDescent="0.2">
      <c r="A275" s="124"/>
      <c r="B275" s="124"/>
      <c r="C275" s="124"/>
      <c r="D275" s="336" t="s">
        <v>4439</v>
      </c>
      <c r="E275" s="337"/>
      <c r="F275" s="336"/>
      <c r="G275" s="145">
        <v>0.40200000000000002</v>
      </c>
      <c r="H275" s="122"/>
    </row>
    <row r="276" spans="1:8" x14ac:dyDescent="0.2">
      <c r="A276" s="117" t="s">
        <v>166</v>
      </c>
      <c r="B276" s="117"/>
      <c r="C276" s="117" t="s">
        <v>929</v>
      </c>
      <c r="D276" s="304" t="s">
        <v>1518</v>
      </c>
      <c r="E276" s="305"/>
      <c r="F276" s="117" t="s">
        <v>1648</v>
      </c>
      <c r="G276" s="116">
        <v>0.47399999999999998</v>
      </c>
      <c r="H276" s="108">
        <v>0</v>
      </c>
    </row>
    <row r="277" spans="1:8" ht="12.2" customHeight="1" x14ac:dyDescent="0.2">
      <c r="D277" s="334" t="s">
        <v>4438</v>
      </c>
      <c r="E277" s="335"/>
      <c r="F277" s="335"/>
      <c r="G277" s="143">
        <v>0.47399999999999998</v>
      </c>
    </row>
    <row r="278" spans="1:8" x14ac:dyDescent="0.2">
      <c r="A278" s="120"/>
      <c r="B278" s="120"/>
      <c r="C278" s="120" t="s">
        <v>930</v>
      </c>
      <c r="D278" s="306" t="s">
        <v>1519</v>
      </c>
      <c r="E278" s="307"/>
      <c r="F278" s="120"/>
      <c r="G278" s="142"/>
      <c r="H278" s="109"/>
    </row>
    <row r="279" spans="1:8" x14ac:dyDescent="0.2">
      <c r="A279" s="117" t="s">
        <v>167</v>
      </c>
      <c r="B279" s="117"/>
      <c r="C279" s="117" t="s">
        <v>931</v>
      </c>
      <c r="D279" s="304" t="s">
        <v>4304</v>
      </c>
      <c r="E279" s="305"/>
      <c r="F279" s="117" t="s">
        <v>1645</v>
      </c>
      <c r="G279" s="116">
        <v>54.768000000000001</v>
      </c>
      <c r="H279" s="108">
        <v>0</v>
      </c>
    </row>
    <row r="280" spans="1:8" ht="12.2" customHeight="1" x14ac:dyDescent="0.2">
      <c r="D280" s="334" t="s">
        <v>4436</v>
      </c>
      <c r="E280" s="335"/>
      <c r="F280" s="335"/>
      <c r="G280" s="143">
        <v>54.768000000000001</v>
      </c>
    </row>
    <row r="281" spans="1:8" x14ac:dyDescent="0.2">
      <c r="A281" s="117" t="s">
        <v>168</v>
      </c>
      <c r="B281" s="117"/>
      <c r="C281" s="117" t="s">
        <v>932</v>
      </c>
      <c r="D281" s="304" t="s">
        <v>4303</v>
      </c>
      <c r="E281" s="305"/>
      <c r="F281" s="117" t="s">
        <v>1645</v>
      </c>
      <c r="G281" s="116">
        <v>17.954999999999998</v>
      </c>
      <c r="H281" s="108">
        <v>0</v>
      </c>
    </row>
    <row r="282" spans="1:8" ht="12.2" customHeight="1" x14ac:dyDescent="0.2">
      <c r="D282" s="334" t="s">
        <v>4437</v>
      </c>
      <c r="E282" s="335"/>
      <c r="F282" s="335"/>
      <c r="G282" s="143">
        <v>17.954999999999998</v>
      </c>
    </row>
    <row r="283" spans="1:8" x14ac:dyDescent="0.2">
      <c r="A283" s="117" t="s">
        <v>169</v>
      </c>
      <c r="B283" s="117"/>
      <c r="C283" s="117" t="s">
        <v>933</v>
      </c>
      <c r="D283" s="304" t="s">
        <v>4302</v>
      </c>
      <c r="E283" s="305"/>
      <c r="F283" s="117" t="s">
        <v>1645</v>
      </c>
      <c r="G283" s="116">
        <v>54.768000000000001</v>
      </c>
      <c r="H283" s="108">
        <v>0</v>
      </c>
    </row>
    <row r="284" spans="1:8" ht="12.2" customHeight="1" x14ac:dyDescent="0.2">
      <c r="D284" s="334" t="s">
        <v>4436</v>
      </c>
      <c r="E284" s="335"/>
      <c r="F284" s="335"/>
      <c r="G284" s="143">
        <v>54.768000000000001</v>
      </c>
    </row>
    <row r="285" spans="1:8" x14ac:dyDescent="0.2">
      <c r="A285" s="117" t="s">
        <v>170</v>
      </c>
      <c r="B285" s="117"/>
      <c r="C285" s="117" t="s">
        <v>935</v>
      </c>
      <c r="D285" s="304" t="s">
        <v>4301</v>
      </c>
      <c r="E285" s="305"/>
      <c r="F285" s="117" t="s">
        <v>1645</v>
      </c>
      <c r="G285" s="116">
        <v>54.768000000000001</v>
      </c>
      <c r="H285" s="108">
        <v>0</v>
      </c>
    </row>
    <row r="286" spans="1:8" ht="12.2" customHeight="1" x14ac:dyDescent="0.2">
      <c r="D286" s="334" t="s">
        <v>4436</v>
      </c>
      <c r="E286" s="335"/>
      <c r="F286" s="335"/>
      <c r="G286" s="143">
        <v>54.768000000000001</v>
      </c>
    </row>
    <row r="287" spans="1:8" x14ac:dyDescent="0.2">
      <c r="A287" s="120"/>
      <c r="B287" s="120"/>
      <c r="C287" s="120" t="s">
        <v>936</v>
      </c>
      <c r="D287" s="306" t="s">
        <v>1525</v>
      </c>
      <c r="E287" s="307"/>
      <c r="F287" s="120"/>
      <c r="G287" s="142"/>
      <c r="H287" s="109"/>
    </row>
    <row r="288" spans="1:8" x14ac:dyDescent="0.2">
      <c r="A288" s="117" t="s">
        <v>171</v>
      </c>
      <c r="B288" s="117"/>
      <c r="C288" s="117" t="s">
        <v>4300</v>
      </c>
      <c r="D288" s="304" t="s">
        <v>1531</v>
      </c>
      <c r="E288" s="305"/>
      <c r="F288" s="117" t="s">
        <v>1644</v>
      </c>
      <c r="G288" s="116">
        <v>1</v>
      </c>
      <c r="H288" s="108">
        <v>0</v>
      </c>
    </row>
    <row r="289" spans="1:8" x14ac:dyDescent="0.2">
      <c r="A289" s="117" t="s">
        <v>172</v>
      </c>
      <c r="B289" s="117"/>
      <c r="C289" s="117" t="s">
        <v>4299</v>
      </c>
      <c r="D289" s="304" t="s">
        <v>1532</v>
      </c>
      <c r="E289" s="305"/>
      <c r="F289" s="117" t="s">
        <v>1646</v>
      </c>
      <c r="G289" s="116">
        <v>40</v>
      </c>
      <c r="H289" s="108">
        <v>0</v>
      </c>
    </row>
    <row r="290" spans="1:8" x14ac:dyDescent="0.2">
      <c r="A290" s="117" t="s">
        <v>173</v>
      </c>
      <c r="B290" s="117"/>
      <c r="C290" s="117" t="s">
        <v>4298</v>
      </c>
      <c r="D290" s="304" t="s">
        <v>1533</v>
      </c>
      <c r="E290" s="305"/>
      <c r="F290" s="117" t="s">
        <v>1646</v>
      </c>
      <c r="G290" s="116">
        <v>10</v>
      </c>
      <c r="H290" s="108">
        <v>0</v>
      </c>
    </row>
    <row r="291" spans="1:8" x14ac:dyDescent="0.2">
      <c r="A291" s="117" t="s">
        <v>174</v>
      </c>
      <c r="B291" s="117"/>
      <c r="C291" s="117" t="s">
        <v>4298</v>
      </c>
      <c r="D291" s="304" t="s">
        <v>1534</v>
      </c>
      <c r="E291" s="305"/>
      <c r="F291" s="117" t="s">
        <v>1644</v>
      </c>
      <c r="G291" s="116">
        <v>5</v>
      </c>
      <c r="H291" s="108">
        <v>0</v>
      </c>
    </row>
    <row r="292" spans="1:8" x14ac:dyDescent="0.2">
      <c r="A292" s="117" t="s">
        <v>175</v>
      </c>
      <c r="B292" s="117"/>
      <c r="C292" s="117" t="s">
        <v>4297</v>
      </c>
      <c r="D292" s="304" t="s">
        <v>1535</v>
      </c>
      <c r="E292" s="305"/>
      <c r="F292" s="117" t="s">
        <v>1644</v>
      </c>
      <c r="G292" s="116">
        <v>3</v>
      </c>
      <c r="H292" s="108">
        <v>0</v>
      </c>
    </row>
    <row r="293" spans="1:8" x14ac:dyDescent="0.2">
      <c r="A293" s="117" t="s">
        <v>176</v>
      </c>
      <c r="B293" s="117"/>
      <c r="C293" s="117" t="s">
        <v>4296</v>
      </c>
      <c r="D293" s="304" t="s">
        <v>1536</v>
      </c>
      <c r="E293" s="305"/>
      <c r="F293" s="117" t="s">
        <v>1644</v>
      </c>
      <c r="G293" s="116">
        <v>24</v>
      </c>
      <c r="H293" s="108">
        <v>0</v>
      </c>
    </row>
    <row r="294" spans="1:8" x14ac:dyDescent="0.2">
      <c r="A294" s="117" t="s">
        <v>177</v>
      </c>
      <c r="B294" s="117"/>
      <c r="C294" s="117" t="s">
        <v>4295</v>
      </c>
      <c r="D294" s="304" t="s">
        <v>1537</v>
      </c>
      <c r="E294" s="305"/>
      <c r="F294" s="117" t="s">
        <v>1644</v>
      </c>
      <c r="G294" s="116">
        <v>1</v>
      </c>
      <c r="H294" s="108">
        <v>0</v>
      </c>
    </row>
    <row r="295" spans="1:8" x14ac:dyDescent="0.2">
      <c r="A295" s="117" t="s">
        <v>178</v>
      </c>
      <c r="B295" s="117"/>
      <c r="C295" s="117" t="s">
        <v>4294</v>
      </c>
      <c r="D295" s="304" t="s">
        <v>1538</v>
      </c>
      <c r="E295" s="305"/>
      <c r="F295" s="117" t="s">
        <v>1646</v>
      </c>
      <c r="G295" s="116">
        <v>10</v>
      </c>
      <c r="H295" s="108">
        <v>0</v>
      </c>
    </row>
    <row r="296" spans="1:8" x14ac:dyDescent="0.2">
      <c r="A296" s="117" t="s">
        <v>179</v>
      </c>
      <c r="B296" s="117"/>
      <c r="C296" s="117" t="s">
        <v>4293</v>
      </c>
      <c r="D296" s="304" t="s">
        <v>1539</v>
      </c>
      <c r="E296" s="305"/>
      <c r="F296" s="117" t="s">
        <v>1646</v>
      </c>
      <c r="G296" s="116">
        <v>20</v>
      </c>
      <c r="H296" s="108">
        <v>0</v>
      </c>
    </row>
    <row r="297" spans="1:8" x14ac:dyDescent="0.2">
      <c r="A297" s="117" t="s">
        <v>180</v>
      </c>
      <c r="B297" s="117"/>
      <c r="C297" s="117" t="s">
        <v>4292</v>
      </c>
      <c r="D297" s="304" t="s">
        <v>1540</v>
      </c>
      <c r="E297" s="305"/>
      <c r="F297" s="117" t="s">
        <v>1646</v>
      </c>
      <c r="G297" s="116">
        <v>50</v>
      </c>
      <c r="H297" s="108">
        <v>0</v>
      </c>
    </row>
    <row r="298" spans="1:8" x14ac:dyDescent="0.2">
      <c r="A298" s="117" t="s">
        <v>181</v>
      </c>
      <c r="B298" s="117"/>
      <c r="C298" s="117" t="s">
        <v>4291</v>
      </c>
      <c r="D298" s="304" t="s">
        <v>1541</v>
      </c>
      <c r="E298" s="305"/>
      <c r="F298" s="117" t="s">
        <v>1646</v>
      </c>
      <c r="G298" s="116">
        <v>20</v>
      </c>
      <c r="H298" s="108">
        <v>0</v>
      </c>
    </row>
    <row r="299" spans="1:8" x14ac:dyDescent="0.2">
      <c r="A299" s="117" t="s">
        <v>182</v>
      </c>
      <c r="B299" s="117"/>
      <c r="C299" s="117" t="s">
        <v>4290</v>
      </c>
      <c r="D299" s="304" t="s">
        <v>1542</v>
      </c>
      <c r="E299" s="305"/>
      <c r="F299" s="117" t="s">
        <v>1646</v>
      </c>
      <c r="G299" s="116">
        <v>10</v>
      </c>
      <c r="H299" s="108">
        <v>0</v>
      </c>
    </row>
    <row r="300" spans="1:8" x14ac:dyDescent="0.2">
      <c r="A300" s="117" t="s">
        <v>183</v>
      </c>
      <c r="B300" s="117"/>
      <c r="C300" s="117" t="s">
        <v>4289</v>
      </c>
      <c r="D300" s="304" t="s">
        <v>1543</v>
      </c>
      <c r="E300" s="305"/>
      <c r="F300" s="117" t="s">
        <v>1644</v>
      </c>
      <c r="G300" s="116">
        <v>1</v>
      </c>
      <c r="H300" s="108">
        <v>0</v>
      </c>
    </row>
    <row r="301" spans="1:8" x14ac:dyDescent="0.2">
      <c r="A301" s="117" t="s">
        <v>184</v>
      </c>
      <c r="B301" s="117"/>
      <c r="C301" s="117" t="s">
        <v>4288</v>
      </c>
      <c r="D301" s="304" t="s">
        <v>4287</v>
      </c>
      <c r="E301" s="305"/>
      <c r="F301" s="117" t="s">
        <v>1644</v>
      </c>
      <c r="G301" s="116">
        <v>1</v>
      </c>
      <c r="H301" s="108">
        <v>0</v>
      </c>
    </row>
    <row r="302" spans="1:8" x14ac:dyDescent="0.2">
      <c r="A302" s="117" t="s">
        <v>185</v>
      </c>
      <c r="B302" s="117"/>
      <c r="C302" s="117" t="s">
        <v>4286</v>
      </c>
      <c r="D302" s="304" t="s">
        <v>1551</v>
      </c>
      <c r="E302" s="305"/>
      <c r="F302" s="117" t="s">
        <v>1644</v>
      </c>
      <c r="G302" s="116">
        <v>1</v>
      </c>
      <c r="H302" s="108">
        <v>0</v>
      </c>
    </row>
    <row r="303" spans="1:8" x14ac:dyDescent="0.2">
      <c r="A303" s="117" t="s">
        <v>186</v>
      </c>
      <c r="B303" s="117"/>
      <c r="C303" s="117" t="s">
        <v>4285</v>
      </c>
      <c r="D303" s="304" t="s">
        <v>1552</v>
      </c>
      <c r="E303" s="305"/>
      <c r="F303" s="117" t="s">
        <v>1644</v>
      </c>
      <c r="G303" s="116">
        <v>1</v>
      </c>
      <c r="H303" s="108">
        <v>0</v>
      </c>
    </row>
    <row r="304" spans="1:8" x14ac:dyDescent="0.2">
      <c r="A304" s="117" t="s">
        <v>187</v>
      </c>
      <c r="B304" s="117"/>
      <c r="C304" s="117" t="s">
        <v>4284</v>
      </c>
      <c r="D304" s="304" t="s">
        <v>1553</v>
      </c>
      <c r="E304" s="305"/>
      <c r="F304" s="117" t="s">
        <v>1644</v>
      </c>
      <c r="G304" s="116">
        <v>1</v>
      </c>
      <c r="H304" s="108">
        <v>0</v>
      </c>
    </row>
    <row r="305" spans="1:8" x14ac:dyDescent="0.2">
      <c r="A305" s="117" t="s">
        <v>188</v>
      </c>
      <c r="B305" s="117"/>
      <c r="C305" s="117" t="s">
        <v>4283</v>
      </c>
      <c r="D305" s="304" t="s">
        <v>1554</v>
      </c>
      <c r="E305" s="305"/>
      <c r="F305" s="117" t="s">
        <v>1644</v>
      </c>
      <c r="G305" s="116">
        <v>1</v>
      </c>
      <c r="H305" s="108">
        <v>0</v>
      </c>
    </row>
    <row r="306" spans="1:8" x14ac:dyDescent="0.2">
      <c r="A306" s="117" t="s">
        <v>189</v>
      </c>
      <c r="B306" s="117"/>
      <c r="C306" s="117" t="s">
        <v>4282</v>
      </c>
      <c r="D306" s="304" t="s">
        <v>1555</v>
      </c>
      <c r="E306" s="305"/>
      <c r="F306" s="117" t="s">
        <v>1644</v>
      </c>
      <c r="G306" s="116">
        <v>1</v>
      </c>
      <c r="H306" s="108">
        <v>0</v>
      </c>
    </row>
    <row r="307" spans="1:8" x14ac:dyDescent="0.2">
      <c r="A307" s="120"/>
      <c r="B307" s="120"/>
      <c r="C307" s="120" t="s">
        <v>1039</v>
      </c>
      <c r="D307" s="306" t="s">
        <v>1631</v>
      </c>
      <c r="E307" s="307"/>
      <c r="F307" s="120"/>
      <c r="G307" s="142"/>
      <c r="H307" s="109"/>
    </row>
    <row r="308" spans="1:8" x14ac:dyDescent="0.2">
      <c r="A308" s="117" t="s">
        <v>190</v>
      </c>
      <c r="B308" s="117"/>
      <c r="C308" s="117" t="s">
        <v>1041</v>
      </c>
      <c r="D308" s="304" t="s">
        <v>1633</v>
      </c>
      <c r="E308" s="305"/>
      <c r="F308" s="117" t="s">
        <v>1644</v>
      </c>
      <c r="G308" s="116">
        <v>1</v>
      </c>
      <c r="H308" s="108">
        <v>0</v>
      </c>
    </row>
    <row r="309" spans="1:8" x14ac:dyDescent="0.2">
      <c r="A309" s="117" t="s">
        <v>191</v>
      </c>
      <c r="B309" s="117"/>
      <c r="C309" s="117" t="s">
        <v>1042</v>
      </c>
      <c r="D309" s="304" t="s">
        <v>1634</v>
      </c>
      <c r="E309" s="305"/>
      <c r="F309" s="117" t="s">
        <v>1644</v>
      </c>
      <c r="G309" s="116">
        <v>1</v>
      </c>
      <c r="H309" s="108">
        <v>0</v>
      </c>
    </row>
    <row r="310" spans="1:8" x14ac:dyDescent="0.2">
      <c r="A310" s="117" t="s">
        <v>192</v>
      </c>
      <c r="B310" s="117"/>
      <c r="C310" s="117" t="s">
        <v>1043</v>
      </c>
      <c r="D310" s="304" t="s">
        <v>1635</v>
      </c>
      <c r="E310" s="305"/>
      <c r="F310" s="117" t="s">
        <v>1644</v>
      </c>
      <c r="G310" s="116">
        <v>1</v>
      </c>
      <c r="H310" s="108">
        <v>0</v>
      </c>
    </row>
    <row r="311" spans="1:8" x14ac:dyDescent="0.2">
      <c r="A311" s="117" t="s">
        <v>193</v>
      </c>
      <c r="B311" s="117"/>
      <c r="C311" s="117" t="s">
        <v>1044</v>
      </c>
      <c r="D311" s="304" t="s">
        <v>1636</v>
      </c>
      <c r="E311" s="305"/>
      <c r="F311" s="117" t="s">
        <v>1644</v>
      </c>
      <c r="G311" s="116">
        <v>1</v>
      </c>
      <c r="H311" s="108">
        <v>0</v>
      </c>
    </row>
    <row r="312" spans="1:8" x14ac:dyDescent="0.2">
      <c r="A312" s="117" t="s">
        <v>194</v>
      </c>
      <c r="B312" s="117"/>
      <c r="C312" s="117" t="s">
        <v>1045</v>
      </c>
      <c r="D312" s="304" t="s">
        <v>1637</v>
      </c>
      <c r="E312" s="305"/>
      <c r="F312" s="117" t="s">
        <v>1644</v>
      </c>
      <c r="G312" s="116">
        <v>1</v>
      </c>
      <c r="H312" s="108">
        <v>0</v>
      </c>
    </row>
    <row r="313" spans="1:8" x14ac:dyDescent="0.2">
      <c r="A313" s="117" t="s">
        <v>195</v>
      </c>
      <c r="B313" s="117"/>
      <c r="C313" s="117" t="s">
        <v>1046</v>
      </c>
      <c r="D313" s="304" t="s">
        <v>1638</v>
      </c>
      <c r="E313" s="305"/>
      <c r="F313" s="117" t="s">
        <v>1644</v>
      </c>
      <c r="G313" s="116">
        <v>1</v>
      </c>
      <c r="H313" s="108">
        <v>0</v>
      </c>
    </row>
    <row r="315" spans="1:8" ht="11.25" customHeight="1" x14ac:dyDescent="0.2">
      <c r="A315" s="106" t="s">
        <v>569</v>
      </c>
    </row>
    <row r="316" spans="1:8" x14ac:dyDescent="0.2">
      <c r="A316" s="255"/>
      <c r="B316" s="256"/>
      <c r="C316" s="256"/>
      <c r="D316" s="256"/>
      <c r="E316" s="256"/>
      <c r="F316" s="256"/>
      <c r="G316" s="256"/>
    </row>
  </sheetData>
  <sheetProtection algorithmName="SHA-512" hashValue="vHHXdXD7ZrsdtjRTgP4LIkne0aNmxPmhKFtlfabjky/3HtXK+q6+C4FK7d38k91Mlz8V0ONS25j+5IWNcksl7g==" saltValue="GfGio1LoBrucBsZBioMQUg==" spinCount="100000" sheet="1" objects="1" scenarios="1"/>
  <mergeCells count="322">
    <mergeCell ref="D309:E309"/>
    <mergeCell ref="D310:E310"/>
    <mergeCell ref="D311:E311"/>
    <mergeCell ref="D312:E312"/>
    <mergeCell ref="D313:E313"/>
    <mergeCell ref="A316:G316"/>
    <mergeCell ref="D304:E304"/>
    <mergeCell ref="D305:E305"/>
    <mergeCell ref="D306:E306"/>
    <mergeCell ref="D307:E307"/>
    <mergeCell ref="D308:E308"/>
    <mergeCell ref="D301:E301"/>
    <mergeCell ref="D302:E302"/>
    <mergeCell ref="D303:E303"/>
    <mergeCell ref="D280:F280"/>
    <mergeCell ref="D281:E281"/>
    <mergeCell ref="D282:F282"/>
    <mergeCell ref="D283:E283"/>
    <mergeCell ref="D284:F284"/>
    <mergeCell ref="D285:E285"/>
    <mergeCell ref="D286:F286"/>
    <mergeCell ref="D287:E287"/>
    <mergeCell ref="D288:E288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277:F277"/>
    <mergeCell ref="D278:E278"/>
    <mergeCell ref="D279:E279"/>
    <mergeCell ref="D256:E256"/>
    <mergeCell ref="D257:E257"/>
    <mergeCell ref="D258:F258"/>
    <mergeCell ref="D259:E259"/>
    <mergeCell ref="D260:F260"/>
    <mergeCell ref="D261:E261"/>
    <mergeCell ref="D262:E262"/>
    <mergeCell ref="D263:F263"/>
    <mergeCell ref="D264:E264"/>
    <mergeCell ref="D265:F265"/>
    <mergeCell ref="D266:E266"/>
    <mergeCell ref="D267:F267"/>
    <mergeCell ref="D268:E268"/>
    <mergeCell ref="D269:F269"/>
    <mergeCell ref="D270:F270"/>
    <mergeCell ref="D271:E271"/>
    <mergeCell ref="D272:F272"/>
    <mergeCell ref="D273:E273"/>
    <mergeCell ref="D274:F274"/>
    <mergeCell ref="D275:F275"/>
    <mergeCell ref="D276:E276"/>
    <mergeCell ref="D253:E253"/>
    <mergeCell ref="D254:E254"/>
    <mergeCell ref="D255:E255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29:E229"/>
    <mergeCell ref="D230:E230"/>
    <mergeCell ref="D231:E231"/>
    <mergeCell ref="D208:E208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05:E205"/>
    <mergeCell ref="D206:E206"/>
    <mergeCell ref="D207:E207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181:E181"/>
    <mergeCell ref="D182:E182"/>
    <mergeCell ref="D183:E183"/>
    <mergeCell ref="D160:F160"/>
    <mergeCell ref="D161:F161"/>
    <mergeCell ref="D162:E162"/>
    <mergeCell ref="D163:F163"/>
    <mergeCell ref="D164:E164"/>
    <mergeCell ref="D165:E165"/>
    <mergeCell ref="D166:F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57:E157"/>
    <mergeCell ref="D158:F158"/>
    <mergeCell ref="D159:E159"/>
    <mergeCell ref="D136:E136"/>
    <mergeCell ref="D137:F137"/>
    <mergeCell ref="D138:E138"/>
    <mergeCell ref="D139:F139"/>
    <mergeCell ref="D140:E140"/>
    <mergeCell ref="D141:F141"/>
    <mergeCell ref="D142:E142"/>
    <mergeCell ref="D143:E143"/>
    <mergeCell ref="D144:F144"/>
    <mergeCell ref="D145:E145"/>
    <mergeCell ref="D146:F146"/>
    <mergeCell ref="D147:E147"/>
    <mergeCell ref="D148:F148"/>
    <mergeCell ref="D149:E149"/>
    <mergeCell ref="D150:F150"/>
    <mergeCell ref="D151:E151"/>
    <mergeCell ref="D152:F152"/>
    <mergeCell ref="D153:E153"/>
    <mergeCell ref="D154:F154"/>
    <mergeCell ref="D155:E155"/>
    <mergeCell ref="D156:F156"/>
    <mergeCell ref="D133:F133"/>
    <mergeCell ref="D134:E134"/>
    <mergeCell ref="D135:F135"/>
    <mergeCell ref="D112:F112"/>
    <mergeCell ref="D113:E113"/>
    <mergeCell ref="D114:F114"/>
    <mergeCell ref="D115:E115"/>
    <mergeCell ref="D116:F116"/>
    <mergeCell ref="D117:E117"/>
    <mergeCell ref="D118:E118"/>
    <mergeCell ref="D119:F119"/>
    <mergeCell ref="D120:E120"/>
    <mergeCell ref="D121:F121"/>
    <mergeCell ref="D122:E122"/>
    <mergeCell ref="D123:F123"/>
    <mergeCell ref="D124:E124"/>
    <mergeCell ref="D125:F125"/>
    <mergeCell ref="D126:E126"/>
    <mergeCell ref="D127:F127"/>
    <mergeCell ref="D128:E128"/>
    <mergeCell ref="D129:F129"/>
    <mergeCell ref="D130:E130"/>
    <mergeCell ref="D131:F131"/>
    <mergeCell ref="D132:E132"/>
    <mergeCell ref="D109:E109"/>
    <mergeCell ref="D110:F110"/>
    <mergeCell ref="D111:E111"/>
    <mergeCell ref="D88:E88"/>
    <mergeCell ref="D89:F89"/>
    <mergeCell ref="D90:E90"/>
    <mergeCell ref="D91:F91"/>
    <mergeCell ref="D92:E92"/>
    <mergeCell ref="D93:F93"/>
    <mergeCell ref="D94:E94"/>
    <mergeCell ref="D95:F95"/>
    <mergeCell ref="D96:E96"/>
    <mergeCell ref="D97:E97"/>
    <mergeCell ref="D98:F98"/>
    <mergeCell ref="D99:F99"/>
    <mergeCell ref="D100:E100"/>
    <mergeCell ref="D101:F101"/>
    <mergeCell ref="D102:E102"/>
    <mergeCell ref="D103:F103"/>
    <mergeCell ref="D104:E104"/>
    <mergeCell ref="D105:F105"/>
    <mergeCell ref="D106:E106"/>
    <mergeCell ref="D107:E107"/>
    <mergeCell ref="D108:F108"/>
    <mergeCell ref="D85:F85"/>
    <mergeCell ref="D86:E86"/>
    <mergeCell ref="D87:F87"/>
    <mergeCell ref="D64:F64"/>
    <mergeCell ref="D65:E65"/>
    <mergeCell ref="D66:F66"/>
    <mergeCell ref="D67:F67"/>
    <mergeCell ref="D68:E68"/>
    <mergeCell ref="D69:F69"/>
    <mergeCell ref="D70:F70"/>
    <mergeCell ref="D71:F71"/>
    <mergeCell ref="D72:E72"/>
    <mergeCell ref="D73:F73"/>
    <mergeCell ref="D74:F74"/>
    <mergeCell ref="D75:E75"/>
    <mergeCell ref="D76:F76"/>
    <mergeCell ref="D77:E77"/>
    <mergeCell ref="D78:F78"/>
    <mergeCell ref="D79:E79"/>
    <mergeCell ref="D80:F80"/>
    <mergeCell ref="D81:E81"/>
    <mergeCell ref="D82:F82"/>
    <mergeCell ref="D83:E83"/>
    <mergeCell ref="D84:E84"/>
    <mergeCell ref="D61:E61"/>
    <mergeCell ref="D62:F62"/>
    <mergeCell ref="D63:F63"/>
    <mergeCell ref="D40:F40"/>
    <mergeCell ref="D41:F41"/>
    <mergeCell ref="D42:E42"/>
    <mergeCell ref="D43:F43"/>
    <mergeCell ref="D44:F44"/>
    <mergeCell ref="D45:E45"/>
    <mergeCell ref="D46:F46"/>
    <mergeCell ref="D47:E47"/>
    <mergeCell ref="D48:F48"/>
    <mergeCell ref="D49:E49"/>
    <mergeCell ref="D50:F50"/>
    <mergeCell ref="D51:E51"/>
    <mergeCell ref="D52:F52"/>
    <mergeCell ref="D53:E53"/>
    <mergeCell ref="D54:F54"/>
    <mergeCell ref="D55:F55"/>
    <mergeCell ref="D56:E56"/>
    <mergeCell ref="D57:F57"/>
    <mergeCell ref="D58:E58"/>
    <mergeCell ref="D59:F59"/>
    <mergeCell ref="D60:F60"/>
    <mergeCell ref="D37:F37"/>
    <mergeCell ref="D38:E38"/>
    <mergeCell ref="D39:E39"/>
    <mergeCell ref="D16:F16"/>
    <mergeCell ref="D17:E17"/>
    <mergeCell ref="D18:F18"/>
    <mergeCell ref="D19:E19"/>
    <mergeCell ref="D20:F20"/>
    <mergeCell ref="D21:E21"/>
    <mergeCell ref="D22:E22"/>
    <mergeCell ref="D23:F23"/>
    <mergeCell ref="D24:E24"/>
    <mergeCell ref="D25:F25"/>
    <mergeCell ref="D26:E26"/>
    <mergeCell ref="D27:E27"/>
    <mergeCell ref="D28:F28"/>
    <mergeCell ref="D29:E29"/>
    <mergeCell ref="D30:F30"/>
    <mergeCell ref="D31:E31"/>
    <mergeCell ref="D32:E32"/>
    <mergeCell ref="D33:F33"/>
    <mergeCell ref="D34:E34"/>
    <mergeCell ref="D35:F35"/>
    <mergeCell ref="D36:E36"/>
    <mergeCell ref="D11:E11"/>
    <mergeCell ref="D12:E12"/>
    <mergeCell ref="D13:F13"/>
    <mergeCell ref="D14:E14"/>
    <mergeCell ref="D15:E15"/>
    <mergeCell ref="A1:H1"/>
    <mergeCell ref="A2:B3"/>
    <mergeCell ref="C2:D3"/>
    <mergeCell ref="E2:E3"/>
    <mergeCell ref="F2:H3"/>
    <mergeCell ref="A4:B5"/>
    <mergeCell ref="C4:D5"/>
    <mergeCell ref="E4:E5"/>
    <mergeCell ref="F4:H5"/>
    <mergeCell ref="A6:B7"/>
    <mergeCell ref="C6:D7"/>
    <mergeCell ref="E6:E7"/>
    <mergeCell ref="F6:H7"/>
    <mergeCell ref="A8:B9"/>
    <mergeCell ref="C8:D9"/>
    <mergeCell ref="E8:E9"/>
    <mergeCell ref="F8:H9"/>
    <mergeCell ref="D10:E10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43DE5-9095-4D72-9BF0-D865A9057AF1}">
  <sheetPr>
    <pageSetUpPr fitToPage="1"/>
  </sheetPr>
  <dimension ref="A1:J37"/>
  <sheetViews>
    <sheetView topLeftCell="A14"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rozpočet-SO10'!C2</f>
        <v>Snížení energetické.náročnosti objektů Domova Kladno-Švermov</v>
      </c>
      <c r="D2" s="291"/>
      <c r="E2" s="293" t="s">
        <v>1657</v>
      </c>
      <c r="F2" s="293" t="str">
        <f>'Stavební rozpočet-SO10'!I2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rozpočet-SO10'!C4</f>
        <v>SO 10 - OBJEKT 10 - č.p.1487</v>
      </c>
      <c r="D4" s="256"/>
      <c r="E4" s="255" t="s">
        <v>1658</v>
      </c>
      <c r="F4" s="255" t="str">
        <f>'Stavební rozpočet-SO10'!I4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rozpočet-SO10'!C6</f>
        <v xml:space="preserve"> </v>
      </c>
      <c r="D6" s="256"/>
      <c r="E6" s="255" t="s">
        <v>1659</v>
      </c>
      <c r="F6" s="255" t="str">
        <f>'Stavební rozpočet-SO10'!I6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199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rozpočet-SO10'!C8</f>
        <v xml:space="preserve"> </v>
      </c>
      <c r="D10" s="256"/>
      <c r="E10" s="255" t="s">
        <v>1660</v>
      </c>
      <c r="F10" s="255" t="str">
        <f>'Stavební rozpočet-SO10'!I8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rozpočet-SO10'!AB12:AB226)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rozpočet-SO10'!AC12:AC226)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rozpočet-SO10'!AD12:AD226)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rozpočet-SO10'!AE12:AE226)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rozpočet-SO10'!AF12:AF226)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rozpočet-SO10'!AG12:AG226)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rozpočet-SO10'!AH12:AH226)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rozpočet-SO10'!Z12:Z226)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rozpočet-SO10'!AJ12:AJ226)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rozpočet-SO10'!AK12:AK226)+(F22+I22+F23+I23+I24+I25)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rozpočet-SO10'!AL12:AL226)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dz5d1xarEgrWJDytyIbgkNLC+ZD/RzmQ4CiDZI2rNAEHbOJnyMSNRf7LsTLnqQDqFDUy/ftVd5YB0UeEoT6WoA==" saltValue="7APlx74OCKDyl2MPgJV7AQ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D727-3586-4ABC-AA61-3DA25B8EDAF0}">
  <sheetPr>
    <pageSetUpPr fitToPage="1"/>
  </sheetPr>
  <dimension ref="A1:I34"/>
  <sheetViews>
    <sheetView workbookViewId="0">
      <pane ySplit="10" topLeftCell="A11" activePane="bottomLeft" state="frozenSplit"/>
      <selection pane="bottomLeft" activeCell="C44" sqref="C44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rozpočet-SO10'!C2</f>
        <v>Snížení energetické.náročnosti objektů Domova Kladno-Švermov</v>
      </c>
      <c r="C2" s="291"/>
      <c r="D2" s="293" t="s">
        <v>1657</v>
      </c>
      <c r="E2" s="293" t="str">
        <f>'Stavební rozpočet-SO10'!I2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rozpočet-SO10'!C4</f>
        <v>SO 10 - OBJEKT 10 - č.p.1487</v>
      </c>
      <c r="C4" s="256"/>
      <c r="D4" s="255" t="s">
        <v>1658</v>
      </c>
      <c r="E4" s="255" t="str">
        <f>'Stavební rozpočet-SO10'!I4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rozpočet-SO10'!C6</f>
        <v xml:space="preserve"> </v>
      </c>
      <c r="C6" s="256"/>
      <c r="D6" s="255" t="s">
        <v>1659</v>
      </c>
      <c r="E6" s="255" t="str">
        <f>'Stavební rozpočet-SO10'!I6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rozpočet-SO10'!I8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19</v>
      </c>
      <c r="C11" s="297" t="s">
        <v>1061</v>
      </c>
      <c r="D11" s="298"/>
      <c r="E11" s="101">
        <f>'Stavební rozpočet-SO10'!I12</f>
        <v>0</v>
      </c>
      <c r="F11" s="101">
        <f>'Stavební rozpočet-SO10'!J12</f>
        <v>0</v>
      </c>
      <c r="G11" s="101">
        <f>'Stavební rozpočet-SO10'!K12</f>
        <v>0</v>
      </c>
      <c r="H11" s="100" t="s">
        <v>1747</v>
      </c>
      <c r="I11" s="100">
        <f t="shared" ref="I11:I32" si="0">IF(H11="F",0,G11)</f>
        <v>0</v>
      </c>
    </row>
    <row r="12" spans="1:9" x14ac:dyDescent="0.2">
      <c r="A12" s="96"/>
      <c r="B12" s="96" t="s">
        <v>22</v>
      </c>
      <c r="C12" s="282" t="s">
        <v>1066</v>
      </c>
      <c r="D12" s="256"/>
      <c r="E12" s="100">
        <f>'Stavební rozpočet-SO10'!I14</f>
        <v>0</v>
      </c>
      <c r="F12" s="100">
        <f>'Stavební rozpočet-SO10'!J14</f>
        <v>0</v>
      </c>
      <c r="G12" s="100">
        <f>'Stavební rozpočet-SO10'!K14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23</v>
      </c>
      <c r="C13" s="282" t="s">
        <v>1070</v>
      </c>
      <c r="D13" s="256"/>
      <c r="E13" s="100">
        <f>'Stavební rozpočet-SO10'!I18</f>
        <v>0</v>
      </c>
      <c r="F13" s="100">
        <f>'Stavební rozpočet-SO10'!J18</f>
        <v>0</v>
      </c>
      <c r="G13" s="100">
        <f>'Stavební rozpočet-SO10'!K18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24</v>
      </c>
      <c r="C14" s="282" t="s">
        <v>1076</v>
      </c>
      <c r="D14" s="256"/>
      <c r="E14" s="100">
        <f>'Stavební rozpočet-SO10'!I21</f>
        <v>0</v>
      </c>
      <c r="F14" s="100">
        <f>'Stavební rozpočet-SO10'!J21</f>
        <v>0</v>
      </c>
      <c r="G14" s="100">
        <f>'Stavební rozpočet-SO10'!K21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37</v>
      </c>
      <c r="C15" s="282" t="s">
        <v>1084</v>
      </c>
      <c r="D15" s="256"/>
      <c r="E15" s="100">
        <f>'Stavební rozpočet-SO10'!I23</f>
        <v>0</v>
      </c>
      <c r="F15" s="100">
        <f>'Stavební rozpočet-SO10'!J23</f>
        <v>0</v>
      </c>
      <c r="G15" s="100">
        <f>'Stavební rozpočet-SO10'!K23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67</v>
      </c>
      <c r="C16" s="282" t="s">
        <v>1097</v>
      </c>
      <c r="D16" s="256"/>
      <c r="E16" s="100">
        <f>'Stavební rozpočet-SO10'!I26</f>
        <v>0</v>
      </c>
      <c r="F16" s="100">
        <f>'Stavební rozpočet-SO10'!J26</f>
        <v>0</v>
      </c>
      <c r="G16" s="100">
        <f>'Stavební rozpočet-SO10'!K26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68</v>
      </c>
      <c r="C17" s="282" t="s">
        <v>1104</v>
      </c>
      <c r="D17" s="256"/>
      <c r="E17" s="100">
        <f>'Stavební rozpočet-SO10'!I30</f>
        <v>0</v>
      </c>
      <c r="F17" s="100">
        <f>'Stavební rozpočet-SO10'!J30</f>
        <v>0</v>
      </c>
      <c r="G17" s="100">
        <f>'Stavební rozpočet-SO10'!K30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100</v>
      </c>
      <c r="C18" s="282" t="s">
        <v>1139</v>
      </c>
      <c r="D18" s="256"/>
      <c r="E18" s="100">
        <f>'Stavební rozpočet-SO10'!I46</f>
        <v>0</v>
      </c>
      <c r="F18" s="100">
        <f>'Stavební rozpočet-SO10'!J46</f>
        <v>0</v>
      </c>
      <c r="G18" s="100">
        <f>'Stavební rozpočet-SO10'!K46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101</v>
      </c>
      <c r="C19" s="282" t="s">
        <v>1147</v>
      </c>
      <c r="D19" s="256"/>
      <c r="E19" s="100">
        <f>'Stavební rozpočet-SO10'!I53</f>
        <v>0</v>
      </c>
      <c r="F19" s="100">
        <f>'Stavební rozpočet-SO10'!J53</f>
        <v>0</v>
      </c>
      <c r="G19" s="100">
        <f>'Stavební rozpočet-SO10'!K53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102</v>
      </c>
      <c r="C20" s="282" t="s">
        <v>1158</v>
      </c>
      <c r="D20" s="256"/>
      <c r="E20" s="100">
        <f>'Stavební rozpočet-SO10'!I58</f>
        <v>0</v>
      </c>
      <c r="F20" s="100">
        <f>'Stavební rozpočet-SO10'!J58</f>
        <v>0</v>
      </c>
      <c r="G20" s="100">
        <f>'Stavební rozpočet-SO10'!K58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103</v>
      </c>
      <c r="C21" s="282" t="s">
        <v>1178</v>
      </c>
      <c r="D21" s="256"/>
      <c r="E21" s="100">
        <f>'Stavební rozpočet-SO10'!I64</f>
        <v>0</v>
      </c>
      <c r="F21" s="100">
        <f>'Stavební rozpočet-SO10'!J64</f>
        <v>0</v>
      </c>
      <c r="G21" s="100">
        <f>'Stavební rozpočet-SO10'!K64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686</v>
      </c>
      <c r="C22" s="282" t="s">
        <v>1198</v>
      </c>
      <c r="D22" s="256"/>
      <c r="E22" s="100">
        <f>'Stavební rozpočet-SO10'!I77</f>
        <v>0</v>
      </c>
      <c r="F22" s="100">
        <f>'Stavební rozpočet-SO10'!J77</f>
        <v>0</v>
      </c>
      <c r="G22" s="100">
        <f>'Stavební rozpočet-SO10'!K77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703</v>
      </c>
      <c r="C23" s="282" t="s">
        <v>1215</v>
      </c>
      <c r="D23" s="256"/>
      <c r="E23" s="100">
        <f>'Stavební rozpočet-SO10'!I88</f>
        <v>0</v>
      </c>
      <c r="F23" s="100">
        <f>'Stavební rozpočet-SO10'!J88</f>
        <v>0</v>
      </c>
      <c r="G23" s="100">
        <f>'Stavební rozpočet-SO10'!K88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744</v>
      </c>
      <c r="C24" s="282" t="s">
        <v>1256</v>
      </c>
      <c r="D24" s="256"/>
      <c r="E24" s="100">
        <f>'Stavební rozpočet-SO10'!I90</f>
        <v>0</v>
      </c>
      <c r="F24" s="100">
        <f>'Stavební rozpočet-SO10'!J90</f>
        <v>0</v>
      </c>
      <c r="G24" s="100">
        <f>'Stavební rozpočet-SO10'!K90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771</v>
      </c>
      <c r="C25" s="282" t="s">
        <v>1283</v>
      </c>
      <c r="D25" s="256"/>
      <c r="E25" s="100">
        <f>'Stavební rozpočet-SO10'!I104</f>
        <v>0</v>
      </c>
      <c r="F25" s="100">
        <f>'Stavební rozpočet-SO10'!J104</f>
        <v>0</v>
      </c>
      <c r="G25" s="100">
        <f>'Stavební rozpočet-SO10'!K104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772</v>
      </c>
      <c r="C26" s="282" t="s">
        <v>1355</v>
      </c>
      <c r="D26" s="256"/>
      <c r="E26" s="100">
        <f>'Stavební rozpočet-SO10'!I141</f>
        <v>0</v>
      </c>
      <c r="F26" s="100">
        <f>'Stavební rozpočet-SO10'!J141</f>
        <v>0</v>
      </c>
      <c r="G26" s="100">
        <f>'Stavební rozpočet-SO10'!K141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798</v>
      </c>
      <c r="C27" s="282" t="s">
        <v>1379</v>
      </c>
      <c r="D27" s="256"/>
      <c r="E27" s="100">
        <f>'Stavební rozpočet-SO10'!I160</f>
        <v>0</v>
      </c>
      <c r="F27" s="100">
        <f>'Stavební rozpočet-SO10'!J160</f>
        <v>0</v>
      </c>
      <c r="G27" s="100">
        <f>'Stavební rozpočet-SO10'!K160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907</v>
      </c>
      <c r="C28" s="282" t="s">
        <v>1496</v>
      </c>
      <c r="D28" s="256"/>
      <c r="E28" s="100">
        <f>'Stavební rozpočet-SO10'!I184</f>
        <v>0</v>
      </c>
      <c r="F28" s="100">
        <f>'Stavební rozpočet-SO10'!J184</f>
        <v>0</v>
      </c>
      <c r="G28" s="100">
        <f>'Stavební rozpočet-SO10'!K184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922</v>
      </c>
      <c r="C29" s="282" t="s">
        <v>1511</v>
      </c>
      <c r="D29" s="256"/>
      <c r="E29" s="100">
        <f>'Stavební rozpočet-SO10'!I187</f>
        <v>0</v>
      </c>
      <c r="F29" s="100">
        <f>'Stavební rozpočet-SO10'!J187</f>
        <v>0</v>
      </c>
      <c r="G29" s="100">
        <f>'Stavební rozpočet-SO10'!K187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930</v>
      </c>
      <c r="C30" s="282" t="s">
        <v>1519</v>
      </c>
      <c r="D30" s="256"/>
      <c r="E30" s="100">
        <f>'Stavební rozpočet-SO10'!I195</f>
        <v>0</v>
      </c>
      <c r="F30" s="100">
        <f>'Stavební rozpočet-SO10'!J195</f>
        <v>0</v>
      </c>
      <c r="G30" s="100">
        <f>'Stavební rozpočet-SO10'!K195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936</v>
      </c>
      <c r="C31" s="282" t="s">
        <v>1525</v>
      </c>
      <c r="D31" s="256"/>
      <c r="E31" s="100">
        <f>'Stavební rozpočet-SO10'!I200</f>
        <v>0</v>
      </c>
      <c r="F31" s="100">
        <f>'Stavební rozpočet-SO10'!J200</f>
        <v>0</v>
      </c>
      <c r="G31" s="100">
        <f>'Stavební rozpočet-SO10'!K200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1039</v>
      </c>
      <c r="C32" s="282" t="s">
        <v>1631</v>
      </c>
      <c r="D32" s="256"/>
      <c r="E32" s="100">
        <f>'Stavební rozpočet-SO10'!I220</f>
        <v>0</v>
      </c>
      <c r="F32" s="100">
        <f>'Stavební rozpočet-SO10'!J220</f>
        <v>0</v>
      </c>
      <c r="G32" s="100">
        <f>'Stavební rozpočet-SO10'!K220</f>
        <v>0</v>
      </c>
      <c r="H32" s="100" t="s">
        <v>1747</v>
      </c>
      <c r="I32" s="100">
        <f t="shared" si="0"/>
        <v>0</v>
      </c>
    </row>
    <row r="34" spans="6:7" x14ac:dyDescent="0.2">
      <c r="F34" s="99" t="s">
        <v>1666</v>
      </c>
      <c r="G34" s="98">
        <f>SUM(I11:I32)</f>
        <v>0</v>
      </c>
    </row>
  </sheetData>
  <sheetProtection algorithmName="SHA-512" hashValue="vNzFPZAMG1s8ZL7SUiIiHhmHu2ZuXU3gnbFI3KWIfDkWg6+e5mpBqqrHtEqLbZQBnzK1Dye28RfKahKb94UJxA==" saltValue="b1Yw1Lb34I2GP93WZXT6TQ==" spinCount="100000" sheet="1" objects="1" scenarios="1"/>
  <mergeCells count="40">
    <mergeCell ref="C28:D28"/>
    <mergeCell ref="C29:D29"/>
    <mergeCell ref="C30:D30"/>
    <mergeCell ref="C31:D31"/>
    <mergeCell ref="C32:D32"/>
    <mergeCell ref="C11:D11"/>
    <mergeCell ref="C12:D12"/>
    <mergeCell ref="C13:D13"/>
    <mergeCell ref="C14:D14"/>
    <mergeCell ref="C15:D15"/>
    <mergeCell ref="C27:D27"/>
    <mergeCell ref="C16:D16"/>
    <mergeCell ref="C17:D17"/>
    <mergeCell ref="C18:D18"/>
    <mergeCell ref="C19:D19"/>
    <mergeCell ref="C20:D20"/>
    <mergeCell ref="C26:D26"/>
    <mergeCell ref="C21:D21"/>
    <mergeCell ref="C22:D22"/>
    <mergeCell ref="C23:D23"/>
    <mergeCell ref="C24:D24"/>
    <mergeCell ref="C25:D25"/>
    <mergeCell ref="C10:D10"/>
    <mergeCell ref="A4:A5"/>
    <mergeCell ref="B4:C5"/>
    <mergeCell ref="D4:D5"/>
    <mergeCell ref="E4:G5"/>
    <mergeCell ref="A6:A7"/>
    <mergeCell ref="B6:C7"/>
    <mergeCell ref="D6:D7"/>
    <mergeCell ref="E6:G7"/>
    <mergeCell ref="A8:A9"/>
    <mergeCell ref="B8:C9"/>
    <mergeCell ref="D8:D9"/>
    <mergeCell ref="E8:G9"/>
    <mergeCell ref="A1:G1"/>
    <mergeCell ref="A2:A3"/>
    <mergeCell ref="B2:C3"/>
    <mergeCell ref="D2:D3"/>
    <mergeCell ref="E2:G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75787-4BB4-4C03-8E83-1F83FBD85EA7}">
  <sheetPr>
    <pageSetUpPr fitToPage="1"/>
  </sheetPr>
  <dimension ref="A1:BJ229"/>
  <sheetViews>
    <sheetView workbookViewId="0">
      <pane ySplit="11" topLeftCell="A202" activePane="bottomLeft" state="frozenSplit"/>
      <selection activeCell="A2" sqref="A2:A3"/>
      <selection pane="bottomLeft" activeCell="H210" sqref="H210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4.2851562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4593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19</v>
      </c>
      <c r="C12" s="322" t="s">
        <v>1061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SUM(I13:I13)</f>
        <v>0</v>
      </c>
      <c r="J12" s="127">
        <f>SUM(J13:J13)</f>
        <v>0</v>
      </c>
      <c r="K12" s="127">
        <f>SUM(K13:K13)</f>
        <v>0</v>
      </c>
      <c r="L12" s="126"/>
      <c r="AI12" s="109"/>
      <c r="AS12" s="118">
        <f>SUM(AJ13:AJ13)</f>
        <v>0</v>
      </c>
      <c r="AT12" s="118">
        <f>SUM(AK13:AK13)</f>
        <v>0</v>
      </c>
      <c r="AU12" s="118">
        <f>SUM(AL13:AL13)</f>
        <v>0</v>
      </c>
    </row>
    <row r="13" spans="1:62" x14ac:dyDescent="0.2">
      <c r="A13" s="117" t="s">
        <v>7</v>
      </c>
      <c r="B13" s="117" t="s">
        <v>580</v>
      </c>
      <c r="C13" s="304" t="s">
        <v>4434</v>
      </c>
      <c r="D13" s="305"/>
      <c r="E13" s="305"/>
      <c r="F13" s="117" t="s">
        <v>1647</v>
      </c>
      <c r="G13" s="116">
        <v>1.56</v>
      </c>
      <c r="H13" s="159"/>
      <c r="I13" s="108">
        <f>G13*AO13</f>
        <v>0</v>
      </c>
      <c r="J13" s="108">
        <f>G13*AP13</f>
        <v>0</v>
      </c>
      <c r="K13" s="108">
        <f>G13*H13</f>
        <v>0</v>
      </c>
      <c r="L13" s="111" t="s">
        <v>1671</v>
      </c>
      <c r="Z13" s="100">
        <f>IF(AQ13="5",BJ13,0)</f>
        <v>0</v>
      </c>
      <c r="AB13" s="100">
        <f>IF(AQ13="1",BH13,0)</f>
        <v>0</v>
      </c>
      <c r="AC13" s="100">
        <f>IF(AQ13="1",BI13,0)</f>
        <v>0</v>
      </c>
      <c r="AD13" s="100">
        <f>IF(AQ13="7",BH13,0)</f>
        <v>0</v>
      </c>
      <c r="AE13" s="100">
        <f>IF(AQ13="7",BI13,0)</f>
        <v>0</v>
      </c>
      <c r="AF13" s="100">
        <f>IF(AQ13="2",BH13,0)</f>
        <v>0</v>
      </c>
      <c r="AG13" s="100">
        <f>IF(AQ13="2",BI13,0)</f>
        <v>0</v>
      </c>
      <c r="AH13" s="100">
        <f>IF(AQ13="0",BJ13,0)</f>
        <v>0</v>
      </c>
      <c r="AI13" s="109"/>
      <c r="AJ13" s="108">
        <f>IF(AN13=0,K13,0)</f>
        <v>0</v>
      </c>
      <c r="AK13" s="108">
        <f>IF(AN13=15,K13,0)</f>
        <v>0</v>
      </c>
      <c r="AL13" s="108">
        <f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>AW13+AX13</f>
        <v>0</v>
      </c>
      <c r="AW13" s="100">
        <f>G13*AO13</f>
        <v>0</v>
      </c>
      <c r="AX13" s="100">
        <f>G13*AP13</f>
        <v>0</v>
      </c>
      <c r="AY13" s="110" t="s">
        <v>1683</v>
      </c>
      <c r="AZ13" s="110" t="s">
        <v>1724</v>
      </c>
      <c r="BA13" s="109" t="s">
        <v>1737</v>
      </c>
      <c r="BC13" s="100">
        <f>AW13+AX13</f>
        <v>0</v>
      </c>
      <c r="BD13" s="100">
        <f>H13/(100-BE13)*100</f>
        <v>0</v>
      </c>
      <c r="BE13" s="100">
        <v>0</v>
      </c>
      <c r="BF13" s="100">
        <f>13</f>
        <v>13</v>
      </c>
      <c r="BH13" s="108">
        <f>G13*AO13</f>
        <v>0</v>
      </c>
      <c r="BI13" s="108">
        <f>G13*AP13</f>
        <v>0</v>
      </c>
      <c r="BJ13" s="108">
        <f>G13*H13</f>
        <v>0</v>
      </c>
    </row>
    <row r="14" spans="1:62" x14ac:dyDescent="0.2">
      <c r="A14" s="119"/>
      <c r="B14" s="120" t="s">
        <v>22</v>
      </c>
      <c r="C14" s="306" t="s">
        <v>1066</v>
      </c>
      <c r="D14" s="307"/>
      <c r="E14" s="307"/>
      <c r="F14" s="119" t="s">
        <v>6</v>
      </c>
      <c r="G14" s="119" t="s">
        <v>6</v>
      </c>
      <c r="H14" s="119" t="s">
        <v>6</v>
      </c>
      <c r="I14" s="118">
        <f>SUM(I15:I17)</f>
        <v>0</v>
      </c>
      <c r="J14" s="118">
        <f>SUM(J15:J17)</f>
        <v>0</v>
      </c>
      <c r="K14" s="118">
        <f>SUM(K15:K17)</f>
        <v>0</v>
      </c>
      <c r="L14" s="109"/>
      <c r="AI14" s="109"/>
      <c r="AS14" s="118">
        <f>SUM(AJ15:AJ17)</f>
        <v>0</v>
      </c>
      <c r="AT14" s="118">
        <f>SUM(AK15:AK17)</f>
        <v>0</v>
      </c>
      <c r="AU14" s="118">
        <f>SUM(AL15:AL17)</f>
        <v>0</v>
      </c>
    </row>
    <row r="15" spans="1:62" x14ac:dyDescent="0.2">
      <c r="A15" s="117" t="s">
        <v>8</v>
      </c>
      <c r="B15" s="117" t="s">
        <v>581</v>
      </c>
      <c r="C15" s="304" t="s">
        <v>1067</v>
      </c>
      <c r="D15" s="305"/>
      <c r="E15" s="305"/>
      <c r="F15" s="117" t="s">
        <v>1647</v>
      </c>
      <c r="G15" s="116">
        <v>0.156</v>
      </c>
      <c r="H15" s="159"/>
      <c r="I15" s="108">
        <f>G15*AO15</f>
        <v>0</v>
      </c>
      <c r="J15" s="108">
        <f>G15*AP15</f>
        <v>0</v>
      </c>
      <c r="K15" s="108">
        <f>G15*H15</f>
        <v>0</v>
      </c>
      <c r="L15" s="111" t="s">
        <v>1671</v>
      </c>
      <c r="Z15" s="100">
        <f>IF(AQ15="5",BJ15,0)</f>
        <v>0</v>
      </c>
      <c r="AB15" s="100">
        <f>IF(AQ15="1",BH15,0)</f>
        <v>0</v>
      </c>
      <c r="AC15" s="100">
        <f>IF(AQ15="1",BI15,0)</f>
        <v>0</v>
      </c>
      <c r="AD15" s="100">
        <f>IF(AQ15="7",BH15,0)</f>
        <v>0</v>
      </c>
      <c r="AE15" s="100">
        <f>IF(AQ15="7",BI15,0)</f>
        <v>0</v>
      </c>
      <c r="AF15" s="100">
        <f>IF(AQ15="2",BH15,0)</f>
        <v>0</v>
      </c>
      <c r="AG15" s="100">
        <f>IF(AQ15="2",BI15,0)</f>
        <v>0</v>
      </c>
      <c r="AH15" s="100">
        <f>IF(AQ15="0",BJ15,0)</f>
        <v>0</v>
      </c>
      <c r="AI15" s="109"/>
      <c r="AJ15" s="108">
        <f>IF(AN15=0,K15,0)</f>
        <v>0</v>
      </c>
      <c r="AK15" s="108">
        <f>IF(AN15=15,K15,0)</f>
        <v>0</v>
      </c>
      <c r="AL15" s="108">
        <f>IF(AN15=21,K15,0)</f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>AW15+AX15</f>
        <v>0</v>
      </c>
      <c r="AW15" s="100">
        <f>G15*AO15</f>
        <v>0</v>
      </c>
      <c r="AX15" s="100">
        <f>G15*AP15</f>
        <v>0</v>
      </c>
      <c r="AY15" s="110" t="s">
        <v>1684</v>
      </c>
      <c r="AZ15" s="110" t="s">
        <v>1724</v>
      </c>
      <c r="BA15" s="109" t="s">
        <v>1737</v>
      </c>
      <c r="BC15" s="100">
        <f>AW15+AX15</f>
        <v>0</v>
      </c>
      <c r="BD15" s="100">
        <f>H15/(100-BE15)*100</f>
        <v>0</v>
      </c>
      <c r="BE15" s="100">
        <v>0</v>
      </c>
      <c r="BF15" s="100">
        <f>15</f>
        <v>15</v>
      </c>
      <c r="BH15" s="108">
        <f>G15*AO15</f>
        <v>0</v>
      </c>
      <c r="BI15" s="108">
        <f>G15*AP15</f>
        <v>0</v>
      </c>
      <c r="BJ15" s="108">
        <f>G15*H15</f>
        <v>0</v>
      </c>
    </row>
    <row r="16" spans="1:62" x14ac:dyDescent="0.2">
      <c r="A16" s="117" t="s">
        <v>9</v>
      </c>
      <c r="B16" s="117" t="s">
        <v>582</v>
      </c>
      <c r="C16" s="304" t="s">
        <v>1068</v>
      </c>
      <c r="D16" s="305"/>
      <c r="E16" s="305"/>
      <c r="F16" s="117" t="s">
        <v>1648</v>
      </c>
      <c r="G16" s="116">
        <v>0.27300000000000002</v>
      </c>
      <c r="H16" s="159"/>
      <c r="I16" s="108">
        <f>G16*AO16</f>
        <v>0</v>
      </c>
      <c r="J16" s="108">
        <f>G16*AP16</f>
        <v>0</v>
      </c>
      <c r="K16" s="108">
        <f>G16*H16</f>
        <v>0</v>
      </c>
      <c r="L16" s="111" t="s">
        <v>1671</v>
      </c>
      <c r="Z16" s="100">
        <f>IF(AQ16="5",BJ16,0)</f>
        <v>0</v>
      </c>
      <c r="AB16" s="100">
        <f>IF(AQ16="1",BH16,0)</f>
        <v>0</v>
      </c>
      <c r="AC16" s="100">
        <f>IF(AQ16="1",BI16,0)</f>
        <v>0</v>
      </c>
      <c r="AD16" s="100">
        <f>IF(AQ16="7",BH16,0)</f>
        <v>0</v>
      </c>
      <c r="AE16" s="100">
        <f>IF(AQ16="7",BI16,0)</f>
        <v>0</v>
      </c>
      <c r="AF16" s="100">
        <f>IF(AQ16="2",BH16,0)</f>
        <v>0</v>
      </c>
      <c r="AG16" s="100">
        <f>IF(AQ16="2",BI16,0)</f>
        <v>0</v>
      </c>
      <c r="AH16" s="100">
        <f>IF(AQ16="0",BJ16,0)</f>
        <v>0</v>
      </c>
      <c r="AI16" s="109"/>
      <c r="AJ16" s="108">
        <f>IF(AN16=0,K16,0)</f>
        <v>0</v>
      </c>
      <c r="AK16" s="108">
        <f>IF(AN16=15,K16,0)</f>
        <v>0</v>
      </c>
      <c r="AL16" s="108">
        <f>IF(AN16=21,K16,0)</f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>AW16+AX16</f>
        <v>0</v>
      </c>
      <c r="AW16" s="100">
        <f>G16*AO16</f>
        <v>0</v>
      </c>
      <c r="AX16" s="100">
        <f>G16*AP16</f>
        <v>0</v>
      </c>
      <c r="AY16" s="110" t="s">
        <v>1684</v>
      </c>
      <c r="AZ16" s="110" t="s">
        <v>1724</v>
      </c>
      <c r="BA16" s="109" t="s">
        <v>1737</v>
      </c>
      <c r="BC16" s="100">
        <f>AW16+AX16</f>
        <v>0</v>
      </c>
      <c r="BD16" s="100">
        <f>H16/(100-BE16)*100</f>
        <v>0</v>
      </c>
      <c r="BE16" s="100">
        <v>0</v>
      </c>
      <c r="BF16" s="100">
        <f>16</f>
        <v>16</v>
      </c>
      <c r="BH16" s="108">
        <f>G16*AO16</f>
        <v>0</v>
      </c>
      <c r="BI16" s="108">
        <f>G16*AP16</f>
        <v>0</v>
      </c>
      <c r="BJ16" s="108">
        <f>G16*H16</f>
        <v>0</v>
      </c>
    </row>
    <row r="17" spans="1:62" x14ac:dyDescent="0.2">
      <c r="A17" s="117" t="s">
        <v>10</v>
      </c>
      <c r="B17" s="117" t="s">
        <v>583</v>
      </c>
      <c r="C17" s="304" t="s">
        <v>1069</v>
      </c>
      <c r="D17" s="305"/>
      <c r="E17" s="305"/>
      <c r="F17" s="117" t="s">
        <v>1647</v>
      </c>
      <c r="G17" s="116">
        <v>0.156</v>
      </c>
      <c r="H17" s="159"/>
      <c r="I17" s="108">
        <f>G17*AO17</f>
        <v>0</v>
      </c>
      <c r="J17" s="108">
        <f>G17*AP17</f>
        <v>0</v>
      </c>
      <c r="K17" s="108">
        <f>G17*H17</f>
        <v>0</v>
      </c>
      <c r="L17" s="111" t="s">
        <v>1671</v>
      </c>
      <c r="Z17" s="100">
        <f>IF(AQ17="5",BJ17,0)</f>
        <v>0</v>
      </c>
      <c r="AB17" s="100">
        <f>IF(AQ17="1",BH17,0)</f>
        <v>0</v>
      </c>
      <c r="AC17" s="100">
        <f>IF(AQ17="1",BI17,0)</f>
        <v>0</v>
      </c>
      <c r="AD17" s="100">
        <f>IF(AQ17="7",BH17,0)</f>
        <v>0</v>
      </c>
      <c r="AE17" s="100">
        <f>IF(AQ17="7",BI17,0)</f>
        <v>0</v>
      </c>
      <c r="AF17" s="100">
        <f>IF(AQ17="2",BH17,0)</f>
        <v>0</v>
      </c>
      <c r="AG17" s="100">
        <f>IF(AQ17="2",BI17,0)</f>
        <v>0</v>
      </c>
      <c r="AH17" s="100">
        <f>IF(AQ17="0",BJ17,0)</f>
        <v>0</v>
      </c>
      <c r="AI17" s="109"/>
      <c r="AJ17" s="108">
        <f>IF(AN17=0,K17,0)</f>
        <v>0</v>
      </c>
      <c r="AK17" s="108">
        <f>IF(AN17=15,K17,0)</f>
        <v>0</v>
      </c>
      <c r="AL17" s="108">
        <f>IF(AN17=21,K17,0)</f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>AW17+AX17</f>
        <v>0</v>
      </c>
      <c r="AW17" s="100">
        <f>G17*AO17</f>
        <v>0</v>
      </c>
      <c r="AX17" s="100">
        <f>G17*AP17</f>
        <v>0</v>
      </c>
      <c r="AY17" s="110" t="s">
        <v>1684</v>
      </c>
      <c r="AZ17" s="110" t="s">
        <v>1724</v>
      </c>
      <c r="BA17" s="109" t="s">
        <v>1737</v>
      </c>
      <c r="BC17" s="100">
        <f>AW17+AX17</f>
        <v>0</v>
      </c>
      <c r="BD17" s="100">
        <f>H17/(100-BE17)*100</f>
        <v>0</v>
      </c>
      <c r="BE17" s="100">
        <v>0</v>
      </c>
      <c r="BF17" s="100">
        <f>17</f>
        <v>17</v>
      </c>
      <c r="BH17" s="108">
        <f>G17*AO17</f>
        <v>0</v>
      </c>
      <c r="BI17" s="108">
        <f>G17*AP17</f>
        <v>0</v>
      </c>
      <c r="BJ17" s="108">
        <f>G17*H17</f>
        <v>0</v>
      </c>
    </row>
    <row r="18" spans="1:62" x14ac:dyDescent="0.2">
      <c r="A18" s="119"/>
      <c r="B18" s="120" t="s">
        <v>23</v>
      </c>
      <c r="C18" s="306" t="s">
        <v>1070</v>
      </c>
      <c r="D18" s="307"/>
      <c r="E18" s="307"/>
      <c r="F18" s="119" t="s">
        <v>6</v>
      </c>
      <c r="G18" s="119" t="s">
        <v>6</v>
      </c>
      <c r="H18" s="119" t="s">
        <v>6</v>
      </c>
      <c r="I18" s="118">
        <f>SUM(I19:I20)</f>
        <v>0</v>
      </c>
      <c r="J18" s="118">
        <f>SUM(J19:J20)</f>
        <v>0</v>
      </c>
      <c r="K18" s="118">
        <f>SUM(K19:K20)</f>
        <v>0</v>
      </c>
      <c r="L18" s="109"/>
      <c r="AI18" s="109"/>
      <c r="AS18" s="118">
        <f>SUM(AJ19:AJ20)</f>
        <v>0</v>
      </c>
      <c r="AT18" s="118">
        <f>SUM(AK19:AK20)</f>
        <v>0</v>
      </c>
      <c r="AU18" s="118">
        <f>SUM(AL19:AL20)</f>
        <v>0</v>
      </c>
    </row>
    <row r="19" spans="1:62" x14ac:dyDescent="0.2">
      <c r="A19" s="117" t="s">
        <v>11</v>
      </c>
      <c r="B19" s="117" t="s">
        <v>584</v>
      </c>
      <c r="C19" s="304" t="s">
        <v>1071</v>
      </c>
      <c r="D19" s="305"/>
      <c r="E19" s="305"/>
      <c r="F19" s="117" t="s">
        <v>1647</v>
      </c>
      <c r="G19" s="116">
        <v>0.156</v>
      </c>
      <c r="H19" s="159"/>
      <c r="I19" s="108">
        <f>G19*AO19</f>
        <v>0</v>
      </c>
      <c r="J19" s="108">
        <f>G19*AP19</f>
        <v>0</v>
      </c>
      <c r="K19" s="108">
        <f>G19*H19</f>
        <v>0</v>
      </c>
      <c r="L19" s="111" t="s">
        <v>1671</v>
      </c>
      <c r="Z19" s="100">
        <f>IF(AQ19="5",BJ19,0)</f>
        <v>0</v>
      </c>
      <c r="AB19" s="100">
        <f>IF(AQ19="1",BH19,0)</f>
        <v>0</v>
      </c>
      <c r="AC19" s="100">
        <f>IF(AQ19="1",BI19,0)</f>
        <v>0</v>
      </c>
      <c r="AD19" s="100">
        <f>IF(AQ19="7",BH19,0)</f>
        <v>0</v>
      </c>
      <c r="AE19" s="100">
        <f>IF(AQ19="7",BI19,0)</f>
        <v>0</v>
      </c>
      <c r="AF19" s="100">
        <f>IF(AQ19="2",BH19,0)</f>
        <v>0</v>
      </c>
      <c r="AG19" s="100">
        <f>IF(AQ19="2",BI19,0)</f>
        <v>0</v>
      </c>
      <c r="AH19" s="100">
        <f>IF(AQ19="0",BJ19,0)</f>
        <v>0</v>
      </c>
      <c r="AI19" s="109"/>
      <c r="AJ19" s="108">
        <f>IF(AN19=0,K19,0)</f>
        <v>0</v>
      </c>
      <c r="AK19" s="108">
        <f>IF(AN19=15,K19,0)</f>
        <v>0</v>
      </c>
      <c r="AL19" s="108">
        <f>IF(AN19=21,K19,0)</f>
        <v>0</v>
      </c>
      <c r="AN19" s="100">
        <v>15</v>
      </c>
      <c r="AO19" s="100">
        <f>H19*0</f>
        <v>0</v>
      </c>
      <c r="AP19" s="100">
        <f>H19*(1-0)</f>
        <v>0</v>
      </c>
      <c r="AQ19" s="111" t="s">
        <v>7</v>
      </c>
      <c r="AV19" s="100">
        <f>AW19+AX19</f>
        <v>0</v>
      </c>
      <c r="AW19" s="100">
        <f>G19*AO19</f>
        <v>0</v>
      </c>
      <c r="AX19" s="100">
        <f>G19*AP19</f>
        <v>0</v>
      </c>
      <c r="AY19" s="110" t="s">
        <v>1685</v>
      </c>
      <c r="AZ19" s="110" t="s">
        <v>1724</v>
      </c>
      <c r="BA19" s="109" t="s">
        <v>1737</v>
      </c>
      <c r="BC19" s="100">
        <f>AW19+AX19</f>
        <v>0</v>
      </c>
      <c r="BD19" s="100">
        <f>H19/(100-BE19)*100</f>
        <v>0</v>
      </c>
      <c r="BE19" s="100">
        <v>0</v>
      </c>
      <c r="BF19" s="100">
        <f>19</f>
        <v>19</v>
      </c>
      <c r="BH19" s="108">
        <f>G19*AO19</f>
        <v>0</v>
      </c>
      <c r="BI19" s="108">
        <f>G19*AP19</f>
        <v>0</v>
      </c>
      <c r="BJ19" s="108">
        <f>G19*H19</f>
        <v>0</v>
      </c>
    </row>
    <row r="20" spans="1:62" x14ac:dyDescent="0.2">
      <c r="A20" s="117" t="s">
        <v>12</v>
      </c>
      <c r="B20" s="117" t="s">
        <v>586</v>
      </c>
      <c r="C20" s="304" t="s">
        <v>4433</v>
      </c>
      <c r="D20" s="305"/>
      <c r="E20" s="305"/>
      <c r="F20" s="117" t="s">
        <v>1647</v>
      </c>
      <c r="G20" s="116">
        <v>1.4039999999999999</v>
      </c>
      <c r="H20" s="159"/>
      <c r="I20" s="108">
        <f>G20*AO20</f>
        <v>0</v>
      </c>
      <c r="J20" s="108">
        <f>G20*AP20</f>
        <v>0</v>
      </c>
      <c r="K20" s="108">
        <f>G20*H20</f>
        <v>0</v>
      </c>
      <c r="L20" s="111" t="s">
        <v>1671</v>
      </c>
      <c r="Z20" s="100">
        <f>IF(AQ20="5",BJ20,0)</f>
        <v>0</v>
      </c>
      <c r="AB20" s="100">
        <f>IF(AQ20="1",BH20,0)</f>
        <v>0</v>
      </c>
      <c r="AC20" s="100">
        <f>IF(AQ20="1",BI20,0)</f>
        <v>0</v>
      </c>
      <c r="AD20" s="100">
        <f>IF(AQ20="7",BH20,0)</f>
        <v>0</v>
      </c>
      <c r="AE20" s="100">
        <f>IF(AQ20="7",BI20,0)</f>
        <v>0</v>
      </c>
      <c r="AF20" s="100">
        <f>IF(AQ20="2",BH20,0)</f>
        <v>0</v>
      </c>
      <c r="AG20" s="100">
        <f>IF(AQ20="2",BI20,0)</f>
        <v>0</v>
      </c>
      <c r="AH20" s="100">
        <f>IF(AQ20="0",BJ20,0)</f>
        <v>0</v>
      </c>
      <c r="AI20" s="109"/>
      <c r="AJ20" s="108">
        <f>IF(AN20=0,K20,0)</f>
        <v>0</v>
      </c>
      <c r="AK20" s="108">
        <f>IF(AN20=15,K20,0)</f>
        <v>0</v>
      </c>
      <c r="AL20" s="108">
        <f>IF(AN20=21,K20,0)</f>
        <v>0</v>
      </c>
      <c r="AN20" s="100">
        <v>15</v>
      </c>
      <c r="AO20" s="100">
        <f>H20*0</f>
        <v>0</v>
      </c>
      <c r="AP20" s="100">
        <f>H20*(1-0)</f>
        <v>0</v>
      </c>
      <c r="AQ20" s="111" t="s">
        <v>7</v>
      </c>
      <c r="AV20" s="100">
        <f>AW20+AX20</f>
        <v>0</v>
      </c>
      <c r="AW20" s="100">
        <f>G20*AO20</f>
        <v>0</v>
      </c>
      <c r="AX20" s="100">
        <f>G20*AP20</f>
        <v>0</v>
      </c>
      <c r="AY20" s="110" t="s">
        <v>1685</v>
      </c>
      <c r="AZ20" s="110" t="s">
        <v>1724</v>
      </c>
      <c r="BA20" s="109" t="s">
        <v>1737</v>
      </c>
      <c r="BC20" s="100">
        <f>AW20+AX20</f>
        <v>0</v>
      </c>
      <c r="BD20" s="100">
        <f>H20/(100-BE20)*100</f>
        <v>0</v>
      </c>
      <c r="BE20" s="100">
        <v>0</v>
      </c>
      <c r="BF20" s="100">
        <f>20</f>
        <v>20</v>
      </c>
      <c r="BH20" s="108">
        <f>G20*AO20</f>
        <v>0</v>
      </c>
      <c r="BI20" s="108">
        <f>G20*AP20</f>
        <v>0</v>
      </c>
      <c r="BJ20" s="108">
        <f>G20*H20</f>
        <v>0</v>
      </c>
    </row>
    <row r="21" spans="1:62" x14ac:dyDescent="0.2">
      <c r="A21" s="119"/>
      <c r="B21" s="120" t="s">
        <v>24</v>
      </c>
      <c r="C21" s="306" t="s">
        <v>1076</v>
      </c>
      <c r="D21" s="307"/>
      <c r="E21" s="307"/>
      <c r="F21" s="119" t="s">
        <v>6</v>
      </c>
      <c r="G21" s="119" t="s">
        <v>6</v>
      </c>
      <c r="H21" s="119" t="s">
        <v>6</v>
      </c>
      <c r="I21" s="118">
        <f>SUM(I22:I22)</f>
        <v>0</v>
      </c>
      <c r="J21" s="118">
        <f>SUM(J22:J22)</f>
        <v>0</v>
      </c>
      <c r="K21" s="118">
        <f>SUM(K22:K22)</f>
        <v>0</v>
      </c>
      <c r="L21" s="109"/>
      <c r="AI21" s="109"/>
      <c r="AS21" s="118">
        <f>SUM(AJ22:AJ22)</f>
        <v>0</v>
      </c>
      <c r="AT21" s="118">
        <f>SUM(AK22:AK22)</f>
        <v>0</v>
      </c>
      <c r="AU21" s="118">
        <f>SUM(AL22:AL22)</f>
        <v>0</v>
      </c>
    </row>
    <row r="22" spans="1:62" x14ac:dyDescent="0.2">
      <c r="A22" s="117" t="s">
        <v>13</v>
      </c>
      <c r="B22" s="117" t="s">
        <v>4592</v>
      </c>
      <c r="C22" s="304" t="s">
        <v>4591</v>
      </c>
      <c r="D22" s="305"/>
      <c r="E22" s="305"/>
      <c r="F22" s="117" t="s">
        <v>1645</v>
      </c>
      <c r="G22" s="116">
        <v>22.7</v>
      </c>
      <c r="H22" s="159"/>
      <c r="I22" s="108">
        <f>G22*AO22</f>
        <v>0</v>
      </c>
      <c r="J22" s="108">
        <f>G22*AP22</f>
        <v>0</v>
      </c>
      <c r="K22" s="108">
        <f>G22*H22</f>
        <v>0</v>
      </c>
      <c r="L22" s="111" t="s">
        <v>1671</v>
      </c>
      <c r="Z22" s="100">
        <f>IF(AQ22="5",BJ22,0)</f>
        <v>0</v>
      </c>
      <c r="AB22" s="100">
        <f>IF(AQ22="1",BH22,0)</f>
        <v>0</v>
      </c>
      <c r="AC22" s="100">
        <f>IF(AQ22="1",BI22,0)</f>
        <v>0</v>
      </c>
      <c r="AD22" s="100">
        <f>IF(AQ22="7",BH22,0)</f>
        <v>0</v>
      </c>
      <c r="AE22" s="100">
        <f>IF(AQ22="7",BI22,0)</f>
        <v>0</v>
      </c>
      <c r="AF22" s="100">
        <f>IF(AQ22="2",BH22,0)</f>
        <v>0</v>
      </c>
      <c r="AG22" s="100">
        <f>IF(AQ22="2",BI22,0)</f>
        <v>0</v>
      </c>
      <c r="AH22" s="100">
        <f>IF(AQ22="0",BJ22,0)</f>
        <v>0</v>
      </c>
      <c r="AI22" s="109"/>
      <c r="AJ22" s="108">
        <f>IF(AN22=0,K22,0)</f>
        <v>0</v>
      </c>
      <c r="AK22" s="108">
        <f>IF(AN22=15,K22,0)</f>
        <v>0</v>
      </c>
      <c r="AL22" s="108">
        <f>IF(AN22=21,K22,0)</f>
        <v>0</v>
      </c>
      <c r="AN22" s="100">
        <v>15</v>
      </c>
      <c r="AO22" s="100">
        <f>H22*0</f>
        <v>0</v>
      </c>
      <c r="AP22" s="100">
        <f>H22*(1-0)</f>
        <v>0</v>
      </c>
      <c r="AQ22" s="111" t="s">
        <v>7</v>
      </c>
      <c r="AV22" s="100">
        <f>AW22+AX22</f>
        <v>0</v>
      </c>
      <c r="AW22" s="100">
        <f>G22*AO22</f>
        <v>0</v>
      </c>
      <c r="AX22" s="100">
        <f>G22*AP22</f>
        <v>0</v>
      </c>
      <c r="AY22" s="110" t="s">
        <v>1686</v>
      </c>
      <c r="AZ22" s="110" t="s">
        <v>1724</v>
      </c>
      <c r="BA22" s="109" t="s">
        <v>1737</v>
      </c>
      <c r="BC22" s="100">
        <f>AW22+AX22</f>
        <v>0</v>
      </c>
      <c r="BD22" s="100">
        <f>H22/(100-BE22)*100</f>
        <v>0</v>
      </c>
      <c r="BE22" s="100">
        <v>0</v>
      </c>
      <c r="BF22" s="100">
        <f>22</f>
        <v>22</v>
      </c>
      <c r="BH22" s="108">
        <f>G22*AO22</f>
        <v>0</v>
      </c>
      <c r="BI22" s="108">
        <f>G22*AP22</f>
        <v>0</v>
      </c>
      <c r="BJ22" s="108">
        <f>G22*H22</f>
        <v>0</v>
      </c>
    </row>
    <row r="23" spans="1:62" x14ac:dyDescent="0.2">
      <c r="A23" s="119"/>
      <c r="B23" s="120" t="s">
        <v>37</v>
      </c>
      <c r="C23" s="306" t="s">
        <v>1084</v>
      </c>
      <c r="D23" s="307"/>
      <c r="E23" s="307"/>
      <c r="F23" s="119" t="s">
        <v>6</v>
      </c>
      <c r="G23" s="119" t="s">
        <v>6</v>
      </c>
      <c r="H23" s="119" t="s">
        <v>6</v>
      </c>
      <c r="I23" s="118">
        <f>SUM(I24:I25)</f>
        <v>0</v>
      </c>
      <c r="J23" s="118">
        <f>SUM(J24:J25)</f>
        <v>0</v>
      </c>
      <c r="K23" s="118">
        <f>SUM(K24:K25)</f>
        <v>0</v>
      </c>
      <c r="L23" s="109"/>
      <c r="AI23" s="109"/>
      <c r="AS23" s="118">
        <f>SUM(AJ24:AJ25)</f>
        <v>0</v>
      </c>
      <c r="AT23" s="118">
        <f>SUM(AK24:AK25)</f>
        <v>0</v>
      </c>
      <c r="AU23" s="118">
        <f>SUM(AL24:AL25)</f>
        <v>0</v>
      </c>
    </row>
    <row r="24" spans="1:62" x14ac:dyDescent="0.2">
      <c r="A24" s="117" t="s">
        <v>14</v>
      </c>
      <c r="B24" s="117" t="s">
        <v>592</v>
      </c>
      <c r="C24" s="304" t="s">
        <v>4432</v>
      </c>
      <c r="D24" s="305"/>
      <c r="E24" s="305"/>
      <c r="F24" s="117" t="s">
        <v>1644</v>
      </c>
      <c r="G24" s="116">
        <v>1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H24*0.535388860807912</f>
        <v>0</v>
      </c>
      <c r="AP24" s="100">
        <f>H24*(1-0.535388860807912)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1689</v>
      </c>
      <c r="AZ24" s="110" t="s">
        <v>1726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15</v>
      </c>
      <c r="B25" s="117" t="s">
        <v>594</v>
      </c>
      <c r="C25" s="304" t="s">
        <v>4431</v>
      </c>
      <c r="D25" s="305"/>
      <c r="E25" s="305"/>
      <c r="F25" s="117" t="s">
        <v>1648</v>
      </c>
      <c r="G25" s="116">
        <v>3.4000000000000002E-2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H25*0.782234965034965</f>
        <v>0</v>
      </c>
      <c r="AP25" s="100">
        <f>H25*(1-0.782234965034965)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1689</v>
      </c>
      <c r="AZ25" s="110" t="s">
        <v>1726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9"/>
      <c r="B26" s="120" t="s">
        <v>67</v>
      </c>
      <c r="C26" s="306" t="s">
        <v>1097</v>
      </c>
      <c r="D26" s="307"/>
      <c r="E26" s="307"/>
      <c r="F26" s="119" t="s">
        <v>6</v>
      </c>
      <c r="G26" s="119" t="s">
        <v>6</v>
      </c>
      <c r="H26" s="119" t="s">
        <v>6</v>
      </c>
      <c r="I26" s="118">
        <f>SUM(I27:I29)</f>
        <v>0</v>
      </c>
      <c r="J26" s="118">
        <f>SUM(J27:J29)</f>
        <v>0</v>
      </c>
      <c r="K26" s="118">
        <f>SUM(K27:K29)</f>
        <v>0</v>
      </c>
      <c r="L26" s="109"/>
      <c r="AI26" s="109"/>
      <c r="AS26" s="118">
        <f>SUM(AJ27:AJ29)</f>
        <v>0</v>
      </c>
      <c r="AT26" s="118">
        <f>SUM(AK27:AK29)</f>
        <v>0</v>
      </c>
      <c r="AU26" s="118">
        <f>SUM(AL27:AL29)</f>
        <v>0</v>
      </c>
    </row>
    <row r="27" spans="1:62" x14ac:dyDescent="0.2">
      <c r="A27" s="117" t="s">
        <v>16</v>
      </c>
      <c r="B27" s="117" t="s">
        <v>601</v>
      </c>
      <c r="C27" s="304" t="s">
        <v>4430</v>
      </c>
      <c r="D27" s="305"/>
      <c r="E27" s="305"/>
      <c r="F27" s="117" t="s">
        <v>1645</v>
      </c>
      <c r="G27" s="116">
        <v>18.809999999999999</v>
      </c>
      <c r="H27" s="159"/>
      <c r="I27" s="108">
        <f>G27*AO27</f>
        <v>0</v>
      </c>
      <c r="J27" s="108">
        <f>G27*AP27</f>
        <v>0</v>
      </c>
      <c r="K27" s="108">
        <f>G27*H27</f>
        <v>0</v>
      </c>
      <c r="L27" s="111" t="s">
        <v>1671</v>
      </c>
      <c r="Z27" s="100">
        <f>IF(AQ27="5",BJ27,0)</f>
        <v>0</v>
      </c>
      <c r="AB27" s="100">
        <f>IF(AQ27="1",BH27,0)</f>
        <v>0</v>
      </c>
      <c r="AC27" s="100">
        <f>IF(AQ27="1",BI27,0)</f>
        <v>0</v>
      </c>
      <c r="AD27" s="100">
        <f>IF(AQ27="7",BH27,0)</f>
        <v>0</v>
      </c>
      <c r="AE27" s="100">
        <f>IF(AQ27="7",BI27,0)</f>
        <v>0</v>
      </c>
      <c r="AF27" s="100">
        <f>IF(AQ27="2",BH27,0)</f>
        <v>0</v>
      </c>
      <c r="AG27" s="100">
        <f>IF(AQ27="2",BI27,0)</f>
        <v>0</v>
      </c>
      <c r="AH27" s="100">
        <f>IF(AQ27="0",BJ27,0)</f>
        <v>0</v>
      </c>
      <c r="AI27" s="109"/>
      <c r="AJ27" s="108">
        <f>IF(AN27=0,K27,0)</f>
        <v>0</v>
      </c>
      <c r="AK27" s="108">
        <f>IF(AN27=15,K27,0)</f>
        <v>0</v>
      </c>
      <c r="AL27" s="108">
        <f>IF(AN27=21,K27,0)</f>
        <v>0</v>
      </c>
      <c r="AN27" s="100">
        <v>15</v>
      </c>
      <c r="AO27" s="100">
        <f>H27*0.137604403538154</f>
        <v>0</v>
      </c>
      <c r="AP27" s="100">
        <f>H27*(1-0.137604403538154)</f>
        <v>0</v>
      </c>
      <c r="AQ27" s="111" t="s">
        <v>7</v>
      </c>
      <c r="AV27" s="100">
        <f>AW27+AX27</f>
        <v>0</v>
      </c>
      <c r="AW27" s="100">
        <f>G27*AO27</f>
        <v>0</v>
      </c>
      <c r="AX27" s="100">
        <f>G27*AP27</f>
        <v>0</v>
      </c>
      <c r="AY27" s="110" t="s">
        <v>1692</v>
      </c>
      <c r="AZ27" s="110" t="s">
        <v>1728</v>
      </c>
      <c r="BA27" s="109" t="s">
        <v>1737</v>
      </c>
      <c r="BC27" s="100">
        <f>AW27+AX27</f>
        <v>0</v>
      </c>
      <c r="BD27" s="100">
        <f>H27/(100-BE27)*100</f>
        <v>0</v>
      </c>
      <c r="BE27" s="100">
        <v>0</v>
      </c>
      <c r="BF27" s="100">
        <f>27</f>
        <v>27</v>
      </c>
      <c r="BH27" s="108">
        <f>G27*AO27</f>
        <v>0</v>
      </c>
      <c r="BI27" s="108">
        <f>G27*AP27</f>
        <v>0</v>
      </c>
      <c r="BJ27" s="108">
        <f>G27*H27</f>
        <v>0</v>
      </c>
    </row>
    <row r="28" spans="1:62" x14ac:dyDescent="0.2">
      <c r="A28" s="117" t="s">
        <v>17</v>
      </c>
      <c r="B28" s="117" t="s">
        <v>604</v>
      </c>
      <c r="C28" s="304" t="s">
        <v>4429</v>
      </c>
      <c r="D28" s="305"/>
      <c r="E28" s="305"/>
      <c r="F28" s="117" t="s">
        <v>1645</v>
      </c>
      <c r="G28" s="116">
        <v>11.263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H28*0.096922871488592</f>
        <v>0</v>
      </c>
      <c r="AP28" s="100">
        <f>H28*(1-0.096922871488592)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1692</v>
      </c>
      <c r="AZ28" s="110" t="s">
        <v>1728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A29" s="117" t="s">
        <v>18</v>
      </c>
      <c r="B29" s="117" t="s">
        <v>606</v>
      </c>
      <c r="C29" s="304" t="s">
        <v>4428</v>
      </c>
      <c r="D29" s="305"/>
      <c r="E29" s="305"/>
      <c r="F29" s="117" t="s">
        <v>1645</v>
      </c>
      <c r="G29" s="116">
        <v>23.28</v>
      </c>
      <c r="H29" s="159"/>
      <c r="I29" s="108">
        <f>G29*AO29</f>
        <v>0</v>
      </c>
      <c r="J29" s="108">
        <f>G29*AP29</f>
        <v>0</v>
      </c>
      <c r="K29" s="108">
        <f>G29*H29</f>
        <v>0</v>
      </c>
      <c r="L29" s="111" t="s">
        <v>1671</v>
      </c>
      <c r="Z29" s="100">
        <f>IF(AQ29="5",BJ29,0)</f>
        <v>0</v>
      </c>
      <c r="AB29" s="100">
        <f>IF(AQ29="1",BH29,0)</f>
        <v>0</v>
      </c>
      <c r="AC29" s="100">
        <f>IF(AQ29="1",BI29,0)</f>
        <v>0</v>
      </c>
      <c r="AD29" s="100">
        <f>IF(AQ29="7",BH29,0)</f>
        <v>0</v>
      </c>
      <c r="AE29" s="100">
        <f>IF(AQ29="7",BI29,0)</f>
        <v>0</v>
      </c>
      <c r="AF29" s="100">
        <f>IF(AQ29="2",BH29,0)</f>
        <v>0</v>
      </c>
      <c r="AG29" s="100">
        <f>IF(AQ29="2",BI29,0)</f>
        <v>0</v>
      </c>
      <c r="AH29" s="100">
        <f>IF(AQ29="0",BJ29,0)</f>
        <v>0</v>
      </c>
      <c r="AI29" s="109"/>
      <c r="AJ29" s="108">
        <f>IF(AN29=0,K29,0)</f>
        <v>0</v>
      </c>
      <c r="AK29" s="108">
        <f>IF(AN29=15,K29,0)</f>
        <v>0</v>
      </c>
      <c r="AL29" s="108">
        <f>IF(AN29=21,K29,0)</f>
        <v>0</v>
      </c>
      <c r="AN29" s="100">
        <v>15</v>
      </c>
      <c r="AO29" s="100">
        <f>H29*0.523085271317829</f>
        <v>0</v>
      </c>
      <c r="AP29" s="100">
        <f>H29*(1-0.523085271317829)</f>
        <v>0</v>
      </c>
      <c r="AQ29" s="111" t="s">
        <v>7</v>
      </c>
      <c r="AV29" s="100">
        <f>AW29+AX29</f>
        <v>0</v>
      </c>
      <c r="AW29" s="100">
        <f>G29*AO29</f>
        <v>0</v>
      </c>
      <c r="AX29" s="100">
        <f>G29*AP29</f>
        <v>0</v>
      </c>
      <c r="AY29" s="110" t="s">
        <v>1692</v>
      </c>
      <c r="AZ29" s="110" t="s">
        <v>1728</v>
      </c>
      <c r="BA29" s="109" t="s">
        <v>1737</v>
      </c>
      <c r="BC29" s="100">
        <f>AW29+AX29</f>
        <v>0</v>
      </c>
      <c r="BD29" s="100">
        <f>H29/(100-BE29)*100</f>
        <v>0</v>
      </c>
      <c r="BE29" s="100">
        <v>0</v>
      </c>
      <c r="BF29" s="100">
        <f>29</f>
        <v>29</v>
      </c>
      <c r="BH29" s="108">
        <f>G29*AO29</f>
        <v>0</v>
      </c>
      <c r="BI29" s="108">
        <f>G29*AP29</f>
        <v>0</v>
      </c>
      <c r="BJ29" s="108">
        <f>G29*H29</f>
        <v>0</v>
      </c>
    </row>
    <row r="30" spans="1:62" x14ac:dyDescent="0.2">
      <c r="A30" s="119"/>
      <c r="B30" s="120" t="s">
        <v>68</v>
      </c>
      <c r="C30" s="306" t="s">
        <v>1104</v>
      </c>
      <c r="D30" s="307"/>
      <c r="E30" s="307"/>
      <c r="F30" s="119" t="s">
        <v>6</v>
      </c>
      <c r="G30" s="119" t="s">
        <v>6</v>
      </c>
      <c r="H30" s="119" t="s">
        <v>6</v>
      </c>
      <c r="I30" s="118">
        <f>SUM(I31:I45)</f>
        <v>0</v>
      </c>
      <c r="J30" s="118">
        <f>SUM(J31:J45)</f>
        <v>0</v>
      </c>
      <c r="K30" s="118">
        <f>SUM(K31:K45)</f>
        <v>0</v>
      </c>
      <c r="L30" s="109"/>
      <c r="AI30" s="109"/>
      <c r="AS30" s="118">
        <f>SUM(AJ31:AJ45)</f>
        <v>0</v>
      </c>
      <c r="AT30" s="118">
        <f>SUM(AK31:AK45)</f>
        <v>0</v>
      </c>
      <c r="AU30" s="118">
        <f>SUM(AL31:AL45)</f>
        <v>0</v>
      </c>
    </row>
    <row r="31" spans="1:62" x14ac:dyDescent="0.2">
      <c r="A31" s="117" t="s">
        <v>19</v>
      </c>
      <c r="B31" s="117" t="s">
        <v>607</v>
      </c>
      <c r="C31" s="304" t="s">
        <v>1105</v>
      </c>
      <c r="D31" s="305"/>
      <c r="E31" s="305"/>
      <c r="F31" s="117" t="s">
        <v>1645</v>
      </c>
      <c r="G31" s="116">
        <v>85.671999999999997</v>
      </c>
      <c r="H31" s="159"/>
      <c r="I31" s="108">
        <f t="shared" ref="I31:I45" si="0">G31*AO31</f>
        <v>0</v>
      </c>
      <c r="J31" s="108">
        <f t="shared" ref="J31:J45" si="1">G31*AP31</f>
        <v>0</v>
      </c>
      <c r="K31" s="108">
        <f t="shared" ref="K31:K45" si="2">G31*H31</f>
        <v>0</v>
      </c>
      <c r="L31" s="111" t="s">
        <v>1671</v>
      </c>
      <c r="Z31" s="100">
        <f t="shared" ref="Z31:Z45" si="3">IF(AQ31="5",BJ31,0)</f>
        <v>0</v>
      </c>
      <c r="AB31" s="100">
        <f t="shared" ref="AB31:AB45" si="4">IF(AQ31="1",BH31,0)</f>
        <v>0</v>
      </c>
      <c r="AC31" s="100">
        <f t="shared" ref="AC31:AC45" si="5">IF(AQ31="1",BI31,0)</f>
        <v>0</v>
      </c>
      <c r="AD31" s="100">
        <f t="shared" ref="AD31:AD45" si="6">IF(AQ31="7",BH31,0)</f>
        <v>0</v>
      </c>
      <c r="AE31" s="100">
        <f t="shared" ref="AE31:AE45" si="7">IF(AQ31="7",BI31,0)</f>
        <v>0</v>
      </c>
      <c r="AF31" s="100">
        <f t="shared" ref="AF31:AF45" si="8">IF(AQ31="2",BH31,0)</f>
        <v>0</v>
      </c>
      <c r="AG31" s="100">
        <f t="shared" ref="AG31:AG45" si="9">IF(AQ31="2",BI31,0)</f>
        <v>0</v>
      </c>
      <c r="AH31" s="100">
        <f t="shared" ref="AH31:AH45" si="10">IF(AQ31="0",BJ31,0)</f>
        <v>0</v>
      </c>
      <c r="AI31" s="109"/>
      <c r="AJ31" s="108">
        <f t="shared" ref="AJ31:AJ45" si="11">IF(AN31=0,K31,0)</f>
        <v>0</v>
      </c>
      <c r="AK31" s="108">
        <f t="shared" ref="AK31:AK45" si="12">IF(AN31=15,K31,0)</f>
        <v>0</v>
      </c>
      <c r="AL31" s="108">
        <f t="shared" ref="AL31:AL45" si="13">IF(AN31=21,K31,0)</f>
        <v>0</v>
      </c>
      <c r="AN31" s="100">
        <v>15</v>
      </c>
      <c r="AO31" s="100">
        <f>H31*0.285592486331672</f>
        <v>0</v>
      </c>
      <c r="AP31" s="100">
        <f>H31*(1-0.285592486331672)</f>
        <v>0</v>
      </c>
      <c r="AQ31" s="111" t="s">
        <v>7</v>
      </c>
      <c r="AV31" s="100">
        <f t="shared" ref="AV31:AV45" si="14">AW31+AX31</f>
        <v>0</v>
      </c>
      <c r="AW31" s="100">
        <f t="shared" ref="AW31:AW45" si="15">G31*AO31</f>
        <v>0</v>
      </c>
      <c r="AX31" s="100">
        <f t="shared" ref="AX31:AX45" si="16">G31*AP31</f>
        <v>0</v>
      </c>
      <c r="AY31" s="110" t="s">
        <v>1693</v>
      </c>
      <c r="AZ31" s="110" t="s">
        <v>1728</v>
      </c>
      <c r="BA31" s="109" t="s">
        <v>1737</v>
      </c>
      <c r="BC31" s="100">
        <f t="shared" ref="BC31:BC45" si="17">AW31+AX31</f>
        <v>0</v>
      </c>
      <c r="BD31" s="100">
        <f t="shared" ref="BD31:BD45" si="18">H31/(100-BE31)*100</f>
        <v>0</v>
      </c>
      <c r="BE31" s="100">
        <v>0</v>
      </c>
      <c r="BF31" s="100">
        <f>31</f>
        <v>31</v>
      </c>
      <c r="BH31" s="108">
        <f t="shared" ref="BH31:BH45" si="19">G31*AO31</f>
        <v>0</v>
      </c>
      <c r="BI31" s="108">
        <f t="shared" ref="BI31:BI45" si="20">G31*AP31</f>
        <v>0</v>
      </c>
      <c r="BJ31" s="108">
        <f t="shared" ref="BJ31:BJ45" si="21">G31*H31</f>
        <v>0</v>
      </c>
    </row>
    <row r="32" spans="1:62" x14ac:dyDescent="0.2">
      <c r="A32" s="117" t="s">
        <v>20</v>
      </c>
      <c r="B32" s="117" t="s">
        <v>608</v>
      </c>
      <c r="C32" s="304" t="s">
        <v>4427</v>
      </c>
      <c r="D32" s="305"/>
      <c r="E32" s="305"/>
      <c r="F32" s="117" t="s">
        <v>1645</v>
      </c>
      <c r="G32" s="116">
        <v>487.58699999999999</v>
      </c>
      <c r="H32" s="159"/>
      <c r="I32" s="108">
        <f t="shared" si="0"/>
        <v>0</v>
      </c>
      <c r="J32" s="108">
        <f t="shared" si="1"/>
        <v>0</v>
      </c>
      <c r="K32" s="108">
        <f t="shared" si="2"/>
        <v>0</v>
      </c>
      <c r="L32" s="111" t="s">
        <v>1671</v>
      </c>
      <c r="Z32" s="100">
        <f t="shared" si="3"/>
        <v>0</v>
      </c>
      <c r="AB32" s="100">
        <f t="shared" si="4"/>
        <v>0</v>
      </c>
      <c r="AC32" s="100">
        <f t="shared" si="5"/>
        <v>0</v>
      </c>
      <c r="AD32" s="100">
        <f t="shared" si="6"/>
        <v>0</v>
      </c>
      <c r="AE32" s="100">
        <f t="shared" si="7"/>
        <v>0</v>
      </c>
      <c r="AF32" s="100">
        <f t="shared" si="8"/>
        <v>0</v>
      </c>
      <c r="AG32" s="100">
        <f t="shared" si="9"/>
        <v>0</v>
      </c>
      <c r="AH32" s="100">
        <f t="shared" si="10"/>
        <v>0</v>
      </c>
      <c r="AI32" s="109"/>
      <c r="AJ32" s="108">
        <f t="shared" si="11"/>
        <v>0</v>
      </c>
      <c r="AK32" s="108">
        <f t="shared" si="12"/>
        <v>0</v>
      </c>
      <c r="AL32" s="108">
        <f t="shared" si="13"/>
        <v>0</v>
      </c>
      <c r="AN32" s="100">
        <v>15</v>
      </c>
      <c r="AO32" s="100">
        <f>H32*0.578269370548898</f>
        <v>0</v>
      </c>
      <c r="AP32" s="100">
        <f>H32*(1-0.578269370548898)</f>
        <v>0</v>
      </c>
      <c r="AQ32" s="111" t="s">
        <v>7</v>
      </c>
      <c r="AV32" s="100">
        <f t="shared" si="14"/>
        <v>0</v>
      </c>
      <c r="AW32" s="100">
        <f t="shared" si="15"/>
        <v>0</v>
      </c>
      <c r="AX32" s="100">
        <f t="shared" si="16"/>
        <v>0</v>
      </c>
      <c r="AY32" s="110" t="s">
        <v>1693</v>
      </c>
      <c r="AZ32" s="110" t="s">
        <v>1728</v>
      </c>
      <c r="BA32" s="109" t="s">
        <v>1737</v>
      </c>
      <c r="BC32" s="100">
        <f t="shared" si="17"/>
        <v>0</v>
      </c>
      <c r="BD32" s="100">
        <f t="shared" si="18"/>
        <v>0</v>
      </c>
      <c r="BE32" s="100">
        <v>0</v>
      </c>
      <c r="BF32" s="100">
        <f>32</f>
        <v>32</v>
      </c>
      <c r="BH32" s="108">
        <f t="shared" si="19"/>
        <v>0</v>
      </c>
      <c r="BI32" s="108">
        <f t="shared" si="20"/>
        <v>0</v>
      </c>
      <c r="BJ32" s="108">
        <f t="shared" si="21"/>
        <v>0</v>
      </c>
    </row>
    <row r="33" spans="1:62" x14ac:dyDescent="0.2">
      <c r="A33" s="117" t="s">
        <v>21</v>
      </c>
      <c r="B33" s="117" t="s">
        <v>608</v>
      </c>
      <c r="C33" s="304" t="s">
        <v>4426</v>
      </c>
      <c r="D33" s="305"/>
      <c r="E33" s="305"/>
      <c r="F33" s="117" t="s">
        <v>1645</v>
      </c>
      <c r="G33" s="116">
        <v>104.93600000000001</v>
      </c>
      <c r="H33" s="159"/>
      <c r="I33" s="108">
        <f t="shared" si="0"/>
        <v>0</v>
      </c>
      <c r="J33" s="108">
        <f t="shared" si="1"/>
        <v>0</v>
      </c>
      <c r="K33" s="108">
        <f t="shared" si="2"/>
        <v>0</v>
      </c>
      <c r="L33" s="111" t="s">
        <v>1671</v>
      </c>
      <c r="Z33" s="100">
        <f t="shared" si="3"/>
        <v>0</v>
      </c>
      <c r="AB33" s="100">
        <f t="shared" si="4"/>
        <v>0</v>
      </c>
      <c r="AC33" s="100">
        <f t="shared" si="5"/>
        <v>0</v>
      </c>
      <c r="AD33" s="100">
        <f t="shared" si="6"/>
        <v>0</v>
      </c>
      <c r="AE33" s="100">
        <f t="shared" si="7"/>
        <v>0</v>
      </c>
      <c r="AF33" s="100">
        <f t="shared" si="8"/>
        <v>0</v>
      </c>
      <c r="AG33" s="100">
        <f t="shared" si="9"/>
        <v>0</v>
      </c>
      <c r="AH33" s="100">
        <f t="shared" si="10"/>
        <v>0</v>
      </c>
      <c r="AI33" s="109"/>
      <c r="AJ33" s="108">
        <f t="shared" si="11"/>
        <v>0</v>
      </c>
      <c r="AK33" s="108">
        <f t="shared" si="12"/>
        <v>0</v>
      </c>
      <c r="AL33" s="108">
        <f t="shared" si="13"/>
        <v>0</v>
      </c>
      <c r="AN33" s="100">
        <v>15</v>
      </c>
      <c r="AO33" s="100">
        <f>H33*0.578269470619382</f>
        <v>0</v>
      </c>
      <c r="AP33" s="100">
        <f>H33*(1-0.578269470619382)</f>
        <v>0</v>
      </c>
      <c r="AQ33" s="111" t="s">
        <v>7</v>
      </c>
      <c r="AV33" s="100">
        <f t="shared" si="14"/>
        <v>0</v>
      </c>
      <c r="AW33" s="100">
        <f t="shared" si="15"/>
        <v>0</v>
      </c>
      <c r="AX33" s="100">
        <f t="shared" si="16"/>
        <v>0</v>
      </c>
      <c r="AY33" s="110" t="s">
        <v>1693</v>
      </c>
      <c r="AZ33" s="110" t="s">
        <v>1728</v>
      </c>
      <c r="BA33" s="109" t="s">
        <v>1737</v>
      </c>
      <c r="BC33" s="100">
        <f t="shared" si="17"/>
        <v>0</v>
      </c>
      <c r="BD33" s="100">
        <f t="shared" si="18"/>
        <v>0</v>
      </c>
      <c r="BE33" s="100">
        <v>0</v>
      </c>
      <c r="BF33" s="100">
        <f>33</f>
        <v>33</v>
      </c>
      <c r="BH33" s="108">
        <f t="shared" si="19"/>
        <v>0</v>
      </c>
      <c r="BI33" s="108">
        <f t="shared" si="20"/>
        <v>0</v>
      </c>
      <c r="BJ33" s="108">
        <f t="shared" si="21"/>
        <v>0</v>
      </c>
    </row>
    <row r="34" spans="1:62" x14ac:dyDescent="0.2">
      <c r="A34" s="117" t="s">
        <v>22</v>
      </c>
      <c r="B34" s="117" t="s">
        <v>4424</v>
      </c>
      <c r="C34" s="304" t="s">
        <v>4423</v>
      </c>
      <c r="D34" s="305"/>
      <c r="E34" s="305"/>
      <c r="F34" s="117" t="s">
        <v>1645</v>
      </c>
      <c r="G34" s="116">
        <v>0.45</v>
      </c>
      <c r="H34" s="159"/>
      <c r="I34" s="108">
        <f t="shared" si="0"/>
        <v>0</v>
      </c>
      <c r="J34" s="108">
        <f t="shared" si="1"/>
        <v>0</v>
      </c>
      <c r="K34" s="108">
        <f t="shared" si="2"/>
        <v>0</v>
      </c>
      <c r="L34" s="111" t="s">
        <v>1671</v>
      </c>
      <c r="Z34" s="100">
        <f t="shared" si="3"/>
        <v>0</v>
      </c>
      <c r="AB34" s="100">
        <f t="shared" si="4"/>
        <v>0</v>
      </c>
      <c r="AC34" s="100">
        <f t="shared" si="5"/>
        <v>0</v>
      </c>
      <c r="AD34" s="100">
        <f t="shared" si="6"/>
        <v>0</v>
      </c>
      <c r="AE34" s="100">
        <f t="shared" si="7"/>
        <v>0</v>
      </c>
      <c r="AF34" s="100">
        <f t="shared" si="8"/>
        <v>0</v>
      </c>
      <c r="AG34" s="100">
        <f t="shared" si="9"/>
        <v>0</v>
      </c>
      <c r="AH34" s="100">
        <f t="shared" si="10"/>
        <v>0</v>
      </c>
      <c r="AI34" s="109"/>
      <c r="AJ34" s="108">
        <f t="shared" si="11"/>
        <v>0</v>
      </c>
      <c r="AK34" s="108">
        <f t="shared" si="12"/>
        <v>0</v>
      </c>
      <c r="AL34" s="108">
        <f t="shared" si="13"/>
        <v>0</v>
      </c>
      <c r="AN34" s="100">
        <v>15</v>
      </c>
      <c r="AO34" s="100">
        <f>H34*0.638983908045977</f>
        <v>0</v>
      </c>
      <c r="AP34" s="100">
        <f>H34*(1-0.638983908045977)</f>
        <v>0</v>
      </c>
      <c r="AQ34" s="111" t="s">
        <v>7</v>
      </c>
      <c r="AV34" s="100">
        <f t="shared" si="14"/>
        <v>0</v>
      </c>
      <c r="AW34" s="100">
        <f t="shared" si="15"/>
        <v>0</v>
      </c>
      <c r="AX34" s="100">
        <f t="shared" si="16"/>
        <v>0</v>
      </c>
      <c r="AY34" s="110" t="s">
        <v>1693</v>
      </c>
      <c r="AZ34" s="110" t="s">
        <v>1728</v>
      </c>
      <c r="BA34" s="109" t="s">
        <v>1737</v>
      </c>
      <c r="BC34" s="100">
        <f t="shared" si="17"/>
        <v>0</v>
      </c>
      <c r="BD34" s="100">
        <f t="shared" si="18"/>
        <v>0</v>
      </c>
      <c r="BE34" s="100">
        <v>0</v>
      </c>
      <c r="BF34" s="100">
        <f>34</f>
        <v>34</v>
      </c>
      <c r="BH34" s="108">
        <f t="shared" si="19"/>
        <v>0</v>
      </c>
      <c r="BI34" s="108">
        <f t="shared" si="20"/>
        <v>0</v>
      </c>
      <c r="BJ34" s="108">
        <f t="shared" si="21"/>
        <v>0</v>
      </c>
    </row>
    <row r="35" spans="1:62" x14ac:dyDescent="0.2">
      <c r="A35" s="117" t="s">
        <v>23</v>
      </c>
      <c r="B35" s="117" t="s">
        <v>4422</v>
      </c>
      <c r="C35" s="304" t="s">
        <v>4421</v>
      </c>
      <c r="D35" s="305"/>
      <c r="E35" s="305"/>
      <c r="F35" s="117" t="s">
        <v>1645</v>
      </c>
      <c r="G35" s="116">
        <v>558.34100000000001</v>
      </c>
      <c r="H35" s="159"/>
      <c r="I35" s="108">
        <f t="shared" si="0"/>
        <v>0</v>
      </c>
      <c r="J35" s="108">
        <f t="shared" si="1"/>
        <v>0</v>
      </c>
      <c r="K35" s="108">
        <f t="shared" si="2"/>
        <v>0</v>
      </c>
      <c r="L35" s="111" t="s">
        <v>1671</v>
      </c>
      <c r="Z35" s="100">
        <f t="shared" si="3"/>
        <v>0</v>
      </c>
      <c r="AB35" s="100">
        <f t="shared" si="4"/>
        <v>0</v>
      </c>
      <c r="AC35" s="100">
        <f t="shared" si="5"/>
        <v>0</v>
      </c>
      <c r="AD35" s="100">
        <f t="shared" si="6"/>
        <v>0</v>
      </c>
      <c r="AE35" s="100">
        <f t="shared" si="7"/>
        <v>0</v>
      </c>
      <c r="AF35" s="100">
        <f t="shared" si="8"/>
        <v>0</v>
      </c>
      <c r="AG35" s="100">
        <f t="shared" si="9"/>
        <v>0</v>
      </c>
      <c r="AH35" s="100">
        <f t="shared" si="10"/>
        <v>0</v>
      </c>
      <c r="AI35" s="109"/>
      <c r="AJ35" s="108">
        <f t="shared" si="11"/>
        <v>0</v>
      </c>
      <c r="AK35" s="108">
        <f t="shared" si="12"/>
        <v>0</v>
      </c>
      <c r="AL35" s="108">
        <f t="shared" si="13"/>
        <v>0</v>
      </c>
      <c r="AN35" s="100">
        <v>15</v>
      </c>
      <c r="AO35" s="100">
        <f>H35*0.547233290681561</f>
        <v>0</v>
      </c>
      <c r="AP35" s="100">
        <f>H35*(1-0.547233290681561)</f>
        <v>0</v>
      </c>
      <c r="AQ35" s="111" t="s">
        <v>7</v>
      </c>
      <c r="AV35" s="100">
        <f t="shared" si="14"/>
        <v>0</v>
      </c>
      <c r="AW35" s="100">
        <f t="shared" si="15"/>
        <v>0</v>
      </c>
      <c r="AX35" s="100">
        <f t="shared" si="16"/>
        <v>0</v>
      </c>
      <c r="AY35" s="110" t="s">
        <v>1693</v>
      </c>
      <c r="AZ35" s="110" t="s">
        <v>1728</v>
      </c>
      <c r="BA35" s="109" t="s">
        <v>1737</v>
      </c>
      <c r="BC35" s="100">
        <f t="shared" si="17"/>
        <v>0</v>
      </c>
      <c r="BD35" s="100">
        <f t="shared" si="18"/>
        <v>0</v>
      </c>
      <c r="BE35" s="100">
        <v>0</v>
      </c>
      <c r="BF35" s="100">
        <f>35</f>
        <v>35</v>
      </c>
      <c r="BH35" s="108">
        <f t="shared" si="19"/>
        <v>0</v>
      </c>
      <c r="BI35" s="108">
        <f t="shared" si="20"/>
        <v>0</v>
      </c>
      <c r="BJ35" s="108">
        <f t="shared" si="21"/>
        <v>0</v>
      </c>
    </row>
    <row r="36" spans="1:62" x14ac:dyDescent="0.2">
      <c r="A36" s="117" t="s">
        <v>24</v>
      </c>
      <c r="B36" s="117" t="s">
        <v>4420</v>
      </c>
      <c r="C36" s="304" t="s">
        <v>4419</v>
      </c>
      <c r="D36" s="305"/>
      <c r="E36" s="305"/>
      <c r="F36" s="117" t="s">
        <v>1645</v>
      </c>
      <c r="G36" s="116">
        <v>550.40700000000004</v>
      </c>
      <c r="H36" s="159"/>
      <c r="I36" s="108">
        <f t="shared" si="0"/>
        <v>0</v>
      </c>
      <c r="J36" s="108">
        <f t="shared" si="1"/>
        <v>0</v>
      </c>
      <c r="K36" s="108">
        <f t="shared" si="2"/>
        <v>0</v>
      </c>
      <c r="L36" s="111" t="s">
        <v>1671</v>
      </c>
      <c r="Z36" s="100">
        <f t="shared" si="3"/>
        <v>0</v>
      </c>
      <c r="AB36" s="100">
        <f t="shared" si="4"/>
        <v>0</v>
      </c>
      <c r="AC36" s="100">
        <f t="shared" si="5"/>
        <v>0</v>
      </c>
      <c r="AD36" s="100">
        <f t="shared" si="6"/>
        <v>0</v>
      </c>
      <c r="AE36" s="100">
        <f t="shared" si="7"/>
        <v>0</v>
      </c>
      <c r="AF36" s="100">
        <f t="shared" si="8"/>
        <v>0</v>
      </c>
      <c r="AG36" s="100">
        <f t="shared" si="9"/>
        <v>0</v>
      </c>
      <c r="AH36" s="100">
        <f t="shared" si="10"/>
        <v>0</v>
      </c>
      <c r="AI36" s="109"/>
      <c r="AJ36" s="108">
        <f t="shared" si="11"/>
        <v>0</v>
      </c>
      <c r="AK36" s="108">
        <f t="shared" si="12"/>
        <v>0</v>
      </c>
      <c r="AL36" s="108">
        <f t="shared" si="13"/>
        <v>0</v>
      </c>
      <c r="AN36" s="100">
        <v>15</v>
      </c>
      <c r="AO36" s="100">
        <f>H36*0.519305213259288</f>
        <v>0</v>
      </c>
      <c r="AP36" s="100">
        <f>H36*(1-0.519305213259288)</f>
        <v>0</v>
      </c>
      <c r="AQ36" s="111" t="s">
        <v>7</v>
      </c>
      <c r="AV36" s="100">
        <f t="shared" si="14"/>
        <v>0</v>
      </c>
      <c r="AW36" s="100">
        <f t="shared" si="15"/>
        <v>0</v>
      </c>
      <c r="AX36" s="100">
        <f t="shared" si="16"/>
        <v>0</v>
      </c>
      <c r="AY36" s="110" t="s">
        <v>1693</v>
      </c>
      <c r="AZ36" s="110" t="s">
        <v>1728</v>
      </c>
      <c r="BA36" s="109" t="s">
        <v>1737</v>
      </c>
      <c r="BC36" s="100">
        <f t="shared" si="17"/>
        <v>0</v>
      </c>
      <c r="BD36" s="100">
        <f t="shared" si="18"/>
        <v>0</v>
      </c>
      <c r="BE36" s="100">
        <v>0</v>
      </c>
      <c r="BF36" s="100">
        <f>36</f>
        <v>36</v>
      </c>
      <c r="BH36" s="108">
        <f t="shared" si="19"/>
        <v>0</v>
      </c>
      <c r="BI36" s="108">
        <f t="shared" si="20"/>
        <v>0</v>
      </c>
      <c r="BJ36" s="108">
        <f t="shared" si="21"/>
        <v>0</v>
      </c>
    </row>
    <row r="37" spans="1:62" x14ac:dyDescent="0.2">
      <c r="A37" s="117" t="s">
        <v>25</v>
      </c>
      <c r="B37" s="117" t="s">
        <v>4416</v>
      </c>
      <c r="C37" s="304" t="s">
        <v>4415</v>
      </c>
      <c r="D37" s="305"/>
      <c r="E37" s="305"/>
      <c r="F37" s="117" t="s">
        <v>1645</v>
      </c>
      <c r="G37" s="116">
        <v>41.576000000000001</v>
      </c>
      <c r="H37" s="159"/>
      <c r="I37" s="108">
        <f t="shared" si="0"/>
        <v>0</v>
      </c>
      <c r="J37" s="108">
        <f t="shared" si="1"/>
        <v>0</v>
      </c>
      <c r="K37" s="108">
        <f t="shared" si="2"/>
        <v>0</v>
      </c>
      <c r="L37" s="111" t="s">
        <v>1671</v>
      </c>
      <c r="Z37" s="100">
        <f t="shared" si="3"/>
        <v>0</v>
      </c>
      <c r="AB37" s="100">
        <f t="shared" si="4"/>
        <v>0</v>
      </c>
      <c r="AC37" s="100">
        <f t="shared" si="5"/>
        <v>0</v>
      </c>
      <c r="AD37" s="100">
        <f t="shared" si="6"/>
        <v>0</v>
      </c>
      <c r="AE37" s="100">
        <f t="shared" si="7"/>
        <v>0</v>
      </c>
      <c r="AF37" s="100">
        <f t="shared" si="8"/>
        <v>0</v>
      </c>
      <c r="AG37" s="100">
        <f t="shared" si="9"/>
        <v>0</v>
      </c>
      <c r="AH37" s="100">
        <f t="shared" si="10"/>
        <v>0</v>
      </c>
      <c r="AI37" s="109"/>
      <c r="AJ37" s="108">
        <f t="shared" si="11"/>
        <v>0</v>
      </c>
      <c r="AK37" s="108">
        <f t="shared" si="12"/>
        <v>0</v>
      </c>
      <c r="AL37" s="108">
        <f t="shared" si="13"/>
        <v>0</v>
      </c>
      <c r="AN37" s="100">
        <v>15</v>
      </c>
      <c r="AO37" s="100">
        <f>H37*0.504683760683761</f>
        <v>0</v>
      </c>
      <c r="AP37" s="100">
        <f>H37*(1-0.504683760683761)</f>
        <v>0</v>
      </c>
      <c r="AQ37" s="111" t="s">
        <v>7</v>
      </c>
      <c r="AV37" s="100">
        <f t="shared" si="14"/>
        <v>0</v>
      </c>
      <c r="AW37" s="100">
        <f t="shared" si="15"/>
        <v>0</v>
      </c>
      <c r="AX37" s="100">
        <f t="shared" si="16"/>
        <v>0</v>
      </c>
      <c r="AY37" s="110" t="s">
        <v>1693</v>
      </c>
      <c r="AZ37" s="110" t="s">
        <v>1728</v>
      </c>
      <c r="BA37" s="109" t="s">
        <v>1737</v>
      </c>
      <c r="BC37" s="100">
        <f t="shared" si="17"/>
        <v>0</v>
      </c>
      <c r="BD37" s="100">
        <f t="shared" si="18"/>
        <v>0</v>
      </c>
      <c r="BE37" s="100">
        <v>0</v>
      </c>
      <c r="BF37" s="100">
        <f>37</f>
        <v>37</v>
      </c>
      <c r="BH37" s="108">
        <f t="shared" si="19"/>
        <v>0</v>
      </c>
      <c r="BI37" s="108">
        <f t="shared" si="20"/>
        <v>0</v>
      </c>
      <c r="BJ37" s="108">
        <f t="shared" si="21"/>
        <v>0</v>
      </c>
    </row>
    <row r="38" spans="1:62" x14ac:dyDescent="0.2">
      <c r="A38" s="117" t="s">
        <v>26</v>
      </c>
      <c r="B38" s="117" t="s">
        <v>623</v>
      </c>
      <c r="C38" s="304" t="s">
        <v>4414</v>
      </c>
      <c r="D38" s="305"/>
      <c r="E38" s="305"/>
      <c r="F38" s="117" t="s">
        <v>1645</v>
      </c>
      <c r="G38" s="116">
        <v>592.52300000000002</v>
      </c>
      <c r="H38" s="159"/>
      <c r="I38" s="108">
        <f t="shared" si="0"/>
        <v>0</v>
      </c>
      <c r="J38" s="108">
        <f t="shared" si="1"/>
        <v>0</v>
      </c>
      <c r="K38" s="108">
        <f t="shared" si="2"/>
        <v>0</v>
      </c>
      <c r="L38" s="111" t="s">
        <v>1671</v>
      </c>
      <c r="Z38" s="100">
        <f t="shared" si="3"/>
        <v>0</v>
      </c>
      <c r="AB38" s="100">
        <f t="shared" si="4"/>
        <v>0</v>
      </c>
      <c r="AC38" s="100">
        <f t="shared" si="5"/>
        <v>0</v>
      </c>
      <c r="AD38" s="100">
        <f t="shared" si="6"/>
        <v>0</v>
      </c>
      <c r="AE38" s="100">
        <f t="shared" si="7"/>
        <v>0</v>
      </c>
      <c r="AF38" s="100">
        <f t="shared" si="8"/>
        <v>0</v>
      </c>
      <c r="AG38" s="100">
        <f t="shared" si="9"/>
        <v>0</v>
      </c>
      <c r="AH38" s="100">
        <f t="shared" si="10"/>
        <v>0</v>
      </c>
      <c r="AI38" s="109"/>
      <c r="AJ38" s="108">
        <f t="shared" si="11"/>
        <v>0</v>
      </c>
      <c r="AK38" s="108">
        <f t="shared" si="12"/>
        <v>0</v>
      </c>
      <c r="AL38" s="108">
        <f t="shared" si="13"/>
        <v>0</v>
      </c>
      <c r="AN38" s="100">
        <v>15</v>
      </c>
      <c r="AO38" s="100">
        <f>H38*0</f>
        <v>0</v>
      </c>
      <c r="AP38" s="100">
        <f>H38*(1-0)</f>
        <v>0</v>
      </c>
      <c r="AQ38" s="111" t="s">
        <v>7</v>
      </c>
      <c r="AV38" s="100">
        <f t="shared" si="14"/>
        <v>0</v>
      </c>
      <c r="AW38" s="100">
        <f t="shared" si="15"/>
        <v>0</v>
      </c>
      <c r="AX38" s="100">
        <f t="shared" si="16"/>
        <v>0</v>
      </c>
      <c r="AY38" s="110" t="s">
        <v>1693</v>
      </c>
      <c r="AZ38" s="110" t="s">
        <v>1728</v>
      </c>
      <c r="BA38" s="109" t="s">
        <v>1737</v>
      </c>
      <c r="BC38" s="100">
        <f t="shared" si="17"/>
        <v>0</v>
      </c>
      <c r="BD38" s="100">
        <f t="shared" si="18"/>
        <v>0</v>
      </c>
      <c r="BE38" s="100">
        <v>0</v>
      </c>
      <c r="BF38" s="100">
        <f>38</f>
        <v>38</v>
      </c>
      <c r="BH38" s="108">
        <f t="shared" si="19"/>
        <v>0</v>
      </c>
      <c r="BI38" s="108">
        <f t="shared" si="20"/>
        <v>0</v>
      </c>
      <c r="BJ38" s="108">
        <f t="shared" si="21"/>
        <v>0</v>
      </c>
    </row>
    <row r="39" spans="1:62" x14ac:dyDescent="0.2">
      <c r="A39" s="117" t="s">
        <v>27</v>
      </c>
      <c r="B39" s="117" t="s">
        <v>623</v>
      </c>
      <c r="C39" s="304" t="s">
        <v>4413</v>
      </c>
      <c r="D39" s="305"/>
      <c r="E39" s="305"/>
      <c r="F39" s="117" t="s">
        <v>1645</v>
      </c>
      <c r="G39" s="116">
        <v>96.453999999999994</v>
      </c>
      <c r="H39" s="159"/>
      <c r="I39" s="108">
        <f t="shared" si="0"/>
        <v>0</v>
      </c>
      <c r="J39" s="108">
        <f t="shared" si="1"/>
        <v>0</v>
      </c>
      <c r="K39" s="108">
        <f t="shared" si="2"/>
        <v>0</v>
      </c>
      <c r="L39" s="111" t="s">
        <v>1671</v>
      </c>
      <c r="Z39" s="100">
        <f t="shared" si="3"/>
        <v>0</v>
      </c>
      <c r="AB39" s="100">
        <f t="shared" si="4"/>
        <v>0</v>
      </c>
      <c r="AC39" s="100">
        <f t="shared" si="5"/>
        <v>0</v>
      </c>
      <c r="AD39" s="100">
        <f t="shared" si="6"/>
        <v>0</v>
      </c>
      <c r="AE39" s="100">
        <f t="shared" si="7"/>
        <v>0</v>
      </c>
      <c r="AF39" s="100">
        <f t="shared" si="8"/>
        <v>0</v>
      </c>
      <c r="AG39" s="100">
        <f t="shared" si="9"/>
        <v>0</v>
      </c>
      <c r="AH39" s="100">
        <f t="shared" si="10"/>
        <v>0</v>
      </c>
      <c r="AI39" s="109"/>
      <c r="AJ39" s="108">
        <f t="shared" si="11"/>
        <v>0</v>
      </c>
      <c r="AK39" s="108">
        <f t="shared" si="12"/>
        <v>0</v>
      </c>
      <c r="AL39" s="108">
        <f t="shared" si="13"/>
        <v>0</v>
      </c>
      <c r="AN39" s="100">
        <v>15</v>
      </c>
      <c r="AO39" s="100">
        <f>H39*0</f>
        <v>0</v>
      </c>
      <c r="AP39" s="100">
        <f>H39*(1-0)</f>
        <v>0</v>
      </c>
      <c r="AQ39" s="111" t="s">
        <v>7</v>
      </c>
      <c r="AV39" s="100">
        <f t="shared" si="14"/>
        <v>0</v>
      </c>
      <c r="AW39" s="100">
        <f t="shared" si="15"/>
        <v>0</v>
      </c>
      <c r="AX39" s="100">
        <f t="shared" si="16"/>
        <v>0</v>
      </c>
      <c r="AY39" s="110" t="s">
        <v>1693</v>
      </c>
      <c r="AZ39" s="110" t="s">
        <v>1728</v>
      </c>
      <c r="BA39" s="109" t="s">
        <v>1737</v>
      </c>
      <c r="BC39" s="100">
        <f t="shared" si="17"/>
        <v>0</v>
      </c>
      <c r="BD39" s="100">
        <f t="shared" si="18"/>
        <v>0</v>
      </c>
      <c r="BE39" s="100">
        <v>0</v>
      </c>
      <c r="BF39" s="100">
        <f>39</f>
        <v>39</v>
      </c>
      <c r="BH39" s="108">
        <f t="shared" si="19"/>
        <v>0</v>
      </c>
      <c r="BI39" s="108">
        <f t="shared" si="20"/>
        <v>0</v>
      </c>
      <c r="BJ39" s="108">
        <f t="shared" si="21"/>
        <v>0</v>
      </c>
    </row>
    <row r="40" spans="1:62" x14ac:dyDescent="0.2">
      <c r="A40" s="117" t="s">
        <v>28</v>
      </c>
      <c r="B40" s="117" t="s">
        <v>624</v>
      </c>
      <c r="C40" s="304" t="s">
        <v>4412</v>
      </c>
      <c r="D40" s="305"/>
      <c r="E40" s="305"/>
      <c r="F40" s="117" t="s">
        <v>1645</v>
      </c>
      <c r="G40" s="116">
        <v>592.52300000000002</v>
      </c>
      <c r="H40" s="159"/>
      <c r="I40" s="108">
        <f t="shared" si="0"/>
        <v>0</v>
      </c>
      <c r="J40" s="108">
        <f t="shared" si="1"/>
        <v>0</v>
      </c>
      <c r="K40" s="108">
        <f t="shared" si="2"/>
        <v>0</v>
      </c>
      <c r="L40" s="111" t="s">
        <v>1671</v>
      </c>
      <c r="Z40" s="100">
        <f t="shared" si="3"/>
        <v>0</v>
      </c>
      <c r="AB40" s="100">
        <f t="shared" si="4"/>
        <v>0</v>
      </c>
      <c r="AC40" s="100">
        <f t="shared" si="5"/>
        <v>0</v>
      </c>
      <c r="AD40" s="100">
        <f t="shared" si="6"/>
        <v>0</v>
      </c>
      <c r="AE40" s="100">
        <f t="shared" si="7"/>
        <v>0</v>
      </c>
      <c r="AF40" s="100">
        <f t="shared" si="8"/>
        <v>0</v>
      </c>
      <c r="AG40" s="100">
        <f t="shared" si="9"/>
        <v>0</v>
      </c>
      <c r="AH40" s="100">
        <f t="shared" si="10"/>
        <v>0</v>
      </c>
      <c r="AI40" s="109"/>
      <c r="AJ40" s="108">
        <f t="shared" si="11"/>
        <v>0</v>
      </c>
      <c r="AK40" s="108">
        <f t="shared" si="12"/>
        <v>0</v>
      </c>
      <c r="AL40" s="108">
        <f t="shared" si="13"/>
        <v>0</v>
      </c>
      <c r="AN40" s="100">
        <v>15</v>
      </c>
      <c r="AO40" s="100">
        <f>H40*0.0655405435300718</f>
        <v>0</v>
      </c>
      <c r="AP40" s="100">
        <f>H40*(1-0.0655405435300718)</f>
        <v>0</v>
      </c>
      <c r="AQ40" s="111" t="s">
        <v>7</v>
      </c>
      <c r="AV40" s="100">
        <f t="shared" si="14"/>
        <v>0</v>
      </c>
      <c r="AW40" s="100">
        <f t="shared" si="15"/>
        <v>0</v>
      </c>
      <c r="AX40" s="100">
        <f t="shared" si="16"/>
        <v>0</v>
      </c>
      <c r="AY40" s="110" t="s">
        <v>1693</v>
      </c>
      <c r="AZ40" s="110" t="s">
        <v>1728</v>
      </c>
      <c r="BA40" s="109" t="s">
        <v>1737</v>
      </c>
      <c r="BC40" s="100">
        <f t="shared" si="17"/>
        <v>0</v>
      </c>
      <c r="BD40" s="100">
        <f t="shared" si="18"/>
        <v>0</v>
      </c>
      <c r="BE40" s="100">
        <v>0</v>
      </c>
      <c r="BF40" s="100">
        <f>40</f>
        <v>40</v>
      </c>
      <c r="BH40" s="108">
        <f t="shared" si="19"/>
        <v>0</v>
      </c>
      <c r="BI40" s="108">
        <f t="shared" si="20"/>
        <v>0</v>
      </c>
      <c r="BJ40" s="108">
        <f t="shared" si="21"/>
        <v>0</v>
      </c>
    </row>
    <row r="41" spans="1:62" x14ac:dyDescent="0.2">
      <c r="A41" s="117" t="s">
        <v>29</v>
      </c>
      <c r="B41" s="117" t="s">
        <v>624</v>
      </c>
      <c r="C41" s="304" t="s">
        <v>4411</v>
      </c>
      <c r="D41" s="305"/>
      <c r="E41" s="305"/>
      <c r="F41" s="117" t="s">
        <v>1645</v>
      </c>
      <c r="G41" s="116">
        <v>96.453999999999994</v>
      </c>
      <c r="H41" s="159"/>
      <c r="I41" s="108">
        <f t="shared" si="0"/>
        <v>0</v>
      </c>
      <c r="J41" s="108">
        <f t="shared" si="1"/>
        <v>0</v>
      </c>
      <c r="K41" s="108">
        <f t="shared" si="2"/>
        <v>0</v>
      </c>
      <c r="L41" s="111" t="s">
        <v>1671</v>
      </c>
      <c r="Z41" s="100">
        <f t="shared" si="3"/>
        <v>0</v>
      </c>
      <c r="AB41" s="100">
        <f t="shared" si="4"/>
        <v>0</v>
      </c>
      <c r="AC41" s="100">
        <f t="shared" si="5"/>
        <v>0</v>
      </c>
      <c r="AD41" s="100">
        <f t="shared" si="6"/>
        <v>0</v>
      </c>
      <c r="AE41" s="100">
        <f t="shared" si="7"/>
        <v>0</v>
      </c>
      <c r="AF41" s="100">
        <f t="shared" si="8"/>
        <v>0</v>
      </c>
      <c r="AG41" s="100">
        <f t="shared" si="9"/>
        <v>0</v>
      </c>
      <c r="AH41" s="100">
        <f t="shared" si="10"/>
        <v>0</v>
      </c>
      <c r="AI41" s="109"/>
      <c r="AJ41" s="108">
        <f t="shared" si="11"/>
        <v>0</v>
      </c>
      <c r="AK41" s="108">
        <f t="shared" si="12"/>
        <v>0</v>
      </c>
      <c r="AL41" s="108">
        <f t="shared" si="13"/>
        <v>0</v>
      </c>
      <c r="AN41" s="100">
        <v>15</v>
      </c>
      <c r="AO41" s="100">
        <f>H41*0.0655405038108047</f>
        <v>0</v>
      </c>
      <c r="AP41" s="100">
        <f>H41*(1-0.0655405038108047)</f>
        <v>0</v>
      </c>
      <c r="AQ41" s="111" t="s">
        <v>7</v>
      </c>
      <c r="AV41" s="100">
        <f t="shared" si="14"/>
        <v>0</v>
      </c>
      <c r="AW41" s="100">
        <f t="shared" si="15"/>
        <v>0</v>
      </c>
      <c r="AX41" s="100">
        <f t="shared" si="16"/>
        <v>0</v>
      </c>
      <c r="AY41" s="110" t="s">
        <v>1693</v>
      </c>
      <c r="AZ41" s="110" t="s">
        <v>1728</v>
      </c>
      <c r="BA41" s="109" t="s">
        <v>1737</v>
      </c>
      <c r="BC41" s="100">
        <f t="shared" si="17"/>
        <v>0</v>
      </c>
      <c r="BD41" s="100">
        <f t="shared" si="18"/>
        <v>0</v>
      </c>
      <c r="BE41" s="100">
        <v>0</v>
      </c>
      <c r="BF41" s="100">
        <f>41</f>
        <v>41</v>
      </c>
      <c r="BH41" s="108">
        <f t="shared" si="19"/>
        <v>0</v>
      </c>
      <c r="BI41" s="108">
        <f t="shared" si="20"/>
        <v>0</v>
      </c>
      <c r="BJ41" s="108">
        <f t="shared" si="21"/>
        <v>0</v>
      </c>
    </row>
    <row r="42" spans="1:62" x14ac:dyDescent="0.2">
      <c r="A42" s="117" t="s">
        <v>30</v>
      </c>
      <c r="B42" s="117" t="s">
        <v>625</v>
      </c>
      <c r="C42" s="304" t="s">
        <v>4410</v>
      </c>
      <c r="D42" s="305"/>
      <c r="E42" s="305"/>
      <c r="F42" s="117" t="s">
        <v>1645</v>
      </c>
      <c r="G42" s="116">
        <v>295.99200000000002</v>
      </c>
      <c r="H42" s="159"/>
      <c r="I42" s="108">
        <f t="shared" si="0"/>
        <v>0</v>
      </c>
      <c r="J42" s="108">
        <f t="shared" si="1"/>
        <v>0</v>
      </c>
      <c r="K42" s="108">
        <f t="shared" si="2"/>
        <v>0</v>
      </c>
      <c r="L42" s="111" t="s">
        <v>1671</v>
      </c>
      <c r="Z42" s="100">
        <f t="shared" si="3"/>
        <v>0</v>
      </c>
      <c r="AB42" s="100">
        <f t="shared" si="4"/>
        <v>0</v>
      </c>
      <c r="AC42" s="100">
        <f t="shared" si="5"/>
        <v>0</v>
      </c>
      <c r="AD42" s="100">
        <f t="shared" si="6"/>
        <v>0</v>
      </c>
      <c r="AE42" s="100">
        <f t="shared" si="7"/>
        <v>0</v>
      </c>
      <c r="AF42" s="100">
        <f t="shared" si="8"/>
        <v>0</v>
      </c>
      <c r="AG42" s="100">
        <f t="shared" si="9"/>
        <v>0</v>
      </c>
      <c r="AH42" s="100">
        <f t="shared" si="10"/>
        <v>0</v>
      </c>
      <c r="AI42" s="109"/>
      <c r="AJ42" s="108">
        <f t="shared" si="11"/>
        <v>0</v>
      </c>
      <c r="AK42" s="108">
        <f t="shared" si="12"/>
        <v>0</v>
      </c>
      <c r="AL42" s="108">
        <f t="shared" si="13"/>
        <v>0</v>
      </c>
      <c r="AN42" s="100">
        <v>15</v>
      </c>
      <c r="AO42" s="100">
        <f>H42*0</f>
        <v>0</v>
      </c>
      <c r="AP42" s="100">
        <f>H42*(1-0)</f>
        <v>0</v>
      </c>
      <c r="AQ42" s="111" t="s">
        <v>7</v>
      </c>
      <c r="AV42" s="100">
        <f t="shared" si="14"/>
        <v>0</v>
      </c>
      <c r="AW42" s="100">
        <f t="shared" si="15"/>
        <v>0</v>
      </c>
      <c r="AX42" s="100">
        <f t="shared" si="16"/>
        <v>0</v>
      </c>
      <c r="AY42" s="110" t="s">
        <v>1693</v>
      </c>
      <c r="AZ42" s="110" t="s">
        <v>1728</v>
      </c>
      <c r="BA42" s="109" t="s">
        <v>1737</v>
      </c>
      <c r="BC42" s="100">
        <f t="shared" si="17"/>
        <v>0</v>
      </c>
      <c r="BD42" s="100">
        <f t="shared" si="18"/>
        <v>0</v>
      </c>
      <c r="BE42" s="100">
        <v>0</v>
      </c>
      <c r="BF42" s="100">
        <f>42</f>
        <v>42</v>
      </c>
      <c r="BH42" s="108">
        <f t="shared" si="19"/>
        <v>0</v>
      </c>
      <c r="BI42" s="108">
        <f t="shared" si="20"/>
        <v>0</v>
      </c>
      <c r="BJ42" s="108">
        <f t="shared" si="21"/>
        <v>0</v>
      </c>
    </row>
    <row r="43" spans="1:62" x14ac:dyDescent="0.2">
      <c r="A43" s="117" t="s">
        <v>31</v>
      </c>
      <c r="B43" s="117" t="s">
        <v>625</v>
      </c>
      <c r="C43" s="304" t="s">
        <v>4409</v>
      </c>
      <c r="D43" s="305"/>
      <c r="E43" s="305"/>
      <c r="F43" s="117" t="s">
        <v>1645</v>
      </c>
      <c r="G43" s="116">
        <v>48.226999999999997</v>
      </c>
      <c r="H43" s="159"/>
      <c r="I43" s="108">
        <f t="shared" si="0"/>
        <v>0</v>
      </c>
      <c r="J43" s="108">
        <f t="shared" si="1"/>
        <v>0</v>
      </c>
      <c r="K43" s="108">
        <f t="shared" si="2"/>
        <v>0</v>
      </c>
      <c r="L43" s="111" t="s">
        <v>1671</v>
      </c>
      <c r="Z43" s="100">
        <f t="shared" si="3"/>
        <v>0</v>
      </c>
      <c r="AB43" s="100">
        <f t="shared" si="4"/>
        <v>0</v>
      </c>
      <c r="AC43" s="100">
        <f t="shared" si="5"/>
        <v>0</v>
      </c>
      <c r="AD43" s="100">
        <f t="shared" si="6"/>
        <v>0</v>
      </c>
      <c r="AE43" s="100">
        <f t="shared" si="7"/>
        <v>0</v>
      </c>
      <c r="AF43" s="100">
        <f t="shared" si="8"/>
        <v>0</v>
      </c>
      <c r="AG43" s="100">
        <f t="shared" si="9"/>
        <v>0</v>
      </c>
      <c r="AH43" s="100">
        <f t="shared" si="10"/>
        <v>0</v>
      </c>
      <c r="AI43" s="109"/>
      <c r="AJ43" s="108">
        <f t="shared" si="11"/>
        <v>0</v>
      </c>
      <c r="AK43" s="108">
        <f t="shared" si="12"/>
        <v>0</v>
      </c>
      <c r="AL43" s="108">
        <f t="shared" si="13"/>
        <v>0</v>
      </c>
      <c r="AN43" s="100">
        <v>15</v>
      </c>
      <c r="AO43" s="100">
        <f>H43*0</f>
        <v>0</v>
      </c>
      <c r="AP43" s="100">
        <f>H43*(1-0)</f>
        <v>0</v>
      </c>
      <c r="AQ43" s="111" t="s">
        <v>7</v>
      </c>
      <c r="AV43" s="100">
        <f t="shared" si="14"/>
        <v>0</v>
      </c>
      <c r="AW43" s="100">
        <f t="shared" si="15"/>
        <v>0</v>
      </c>
      <c r="AX43" s="100">
        <f t="shared" si="16"/>
        <v>0</v>
      </c>
      <c r="AY43" s="110" t="s">
        <v>1693</v>
      </c>
      <c r="AZ43" s="110" t="s">
        <v>1728</v>
      </c>
      <c r="BA43" s="109" t="s">
        <v>1737</v>
      </c>
      <c r="BC43" s="100">
        <f t="shared" si="17"/>
        <v>0</v>
      </c>
      <c r="BD43" s="100">
        <f t="shared" si="18"/>
        <v>0</v>
      </c>
      <c r="BE43" s="100">
        <v>0</v>
      </c>
      <c r="BF43" s="100">
        <f>43</f>
        <v>43</v>
      </c>
      <c r="BH43" s="108">
        <f t="shared" si="19"/>
        <v>0</v>
      </c>
      <c r="BI43" s="108">
        <f t="shared" si="20"/>
        <v>0</v>
      </c>
      <c r="BJ43" s="108">
        <f t="shared" si="21"/>
        <v>0</v>
      </c>
    </row>
    <row r="44" spans="1:62" x14ac:dyDescent="0.2">
      <c r="A44" s="117" t="s">
        <v>32</v>
      </c>
      <c r="B44" s="117" t="s">
        <v>626</v>
      </c>
      <c r="C44" s="304" t="s">
        <v>4408</v>
      </c>
      <c r="D44" s="305"/>
      <c r="E44" s="305"/>
      <c r="F44" s="117" t="s">
        <v>1645</v>
      </c>
      <c r="G44" s="116">
        <v>295.99200000000002</v>
      </c>
      <c r="H44" s="159"/>
      <c r="I44" s="108">
        <f t="shared" si="0"/>
        <v>0</v>
      </c>
      <c r="J44" s="108">
        <f t="shared" si="1"/>
        <v>0</v>
      </c>
      <c r="K44" s="108">
        <f t="shared" si="2"/>
        <v>0</v>
      </c>
      <c r="L44" s="111" t="s">
        <v>1671</v>
      </c>
      <c r="Z44" s="100">
        <f t="shared" si="3"/>
        <v>0</v>
      </c>
      <c r="AB44" s="100">
        <f t="shared" si="4"/>
        <v>0</v>
      </c>
      <c r="AC44" s="100">
        <f t="shared" si="5"/>
        <v>0</v>
      </c>
      <c r="AD44" s="100">
        <f t="shared" si="6"/>
        <v>0</v>
      </c>
      <c r="AE44" s="100">
        <f t="shared" si="7"/>
        <v>0</v>
      </c>
      <c r="AF44" s="100">
        <f t="shared" si="8"/>
        <v>0</v>
      </c>
      <c r="AG44" s="100">
        <f t="shared" si="9"/>
        <v>0</v>
      </c>
      <c r="AH44" s="100">
        <f t="shared" si="10"/>
        <v>0</v>
      </c>
      <c r="AI44" s="109"/>
      <c r="AJ44" s="108">
        <f t="shared" si="11"/>
        <v>0</v>
      </c>
      <c r="AK44" s="108">
        <f t="shared" si="12"/>
        <v>0</v>
      </c>
      <c r="AL44" s="108">
        <f t="shared" si="13"/>
        <v>0</v>
      </c>
      <c r="AN44" s="100">
        <v>15</v>
      </c>
      <c r="AO44" s="100">
        <f>H44*0.313660752131905</f>
        <v>0</v>
      </c>
      <c r="AP44" s="100">
        <f>H44*(1-0.313660752131905)</f>
        <v>0</v>
      </c>
      <c r="AQ44" s="111" t="s">
        <v>7</v>
      </c>
      <c r="AV44" s="100">
        <f t="shared" si="14"/>
        <v>0</v>
      </c>
      <c r="AW44" s="100">
        <f t="shared" si="15"/>
        <v>0</v>
      </c>
      <c r="AX44" s="100">
        <f t="shared" si="16"/>
        <v>0</v>
      </c>
      <c r="AY44" s="110" t="s">
        <v>1693</v>
      </c>
      <c r="AZ44" s="110" t="s">
        <v>1728</v>
      </c>
      <c r="BA44" s="109" t="s">
        <v>1737</v>
      </c>
      <c r="BC44" s="100">
        <f t="shared" si="17"/>
        <v>0</v>
      </c>
      <c r="BD44" s="100">
        <f t="shared" si="18"/>
        <v>0</v>
      </c>
      <c r="BE44" s="100">
        <v>0</v>
      </c>
      <c r="BF44" s="100">
        <f>44</f>
        <v>44</v>
      </c>
      <c r="BH44" s="108">
        <f t="shared" si="19"/>
        <v>0</v>
      </c>
      <c r="BI44" s="108">
        <f t="shared" si="20"/>
        <v>0</v>
      </c>
      <c r="BJ44" s="108">
        <f t="shared" si="21"/>
        <v>0</v>
      </c>
    </row>
    <row r="45" spans="1:62" x14ac:dyDescent="0.2">
      <c r="A45" s="117" t="s">
        <v>33</v>
      </c>
      <c r="B45" s="117" t="s">
        <v>626</v>
      </c>
      <c r="C45" s="304" t="s">
        <v>4407</v>
      </c>
      <c r="D45" s="305"/>
      <c r="E45" s="305"/>
      <c r="F45" s="117" t="s">
        <v>1645</v>
      </c>
      <c r="G45" s="116">
        <v>48.226999999999997</v>
      </c>
      <c r="H45" s="159"/>
      <c r="I45" s="108">
        <f t="shared" si="0"/>
        <v>0</v>
      </c>
      <c r="J45" s="108">
        <f t="shared" si="1"/>
        <v>0</v>
      </c>
      <c r="K45" s="108">
        <f t="shared" si="2"/>
        <v>0</v>
      </c>
      <c r="L45" s="111" t="s">
        <v>1671</v>
      </c>
      <c r="Z45" s="100">
        <f t="shared" si="3"/>
        <v>0</v>
      </c>
      <c r="AB45" s="100">
        <f t="shared" si="4"/>
        <v>0</v>
      </c>
      <c r="AC45" s="100">
        <f t="shared" si="5"/>
        <v>0</v>
      </c>
      <c r="AD45" s="100">
        <f t="shared" si="6"/>
        <v>0</v>
      </c>
      <c r="AE45" s="100">
        <f t="shared" si="7"/>
        <v>0</v>
      </c>
      <c r="AF45" s="100">
        <f t="shared" si="8"/>
        <v>0</v>
      </c>
      <c r="AG45" s="100">
        <f t="shared" si="9"/>
        <v>0</v>
      </c>
      <c r="AH45" s="100">
        <f t="shared" si="10"/>
        <v>0</v>
      </c>
      <c r="AI45" s="109"/>
      <c r="AJ45" s="108">
        <f t="shared" si="11"/>
        <v>0</v>
      </c>
      <c r="AK45" s="108">
        <f t="shared" si="12"/>
        <v>0</v>
      </c>
      <c r="AL45" s="108">
        <f t="shared" si="13"/>
        <v>0</v>
      </c>
      <c r="AN45" s="100">
        <v>15</v>
      </c>
      <c r="AO45" s="100">
        <f>H45*0.313660946565903</f>
        <v>0</v>
      </c>
      <c r="AP45" s="100">
        <f>H45*(1-0.313660946565903)</f>
        <v>0</v>
      </c>
      <c r="AQ45" s="111" t="s">
        <v>7</v>
      </c>
      <c r="AV45" s="100">
        <f t="shared" si="14"/>
        <v>0</v>
      </c>
      <c r="AW45" s="100">
        <f t="shared" si="15"/>
        <v>0</v>
      </c>
      <c r="AX45" s="100">
        <f t="shared" si="16"/>
        <v>0</v>
      </c>
      <c r="AY45" s="110" t="s">
        <v>1693</v>
      </c>
      <c r="AZ45" s="110" t="s">
        <v>1728</v>
      </c>
      <c r="BA45" s="109" t="s">
        <v>1737</v>
      </c>
      <c r="BC45" s="100">
        <f t="shared" si="17"/>
        <v>0</v>
      </c>
      <c r="BD45" s="100">
        <f t="shared" si="18"/>
        <v>0</v>
      </c>
      <c r="BE45" s="100">
        <v>0</v>
      </c>
      <c r="BF45" s="100">
        <f>45</f>
        <v>45</v>
      </c>
      <c r="BH45" s="108">
        <f t="shared" si="19"/>
        <v>0</v>
      </c>
      <c r="BI45" s="108">
        <f t="shared" si="20"/>
        <v>0</v>
      </c>
      <c r="BJ45" s="108">
        <f t="shared" si="21"/>
        <v>0</v>
      </c>
    </row>
    <row r="46" spans="1:62" x14ac:dyDescent="0.2">
      <c r="A46" s="119"/>
      <c r="B46" s="120" t="s">
        <v>100</v>
      </c>
      <c r="C46" s="306" t="s">
        <v>1139</v>
      </c>
      <c r="D46" s="307"/>
      <c r="E46" s="307"/>
      <c r="F46" s="119" t="s">
        <v>6</v>
      </c>
      <c r="G46" s="119" t="s">
        <v>6</v>
      </c>
      <c r="H46" s="119" t="s">
        <v>6</v>
      </c>
      <c r="I46" s="118">
        <f>SUM(I47:I52)</f>
        <v>0</v>
      </c>
      <c r="J46" s="118">
        <f>SUM(J47:J52)</f>
        <v>0</v>
      </c>
      <c r="K46" s="118">
        <f>SUM(K47:K52)</f>
        <v>0</v>
      </c>
      <c r="L46" s="109"/>
      <c r="AI46" s="109"/>
      <c r="AS46" s="118">
        <f>SUM(AJ47:AJ52)</f>
        <v>0</v>
      </c>
      <c r="AT46" s="118">
        <f>SUM(AK47:AK52)</f>
        <v>0</v>
      </c>
      <c r="AU46" s="118">
        <f>SUM(AL47:AL52)</f>
        <v>0</v>
      </c>
    </row>
    <row r="47" spans="1:62" x14ac:dyDescent="0.2">
      <c r="A47" s="117" t="s">
        <v>34</v>
      </c>
      <c r="B47" s="117" t="s">
        <v>634</v>
      </c>
      <c r="C47" s="304" t="s">
        <v>1140</v>
      </c>
      <c r="D47" s="305"/>
      <c r="E47" s="305"/>
      <c r="F47" s="117" t="s">
        <v>1645</v>
      </c>
      <c r="G47" s="116">
        <v>778.04600000000005</v>
      </c>
      <c r="H47" s="159"/>
      <c r="I47" s="108">
        <f t="shared" ref="I47:I52" si="22">G47*AO47</f>
        <v>0</v>
      </c>
      <c r="J47" s="108">
        <f t="shared" ref="J47:J52" si="23">G47*AP47</f>
        <v>0</v>
      </c>
      <c r="K47" s="108">
        <f t="shared" ref="K47:K52" si="24">G47*H47</f>
        <v>0</v>
      </c>
      <c r="L47" s="111" t="s">
        <v>1671</v>
      </c>
      <c r="Z47" s="100">
        <f t="shared" ref="Z47:Z52" si="25">IF(AQ47="5",BJ47,0)</f>
        <v>0</v>
      </c>
      <c r="AB47" s="100">
        <f t="shared" ref="AB47:AB52" si="26">IF(AQ47="1",BH47,0)</f>
        <v>0</v>
      </c>
      <c r="AC47" s="100">
        <f t="shared" ref="AC47:AC52" si="27">IF(AQ47="1",BI47,0)</f>
        <v>0</v>
      </c>
      <c r="AD47" s="100">
        <f t="shared" ref="AD47:AD52" si="28">IF(AQ47="7",BH47,0)</f>
        <v>0</v>
      </c>
      <c r="AE47" s="100">
        <f t="shared" ref="AE47:AE52" si="29">IF(AQ47="7",BI47,0)</f>
        <v>0</v>
      </c>
      <c r="AF47" s="100">
        <f t="shared" ref="AF47:AF52" si="30">IF(AQ47="2",BH47,0)</f>
        <v>0</v>
      </c>
      <c r="AG47" s="100">
        <f t="shared" ref="AG47:AG52" si="31">IF(AQ47="2",BI47,0)</f>
        <v>0</v>
      </c>
      <c r="AH47" s="100">
        <f t="shared" ref="AH47:AH52" si="32">IF(AQ47="0",BJ47,0)</f>
        <v>0</v>
      </c>
      <c r="AI47" s="109"/>
      <c r="AJ47" s="108">
        <f t="shared" ref="AJ47:AJ52" si="33">IF(AN47=0,K47,0)</f>
        <v>0</v>
      </c>
      <c r="AK47" s="108">
        <f t="shared" ref="AK47:AK52" si="34">IF(AN47=15,K47,0)</f>
        <v>0</v>
      </c>
      <c r="AL47" s="108">
        <f t="shared" ref="AL47:AL52" si="35">IF(AN47=21,K47,0)</f>
        <v>0</v>
      </c>
      <c r="AN47" s="100">
        <v>15</v>
      </c>
      <c r="AO47" s="100">
        <f>H47*0.000315955777740282</f>
        <v>0</v>
      </c>
      <c r="AP47" s="100">
        <f>H47*(1-0.000315955777740282)</f>
        <v>0</v>
      </c>
      <c r="AQ47" s="111" t="s">
        <v>7</v>
      </c>
      <c r="AV47" s="100">
        <f t="shared" ref="AV47:AV52" si="36">AW47+AX47</f>
        <v>0</v>
      </c>
      <c r="AW47" s="100">
        <f t="shared" ref="AW47:AW52" si="37">G47*AO47</f>
        <v>0</v>
      </c>
      <c r="AX47" s="100">
        <f t="shared" ref="AX47:AX52" si="38">G47*AP47</f>
        <v>0</v>
      </c>
      <c r="AY47" s="110" t="s">
        <v>1698</v>
      </c>
      <c r="AZ47" s="110" t="s">
        <v>1730</v>
      </c>
      <c r="BA47" s="109" t="s">
        <v>1737</v>
      </c>
      <c r="BC47" s="100">
        <f t="shared" ref="BC47:BC52" si="39">AW47+AX47</f>
        <v>0</v>
      </c>
      <c r="BD47" s="100">
        <f t="shared" ref="BD47:BD52" si="40">H47/(100-BE47)*100</f>
        <v>0</v>
      </c>
      <c r="BE47" s="100">
        <v>0</v>
      </c>
      <c r="BF47" s="100">
        <f>47</f>
        <v>47</v>
      </c>
      <c r="BH47" s="108">
        <f t="shared" ref="BH47:BH52" si="41">G47*AO47</f>
        <v>0</v>
      </c>
      <c r="BI47" s="108">
        <f t="shared" ref="BI47:BI52" si="42">G47*AP47</f>
        <v>0</v>
      </c>
      <c r="BJ47" s="108">
        <f t="shared" ref="BJ47:BJ52" si="43">G47*H47</f>
        <v>0</v>
      </c>
    </row>
    <row r="48" spans="1:62" x14ac:dyDescent="0.2">
      <c r="A48" s="117" t="s">
        <v>35</v>
      </c>
      <c r="B48" s="117" t="s">
        <v>635</v>
      </c>
      <c r="C48" s="304" t="s">
        <v>1141</v>
      </c>
      <c r="D48" s="305"/>
      <c r="E48" s="305"/>
      <c r="F48" s="117" t="s">
        <v>1645</v>
      </c>
      <c r="G48" s="116">
        <v>1556.0920000000001</v>
      </c>
      <c r="H48" s="159"/>
      <c r="I48" s="108">
        <f t="shared" si="22"/>
        <v>0</v>
      </c>
      <c r="J48" s="108">
        <f t="shared" si="23"/>
        <v>0</v>
      </c>
      <c r="K48" s="108">
        <f t="shared" si="24"/>
        <v>0</v>
      </c>
      <c r="L48" s="111" t="s">
        <v>1671</v>
      </c>
      <c r="Z48" s="100">
        <f t="shared" si="25"/>
        <v>0</v>
      </c>
      <c r="AB48" s="100">
        <f t="shared" si="26"/>
        <v>0</v>
      </c>
      <c r="AC48" s="100">
        <f t="shared" si="27"/>
        <v>0</v>
      </c>
      <c r="AD48" s="100">
        <f t="shared" si="28"/>
        <v>0</v>
      </c>
      <c r="AE48" s="100">
        <f t="shared" si="29"/>
        <v>0</v>
      </c>
      <c r="AF48" s="100">
        <f t="shared" si="30"/>
        <v>0</v>
      </c>
      <c r="AG48" s="100">
        <f t="shared" si="31"/>
        <v>0</v>
      </c>
      <c r="AH48" s="100">
        <f t="shared" si="32"/>
        <v>0</v>
      </c>
      <c r="AI48" s="109"/>
      <c r="AJ48" s="108">
        <f t="shared" si="33"/>
        <v>0</v>
      </c>
      <c r="AK48" s="108">
        <f t="shared" si="34"/>
        <v>0</v>
      </c>
      <c r="AL48" s="108">
        <f t="shared" si="35"/>
        <v>0</v>
      </c>
      <c r="AN48" s="100">
        <v>15</v>
      </c>
      <c r="AO48" s="100">
        <f>H48*0.909487478651816</f>
        <v>0</v>
      </c>
      <c r="AP48" s="100">
        <f>H48*(1-0.909487478651816)</f>
        <v>0</v>
      </c>
      <c r="AQ48" s="111" t="s">
        <v>7</v>
      </c>
      <c r="AV48" s="100">
        <f t="shared" si="36"/>
        <v>0</v>
      </c>
      <c r="AW48" s="100">
        <f t="shared" si="37"/>
        <v>0</v>
      </c>
      <c r="AX48" s="100">
        <f t="shared" si="38"/>
        <v>0</v>
      </c>
      <c r="AY48" s="110" t="s">
        <v>1698</v>
      </c>
      <c r="AZ48" s="110" t="s">
        <v>1730</v>
      </c>
      <c r="BA48" s="109" t="s">
        <v>1737</v>
      </c>
      <c r="BC48" s="100">
        <f t="shared" si="39"/>
        <v>0</v>
      </c>
      <c r="BD48" s="100">
        <f t="shared" si="40"/>
        <v>0</v>
      </c>
      <c r="BE48" s="100">
        <v>0</v>
      </c>
      <c r="BF48" s="100">
        <f>48</f>
        <v>48</v>
      </c>
      <c r="BH48" s="108">
        <f t="shared" si="41"/>
        <v>0</v>
      </c>
      <c r="BI48" s="108">
        <f t="shared" si="42"/>
        <v>0</v>
      </c>
      <c r="BJ48" s="108">
        <f t="shared" si="43"/>
        <v>0</v>
      </c>
    </row>
    <row r="49" spans="1:62" x14ac:dyDescent="0.2">
      <c r="A49" s="117" t="s">
        <v>36</v>
      </c>
      <c r="B49" s="117" t="s">
        <v>636</v>
      </c>
      <c r="C49" s="304" t="s">
        <v>1142</v>
      </c>
      <c r="D49" s="305"/>
      <c r="E49" s="305"/>
      <c r="F49" s="117" t="s">
        <v>1645</v>
      </c>
      <c r="G49" s="116">
        <v>778.04600000000005</v>
      </c>
      <c r="H49" s="159"/>
      <c r="I49" s="108">
        <f t="shared" si="22"/>
        <v>0</v>
      </c>
      <c r="J49" s="108">
        <f t="shared" si="23"/>
        <v>0</v>
      </c>
      <c r="K49" s="108">
        <f t="shared" si="24"/>
        <v>0</v>
      </c>
      <c r="L49" s="111" t="s">
        <v>1671</v>
      </c>
      <c r="Z49" s="100">
        <f t="shared" si="25"/>
        <v>0</v>
      </c>
      <c r="AB49" s="100">
        <f t="shared" si="26"/>
        <v>0</v>
      </c>
      <c r="AC49" s="100">
        <f t="shared" si="27"/>
        <v>0</v>
      </c>
      <c r="AD49" s="100">
        <f t="shared" si="28"/>
        <v>0</v>
      </c>
      <c r="AE49" s="100">
        <f t="shared" si="29"/>
        <v>0</v>
      </c>
      <c r="AF49" s="100">
        <f t="shared" si="30"/>
        <v>0</v>
      </c>
      <c r="AG49" s="100">
        <f t="shared" si="31"/>
        <v>0</v>
      </c>
      <c r="AH49" s="100">
        <f t="shared" si="32"/>
        <v>0</v>
      </c>
      <c r="AI49" s="109"/>
      <c r="AJ49" s="108">
        <f t="shared" si="33"/>
        <v>0</v>
      </c>
      <c r="AK49" s="108">
        <f t="shared" si="34"/>
        <v>0</v>
      </c>
      <c r="AL49" s="108">
        <f t="shared" si="35"/>
        <v>0</v>
      </c>
      <c r="AN49" s="100">
        <v>15</v>
      </c>
      <c r="AO49" s="100">
        <f>H49*0</f>
        <v>0</v>
      </c>
      <c r="AP49" s="100">
        <f>H49*(1-0)</f>
        <v>0</v>
      </c>
      <c r="AQ49" s="111" t="s">
        <v>7</v>
      </c>
      <c r="AV49" s="100">
        <f t="shared" si="36"/>
        <v>0</v>
      </c>
      <c r="AW49" s="100">
        <f t="shared" si="37"/>
        <v>0</v>
      </c>
      <c r="AX49" s="100">
        <f t="shared" si="38"/>
        <v>0</v>
      </c>
      <c r="AY49" s="110" t="s">
        <v>1698</v>
      </c>
      <c r="AZ49" s="110" t="s">
        <v>1730</v>
      </c>
      <c r="BA49" s="109" t="s">
        <v>1737</v>
      </c>
      <c r="BC49" s="100">
        <f t="shared" si="39"/>
        <v>0</v>
      </c>
      <c r="BD49" s="100">
        <f t="shared" si="40"/>
        <v>0</v>
      </c>
      <c r="BE49" s="100">
        <v>0</v>
      </c>
      <c r="BF49" s="100">
        <f>49</f>
        <v>49</v>
      </c>
      <c r="BH49" s="108">
        <f t="shared" si="41"/>
        <v>0</v>
      </c>
      <c r="BI49" s="108">
        <f t="shared" si="42"/>
        <v>0</v>
      </c>
      <c r="BJ49" s="108">
        <f t="shared" si="43"/>
        <v>0</v>
      </c>
    </row>
    <row r="50" spans="1:62" x14ac:dyDescent="0.2">
      <c r="A50" s="117" t="s">
        <v>37</v>
      </c>
      <c r="B50" s="117" t="s">
        <v>637</v>
      </c>
      <c r="C50" s="304" t="s">
        <v>1143</v>
      </c>
      <c r="D50" s="305"/>
      <c r="E50" s="305"/>
      <c r="F50" s="117" t="s">
        <v>1645</v>
      </c>
      <c r="G50" s="116">
        <v>778.04600000000005</v>
      </c>
      <c r="H50" s="159"/>
      <c r="I50" s="108">
        <f t="shared" si="22"/>
        <v>0</v>
      </c>
      <c r="J50" s="108">
        <f t="shared" si="23"/>
        <v>0</v>
      </c>
      <c r="K50" s="108">
        <f t="shared" si="24"/>
        <v>0</v>
      </c>
      <c r="L50" s="111" t="s">
        <v>1671</v>
      </c>
      <c r="Z50" s="100">
        <f t="shared" si="25"/>
        <v>0</v>
      </c>
      <c r="AB50" s="100">
        <f t="shared" si="26"/>
        <v>0</v>
      </c>
      <c r="AC50" s="100">
        <f t="shared" si="27"/>
        <v>0</v>
      </c>
      <c r="AD50" s="100">
        <f t="shared" si="28"/>
        <v>0</v>
      </c>
      <c r="AE50" s="100">
        <f t="shared" si="29"/>
        <v>0</v>
      </c>
      <c r="AF50" s="100">
        <f t="shared" si="30"/>
        <v>0</v>
      </c>
      <c r="AG50" s="100">
        <f t="shared" si="31"/>
        <v>0</v>
      </c>
      <c r="AH50" s="100">
        <f t="shared" si="32"/>
        <v>0</v>
      </c>
      <c r="AI50" s="109"/>
      <c r="AJ50" s="108">
        <f t="shared" si="33"/>
        <v>0</v>
      </c>
      <c r="AK50" s="108">
        <f t="shared" si="34"/>
        <v>0</v>
      </c>
      <c r="AL50" s="108">
        <f t="shared" si="35"/>
        <v>0</v>
      </c>
      <c r="AN50" s="100">
        <v>15</v>
      </c>
      <c r="AO50" s="100">
        <f>H50*0</f>
        <v>0</v>
      </c>
      <c r="AP50" s="100">
        <f>H50*(1-0)</f>
        <v>0</v>
      </c>
      <c r="AQ50" s="111" t="s">
        <v>7</v>
      </c>
      <c r="AV50" s="100">
        <f t="shared" si="36"/>
        <v>0</v>
      </c>
      <c r="AW50" s="100">
        <f t="shared" si="37"/>
        <v>0</v>
      </c>
      <c r="AX50" s="100">
        <f t="shared" si="38"/>
        <v>0</v>
      </c>
      <c r="AY50" s="110" t="s">
        <v>1698</v>
      </c>
      <c r="AZ50" s="110" t="s">
        <v>1730</v>
      </c>
      <c r="BA50" s="109" t="s">
        <v>1737</v>
      </c>
      <c r="BC50" s="100">
        <f t="shared" si="39"/>
        <v>0</v>
      </c>
      <c r="BD50" s="100">
        <f t="shared" si="40"/>
        <v>0</v>
      </c>
      <c r="BE50" s="100">
        <v>0</v>
      </c>
      <c r="BF50" s="100">
        <f>50</f>
        <v>50</v>
      </c>
      <c r="BH50" s="108">
        <f t="shared" si="41"/>
        <v>0</v>
      </c>
      <c r="BI50" s="108">
        <f t="shared" si="42"/>
        <v>0</v>
      </c>
      <c r="BJ50" s="108">
        <f t="shared" si="43"/>
        <v>0</v>
      </c>
    </row>
    <row r="51" spans="1:62" x14ac:dyDescent="0.2">
      <c r="A51" s="117" t="s">
        <v>38</v>
      </c>
      <c r="B51" s="117" t="s">
        <v>638</v>
      </c>
      <c r="C51" s="304" t="s">
        <v>1144</v>
      </c>
      <c r="D51" s="305"/>
      <c r="E51" s="305"/>
      <c r="F51" s="117" t="s">
        <v>1645</v>
      </c>
      <c r="G51" s="116">
        <v>1556.0920000000001</v>
      </c>
      <c r="H51" s="159"/>
      <c r="I51" s="108">
        <f t="shared" si="22"/>
        <v>0</v>
      </c>
      <c r="J51" s="108">
        <f t="shared" si="23"/>
        <v>0</v>
      </c>
      <c r="K51" s="108">
        <f t="shared" si="24"/>
        <v>0</v>
      </c>
      <c r="L51" s="111" t="s">
        <v>1671</v>
      </c>
      <c r="Z51" s="100">
        <f t="shared" si="25"/>
        <v>0</v>
      </c>
      <c r="AB51" s="100">
        <f t="shared" si="26"/>
        <v>0</v>
      </c>
      <c r="AC51" s="100">
        <f t="shared" si="27"/>
        <v>0</v>
      </c>
      <c r="AD51" s="100">
        <f t="shared" si="28"/>
        <v>0</v>
      </c>
      <c r="AE51" s="100">
        <f t="shared" si="29"/>
        <v>0</v>
      </c>
      <c r="AF51" s="100">
        <f t="shared" si="30"/>
        <v>0</v>
      </c>
      <c r="AG51" s="100">
        <f t="shared" si="31"/>
        <v>0</v>
      </c>
      <c r="AH51" s="100">
        <f t="shared" si="32"/>
        <v>0</v>
      </c>
      <c r="AI51" s="109"/>
      <c r="AJ51" s="108">
        <f t="shared" si="33"/>
        <v>0</v>
      </c>
      <c r="AK51" s="108">
        <f t="shared" si="34"/>
        <v>0</v>
      </c>
      <c r="AL51" s="108">
        <f t="shared" si="35"/>
        <v>0</v>
      </c>
      <c r="AN51" s="100">
        <v>15</v>
      </c>
      <c r="AO51" s="100">
        <f>H51*0.999999866465363</f>
        <v>0</v>
      </c>
      <c r="AP51" s="100">
        <f>H51*(1-0.999999866465363)</f>
        <v>0</v>
      </c>
      <c r="AQ51" s="111" t="s">
        <v>7</v>
      </c>
      <c r="AV51" s="100">
        <f t="shared" si="36"/>
        <v>0</v>
      </c>
      <c r="AW51" s="100">
        <f t="shared" si="37"/>
        <v>0</v>
      </c>
      <c r="AX51" s="100">
        <f t="shared" si="38"/>
        <v>0</v>
      </c>
      <c r="AY51" s="110" t="s">
        <v>1698</v>
      </c>
      <c r="AZ51" s="110" t="s">
        <v>1730</v>
      </c>
      <c r="BA51" s="109" t="s">
        <v>1737</v>
      </c>
      <c r="BC51" s="100">
        <f t="shared" si="39"/>
        <v>0</v>
      </c>
      <c r="BD51" s="100">
        <f t="shared" si="40"/>
        <v>0</v>
      </c>
      <c r="BE51" s="100">
        <v>0</v>
      </c>
      <c r="BF51" s="100">
        <f>51</f>
        <v>51</v>
      </c>
      <c r="BH51" s="108">
        <f t="shared" si="41"/>
        <v>0</v>
      </c>
      <c r="BI51" s="108">
        <f t="shared" si="42"/>
        <v>0</v>
      </c>
      <c r="BJ51" s="108">
        <f t="shared" si="43"/>
        <v>0</v>
      </c>
    </row>
    <row r="52" spans="1:62" x14ac:dyDescent="0.2">
      <c r="A52" s="117" t="s">
        <v>39</v>
      </c>
      <c r="B52" s="117" t="s">
        <v>639</v>
      </c>
      <c r="C52" s="304" t="s">
        <v>1145</v>
      </c>
      <c r="D52" s="305"/>
      <c r="E52" s="305"/>
      <c r="F52" s="117" t="s">
        <v>1645</v>
      </c>
      <c r="G52" s="116">
        <v>778.04600000000005</v>
      </c>
      <c r="H52" s="159"/>
      <c r="I52" s="108">
        <f t="shared" si="22"/>
        <v>0</v>
      </c>
      <c r="J52" s="108">
        <f t="shared" si="23"/>
        <v>0</v>
      </c>
      <c r="K52" s="108">
        <f t="shared" si="24"/>
        <v>0</v>
      </c>
      <c r="L52" s="111" t="s">
        <v>1671</v>
      </c>
      <c r="Z52" s="100">
        <f t="shared" si="25"/>
        <v>0</v>
      </c>
      <c r="AB52" s="100">
        <f t="shared" si="26"/>
        <v>0</v>
      </c>
      <c r="AC52" s="100">
        <f t="shared" si="27"/>
        <v>0</v>
      </c>
      <c r="AD52" s="100">
        <f t="shared" si="28"/>
        <v>0</v>
      </c>
      <c r="AE52" s="100">
        <f t="shared" si="29"/>
        <v>0</v>
      </c>
      <c r="AF52" s="100">
        <f t="shared" si="30"/>
        <v>0</v>
      </c>
      <c r="AG52" s="100">
        <f t="shared" si="31"/>
        <v>0</v>
      </c>
      <c r="AH52" s="100">
        <f t="shared" si="32"/>
        <v>0</v>
      </c>
      <c r="AI52" s="109"/>
      <c r="AJ52" s="108">
        <f t="shared" si="33"/>
        <v>0</v>
      </c>
      <c r="AK52" s="108">
        <f t="shared" si="34"/>
        <v>0</v>
      </c>
      <c r="AL52" s="108">
        <f t="shared" si="35"/>
        <v>0</v>
      </c>
      <c r="AN52" s="100">
        <v>15</v>
      </c>
      <c r="AO52" s="100">
        <f>H52*0</f>
        <v>0</v>
      </c>
      <c r="AP52" s="100">
        <f>H52*(1-0)</f>
        <v>0</v>
      </c>
      <c r="AQ52" s="111" t="s">
        <v>7</v>
      </c>
      <c r="AV52" s="100">
        <f t="shared" si="36"/>
        <v>0</v>
      </c>
      <c r="AW52" s="100">
        <f t="shared" si="37"/>
        <v>0</v>
      </c>
      <c r="AX52" s="100">
        <f t="shared" si="38"/>
        <v>0</v>
      </c>
      <c r="AY52" s="110" t="s">
        <v>1698</v>
      </c>
      <c r="AZ52" s="110" t="s">
        <v>1730</v>
      </c>
      <c r="BA52" s="109" t="s">
        <v>1737</v>
      </c>
      <c r="BC52" s="100">
        <f t="shared" si="39"/>
        <v>0</v>
      </c>
      <c r="BD52" s="100">
        <f t="shared" si="40"/>
        <v>0</v>
      </c>
      <c r="BE52" s="100">
        <v>0</v>
      </c>
      <c r="BF52" s="100">
        <f>52</f>
        <v>52</v>
      </c>
      <c r="BH52" s="108">
        <f t="shared" si="41"/>
        <v>0</v>
      </c>
      <c r="BI52" s="108">
        <f t="shared" si="42"/>
        <v>0</v>
      </c>
      <c r="BJ52" s="108">
        <f t="shared" si="43"/>
        <v>0</v>
      </c>
    </row>
    <row r="53" spans="1:62" x14ac:dyDescent="0.2">
      <c r="A53" s="119"/>
      <c r="B53" s="120" t="s">
        <v>101</v>
      </c>
      <c r="C53" s="306" t="s">
        <v>1147</v>
      </c>
      <c r="D53" s="307"/>
      <c r="E53" s="307"/>
      <c r="F53" s="119" t="s">
        <v>6</v>
      </c>
      <c r="G53" s="119" t="s">
        <v>6</v>
      </c>
      <c r="H53" s="119" t="s">
        <v>6</v>
      </c>
      <c r="I53" s="118">
        <f>SUM(I54:I57)</f>
        <v>0</v>
      </c>
      <c r="J53" s="118">
        <f>SUM(J54:J57)</f>
        <v>0</v>
      </c>
      <c r="K53" s="118">
        <f>SUM(K54:K57)</f>
        <v>0</v>
      </c>
      <c r="L53" s="109"/>
      <c r="AI53" s="109"/>
      <c r="AS53" s="118">
        <f>SUM(AJ54:AJ57)</f>
        <v>0</v>
      </c>
      <c r="AT53" s="118">
        <f>SUM(AK54:AK57)</f>
        <v>0</v>
      </c>
      <c r="AU53" s="118">
        <f>SUM(AL54:AL57)</f>
        <v>0</v>
      </c>
    </row>
    <row r="54" spans="1:62" x14ac:dyDescent="0.2">
      <c r="A54" s="117" t="s">
        <v>40</v>
      </c>
      <c r="B54" s="117" t="s">
        <v>641</v>
      </c>
      <c r="C54" s="304" t="s">
        <v>1148</v>
      </c>
      <c r="D54" s="305"/>
      <c r="E54" s="305"/>
      <c r="F54" s="117" t="s">
        <v>1645</v>
      </c>
      <c r="G54" s="116">
        <v>85.671999999999997</v>
      </c>
      <c r="H54" s="159"/>
      <c r="I54" s="108">
        <f>G54*AO54</f>
        <v>0</v>
      </c>
      <c r="J54" s="108">
        <f>G54*AP54</f>
        <v>0</v>
      </c>
      <c r="K54" s="108">
        <f>G54*H54</f>
        <v>0</v>
      </c>
      <c r="L54" s="111" t="s">
        <v>1671</v>
      </c>
      <c r="Z54" s="100">
        <f>IF(AQ54="5",BJ54,0)</f>
        <v>0</v>
      </c>
      <c r="AB54" s="100">
        <f>IF(AQ54="1",BH54,0)</f>
        <v>0</v>
      </c>
      <c r="AC54" s="100">
        <f>IF(AQ54="1",BI54,0)</f>
        <v>0</v>
      </c>
      <c r="AD54" s="100">
        <f>IF(AQ54="7",BH54,0)</f>
        <v>0</v>
      </c>
      <c r="AE54" s="100">
        <f>IF(AQ54="7",BI54,0)</f>
        <v>0</v>
      </c>
      <c r="AF54" s="100">
        <f>IF(AQ54="2",BH54,0)</f>
        <v>0</v>
      </c>
      <c r="AG54" s="100">
        <f>IF(AQ54="2",BI54,0)</f>
        <v>0</v>
      </c>
      <c r="AH54" s="100">
        <f>IF(AQ54="0",BJ54,0)</f>
        <v>0</v>
      </c>
      <c r="AI54" s="109"/>
      <c r="AJ54" s="108">
        <f>IF(AN54=0,K54,0)</f>
        <v>0</v>
      </c>
      <c r="AK54" s="108">
        <f>IF(AN54=15,K54,0)</f>
        <v>0</v>
      </c>
      <c r="AL54" s="108">
        <f>IF(AN54=21,K54,0)</f>
        <v>0</v>
      </c>
      <c r="AN54" s="100">
        <v>15</v>
      </c>
      <c r="AO54" s="100">
        <f>H54*0.0189490120965443</f>
        <v>0</v>
      </c>
      <c r="AP54" s="100">
        <f>H54*(1-0.0189490120965443)</f>
        <v>0</v>
      </c>
      <c r="AQ54" s="111" t="s">
        <v>7</v>
      </c>
      <c r="AV54" s="100">
        <f>AW54+AX54</f>
        <v>0</v>
      </c>
      <c r="AW54" s="100">
        <f>G54*AO54</f>
        <v>0</v>
      </c>
      <c r="AX54" s="100">
        <f>G54*AP54</f>
        <v>0</v>
      </c>
      <c r="AY54" s="110" t="s">
        <v>1699</v>
      </c>
      <c r="AZ54" s="110" t="s">
        <v>1730</v>
      </c>
      <c r="BA54" s="109" t="s">
        <v>1737</v>
      </c>
      <c r="BC54" s="100">
        <f>AW54+AX54</f>
        <v>0</v>
      </c>
      <c r="BD54" s="100">
        <f>H54/(100-BE54)*100</f>
        <v>0</v>
      </c>
      <c r="BE54" s="100">
        <v>0</v>
      </c>
      <c r="BF54" s="100">
        <f>54</f>
        <v>54</v>
      </c>
      <c r="BH54" s="108">
        <f>G54*AO54</f>
        <v>0</v>
      </c>
      <c r="BI54" s="108">
        <f>G54*AP54</f>
        <v>0</v>
      </c>
      <c r="BJ54" s="108">
        <f>G54*H54</f>
        <v>0</v>
      </c>
    </row>
    <row r="55" spans="1:62" x14ac:dyDescent="0.2">
      <c r="A55" s="117" t="s">
        <v>41</v>
      </c>
      <c r="B55" s="117" t="s">
        <v>642</v>
      </c>
      <c r="C55" s="304" t="s">
        <v>1149</v>
      </c>
      <c r="D55" s="305"/>
      <c r="E55" s="305"/>
      <c r="F55" s="117" t="s">
        <v>1645</v>
      </c>
      <c r="G55" s="116">
        <v>17.100000000000001</v>
      </c>
      <c r="H55" s="159"/>
      <c r="I55" s="108">
        <f>G55*AO55</f>
        <v>0</v>
      </c>
      <c r="J55" s="108">
        <f>G55*AP55</f>
        <v>0</v>
      </c>
      <c r="K55" s="108">
        <f>G55*H55</f>
        <v>0</v>
      </c>
      <c r="L55" s="111" t="s">
        <v>1671</v>
      </c>
      <c r="Z55" s="100">
        <f>IF(AQ55="5",BJ55,0)</f>
        <v>0</v>
      </c>
      <c r="AB55" s="100">
        <f>IF(AQ55="1",BH55,0)</f>
        <v>0</v>
      </c>
      <c r="AC55" s="100">
        <f>IF(AQ55="1",BI55,0)</f>
        <v>0</v>
      </c>
      <c r="AD55" s="100">
        <f>IF(AQ55="7",BH55,0)</f>
        <v>0</v>
      </c>
      <c r="AE55" s="100">
        <f>IF(AQ55="7",BI55,0)</f>
        <v>0</v>
      </c>
      <c r="AF55" s="100">
        <f>IF(AQ55="2",BH55,0)</f>
        <v>0</v>
      </c>
      <c r="AG55" s="100">
        <f>IF(AQ55="2",BI55,0)</f>
        <v>0</v>
      </c>
      <c r="AH55" s="100">
        <f>IF(AQ55="0",BJ55,0)</f>
        <v>0</v>
      </c>
      <c r="AI55" s="109"/>
      <c r="AJ55" s="108">
        <f>IF(AN55=0,K55,0)</f>
        <v>0</v>
      </c>
      <c r="AK55" s="108">
        <f>IF(AN55=15,K55,0)</f>
        <v>0</v>
      </c>
      <c r="AL55" s="108">
        <f>IF(AN55=21,K55,0)</f>
        <v>0</v>
      </c>
      <c r="AN55" s="100">
        <v>15</v>
      </c>
      <c r="AO55" s="100">
        <f>H55*0.0118672199170124</f>
        <v>0</v>
      </c>
      <c r="AP55" s="100">
        <f>H55*(1-0.0118672199170124)</f>
        <v>0</v>
      </c>
      <c r="AQ55" s="111" t="s">
        <v>7</v>
      </c>
      <c r="AV55" s="100">
        <f>AW55+AX55</f>
        <v>0</v>
      </c>
      <c r="AW55" s="100">
        <f>G55*AO55</f>
        <v>0</v>
      </c>
      <c r="AX55" s="100">
        <f>G55*AP55</f>
        <v>0</v>
      </c>
      <c r="AY55" s="110" t="s">
        <v>1699</v>
      </c>
      <c r="AZ55" s="110" t="s">
        <v>1730</v>
      </c>
      <c r="BA55" s="109" t="s">
        <v>1737</v>
      </c>
      <c r="BC55" s="100">
        <f>AW55+AX55</f>
        <v>0</v>
      </c>
      <c r="BD55" s="100">
        <f>H55/(100-BE55)*100</f>
        <v>0</v>
      </c>
      <c r="BE55" s="100">
        <v>0</v>
      </c>
      <c r="BF55" s="100">
        <f>55</f>
        <v>55</v>
      </c>
      <c r="BH55" s="108">
        <f>G55*AO55</f>
        <v>0</v>
      </c>
      <c r="BI55" s="108">
        <f>G55*AP55</f>
        <v>0</v>
      </c>
      <c r="BJ55" s="108">
        <f>G55*H55</f>
        <v>0</v>
      </c>
    </row>
    <row r="56" spans="1:62" x14ac:dyDescent="0.2">
      <c r="A56" s="117" t="s">
        <v>42</v>
      </c>
      <c r="B56" s="117" t="s">
        <v>3180</v>
      </c>
      <c r="C56" s="304" t="s">
        <v>4406</v>
      </c>
      <c r="D56" s="305"/>
      <c r="E56" s="305"/>
      <c r="F56" s="117" t="s">
        <v>1644</v>
      </c>
      <c r="G56" s="116">
        <v>1</v>
      </c>
      <c r="H56" s="159"/>
      <c r="I56" s="108">
        <f>G56*AO56</f>
        <v>0</v>
      </c>
      <c r="J56" s="108">
        <f>G56*AP56</f>
        <v>0</v>
      </c>
      <c r="K56" s="108">
        <f>G56*H56</f>
        <v>0</v>
      </c>
      <c r="L56" s="111" t="s">
        <v>1671</v>
      </c>
      <c r="Z56" s="100">
        <f>IF(AQ56="5",BJ56,0)</f>
        <v>0</v>
      </c>
      <c r="AB56" s="100">
        <f>IF(AQ56="1",BH56,0)</f>
        <v>0</v>
      </c>
      <c r="AC56" s="100">
        <f>IF(AQ56="1",BI56,0)</f>
        <v>0</v>
      </c>
      <c r="AD56" s="100">
        <f>IF(AQ56="7",BH56,0)</f>
        <v>0</v>
      </c>
      <c r="AE56" s="100">
        <f>IF(AQ56="7",BI56,0)</f>
        <v>0</v>
      </c>
      <c r="AF56" s="100">
        <f>IF(AQ56="2",BH56,0)</f>
        <v>0</v>
      </c>
      <c r="AG56" s="100">
        <f>IF(AQ56="2",BI56,0)</f>
        <v>0</v>
      </c>
      <c r="AH56" s="100">
        <f>IF(AQ56="0",BJ56,0)</f>
        <v>0</v>
      </c>
      <c r="AI56" s="109"/>
      <c r="AJ56" s="108">
        <f>IF(AN56=0,K56,0)</f>
        <v>0</v>
      </c>
      <c r="AK56" s="108">
        <f>IF(AN56=15,K56,0)</f>
        <v>0</v>
      </c>
      <c r="AL56" s="108">
        <f>IF(AN56=21,K56,0)</f>
        <v>0</v>
      </c>
      <c r="AN56" s="100">
        <v>15</v>
      </c>
      <c r="AO56" s="100">
        <f>H56*0.0119666666666667</f>
        <v>0</v>
      </c>
      <c r="AP56" s="100">
        <f>H56*(1-0.0119666666666667)</f>
        <v>0</v>
      </c>
      <c r="AQ56" s="111" t="s">
        <v>7</v>
      </c>
      <c r="AV56" s="100">
        <f>AW56+AX56</f>
        <v>0</v>
      </c>
      <c r="AW56" s="100">
        <f>G56*AO56</f>
        <v>0</v>
      </c>
      <c r="AX56" s="100">
        <f>G56*AP56</f>
        <v>0</v>
      </c>
      <c r="AY56" s="110" t="s">
        <v>1699</v>
      </c>
      <c r="AZ56" s="110" t="s">
        <v>1730</v>
      </c>
      <c r="BA56" s="109" t="s">
        <v>1737</v>
      </c>
      <c r="BC56" s="100">
        <f>AW56+AX56</f>
        <v>0</v>
      </c>
      <c r="BD56" s="100">
        <f>H56/(100-BE56)*100</f>
        <v>0</v>
      </c>
      <c r="BE56" s="100">
        <v>0</v>
      </c>
      <c r="BF56" s="100">
        <f>56</f>
        <v>56</v>
      </c>
      <c r="BH56" s="108">
        <f>G56*AO56</f>
        <v>0</v>
      </c>
      <c r="BI56" s="108">
        <f>G56*AP56</f>
        <v>0</v>
      </c>
      <c r="BJ56" s="108">
        <f>G56*H56</f>
        <v>0</v>
      </c>
    </row>
    <row r="57" spans="1:62" x14ac:dyDescent="0.2">
      <c r="A57" s="117" t="s">
        <v>43</v>
      </c>
      <c r="B57" s="117" t="s">
        <v>646</v>
      </c>
      <c r="C57" s="304" t="s">
        <v>1153</v>
      </c>
      <c r="D57" s="305"/>
      <c r="E57" s="305"/>
      <c r="F57" s="117" t="s">
        <v>1650</v>
      </c>
      <c r="G57" s="116">
        <v>30</v>
      </c>
      <c r="H57" s="159"/>
      <c r="I57" s="108">
        <f>G57*AO57</f>
        <v>0</v>
      </c>
      <c r="J57" s="108">
        <f>G57*AP57</f>
        <v>0</v>
      </c>
      <c r="K57" s="108">
        <f>G57*H57</f>
        <v>0</v>
      </c>
      <c r="L57" s="111" t="s">
        <v>1671</v>
      </c>
      <c r="Z57" s="100">
        <f>IF(AQ57="5",BJ57,0)</f>
        <v>0</v>
      </c>
      <c r="AB57" s="100">
        <f>IF(AQ57="1",BH57,0)</f>
        <v>0</v>
      </c>
      <c r="AC57" s="100">
        <f>IF(AQ57="1",BI57,0)</f>
        <v>0</v>
      </c>
      <c r="AD57" s="100">
        <f>IF(AQ57="7",BH57,0)</f>
        <v>0</v>
      </c>
      <c r="AE57" s="100">
        <f>IF(AQ57="7",BI57,0)</f>
        <v>0</v>
      </c>
      <c r="AF57" s="100">
        <f>IF(AQ57="2",BH57,0)</f>
        <v>0</v>
      </c>
      <c r="AG57" s="100">
        <f>IF(AQ57="2",BI57,0)</f>
        <v>0</v>
      </c>
      <c r="AH57" s="100">
        <f>IF(AQ57="0",BJ57,0)</f>
        <v>0</v>
      </c>
      <c r="AI57" s="109"/>
      <c r="AJ57" s="108">
        <f>IF(AN57=0,K57,0)</f>
        <v>0</v>
      </c>
      <c r="AK57" s="108">
        <f>IF(AN57=15,K57,0)</f>
        <v>0</v>
      </c>
      <c r="AL57" s="108">
        <f>IF(AN57=21,K57,0)</f>
        <v>0</v>
      </c>
      <c r="AN57" s="100">
        <v>15</v>
      </c>
      <c r="AO57" s="100">
        <f>H57*0.412803738317757</f>
        <v>0</v>
      </c>
      <c r="AP57" s="100">
        <f>H57*(1-0.412803738317757)</f>
        <v>0</v>
      </c>
      <c r="AQ57" s="111" t="s">
        <v>7</v>
      </c>
      <c r="AV57" s="100">
        <f>AW57+AX57</f>
        <v>0</v>
      </c>
      <c r="AW57" s="100">
        <f>G57*AO57</f>
        <v>0</v>
      </c>
      <c r="AX57" s="100">
        <f>G57*AP57</f>
        <v>0</v>
      </c>
      <c r="AY57" s="110" t="s">
        <v>1699</v>
      </c>
      <c r="AZ57" s="110" t="s">
        <v>1730</v>
      </c>
      <c r="BA57" s="109" t="s">
        <v>1737</v>
      </c>
      <c r="BC57" s="100">
        <f>AW57+AX57</f>
        <v>0</v>
      </c>
      <c r="BD57" s="100">
        <f>H57/(100-BE57)*100</f>
        <v>0</v>
      </c>
      <c r="BE57" s="100">
        <v>0</v>
      </c>
      <c r="BF57" s="100">
        <f>57</f>
        <v>57</v>
      </c>
      <c r="BH57" s="108">
        <f>G57*AO57</f>
        <v>0</v>
      </c>
      <c r="BI57" s="108">
        <f>G57*AP57</f>
        <v>0</v>
      </c>
      <c r="BJ57" s="108">
        <f>G57*H57</f>
        <v>0</v>
      </c>
    </row>
    <row r="58" spans="1:62" x14ac:dyDescent="0.2">
      <c r="A58" s="119"/>
      <c r="B58" s="120" t="s">
        <v>102</v>
      </c>
      <c r="C58" s="306" t="s">
        <v>1158</v>
      </c>
      <c r="D58" s="307"/>
      <c r="E58" s="307"/>
      <c r="F58" s="119" t="s">
        <v>6</v>
      </c>
      <c r="G58" s="119" t="s">
        <v>6</v>
      </c>
      <c r="H58" s="119" t="s">
        <v>6</v>
      </c>
      <c r="I58" s="118">
        <f>SUM(I59:I63)</f>
        <v>0</v>
      </c>
      <c r="J58" s="118">
        <f>SUM(J59:J63)</f>
        <v>0</v>
      </c>
      <c r="K58" s="118">
        <f>SUM(K59:K63)</f>
        <v>0</v>
      </c>
      <c r="L58" s="109"/>
      <c r="AI58" s="109"/>
      <c r="AS58" s="118">
        <f>SUM(AJ59:AJ63)</f>
        <v>0</v>
      </c>
      <c r="AT58" s="118">
        <f>SUM(AK59:AK63)</f>
        <v>0</v>
      </c>
      <c r="AU58" s="118">
        <f>SUM(AL59:AL63)</f>
        <v>0</v>
      </c>
    </row>
    <row r="59" spans="1:62" x14ac:dyDescent="0.2">
      <c r="A59" s="117" t="s">
        <v>44</v>
      </c>
      <c r="B59" s="117" t="s">
        <v>653</v>
      </c>
      <c r="C59" s="304" t="s">
        <v>4405</v>
      </c>
      <c r="D59" s="305"/>
      <c r="E59" s="305"/>
      <c r="F59" s="117" t="s">
        <v>1647</v>
      </c>
      <c r="G59" s="116">
        <v>0.12</v>
      </c>
      <c r="H59" s="159"/>
      <c r="I59" s="108">
        <f>G59*AO59</f>
        <v>0</v>
      </c>
      <c r="J59" s="108">
        <f>G59*AP59</f>
        <v>0</v>
      </c>
      <c r="K59" s="108">
        <f>G59*H59</f>
        <v>0</v>
      </c>
      <c r="L59" s="111" t="s">
        <v>1671</v>
      </c>
      <c r="Z59" s="100">
        <f>IF(AQ59="5",BJ59,0)</f>
        <v>0</v>
      </c>
      <c r="AB59" s="100">
        <f>IF(AQ59="1",BH59,0)</f>
        <v>0</v>
      </c>
      <c r="AC59" s="100">
        <f>IF(AQ59="1",BI59,0)</f>
        <v>0</v>
      </c>
      <c r="AD59" s="100">
        <f>IF(AQ59="7",BH59,0)</f>
        <v>0</v>
      </c>
      <c r="AE59" s="100">
        <f>IF(AQ59="7",BI59,0)</f>
        <v>0</v>
      </c>
      <c r="AF59" s="100">
        <f>IF(AQ59="2",BH59,0)</f>
        <v>0</v>
      </c>
      <c r="AG59" s="100">
        <f>IF(AQ59="2",BI59,0)</f>
        <v>0</v>
      </c>
      <c r="AH59" s="100">
        <f>IF(AQ59="0",BJ59,0)</f>
        <v>0</v>
      </c>
      <c r="AI59" s="109"/>
      <c r="AJ59" s="108">
        <f>IF(AN59=0,K59,0)</f>
        <v>0</v>
      </c>
      <c r="AK59" s="108">
        <f>IF(AN59=15,K59,0)</f>
        <v>0</v>
      </c>
      <c r="AL59" s="108">
        <f>IF(AN59=21,K59,0)</f>
        <v>0</v>
      </c>
      <c r="AN59" s="100">
        <v>15</v>
      </c>
      <c r="AO59" s="100">
        <f>H59*0</f>
        <v>0</v>
      </c>
      <c r="AP59" s="100">
        <f>H59*(1-0)</f>
        <v>0</v>
      </c>
      <c r="AQ59" s="111" t="s">
        <v>7</v>
      </c>
      <c r="AV59" s="100">
        <f>AW59+AX59</f>
        <v>0</v>
      </c>
      <c r="AW59" s="100">
        <f>G59*AO59</f>
        <v>0</v>
      </c>
      <c r="AX59" s="100">
        <f>G59*AP59</f>
        <v>0</v>
      </c>
      <c r="AY59" s="110" t="s">
        <v>1700</v>
      </c>
      <c r="AZ59" s="110" t="s">
        <v>1730</v>
      </c>
      <c r="BA59" s="109" t="s">
        <v>1737</v>
      </c>
      <c r="BC59" s="100">
        <f>AW59+AX59</f>
        <v>0</v>
      </c>
      <c r="BD59" s="100">
        <f>H59/(100-BE59)*100</f>
        <v>0</v>
      </c>
      <c r="BE59" s="100">
        <v>0</v>
      </c>
      <c r="BF59" s="100">
        <f>59</f>
        <v>59</v>
      </c>
      <c r="BH59" s="108">
        <f>G59*AO59</f>
        <v>0</v>
      </c>
      <c r="BI59" s="108">
        <f>G59*AP59</f>
        <v>0</v>
      </c>
      <c r="BJ59" s="108">
        <f>G59*H59</f>
        <v>0</v>
      </c>
    </row>
    <row r="60" spans="1:62" x14ac:dyDescent="0.2">
      <c r="A60" s="117" t="s">
        <v>45</v>
      </c>
      <c r="B60" s="117" t="s">
        <v>658</v>
      </c>
      <c r="C60" s="304" t="s">
        <v>4404</v>
      </c>
      <c r="D60" s="305"/>
      <c r="E60" s="305"/>
      <c r="F60" s="117" t="s">
        <v>1645</v>
      </c>
      <c r="G60" s="116">
        <v>17.100000000000001</v>
      </c>
      <c r="H60" s="159"/>
      <c r="I60" s="108">
        <f>G60*AO60</f>
        <v>0</v>
      </c>
      <c r="J60" s="108">
        <f>G60*AP60</f>
        <v>0</v>
      </c>
      <c r="K60" s="108">
        <f>G60*H60</f>
        <v>0</v>
      </c>
      <c r="L60" s="111" t="s">
        <v>1671</v>
      </c>
      <c r="Z60" s="100">
        <f>IF(AQ60="5",BJ60,0)</f>
        <v>0</v>
      </c>
      <c r="AB60" s="100">
        <f>IF(AQ60="1",BH60,0)</f>
        <v>0</v>
      </c>
      <c r="AC60" s="100">
        <f>IF(AQ60="1",BI60,0)</f>
        <v>0</v>
      </c>
      <c r="AD60" s="100">
        <f>IF(AQ60="7",BH60,0)</f>
        <v>0</v>
      </c>
      <c r="AE60" s="100">
        <f>IF(AQ60="7",BI60,0)</f>
        <v>0</v>
      </c>
      <c r="AF60" s="100">
        <f>IF(AQ60="2",BH60,0)</f>
        <v>0</v>
      </c>
      <c r="AG60" s="100">
        <f>IF(AQ60="2",BI60,0)</f>
        <v>0</v>
      </c>
      <c r="AH60" s="100">
        <f>IF(AQ60="0",BJ60,0)</f>
        <v>0</v>
      </c>
      <c r="AI60" s="109"/>
      <c r="AJ60" s="108">
        <f>IF(AN60=0,K60,0)</f>
        <v>0</v>
      </c>
      <c r="AK60" s="108">
        <f>IF(AN60=15,K60,0)</f>
        <v>0</v>
      </c>
      <c r="AL60" s="108">
        <f>IF(AN60=21,K60,0)</f>
        <v>0</v>
      </c>
      <c r="AN60" s="100">
        <v>15</v>
      </c>
      <c r="AO60" s="100">
        <f>H60*0</f>
        <v>0</v>
      </c>
      <c r="AP60" s="100">
        <f>H60*(1-0)</f>
        <v>0</v>
      </c>
      <c r="AQ60" s="111" t="s">
        <v>7</v>
      </c>
      <c r="AV60" s="100">
        <f>AW60+AX60</f>
        <v>0</v>
      </c>
      <c r="AW60" s="100">
        <f>G60*AO60</f>
        <v>0</v>
      </c>
      <c r="AX60" s="100">
        <f>G60*AP60</f>
        <v>0</v>
      </c>
      <c r="AY60" s="110" t="s">
        <v>1700</v>
      </c>
      <c r="AZ60" s="110" t="s">
        <v>1730</v>
      </c>
      <c r="BA60" s="109" t="s">
        <v>1737</v>
      </c>
      <c r="BC60" s="100">
        <f>AW60+AX60</f>
        <v>0</v>
      </c>
      <c r="BD60" s="100">
        <f>H60/(100-BE60)*100</f>
        <v>0</v>
      </c>
      <c r="BE60" s="100">
        <v>0</v>
      </c>
      <c r="BF60" s="100">
        <f>60</f>
        <v>60</v>
      </c>
      <c r="BH60" s="108">
        <f>G60*AO60</f>
        <v>0</v>
      </c>
      <c r="BI60" s="108">
        <f>G60*AP60</f>
        <v>0</v>
      </c>
      <c r="BJ60" s="108">
        <f>G60*H60</f>
        <v>0</v>
      </c>
    </row>
    <row r="61" spans="1:62" x14ac:dyDescent="0.2">
      <c r="A61" s="117" t="s">
        <v>46</v>
      </c>
      <c r="B61" s="117" t="s">
        <v>659</v>
      </c>
      <c r="C61" s="304" t="s">
        <v>4403</v>
      </c>
      <c r="D61" s="305"/>
      <c r="E61" s="305"/>
      <c r="F61" s="117" t="s">
        <v>1646</v>
      </c>
      <c r="G61" s="116">
        <v>15.7</v>
      </c>
      <c r="H61" s="159"/>
      <c r="I61" s="108">
        <f>G61*AO61</f>
        <v>0</v>
      </c>
      <c r="J61" s="108">
        <f>G61*AP61</f>
        <v>0</v>
      </c>
      <c r="K61" s="108">
        <f>G61*H61</f>
        <v>0</v>
      </c>
      <c r="L61" s="111" t="s">
        <v>1671</v>
      </c>
      <c r="Z61" s="100">
        <f>IF(AQ61="5",BJ61,0)</f>
        <v>0</v>
      </c>
      <c r="AB61" s="100">
        <f>IF(AQ61="1",BH61,0)</f>
        <v>0</v>
      </c>
      <c r="AC61" s="100">
        <f>IF(AQ61="1",BI61,0)</f>
        <v>0</v>
      </c>
      <c r="AD61" s="100">
        <f>IF(AQ61="7",BH61,0)</f>
        <v>0</v>
      </c>
      <c r="AE61" s="100">
        <f>IF(AQ61="7",BI61,0)</f>
        <v>0</v>
      </c>
      <c r="AF61" s="100">
        <f>IF(AQ61="2",BH61,0)</f>
        <v>0</v>
      </c>
      <c r="AG61" s="100">
        <f>IF(AQ61="2",BI61,0)</f>
        <v>0</v>
      </c>
      <c r="AH61" s="100">
        <f>IF(AQ61="0",BJ61,0)</f>
        <v>0</v>
      </c>
      <c r="AI61" s="109"/>
      <c r="AJ61" s="108">
        <f>IF(AN61=0,K61,0)</f>
        <v>0</v>
      </c>
      <c r="AK61" s="108">
        <f>IF(AN61=15,K61,0)</f>
        <v>0</v>
      </c>
      <c r="AL61" s="108">
        <f>IF(AN61=21,K61,0)</f>
        <v>0</v>
      </c>
      <c r="AN61" s="100">
        <v>15</v>
      </c>
      <c r="AO61" s="100">
        <f>H61*0</f>
        <v>0</v>
      </c>
      <c r="AP61" s="100">
        <f>H61*(1-0)</f>
        <v>0</v>
      </c>
      <c r="AQ61" s="111" t="s">
        <v>7</v>
      </c>
      <c r="AV61" s="100">
        <f>AW61+AX61</f>
        <v>0</v>
      </c>
      <c r="AW61" s="100">
        <f>G61*AO61</f>
        <v>0</v>
      </c>
      <c r="AX61" s="100">
        <f>G61*AP61</f>
        <v>0</v>
      </c>
      <c r="AY61" s="110" t="s">
        <v>1700</v>
      </c>
      <c r="AZ61" s="110" t="s">
        <v>1730</v>
      </c>
      <c r="BA61" s="109" t="s">
        <v>1737</v>
      </c>
      <c r="BC61" s="100">
        <f>AW61+AX61</f>
        <v>0</v>
      </c>
      <c r="BD61" s="100">
        <f>H61/(100-BE61)*100</f>
        <v>0</v>
      </c>
      <c r="BE61" s="100">
        <v>0</v>
      </c>
      <c r="BF61" s="100">
        <f>61</f>
        <v>61</v>
      </c>
      <c r="BH61" s="108">
        <f>G61*AO61</f>
        <v>0</v>
      </c>
      <c r="BI61" s="108">
        <f>G61*AP61</f>
        <v>0</v>
      </c>
      <c r="BJ61" s="108">
        <f>G61*H61</f>
        <v>0</v>
      </c>
    </row>
    <row r="62" spans="1:62" x14ac:dyDescent="0.2">
      <c r="A62" s="117" t="s">
        <v>47</v>
      </c>
      <c r="B62" s="117" t="s">
        <v>660</v>
      </c>
      <c r="C62" s="304" t="s">
        <v>4402</v>
      </c>
      <c r="D62" s="305"/>
      <c r="E62" s="305"/>
      <c r="F62" s="117" t="s">
        <v>1645</v>
      </c>
      <c r="G62" s="116">
        <v>17.100000000000001</v>
      </c>
      <c r="H62" s="159"/>
      <c r="I62" s="108">
        <f>G62*AO62</f>
        <v>0</v>
      </c>
      <c r="J62" s="108">
        <f>G62*AP62</f>
        <v>0</v>
      </c>
      <c r="K62" s="108">
        <f>G62*H62</f>
        <v>0</v>
      </c>
      <c r="L62" s="111" t="s">
        <v>1671</v>
      </c>
      <c r="Z62" s="100">
        <f>IF(AQ62="5",BJ62,0)</f>
        <v>0</v>
      </c>
      <c r="AB62" s="100">
        <f>IF(AQ62="1",BH62,0)</f>
        <v>0</v>
      </c>
      <c r="AC62" s="100">
        <f>IF(AQ62="1",BI62,0)</f>
        <v>0</v>
      </c>
      <c r="AD62" s="100">
        <f>IF(AQ62="7",BH62,0)</f>
        <v>0</v>
      </c>
      <c r="AE62" s="100">
        <f>IF(AQ62="7",BI62,0)</f>
        <v>0</v>
      </c>
      <c r="AF62" s="100">
        <f>IF(AQ62="2",BH62,0)</f>
        <v>0</v>
      </c>
      <c r="AG62" s="100">
        <f>IF(AQ62="2",BI62,0)</f>
        <v>0</v>
      </c>
      <c r="AH62" s="100">
        <f>IF(AQ62="0",BJ62,0)</f>
        <v>0</v>
      </c>
      <c r="AI62" s="109"/>
      <c r="AJ62" s="108">
        <f>IF(AN62=0,K62,0)</f>
        <v>0</v>
      </c>
      <c r="AK62" s="108">
        <f>IF(AN62=15,K62,0)</f>
        <v>0</v>
      </c>
      <c r="AL62" s="108">
        <f>IF(AN62=21,K62,0)</f>
        <v>0</v>
      </c>
      <c r="AN62" s="100">
        <v>15</v>
      </c>
      <c r="AO62" s="100">
        <f>H62*0</f>
        <v>0</v>
      </c>
      <c r="AP62" s="100">
        <f>H62*(1-0)</f>
        <v>0</v>
      </c>
      <c r="AQ62" s="111" t="s">
        <v>7</v>
      </c>
      <c r="AV62" s="100">
        <f>AW62+AX62</f>
        <v>0</v>
      </c>
      <c r="AW62" s="100">
        <f>G62*AO62</f>
        <v>0</v>
      </c>
      <c r="AX62" s="100">
        <f>G62*AP62</f>
        <v>0</v>
      </c>
      <c r="AY62" s="110" t="s">
        <v>1700</v>
      </c>
      <c r="AZ62" s="110" t="s">
        <v>1730</v>
      </c>
      <c r="BA62" s="109" t="s">
        <v>1737</v>
      </c>
      <c r="BC62" s="100">
        <f>AW62+AX62</f>
        <v>0</v>
      </c>
      <c r="BD62" s="100">
        <f>H62/(100-BE62)*100</f>
        <v>0</v>
      </c>
      <c r="BE62" s="100">
        <v>0</v>
      </c>
      <c r="BF62" s="100">
        <f>62</f>
        <v>62</v>
      </c>
      <c r="BH62" s="108">
        <f>G62*AO62</f>
        <v>0</v>
      </c>
      <c r="BI62" s="108">
        <f>G62*AP62</f>
        <v>0</v>
      </c>
      <c r="BJ62" s="108">
        <f>G62*H62</f>
        <v>0</v>
      </c>
    </row>
    <row r="63" spans="1:62" x14ac:dyDescent="0.2">
      <c r="A63" s="117" t="s">
        <v>48</v>
      </c>
      <c r="B63" s="117" t="s">
        <v>2145</v>
      </c>
      <c r="C63" s="304" t="s">
        <v>4401</v>
      </c>
      <c r="D63" s="305"/>
      <c r="E63" s="305"/>
      <c r="F63" s="117" t="s">
        <v>1644</v>
      </c>
      <c r="G63" s="116">
        <v>1</v>
      </c>
      <c r="H63" s="159"/>
      <c r="I63" s="108">
        <f>G63*AO63</f>
        <v>0</v>
      </c>
      <c r="J63" s="108">
        <f>G63*AP63</f>
        <v>0</v>
      </c>
      <c r="K63" s="108">
        <f>G63*H63</f>
        <v>0</v>
      </c>
      <c r="L63" s="111" t="s">
        <v>1671</v>
      </c>
      <c r="Z63" s="100">
        <f>IF(AQ63="5",BJ63,0)</f>
        <v>0</v>
      </c>
      <c r="AB63" s="100">
        <f>IF(AQ63="1",BH63,0)</f>
        <v>0</v>
      </c>
      <c r="AC63" s="100">
        <f>IF(AQ63="1",BI63,0)</f>
        <v>0</v>
      </c>
      <c r="AD63" s="100">
        <f>IF(AQ63="7",BH63,0)</f>
        <v>0</v>
      </c>
      <c r="AE63" s="100">
        <f>IF(AQ63="7",BI63,0)</f>
        <v>0</v>
      </c>
      <c r="AF63" s="100">
        <f>IF(AQ63="2",BH63,0)</f>
        <v>0</v>
      </c>
      <c r="AG63" s="100">
        <f>IF(AQ63="2",BI63,0)</f>
        <v>0</v>
      </c>
      <c r="AH63" s="100">
        <f>IF(AQ63="0",BJ63,0)</f>
        <v>0</v>
      </c>
      <c r="AI63" s="109"/>
      <c r="AJ63" s="108">
        <f>IF(AN63=0,K63,0)</f>
        <v>0</v>
      </c>
      <c r="AK63" s="108">
        <f>IF(AN63=15,K63,0)</f>
        <v>0</v>
      </c>
      <c r="AL63" s="108">
        <f>IF(AN63=21,K63,0)</f>
        <v>0</v>
      </c>
      <c r="AN63" s="100">
        <v>15</v>
      </c>
      <c r="AO63" s="100">
        <f>H63*0.14559</f>
        <v>0</v>
      </c>
      <c r="AP63" s="100">
        <f>H63*(1-0.14559)</f>
        <v>0</v>
      </c>
      <c r="AQ63" s="111" t="s">
        <v>7</v>
      </c>
      <c r="AV63" s="100">
        <f>AW63+AX63</f>
        <v>0</v>
      </c>
      <c r="AW63" s="100">
        <f>G63*AO63</f>
        <v>0</v>
      </c>
      <c r="AX63" s="100">
        <f>G63*AP63</f>
        <v>0</v>
      </c>
      <c r="AY63" s="110" t="s">
        <v>1700</v>
      </c>
      <c r="AZ63" s="110" t="s">
        <v>1730</v>
      </c>
      <c r="BA63" s="109" t="s">
        <v>1737</v>
      </c>
      <c r="BC63" s="100">
        <f>AW63+AX63</f>
        <v>0</v>
      </c>
      <c r="BD63" s="100">
        <f>H63/(100-BE63)*100</f>
        <v>0</v>
      </c>
      <c r="BE63" s="100">
        <v>0</v>
      </c>
      <c r="BF63" s="100">
        <f>63</f>
        <v>63</v>
      </c>
      <c r="BH63" s="108">
        <f>G63*AO63</f>
        <v>0</v>
      </c>
      <c r="BI63" s="108">
        <f>G63*AP63</f>
        <v>0</v>
      </c>
      <c r="BJ63" s="108">
        <f>G63*H63</f>
        <v>0</v>
      </c>
    </row>
    <row r="64" spans="1:62" x14ac:dyDescent="0.2">
      <c r="A64" s="119"/>
      <c r="B64" s="120" t="s">
        <v>103</v>
      </c>
      <c r="C64" s="306" t="s">
        <v>1178</v>
      </c>
      <c r="D64" s="307"/>
      <c r="E64" s="307"/>
      <c r="F64" s="119" t="s">
        <v>6</v>
      </c>
      <c r="G64" s="119" t="s">
        <v>6</v>
      </c>
      <c r="H64" s="119" t="s">
        <v>6</v>
      </c>
      <c r="I64" s="118">
        <f>SUM(I65:I76)</f>
        <v>0</v>
      </c>
      <c r="J64" s="118">
        <f>SUM(J65:J76)</f>
        <v>0</v>
      </c>
      <c r="K64" s="118">
        <f>SUM(K65:K76)</f>
        <v>0</v>
      </c>
      <c r="L64" s="109"/>
      <c r="AI64" s="109"/>
      <c r="AS64" s="118">
        <f>SUM(AJ65:AJ76)</f>
        <v>0</v>
      </c>
      <c r="AT64" s="118">
        <f>SUM(AK65:AK76)</f>
        <v>0</v>
      </c>
      <c r="AU64" s="118">
        <f>SUM(AL65:AL76)</f>
        <v>0</v>
      </c>
    </row>
    <row r="65" spans="1:62" x14ac:dyDescent="0.2">
      <c r="A65" s="117" t="s">
        <v>49</v>
      </c>
      <c r="B65" s="117" t="s">
        <v>670</v>
      </c>
      <c r="C65" s="304" t="s">
        <v>1179</v>
      </c>
      <c r="D65" s="305"/>
      <c r="E65" s="305"/>
      <c r="F65" s="117" t="s">
        <v>1646</v>
      </c>
      <c r="G65" s="116">
        <v>0.9</v>
      </c>
      <c r="H65" s="159"/>
      <c r="I65" s="108">
        <f t="shared" ref="I65:I76" si="44">G65*AO65</f>
        <v>0</v>
      </c>
      <c r="J65" s="108">
        <f t="shared" ref="J65:J76" si="45">G65*AP65</f>
        <v>0</v>
      </c>
      <c r="K65" s="108">
        <f t="shared" ref="K65:K76" si="46">G65*H65</f>
        <v>0</v>
      </c>
      <c r="L65" s="111" t="s">
        <v>1671</v>
      </c>
      <c r="Z65" s="100">
        <f t="shared" ref="Z65:Z76" si="47">IF(AQ65="5",BJ65,0)</f>
        <v>0</v>
      </c>
      <c r="AB65" s="100">
        <f t="shared" ref="AB65:AB76" si="48">IF(AQ65="1",BH65,0)</f>
        <v>0</v>
      </c>
      <c r="AC65" s="100">
        <f t="shared" ref="AC65:AC76" si="49">IF(AQ65="1",BI65,0)</f>
        <v>0</v>
      </c>
      <c r="AD65" s="100">
        <f t="shared" ref="AD65:AD76" si="50">IF(AQ65="7",BH65,0)</f>
        <v>0</v>
      </c>
      <c r="AE65" s="100">
        <f t="shared" ref="AE65:AE76" si="51">IF(AQ65="7",BI65,0)</f>
        <v>0</v>
      </c>
      <c r="AF65" s="100">
        <f t="shared" ref="AF65:AF76" si="52">IF(AQ65="2",BH65,0)</f>
        <v>0</v>
      </c>
      <c r="AG65" s="100">
        <f t="shared" ref="AG65:AG76" si="53">IF(AQ65="2",BI65,0)</f>
        <v>0</v>
      </c>
      <c r="AH65" s="100">
        <f t="shared" ref="AH65:AH76" si="54">IF(AQ65="0",BJ65,0)</f>
        <v>0</v>
      </c>
      <c r="AI65" s="109"/>
      <c r="AJ65" s="108">
        <f t="shared" ref="AJ65:AJ76" si="55">IF(AN65=0,K65,0)</f>
        <v>0</v>
      </c>
      <c r="AK65" s="108">
        <f t="shared" ref="AK65:AK76" si="56">IF(AN65=15,K65,0)</f>
        <v>0</v>
      </c>
      <c r="AL65" s="108">
        <f t="shared" ref="AL65:AL76" si="57">IF(AN65=21,K65,0)</f>
        <v>0</v>
      </c>
      <c r="AN65" s="100">
        <v>15</v>
      </c>
      <c r="AO65" s="100">
        <f>H65*0.317346200241255</f>
        <v>0</v>
      </c>
      <c r="AP65" s="100">
        <f>H65*(1-0.317346200241255)</f>
        <v>0</v>
      </c>
      <c r="AQ65" s="111" t="s">
        <v>7</v>
      </c>
      <c r="AV65" s="100">
        <f t="shared" ref="AV65:AV76" si="58">AW65+AX65</f>
        <v>0</v>
      </c>
      <c r="AW65" s="100">
        <f t="shared" ref="AW65:AW76" si="59">G65*AO65</f>
        <v>0</v>
      </c>
      <c r="AX65" s="100">
        <f t="shared" ref="AX65:AX76" si="60">G65*AP65</f>
        <v>0</v>
      </c>
      <c r="AY65" s="110" t="s">
        <v>1701</v>
      </c>
      <c r="AZ65" s="110" t="s">
        <v>1730</v>
      </c>
      <c r="BA65" s="109" t="s">
        <v>1737</v>
      </c>
      <c r="BC65" s="100">
        <f t="shared" ref="BC65:BC76" si="61">AW65+AX65</f>
        <v>0</v>
      </c>
      <c r="BD65" s="100">
        <f t="shared" ref="BD65:BD76" si="62">H65/(100-BE65)*100</f>
        <v>0</v>
      </c>
      <c r="BE65" s="100">
        <v>0</v>
      </c>
      <c r="BF65" s="100">
        <f>65</f>
        <v>65</v>
      </c>
      <c r="BH65" s="108">
        <f t="shared" ref="BH65:BH76" si="63">G65*AO65</f>
        <v>0</v>
      </c>
      <c r="BI65" s="108">
        <f t="shared" ref="BI65:BI76" si="64">G65*AP65</f>
        <v>0</v>
      </c>
      <c r="BJ65" s="108">
        <f t="shared" ref="BJ65:BJ76" si="65">G65*H65</f>
        <v>0</v>
      </c>
    </row>
    <row r="66" spans="1:62" x14ac:dyDescent="0.2">
      <c r="A66" s="117" t="s">
        <v>50</v>
      </c>
      <c r="B66" s="117" t="s">
        <v>671</v>
      </c>
      <c r="C66" s="304" t="s">
        <v>1180</v>
      </c>
      <c r="D66" s="305"/>
      <c r="E66" s="305"/>
      <c r="F66" s="117" t="s">
        <v>1646</v>
      </c>
      <c r="G66" s="116">
        <v>0.9</v>
      </c>
      <c r="H66" s="159"/>
      <c r="I66" s="108">
        <f t="shared" si="44"/>
        <v>0</v>
      </c>
      <c r="J66" s="108">
        <f t="shared" si="45"/>
        <v>0</v>
      </c>
      <c r="K66" s="108">
        <f t="shared" si="46"/>
        <v>0</v>
      </c>
      <c r="L66" s="111" t="s">
        <v>1671</v>
      </c>
      <c r="Z66" s="100">
        <f t="shared" si="47"/>
        <v>0</v>
      </c>
      <c r="AB66" s="100">
        <f t="shared" si="48"/>
        <v>0</v>
      </c>
      <c r="AC66" s="100">
        <f t="shared" si="49"/>
        <v>0</v>
      </c>
      <c r="AD66" s="100">
        <f t="shared" si="50"/>
        <v>0</v>
      </c>
      <c r="AE66" s="100">
        <f t="shared" si="51"/>
        <v>0</v>
      </c>
      <c r="AF66" s="100">
        <f t="shared" si="52"/>
        <v>0</v>
      </c>
      <c r="AG66" s="100">
        <f t="shared" si="53"/>
        <v>0</v>
      </c>
      <c r="AH66" s="100">
        <f t="shared" si="54"/>
        <v>0</v>
      </c>
      <c r="AI66" s="109"/>
      <c r="AJ66" s="108">
        <f t="shared" si="55"/>
        <v>0</v>
      </c>
      <c r="AK66" s="108">
        <f t="shared" si="56"/>
        <v>0</v>
      </c>
      <c r="AL66" s="108">
        <f t="shared" si="57"/>
        <v>0</v>
      </c>
      <c r="AN66" s="100">
        <v>15</v>
      </c>
      <c r="AO66" s="100">
        <f>H66*0.0581320754716981</f>
        <v>0</v>
      </c>
      <c r="AP66" s="100">
        <f>H66*(1-0.0581320754716981)</f>
        <v>0</v>
      </c>
      <c r="AQ66" s="111" t="s">
        <v>7</v>
      </c>
      <c r="AV66" s="100">
        <f t="shared" si="58"/>
        <v>0</v>
      </c>
      <c r="AW66" s="100">
        <f t="shared" si="59"/>
        <v>0</v>
      </c>
      <c r="AX66" s="100">
        <f t="shared" si="60"/>
        <v>0</v>
      </c>
      <c r="AY66" s="110" t="s">
        <v>1701</v>
      </c>
      <c r="AZ66" s="110" t="s">
        <v>1730</v>
      </c>
      <c r="BA66" s="109" t="s">
        <v>1737</v>
      </c>
      <c r="BC66" s="100">
        <f t="shared" si="61"/>
        <v>0</v>
      </c>
      <c r="BD66" s="100">
        <f t="shared" si="62"/>
        <v>0</v>
      </c>
      <c r="BE66" s="100">
        <v>0</v>
      </c>
      <c r="BF66" s="100">
        <f>66</f>
        <v>66</v>
      </c>
      <c r="BH66" s="108">
        <f t="shared" si="63"/>
        <v>0</v>
      </c>
      <c r="BI66" s="108">
        <f t="shared" si="64"/>
        <v>0</v>
      </c>
      <c r="BJ66" s="108">
        <f t="shared" si="65"/>
        <v>0</v>
      </c>
    </row>
    <row r="67" spans="1:62" x14ac:dyDescent="0.2">
      <c r="A67" s="117" t="s">
        <v>51</v>
      </c>
      <c r="B67" s="117" t="s">
        <v>672</v>
      </c>
      <c r="C67" s="304" t="s">
        <v>1181</v>
      </c>
      <c r="D67" s="305"/>
      <c r="E67" s="305"/>
      <c r="F67" s="117" t="s">
        <v>1646</v>
      </c>
      <c r="G67" s="116">
        <v>0.9</v>
      </c>
      <c r="H67" s="159"/>
      <c r="I67" s="108">
        <f t="shared" si="44"/>
        <v>0</v>
      </c>
      <c r="J67" s="108">
        <f t="shared" si="45"/>
        <v>0</v>
      </c>
      <c r="K67" s="108">
        <f t="shared" si="46"/>
        <v>0</v>
      </c>
      <c r="L67" s="111" t="s">
        <v>1671</v>
      </c>
      <c r="Z67" s="100">
        <f t="shared" si="47"/>
        <v>0</v>
      </c>
      <c r="AB67" s="100">
        <f t="shared" si="48"/>
        <v>0</v>
      </c>
      <c r="AC67" s="100">
        <f t="shared" si="49"/>
        <v>0</v>
      </c>
      <c r="AD67" s="100">
        <f t="shared" si="50"/>
        <v>0</v>
      </c>
      <c r="AE67" s="100">
        <f t="shared" si="51"/>
        <v>0</v>
      </c>
      <c r="AF67" s="100">
        <f t="shared" si="52"/>
        <v>0</v>
      </c>
      <c r="AG67" s="100">
        <f t="shared" si="53"/>
        <v>0</v>
      </c>
      <c r="AH67" s="100">
        <f t="shared" si="54"/>
        <v>0</v>
      </c>
      <c r="AI67" s="109"/>
      <c r="AJ67" s="108">
        <f t="shared" si="55"/>
        <v>0</v>
      </c>
      <c r="AK67" s="108">
        <f t="shared" si="56"/>
        <v>0</v>
      </c>
      <c r="AL67" s="108">
        <f t="shared" si="57"/>
        <v>0</v>
      </c>
      <c r="AN67" s="100">
        <v>15</v>
      </c>
      <c r="AO67" s="100">
        <f>H67*0.26691503456599</f>
        <v>0</v>
      </c>
      <c r="AP67" s="100">
        <f>H67*(1-0.26691503456599)</f>
        <v>0</v>
      </c>
      <c r="AQ67" s="111" t="s">
        <v>7</v>
      </c>
      <c r="AV67" s="100">
        <f t="shared" si="58"/>
        <v>0</v>
      </c>
      <c r="AW67" s="100">
        <f t="shared" si="59"/>
        <v>0</v>
      </c>
      <c r="AX67" s="100">
        <f t="shared" si="60"/>
        <v>0</v>
      </c>
      <c r="AY67" s="110" t="s">
        <v>1701</v>
      </c>
      <c r="AZ67" s="110" t="s">
        <v>1730</v>
      </c>
      <c r="BA67" s="109" t="s">
        <v>1737</v>
      </c>
      <c r="BC67" s="100">
        <f t="shared" si="61"/>
        <v>0</v>
      </c>
      <c r="BD67" s="100">
        <f t="shared" si="62"/>
        <v>0</v>
      </c>
      <c r="BE67" s="100">
        <v>0</v>
      </c>
      <c r="BF67" s="100">
        <f>67</f>
        <v>67</v>
      </c>
      <c r="BH67" s="108">
        <f t="shared" si="63"/>
        <v>0</v>
      </c>
      <c r="BI67" s="108">
        <f t="shared" si="64"/>
        <v>0</v>
      </c>
      <c r="BJ67" s="108">
        <f t="shared" si="65"/>
        <v>0</v>
      </c>
    </row>
    <row r="68" spans="1:62" x14ac:dyDescent="0.2">
      <c r="A68" s="117" t="s">
        <v>52</v>
      </c>
      <c r="B68" s="117" t="s">
        <v>2479</v>
      </c>
      <c r="C68" s="304" t="s">
        <v>2478</v>
      </c>
      <c r="D68" s="305"/>
      <c r="E68" s="305"/>
      <c r="F68" s="117" t="s">
        <v>1646</v>
      </c>
      <c r="G68" s="116">
        <v>0.45</v>
      </c>
      <c r="H68" s="159"/>
      <c r="I68" s="108">
        <f t="shared" si="44"/>
        <v>0</v>
      </c>
      <c r="J68" s="108">
        <f t="shared" si="45"/>
        <v>0</v>
      </c>
      <c r="K68" s="108">
        <f t="shared" si="46"/>
        <v>0</v>
      </c>
      <c r="L68" s="111" t="s">
        <v>1671</v>
      </c>
      <c r="Z68" s="100">
        <f t="shared" si="47"/>
        <v>0</v>
      </c>
      <c r="AB68" s="100">
        <f t="shared" si="48"/>
        <v>0</v>
      </c>
      <c r="AC68" s="100">
        <f t="shared" si="49"/>
        <v>0</v>
      </c>
      <c r="AD68" s="100">
        <f t="shared" si="50"/>
        <v>0</v>
      </c>
      <c r="AE68" s="100">
        <f t="shared" si="51"/>
        <v>0</v>
      </c>
      <c r="AF68" s="100">
        <f t="shared" si="52"/>
        <v>0</v>
      </c>
      <c r="AG68" s="100">
        <f t="shared" si="53"/>
        <v>0</v>
      </c>
      <c r="AH68" s="100">
        <f t="shared" si="54"/>
        <v>0</v>
      </c>
      <c r="AI68" s="109"/>
      <c r="AJ68" s="108">
        <f t="shared" si="55"/>
        <v>0</v>
      </c>
      <c r="AK68" s="108">
        <f t="shared" si="56"/>
        <v>0</v>
      </c>
      <c r="AL68" s="108">
        <f t="shared" si="57"/>
        <v>0</v>
      </c>
      <c r="AN68" s="100">
        <v>15</v>
      </c>
      <c r="AO68" s="100">
        <f>H68*0.328942398489141</f>
        <v>0</v>
      </c>
      <c r="AP68" s="100">
        <f>H68*(1-0.328942398489141)</f>
        <v>0</v>
      </c>
      <c r="AQ68" s="111" t="s">
        <v>7</v>
      </c>
      <c r="AV68" s="100">
        <f t="shared" si="58"/>
        <v>0</v>
      </c>
      <c r="AW68" s="100">
        <f t="shared" si="59"/>
        <v>0</v>
      </c>
      <c r="AX68" s="100">
        <f t="shared" si="60"/>
        <v>0</v>
      </c>
      <c r="AY68" s="110" t="s">
        <v>1701</v>
      </c>
      <c r="AZ68" s="110" t="s">
        <v>1730</v>
      </c>
      <c r="BA68" s="109" t="s">
        <v>1737</v>
      </c>
      <c r="BC68" s="100">
        <f t="shared" si="61"/>
        <v>0</v>
      </c>
      <c r="BD68" s="100">
        <f t="shared" si="62"/>
        <v>0</v>
      </c>
      <c r="BE68" s="100">
        <v>0</v>
      </c>
      <c r="BF68" s="100">
        <f>68</f>
        <v>68</v>
      </c>
      <c r="BH68" s="108">
        <f t="shared" si="63"/>
        <v>0</v>
      </c>
      <c r="BI68" s="108">
        <f t="shared" si="64"/>
        <v>0</v>
      </c>
      <c r="BJ68" s="108">
        <f t="shared" si="65"/>
        <v>0</v>
      </c>
    </row>
    <row r="69" spans="1:62" x14ac:dyDescent="0.2">
      <c r="A69" s="117" t="s">
        <v>53</v>
      </c>
      <c r="B69" s="117" t="s">
        <v>3721</v>
      </c>
      <c r="C69" s="304" t="s">
        <v>3720</v>
      </c>
      <c r="D69" s="305"/>
      <c r="E69" s="305"/>
      <c r="F69" s="117" t="s">
        <v>1646</v>
      </c>
      <c r="G69" s="116">
        <v>0.45</v>
      </c>
      <c r="H69" s="159"/>
      <c r="I69" s="108">
        <f t="shared" si="44"/>
        <v>0</v>
      </c>
      <c r="J69" s="108">
        <f t="shared" si="45"/>
        <v>0</v>
      </c>
      <c r="K69" s="108">
        <f t="shared" si="46"/>
        <v>0</v>
      </c>
      <c r="L69" s="111" t="s">
        <v>1671</v>
      </c>
      <c r="Z69" s="100">
        <f t="shared" si="47"/>
        <v>0</v>
      </c>
      <c r="AB69" s="100">
        <f t="shared" si="48"/>
        <v>0</v>
      </c>
      <c r="AC69" s="100">
        <f t="shared" si="49"/>
        <v>0</v>
      </c>
      <c r="AD69" s="100">
        <f t="shared" si="50"/>
        <v>0</v>
      </c>
      <c r="AE69" s="100">
        <f t="shared" si="51"/>
        <v>0</v>
      </c>
      <c r="AF69" s="100">
        <f t="shared" si="52"/>
        <v>0</v>
      </c>
      <c r="AG69" s="100">
        <f t="shared" si="53"/>
        <v>0</v>
      </c>
      <c r="AH69" s="100">
        <f t="shared" si="54"/>
        <v>0</v>
      </c>
      <c r="AI69" s="109"/>
      <c r="AJ69" s="108">
        <f t="shared" si="55"/>
        <v>0</v>
      </c>
      <c r="AK69" s="108">
        <f t="shared" si="56"/>
        <v>0</v>
      </c>
      <c r="AL69" s="108">
        <f t="shared" si="57"/>
        <v>0</v>
      </c>
      <c r="AN69" s="100">
        <v>15</v>
      </c>
      <c r="AO69" s="100">
        <f>H69*0.0464705882352941</f>
        <v>0</v>
      </c>
      <c r="AP69" s="100">
        <f>H69*(1-0.0464705882352941)</f>
        <v>0</v>
      </c>
      <c r="AQ69" s="111" t="s">
        <v>7</v>
      </c>
      <c r="AV69" s="100">
        <f t="shared" si="58"/>
        <v>0</v>
      </c>
      <c r="AW69" s="100">
        <f t="shared" si="59"/>
        <v>0</v>
      </c>
      <c r="AX69" s="100">
        <f t="shared" si="60"/>
        <v>0</v>
      </c>
      <c r="AY69" s="110" t="s">
        <v>1701</v>
      </c>
      <c r="AZ69" s="110" t="s">
        <v>1730</v>
      </c>
      <c r="BA69" s="109" t="s">
        <v>1737</v>
      </c>
      <c r="BC69" s="100">
        <f t="shared" si="61"/>
        <v>0</v>
      </c>
      <c r="BD69" s="100">
        <f t="shared" si="62"/>
        <v>0</v>
      </c>
      <c r="BE69" s="100">
        <v>0</v>
      </c>
      <c r="BF69" s="100">
        <f>69</f>
        <v>69</v>
      </c>
      <c r="BH69" s="108">
        <f t="shared" si="63"/>
        <v>0</v>
      </c>
      <c r="BI69" s="108">
        <f t="shared" si="64"/>
        <v>0</v>
      </c>
      <c r="BJ69" s="108">
        <f t="shared" si="65"/>
        <v>0</v>
      </c>
    </row>
    <row r="70" spans="1:62" x14ac:dyDescent="0.2">
      <c r="A70" s="117" t="s">
        <v>54</v>
      </c>
      <c r="B70" s="117" t="s">
        <v>2477</v>
      </c>
      <c r="C70" s="304" t="s">
        <v>2476</v>
      </c>
      <c r="D70" s="305"/>
      <c r="E70" s="305"/>
      <c r="F70" s="117" t="s">
        <v>1646</v>
      </c>
      <c r="G70" s="116">
        <v>0.45</v>
      </c>
      <c r="H70" s="159"/>
      <c r="I70" s="108">
        <f t="shared" si="44"/>
        <v>0</v>
      </c>
      <c r="J70" s="108">
        <f t="shared" si="45"/>
        <v>0</v>
      </c>
      <c r="K70" s="108">
        <f t="shared" si="46"/>
        <v>0</v>
      </c>
      <c r="L70" s="111" t="s">
        <v>1671</v>
      </c>
      <c r="Z70" s="100">
        <f t="shared" si="47"/>
        <v>0</v>
      </c>
      <c r="AB70" s="100">
        <f t="shared" si="48"/>
        <v>0</v>
      </c>
      <c r="AC70" s="100">
        <f t="shared" si="49"/>
        <v>0</v>
      </c>
      <c r="AD70" s="100">
        <f t="shared" si="50"/>
        <v>0</v>
      </c>
      <c r="AE70" s="100">
        <f t="shared" si="51"/>
        <v>0</v>
      </c>
      <c r="AF70" s="100">
        <f t="shared" si="52"/>
        <v>0</v>
      </c>
      <c r="AG70" s="100">
        <f t="shared" si="53"/>
        <v>0</v>
      </c>
      <c r="AH70" s="100">
        <f t="shared" si="54"/>
        <v>0</v>
      </c>
      <c r="AI70" s="109"/>
      <c r="AJ70" s="108">
        <f t="shared" si="55"/>
        <v>0</v>
      </c>
      <c r="AK70" s="108">
        <f t="shared" si="56"/>
        <v>0</v>
      </c>
      <c r="AL70" s="108">
        <f t="shared" si="57"/>
        <v>0</v>
      </c>
      <c r="AN70" s="100">
        <v>15</v>
      </c>
      <c r="AO70" s="100">
        <f>H70*0.207794117647059</f>
        <v>0</v>
      </c>
      <c r="AP70" s="100">
        <f>H70*(1-0.207794117647059)</f>
        <v>0</v>
      </c>
      <c r="AQ70" s="111" t="s">
        <v>7</v>
      </c>
      <c r="AV70" s="100">
        <f t="shared" si="58"/>
        <v>0</v>
      </c>
      <c r="AW70" s="100">
        <f t="shared" si="59"/>
        <v>0</v>
      </c>
      <c r="AX70" s="100">
        <f t="shared" si="60"/>
        <v>0</v>
      </c>
      <c r="AY70" s="110" t="s">
        <v>1701</v>
      </c>
      <c r="AZ70" s="110" t="s">
        <v>1730</v>
      </c>
      <c r="BA70" s="109" t="s">
        <v>1737</v>
      </c>
      <c r="BC70" s="100">
        <f t="shared" si="61"/>
        <v>0</v>
      </c>
      <c r="BD70" s="100">
        <f t="shared" si="62"/>
        <v>0</v>
      </c>
      <c r="BE70" s="100">
        <v>0</v>
      </c>
      <c r="BF70" s="100">
        <f>70</f>
        <v>70</v>
      </c>
      <c r="BH70" s="108">
        <f t="shared" si="63"/>
        <v>0</v>
      </c>
      <c r="BI70" s="108">
        <f t="shared" si="64"/>
        <v>0</v>
      </c>
      <c r="BJ70" s="108">
        <f t="shared" si="65"/>
        <v>0</v>
      </c>
    </row>
    <row r="71" spans="1:62" x14ac:dyDescent="0.2">
      <c r="A71" s="117" t="s">
        <v>55</v>
      </c>
      <c r="B71" s="117" t="s">
        <v>3719</v>
      </c>
      <c r="C71" s="304" t="s">
        <v>4400</v>
      </c>
      <c r="D71" s="305"/>
      <c r="E71" s="305"/>
      <c r="F71" s="117" t="s">
        <v>1646</v>
      </c>
      <c r="G71" s="116">
        <v>1.5</v>
      </c>
      <c r="H71" s="159"/>
      <c r="I71" s="108">
        <f t="shared" si="44"/>
        <v>0</v>
      </c>
      <c r="J71" s="108">
        <f t="shared" si="45"/>
        <v>0</v>
      </c>
      <c r="K71" s="108">
        <f t="shared" si="46"/>
        <v>0</v>
      </c>
      <c r="L71" s="111" t="s">
        <v>1671</v>
      </c>
      <c r="Z71" s="100">
        <f t="shared" si="47"/>
        <v>0</v>
      </c>
      <c r="AB71" s="100">
        <f t="shared" si="48"/>
        <v>0</v>
      </c>
      <c r="AC71" s="100">
        <f t="shared" si="49"/>
        <v>0</v>
      </c>
      <c r="AD71" s="100">
        <f t="shared" si="50"/>
        <v>0</v>
      </c>
      <c r="AE71" s="100">
        <f t="shared" si="51"/>
        <v>0</v>
      </c>
      <c r="AF71" s="100">
        <f t="shared" si="52"/>
        <v>0</v>
      </c>
      <c r="AG71" s="100">
        <f t="shared" si="53"/>
        <v>0</v>
      </c>
      <c r="AH71" s="100">
        <f t="shared" si="54"/>
        <v>0</v>
      </c>
      <c r="AI71" s="109"/>
      <c r="AJ71" s="108">
        <f t="shared" si="55"/>
        <v>0</v>
      </c>
      <c r="AK71" s="108">
        <f t="shared" si="56"/>
        <v>0</v>
      </c>
      <c r="AL71" s="108">
        <f t="shared" si="57"/>
        <v>0</v>
      </c>
      <c r="AN71" s="100">
        <v>15</v>
      </c>
      <c r="AO71" s="100">
        <f>H71*0.0787456445993032</f>
        <v>0</v>
      </c>
      <c r="AP71" s="100">
        <f>H71*(1-0.0787456445993032)</f>
        <v>0</v>
      </c>
      <c r="AQ71" s="111" t="s">
        <v>7</v>
      </c>
      <c r="AV71" s="100">
        <f t="shared" si="58"/>
        <v>0</v>
      </c>
      <c r="AW71" s="100">
        <f t="shared" si="59"/>
        <v>0</v>
      </c>
      <c r="AX71" s="100">
        <f t="shared" si="60"/>
        <v>0</v>
      </c>
      <c r="AY71" s="110" t="s">
        <v>1701</v>
      </c>
      <c r="AZ71" s="110" t="s">
        <v>1730</v>
      </c>
      <c r="BA71" s="109" t="s">
        <v>1737</v>
      </c>
      <c r="BC71" s="100">
        <f t="shared" si="61"/>
        <v>0</v>
      </c>
      <c r="BD71" s="100">
        <f t="shared" si="62"/>
        <v>0</v>
      </c>
      <c r="BE71" s="100">
        <v>0</v>
      </c>
      <c r="BF71" s="100">
        <f>71</f>
        <v>71</v>
      </c>
      <c r="BH71" s="108">
        <f t="shared" si="63"/>
        <v>0</v>
      </c>
      <c r="BI71" s="108">
        <f t="shared" si="64"/>
        <v>0</v>
      </c>
      <c r="BJ71" s="108">
        <f t="shared" si="65"/>
        <v>0</v>
      </c>
    </row>
    <row r="72" spans="1:62" x14ac:dyDescent="0.2">
      <c r="A72" s="117" t="s">
        <v>56</v>
      </c>
      <c r="B72" s="117" t="s">
        <v>677</v>
      </c>
      <c r="C72" s="304" t="s">
        <v>4399</v>
      </c>
      <c r="D72" s="305"/>
      <c r="E72" s="305"/>
      <c r="F72" s="117" t="s">
        <v>1645</v>
      </c>
      <c r="G72" s="116">
        <v>18.809999999999999</v>
      </c>
      <c r="H72" s="159"/>
      <c r="I72" s="108">
        <f t="shared" si="44"/>
        <v>0</v>
      </c>
      <c r="J72" s="108">
        <f t="shared" si="45"/>
        <v>0</v>
      </c>
      <c r="K72" s="108">
        <f t="shared" si="46"/>
        <v>0</v>
      </c>
      <c r="L72" s="111" t="s">
        <v>1671</v>
      </c>
      <c r="Z72" s="100">
        <f t="shared" si="47"/>
        <v>0</v>
      </c>
      <c r="AB72" s="100">
        <f t="shared" si="48"/>
        <v>0</v>
      </c>
      <c r="AC72" s="100">
        <f t="shared" si="49"/>
        <v>0</v>
      </c>
      <c r="AD72" s="100">
        <f t="shared" si="50"/>
        <v>0</v>
      </c>
      <c r="AE72" s="100">
        <f t="shared" si="51"/>
        <v>0</v>
      </c>
      <c r="AF72" s="100">
        <f t="shared" si="52"/>
        <v>0</v>
      </c>
      <c r="AG72" s="100">
        <f t="shared" si="53"/>
        <v>0</v>
      </c>
      <c r="AH72" s="100">
        <f t="shared" si="54"/>
        <v>0</v>
      </c>
      <c r="AI72" s="109"/>
      <c r="AJ72" s="108">
        <f t="shared" si="55"/>
        <v>0</v>
      </c>
      <c r="AK72" s="108">
        <f t="shared" si="56"/>
        <v>0</v>
      </c>
      <c r="AL72" s="108">
        <f t="shared" si="57"/>
        <v>0</v>
      </c>
      <c r="AN72" s="100">
        <v>15</v>
      </c>
      <c r="AO72" s="100">
        <f>H72*0</f>
        <v>0</v>
      </c>
      <c r="AP72" s="100">
        <f>H72*(1-0)</f>
        <v>0</v>
      </c>
      <c r="AQ72" s="111" t="s">
        <v>7</v>
      </c>
      <c r="AV72" s="100">
        <f t="shared" si="58"/>
        <v>0</v>
      </c>
      <c r="AW72" s="100">
        <f t="shared" si="59"/>
        <v>0</v>
      </c>
      <c r="AX72" s="100">
        <f t="shared" si="60"/>
        <v>0</v>
      </c>
      <c r="AY72" s="110" t="s">
        <v>1701</v>
      </c>
      <c r="AZ72" s="110" t="s">
        <v>1730</v>
      </c>
      <c r="BA72" s="109" t="s">
        <v>1737</v>
      </c>
      <c r="BC72" s="100">
        <f t="shared" si="61"/>
        <v>0</v>
      </c>
      <c r="BD72" s="100">
        <f t="shared" si="62"/>
        <v>0</v>
      </c>
      <c r="BE72" s="100">
        <v>0</v>
      </c>
      <c r="BF72" s="100">
        <f>72</f>
        <v>72</v>
      </c>
      <c r="BH72" s="108">
        <f t="shared" si="63"/>
        <v>0</v>
      </c>
      <c r="BI72" s="108">
        <f t="shared" si="64"/>
        <v>0</v>
      </c>
      <c r="BJ72" s="108">
        <f t="shared" si="65"/>
        <v>0</v>
      </c>
    </row>
    <row r="73" spans="1:62" x14ac:dyDescent="0.2">
      <c r="A73" s="117" t="s">
        <v>57</v>
      </c>
      <c r="B73" s="117" t="s">
        <v>678</v>
      </c>
      <c r="C73" s="304" t="s">
        <v>4398</v>
      </c>
      <c r="D73" s="305"/>
      <c r="E73" s="305"/>
      <c r="F73" s="117" t="s">
        <v>1645</v>
      </c>
      <c r="G73" s="116">
        <v>23.28</v>
      </c>
      <c r="H73" s="159"/>
      <c r="I73" s="108">
        <f t="shared" si="44"/>
        <v>0</v>
      </c>
      <c r="J73" s="108">
        <f t="shared" si="45"/>
        <v>0</v>
      </c>
      <c r="K73" s="108">
        <f t="shared" si="46"/>
        <v>0</v>
      </c>
      <c r="L73" s="111" t="s">
        <v>1671</v>
      </c>
      <c r="Z73" s="100">
        <f t="shared" si="47"/>
        <v>0</v>
      </c>
      <c r="AB73" s="100">
        <f t="shared" si="48"/>
        <v>0</v>
      </c>
      <c r="AC73" s="100">
        <f t="shared" si="49"/>
        <v>0</v>
      </c>
      <c r="AD73" s="100">
        <f t="shared" si="50"/>
        <v>0</v>
      </c>
      <c r="AE73" s="100">
        <f t="shared" si="51"/>
        <v>0</v>
      </c>
      <c r="AF73" s="100">
        <f t="shared" si="52"/>
        <v>0</v>
      </c>
      <c r="AG73" s="100">
        <f t="shared" si="53"/>
        <v>0</v>
      </c>
      <c r="AH73" s="100">
        <f t="shared" si="54"/>
        <v>0</v>
      </c>
      <c r="AI73" s="109"/>
      <c r="AJ73" s="108">
        <f t="shared" si="55"/>
        <v>0</v>
      </c>
      <c r="AK73" s="108">
        <f t="shared" si="56"/>
        <v>0</v>
      </c>
      <c r="AL73" s="108">
        <f t="shared" si="57"/>
        <v>0</v>
      </c>
      <c r="AN73" s="100">
        <v>15</v>
      </c>
      <c r="AO73" s="100">
        <f>H73*0</f>
        <v>0</v>
      </c>
      <c r="AP73" s="100">
        <f>H73*(1-0)</f>
        <v>0</v>
      </c>
      <c r="AQ73" s="111" t="s">
        <v>7</v>
      </c>
      <c r="AV73" s="100">
        <f t="shared" si="58"/>
        <v>0</v>
      </c>
      <c r="AW73" s="100">
        <f t="shared" si="59"/>
        <v>0</v>
      </c>
      <c r="AX73" s="100">
        <f t="shared" si="60"/>
        <v>0</v>
      </c>
      <c r="AY73" s="110" t="s">
        <v>1701</v>
      </c>
      <c r="AZ73" s="110" t="s">
        <v>1730</v>
      </c>
      <c r="BA73" s="109" t="s">
        <v>1737</v>
      </c>
      <c r="BC73" s="100">
        <f t="shared" si="61"/>
        <v>0</v>
      </c>
      <c r="BD73" s="100">
        <f t="shared" si="62"/>
        <v>0</v>
      </c>
      <c r="BE73" s="100">
        <v>0</v>
      </c>
      <c r="BF73" s="100">
        <f>73</f>
        <v>73</v>
      </c>
      <c r="BH73" s="108">
        <f t="shared" si="63"/>
        <v>0</v>
      </c>
      <c r="BI73" s="108">
        <f t="shared" si="64"/>
        <v>0</v>
      </c>
      <c r="BJ73" s="108">
        <f t="shared" si="65"/>
        <v>0</v>
      </c>
    </row>
    <row r="74" spans="1:62" x14ac:dyDescent="0.2">
      <c r="A74" s="117" t="s">
        <v>58</v>
      </c>
      <c r="B74" s="117" t="s">
        <v>679</v>
      </c>
      <c r="C74" s="304" t="s">
        <v>4397</v>
      </c>
      <c r="D74" s="305"/>
      <c r="E74" s="305"/>
      <c r="F74" s="117" t="s">
        <v>1645</v>
      </c>
      <c r="G74" s="116">
        <v>11.263</v>
      </c>
      <c r="H74" s="159"/>
      <c r="I74" s="108">
        <f t="shared" si="44"/>
        <v>0</v>
      </c>
      <c r="J74" s="108">
        <f t="shared" si="45"/>
        <v>0</v>
      </c>
      <c r="K74" s="108">
        <f t="shared" si="46"/>
        <v>0</v>
      </c>
      <c r="L74" s="111" t="s">
        <v>1671</v>
      </c>
      <c r="Z74" s="100">
        <f t="shared" si="47"/>
        <v>0</v>
      </c>
      <c r="AB74" s="100">
        <f t="shared" si="48"/>
        <v>0</v>
      </c>
      <c r="AC74" s="100">
        <f t="shared" si="49"/>
        <v>0</v>
      </c>
      <c r="AD74" s="100">
        <f t="shared" si="50"/>
        <v>0</v>
      </c>
      <c r="AE74" s="100">
        <f t="shared" si="51"/>
        <v>0</v>
      </c>
      <c r="AF74" s="100">
        <f t="shared" si="52"/>
        <v>0</v>
      </c>
      <c r="AG74" s="100">
        <f t="shared" si="53"/>
        <v>0</v>
      </c>
      <c r="AH74" s="100">
        <f t="shared" si="54"/>
        <v>0</v>
      </c>
      <c r="AI74" s="109"/>
      <c r="AJ74" s="108">
        <f t="shared" si="55"/>
        <v>0</v>
      </c>
      <c r="AK74" s="108">
        <f t="shared" si="56"/>
        <v>0</v>
      </c>
      <c r="AL74" s="108">
        <f t="shared" si="57"/>
        <v>0</v>
      </c>
      <c r="AN74" s="100">
        <v>15</v>
      </c>
      <c r="AO74" s="100">
        <f>H74*0</f>
        <v>0</v>
      </c>
      <c r="AP74" s="100">
        <f>H74*(1-0)</f>
        <v>0</v>
      </c>
      <c r="AQ74" s="111" t="s">
        <v>7</v>
      </c>
      <c r="AV74" s="100">
        <f t="shared" si="58"/>
        <v>0</v>
      </c>
      <c r="AW74" s="100">
        <f t="shared" si="59"/>
        <v>0</v>
      </c>
      <c r="AX74" s="100">
        <f t="shared" si="60"/>
        <v>0</v>
      </c>
      <c r="AY74" s="110" t="s">
        <v>1701</v>
      </c>
      <c r="AZ74" s="110" t="s">
        <v>1730</v>
      </c>
      <c r="BA74" s="109" t="s">
        <v>1737</v>
      </c>
      <c r="BC74" s="100">
        <f t="shared" si="61"/>
        <v>0</v>
      </c>
      <c r="BD74" s="100">
        <f t="shared" si="62"/>
        <v>0</v>
      </c>
      <c r="BE74" s="100">
        <v>0</v>
      </c>
      <c r="BF74" s="100">
        <f>74</f>
        <v>74</v>
      </c>
      <c r="BH74" s="108">
        <f t="shared" si="63"/>
        <v>0</v>
      </c>
      <c r="BI74" s="108">
        <f t="shared" si="64"/>
        <v>0</v>
      </c>
      <c r="BJ74" s="108">
        <f t="shared" si="65"/>
        <v>0</v>
      </c>
    </row>
    <row r="75" spans="1:62" x14ac:dyDescent="0.2">
      <c r="A75" s="117" t="s">
        <v>59</v>
      </c>
      <c r="B75" s="117" t="s">
        <v>673</v>
      </c>
      <c r="C75" s="304" t="s">
        <v>1182</v>
      </c>
      <c r="D75" s="305"/>
      <c r="E75" s="305"/>
      <c r="F75" s="117" t="s">
        <v>1644</v>
      </c>
      <c r="G75" s="116">
        <v>8</v>
      </c>
      <c r="H75" s="159"/>
      <c r="I75" s="108">
        <f t="shared" si="44"/>
        <v>0</v>
      </c>
      <c r="J75" s="108">
        <f t="shared" si="45"/>
        <v>0</v>
      </c>
      <c r="K75" s="108">
        <f t="shared" si="46"/>
        <v>0</v>
      </c>
      <c r="L75" s="111" t="s">
        <v>1671</v>
      </c>
      <c r="Z75" s="100">
        <f t="shared" si="47"/>
        <v>0</v>
      </c>
      <c r="AB75" s="100">
        <f t="shared" si="48"/>
        <v>0</v>
      </c>
      <c r="AC75" s="100">
        <f t="shared" si="49"/>
        <v>0</v>
      </c>
      <c r="AD75" s="100">
        <f t="shared" si="50"/>
        <v>0</v>
      </c>
      <c r="AE75" s="100">
        <f t="shared" si="51"/>
        <v>0</v>
      </c>
      <c r="AF75" s="100">
        <f t="shared" si="52"/>
        <v>0</v>
      </c>
      <c r="AG75" s="100">
        <f t="shared" si="53"/>
        <v>0</v>
      </c>
      <c r="AH75" s="100">
        <f t="shared" si="54"/>
        <v>0</v>
      </c>
      <c r="AI75" s="109"/>
      <c r="AJ75" s="108">
        <f t="shared" si="55"/>
        <v>0</v>
      </c>
      <c r="AK75" s="108">
        <f t="shared" si="56"/>
        <v>0</v>
      </c>
      <c r="AL75" s="108">
        <f t="shared" si="57"/>
        <v>0</v>
      </c>
      <c r="AN75" s="100">
        <v>15</v>
      </c>
      <c r="AO75" s="100">
        <f>H75*0.0466942148760331</f>
        <v>0</v>
      </c>
      <c r="AP75" s="100">
        <f>H75*(1-0.0466942148760331)</f>
        <v>0</v>
      </c>
      <c r="AQ75" s="111" t="s">
        <v>7</v>
      </c>
      <c r="AV75" s="100">
        <f t="shared" si="58"/>
        <v>0</v>
      </c>
      <c r="AW75" s="100">
        <f t="shared" si="59"/>
        <v>0</v>
      </c>
      <c r="AX75" s="100">
        <f t="shared" si="60"/>
        <v>0</v>
      </c>
      <c r="AY75" s="110" t="s">
        <v>1701</v>
      </c>
      <c r="AZ75" s="110" t="s">
        <v>1730</v>
      </c>
      <c r="BA75" s="109" t="s">
        <v>1737</v>
      </c>
      <c r="BC75" s="100">
        <f t="shared" si="61"/>
        <v>0</v>
      </c>
      <c r="BD75" s="100">
        <f t="shared" si="62"/>
        <v>0</v>
      </c>
      <c r="BE75" s="100">
        <v>0</v>
      </c>
      <c r="BF75" s="100">
        <f>75</f>
        <v>75</v>
      </c>
      <c r="BH75" s="108">
        <f t="shared" si="63"/>
        <v>0</v>
      </c>
      <c r="BI75" s="108">
        <f t="shared" si="64"/>
        <v>0</v>
      </c>
      <c r="BJ75" s="108">
        <f t="shared" si="65"/>
        <v>0</v>
      </c>
    </row>
    <row r="76" spans="1:62" x14ac:dyDescent="0.2">
      <c r="A76" s="117" t="s">
        <v>60</v>
      </c>
      <c r="B76" s="117" t="s">
        <v>683</v>
      </c>
      <c r="C76" s="304" t="s">
        <v>1194</v>
      </c>
      <c r="D76" s="305"/>
      <c r="E76" s="305"/>
      <c r="F76" s="117" t="s">
        <v>1645</v>
      </c>
      <c r="G76" s="116">
        <v>23.28</v>
      </c>
      <c r="H76" s="159"/>
      <c r="I76" s="108">
        <f t="shared" si="44"/>
        <v>0</v>
      </c>
      <c r="J76" s="108">
        <f t="shared" si="45"/>
        <v>0</v>
      </c>
      <c r="K76" s="108">
        <f t="shared" si="46"/>
        <v>0</v>
      </c>
      <c r="L76" s="111" t="s">
        <v>1671</v>
      </c>
      <c r="Z76" s="100">
        <f t="shared" si="47"/>
        <v>0</v>
      </c>
      <c r="AB76" s="100">
        <f t="shared" si="48"/>
        <v>0</v>
      </c>
      <c r="AC76" s="100">
        <f t="shared" si="49"/>
        <v>0</v>
      </c>
      <c r="AD76" s="100">
        <f t="shared" si="50"/>
        <v>0</v>
      </c>
      <c r="AE76" s="100">
        <f t="shared" si="51"/>
        <v>0</v>
      </c>
      <c r="AF76" s="100">
        <f t="shared" si="52"/>
        <v>0</v>
      </c>
      <c r="AG76" s="100">
        <f t="shared" si="53"/>
        <v>0</v>
      </c>
      <c r="AH76" s="100">
        <f t="shared" si="54"/>
        <v>0</v>
      </c>
      <c r="AI76" s="109"/>
      <c r="AJ76" s="108">
        <f t="shared" si="55"/>
        <v>0</v>
      </c>
      <c r="AK76" s="108">
        <f t="shared" si="56"/>
        <v>0</v>
      </c>
      <c r="AL76" s="108">
        <f t="shared" si="57"/>
        <v>0</v>
      </c>
      <c r="AN76" s="100">
        <v>15</v>
      </c>
      <c r="AO76" s="100">
        <f>H76*0</f>
        <v>0</v>
      </c>
      <c r="AP76" s="100">
        <f>H76*(1-0)</f>
        <v>0</v>
      </c>
      <c r="AQ76" s="111" t="s">
        <v>7</v>
      </c>
      <c r="AV76" s="100">
        <f t="shared" si="58"/>
        <v>0</v>
      </c>
      <c r="AW76" s="100">
        <f t="shared" si="59"/>
        <v>0</v>
      </c>
      <c r="AX76" s="100">
        <f t="shared" si="60"/>
        <v>0</v>
      </c>
      <c r="AY76" s="110" t="s">
        <v>1701</v>
      </c>
      <c r="AZ76" s="110" t="s">
        <v>1730</v>
      </c>
      <c r="BA76" s="109" t="s">
        <v>1737</v>
      </c>
      <c r="BC76" s="100">
        <f t="shared" si="61"/>
        <v>0</v>
      </c>
      <c r="BD76" s="100">
        <f t="shared" si="62"/>
        <v>0</v>
      </c>
      <c r="BE76" s="100">
        <v>0</v>
      </c>
      <c r="BF76" s="100">
        <f>76</f>
        <v>76</v>
      </c>
      <c r="BH76" s="108">
        <f t="shared" si="63"/>
        <v>0</v>
      </c>
      <c r="BI76" s="108">
        <f t="shared" si="64"/>
        <v>0</v>
      </c>
      <c r="BJ76" s="108">
        <f t="shared" si="65"/>
        <v>0</v>
      </c>
    </row>
    <row r="77" spans="1:62" x14ac:dyDescent="0.2">
      <c r="A77" s="119"/>
      <c r="B77" s="120" t="s">
        <v>686</v>
      </c>
      <c r="C77" s="306" t="s">
        <v>1198</v>
      </c>
      <c r="D77" s="307"/>
      <c r="E77" s="307"/>
      <c r="F77" s="119" t="s">
        <v>6</v>
      </c>
      <c r="G77" s="119" t="s">
        <v>6</v>
      </c>
      <c r="H77" s="119" t="s">
        <v>6</v>
      </c>
      <c r="I77" s="118">
        <f>SUM(I78:I87)</f>
        <v>0</v>
      </c>
      <c r="J77" s="118">
        <f>SUM(J78:J87)</f>
        <v>0</v>
      </c>
      <c r="K77" s="118">
        <f>SUM(K78:K87)</f>
        <v>0</v>
      </c>
      <c r="L77" s="109"/>
      <c r="AI77" s="109"/>
      <c r="AS77" s="118">
        <f>SUM(AJ78:AJ87)</f>
        <v>0</v>
      </c>
      <c r="AT77" s="118">
        <f>SUM(AK78:AK87)</f>
        <v>0</v>
      </c>
      <c r="AU77" s="118">
        <f>SUM(AL78:AL87)</f>
        <v>0</v>
      </c>
    </row>
    <row r="78" spans="1:62" x14ac:dyDescent="0.2">
      <c r="A78" s="117" t="s">
        <v>61</v>
      </c>
      <c r="B78" s="117" t="s">
        <v>689</v>
      </c>
      <c r="C78" s="304" t="s">
        <v>1201</v>
      </c>
      <c r="D78" s="305"/>
      <c r="E78" s="305"/>
      <c r="F78" s="117" t="s">
        <v>1648</v>
      </c>
      <c r="G78" s="116">
        <v>2.8050000000000002</v>
      </c>
      <c r="H78" s="159"/>
      <c r="I78" s="108">
        <f t="shared" ref="I78:I87" si="66">G78*AO78</f>
        <v>0</v>
      </c>
      <c r="J78" s="108">
        <f t="shared" ref="J78:J87" si="67">G78*AP78</f>
        <v>0</v>
      </c>
      <c r="K78" s="108">
        <f t="shared" ref="K78:K87" si="68">G78*H78</f>
        <v>0</v>
      </c>
      <c r="L78" s="111" t="s">
        <v>1671</v>
      </c>
      <c r="Z78" s="100">
        <f t="shared" ref="Z78:Z87" si="69">IF(AQ78="5",BJ78,0)</f>
        <v>0</v>
      </c>
      <c r="AB78" s="100">
        <f t="shared" ref="AB78:AB87" si="70">IF(AQ78="1",BH78,0)</f>
        <v>0</v>
      </c>
      <c r="AC78" s="100">
        <f t="shared" ref="AC78:AC87" si="71">IF(AQ78="1",BI78,0)</f>
        <v>0</v>
      </c>
      <c r="AD78" s="100">
        <f t="shared" ref="AD78:AD87" si="72">IF(AQ78="7",BH78,0)</f>
        <v>0</v>
      </c>
      <c r="AE78" s="100">
        <f t="shared" ref="AE78:AE87" si="73">IF(AQ78="7",BI78,0)</f>
        <v>0</v>
      </c>
      <c r="AF78" s="100">
        <f t="shared" ref="AF78:AF87" si="74">IF(AQ78="2",BH78,0)</f>
        <v>0</v>
      </c>
      <c r="AG78" s="100">
        <f t="shared" ref="AG78:AG87" si="75">IF(AQ78="2",BI78,0)</f>
        <v>0</v>
      </c>
      <c r="AH78" s="100">
        <f t="shared" ref="AH78:AH87" si="76">IF(AQ78="0",BJ78,0)</f>
        <v>0</v>
      </c>
      <c r="AI78" s="109"/>
      <c r="AJ78" s="108">
        <f t="shared" ref="AJ78:AJ87" si="77">IF(AN78=0,K78,0)</f>
        <v>0</v>
      </c>
      <c r="AK78" s="108">
        <f t="shared" ref="AK78:AK87" si="78">IF(AN78=15,K78,0)</f>
        <v>0</v>
      </c>
      <c r="AL78" s="108">
        <f t="shared" ref="AL78:AL87" si="79">IF(AN78=21,K78,0)</f>
        <v>0</v>
      </c>
      <c r="AN78" s="100">
        <v>15</v>
      </c>
      <c r="AO78" s="100">
        <f t="shared" ref="AO78:AO87" si="80">H78*0</f>
        <v>0</v>
      </c>
      <c r="AP78" s="100">
        <f t="shared" ref="AP78:AP87" si="81">H78*(1-0)</f>
        <v>0</v>
      </c>
      <c r="AQ78" s="111" t="s">
        <v>11</v>
      </c>
      <c r="AV78" s="100">
        <f t="shared" ref="AV78:AV87" si="82">AW78+AX78</f>
        <v>0</v>
      </c>
      <c r="AW78" s="100">
        <f t="shared" ref="AW78:AW87" si="83">G78*AO78</f>
        <v>0</v>
      </c>
      <c r="AX78" s="100">
        <f t="shared" ref="AX78:AX87" si="84">G78*AP78</f>
        <v>0</v>
      </c>
      <c r="AY78" s="110" t="s">
        <v>1703</v>
      </c>
      <c r="AZ78" s="110" t="s">
        <v>1730</v>
      </c>
      <c r="BA78" s="109" t="s">
        <v>1737</v>
      </c>
      <c r="BC78" s="100">
        <f t="shared" ref="BC78:BC87" si="85">AW78+AX78</f>
        <v>0</v>
      </c>
      <c r="BD78" s="100">
        <f t="shared" ref="BD78:BD87" si="86">H78/(100-BE78)*100</f>
        <v>0</v>
      </c>
      <c r="BE78" s="100">
        <v>0</v>
      </c>
      <c r="BF78" s="100">
        <f>78</f>
        <v>78</v>
      </c>
      <c r="BH78" s="108">
        <f t="shared" ref="BH78:BH87" si="87">G78*AO78</f>
        <v>0</v>
      </c>
      <c r="BI78" s="108">
        <f t="shared" ref="BI78:BI87" si="88">G78*AP78</f>
        <v>0</v>
      </c>
      <c r="BJ78" s="108">
        <f t="shared" ref="BJ78:BJ87" si="89">G78*H78</f>
        <v>0</v>
      </c>
    </row>
    <row r="79" spans="1:62" x14ac:dyDescent="0.2">
      <c r="A79" s="117" t="s">
        <v>62</v>
      </c>
      <c r="B79" s="117" t="s">
        <v>690</v>
      </c>
      <c r="C79" s="304" t="s">
        <v>1202</v>
      </c>
      <c r="D79" s="305"/>
      <c r="E79" s="305"/>
      <c r="F79" s="117" t="s">
        <v>1648</v>
      </c>
      <c r="G79" s="116">
        <v>25.245000000000001</v>
      </c>
      <c r="H79" s="159"/>
      <c r="I79" s="108">
        <f t="shared" si="66"/>
        <v>0</v>
      </c>
      <c r="J79" s="108">
        <f t="shared" si="67"/>
        <v>0</v>
      </c>
      <c r="K79" s="108">
        <f t="shared" si="68"/>
        <v>0</v>
      </c>
      <c r="L79" s="111" t="s">
        <v>1671</v>
      </c>
      <c r="Z79" s="100">
        <f t="shared" si="69"/>
        <v>0</v>
      </c>
      <c r="AB79" s="100">
        <f t="shared" si="70"/>
        <v>0</v>
      </c>
      <c r="AC79" s="100">
        <f t="shared" si="71"/>
        <v>0</v>
      </c>
      <c r="AD79" s="100">
        <f t="shared" si="72"/>
        <v>0</v>
      </c>
      <c r="AE79" s="100">
        <f t="shared" si="73"/>
        <v>0</v>
      </c>
      <c r="AF79" s="100">
        <f t="shared" si="74"/>
        <v>0</v>
      </c>
      <c r="AG79" s="100">
        <f t="shared" si="75"/>
        <v>0</v>
      </c>
      <c r="AH79" s="100">
        <f t="shared" si="76"/>
        <v>0</v>
      </c>
      <c r="AI79" s="109"/>
      <c r="AJ79" s="108">
        <f t="shared" si="77"/>
        <v>0</v>
      </c>
      <c r="AK79" s="108">
        <f t="shared" si="78"/>
        <v>0</v>
      </c>
      <c r="AL79" s="108">
        <f t="shared" si="79"/>
        <v>0</v>
      </c>
      <c r="AN79" s="100">
        <v>15</v>
      </c>
      <c r="AO79" s="100">
        <f t="shared" si="80"/>
        <v>0</v>
      </c>
      <c r="AP79" s="100">
        <f t="shared" si="81"/>
        <v>0</v>
      </c>
      <c r="AQ79" s="111" t="s">
        <v>11</v>
      </c>
      <c r="AV79" s="100">
        <f t="shared" si="82"/>
        <v>0</v>
      </c>
      <c r="AW79" s="100">
        <f t="shared" si="83"/>
        <v>0</v>
      </c>
      <c r="AX79" s="100">
        <f t="shared" si="84"/>
        <v>0</v>
      </c>
      <c r="AY79" s="110" t="s">
        <v>1703</v>
      </c>
      <c r="AZ79" s="110" t="s">
        <v>1730</v>
      </c>
      <c r="BA79" s="109" t="s">
        <v>1737</v>
      </c>
      <c r="BC79" s="100">
        <f t="shared" si="85"/>
        <v>0</v>
      </c>
      <c r="BD79" s="100">
        <f t="shared" si="86"/>
        <v>0</v>
      </c>
      <c r="BE79" s="100">
        <v>0</v>
      </c>
      <c r="BF79" s="100">
        <f>79</f>
        <v>79</v>
      </c>
      <c r="BH79" s="108">
        <f t="shared" si="87"/>
        <v>0</v>
      </c>
      <c r="BI79" s="108">
        <f t="shared" si="88"/>
        <v>0</v>
      </c>
      <c r="BJ79" s="108">
        <f t="shared" si="89"/>
        <v>0</v>
      </c>
    </row>
    <row r="80" spans="1:62" x14ac:dyDescent="0.2">
      <c r="A80" s="117" t="s">
        <v>63</v>
      </c>
      <c r="B80" s="117" t="s">
        <v>691</v>
      </c>
      <c r="C80" s="304" t="s">
        <v>1203</v>
      </c>
      <c r="D80" s="305"/>
      <c r="E80" s="305"/>
      <c r="F80" s="117" t="s">
        <v>1648</v>
      </c>
      <c r="G80" s="116">
        <v>2.8050000000000002</v>
      </c>
      <c r="H80" s="159"/>
      <c r="I80" s="108">
        <f t="shared" si="66"/>
        <v>0</v>
      </c>
      <c r="J80" s="108">
        <f t="shared" si="67"/>
        <v>0</v>
      </c>
      <c r="K80" s="108">
        <f t="shared" si="68"/>
        <v>0</v>
      </c>
      <c r="L80" s="111" t="s">
        <v>1671</v>
      </c>
      <c r="Z80" s="100">
        <f t="shared" si="69"/>
        <v>0</v>
      </c>
      <c r="AB80" s="100">
        <f t="shared" si="70"/>
        <v>0</v>
      </c>
      <c r="AC80" s="100">
        <f t="shared" si="71"/>
        <v>0</v>
      </c>
      <c r="AD80" s="100">
        <f t="shared" si="72"/>
        <v>0</v>
      </c>
      <c r="AE80" s="100">
        <f t="shared" si="73"/>
        <v>0</v>
      </c>
      <c r="AF80" s="100">
        <f t="shared" si="74"/>
        <v>0</v>
      </c>
      <c r="AG80" s="100">
        <f t="shared" si="75"/>
        <v>0</v>
      </c>
      <c r="AH80" s="100">
        <f t="shared" si="76"/>
        <v>0</v>
      </c>
      <c r="AI80" s="109"/>
      <c r="AJ80" s="108">
        <f t="shared" si="77"/>
        <v>0</v>
      </c>
      <c r="AK80" s="108">
        <f t="shared" si="78"/>
        <v>0</v>
      </c>
      <c r="AL80" s="108">
        <f t="shared" si="79"/>
        <v>0</v>
      </c>
      <c r="AN80" s="100">
        <v>15</v>
      </c>
      <c r="AO80" s="100">
        <f t="shared" si="80"/>
        <v>0</v>
      </c>
      <c r="AP80" s="100">
        <f t="shared" si="81"/>
        <v>0</v>
      </c>
      <c r="AQ80" s="111" t="s">
        <v>11</v>
      </c>
      <c r="AV80" s="100">
        <f t="shared" si="82"/>
        <v>0</v>
      </c>
      <c r="AW80" s="100">
        <f t="shared" si="83"/>
        <v>0</v>
      </c>
      <c r="AX80" s="100">
        <f t="shared" si="84"/>
        <v>0</v>
      </c>
      <c r="AY80" s="110" t="s">
        <v>1703</v>
      </c>
      <c r="AZ80" s="110" t="s">
        <v>1730</v>
      </c>
      <c r="BA80" s="109" t="s">
        <v>1737</v>
      </c>
      <c r="BC80" s="100">
        <f t="shared" si="85"/>
        <v>0</v>
      </c>
      <c r="BD80" s="100">
        <f t="shared" si="86"/>
        <v>0</v>
      </c>
      <c r="BE80" s="100">
        <v>0</v>
      </c>
      <c r="BF80" s="100">
        <f>80</f>
        <v>80</v>
      </c>
      <c r="BH80" s="108">
        <f t="shared" si="87"/>
        <v>0</v>
      </c>
      <c r="BI80" s="108">
        <f t="shared" si="88"/>
        <v>0</v>
      </c>
      <c r="BJ80" s="108">
        <f t="shared" si="89"/>
        <v>0</v>
      </c>
    </row>
    <row r="81" spans="1:62" x14ac:dyDescent="0.2">
      <c r="A81" s="117" t="s">
        <v>64</v>
      </c>
      <c r="B81" s="117" t="s">
        <v>692</v>
      </c>
      <c r="C81" s="304" t="s">
        <v>1204</v>
      </c>
      <c r="D81" s="305"/>
      <c r="E81" s="305"/>
      <c r="F81" s="117" t="s">
        <v>1648</v>
      </c>
      <c r="G81" s="116">
        <v>11.22</v>
      </c>
      <c r="H81" s="159"/>
      <c r="I81" s="108">
        <f t="shared" si="66"/>
        <v>0</v>
      </c>
      <c r="J81" s="108">
        <f t="shared" si="67"/>
        <v>0</v>
      </c>
      <c r="K81" s="108">
        <f t="shared" si="68"/>
        <v>0</v>
      </c>
      <c r="L81" s="111" t="s">
        <v>1671</v>
      </c>
      <c r="Z81" s="100">
        <f t="shared" si="69"/>
        <v>0</v>
      </c>
      <c r="AB81" s="100">
        <f t="shared" si="70"/>
        <v>0</v>
      </c>
      <c r="AC81" s="100">
        <f t="shared" si="71"/>
        <v>0</v>
      </c>
      <c r="AD81" s="100">
        <f t="shared" si="72"/>
        <v>0</v>
      </c>
      <c r="AE81" s="100">
        <f t="shared" si="73"/>
        <v>0</v>
      </c>
      <c r="AF81" s="100">
        <f t="shared" si="74"/>
        <v>0</v>
      </c>
      <c r="AG81" s="100">
        <f t="shared" si="75"/>
        <v>0</v>
      </c>
      <c r="AH81" s="100">
        <f t="shared" si="76"/>
        <v>0</v>
      </c>
      <c r="AI81" s="109"/>
      <c r="AJ81" s="108">
        <f t="shared" si="77"/>
        <v>0</v>
      </c>
      <c r="AK81" s="108">
        <f t="shared" si="78"/>
        <v>0</v>
      </c>
      <c r="AL81" s="108">
        <f t="shared" si="79"/>
        <v>0</v>
      </c>
      <c r="AN81" s="100">
        <v>15</v>
      </c>
      <c r="AO81" s="100">
        <f t="shared" si="80"/>
        <v>0</v>
      </c>
      <c r="AP81" s="100">
        <f t="shared" si="81"/>
        <v>0</v>
      </c>
      <c r="AQ81" s="111" t="s">
        <v>11</v>
      </c>
      <c r="AV81" s="100">
        <f t="shared" si="82"/>
        <v>0</v>
      </c>
      <c r="AW81" s="100">
        <f t="shared" si="83"/>
        <v>0</v>
      </c>
      <c r="AX81" s="100">
        <f t="shared" si="84"/>
        <v>0</v>
      </c>
      <c r="AY81" s="110" t="s">
        <v>1703</v>
      </c>
      <c r="AZ81" s="110" t="s">
        <v>1730</v>
      </c>
      <c r="BA81" s="109" t="s">
        <v>1737</v>
      </c>
      <c r="BC81" s="100">
        <f t="shared" si="85"/>
        <v>0</v>
      </c>
      <c r="BD81" s="100">
        <f t="shared" si="86"/>
        <v>0</v>
      </c>
      <c r="BE81" s="100">
        <v>0</v>
      </c>
      <c r="BF81" s="100">
        <f>81</f>
        <v>81</v>
      </c>
      <c r="BH81" s="108">
        <f t="shared" si="87"/>
        <v>0</v>
      </c>
      <c r="BI81" s="108">
        <f t="shared" si="88"/>
        <v>0</v>
      </c>
      <c r="BJ81" s="108">
        <f t="shared" si="89"/>
        <v>0</v>
      </c>
    </row>
    <row r="82" spans="1:62" x14ac:dyDescent="0.2">
      <c r="A82" s="117" t="s">
        <v>65</v>
      </c>
      <c r="B82" s="117" t="s">
        <v>693</v>
      </c>
      <c r="C82" s="304" t="s">
        <v>1205</v>
      </c>
      <c r="D82" s="305"/>
      <c r="E82" s="305"/>
      <c r="F82" s="117" t="s">
        <v>1648</v>
      </c>
      <c r="G82" s="116">
        <v>2.8050000000000002</v>
      </c>
      <c r="H82" s="159"/>
      <c r="I82" s="108">
        <f t="shared" si="66"/>
        <v>0</v>
      </c>
      <c r="J82" s="108">
        <f t="shared" si="67"/>
        <v>0</v>
      </c>
      <c r="K82" s="108">
        <f t="shared" si="68"/>
        <v>0</v>
      </c>
      <c r="L82" s="111" t="s">
        <v>1671</v>
      </c>
      <c r="Z82" s="100">
        <f t="shared" si="69"/>
        <v>0</v>
      </c>
      <c r="AB82" s="100">
        <f t="shared" si="70"/>
        <v>0</v>
      </c>
      <c r="AC82" s="100">
        <f t="shared" si="71"/>
        <v>0</v>
      </c>
      <c r="AD82" s="100">
        <f t="shared" si="72"/>
        <v>0</v>
      </c>
      <c r="AE82" s="100">
        <f t="shared" si="73"/>
        <v>0</v>
      </c>
      <c r="AF82" s="100">
        <f t="shared" si="74"/>
        <v>0</v>
      </c>
      <c r="AG82" s="100">
        <f t="shared" si="75"/>
        <v>0</v>
      </c>
      <c r="AH82" s="100">
        <f t="shared" si="76"/>
        <v>0</v>
      </c>
      <c r="AI82" s="109"/>
      <c r="AJ82" s="108">
        <f t="shared" si="77"/>
        <v>0</v>
      </c>
      <c r="AK82" s="108">
        <f t="shared" si="78"/>
        <v>0</v>
      </c>
      <c r="AL82" s="108">
        <f t="shared" si="79"/>
        <v>0</v>
      </c>
      <c r="AN82" s="100">
        <v>15</v>
      </c>
      <c r="AO82" s="100">
        <f t="shared" si="80"/>
        <v>0</v>
      </c>
      <c r="AP82" s="100">
        <f t="shared" si="81"/>
        <v>0</v>
      </c>
      <c r="AQ82" s="111" t="s">
        <v>11</v>
      </c>
      <c r="AV82" s="100">
        <f t="shared" si="82"/>
        <v>0</v>
      </c>
      <c r="AW82" s="100">
        <f t="shared" si="83"/>
        <v>0</v>
      </c>
      <c r="AX82" s="100">
        <f t="shared" si="84"/>
        <v>0</v>
      </c>
      <c r="AY82" s="110" t="s">
        <v>1703</v>
      </c>
      <c r="AZ82" s="110" t="s">
        <v>1730</v>
      </c>
      <c r="BA82" s="109" t="s">
        <v>1737</v>
      </c>
      <c r="BC82" s="100">
        <f t="shared" si="85"/>
        <v>0</v>
      </c>
      <c r="BD82" s="100">
        <f t="shared" si="86"/>
        <v>0</v>
      </c>
      <c r="BE82" s="100">
        <v>0</v>
      </c>
      <c r="BF82" s="100">
        <f>82</f>
        <v>82</v>
      </c>
      <c r="BH82" s="108">
        <f t="shared" si="87"/>
        <v>0</v>
      </c>
      <c r="BI82" s="108">
        <f t="shared" si="88"/>
        <v>0</v>
      </c>
      <c r="BJ82" s="108">
        <f t="shared" si="89"/>
        <v>0</v>
      </c>
    </row>
    <row r="83" spans="1:62" x14ac:dyDescent="0.2">
      <c r="A83" s="117" t="s">
        <v>66</v>
      </c>
      <c r="B83" s="117" t="s">
        <v>694</v>
      </c>
      <c r="C83" s="304" t="s">
        <v>1206</v>
      </c>
      <c r="D83" s="305"/>
      <c r="E83" s="305"/>
      <c r="F83" s="117" t="s">
        <v>1648</v>
      </c>
      <c r="G83" s="116">
        <v>2.8050000000000002</v>
      </c>
      <c r="H83" s="159"/>
      <c r="I83" s="108">
        <f t="shared" si="66"/>
        <v>0</v>
      </c>
      <c r="J83" s="108">
        <f t="shared" si="67"/>
        <v>0</v>
      </c>
      <c r="K83" s="108">
        <f t="shared" si="68"/>
        <v>0</v>
      </c>
      <c r="L83" s="111" t="s">
        <v>1671</v>
      </c>
      <c r="Z83" s="100">
        <f t="shared" si="69"/>
        <v>0</v>
      </c>
      <c r="AB83" s="100">
        <f t="shared" si="70"/>
        <v>0</v>
      </c>
      <c r="AC83" s="100">
        <f t="shared" si="71"/>
        <v>0</v>
      </c>
      <c r="AD83" s="100">
        <f t="shared" si="72"/>
        <v>0</v>
      </c>
      <c r="AE83" s="100">
        <f t="shared" si="73"/>
        <v>0</v>
      </c>
      <c r="AF83" s="100">
        <f t="shared" si="74"/>
        <v>0</v>
      </c>
      <c r="AG83" s="100">
        <f t="shared" si="75"/>
        <v>0</v>
      </c>
      <c r="AH83" s="100">
        <f t="shared" si="76"/>
        <v>0</v>
      </c>
      <c r="AI83" s="109"/>
      <c r="AJ83" s="108">
        <f t="shared" si="77"/>
        <v>0</v>
      </c>
      <c r="AK83" s="108">
        <f t="shared" si="78"/>
        <v>0</v>
      </c>
      <c r="AL83" s="108">
        <f t="shared" si="79"/>
        <v>0</v>
      </c>
      <c r="AN83" s="100">
        <v>15</v>
      </c>
      <c r="AO83" s="100">
        <f t="shared" si="80"/>
        <v>0</v>
      </c>
      <c r="AP83" s="100">
        <f t="shared" si="81"/>
        <v>0</v>
      </c>
      <c r="AQ83" s="111" t="s">
        <v>11</v>
      </c>
      <c r="AV83" s="100">
        <f t="shared" si="82"/>
        <v>0</v>
      </c>
      <c r="AW83" s="100">
        <f t="shared" si="83"/>
        <v>0</v>
      </c>
      <c r="AX83" s="100">
        <f t="shared" si="84"/>
        <v>0</v>
      </c>
      <c r="AY83" s="110" t="s">
        <v>1703</v>
      </c>
      <c r="AZ83" s="110" t="s">
        <v>1730</v>
      </c>
      <c r="BA83" s="109" t="s">
        <v>1737</v>
      </c>
      <c r="BC83" s="100">
        <f t="shared" si="85"/>
        <v>0</v>
      </c>
      <c r="BD83" s="100">
        <f t="shared" si="86"/>
        <v>0</v>
      </c>
      <c r="BE83" s="100">
        <v>0</v>
      </c>
      <c r="BF83" s="100">
        <f>83</f>
        <v>83</v>
      </c>
      <c r="BH83" s="108">
        <f t="shared" si="87"/>
        <v>0</v>
      </c>
      <c r="BI83" s="108">
        <f t="shared" si="88"/>
        <v>0</v>
      </c>
      <c r="BJ83" s="108">
        <f t="shared" si="89"/>
        <v>0</v>
      </c>
    </row>
    <row r="84" spans="1:62" x14ac:dyDescent="0.2">
      <c r="A84" s="117" t="s">
        <v>67</v>
      </c>
      <c r="B84" s="117" t="s">
        <v>696</v>
      </c>
      <c r="C84" s="304" t="s">
        <v>1208</v>
      </c>
      <c r="D84" s="305"/>
      <c r="E84" s="305"/>
      <c r="F84" s="117" t="s">
        <v>1648</v>
      </c>
      <c r="G84" s="116">
        <v>0.28799999999999998</v>
      </c>
      <c r="H84" s="159"/>
      <c r="I84" s="108">
        <f t="shared" si="66"/>
        <v>0</v>
      </c>
      <c r="J84" s="108">
        <f t="shared" si="67"/>
        <v>0</v>
      </c>
      <c r="K84" s="108">
        <f t="shared" si="68"/>
        <v>0</v>
      </c>
      <c r="L84" s="111" t="s">
        <v>1671</v>
      </c>
      <c r="Z84" s="100">
        <f t="shared" si="69"/>
        <v>0</v>
      </c>
      <c r="AB84" s="100">
        <f t="shared" si="70"/>
        <v>0</v>
      </c>
      <c r="AC84" s="100">
        <f t="shared" si="71"/>
        <v>0</v>
      </c>
      <c r="AD84" s="100">
        <f t="shared" si="72"/>
        <v>0</v>
      </c>
      <c r="AE84" s="100">
        <f t="shared" si="73"/>
        <v>0</v>
      </c>
      <c r="AF84" s="100">
        <f t="shared" si="74"/>
        <v>0</v>
      </c>
      <c r="AG84" s="100">
        <f t="shared" si="75"/>
        <v>0</v>
      </c>
      <c r="AH84" s="100">
        <f t="shared" si="76"/>
        <v>0</v>
      </c>
      <c r="AI84" s="109"/>
      <c r="AJ84" s="108">
        <f t="shared" si="77"/>
        <v>0</v>
      </c>
      <c r="AK84" s="108">
        <f t="shared" si="78"/>
        <v>0</v>
      </c>
      <c r="AL84" s="108">
        <f t="shared" si="79"/>
        <v>0</v>
      </c>
      <c r="AN84" s="100">
        <v>15</v>
      </c>
      <c r="AO84" s="100">
        <f t="shared" si="80"/>
        <v>0</v>
      </c>
      <c r="AP84" s="100">
        <f t="shared" si="81"/>
        <v>0</v>
      </c>
      <c r="AQ84" s="111" t="s">
        <v>11</v>
      </c>
      <c r="AV84" s="100">
        <f t="shared" si="82"/>
        <v>0</v>
      </c>
      <c r="AW84" s="100">
        <f t="shared" si="83"/>
        <v>0</v>
      </c>
      <c r="AX84" s="100">
        <f t="shared" si="84"/>
        <v>0</v>
      </c>
      <c r="AY84" s="110" t="s">
        <v>1703</v>
      </c>
      <c r="AZ84" s="110" t="s">
        <v>1730</v>
      </c>
      <c r="BA84" s="109" t="s">
        <v>1737</v>
      </c>
      <c r="BC84" s="100">
        <f t="shared" si="85"/>
        <v>0</v>
      </c>
      <c r="BD84" s="100">
        <f t="shared" si="86"/>
        <v>0</v>
      </c>
      <c r="BE84" s="100">
        <v>0</v>
      </c>
      <c r="BF84" s="100">
        <f>84</f>
        <v>84</v>
      </c>
      <c r="BH84" s="108">
        <f t="shared" si="87"/>
        <v>0</v>
      </c>
      <c r="BI84" s="108">
        <f t="shared" si="88"/>
        <v>0</v>
      </c>
      <c r="BJ84" s="108">
        <f t="shared" si="89"/>
        <v>0</v>
      </c>
    </row>
    <row r="85" spans="1:62" x14ac:dyDescent="0.2">
      <c r="A85" s="117" t="s">
        <v>68</v>
      </c>
      <c r="B85" s="117" t="s">
        <v>697</v>
      </c>
      <c r="C85" s="304" t="s">
        <v>1209</v>
      </c>
      <c r="D85" s="305"/>
      <c r="E85" s="305"/>
      <c r="F85" s="117" t="s">
        <v>1648</v>
      </c>
      <c r="G85" s="116">
        <v>0.28599999999999998</v>
      </c>
      <c r="H85" s="159"/>
      <c r="I85" s="108">
        <f t="shared" si="66"/>
        <v>0</v>
      </c>
      <c r="J85" s="108">
        <f t="shared" si="67"/>
        <v>0</v>
      </c>
      <c r="K85" s="108">
        <f t="shared" si="68"/>
        <v>0</v>
      </c>
      <c r="L85" s="111" t="s">
        <v>1671</v>
      </c>
      <c r="Z85" s="100">
        <f t="shared" si="69"/>
        <v>0</v>
      </c>
      <c r="AB85" s="100">
        <f t="shared" si="70"/>
        <v>0</v>
      </c>
      <c r="AC85" s="100">
        <f t="shared" si="71"/>
        <v>0</v>
      </c>
      <c r="AD85" s="100">
        <f t="shared" si="72"/>
        <v>0</v>
      </c>
      <c r="AE85" s="100">
        <f t="shared" si="73"/>
        <v>0</v>
      </c>
      <c r="AF85" s="100">
        <f t="shared" si="74"/>
        <v>0</v>
      </c>
      <c r="AG85" s="100">
        <f t="shared" si="75"/>
        <v>0</v>
      </c>
      <c r="AH85" s="100">
        <f t="shared" si="76"/>
        <v>0</v>
      </c>
      <c r="AI85" s="109"/>
      <c r="AJ85" s="108">
        <f t="shared" si="77"/>
        <v>0</v>
      </c>
      <c r="AK85" s="108">
        <f t="shared" si="78"/>
        <v>0</v>
      </c>
      <c r="AL85" s="108">
        <f t="shared" si="79"/>
        <v>0</v>
      </c>
      <c r="AN85" s="100">
        <v>15</v>
      </c>
      <c r="AO85" s="100">
        <f t="shared" si="80"/>
        <v>0</v>
      </c>
      <c r="AP85" s="100">
        <f t="shared" si="81"/>
        <v>0</v>
      </c>
      <c r="AQ85" s="111" t="s">
        <v>11</v>
      </c>
      <c r="AV85" s="100">
        <f t="shared" si="82"/>
        <v>0</v>
      </c>
      <c r="AW85" s="100">
        <f t="shared" si="83"/>
        <v>0</v>
      </c>
      <c r="AX85" s="100">
        <f t="shared" si="84"/>
        <v>0</v>
      </c>
      <c r="AY85" s="110" t="s">
        <v>1703</v>
      </c>
      <c r="AZ85" s="110" t="s">
        <v>1730</v>
      </c>
      <c r="BA85" s="109" t="s">
        <v>1737</v>
      </c>
      <c r="BC85" s="100">
        <f t="shared" si="85"/>
        <v>0</v>
      </c>
      <c r="BD85" s="100">
        <f t="shared" si="86"/>
        <v>0</v>
      </c>
      <c r="BE85" s="100">
        <v>0</v>
      </c>
      <c r="BF85" s="100">
        <f>85</f>
        <v>85</v>
      </c>
      <c r="BH85" s="108">
        <f t="shared" si="87"/>
        <v>0</v>
      </c>
      <c r="BI85" s="108">
        <f t="shared" si="88"/>
        <v>0</v>
      </c>
      <c r="BJ85" s="108">
        <f t="shared" si="89"/>
        <v>0</v>
      </c>
    </row>
    <row r="86" spans="1:62" x14ac:dyDescent="0.2">
      <c r="A86" s="117" t="s">
        <v>69</v>
      </c>
      <c r="B86" s="117" t="s">
        <v>698</v>
      </c>
      <c r="C86" s="304" t="s">
        <v>1210</v>
      </c>
      <c r="D86" s="305"/>
      <c r="E86" s="305"/>
      <c r="F86" s="117" t="s">
        <v>1648</v>
      </c>
      <c r="G86" s="116">
        <v>1.883</v>
      </c>
      <c r="H86" s="159"/>
      <c r="I86" s="108">
        <f t="shared" si="66"/>
        <v>0</v>
      </c>
      <c r="J86" s="108">
        <f t="shared" si="67"/>
        <v>0</v>
      </c>
      <c r="K86" s="108">
        <f t="shared" si="68"/>
        <v>0</v>
      </c>
      <c r="L86" s="111" t="s">
        <v>1671</v>
      </c>
      <c r="Z86" s="100">
        <f t="shared" si="69"/>
        <v>0</v>
      </c>
      <c r="AB86" s="100">
        <f t="shared" si="70"/>
        <v>0</v>
      </c>
      <c r="AC86" s="100">
        <f t="shared" si="71"/>
        <v>0</v>
      </c>
      <c r="AD86" s="100">
        <f t="shared" si="72"/>
        <v>0</v>
      </c>
      <c r="AE86" s="100">
        <f t="shared" si="73"/>
        <v>0</v>
      </c>
      <c r="AF86" s="100">
        <f t="shared" si="74"/>
        <v>0</v>
      </c>
      <c r="AG86" s="100">
        <f t="shared" si="75"/>
        <v>0</v>
      </c>
      <c r="AH86" s="100">
        <f t="shared" si="76"/>
        <v>0</v>
      </c>
      <c r="AI86" s="109"/>
      <c r="AJ86" s="108">
        <f t="shared" si="77"/>
        <v>0</v>
      </c>
      <c r="AK86" s="108">
        <f t="shared" si="78"/>
        <v>0</v>
      </c>
      <c r="AL86" s="108">
        <f t="shared" si="79"/>
        <v>0</v>
      </c>
      <c r="AN86" s="100">
        <v>15</v>
      </c>
      <c r="AO86" s="100">
        <f t="shared" si="80"/>
        <v>0</v>
      </c>
      <c r="AP86" s="100">
        <f t="shared" si="81"/>
        <v>0</v>
      </c>
      <c r="AQ86" s="111" t="s">
        <v>11</v>
      </c>
      <c r="AV86" s="100">
        <f t="shared" si="82"/>
        <v>0</v>
      </c>
      <c r="AW86" s="100">
        <f t="shared" si="83"/>
        <v>0</v>
      </c>
      <c r="AX86" s="100">
        <f t="shared" si="84"/>
        <v>0</v>
      </c>
      <c r="AY86" s="110" t="s">
        <v>1703</v>
      </c>
      <c r="AZ86" s="110" t="s">
        <v>1730</v>
      </c>
      <c r="BA86" s="109" t="s">
        <v>1737</v>
      </c>
      <c r="BC86" s="100">
        <f t="shared" si="85"/>
        <v>0</v>
      </c>
      <c r="BD86" s="100">
        <f t="shared" si="86"/>
        <v>0</v>
      </c>
      <c r="BE86" s="100">
        <v>0</v>
      </c>
      <c r="BF86" s="100">
        <f>86</f>
        <v>86</v>
      </c>
      <c r="BH86" s="108">
        <f t="shared" si="87"/>
        <v>0</v>
      </c>
      <c r="BI86" s="108">
        <f t="shared" si="88"/>
        <v>0</v>
      </c>
      <c r="BJ86" s="108">
        <f t="shared" si="89"/>
        <v>0</v>
      </c>
    </row>
    <row r="87" spans="1:62" x14ac:dyDescent="0.2">
      <c r="A87" s="117" t="s">
        <v>70</v>
      </c>
      <c r="B87" s="117" t="s">
        <v>700</v>
      </c>
      <c r="C87" s="304" t="s">
        <v>1212</v>
      </c>
      <c r="D87" s="305"/>
      <c r="E87" s="305"/>
      <c r="F87" s="117" t="s">
        <v>1648</v>
      </c>
      <c r="G87" s="116">
        <v>0.34799999999999998</v>
      </c>
      <c r="H87" s="159"/>
      <c r="I87" s="108">
        <f t="shared" si="66"/>
        <v>0</v>
      </c>
      <c r="J87" s="108">
        <f t="shared" si="67"/>
        <v>0</v>
      </c>
      <c r="K87" s="108">
        <f t="shared" si="68"/>
        <v>0</v>
      </c>
      <c r="L87" s="111" t="s">
        <v>1671</v>
      </c>
      <c r="Z87" s="100">
        <f t="shared" si="69"/>
        <v>0</v>
      </c>
      <c r="AB87" s="100">
        <f t="shared" si="70"/>
        <v>0</v>
      </c>
      <c r="AC87" s="100">
        <f t="shared" si="71"/>
        <v>0</v>
      </c>
      <c r="AD87" s="100">
        <f t="shared" si="72"/>
        <v>0</v>
      </c>
      <c r="AE87" s="100">
        <f t="shared" si="73"/>
        <v>0</v>
      </c>
      <c r="AF87" s="100">
        <f t="shared" si="74"/>
        <v>0</v>
      </c>
      <c r="AG87" s="100">
        <f t="shared" si="75"/>
        <v>0</v>
      </c>
      <c r="AH87" s="100">
        <f t="shared" si="76"/>
        <v>0</v>
      </c>
      <c r="AI87" s="109"/>
      <c r="AJ87" s="108">
        <f t="shared" si="77"/>
        <v>0</v>
      </c>
      <c r="AK87" s="108">
        <f t="shared" si="78"/>
        <v>0</v>
      </c>
      <c r="AL87" s="108">
        <f t="shared" si="79"/>
        <v>0</v>
      </c>
      <c r="AN87" s="100">
        <v>15</v>
      </c>
      <c r="AO87" s="100">
        <f t="shared" si="80"/>
        <v>0</v>
      </c>
      <c r="AP87" s="100">
        <f t="shared" si="81"/>
        <v>0</v>
      </c>
      <c r="AQ87" s="111" t="s">
        <v>11</v>
      </c>
      <c r="AV87" s="100">
        <f t="shared" si="82"/>
        <v>0</v>
      </c>
      <c r="AW87" s="100">
        <f t="shared" si="83"/>
        <v>0</v>
      </c>
      <c r="AX87" s="100">
        <f t="shared" si="84"/>
        <v>0</v>
      </c>
      <c r="AY87" s="110" t="s">
        <v>1703</v>
      </c>
      <c r="AZ87" s="110" t="s">
        <v>1730</v>
      </c>
      <c r="BA87" s="109" t="s">
        <v>1737</v>
      </c>
      <c r="BC87" s="100">
        <f t="shared" si="85"/>
        <v>0</v>
      </c>
      <c r="BD87" s="100">
        <f t="shared" si="86"/>
        <v>0</v>
      </c>
      <c r="BE87" s="100">
        <v>0</v>
      </c>
      <c r="BF87" s="100">
        <f>87</f>
        <v>87</v>
      </c>
      <c r="BH87" s="108">
        <f t="shared" si="87"/>
        <v>0</v>
      </c>
      <c r="BI87" s="108">
        <f t="shared" si="88"/>
        <v>0</v>
      </c>
      <c r="BJ87" s="108">
        <f t="shared" si="89"/>
        <v>0</v>
      </c>
    </row>
    <row r="88" spans="1:62" x14ac:dyDescent="0.2">
      <c r="A88" s="119"/>
      <c r="B88" s="120" t="s">
        <v>703</v>
      </c>
      <c r="C88" s="306" t="s">
        <v>1215</v>
      </c>
      <c r="D88" s="307"/>
      <c r="E88" s="307"/>
      <c r="F88" s="119" t="s">
        <v>6</v>
      </c>
      <c r="G88" s="119" t="s">
        <v>6</v>
      </c>
      <c r="H88" s="119" t="s">
        <v>6</v>
      </c>
      <c r="I88" s="118">
        <f>SUM(I89:I89)</f>
        <v>0</v>
      </c>
      <c r="J88" s="118">
        <f>SUM(J89:J89)</f>
        <v>0</v>
      </c>
      <c r="K88" s="118">
        <f>SUM(K89:K89)</f>
        <v>0</v>
      </c>
      <c r="L88" s="109"/>
      <c r="AI88" s="109"/>
      <c r="AS88" s="118">
        <f>SUM(AJ89:AJ89)</f>
        <v>0</v>
      </c>
      <c r="AT88" s="118">
        <f>SUM(AK89:AK89)</f>
        <v>0</v>
      </c>
      <c r="AU88" s="118">
        <f>SUM(AL89:AL89)</f>
        <v>0</v>
      </c>
    </row>
    <row r="89" spans="1:62" x14ac:dyDescent="0.2">
      <c r="A89" s="117" t="s">
        <v>71</v>
      </c>
      <c r="B89" s="117" t="s">
        <v>704</v>
      </c>
      <c r="C89" s="304" t="s">
        <v>1216</v>
      </c>
      <c r="D89" s="305"/>
      <c r="E89" s="305"/>
      <c r="F89" s="117" t="s">
        <v>1648</v>
      </c>
      <c r="G89" s="116">
        <v>25.027999999999999</v>
      </c>
      <c r="H89" s="159"/>
      <c r="I89" s="108">
        <f>G89*AO89</f>
        <v>0</v>
      </c>
      <c r="J89" s="108">
        <f>G89*AP89</f>
        <v>0</v>
      </c>
      <c r="K89" s="108">
        <f>G89*H89</f>
        <v>0</v>
      </c>
      <c r="L89" s="111" t="s">
        <v>1671</v>
      </c>
      <c r="Z89" s="100">
        <f>IF(AQ89="5",BJ89,0)</f>
        <v>0</v>
      </c>
      <c r="AB89" s="100">
        <f>IF(AQ89="1",BH89,0)</f>
        <v>0</v>
      </c>
      <c r="AC89" s="100">
        <f>IF(AQ89="1",BI89,0)</f>
        <v>0</v>
      </c>
      <c r="AD89" s="100">
        <f>IF(AQ89="7",BH89,0)</f>
        <v>0</v>
      </c>
      <c r="AE89" s="100">
        <f>IF(AQ89="7",BI89,0)</f>
        <v>0</v>
      </c>
      <c r="AF89" s="100">
        <f>IF(AQ89="2",BH89,0)</f>
        <v>0</v>
      </c>
      <c r="AG89" s="100">
        <f>IF(AQ89="2",BI89,0)</f>
        <v>0</v>
      </c>
      <c r="AH89" s="100">
        <f>IF(AQ89="0",BJ89,0)</f>
        <v>0</v>
      </c>
      <c r="AI89" s="109"/>
      <c r="AJ89" s="108">
        <f>IF(AN89=0,K89,0)</f>
        <v>0</v>
      </c>
      <c r="AK89" s="108">
        <f>IF(AN89=15,K89,0)</f>
        <v>0</v>
      </c>
      <c r="AL89" s="108">
        <f>IF(AN89=21,K89,0)</f>
        <v>0</v>
      </c>
      <c r="AN89" s="100">
        <v>15</v>
      </c>
      <c r="AO89" s="100">
        <f>H89*0</f>
        <v>0</v>
      </c>
      <c r="AP89" s="100">
        <f>H89*(1-0)</f>
        <v>0</v>
      </c>
      <c r="AQ89" s="111" t="s">
        <v>11</v>
      </c>
      <c r="AV89" s="100">
        <f>AW89+AX89</f>
        <v>0</v>
      </c>
      <c r="AW89" s="100">
        <f>G89*AO89</f>
        <v>0</v>
      </c>
      <c r="AX89" s="100">
        <f>G89*AP89</f>
        <v>0</v>
      </c>
      <c r="AY89" s="110" t="s">
        <v>1704</v>
      </c>
      <c r="AZ89" s="110" t="s">
        <v>1730</v>
      </c>
      <c r="BA89" s="109" t="s">
        <v>1737</v>
      </c>
      <c r="BC89" s="100">
        <f>AW89+AX89</f>
        <v>0</v>
      </c>
      <c r="BD89" s="100">
        <f>H89/(100-BE89)*100</f>
        <v>0</v>
      </c>
      <c r="BE89" s="100">
        <v>0</v>
      </c>
      <c r="BF89" s="100">
        <f>89</f>
        <v>89</v>
      </c>
      <c r="BH89" s="108">
        <f>G89*AO89</f>
        <v>0</v>
      </c>
      <c r="BI89" s="108">
        <f>G89*AP89</f>
        <v>0</v>
      </c>
      <c r="BJ89" s="108">
        <f>G89*H89</f>
        <v>0</v>
      </c>
    </row>
    <row r="90" spans="1:62" x14ac:dyDescent="0.2">
      <c r="A90" s="119"/>
      <c r="B90" s="120" t="s">
        <v>744</v>
      </c>
      <c r="C90" s="306" t="s">
        <v>1256</v>
      </c>
      <c r="D90" s="307"/>
      <c r="E90" s="307"/>
      <c r="F90" s="119" t="s">
        <v>6</v>
      </c>
      <c r="G90" s="119" t="s">
        <v>6</v>
      </c>
      <c r="H90" s="119" t="s">
        <v>6</v>
      </c>
      <c r="I90" s="118">
        <f>SUM(I91:I103)</f>
        <v>0</v>
      </c>
      <c r="J90" s="118">
        <f>SUM(J91:J103)</f>
        <v>0</v>
      </c>
      <c r="K90" s="118">
        <f>SUM(K91:K103)</f>
        <v>0</v>
      </c>
      <c r="L90" s="109"/>
      <c r="AI90" s="109"/>
      <c r="AS90" s="118">
        <f>SUM(AJ91:AJ103)</f>
        <v>0</v>
      </c>
      <c r="AT90" s="118">
        <f>SUM(AK91:AK103)</f>
        <v>0</v>
      </c>
      <c r="AU90" s="118">
        <f>SUM(AL91:AL103)</f>
        <v>0</v>
      </c>
    </row>
    <row r="91" spans="1:62" x14ac:dyDescent="0.2">
      <c r="A91" s="117" t="s">
        <v>72</v>
      </c>
      <c r="B91" s="117" t="s">
        <v>4590</v>
      </c>
      <c r="C91" s="304" t="s">
        <v>1258</v>
      </c>
      <c r="D91" s="305"/>
      <c r="E91" s="305"/>
      <c r="F91" s="117" t="s">
        <v>1646</v>
      </c>
      <c r="G91" s="116">
        <v>4</v>
      </c>
      <c r="H91" s="159"/>
      <c r="I91" s="108">
        <f t="shared" ref="I91:I103" si="90">G91*AO91</f>
        <v>0</v>
      </c>
      <c r="J91" s="108">
        <f t="shared" ref="J91:J103" si="91">G91*AP91</f>
        <v>0</v>
      </c>
      <c r="K91" s="108">
        <f t="shared" ref="K91:K103" si="92">G91*H91</f>
        <v>0</v>
      </c>
      <c r="L91" s="111"/>
      <c r="Z91" s="100">
        <f t="shared" ref="Z91:Z103" si="93">IF(AQ91="5",BJ91,0)</f>
        <v>0</v>
      </c>
      <c r="AB91" s="100">
        <f t="shared" ref="AB91:AB103" si="94">IF(AQ91="1",BH91,0)</f>
        <v>0</v>
      </c>
      <c r="AC91" s="100">
        <f t="shared" ref="AC91:AC103" si="95">IF(AQ91="1",BI91,0)</f>
        <v>0</v>
      </c>
      <c r="AD91" s="100">
        <f t="shared" ref="AD91:AD103" si="96">IF(AQ91="7",BH91,0)</f>
        <v>0</v>
      </c>
      <c r="AE91" s="100">
        <f t="shared" ref="AE91:AE103" si="97">IF(AQ91="7",BI91,0)</f>
        <v>0</v>
      </c>
      <c r="AF91" s="100">
        <f t="shared" ref="AF91:AF103" si="98">IF(AQ91="2",BH91,0)</f>
        <v>0</v>
      </c>
      <c r="AG91" s="100">
        <f t="shared" ref="AG91:AG103" si="99">IF(AQ91="2",BI91,0)</f>
        <v>0</v>
      </c>
      <c r="AH91" s="100">
        <f t="shared" ref="AH91:AH103" si="100">IF(AQ91="0",BJ91,0)</f>
        <v>0</v>
      </c>
      <c r="AI91" s="109"/>
      <c r="AJ91" s="108">
        <f t="shared" ref="AJ91:AJ103" si="101">IF(AN91=0,K91,0)</f>
        <v>0</v>
      </c>
      <c r="AK91" s="108">
        <f t="shared" ref="AK91:AK103" si="102">IF(AN91=15,K91,0)</f>
        <v>0</v>
      </c>
      <c r="AL91" s="108">
        <f t="shared" ref="AL91:AL103" si="103">IF(AN91=21,K91,0)</f>
        <v>0</v>
      </c>
      <c r="AN91" s="100">
        <v>15</v>
      </c>
      <c r="AO91" s="100">
        <f t="shared" ref="AO91:AO103" si="104">H91*0</f>
        <v>0</v>
      </c>
      <c r="AP91" s="100">
        <f t="shared" ref="AP91:AP103" si="105">H91*(1-0)</f>
        <v>0</v>
      </c>
      <c r="AQ91" s="111" t="s">
        <v>13</v>
      </c>
      <c r="AV91" s="100">
        <f t="shared" ref="AV91:AV103" si="106">AW91+AX91</f>
        <v>0</v>
      </c>
      <c r="AW91" s="100">
        <f t="shared" ref="AW91:AW103" si="107">G91*AO91</f>
        <v>0</v>
      </c>
      <c r="AX91" s="100">
        <f t="shared" ref="AX91:AX103" si="108">G91*AP91</f>
        <v>0</v>
      </c>
      <c r="AY91" s="110" t="s">
        <v>1708</v>
      </c>
      <c r="AZ91" s="110" t="s">
        <v>1732</v>
      </c>
      <c r="BA91" s="109" t="s">
        <v>1737</v>
      </c>
      <c r="BC91" s="100">
        <f t="shared" ref="BC91:BC103" si="109">AW91+AX91</f>
        <v>0</v>
      </c>
      <c r="BD91" s="100">
        <f t="shared" ref="BD91:BD103" si="110">H91/(100-BE91)*100</f>
        <v>0</v>
      </c>
      <c r="BE91" s="100">
        <v>0</v>
      </c>
      <c r="BF91" s="100">
        <f>91</f>
        <v>91</v>
      </c>
      <c r="BH91" s="108">
        <f t="shared" ref="BH91:BH103" si="111">G91*AO91</f>
        <v>0</v>
      </c>
      <c r="BI91" s="108">
        <f t="shared" ref="BI91:BI103" si="112">G91*AP91</f>
        <v>0</v>
      </c>
      <c r="BJ91" s="108">
        <f t="shared" ref="BJ91:BJ103" si="113">G91*H91</f>
        <v>0</v>
      </c>
    </row>
    <row r="92" spans="1:62" x14ac:dyDescent="0.2">
      <c r="A92" s="117" t="s">
        <v>73</v>
      </c>
      <c r="B92" s="117" t="s">
        <v>4589</v>
      </c>
      <c r="C92" s="304" t="s">
        <v>2133</v>
      </c>
      <c r="D92" s="305"/>
      <c r="E92" s="305"/>
      <c r="F92" s="117" t="s">
        <v>1646</v>
      </c>
      <c r="G92" s="116">
        <v>1</v>
      </c>
      <c r="H92" s="159"/>
      <c r="I92" s="108">
        <f t="shared" si="90"/>
        <v>0</v>
      </c>
      <c r="J92" s="108">
        <f t="shared" si="91"/>
        <v>0</v>
      </c>
      <c r="K92" s="108">
        <f t="shared" si="92"/>
        <v>0</v>
      </c>
      <c r="L92" s="111"/>
      <c r="Z92" s="100">
        <f t="shared" si="93"/>
        <v>0</v>
      </c>
      <c r="AB92" s="100">
        <f t="shared" si="94"/>
        <v>0</v>
      </c>
      <c r="AC92" s="100">
        <f t="shared" si="95"/>
        <v>0</v>
      </c>
      <c r="AD92" s="100">
        <f t="shared" si="96"/>
        <v>0</v>
      </c>
      <c r="AE92" s="100">
        <f t="shared" si="97"/>
        <v>0</v>
      </c>
      <c r="AF92" s="100">
        <f t="shared" si="98"/>
        <v>0</v>
      </c>
      <c r="AG92" s="100">
        <f t="shared" si="99"/>
        <v>0</v>
      </c>
      <c r="AH92" s="100">
        <f t="shared" si="100"/>
        <v>0</v>
      </c>
      <c r="AI92" s="109"/>
      <c r="AJ92" s="108">
        <f t="shared" si="101"/>
        <v>0</v>
      </c>
      <c r="AK92" s="108">
        <f t="shared" si="102"/>
        <v>0</v>
      </c>
      <c r="AL92" s="108">
        <f t="shared" si="103"/>
        <v>0</v>
      </c>
      <c r="AN92" s="100">
        <v>15</v>
      </c>
      <c r="AO92" s="100">
        <f t="shared" si="104"/>
        <v>0</v>
      </c>
      <c r="AP92" s="100">
        <f t="shared" si="105"/>
        <v>0</v>
      </c>
      <c r="AQ92" s="111" t="s">
        <v>13</v>
      </c>
      <c r="AV92" s="100">
        <f t="shared" si="106"/>
        <v>0</v>
      </c>
      <c r="AW92" s="100">
        <f t="shared" si="107"/>
        <v>0</v>
      </c>
      <c r="AX92" s="100">
        <f t="shared" si="108"/>
        <v>0</v>
      </c>
      <c r="AY92" s="110" t="s">
        <v>1708</v>
      </c>
      <c r="AZ92" s="110" t="s">
        <v>1732</v>
      </c>
      <c r="BA92" s="109" t="s">
        <v>1737</v>
      </c>
      <c r="BC92" s="100">
        <f t="shared" si="109"/>
        <v>0</v>
      </c>
      <c r="BD92" s="100">
        <f t="shared" si="110"/>
        <v>0</v>
      </c>
      <c r="BE92" s="100">
        <v>0</v>
      </c>
      <c r="BF92" s="100">
        <f>92</f>
        <v>92</v>
      </c>
      <c r="BH92" s="108">
        <f t="shared" si="111"/>
        <v>0</v>
      </c>
      <c r="BI92" s="108">
        <f t="shared" si="112"/>
        <v>0</v>
      </c>
      <c r="BJ92" s="108">
        <f t="shared" si="113"/>
        <v>0</v>
      </c>
    </row>
    <row r="93" spans="1:62" x14ac:dyDescent="0.2">
      <c r="A93" s="117" t="s">
        <v>74</v>
      </c>
      <c r="B93" s="117" t="s">
        <v>4588</v>
      </c>
      <c r="C93" s="304" t="s">
        <v>1263</v>
      </c>
      <c r="D93" s="305"/>
      <c r="E93" s="305"/>
      <c r="F93" s="117" t="s">
        <v>1644</v>
      </c>
      <c r="G93" s="116">
        <v>4</v>
      </c>
      <c r="H93" s="159"/>
      <c r="I93" s="108">
        <f t="shared" si="90"/>
        <v>0</v>
      </c>
      <c r="J93" s="108">
        <f t="shared" si="91"/>
        <v>0</v>
      </c>
      <c r="K93" s="108">
        <f t="shared" si="92"/>
        <v>0</v>
      </c>
      <c r="L93" s="111"/>
      <c r="Z93" s="100">
        <f t="shared" si="93"/>
        <v>0</v>
      </c>
      <c r="AB93" s="100">
        <f t="shared" si="94"/>
        <v>0</v>
      </c>
      <c r="AC93" s="100">
        <f t="shared" si="95"/>
        <v>0</v>
      </c>
      <c r="AD93" s="100">
        <f t="shared" si="96"/>
        <v>0</v>
      </c>
      <c r="AE93" s="100">
        <f t="shared" si="97"/>
        <v>0</v>
      </c>
      <c r="AF93" s="100">
        <f t="shared" si="98"/>
        <v>0</v>
      </c>
      <c r="AG93" s="100">
        <f t="shared" si="99"/>
        <v>0</v>
      </c>
      <c r="AH93" s="100">
        <f t="shared" si="100"/>
        <v>0</v>
      </c>
      <c r="AI93" s="109"/>
      <c r="AJ93" s="108">
        <f t="shared" si="101"/>
        <v>0</v>
      </c>
      <c r="AK93" s="108">
        <f t="shared" si="102"/>
        <v>0</v>
      </c>
      <c r="AL93" s="108">
        <f t="shared" si="103"/>
        <v>0</v>
      </c>
      <c r="AN93" s="100">
        <v>15</v>
      </c>
      <c r="AO93" s="100">
        <f t="shared" si="104"/>
        <v>0</v>
      </c>
      <c r="AP93" s="100">
        <f t="shared" si="105"/>
        <v>0</v>
      </c>
      <c r="AQ93" s="111" t="s">
        <v>13</v>
      </c>
      <c r="AV93" s="100">
        <f t="shared" si="106"/>
        <v>0</v>
      </c>
      <c r="AW93" s="100">
        <f t="shared" si="107"/>
        <v>0</v>
      </c>
      <c r="AX93" s="100">
        <f t="shared" si="108"/>
        <v>0</v>
      </c>
      <c r="AY93" s="110" t="s">
        <v>1708</v>
      </c>
      <c r="AZ93" s="110" t="s">
        <v>1732</v>
      </c>
      <c r="BA93" s="109" t="s">
        <v>1737</v>
      </c>
      <c r="BC93" s="100">
        <f t="shared" si="109"/>
        <v>0</v>
      </c>
      <c r="BD93" s="100">
        <f t="shared" si="110"/>
        <v>0</v>
      </c>
      <c r="BE93" s="100">
        <v>0</v>
      </c>
      <c r="BF93" s="100">
        <f>93</f>
        <v>93</v>
      </c>
      <c r="BH93" s="108">
        <f t="shared" si="111"/>
        <v>0</v>
      </c>
      <c r="BI93" s="108">
        <f t="shared" si="112"/>
        <v>0</v>
      </c>
      <c r="BJ93" s="108">
        <f t="shared" si="113"/>
        <v>0</v>
      </c>
    </row>
    <row r="94" spans="1:62" x14ac:dyDescent="0.2">
      <c r="A94" s="117" t="s">
        <v>75</v>
      </c>
      <c r="B94" s="117" t="s">
        <v>4587</v>
      </c>
      <c r="C94" s="304" t="s">
        <v>1269</v>
      </c>
      <c r="D94" s="305"/>
      <c r="E94" s="305"/>
      <c r="F94" s="117" t="s">
        <v>1644</v>
      </c>
      <c r="G94" s="116">
        <v>1</v>
      </c>
      <c r="H94" s="159"/>
      <c r="I94" s="108">
        <f t="shared" si="90"/>
        <v>0</v>
      </c>
      <c r="J94" s="108">
        <f t="shared" si="91"/>
        <v>0</v>
      </c>
      <c r="K94" s="108">
        <f t="shared" si="92"/>
        <v>0</v>
      </c>
      <c r="L94" s="111"/>
      <c r="Z94" s="100">
        <f t="shared" si="93"/>
        <v>0</v>
      </c>
      <c r="AB94" s="100">
        <f t="shared" si="94"/>
        <v>0</v>
      </c>
      <c r="AC94" s="100">
        <f t="shared" si="95"/>
        <v>0</v>
      </c>
      <c r="AD94" s="100">
        <f t="shared" si="96"/>
        <v>0</v>
      </c>
      <c r="AE94" s="100">
        <f t="shared" si="97"/>
        <v>0</v>
      </c>
      <c r="AF94" s="100">
        <f t="shared" si="98"/>
        <v>0</v>
      </c>
      <c r="AG94" s="100">
        <f t="shared" si="99"/>
        <v>0</v>
      </c>
      <c r="AH94" s="100">
        <f t="shared" si="100"/>
        <v>0</v>
      </c>
      <c r="AI94" s="109"/>
      <c r="AJ94" s="108">
        <f t="shared" si="101"/>
        <v>0</v>
      </c>
      <c r="AK94" s="108">
        <f t="shared" si="102"/>
        <v>0</v>
      </c>
      <c r="AL94" s="108">
        <f t="shared" si="103"/>
        <v>0</v>
      </c>
      <c r="AN94" s="100">
        <v>15</v>
      </c>
      <c r="AO94" s="100">
        <f t="shared" si="104"/>
        <v>0</v>
      </c>
      <c r="AP94" s="100">
        <f t="shared" si="105"/>
        <v>0</v>
      </c>
      <c r="AQ94" s="111" t="s">
        <v>13</v>
      </c>
      <c r="AV94" s="100">
        <f t="shared" si="106"/>
        <v>0</v>
      </c>
      <c r="AW94" s="100">
        <f t="shared" si="107"/>
        <v>0</v>
      </c>
      <c r="AX94" s="100">
        <f t="shared" si="108"/>
        <v>0</v>
      </c>
      <c r="AY94" s="110" t="s">
        <v>1708</v>
      </c>
      <c r="AZ94" s="110" t="s">
        <v>1732</v>
      </c>
      <c r="BA94" s="109" t="s">
        <v>1737</v>
      </c>
      <c r="BC94" s="100">
        <f t="shared" si="109"/>
        <v>0</v>
      </c>
      <c r="BD94" s="100">
        <f t="shared" si="110"/>
        <v>0</v>
      </c>
      <c r="BE94" s="100">
        <v>0</v>
      </c>
      <c r="BF94" s="100">
        <f>94</f>
        <v>94</v>
      </c>
      <c r="BH94" s="108">
        <f t="shared" si="111"/>
        <v>0</v>
      </c>
      <c r="BI94" s="108">
        <f t="shared" si="112"/>
        <v>0</v>
      </c>
      <c r="BJ94" s="108">
        <f t="shared" si="113"/>
        <v>0</v>
      </c>
    </row>
    <row r="95" spans="1:62" x14ac:dyDescent="0.2">
      <c r="A95" s="117" t="s">
        <v>76</v>
      </c>
      <c r="B95" s="117" t="s">
        <v>4586</v>
      </c>
      <c r="C95" s="304" t="s">
        <v>1270</v>
      </c>
      <c r="D95" s="305"/>
      <c r="E95" s="305"/>
      <c r="F95" s="117" t="s">
        <v>1644</v>
      </c>
      <c r="G95" s="116">
        <v>1</v>
      </c>
      <c r="H95" s="159"/>
      <c r="I95" s="108">
        <f t="shared" si="90"/>
        <v>0</v>
      </c>
      <c r="J95" s="108">
        <f t="shared" si="91"/>
        <v>0</v>
      </c>
      <c r="K95" s="108">
        <f t="shared" si="92"/>
        <v>0</v>
      </c>
      <c r="L95" s="111"/>
      <c r="Z95" s="100">
        <f t="shared" si="93"/>
        <v>0</v>
      </c>
      <c r="AB95" s="100">
        <f t="shared" si="94"/>
        <v>0</v>
      </c>
      <c r="AC95" s="100">
        <f t="shared" si="95"/>
        <v>0</v>
      </c>
      <c r="AD95" s="100">
        <f t="shared" si="96"/>
        <v>0</v>
      </c>
      <c r="AE95" s="100">
        <f t="shared" si="97"/>
        <v>0</v>
      </c>
      <c r="AF95" s="100">
        <f t="shared" si="98"/>
        <v>0</v>
      </c>
      <c r="AG95" s="100">
        <f t="shared" si="99"/>
        <v>0</v>
      </c>
      <c r="AH95" s="100">
        <f t="shared" si="100"/>
        <v>0</v>
      </c>
      <c r="AI95" s="109"/>
      <c r="AJ95" s="108">
        <f t="shared" si="101"/>
        <v>0</v>
      </c>
      <c r="AK95" s="108">
        <f t="shared" si="102"/>
        <v>0</v>
      </c>
      <c r="AL95" s="108">
        <f t="shared" si="103"/>
        <v>0</v>
      </c>
      <c r="AN95" s="100">
        <v>15</v>
      </c>
      <c r="AO95" s="100">
        <f t="shared" si="104"/>
        <v>0</v>
      </c>
      <c r="AP95" s="100">
        <f t="shared" si="105"/>
        <v>0</v>
      </c>
      <c r="AQ95" s="111" t="s">
        <v>13</v>
      </c>
      <c r="AV95" s="100">
        <f t="shared" si="106"/>
        <v>0</v>
      </c>
      <c r="AW95" s="100">
        <f t="shared" si="107"/>
        <v>0</v>
      </c>
      <c r="AX95" s="100">
        <f t="shared" si="108"/>
        <v>0</v>
      </c>
      <c r="AY95" s="110" t="s">
        <v>1708</v>
      </c>
      <c r="AZ95" s="110" t="s">
        <v>1732</v>
      </c>
      <c r="BA95" s="109" t="s">
        <v>1737</v>
      </c>
      <c r="BC95" s="100">
        <f t="shared" si="109"/>
        <v>0</v>
      </c>
      <c r="BD95" s="100">
        <f t="shared" si="110"/>
        <v>0</v>
      </c>
      <c r="BE95" s="100">
        <v>0</v>
      </c>
      <c r="BF95" s="100">
        <f>95</f>
        <v>95</v>
      </c>
      <c r="BH95" s="108">
        <f t="shared" si="111"/>
        <v>0</v>
      </c>
      <c r="BI95" s="108">
        <f t="shared" si="112"/>
        <v>0</v>
      </c>
      <c r="BJ95" s="108">
        <f t="shared" si="113"/>
        <v>0</v>
      </c>
    </row>
    <row r="96" spans="1:62" x14ac:dyDescent="0.2">
      <c r="A96" s="117" t="s">
        <v>77</v>
      </c>
      <c r="B96" s="117" t="s">
        <v>4585</v>
      </c>
      <c r="C96" s="304" t="s">
        <v>1271</v>
      </c>
      <c r="D96" s="305"/>
      <c r="E96" s="305"/>
      <c r="F96" s="117" t="s">
        <v>1644</v>
      </c>
      <c r="G96" s="116">
        <v>1</v>
      </c>
      <c r="H96" s="159"/>
      <c r="I96" s="108">
        <f t="shared" si="90"/>
        <v>0</v>
      </c>
      <c r="J96" s="108">
        <f t="shared" si="91"/>
        <v>0</v>
      </c>
      <c r="K96" s="108">
        <f t="shared" si="92"/>
        <v>0</v>
      </c>
      <c r="L96" s="111"/>
      <c r="Z96" s="100">
        <f t="shared" si="93"/>
        <v>0</v>
      </c>
      <c r="AB96" s="100">
        <f t="shared" si="94"/>
        <v>0</v>
      </c>
      <c r="AC96" s="100">
        <f t="shared" si="95"/>
        <v>0</v>
      </c>
      <c r="AD96" s="100">
        <f t="shared" si="96"/>
        <v>0</v>
      </c>
      <c r="AE96" s="100">
        <f t="shared" si="97"/>
        <v>0</v>
      </c>
      <c r="AF96" s="100">
        <f t="shared" si="98"/>
        <v>0</v>
      </c>
      <c r="AG96" s="100">
        <f t="shared" si="99"/>
        <v>0</v>
      </c>
      <c r="AH96" s="100">
        <f t="shared" si="100"/>
        <v>0</v>
      </c>
      <c r="AI96" s="109"/>
      <c r="AJ96" s="108">
        <f t="shared" si="101"/>
        <v>0</v>
      </c>
      <c r="AK96" s="108">
        <f t="shared" si="102"/>
        <v>0</v>
      </c>
      <c r="AL96" s="108">
        <f t="shared" si="103"/>
        <v>0</v>
      </c>
      <c r="AN96" s="100">
        <v>15</v>
      </c>
      <c r="AO96" s="100">
        <f t="shared" si="104"/>
        <v>0</v>
      </c>
      <c r="AP96" s="100">
        <f t="shared" si="105"/>
        <v>0</v>
      </c>
      <c r="AQ96" s="111" t="s">
        <v>13</v>
      </c>
      <c r="AV96" s="100">
        <f t="shared" si="106"/>
        <v>0</v>
      </c>
      <c r="AW96" s="100">
        <f t="shared" si="107"/>
        <v>0</v>
      </c>
      <c r="AX96" s="100">
        <f t="shared" si="108"/>
        <v>0</v>
      </c>
      <c r="AY96" s="110" t="s">
        <v>1708</v>
      </c>
      <c r="AZ96" s="110" t="s">
        <v>1732</v>
      </c>
      <c r="BA96" s="109" t="s">
        <v>1737</v>
      </c>
      <c r="BC96" s="100">
        <f t="shared" si="109"/>
        <v>0</v>
      </c>
      <c r="BD96" s="100">
        <f t="shared" si="110"/>
        <v>0</v>
      </c>
      <c r="BE96" s="100">
        <v>0</v>
      </c>
      <c r="BF96" s="100">
        <f>96</f>
        <v>96</v>
      </c>
      <c r="BH96" s="108">
        <f t="shared" si="111"/>
        <v>0</v>
      </c>
      <c r="BI96" s="108">
        <f t="shared" si="112"/>
        <v>0</v>
      </c>
      <c r="BJ96" s="108">
        <f t="shared" si="113"/>
        <v>0</v>
      </c>
    </row>
    <row r="97" spans="1:62" x14ac:dyDescent="0.2">
      <c r="A97" s="117" t="s">
        <v>78</v>
      </c>
      <c r="B97" s="117" t="s">
        <v>4584</v>
      </c>
      <c r="C97" s="304" t="s">
        <v>1272</v>
      </c>
      <c r="D97" s="305"/>
      <c r="E97" s="305"/>
      <c r="F97" s="117" t="s">
        <v>1644</v>
      </c>
      <c r="G97" s="116">
        <v>1</v>
      </c>
      <c r="H97" s="159"/>
      <c r="I97" s="108">
        <f t="shared" si="90"/>
        <v>0</v>
      </c>
      <c r="J97" s="108">
        <f t="shared" si="91"/>
        <v>0</v>
      </c>
      <c r="K97" s="108">
        <f t="shared" si="92"/>
        <v>0</v>
      </c>
      <c r="L97" s="111"/>
      <c r="Z97" s="100">
        <f t="shared" si="93"/>
        <v>0</v>
      </c>
      <c r="AB97" s="100">
        <f t="shared" si="94"/>
        <v>0</v>
      </c>
      <c r="AC97" s="100">
        <f t="shared" si="95"/>
        <v>0</v>
      </c>
      <c r="AD97" s="100">
        <f t="shared" si="96"/>
        <v>0</v>
      </c>
      <c r="AE97" s="100">
        <f t="shared" si="97"/>
        <v>0</v>
      </c>
      <c r="AF97" s="100">
        <f t="shared" si="98"/>
        <v>0</v>
      </c>
      <c r="AG97" s="100">
        <f t="shared" si="99"/>
        <v>0</v>
      </c>
      <c r="AH97" s="100">
        <f t="shared" si="100"/>
        <v>0</v>
      </c>
      <c r="AI97" s="109"/>
      <c r="AJ97" s="108">
        <f t="shared" si="101"/>
        <v>0</v>
      </c>
      <c r="AK97" s="108">
        <f t="shared" si="102"/>
        <v>0</v>
      </c>
      <c r="AL97" s="108">
        <f t="shared" si="103"/>
        <v>0</v>
      </c>
      <c r="AN97" s="100">
        <v>15</v>
      </c>
      <c r="AO97" s="100">
        <f t="shared" si="104"/>
        <v>0</v>
      </c>
      <c r="AP97" s="100">
        <f t="shared" si="105"/>
        <v>0</v>
      </c>
      <c r="AQ97" s="111" t="s">
        <v>13</v>
      </c>
      <c r="AV97" s="100">
        <f t="shared" si="106"/>
        <v>0</v>
      </c>
      <c r="AW97" s="100">
        <f t="shared" si="107"/>
        <v>0</v>
      </c>
      <c r="AX97" s="100">
        <f t="shared" si="108"/>
        <v>0</v>
      </c>
      <c r="AY97" s="110" t="s">
        <v>1708</v>
      </c>
      <c r="AZ97" s="110" t="s">
        <v>1732</v>
      </c>
      <c r="BA97" s="109" t="s">
        <v>1737</v>
      </c>
      <c r="BC97" s="100">
        <f t="shared" si="109"/>
        <v>0</v>
      </c>
      <c r="BD97" s="100">
        <f t="shared" si="110"/>
        <v>0</v>
      </c>
      <c r="BE97" s="100">
        <v>0</v>
      </c>
      <c r="BF97" s="100">
        <f>97</f>
        <v>97</v>
      </c>
      <c r="BH97" s="108">
        <f t="shared" si="111"/>
        <v>0</v>
      </c>
      <c r="BI97" s="108">
        <f t="shared" si="112"/>
        <v>0</v>
      </c>
      <c r="BJ97" s="108">
        <f t="shared" si="113"/>
        <v>0</v>
      </c>
    </row>
    <row r="98" spans="1:62" x14ac:dyDescent="0.2">
      <c r="A98" s="117" t="s">
        <v>79</v>
      </c>
      <c r="B98" s="117" t="s">
        <v>4583</v>
      </c>
      <c r="C98" s="304" t="s">
        <v>1276</v>
      </c>
      <c r="D98" s="305"/>
      <c r="E98" s="305"/>
      <c r="F98" s="117" t="s">
        <v>1644</v>
      </c>
      <c r="G98" s="116">
        <v>1</v>
      </c>
      <c r="H98" s="159"/>
      <c r="I98" s="108">
        <f t="shared" si="90"/>
        <v>0</v>
      </c>
      <c r="J98" s="108">
        <f t="shared" si="91"/>
        <v>0</v>
      </c>
      <c r="K98" s="108">
        <f t="shared" si="92"/>
        <v>0</v>
      </c>
      <c r="L98" s="111"/>
      <c r="Z98" s="100">
        <f t="shared" si="93"/>
        <v>0</v>
      </c>
      <c r="AB98" s="100">
        <f t="shared" si="94"/>
        <v>0</v>
      </c>
      <c r="AC98" s="100">
        <f t="shared" si="95"/>
        <v>0</v>
      </c>
      <c r="AD98" s="100">
        <f t="shared" si="96"/>
        <v>0</v>
      </c>
      <c r="AE98" s="100">
        <f t="shared" si="97"/>
        <v>0</v>
      </c>
      <c r="AF98" s="100">
        <f t="shared" si="98"/>
        <v>0</v>
      </c>
      <c r="AG98" s="100">
        <f t="shared" si="99"/>
        <v>0</v>
      </c>
      <c r="AH98" s="100">
        <f t="shared" si="100"/>
        <v>0</v>
      </c>
      <c r="AI98" s="109"/>
      <c r="AJ98" s="108">
        <f t="shared" si="101"/>
        <v>0</v>
      </c>
      <c r="AK98" s="108">
        <f t="shared" si="102"/>
        <v>0</v>
      </c>
      <c r="AL98" s="108">
        <f t="shared" si="103"/>
        <v>0</v>
      </c>
      <c r="AN98" s="100">
        <v>15</v>
      </c>
      <c r="AO98" s="100">
        <f t="shared" si="104"/>
        <v>0</v>
      </c>
      <c r="AP98" s="100">
        <f t="shared" si="105"/>
        <v>0</v>
      </c>
      <c r="AQ98" s="111" t="s">
        <v>13</v>
      </c>
      <c r="AV98" s="100">
        <f t="shared" si="106"/>
        <v>0</v>
      </c>
      <c r="AW98" s="100">
        <f t="shared" si="107"/>
        <v>0</v>
      </c>
      <c r="AX98" s="100">
        <f t="shared" si="108"/>
        <v>0</v>
      </c>
      <c r="AY98" s="110" t="s">
        <v>1708</v>
      </c>
      <c r="AZ98" s="110" t="s">
        <v>1732</v>
      </c>
      <c r="BA98" s="109" t="s">
        <v>1737</v>
      </c>
      <c r="BC98" s="100">
        <f t="shared" si="109"/>
        <v>0</v>
      </c>
      <c r="BD98" s="100">
        <f t="shared" si="110"/>
        <v>0</v>
      </c>
      <c r="BE98" s="100">
        <v>0</v>
      </c>
      <c r="BF98" s="100">
        <f>98</f>
        <v>98</v>
      </c>
      <c r="BH98" s="108">
        <f t="shared" si="111"/>
        <v>0</v>
      </c>
      <c r="BI98" s="108">
        <f t="shared" si="112"/>
        <v>0</v>
      </c>
      <c r="BJ98" s="108">
        <f t="shared" si="113"/>
        <v>0</v>
      </c>
    </row>
    <row r="99" spans="1:62" x14ac:dyDescent="0.2">
      <c r="A99" s="117" t="s">
        <v>80</v>
      </c>
      <c r="B99" s="117" t="s">
        <v>4582</v>
      </c>
      <c r="C99" s="304" t="s">
        <v>1278</v>
      </c>
      <c r="D99" s="305"/>
      <c r="E99" s="305"/>
      <c r="F99" s="117" t="s">
        <v>1644</v>
      </c>
      <c r="G99" s="116">
        <v>2</v>
      </c>
      <c r="H99" s="159"/>
      <c r="I99" s="108">
        <f t="shared" si="90"/>
        <v>0</v>
      </c>
      <c r="J99" s="108">
        <f t="shared" si="91"/>
        <v>0</v>
      </c>
      <c r="K99" s="108">
        <f t="shared" si="92"/>
        <v>0</v>
      </c>
      <c r="L99" s="111"/>
      <c r="Z99" s="100">
        <f t="shared" si="93"/>
        <v>0</v>
      </c>
      <c r="AB99" s="100">
        <f t="shared" si="94"/>
        <v>0</v>
      </c>
      <c r="AC99" s="100">
        <f t="shared" si="95"/>
        <v>0</v>
      </c>
      <c r="AD99" s="100">
        <f t="shared" si="96"/>
        <v>0</v>
      </c>
      <c r="AE99" s="100">
        <f t="shared" si="97"/>
        <v>0</v>
      </c>
      <c r="AF99" s="100">
        <f t="shared" si="98"/>
        <v>0</v>
      </c>
      <c r="AG99" s="100">
        <f t="shared" si="99"/>
        <v>0</v>
      </c>
      <c r="AH99" s="100">
        <f t="shared" si="100"/>
        <v>0</v>
      </c>
      <c r="AI99" s="109"/>
      <c r="AJ99" s="108">
        <f t="shared" si="101"/>
        <v>0</v>
      </c>
      <c r="AK99" s="108">
        <f t="shared" si="102"/>
        <v>0</v>
      </c>
      <c r="AL99" s="108">
        <f t="shared" si="103"/>
        <v>0</v>
      </c>
      <c r="AN99" s="100">
        <v>15</v>
      </c>
      <c r="AO99" s="100">
        <f t="shared" si="104"/>
        <v>0</v>
      </c>
      <c r="AP99" s="100">
        <f t="shared" si="105"/>
        <v>0</v>
      </c>
      <c r="AQ99" s="111" t="s">
        <v>13</v>
      </c>
      <c r="AV99" s="100">
        <f t="shared" si="106"/>
        <v>0</v>
      </c>
      <c r="AW99" s="100">
        <f t="shared" si="107"/>
        <v>0</v>
      </c>
      <c r="AX99" s="100">
        <f t="shared" si="108"/>
        <v>0</v>
      </c>
      <c r="AY99" s="110" t="s">
        <v>1708</v>
      </c>
      <c r="AZ99" s="110" t="s">
        <v>1732</v>
      </c>
      <c r="BA99" s="109" t="s">
        <v>1737</v>
      </c>
      <c r="BC99" s="100">
        <f t="shared" si="109"/>
        <v>0</v>
      </c>
      <c r="BD99" s="100">
        <f t="shared" si="110"/>
        <v>0</v>
      </c>
      <c r="BE99" s="100">
        <v>0</v>
      </c>
      <c r="BF99" s="100">
        <f>99</f>
        <v>99</v>
      </c>
      <c r="BH99" s="108">
        <f t="shared" si="111"/>
        <v>0</v>
      </c>
      <c r="BI99" s="108">
        <f t="shared" si="112"/>
        <v>0</v>
      </c>
      <c r="BJ99" s="108">
        <f t="shared" si="113"/>
        <v>0</v>
      </c>
    </row>
    <row r="100" spans="1:62" x14ac:dyDescent="0.2">
      <c r="A100" s="117" t="s">
        <v>81</v>
      </c>
      <c r="B100" s="117" t="s">
        <v>4581</v>
      </c>
      <c r="C100" s="304" t="s">
        <v>2123</v>
      </c>
      <c r="D100" s="305"/>
      <c r="E100" s="305"/>
      <c r="F100" s="117" t="s">
        <v>1644</v>
      </c>
      <c r="G100" s="116">
        <v>1</v>
      </c>
      <c r="H100" s="159"/>
      <c r="I100" s="108">
        <f t="shared" si="90"/>
        <v>0</v>
      </c>
      <c r="J100" s="108">
        <f t="shared" si="91"/>
        <v>0</v>
      </c>
      <c r="K100" s="108">
        <f t="shared" si="92"/>
        <v>0</v>
      </c>
      <c r="L100" s="111"/>
      <c r="Z100" s="100">
        <f t="shared" si="93"/>
        <v>0</v>
      </c>
      <c r="AB100" s="100">
        <f t="shared" si="94"/>
        <v>0</v>
      </c>
      <c r="AC100" s="100">
        <f t="shared" si="95"/>
        <v>0</v>
      </c>
      <c r="AD100" s="100">
        <f t="shared" si="96"/>
        <v>0</v>
      </c>
      <c r="AE100" s="100">
        <f t="shared" si="97"/>
        <v>0</v>
      </c>
      <c r="AF100" s="100">
        <f t="shared" si="98"/>
        <v>0</v>
      </c>
      <c r="AG100" s="100">
        <f t="shared" si="99"/>
        <v>0</v>
      </c>
      <c r="AH100" s="100">
        <f t="shared" si="100"/>
        <v>0</v>
      </c>
      <c r="AI100" s="109"/>
      <c r="AJ100" s="108">
        <f t="shared" si="101"/>
        <v>0</v>
      </c>
      <c r="AK100" s="108">
        <f t="shared" si="102"/>
        <v>0</v>
      </c>
      <c r="AL100" s="108">
        <f t="shared" si="103"/>
        <v>0</v>
      </c>
      <c r="AN100" s="100">
        <v>15</v>
      </c>
      <c r="AO100" s="100">
        <f t="shared" si="104"/>
        <v>0</v>
      </c>
      <c r="AP100" s="100">
        <f t="shared" si="105"/>
        <v>0</v>
      </c>
      <c r="AQ100" s="111" t="s">
        <v>13</v>
      </c>
      <c r="AV100" s="100">
        <f t="shared" si="106"/>
        <v>0</v>
      </c>
      <c r="AW100" s="100">
        <f t="shared" si="107"/>
        <v>0</v>
      </c>
      <c r="AX100" s="100">
        <f t="shared" si="108"/>
        <v>0</v>
      </c>
      <c r="AY100" s="110" t="s">
        <v>1708</v>
      </c>
      <c r="AZ100" s="110" t="s">
        <v>1732</v>
      </c>
      <c r="BA100" s="109" t="s">
        <v>1737</v>
      </c>
      <c r="BC100" s="100">
        <f t="shared" si="109"/>
        <v>0</v>
      </c>
      <c r="BD100" s="100">
        <f t="shared" si="110"/>
        <v>0</v>
      </c>
      <c r="BE100" s="100">
        <v>0</v>
      </c>
      <c r="BF100" s="100">
        <f>100</f>
        <v>100</v>
      </c>
      <c r="BH100" s="108">
        <f t="shared" si="111"/>
        <v>0</v>
      </c>
      <c r="BI100" s="108">
        <f t="shared" si="112"/>
        <v>0</v>
      </c>
      <c r="BJ100" s="108">
        <f t="shared" si="113"/>
        <v>0</v>
      </c>
    </row>
    <row r="101" spans="1:62" x14ac:dyDescent="0.2">
      <c r="A101" s="117" t="s">
        <v>82</v>
      </c>
      <c r="B101" s="117" t="s">
        <v>4580</v>
      </c>
      <c r="C101" s="304" t="s">
        <v>1280</v>
      </c>
      <c r="D101" s="305"/>
      <c r="E101" s="305"/>
      <c r="F101" s="117" t="s">
        <v>1646</v>
      </c>
      <c r="G101" s="116">
        <v>8</v>
      </c>
      <c r="H101" s="159"/>
      <c r="I101" s="108">
        <f t="shared" si="90"/>
        <v>0</v>
      </c>
      <c r="J101" s="108">
        <f t="shared" si="91"/>
        <v>0</v>
      </c>
      <c r="K101" s="108">
        <f t="shared" si="92"/>
        <v>0</v>
      </c>
      <c r="L101" s="111"/>
      <c r="Z101" s="100">
        <f t="shared" si="93"/>
        <v>0</v>
      </c>
      <c r="AB101" s="100">
        <f t="shared" si="94"/>
        <v>0</v>
      </c>
      <c r="AC101" s="100">
        <f t="shared" si="95"/>
        <v>0</v>
      </c>
      <c r="AD101" s="100">
        <f t="shared" si="96"/>
        <v>0</v>
      </c>
      <c r="AE101" s="100">
        <f t="shared" si="97"/>
        <v>0</v>
      </c>
      <c r="AF101" s="100">
        <f t="shared" si="98"/>
        <v>0</v>
      </c>
      <c r="AG101" s="100">
        <f t="shared" si="99"/>
        <v>0</v>
      </c>
      <c r="AH101" s="100">
        <f t="shared" si="100"/>
        <v>0</v>
      </c>
      <c r="AI101" s="109"/>
      <c r="AJ101" s="108">
        <f t="shared" si="101"/>
        <v>0</v>
      </c>
      <c r="AK101" s="108">
        <f t="shared" si="102"/>
        <v>0</v>
      </c>
      <c r="AL101" s="108">
        <f t="shared" si="103"/>
        <v>0</v>
      </c>
      <c r="AN101" s="100">
        <v>15</v>
      </c>
      <c r="AO101" s="100">
        <f t="shared" si="104"/>
        <v>0</v>
      </c>
      <c r="AP101" s="100">
        <f t="shared" si="105"/>
        <v>0</v>
      </c>
      <c r="AQ101" s="111" t="s">
        <v>13</v>
      </c>
      <c r="AV101" s="100">
        <f t="shared" si="106"/>
        <v>0</v>
      </c>
      <c r="AW101" s="100">
        <f t="shared" si="107"/>
        <v>0</v>
      </c>
      <c r="AX101" s="100">
        <f t="shared" si="108"/>
        <v>0</v>
      </c>
      <c r="AY101" s="110" t="s">
        <v>1708</v>
      </c>
      <c r="AZ101" s="110" t="s">
        <v>1732</v>
      </c>
      <c r="BA101" s="109" t="s">
        <v>1737</v>
      </c>
      <c r="BC101" s="100">
        <f t="shared" si="109"/>
        <v>0</v>
      </c>
      <c r="BD101" s="100">
        <f t="shared" si="110"/>
        <v>0</v>
      </c>
      <c r="BE101" s="100">
        <v>0</v>
      </c>
      <c r="BF101" s="100">
        <f>101</f>
        <v>101</v>
      </c>
      <c r="BH101" s="108">
        <f t="shared" si="111"/>
        <v>0</v>
      </c>
      <c r="BI101" s="108">
        <f t="shared" si="112"/>
        <v>0</v>
      </c>
      <c r="BJ101" s="108">
        <f t="shared" si="113"/>
        <v>0</v>
      </c>
    </row>
    <row r="102" spans="1:62" x14ac:dyDescent="0.2">
      <c r="A102" s="117" t="s">
        <v>83</v>
      </c>
      <c r="B102" s="117" t="s">
        <v>4579</v>
      </c>
      <c r="C102" s="304" t="s">
        <v>1281</v>
      </c>
      <c r="D102" s="305"/>
      <c r="E102" s="305"/>
      <c r="F102" s="117" t="s">
        <v>1646</v>
      </c>
      <c r="G102" s="116">
        <v>4</v>
      </c>
      <c r="H102" s="159"/>
      <c r="I102" s="108">
        <f t="shared" si="90"/>
        <v>0</v>
      </c>
      <c r="J102" s="108">
        <f t="shared" si="91"/>
        <v>0</v>
      </c>
      <c r="K102" s="108">
        <f t="shared" si="92"/>
        <v>0</v>
      </c>
      <c r="L102" s="111"/>
      <c r="Z102" s="100">
        <f t="shared" si="93"/>
        <v>0</v>
      </c>
      <c r="AB102" s="100">
        <f t="shared" si="94"/>
        <v>0</v>
      </c>
      <c r="AC102" s="100">
        <f t="shared" si="95"/>
        <v>0</v>
      </c>
      <c r="AD102" s="100">
        <f t="shared" si="96"/>
        <v>0</v>
      </c>
      <c r="AE102" s="100">
        <f t="shared" si="97"/>
        <v>0</v>
      </c>
      <c r="AF102" s="100">
        <f t="shared" si="98"/>
        <v>0</v>
      </c>
      <c r="AG102" s="100">
        <f t="shared" si="99"/>
        <v>0</v>
      </c>
      <c r="AH102" s="100">
        <f t="shared" si="100"/>
        <v>0</v>
      </c>
      <c r="AI102" s="109"/>
      <c r="AJ102" s="108">
        <f t="shared" si="101"/>
        <v>0</v>
      </c>
      <c r="AK102" s="108">
        <f t="shared" si="102"/>
        <v>0</v>
      </c>
      <c r="AL102" s="108">
        <f t="shared" si="103"/>
        <v>0</v>
      </c>
      <c r="AN102" s="100">
        <v>15</v>
      </c>
      <c r="AO102" s="100">
        <f t="shared" si="104"/>
        <v>0</v>
      </c>
      <c r="AP102" s="100">
        <f t="shared" si="105"/>
        <v>0</v>
      </c>
      <c r="AQ102" s="111" t="s">
        <v>13</v>
      </c>
      <c r="AV102" s="100">
        <f t="shared" si="106"/>
        <v>0</v>
      </c>
      <c r="AW102" s="100">
        <f t="shared" si="107"/>
        <v>0</v>
      </c>
      <c r="AX102" s="100">
        <f t="shared" si="108"/>
        <v>0</v>
      </c>
      <c r="AY102" s="110" t="s">
        <v>1708</v>
      </c>
      <c r="AZ102" s="110" t="s">
        <v>1732</v>
      </c>
      <c r="BA102" s="109" t="s">
        <v>1737</v>
      </c>
      <c r="BC102" s="100">
        <f t="shared" si="109"/>
        <v>0</v>
      </c>
      <c r="BD102" s="100">
        <f t="shared" si="110"/>
        <v>0</v>
      </c>
      <c r="BE102" s="100">
        <v>0</v>
      </c>
      <c r="BF102" s="100">
        <f>102</f>
        <v>102</v>
      </c>
      <c r="BH102" s="108">
        <f t="shared" si="111"/>
        <v>0</v>
      </c>
      <c r="BI102" s="108">
        <f t="shared" si="112"/>
        <v>0</v>
      </c>
      <c r="BJ102" s="108">
        <f t="shared" si="113"/>
        <v>0</v>
      </c>
    </row>
    <row r="103" spans="1:62" x14ac:dyDescent="0.2">
      <c r="A103" s="117" t="s">
        <v>84</v>
      </c>
      <c r="B103" s="117" t="s">
        <v>4578</v>
      </c>
      <c r="C103" s="304" t="s">
        <v>1282</v>
      </c>
      <c r="D103" s="305"/>
      <c r="E103" s="305"/>
      <c r="F103" s="117" t="s">
        <v>1644</v>
      </c>
      <c r="G103" s="116">
        <v>1</v>
      </c>
      <c r="H103" s="159"/>
      <c r="I103" s="108">
        <f t="shared" si="90"/>
        <v>0</v>
      </c>
      <c r="J103" s="108">
        <f t="shared" si="91"/>
        <v>0</v>
      </c>
      <c r="K103" s="108">
        <f t="shared" si="92"/>
        <v>0</v>
      </c>
      <c r="L103" s="111"/>
      <c r="Z103" s="100">
        <f t="shared" si="93"/>
        <v>0</v>
      </c>
      <c r="AB103" s="100">
        <f t="shared" si="94"/>
        <v>0</v>
      </c>
      <c r="AC103" s="100">
        <f t="shared" si="95"/>
        <v>0</v>
      </c>
      <c r="AD103" s="100">
        <f t="shared" si="96"/>
        <v>0</v>
      </c>
      <c r="AE103" s="100">
        <f t="shared" si="97"/>
        <v>0</v>
      </c>
      <c r="AF103" s="100">
        <f t="shared" si="98"/>
        <v>0</v>
      </c>
      <c r="AG103" s="100">
        <f t="shared" si="99"/>
        <v>0</v>
      </c>
      <c r="AH103" s="100">
        <f t="shared" si="100"/>
        <v>0</v>
      </c>
      <c r="AI103" s="109"/>
      <c r="AJ103" s="108">
        <f t="shared" si="101"/>
        <v>0</v>
      </c>
      <c r="AK103" s="108">
        <f t="shared" si="102"/>
        <v>0</v>
      </c>
      <c r="AL103" s="108">
        <f t="shared" si="103"/>
        <v>0</v>
      </c>
      <c r="AN103" s="100">
        <v>15</v>
      </c>
      <c r="AO103" s="100">
        <f t="shared" si="104"/>
        <v>0</v>
      </c>
      <c r="AP103" s="100">
        <f t="shared" si="105"/>
        <v>0</v>
      </c>
      <c r="AQ103" s="111" t="s">
        <v>13</v>
      </c>
      <c r="AV103" s="100">
        <f t="shared" si="106"/>
        <v>0</v>
      </c>
      <c r="AW103" s="100">
        <f t="shared" si="107"/>
        <v>0</v>
      </c>
      <c r="AX103" s="100">
        <f t="shared" si="108"/>
        <v>0</v>
      </c>
      <c r="AY103" s="110" t="s">
        <v>1708</v>
      </c>
      <c r="AZ103" s="110" t="s">
        <v>1732</v>
      </c>
      <c r="BA103" s="109" t="s">
        <v>1737</v>
      </c>
      <c r="BC103" s="100">
        <f t="shared" si="109"/>
        <v>0</v>
      </c>
      <c r="BD103" s="100">
        <f t="shared" si="110"/>
        <v>0</v>
      </c>
      <c r="BE103" s="100">
        <v>0</v>
      </c>
      <c r="BF103" s="100">
        <f>103</f>
        <v>103</v>
      </c>
      <c r="BH103" s="108">
        <f t="shared" si="111"/>
        <v>0</v>
      </c>
      <c r="BI103" s="108">
        <f t="shared" si="112"/>
        <v>0</v>
      </c>
      <c r="BJ103" s="108">
        <f t="shared" si="113"/>
        <v>0</v>
      </c>
    </row>
    <row r="104" spans="1:62" x14ac:dyDescent="0.2">
      <c r="A104" s="119"/>
      <c r="B104" s="120" t="s">
        <v>771</v>
      </c>
      <c r="C104" s="306" t="s">
        <v>1283</v>
      </c>
      <c r="D104" s="307"/>
      <c r="E104" s="307"/>
      <c r="F104" s="119" t="s">
        <v>6</v>
      </c>
      <c r="G104" s="119" t="s">
        <v>6</v>
      </c>
      <c r="H104" s="119" t="s">
        <v>6</v>
      </c>
      <c r="I104" s="118">
        <f>SUM(I105:I140)</f>
        <v>0</v>
      </c>
      <c r="J104" s="118">
        <f>SUM(J105:J140)</f>
        <v>0</v>
      </c>
      <c r="K104" s="118">
        <f>SUM(K105:K140)</f>
        <v>0</v>
      </c>
      <c r="L104" s="109"/>
      <c r="AI104" s="109"/>
      <c r="AS104" s="118">
        <f>SUM(AJ105:AJ140)</f>
        <v>0</v>
      </c>
      <c r="AT104" s="118">
        <f>SUM(AK105:AK140)</f>
        <v>0</v>
      </c>
      <c r="AU104" s="118">
        <f>SUM(AL105:AL140)</f>
        <v>0</v>
      </c>
    </row>
    <row r="105" spans="1:62" x14ac:dyDescent="0.2">
      <c r="A105" s="117" t="s">
        <v>85</v>
      </c>
      <c r="B105" s="117" t="s">
        <v>4577</v>
      </c>
      <c r="C105" s="304" t="s">
        <v>3625</v>
      </c>
      <c r="D105" s="305"/>
      <c r="E105" s="305"/>
      <c r="F105" s="117" t="s">
        <v>1644</v>
      </c>
      <c r="G105" s="116">
        <v>1</v>
      </c>
      <c r="H105" s="159"/>
      <c r="I105" s="108">
        <f t="shared" ref="I105:I140" si="114">G105*AO105</f>
        <v>0</v>
      </c>
      <c r="J105" s="108">
        <f t="shared" ref="J105:J140" si="115">G105*AP105</f>
        <v>0</v>
      </c>
      <c r="K105" s="108">
        <f t="shared" ref="K105:K140" si="116">G105*H105</f>
        <v>0</v>
      </c>
      <c r="L105" s="111"/>
      <c r="Z105" s="100">
        <f t="shared" ref="Z105:Z140" si="117">IF(AQ105="5",BJ105,0)</f>
        <v>0</v>
      </c>
      <c r="AB105" s="100">
        <f t="shared" ref="AB105:AB140" si="118">IF(AQ105="1",BH105,0)</f>
        <v>0</v>
      </c>
      <c r="AC105" s="100">
        <f t="shared" ref="AC105:AC140" si="119">IF(AQ105="1",BI105,0)</f>
        <v>0</v>
      </c>
      <c r="AD105" s="100">
        <f t="shared" ref="AD105:AD140" si="120">IF(AQ105="7",BH105,0)</f>
        <v>0</v>
      </c>
      <c r="AE105" s="100">
        <f t="shared" ref="AE105:AE140" si="121">IF(AQ105="7",BI105,0)</f>
        <v>0</v>
      </c>
      <c r="AF105" s="100">
        <f t="shared" ref="AF105:AF140" si="122">IF(AQ105="2",BH105,0)</f>
        <v>0</v>
      </c>
      <c r="AG105" s="100">
        <f t="shared" ref="AG105:AG140" si="123">IF(AQ105="2",BI105,0)</f>
        <v>0</v>
      </c>
      <c r="AH105" s="100">
        <f t="shared" ref="AH105:AH140" si="124">IF(AQ105="0",BJ105,0)</f>
        <v>0</v>
      </c>
      <c r="AI105" s="109"/>
      <c r="AJ105" s="108">
        <f t="shared" ref="AJ105:AJ140" si="125">IF(AN105=0,K105,0)</f>
        <v>0</v>
      </c>
      <c r="AK105" s="108">
        <f t="shared" ref="AK105:AK140" si="126">IF(AN105=15,K105,0)</f>
        <v>0</v>
      </c>
      <c r="AL105" s="108">
        <f t="shared" ref="AL105:AL140" si="127">IF(AN105=21,K105,0)</f>
        <v>0</v>
      </c>
      <c r="AN105" s="100">
        <v>15</v>
      </c>
      <c r="AO105" s="100">
        <f t="shared" ref="AO105:AO140" si="128">H105*0</f>
        <v>0</v>
      </c>
      <c r="AP105" s="100">
        <f t="shared" ref="AP105:AP140" si="129">H105*(1-0)</f>
        <v>0</v>
      </c>
      <c r="AQ105" s="111" t="s">
        <v>13</v>
      </c>
      <c r="AV105" s="100">
        <f t="shared" ref="AV105:AV140" si="130">AW105+AX105</f>
        <v>0</v>
      </c>
      <c r="AW105" s="100">
        <f t="shared" ref="AW105:AW140" si="131">G105*AO105</f>
        <v>0</v>
      </c>
      <c r="AX105" s="100">
        <f t="shared" ref="AX105:AX140" si="132">G105*AP105</f>
        <v>0</v>
      </c>
      <c r="AY105" s="110" t="s">
        <v>1709</v>
      </c>
      <c r="AZ105" s="110" t="s">
        <v>1733</v>
      </c>
      <c r="BA105" s="109" t="s">
        <v>1737</v>
      </c>
      <c r="BC105" s="100">
        <f t="shared" ref="BC105:BC140" si="133">AW105+AX105</f>
        <v>0</v>
      </c>
      <c r="BD105" s="100">
        <f t="shared" ref="BD105:BD140" si="134">H105/(100-BE105)*100</f>
        <v>0</v>
      </c>
      <c r="BE105" s="100">
        <v>0</v>
      </c>
      <c r="BF105" s="100">
        <f>105</f>
        <v>105</v>
      </c>
      <c r="BH105" s="108">
        <f t="shared" ref="BH105:BH140" si="135">G105*AO105</f>
        <v>0</v>
      </c>
      <c r="BI105" s="108">
        <f t="shared" ref="BI105:BI140" si="136">G105*AP105</f>
        <v>0</v>
      </c>
      <c r="BJ105" s="108">
        <f t="shared" ref="BJ105:BJ140" si="137">G105*H105</f>
        <v>0</v>
      </c>
    </row>
    <row r="106" spans="1:62" x14ac:dyDescent="0.2">
      <c r="A106" s="117" t="s">
        <v>86</v>
      </c>
      <c r="B106" s="117" t="s">
        <v>4576</v>
      </c>
      <c r="C106" s="304" t="s">
        <v>1311</v>
      </c>
      <c r="D106" s="305"/>
      <c r="E106" s="305"/>
      <c r="F106" s="117" t="s">
        <v>1644</v>
      </c>
      <c r="G106" s="116">
        <v>1</v>
      </c>
      <c r="H106" s="159"/>
      <c r="I106" s="108">
        <f t="shared" si="114"/>
        <v>0</v>
      </c>
      <c r="J106" s="108">
        <f t="shared" si="115"/>
        <v>0</v>
      </c>
      <c r="K106" s="108">
        <f t="shared" si="116"/>
        <v>0</v>
      </c>
      <c r="L106" s="111"/>
      <c r="Z106" s="100">
        <f t="shared" si="117"/>
        <v>0</v>
      </c>
      <c r="AB106" s="100">
        <f t="shared" si="118"/>
        <v>0</v>
      </c>
      <c r="AC106" s="100">
        <f t="shared" si="119"/>
        <v>0</v>
      </c>
      <c r="AD106" s="100">
        <f t="shared" si="120"/>
        <v>0</v>
      </c>
      <c r="AE106" s="100">
        <f t="shared" si="121"/>
        <v>0</v>
      </c>
      <c r="AF106" s="100">
        <f t="shared" si="122"/>
        <v>0</v>
      </c>
      <c r="AG106" s="100">
        <f t="shared" si="123"/>
        <v>0</v>
      </c>
      <c r="AH106" s="100">
        <f t="shared" si="124"/>
        <v>0</v>
      </c>
      <c r="AI106" s="109"/>
      <c r="AJ106" s="108">
        <f t="shared" si="125"/>
        <v>0</v>
      </c>
      <c r="AK106" s="108">
        <f t="shared" si="126"/>
        <v>0</v>
      </c>
      <c r="AL106" s="108">
        <f t="shared" si="127"/>
        <v>0</v>
      </c>
      <c r="AN106" s="100">
        <v>15</v>
      </c>
      <c r="AO106" s="100">
        <f t="shared" si="128"/>
        <v>0</v>
      </c>
      <c r="AP106" s="100">
        <f t="shared" si="129"/>
        <v>0</v>
      </c>
      <c r="AQ106" s="111" t="s">
        <v>13</v>
      </c>
      <c r="AV106" s="100">
        <f t="shared" si="130"/>
        <v>0</v>
      </c>
      <c r="AW106" s="100">
        <f t="shared" si="131"/>
        <v>0</v>
      </c>
      <c r="AX106" s="100">
        <f t="shared" si="132"/>
        <v>0</v>
      </c>
      <c r="AY106" s="110" t="s">
        <v>1709</v>
      </c>
      <c r="AZ106" s="110" t="s">
        <v>1733</v>
      </c>
      <c r="BA106" s="109" t="s">
        <v>1737</v>
      </c>
      <c r="BC106" s="100">
        <f t="shared" si="133"/>
        <v>0</v>
      </c>
      <c r="BD106" s="100">
        <f t="shared" si="134"/>
        <v>0</v>
      </c>
      <c r="BE106" s="100">
        <v>0</v>
      </c>
      <c r="BF106" s="100">
        <f>106</f>
        <v>106</v>
      </c>
      <c r="BH106" s="108">
        <f t="shared" si="135"/>
        <v>0</v>
      </c>
      <c r="BI106" s="108">
        <f t="shared" si="136"/>
        <v>0</v>
      </c>
      <c r="BJ106" s="108">
        <f t="shared" si="137"/>
        <v>0</v>
      </c>
    </row>
    <row r="107" spans="1:62" x14ac:dyDescent="0.2">
      <c r="A107" s="117" t="s">
        <v>87</v>
      </c>
      <c r="B107" s="117" t="s">
        <v>4575</v>
      </c>
      <c r="C107" s="304" t="s">
        <v>4380</v>
      </c>
      <c r="D107" s="305"/>
      <c r="E107" s="305"/>
      <c r="F107" s="117" t="s">
        <v>1644</v>
      </c>
      <c r="G107" s="116">
        <v>1</v>
      </c>
      <c r="H107" s="159"/>
      <c r="I107" s="108">
        <f t="shared" si="114"/>
        <v>0</v>
      </c>
      <c r="J107" s="108">
        <f t="shared" si="115"/>
        <v>0</v>
      </c>
      <c r="K107" s="108">
        <f t="shared" si="116"/>
        <v>0</v>
      </c>
      <c r="L107" s="111"/>
      <c r="Z107" s="100">
        <f t="shared" si="117"/>
        <v>0</v>
      </c>
      <c r="AB107" s="100">
        <f t="shared" si="118"/>
        <v>0</v>
      </c>
      <c r="AC107" s="100">
        <f t="shared" si="119"/>
        <v>0</v>
      </c>
      <c r="AD107" s="100">
        <f t="shared" si="120"/>
        <v>0</v>
      </c>
      <c r="AE107" s="100">
        <f t="shared" si="121"/>
        <v>0</v>
      </c>
      <c r="AF107" s="100">
        <f t="shared" si="122"/>
        <v>0</v>
      </c>
      <c r="AG107" s="100">
        <f t="shared" si="123"/>
        <v>0</v>
      </c>
      <c r="AH107" s="100">
        <f t="shared" si="124"/>
        <v>0</v>
      </c>
      <c r="AI107" s="109"/>
      <c r="AJ107" s="108">
        <f t="shared" si="125"/>
        <v>0</v>
      </c>
      <c r="AK107" s="108">
        <f t="shared" si="126"/>
        <v>0</v>
      </c>
      <c r="AL107" s="108">
        <f t="shared" si="127"/>
        <v>0</v>
      </c>
      <c r="AN107" s="100">
        <v>15</v>
      </c>
      <c r="AO107" s="100">
        <f t="shared" si="128"/>
        <v>0</v>
      </c>
      <c r="AP107" s="100">
        <f t="shared" si="129"/>
        <v>0</v>
      </c>
      <c r="AQ107" s="111" t="s">
        <v>13</v>
      </c>
      <c r="AV107" s="100">
        <f t="shared" si="130"/>
        <v>0</v>
      </c>
      <c r="AW107" s="100">
        <f t="shared" si="131"/>
        <v>0</v>
      </c>
      <c r="AX107" s="100">
        <f t="shared" si="132"/>
        <v>0</v>
      </c>
      <c r="AY107" s="110" t="s">
        <v>1709</v>
      </c>
      <c r="AZ107" s="110" t="s">
        <v>1733</v>
      </c>
      <c r="BA107" s="109" t="s">
        <v>1737</v>
      </c>
      <c r="BC107" s="100">
        <f t="shared" si="133"/>
        <v>0</v>
      </c>
      <c r="BD107" s="100">
        <f t="shared" si="134"/>
        <v>0</v>
      </c>
      <c r="BE107" s="100">
        <v>0</v>
      </c>
      <c r="BF107" s="100">
        <f>107</f>
        <v>107</v>
      </c>
      <c r="BH107" s="108">
        <f t="shared" si="135"/>
        <v>0</v>
      </c>
      <c r="BI107" s="108">
        <f t="shared" si="136"/>
        <v>0</v>
      </c>
      <c r="BJ107" s="108">
        <f t="shared" si="137"/>
        <v>0</v>
      </c>
    </row>
    <row r="108" spans="1:62" x14ac:dyDescent="0.2">
      <c r="A108" s="117" t="s">
        <v>88</v>
      </c>
      <c r="B108" s="117" t="s">
        <v>4574</v>
      </c>
      <c r="C108" s="304" t="s">
        <v>1320</v>
      </c>
      <c r="D108" s="305"/>
      <c r="E108" s="305"/>
      <c r="F108" s="117" t="s">
        <v>1644</v>
      </c>
      <c r="G108" s="116">
        <v>3</v>
      </c>
      <c r="H108" s="159"/>
      <c r="I108" s="108">
        <f t="shared" si="114"/>
        <v>0</v>
      </c>
      <c r="J108" s="108">
        <f t="shared" si="115"/>
        <v>0</v>
      </c>
      <c r="K108" s="108">
        <f t="shared" si="116"/>
        <v>0</v>
      </c>
      <c r="L108" s="111"/>
      <c r="Z108" s="100">
        <f t="shared" si="117"/>
        <v>0</v>
      </c>
      <c r="AB108" s="100">
        <f t="shared" si="118"/>
        <v>0</v>
      </c>
      <c r="AC108" s="100">
        <f t="shared" si="119"/>
        <v>0</v>
      </c>
      <c r="AD108" s="100">
        <f t="shared" si="120"/>
        <v>0</v>
      </c>
      <c r="AE108" s="100">
        <f t="shared" si="121"/>
        <v>0</v>
      </c>
      <c r="AF108" s="100">
        <f t="shared" si="122"/>
        <v>0</v>
      </c>
      <c r="AG108" s="100">
        <f t="shared" si="123"/>
        <v>0</v>
      </c>
      <c r="AH108" s="100">
        <f t="shared" si="124"/>
        <v>0</v>
      </c>
      <c r="AI108" s="109"/>
      <c r="AJ108" s="108">
        <f t="shared" si="125"/>
        <v>0</v>
      </c>
      <c r="AK108" s="108">
        <f t="shared" si="126"/>
        <v>0</v>
      </c>
      <c r="AL108" s="108">
        <f t="shared" si="127"/>
        <v>0</v>
      </c>
      <c r="AN108" s="100">
        <v>15</v>
      </c>
      <c r="AO108" s="100">
        <f t="shared" si="128"/>
        <v>0</v>
      </c>
      <c r="AP108" s="100">
        <f t="shared" si="129"/>
        <v>0</v>
      </c>
      <c r="AQ108" s="111" t="s">
        <v>13</v>
      </c>
      <c r="AV108" s="100">
        <f t="shared" si="130"/>
        <v>0</v>
      </c>
      <c r="AW108" s="100">
        <f t="shared" si="131"/>
        <v>0</v>
      </c>
      <c r="AX108" s="100">
        <f t="shared" si="132"/>
        <v>0</v>
      </c>
      <c r="AY108" s="110" t="s">
        <v>1709</v>
      </c>
      <c r="AZ108" s="110" t="s">
        <v>1733</v>
      </c>
      <c r="BA108" s="109" t="s">
        <v>1737</v>
      </c>
      <c r="BC108" s="100">
        <f t="shared" si="133"/>
        <v>0</v>
      </c>
      <c r="BD108" s="100">
        <f t="shared" si="134"/>
        <v>0</v>
      </c>
      <c r="BE108" s="100">
        <v>0</v>
      </c>
      <c r="BF108" s="100">
        <f>108</f>
        <v>108</v>
      </c>
      <c r="BH108" s="108">
        <f t="shared" si="135"/>
        <v>0</v>
      </c>
      <c r="BI108" s="108">
        <f t="shared" si="136"/>
        <v>0</v>
      </c>
      <c r="BJ108" s="108">
        <f t="shared" si="137"/>
        <v>0</v>
      </c>
    </row>
    <row r="109" spans="1:62" x14ac:dyDescent="0.2">
      <c r="A109" s="117" t="s">
        <v>89</v>
      </c>
      <c r="B109" s="117" t="s">
        <v>4573</v>
      </c>
      <c r="C109" s="304" t="s">
        <v>1321</v>
      </c>
      <c r="D109" s="305"/>
      <c r="E109" s="305"/>
      <c r="F109" s="117" t="s">
        <v>1644</v>
      </c>
      <c r="G109" s="116">
        <v>1</v>
      </c>
      <c r="H109" s="159"/>
      <c r="I109" s="108">
        <f t="shared" si="114"/>
        <v>0</v>
      </c>
      <c r="J109" s="108">
        <f t="shared" si="115"/>
        <v>0</v>
      </c>
      <c r="K109" s="108">
        <f t="shared" si="116"/>
        <v>0</v>
      </c>
      <c r="L109" s="111"/>
      <c r="Z109" s="100">
        <f t="shared" si="117"/>
        <v>0</v>
      </c>
      <c r="AB109" s="100">
        <f t="shared" si="118"/>
        <v>0</v>
      </c>
      <c r="AC109" s="100">
        <f t="shared" si="119"/>
        <v>0</v>
      </c>
      <c r="AD109" s="100">
        <f t="shared" si="120"/>
        <v>0</v>
      </c>
      <c r="AE109" s="100">
        <f t="shared" si="121"/>
        <v>0</v>
      </c>
      <c r="AF109" s="100">
        <f t="shared" si="122"/>
        <v>0</v>
      </c>
      <c r="AG109" s="100">
        <f t="shared" si="123"/>
        <v>0</v>
      </c>
      <c r="AH109" s="100">
        <f t="shared" si="124"/>
        <v>0</v>
      </c>
      <c r="AI109" s="109"/>
      <c r="AJ109" s="108">
        <f t="shared" si="125"/>
        <v>0</v>
      </c>
      <c r="AK109" s="108">
        <f t="shared" si="126"/>
        <v>0</v>
      </c>
      <c r="AL109" s="108">
        <f t="shared" si="127"/>
        <v>0</v>
      </c>
      <c r="AN109" s="100">
        <v>15</v>
      </c>
      <c r="AO109" s="100">
        <f t="shared" si="128"/>
        <v>0</v>
      </c>
      <c r="AP109" s="100">
        <f t="shared" si="129"/>
        <v>0</v>
      </c>
      <c r="AQ109" s="111" t="s">
        <v>13</v>
      </c>
      <c r="AV109" s="100">
        <f t="shared" si="130"/>
        <v>0</v>
      </c>
      <c r="AW109" s="100">
        <f t="shared" si="131"/>
        <v>0</v>
      </c>
      <c r="AX109" s="100">
        <f t="shared" si="132"/>
        <v>0</v>
      </c>
      <c r="AY109" s="110" t="s">
        <v>1709</v>
      </c>
      <c r="AZ109" s="110" t="s">
        <v>1733</v>
      </c>
      <c r="BA109" s="109" t="s">
        <v>1737</v>
      </c>
      <c r="BC109" s="100">
        <f t="shared" si="133"/>
        <v>0</v>
      </c>
      <c r="BD109" s="100">
        <f t="shared" si="134"/>
        <v>0</v>
      </c>
      <c r="BE109" s="100">
        <v>0</v>
      </c>
      <c r="BF109" s="100">
        <f>109</f>
        <v>109</v>
      </c>
      <c r="BH109" s="108">
        <f t="shared" si="135"/>
        <v>0</v>
      </c>
      <c r="BI109" s="108">
        <f t="shared" si="136"/>
        <v>0</v>
      </c>
      <c r="BJ109" s="108">
        <f t="shared" si="137"/>
        <v>0</v>
      </c>
    </row>
    <row r="110" spans="1:62" x14ac:dyDescent="0.2">
      <c r="A110" s="117" t="s">
        <v>90</v>
      </c>
      <c r="B110" s="117" t="s">
        <v>4572</v>
      </c>
      <c r="C110" s="304" t="s">
        <v>1323</v>
      </c>
      <c r="D110" s="305"/>
      <c r="E110" s="305"/>
      <c r="F110" s="117" t="s">
        <v>1644</v>
      </c>
      <c r="G110" s="116">
        <v>1</v>
      </c>
      <c r="H110" s="159"/>
      <c r="I110" s="108">
        <f t="shared" si="114"/>
        <v>0</v>
      </c>
      <c r="J110" s="108">
        <f t="shared" si="115"/>
        <v>0</v>
      </c>
      <c r="K110" s="108">
        <f t="shared" si="116"/>
        <v>0</v>
      </c>
      <c r="L110" s="111"/>
      <c r="Z110" s="100">
        <f t="shared" si="117"/>
        <v>0</v>
      </c>
      <c r="AB110" s="100">
        <f t="shared" si="118"/>
        <v>0</v>
      </c>
      <c r="AC110" s="100">
        <f t="shared" si="119"/>
        <v>0</v>
      </c>
      <c r="AD110" s="100">
        <f t="shared" si="120"/>
        <v>0</v>
      </c>
      <c r="AE110" s="100">
        <f t="shared" si="121"/>
        <v>0</v>
      </c>
      <c r="AF110" s="100">
        <f t="shared" si="122"/>
        <v>0</v>
      </c>
      <c r="AG110" s="100">
        <f t="shared" si="123"/>
        <v>0</v>
      </c>
      <c r="AH110" s="100">
        <f t="shared" si="124"/>
        <v>0</v>
      </c>
      <c r="AI110" s="109"/>
      <c r="AJ110" s="108">
        <f t="shared" si="125"/>
        <v>0</v>
      </c>
      <c r="AK110" s="108">
        <f t="shared" si="126"/>
        <v>0</v>
      </c>
      <c r="AL110" s="108">
        <f t="shared" si="127"/>
        <v>0</v>
      </c>
      <c r="AN110" s="100">
        <v>15</v>
      </c>
      <c r="AO110" s="100">
        <f t="shared" si="128"/>
        <v>0</v>
      </c>
      <c r="AP110" s="100">
        <f t="shared" si="129"/>
        <v>0</v>
      </c>
      <c r="AQ110" s="111" t="s">
        <v>13</v>
      </c>
      <c r="AV110" s="100">
        <f t="shared" si="130"/>
        <v>0</v>
      </c>
      <c r="AW110" s="100">
        <f t="shared" si="131"/>
        <v>0</v>
      </c>
      <c r="AX110" s="100">
        <f t="shared" si="132"/>
        <v>0</v>
      </c>
      <c r="AY110" s="110" t="s">
        <v>1709</v>
      </c>
      <c r="AZ110" s="110" t="s">
        <v>1733</v>
      </c>
      <c r="BA110" s="109" t="s">
        <v>1737</v>
      </c>
      <c r="BC110" s="100">
        <f t="shared" si="133"/>
        <v>0</v>
      </c>
      <c r="BD110" s="100">
        <f t="shared" si="134"/>
        <v>0</v>
      </c>
      <c r="BE110" s="100">
        <v>0</v>
      </c>
      <c r="BF110" s="100">
        <f>110</f>
        <v>110</v>
      </c>
      <c r="BH110" s="108">
        <f t="shared" si="135"/>
        <v>0</v>
      </c>
      <c r="BI110" s="108">
        <f t="shared" si="136"/>
        <v>0</v>
      </c>
      <c r="BJ110" s="108">
        <f t="shared" si="137"/>
        <v>0</v>
      </c>
    </row>
    <row r="111" spans="1:62" x14ac:dyDescent="0.2">
      <c r="A111" s="117" t="s">
        <v>91</v>
      </c>
      <c r="B111" s="117" t="s">
        <v>4571</v>
      </c>
      <c r="C111" s="304" t="s">
        <v>1297</v>
      </c>
      <c r="D111" s="305"/>
      <c r="E111" s="305"/>
      <c r="F111" s="117" t="s">
        <v>1644</v>
      </c>
      <c r="G111" s="116">
        <v>2</v>
      </c>
      <c r="H111" s="159"/>
      <c r="I111" s="108">
        <f t="shared" si="114"/>
        <v>0</v>
      </c>
      <c r="J111" s="108">
        <f t="shared" si="115"/>
        <v>0</v>
      </c>
      <c r="K111" s="108">
        <f t="shared" si="116"/>
        <v>0</v>
      </c>
      <c r="L111" s="111"/>
      <c r="Z111" s="100">
        <f t="shared" si="117"/>
        <v>0</v>
      </c>
      <c r="AB111" s="100">
        <f t="shared" si="118"/>
        <v>0</v>
      </c>
      <c r="AC111" s="100">
        <f t="shared" si="119"/>
        <v>0</v>
      </c>
      <c r="AD111" s="100">
        <f t="shared" si="120"/>
        <v>0</v>
      </c>
      <c r="AE111" s="100">
        <f t="shared" si="121"/>
        <v>0</v>
      </c>
      <c r="AF111" s="100">
        <f t="shared" si="122"/>
        <v>0</v>
      </c>
      <c r="AG111" s="100">
        <f t="shared" si="123"/>
        <v>0</v>
      </c>
      <c r="AH111" s="100">
        <f t="shared" si="124"/>
        <v>0</v>
      </c>
      <c r="AI111" s="109"/>
      <c r="AJ111" s="108">
        <f t="shared" si="125"/>
        <v>0</v>
      </c>
      <c r="AK111" s="108">
        <f t="shared" si="126"/>
        <v>0</v>
      </c>
      <c r="AL111" s="108">
        <f t="shared" si="127"/>
        <v>0</v>
      </c>
      <c r="AN111" s="100">
        <v>15</v>
      </c>
      <c r="AO111" s="100">
        <f t="shared" si="128"/>
        <v>0</v>
      </c>
      <c r="AP111" s="100">
        <f t="shared" si="129"/>
        <v>0</v>
      </c>
      <c r="AQ111" s="111" t="s">
        <v>13</v>
      </c>
      <c r="AV111" s="100">
        <f t="shared" si="130"/>
        <v>0</v>
      </c>
      <c r="AW111" s="100">
        <f t="shared" si="131"/>
        <v>0</v>
      </c>
      <c r="AX111" s="100">
        <f t="shared" si="132"/>
        <v>0</v>
      </c>
      <c r="AY111" s="110" t="s">
        <v>1709</v>
      </c>
      <c r="AZ111" s="110" t="s">
        <v>1733</v>
      </c>
      <c r="BA111" s="109" t="s">
        <v>1737</v>
      </c>
      <c r="BC111" s="100">
        <f t="shared" si="133"/>
        <v>0</v>
      </c>
      <c r="BD111" s="100">
        <f t="shared" si="134"/>
        <v>0</v>
      </c>
      <c r="BE111" s="100">
        <v>0</v>
      </c>
      <c r="BF111" s="100">
        <f>111</f>
        <v>111</v>
      </c>
      <c r="BH111" s="108">
        <f t="shared" si="135"/>
        <v>0</v>
      </c>
      <c r="BI111" s="108">
        <f t="shared" si="136"/>
        <v>0</v>
      </c>
      <c r="BJ111" s="108">
        <f t="shared" si="137"/>
        <v>0</v>
      </c>
    </row>
    <row r="112" spans="1:62" x14ac:dyDescent="0.2">
      <c r="A112" s="117" t="s">
        <v>92</v>
      </c>
      <c r="B112" s="117" t="s">
        <v>4570</v>
      </c>
      <c r="C112" s="304" t="s">
        <v>1327</v>
      </c>
      <c r="D112" s="305"/>
      <c r="E112" s="305"/>
      <c r="F112" s="117" t="s">
        <v>1644</v>
      </c>
      <c r="G112" s="116">
        <v>2</v>
      </c>
      <c r="H112" s="159"/>
      <c r="I112" s="108">
        <f t="shared" si="114"/>
        <v>0</v>
      </c>
      <c r="J112" s="108">
        <f t="shared" si="115"/>
        <v>0</v>
      </c>
      <c r="K112" s="108">
        <f t="shared" si="116"/>
        <v>0</v>
      </c>
      <c r="L112" s="111"/>
      <c r="Z112" s="100">
        <f t="shared" si="117"/>
        <v>0</v>
      </c>
      <c r="AB112" s="100">
        <f t="shared" si="118"/>
        <v>0</v>
      </c>
      <c r="AC112" s="100">
        <f t="shared" si="119"/>
        <v>0</v>
      </c>
      <c r="AD112" s="100">
        <f t="shared" si="120"/>
        <v>0</v>
      </c>
      <c r="AE112" s="100">
        <f t="shared" si="121"/>
        <v>0</v>
      </c>
      <c r="AF112" s="100">
        <f t="shared" si="122"/>
        <v>0</v>
      </c>
      <c r="AG112" s="100">
        <f t="shared" si="123"/>
        <v>0</v>
      </c>
      <c r="AH112" s="100">
        <f t="shared" si="124"/>
        <v>0</v>
      </c>
      <c r="AI112" s="109"/>
      <c r="AJ112" s="108">
        <f t="shared" si="125"/>
        <v>0</v>
      </c>
      <c r="AK112" s="108">
        <f t="shared" si="126"/>
        <v>0</v>
      </c>
      <c r="AL112" s="108">
        <f t="shared" si="127"/>
        <v>0</v>
      </c>
      <c r="AN112" s="100">
        <v>15</v>
      </c>
      <c r="AO112" s="100">
        <f t="shared" si="128"/>
        <v>0</v>
      </c>
      <c r="AP112" s="100">
        <f t="shared" si="129"/>
        <v>0</v>
      </c>
      <c r="AQ112" s="111" t="s">
        <v>13</v>
      </c>
      <c r="AV112" s="100">
        <f t="shared" si="130"/>
        <v>0</v>
      </c>
      <c r="AW112" s="100">
        <f t="shared" si="131"/>
        <v>0</v>
      </c>
      <c r="AX112" s="100">
        <f t="shared" si="132"/>
        <v>0</v>
      </c>
      <c r="AY112" s="110" t="s">
        <v>1709</v>
      </c>
      <c r="AZ112" s="110" t="s">
        <v>1733</v>
      </c>
      <c r="BA112" s="109" t="s">
        <v>1737</v>
      </c>
      <c r="BC112" s="100">
        <f t="shared" si="133"/>
        <v>0</v>
      </c>
      <c r="BD112" s="100">
        <f t="shared" si="134"/>
        <v>0</v>
      </c>
      <c r="BE112" s="100">
        <v>0</v>
      </c>
      <c r="BF112" s="100">
        <f>112</f>
        <v>112</v>
      </c>
      <c r="BH112" s="108">
        <f t="shared" si="135"/>
        <v>0</v>
      </c>
      <c r="BI112" s="108">
        <f t="shared" si="136"/>
        <v>0</v>
      </c>
      <c r="BJ112" s="108">
        <f t="shared" si="137"/>
        <v>0</v>
      </c>
    </row>
    <row r="113" spans="1:62" x14ac:dyDescent="0.2">
      <c r="A113" s="117" t="s">
        <v>93</v>
      </c>
      <c r="B113" s="117" t="s">
        <v>4569</v>
      </c>
      <c r="C113" s="304" t="s">
        <v>1294</v>
      </c>
      <c r="D113" s="305"/>
      <c r="E113" s="305"/>
      <c r="F113" s="117" t="s">
        <v>1644</v>
      </c>
      <c r="G113" s="116">
        <v>1</v>
      </c>
      <c r="H113" s="159"/>
      <c r="I113" s="108">
        <f t="shared" si="114"/>
        <v>0</v>
      </c>
      <c r="J113" s="108">
        <f t="shared" si="115"/>
        <v>0</v>
      </c>
      <c r="K113" s="108">
        <f t="shared" si="116"/>
        <v>0</v>
      </c>
      <c r="L113" s="111"/>
      <c r="Z113" s="100">
        <f t="shared" si="117"/>
        <v>0</v>
      </c>
      <c r="AB113" s="100">
        <f t="shared" si="118"/>
        <v>0</v>
      </c>
      <c r="AC113" s="100">
        <f t="shared" si="119"/>
        <v>0</v>
      </c>
      <c r="AD113" s="100">
        <f t="shared" si="120"/>
        <v>0</v>
      </c>
      <c r="AE113" s="100">
        <f t="shared" si="121"/>
        <v>0</v>
      </c>
      <c r="AF113" s="100">
        <f t="shared" si="122"/>
        <v>0</v>
      </c>
      <c r="AG113" s="100">
        <f t="shared" si="123"/>
        <v>0</v>
      </c>
      <c r="AH113" s="100">
        <f t="shared" si="124"/>
        <v>0</v>
      </c>
      <c r="AI113" s="109"/>
      <c r="AJ113" s="108">
        <f t="shared" si="125"/>
        <v>0</v>
      </c>
      <c r="AK113" s="108">
        <f t="shared" si="126"/>
        <v>0</v>
      </c>
      <c r="AL113" s="108">
        <f t="shared" si="127"/>
        <v>0</v>
      </c>
      <c r="AN113" s="100">
        <v>15</v>
      </c>
      <c r="AO113" s="100">
        <f t="shared" si="128"/>
        <v>0</v>
      </c>
      <c r="AP113" s="100">
        <f t="shared" si="129"/>
        <v>0</v>
      </c>
      <c r="AQ113" s="111" t="s">
        <v>13</v>
      </c>
      <c r="AV113" s="100">
        <f t="shared" si="130"/>
        <v>0</v>
      </c>
      <c r="AW113" s="100">
        <f t="shared" si="131"/>
        <v>0</v>
      </c>
      <c r="AX113" s="100">
        <f t="shared" si="132"/>
        <v>0</v>
      </c>
      <c r="AY113" s="110" t="s">
        <v>1709</v>
      </c>
      <c r="AZ113" s="110" t="s">
        <v>1733</v>
      </c>
      <c r="BA113" s="109" t="s">
        <v>1737</v>
      </c>
      <c r="BC113" s="100">
        <f t="shared" si="133"/>
        <v>0</v>
      </c>
      <c r="BD113" s="100">
        <f t="shared" si="134"/>
        <v>0</v>
      </c>
      <c r="BE113" s="100">
        <v>0</v>
      </c>
      <c r="BF113" s="100">
        <f>113</f>
        <v>113</v>
      </c>
      <c r="BH113" s="108">
        <f t="shared" si="135"/>
        <v>0</v>
      </c>
      <c r="BI113" s="108">
        <f t="shared" si="136"/>
        <v>0</v>
      </c>
      <c r="BJ113" s="108">
        <f t="shared" si="137"/>
        <v>0</v>
      </c>
    </row>
    <row r="114" spans="1:62" x14ac:dyDescent="0.2">
      <c r="A114" s="117" t="s">
        <v>94</v>
      </c>
      <c r="B114" s="117" t="s">
        <v>4568</v>
      </c>
      <c r="C114" s="304" t="s">
        <v>1295</v>
      </c>
      <c r="D114" s="305"/>
      <c r="E114" s="305"/>
      <c r="F114" s="117" t="s">
        <v>1644</v>
      </c>
      <c r="G114" s="116">
        <v>1</v>
      </c>
      <c r="H114" s="159"/>
      <c r="I114" s="108">
        <f t="shared" si="114"/>
        <v>0</v>
      </c>
      <c r="J114" s="108">
        <f t="shared" si="115"/>
        <v>0</v>
      </c>
      <c r="K114" s="108">
        <f t="shared" si="116"/>
        <v>0</v>
      </c>
      <c r="L114" s="111"/>
      <c r="Z114" s="100">
        <f t="shared" si="117"/>
        <v>0</v>
      </c>
      <c r="AB114" s="100">
        <f t="shared" si="118"/>
        <v>0</v>
      </c>
      <c r="AC114" s="100">
        <f t="shared" si="119"/>
        <v>0</v>
      </c>
      <c r="AD114" s="100">
        <f t="shared" si="120"/>
        <v>0</v>
      </c>
      <c r="AE114" s="100">
        <f t="shared" si="121"/>
        <v>0</v>
      </c>
      <c r="AF114" s="100">
        <f t="shared" si="122"/>
        <v>0</v>
      </c>
      <c r="AG114" s="100">
        <f t="shared" si="123"/>
        <v>0</v>
      </c>
      <c r="AH114" s="100">
        <f t="shared" si="124"/>
        <v>0</v>
      </c>
      <c r="AI114" s="109"/>
      <c r="AJ114" s="108">
        <f t="shared" si="125"/>
        <v>0</v>
      </c>
      <c r="AK114" s="108">
        <f t="shared" si="126"/>
        <v>0</v>
      </c>
      <c r="AL114" s="108">
        <f t="shared" si="127"/>
        <v>0</v>
      </c>
      <c r="AN114" s="100">
        <v>15</v>
      </c>
      <c r="AO114" s="100">
        <f t="shared" si="128"/>
        <v>0</v>
      </c>
      <c r="AP114" s="100">
        <f t="shared" si="129"/>
        <v>0</v>
      </c>
      <c r="AQ114" s="111" t="s">
        <v>13</v>
      </c>
      <c r="AV114" s="100">
        <f t="shared" si="130"/>
        <v>0</v>
      </c>
      <c r="AW114" s="100">
        <f t="shared" si="131"/>
        <v>0</v>
      </c>
      <c r="AX114" s="100">
        <f t="shared" si="132"/>
        <v>0</v>
      </c>
      <c r="AY114" s="110" t="s">
        <v>1709</v>
      </c>
      <c r="AZ114" s="110" t="s">
        <v>1733</v>
      </c>
      <c r="BA114" s="109" t="s">
        <v>1737</v>
      </c>
      <c r="BC114" s="100">
        <f t="shared" si="133"/>
        <v>0</v>
      </c>
      <c r="BD114" s="100">
        <f t="shared" si="134"/>
        <v>0</v>
      </c>
      <c r="BE114" s="100">
        <v>0</v>
      </c>
      <c r="BF114" s="100">
        <f>114</f>
        <v>114</v>
      </c>
      <c r="BH114" s="108">
        <f t="shared" si="135"/>
        <v>0</v>
      </c>
      <c r="BI114" s="108">
        <f t="shared" si="136"/>
        <v>0</v>
      </c>
      <c r="BJ114" s="108">
        <f t="shared" si="137"/>
        <v>0</v>
      </c>
    </row>
    <row r="115" spans="1:62" x14ac:dyDescent="0.2">
      <c r="A115" s="117" t="s">
        <v>95</v>
      </c>
      <c r="B115" s="117" t="s">
        <v>4567</v>
      </c>
      <c r="C115" s="304" t="s">
        <v>1328</v>
      </c>
      <c r="D115" s="305"/>
      <c r="E115" s="305"/>
      <c r="F115" s="117" t="s">
        <v>1644</v>
      </c>
      <c r="G115" s="116">
        <v>3</v>
      </c>
      <c r="H115" s="159"/>
      <c r="I115" s="108">
        <f t="shared" si="114"/>
        <v>0</v>
      </c>
      <c r="J115" s="108">
        <f t="shared" si="115"/>
        <v>0</v>
      </c>
      <c r="K115" s="108">
        <f t="shared" si="116"/>
        <v>0</v>
      </c>
      <c r="L115" s="111"/>
      <c r="Z115" s="100">
        <f t="shared" si="117"/>
        <v>0</v>
      </c>
      <c r="AB115" s="100">
        <f t="shared" si="118"/>
        <v>0</v>
      </c>
      <c r="AC115" s="100">
        <f t="shared" si="119"/>
        <v>0</v>
      </c>
      <c r="AD115" s="100">
        <f t="shared" si="120"/>
        <v>0</v>
      </c>
      <c r="AE115" s="100">
        <f t="shared" si="121"/>
        <v>0</v>
      </c>
      <c r="AF115" s="100">
        <f t="shared" si="122"/>
        <v>0</v>
      </c>
      <c r="AG115" s="100">
        <f t="shared" si="123"/>
        <v>0</v>
      </c>
      <c r="AH115" s="100">
        <f t="shared" si="124"/>
        <v>0</v>
      </c>
      <c r="AI115" s="109"/>
      <c r="AJ115" s="108">
        <f t="shared" si="125"/>
        <v>0</v>
      </c>
      <c r="AK115" s="108">
        <f t="shared" si="126"/>
        <v>0</v>
      </c>
      <c r="AL115" s="108">
        <f t="shared" si="127"/>
        <v>0</v>
      </c>
      <c r="AN115" s="100">
        <v>15</v>
      </c>
      <c r="AO115" s="100">
        <f t="shared" si="128"/>
        <v>0</v>
      </c>
      <c r="AP115" s="100">
        <f t="shared" si="129"/>
        <v>0</v>
      </c>
      <c r="AQ115" s="111" t="s">
        <v>13</v>
      </c>
      <c r="AV115" s="100">
        <f t="shared" si="130"/>
        <v>0</v>
      </c>
      <c r="AW115" s="100">
        <f t="shared" si="131"/>
        <v>0</v>
      </c>
      <c r="AX115" s="100">
        <f t="shared" si="132"/>
        <v>0</v>
      </c>
      <c r="AY115" s="110" t="s">
        <v>1709</v>
      </c>
      <c r="AZ115" s="110" t="s">
        <v>1733</v>
      </c>
      <c r="BA115" s="109" t="s">
        <v>1737</v>
      </c>
      <c r="BC115" s="100">
        <f t="shared" si="133"/>
        <v>0</v>
      </c>
      <c r="BD115" s="100">
        <f t="shared" si="134"/>
        <v>0</v>
      </c>
      <c r="BE115" s="100">
        <v>0</v>
      </c>
      <c r="BF115" s="100">
        <f>115</f>
        <v>115</v>
      </c>
      <c r="BH115" s="108">
        <f t="shared" si="135"/>
        <v>0</v>
      </c>
      <c r="BI115" s="108">
        <f t="shared" si="136"/>
        <v>0</v>
      </c>
      <c r="BJ115" s="108">
        <f t="shared" si="137"/>
        <v>0</v>
      </c>
    </row>
    <row r="116" spans="1:62" x14ac:dyDescent="0.2">
      <c r="A116" s="117" t="s">
        <v>96</v>
      </c>
      <c r="B116" s="117" t="s">
        <v>4566</v>
      </c>
      <c r="C116" s="304" t="s">
        <v>1330</v>
      </c>
      <c r="D116" s="305"/>
      <c r="E116" s="305"/>
      <c r="F116" s="117" t="s">
        <v>1646</v>
      </c>
      <c r="G116" s="116">
        <v>10</v>
      </c>
      <c r="H116" s="159"/>
      <c r="I116" s="108">
        <f t="shared" si="114"/>
        <v>0</v>
      </c>
      <c r="J116" s="108">
        <f t="shared" si="115"/>
        <v>0</v>
      </c>
      <c r="K116" s="108">
        <f t="shared" si="116"/>
        <v>0</v>
      </c>
      <c r="L116" s="111"/>
      <c r="Z116" s="100">
        <f t="shared" si="117"/>
        <v>0</v>
      </c>
      <c r="AB116" s="100">
        <f t="shared" si="118"/>
        <v>0</v>
      </c>
      <c r="AC116" s="100">
        <f t="shared" si="119"/>
        <v>0</v>
      </c>
      <c r="AD116" s="100">
        <f t="shared" si="120"/>
        <v>0</v>
      </c>
      <c r="AE116" s="100">
        <f t="shared" si="121"/>
        <v>0</v>
      </c>
      <c r="AF116" s="100">
        <f t="shared" si="122"/>
        <v>0</v>
      </c>
      <c r="AG116" s="100">
        <f t="shared" si="123"/>
        <v>0</v>
      </c>
      <c r="AH116" s="100">
        <f t="shared" si="124"/>
        <v>0</v>
      </c>
      <c r="AI116" s="109"/>
      <c r="AJ116" s="108">
        <f t="shared" si="125"/>
        <v>0</v>
      </c>
      <c r="AK116" s="108">
        <f t="shared" si="126"/>
        <v>0</v>
      </c>
      <c r="AL116" s="108">
        <f t="shared" si="127"/>
        <v>0</v>
      </c>
      <c r="AN116" s="100">
        <v>15</v>
      </c>
      <c r="AO116" s="100">
        <f t="shared" si="128"/>
        <v>0</v>
      </c>
      <c r="AP116" s="100">
        <f t="shared" si="129"/>
        <v>0</v>
      </c>
      <c r="AQ116" s="111" t="s">
        <v>13</v>
      </c>
      <c r="AV116" s="100">
        <f t="shared" si="130"/>
        <v>0</v>
      </c>
      <c r="AW116" s="100">
        <f t="shared" si="131"/>
        <v>0</v>
      </c>
      <c r="AX116" s="100">
        <f t="shared" si="132"/>
        <v>0</v>
      </c>
      <c r="AY116" s="110" t="s">
        <v>1709</v>
      </c>
      <c r="AZ116" s="110" t="s">
        <v>1733</v>
      </c>
      <c r="BA116" s="109" t="s">
        <v>1737</v>
      </c>
      <c r="BC116" s="100">
        <f t="shared" si="133"/>
        <v>0</v>
      </c>
      <c r="BD116" s="100">
        <f t="shared" si="134"/>
        <v>0</v>
      </c>
      <c r="BE116" s="100">
        <v>0</v>
      </c>
      <c r="BF116" s="100">
        <f>116</f>
        <v>116</v>
      </c>
      <c r="BH116" s="108">
        <f t="shared" si="135"/>
        <v>0</v>
      </c>
      <c r="BI116" s="108">
        <f t="shared" si="136"/>
        <v>0</v>
      </c>
      <c r="BJ116" s="108">
        <f t="shared" si="137"/>
        <v>0</v>
      </c>
    </row>
    <row r="117" spans="1:62" x14ac:dyDescent="0.2">
      <c r="A117" s="117" t="s">
        <v>97</v>
      </c>
      <c r="B117" s="117" t="s">
        <v>4565</v>
      </c>
      <c r="C117" s="304" t="s">
        <v>1331</v>
      </c>
      <c r="D117" s="305"/>
      <c r="E117" s="305"/>
      <c r="F117" s="117" t="s">
        <v>1646</v>
      </c>
      <c r="G117" s="116">
        <v>1</v>
      </c>
      <c r="H117" s="159"/>
      <c r="I117" s="108">
        <f t="shared" si="114"/>
        <v>0</v>
      </c>
      <c r="J117" s="108">
        <f t="shared" si="115"/>
        <v>0</v>
      </c>
      <c r="K117" s="108">
        <f t="shared" si="116"/>
        <v>0</v>
      </c>
      <c r="L117" s="111"/>
      <c r="Z117" s="100">
        <f t="shared" si="117"/>
        <v>0</v>
      </c>
      <c r="AB117" s="100">
        <f t="shared" si="118"/>
        <v>0</v>
      </c>
      <c r="AC117" s="100">
        <f t="shared" si="119"/>
        <v>0</v>
      </c>
      <c r="AD117" s="100">
        <f t="shared" si="120"/>
        <v>0</v>
      </c>
      <c r="AE117" s="100">
        <f t="shared" si="121"/>
        <v>0</v>
      </c>
      <c r="AF117" s="100">
        <f t="shared" si="122"/>
        <v>0</v>
      </c>
      <c r="AG117" s="100">
        <f t="shared" si="123"/>
        <v>0</v>
      </c>
      <c r="AH117" s="100">
        <f t="shared" si="124"/>
        <v>0</v>
      </c>
      <c r="AI117" s="109"/>
      <c r="AJ117" s="108">
        <f t="shared" si="125"/>
        <v>0</v>
      </c>
      <c r="AK117" s="108">
        <f t="shared" si="126"/>
        <v>0</v>
      </c>
      <c r="AL117" s="108">
        <f t="shared" si="127"/>
        <v>0</v>
      </c>
      <c r="AN117" s="100">
        <v>15</v>
      </c>
      <c r="AO117" s="100">
        <f t="shared" si="128"/>
        <v>0</v>
      </c>
      <c r="AP117" s="100">
        <f t="shared" si="129"/>
        <v>0</v>
      </c>
      <c r="AQ117" s="111" t="s">
        <v>13</v>
      </c>
      <c r="AV117" s="100">
        <f t="shared" si="130"/>
        <v>0</v>
      </c>
      <c r="AW117" s="100">
        <f t="shared" si="131"/>
        <v>0</v>
      </c>
      <c r="AX117" s="100">
        <f t="shared" si="132"/>
        <v>0</v>
      </c>
      <c r="AY117" s="110" t="s">
        <v>1709</v>
      </c>
      <c r="AZ117" s="110" t="s">
        <v>1733</v>
      </c>
      <c r="BA117" s="109" t="s">
        <v>1737</v>
      </c>
      <c r="BC117" s="100">
        <f t="shared" si="133"/>
        <v>0</v>
      </c>
      <c r="BD117" s="100">
        <f t="shared" si="134"/>
        <v>0</v>
      </c>
      <c r="BE117" s="100">
        <v>0</v>
      </c>
      <c r="BF117" s="100">
        <f>117</f>
        <v>117</v>
      </c>
      <c r="BH117" s="108">
        <f t="shared" si="135"/>
        <v>0</v>
      </c>
      <c r="BI117" s="108">
        <f t="shared" si="136"/>
        <v>0</v>
      </c>
      <c r="BJ117" s="108">
        <f t="shared" si="137"/>
        <v>0</v>
      </c>
    </row>
    <row r="118" spans="1:62" x14ac:dyDescent="0.2">
      <c r="A118" s="117" t="s">
        <v>98</v>
      </c>
      <c r="B118" s="117" t="s">
        <v>4564</v>
      </c>
      <c r="C118" s="304" t="s">
        <v>1332</v>
      </c>
      <c r="D118" s="305"/>
      <c r="E118" s="305"/>
      <c r="F118" s="117" t="s">
        <v>1646</v>
      </c>
      <c r="G118" s="116">
        <v>2</v>
      </c>
      <c r="H118" s="159"/>
      <c r="I118" s="108">
        <f t="shared" si="114"/>
        <v>0</v>
      </c>
      <c r="J118" s="108">
        <f t="shared" si="115"/>
        <v>0</v>
      </c>
      <c r="K118" s="108">
        <f t="shared" si="116"/>
        <v>0</v>
      </c>
      <c r="L118" s="111"/>
      <c r="Z118" s="100">
        <f t="shared" si="117"/>
        <v>0</v>
      </c>
      <c r="AB118" s="100">
        <f t="shared" si="118"/>
        <v>0</v>
      </c>
      <c r="AC118" s="100">
        <f t="shared" si="119"/>
        <v>0</v>
      </c>
      <c r="AD118" s="100">
        <f t="shared" si="120"/>
        <v>0</v>
      </c>
      <c r="AE118" s="100">
        <f t="shared" si="121"/>
        <v>0</v>
      </c>
      <c r="AF118" s="100">
        <f t="shared" si="122"/>
        <v>0</v>
      </c>
      <c r="AG118" s="100">
        <f t="shared" si="123"/>
        <v>0</v>
      </c>
      <c r="AH118" s="100">
        <f t="shared" si="124"/>
        <v>0</v>
      </c>
      <c r="AI118" s="109"/>
      <c r="AJ118" s="108">
        <f t="shared" si="125"/>
        <v>0</v>
      </c>
      <c r="AK118" s="108">
        <f t="shared" si="126"/>
        <v>0</v>
      </c>
      <c r="AL118" s="108">
        <f t="shared" si="127"/>
        <v>0</v>
      </c>
      <c r="AN118" s="100">
        <v>15</v>
      </c>
      <c r="AO118" s="100">
        <f t="shared" si="128"/>
        <v>0</v>
      </c>
      <c r="AP118" s="100">
        <f t="shared" si="129"/>
        <v>0</v>
      </c>
      <c r="AQ118" s="111" t="s">
        <v>13</v>
      </c>
      <c r="AV118" s="100">
        <f t="shared" si="130"/>
        <v>0</v>
      </c>
      <c r="AW118" s="100">
        <f t="shared" si="131"/>
        <v>0</v>
      </c>
      <c r="AX118" s="100">
        <f t="shared" si="132"/>
        <v>0</v>
      </c>
      <c r="AY118" s="110" t="s">
        <v>1709</v>
      </c>
      <c r="AZ118" s="110" t="s">
        <v>1733</v>
      </c>
      <c r="BA118" s="109" t="s">
        <v>1737</v>
      </c>
      <c r="BC118" s="100">
        <f t="shared" si="133"/>
        <v>0</v>
      </c>
      <c r="BD118" s="100">
        <f t="shared" si="134"/>
        <v>0</v>
      </c>
      <c r="BE118" s="100">
        <v>0</v>
      </c>
      <c r="BF118" s="100">
        <f>118</f>
        <v>118</v>
      </c>
      <c r="BH118" s="108">
        <f t="shared" si="135"/>
        <v>0</v>
      </c>
      <c r="BI118" s="108">
        <f t="shared" si="136"/>
        <v>0</v>
      </c>
      <c r="BJ118" s="108">
        <f t="shared" si="137"/>
        <v>0</v>
      </c>
    </row>
    <row r="119" spans="1:62" x14ac:dyDescent="0.2">
      <c r="A119" s="117" t="s">
        <v>99</v>
      </c>
      <c r="B119" s="117" t="s">
        <v>4563</v>
      </c>
      <c r="C119" s="304" t="s">
        <v>1333</v>
      </c>
      <c r="D119" s="305"/>
      <c r="E119" s="305"/>
      <c r="F119" s="117" t="s">
        <v>1646</v>
      </c>
      <c r="G119" s="116">
        <v>10</v>
      </c>
      <c r="H119" s="159"/>
      <c r="I119" s="108">
        <f t="shared" si="114"/>
        <v>0</v>
      </c>
      <c r="J119" s="108">
        <f t="shared" si="115"/>
        <v>0</v>
      </c>
      <c r="K119" s="108">
        <f t="shared" si="116"/>
        <v>0</v>
      </c>
      <c r="L119" s="111"/>
      <c r="Z119" s="100">
        <f t="shared" si="117"/>
        <v>0</v>
      </c>
      <c r="AB119" s="100">
        <f t="shared" si="118"/>
        <v>0</v>
      </c>
      <c r="AC119" s="100">
        <f t="shared" si="119"/>
        <v>0</v>
      </c>
      <c r="AD119" s="100">
        <f t="shared" si="120"/>
        <v>0</v>
      </c>
      <c r="AE119" s="100">
        <f t="shared" si="121"/>
        <v>0</v>
      </c>
      <c r="AF119" s="100">
        <f t="shared" si="122"/>
        <v>0</v>
      </c>
      <c r="AG119" s="100">
        <f t="shared" si="123"/>
        <v>0</v>
      </c>
      <c r="AH119" s="100">
        <f t="shared" si="124"/>
        <v>0</v>
      </c>
      <c r="AI119" s="109"/>
      <c r="AJ119" s="108">
        <f t="shared" si="125"/>
        <v>0</v>
      </c>
      <c r="AK119" s="108">
        <f t="shared" si="126"/>
        <v>0</v>
      </c>
      <c r="AL119" s="108">
        <f t="shared" si="127"/>
        <v>0</v>
      </c>
      <c r="AN119" s="100">
        <v>15</v>
      </c>
      <c r="AO119" s="100">
        <f t="shared" si="128"/>
        <v>0</v>
      </c>
      <c r="AP119" s="100">
        <f t="shared" si="129"/>
        <v>0</v>
      </c>
      <c r="AQ119" s="111" t="s">
        <v>13</v>
      </c>
      <c r="AV119" s="100">
        <f t="shared" si="130"/>
        <v>0</v>
      </c>
      <c r="AW119" s="100">
        <f t="shared" si="131"/>
        <v>0</v>
      </c>
      <c r="AX119" s="100">
        <f t="shared" si="132"/>
        <v>0</v>
      </c>
      <c r="AY119" s="110" t="s">
        <v>1709</v>
      </c>
      <c r="AZ119" s="110" t="s">
        <v>1733</v>
      </c>
      <c r="BA119" s="109" t="s">
        <v>1737</v>
      </c>
      <c r="BC119" s="100">
        <f t="shared" si="133"/>
        <v>0</v>
      </c>
      <c r="BD119" s="100">
        <f t="shared" si="134"/>
        <v>0</v>
      </c>
      <c r="BE119" s="100">
        <v>0</v>
      </c>
      <c r="BF119" s="100">
        <f>119</f>
        <v>119</v>
      </c>
      <c r="BH119" s="108">
        <f t="shared" si="135"/>
        <v>0</v>
      </c>
      <c r="BI119" s="108">
        <f t="shared" si="136"/>
        <v>0</v>
      </c>
      <c r="BJ119" s="108">
        <f t="shared" si="137"/>
        <v>0</v>
      </c>
    </row>
    <row r="120" spans="1:62" x14ac:dyDescent="0.2">
      <c r="A120" s="117" t="s">
        <v>100</v>
      </c>
      <c r="B120" s="117" t="s">
        <v>4562</v>
      </c>
      <c r="C120" s="304" t="s">
        <v>1335</v>
      </c>
      <c r="D120" s="305"/>
      <c r="E120" s="305"/>
      <c r="F120" s="117" t="s">
        <v>1645</v>
      </c>
      <c r="G120" s="116">
        <v>0.7</v>
      </c>
      <c r="H120" s="159"/>
      <c r="I120" s="108">
        <f t="shared" si="114"/>
        <v>0</v>
      </c>
      <c r="J120" s="108">
        <f t="shared" si="115"/>
        <v>0</v>
      </c>
      <c r="K120" s="108">
        <f t="shared" si="116"/>
        <v>0</v>
      </c>
      <c r="L120" s="111"/>
      <c r="Z120" s="100">
        <f t="shared" si="117"/>
        <v>0</v>
      </c>
      <c r="AB120" s="100">
        <f t="shared" si="118"/>
        <v>0</v>
      </c>
      <c r="AC120" s="100">
        <f t="shared" si="119"/>
        <v>0</v>
      </c>
      <c r="AD120" s="100">
        <f t="shared" si="120"/>
        <v>0</v>
      </c>
      <c r="AE120" s="100">
        <f t="shared" si="121"/>
        <v>0</v>
      </c>
      <c r="AF120" s="100">
        <f t="shared" si="122"/>
        <v>0</v>
      </c>
      <c r="AG120" s="100">
        <f t="shared" si="123"/>
        <v>0</v>
      </c>
      <c r="AH120" s="100">
        <f t="shared" si="124"/>
        <v>0</v>
      </c>
      <c r="AI120" s="109"/>
      <c r="AJ120" s="108">
        <f t="shared" si="125"/>
        <v>0</v>
      </c>
      <c r="AK120" s="108">
        <f t="shared" si="126"/>
        <v>0</v>
      </c>
      <c r="AL120" s="108">
        <f t="shared" si="127"/>
        <v>0</v>
      </c>
      <c r="AN120" s="100">
        <v>15</v>
      </c>
      <c r="AO120" s="100">
        <f t="shared" si="128"/>
        <v>0</v>
      </c>
      <c r="AP120" s="100">
        <f t="shared" si="129"/>
        <v>0</v>
      </c>
      <c r="AQ120" s="111" t="s">
        <v>13</v>
      </c>
      <c r="AV120" s="100">
        <f t="shared" si="130"/>
        <v>0</v>
      </c>
      <c r="AW120" s="100">
        <f t="shared" si="131"/>
        <v>0</v>
      </c>
      <c r="AX120" s="100">
        <f t="shared" si="132"/>
        <v>0</v>
      </c>
      <c r="AY120" s="110" t="s">
        <v>1709</v>
      </c>
      <c r="AZ120" s="110" t="s">
        <v>1733</v>
      </c>
      <c r="BA120" s="109" t="s">
        <v>1737</v>
      </c>
      <c r="BC120" s="100">
        <f t="shared" si="133"/>
        <v>0</v>
      </c>
      <c r="BD120" s="100">
        <f t="shared" si="134"/>
        <v>0</v>
      </c>
      <c r="BE120" s="100">
        <v>0</v>
      </c>
      <c r="BF120" s="100">
        <f>120</f>
        <v>120</v>
      </c>
      <c r="BH120" s="108">
        <f t="shared" si="135"/>
        <v>0</v>
      </c>
      <c r="BI120" s="108">
        <f t="shared" si="136"/>
        <v>0</v>
      </c>
      <c r="BJ120" s="108">
        <f t="shared" si="137"/>
        <v>0</v>
      </c>
    </row>
    <row r="121" spans="1:62" x14ac:dyDescent="0.2">
      <c r="A121" s="117" t="s">
        <v>101</v>
      </c>
      <c r="B121" s="117" t="s">
        <v>4561</v>
      </c>
      <c r="C121" s="304" t="s">
        <v>1336</v>
      </c>
      <c r="D121" s="305"/>
      <c r="E121" s="305"/>
      <c r="F121" s="117" t="s">
        <v>1644</v>
      </c>
      <c r="G121" s="116">
        <v>1</v>
      </c>
      <c r="H121" s="159"/>
      <c r="I121" s="108">
        <f t="shared" si="114"/>
        <v>0</v>
      </c>
      <c r="J121" s="108">
        <f t="shared" si="115"/>
        <v>0</v>
      </c>
      <c r="K121" s="108">
        <f t="shared" si="116"/>
        <v>0</v>
      </c>
      <c r="L121" s="111"/>
      <c r="Z121" s="100">
        <f t="shared" si="117"/>
        <v>0</v>
      </c>
      <c r="AB121" s="100">
        <f t="shared" si="118"/>
        <v>0</v>
      </c>
      <c r="AC121" s="100">
        <f t="shared" si="119"/>
        <v>0</v>
      </c>
      <c r="AD121" s="100">
        <f t="shared" si="120"/>
        <v>0</v>
      </c>
      <c r="AE121" s="100">
        <f t="shared" si="121"/>
        <v>0</v>
      </c>
      <c r="AF121" s="100">
        <f t="shared" si="122"/>
        <v>0</v>
      </c>
      <c r="AG121" s="100">
        <f t="shared" si="123"/>
        <v>0</v>
      </c>
      <c r="AH121" s="100">
        <f t="shared" si="124"/>
        <v>0</v>
      </c>
      <c r="AI121" s="109"/>
      <c r="AJ121" s="108">
        <f t="shared" si="125"/>
        <v>0</v>
      </c>
      <c r="AK121" s="108">
        <f t="shared" si="126"/>
        <v>0</v>
      </c>
      <c r="AL121" s="108">
        <f t="shared" si="127"/>
        <v>0</v>
      </c>
      <c r="AN121" s="100">
        <v>15</v>
      </c>
      <c r="AO121" s="100">
        <f t="shared" si="128"/>
        <v>0</v>
      </c>
      <c r="AP121" s="100">
        <f t="shared" si="129"/>
        <v>0</v>
      </c>
      <c r="AQ121" s="111" t="s">
        <v>13</v>
      </c>
      <c r="AV121" s="100">
        <f t="shared" si="130"/>
        <v>0</v>
      </c>
      <c r="AW121" s="100">
        <f t="shared" si="131"/>
        <v>0</v>
      </c>
      <c r="AX121" s="100">
        <f t="shared" si="132"/>
        <v>0</v>
      </c>
      <c r="AY121" s="110" t="s">
        <v>1709</v>
      </c>
      <c r="AZ121" s="110" t="s">
        <v>1733</v>
      </c>
      <c r="BA121" s="109" t="s">
        <v>1737</v>
      </c>
      <c r="BC121" s="100">
        <f t="shared" si="133"/>
        <v>0</v>
      </c>
      <c r="BD121" s="100">
        <f t="shared" si="134"/>
        <v>0</v>
      </c>
      <c r="BE121" s="100">
        <v>0</v>
      </c>
      <c r="BF121" s="100">
        <f>121</f>
        <v>121</v>
      </c>
      <c r="BH121" s="108">
        <f t="shared" si="135"/>
        <v>0</v>
      </c>
      <c r="BI121" s="108">
        <f t="shared" si="136"/>
        <v>0</v>
      </c>
      <c r="BJ121" s="108">
        <f t="shared" si="137"/>
        <v>0</v>
      </c>
    </row>
    <row r="122" spans="1:62" x14ac:dyDescent="0.2">
      <c r="A122" s="117" t="s">
        <v>102</v>
      </c>
      <c r="B122" s="117" t="s">
        <v>4560</v>
      </c>
      <c r="C122" s="304" t="s">
        <v>1337</v>
      </c>
      <c r="D122" s="305"/>
      <c r="E122" s="305"/>
      <c r="F122" s="117" t="s">
        <v>1644</v>
      </c>
      <c r="G122" s="116">
        <v>1</v>
      </c>
      <c r="H122" s="159"/>
      <c r="I122" s="108">
        <f t="shared" si="114"/>
        <v>0</v>
      </c>
      <c r="J122" s="108">
        <f t="shared" si="115"/>
        <v>0</v>
      </c>
      <c r="K122" s="108">
        <f t="shared" si="116"/>
        <v>0</v>
      </c>
      <c r="L122" s="111"/>
      <c r="Z122" s="100">
        <f t="shared" si="117"/>
        <v>0</v>
      </c>
      <c r="AB122" s="100">
        <f t="shared" si="118"/>
        <v>0</v>
      </c>
      <c r="AC122" s="100">
        <f t="shared" si="119"/>
        <v>0</v>
      </c>
      <c r="AD122" s="100">
        <f t="shared" si="120"/>
        <v>0</v>
      </c>
      <c r="AE122" s="100">
        <f t="shared" si="121"/>
        <v>0</v>
      </c>
      <c r="AF122" s="100">
        <f t="shared" si="122"/>
        <v>0</v>
      </c>
      <c r="AG122" s="100">
        <f t="shared" si="123"/>
        <v>0</v>
      </c>
      <c r="AH122" s="100">
        <f t="shared" si="124"/>
        <v>0</v>
      </c>
      <c r="AI122" s="109"/>
      <c r="AJ122" s="108">
        <f t="shared" si="125"/>
        <v>0</v>
      </c>
      <c r="AK122" s="108">
        <f t="shared" si="126"/>
        <v>0</v>
      </c>
      <c r="AL122" s="108">
        <f t="shared" si="127"/>
        <v>0</v>
      </c>
      <c r="AN122" s="100">
        <v>15</v>
      </c>
      <c r="AO122" s="100">
        <f t="shared" si="128"/>
        <v>0</v>
      </c>
      <c r="AP122" s="100">
        <f t="shared" si="129"/>
        <v>0</v>
      </c>
      <c r="AQ122" s="111" t="s">
        <v>13</v>
      </c>
      <c r="AV122" s="100">
        <f t="shared" si="130"/>
        <v>0</v>
      </c>
      <c r="AW122" s="100">
        <f t="shared" si="131"/>
        <v>0</v>
      </c>
      <c r="AX122" s="100">
        <f t="shared" si="132"/>
        <v>0</v>
      </c>
      <c r="AY122" s="110" t="s">
        <v>1709</v>
      </c>
      <c r="AZ122" s="110" t="s">
        <v>1733</v>
      </c>
      <c r="BA122" s="109" t="s">
        <v>1737</v>
      </c>
      <c r="BC122" s="100">
        <f t="shared" si="133"/>
        <v>0</v>
      </c>
      <c r="BD122" s="100">
        <f t="shared" si="134"/>
        <v>0</v>
      </c>
      <c r="BE122" s="100">
        <v>0</v>
      </c>
      <c r="BF122" s="100">
        <f>122</f>
        <v>122</v>
      </c>
      <c r="BH122" s="108">
        <f t="shared" si="135"/>
        <v>0</v>
      </c>
      <c r="BI122" s="108">
        <f t="shared" si="136"/>
        <v>0</v>
      </c>
      <c r="BJ122" s="108">
        <f t="shared" si="137"/>
        <v>0</v>
      </c>
    </row>
    <row r="123" spans="1:62" x14ac:dyDescent="0.2">
      <c r="A123" s="117" t="s">
        <v>103</v>
      </c>
      <c r="B123" s="117" t="s">
        <v>4559</v>
      </c>
      <c r="C123" s="304" t="s">
        <v>1338</v>
      </c>
      <c r="D123" s="305"/>
      <c r="E123" s="305"/>
      <c r="F123" s="117" t="s">
        <v>1644</v>
      </c>
      <c r="G123" s="116">
        <v>1</v>
      </c>
      <c r="H123" s="159"/>
      <c r="I123" s="108">
        <f t="shared" si="114"/>
        <v>0</v>
      </c>
      <c r="J123" s="108">
        <f t="shared" si="115"/>
        <v>0</v>
      </c>
      <c r="K123" s="108">
        <f t="shared" si="116"/>
        <v>0</v>
      </c>
      <c r="L123" s="111"/>
      <c r="Z123" s="100">
        <f t="shared" si="117"/>
        <v>0</v>
      </c>
      <c r="AB123" s="100">
        <f t="shared" si="118"/>
        <v>0</v>
      </c>
      <c r="AC123" s="100">
        <f t="shared" si="119"/>
        <v>0</v>
      </c>
      <c r="AD123" s="100">
        <f t="shared" si="120"/>
        <v>0</v>
      </c>
      <c r="AE123" s="100">
        <f t="shared" si="121"/>
        <v>0</v>
      </c>
      <c r="AF123" s="100">
        <f t="shared" si="122"/>
        <v>0</v>
      </c>
      <c r="AG123" s="100">
        <f t="shared" si="123"/>
        <v>0</v>
      </c>
      <c r="AH123" s="100">
        <f t="shared" si="124"/>
        <v>0</v>
      </c>
      <c r="AI123" s="109"/>
      <c r="AJ123" s="108">
        <f t="shared" si="125"/>
        <v>0</v>
      </c>
      <c r="AK123" s="108">
        <f t="shared" si="126"/>
        <v>0</v>
      </c>
      <c r="AL123" s="108">
        <f t="shared" si="127"/>
        <v>0</v>
      </c>
      <c r="AN123" s="100">
        <v>15</v>
      </c>
      <c r="AO123" s="100">
        <f t="shared" si="128"/>
        <v>0</v>
      </c>
      <c r="AP123" s="100">
        <f t="shared" si="129"/>
        <v>0</v>
      </c>
      <c r="AQ123" s="111" t="s">
        <v>13</v>
      </c>
      <c r="AV123" s="100">
        <f t="shared" si="130"/>
        <v>0</v>
      </c>
      <c r="AW123" s="100">
        <f t="shared" si="131"/>
        <v>0</v>
      </c>
      <c r="AX123" s="100">
        <f t="shared" si="132"/>
        <v>0</v>
      </c>
      <c r="AY123" s="110" t="s">
        <v>1709</v>
      </c>
      <c r="AZ123" s="110" t="s">
        <v>1733</v>
      </c>
      <c r="BA123" s="109" t="s">
        <v>1737</v>
      </c>
      <c r="BC123" s="100">
        <f t="shared" si="133"/>
        <v>0</v>
      </c>
      <c r="BD123" s="100">
        <f t="shared" si="134"/>
        <v>0</v>
      </c>
      <c r="BE123" s="100">
        <v>0</v>
      </c>
      <c r="BF123" s="100">
        <f>123</f>
        <v>123</v>
      </c>
      <c r="BH123" s="108">
        <f t="shared" si="135"/>
        <v>0</v>
      </c>
      <c r="BI123" s="108">
        <f t="shared" si="136"/>
        <v>0</v>
      </c>
      <c r="BJ123" s="108">
        <f t="shared" si="137"/>
        <v>0</v>
      </c>
    </row>
    <row r="124" spans="1:62" x14ac:dyDescent="0.2">
      <c r="A124" s="117" t="s">
        <v>104</v>
      </c>
      <c r="B124" s="117" t="s">
        <v>4558</v>
      </c>
      <c r="C124" s="304" t="s">
        <v>1339</v>
      </c>
      <c r="D124" s="305"/>
      <c r="E124" s="305"/>
      <c r="F124" s="117" t="s">
        <v>1644</v>
      </c>
      <c r="G124" s="116">
        <v>1</v>
      </c>
      <c r="H124" s="159"/>
      <c r="I124" s="108">
        <f t="shared" si="114"/>
        <v>0</v>
      </c>
      <c r="J124" s="108">
        <f t="shared" si="115"/>
        <v>0</v>
      </c>
      <c r="K124" s="108">
        <f t="shared" si="116"/>
        <v>0</v>
      </c>
      <c r="L124" s="111"/>
      <c r="Z124" s="100">
        <f t="shared" si="117"/>
        <v>0</v>
      </c>
      <c r="AB124" s="100">
        <f t="shared" si="118"/>
        <v>0</v>
      </c>
      <c r="AC124" s="100">
        <f t="shared" si="119"/>
        <v>0</v>
      </c>
      <c r="AD124" s="100">
        <f t="shared" si="120"/>
        <v>0</v>
      </c>
      <c r="AE124" s="100">
        <f t="shared" si="121"/>
        <v>0</v>
      </c>
      <c r="AF124" s="100">
        <f t="shared" si="122"/>
        <v>0</v>
      </c>
      <c r="AG124" s="100">
        <f t="shared" si="123"/>
        <v>0</v>
      </c>
      <c r="AH124" s="100">
        <f t="shared" si="124"/>
        <v>0</v>
      </c>
      <c r="AI124" s="109"/>
      <c r="AJ124" s="108">
        <f t="shared" si="125"/>
        <v>0</v>
      </c>
      <c r="AK124" s="108">
        <f t="shared" si="126"/>
        <v>0</v>
      </c>
      <c r="AL124" s="108">
        <f t="shared" si="127"/>
        <v>0</v>
      </c>
      <c r="AN124" s="100">
        <v>15</v>
      </c>
      <c r="AO124" s="100">
        <f t="shared" si="128"/>
        <v>0</v>
      </c>
      <c r="AP124" s="100">
        <f t="shared" si="129"/>
        <v>0</v>
      </c>
      <c r="AQ124" s="111" t="s">
        <v>13</v>
      </c>
      <c r="AV124" s="100">
        <f t="shared" si="130"/>
        <v>0</v>
      </c>
      <c r="AW124" s="100">
        <f t="shared" si="131"/>
        <v>0</v>
      </c>
      <c r="AX124" s="100">
        <f t="shared" si="132"/>
        <v>0</v>
      </c>
      <c r="AY124" s="110" t="s">
        <v>1709</v>
      </c>
      <c r="AZ124" s="110" t="s">
        <v>1733</v>
      </c>
      <c r="BA124" s="109" t="s">
        <v>1737</v>
      </c>
      <c r="BC124" s="100">
        <f t="shared" si="133"/>
        <v>0</v>
      </c>
      <c r="BD124" s="100">
        <f t="shared" si="134"/>
        <v>0</v>
      </c>
      <c r="BE124" s="100">
        <v>0</v>
      </c>
      <c r="BF124" s="100">
        <f>124</f>
        <v>124</v>
      </c>
      <c r="BH124" s="108">
        <f t="shared" si="135"/>
        <v>0</v>
      </c>
      <c r="BI124" s="108">
        <f t="shared" si="136"/>
        <v>0</v>
      </c>
      <c r="BJ124" s="108">
        <f t="shared" si="137"/>
        <v>0</v>
      </c>
    </row>
    <row r="125" spans="1:62" x14ac:dyDescent="0.2">
      <c r="A125" s="117" t="s">
        <v>105</v>
      </c>
      <c r="B125" s="117" t="s">
        <v>4557</v>
      </c>
      <c r="C125" s="304" t="s">
        <v>1340</v>
      </c>
      <c r="D125" s="305"/>
      <c r="E125" s="305"/>
      <c r="F125" s="117" t="s">
        <v>1644</v>
      </c>
      <c r="G125" s="116">
        <v>2</v>
      </c>
      <c r="H125" s="159"/>
      <c r="I125" s="108">
        <f t="shared" si="114"/>
        <v>0</v>
      </c>
      <c r="J125" s="108">
        <f t="shared" si="115"/>
        <v>0</v>
      </c>
      <c r="K125" s="108">
        <f t="shared" si="116"/>
        <v>0</v>
      </c>
      <c r="L125" s="111"/>
      <c r="Z125" s="100">
        <f t="shared" si="117"/>
        <v>0</v>
      </c>
      <c r="AB125" s="100">
        <f t="shared" si="118"/>
        <v>0</v>
      </c>
      <c r="AC125" s="100">
        <f t="shared" si="119"/>
        <v>0</v>
      </c>
      <c r="AD125" s="100">
        <f t="shared" si="120"/>
        <v>0</v>
      </c>
      <c r="AE125" s="100">
        <f t="shared" si="121"/>
        <v>0</v>
      </c>
      <c r="AF125" s="100">
        <f t="shared" si="122"/>
        <v>0</v>
      </c>
      <c r="AG125" s="100">
        <f t="shared" si="123"/>
        <v>0</v>
      </c>
      <c r="AH125" s="100">
        <f t="shared" si="124"/>
        <v>0</v>
      </c>
      <c r="AI125" s="109"/>
      <c r="AJ125" s="108">
        <f t="shared" si="125"/>
        <v>0</v>
      </c>
      <c r="AK125" s="108">
        <f t="shared" si="126"/>
        <v>0</v>
      </c>
      <c r="AL125" s="108">
        <f t="shared" si="127"/>
        <v>0</v>
      </c>
      <c r="AN125" s="100">
        <v>15</v>
      </c>
      <c r="AO125" s="100">
        <f t="shared" si="128"/>
        <v>0</v>
      </c>
      <c r="AP125" s="100">
        <f t="shared" si="129"/>
        <v>0</v>
      </c>
      <c r="AQ125" s="111" t="s">
        <v>13</v>
      </c>
      <c r="AV125" s="100">
        <f t="shared" si="130"/>
        <v>0</v>
      </c>
      <c r="AW125" s="100">
        <f t="shared" si="131"/>
        <v>0</v>
      </c>
      <c r="AX125" s="100">
        <f t="shared" si="132"/>
        <v>0</v>
      </c>
      <c r="AY125" s="110" t="s">
        <v>1709</v>
      </c>
      <c r="AZ125" s="110" t="s">
        <v>1733</v>
      </c>
      <c r="BA125" s="109" t="s">
        <v>1737</v>
      </c>
      <c r="BC125" s="100">
        <f t="shared" si="133"/>
        <v>0</v>
      </c>
      <c r="BD125" s="100">
        <f t="shared" si="134"/>
        <v>0</v>
      </c>
      <c r="BE125" s="100">
        <v>0</v>
      </c>
      <c r="BF125" s="100">
        <f>125</f>
        <v>125</v>
      </c>
      <c r="BH125" s="108">
        <f t="shared" si="135"/>
        <v>0</v>
      </c>
      <c r="BI125" s="108">
        <f t="shared" si="136"/>
        <v>0</v>
      </c>
      <c r="BJ125" s="108">
        <f t="shared" si="137"/>
        <v>0</v>
      </c>
    </row>
    <row r="126" spans="1:62" x14ac:dyDescent="0.2">
      <c r="A126" s="117" t="s">
        <v>106</v>
      </c>
      <c r="B126" s="117" t="s">
        <v>4556</v>
      </c>
      <c r="C126" s="304" t="s">
        <v>1341</v>
      </c>
      <c r="D126" s="305"/>
      <c r="E126" s="305"/>
      <c r="F126" s="117" t="s">
        <v>1644</v>
      </c>
      <c r="G126" s="116">
        <v>1</v>
      </c>
      <c r="H126" s="159"/>
      <c r="I126" s="108">
        <f t="shared" si="114"/>
        <v>0</v>
      </c>
      <c r="J126" s="108">
        <f t="shared" si="115"/>
        <v>0</v>
      </c>
      <c r="K126" s="108">
        <f t="shared" si="116"/>
        <v>0</v>
      </c>
      <c r="L126" s="111"/>
      <c r="Z126" s="100">
        <f t="shared" si="117"/>
        <v>0</v>
      </c>
      <c r="AB126" s="100">
        <f t="shared" si="118"/>
        <v>0</v>
      </c>
      <c r="AC126" s="100">
        <f t="shared" si="119"/>
        <v>0</v>
      </c>
      <c r="AD126" s="100">
        <f t="shared" si="120"/>
        <v>0</v>
      </c>
      <c r="AE126" s="100">
        <f t="shared" si="121"/>
        <v>0</v>
      </c>
      <c r="AF126" s="100">
        <f t="shared" si="122"/>
        <v>0</v>
      </c>
      <c r="AG126" s="100">
        <f t="shared" si="123"/>
        <v>0</v>
      </c>
      <c r="AH126" s="100">
        <f t="shared" si="124"/>
        <v>0</v>
      </c>
      <c r="AI126" s="109"/>
      <c r="AJ126" s="108">
        <f t="shared" si="125"/>
        <v>0</v>
      </c>
      <c r="AK126" s="108">
        <f t="shared" si="126"/>
        <v>0</v>
      </c>
      <c r="AL126" s="108">
        <f t="shared" si="127"/>
        <v>0</v>
      </c>
      <c r="AN126" s="100">
        <v>15</v>
      </c>
      <c r="AO126" s="100">
        <f t="shared" si="128"/>
        <v>0</v>
      </c>
      <c r="AP126" s="100">
        <f t="shared" si="129"/>
        <v>0</v>
      </c>
      <c r="AQ126" s="111" t="s">
        <v>13</v>
      </c>
      <c r="AV126" s="100">
        <f t="shared" si="130"/>
        <v>0</v>
      </c>
      <c r="AW126" s="100">
        <f t="shared" si="131"/>
        <v>0</v>
      </c>
      <c r="AX126" s="100">
        <f t="shared" si="132"/>
        <v>0</v>
      </c>
      <c r="AY126" s="110" t="s">
        <v>1709</v>
      </c>
      <c r="AZ126" s="110" t="s">
        <v>1733</v>
      </c>
      <c r="BA126" s="109" t="s">
        <v>1737</v>
      </c>
      <c r="BC126" s="100">
        <f t="shared" si="133"/>
        <v>0</v>
      </c>
      <c r="BD126" s="100">
        <f t="shared" si="134"/>
        <v>0</v>
      </c>
      <c r="BE126" s="100">
        <v>0</v>
      </c>
      <c r="BF126" s="100">
        <f>126</f>
        <v>126</v>
      </c>
      <c r="BH126" s="108">
        <f t="shared" si="135"/>
        <v>0</v>
      </c>
      <c r="BI126" s="108">
        <f t="shared" si="136"/>
        <v>0</v>
      </c>
      <c r="BJ126" s="108">
        <f t="shared" si="137"/>
        <v>0</v>
      </c>
    </row>
    <row r="127" spans="1:62" x14ac:dyDescent="0.2">
      <c r="A127" s="117" t="s">
        <v>107</v>
      </c>
      <c r="B127" s="117" t="s">
        <v>4555</v>
      </c>
      <c r="C127" s="304" t="s">
        <v>1342</v>
      </c>
      <c r="D127" s="305"/>
      <c r="E127" s="305"/>
      <c r="F127" s="117" t="s">
        <v>1646</v>
      </c>
      <c r="G127" s="116">
        <v>5</v>
      </c>
      <c r="H127" s="159"/>
      <c r="I127" s="108">
        <f t="shared" si="114"/>
        <v>0</v>
      </c>
      <c r="J127" s="108">
        <f t="shared" si="115"/>
        <v>0</v>
      </c>
      <c r="K127" s="108">
        <f t="shared" si="116"/>
        <v>0</v>
      </c>
      <c r="L127" s="111"/>
      <c r="Z127" s="100">
        <f t="shared" si="117"/>
        <v>0</v>
      </c>
      <c r="AB127" s="100">
        <f t="shared" si="118"/>
        <v>0</v>
      </c>
      <c r="AC127" s="100">
        <f t="shared" si="119"/>
        <v>0</v>
      </c>
      <c r="AD127" s="100">
        <f t="shared" si="120"/>
        <v>0</v>
      </c>
      <c r="AE127" s="100">
        <f t="shared" si="121"/>
        <v>0</v>
      </c>
      <c r="AF127" s="100">
        <f t="shared" si="122"/>
        <v>0</v>
      </c>
      <c r="AG127" s="100">
        <f t="shared" si="123"/>
        <v>0</v>
      </c>
      <c r="AH127" s="100">
        <f t="shared" si="124"/>
        <v>0</v>
      </c>
      <c r="AI127" s="109"/>
      <c r="AJ127" s="108">
        <f t="shared" si="125"/>
        <v>0</v>
      </c>
      <c r="AK127" s="108">
        <f t="shared" si="126"/>
        <v>0</v>
      </c>
      <c r="AL127" s="108">
        <f t="shared" si="127"/>
        <v>0</v>
      </c>
      <c r="AN127" s="100">
        <v>15</v>
      </c>
      <c r="AO127" s="100">
        <f t="shared" si="128"/>
        <v>0</v>
      </c>
      <c r="AP127" s="100">
        <f t="shared" si="129"/>
        <v>0</v>
      </c>
      <c r="AQ127" s="111" t="s">
        <v>13</v>
      </c>
      <c r="AV127" s="100">
        <f t="shared" si="130"/>
        <v>0</v>
      </c>
      <c r="AW127" s="100">
        <f t="shared" si="131"/>
        <v>0</v>
      </c>
      <c r="AX127" s="100">
        <f t="shared" si="132"/>
        <v>0</v>
      </c>
      <c r="AY127" s="110" t="s">
        <v>1709</v>
      </c>
      <c r="AZ127" s="110" t="s">
        <v>1733</v>
      </c>
      <c r="BA127" s="109" t="s">
        <v>1737</v>
      </c>
      <c r="BC127" s="100">
        <f t="shared" si="133"/>
        <v>0</v>
      </c>
      <c r="BD127" s="100">
        <f t="shared" si="134"/>
        <v>0</v>
      </c>
      <c r="BE127" s="100">
        <v>0</v>
      </c>
      <c r="BF127" s="100">
        <f>127</f>
        <v>127</v>
      </c>
      <c r="BH127" s="108">
        <f t="shared" si="135"/>
        <v>0</v>
      </c>
      <c r="BI127" s="108">
        <f t="shared" si="136"/>
        <v>0</v>
      </c>
      <c r="BJ127" s="108">
        <f t="shared" si="137"/>
        <v>0</v>
      </c>
    </row>
    <row r="128" spans="1:62" x14ac:dyDescent="0.2">
      <c r="A128" s="117" t="s">
        <v>108</v>
      </c>
      <c r="B128" s="117" t="s">
        <v>4554</v>
      </c>
      <c r="C128" s="304" t="s">
        <v>1343</v>
      </c>
      <c r="D128" s="305"/>
      <c r="E128" s="305"/>
      <c r="F128" s="117" t="s">
        <v>1646</v>
      </c>
      <c r="G128" s="116">
        <v>9</v>
      </c>
      <c r="H128" s="159"/>
      <c r="I128" s="108">
        <f t="shared" si="114"/>
        <v>0</v>
      </c>
      <c r="J128" s="108">
        <f t="shared" si="115"/>
        <v>0</v>
      </c>
      <c r="K128" s="108">
        <f t="shared" si="116"/>
        <v>0</v>
      </c>
      <c r="L128" s="111"/>
      <c r="Z128" s="100">
        <f t="shared" si="117"/>
        <v>0</v>
      </c>
      <c r="AB128" s="100">
        <f t="shared" si="118"/>
        <v>0</v>
      </c>
      <c r="AC128" s="100">
        <f t="shared" si="119"/>
        <v>0</v>
      </c>
      <c r="AD128" s="100">
        <f t="shared" si="120"/>
        <v>0</v>
      </c>
      <c r="AE128" s="100">
        <f t="shared" si="121"/>
        <v>0</v>
      </c>
      <c r="AF128" s="100">
        <f t="shared" si="122"/>
        <v>0</v>
      </c>
      <c r="AG128" s="100">
        <f t="shared" si="123"/>
        <v>0</v>
      </c>
      <c r="AH128" s="100">
        <f t="shared" si="124"/>
        <v>0</v>
      </c>
      <c r="AI128" s="109"/>
      <c r="AJ128" s="108">
        <f t="shared" si="125"/>
        <v>0</v>
      </c>
      <c r="AK128" s="108">
        <f t="shared" si="126"/>
        <v>0</v>
      </c>
      <c r="AL128" s="108">
        <f t="shared" si="127"/>
        <v>0</v>
      </c>
      <c r="AN128" s="100">
        <v>15</v>
      </c>
      <c r="AO128" s="100">
        <f t="shared" si="128"/>
        <v>0</v>
      </c>
      <c r="AP128" s="100">
        <f t="shared" si="129"/>
        <v>0</v>
      </c>
      <c r="AQ128" s="111" t="s">
        <v>13</v>
      </c>
      <c r="AV128" s="100">
        <f t="shared" si="130"/>
        <v>0</v>
      </c>
      <c r="AW128" s="100">
        <f t="shared" si="131"/>
        <v>0</v>
      </c>
      <c r="AX128" s="100">
        <f t="shared" si="132"/>
        <v>0</v>
      </c>
      <c r="AY128" s="110" t="s">
        <v>1709</v>
      </c>
      <c r="AZ128" s="110" t="s">
        <v>1733</v>
      </c>
      <c r="BA128" s="109" t="s">
        <v>1737</v>
      </c>
      <c r="BC128" s="100">
        <f t="shared" si="133"/>
        <v>0</v>
      </c>
      <c r="BD128" s="100">
        <f t="shared" si="134"/>
        <v>0</v>
      </c>
      <c r="BE128" s="100">
        <v>0</v>
      </c>
      <c r="BF128" s="100">
        <f>128</f>
        <v>128</v>
      </c>
      <c r="BH128" s="108">
        <f t="shared" si="135"/>
        <v>0</v>
      </c>
      <c r="BI128" s="108">
        <f t="shared" si="136"/>
        <v>0</v>
      </c>
      <c r="BJ128" s="108">
        <f t="shared" si="137"/>
        <v>0</v>
      </c>
    </row>
    <row r="129" spans="1:62" x14ac:dyDescent="0.2">
      <c r="A129" s="117" t="s">
        <v>109</v>
      </c>
      <c r="B129" s="117" t="s">
        <v>4553</v>
      </c>
      <c r="C129" s="304" t="s">
        <v>1344</v>
      </c>
      <c r="D129" s="305"/>
      <c r="E129" s="305"/>
      <c r="F129" s="117" t="s">
        <v>1646</v>
      </c>
      <c r="G129" s="116">
        <v>6</v>
      </c>
      <c r="H129" s="159"/>
      <c r="I129" s="108">
        <f t="shared" si="114"/>
        <v>0</v>
      </c>
      <c r="J129" s="108">
        <f t="shared" si="115"/>
        <v>0</v>
      </c>
      <c r="K129" s="108">
        <f t="shared" si="116"/>
        <v>0</v>
      </c>
      <c r="L129" s="111"/>
      <c r="Z129" s="100">
        <f t="shared" si="117"/>
        <v>0</v>
      </c>
      <c r="AB129" s="100">
        <f t="shared" si="118"/>
        <v>0</v>
      </c>
      <c r="AC129" s="100">
        <f t="shared" si="119"/>
        <v>0</v>
      </c>
      <c r="AD129" s="100">
        <f t="shared" si="120"/>
        <v>0</v>
      </c>
      <c r="AE129" s="100">
        <f t="shared" si="121"/>
        <v>0</v>
      </c>
      <c r="AF129" s="100">
        <f t="shared" si="122"/>
        <v>0</v>
      </c>
      <c r="AG129" s="100">
        <f t="shared" si="123"/>
        <v>0</v>
      </c>
      <c r="AH129" s="100">
        <f t="shared" si="124"/>
        <v>0</v>
      </c>
      <c r="AI129" s="109"/>
      <c r="AJ129" s="108">
        <f t="shared" si="125"/>
        <v>0</v>
      </c>
      <c r="AK129" s="108">
        <f t="shared" si="126"/>
        <v>0</v>
      </c>
      <c r="AL129" s="108">
        <f t="shared" si="127"/>
        <v>0</v>
      </c>
      <c r="AN129" s="100">
        <v>15</v>
      </c>
      <c r="AO129" s="100">
        <f t="shared" si="128"/>
        <v>0</v>
      </c>
      <c r="AP129" s="100">
        <f t="shared" si="129"/>
        <v>0</v>
      </c>
      <c r="AQ129" s="111" t="s">
        <v>13</v>
      </c>
      <c r="AV129" s="100">
        <f t="shared" si="130"/>
        <v>0</v>
      </c>
      <c r="AW129" s="100">
        <f t="shared" si="131"/>
        <v>0</v>
      </c>
      <c r="AX129" s="100">
        <f t="shared" si="132"/>
        <v>0</v>
      </c>
      <c r="AY129" s="110" t="s">
        <v>1709</v>
      </c>
      <c r="AZ129" s="110" t="s">
        <v>1733</v>
      </c>
      <c r="BA129" s="109" t="s">
        <v>1737</v>
      </c>
      <c r="BC129" s="100">
        <f t="shared" si="133"/>
        <v>0</v>
      </c>
      <c r="BD129" s="100">
        <f t="shared" si="134"/>
        <v>0</v>
      </c>
      <c r="BE129" s="100">
        <v>0</v>
      </c>
      <c r="BF129" s="100">
        <f>129</f>
        <v>129</v>
      </c>
      <c r="BH129" s="108">
        <f t="shared" si="135"/>
        <v>0</v>
      </c>
      <c r="BI129" s="108">
        <f t="shared" si="136"/>
        <v>0</v>
      </c>
      <c r="BJ129" s="108">
        <f t="shared" si="137"/>
        <v>0</v>
      </c>
    </row>
    <row r="130" spans="1:62" x14ac:dyDescent="0.2">
      <c r="A130" s="117" t="s">
        <v>110</v>
      </c>
      <c r="B130" s="117" t="s">
        <v>4552</v>
      </c>
      <c r="C130" s="304" t="s">
        <v>1345</v>
      </c>
      <c r="D130" s="305"/>
      <c r="E130" s="305"/>
      <c r="F130" s="117" t="s">
        <v>1646</v>
      </c>
      <c r="G130" s="116">
        <v>20</v>
      </c>
      <c r="H130" s="159"/>
      <c r="I130" s="108">
        <f t="shared" si="114"/>
        <v>0</v>
      </c>
      <c r="J130" s="108">
        <f t="shared" si="115"/>
        <v>0</v>
      </c>
      <c r="K130" s="108">
        <f t="shared" si="116"/>
        <v>0</v>
      </c>
      <c r="L130" s="111"/>
      <c r="Z130" s="100">
        <f t="shared" si="117"/>
        <v>0</v>
      </c>
      <c r="AB130" s="100">
        <f t="shared" si="118"/>
        <v>0</v>
      </c>
      <c r="AC130" s="100">
        <f t="shared" si="119"/>
        <v>0</v>
      </c>
      <c r="AD130" s="100">
        <f t="shared" si="120"/>
        <v>0</v>
      </c>
      <c r="AE130" s="100">
        <f t="shared" si="121"/>
        <v>0</v>
      </c>
      <c r="AF130" s="100">
        <f t="shared" si="122"/>
        <v>0</v>
      </c>
      <c r="AG130" s="100">
        <f t="shared" si="123"/>
        <v>0</v>
      </c>
      <c r="AH130" s="100">
        <f t="shared" si="124"/>
        <v>0</v>
      </c>
      <c r="AI130" s="109"/>
      <c r="AJ130" s="108">
        <f t="shared" si="125"/>
        <v>0</v>
      </c>
      <c r="AK130" s="108">
        <f t="shared" si="126"/>
        <v>0</v>
      </c>
      <c r="AL130" s="108">
        <f t="shared" si="127"/>
        <v>0</v>
      </c>
      <c r="AN130" s="100">
        <v>15</v>
      </c>
      <c r="AO130" s="100">
        <f t="shared" si="128"/>
        <v>0</v>
      </c>
      <c r="AP130" s="100">
        <f t="shared" si="129"/>
        <v>0</v>
      </c>
      <c r="AQ130" s="111" t="s">
        <v>13</v>
      </c>
      <c r="AV130" s="100">
        <f t="shared" si="130"/>
        <v>0</v>
      </c>
      <c r="AW130" s="100">
        <f t="shared" si="131"/>
        <v>0</v>
      </c>
      <c r="AX130" s="100">
        <f t="shared" si="132"/>
        <v>0</v>
      </c>
      <c r="AY130" s="110" t="s">
        <v>1709</v>
      </c>
      <c r="AZ130" s="110" t="s">
        <v>1733</v>
      </c>
      <c r="BA130" s="109" t="s">
        <v>1737</v>
      </c>
      <c r="BC130" s="100">
        <f t="shared" si="133"/>
        <v>0</v>
      </c>
      <c r="BD130" s="100">
        <f t="shared" si="134"/>
        <v>0</v>
      </c>
      <c r="BE130" s="100">
        <v>0</v>
      </c>
      <c r="BF130" s="100">
        <f>130</f>
        <v>130</v>
      </c>
      <c r="BH130" s="108">
        <f t="shared" si="135"/>
        <v>0</v>
      </c>
      <c r="BI130" s="108">
        <f t="shared" si="136"/>
        <v>0</v>
      </c>
      <c r="BJ130" s="108">
        <f t="shared" si="137"/>
        <v>0</v>
      </c>
    </row>
    <row r="131" spans="1:62" x14ac:dyDescent="0.2">
      <c r="A131" s="117" t="s">
        <v>111</v>
      </c>
      <c r="B131" s="117" t="s">
        <v>4551</v>
      </c>
      <c r="C131" s="304" t="s">
        <v>1346</v>
      </c>
      <c r="D131" s="305"/>
      <c r="E131" s="305"/>
      <c r="F131" s="117" t="s">
        <v>1644</v>
      </c>
      <c r="G131" s="116">
        <v>1</v>
      </c>
      <c r="H131" s="159"/>
      <c r="I131" s="108">
        <f t="shared" si="114"/>
        <v>0</v>
      </c>
      <c r="J131" s="108">
        <f t="shared" si="115"/>
        <v>0</v>
      </c>
      <c r="K131" s="108">
        <f t="shared" si="116"/>
        <v>0</v>
      </c>
      <c r="L131" s="111"/>
      <c r="Z131" s="100">
        <f t="shared" si="117"/>
        <v>0</v>
      </c>
      <c r="AB131" s="100">
        <f t="shared" si="118"/>
        <v>0</v>
      </c>
      <c r="AC131" s="100">
        <f t="shared" si="119"/>
        <v>0</v>
      </c>
      <c r="AD131" s="100">
        <f t="shared" si="120"/>
        <v>0</v>
      </c>
      <c r="AE131" s="100">
        <f t="shared" si="121"/>
        <v>0</v>
      </c>
      <c r="AF131" s="100">
        <f t="shared" si="122"/>
        <v>0</v>
      </c>
      <c r="AG131" s="100">
        <f t="shared" si="123"/>
        <v>0</v>
      </c>
      <c r="AH131" s="100">
        <f t="shared" si="124"/>
        <v>0</v>
      </c>
      <c r="AI131" s="109"/>
      <c r="AJ131" s="108">
        <f t="shared" si="125"/>
        <v>0</v>
      </c>
      <c r="AK131" s="108">
        <f t="shared" si="126"/>
        <v>0</v>
      </c>
      <c r="AL131" s="108">
        <f t="shared" si="127"/>
        <v>0</v>
      </c>
      <c r="AN131" s="100">
        <v>15</v>
      </c>
      <c r="AO131" s="100">
        <f t="shared" si="128"/>
        <v>0</v>
      </c>
      <c r="AP131" s="100">
        <f t="shared" si="129"/>
        <v>0</v>
      </c>
      <c r="AQ131" s="111" t="s">
        <v>13</v>
      </c>
      <c r="AV131" s="100">
        <f t="shared" si="130"/>
        <v>0</v>
      </c>
      <c r="AW131" s="100">
        <f t="shared" si="131"/>
        <v>0</v>
      </c>
      <c r="AX131" s="100">
        <f t="shared" si="132"/>
        <v>0</v>
      </c>
      <c r="AY131" s="110" t="s">
        <v>1709</v>
      </c>
      <c r="AZ131" s="110" t="s">
        <v>1733</v>
      </c>
      <c r="BA131" s="109" t="s">
        <v>1737</v>
      </c>
      <c r="BC131" s="100">
        <f t="shared" si="133"/>
        <v>0</v>
      </c>
      <c r="BD131" s="100">
        <f t="shared" si="134"/>
        <v>0</v>
      </c>
      <c r="BE131" s="100">
        <v>0</v>
      </c>
      <c r="BF131" s="100">
        <f>131</f>
        <v>131</v>
      </c>
      <c r="BH131" s="108">
        <f t="shared" si="135"/>
        <v>0</v>
      </c>
      <c r="BI131" s="108">
        <f t="shared" si="136"/>
        <v>0</v>
      </c>
      <c r="BJ131" s="108">
        <f t="shared" si="137"/>
        <v>0</v>
      </c>
    </row>
    <row r="132" spans="1:62" x14ac:dyDescent="0.2">
      <c r="A132" s="117" t="s">
        <v>112</v>
      </c>
      <c r="B132" s="117" t="s">
        <v>4550</v>
      </c>
      <c r="C132" s="304" t="s">
        <v>1253</v>
      </c>
      <c r="D132" s="305"/>
      <c r="E132" s="305"/>
      <c r="F132" s="117" t="s">
        <v>1644</v>
      </c>
      <c r="G132" s="116">
        <v>1</v>
      </c>
      <c r="H132" s="159"/>
      <c r="I132" s="108">
        <f t="shared" si="114"/>
        <v>0</v>
      </c>
      <c r="J132" s="108">
        <f t="shared" si="115"/>
        <v>0</v>
      </c>
      <c r="K132" s="108">
        <f t="shared" si="116"/>
        <v>0</v>
      </c>
      <c r="L132" s="111"/>
      <c r="Z132" s="100">
        <f t="shared" si="117"/>
        <v>0</v>
      </c>
      <c r="AB132" s="100">
        <f t="shared" si="118"/>
        <v>0</v>
      </c>
      <c r="AC132" s="100">
        <f t="shared" si="119"/>
        <v>0</v>
      </c>
      <c r="AD132" s="100">
        <f t="shared" si="120"/>
        <v>0</v>
      </c>
      <c r="AE132" s="100">
        <f t="shared" si="121"/>
        <v>0</v>
      </c>
      <c r="AF132" s="100">
        <f t="shared" si="122"/>
        <v>0</v>
      </c>
      <c r="AG132" s="100">
        <f t="shared" si="123"/>
        <v>0</v>
      </c>
      <c r="AH132" s="100">
        <f t="shared" si="124"/>
        <v>0</v>
      </c>
      <c r="AI132" s="109"/>
      <c r="AJ132" s="108">
        <f t="shared" si="125"/>
        <v>0</v>
      </c>
      <c r="AK132" s="108">
        <f t="shared" si="126"/>
        <v>0</v>
      </c>
      <c r="AL132" s="108">
        <f t="shared" si="127"/>
        <v>0</v>
      </c>
      <c r="AN132" s="100">
        <v>15</v>
      </c>
      <c r="AO132" s="100">
        <f t="shared" si="128"/>
        <v>0</v>
      </c>
      <c r="AP132" s="100">
        <f t="shared" si="129"/>
        <v>0</v>
      </c>
      <c r="AQ132" s="111" t="s">
        <v>13</v>
      </c>
      <c r="AV132" s="100">
        <f t="shared" si="130"/>
        <v>0</v>
      </c>
      <c r="AW132" s="100">
        <f t="shared" si="131"/>
        <v>0</v>
      </c>
      <c r="AX132" s="100">
        <f t="shared" si="132"/>
        <v>0</v>
      </c>
      <c r="AY132" s="110" t="s">
        <v>1709</v>
      </c>
      <c r="AZ132" s="110" t="s">
        <v>1733</v>
      </c>
      <c r="BA132" s="109" t="s">
        <v>1737</v>
      </c>
      <c r="BC132" s="100">
        <f t="shared" si="133"/>
        <v>0</v>
      </c>
      <c r="BD132" s="100">
        <f t="shared" si="134"/>
        <v>0</v>
      </c>
      <c r="BE132" s="100">
        <v>0</v>
      </c>
      <c r="BF132" s="100">
        <f>132</f>
        <v>132</v>
      </c>
      <c r="BH132" s="108">
        <f t="shared" si="135"/>
        <v>0</v>
      </c>
      <c r="BI132" s="108">
        <f t="shared" si="136"/>
        <v>0</v>
      </c>
      <c r="BJ132" s="108">
        <f t="shared" si="137"/>
        <v>0</v>
      </c>
    </row>
    <row r="133" spans="1:62" x14ac:dyDescent="0.2">
      <c r="A133" s="117" t="s">
        <v>113</v>
      </c>
      <c r="B133" s="117" t="s">
        <v>4549</v>
      </c>
      <c r="C133" s="304" t="s">
        <v>1347</v>
      </c>
      <c r="D133" s="305"/>
      <c r="E133" s="305"/>
      <c r="F133" s="117" t="s">
        <v>1646</v>
      </c>
      <c r="G133" s="116">
        <v>13</v>
      </c>
      <c r="H133" s="159"/>
      <c r="I133" s="108">
        <f t="shared" si="114"/>
        <v>0</v>
      </c>
      <c r="J133" s="108">
        <f t="shared" si="115"/>
        <v>0</v>
      </c>
      <c r="K133" s="108">
        <f t="shared" si="116"/>
        <v>0</v>
      </c>
      <c r="L133" s="111"/>
      <c r="Z133" s="100">
        <f t="shared" si="117"/>
        <v>0</v>
      </c>
      <c r="AB133" s="100">
        <f t="shared" si="118"/>
        <v>0</v>
      </c>
      <c r="AC133" s="100">
        <f t="shared" si="119"/>
        <v>0</v>
      </c>
      <c r="AD133" s="100">
        <f t="shared" si="120"/>
        <v>0</v>
      </c>
      <c r="AE133" s="100">
        <f t="shared" si="121"/>
        <v>0</v>
      </c>
      <c r="AF133" s="100">
        <f t="shared" si="122"/>
        <v>0</v>
      </c>
      <c r="AG133" s="100">
        <f t="shared" si="123"/>
        <v>0</v>
      </c>
      <c r="AH133" s="100">
        <f t="shared" si="124"/>
        <v>0</v>
      </c>
      <c r="AI133" s="109"/>
      <c r="AJ133" s="108">
        <f t="shared" si="125"/>
        <v>0</v>
      </c>
      <c r="AK133" s="108">
        <f t="shared" si="126"/>
        <v>0</v>
      </c>
      <c r="AL133" s="108">
        <f t="shared" si="127"/>
        <v>0</v>
      </c>
      <c r="AN133" s="100">
        <v>15</v>
      </c>
      <c r="AO133" s="100">
        <f t="shared" si="128"/>
        <v>0</v>
      </c>
      <c r="AP133" s="100">
        <f t="shared" si="129"/>
        <v>0</v>
      </c>
      <c r="AQ133" s="111" t="s">
        <v>13</v>
      </c>
      <c r="AV133" s="100">
        <f t="shared" si="130"/>
        <v>0</v>
      </c>
      <c r="AW133" s="100">
        <f t="shared" si="131"/>
        <v>0</v>
      </c>
      <c r="AX133" s="100">
        <f t="shared" si="132"/>
        <v>0</v>
      </c>
      <c r="AY133" s="110" t="s">
        <v>1709</v>
      </c>
      <c r="AZ133" s="110" t="s">
        <v>1733</v>
      </c>
      <c r="BA133" s="109" t="s">
        <v>1737</v>
      </c>
      <c r="BC133" s="100">
        <f t="shared" si="133"/>
        <v>0</v>
      </c>
      <c r="BD133" s="100">
        <f t="shared" si="134"/>
        <v>0</v>
      </c>
      <c r="BE133" s="100">
        <v>0</v>
      </c>
      <c r="BF133" s="100">
        <f>133</f>
        <v>133</v>
      </c>
      <c r="BH133" s="108">
        <f t="shared" si="135"/>
        <v>0</v>
      </c>
      <c r="BI133" s="108">
        <f t="shared" si="136"/>
        <v>0</v>
      </c>
      <c r="BJ133" s="108">
        <f t="shared" si="137"/>
        <v>0</v>
      </c>
    </row>
    <row r="134" spans="1:62" x14ac:dyDescent="0.2">
      <c r="A134" s="117" t="s">
        <v>114</v>
      </c>
      <c r="B134" s="117" t="s">
        <v>4548</v>
      </c>
      <c r="C134" s="304" t="s">
        <v>1348</v>
      </c>
      <c r="D134" s="305"/>
      <c r="E134" s="305"/>
      <c r="F134" s="117" t="s">
        <v>1644</v>
      </c>
      <c r="G134" s="116">
        <v>1</v>
      </c>
      <c r="H134" s="159"/>
      <c r="I134" s="108">
        <f t="shared" si="114"/>
        <v>0</v>
      </c>
      <c r="J134" s="108">
        <f t="shared" si="115"/>
        <v>0</v>
      </c>
      <c r="K134" s="108">
        <f t="shared" si="116"/>
        <v>0</v>
      </c>
      <c r="L134" s="111"/>
      <c r="Z134" s="100">
        <f t="shared" si="117"/>
        <v>0</v>
      </c>
      <c r="AB134" s="100">
        <f t="shared" si="118"/>
        <v>0</v>
      </c>
      <c r="AC134" s="100">
        <f t="shared" si="119"/>
        <v>0</v>
      </c>
      <c r="AD134" s="100">
        <f t="shared" si="120"/>
        <v>0</v>
      </c>
      <c r="AE134" s="100">
        <f t="shared" si="121"/>
        <v>0</v>
      </c>
      <c r="AF134" s="100">
        <f t="shared" si="122"/>
        <v>0</v>
      </c>
      <c r="AG134" s="100">
        <f t="shared" si="123"/>
        <v>0</v>
      </c>
      <c r="AH134" s="100">
        <f t="shared" si="124"/>
        <v>0</v>
      </c>
      <c r="AI134" s="109"/>
      <c r="AJ134" s="108">
        <f t="shared" si="125"/>
        <v>0</v>
      </c>
      <c r="AK134" s="108">
        <f t="shared" si="126"/>
        <v>0</v>
      </c>
      <c r="AL134" s="108">
        <f t="shared" si="127"/>
        <v>0</v>
      </c>
      <c r="AN134" s="100">
        <v>15</v>
      </c>
      <c r="AO134" s="100">
        <f t="shared" si="128"/>
        <v>0</v>
      </c>
      <c r="AP134" s="100">
        <f t="shared" si="129"/>
        <v>0</v>
      </c>
      <c r="AQ134" s="111" t="s">
        <v>13</v>
      </c>
      <c r="AV134" s="100">
        <f t="shared" si="130"/>
        <v>0</v>
      </c>
      <c r="AW134" s="100">
        <f t="shared" si="131"/>
        <v>0</v>
      </c>
      <c r="AX134" s="100">
        <f t="shared" si="132"/>
        <v>0</v>
      </c>
      <c r="AY134" s="110" t="s">
        <v>1709</v>
      </c>
      <c r="AZ134" s="110" t="s">
        <v>1733</v>
      </c>
      <c r="BA134" s="109" t="s">
        <v>1737</v>
      </c>
      <c r="BC134" s="100">
        <f t="shared" si="133"/>
        <v>0</v>
      </c>
      <c r="BD134" s="100">
        <f t="shared" si="134"/>
        <v>0</v>
      </c>
      <c r="BE134" s="100">
        <v>0</v>
      </c>
      <c r="BF134" s="100">
        <f>134</f>
        <v>134</v>
      </c>
      <c r="BH134" s="108">
        <f t="shared" si="135"/>
        <v>0</v>
      </c>
      <c r="BI134" s="108">
        <f t="shared" si="136"/>
        <v>0</v>
      </c>
      <c r="BJ134" s="108">
        <f t="shared" si="137"/>
        <v>0</v>
      </c>
    </row>
    <row r="135" spans="1:62" x14ac:dyDescent="0.2">
      <c r="A135" s="117" t="s">
        <v>115</v>
      </c>
      <c r="B135" s="117" t="s">
        <v>4547</v>
      </c>
      <c r="C135" s="304" t="s">
        <v>1349</v>
      </c>
      <c r="D135" s="305"/>
      <c r="E135" s="305"/>
      <c r="F135" s="117" t="s">
        <v>1644</v>
      </c>
      <c r="G135" s="116">
        <v>2</v>
      </c>
      <c r="H135" s="159"/>
      <c r="I135" s="108">
        <f t="shared" si="114"/>
        <v>0</v>
      </c>
      <c r="J135" s="108">
        <f t="shared" si="115"/>
        <v>0</v>
      </c>
      <c r="K135" s="108">
        <f t="shared" si="116"/>
        <v>0</v>
      </c>
      <c r="L135" s="111"/>
      <c r="Z135" s="100">
        <f t="shared" si="117"/>
        <v>0</v>
      </c>
      <c r="AB135" s="100">
        <f t="shared" si="118"/>
        <v>0</v>
      </c>
      <c r="AC135" s="100">
        <f t="shared" si="119"/>
        <v>0</v>
      </c>
      <c r="AD135" s="100">
        <f t="shared" si="120"/>
        <v>0</v>
      </c>
      <c r="AE135" s="100">
        <f t="shared" si="121"/>
        <v>0</v>
      </c>
      <c r="AF135" s="100">
        <f t="shared" si="122"/>
        <v>0</v>
      </c>
      <c r="AG135" s="100">
        <f t="shared" si="123"/>
        <v>0</v>
      </c>
      <c r="AH135" s="100">
        <f t="shared" si="124"/>
        <v>0</v>
      </c>
      <c r="AI135" s="109"/>
      <c r="AJ135" s="108">
        <f t="shared" si="125"/>
        <v>0</v>
      </c>
      <c r="AK135" s="108">
        <f t="shared" si="126"/>
        <v>0</v>
      </c>
      <c r="AL135" s="108">
        <f t="shared" si="127"/>
        <v>0</v>
      </c>
      <c r="AN135" s="100">
        <v>15</v>
      </c>
      <c r="AO135" s="100">
        <f t="shared" si="128"/>
        <v>0</v>
      </c>
      <c r="AP135" s="100">
        <f t="shared" si="129"/>
        <v>0</v>
      </c>
      <c r="AQ135" s="111" t="s">
        <v>13</v>
      </c>
      <c r="AV135" s="100">
        <f t="shared" si="130"/>
        <v>0</v>
      </c>
      <c r="AW135" s="100">
        <f t="shared" si="131"/>
        <v>0</v>
      </c>
      <c r="AX135" s="100">
        <f t="shared" si="132"/>
        <v>0</v>
      </c>
      <c r="AY135" s="110" t="s">
        <v>1709</v>
      </c>
      <c r="AZ135" s="110" t="s">
        <v>1733</v>
      </c>
      <c r="BA135" s="109" t="s">
        <v>1737</v>
      </c>
      <c r="BC135" s="100">
        <f t="shared" si="133"/>
        <v>0</v>
      </c>
      <c r="BD135" s="100">
        <f t="shared" si="134"/>
        <v>0</v>
      </c>
      <c r="BE135" s="100">
        <v>0</v>
      </c>
      <c r="BF135" s="100">
        <f>135</f>
        <v>135</v>
      </c>
      <c r="BH135" s="108">
        <f t="shared" si="135"/>
        <v>0</v>
      </c>
      <c r="BI135" s="108">
        <f t="shared" si="136"/>
        <v>0</v>
      </c>
      <c r="BJ135" s="108">
        <f t="shared" si="137"/>
        <v>0</v>
      </c>
    </row>
    <row r="136" spans="1:62" x14ac:dyDescent="0.2">
      <c r="A136" s="117" t="s">
        <v>116</v>
      </c>
      <c r="B136" s="117" t="s">
        <v>4546</v>
      </c>
      <c r="C136" s="304" t="s">
        <v>1350</v>
      </c>
      <c r="D136" s="305"/>
      <c r="E136" s="305"/>
      <c r="F136" s="117" t="s">
        <v>1644</v>
      </c>
      <c r="G136" s="116">
        <v>1</v>
      </c>
      <c r="H136" s="159"/>
      <c r="I136" s="108">
        <f t="shared" si="114"/>
        <v>0</v>
      </c>
      <c r="J136" s="108">
        <f t="shared" si="115"/>
        <v>0</v>
      </c>
      <c r="K136" s="108">
        <f t="shared" si="116"/>
        <v>0</v>
      </c>
      <c r="L136" s="111"/>
      <c r="Z136" s="100">
        <f t="shared" si="117"/>
        <v>0</v>
      </c>
      <c r="AB136" s="100">
        <f t="shared" si="118"/>
        <v>0</v>
      </c>
      <c r="AC136" s="100">
        <f t="shared" si="119"/>
        <v>0</v>
      </c>
      <c r="AD136" s="100">
        <f t="shared" si="120"/>
        <v>0</v>
      </c>
      <c r="AE136" s="100">
        <f t="shared" si="121"/>
        <v>0</v>
      </c>
      <c r="AF136" s="100">
        <f t="shared" si="122"/>
        <v>0</v>
      </c>
      <c r="AG136" s="100">
        <f t="shared" si="123"/>
        <v>0</v>
      </c>
      <c r="AH136" s="100">
        <f t="shared" si="124"/>
        <v>0</v>
      </c>
      <c r="AI136" s="109"/>
      <c r="AJ136" s="108">
        <f t="shared" si="125"/>
        <v>0</v>
      </c>
      <c r="AK136" s="108">
        <f t="shared" si="126"/>
        <v>0</v>
      </c>
      <c r="AL136" s="108">
        <f t="shared" si="127"/>
        <v>0</v>
      </c>
      <c r="AN136" s="100">
        <v>15</v>
      </c>
      <c r="AO136" s="100">
        <f t="shared" si="128"/>
        <v>0</v>
      </c>
      <c r="AP136" s="100">
        <f t="shared" si="129"/>
        <v>0</v>
      </c>
      <c r="AQ136" s="111" t="s">
        <v>13</v>
      </c>
      <c r="AV136" s="100">
        <f t="shared" si="130"/>
        <v>0</v>
      </c>
      <c r="AW136" s="100">
        <f t="shared" si="131"/>
        <v>0</v>
      </c>
      <c r="AX136" s="100">
        <f t="shared" si="132"/>
        <v>0</v>
      </c>
      <c r="AY136" s="110" t="s">
        <v>1709</v>
      </c>
      <c r="AZ136" s="110" t="s">
        <v>1733</v>
      </c>
      <c r="BA136" s="109" t="s">
        <v>1737</v>
      </c>
      <c r="BC136" s="100">
        <f t="shared" si="133"/>
        <v>0</v>
      </c>
      <c r="BD136" s="100">
        <f t="shared" si="134"/>
        <v>0</v>
      </c>
      <c r="BE136" s="100">
        <v>0</v>
      </c>
      <c r="BF136" s="100">
        <f>136</f>
        <v>136</v>
      </c>
      <c r="BH136" s="108">
        <f t="shared" si="135"/>
        <v>0</v>
      </c>
      <c r="BI136" s="108">
        <f t="shared" si="136"/>
        <v>0</v>
      </c>
      <c r="BJ136" s="108">
        <f t="shared" si="137"/>
        <v>0</v>
      </c>
    </row>
    <row r="137" spans="1:62" x14ac:dyDescent="0.2">
      <c r="A137" s="117" t="s">
        <v>117</v>
      </c>
      <c r="B137" s="117" t="s">
        <v>4545</v>
      </c>
      <c r="C137" s="304" t="s">
        <v>1351</v>
      </c>
      <c r="D137" s="305"/>
      <c r="E137" s="305"/>
      <c r="F137" s="117" t="s">
        <v>1644</v>
      </c>
      <c r="G137" s="116">
        <v>1</v>
      </c>
      <c r="H137" s="159"/>
      <c r="I137" s="108">
        <f t="shared" si="114"/>
        <v>0</v>
      </c>
      <c r="J137" s="108">
        <f t="shared" si="115"/>
        <v>0</v>
      </c>
      <c r="K137" s="108">
        <f t="shared" si="116"/>
        <v>0</v>
      </c>
      <c r="L137" s="111"/>
      <c r="Z137" s="100">
        <f t="shared" si="117"/>
        <v>0</v>
      </c>
      <c r="AB137" s="100">
        <f t="shared" si="118"/>
        <v>0</v>
      </c>
      <c r="AC137" s="100">
        <f t="shared" si="119"/>
        <v>0</v>
      </c>
      <c r="AD137" s="100">
        <f t="shared" si="120"/>
        <v>0</v>
      </c>
      <c r="AE137" s="100">
        <f t="shared" si="121"/>
        <v>0</v>
      </c>
      <c r="AF137" s="100">
        <f t="shared" si="122"/>
        <v>0</v>
      </c>
      <c r="AG137" s="100">
        <f t="shared" si="123"/>
        <v>0</v>
      </c>
      <c r="AH137" s="100">
        <f t="shared" si="124"/>
        <v>0</v>
      </c>
      <c r="AI137" s="109"/>
      <c r="AJ137" s="108">
        <f t="shared" si="125"/>
        <v>0</v>
      </c>
      <c r="AK137" s="108">
        <f t="shared" si="126"/>
        <v>0</v>
      </c>
      <c r="AL137" s="108">
        <f t="shared" si="127"/>
        <v>0</v>
      </c>
      <c r="AN137" s="100">
        <v>15</v>
      </c>
      <c r="AO137" s="100">
        <f t="shared" si="128"/>
        <v>0</v>
      </c>
      <c r="AP137" s="100">
        <f t="shared" si="129"/>
        <v>0</v>
      </c>
      <c r="AQ137" s="111" t="s">
        <v>13</v>
      </c>
      <c r="AV137" s="100">
        <f t="shared" si="130"/>
        <v>0</v>
      </c>
      <c r="AW137" s="100">
        <f t="shared" si="131"/>
        <v>0</v>
      </c>
      <c r="AX137" s="100">
        <f t="shared" si="132"/>
        <v>0</v>
      </c>
      <c r="AY137" s="110" t="s">
        <v>1709</v>
      </c>
      <c r="AZ137" s="110" t="s">
        <v>1733</v>
      </c>
      <c r="BA137" s="109" t="s">
        <v>1737</v>
      </c>
      <c r="BC137" s="100">
        <f t="shared" si="133"/>
        <v>0</v>
      </c>
      <c r="BD137" s="100">
        <f t="shared" si="134"/>
        <v>0</v>
      </c>
      <c r="BE137" s="100">
        <v>0</v>
      </c>
      <c r="BF137" s="100">
        <f>137</f>
        <v>137</v>
      </c>
      <c r="BH137" s="108">
        <f t="shared" si="135"/>
        <v>0</v>
      </c>
      <c r="BI137" s="108">
        <f t="shared" si="136"/>
        <v>0</v>
      </c>
      <c r="BJ137" s="108">
        <f t="shared" si="137"/>
        <v>0</v>
      </c>
    </row>
    <row r="138" spans="1:62" x14ac:dyDescent="0.2">
      <c r="A138" s="117" t="s">
        <v>118</v>
      </c>
      <c r="B138" s="117" t="s">
        <v>4544</v>
      </c>
      <c r="C138" s="304" t="s">
        <v>1352</v>
      </c>
      <c r="D138" s="305"/>
      <c r="E138" s="305"/>
      <c r="F138" s="117" t="s">
        <v>1644</v>
      </c>
      <c r="G138" s="116">
        <v>16</v>
      </c>
      <c r="H138" s="159"/>
      <c r="I138" s="108">
        <f t="shared" si="114"/>
        <v>0</v>
      </c>
      <c r="J138" s="108">
        <f t="shared" si="115"/>
        <v>0</v>
      </c>
      <c r="K138" s="108">
        <f t="shared" si="116"/>
        <v>0</v>
      </c>
      <c r="L138" s="111"/>
      <c r="Z138" s="100">
        <f t="shared" si="117"/>
        <v>0</v>
      </c>
      <c r="AB138" s="100">
        <f t="shared" si="118"/>
        <v>0</v>
      </c>
      <c r="AC138" s="100">
        <f t="shared" si="119"/>
        <v>0</v>
      </c>
      <c r="AD138" s="100">
        <f t="shared" si="120"/>
        <v>0</v>
      </c>
      <c r="AE138" s="100">
        <f t="shared" si="121"/>
        <v>0</v>
      </c>
      <c r="AF138" s="100">
        <f t="shared" si="122"/>
        <v>0</v>
      </c>
      <c r="AG138" s="100">
        <f t="shared" si="123"/>
        <v>0</v>
      </c>
      <c r="AH138" s="100">
        <f t="shared" si="124"/>
        <v>0</v>
      </c>
      <c r="AI138" s="109"/>
      <c r="AJ138" s="108">
        <f t="shared" si="125"/>
        <v>0</v>
      </c>
      <c r="AK138" s="108">
        <f t="shared" si="126"/>
        <v>0</v>
      </c>
      <c r="AL138" s="108">
        <f t="shared" si="127"/>
        <v>0</v>
      </c>
      <c r="AN138" s="100">
        <v>15</v>
      </c>
      <c r="AO138" s="100">
        <f t="shared" si="128"/>
        <v>0</v>
      </c>
      <c r="AP138" s="100">
        <f t="shared" si="129"/>
        <v>0</v>
      </c>
      <c r="AQ138" s="111" t="s">
        <v>13</v>
      </c>
      <c r="AV138" s="100">
        <f t="shared" si="130"/>
        <v>0</v>
      </c>
      <c r="AW138" s="100">
        <f t="shared" si="131"/>
        <v>0</v>
      </c>
      <c r="AX138" s="100">
        <f t="shared" si="132"/>
        <v>0</v>
      </c>
      <c r="AY138" s="110" t="s">
        <v>1709</v>
      </c>
      <c r="AZ138" s="110" t="s">
        <v>1733</v>
      </c>
      <c r="BA138" s="109" t="s">
        <v>1737</v>
      </c>
      <c r="BC138" s="100">
        <f t="shared" si="133"/>
        <v>0</v>
      </c>
      <c r="BD138" s="100">
        <f t="shared" si="134"/>
        <v>0</v>
      </c>
      <c r="BE138" s="100">
        <v>0</v>
      </c>
      <c r="BF138" s="100">
        <f>138</f>
        <v>138</v>
      </c>
      <c r="BH138" s="108">
        <f t="shared" si="135"/>
        <v>0</v>
      </c>
      <c r="BI138" s="108">
        <f t="shared" si="136"/>
        <v>0</v>
      </c>
      <c r="BJ138" s="108">
        <f t="shared" si="137"/>
        <v>0</v>
      </c>
    </row>
    <row r="139" spans="1:62" x14ac:dyDescent="0.2">
      <c r="A139" s="117" t="s">
        <v>119</v>
      </c>
      <c r="B139" s="117" t="s">
        <v>4543</v>
      </c>
      <c r="C139" s="304" t="s">
        <v>1353</v>
      </c>
      <c r="D139" s="305"/>
      <c r="E139" s="305"/>
      <c r="F139" s="117" t="s">
        <v>1644</v>
      </c>
      <c r="G139" s="116">
        <v>1</v>
      </c>
      <c r="H139" s="159"/>
      <c r="I139" s="108">
        <f t="shared" si="114"/>
        <v>0</v>
      </c>
      <c r="J139" s="108">
        <f t="shared" si="115"/>
        <v>0</v>
      </c>
      <c r="K139" s="108">
        <f t="shared" si="116"/>
        <v>0</v>
      </c>
      <c r="L139" s="111"/>
      <c r="Z139" s="100">
        <f t="shared" si="117"/>
        <v>0</v>
      </c>
      <c r="AB139" s="100">
        <f t="shared" si="118"/>
        <v>0</v>
      </c>
      <c r="AC139" s="100">
        <f t="shared" si="119"/>
        <v>0</v>
      </c>
      <c r="AD139" s="100">
        <f t="shared" si="120"/>
        <v>0</v>
      </c>
      <c r="AE139" s="100">
        <f t="shared" si="121"/>
        <v>0</v>
      </c>
      <c r="AF139" s="100">
        <f t="shared" si="122"/>
        <v>0</v>
      </c>
      <c r="AG139" s="100">
        <f t="shared" si="123"/>
        <v>0</v>
      </c>
      <c r="AH139" s="100">
        <f t="shared" si="124"/>
        <v>0</v>
      </c>
      <c r="AI139" s="109"/>
      <c r="AJ139" s="108">
        <f t="shared" si="125"/>
        <v>0</v>
      </c>
      <c r="AK139" s="108">
        <f t="shared" si="126"/>
        <v>0</v>
      </c>
      <c r="AL139" s="108">
        <f t="shared" si="127"/>
        <v>0</v>
      </c>
      <c r="AN139" s="100">
        <v>15</v>
      </c>
      <c r="AO139" s="100">
        <f t="shared" si="128"/>
        <v>0</v>
      </c>
      <c r="AP139" s="100">
        <f t="shared" si="129"/>
        <v>0</v>
      </c>
      <c r="AQ139" s="111" t="s">
        <v>13</v>
      </c>
      <c r="AV139" s="100">
        <f t="shared" si="130"/>
        <v>0</v>
      </c>
      <c r="AW139" s="100">
        <f t="shared" si="131"/>
        <v>0</v>
      </c>
      <c r="AX139" s="100">
        <f t="shared" si="132"/>
        <v>0</v>
      </c>
      <c r="AY139" s="110" t="s">
        <v>1709</v>
      </c>
      <c r="AZ139" s="110" t="s">
        <v>1733</v>
      </c>
      <c r="BA139" s="109" t="s">
        <v>1737</v>
      </c>
      <c r="BC139" s="100">
        <f t="shared" si="133"/>
        <v>0</v>
      </c>
      <c r="BD139" s="100">
        <f t="shared" si="134"/>
        <v>0</v>
      </c>
      <c r="BE139" s="100">
        <v>0</v>
      </c>
      <c r="BF139" s="100">
        <f>139</f>
        <v>139</v>
      </c>
      <c r="BH139" s="108">
        <f t="shared" si="135"/>
        <v>0</v>
      </c>
      <c r="BI139" s="108">
        <f t="shared" si="136"/>
        <v>0</v>
      </c>
      <c r="BJ139" s="108">
        <f t="shared" si="137"/>
        <v>0</v>
      </c>
    </row>
    <row r="140" spans="1:62" x14ac:dyDescent="0.2">
      <c r="A140" s="117" t="s">
        <v>120</v>
      </c>
      <c r="B140" s="117" t="s">
        <v>4542</v>
      </c>
      <c r="C140" s="304" t="s">
        <v>1354</v>
      </c>
      <c r="D140" s="305"/>
      <c r="E140" s="305"/>
      <c r="F140" s="117" t="s">
        <v>1644</v>
      </c>
      <c r="G140" s="116">
        <v>1</v>
      </c>
      <c r="H140" s="159"/>
      <c r="I140" s="108">
        <f t="shared" si="114"/>
        <v>0</v>
      </c>
      <c r="J140" s="108">
        <f t="shared" si="115"/>
        <v>0</v>
      </c>
      <c r="K140" s="108">
        <f t="shared" si="116"/>
        <v>0</v>
      </c>
      <c r="L140" s="111"/>
      <c r="Z140" s="100">
        <f t="shared" si="117"/>
        <v>0</v>
      </c>
      <c r="AB140" s="100">
        <f t="shared" si="118"/>
        <v>0</v>
      </c>
      <c r="AC140" s="100">
        <f t="shared" si="119"/>
        <v>0</v>
      </c>
      <c r="AD140" s="100">
        <f t="shared" si="120"/>
        <v>0</v>
      </c>
      <c r="AE140" s="100">
        <f t="shared" si="121"/>
        <v>0</v>
      </c>
      <c r="AF140" s="100">
        <f t="shared" si="122"/>
        <v>0</v>
      </c>
      <c r="AG140" s="100">
        <f t="shared" si="123"/>
        <v>0</v>
      </c>
      <c r="AH140" s="100">
        <f t="shared" si="124"/>
        <v>0</v>
      </c>
      <c r="AI140" s="109"/>
      <c r="AJ140" s="108">
        <f t="shared" si="125"/>
        <v>0</v>
      </c>
      <c r="AK140" s="108">
        <f t="shared" si="126"/>
        <v>0</v>
      </c>
      <c r="AL140" s="108">
        <f t="shared" si="127"/>
        <v>0</v>
      </c>
      <c r="AN140" s="100">
        <v>15</v>
      </c>
      <c r="AO140" s="100">
        <f t="shared" si="128"/>
        <v>0</v>
      </c>
      <c r="AP140" s="100">
        <f t="shared" si="129"/>
        <v>0</v>
      </c>
      <c r="AQ140" s="111" t="s">
        <v>13</v>
      </c>
      <c r="AV140" s="100">
        <f t="shared" si="130"/>
        <v>0</v>
      </c>
      <c r="AW140" s="100">
        <f t="shared" si="131"/>
        <v>0</v>
      </c>
      <c r="AX140" s="100">
        <f t="shared" si="132"/>
        <v>0</v>
      </c>
      <c r="AY140" s="110" t="s">
        <v>1709</v>
      </c>
      <c r="AZ140" s="110" t="s">
        <v>1733</v>
      </c>
      <c r="BA140" s="109" t="s">
        <v>1737</v>
      </c>
      <c r="BC140" s="100">
        <f t="shared" si="133"/>
        <v>0</v>
      </c>
      <c r="BD140" s="100">
        <f t="shared" si="134"/>
        <v>0</v>
      </c>
      <c r="BE140" s="100">
        <v>0</v>
      </c>
      <c r="BF140" s="100">
        <f>140</f>
        <v>140</v>
      </c>
      <c r="BH140" s="108">
        <f t="shared" si="135"/>
        <v>0</v>
      </c>
      <c r="BI140" s="108">
        <f t="shared" si="136"/>
        <v>0</v>
      </c>
      <c r="BJ140" s="108">
        <f t="shared" si="137"/>
        <v>0</v>
      </c>
    </row>
    <row r="141" spans="1:62" x14ac:dyDescent="0.2">
      <c r="A141" s="119"/>
      <c r="B141" s="120" t="s">
        <v>772</v>
      </c>
      <c r="C141" s="306" t="s">
        <v>1355</v>
      </c>
      <c r="D141" s="307"/>
      <c r="E141" s="307"/>
      <c r="F141" s="119" t="s">
        <v>6</v>
      </c>
      <c r="G141" s="119" t="s">
        <v>6</v>
      </c>
      <c r="H141" s="119" t="s">
        <v>6</v>
      </c>
      <c r="I141" s="118">
        <f>SUM(I142:I159)</f>
        <v>0</v>
      </c>
      <c r="J141" s="118">
        <f>SUM(J142:J159)</f>
        <v>0</v>
      </c>
      <c r="K141" s="118">
        <f>SUM(K142:K159)</f>
        <v>0</v>
      </c>
      <c r="L141" s="109"/>
      <c r="AI141" s="109"/>
      <c r="AS141" s="118">
        <f>SUM(AJ142:AJ159)</f>
        <v>0</v>
      </c>
      <c r="AT141" s="118">
        <f>SUM(AK142:AK159)</f>
        <v>0</v>
      </c>
      <c r="AU141" s="118">
        <f>SUM(AL142:AL159)</f>
        <v>0</v>
      </c>
    </row>
    <row r="142" spans="1:62" x14ac:dyDescent="0.2">
      <c r="A142" s="117" t="s">
        <v>121</v>
      </c>
      <c r="B142" s="117" t="s">
        <v>4541</v>
      </c>
      <c r="C142" s="304" t="s">
        <v>4540</v>
      </c>
      <c r="D142" s="305"/>
      <c r="E142" s="305"/>
      <c r="F142" s="117" t="s">
        <v>1644</v>
      </c>
      <c r="G142" s="116">
        <v>1</v>
      </c>
      <c r="H142" s="159"/>
      <c r="I142" s="108">
        <f t="shared" ref="I142:I159" si="138">G142*AO142</f>
        <v>0</v>
      </c>
      <c r="J142" s="108">
        <f t="shared" ref="J142:J159" si="139">G142*AP142</f>
        <v>0</v>
      </c>
      <c r="K142" s="108">
        <f t="shared" ref="K142:K159" si="140">G142*H142</f>
        <v>0</v>
      </c>
      <c r="L142" s="111"/>
      <c r="Z142" s="100">
        <f t="shared" ref="Z142:Z159" si="141">IF(AQ142="5",BJ142,0)</f>
        <v>0</v>
      </c>
      <c r="AB142" s="100">
        <f t="shared" ref="AB142:AB159" si="142">IF(AQ142="1",BH142,0)</f>
        <v>0</v>
      </c>
      <c r="AC142" s="100">
        <f t="shared" ref="AC142:AC159" si="143">IF(AQ142="1",BI142,0)</f>
        <v>0</v>
      </c>
      <c r="AD142" s="100">
        <f t="shared" ref="AD142:AD159" si="144">IF(AQ142="7",BH142,0)</f>
        <v>0</v>
      </c>
      <c r="AE142" s="100">
        <f t="shared" ref="AE142:AE159" si="145">IF(AQ142="7",BI142,0)</f>
        <v>0</v>
      </c>
      <c r="AF142" s="100">
        <f t="shared" ref="AF142:AF159" si="146">IF(AQ142="2",BH142,0)</f>
        <v>0</v>
      </c>
      <c r="AG142" s="100">
        <f t="shared" ref="AG142:AG159" si="147">IF(AQ142="2",BI142,0)</f>
        <v>0</v>
      </c>
      <c r="AH142" s="100">
        <f t="shared" ref="AH142:AH159" si="148">IF(AQ142="0",BJ142,0)</f>
        <v>0</v>
      </c>
      <c r="AI142" s="109"/>
      <c r="AJ142" s="108">
        <f t="shared" ref="AJ142:AJ159" si="149">IF(AN142=0,K142,0)</f>
        <v>0</v>
      </c>
      <c r="AK142" s="108">
        <f t="shared" ref="AK142:AK159" si="150">IF(AN142=15,K142,0)</f>
        <v>0</v>
      </c>
      <c r="AL142" s="108">
        <f t="shared" ref="AL142:AL159" si="151">IF(AN142=21,K142,0)</f>
        <v>0</v>
      </c>
      <c r="AN142" s="100">
        <v>15</v>
      </c>
      <c r="AO142" s="100">
        <f t="shared" ref="AO142:AO159" si="152">H142*0</f>
        <v>0</v>
      </c>
      <c r="AP142" s="100">
        <f t="shared" ref="AP142:AP159" si="153">H142*(1-0)</f>
        <v>0</v>
      </c>
      <c r="AQ142" s="111" t="s">
        <v>13</v>
      </c>
      <c r="AV142" s="100">
        <f t="shared" ref="AV142:AV159" si="154">AW142+AX142</f>
        <v>0</v>
      </c>
      <c r="AW142" s="100">
        <f t="shared" ref="AW142:AW159" si="155">G142*AO142</f>
        <v>0</v>
      </c>
      <c r="AX142" s="100">
        <f t="shared" ref="AX142:AX159" si="156">G142*AP142</f>
        <v>0</v>
      </c>
      <c r="AY142" s="110" t="s">
        <v>1710</v>
      </c>
      <c r="AZ142" s="110" t="s">
        <v>1733</v>
      </c>
      <c r="BA142" s="109" t="s">
        <v>1737</v>
      </c>
      <c r="BC142" s="100">
        <f t="shared" ref="BC142:BC159" si="157">AW142+AX142</f>
        <v>0</v>
      </c>
      <c r="BD142" s="100">
        <f t="shared" ref="BD142:BD159" si="158">H142/(100-BE142)*100</f>
        <v>0</v>
      </c>
      <c r="BE142" s="100">
        <v>0</v>
      </c>
      <c r="BF142" s="100">
        <f>142</f>
        <v>142</v>
      </c>
      <c r="BH142" s="108">
        <f t="shared" ref="BH142:BH159" si="159">G142*AO142</f>
        <v>0</v>
      </c>
      <c r="BI142" s="108">
        <f t="shared" ref="BI142:BI159" si="160">G142*AP142</f>
        <v>0</v>
      </c>
      <c r="BJ142" s="108">
        <f t="shared" ref="BJ142:BJ159" si="161">G142*H142</f>
        <v>0</v>
      </c>
    </row>
    <row r="143" spans="1:62" x14ac:dyDescent="0.2">
      <c r="A143" s="117" t="s">
        <v>122</v>
      </c>
      <c r="B143" s="117" t="s">
        <v>4539</v>
      </c>
      <c r="C143" s="304" t="s">
        <v>4538</v>
      </c>
      <c r="D143" s="305"/>
      <c r="E143" s="305"/>
      <c r="F143" s="117" t="s">
        <v>1644</v>
      </c>
      <c r="G143" s="116">
        <v>1</v>
      </c>
      <c r="H143" s="159"/>
      <c r="I143" s="108">
        <f t="shared" si="138"/>
        <v>0</v>
      </c>
      <c r="J143" s="108">
        <f t="shared" si="139"/>
        <v>0</v>
      </c>
      <c r="K143" s="108">
        <f t="shared" si="140"/>
        <v>0</v>
      </c>
      <c r="L143" s="111"/>
      <c r="Z143" s="100">
        <f t="shared" si="141"/>
        <v>0</v>
      </c>
      <c r="AB143" s="100">
        <f t="shared" si="142"/>
        <v>0</v>
      </c>
      <c r="AC143" s="100">
        <f t="shared" si="143"/>
        <v>0</v>
      </c>
      <c r="AD143" s="100">
        <f t="shared" si="144"/>
        <v>0</v>
      </c>
      <c r="AE143" s="100">
        <f t="shared" si="145"/>
        <v>0</v>
      </c>
      <c r="AF143" s="100">
        <f t="shared" si="146"/>
        <v>0</v>
      </c>
      <c r="AG143" s="100">
        <f t="shared" si="147"/>
        <v>0</v>
      </c>
      <c r="AH143" s="100">
        <f t="shared" si="148"/>
        <v>0</v>
      </c>
      <c r="AI143" s="109"/>
      <c r="AJ143" s="108">
        <f t="shared" si="149"/>
        <v>0</v>
      </c>
      <c r="AK143" s="108">
        <f t="shared" si="150"/>
        <v>0</v>
      </c>
      <c r="AL143" s="108">
        <f t="shared" si="151"/>
        <v>0</v>
      </c>
      <c r="AN143" s="100">
        <v>15</v>
      </c>
      <c r="AO143" s="100">
        <f t="shared" si="152"/>
        <v>0</v>
      </c>
      <c r="AP143" s="100">
        <f t="shared" si="153"/>
        <v>0</v>
      </c>
      <c r="AQ143" s="111" t="s">
        <v>13</v>
      </c>
      <c r="AV143" s="100">
        <f t="shared" si="154"/>
        <v>0</v>
      </c>
      <c r="AW143" s="100">
        <f t="shared" si="155"/>
        <v>0</v>
      </c>
      <c r="AX143" s="100">
        <f t="shared" si="156"/>
        <v>0</v>
      </c>
      <c r="AY143" s="110" t="s">
        <v>1710</v>
      </c>
      <c r="AZ143" s="110" t="s">
        <v>1733</v>
      </c>
      <c r="BA143" s="109" t="s">
        <v>1737</v>
      </c>
      <c r="BC143" s="100">
        <f t="shared" si="157"/>
        <v>0</v>
      </c>
      <c r="BD143" s="100">
        <f t="shared" si="158"/>
        <v>0</v>
      </c>
      <c r="BE143" s="100">
        <v>0</v>
      </c>
      <c r="BF143" s="100">
        <f>143</f>
        <v>143</v>
      </c>
      <c r="BH143" s="108">
        <f t="shared" si="159"/>
        <v>0</v>
      </c>
      <c r="BI143" s="108">
        <f t="shared" si="160"/>
        <v>0</v>
      </c>
      <c r="BJ143" s="108">
        <f t="shared" si="161"/>
        <v>0</v>
      </c>
    </row>
    <row r="144" spans="1:62" x14ac:dyDescent="0.2">
      <c r="A144" s="117" t="s">
        <v>123</v>
      </c>
      <c r="B144" s="117" t="s">
        <v>4537</v>
      </c>
      <c r="C144" s="304" t="s">
        <v>1359</v>
      </c>
      <c r="D144" s="305"/>
      <c r="E144" s="305"/>
      <c r="F144" s="117" t="s">
        <v>1644</v>
      </c>
      <c r="G144" s="116">
        <v>1</v>
      </c>
      <c r="H144" s="159"/>
      <c r="I144" s="108">
        <f t="shared" si="138"/>
        <v>0</v>
      </c>
      <c r="J144" s="108">
        <f t="shared" si="139"/>
        <v>0</v>
      </c>
      <c r="K144" s="108">
        <f t="shared" si="140"/>
        <v>0</v>
      </c>
      <c r="L144" s="111"/>
      <c r="Z144" s="100">
        <f t="shared" si="141"/>
        <v>0</v>
      </c>
      <c r="AB144" s="100">
        <f t="shared" si="142"/>
        <v>0</v>
      </c>
      <c r="AC144" s="100">
        <f t="shared" si="143"/>
        <v>0</v>
      </c>
      <c r="AD144" s="100">
        <f t="shared" si="144"/>
        <v>0</v>
      </c>
      <c r="AE144" s="100">
        <f t="shared" si="145"/>
        <v>0</v>
      </c>
      <c r="AF144" s="100">
        <f t="shared" si="146"/>
        <v>0</v>
      </c>
      <c r="AG144" s="100">
        <f t="shared" si="147"/>
        <v>0</v>
      </c>
      <c r="AH144" s="100">
        <f t="shared" si="148"/>
        <v>0</v>
      </c>
      <c r="AI144" s="109"/>
      <c r="AJ144" s="108">
        <f t="shared" si="149"/>
        <v>0</v>
      </c>
      <c r="AK144" s="108">
        <f t="shared" si="150"/>
        <v>0</v>
      </c>
      <c r="AL144" s="108">
        <f t="shared" si="151"/>
        <v>0</v>
      </c>
      <c r="AN144" s="100">
        <v>15</v>
      </c>
      <c r="AO144" s="100">
        <f t="shared" si="152"/>
        <v>0</v>
      </c>
      <c r="AP144" s="100">
        <f t="shared" si="153"/>
        <v>0</v>
      </c>
      <c r="AQ144" s="111" t="s">
        <v>13</v>
      </c>
      <c r="AV144" s="100">
        <f t="shared" si="154"/>
        <v>0</v>
      </c>
      <c r="AW144" s="100">
        <f t="shared" si="155"/>
        <v>0</v>
      </c>
      <c r="AX144" s="100">
        <f t="shared" si="156"/>
        <v>0</v>
      </c>
      <c r="AY144" s="110" t="s">
        <v>1710</v>
      </c>
      <c r="AZ144" s="110" t="s">
        <v>1733</v>
      </c>
      <c r="BA144" s="109" t="s">
        <v>1737</v>
      </c>
      <c r="BC144" s="100">
        <f t="shared" si="157"/>
        <v>0</v>
      </c>
      <c r="BD144" s="100">
        <f t="shared" si="158"/>
        <v>0</v>
      </c>
      <c r="BE144" s="100">
        <v>0</v>
      </c>
      <c r="BF144" s="100">
        <f>144</f>
        <v>144</v>
      </c>
      <c r="BH144" s="108">
        <f t="shared" si="159"/>
        <v>0</v>
      </c>
      <c r="BI144" s="108">
        <f t="shared" si="160"/>
        <v>0</v>
      </c>
      <c r="BJ144" s="108">
        <f t="shared" si="161"/>
        <v>0</v>
      </c>
    </row>
    <row r="145" spans="1:62" x14ac:dyDescent="0.2">
      <c r="A145" s="117" t="s">
        <v>124</v>
      </c>
      <c r="B145" s="117" t="s">
        <v>4536</v>
      </c>
      <c r="C145" s="304" t="s">
        <v>1363</v>
      </c>
      <c r="D145" s="305"/>
      <c r="E145" s="305"/>
      <c r="F145" s="117" t="s">
        <v>1644</v>
      </c>
      <c r="G145" s="116">
        <v>1</v>
      </c>
      <c r="H145" s="159"/>
      <c r="I145" s="108">
        <f t="shared" si="138"/>
        <v>0</v>
      </c>
      <c r="J145" s="108">
        <f t="shared" si="139"/>
        <v>0</v>
      </c>
      <c r="K145" s="108">
        <f t="shared" si="140"/>
        <v>0</v>
      </c>
      <c r="L145" s="111"/>
      <c r="Z145" s="100">
        <f t="shared" si="141"/>
        <v>0</v>
      </c>
      <c r="AB145" s="100">
        <f t="shared" si="142"/>
        <v>0</v>
      </c>
      <c r="AC145" s="100">
        <f t="shared" si="143"/>
        <v>0</v>
      </c>
      <c r="AD145" s="100">
        <f t="shared" si="144"/>
        <v>0</v>
      </c>
      <c r="AE145" s="100">
        <f t="shared" si="145"/>
        <v>0</v>
      </c>
      <c r="AF145" s="100">
        <f t="shared" si="146"/>
        <v>0</v>
      </c>
      <c r="AG145" s="100">
        <f t="shared" si="147"/>
        <v>0</v>
      </c>
      <c r="AH145" s="100">
        <f t="shared" si="148"/>
        <v>0</v>
      </c>
      <c r="AI145" s="109"/>
      <c r="AJ145" s="108">
        <f t="shared" si="149"/>
        <v>0</v>
      </c>
      <c r="AK145" s="108">
        <f t="shared" si="150"/>
        <v>0</v>
      </c>
      <c r="AL145" s="108">
        <f t="shared" si="151"/>
        <v>0</v>
      </c>
      <c r="AN145" s="100">
        <v>15</v>
      </c>
      <c r="AO145" s="100">
        <f t="shared" si="152"/>
        <v>0</v>
      </c>
      <c r="AP145" s="100">
        <f t="shared" si="153"/>
        <v>0</v>
      </c>
      <c r="AQ145" s="111" t="s">
        <v>13</v>
      </c>
      <c r="AV145" s="100">
        <f t="shared" si="154"/>
        <v>0</v>
      </c>
      <c r="AW145" s="100">
        <f t="shared" si="155"/>
        <v>0</v>
      </c>
      <c r="AX145" s="100">
        <f t="shared" si="156"/>
        <v>0</v>
      </c>
      <c r="AY145" s="110" t="s">
        <v>1710</v>
      </c>
      <c r="AZ145" s="110" t="s">
        <v>1733</v>
      </c>
      <c r="BA145" s="109" t="s">
        <v>1737</v>
      </c>
      <c r="BC145" s="100">
        <f t="shared" si="157"/>
        <v>0</v>
      </c>
      <c r="BD145" s="100">
        <f t="shared" si="158"/>
        <v>0</v>
      </c>
      <c r="BE145" s="100">
        <v>0</v>
      </c>
      <c r="BF145" s="100">
        <f>145</f>
        <v>145</v>
      </c>
      <c r="BH145" s="108">
        <f t="shared" si="159"/>
        <v>0</v>
      </c>
      <c r="BI145" s="108">
        <f t="shared" si="160"/>
        <v>0</v>
      </c>
      <c r="BJ145" s="108">
        <f t="shared" si="161"/>
        <v>0</v>
      </c>
    </row>
    <row r="146" spans="1:62" x14ac:dyDescent="0.2">
      <c r="A146" s="117" t="s">
        <v>125</v>
      </c>
      <c r="B146" s="117" t="s">
        <v>4535</v>
      </c>
      <c r="C146" s="304" t="s">
        <v>1364</v>
      </c>
      <c r="D146" s="305"/>
      <c r="E146" s="305"/>
      <c r="F146" s="117" t="s">
        <v>1644</v>
      </c>
      <c r="G146" s="116">
        <v>1</v>
      </c>
      <c r="H146" s="159"/>
      <c r="I146" s="108">
        <f t="shared" si="138"/>
        <v>0</v>
      </c>
      <c r="J146" s="108">
        <f t="shared" si="139"/>
        <v>0</v>
      </c>
      <c r="K146" s="108">
        <f t="shared" si="140"/>
        <v>0</v>
      </c>
      <c r="L146" s="111"/>
      <c r="Z146" s="100">
        <f t="shared" si="141"/>
        <v>0</v>
      </c>
      <c r="AB146" s="100">
        <f t="shared" si="142"/>
        <v>0</v>
      </c>
      <c r="AC146" s="100">
        <f t="shared" si="143"/>
        <v>0</v>
      </c>
      <c r="AD146" s="100">
        <f t="shared" si="144"/>
        <v>0</v>
      </c>
      <c r="AE146" s="100">
        <f t="shared" si="145"/>
        <v>0</v>
      </c>
      <c r="AF146" s="100">
        <f t="shared" si="146"/>
        <v>0</v>
      </c>
      <c r="AG146" s="100">
        <f t="shared" si="147"/>
        <v>0</v>
      </c>
      <c r="AH146" s="100">
        <f t="shared" si="148"/>
        <v>0</v>
      </c>
      <c r="AI146" s="109"/>
      <c r="AJ146" s="108">
        <f t="shared" si="149"/>
        <v>0</v>
      </c>
      <c r="AK146" s="108">
        <f t="shared" si="150"/>
        <v>0</v>
      </c>
      <c r="AL146" s="108">
        <f t="shared" si="151"/>
        <v>0</v>
      </c>
      <c r="AN146" s="100">
        <v>15</v>
      </c>
      <c r="AO146" s="100">
        <f t="shared" si="152"/>
        <v>0</v>
      </c>
      <c r="AP146" s="100">
        <f t="shared" si="153"/>
        <v>0</v>
      </c>
      <c r="AQ146" s="111" t="s">
        <v>13</v>
      </c>
      <c r="AV146" s="100">
        <f t="shared" si="154"/>
        <v>0</v>
      </c>
      <c r="AW146" s="100">
        <f t="shared" si="155"/>
        <v>0</v>
      </c>
      <c r="AX146" s="100">
        <f t="shared" si="156"/>
        <v>0</v>
      </c>
      <c r="AY146" s="110" t="s">
        <v>1710</v>
      </c>
      <c r="AZ146" s="110" t="s">
        <v>1733</v>
      </c>
      <c r="BA146" s="109" t="s">
        <v>1737</v>
      </c>
      <c r="BC146" s="100">
        <f t="shared" si="157"/>
        <v>0</v>
      </c>
      <c r="BD146" s="100">
        <f t="shared" si="158"/>
        <v>0</v>
      </c>
      <c r="BE146" s="100">
        <v>0</v>
      </c>
      <c r="BF146" s="100">
        <f>146</f>
        <v>146</v>
      </c>
      <c r="BH146" s="108">
        <f t="shared" si="159"/>
        <v>0</v>
      </c>
      <c r="BI146" s="108">
        <f t="shared" si="160"/>
        <v>0</v>
      </c>
      <c r="BJ146" s="108">
        <f t="shared" si="161"/>
        <v>0</v>
      </c>
    </row>
    <row r="147" spans="1:62" x14ac:dyDescent="0.2">
      <c r="A147" s="117" t="s">
        <v>126</v>
      </c>
      <c r="B147" s="117" t="s">
        <v>4534</v>
      </c>
      <c r="C147" s="304" t="s">
        <v>1365</v>
      </c>
      <c r="D147" s="305"/>
      <c r="E147" s="305"/>
      <c r="F147" s="117" t="s">
        <v>1644</v>
      </c>
      <c r="G147" s="116">
        <v>1</v>
      </c>
      <c r="H147" s="159"/>
      <c r="I147" s="108">
        <f t="shared" si="138"/>
        <v>0</v>
      </c>
      <c r="J147" s="108">
        <f t="shared" si="139"/>
        <v>0</v>
      </c>
      <c r="K147" s="108">
        <f t="shared" si="140"/>
        <v>0</v>
      </c>
      <c r="L147" s="111"/>
      <c r="Z147" s="100">
        <f t="shared" si="141"/>
        <v>0</v>
      </c>
      <c r="AB147" s="100">
        <f t="shared" si="142"/>
        <v>0</v>
      </c>
      <c r="AC147" s="100">
        <f t="shared" si="143"/>
        <v>0</v>
      </c>
      <c r="AD147" s="100">
        <f t="shared" si="144"/>
        <v>0</v>
      </c>
      <c r="AE147" s="100">
        <f t="shared" si="145"/>
        <v>0</v>
      </c>
      <c r="AF147" s="100">
        <f t="shared" si="146"/>
        <v>0</v>
      </c>
      <c r="AG147" s="100">
        <f t="shared" si="147"/>
        <v>0</v>
      </c>
      <c r="AH147" s="100">
        <f t="shared" si="148"/>
        <v>0</v>
      </c>
      <c r="AI147" s="109"/>
      <c r="AJ147" s="108">
        <f t="shared" si="149"/>
        <v>0</v>
      </c>
      <c r="AK147" s="108">
        <f t="shared" si="150"/>
        <v>0</v>
      </c>
      <c r="AL147" s="108">
        <f t="shared" si="151"/>
        <v>0</v>
      </c>
      <c r="AN147" s="100">
        <v>15</v>
      </c>
      <c r="AO147" s="100">
        <f t="shared" si="152"/>
        <v>0</v>
      </c>
      <c r="AP147" s="100">
        <f t="shared" si="153"/>
        <v>0</v>
      </c>
      <c r="AQ147" s="111" t="s">
        <v>13</v>
      </c>
      <c r="AV147" s="100">
        <f t="shared" si="154"/>
        <v>0</v>
      </c>
      <c r="AW147" s="100">
        <f t="shared" si="155"/>
        <v>0</v>
      </c>
      <c r="AX147" s="100">
        <f t="shared" si="156"/>
        <v>0</v>
      </c>
      <c r="AY147" s="110" t="s">
        <v>1710</v>
      </c>
      <c r="AZ147" s="110" t="s">
        <v>1733</v>
      </c>
      <c r="BA147" s="109" t="s">
        <v>1737</v>
      </c>
      <c r="BC147" s="100">
        <f t="shared" si="157"/>
        <v>0</v>
      </c>
      <c r="BD147" s="100">
        <f t="shared" si="158"/>
        <v>0</v>
      </c>
      <c r="BE147" s="100">
        <v>0</v>
      </c>
      <c r="BF147" s="100">
        <f>147</f>
        <v>147</v>
      </c>
      <c r="BH147" s="108">
        <f t="shared" si="159"/>
        <v>0</v>
      </c>
      <c r="BI147" s="108">
        <f t="shared" si="160"/>
        <v>0</v>
      </c>
      <c r="BJ147" s="108">
        <f t="shared" si="161"/>
        <v>0</v>
      </c>
    </row>
    <row r="148" spans="1:62" x14ac:dyDescent="0.2">
      <c r="A148" s="117" t="s">
        <v>127</v>
      </c>
      <c r="B148" s="117" t="s">
        <v>4533</v>
      </c>
      <c r="C148" s="304" t="s">
        <v>1366</v>
      </c>
      <c r="D148" s="305"/>
      <c r="E148" s="305"/>
      <c r="F148" s="117" t="s">
        <v>1644</v>
      </c>
      <c r="G148" s="116">
        <v>1</v>
      </c>
      <c r="H148" s="159"/>
      <c r="I148" s="108">
        <f t="shared" si="138"/>
        <v>0</v>
      </c>
      <c r="J148" s="108">
        <f t="shared" si="139"/>
        <v>0</v>
      </c>
      <c r="K148" s="108">
        <f t="shared" si="140"/>
        <v>0</v>
      </c>
      <c r="L148" s="111"/>
      <c r="Z148" s="100">
        <f t="shared" si="141"/>
        <v>0</v>
      </c>
      <c r="AB148" s="100">
        <f t="shared" si="142"/>
        <v>0</v>
      </c>
      <c r="AC148" s="100">
        <f t="shared" si="143"/>
        <v>0</v>
      </c>
      <c r="AD148" s="100">
        <f t="shared" si="144"/>
        <v>0</v>
      </c>
      <c r="AE148" s="100">
        <f t="shared" si="145"/>
        <v>0</v>
      </c>
      <c r="AF148" s="100">
        <f t="shared" si="146"/>
        <v>0</v>
      </c>
      <c r="AG148" s="100">
        <f t="shared" si="147"/>
        <v>0</v>
      </c>
      <c r="AH148" s="100">
        <f t="shared" si="148"/>
        <v>0</v>
      </c>
      <c r="AI148" s="109"/>
      <c r="AJ148" s="108">
        <f t="shared" si="149"/>
        <v>0</v>
      </c>
      <c r="AK148" s="108">
        <f t="shared" si="150"/>
        <v>0</v>
      </c>
      <c r="AL148" s="108">
        <f t="shared" si="151"/>
        <v>0</v>
      </c>
      <c r="AN148" s="100">
        <v>15</v>
      </c>
      <c r="AO148" s="100">
        <f t="shared" si="152"/>
        <v>0</v>
      </c>
      <c r="AP148" s="100">
        <f t="shared" si="153"/>
        <v>0</v>
      </c>
      <c r="AQ148" s="111" t="s">
        <v>13</v>
      </c>
      <c r="AV148" s="100">
        <f t="shared" si="154"/>
        <v>0</v>
      </c>
      <c r="AW148" s="100">
        <f t="shared" si="155"/>
        <v>0</v>
      </c>
      <c r="AX148" s="100">
        <f t="shared" si="156"/>
        <v>0</v>
      </c>
      <c r="AY148" s="110" t="s">
        <v>1710</v>
      </c>
      <c r="AZ148" s="110" t="s">
        <v>1733</v>
      </c>
      <c r="BA148" s="109" t="s">
        <v>1737</v>
      </c>
      <c r="BC148" s="100">
        <f t="shared" si="157"/>
        <v>0</v>
      </c>
      <c r="BD148" s="100">
        <f t="shared" si="158"/>
        <v>0</v>
      </c>
      <c r="BE148" s="100">
        <v>0</v>
      </c>
      <c r="BF148" s="100">
        <f>148</f>
        <v>148</v>
      </c>
      <c r="BH148" s="108">
        <f t="shared" si="159"/>
        <v>0</v>
      </c>
      <c r="BI148" s="108">
        <f t="shared" si="160"/>
        <v>0</v>
      </c>
      <c r="BJ148" s="108">
        <f t="shared" si="161"/>
        <v>0</v>
      </c>
    </row>
    <row r="149" spans="1:62" x14ac:dyDescent="0.2">
      <c r="A149" s="117" t="s">
        <v>128</v>
      </c>
      <c r="B149" s="117" t="s">
        <v>4532</v>
      </c>
      <c r="C149" s="304" t="s">
        <v>1367</v>
      </c>
      <c r="D149" s="305"/>
      <c r="E149" s="305"/>
      <c r="F149" s="117" t="s">
        <v>1644</v>
      </c>
      <c r="G149" s="116">
        <v>1</v>
      </c>
      <c r="H149" s="159"/>
      <c r="I149" s="108">
        <f t="shared" si="138"/>
        <v>0</v>
      </c>
      <c r="J149" s="108">
        <f t="shared" si="139"/>
        <v>0</v>
      </c>
      <c r="K149" s="108">
        <f t="shared" si="140"/>
        <v>0</v>
      </c>
      <c r="L149" s="111"/>
      <c r="Z149" s="100">
        <f t="shared" si="141"/>
        <v>0</v>
      </c>
      <c r="AB149" s="100">
        <f t="shared" si="142"/>
        <v>0</v>
      </c>
      <c r="AC149" s="100">
        <f t="shared" si="143"/>
        <v>0</v>
      </c>
      <c r="AD149" s="100">
        <f t="shared" si="144"/>
        <v>0</v>
      </c>
      <c r="AE149" s="100">
        <f t="shared" si="145"/>
        <v>0</v>
      </c>
      <c r="AF149" s="100">
        <f t="shared" si="146"/>
        <v>0</v>
      </c>
      <c r="AG149" s="100">
        <f t="shared" si="147"/>
        <v>0</v>
      </c>
      <c r="AH149" s="100">
        <f t="shared" si="148"/>
        <v>0</v>
      </c>
      <c r="AI149" s="109"/>
      <c r="AJ149" s="108">
        <f t="shared" si="149"/>
        <v>0</v>
      </c>
      <c r="AK149" s="108">
        <f t="shared" si="150"/>
        <v>0</v>
      </c>
      <c r="AL149" s="108">
        <f t="shared" si="151"/>
        <v>0</v>
      </c>
      <c r="AN149" s="100">
        <v>15</v>
      </c>
      <c r="AO149" s="100">
        <f t="shared" si="152"/>
        <v>0</v>
      </c>
      <c r="AP149" s="100">
        <f t="shared" si="153"/>
        <v>0</v>
      </c>
      <c r="AQ149" s="111" t="s">
        <v>13</v>
      </c>
      <c r="AV149" s="100">
        <f t="shared" si="154"/>
        <v>0</v>
      </c>
      <c r="AW149" s="100">
        <f t="shared" si="155"/>
        <v>0</v>
      </c>
      <c r="AX149" s="100">
        <f t="shared" si="156"/>
        <v>0</v>
      </c>
      <c r="AY149" s="110" t="s">
        <v>1710</v>
      </c>
      <c r="AZ149" s="110" t="s">
        <v>1733</v>
      </c>
      <c r="BA149" s="109" t="s">
        <v>1737</v>
      </c>
      <c r="BC149" s="100">
        <f t="shared" si="157"/>
        <v>0</v>
      </c>
      <c r="BD149" s="100">
        <f t="shared" si="158"/>
        <v>0</v>
      </c>
      <c r="BE149" s="100">
        <v>0</v>
      </c>
      <c r="BF149" s="100">
        <f>149</f>
        <v>149</v>
      </c>
      <c r="BH149" s="108">
        <f t="shared" si="159"/>
        <v>0</v>
      </c>
      <c r="BI149" s="108">
        <f t="shared" si="160"/>
        <v>0</v>
      </c>
      <c r="BJ149" s="108">
        <f t="shared" si="161"/>
        <v>0</v>
      </c>
    </row>
    <row r="150" spans="1:62" x14ac:dyDescent="0.2">
      <c r="A150" s="117" t="s">
        <v>129</v>
      </c>
      <c r="B150" s="117" t="s">
        <v>4531</v>
      </c>
      <c r="C150" s="304" t="s">
        <v>1368</v>
      </c>
      <c r="D150" s="305"/>
      <c r="E150" s="305"/>
      <c r="F150" s="117" t="s">
        <v>1644</v>
      </c>
      <c r="G150" s="116">
        <v>2</v>
      </c>
      <c r="H150" s="159"/>
      <c r="I150" s="108">
        <f t="shared" si="138"/>
        <v>0</v>
      </c>
      <c r="J150" s="108">
        <f t="shared" si="139"/>
        <v>0</v>
      </c>
      <c r="K150" s="108">
        <f t="shared" si="140"/>
        <v>0</v>
      </c>
      <c r="L150" s="111"/>
      <c r="Z150" s="100">
        <f t="shared" si="141"/>
        <v>0</v>
      </c>
      <c r="AB150" s="100">
        <f t="shared" si="142"/>
        <v>0</v>
      </c>
      <c r="AC150" s="100">
        <f t="shared" si="143"/>
        <v>0</v>
      </c>
      <c r="AD150" s="100">
        <f t="shared" si="144"/>
        <v>0</v>
      </c>
      <c r="AE150" s="100">
        <f t="shared" si="145"/>
        <v>0</v>
      </c>
      <c r="AF150" s="100">
        <f t="shared" si="146"/>
        <v>0</v>
      </c>
      <c r="AG150" s="100">
        <f t="shared" si="147"/>
        <v>0</v>
      </c>
      <c r="AH150" s="100">
        <f t="shared" si="148"/>
        <v>0</v>
      </c>
      <c r="AI150" s="109"/>
      <c r="AJ150" s="108">
        <f t="shared" si="149"/>
        <v>0</v>
      </c>
      <c r="AK150" s="108">
        <f t="shared" si="150"/>
        <v>0</v>
      </c>
      <c r="AL150" s="108">
        <f t="shared" si="151"/>
        <v>0</v>
      </c>
      <c r="AN150" s="100">
        <v>15</v>
      </c>
      <c r="AO150" s="100">
        <f t="shared" si="152"/>
        <v>0</v>
      </c>
      <c r="AP150" s="100">
        <f t="shared" si="153"/>
        <v>0</v>
      </c>
      <c r="AQ150" s="111" t="s">
        <v>13</v>
      </c>
      <c r="AV150" s="100">
        <f t="shared" si="154"/>
        <v>0</v>
      </c>
      <c r="AW150" s="100">
        <f t="shared" si="155"/>
        <v>0</v>
      </c>
      <c r="AX150" s="100">
        <f t="shared" si="156"/>
        <v>0</v>
      </c>
      <c r="AY150" s="110" t="s">
        <v>1710</v>
      </c>
      <c r="AZ150" s="110" t="s">
        <v>1733</v>
      </c>
      <c r="BA150" s="109" t="s">
        <v>1737</v>
      </c>
      <c r="BC150" s="100">
        <f t="shared" si="157"/>
        <v>0</v>
      </c>
      <c r="BD150" s="100">
        <f t="shared" si="158"/>
        <v>0</v>
      </c>
      <c r="BE150" s="100">
        <v>0</v>
      </c>
      <c r="BF150" s="100">
        <f>150</f>
        <v>150</v>
      </c>
      <c r="BH150" s="108">
        <f t="shared" si="159"/>
        <v>0</v>
      </c>
      <c r="BI150" s="108">
        <f t="shared" si="160"/>
        <v>0</v>
      </c>
      <c r="BJ150" s="108">
        <f t="shared" si="161"/>
        <v>0</v>
      </c>
    </row>
    <row r="151" spans="1:62" x14ac:dyDescent="0.2">
      <c r="A151" s="117" t="s">
        <v>130</v>
      </c>
      <c r="B151" s="117" t="s">
        <v>4530</v>
      </c>
      <c r="C151" s="304" t="s">
        <v>1369</v>
      </c>
      <c r="D151" s="305"/>
      <c r="E151" s="305"/>
      <c r="F151" s="117" t="s">
        <v>1644</v>
      </c>
      <c r="G151" s="116">
        <v>2</v>
      </c>
      <c r="H151" s="159"/>
      <c r="I151" s="108">
        <f t="shared" si="138"/>
        <v>0</v>
      </c>
      <c r="J151" s="108">
        <f t="shared" si="139"/>
        <v>0</v>
      </c>
      <c r="K151" s="108">
        <f t="shared" si="140"/>
        <v>0</v>
      </c>
      <c r="L151" s="111"/>
      <c r="Z151" s="100">
        <f t="shared" si="141"/>
        <v>0</v>
      </c>
      <c r="AB151" s="100">
        <f t="shared" si="142"/>
        <v>0</v>
      </c>
      <c r="AC151" s="100">
        <f t="shared" si="143"/>
        <v>0</v>
      </c>
      <c r="AD151" s="100">
        <f t="shared" si="144"/>
        <v>0</v>
      </c>
      <c r="AE151" s="100">
        <f t="shared" si="145"/>
        <v>0</v>
      </c>
      <c r="AF151" s="100">
        <f t="shared" si="146"/>
        <v>0</v>
      </c>
      <c r="AG151" s="100">
        <f t="shared" si="147"/>
        <v>0</v>
      </c>
      <c r="AH151" s="100">
        <f t="shared" si="148"/>
        <v>0</v>
      </c>
      <c r="AI151" s="109"/>
      <c r="AJ151" s="108">
        <f t="shared" si="149"/>
        <v>0</v>
      </c>
      <c r="AK151" s="108">
        <f t="shared" si="150"/>
        <v>0</v>
      </c>
      <c r="AL151" s="108">
        <f t="shared" si="151"/>
        <v>0</v>
      </c>
      <c r="AN151" s="100">
        <v>15</v>
      </c>
      <c r="AO151" s="100">
        <f t="shared" si="152"/>
        <v>0</v>
      </c>
      <c r="AP151" s="100">
        <f t="shared" si="153"/>
        <v>0</v>
      </c>
      <c r="AQ151" s="111" t="s">
        <v>13</v>
      </c>
      <c r="AV151" s="100">
        <f t="shared" si="154"/>
        <v>0</v>
      </c>
      <c r="AW151" s="100">
        <f t="shared" si="155"/>
        <v>0</v>
      </c>
      <c r="AX151" s="100">
        <f t="shared" si="156"/>
        <v>0</v>
      </c>
      <c r="AY151" s="110" t="s">
        <v>1710</v>
      </c>
      <c r="AZ151" s="110" t="s">
        <v>1733</v>
      </c>
      <c r="BA151" s="109" t="s">
        <v>1737</v>
      </c>
      <c r="BC151" s="100">
        <f t="shared" si="157"/>
        <v>0</v>
      </c>
      <c r="BD151" s="100">
        <f t="shared" si="158"/>
        <v>0</v>
      </c>
      <c r="BE151" s="100">
        <v>0</v>
      </c>
      <c r="BF151" s="100">
        <f>151</f>
        <v>151</v>
      </c>
      <c r="BH151" s="108">
        <f t="shared" si="159"/>
        <v>0</v>
      </c>
      <c r="BI151" s="108">
        <f t="shared" si="160"/>
        <v>0</v>
      </c>
      <c r="BJ151" s="108">
        <f t="shared" si="161"/>
        <v>0</v>
      </c>
    </row>
    <row r="152" spans="1:62" x14ac:dyDescent="0.2">
      <c r="A152" s="117" t="s">
        <v>131</v>
      </c>
      <c r="B152" s="117" t="s">
        <v>4529</v>
      </c>
      <c r="C152" s="304" t="s">
        <v>1327</v>
      </c>
      <c r="D152" s="305"/>
      <c r="E152" s="305"/>
      <c r="F152" s="117" t="s">
        <v>1644</v>
      </c>
      <c r="G152" s="116">
        <v>1</v>
      </c>
      <c r="H152" s="159"/>
      <c r="I152" s="108">
        <f t="shared" si="138"/>
        <v>0</v>
      </c>
      <c r="J152" s="108">
        <f t="shared" si="139"/>
        <v>0</v>
      </c>
      <c r="K152" s="108">
        <f t="shared" si="140"/>
        <v>0</v>
      </c>
      <c r="L152" s="111"/>
      <c r="Z152" s="100">
        <f t="shared" si="141"/>
        <v>0</v>
      </c>
      <c r="AB152" s="100">
        <f t="shared" si="142"/>
        <v>0</v>
      </c>
      <c r="AC152" s="100">
        <f t="shared" si="143"/>
        <v>0</v>
      </c>
      <c r="AD152" s="100">
        <f t="shared" si="144"/>
        <v>0</v>
      </c>
      <c r="AE152" s="100">
        <f t="shared" si="145"/>
        <v>0</v>
      </c>
      <c r="AF152" s="100">
        <f t="shared" si="146"/>
        <v>0</v>
      </c>
      <c r="AG152" s="100">
        <f t="shared" si="147"/>
        <v>0</v>
      </c>
      <c r="AH152" s="100">
        <f t="shared" si="148"/>
        <v>0</v>
      </c>
      <c r="AI152" s="109"/>
      <c r="AJ152" s="108">
        <f t="shared" si="149"/>
        <v>0</v>
      </c>
      <c r="AK152" s="108">
        <f t="shared" si="150"/>
        <v>0</v>
      </c>
      <c r="AL152" s="108">
        <f t="shared" si="151"/>
        <v>0</v>
      </c>
      <c r="AN152" s="100">
        <v>15</v>
      </c>
      <c r="AO152" s="100">
        <f t="shared" si="152"/>
        <v>0</v>
      </c>
      <c r="AP152" s="100">
        <f t="shared" si="153"/>
        <v>0</v>
      </c>
      <c r="AQ152" s="111" t="s">
        <v>13</v>
      </c>
      <c r="AV152" s="100">
        <f t="shared" si="154"/>
        <v>0</v>
      </c>
      <c r="AW152" s="100">
        <f t="shared" si="155"/>
        <v>0</v>
      </c>
      <c r="AX152" s="100">
        <f t="shared" si="156"/>
        <v>0</v>
      </c>
      <c r="AY152" s="110" t="s">
        <v>1710</v>
      </c>
      <c r="AZ152" s="110" t="s">
        <v>1733</v>
      </c>
      <c r="BA152" s="109" t="s">
        <v>1737</v>
      </c>
      <c r="BC152" s="100">
        <f t="shared" si="157"/>
        <v>0</v>
      </c>
      <c r="BD152" s="100">
        <f t="shared" si="158"/>
        <v>0</v>
      </c>
      <c r="BE152" s="100">
        <v>0</v>
      </c>
      <c r="BF152" s="100">
        <f>152</f>
        <v>152</v>
      </c>
      <c r="BH152" s="108">
        <f t="shared" si="159"/>
        <v>0</v>
      </c>
      <c r="BI152" s="108">
        <f t="shared" si="160"/>
        <v>0</v>
      </c>
      <c r="BJ152" s="108">
        <f t="shared" si="161"/>
        <v>0</v>
      </c>
    </row>
    <row r="153" spans="1:62" x14ac:dyDescent="0.2">
      <c r="A153" s="117" t="s">
        <v>132</v>
      </c>
      <c r="B153" s="117" t="s">
        <v>4528</v>
      </c>
      <c r="C153" s="304" t="s">
        <v>1326</v>
      </c>
      <c r="D153" s="305"/>
      <c r="E153" s="305"/>
      <c r="F153" s="117" t="s">
        <v>1644</v>
      </c>
      <c r="G153" s="116">
        <v>1</v>
      </c>
      <c r="H153" s="159"/>
      <c r="I153" s="108">
        <f t="shared" si="138"/>
        <v>0</v>
      </c>
      <c r="J153" s="108">
        <f t="shared" si="139"/>
        <v>0</v>
      </c>
      <c r="K153" s="108">
        <f t="shared" si="140"/>
        <v>0</v>
      </c>
      <c r="L153" s="111"/>
      <c r="Z153" s="100">
        <f t="shared" si="141"/>
        <v>0</v>
      </c>
      <c r="AB153" s="100">
        <f t="shared" si="142"/>
        <v>0</v>
      </c>
      <c r="AC153" s="100">
        <f t="shared" si="143"/>
        <v>0</v>
      </c>
      <c r="AD153" s="100">
        <f t="shared" si="144"/>
        <v>0</v>
      </c>
      <c r="AE153" s="100">
        <f t="shared" si="145"/>
        <v>0</v>
      </c>
      <c r="AF153" s="100">
        <f t="shared" si="146"/>
        <v>0</v>
      </c>
      <c r="AG153" s="100">
        <f t="shared" si="147"/>
        <v>0</v>
      </c>
      <c r="AH153" s="100">
        <f t="shared" si="148"/>
        <v>0</v>
      </c>
      <c r="AI153" s="109"/>
      <c r="AJ153" s="108">
        <f t="shared" si="149"/>
        <v>0</v>
      </c>
      <c r="AK153" s="108">
        <f t="shared" si="150"/>
        <v>0</v>
      </c>
      <c r="AL153" s="108">
        <f t="shared" si="151"/>
        <v>0</v>
      </c>
      <c r="AN153" s="100">
        <v>15</v>
      </c>
      <c r="AO153" s="100">
        <f t="shared" si="152"/>
        <v>0</v>
      </c>
      <c r="AP153" s="100">
        <f t="shared" si="153"/>
        <v>0</v>
      </c>
      <c r="AQ153" s="111" t="s">
        <v>13</v>
      </c>
      <c r="AV153" s="100">
        <f t="shared" si="154"/>
        <v>0</v>
      </c>
      <c r="AW153" s="100">
        <f t="shared" si="155"/>
        <v>0</v>
      </c>
      <c r="AX153" s="100">
        <f t="shared" si="156"/>
        <v>0</v>
      </c>
      <c r="AY153" s="110" t="s">
        <v>1710</v>
      </c>
      <c r="AZ153" s="110" t="s">
        <v>1733</v>
      </c>
      <c r="BA153" s="109" t="s">
        <v>1737</v>
      </c>
      <c r="BC153" s="100">
        <f t="shared" si="157"/>
        <v>0</v>
      </c>
      <c r="BD153" s="100">
        <f t="shared" si="158"/>
        <v>0</v>
      </c>
      <c r="BE153" s="100">
        <v>0</v>
      </c>
      <c r="BF153" s="100">
        <f>153</f>
        <v>153</v>
      </c>
      <c r="BH153" s="108">
        <f t="shared" si="159"/>
        <v>0</v>
      </c>
      <c r="BI153" s="108">
        <f t="shared" si="160"/>
        <v>0</v>
      </c>
      <c r="BJ153" s="108">
        <f t="shared" si="161"/>
        <v>0</v>
      </c>
    </row>
    <row r="154" spans="1:62" x14ac:dyDescent="0.2">
      <c r="A154" s="117" t="s">
        <v>133</v>
      </c>
      <c r="B154" s="117" t="s">
        <v>4527</v>
      </c>
      <c r="C154" s="304" t="s">
        <v>1372</v>
      </c>
      <c r="D154" s="305"/>
      <c r="E154" s="305"/>
      <c r="F154" s="117" t="s">
        <v>1646</v>
      </c>
      <c r="G154" s="116">
        <v>17</v>
      </c>
      <c r="H154" s="159"/>
      <c r="I154" s="108">
        <f t="shared" si="138"/>
        <v>0</v>
      </c>
      <c r="J154" s="108">
        <f t="shared" si="139"/>
        <v>0</v>
      </c>
      <c r="K154" s="108">
        <f t="shared" si="140"/>
        <v>0</v>
      </c>
      <c r="L154" s="111"/>
      <c r="Z154" s="100">
        <f t="shared" si="141"/>
        <v>0</v>
      </c>
      <c r="AB154" s="100">
        <f t="shared" si="142"/>
        <v>0</v>
      </c>
      <c r="AC154" s="100">
        <f t="shared" si="143"/>
        <v>0</v>
      </c>
      <c r="AD154" s="100">
        <f t="shared" si="144"/>
        <v>0</v>
      </c>
      <c r="AE154" s="100">
        <f t="shared" si="145"/>
        <v>0</v>
      </c>
      <c r="AF154" s="100">
        <f t="shared" si="146"/>
        <v>0</v>
      </c>
      <c r="AG154" s="100">
        <f t="shared" si="147"/>
        <v>0</v>
      </c>
      <c r="AH154" s="100">
        <f t="shared" si="148"/>
        <v>0</v>
      </c>
      <c r="AI154" s="109"/>
      <c r="AJ154" s="108">
        <f t="shared" si="149"/>
        <v>0</v>
      </c>
      <c r="AK154" s="108">
        <f t="shared" si="150"/>
        <v>0</v>
      </c>
      <c r="AL154" s="108">
        <f t="shared" si="151"/>
        <v>0</v>
      </c>
      <c r="AN154" s="100">
        <v>15</v>
      </c>
      <c r="AO154" s="100">
        <f t="shared" si="152"/>
        <v>0</v>
      </c>
      <c r="AP154" s="100">
        <f t="shared" si="153"/>
        <v>0</v>
      </c>
      <c r="AQ154" s="111" t="s">
        <v>13</v>
      </c>
      <c r="AV154" s="100">
        <f t="shared" si="154"/>
        <v>0</v>
      </c>
      <c r="AW154" s="100">
        <f t="shared" si="155"/>
        <v>0</v>
      </c>
      <c r="AX154" s="100">
        <f t="shared" si="156"/>
        <v>0</v>
      </c>
      <c r="AY154" s="110" t="s">
        <v>1710</v>
      </c>
      <c r="AZ154" s="110" t="s">
        <v>1733</v>
      </c>
      <c r="BA154" s="109" t="s">
        <v>1737</v>
      </c>
      <c r="BC154" s="100">
        <f t="shared" si="157"/>
        <v>0</v>
      </c>
      <c r="BD154" s="100">
        <f t="shared" si="158"/>
        <v>0</v>
      </c>
      <c r="BE154" s="100">
        <v>0</v>
      </c>
      <c r="BF154" s="100">
        <f>154</f>
        <v>154</v>
      </c>
      <c r="BH154" s="108">
        <f t="shared" si="159"/>
        <v>0</v>
      </c>
      <c r="BI154" s="108">
        <f t="shared" si="160"/>
        <v>0</v>
      </c>
      <c r="BJ154" s="108">
        <f t="shared" si="161"/>
        <v>0</v>
      </c>
    </row>
    <row r="155" spans="1:62" x14ac:dyDescent="0.2">
      <c r="A155" s="117" t="s">
        <v>134</v>
      </c>
      <c r="B155" s="117" t="s">
        <v>4526</v>
      </c>
      <c r="C155" s="304" t="s">
        <v>1374</v>
      </c>
      <c r="D155" s="305"/>
      <c r="E155" s="305"/>
      <c r="F155" s="117" t="s">
        <v>1646</v>
      </c>
      <c r="G155" s="116">
        <v>10</v>
      </c>
      <c r="H155" s="159"/>
      <c r="I155" s="108">
        <f t="shared" si="138"/>
        <v>0</v>
      </c>
      <c r="J155" s="108">
        <f t="shared" si="139"/>
        <v>0</v>
      </c>
      <c r="K155" s="108">
        <f t="shared" si="140"/>
        <v>0</v>
      </c>
      <c r="L155" s="111"/>
      <c r="Z155" s="100">
        <f t="shared" si="141"/>
        <v>0</v>
      </c>
      <c r="AB155" s="100">
        <f t="shared" si="142"/>
        <v>0</v>
      </c>
      <c r="AC155" s="100">
        <f t="shared" si="143"/>
        <v>0</v>
      </c>
      <c r="AD155" s="100">
        <f t="shared" si="144"/>
        <v>0</v>
      </c>
      <c r="AE155" s="100">
        <f t="shared" si="145"/>
        <v>0</v>
      </c>
      <c r="AF155" s="100">
        <f t="shared" si="146"/>
        <v>0</v>
      </c>
      <c r="AG155" s="100">
        <f t="shared" si="147"/>
        <v>0</v>
      </c>
      <c r="AH155" s="100">
        <f t="shared" si="148"/>
        <v>0</v>
      </c>
      <c r="AI155" s="109"/>
      <c r="AJ155" s="108">
        <f t="shared" si="149"/>
        <v>0</v>
      </c>
      <c r="AK155" s="108">
        <f t="shared" si="150"/>
        <v>0</v>
      </c>
      <c r="AL155" s="108">
        <f t="shared" si="151"/>
        <v>0</v>
      </c>
      <c r="AN155" s="100">
        <v>15</v>
      </c>
      <c r="AO155" s="100">
        <f t="shared" si="152"/>
        <v>0</v>
      </c>
      <c r="AP155" s="100">
        <f t="shared" si="153"/>
        <v>0</v>
      </c>
      <c r="AQ155" s="111" t="s">
        <v>13</v>
      </c>
      <c r="AV155" s="100">
        <f t="shared" si="154"/>
        <v>0</v>
      </c>
      <c r="AW155" s="100">
        <f t="shared" si="155"/>
        <v>0</v>
      </c>
      <c r="AX155" s="100">
        <f t="shared" si="156"/>
        <v>0</v>
      </c>
      <c r="AY155" s="110" t="s">
        <v>1710</v>
      </c>
      <c r="AZ155" s="110" t="s">
        <v>1733</v>
      </c>
      <c r="BA155" s="109" t="s">
        <v>1737</v>
      </c>
      <c r="BC155" s="100">
        <f t="shared" si="157"/>
        <v>0</v>
      </c>
      <c r="BD155" s="100">
        <f t="shared" si="158"/>
        <v>0</v>
      </c>
      <c r="BE155" s="100">
        <v>0</v>
      </c>
      <c r="BF155" s="100">
        <f>155</f>
        <v>155</v>
      </c>
      <c r="BH155" s="108">
        <f t="shared" si="159"/>
        <v>0</v>
      </c>
      <c r="BI155" s="108">
        <f t="shared" si="160"/>
        <v>0</v>
      </c>
      <c r="BJ155" s="108">
        <f t="shared" si="161"/>
        <v>0</v>
      </c>
    </row>
    <row r="156" spans="1:62" x14ac:dyDescent="0.2">
      <c r="A156" s="117" t="s">
        <v>135</v>
      </c>
      <c r="B156" s="117" t="s">
        <v>4525</v>
      </c>
      <c r="C156" s="304" t="s">
        <v>1375</v>
      </c>
      <c r="D156" s="305"/>
      <c r="E156" s="305"/>
      <c r="F156" s="117" t="s">
        <v>1646</v>
      </c>
      <c r="G156" s="116">
        <v>10</v>
      </c>
      <c r="H156" s="159"/>
      <c r="I156" s="108">
        <f t="shared" si="138"/>
        <v>0</v>
      </c>
      <c r="J156" s="108">
        <f t="shared" si="139"/>
        <v>0</v>
      </c>
      <c r="K156" s="108">
        <f t="shared" si="140"/>
        <v>0</v>
      </c>
      <c r="L156" s="111"/>
      <c r="Z156" s="100">
        <f t="shared" si="141"/>
        <v>0</v>
      </c>
      <c r="AB156" s="100">
        <f t="shared" si="142"/>
        <v>0</v>
      </c>
      <c r="AC156" s="100">
        <f t="shared" si="143"/>
        <v>0</v>
      </c>
      <c r="AD156" s="100">
        <f t="shared" si="144"/>
        <v>0</v>
      </c>
      <c r="AE156" s="100">
        <f t="shared" si="145"/>
        <v>0</v>
      </c>
      <c r="AF156" s="100">
        <f t="shared" si="146"/>
        <v>0</v>
      </c>
      <c r="AG156" s="100">
        <f t="shared" si="147"/>
        <v>0</v>
      </c>
      <c r="AH156" s="100">
        <f t="shared" si="148"/>
        <v>0</v>
      </c>
      <c r="AI156" s="109"/>
      <c r="AJ156" s="108">
        <f t="shared" si="149"/>
        <v>0</v>
      </c>
      <c r="AK156" s="108">
        <f t="shared" si="150"/>
        <v>0</v>
      </c>
      <c r="AL156" s="108">
        <f t="shared" si="151"/>
        <v>0</v>
      </c>
      <c r="AN156" s="100">
        <v>15</v>
      </c>
      <c r="AO156" s="100">
        <f t="shared" si="152"/>
        <v>0</v>
      </c>
      <c r="AP156" s="100">
        <f t="shared" si="153"/>
        <v>0</v>
      </c>
      <c r="AQ156" s="111" t="s">
        <v>13</v>
      </c>
      <c r="AV156" s="100">
        <f t="shared" si="154"/>
        <v>0</v>
      </c>
      <c r="AW156" s="100">
        <f t="shared" si="155"/>
        <v>0</v>
      </c>
      <c r="AX156" s="100">
        <f t="shared" si="156"/>
        <v>0</v>
      </c>
      <c r="AY156" s="110" t="s">
        <v>1710</v>
      </c>
      <c r="AZ156" s="110" t="s">
        <v>1733</v>
      </c>
      <c r="BA156" s="109" t="s">
        <v>1737</v>
      </c>
      <c r="BC156" s="100">
        <f t="shared" si="157"/>
        <v>0</v>
      </c>
      <c r="BD156" s="100">
        <f t="shared" si="158"/>
        <v>0</v>
      </c>
      <c r="BE156" s="100">
        <v>0</v>
      </c>
      <c r="BF156" s="100">
        <f>156</f>
        <v>156</v>
      </c>
      <c r="BH156" s="108">
        <f t="shared" si="159"/>
        <v>0</v>
      </c>
      <c r="BI156" s="108">
        <f t="shared" si="160"/>
        <v>0</v>
      </c>
      <c r="BJ156" s="108">
        <f t="shared" si="161"/>
        <v>0</v>
      </c>
    </row>
    <row r="157" spans="1:62" x14ac:dyDescent="0.2">
      <c r="A157" s="117" t="s">
        <v>136</v>
      </c>
      <c r="B157" s="117" t="s">
        <v>4524</v>
      </c>
      <c r="C157" s="304" t="s">
        <v>1376</v>
      </c>
      <c r="D157" s="305"/>
      <c r="E157" s="305"/>
      <c r="F157" s="117" t="s">
        <v>1646</v>
      </c>
      <c r="G157" s="116">
        <v>10</v>
      </c>
      <c r="H157" s="159"/>
      <c r="I157" s="108">
        <f t="shared" si="138"/>
        <v>0</v>
      </c>
      <c r="J157" s="108">
        <f t="shared" si="139"/>
        <v>0</v>
      </c>
      <c r="K157" s="108">
        <f t="shared" si="140"/>
        <v>0</v>
      </c>
      <c r="L157" s="111"/>
      <c r="Z157" s="100">
        <f t="shared" si="141"/>
        <v>0</v>
      </c>
      <c r="AB157" s="100">
        <f t="shared" si="142"/>
        <v>0</v>
      </c>
      <c r="AC157" s="100">
        <f t="shared" si="143"/>
        <v>0</v>
      </c>
      <c r="AD157" s="100">
        <f t="shared" si="144"/>
        <v>0</v>
      </c>
      <c r="AE157" s="100">
        <f t="shared" si="145"/>
        <v>0</v>
      </c>
      <c r="AF157" s="100">
        <f t="shared" si="146"/>
        <v>0</v>
      </c>
      <c r="AG157" s="100">
        <f t="shared" si="147"/>
        <v>0</v>
      </c>
      <c r="AH157" s="100">
        <f t="shared" si="148"/>
        <v>0</v>
      </c>
      <c r="AI157" s="109"/>
      <c r="AJ157" s="108">
        <f t="shared" si="149"/>
        <v>0</v>
      </c>
      <c r="AK157" s="108">
        <f t="shared" si="150"/>
        <v>0</v>
      </c>
      <c r="AL157" s="108">
        <f t="shared" si="151"/>
        <v>0</v>
      </c>
      <c r="AN157" s="100">
        <v>15</v>
      </c>
      <c r="AO157" s="100">
        <f t="shared" si="152"/>
        <v>0</v>
      </c>
      <c r="AP157" s="100">
        <f t="shared" si="153"/>
        <v>0</v>
      </c>
      <c r="AQ157" s="111" t="s">
        <v>13</v>
      </c>
      <c r="AV157" s="100">
        <f t="shared" si="154"/>
        <v>0</v>
      </c>
      <c r="AW157" s="100">
        <f t="shared" si="155"/>
        <v>0</v>
      </c>
      <c r="AX157" s="100">
        <f t="shared" si="156"/>
        <v>0</v>
      </c>
      <c r="AY157" s="110" t="s">
        <v>1710</v>
      </c>
      <c r="AZ157" s="110" t="s">
        <v>1733</v>
      </c>
      <c r="BA157" s="109" t="s">
        <v>1737</v>
      </c>
      <c r="BC157" s="100">
        <f t="shared" si="157"/>
        <v>0</v>
      </c>
      <c r="BD157" s="100">
        <f t="shared" si="158"/>
        <v>0</v>
      </c>
      <c r="BE157" s="100">
        <v>0</v>
      </c>
      <c r="BF157" s="100">
        <f>157</f>
        <v>157</v>
      </c>
      <c r="BH157" s="108">
        <f t="shared" si="159"/>
        <v>0</v>
      </c>
      <c r="BI157" s="108">
        <f t="shared" si="160"/>
        <v>0</v>
      </c>
      <c r="BJ157" s="108">
        <f t="shared" si="161"/>
        <v>0</v>
      </c>
    </row>
    <row r="158" spans="1:62" x14ac:dyDescent="0.2">
      <c r="A158" s="117" t="s">
        <v>137</v>
      </c>
      <c r="B158" s="117" t="s">
        <v>4523</v>
      </c>
      <c r="C158" s="304" t="s">
        <v>1377</v>
      </c>
      <c r="D158" s="305"/>
      <c r="E158" s="305"/>
      <c r="F158" s="117" t="s">
        <v>1646</v>
      </c>
      <c r="G158" s="116">
        <v>27</v>
      </c>
      <c r="H158" s="159"/>
      <c r="I158" s="108">
        <f t="shared" si="138"/>
        <v>0</v>
      </c>
      <c r="J158" s="108">
        <f t="shared" si="139"/>
        <v>0</v>
      </c>
      <c r="K158" s="108">
        <f t="shared" si="140"/>
        <v>0</v>
      </c>
      <c r="L158" s="111"/>
      <c r="Z158" s="100">
        <f t="shared" si="141"/>
        <v>0</v>
      </c>
      <c r="AB158" s="100">
        <f t="shared" si="142"/>
        <v>0</v>
      </c>
      <c r="AC158" s="100">
        <f t="shared" si="143"/>
        <v>0</v>
      </c>
      <c r="AD158" s="100">
        <f t="shared" si="144"/>
        <v>0</v>
      </c>
      <c r="AE158" s="100">
        <f t="shared" si="145"/>
        <v>0</v>
      </c>
      <c r="AF158" s="100">
        <f t="shared" si="146"/>
        <v>0</v>
      </c>
      <c r="AG158" s="100">
        <f t="shared" si="147"/>
        <v>0</v>
      </c>
      <c r="AH158" s="100">
        <f t="shared" si="148"/>
        <v>0</v>
      </c>
      <c r="AI158" s="109"/>
      <c r="AJ158" s="108">
        <f t="shared" si="149"/>
        <v>0</v>
      </c>
      <c r="AK158" s="108">
        <f t="shared" si="150"/>
        <v>0</v>
      </c>
      <c r="AL158" s="108">
        <f t="shared" si="151"/>
        <v>0</v>
      </c>
      <c r="AN158" s="100">
        <v>15</v>
      </c>
      <c r="AO158" s="100">
        <f t="shared" si="152"/>
        <v>0</v>
      </c>
      <c r="AP158" s="100">
        <f t="shared" si="153"/>
        <v>0</v>
      </c>
      <c r="AQ158" s="111" t="s">
        <v>13</v>
      </c>
      <c r="AV158" s="100">
        <f t="shared" si="154"/>
        <v>0</v>
      </c>
      <c r="AW158" s="100">
        <f t="shared" si="155"/>
        <v>0</v>
      </c>
      <c r="AX158" s="100">
        <f t="shared" si="156"/>
        <v>0</v>
      </c>
      <c r="AY158" s="110" t="s">
        <v>1710</v>
      </c>
      <c r="AZ158" s="110" t="s">
        <v>1733</v>
      </c>
      <c r="BA158" s="109" t="s">
        <v>1737</v>
      </c>
      <c r="BC158" s="100">
        <f t="shared" si="157"/>
        <v>0</v>
      </c>
      <c r="BD158" s="100">
        <f t="shared" si="158"/>
        <v>0</v>
      </c>
      <c r="BE158" s="100">
        <v>0</v>
      </c>
      <c r="BF158" s="100">
        <f>158</f>
        <v>158</v>
      </c>
      <c r="BH158" s="108">
        <f t="shared" si="159"/>
        <v>0</v>
      </c>
      <c r="BI158" s="108">
        <f t="shared" si="160"/>
        <v>0</v>
      </c>
      <c r="BJ158" s="108">
        <f t="shared" si="161"/>
        <v>0</v>
      </c>
    </row>
    <row r="159" spans="1:62" x14ac:dyDescent="0.2">
      <c r="A159" s="117" t="s">
        <v>138</v>
      </c>
      <c r="B159" s="117" t="s">
        <v>4522</v>
      </c>
      <c r="C159" s="304" t="s">
        <v>1378</v>
      </c>
      <c r="D159" s="305"/>
      <c r="E159" s="305"/>
      <c r="F159" s="117" t="s">
        <v>1646</v>
      </c>
      <c r="G159" s="116">
        <v>10</v>
      </c>
      <c r="H159" s="159"/>
      <c r="I159" s="108">
        <f t="shared" si="138"/>
        <v>0</v>
      </c>
      <c r="J159" s="108">
        <f t="shared" si="139"/>
        <v>0</v>
      </c>
      <c r="K159" s="108">
        <f t="shared" si="140"/>
        <v>0</v>
      </c>
      <c r="L159" s="111"/>
      <c r="Z159" s="100">
        <f t="shared" si="141"/>
        <v>0</v>
      </c>
      <c r="AB159" s="100">
        <f t="shared" si="142"/>
        <v>0</v>
      </c>
      <c r="AC159" s="100">
        <f t="shared" si="143"/>
        <v>0</v>
      </c>
      <c r="AD159" s="100">
        <f t="shared" si="144"/>
        <v>0</v>
      </c>
      <c r="AE159" s="100">
        <f t="shared" si="145"/>
        <v>0</v>
      </c>
      <c r="AF159" s="100">
        <f t="shared" si="146"/>
        <v>0</v>
      </c>
      <c r="AG159" s="100">
        <f t="shared" si="147"/>
        <v>0</v>
      </c>
      <c r="AH159" s="100">
        <f t="shared" si="148"/>
        <v>0</v>
      </c>
      <c r="AI159" s="109"/>
      <c r="AJ159" s="108">
        <f t="shared" si="149"/>
        <v>0</v>
      </c>
      <c r="AK159" s="108">
        <f t="shared" si="150"/>
        <v>0</v>
      </c>
      <c r="AL159" s="108">
        <f t="shared" si="151"/>
        <v>0</v>
      </c>
      <c r="AN159" s="100">
        <v>15</v>
      </c>
      <c r="AO159" s="100">
        <f t="shared" si="152"/>
        <v>0</v>
      </c>
      <c r="AP159" s="100">
        <f t="shared" si="153"/>
        <v>0</v>
      </c>
      <c r="AQ159" s="111" t="s">
        <v>13</v>
      </c>
      <c r="AV159" s="100">
        <f t="shared" si="154"/>
        <v>0</v>
      </c>
      <c r="AW159" s="100">
        <f t="shared" si="155"/>
        <v>0</v>
      </c>
      <c r="AX159" s="100">
        <f t="shared" si="156"/>
        <v>0</v>
      </c>
      <c r="AY159" s="110" t="s">
        <v>1710</v>
      </c>
      <c r="AZ159" s="110" t="s">
        <v>1733</v>
      </c>
      <c r="BA159" s="109" t="s">
        <v>1737</v>
      </c>
      <c r="BC159" s="100">
        <f t="shared" si="157"/>
        <v>0</v>
      </c>
      <c r="BD159" s="100">
        <f t="shared" si="158"/>
        <v>0</v>
      </c>
      <c r="BE159" s="100">
        <v>0</v>
      </c>
      <c r="BF159" s="100">
        <f>159</f>
        <v>159</v>
      </c>
      <c r="BH159" s="108">
        <f t="shared" si="159"/>
        <v>0</v>
      </c>
      <c r="BI159" s="108">
        <f t="shared" si="160"/>
        <v>0</v>
      </c>
      <c r="BJ159" s="108">
        <f t="shared" si="161"/>
        <v>0</v>
      </c>
    </row>
    <row r="160" spans="1:62" x14ac:dyDescent="0.2">
      <c r="A160" s="119"/>
      <c r="B160" s="120" t="s">
        <v>798</v>
      </c>
      <c r="C160" s="306" t="s">
        <v>1379</v>
      </c>
      <c r="D160" s="307"/>
      <c r="E160" s="307"/>
      <c r="F160" s="119" t="s">
        <v>6</v>
      </c>
      <c r="G160" s="119" t="s">
        <v>6</v>
      </c>
      <c r="H160" s="119" t="s">
        <v>6</v>
      </c>
      <c r="I160" s="118">
        <f>SUM(I161:I183)</f>
        <v>0</v>
      </c>
      <c r="J160" s="118">
        <f>SUM(J161:J183)</f>
        <v>0</v>
      </c>
      <c r="K160" s="118">
        <f>SUM(K161:K183)</f>
        <v>0</v>
      </c>
      <c r="L160" s="109"/>
      <c r="AI160" s="109"/>
      <c r="AS160" s="118">
        <f>SUM(AJ161:AJ183)</f>
        <v>0</v>
      </c>
      <c r="AT160" s="118">
        <f>SUM(AK161:AK183)</f>
        <v>0</v>
      </c>
      <c r="AU160" s="118">
        <f>SUM(AL161:AL183)</f>
        <v>0</v>
      </c>
    </row>
    <row r="161" spans="1:62" x14ac:dyDescent="0.2">
      <c r="A161" s="117" t="s">
        <v>139</v>
      </c>
      <c r="B161" s="117" t="s">
        <v>4521</v>
      </c>
      <c r="C161" s="304" t="s">
        <v>1380</v>
      </c>
      <c r="D161" s="305"/>
      <c r="E161" s="305"/>
      <c r="F161" s="117" t="s">
        <v>1646</v>
      </c>
      <c r="G161" s="116">
        <v>2</v>
      </c>
      <c r="H161" s="159"/>
      <c r="I161" s="108">
        <f t="shared" ref="I161:I183" si="162">G161*AO161</f>
        <v>0</v>
      </c>
      <c r="J161" s="108">
        <f t="shared" ref="J161:J183" si="163">G161*AP161</f>
        <v>0</v>
      </c>
      <c r="K161" s="108">
        <f t="shared" ref="K161:K183" si="164">G161*H161</f>
        <v>0</v>
      </c>
      <c r="L161" s="111"/>
      <c r="Z161" s="100">
        <f t="shared" ref="Z161:Z183" si="165">IF(AQ161="5",BJ161,0)</f>
        <v>0</v>
      </c>
      <c r="AB161" s="100">
        <f t="shared" ref="AB161:AB183" si="166">IF(AQ161="1",BH161,0)</f>
        <v>0</v>
      </c>
      <c r="AC161" s="100">
        <f t="shared" ref="AC161:AC183" si="167">IF(AQ161="1",BI161,0)</f>
        <v>0</v>
      </c>
      <c r="AD161" s="100">
        <f t="shared" ref="AD161:AD183" si="168">IF(AQ161="7",BH161,0)</f>
        <v>0</v>
      </c>
      <c r="AE161" s="100">
        <f t="shared" ref="AE161:AE183" si="169">IF(AQ161="7",BI161,0)</f>
        <v>0</v>
      </c>
      <c r="AF161" s="100">
        <f t="shared" ref="AF161:AF183" si="170">IF(AQ161="2",BH161,0)</f>
        <v>0</v>
      </c>
      <c r="AG161" s="100">
        <f t="shared" ref="AG161:AG183" si="171">IF(AQ161="2",BI161,0)</f>
        <v>0</v>
      </c>
      <c r="AH161" s="100">
        <f t="shared" ref="AH161:AH183" si="172">IF(AQ161="0",BJ161,0)</f>
        <v>0</v>
      </c>
      <c r="AI161" s="109"/>
      <c r="AJ161" s="108">
        <f t="shared" ref="AJ161:AJ183" si="173">IF(AN161=0,K161,0)</f>
        <v>0</v>
      </c>
      <c r="AK161" s="108">
        <f t="shared" ref="AK161:AK183" si="174">IF(AN161=15,K161,0)</f>
        <v>0</v>
      </c>
      <c r="AL161" s="108">
        <f t="shared" ref="AL161:AL183" si="175">IF(AN161=21,K161,0)</f>
        <v>0</v>
      </c>
      <c r="AN161" s="100">
        <v>15</v>
      </c>
      <c r="AO161" s="100">
        <f t="shared" ref="AO161:AO183" si="176">H161*0</f>
        <v>0</v>
      </c>
      <c r="AP161" s="100">
        <f t="shared" ref="AP161:AP183" si="177">H161*(1-0)</f>
        <v>0</v>
      </c>
      <c r="AQ161" s="111" t="s">
        <v>13</v>
      </c>
      <c r="AV161" s="100">
        <f t="shared" ref="AV161:AV183" si="178">AW161+AX161</f>
        <v>0</v>
      </c>
      <c r="AW161" s="100">
        <f t="shared" ref="AW161:AW183" si="179">G161*AO161</f>
        <v>0</v>
      </c>
      <c r="AX161" s="100">
        <f t="shared" ref="AX161:AX183" si="180">G161*AP161</f>
        <v>0</v>
      </c>
      <c r="AY161" s="110" t="s">
        <v>1711</v>
      </c>
      <c r="AZ161" s="110" t="s">
        <v>1733</v>
      </c>
      <c r="BA161" s="109" t="s">
        <v>1737</v>
      </c>
      <c r="BC161" s="100">
        <f t="shared" ref="BC161:BC183" si="181">AW161+AX161</f>
        <v>0</v>
      </c>
      <c r="BD161" s="100">
        <f t="shared" ref="BD161:BD183" si="182">H161/(100-BE161)*100</f>
        <v>0</v>
      </c>
      <c r="BE161" s="100">
        <v>0</v>
      </c>
      <c r="BF161" s="100">
        <f>161</f>
        <v>161</v>
      </c>
      <c r="BH161" s="108">
        <f t="shared" ref="BH161:BH183" si="183">G161*AO161</f>
        <v>0</v>
      </c>
      <c r="BI161" s="108">
        <f t="shared" ref="BI161:BI183" si="184">G161*AP161</f>
        <v>0</v>
      </c>
      <c r="BJ161" s="108">
        <f t="shared" ref="BJ161:BJ183" si="185">G161*H161</f>
        <v>0</v>
      </c>
    </row>
    <row r="162" spans="1:62" x14ac:dyDescent="0.2">
      <c r="A162" s="117" t="s">
        <v>140</v>
      </c>
      <c r="B162" s="117" t="s">
        <v>4520</v>
      </c>
      <c r="C162" s="304" t="s">
        <v>1381</v>
      </c>
      <c r="D162" s="305"/>
      <c r="E162" s="305"/>
      <c r="F162" s="117" t="s">
        <v>1644</v>
      </c>
      <c r="G162" s="116">
        <v>1</v>
      </c>
      <c r="H162" s="159"/>
      <c r="I162" s="108">
        <f t="shared" si="162"/>
        <v>0</v>
      </c>
      <c r="J162" s="108">
        <f t="shared" si="163"/>
        <v>0</v>
      </c>
      <c r="K162" s="108">
        <f t="shared" si="164"/>
        <v>0</v>
      </c>
      <c r="L162" s="111"/>
      <c r="Z162" s="100">
        <f t="shared" si="165"/>
        <v>0</v>
      </c>
      <c r="AB162" s="100">
        <f t="shared" si="166"/>
        <v>0</v>
      </c>
      <c r="AC162" s="100">
        <f t="shared" si="167"/>
        <v>0</v>
      </c>
      <c r="AD162" s="100">
        <f t="shared" si="168"/>
        <v>0</v>
      </c>
      <c r="AE162" s="100">
        <f t="shared" si="169"/>
        <v>0</v>
      </c>
      <c r="AF162" s="100">
        <f t="shared" si="170"/>
        <v>0</v>
      </c>
      <c r="AG162" s="100">
        <f t="shared" si="171"/>
        <v>0</v>
      </c>
      <c r="AH162" s="100">
        <f t="shared" si="172"/>
        <v>0</v>
      </c>
      <c r="AI162" s="109"/>
      <c r="AJ162" s="108">
        <f t="shared" si="173"/>
        <v>0</v>
      </c>
      <c r="AK162" s="108">
        <f t="shared" si="174"/>
        <v>0</v>
      </c>
      <c r="AL162" s="108">
        <f t="shared" si="175"/>
        <v>0</v>
      </c>
      <c r="AN162" s="100">
        <v>15</v>
      </c>
      <c r="AO162" s="100">
        <f t="shared" si="176"/>
        <v>0</v>
      </c>
      <c r="AP162" s="100">
        <f t="shared" si="177"/>
        <v>0</v>
      </c>
      <c r="AQ162" s="111" t="s">
        <v>13</v>
      </c>
      <c r="AV162" s="100">
        <f t="shared" si="178"/>
        <v>0</v>
      </c>
      <c r="AW162" s="100">
        <f t="shared" si="179"/>
        <v>0</v>
      </c>
      <c r="AX162" s="100">
        <f t="shared" si="180"/>
        <v>0</v>
      </c>
      <c r="AY162" s="110" t="s">
        <v>1711</v>
      </c>
      <c r="AZ162" s="110" t="s">
        <v>1733</v>
      </c>
      <c r="BA162" s="109" t="s">
        <v>1737</v>
      </c>
      <c r="BC162" s="100">
        <f t="shared" si="181"/>
        <v>0</v>
      </c>
      <c r="BD162" s="100">
        <f t="shared" si="182"/>
        <v>0</v>
      </c>
      <c r="BE162" s="100">
        <v>0</v>
      </c>
      <c r="BF162" s="100">
        <f>162</f>
        <v>162</v>
      </c>
      <c r="BH162" s="108">
        <f t="shared" si="183"/>
        <v>0</v>
      </c>
      <c r="BI162" s="108">
        <f t="shared" si="184"/>
        <v>0</v>
      </c>
      <c r="BJ162" s="108">
        <f t="shared" si="185"/>
        <v>0</v>
      </c>
    </row>
    <row r="163" spans="1:62" x14ac:dyDescent="0.2">
      <c r="A163" s="117" t="s">
        <v>141</v>
      </c>
      <c r="B163" s="117" t="s">
        <v>4519</v>
      </c>
      <c r="C163" s="304" t="s">
        <v>1382</v>
      </c>
      <c r="D163" s="305"/>
      <c r="E163" s="305"/>
      <c r="F163" s="117" t="s">
        <v>1644</v>
      </c>
      <c r="G163" s="116">
        <v>2</v>
      </c>
      <c r="H163" s="159"/>
      <c r="I163" s="108">
        <f t="shared" si="162"/>
        <v>0</v>
      </c>
      <c r="J163" s="108">
        <f t="shared" si="163"/>
        <v>0</v>
      </c>
      <c r="K163" s="108">
        <f t="shared" si="164"/>
        <v>0</v>
      </c>
      <c r="L163" s="111"/>
      <c r="Z163" s="100">
        <f t="shared" si="165"/>
        <v>0</v>
      </c>
      <c r="AB163" s="100">
        <f t="shared" si="166"/>
        <v>0</v>
      </c>
      <c r="AC163" s="100">
        <f t="shared" si="167"/>
        <v>0</v>
      </c>
      <c r="AD163" s="100">
        <f t="shared" si="168"/>
        <v>0</v>
      </c>
      <c r="AE163" s="100">
        <f t="shared" si="169"/>
        <v>0</v>
      </c>
      <c r="AF163" s="100">
        <f t="shared" si="170"/>
        <v>0</v>
      </c>
      <c r="AG163" s="100">
        <f t="shared" si="171"/>
        <v>0</v>
      </c>
      <c r="AH163" s="100">
        <f t="shared" si="172"/>
        <v>0</v>
      </c>
      <c r="AI163" s="109"/>
      <c r="AJ163" s="108">
        <f t="shared" si="173"/>
        <v>0</v>
      </c>
      <c r="AK163" s="108">
        <f t="shared" si="174"/>
        <v>0</v>
      </c>
      <c r="AL163" s="108">
        <f t="shared" si="175"/>
        <v>0</v>
      </c>
      <c r="AN163" s="100">
        <v>15</v>
      </c>
      <c r="AO163" s="100">
        <f t="shared" si="176"/>
        <v>0</v>
      </c>
      <c r="AP163" s="100">
        <f t="shared" si="177"/>
        <v>0</v>
      </c>
      <c r="AQ163" s="111" t="s">
        <v>13</v>
      </c>
      <c r="AV163" s="100">
        <f t="shared" si="178"/>
        <v>0</v>
      </c>
      <c r="AW163" s="100">
        <f t="shared" si="179"/>
        <v>0</v>
      </c>
      <c r="AX163" s="100">
        <f t="shared" si="180"/>
        <v>0</v>
      </c>
      <c r="AY163" s="110" t="s">
        <v>1711</v>
      </c>
      <c r="AZ163" s="110" t="s">
        <v>1733</v>
      </c>
      <c r="BA163" s="109" t="s">
        <v>1737</v>
      </c>
      <c r="BC163" s="100">
        <f t="shared" si="181"/>
        <v>0</v>
      </c>
      <c r="BD163" s="100">
        <f t="shared" si="182"/>
        <v>0</v>
      </c>
      <c r="BE163" s="100">
        <v>0</v>
      </c>
      <c r="BF163" s="100">
        <f>163</f>
        <v>163</v>
      </c>
      <c r="BH163" s="108">
        <f t="shared" si="183"/>
        <v>0</v>
      </c>
      <c r="BI163" s="108">
        <f t="shared" si="184"/>
        <v>0</v>
      </c>
      <c r="BJ163" s="108">
        <f t="shared" si="185"/>
        <v>0</v>
      </c>
    </row>
    <row r="164" spans="1:62" x14ac:dyDescent="0.2">
      <c r="A164" s="117" t="s">
        <v>142</v>
      </c>
      <c r="B164" s="117" t="s">
        <v>4518</v>
      </c>
      <c r="C164" s="304" t="s">
        <v>1383</v>
      </c>
      <c r="D164" s="305"/>
      <c r="E164" s="305"/>
      <c r="F164" s="117" t="s">
        <v>1644</v>
      </c>
      <c r="G164" s="116">
        <v>1</v>
      </c>
      <c r="H164" s="159"/>
      <c r="I164" s="108">
        <f t="shared" si="162"/>
        <v>0</v>
      </c>
      <c r="J164" s="108">
        <f t="shared" si="163"/>
        <v>0</v>
      </c>
      <c r="K164" s="108">
        <f t="shared" si="164"/>
        <v>0</v>
      </c>
      <c r="L164" s="111"/>
      <c r="Z164" s="100">
        <f t="shared" si="165"/>
        <v>0</v>
      </c>
      <c r="AB164" s="100">
        <f t="shared" si="166"/>
        <v>0</v>
      </c>
      <c r="AC164" s="100">
        <f t="shared" si="167"/>
        <v>0</v>
      </c>
      <c r="AD164" s="100">
        <f t="shared" si="168"/>
        <v>0</v>
      </c>
      <c r="AE164" s="100">
        <f t="shared" si="169"/>
        <v>0</v>
      </c>
      <c r="AF164" s="100">
        <f t="shared" si="170"/>
        <v>0</v>
      </c>
      <c r="AG164" s="100">
        <f t="shared" si="171"/>
        <v>0</v>
      </c>
      <c r="AH164" s="100">
        <f t="shared" si="172"/>
        <v>0</v>
      </c>
      <c r="AI164" s="109"/>
      <c r="AJ164" s="108">
        <f t="shared" si="173"/>
        <v>0</v>
      </c>
      <c r="AK164" s="108">
        <f t="shared" si="174"/>
        <v>0</v>
      </c>
      <c r="AL164" s="108">
        <f t="shared" si="175"/>
        <v>0</v>
      </c>
      <c r="AN164" s="100">
        <v>15</v>
      </c>
      <c r="AO164" s="100">
        <f t="shared" si="176"/>
        <v>0</v>
      </c>
      <c r="AP164" s="100">
        <f t="shared" si="177"/>
        <v>0</v>
      </c>
      <c r="AQ164" s="111" t="s">
        <v>13</v>
      </c>
      <c r="AV164" s="100">
        <f t="shared" si="178"/>
        <v>0</v>
      </c>
      <c r="AW164" s="100">
        <f t="shared" si="179"/>
        <v>0</v>
      </c>
      <c r="AX164" s="100">
        <f t="shared" si="180"/>
        <v>0</v>
      </c>
      <c r="AY164" s="110" t="s">
        <v>1711</v>
      </c>
      <c r="AZ164" s="110" t="s">
        <v>1733</v>
      </c>
      <c r="BA164" s="109" t="s">
        <v>1737</v>
      </c>
      <c r="BC164" s="100">
        <f t="shared" si="181"/>
        <v>0</v>
      </c>
      <c r="BD164" s="100">
        <f t="shared" si="182"/>
        <v>0</v>
      </c>
      <c r="BE164" s="100">
        <v>0</v>
      </c>
      <c r="BF164" s="100">
        <f>164</f>
        <v>164</v>
      </c>
      <c r="BH164" s="108">
        <f t="shared" si="183"/>
        <v>0</v>
      </c>
      <c r="BI164" s="108">
        <f t="shared" si="184"/>
        <v>0</v>
      </c>
      <c r="BJ164" s="108">
        <f t="shared" si="185"/>
        <v>0</v>
      </c>
    </row>
    <row r="165" spans="1:62" x14ac:dyDescent="0.2">
      <c r="A165" s="117" t="s">
        <v>143</v>
      </c>
      <c r="B165" s="117" t="s">
        <v>4517</v>
      </c>
      <c r="C165" s="304" t="s">
        <v>1384</v>
      </c>
      <c r="D165" s="305"/>
      <c r="E165" s="305"/>
      <c r="F165" s="117" t="s">
        <v>1644</v>
      </c>
      <c r="G165" s="116">
        <v>1</v>
      </c>
      <c r="H165" s="159"/>
      <c r="I165" s="108">
        <f t="shared" si="162"/>
        <v>0</v>
      </c>
      <c r="J165" s="108">
        <f t="shared" si="163"/>
        <v>0</v>
      </c>
      <c r="K165" s="108">
        <f t="shared" si="164"/>
        <v>0</v>
      </c>
      <c r="L165" s="111"/>
      <c r="Z165" s="100">
        <f t="shared" si="165"/>
        <v>0</v>
      </c>
      <c r="AB165" s="100">
        <f t="shared" si="166"/>
        <v>0</v>
      </c>
      <c r="AC165" s="100">
        <f t="shared" si="167"/>
        <v>0</v>
      </c>
      <c r="AD165" s="100">
        <f t="shared" si="168"/>
        <v>0</v>
      </c>
      <c r="AE165" s="100">
        <f t="shared" si="169"/>
        <v>0</v>
      </c>
      <c r="AF165" s="100">
        <f t="shared" si="170"/>
        <v>0</v>
      </c>
      <c r="AG165" s="100">
        <f t="shared" si="171"/>
        <v>0</v>
      </c>
      <c r="AH165" s="100">
        <f t="shared" si="172"/>
        <v>0</v>
      </c>
      <c r="AI165" s="109"/>
      <c r="AJ165" s="108">
        <f t="shared" si="173"/>
        <v>0</v>
      </c>
      <c r="AK165" s="108">
        <f t="shared" si="174"/>
        <v>0</v>
      </c>
      <c r="AL165" s="108">
        <f t="shared" si="175"/>
        <v>0</v>
      </c>
      <c r="AN165" s="100">
        <v>15</v>
      </c>
      <c r="AO165" s="100">
        <f t="shared" si="176"/>
        <v>0</v>
      </c>
      <c r="AP165" s="100">
        <f t="shared" si="177"/>
        <v>0</v>
      </c>
      <c r="AQ165" s="111" t="s">
        <v>13</v>
      </c>
      <c r="AV165" s="100">
        <f t="shared" si="178"/>
        <v>0</v>
      </c>
      <c r="AW165" s="100">
        <f t="shared" si="179"/>
        <v>0</v>
      </c>
      <c r="AX165" s="100">
        <f t="shared" si="180"/>
        <v>0</v>
      </c>
      <c r="AY165" s="110" t="s">
        <v>1711</v>
      </c>
      <c r="AZ165" s="110" t="s">
        <v>1733</v>
      </c>
      <c r="BA165" s="109" t="s">
        <v>1737</v>
      </c>
      <c r="BC165" s="100">
        <f t="shared" si="181"/>
        <v>0</v>
      </c>
      <c r="BD165" s="100">
        <f t="shared" si="182"/>
        <v>0</v>
      </c>
      <c r="BE165" s="100">
        <v>0</v>
      </c>
      <c r="BF165" s="100">
        <f>165</f>
        <v>165</v>
      </c>
      <c r="BH165" s="108">
        <f t="shared" si="183"/>
        <v>0</v>
      </c>
      <c r="BI165" s="108">
        <f t="shared" si="184"/>
        <v>0</v>
      </c>
      <c r="BJ165" s="108">
        <f t="shared" si="185"/>
        <v>0</v>
      </c>
    </row>
    <row r="166" spans="1:62" x14ac:dyDescent="0.2">
      <c r="A166" s="117" t="s">
        <v>144</v>
      </c>
      <c r="B166" s="117" t="s">
        <v>4516</v>
      </c>
      <c r="C166" s="304" t="s">
        <v>1385</v>
      </c>
      <c r="D166" s="305"/>
      <c r="E166" s="305"/>
      <c r="F166" s="117" t="s">
        <v>1646</v>
      </c>
      <c r="G166" s="116">
        <v>9</v>
      </c>
      <c r="H166" s="159"/>
      <c r="I166" s="108">
        <f t="shared" si="162"/>
        <v>0</v>
      </c>
      <c r="J166" s="108">
        <f t="shared" si="163"/>
        <v>0</v>
      </c>
      <c r="K166" s="108">
        <f t="shared" si="164"/>
        <v>0</v>
      </c>
      <c r="L166" s="111"/>
      <c r="Z166" s="100">
        <f t="shared" si="165"/>
        <v>0</v>
      </c>
      <c r="AB166" s="100">
        <f t="shared" si="166"/>
        <v>0</v>
      </c>
      <c r="AC166" s="100">
        <f t="shared" si="167"/>
        <v>0</v>
      </c>
      <c r="AD166" s="100">
        <f t="shared" si="168"/>
        <v>0</v>
      </c>
      <c r="AE166" s="100">
        <f t="shared" si="169"/>
        <v>0</v>
      </c>
      <c r="AF166" s="100">
        <f t="shared" si="170"/>
        <v>0</v>
      </c>
      <c r="AG166" s="100">
        <f t="shared" si="171"/>
        <v>0</v>
      </c>
      <c r="AH166" s="100">
        <f t="shared" si="172"/>
        <v>0</v>
      </c>
      <c r="AI166" s="109"/>
      <c r="AJ166" s="108">
        <f t="shared" si="173"/>
        <v>0</v>
      </c>
      <c r="AK166" s="108">
        <f t="shared" si="174"/>
        <v>0</v>
      </c>
      <c r="AL166" s="108">
        <f t="shared" si="175"/>
        <v>0</v>
      </c>
      <c r="AN166" s="100">
        <v>15</v>
      </c>
      <c r="AO166" s="100">
        <f t="shared" si="176"/>
        <v>0</v>
      </c>
      <c r="AP166" s="100">
        <f t="shared" si="177"/>
        <v>0</v>
      </c>
      <c r="AQ166" s="111" t="s">
        <v>13</v>
      </c>
      <c r="AV166" s="100">
        <f t="shared" si="178"/>
        <v>0</v>
      </c>
      <c r="AW166" s="100">
        <f t="shared" si="179"/>
        <v>0</v>
      </c>
      <c r="AX166" s="100">
        <f t="shared" si="180"/>
        <v>0</v>
      </c>
      <c r="AY166" s="110" t="s">
        <v>1711</v>
      </c>
      <c r="AZ166" s="110" t="s">
        <v>1733</v>
      </c>
      <c r="BA166" s="109" t="s">
        <v>1737</v>
      </c>
      <c r="BC166" s="100">
        <f t="shared" si="181"/>
        <v>0</v>
      </c>
      <c r="BD166" s="100">
        <f t="shared" si="182"/>
        <v>0</v>
      </c>
      <c r="BE166" s="100">
        <v>0</v>
      </c>
      <c r="BF166" s="100">
        <f>166</f>
        <v>166</v>
      </c>
      <c r="BH166" s="108">
        <f t="shared" si="183"/>
        <v>0</v>
      </c>
      <c r="BI166" s="108">
        <f t="shared" si="184"/>
        <v>0</v>
      </c>
      <c r="BJ166" s="108">
        <f t="shared" si="185"/>
        <v>0</v>
      </c>
    </row>
    <row r="167" spans="1:62" x14ac:dyDescent="0.2">
      <c r="A167" s="117" t="s">
        <v>145</v>
      </c>
      <c r="B167" s="117" t="s">
        <v>4515</v>
      </c>
      <c r="C167" s="304" t="s">
        <v>1386</v>
      </c>
      <c r="D167" s="305"/>
      <c r="E167" s="305"/>
      <c r="F167" s="117" t="s">
        <v>1644</v>
      </c>
      <c r="G167" s="116">
        <v>1</v>
      </c>
      <c r="H167" s="159"/>
      <c r="I167" s="108">
        <f t="shared" si="162"/>
        <v>0</v>
      </c>
      <c r="J167" s="108">
        <f t="shared" si="163"/>
        <v>0</v>
      </c>
      <c r="K167" s="108">
        <f t="shared" si="164"/>
        <v>0</v>
      </c>
      <c r="L167" s="111"/>
      <c r="Z167" s="100">
        <f t="shared" si="165"/>
        <v>0</v>
      </c>
      <c r="AB167" s="100">
        <f t="shared" si="166"/>
        <v>0</v>
      </c>
      <c r="AC167" s="100">
        <f t="shared" si="167"/>
        <v>0</v>
      </c>
      <c r="AD167" s="100">
        <f t="shared" si="168"/>
        <v>0</v>
      </c>
      <c r="AE167" s="100">
        <f t="shared" si="169"/>
        <v>0</v>
      </c>
      <c r="AF167" s="100">
        <f t="shared" si="170"/>
        <v>0</v>
      </c>
      <c r="AG167" s="100">
        <f t="shared" si="171"/>
        <v>0</v>
      </c>
      <c r="AH167" s="100">
        <f t="shared" si="172"/>
        <v>0</v>
      </c>
      <c r="AI167" s="109"/>
      <c r="AJ167" s="108">
        <f t="shared" si="173"/>
        <v>0</v>
      </c>
      <c r="AK167" s="108">
        <f t="shared" si="174"/>
        <v>0</v>
      </c>
      <c r="AL167" s="108">
        <f t="shared" si="175"/>
        <v>0</v>
      </c>
      <c r="AN167" s="100">
        <v>15</v>
      </c>
      <c r="AO167" s="100">
        <f t="shared" si="176"/>
        <v>0</v>
      </c>
      <c r="AP167" s="100">
        <f t="shared" si="177"/>
        <v>0</v>
      </c>
      <c r="AQ167" s="111" t="s">
        <v>13</v>
      </c>
      <c r="AV167" s="100">
        <f t="shared" si="178"/>
        <v>0</v>
      </c>
      <c r="AW167" s="100">
        <f t="shared" si="179"/>
        <v>0</v>
      </c>
      <c r="AX167" s="100">
        <f t="shared" si="180"/>
        <v>0</v>
      </c>
      <c r="AY167" s="110" t="s">
        <v>1711</v>
      </c>
      <c r="AZ167" s="110" t="s">
        <v>1733</v>
      </c>
      <c r="BA167" s="109" t="s">
        <v>1737</v>
      </c>
      <c r="BC167" s="100">
        <f t="shared" si="181"/>
        <v>0</v>
      </c>
      <c r="BD167" s="100">
        <f t="shared" si="182"/>
        <v>0</v>
      </c>
      <c r="BE167" s="100">
        <v>0</v>
      </c>
      <c r="BF167" s="100">
        <f>167</f>
        <v>167</v>
      </c>
      <c r="BH167" s="108">
        <f t="shared" si="183"/>
        <v>0</v>
      </c>
      <c r="BI167" s="108">
        <f t="shared" si="184"/>
        <v>0</v>
      </c>
      <c r="BJ167" s="108">
        <f t="shared" si="185"/>
        <v>0</v>
      </c>
    </row>
    <row r="168" spans="1:62" x14ac:dyDescent="0.2">
      <c r="A168" s="117" t="s">
        <v>146</v>
      </c>
      <c r="B168" s="117" t="s">
        <v>4514</v>
      </c>
      <c r="C168" s="304" t="s">
        <v>1387</v>
      </c>
      <c r="D168" s="305"/>
      <c r="E168" s="305"/>
      <c r="F168" s="117" t="s">
        <v>1644</v>
      </c>
      <c r="G168" s="116">
        <v>1</v>
      </c>
      <c r="H168" s="159"/>
      <c r="I168" s="108">
        <f t="shared" si="162"/>
        <v>0</v>
      </c>
      <c r="J168" s="108">
        <f t="shared" si="163"/>
        <v>0</v>
      </c>
      <c r="K168" s="108">
        <f t="shared" si="164"/>
        <v>0</v>
      </c>
      <c r="L168" s="111"/>
      <c r="Z168" s="100">
        <f t="shared" si="165"/>
        <v>0</v>
      </c>
      <c r="AB168" s="100">
        <f t="shared" si="166"/>
        <v>0</v>
      </c>
      <c r="AC168" s="100">
        <f t="shared" si="167"/>
        <v>0</v>
      </c>
      <c r="AD168" s="100">
        <f t="shared" si="168"/>
        <v>0</v>
      </c>
      <c r="AE168" s="100">
        <f t="shared" si="169"/>
        <v>0</v>
      </c>
      <c r="AF168" s="100">
        <f t="shared" si="170"/>
        <v>0</v>
      </c>
      <c r="AG168" s="100">
        <f t="shared" si="171"/>
        <v>0</v>
      </c>
      <c r="AH168" s="100">
        <f t="shared" si="172"/>
        <v>0</v>
      </c>
      <c r="AI168" s="109"/>
      <c r="AJ168" s="108">
        <f t="shared" si="173"/>
        <v>0</v>
      </c>
      <c r="AK168" s="108">
        <f t="shared" si="174"/>
        <v>0</v>
      </c>
      <c r="AL168" s="108">
        <f t="shared" si="175"/>
        <v>0</v>
      </c>
      <c r="AN168" s="100">
        <v>15</v>
      </c>
      <c r="AO168" s="100">
        <f t="shared" si="176"/>
        <v>0</v>
      </c>
      <c r="AP168" s="100">
        <f t="shared" si="177"/>
        <v>0</v>
      </c>
      <c r="AQ168" s="111" t="s">
        <v>13</v>
      </c>
      <c r="AV168" s="100">
        <f t="shared" si="178"/>
        <v>0</v>
      </c>
      <c r="AW168" s="100">
        <f t="shared" si="179"/>
        <v>0</v>
      </c>
      <c r="AX168" s="100">
        <f t="shared" si="180"/>
        <v>0</v>
      </c>
      <c r="AY168" s="110" t="s">
        <v>1711</v>
      </c>
      <c r="AZ168" s="110" t="s">
        <v>1733</v>
      </c>
      <c r="BA168" s="109" t="s">
        <v>1737</v>
      </c>
      <c r="BC168" s="100">
        <f t="shared" si="181"/>
        <v>0</v>
      </c>
      <c r="BD168" s="100">
        <f t="shared" si="182"/>
        <v>0</v>
      </c>
      <c r="BE168" s="100">
        <v>0</v>
      </c>
      <c r="BF168" s="100">
        <f>168</f>
        <v>168</v>
      </c>
      <c r="BH168" s="108">
        <f t="shared" si="183"/>
        <v>0</v>
      </c>
      <c r="BI168" s="108">
        <f t="shared" si="184"/>
        <v>0</v>
      </c>
      <c r="BJ168" s="108">
        <f t="shared" si="185"/>
        <v>0</v>
      </c>
    </row>
    <row r="169" spans="1:62" x14ac:dyDescent="0.2">
      <c r="A169" s="117" t="s">
        <v>147</v>
      </c>
      <c r="B169" s="117" t="s">
        <v>4513</v>
      </c>
      <c r="C169" s="304" t="s">
        <v>1388</v>
      </c>
      <c r="D169" s="305"/>
      <c r="E169" s="305"/>
      <c r="F169" s="117" t="s">
        <v>1644</v>
      </c>
      <c r="G169" s="116">
        <v>1</v>
      </c>
      <c r="H169" s="159"/>
      <c r="I169" s="108">
        <f t="shared" si="162"/>
        <v>0</v>
      </c>
      <c r="J169" s="108">
        <f t="shared" si="163"/>
        <v>0</v>
      </c>
      <c r="K169" s="108">
        <f t="shared" si="164"/>
        <v>0</v>
      </c>
      <c r="L169" s="111"/>
      <c r="Z169" s="100">
        <f t="shared" si="165"/>
        <v>0</v>
      </c>
      <c r="AB169" s="100">
        <f t="shared" si="166"/>
        <v>0</v>
      </c>
      <c r="AC169" s="100">
        <f t="shared" si="167"/>
        <v>0</v>
      </c>
      <c r="AD169" s="100">
        <f t="shared" si="168"/>
        <v>0</v>
      </c>
      <c r="AE169" s="100">
        <f t="shared" si="169"/>
        <v>0</v>
      </c>
      <c r="AF169" s="100">
        <f t="shared" si="170"/>
        <v>0</v>
      </c>
      <c r="AG169" s="100">
        <f t="shared" si="171"/>
        <v>0</v>
      </c>
      <c r="AH169" s="100">
        <f t="shared" si="172"/>
        <v>0</v>
      </c>
      <c r="AI169" s="109"/>
      <c r="AJ169" s="108">
        <f t="shared" si="173"/>
        <v>0</v>
      </c>
      <c r="AK169" s="108">
        <f t="shared" si="174"/>
        <v>0</v>
      </c>
      <c r="AL169" s="108">
        <f t="shared" si="175"/>
        <v>0</v>
      </c>
      <c r="AN169" s="100">
        <v>15</v>
      </c>
      <c r="AO169" s="100">
        <f t="shared" si="176"/>
        <v>0</v>
      </c>
      <c r="AP169" s="100">
        <f t="shared" si="177"/>
        <v>0</v>
      </c>
      <c r="AQ169" s="111" t="s">
        <v>13</v>
      </c>
      <c r="AV169" s="100">
        <f t="shared" si="178"/>
        <v>0</v>
      </c>
      <c r="AW169" s="100">
        <f t="shared" si="179"/>
        <v>0</v>
      </c>
      <c r="AX169" s="100">
        <f t="shared" si="180"/>
        <v>0</v>
      </c>
      <c r="AY169" s="110" t="s">
        <v>1711</v>
      </c>
      <c r="AZ169" s="110" t="s">
        <v>1733</v>
      </c>
      <c r="BA169" s="109" t="s">
        <v>1737</v>
      </c>
      <c r="BC169" s="100">
        <f t="shared" si="181"/>
        <v>0</v>
      </c>
      <c r="BD169" s="100">
        <f t="shared" si="182"/>
        <v>0</v>
      </c>
      <c r="BE169" s="100">
        <v>0</v>
      </c>
      <c r="BF169" s="100">
        <f>169</f>
        <v>169</v>
      </c>
      <c r="BH169" s="108">
        <f t="shared" si="183"/>
        <v>0</v>
      </c>
      <c r="BI169" s="108">
        <f t="shared" si="184"/>
        <v>0</v>
      </c>
      <c r="BJ169" s="108">
        <f t="shared" si="185"/>
        <v>0</v>
      </c>
    </row>
    <row r="170" spans="1:62" x14ac:dyDescent="0.2">
      <c r="A170" s="117" t="s">
        <v>148</v>
      </c>
      <c r="B170" s="117" t="s">
        <v>4512</v>
      </c>
      <c r="C170" s="304" t="s">
        <v>1389</v>
      </c>
      <c r="D170" s="305"/>
      <c r="E170" s="305"/>
      <c r="F170" s="117" t="s">
        <v>1644</v>
      </c>
      <c r="G170" s="116">
        <v>1</v>
      </c>
      <c r="H170" s="159"/>
      <c r="I170" s="108">
        <f t="shared" si="162"/>
        <v>0</v>
      </c>
      <c r="J170" s="108">
        <f t="shared" si="163"/>
        <v>0</v>
      </c>
      <c r="K170" s="108">
        <f t="shared" si="164"/>
        <v>0</v>
      </c>
      <c r="L170" s="111"/>
      <c r="Z170" s="100">
        <f t="shared" si="165"/>
        <v>0</v>
      </c>
      <c r="AB170" s="100">
        <f t="shared" si="166"/>
        <v>0</v>
      </c>
      <c r="AC170" s="100">
        <f t="shared" si="167"/>
        <v>0</v>
      </c>
      <c r="AD170" s="100">
        <f t="shared" si="168"/>
        <v>0</v>
      </c>
      <c r="AE170" s="100">
        <f t="shared" si="169"/>
        <v>0</v>
      </c>
      <c r="AF170" s="100">
        <f t="shared" si="170"/>
        <v>0</v>
      </c>
      <c r="AG170" s="100">
        <f t="shared" si="171"/>
        <v>0</v>
      </c>
      <c r="AH170" s="100">
        <f t="shared" si="172"/>
        <v>0</v>
      </c>
      <c r="AI170" s="109"/>
      <c r="AJ170" s="108">
        <f t="shared" si="173"/>
        <v>0</v>
      </c>
      <c r="AK170" s="108">
        <f t="shared" si="174"/>
        <v>0</v>
      </c>
      <c r="AL170" s="108">
        <f t="shared" si="175"/>
        <v>0</v>
      </c>
      <c r="AN170" s="100">
        <v>15</v>
      </c>
      <c r="AO170" s="100">
        <f t="shared" si="176"/>
        <v>0</v>
      </c>
      <c r="AP170" s="100">
        <f t="shared" si="177"/>
        <v>0</v>
      </c>
      <c r="AQ170" s="111" t="s">
        <v>13</v>
      </c>
      <c r="AV170" s="100">
        <f t="shared" si="178"/>
        <v>0</v>
      </c>
      <c r="AW170" s="100">
        <f t="shared" si="179"/>
        <v>0</v>
      </c>
      <c r="AX170" s="100">
        <f t="shared" si="180"/>
        <v>0</v>
      </c>
      <c r="AY170" s="110" t="s">
        <v>1711</v>
      </c>
      <c r="AZ170" s="110" t="s">
        <v>1733</v>
      </c>
      <c r="BA170" s="109" t="s">
        <v>1737</v>
      </c>
      <c r="BC170" s="100">
        <f t="shared" si="181"/>
        <v>0</v>
      </c>
      <c r="BD170" s="100">
        <f t="shared" si="182"/>
        <v>0</v>
      </c>
      <c r="BE170" s="100">
        <v>0</v>
      </c>
      <c r="BF170" s="100">
        <f>170</f>
        <v>170</v>
      </c>
      <c r="BH170" s="108">
        <f t="shared" si="183"/>
        <v>0</v>
      </c>
      <c r="BI170" s="108">
        <f t="shared" si="184"/>
        <v>0</v>
      </c>
      <c r="BJ170" s="108">
        <f t="shared" si="185"/>
        <v>0</v>
      </c>
    </row>
    <row r="171" spans="1:62" x14ac:dyDescent="0.2">
      <c r="A171" s="117" t="s">
        <v>149</v>
      </c>
      <c r="B171" s="117" t="s">
        <v>4511</v>
      </c>
      <c r="C171" s="304" t="s">
        <v>1380</v>
      </c>
      <c r="D171" s="305"/>
      <c r="E171" s="305"/>
      <c r="F171" s="117" t="s">
        <v>1646</v>
      </c>
      <c r="G171" s="116">
        <v>3</v>
      </c>
      <c r="H171" s="159"/>
      <c r="I171" s="108">
        <f t="shared" si="162"/>
        <v>0</v>
      </c>
      <c r="J171" s="108">
        <f t="shared" si="163"/>
        <v>0</v>
      </c>
      <c r="K171" s="108">
        <f t="shared" si="164"/>
        <v>0</v>
      </c>
      <c r="L171" s="111"/>
      <c r="Z171" s="100">
        <f t="shared" si="165"/>
        <v>0</v>
      </c>
      <c r="AB171" s="100">
        <f t="shared" si="166"/>
        <v>0</v>
      </c>
      <c r="AC171" s="100">
        <f t="shared" si="167"/>
        <v>0</v>
      </c>
      <c r="AD171" s="100">
        <f t="shared" si="168"/>
        <v>0</v>
      </c>
      <c r="AE171" s="100">
        <f t="shared" si="169"/>
        <v>0</v>
      </c>
      <c r="AF171" s="100">
        <f t="shared" si="170"/>
        <v>0</v>
      </c>
      <c r="AG171" s="100">
        <f t="shared" si="171"/>
        <v>0</v>
      </c>
      <c r="AH171" s="100">
        <f t="shared" si="172"/>
        <v>0</v>
      </c>
      <c r="AI171" s="109"/>
      <c r="AJ171" s="108">
        <f t="shared" si="173"/>
        <v>0</v>
      </c>
      <c r="AK171" s="108">
        <f t="shared" si="174"/>
        <v>0</v>
      </c>
      <c r="AL171" s="108">
        <f t="shared" si="175"/>
        <v>0</v>
      </c>
      <c r="AN171" s="100">
        <v>15</v>
      </c>
      <c r="AO171" s="100">
        <f t="shared" si="176"/>
        <v>0</v>
      </c>
      <c r="AP171" s="100">
        <f t="shared" si="177"/>
        <v>0</v>
      </c>
      <c r="AQ171" s="111" t="s">
        <v>13</v>
      </c>
      <c r="AV171" s="100">
        <f t="shared" si="178"/>
        <v>0</v>
      </c>
      <c r="AW171" s="100">
        <f t="shared" si="179"/>
        <v>0</v>
      </c>
      <c r="AX171" s="100">
        <f t="shared" si="180"/>
        <v>0</v>
      </c>
      <c r="AY171" s="110" t="s">
        <v>1711</v>
      </c>
      <c r="AZ171" s="110" t="s">
        <v>1733</v>
      </c>
      <c r="BA171" s="109" t="s">
        <v>1737</v>
      </c>
      <c r="BC171" s="100">
        <f t="shared" si="181"/>
        <v>0</v>
      </c>
      <c r="BD171" s="100">
        <f t="shared" si="182"/>
        <v>0</v>
      </c>
      <c r="BE171" s="100">
        <v>0</v>
      </c>
      <c r="BF171" s="100">
        <f>171</f>
        <v>171</v>
      </c>
      <c r="BH171" s="108">
        <f t="shared" si="183"/>
        <v>0</v>
      </c>
      <c r="BI171" s="108">
        <f t="shared" si="184"/>
        <v>0</v>
      </c>
      <c r="BJ171" s="108">
        <f t="shared" si="185"/>
        <v>0</v>
      </c>
    </row>
    <row r="172" spans="1:62" x14ac:dyDescent="0.2">
      <c r="A172" s="117" t="s">
        <v>150</v>
      </c>
      <c r="B172" s="117" t="s">
        <v>4510</v>
      </c>
      <c r="C172" s="304" t="s">
        <v>1382</v>
      </c>
      <c r="D172" s="305"/>
      <c r="E172" s="305"/>
      <c r="F172" s="117" t="s">
        <v>1644</v>
      </c>
      <c r="G172" s="116">
        <v>2</v>
      </c>
      <c r="H172" s="159"/>
      <c r="I172" s="108">
        <f t="shared" si="162"/>
        <v>0</v>
      </c>
      <c r="J172" s="108">
        <f t="shared" si="163"/>
        <v>0</v>
      </c>
      <c r="K172" s="108">
        <f t="shared" si="164"/>
        <v>0</v>
      </c>
      <c r="L172" s="111"/>
      <c r="Z172" s="100">
        <f t="shared" si="165"/>
        <v>0</v>
      </c>
      <c r="AB172" s="100">
        <f t="shared" si="166"/>
        <v>0</v>
      </c>
      <c r="AC172" s="100">
        <f t="shared" si="167"/>
        <v>0</v>
      </c>
      <c r="AD172" s="100">
        <f t="shared" si="168"/>
        <v>0</v>
      </c>
      <c r="AE172" s="100">
        <f t="shared" si="169"/>
        <v>0</v>
      </c>
      <c r="AF172" s="100">
        <f t="shared" si="170"/>
        <v>0</v>
      </c>
      <c r="AG172" s="100">
        <f t="shared" si="171"/>
        <v>0</v>
      </c>
      <c r="AH172" s="100">
        <f t="shared" si="172"/>
        <v>0</v>
      </c>
      <c r="AI172" s="109"/>
      <c r="AJ172" s="108">
        <f t="shared" si="173"/>
        <v>0</v>
      </c>
      <c r="AK172" s="108">
        <f t="shared" si="174"/>
        <v>0</v>
      </c>
      <c r="AL172" s="108">
        <f t="shared" si="175"/>
        <v>0</v>
      </c>
      <c r="AN172" s="100">
        <v>15</v>
      </c>
      <c r="AO172" s="100">
        <f t="shared" si="176"/>
        <v>0</v>
      </c>
      <c r="AP172" s="100">
        <f t="shared" si="177"/>
        <v>0</v>
      </c>
      <c r="AQ172" s="111" t="s">
        <v>13</v>
      </c>
      <c r="AV172" s="100">
        <f t="shared" si="178"/>
        <v>0</v>
      </c>
      <c r="AW172" s="100">
        <f t="shared" si="179"/>
        <v>0</v>
      </c>
      <c r="AX172" s="100">
        <f t="shared" si="180"/>
        <v>0</v>
      </c>
      <c r="AY172" s="110" t="s">
        <v>1711</v>
      </c>
      <c r="AZ172" s="110" t="s">
        <v>1733</v>
      </c>
      <c r="BA172" s="109" t="s">
        <v>1737</v>
      </c>
      <c r="BC172" s="100">
        <f t="shared" si="181"/>
        <v>0</v>
      </c>
      <c r="BD172" s="100">
        <f t="shared" si="182"/>
        <v>0</v>
      </c>
      <c r="BE172" s="100">
        <v>0</v>
      </c>
      <c r="BF172" s="100">
        <f>172</f>
        <v>172</v>
      </c>
      <c r="BH172" s="108">
        <f t="shared" si="183"/>
        <v>0</v>
      </c>
      <c r="BI172" s="108">
        <f t="shared" si="184"/>
        <v>0</v>
      </c>
      <c r="BJ172" s="108">
        <f t="shared" si="185"/>
        <v>0</v>
      </c>
    </row>
    <row r="173" spans="1:62" x14ac:dyDescent="0.2">
      <c r="A173" s="117" t="s">
        <v>151</v>
      </c>
      <c r="B173" s="117" t="s">
        <v>4509</v>
      </c>
      <c r="C173" s="304" t="s">
        <v>1383</v>
      </c>
      <c r="D173" s="305"/>
      <c r="E173" s="305"/>
      <c r="F173" s="117" t="s">
        <v>1644</v>
      </c>
      <c r="G173" s="116">
        <v>1</v>
      </c>
      <c r="H173" s="159"/>
      <c r="I173" s="108">
        <f t="shared" si="162"/>
        <v>0</v>
      </c>
      <c r="J173" s="108">
        <f t="shared" si="163"/>
        <v>0</v>
      </c>
      <c r="K173" s="108">
        <f t="shared" si="164"/>
        <v>0</v>
      </c>
      <c r="L173" s="111"/>
      <c r="Z173" s="100">
        <f t="shared" si="165"/>
        <v>0</v>
      </c>
      <c r="AB173" s="100">
        <f t="shared" si="166"/>
        <v>0</v>
      </c>
      <c r="AC173" s="100">
        <f t="shared" si="167"/>
        <v>0</v>
      </c>
      <c r="AD173" s="100">
        <f t="shared" si="168"/>
        <v>0</v>
      </c>
      <c r="AE173" s="100">
        <f t="shared" si="169"/>
        <v>0</v>
      </c>
      <c r="AF173" s="100">
        <f t="shared" si="170"/>
        <v>0</v>
      </c>
      <c r="AG173" s="100">
        <f t="shared" si="171"/>
        <v>0</v>
      </c>
      <c r="AH173" s="100">
        <f t="shared" si="172"/>
        <v>0</v>
      </c>
      <c r="AI173" s="109"/>
      <c r="AJ173" s="108">
        <f t="shared" si="173"/>
        <v>0</v>
      </c>
      <c r="AK173" s="108">
        <f t="shared" si="174"/>
        <v>0</v>
      </c>
      <c r="AL173" s="108">
        <f t="shared" si="175"/>
        <v>0</v>
      </c>
      <c r="AN173" s="100">
        <v>15</v>
      </c>
      <c r="AO173" s="100">
        <f t="shared" si="176"/>
        <v>0</v>
      </c>
      <c r="AP173" s="100">
        <f t="shared" si="177"/>
        <v>0</v>
      </c>
      <c r="AQ173" s="111" t="s">
        <v>13</v>
      </c>
      <c r="AV173" s="100">
        <f t="shared" si="178"/>
        <v>0</v>
      </c>
      <c r="AW173" s="100">
        <f t="shared" si="179"/>
        <v>0</v>
      </c>
      <c r="AX173" s="100">
        <f t="shared" si="180"/>
        <v>0</v>
      </c>
      <c r="AY173" s="110" t="s">
        <v>1711</v>
      </c>
      <c r="AZ173" s="110" t="s">
        <v>1733</v>
      </c>
      <c r="BA173" s="109" t="s">
        <v>1737</v>
      </c>
      <c r="BC173" s="100">
        <f t="shared" si="181"/>
        <v>0</v>
      </c>
      <c r="BD173" s="100">
        <f t="shared" si="182"/>
        <v>0</v>
      </c>
      <c r="BE173" s="100">
        <v>0</v>
      </c>
      <c r="BF173" s="100">
        <f>173</f>
        <v>173</v>
      </c>
      <c r="BH173" s="108">
        <f t="shared" si="183"/>
        <v>0</v>
      </c>
      <c r="BI173" s="108">
        <f t="shared" si="184"/>
        <v>0</v>
      </c>
      <c r="BJ173" s="108">
        <f t="shared" si="185"/>
        <v>0</v>
      </c>
    </row>
    <row r="174" spans="1:62" x14ac:dyDescent="0.2">
      <c r="A174" s="117" t="s">
        <v>152</v>
      </c>
      <c r="B174" s="117" t="s">
        <v>4508</v>
      </c>
      <c r="C174" s="304" t="s">
        <v>4317</v>
      </c>
      <c r="D174" s="305"/>
      <c r="E174" s="305"/>
      <c r="F174" s="117" t="s">
        <v>1644</v>
      </c>
      <c r="G174" s="116">
        <v>1</v>
      </c>
      <c r="H174" s="159"/>
      <c r="I174" s="108">
        <f t="shared" si="162"/>
        <v>0</v>
      </c>
      <c r="J174" s="108">
        <f t="shared" si="163"/>
        <v>0</v>
      </c>
      <c r="K174" s="108">
        <f t="shared" si="164"/>
        <v>0</v>
      </c>
      <c r="L174" s="111"/>
      <c r="Z174" s="100">
        <f t="shared" si="165"/>
        <v>0</v>
      </c>
      <c r="AB174" s="100">
        <f t="shared" si="166"/>
        <v>0</v>
      </c>
      <c r="AC174" s="100">
        <f t="shared" si="167"/>
        <v>0</v>
      </c>
      <c r="AD174" s="100">
        <f t="shared" si="168"/>
        <v>0</v>
      </c>
      <c r="AE174" s="100">
        <f t="shared" si="169"/>
        <v>0</v>
      </c>
      <c r="AF174" s="100">
        <f t="shared" si="170"/>
        <v>0</v>
      </c>
      <c r="AG174" s="100">
        <f t="shared" si="171"/>
        <v>0</v>
      </c>
      <c r="AH174" s="100">
        <f t="shared" si="172"/>
        <v>0</v>
      </c>
      <c r="AI174" s="109"/>
      <c r="AJ174" s="108">
        <f t="shared" si="173"/>
        <v>0</v>
      </c>
      <c r="AK174" s="108">
        <f t="shared" si="174"/>
        <v>0</v>
      </c>
      <c r="AL174" s="108">
        <f t="shared" si="175"/>
        <v>0</v>
      </c>
      <c r="AN174" s="100">
        <v>15</v>
      </c>
      <c r="AO174" s="100">
        <f t="shared" si="176"/>
        <v>0</v>
      </c>
      <c r="AP174" s="100">
        <f t="shared" si="177"/>
        <v>0</v>
      </c>
      <c r="AQ174" s="111" t="s">
        <v>13</v>
      </c>
      <c r="AV174" s="100">
        <f t="shared" si="178"/>
        <v>0</v>
      </c>
      <c r="AW174" s="100">
        <f t="shared" si="179"/>
        <v>0</v>
      </c>
      <c r="AX174" s="100">
        <f t="shared" si="180"/>
        <v>0</v>
      </c>
      <c r="AY174" s="110" t="s">
        <v>1711</v>
      </c>
      <c r="AZ174" s="110" t="s">
        <v>1733</v>
      </c>
      <c r="BA174" s="109" t="s">
        <v>1737</v>
      </c>
      <c r="BC174" s="100">
        <f t="shared" si="181"/>
        <v>0</v>
      </c>
      <c r="BD174" s="100">
        <f t="shared" si="182"/>
        <v>0</v>
      </c>
      <c r="BE174" s="100">
        <v>0</v>
      </c>
      <c r="BF174" s="100">
        <f>174</f>
        <v>174</v>
      </c>
      <c r="BH174" s="108">
        <f t="shared" si="183"/>
        <v>0</v>
      </c>
      <c r="BI174" s="108">
        <f t="shared" si="184"/>
        <v>0</v>
      </c>
      <c r="BJ174" s="108">
        <f t="shared" si="185"/>
        <v>0</v>
      </c>
    </row>
    <row r="175" spans="1:62" x14ac:dyDescent="0.2">
      <c r="A175" s="117" t="s">
        <v>153</v>
      </c>
      <c r="B175" s="117" t="s">
        <v>4507</v>
      </c>
      <c r="C175" s="304" t="s">
        <v>1384</v>
      </c>
      <c r="D175" s="305"/>
      <c r="E175" s="305"/>
      <c r="F175" s="117" t="s">
        <v>1644</v>
      </c>
      <c r="G175" s="116">
        <v>1</v>
      </c>
      <c r="H175" s="159"/>
      <c r="I175" s="108">
        <f t="shared" si="162"/>
        <v>0</v>
      </c>
      <c r="J175" s="108">
        <f t="shared" si="163"/>
        <v>0</v>
      </c>
      <c r="K175" s="108">
        <f t="shared" si="164"/>
        <v>0</v>
      </c>
      <c r="L175" s="111"/>
      <c r="Z175" s="100">
        <f t="shared" si="165"/>
        <v>0</v>
      </c>
      <c r="AB175" s="100">
        <f t="shared" si="166"/>
        <v>0</v>
      </c>
      <c r="AC175" s="100">
        <f t="shared" si="167"/>
        <v>0</v>
      </c>
      <c r="AD175" s="100">
        <f t="shared" si="168"/>
        <v>0</v>
      </c>
      <c r="AE175" s="100">
        <f t="shared" si="169"/>
        <v>0</v>
      </c>
      <c r="AF175" s="100">
        <f t="shared" si="170"/>
        <v>0</v>
      </c>
      <c r="AG175" s="100">
        <f t="shared" si="171"/>
        <v>0</v>
      </c>
      <c r="AH175" s="100">
        <f t="shared" si="172"/>
        <v>0</v>
      </c>
      <c r="AI175" s="109"/>
      <c r="AJ175" s="108">
        <f t="shared" si="173"/>
        <v>0</v>
      </c>
      <c r="AK175" s="108">
        <f t="shared" si="174"/>
        <v>0</v>
      </c>
      <c r="AL175" s="108">
        <f t="shared" si="175"/>
        <v>0</v>
      </c>
      <c r="AN175" s="100">
        <v>15</v>
      </c>
      <c r="AO175" s="100">
        <f t="shared" si="176"/>
        <v>0</v>
      </c>
      <c r="AP175" s="100">
        <f t="shared" si="177"/>
        <v>0</v>
      </c>
      <c r="AQ175" s="111" t="s">
        <v>13</v>
      </c>
      <c r="AV175" s="100">
        <f t="shared" si="178"/>
        <v>0</v>
      </c>
      <c r="AW175" s="100">
        <f t="shared" si="179"/>
        <v>0</v>
      </c>
      <c r="AX175" s="100">
        <f t="shared" si="180"/>
        <v>0</v>
      </c>
      <c r="AY175" s="110" t="s">
        <v>1711</v>
      </c>
      <c r="AZ175" s="110" t="s">
        <v>1733</v>
      </c>
      <c r="BA175" s="109" t="s">
        <v>1737</v>
      </c>
      <c r="BC175" s="100">
        <f t="shared" si="181"/>
        <v>0</v>
      </c>
      <c r="BD175" s="100">
        <f t="shared" si="182"/>
        <v>0</v>
      </c>
      <c r="BE175" s="100">
        <v>0</v>
      </c>
      <c r="BF175" s="100">
        <f>175</f>
        <v>175</v>
      </c>
      <c r="BH175" s="108">
        <f t="shared" si="183"/>
        <v>0</v>
      </c>
      <c r="BI175" s="108">
        <f t="shared" si="184"/>
        <v>0</v>
      </c>
      <c r="BJ175" s="108">
        <f t="shared" si="185"/>
        <v>0</v>
      </c>
    </row>
    <row r="176" spans="1:62" x14ac:dyDescent="0.2">
      <c r="A176" s="117" t="s">
        <v>154</v>
      </c>
      <c r="B176" s="117" t="s">
        <v>4506</v>
      </c>
      <c r="C176" s="304" t="s">
        <v>1385</v>
      </c>
      <c r="D176" s="305"/>
      <c r="E176" s="305"/>
      <c r="F176" s="117" t="s">
        <v>1646</v>
      </c>
      <c r="G176" s="116">
        <v>9</v>
      </c>
      <c r="H176" s="159"/>
      <c r="I176" s="108">
        <f t="shared" si="162"/>
        <v>0</v>
      </c>
      <c r="J176" s="108">
        <f t="shared" si="163"/>
        <v>0</v>
      </c>
      <c r="K176" s="108">
        <f t="shared" si="164"/>
        <v>0</v>
      </c>
      <c r="L176" s="111"/>
      <c r="Z176" s="100">
        <f t="shared" si="165"/>
        <v>0</v>
      </c>
      <c r="AB176" s="100">
        <f t="shared" si="166"/>
        <v>0</v>
      </c>
      <c r="AC176" s="100">
        <f t="shared" si="167"/>
        <v>0</v>
      </c>
      <c r="AD176" s="100">
        <f t="shared" si="168"/>
        <v>0</v>
      </c>
      <c r="AE176" s="100">
        <f t="shared" si="169"/>
        <v>0</v>
      </c>
      <c r="AF176" s="100">
        <f t="shared" si="170"/>
        <v>0</v>
      </c>
      <c r="AG176" s="100">
        <f t="shared" si="171"/>
        <v>0</v>
      </c>
      <c r="AH176" s="100">
        <f t="shared" si="172"/>
        <v>0</v>
      </c>
      <c r="AI176" s="109"/>
      <c r="AJ176" s="108">
        <f t="shared" si="173"/>
        <v>0</v>
      </c>
      <c r="AK176" s="108">
        <f t="shared" si="174"/>
        <v>0</v>
      </c>
      <c r="AL176" s="108">
        <f t="shared" si="175"/>
        <v>0</v>
      </c>
      <c r="AN176" s="100">
        <v>15</v>
      </c>
      <c r="AO176" s="100">
        <f t="shared" si="176"/>
        <v>0</v>
      </c>
      <c r="AP176" s="100">
        <f t="shared" si="177"/>
        <v>0</v>
      </c>
      <c r="AQ176" s="111" t="s">
        <v>13</v>
      </c>
      <c r="AV176" s="100">
        <f t="shared" si="178"/>
        <v>0</v>
      </c>
      <c r="AW176" s="100">
        <f t="shared" si="179"/>
        <v>0</v>
      </c>
      <c r="AX176" s="100">
        <f t="shared" si="180"/>
        <v>0</v>
      </c>
      <c r="AY176" s="110" t="s">
        <v>1711</v>
      </c>
      <c r="AZ176" s="110" t="s">
        <v>1733</v>
      </c>
      <c r="BA176" s="109" t="s">
        <v>1737</v>
      </c>
      <c r="BC176" s="100">
        <f t="shared" si="181"/>
        <v>0</v>
      </c>
      <c r="BD176" s="100">
        <f t="shared" si="182"/>
        <v>0</v>
      </c>
      <c r="BE176" s="100">
        <v>0</v>
      </c>
      <c r="BF176" s="100">
        <f>176</f>
        <v>176</v>
      </c>
      <c r="BH176" s="108">
        <f t="shared" si="183"/>
        <v>0</v>
      </c>
      <c r="BI176" s="108">
        <f t="shared" si="184"/>
        <v>0</v>
      </c>
      <c r="BJ176" s="108">
        <f t="shared" si="185"/>
        <v>0</v>
      </c>
    </row>
    <row r="177" spans="1:62" x14ac:dyDescent="0.2">
      <c r="A177" s="117" t="s">
        <v>155</v>
      </c>
      <c r="B177" s="117" t="s">
        <v>4505</v>
      </c>
      <c r="C177" s="304" t="s">
        <v>1386</v>
      </c>
      <c r="D177" s="305"/>
      <c r="E177" s="305"/>
      <c r="F177" s="117" t="s">
        <v>1644</v>
      </c>
      <c r="G177" s="116">
        <v>1</v>
      </c>
      <c r="H177" s="159"/>
      <c r="I177" s="108">
        <f t="shared" si="162"/>
        <v>0</v>
      </c>
      <c r="J177" s="108">
        <f t="shared" si="163"/>
        <v>0</v>
      </c>
      <c r="K177" s="108">
        <f t="shared" si="164"/>
        <v>0</v>
      </c>
      <c r="L177" s="111"/>
      <c r="Z177" s="100">
        <f t="shared" si="165"/>
        <v>0</v>
      </c>
      <c r="AB177" s="100">
        <f t="shared" si="166"/>
        <v>0</v>
      </c>
      <c r="AC177" s="100">
        <f t="shared" si="167"/>
        <v>0</v>
      </c>
      <c r="AD177" s="100">
        <f t="shared" si="168"/>
        <v>0</v>
      </c>
      <c r="AE177" s="100">
        <f t="shared" si="169"/>
        <v>0</v>
      </c>
      <c r="AF177" s="100">
        <f t="shared" si="170"/>
        <v>0</v>
      </c>
      <c r="AG177" s="100">
        <f t="shared" si="171"/>
        <v>0</v>
      </c>
      <c r="AH177" s="100">
        <f t="shared" si="172"/>
        <v>0</v>
      </c>
      <c r="AI177" s="109"/>
      <c r="AJ177" s="108">
        <f t="shared" si="173"/>
        <v>0</v>
      </c>
      <c r="AK177" s="108">
        <f t="shared" si="174"/>
        <v>0</v>
      </c>
      <c r="AL177" s="108">
        <f t="shared" si="175"/>
        <v>0</v>
      </c>
      <c r="AN177" s="100">
        <v>15</v>
      </c>
      <c r="AO177" s="100">
        <f t="shared" si="176"/>
        <v>0</v>
      </c>
      <c r="AP177" s="100">
        <f t="shared" si="177"/>
        <v>0</v>
      </c>
      <c r="AQ177" s="111" t="s">
        <v>13</v>
      </c>
      <c r="AV177" s="100">
        <f t="shared" si="178"/>
        <v>0</v>
      </c>
      <c r="AW177" s="100">
        <f t="shared" si="179"/>
        <v>0</v>
      </c>
      <c r="AX177" s="100">
        <f t="shared" si="180"/>
        <v>0</v>
      </c>
      <c r="AY177" s="110" t="s">
        <v>1711</v>
      </c>
      <c r="AZ177" s="110" t="s">
        <v>1733</v>
      </c>
      <c r="BA177" s="109" t="s">
        <v>1737</v>
      </c>
      <c r="BC177" s="100">
        <f t="shared" si="181"/>
        <v>0</v>
      </c>
      <c r="BD177" s="100">
        <f t="shared" si="182"/>
        <v>0</v>
      </c>
      <c r="BE177" s="100">
        <v>0</v>
      </c>
      <c r="BF177" s="100">
        <f>177</f>
        <v>177</v>
      </c>
      <c r="BH177" s="108">
        <f t="shared" si="183"/>
        <v>0</v>
      </c>
      <c r="BI177" s="108">
        <f t="shared" si="184"/>
        <v>0</v>
      </c>
      <c r="BJ177" s="108">
        <f t="shared" si="185"/>
        <v>0</v>
      </c>
    </row>
    <row r="178" spans="1:62" x14ac:dyDescent="0.2">
      <c r="A178" s="117" t="s">
        <v>156</v>
      </c>
      <c r="B178" s="117" t="s">
        <v>4504</v>
      </c>
      <c r="C178" s="304" t="s">
        <v>1387</v>
      </c>
      <c r="D178" s="305"/>
      <c r="E178" s="305"/>
      <c r="F178" s="117" t="s">
        <v>1644</v>
      </c>
      <c r="G178" s="116">
        <v>1</v>
      </c>
      <c r="H178" s="159"/>
      <c r="I178" s="108">
        <f t="shared" si="162"/>
        <v>0</v>
      </c>
      <c r="J178" s="108">
        <f t="shared" si="163"/>
        <v>0</v>
      </c>
      <c r="K178" s="108">
        <f t="shared" si="164"/>
        <v>0</v>
      </c>
      <c r="L178" s="111"/>
      <c r="Z178" s="100">
        <f t="shared" si="165"/>
        <v>0</v>
      </c>
      <c r="AB178" s="100">
        <f t="shared" si="166"/>
        <v>0</v>
      </c>
      <c r="AC178" s="100">
        <f t="shared" si="167"/>
        <v>0</v>
      </c>
      <c r="AD178" s="100">
        <f t="shared" si="168"/>
        <v>0</v>
      </c>
      <c r="AE178" s="100">
        <f t="shared" si="169"/>
        <v>0</v>
      </c>
      <c r="AF178" s="100">
        <f t="shared" si="170"/>
        <v>0</v>
      </c>
      <c r="AG178" s="100">
        <f t="shared" si="171"/>
        <v>0</v>
      </c>
      <c r="AH178" s="100">
        <f t="shared" si="172"/>
        <v>0</v>
      </c>
      <c r="AI178" s="109"/>
      <c r="AJ178" s="108">
        <f t="shared" si="173"/>
        <v>0</v>
      </c>
      <c r="AK178" s="108">
        <f t="shared" si="174"/>
        <v>0</v>
      </c>
      <c r="AL178" s="108">
        <f t="shared" si="175"/>
        <v>0</v>
      </c>
      <c r="AN178" s="100">
        <v>15</v>
      </c>
      <c r="AO178" s="100">
        <f t="shared" si="176"/>
        <v>0</v>
      </c>
      <c r="AP178" s="100">
        <f t="shared" si="177"/>
        <v>0</v>
      </c>
      <c r="AQ178" s="111" t="s">
        <v>13</v>
      </c>
      <c r="AV178" s="100">
        <f t="shared" si="178"/>
        <v>0</v>
      </c>
      <c r="AW178" s="100">
        <f t="shared" si="179"/>
        <v>0</v>
      </c>
      <c r="AX178" s="100">
        <f t="shared" si="180"/>
        <v>0</v>
      </c>
      <c r="AY178" s="110" t="s">
        <v>1711</v>
      </c>
      <c r="AZ178" s="110" t="s">
        <v>1733</v>
      </c>
      <c r="BA178" s="109" t="s">
        <v>1737</v>
      </c>
      <c r="BC178" s="100">
        <f t="shared" si="181"/>
        <v>0</v>
      </c>
      <c r="BD178" s="100">
        <f t="shared" si="182"/>
        <v>0</v>
      </c>
      <c r="BE178" s="100">
        <v>0</v>
      </c>
      <c r="BF178" s="100">
        <f>178</f>
        <v>178</v>
      </c>
      <c r="BH178" s="108">
        <f t="shared" si="183"/>
        <v>0</v>
      </c>
      <c r="BI178" s="108">
        <f t="shared" si="184"/>
        <v>0</v>
      </c>
      <c r="BJ178" s="108">
        <f t="shared" si="185"/>
        <v>0</v>
      </c>
    </row>
    <row r="179" spans="1:62" x14ac:dyDescent="0.2">
      <c r="A179" s="117" t="s">
        <v>157</v>
      </c>
      <c r="B179" s="117" t="s">
        <v>4503</v>
      </c>
      <c r="C179" s="304" t="s">
        <v>1388</v>
      </c>
      <c r="D179" s="305"/>
      <c r="E179" s="305"/>
      <c r="F179" s="117" t="s">
        <v>1644</v>
      </c>
      <c r="G179" s="116">
        <v>1</v>
      </c>
      <c r="H179" s="159"/>
      <c r="I179" s="108">
        <f t="shared" si="162"/>
        <v>0</v>
      </c>
      <c r="J179" s="108">
        <f t="shared" si="163"/>
        <v>0</v>
      </c>
      <c r="K179" s="108">
        <f t="shared" si="164"/>
        <v>0</v>
      </c>
      <c r="L179" s="111"/>
      <c r="Z179" s="100">
        <f t="shared" si="165"/>
        <v>0</v>
      </c>
      <c r="AB179" s="100">
        <f t="shared" si="166"/>
        <v>0</v>
      </c>
      <c r="AC179" s="100">
        <f t="shared" si="167"/>
        <v>0</v>
      </c>
      <c r="AD179" s="100">
        <f t="shared" si="168"/>
        <v>0</v>
      </c>
      <c r="AE179" s="100">
        <f t="shared" si="169"/>
        <v>0</v>
      </c>
      <c r="AF179" s="100">
        <f t="shared" si="170"/>
        <v>0</v>
      </c>
      <c r="AG179" s="100">
        <f t="shared" si="171"/>
        <v>0</v>
      </c>
      <c r="AH179" s="100">
        <f t="shared" si="172"/>
        <v>0</v>
      </c>
      <c r="AI179" s="109"/>
      <c r="AJ179" s="108">
        <f t="shared" si="173"/>
        <v>0</v>
      </c>
      <c r="AK179" s="108">
        <f t="shared" si="174"/>
        <v>0</v>
      </c>
      <c r="AL179" s="108">
        <f t="shared" si="175"/>
        <v>0</v>
      </c>
      <c r="AN179" s="100">
        <v>15</v>
      </c>
      <c r="AO179" s="100">
        <f t="shared" si="176"/>
        <v>0</v>
      </c>
      <c r="AP179" s="100">
        <f t="shared" si="177"/>
        <v>0</v>
      </c>
      <c r="AQ179" s="111" t="s">
        <v>13</v>
      </c>
      <c r="AV179" s="100">
        <f t="shared" si="178"/>
        <v>0</v>
      </c>
      <c r="AW179" s="100">
        <f t="shared" si="179"/>
        <v>0</v>
      </c>
      <c r="AX179" s="100">
        <f t="shared" si="180"/>
        <v>0</v>
      </c>
      <c r="AY179" s="110" t="s">
        <v>1711</v>
      </c>
      <c r="AZ179" s="110" t="s">
        <v>1733</v>
      </c>
      <c r="BA179" s="109" t="s">
        <v>1737</v>
      </c>
      <c r="BC179" s="100">
        <f t="shared" si="181"/>
        <v>0</v>
      </c>
      <c r="BD179" s="100">
        <f t="shared" si="182"/>
        <v>0</v>
      </c>
      <c r="BE179" s="100">
        <v>0</v>
      </c>
      <c r="BF179" s="100">
        <f>179</f>
        <v>179</v>
      </c>
      <c r="BH179" s="108">
        <f t="shared" si="183"/>
        <v>0</v>
      </c>
      <c r="BI179" s="108">
        <f t="shared" si="184"/>
        <v>0</v>
      </c>
      <c r="BJ179" s="108">
        <f t="shared" si="185"/>
        <v>0</v>
      </c>
    </row>
    <row r="180" spans="1:62" x14ac:dyDescent="0.2">
      <c r="A180" s="117" t="s">
        <v>158</v>
      </c>
      <c r="B180" s="117" t="s">
        <v>4502</v>
      </c>
      <c r="C180" s="304" t="s">
        <v>1389</v>
      </c>
      <c r="D180" s="305"/>
      <c r="E180" s="305"/>
      <c r="F180" s="117" t="s">
        <v>1644</v>
      </c>
      <c r="G180" s="116">
        <v>1</v>
      </c>
      <c r="H180" s="159"/>
      <c r="I180" s="108">
        <f t="shared" si="162"/>
        <v>0</v>
      </c>
      <c r="J180" s="108">
        <f t="shared" si="163"/>
        <v>0</v>
      </c>
      <c r="K180" s="108">
        <f t="shared" si="164"/>
        <v>0</v>
      </c>
      <c r="L180" s="111"/>
      <c r="Z180" s="100">
        <f t="shared" si="165"/>
        <v>0</v>
      </c>
      <c r="AB180" s="100">
        <f t="shared" si="166"/>
        <v>0</v>
      </c>
      <c r="AC180" s="100">
        <f t="shared" si="167"/>
        <v>0</v>
      </c>
      <c r="AD180" s="100">
        <f t="shared" si="168"/>
        <v>0</v>
      </c>
      <c r="AE180" s="100">
        <f t="shared" si="169"/>
        <v>0</v>
      </c>
      <c r="AF180" s="100">
        <f t="shared" si="170"/>
        <v>0</v>
      </c>
      <c r="AG180" s="100">
        <f t="shared" si="171"/>
        <v>0</v>
      </c>
      <c r="AH180" s="100">
        <f t="shared" si="172"/>
        <v>0</v>
      </c>
      <c r="AI180" s="109"/>
      <c r="AJ180" s="108">
        <f t="shared" si="173"/>
        <v>0</v>
      </c>
      <c r="AK180" s="108">
        <f t="shared" si="174"/>
        <v>0</v>
      </c>
      <c r="AL180" s="108">
        <f t="shared" si="175"/>
        <v>0</v>
      </c>
      <c r="AN180" s="100">
        <v>15</v>
      </c>
      <c r="AO180" s="100">
        <f t="shared" si="176"/>
        <v>0</v>
      </c>
      <c r="AP180" s="100">
        <f t="shared" si="177"/>
        <v>0</v>
      </c>
      <c r="AQ180" s="111" t="s">
        <v>13</v>
      </c>
      <c r="AV180" s="100">
        <f t="shared" si="178"/>
        <v>0</v>
      </c>
      <c r="AW180" s="100">
        <f t="shared" si="179"/>
        <v>0</v>
      </c>
      <c r="AX180" s="100">
        <f t="shared" si="180"/>
        <v>0</v>
      </c>
      <c r="AY180" s="110" t="s">
        <v>1711</v>
      </c>
      <c r="AZ180" s="110" t="s">
        <v>1733</v>
      </c>
      <c r="BA180" s="109" t="s">
        <v>1737</v>
      </c>
      <c r="BC180" s="100">
        <f t="shared" si="181"/>
        <v>0</v>
      </c>
      <c r="BD180" s="100">
        <f t="shared" si="182"/>
        <v>0</v>
      </c>
      <c r="BE180" s="100">
        <v>0</v>
      </c>
      <c r="BF180" s="100">
        <f>180</f>
        <v>180</v>
      </c>
      <c r="BH180" s="108">
        <f t="shared" si="183"/>
        <v>0</v>
      </c>
      <c r="BI180" s="108">
        <f t="shared" si="184"/>
        <v>0</v>
      </c>
      <c r="BJ180" s="108">
        <f t="shared" si="185"/>
        <v>0</v>
      </c>
    </row>
    <row r="181" spans="1:62" x14ac:dyDescent="0.2">
      <c r="A181" s="117" t="s">
        <v>159</v>
      </c>
      <c r="B181" s="117" t="s">
        <v>4501</v>
      </c>
      <c r="C181" s="304" t="s">
        <v>1392</v>
      </c>
      <c r="D181" s="305"/>
      <c r="E181" s="305"/>
      <c r="F181" s="117" t="s">
        <v>1644</v>
      </c>
      <c r="G181" s="116">
        <v>1</v>
      </c>
      <c r="H181" s="159"/>
      <c r="I181" s="108">
        <f t="shared" si="162"/>
        <v>0</v>
      </c>
      <c r="J181" s="108">
        <f t="shared" si="163"/>
        <v>0</v>
      </c>
      <c r="K181" s="108">
        <f t="shared" si="164"/>
        <v>0</v>
      </c>
      <c r="L181" s="111"/>
      <c r="Z181" s="100">
        <f t="shared" si="165"/>
        <v>0</v>
      </c>
      <c r="AB181" s="100">
        <f t="shared" si="166"/>
        <v>0</v>
      </c>
      <c r="AC181" s="100">
        <f t="shared" si="167"/>
        <v>0</v>
      </c>
      <c r="AD181" s="100">
        <f t="shared" si="168"/>
        <v>0</v>
      </c>
      <c r="AE181" s="100">
        <f t="shared" si="169"/>
        <v>0</v>
      </c>
      <c r="AF181" s="100">
        <f t="shared" si="170"/>
        <v>0</v>
      </c>
      <c r="AG181" s="100">
        <f t="shared" si="171"/>
        <v>0</v>
      </c>
      <c r="AH181" s="100">
        <f t="shared" si="172"/>
        <v>0</v>
      </c>
      <c r="AI181" s="109"/>
      <c r="AJ181" s="108">
        <f t="shared" si="173"/>
        <v>0</v>
      </c>
      <c r="AK181" s="108">
        <f t="shared" si="174"/>
        <v>0</v>
      </c>
      <c r="AL181" s="108">
        <f t="shared" si="175"/>
        <v>0</v>
      </c>
      <c r="AN181" s="100">
        <v>15</v>
      </c>
      <c r="AO181" s="100">
        <f t="shared" si="176"/>
        <v>0</v>
      </c>
      <c r="AP181" s="100">
        <f t="shared" si="177"/>
        <v>0</v>
      </c>
      <c r="AQ181" s="111" t="s">
        <v>13</v>
      </c>
      <c r="AV181" s="100">
        <f t="shared" si="178"/>
        <v>0</v>
      </c>
      <c r="AW181" s="100">
        <f t="shared" si="179"/>
        <v>0</v>
      </c>
      <c r="AX181" s="100">
        <f t="shared" si="180"/>
        <v>0</v>
      </c>
      <c r="AY181" s="110" t="s">
        <v>1711</v>
      </c>
      <c r="AZ181" s="110" t="s">
        <v>1733</v>
      </c>
      <c r="BA181" s="109" t="s">
        <v>1737</v>
      </c>
      <c r="BC181" s="100">
        <f t="shared" si="181"/>
        <v>0</v>
      </c>
      <c r="BD181" s="100">
        <f t="shared" si="182"/>
        <v>0</v>
      </c>
      <c r="BE181" s="100">
        <v>0</v>
      </c>
      <c r="BF181" s="100">
        <f>181</f>
        <v>181</v>
      </c>
      <c r="BH181" s="108">
        <f t="shared" si="183"/>
        <v>0</v>
      </c>
      <c r="BI181" s="108">
        <f t="shared" si="184"/>
        <v>0</v>
      </c>
      <c r="BJ181" s="108">
        <f t="shared" si="185"/>
        <v>0</v>
      </c>
    </row>
    <row r="182" spans="1:62" x14ac:dyDescent="0.2">
      <c r="A182" s="117" t="s">
        <v>160</v>
      </c>
      <c r="B182" s="117" t="s">
        <v>4500</v>
      </c>
      <c r="C182" s="304" t="s">
        <v>1393</v>
      </c>
      <c r="D182" s="305"/>
      <c r="E182" s="305"/>
      <c r="F182" s="117" t="s">
        <v>1644</v>
      </c>
      <c r="G182" s="116">
        <v>1</v>
      </c>
      <c r="H182" s="159"/>
      <c r="I182" s="108">
        <f t="shared" si="162"/>
        <v>0</v>
      </c>
      <c r="J182" s="108">
        <f t="shared" si="163"/>
        <v>0</v>
      </c>
      <c r="K182" s="108">
        <f t="shared" si="164"/>
        <v>0</v>
      </c>
      <c r="L182" s="111"/>
      <c r="Z182" s="100">
        <f t="shared" si="165"/>
        <v>0</v>
      </c>
      <c r="AB182" s="100">
        <f t="shared" si="166"/>
        <v>0</v>
      </c>
      <c r="AC182" s="100">
        <f t="shared" si="167"/>
        <v>0</v>
      </c>
      <c r="AD182" s="100">
        <f t="shared" si="168"/>
        <v>0</v>
      </c>
      <c r="AE182" s="100">
        <f t="shared" si="169"/>
        <v>0</v>
      </c>
      <c r="AF182" s="100">
        <f t="shared" si="170"/>
        <v>0</v>
      </c>
      <c r="AG182" s="100">
        <f t="shared" si="171"/>
        <v>0</v>
      </c>
      <c r="AH182" s="100">
        <f t="shared" si="172"/>
        <v>0</v>
      </c>
      <c r="AI182" s="109"/>
      <c r="AJ182" s="108">
        <f t="shared" si="173"/>
        <v>0</v>
      </c>
      <c r="AK182" s="108">
        <f t="shared" si="174"/>
        <v>0</v>
      </c>
      <c r="AL182" s="108">
        <f t="shared" si="175"/>
        <v>0</v>
      </c>
      <c r="AN182" s="100">
        <v>15</v>
      </c>
      <c r="AO182" s="100">
        <f t="shared" si="176"/>
        <v>0</v>
      </c>
      <c r="AP182" s="100">
        <f t="shared" si="177"/>
        <v>0</v>
      </c>
      <c r="AQ182" s="111" t="s">
        <v>13</v>
      </c>
      <c r="AV182" s="100">
        <f t="shared" si="178"/>
        <v>0</v>
      </c>
      <c r="AW182" s="100">
        <f t="shared" si="179"/>
        <v>0</v>
      </c>
      <c r="AX182" s="100">
        <f t="shared" si="180"/>
        <v>0</v>
      </c>
      <c r="AY182" s="110" t="s">
        <v>1711</v>
      </c>
      <c r="AZ182" s="110" t="s">
        <v>1733</v>
      </c>
      <c r="BA182" s="109" t="s">
        <v>1737</v>
      </c>
      <c r="BC182" s="100">
        <f t="shared" si="181"/>
        <v>0</v>
      </c>
      <c r="BD182" s="100">
        <f t="shared" si="182"/>
        <v>0</v>
      </c>
      <c r="BE182" s="100">
        <v>0</v>
      </c>
      <c r="BF182" s="100">
        <f>182</f>
        <v>182</v>
      </c>
      <c r="BH182" s="108">
        <f t="shared" si="183"/>
        <v>0</v>
      </c>
      <c r="BI182" s="108">
        <f t="shared" si="184"/>
        <v>0</v>
      </c>
      <c r="BJ182" s="108">
        <f t="shared" si="185"/>
        <v>0</v>
      </c>
    </row>
    <row r="183" spans="1:62" x14ac:dyDescent="0.2">
      <c r="A183" s="117" t="s">
        <v>161</v>
      </c>
      <c r="B183" s="117" t="s">
        <v>4499</v>
      </c>
      <c r="C183" s="304" t="s">
        <v>1394</v>
      </c>
      <c r="D183" s="305"/>
      <c r="E183" s="305"/>
      <c r="F183" s="117" t="s">
        <v>1644</v>
      </c>
      <c r="G183" s="116">
        <v>1</v>
      </c>
      <c r="H183" s="159"/>
      <c r="I183" s="108">
        <f t="shared" si="162"/>
        <v>0</v>
      </c>
      <c r="J183" s="108">
        <f t="shared" si="163"/>
        <v>0</v>
      </c>
      <c r="K183" s="108">
        <f t="shared" si="164"/>
        <v>0</v>
      </c>
      <c r="L183" s="111"/>
      <c r="Z183" s="100">
        <f t="shared" si="165"/>
        <v>0</v>
      </c>
      <c r="AB183" s="100">
        <f t="shared" si="166"/>
        <v>0</v>
      </c>
      <c r="AC183" s="100">
        <f t="shared" si="167"/>
        <v>0</v>
      </c>
      <c r="AD183" s="100">
        <f t="shared" si="168"/>
        <v>0</v>
      </c>
      <c r="AE183" s="100">
        <f t="shared" si="169"/>
        <v>0</v>
      </c>
      <c r="AF183" s="100">
        <f t="shared" si="170"/>
        <v>0</v>
      </c>
      <c r="AG183" s="100">
        <f t="shared" si="171"/>
        <v>0</v>
      </c>
      <c r="AH183" s="100">
        <f t="shared" si="172"/>
        <v>0</v>
      </c>
      <c r="AI183" s="109"/>
      <c r="AJ183" s="108">
        <f t="shared" si="173"/>
        <v>0</v>
      </c>
      <c r="AK183" s="108">
        <f t="shared" si="174"/>
        <v>0</v>
      </c>
      <c r="AL183" s="108">
        <f t="shared" si="175"/>
        <v>0</v>
      </c>
      <c r="AN183" s="100">
        <v>15</v>
      </c>
      <c r="AO183" s="100">
        <f t="shared" si="176"/>
        <v>0</v>
      </c>
      <c r="AP183" s="100">
        <f t="shared" si="177"/>
        <v>0</v>
      </c>
      <c r="AQ183" s="111" t="s">
        <v>13</v>
      </c>
      <c r="AV183" s="100">
        <f t="shared" si="178"/>
        <v>0</v>
      </c>
      <c r="AW183" s="100">
        <f t="shared" si="179"/>
        <v>0</v>
      </c>
      <c r="AX183" s="100">
        <f t="shared" si="180"/>
        <v>0</v>
      </c>
      <c r="AY183" s="110" t="s">
        <v>1711</v>
      </c>
      <c r="AZ183" s="110" t="s">
        <v>1733</v>
      </c>
      <c r="BA183" s="109" t="s">
        <v>1737</v>
      </c>
      <c r="BC183" s="100">
        <f t="shared" si="181"/>
        <v>0</v>
      </c>
      <c r="BD183" s="100">
        <f t="shared" si="182"/>
        <v>0</v>
      </c>
      <c r="BE183" s="100">
        <v>0</v>
      </c>
      <c r="BF183" s="100">
        <f>183</f>
        <v>183</v>
      </c>
      <c r="BH183" s="108">
        <f t="shared" si="183"/>
        <v>0</v>
      </c>
      <c r="BI183" s="108">
        <f t="shared" si="184"/>
        <v>0</v>
      </c>
      <c r="BJ183" s="108">
        <f t="shared" si="185"/>
        <v>0</v>
      </c>
    </row>
    <row r="184" spans="1:62" x14ac:dyDescent="0.2">
      <c r="A184" s="119"/>
      <c r="B184" s="120" t="s">
        <v>907</v>
      </c>
      <c r="C184" s="306" t="s">
        <v>1496</v>
      </c>
      <c r="D184" s="307"/>
      <c r="E184" s="307"/>
      <c r="F184" s="119" t="s">
        <v>6</v>
      </c>
      <c r="G184" s="119" t="s">
        <v>6</v>
      </c>
      <c r="H184" s="119" t="s">
        <v>6</v>
      </c>
      <c r="I184" s="118">
        <f>SUM(I185:I186)</f>
        <v>0</v>
      </c>
      <c r="J184" s="118">
        <f>SUM(J185:J186)</f>
        <v>0</v>
      </c>
      <c r="K184" s="118">
        <f>SUM(K185:K186)</f>
        <v>0</v>
      </c>
      <c r="L184" s="109"/>
      <c r="AI184" s="109"/>
      <c r="AS184" s="118">
        <f>SUM(AJ185:AJ186)</f>
        <v>0</v>
      </c>
      <c r="AT184" s="118">
        <f>SUM(AK185:AK186)</f>
        <v>0</v>
      </c>
      <c r="AU184" s="118">
        <f>SUM(AL185:AL186)</f>
        <v>0</v>
      </c>
    </row>
    <row r="185" spans="1:62" x14ac:dyDescent="0.2">
      <c r="A185" s="117" t="s">
        <v>162</v>
      </c>
      <c r="B185" s="117" t="s">
        <v>909</v>
      </c>
      <c r="C185" s="304" t="s">
        <v>4307</v>
      </c>
      <c r="D185" s="305"/>
      <c r="E185" s="305"/>
      <c r="F185" s="117" t="s">
        <v>1644</v>
      </c>
      <c r="G185" s="116">
        <v>1</v>
      </c>
      <c r="H185" s="159"/>
      <c r="I185" s="108">
        <f>G185*AO185</f>
        <v>0</v>
      </c>
      <c r="J185" s="108">
        <f>G185*AP185</f>
        <v>0</v>
      </c>
      <c r="K185" s="108">
        <f>G185*H185</f>
        <v>0</v>
      </c>
      <c r="L185" s="111" t="s">
        <v>1671</v>
      </c>
      <c r="Z185" s="100">
        <f>IF(AQ185="5",BJ185,0)</f>
        <v>0</v>
      </c>
      <c r="AB185" s="100">
        <f>IF(AQ185="1",BH185,0)</f>
        <v>0</v>
      </c>
      <c r="AC185" s="100">
        <f>IF(AQ185="1",BI185,0)</f>
        <v>0</v>
      </c>
      <c r="AD185" s="100">
        <f>IF(AQ185="7",BH185,0)</f>
        <v>0</v>
      </c>
      <c r="AE185" s="100">
        <f>IF(AQ185="7",BI185,0)</f>
        <v>0</v>
      </c>
      <c r="AF185" s="100">
        <f>IF(AQ185="2",BH185,0)</f>
        <v>0</v>
      </c>
      <c r="AG185" s="100">
        <f>IF(AQ185="2",BI185,0)</f>
        <v>0</v>
      </c>
      <c r="AH185" s="100">
        <f>IF(AQ185="0",BJ185,0)</f>
        <v>0</v>
      </c>
      <c r="AI185" s="109"/>
      <c r="AJ185" s="108">
        <f>IF(AN185=0,K185,0)</f>
        <v>0</v>
      </c>
      <c r="AK185" s="108">
        <f>IF(AN185=15,K185,0)</f>
        <v>0</v>
      </c>
      <c r="AL185" s="108">
        <f>IF(AN185=21,K185,0)</f>
        <v>0</v>
      </c>
      <c r="AN185" s="100">
        <v>15</v>
      </c>
      <c r="AO185" s="100">
        <f>H185*0</f>
        <v>0</v>
      </c>
      <c r="AP185" s="100">
        <f>H185*(1-0)</f>
        <v>0</v>
      </c>
      <c r="AQ185" s="111" t="s">
        <v>13</v>
      </c>
      <c r="AV185" s="100">
        <f>AW185+AX185</f>
        <v>0</v>
      </c>
      <c r="AW185" s="100">
        <f>G185*AO185</f>
        <v>0</v>
      </c>
      <c r="AX185" s="100">
        <f>G185*AP185</f>
        <v>0</v>
      </c>
      <c r="AY185" s="110" t="s">
        <v>1717</v>
      </c>
      <c r="AZ185" s="110" t="s">
        <v>1734</v>
      </c>
      <c r="BA185" s="109" t="s">
        <v>1737</v>
      </c>
      <c r="BC185" s="100">
        <f>AW185+AX185</f>
        <v>0</v>
      </c>
      <c r="BD185" s="100">
        <f>H185/(100-BE185)*100</f>
        <v>0</v>
      </c>
      <c r="BE185" s="100">
        <v>0</v>
      </c>
      <c r="BF185" s="100">
        <f>185</f>
        <v>185</v>
      </c>
      <c r="BH185" s="108">
        <f>G185*AO185</f>
        <v>0</v>
      </c>
      <c r="BI185" s="108">
        <f>G185*AP185</f>
        <v>0</v>
      </c>
      <c r="BJ185" s="108">
        <f>G185*H185</f>
        <v>0</v>
      </c>
    </row>
    <row r="186" spans="1:62" x14ac:dyDescent="0.2">
      <c r="A186" s="117" t="s">
        <v>163</v>
      </c>
      <c r="B186" s="117" t="s">
        <v>921</v>
      </c>
      <c r="C186" s="304" t="s">
        <v>1510</v>
      </c>
      <c r="D186" s="305"/>
      <c r="E186" s="305"/>
      <c r="F186" s="117" t="s">
        <v>1648</v>
      </c>
      <c r="G186" s="116">
        <v>1E-3</v>
      </c>
      <c r="H186" s="159"/>
      <c r="I186" s="108">
        <f>G186*AO186</f>
        <v>0</v>
      </c>
      <c r="J186" s="108">
        <f>G186*AP186</f>
        <v>0</v>
      </c>
      <c r="K186" s="108">
        <f>G186*H186</f>
        <v>0</v>
      </c>
      <c r="L186" s="111" t="s">
        <v>1671</v>
      </c>
      <c r="Z186" s="100">
        <f>IF(AQ186="5",BJ186,0)</f>
        <v>0</v>
      </c>
      <c r="AB186" s="100">
        <f>IF(AQ186="1",BH186,0)</f>
        <v>0</v>
      </c>
      <c r="AC186" s="100">
        <f>IF(AQ186="1",BI186,0)</f>
        <v>0</v>
      </c>
      <c r="AD186" s="100">
        <f>IF(AQ186="7",BH186,0)</f>
        <v>0</v>
      </c>
      <c r="AE186" s="100">
        <f>IF(AQ186="7",BI186,0)</f>
        <v>0</v>
      </c>
      <c r="AF186" s="100">
        <f>IF(AQ186="2",BH186,0)</f>
        <v>0</v>
      </c>
      <c r="AG186" s="100">
        <f>IF(AQ186="2",BI186,0)</f>
        <v>0</v>
      </c>
      <c r="AH186" s="100">
        <f>IF(AQ186="0",BJ186,0)</f>
        <v>0</v>
      </c>
      <c r="AI186" s="109"/>
      <c r="AJ186" s="108">
        <f>IF(AN186=0,K186,0)</f>
        <v>0</v>
      </c>
      <c r="AK186" s="108">
        <f>IF(AN186=15,K186,0)</f>
        <v>0</v>
      </c>
      <c r="AL186" s="108">
        <f>IF(AN186=21,K186,0)</f>
        <v>0</v>
      </c>
      <c r="AN186" s="100">
        <v>15</v>
      </c>
      <c r="AO186" s="100">
        <f>H186*0</f>
        <v>0</v>
      </c>
      <c r="AP186" s="100">
        <f>H186*(1-0)</f>
        <v>0</v>
      </c>
      <c r="AQ186" s="111" t="s">
        <v>11</v>
      </c>
      <c r="AV186" s="100">
        <f>AW186+AX186</f>
        <v>0</v>
      </c>
      <c r="AW186" s="100">
        <f>G186*AO186</f>
        <v>0</v>
      </c>
      <c r="AX186" s="100">
        <f>G186*AP186</f>
        <v>0</v>
      </c>
      <c r="AY186" s="110" t="s">
        <v>1717</v>
      </c>
      <c r="AZ186" s="110" t="s">
        <v>1734</v>
      </c>
      <c r="BA186" s="109" t="s">
        <v>1737</v>
      </c>
      <c r="BC186" s="100">
        <f>AW186+AX186</f>
        <v>0</v>
      </c>
      <c r="BD186" s="100">
        <f>H186/(100-BE186)*100</f>
        <v>0</v>
      </c>
      <c r="BE186" s="100">
        <v>0</v>
      </c>
      <c r="BF186" s="100">
        <f>186</f>
        <v>186</v>
      </c>
      <c r="BH186" s="108">
        <f>G186*AO186</f>
        <v>0</v>
      </c>
      <c r="BI186" s="108">
        <f>G186*AP186</f>
        <v>0</v>
      </c>
      <c r="BJ186" s="108">
        <f>G186*H186</f>
        <v>0</v>
      </c>
    </row>
    <row r="187" spans="1:62" x14ac:dyDescent="0.2">
      <c r="A187" s="119"/>
      <c r="B187" s="120" t="s">
        <v>922</v>
      </c>
      <c r="C187" s="306" t="s">
        <v>1511</v>
      </c>
      <c r="D187" s="307"/>
      <c r="E187" s="307"/>
      <c r="F187" s="119" t="s">
        <v>6</v>
      </c>
      <c r="G187" s="119" t="s">
        <v>6</v>
      </c>
      <c r="H187" s="119" t="s">
        <v>6</v>
      </c>
      <c r="I187" s="118">
        <f>SUM(I188:I194)</f>
        <v>0</v>
      </c>
      <c r="J187" s="118">
        <f>SUM(J188:J194)</f>
        <v>0</v>
      </c>
      <c r="K187" s="118">
        <f>SUM(K188:K194)</f>
        <v>0</v>
      </c>
      <c r="L187" s="109"/>
      <c r="AI187" s="109"/>
      <c r="AS187" s="118">
        <f>SUM(AJ188:AJ194)</f>
        <v>0</v>
      </c>
      <c r="AT187" s="118">
        <f>SUM(AK188:AK194)</f>
        <v>0</v>
      </c>
      <c r="AU187" s="118">
        <f>SUM(AL188:AL194)</f>
        <v>0</v>
      </c>
    </row>
    <row r="188" spans="1:62" x14ac:dyDescent="0.2">
      <c r="A188" s="117" t="s">
        <v>164</v>
      </c>
      <c r="B188" s="117" t="s">
        <v>4306</v>
      </c>
      <c r="C188" s="304" t="s">
        <v>4305</v>
      </c>
      <c r="D188" s="305"/>
      <c r="E188" s="305"/>
      <c r="F188" s="117" t="s">
        <v>1645</v>
      </c>
      <c r="G188" s="116">
        <v>17.100000000000001</v>
      </c>
      <c r="H188" s="159"/>
      <c r="I188" s="108">
        <f t="shared" ref="I188:I194" si="186">G188*AO188</f>
        <v>0</v>
      </c>
      <c r="J188" s="108">
        <f t="shared" ref="J188:J194" si="187">G188*AP188</f>
        <v>0</v>
      </c>
      <c r="K188" s="108">
        <f t="shared" ref="K188:K194" si="188">G188*H188</f>
        <v>0</v>
      </c>
      <c r="L188" s="111" t="s">
        <v>1671</v>
      </c>
      <c r="Z188" s="100">
        <f t="shared" ref="Z188:Z194" si="189">IF(AQ188="5",BJ188,0)</f>
        <v>0</v>
      </c>
      <c r="AB188" s="100">
        <f t="shared" ref="AB188:AB194" si="190">IF(AQ188="1",BH188,0)</f>
        <v>0</v>
      </c>
      <c r="AC188" s="100">
        <f t="shared" ref="AC188:AC194" si="191">IF(AQ188="1",BI188,0)</f>
        <v>0</v>
      </c>
      <c r="AD188" s="100">
        <f t="shared" ref="AD188:AD194" si="192">IF(AQ188="7",BH188,0)</f>
        <v>0</v>
      </c>
      <c r="AE188" s="100">
        <f t="shared" ref="AE188:AE194" si="193">IF(AQ188="7",BI188,0)</f>
        <v>0</v>
      </c>
      <c r="AF188" s="100">
        <f t="shared" ref="AF188:AF194" si="194">IF(AQ188="2",BH188,0)</f>
        <v>0</v>
      </c>
      <c r="AG188" s="100">
        <f t="shared" ref="AG188:AG194" si="195">IF(AQ188="2",BI188,0)</f>
        <v>0</v>
      </c>
      <c r="AH188" s="100">
        <f t="shared" ref="AH188:AH194" si="196">IF(AQ188="0",BJ188,0)</f>
        <v>0</v>
      </c>
      <c r="AI188" s="109"/>
      <c r="AJ188" s="108">
        <f t="shared" ref="AJ188:AJ194" si="197">IF(AN188=0,K188,0)</f>
        <v>0</v>
      </c>
      <c r="AK188" s="108">
        <f t="shared" ref="AK188:AK194" si="198">IF(AN188=15,K188,0)</f>
        <v>0</v>
      </c>
      <c r="AL188" s="108">
        <f t="shared" ref="AL188:AL194" si="199">IF(AN188=21,K188,0)</f>
        <v>0</v>
      </c>
      <c r="AN188" s="100">
        <v>15</v>
      </c>
      <c r="AO188" s="100">
        <f>H188*0</f>
        <v>0</v>
      </c>
      <c r="AP188" s="100">
        <f>H188*(1-0)</f>
        <v>0</v>
      </c>
      <c r="AQ188" s="111" t="s">
        <v>13</v>
      </c>
      <c r="AV188" s="100">
        <f t="shared" ref="AV188:AV194" si="200">AW188+AX188</f>
        <v>0</v>
      </c>
      <c r="AW188" s="100">
        <f t="shared" ref="AW188:AW194" si="201">G188*AO188</f>
        <v>0</v>
      </c>
      <c r="AX188" s="100">
        <f t="shared" ref="AX188:AX194" si="202">G188*AP188</f>
        <v>0</v>
      </c>
      <c r="AY188" s="110" t="s">
        <v>1718</v>
      </c>
      <c r="AZ188" s="110" t="s">
        <v>1735</v>
      </c>
      <c r="BA188" s="109" t="s">
        <v>1737</v>
      </c>
      <c r="BC188" s="100">
        <f t="shared" ref="BC188:BC194" si="203">AW188+AX188</f>
        <v>0</v>
      </c>
      <c r="BD188" s="100">
        <f t="shared" ref="BD188:BD194" si="204">H188/(100-BE188)*100</f>
        <v>0</v>
      </c>
      <c r="BE188" s="100">
        <v>0</v>
      </c>
      <c r="BF188" s="100">
        <f>188</f>
        <v>188</v>
      </c>
      <c r="BH188" s="108">
        <f t="shared" ref="BH188:BH194" si="205">G188*AO188</f>
        <v>0</v>
      </c>
      <c r="BI188" s="108">
        <f t="shared" ref="BI188:BI194" si="206">G188*AP188</f>
        <v>0</v>
      </c>
      <c r="BJ188" s="108">
        <f t="shared" ref="BJ188:BJ194" si="207">G188*H188</f>
        <v>0</v>
      </c>
    </row>
    <row r="189" spans="1:62" x14ac:dyDescent="0.2">
      <c r="A189" s="117" t="s">
        <v>165</v>
      </c>
      <c r="B189" s="117" t="s">
        <v>924</v>
      </c>
      <c r="C189" s="304" t="s">
        <v>1513</v>
      </c>
      <c r="D189" s="305"/>
      <c r="E189" s="305"/>
      <c r="F189" s="117" t="s">
        <v>1645</v>
      </c>
      <c r="G189" s="116">
        <v>17.100000000000001</v>
      </c>
      <c r="H189" s="159"/>
      <c r="I189" s="108">
        <f t="shared" si="186"/>
        <v>0</v>
      </c>
      <c r="J189" s="108">
        <f t="shared" si="187"/>
        <v>0</v>
      </c>
      <c r="K189" s="108">
        <f t="shared" si="188"/>
        <v>0</v>
      </c>
      <c r="L189" s="111" t="s">
        <v>1671</v>
      </c>
      <c r="Z189" s="100">
        <f t="shared" si="189"/>
        <v>0</v>
      </c>
      <c r="AB189" s="100">
        <f t="shared" si="190"/>
        <v>0</v>
      </c>
      <c r="AC189" s="100">
        <f t="shared" si="191"/>
        <v>0</v>
      </c>
      <c r="AD189" s="100">
        <f t="shared" si="192"/>
        <v>0</v>
      </c>
      <c r="AE189" s="100">
        <f t="shared" si="193"/>
        <v>0</v>
      </c>
      <c r="AF189" s="100">
        <f t="shared" si="194"/>
        <v>0</v>
      </c>
      <c r="AG189" s="100">
        <f t="shared" si="195"/>
        <v>0</v>
      </c>
      <c r="AH189" s="100">
        <f t="shared" si="196"/>
        <v>0</v>
      </c>
      <c r="AI189" s="109"/>
      <c r="AJ189" s="108">
        <f t="shared" si="197"/>
        <v>0</v>
      </c>
      <c r="AK189" s="108">
        <f t="shared" si="198"/>
        <v>0</v>
      </c>
      <c r="AL189" s="108">
        <f t="shared" si="199"/>
        <v>0</v>
      </c>
      <c r="AN189" s="100">
        <v>15</v>
      </c>
      <c r="AO189" s="100">
        <f>H189*0.476939203354298</f>
        <v>0</v>
      </c>
      <c r="AP189" s="100">
        <f>H189*(1-0.476939203354298)</f>
        <v>0</v>
      </c>
      <c r="AQ189" s="111" t="s">
        <v>13</v>
      </c>
      <c r="AV189" s="100">
        <f t="shared" si="200"/>
        <v>0</v>
      </c>
      <c r="AW189" s="100">
        <f t="shared" si="201"/>
        <v>0</v>
      </c>
      <c r="AX189" s="100">
        <f t="shared" si="202"/>
        <v>0</v>
      </c>
      <c r="AY189" s="110" t="s">
        <v>1718</v>
      </c>
      <c r="AZ189" s="110" t="s">
        <v>1735</v>
      </c>
      <c r="BA189" s="109" t="s">
        <v>1737</v>
      </c>
      <c r="BC189" s="100">
        <f t="shared" si="203"/>
        <v>0</v>
      </c>
      <c r="BD189" s="100">
        <f t="shared" si="204"/>
        <v>0</v>
      </c>
      <c r="BE189" s="100">
        <v>0</v>
      </c>
      <c r="BF189" s="100">
        <f>189</f>
        <v>189</v>
      </c>
      <c r="BH189" s="108">
        <f t="shared" si="205"/>
        <v>0</v>
      </c>
      <c r="BI189" s="108">
        <f t="shared" si="206"/>
        <v>0</v>
      </c>
      <c r="BJ189" s="108">
        <f t="shared" si="207"/>
        <v>0</v>
      </c>
    </row>
    <row r="190" spans="1:62" x14ac:dyDescent="0.2">
      <c r="A190" s="117" t="s">
        <v>166</v>
      </c>
      <c r="B190" s="117" t="s">
        <v>925</v>
      </c>
      <c r="C190" s="304" t="s">
        <v>1514</v>
      </c>
      <c r="D190" s="305"/>
      <c r="E190" s="305"/>
      <c r="F190" s="117" t="s">
        <v>1645</v>
      </c>
      <c r="G190" s="116">
        <v>17.100000000000001</v>
      </c>
      <c r="H190" s="159"/>
      <c r="I190" s="108">
        <f t="shared" si="186"/>
        <v>0</v>
      </c>
      <c r="J190" s="108">
        <f t="shared" si="187"/>
        <v>0</v>
      </c>
      <c r="K190" s="108">
        <f t="shared" si="188"/>
        <v>0</v>
      </c>
      <c r="L190" s="111" t="s">
        <v>1671</v>
      </c>
      <c r="Z190" s="100">
        <f t="shared" si="189"/>
        <v>0</v>
      </c>
      <c r="AB190" s="100">
        <f t="shared" si="190"/>
        <v>0</v>
      </c>
      <c r="AC190" s="100">
        <f t="shared" si="191"/>
        <v>0</v>
      </c>
      <c r="AD190" s="100">
        <f t="shared" si="192"/>
        <v>0</v>
      </c>
      <c r="AE190" s="100">
        <f t="shared" si="193"/>
        <v>0</v>
      </c>
      <c r="AF190" s="100">
        <f t="shared" si="194"/>
        <v>0</v>
      </c>
      <c r="AG190" s="100">
        <f t="shared" si="195"/>
        <v>0</v>
      </c>
      <c r="AH190" s="100">
        <f t="shared" si="196"/>
        <v>0</v>
      </c>
      <c r="AI190" s="109"/>
      <c r="AJ190" s="108">
        <f t="shared" si="197"/>
        <v>0</v>
      </c>
      <c r="AK190" s="108">
        <f t="shared" si="198"/>
        <v>0</v>
      </c>
      <c r="AL190" s="108">
        <f t="shared" si="199"/>
        <v>0</v>
      </c>
      <c r="AN190" s="100">
        <v>15</v>
      </c>
      <c r="AO190" s="100">
        <f>H190*0</f>
        <v>0</v>
      </c>
      <c r="AP190" s="100">
        <f>H190*(1-0)</f>
        <v>0</v>
      </c>
      <c r="AQ190" s="111" t="s">
        <v>13</v>
      </c>
      <c r="AV190" s="100">
        <f t="shared" si="200"/>
        <v>0</v>
      </c>
      <c r="AW190" s="100">
        <f t="shared" si="201"/>
        <v>0</v>
      </c>
      <c r="AX190" s="100">
        <f t="shared" si="202"/>
        <v>0</v>
      </c>
      <c r="AY190" s="110" t="s">
        <v>1718</v>
      </c>
      <c r="AZ190" s="110" t="s">
        <v>1735</v>
      </c>
      <c r="BA190" s="109" t="s">
        <v>1737</v>
      </c>
      <c r="BC190" s="100">
        <f t="shared" si="203"/>
        <v>0</v>
      </c>
      <c r="BD190" s="100">
        <f t="shared" si="204"/>
        <v>0</v>
      </c>
      <c r="BE190" s="100">
        <v>0</v>
      </c>
      <c r="BF190" s="100">
        <f>190</f>
        <v>190</v>
      </c>
      <c r="BH190" s="108">
        <f t="shared" si="205"/>
        <v>0</v>
      </c>
      <c r="BI190" s="108">
        <f t="shared" si="206"/>
        <v>0</v>
      </c>
      <c r="BJ190" s="108">
        <f t="shared" si="207"/>
        <v>0</v>
      </c>
    </row>
    <row r="191" spans="1:62" x14ac:dyDescent="0.2">
      <c r="A191" s="124" t="s">
        <v>167</v>
      </c>
      <c r="B191" s="124" t="s">
        <v>926</v>
      </c>
      <c r="C191" s="311" t="s">
        <v>1515</v>
      </c>
      <c r="D191" s="312"/>
      <c r="E191" s="312"/>
      <c r="F191" s="124" t="s">
        <v>1645</v>
      </c>
      <c r="G191" s="123">
        <v>17.954999999999998</v>
      </c>
      <c r="H191" s="160"/>
      <c r="I191" s="121">
        <f t="shared" si="186"/>
        <v>0</v>
      </c>
      <c r="J191" s="121">
        <f t="shared" si="187"/>
        <v>0</v>
      </c>
      <c r="K191" s="121">
        <f t="shared" si="188"/>
        <v>0</v>
      </c>
      <c r="L191" s="122" t="s">
        <v>1671</v>
      </c>
      <c r="Z191" s="100">
        <f t="shared" si="189"/>
        <v>0</v>
      </c>
      <c r="AB191" s="100">
        <f t="shared" si="190"/>
        <v>0</v>
      </c>
      <c r="AC191" s="100">
        <f t="shared" si="191"/>
        <v>0</v>
      </c>
      <c r="AD191" s="100">
        <f t="shared" si="192"/>
        <v>0</v>
      </c>
      <c r="AE191" s="100">
        <f t="shared" si="193"/>
        <v>0</v>
      </c>
      <c r="AF191" s="100">
        <f t="shared" si="194"/>
        <v>0</v>
      </c>
      <c r="AG191" s="100">
        <f t="shared" si="195"/>
        <v>0</v>
      </c>
      <c r="AH191" s="100">
        <f t="shared" si="196"/>
        <v>0</v>
      </c>
      <c r="AI191" s="109"/>
      <c r="AJ191" s="121">
        <f t="shared" si="197"/>
        <v>0</v>
      </c>
      <c r="AK191" s="121">
        <f t="shared" si="198"/>
        <v>0</v>
      </c>
      <c r="AL191" s="121">
        <f t="shared" si="199"/>
        <v>0</v>
      </c>
      <c r="AN191" s="100">
        <v>15</v>
      </c>
      <c r="AO191" s="100">
        <f>H191*1</f>
        <v>0</v>
      </c>
      <c r="AP191" s="100">
        <f>H191*(1-1)</f>
        <v>0</v>
      </c>
      <c r="AQ191" s="122" t="s">
        <v>13</v>
      </c>
      <c r="AV191" s="100">
        <f t="shared" si="200"/>
        <v>0</v>
      </c>
      <c r="AW191" s="100">
        <f t="shared" si="201"/>
        <v>0</v>
      </c>
      <c r="AX191" s="100">
        <f t="shared" si="202"/>
        <v>0</v>
      </c>
      <c r="AY191" s="110" t="s">
        <v>1718</v>
      </c>
      <c r="AZ191" s="110" t="s">
        <v>1735</v>
      </c>
      <c r="BA191" s="109" t="s">
        <v>1737</v>
      </c>
      <c r="BC191" s="100">
        <f t="shared" si="203"/>
        <v>0</v>
      </c>
      <c r="BD191" s="100">
        <f t="shared" si="204"/>
        <v>0</v>
      </c>
      <c r="BE191" s="100">
        <v>0</v>
      </c>
      <c r="BF191" s="100">
        <f>191</f>
        <v>191</v>
      </c>
      <c r="BH191" s="121">
        <f t="shared" si="205"/>
        <v>0</v>
      </c>
      <c r="BI191" s="121">
        <f t="shared" si="206"/>
        <v>0</v>
      </c>
      <c r="BJ191" s="121">
        <f t="shared" si="207"/>
        <v>0</v>
      </c>
    </row>
    <row r="192" spans="1:62" x14ac:dyDescent="0.2">
      <c r="A192" s="117" t="s">
        <v>168</v>
      </c>
      <c r="B192" s="117" t="s">
        <v>927</v>
      </c>
      <c r="C192" s="304" t="s">
        <v>1516</v>
      </c>
      <c r="D192" s="305"/>
      <c r="E192" s="305"/>
      <c r="F192" s="117" t="s">
        <v>1646</v>
      </c>
      <c r="G192" s="116">
        <v>15.7</v>
      </c>
      <c r="H192" s="159"/>
      <c r="I192" s="108">
        <f t="shared" si="186"/>
        <v>0</v>
      </c>
      <c r="J192" s="108">
        <f t="shared" si="187"/>
        <v>0</v>
      </c>
      <c r="K192" s="108">
        <f t="shared" si="188"/>
        <v>0</v>
      </c>
      <c r="L192" s="111" t="s">
        <v>1671</v>
      </c>
      <c r="Z192" s="100">
        <f t="shared" si="189"/>
        <v>0</v>
      </c>
      <c r="AB192" s="100">
        <f t="shared" si="190"/>
        <v>0</v>
      </c>
      <c r="AC192" s="100">
        <f t="shared" si="191"/>
        <v>0</v>
      </c>
      <c r="AD192" s="100">
        <f t="shared" si="192"/>
        <v>0</v>
      </c>
      <c r="AE192" s="100">
        <f t="shared" si="193"/>
        <v>0</v>
      </c>
      <c r="AF192" s="100">
        <f t="shared" si="194"/>
        <v>0</v>
      </c>
      <c r="AG192" s="100">
        <f t="shared" si="195"/>
        <v>0</v>
      </c>
      <c r="AH192" s="100">
        <f t="shared" si="196"/>
        <v>0</v>
      </c>
      <c r="AI192" s="109"/>
      <c r="AJ192" s="108">
        <f t="shared" si="197"/>
        <v>0</v>
      </c>
      <c r="AK192" s="108">
        <f t="shared" si="198"/>
        <v>0</v>
      </c>
      <c r="AL192" s="108">
        <f t="shared" si="199"/>
        <v>0</v>
      </c>
      <c r="AN192" s="100">
        <v>15</v>
      </c>
      <c r="AO192" s="100">
        <f>H192*0.0774901960784314</f>
        <v>0</v>
      </c>
      <c r="AP192" s="100">
        <f>H192*(1-0.0774901960784314)</f>
        <v>0</v>
      </c>
      <c r="AQ192" s="111" t="s">
        <v>13</v>
      </c>
      <c r="AV192" s="100">
        <f t="shared" si="200"/>
        <v>0</v>
      </c>
      <c r="AW192" s="100">
        <f t="shared" si="201"/>
        <v>0</v>
      </c>
      <c r="AX192" s="100">
        <f t="shared" si="202"/>
        <v>0</v>
      </c>
      <c r="AY192" s="110" t="s">
        <v>1718</v>
      </c>
      <c r="AZ192" s="110" t="s">
        <v>1735</v>
      </c>
      <c r="BA192" s="109" t="s">
        <v>1737</v>
      </c>
      <c r="BC192" s="100">
        <f t="shared" si="203"/>
        <v>0</v>
      </c>
      <c r="BD192" s="100">
        <f t="shared" si="204"/>
        <v>0</v>
      </c>
      <c r="BE192" s="100">
        <v>0</v>
      </c>
      <c r="BF192" s="100">
        <f>192</f>
        <v>192</v>
      </c>
      <c r="BH192" s="108">
        <f t="shared" si="205"/>
        <v>0</v>
      </c>
      <c r="BI192" s="108">
        <f t="shared" si="206"/>
        <v>0</v>
      </c>
      <c r="BJ192" s="108">
        <f t="shared" si="207"/>
        <v>0</v>
      </c>
    </row>
    <row r="193" spans="1:62" x14ac:dyDescent="0.2">
      <c r="A193" s="124" t="s">
        <v>169</v>
      </c>
      <c r="B193" s="124" t="s">
        <v>928</v>
      </c>
      <c r="C193" s="311" t="s">
        <v>1517</v>
      </c>
      <c r="D193" s="312"/>
      <c r="E193" s="312"/>
      <c r="F193" s="124" t="s">
        <v>1645</v>
      </c>
      <c r="G193" s="123">
        <v>1.9630000000000001</v>
      </c>
      <c r="H193" s="160"/>
      <c r="I193" s="121">
        <f t="shared" si="186"/>
        <v>0</v>
      </c>
      <c r="J193" s="121">
        <f t="shared" si="187"/>
        <v>0</v>
      </c>
      <c r="K193" s="121">
        <f t="shared" si="188"/>
        <v>0</v>
      </c>
      <c r="L193" s="122" t="s">
        <v>1671</v>
      </c>
      <c r="Z193" s="100">
        <f t="shared" si="189"/>
        <v>0</v>
      </c>
      <c r="AB193" s="100">
        <f t="shared" si="190"/>
        <v>0</v>
      </c>
      <c r="AC193" s="100">
        <f t="shared" si="191"/>
        <v>0</v>
      </c>
      <c r="AD193" s="100">
        <f t="shared" si="192"/>
        <v>0</v>
      </c>
      <c r="AE193" s="100">
        <f t="shared" si="193"/>
        <v>0</v>
      </c>
      <c r="AF193" s="100">
        <f t="shared" si="194"/>
        <v>0</v>
      </c>
      <c r="AG193" s="100">
        <f t="shared" si="195"/>
        <v>0</v>
      </c>
      <c r="AH193" s="100">
        <f t="shared" si="196"/>
        <v>0</v>
      </c>
      <c r="AI193" s="109"/>
      <c r="AJ193" s="121">
        <f t="shared" si="197"/>
        <v>0</v>
      </c>
      <c r="AK193" s="121">
        <f t="shared" si="198"/>
        <v>0</v>
      </c>
      <c r="AL193" s="121">
        <f t="shared" si="199"/>
        <v>0</v>
      </c>
      <c r="AN193" s="100">
        <v>15</v>
      </c>
      <c r="AO193" s="100">
        <f>H193*1</f>
        <v>0</v>
      </c>
      <c r="AP193" s="100">
        <f>H193*(1-1)</f>
        <v>0</v>
      </c>
      <c r="AQ193" s="122" t="s">
        <v>13</v>
      </c>
      <c r="AV193" s="100">
        <f t="shared" si="200"/>
        <v>0</v>
      </c>
      <c r="AW193" s="100">
        <f t="shared" si="201"/>
        <v>0</v>
      </c>
      <c r="AX193" s="100">
        <f t="shared" si="202"/>
        <v>0</v>
      </c>
      <c r="AY193" s="110" t="s">
        <v>1718</v>
      </c>
      <c r="AZ193" s="110" t="s">
        <v>1735</v>
      </c>
      <c r="BA193" s="109" t="s">
        <v>1737</v>
      </c>
      <c r="BC193" s="100">
        <f t="shared" si="203"/>
        <v>0</v>
      </c>
      <c r="BD193" s="100">
        <f t="shared" si="204"/>
        <v>0</v>
      </c>
      <c r="BE193" s="100">
        <v>0</v>
      </c>
      <c r="BF193" s="100">
        <f>193</f>
        <v>193</v>
      </c>
      <c r="BH193" s="121">
        <f t="shared" si="205"/>
        <v>0</v>
      </c>
      <c r="BI193" s="121">
        <f t="shared" si="206"/>
        <v>0</v>
      </c>
      <c r="BJ193" s="121">
        <f t="shared" si="207"/>
        <v>0</v>
      </c>
    </row>
    <row r="194" spans="1:62" x14ac:dyDescent="0.2">
      <c r="A194" s="117" t="s">
        <v>170</v>
      </c>
      <c r="B194" s="117" t="s">
        <v>929</v>
      </c>
      <c r="C194" s="304" t="s">
        <v>1518</v>
      </c>
      <c r="D194" s="305"/>
      <c r="E194" s="305"/>
      <c r="F194" s="117" t="s">
        <v>1648</v>
      </c>
      <c r="G194" s="116">
        <v>0.45200000000000001</v>
      </c>
      <c r="H194" s="159"/>
      <c r="I194" s="108">
        <f t="shared" si="186"/>
        <v>0</v>
      </c>
      <c r="J194" s="108">
        <f t="shared" si="187"/>
        <v>0</v>
      </c>
      <c r="K194" s="108">
        <f t="shared" si="188"/>
        <v>0</v>
      </c>
      <c r="L194" s="111" t="s">
        <v>1671</v>
      </c>
      <c r="Z194" s="100">
        <f t="shared" si="189"/>
        <v>0</v>
      </c>
      <c r="AB194" s="100">
        <f t="shared" si="190"/>
        <v>0</v>
      </c>
      <c r="AC194" s="100">
        <f t="shared" si="191"/>
        <v>0</v>
      </c>
      <c r="AD194" s="100">
        <f t="shared" si="192"/>
        <v>0</v>
      </c>
      <c r="AE194" s="100">
        <f t="shared" si="193"/>
        <v>0</v>
      </c>
      <c r="AF194" s="100">
        <f t="shared" si="194"/>
        <v>0</v>
      </c>
      <c r="AG194" s="100">
        <f t="shared" si="195"/>
        <v>0</v>
      </c>
      <c r="AH194" s="100">
        <f t="shared" si="196"/>
        <v>0</v>
      </c>
      <c r="AI194" s="109"/>
      <c r="AJ194" s="108">
        <f t="shared" si="197"/>
        <v>0</v>
      </c>
      <c r="AK194" s="108">
        <f t="shared" si="198"/>
        <v>0</v>
      </c>
      <c r="AL194" s="108">
        <f t="shared" si="199"/>
        <v>0</v>
      </c>
      <c r="AN194" s="100">
        <v>15</v>
      </c>
      <c r="AO194" s="100">
        <f>H194*0</f>
        <v>0</v>
      </c>
      <c r="AP194" s="100">
        <f>H194*(1-0)</f>
        <v>0</v>
      </c>
      <c r="AQ194" s="111" t="s">
        <v>11</v>
      </c>
      <c r="AV194" s="100">
        <f t="shared" si="200"/>
        <v>0</v>
      </c>
      <c r="AW194" s="100">
        <f t="shared" si="201"/>
        <v>0</v>
      </c>
      <c r="AX194" s="100">
        <f t="shared" si="202"/>
        <v>0</v>
      </c>
      <c r="AY194" s="110" t="s">
        <v>1718</v>
      </c>
      <c r="AZ194" s="110" t="s">
        <v>1735</v>
      </c>
      <c r="BA194" s="109" t="s">
        <v>1737</v>
      </c>
      <c r="BC194" s="100">
        <f t="shared" si="203"/>
        <v>0</v>
      </c>
      <c r="BD194" s="100">
        <f t="shared" si="204"/>
        <v>0</v>
      </c>
      <c r="BE194" s="100">
        <v>0</v>
      </c>
      <c r="BF194" s="100">
        <f>194</f>
        <v>194</v>
      </c>
      <c r="BH194" s="108">
        <f t="shared" si="205"/>
        <v>0</v>
      </c>
      <c r="BI194" s="108">
        <f t="shared" si="206"/>
        <v>0</v>
      </c>
      <c r="BJ194" s="108">
        <f t="shared" si="207"/>
        <v>0</v>
      </c>
    </row>
    <row r="195" spans="1:62" x14ac:dyDescent="0.2">
      <c r="A195" s="119"/>
      <c r="B195" s="120" t="s">
        <v>930</v>
      </c>
      <c r="C195" s="306" t="s">
        <v>1519</v>
      </c>
      <c r="D195" s="307"/>
      <c r="E195" s="307"/>
      <c r="F195" s="119" t="s">
        <v>6</v>
      </c>
      <c r="G195" s="119" t="s">
        <v>6</v>
      </c>
      <c r="H195" s="119" t="s">
        <v>6</v>
      </c>
      <c r="I195" s="118">
        <f>SUM(I196:I199)</f>
        <v>0</v>
      </c>
      <c r="J195" s="118">
        <f>SUM(J196:J199)</f>
        <v>0</v>
      </c>
      <c r="K195" s="118">
        <f>SUM(K196:K199)</f>
        <v>0</v>
      </c>
      <c r="L195" s="109"/>
      <c r="AI195" s="109"/>
      <c r="AS195" s="118">
        <f>SUM(AJ196:AJ199)</f>
        <v>0</v>
      </c>
      <c r="AT195" s="118">
        <f>SUM(AK196:AK199)</f>
        <v>0</v>
      </c>
      <c r="AU195" s="118">
        <f>SUM(AL196:AL199)</f>
        <v>0</v>
      </c>
    </row>
    <row r="196" spans="1:62" x14ac:dyDescent="0.2">
      <c r="A196" s="117" t="s">
        <v>171</v>
      </c>
      <c r="B196" s="117" t="s">
        <v>931</v>
      </c>
      <c r="C196" s="304" t="s">
        <v>4304</v>
      </c>
      <c r="D196" s="305"/>
      <c r="E196" s="305"/>
      <c r="F196" s="117" t="s">
        <v>1645</v>
      </c>
      <c r="G196" s="116">
        <v>53.353000000000002</v>
      </c>
      <c r="H196" s="159"/>
      <c r="I196" s="108">
        <f>G196*AO196</f>
        <v>0</v>
      </c>
      <c r="J196" s="108">
        <f>G196*AP196</f>
        <v>0</v>
      </c>
      <c r="K196" s="108">
        <f>G196*H196</f>
        <v>0</v>
      </c>
      <c r="L196" s="111" t="s">
        <v>1671</v>
      </c>
      <c r="Z196" s="100">
        <f>IF(AQ196="5",BJ196,0)</f>
        <v>0</v>
      </c>
      <c r="AB196" s="100">
        <f>IF(AQ196="1",BH196,0)</f>
        <v>0</v>
      </c>
      <c r="AC196" s="100">
        <f>IF(AQ196="1",BI196,0)</f>
        <v>0</v>
      </c>
      <c r="AD196" s="100">
        <f>IF(AQ196="7",BH196,0)</f>
        <v>0</v>
      </c>
      <c r="AE196" s="100">
        <f>IF(AQ196="7",BI196,0)</f>
        <v>0</v>
      </c>
      <c r="AF196" s="100">
        <f>IF(AQ196="2",BH196,0)</f>
        <v>0</v>
      </c>
      <c r="AG196" s="100">
        <f>IF(AQ196="2",BI196,0)</f>
        <v>0</v>
      </c>
      <c r="AH196" s="100">
        <f>IF(AQ196="0",BJ196,0)</f>
        <v>0</v>
      </c>
      <c r="AI196" s="109"/>
      <c r="AJ196" s="108">
        <f>IF(AN196=0,K196,0)</f>
        <v>0</v>
      </c>
      <c r="AK196" s="108">
        <f>IF(AN196=15,K196,0)</f>
        <v>0</v>
      </c>
      <c r="AL196" s="108">
        <f>IF(AN196=21,K196,0)</f>
        <v>0</v>
      </c>
      <c r="AN196" s="100">
        <v>15</v>
      </c>
      <c r="AO196" s="100">
        <f>H196*0</f>
        <v>0</v>
      </c>
      <c r="AP196" s="100">
        <f>H196*(1-0)</f>
        <v>0</v>
      </c>
      <c r="AQ196" s="111" t="s">
        <v>13</v>
      </c>
      <c r="AV196" s="100">
        <f>AW196+AX196</f>
        <v>0</v>
      </c>
      <c r="AW196" s="100">
        <f>G196*AO196</f>
        <v>0</v>
      </c>
      <c r="AX196" s="100">
        <f>G196*AP196</f>
        <v>0</v>
      </c>
      <c r="AY196" s="110" t="s">
        <v>1719</v>
      </c>
      <c r="AZ196" s="110" t="s">
        <v>1736</v>
      </c>
      <c r="BA196" s="109" t="s">
        <v>1737</v>
      </c>
      <c r="BC196" s="100">
        <f>AW196+AX196</f>
        <v>0</v>
      </c>
      <c r="BD196" s="100">
        <f>H196/(100-BE196)*100</f>
        <v>0</v>
      </c>
      <c r="BE196" s="100">
        <v>0</v>
      </c>
      <c r="BF196" s="100">
        <f>196</f>
        <v>196</v>
      </c>
      <c r="BH196" s="108">
        <f>G196*AO196</f>
        <v>0</v>
      </c>
      <c r="BI196" s="108">
        <f>G196*AP196</f>
        <v>0</v>
      </c>
      <c r="BJ196" s="108">
        <f>G196*H196</f>
        <v>0</v>
      </c>
    </row>
    <row r="197" spans="1:62" x14ac:dyDescent="0.2">
      <c r="A197" s="117" t="s">
        <v>172</v>
      </c>
      <c r="B197" s="117" t="s">
        <v>932</v>
      </c>
      <c r="C197" s="304" t="s">
        <v>4303</v>
      </c>
      <c r="D197" s="305"/>
      <c r="E197" s="305"/>
      <c r="F197" s="117" t="s">
        <v>1645</v>
      </c>
      <c r="G197" s="116">
        <v>17.100000000000001</v>
      </c>
      <c r="H197" s="159"/>
      <c r="I197" s="108">
        <f>G197*AO197</f>
        <v>0</v>
      </c>
      <c r="J197" s="108">
        <f>G197*AP197</f>
        <v>0</v>
      </c>
      <c r="K197" s="108">
        <f>G197*H197</f>
        <v>0</v>
      </c>
      <c r="L197" s="111" t="s">
        <v>1671</v>
      </c>
      <c r="Z197" s="100">
        <f>IF(AQ197="5",BJ197,0)</f>
        <v>0</v>
      </c>
      <c r="AB197" s="100">
        <f>IF(AQ197="1",BH197,0)</f>
        <v>0</v>
      </c>
      <c r="AC197" s="100">
        <f>IF(AQ197="1",BI197,0)</f>
        <v>0</v>
      </c>
      <c r="AD197" s="100">
        <f>IF(AQ197="7",BH197,0)</f>
        <v>0</v>
      </c>
      <c r="AE197" s="100">
        <f>IF(AQ197="7",BI197,0)</f>
        <v>0</v>
      </c>
      <c r="AF197" s="100">
        <f>IF(AQ197="2",BH197,0)</f>
        <v>0</v>
      </c>
      <c r="AG197" s="100">
        <f>IF(AQ197="2",BI197,0)</f>
        <v>0</v>
      </c>
      <c r="AH197" s="100">
        <f>IF(AQ197="0",BJ197,0)</f>
        <v>0</v>
      </c>
      <c r="AI197" s="109"/>
      <c r="AJ197" s="108">
        <f>IF(AN197=0,K197,0)</f>
        <v>0</v>
      </c>
      <c r="AK197" s="108">
        <f>IF(AN197=15,K197,0)</f>
        <v>0</v>
      </c>
      <c r="AL197" s="108">
        <f>IF(AN197=21,K197,0)</f>
        <v>0</v>
      </c>
      <c r="AN197" s="100">
        <v>15</v>
      </c>
      <c r="AO197" s="100">
        <f>H197*0.590819977636973</f>
        <v>0</v>
      </c>
      <c r="AP197" s="100">
        <f>H197*(1-0.590819977636973)</f>
        <v>0</v>
      </c>
      <c r="AQ197" s="111" t="s">
        <v>13</v>
      </c>
      <c r="AV197" s="100">
        <f>AW197+AX197</f>
        <v>0</v>
      </c>
      <c r="AW197" s="100">
        <f>G197*AO197</f>
        <v>0</v>
      </c>
      <c r="AX197" s="100">
        <f>G197*AP197</f>
        <v>0</v>
      </c>
      <c r="AY197" s="110" t="s">
        <v>1719</v>
      </c>
      <c r="AZ197" s="110" t="s">
        <v>1736</v>
      </c>
      <c r="BA197" s="109" t="s">
        <v>1737</v>
      </c>
      <c r="BC197" s="100">
        <f>AW197+AX197</f>
        <v>0</v>
      </c>
      <c r="BD197" s="100">
        <f>H197/(100-BE197)*100</f>
        <v>0</v>
      </c>
      <c r="BE197" s="100">
        <v>0</v>
      </c>
      <c r="BF197" s="100">
        <f>197</f>
        <v>197</v>
      </c>
      <c r="BH197" s="108">
        <f>G197*AO197</f>
        <v>0</v>
      </c>
      <c r="BI197" s="108">
        <f>G197*AP197</f>
        <v>0</v>
      </c>
      <c r="BJ197" s="108">
        <f>G197*H197</f>
        <v>0</v>
      </c>
    </row>
    <row r="198" spans="1:62" x14ac:dyDescent="0.2">
      <c r="A198" s="117" t="s">
        <v>173</v>
      </c>
      <c r="B198" s="117" t="s">
        <v>933</v>
      </c>
      <c r="C198" s="304" t="s">
        <v>4302</v>
      </c>
      <c r="D198" s="305"/>
      <c r="E198" s="305"/>
      <c r="F198" s="117" t="s">
        <v>1645</v>
      </c>
      <c r="G198" s="116">
        <v>53.353000000000002</v>
      </c>
      <c r="H198" s="159"/>
      <c r="I198" s="108">
        <f>G198*AO198</f>
        <v>0</v>
      </c>
      <c r="J198" s="108">
        <f>G198*AP198</f>
        <v>0</v>
      </c>
      <c r="K198" s="108">
        <f>G198*H198</f>
        <v>0</v>
      </c>
      <c r="L198" s="111" t="s">
        <v>1671</v>
      </c>
      <c r="Z198" s="100">
        <f>IF(AQ198="5",BJ198,0)</f>
        <v>0</v>
      </c>
      <c r="AB198" s="100">
        <f>IF(AQ198="1",BH198,0)</f>
        <v>0</v>
      </c>
      <c r="AC198" s="100">
        <f>IF(AQ198="1",BI198,0)</f>
        <v>0</v>
      </c>
      <c r="AD198" s="100">
        <f>IF(AQ198="7",BH198,0)</f>
        <v>0</v>
      </c>
      <c r="AE198" s="100">
        <f>IF(AQ198="7",BI198,0)</f>
        <v>0</v>
      </c>
      <c r="AF198" s="100">
        <f>IF(AQ198="2",BH198,0)</f>
        <v>0</v>
      </c>
      <c r="AG198" s="100">
        <f>IF(AQ198="2",BI198,0)</f>
        <v>0</v>
      </c>
      <c r="AH198" s="100">
        <f>IF(AQ198="0",BJ198,0)</f>
        <v>0</v>
      </c>
      <c r="AI198" s="109"/>
      <c r="AJ198" s="108">
        <f>IF(AN198=0,K198,0)</f>
        <v>0</v>
      </c>
      <c r="AK198" s="108">
        <f>IF(AN198=15,K198,0)</f>
        <v>0</v>
      </c>
      <c r="AL198" s="108">
        <f>IF(AN198=21,K198,0)</f>
        <v>0</v>
      </c>
      <c r="AN198" s="100">
        <v>15</v>
      </c>
      <c r="AO198" s="100">
        <f>H198*0.400704278242505</f>
        <v>0</v>
      </c>
      <c r="AP198" s="100">
        <f>H198*(1-0.400704278242505)</f>
        <v>0</v>
      </c>
      <c r="AQ198" s="111" t="s">
        <v>13</v>
      </c>
      <c r="AV198" s="100">
        <f>AW198+AX198</f>
        <v>0</v>
      </c>
      <c r="AW198" s="100">
        <f>G198*AO198</f>
        <v>0</v>
      </c>
      <c r="AX198" s="100">
        <f>G198*AP198</f>
        <v>0</v>
      </c>
      <c r="AY198" s="110" t="s">
        <v>1719</v>
      </c>
      <c r="AZ198" s="110" t="s">
        <v>1736</v>
      </c>
      <c r="BA198" s="109" t="s">
        <v>1737</v>
      </c>
      <c r="BC198" s="100">
        <f>AW198+AX198</f>
        <v>0</v>
      </c>
      <c r="BD198" s="100">
        <f>H198/(100-BE198)*100</f>
        <v>0</v>
      </c>
      <c r="BE198" s="100">
        <v>0</v>
      </c>
      <c r="BF198" s="100">
        <f>198</f>
        <v>198</v>
      </c>
      <c r="BH198" s="108">
        <f>G198*AO198</f>
        <v>0</v>
      </c>
      <c r="BI198" s="108">
        <f>G198*AP198</f>
        <v>0</v>
      </c>
      <c r="BJ198" s="108">
        <f>G198*H198</f>
        <v>0</v>
      </c>
    </row>
    <row r="199" spans="1:62" x14ac:dyDescent="0.2">
      <c r="A199" s="117" t="s">
        <v>174</v>
      </c>
      <c r="B199" s="117" t="s">
        <v>935</v>
      </c>
      <c r="C199" s="304" t="s">
        <v>4301</v>
      </c>
      <c r="D199" s="305"/>
      <c r="E199" s="305"/>
      <c r="F199" s="117" t="s">
        <v>1645</v>
      </c>
      <c r="G199" s="116">
        <v>53.353000000000002</v>
      </c>
      <c r="H199" s="159"/>
      <c r="I199" s="108">
        <f>G199*AO199</f>
        <v>0</v>
      </c>
      <c r="J199" s="108">
        <f>G199*AP199</f>
        <v>0</v>
      </c>
      <c r="K199" s="108">
        <f>G199*H199</f>
        <v>0</v>
      </c>
      <c r="L199" s="111" t="s">
        <v>1671</v>
      </c>
      <c r="Z199" s="100">
        <f>IF(AQ199="5",BJ199,0)</f>
        <v>0</v>
      </c>
      <c r="AB199" s="100">
        <f>IF(AQ199="1",BH199,0)</f>
        <v>0</v>
      </c>
      <c r="AC199" s="100">
        <f>IF(AQ199="1",BI199,0)</f>
        <v>0</v>
      </c>
      <c r="AD199" s="100">
        <f>IF(AQ199="7",BH199,0)</f>
        <v>0</v>
      </c>
      <c r="AE199" s="100">
        <f>IF(AQ199="7",BI199,0)</f>
        <v>0</v>
      </c>
      <c r="AF199" s="100">
        <f>IF(AQ199="2",BH199,0)</f>
        <v>0</v>
      </c>
      <c r="AG199" s="100">
        <f>IF(AQ199="2",BI199,0)</f>
        <v>0</v>
      </c>
      <c r="AH199" s="100">
        <f>IF(AQ199="0",BJ199,0)</f>
        <v>0</v>
      </c>
      <c r="AI199" s="109"/>
      <c r="AJ199" s="108">
        <f>IF(AN199=0,K199,0)</f>
        <v>0</v>
      </c>
      <c r="AK199" s="108">
        <f>IF(AN199=15,K199,0)</f>
        <v>0</v>
      </c>
      <c r="AL199" s="108">
        <f>IF(AN199=21,K199,0)</f>
        <v>0</v>
      </c>
      <c r="AN199" s="100">
        <v>15</v>
      </c>
      <c r="AO199" s="100">
        <f>H199*0.0909912358470774</f>
        <v>0</v>
      </c>
      <c r="AP199" s="100">
        <f>H199*(1-0.0909912358470774)</f>
        <v>0</v>
      </c>
      <c r="AQ199" s="111" t="s">
        <v>13</v>
      </c>
      <c r="AV199" s="100">
        <f>AW199+AX199</f>
        <v>0</v>
      </c>
      <c r="AW199" s="100">
        <f>G199*AO199</f>
        <v>0</v>
      </c>
      <c r="AX199" s="100">
        <f>G199*AP199</f>
        <v>0</v>
      </c>
      <c r="AY199" s="110" t="s">
        <v>1719</v>
      </c>
      <c r="AZ199" s="110" t="s">
        <v>1736</v>
      </c>
      <c r="BA199" s="109" t="s">
        <v>1737</v>
      </c>
      <c r="BC199" s="100">
        <f>AW199+AX199</f>
        <v>0</v>
      </c>
      <c r="BD199" s="100">
        <f>H199/(100-BE199)*100</f>
        <v>0</v>
      </c>
      <c r="BE199" s="100">
        <v>0</v>
      </c>
      <c r="BF199" s="100">
        <f>199</f>
        <v>199</v>
      </c>
      <c r="BH199" s="108">
        <f>G199*AO199</f>
        <v>0</v>
      </c>
      <c r="BI199" s="108">
        <f>G199*AP199</f>
        <v>0</v>
      </c>
      <c r="BJ199" s="108">
        <f>G199*H199</f>
        <v>0</v>
      </c>
    </row>
    <row r="200" spans="1:62" x14ac:dyDescent="0.2">
      <c r="A200" s="119"/>
      <c r="B200" s="120" t="s">
        <v>936</v>
      </c>
      <c r="C200" s="306" t="s">
        <v>1525</v>
      </c>
      <c r="D200" s="307"/>
      <c r="E200" s="307"/>
      <c r="F200" s="119" t="s">
        <v>6</v>
      </c>
      <c r="G200" s="119" t="s">
        <v>6</v>
      </c>
      <c r="H200" s="119" t="s">
        <v>6</v>
      </c>
      <c r="I200" s="118">
        <f>SUM(I201:I219)</f>
        <v>0</v>
      </c>
      <c r="J200" s="118">
        <f>SUM(J201:J219)</f>
        <v>0</v>
      </c>
      <c r="K200" s="118">
        <f>SUM(K201:K219)</f>
        <v>0</v>
      </c>
      <c r="L200" s="109"/>
      <c r="AI200" s="109"/>
      <c r="AS200" s="118">
        <f>SUM(AJ201:AJ219)</f>
        <v>0</v>
      </c>
      <c r="AT200" s="118">
        <f>SUM(AK201:AK219)</f>
        <v>0</v>
      </c>
      <c r="AU200" s="118">
        <f>SUM(AL201:AL219)</f>
        <v>0</v>
      </c>
    </row>
    <row r="201" spans="1:62" x14ac:dyDescent="0.2">
      <c r="A201" s="117" t="s">
        <v>175</v>
      </c>
      <c r="B201" s="117" t="s">
        <v>4498</v>
      </c>
      <c r="C201" s="304" t="s">
        <v>1531</v>
      </c>
      <c r="D201" s="305"/>
      <c r="E201" s="305"/>
      <c r="F201" s="117" t="s">
        <v>1644</v>
      </c>
      <c r="G201" s="116">
        <v>1</v>
      </c>
      <c r="H201" s="159"/>
      <c r="I201" s="108">
        <f t="shared" ref="I201:I219" si="208">G201*AO201</f>
        <v>0</v>
      </c>
      <c r="J201" s="108">
        <f t="shared" ref="J201:J219" si="209">G201*AP201</f>
        <v>0</v>
      </c>
      <c r="K201" s="108">
        <f t="shared" ref="K201:K219" si="210">G201*H201</f>
        <v>0</v>
      </c>
      <c r="L201" s="111"/>
      <c r="Z201" s="100">
        <f t="shared" ref="Z201:Z219" si="211">IF(AQ201="5",BJ201,0)</f>
        <v>0</v>
      </c>
      <c r="AB201" s="100">
        <f t="shared" ref="AB201:AB219" si="212">IF(AQ201="1",BH201,0)</f>
        <v>0</v>
      </c>
      <c r="AC201" s="100">
        <f t="shared" ref="AC201:AC219" si="213">IF(AQ201="1",BI201,0)</f>
        <v>0</v>
      </c>
      <c r="AD201" s="100">
        <f t="shared" ref="AD201:AD219" si="214">IF(AQ201="7",BH201,0)</f>
        <v>0</v>
      </c>
      <c r="AE201" s="100">
        <f t="shared" ref="AE201:AE219" si="215">IF(AQ201="7",BI201,0)</f>
        <v>0</v>
      </c>
      <c r="AF201" s="100">
        <f t="shared" ref="AF201:AF219" si="216">IF(AQ201="2",BH201,0)</f>
        <v>0</v>
      </c>
      <c r="AG201" s="100">
        <f t="shared" ref="AG201:AG219" si="217">IF(AQ201="2",BI201,0)</f>
        <v>0</v>
      </c>
      <c r="AH201" s="100">
        <f t="shared" ref="AH201:AH219" si="218">IF(AQ201="0",BJ201,0)</f>
        <v>0</v>
      </c>
      <c r="AI201" s="109"/>
      <c r="AJ201" s="108">
        <f t="shared" ref="AJ201:AJ219" si="219">IF(AN201=0,K201,0)</f>
        <v>0</v>
      </c>
      <c r="AK201" s="108">
        <f t="shared" ref="AK201:AK219" si="220">IF(AN201=15,K201,0)</f>
        <v>0</v>
      </c>
      <c r="AL201" s="108">
        <f t="shared" ref="AL201:AL219" si="221">IF(AN201=21,K201,0)</f>
        <v>0</v>
      </c>
      <c r="AN201" s="100">
        <v>15</v>
      </c>
      <c r="AO201" s="100">
        <f t="shared" ref="AO201:AO219" si="222">H201*0</f>
        <v>0</v>
      </c>
      <c r="AP201" s="100">
        <f t="shared" ref="AP201:AP219" si="223">H201*(1-0)</f>
        <v>0</v>
      </c>
      <c r="AQ201" s="111" t="s">
        <v>7</v>
      </c>
      <c r="AV201" s="100">
        <f t="shared" ref="AV201:AV219" si="224">AW201+AX201</f>
        <v>0</v>
      </c>
      <c r="AW201" s="100">
        <f t="shared" ref="AW201:AW219" si="225">G201*AO201</f>
        <v>0</v>
      </c>
      <c r="AX201" s="100">
        <f t="shared" ref="AX201:AX219" si="226">G201*AP201</f>
        <v>0</v>
      </c>
      <c r="AY201" s="110" t="s">
        <v>1720</v>
      </c>
      <c r="AZ201" s="110" t="s">
        <v>1730</v>
      </c>
      <c r="BA201" s="109" t="s">
        <v>1737</v>
      </c>
      <c r="BC201" s="100">
        <f t="shared" ref="BC201:BC219" si="227">AW201+AX201</f>
        <v>0</v>
      </c>
      <c r="BD201" s="100">
        <f t="shared" ref="BD201:BD219" si="228">H201/(100-BE201)*100</f>
        <v>0</v>
      </c>
      <c r="BE201" s="100">
        <v>0</v>
      </c>
      <c r="BF201" s="100">
        <f>201</f>
        <v>201</v>
      </c>
      <c r="BH201" s="108">
        <f t="shared" ref="BH201:BH219" si="229">G201*AO201</f>
        <v>0</v>
      </c>
      <c r="BI201" s="108">
        <f t="shared" ref="BI201:BI219" si="230">G201*AP201</f>
        <v>0</v>
      </c>
      <c r="BJ201" s="108">
        <f t="shared" ref="BJ201:BJ219" si="231">G201*H201</f>
        <v>0</v>
      </c>
    </row>
    <row r="202" spans="1:62" x14ac:dyDescent="0.2">
      <c r="A202" s="117" t="s">
        <v>176</v>
      </c>
      <c r="B202" s="117" t="s">
        <v>4497</v>
      </c>
      <c r="C202" s="304" t="s">
        <v>1532</v>
      </c>
      <c r="D202" s="305"/>
      <c r="E202" s="305"/>
      <c r="F202" s="117" t="s">
        <v>1646</v>
      </c>
      <c r="G202" s="116">
        <v>40</v>
      </c>
      <c r="H202" s="159"/>
      <c r="I202" s="108">
        <f t="shared" si="208"/>
        <v>0</v>
      </c>
      <c r="J202" s="108">
        <f t="shared" si="209"/>
        <v>0</v>
      </c>
      <c r="K202" s="108">
        <f t="shared" si="210"/>
        <v>0</v>
      </c>
      <c r="L202" s="111"/>
      <c r="Z202" s="100">
        <f t="shared" si="211"/>
        <v>0</v>
      </c>
      <c r="AB202" s="100">
        <f t="shared" si="212"/>
        <v>0</v>
      </c>
      <c r="AC202" s="100">
        <f t="shared" si="213"/>
        <v>0</v>
      </c>
      <c r="AD202" s="100">
        <f t="shared" si="214"/>
        <v>0</v>
      </c>
      <c r="AE202" s="100">
        <f t="shared" si="215"/>
        <v>0</v>
      </c>
      <c r="AF202" s="100">
        <f t="shared" si="216"/>
        <v>0</v>
      </c>
      <c r="AG202" s="100">
        <f t="shared" si="217"/>
        <v>0</v>
      </c>
      <c r="AH202" s="100">
        <f t="shared" si="218"/>
        <v>0</v>
      </c>
      <c r="AI202" s="109"/>
      <c r="AJ202" s="108">
        <f t="shared" si="219"/>
        <v>0</v>
      </c>
      <c r="AK202" s="108">
        <f t="shared" si="220"/>
        <v>0</v>
      </c>
      <c r="AL202" s="108">
        <f t="shared" si="221"/>
        <v>0</v>
      </c>
      <c r="AN202" s="100">
        <v>15</v>
      </c>
      <c r="AO202" s="100">
        <f t="shared" si="222"/>
        <v>0</v>
      </c>
      <c r="AP202" s="100">
        <f t="shared" si="223"/>
        <v>0</v>
      </c>
      <c r="AQ202" s="111" t="s">
        <v>7</v>
      </c>
      <c r="AV202" s="100">
        <f t="shared" si="224"/>
        <v>0</v>
      </c>
      <c r="AW202" s="100">
        <f t="shared" si="225"/>
        <v>0</v>
      </c>
      <c r="AX202" s="100">
        <f t="shared" si="226"/>
        <v>0</v>
      </c>
      <c r="AY202" s="110" t="s">
        <v>1720</v>
      </c>
      <c r="AZ202" s="110" t="s">
        <v>1730</v>
      </c>
      <c r="BA202" s="109" t="s">
        <v>1737</v>
      </c>
      <c r="BC202" s="100">
        <f t="shared" si="227"/>
        <v>0</v>
      </c>
      <c r="BD202" s="100">
        <f t="shared" si="228"/>
        <v>0</v>
      </c>
      <c r="BE202" s="100">
        <v>0</v>
      </c>
      <c r="BF202" s="100">
        <f>202</f>
        <v>202</v>
      </c>
      <c r="BH202" s="108">
        <f t="shared" si="229"/>
        <v>0</v>
      </c>
      <c r="BI202" s="108">
        <f t="shared" si="230"/>
        <v>0</v>
      </c>
      <c r="BJ202" s="108">
        <f t="shared" si="231"/>
        <v>0</v>
      </c>
    </row>
    <row r="203" spans="1:62" x14ac:dyDescent="0.2">
      <c r="A203" s="117" t="s">
        <v>177</v>
      </c>
      <c r="B203" s="117" t="s">
        <v>4496</v>
      </c>
      <c r="C203" s="304" t="s">
        <v>1533</v>
      </c>
      <c r="D203" s="305"/>
      <c r="E203" s="305"/>
      <c r="F203" s="117" t="s">
        <v>1646</v>
      </c>
      <c r="G203" s="116">
        <v>10</v>
      </c>
      <c r="H203" s="159"/>
      <c r="I203" s="108">
        <f t="shared" si="208"/>
        <v>0</v>
      </c>
      <c r="J203" s="108">
        <f t="shared" si="209"/>
        <v>0</v>
      </c>
      <c r="K203" s="108">
        <f t="shared" si="210"/>
        <v>0</v>
      </c>
      <c r="L203" s="111"/>
      <c r="Z203" s="100">
        <f t="shared" si="211"/>
        <v>0</v>
      </c>
      <c r="AB203" s="100">
        <f t="shared" si="212"/>
        <v>0</v>
      </c>
      <c r="AC203" s="100">
        <f t="shared" si="213"/>
        <v>0</v>
      </c>
      <c r="AD203" s="100">
        <f t="shared" si="214"/>
        <v>0</v>
      </c>
      <c r="AE203" s="100">
        <f t="shared" si="215"/>
        <v>0</v>
      </c>
      <c r="AF203" s="100">
        <f t="shared" si="216"/>
        <v>0</v>
      </c>
      <c r="AG203" s="100">
        <f t="shared" si="217"/>
        <v>0</v>
      </c>
      <c r="AH203" s="100">
        <f t="shared" si="218"/>
        <v>0</v>
      </c>
      <c r="AI203" s="109"/>
      <c r="AJ203" s="108">
        <f t="shared" si="219"/>
        <v>0</v>
      </c>
      <c r="AK203" s="108">
        <f t="shared" si="220"/>
        <v>0</v>
      </c>
      <c r="AL203" s="108">
        <f t="shared" si="221"/>
        <v>0</v>
      </c>
      <c r="AN203" s="100">
        <v>15</v>
      </c>
      <c r="AO203" s="100">
        <f t="shared" si="222"/>
        <v>0</v>
      </c>
      <c r="AP203" s="100">
        <f t="shared" si="223"/>
        <v>0</v>
      </c>
      <c r="AQ203" s="111" t="s">
        <v>7</v>
      </c>
      <c r="AV203" s="100">
        <f t="shared" si="224"/>
        <v>0</v>
      </c>
      <c r="AW203" s="100">
        <f t="shared" si="225"/>
        <v>0</v>
      </c>
      <c r="AX203" s="100">
        <f t="shared" si="226"/>
        <v>0</v>
      </c>
      <c r="AY203" s="110" t="s">
        <v>1720</v>
      </c>
      <c r="AZ203" s="110" t="s">
        <v>1730</v>
      </c>
      <c r="BA203" s="109" t="s">
        <v>1737</v>
      </c>
      <c r="BC203" s="100">
        <f t="shared" si="227"/>
        <v>0</v>
      </c>
      <c r="BD203" s="100">
        <f t="shared" si="228"/>
        <v>0</v>
      </c>
      <c r="BE203" s="100">
        <v>0</v>
      </c>
      <c r="BF203" s="100">
        <f>203</f>
        <v>203</v>
      </c>
      <c r="BH203" s="108">
        <f t="shared" si="229"/>
        <v>0</v>
      </c>
      <c r="BI203" s="108">
        <f t="shared" si="230"/>
        <v>0</v>
      </c>
      <c r="BJ203" s="108">
        <f t="shared" si="231"/>
        <v>0</v>
      </c>
    </row>
    <row r="204" spans="1:62" x14ac:dyDescent="0.2">
      <c r="A204" s="117" t="s">
        <v>178</v>
      </c>
      <c r="B204" s="117" t="s">
        <v>4495</v>
      </c>
      <c r="C204" s="304" t="s">
        <v>1534</v>
      </c>
      <c r="D204" s="305"/>
      <c r="E204" s="305"/>
      <c r="F204" s="117" t="s">
        <v>1644</v>
      </c>
      <c r="G204" s="116">
        <v>5</v>
      </c>
      <c r="H204" s="159"/>
      <c r="I204" s="108">
        <f t="shared" si="208"/>
        <v>0</v>
      </c>
      <c r="J204" s="108">
        <f t="shared" si="209"/>
        <v>0</v>
      </c>
      <c r="K204" s="108">
        <f t="shared" si="210"/>
        <v>0</v>
      </c>
      <c r="L204" s="111"/>
      <c r="Z204" s="100">
        <f t="shared" si="211"/>
        <v>0</v>
      </c>
      <c r="AB204" s="100">
        <f t="shared" si="212"/>
        <v>0</v>
      </c>
      <c r="AC204" s="100">
        <f t="shared" si="213"/>
        <v>0</v>
      </c>
      <c r="AD204" s="100">
        <f t="shared" si="214"/>
        <v>0</v>
      </c>
      <c r="AE204" s="100">
        <f t="shared" si="215"/>
        <v>0</v>
      </c>
      <c r="AF204" s="100">
        <f t="shared" si="216"/>
        <v>0</v>
      </c>
      <c r="AG204" s="100">
        <f t="shared" si="217"/>
        <v>0</v>
      </c>
      <c r="AH204" s="100">
        <f t="shared" si="218"/>
        <v>0</v>
      </c>
      <c r="AI204" s="109"/>
      <c r="AJ204" s="108">
        <f t="shared" si="219"/>
        <v>0</v>
      </c>
      <c r="AK204" s="108">
        <f t="shared" si="220"/>
        <v>0</v>
      </c>
      <c r="AL204" s="108">
        <f t="shared" si="221"/>
        <v>0</v>
      </c>
      <c r="AN204" s="100">
        <v>15</v>
      </c>
      <c r="AO204" s="100">
        <f t="shared" si="222"/>
        <v>0</v>
      </c>
      <c r="AP204" s="100">
        <f t="shared" si="223"/>
        <v>0</v>
      </c>
      <c r="AQ204" s="111" t="s">
        <v>7</v>
      </c>
      <c r="AV204" s="100">
        <f t="shared" si="224"/>
        <v>0</v>
      </c>
      <c r="AW204" s="100">
        <f t="shared" si="225"/>
        <v>0</v>
      </c>
      <c r="AX204" s="100">
        <f t="shared" si="226"/>
        <v>0</v>
      </c>
      <c r="AY204" s="110" t="s">
        <v>1720</v>
      </c>
      <c r="AZ204" s="110" t="s">
        <v>1730</v>
      </c>
      <c r="BA204" s="109" t="s">
        <v>1737</v>
      </c>
      <c r="BC204" s="100">
        <f t="shared" si="227"/>
        <v>0</v>
      </c>
      <c r="BD204" s="100">
        <f t="shared" si="228"/>
        <v>0</v>
      </c>
      <c r="BE204" s="100">
        <v>0</v>
      </c>
      <c r="BF204" s="100">
        <f>204</f>
        <v>204</v>
      </c>
      <c r="BH204" s="108">
        <f t="shared" si="229"/>
        <v>0</v>
      </c>
      <c r="BI204" s="108">
        <f t="shared" si="230"/>
        <v>0</v>
      </c>
      <c r="BJ204" s="108">
        <f t="shared" si="231"/>
        <v>0</v>
      </c>
    </row>
    <row r="205" spans="1:62" x14ac:dyDescent="0.2">
      <c r="A205" s="117" t="s">
        <v>179</v>
      </c>
      <c r="B205" s="117" t="s">
        <v>4494</v>
      </c>
      <c r="C205" s="304" t="s">
        <v>1535</v>
      </c>
      <c r="D205" s="305"/>
      <c r="E205" s="305"/>
      <c r="F205" s="117" t="s">
        <v>1644</v>
      </c>
      <c r="G205" s="116">
        <v>3</v>
      </c>
      <c r="H205" s="159"/>
      <c r="I205" s="108">
        <f t="shared" si="208"/>
        <v>0</v>
      </c>
      <c r="J205" s="108">
        <f t="shared" si="209"/>
        <v>0</v>
      </c>
      <c r="K205" s="108">
        <f t="shared" si="210"/>
        <v>0</v>
      </c>
      <c r="L205" s="111"/>
      <c r="Z205" s="100">
        <f t="shared" si="211"/>
        <v>0</v>
      </c>
      <c r="AB205" s="100">
        <f t="shared" si="212"/>
        <v>0</v>
      </c>
      <c r="AC205" s="100">
        <f t="shared" si="213"/>
        <v>0</v>
      </c>
      <c r="AD205" s="100">
        <f t="shared" si="214"/>
        <v>0</v>
      </c>
      <c r="AE205" s="100">
        <f t="shared" si="215"/>
        <v>0</v>
      </c>
      <c r="AF205" s="100">
        <f t="shared" si="216"/>
        <v>0</v>
      </c>
      <c r="AG205" s="100">
        <f t="shared" si="217"/>
        <v>0</v>
      </c>
      <c r="AH205" s="100">
        <f t="shared" si="218"/>
        <v>0</v>
      </c>
      <c r="AI205" s="109"/>
      <c r="AJ205" s="108">
        <f t="shared" si="219"/>
        <v>0</v>
      </c>
      <c r="AK205" s="108">
        <f t="shared" si="220"/>
        <v>0</v>
      </c>
      <c r="AL205" s="108">
        <f t="shared" si="221"/>
        <v>0</v>
      </c>
      <c r="AN205" s="100">
        <v>15</v>
      </c>
      <c r="AO205" s="100">
        <f t="shared" si="222"/>
        <v>0</v>
      </c>
      <c r="AP205" s="100">
        <f t="shared" si="223"/>
        <v>0</v>
      </c>
      <c r="AQ205" s="111" t="s">
        <v>7</v>
      </c>
      <c r="AV205" s="100">
        <f t="shared" si="224"/>
        <v>0</v>
      </c>
      <c r="AW205" s="100">
        <f t="shared" si="225"/>
        <v>0</v>
      </c>
      <c r="AX205" s="100">
        <f t="shared" si="226"/>
        <v>0</v>
      </c>
      <c r="AY205" s="110" t="s">
        <v>1720</v>
      </c>
      <c r="AZ205" s="110" t="s">
        <v>1730</v>
      </c>
      <c r="BA205" s="109" t="s">
        <v>1737</v>
      </c>
      <c r="BC205" s="100">
        <f t="shared" si="227"/>
        <v>0</v>
      </c>
      <c r="BD205" s="100">
        <f t="shared" si="228"/>
        <v>0</v>
      </c>
      <c r="BE205" s="100">
        <v>0</v>
      </c>
      <c r="BF205" s="100">
        <f>205</f>
        <v>205</v>
      </c>
      <c r="BH205" s="108">
        <f t="shared" si="229"/>
        <v>0</v>
      </c>
      <c r="BI205" s="108">
        <f t="shared" si="230"/>
        <v>0</v>
      </c>
      <c r="BJ205" s="108">
        <f t="shared" si="231"/>
        <v>0</v>
      </c>
    </row>
    <row r="206" spans="1:62" x14ac:dyDescent="0.2">
      <c r="A206" s="117" t="s">
        <v>180</v>
      </c>
      <c r="B206" s="117" t="s">
        <v>4493</v>
      </c>
      <c r="C206" s="304" t="s">
        <v>1536</v>
      </c>
      <c r="D206" s="305"/>
      <c r="E206" s="305"/>
      <c r="F206" s="117" t="s">
        <v>1644</v>
      </c>
      <c r="G206" s="116">
        <v>24</v>
      </c>
      <c r="H206" s="159"/>
      <c r="I206" s="108">
        <f t="shared" si="208"/>
        <v>0</v>
      </c>
      <c r="J206" s="108">
        <f t="shared" si="209"/>
        <v>0</v>
      </c>
      <c r="K206" s="108">
        <f t="shared" si="210"/>
        <v>0</v>
      </c>
      <c r="L206" s="111"/>
      <c r="Z206" s="100">
        <f t="shared" si="211"/>
        <v>0</v>
      </c>
      <c r="AB206" s="100">
        <f t="shared" si="212"/>
        <v>0</v>
      </c>
      <c r="AC206" s="100">
        <f t="shared" si="213"/>
        <v>0</v>
      </c>
      <c r="AD206" s="100">
        <f t="shared" si="214"/>
        <v>0</v>
      </c>
      <c r="AE206" s="100">
        <f t="shared" si="215"/>
        <v>0</v>
      </c>
      <c r="AF206" s="100">
        <f t="shared" si="216"/>
        <v>0</v>
      </c>
      <c r="AG206" s="100">
        <f t="shared" si="217"/>
        <v>0</v>
      </c>
      <c r="AH206" s="100">
        <f t="shared" si="218"/>
        <v>0</v>
      </c>
      <c r="AI206" s="109"/>
      <c r="AJ206" s="108">
        <f t="shared" si="219"/>
        <v>0</v>
      </c>
      <c r="AK206" s="108">
        <f t="shared" si="220"/>
        <v>0</v>
      </c>
      <c r="AL206" s="108">
        <f t="shared" si="221"/>
        <v>0</v>
      </c>
      <c r="AN206" s="100">
        <v>15</v>
      </c>
      <c r="AO206" s="100">
        <f t="shared" si="222"/>
        <v>0</v>
      </c>
      <c r="AP206" s="100">
        <f t="shared" si="223"/>
        <v>0</v>
      </c>
      <c r="AQ206" s="111" t="s">
        <v>7</v>
      </c>
      <c r="AV206" s="100">
        <f t="shared" si="224"/>
        <v>0</v>
      </c>
      <c r="AW206" s="100">
        <f t="shared" si="225"/>
        <v>0</v>
      </c>
      <c r="AX206" s="100">
        <f t="shared" si="226"/>
        <v>0</v>
      </c>
      <c r="AY206" s="110" t="s">
        <v>1720</v>
      </c>
      <c r="AZ206" s="110" t="s">
        <v>1730</v>
      </c>
      <c r="BA206" s="109" t="s">
        <v>1737</v>
      </c>
      <c r="BC206" s="100">
        <f t="shared" si="227"/>
        <v>0</v>
      </c>
      <c r="BD206" s="100">
        <f t="shared" si="228"/>
        <v>0</v>
      </c>
      <c r="BE206" s="100">
        <v>0</v>
      </c>
      <c r="BF206" s="100">
        <f>206</f>
        <v>206</v>
      </c>
      <c r="BH206" s="108">
        <f t="shared" si="229"/>
        <v>0</v>
      </c>
      <c r="BI206" s="108">
        <f t="shared" si="230"/>
        <v>0</v>
      </c>
      <c r="BJ206" s="108">
        <f t="shared" si="231"/>
        <v>0</v>
      </c>
    </row>
    <row r="207" spans="1:62" x14ac:dyDescent="0.2">
      <c r="A207" s="117" t="s">
        <v>181</v>
      </c>
      <c r="B207" s="117" t="s">
        <v>4492</v>
      </c>
      <c r="C207" s="304" t="s">
        <v>1537</v>
      </c>
      <c r="D207" s="305"/>
      <c r="E207" s="305"/>
      <c r="F207" s="117" t="s">
        <v>1644</v>
      </c>
      <c r="G207" s="116">
        <v>1</v>
      </c>
      <c r="H207" s="159"/>
      <c r="I207" s="108">
        <f t="shared" si="208"/>
        <v>0</v>
      </c>
      <c r="J207" s="108">
        <f t="shared" si="209"/>
        <v>0</v>
      </c>
      <c r="K207" s="108">
        <f t="shared" si="210"/>
        <v>0</v>
      </c>
      <c r="L207" s="111"/>
      <c r="Z207" s="100">
        <f t="shared" si="211"/>
        <v>0</v>
      </c>
      <c r="AB207" s="100">
        <f t="shared" si="212"/>
        <v>0</v>
      </c>
      <c r="AC207" s="100">
        <f t="shared" si="213"/>
        <v>0</v>
      </c>
      <c r="AD207" s="100">
        <f t="shared" si="214"/>
        <v>0</v>
      </c>
      <c r="AE207" s="100">
        <f t="shared" si="215"/>
        <v>0</v>
      </c>
      <c r="AF207" s="100">
        <f t="shared" si="216"/>
        <v>0</v>
      </c>
      <c r="AG207" s="100">
        <f t="shared" si="217"/>
        <v>0</v>
      </c>
      <c r="AH207" s="100">
        <f t="shared" si="218"/>
        <v>0</v>
      </c>
      <c r="AI207" s="109"/>
      <c r="AJ207" s="108">
        <f t="shared" si="219"/>
        <v>0</v>
      </c>
      <c r="AK207" s="108">
        <f t="shared" si="220"/>
        <v>0</v>
      </c>
      <c r="AL207" s="108">
        <f t="shared" si="221"/>
        <v>0</v>
      </c>
      <c r="AN207" s="100">
        <v>15</v>
      </c>
      <c r="AO207" s="100">
        <f t="shared" si="222"/>
        <v>0</v>
      </c>
      <c r="AP207" s="100">
        <f t="shared" si="223"/>
        <v>0</v>
      </c>
      <c r="AQ207" s="111" t="s">
        <v>7</v>
      </c>
      <c r="AV207" s="100">
        <f t="shared" si="224"/>
        <v>0</v>
      </c>
      <c r="AW207" s="100">
        <f t="shared" si="225"/>
        <v>0</v>
      </c>
      <c r="AX207" s="100">
        <f t="shared" si="226"/>
        <v>0</v>
      </c>
      <c r="AY207" s="110" t="s">
        <v>1720</v>
      </c>
      <c r="AZ207" s="110" t="s">
        <v>1730</v>
      </c>
      <c r="BA207" s="109" t="s">
        <v>1737</v>
      </c>
      <c r="BC207" s="100">
        <f t="shared" si="227"/>
        <v>0</v>
      </c>
      <c r="BD207" s="100">
        <f t="shared" si="228"/>
        <v>0</v>
      </c>
      <c r="BE207" s="100">
        <v>0</v>
      </c>
      <c r="BF207" s="100">
        <f>207</f>
        <v>207</v>
      </c>
      <c r="BH207" s="108">
        <f t="shared" si="229"/>
        <v>0</v>
      </c>
      <c r="BI207" s="108">
        <f t="shared" si="230"/>
        <v>0</v>
      </c>
      <c r="BJ207" s="108">
        <f t="shared" si="231"/>
        <v>0</v>
      </c>
    </row>
    <row r="208" spans="1:62" x14ac:dyDescent="0.2">
      <c r="A208" s="117" t="s">
        <v>182</v>
      </c>
      <c r="B208" s="117" t="s">
        <v>4491</v>
      </c>
      <c r="C208" s="304" t="s">
        <v>1538</v>
      </c>
      <c r="D208" s="305"/>
      <c r="E208" s="305"/>
      <c r="F208" s="117" t="s">
        <v>1646</v>
      </c>
      <c r="G208" s="116">
        <v>10</v>
      </c>
      <c r="H208" s="159"/>
      <c r="I208" s="108">
        <f t="shared" si="208"/>
        <v>0</v>
      </c>
      <c r="J208" s="108">
        <f t="shared" si="209"/>
        <v>0</v>
      </c>
      <c r="K208" s="108">
        <f t="shared" si="210"/>
        <v>0</v>
      </c>
      <c r="L208" s="111"/>
      <c r="Z208" s="100">
        <f t="shared" si="211"/>
        <v>0</v>
      </c>
      <c r="AB208" s="100">
        <f t="shared" si="212"/>
        <v>0</v>
      </c>
      <c r="AC208" s="100">
        <f t="shared" si="213"/>
        <v>0</v>
      </c>
      <c r="AD208" s="100">
        <f t="shared" si="214"/>
        <v>0</v>
      </c>
      <c r="AE208" s="100">
        <f t="shared" si="215"/>
        <v>0</v>
      </c>
      <c r="AF208" s="100">
        <f t="shared" si="216"/>
        <v>0</v>
      </c>
      <c r="AG208" s="100">
        <f t="shared" si="217"/>
        <v>0</v>
      </c>
      <c r="AH208" s="100">
        <f t="shared" si="218"/>
        <v>0</v>
      </c>
      <c r="AI208" s="109"/>
      <c r="AJ208" s="108">
        <f t="shared" si="219"/>
        <v>0</v>
      </c>
      <c r="AK208" s="108">
        <f t="shared" si="220"/>
        <v>0</v>
      </c>
      <c r="AL208" s="108">
        <f t="shared" si="221"/>
        <v>0</v>
      </c>
      <c r="AN208" s="100">
        <v>15</v>
      </c>
      <c r="AO208" s="100">
        <f t="shared" si="222"/>
        <v>0</v>
      </c>
      <c r="AP208" s="100">
        <f t="shared" si="223"/>
        <v>0</v>
      </c>
      <c r="AQ208" s="111" t="s">
        <v>7</v>
      </c>
      <c r="AV208" s="100">
        <f t="shared" si="224"/>
        <v>0</v>
      </c>
      <c r="AW208" s="100">
        <f t="shared" si="225"/>
        <v>0</v>
      </c>
      <c r="AX208" s="100">
        <f t="shared" si="226"/>
        <v>0</v>
      </c>
      <c r="AY208" s="110" t="s">
        <v>1720</v>
      </c>
      <c r="AZ208" s="110" t="s">
        <v>1730</v>
      </c>
      <c r="BA208" s="109" t="s">
        <v>1737</v>
      </c>
      <c r="BC208" s="100">
        <f t="shared" si="227"/>
        <v>0</v>
      </c>
      <c r="BD208" s="100">
        <f t="shared" si="228"/>
        <v>0</v>
      </c>
      <c r="BE208" s="100">
        <v>0</v>
      </c>
      <c r="BF208" s="100">
        <f>208</f>
        <v>208</v>
      </c>
      <c r="BH208" s="108">
        <f t="shared" si="229"/>
        <v>0</v>
      </c>
      <c r="BI208" s="108">
        <f t="shared" si="230"/>
        <v>0</v>
      </c>
      <c r="BJ208" s="108">
        <f t="shared" si="231"/>
        <v>0</v>
      </c>
    </row>
    <row r="209" spans="1:62" x14ac:dyDescent="0.2">
      <c r="A209" s="117" t="s">
        <v>183</v>
      </c>
      <c r="B209" s="117" t="s">
        <v>4490</v>
      </c>
      <c r="C209" s="304" t="s">
        <v>1539</v>
      </c>
      <c r="D209" s="305"/>
      <c r="E209" s="305"/>
      <c r="F209" s="117" t="s">
        <v>1646</v>
      </c>
      <c r="G209" s="116">
        <v>20</v>
      </c>
      <c r="H209" s="159"/>
      <c r="I209" s="108">
        <f t="shared" si="208"/>
        <v>0</v>
      </c>
      <c r="J209" s="108">
        <f t="shared" si="209"/>
        <v>0</v>
      </c>
      <c r="K209" s="108">
        <f t="shared" si="210"/>
        <v>0</v>
      </c>
      <c r="L209" s="111"/>
      <c r="Z209" s="100">
        <f t="shared" si="211"/>
        <v>0</v>
      </c>
      <c r="AB209" s="100">
        <f t="shared" si="212"/>
        <v>0</v>
      </c>
      <c r="AC209" s="100">
        <f t="shared" si="213"/>
        <v>0</v>
      </c>
      <c r="AD209" s="100">
        <f t="shared" si="214"/>
        <v>0</v>
      </c>
      <c r="AE209" s="100">
        <f t="shared" si="215"/>
        <v>0</v>
      </c>
      <c r="AF209" s="100">
        <f t="shared" si="216"/>
        <v>0</v>
      </c>
      <c r="AG209" s="100">
        <f t="shared" si="217"/>
        <v>0</v>
      </c>
      <c r="AH209" s="100">
        <f t="shared" si="218"/>
        <v>0</v>
      </c>
      <c r="AI209" s="109"/>
      <c r="AJ209" s="108">
        <f t="shared" si="219"/>
        <v>0</v>
      </c>
      <c r="AK209" s="108">
        <f t="shared" si="220"/>
        <v>0</v>
      </c>
      <c r="AL209" s="108">
        <f t="shared" si="221"/>
        <v>0</v>
      </c>
      <c r="AN209" s="100">
        <v>15</v>
      </c>
      <c r="AO209" s="100">
        <f t="shared" si="222"/>
        <v>0</v>
      </c>
      <c r="AP209" s="100">
        <f t="shared" si="223"/>
        <v>0</v>
      </c>
      <c r="AQ209" s="111" t="s">
        <v>7</v>
      </c>
      <c r="AV209" s="100">
        <f t="shared" si="224"/>
        <v>0</v>
      </c>
      <c r="AW209" s="100">
        <f t="shared" si="225"/>
        <v>0</v>
      </c>
      <c r="AX209" s="100">
        <f t="shared" si="226"/>
        <v>0</v>
      </c>
      <c r="AY209" s="110" t="s">
        <v>1720</v>
      </c>
      <c r="AZ209" s="110" t="s">
        <v>1730</v>
      </c>
      <c r="BA209" s="109" t="s">
        <v>1737</v>
      </c>
      <c r="BC209" s="100">
        <f t="shared" si="227"/>
        <v>0</v>
      </c>
      <c r="BD209" s="100">
        <f t="shared" si="228"/>
        <v>0</v>
      </c>
      <c r="BE209" s="100">
        <v>0</v>
      </c>
      <c r="BF209" s="100">
        <f>209</f>
        <v>209</v>
      </c>
      <c r="BH209" s="108">
        <f t="shared" si="229"/>
        <v>0</v>
      </c>
      <c r="BI209" s="108">
        <f t="shared" si="230"/>
        <v>0</v>
      </c>
      <c r="BJ209" s="108">
        <f t="shared" si="231"/>
        <v>0</v>
      </c>
    </row>
    <row r="210" spans="1:62" x14ac:dyDescent="0.2">
      <c r="A210" s="117" t="s">
        <v>184</v>
      </c>
      <c r="B210" s="117" t="s">
        <v>4489</v>
      </c>
      <c r="C210" s="304" t="s">
        <v>1540</v>
      </c>
      <c r="D210" s="305"/>
      <c r="E210" s="305"/>
      <c r="F210" s="117" t="s">
        <v>1646</v>
      </c>
      <c r="G210" s="116">
        <v>50</v>
      </c>
      <c r="H210" s="162"/>
      <c r="I210" s="108">
        <f t="shared" si="208"/>
        <v>0</v>
      </c>
      <c r="J210" s="108">
        <f t="shared" si="209"/>
        <v>0</v>
      </c>
      <c r="K210" s="108">
        <f t="shared" si="210"/>
        <v>0</v>
      </c>
      <c r="L210" s="111"/>
      <c r="Z210" s="100">
        <f t="shared" si="211"/>
        <v>0</v>
      </c>
      <c r="AB210" s="100">
        <f t="shared" si="212"/>
        <v>0</v>
      </c>
      <c r="AC210" s="100">
        <f t="shared" si="213"/>
        <v>0</v>
      </c>
      <c r="AD210" s="100">
        <f t="shared" si="214"/>
        <v>0</v>
      </c>
      <c r="AE210" s="100">
        <f t="shared" si="215"/>
        <v>0</v>
      </c>
      <c r="AF210" s="100">
        <f t="shared" si="216"/>
        <v>0</v>
      </c>
      <c r="AG210" s="100">
        <f t="shared" si="217"/>
        <v>0</v>
      </c>
      <c r="AH210" s="100">
        <f t="shared" si="218"/>
        <v>0</v>
      </c>
      <c r="AI210" s="109"/>
      <c r="AJ210" s="108">
        <f t="shared" si="219"/>
        <v>0</v>
      </c>
      <c r="AK210" s="108">
        <f t="shared" si="220"/>
        <v>0</v>
      </c>
      <c r="AL210" s="108">
        <f t="shared" si="221"/>
        <v>0</v>
      </c>
      <c r="AN210" s="100">
        <v>15</v>
      </c>
      <c r="AO210" s="100">
        <f t="shared" si="222"/>
        <v>0</v>
      </c>
      <c r="AP210" s="100">
        <f t="shared" si="223"/>
        <v>0</v>
      </c>
      <c r="AQ210" s="111" t="s">
        <v>7</v>
      </c>
      <c r="AV210" s="100">
        <f t="shared" si="224"/>
        <v>0</v>
      </c>
      <c r="AW210" s="100">
        <f t="shared" si="225"/>
        <v>0</v>
      </c>
      <c r="AX210" s="100">
        <f t="shared" si="226"/>
        <v>0</v>
      </c>
      <c r="AY210" s="110" t="s">
        <v>1720</v>
      </c>
      <c r="AZ210" s="110" t="s">
        <v>1730</v>
      </c>
      <c r="BA210" s="109" t="s">
        <v>1737</v>
      </c>
      <c r="BC210" s="100">
        <f t="shared" si="227"/>
        <v>0</v>
      </c>
      <c r="BD210" s="100">
        <f t="shared" si="228"/>
        <v>0</v>
      </c>
      <c r="BE210" s="100">
        <v>0</v>
      </c>
      <c r="BF210" s="100">
        <f>210</f>
        <v>210</v>
      </c>
      <c r="BH210" s="108">
        <f t="shared" si="229"/>
        <v>0</v>
      </c>
      <c r="BI210" s="108">
        <f t="shared" si="230"/>
        <v>0</v>
      </c>
      <c r="BJ210" s="108">
        <f t="shared" si="231"/>
        <v>0</v>
      </c>
    </row>
    <row r="211" spans="1:62" x14ac:dyDescent="0.2">
      <c r="A211" s="117" t="s">
        <v>185</v>
      </c>
      <c r="B211" s="117" t="s">
        <v>4488</v>
      </c>
      <c r="C211" s="304" t="s">
        <v>1541</v>
      </c>
      <c r="D211" s="305"/>
      <c r="E211" s="305"/>
      <c r="F211" s="117" t="s">
        <v>1646</v>
      </c>
      <c r="G211" s="116">
        <v>20</v>
      </c>
      <c r="H211" s="159"/>
      <c r="I211" s="108">
        <f t="shared" si="208"/>
        <v>0</v>
      </c>
      <c r="J211" s="108">
        <f t="shared" si="209"/>
        <v>0</v>
      </c>
      <c r="K211" s="108">
        <f t="shared" si="210"/>
        <v>0</v>
      </c>
      <c r="L211" s="111"/>
      <c r="Z211" s="100">
        <f t="shared" si="211"/>
        <v>0</v>
      </c>
      <c r="AB211" s="100">
        <f t="shared" si="212"/>
        <v>0</v>
      </c>
      <c r="AC211" s="100">
        <f t="shared" si="213"/>
        <v>0</v>
      </c>
      <c r="AD211" s="100">
        <f t="shared" si="214"/>
        <v>0</v>
      </c>
      <c r="AE211" s="100">
        <f t="shared" si="215"/>
        <v>0</v>
      </c>
      <c r="AF211" s="100">
        <f t="shared" si="216"/>
        <v>0</v>
      </c>
      <c r="AG211" s="100">
        <f t="shared" si="217"/>
        <v>0</v>
      </c>
      <c r="AH211" s="100">
        <f t="shared" si="218"/>
        <v>0</v>
      </c>
      <c r="AI211" s="109"/>
      <c r="AJ211" s="108">
        <f t="shared" si="219"/>
        <v>0</v>
      </c>
      <c r="AK211" s="108">
        <f t="shared" si="220"/>
        <v>0</v>
      </c>
      <c r="AL211" s="108">
        <f t="shared" si="221"/>
        <v>0</v>
      </c>
      <c r="AN211" s="100">
        <v>15</v>
      </c>
      <c r="AO211" s="100">
        <f t="shared" si="222"/>
        <v>0</v>
      </c>
      <c r="AP211" s="100">
        <f t="shared" si="223"/>
        <v>0</v>
      </c>
      <c r="AQ211" s="111" t="s">
        <v>7</v>
      </c>
      <c r="AV211" s="100">
        <f t="shared" si="224"/>
        <v>0</v>
      </c>
      <c r="AW211" s="100">
        <f t="shared" si="225"/>
        <v>0</v>
      </c>
      <c r="AX211" s="100">
        <f t="shared" si="226"/>
        <v>0</v>
      </c>
      <c r="AY211" s="110" t="s">
        <v>1720</v>
      </c>
      <c r="AZ211" s="110" t="s">
        <v>1730</v>
      </c>
      <c r="BA211" s="109" t="s">
        <v>1737</v>
      </c>
      <c r="BC211" s="100">
        <f t="shared" si="227"/>
        <v>0</v>
      </c>
      <c r="BD211" s="100">
        <f t="shared" si="228"/>
        <v>0</v>
      </c>
      <c r="BE211" s="100">
        <v>0</v>
      </c>
      <c r="BF211" s="100">
        <f>211</f>
        <v>211</v>
      </c>
      <c r="BH211" s="108">
        <f t="shared" si="229"/>
        <v>0</v>
      </c>
      <c r="BI211" s="108">
        <f t="shared" si="230"/>
        <v>0</v>
      </c>
      <c r="BJ211" s="108">
        <f t="shared" si="231"/>
        <v>0</v>
      </c>
    </row>
    <row r="212" spans="1:62" x14ac:dyDescent="0.2">
      <c r="A212" s="117" t="s">
        <v>186</v>
      </c>
      <c r="B212" s="117" t="s">
        <v>4487</v>
      </c>
      <c r="C212" s="304" t="s">
        <v>1542</v>
      </c>
      <c r="D212" s="305"/>
      <c r="E212" s="305"/>
      <c r="F212" s="117" t="s">
        <v>1646</v>
      </c>
      <c r="G212" s="116">
        <v>10</v>
      </c>
      <c r="H212" s="159"/>
      <c r="I212" s="108">
        <f t="shared" si="208"/>
        <v>0</v>
      </c>
      <c r="J212" s="108">
        <f t="shared" si="209"/>
        <v>0</v>
      </c>
      <c r="K212" s="108">
        <f t="shared" si="210"/>
        <v>0</v>
      </c>
      <c r="L212" s="111"/>
      <c r="Z212" s="100">
        <f t="shared" si="211"/>
        <v>0</v>
      </c>
      <c r="AB212" s="100">
        <f t="shared" si="212"/>
        <v>0</v>
      </c>
      <c r="AC212" s="100">
        <f t="shared" si="213"/>
        <v>0</v>
      </c>
      <c r="AD212" s="100">
        <f t="shared" si="214"/>
        <v>0</v>
      </c>
      <c r="AE212" s="100">
        <f t="shared" si="215"/>
        <v>0</v>
      </c>
      <c r="AF212" s="100">
        <f t="shared" si="216"/>
        <v>0</v>
      </c>
      <c r="AG212" s="100">
        <f t="shared" si="217"/>
        <v>0</v>
      </c>
      <c r="AH212" s="100">
        <f t="shared" si="218"/>
        <v>0</v>
      </c>
      <c r="AI212" s="109"/>
      <c r="AJ212" s="108">
        <f t="shared" si="219"/>
        <v>0</v>
      </c>
      <c r="AK212" s="108">
        <f t="shared" si="220"/>
        <v>0</v>
      </c>
      <c r="AL212" s="108">
        <f t="shared" si="221"/>
        <v>0</v>
      </c>
      <c r="AN212" s="100">
        <v>15</v>
      </c>
      <c r="AO212" s="100">
        <f t="shared" si="222"/>
        <v>0</v>
      </c>
      <c r="AP212" s="100">
        <f t="shared" si="223"/>
        <v>0</v>
      </c>
      <c r="AQ212" s="111" t="s">
        <v>7</v>
      </c>
      <c r="AV212" s="100">
        <f t="shared" si="224"/>
        <v>0</v>
      </c>
      <c r="AW212" s="100">
        <f t="shared" si="225"/>
        <v>0</v>
      </c>
      <c r="AX212" s="100">
        <f t="shared" si="226"/>
        <v>0</v>
      </c>
      <c r="AY212" s="110" t="s">
        <v>1720</v>
      </c>
      <c r="AZ212" s="110" t="s">
        <v>1730</v>
      </c>
      <c r="BA212" s="109" t="s">
        <v>1737</v>
      </c>
      <c r="BC212" s="100">
        <f t="shared" si="227"/>
        <v>0</v>
      </c>
      <c r="BD212" s="100">
        <f t="shared" si="228"/>
        <v>0</v>
      </c>
      <c r="BE212" s="100">
        <v>0</v>
      </c>
      <c r="BF212" s="100">
        <f>212</f>
        <v>212</v>
      </c>
      <c r="BH212" s="108">
        <f t="shared" si="229"/>
        <v>0</v>
      </c>
      <c r="BI212" s="108">
        <f t="shared" si="230"/>
        <v>0</v>
      </c>
      <c r="BJ212" s="108">
        <f t="shared" si="231"/>
        <v>0</v>
      </c>
    </row>
    <row r="213" spans="1:62" x14ac:dyDescent="0.2">
      <c r="A213" s="117" t="s">
        <v>187</v>
      </c>
      <c r="B213" s="117" t="s">
        <v>4486</v>
      </c>
      <c r="C213" s="304" t="s">
        <v>1543</v>
      </c>
      <c r="D213" s="305"/>
      <c r="E213" s="305"/>
      <c r="F213" s="117" t="s">
        <v>1644</v>
      </c>
      <c r="G213" s="116">
        <v>1</v>
      </c>
      <c r="H213" s="159"/>
      <c r="I213" s="108">
        <f t="shared" si="208"/>
        <v>0</v>
      </c>
      <c r="J213" s="108">
        <f t="shared" si="209"/>
        <v>0</v>
      </c>
      <c r="K213" s="108">
        <f t="shared" si="210"/>
        <v>0</v>
      </c>
      <c r="L213" s="111"/>
      <c r="Z213" s="100">
        <f t="shared" si="211"/>
        <v>0</v>
      </c>
      <c r="AB213" s="100">
        <f t="shared" si="212"/>
        <v>0</v>
      </c>
      <c r="AC213" s="100">
        <f t="shared" si="213"/>
        <v>0</v>
      </c>
      <c r="AD213" s="100">
        <f t="shared" si="214"/>
        <v>0</v>
      </c>
      <c r="AE213" s="100">
        <f t="shared" si="215"/>
        <v>0</v>
      </c>
      <c r="AF213" s="100">
        <f t="shared" si="216"/>
        <v>0</v>
      </c>
      <c r="AG213" s="100">
        <f t="shared" si="217"/>
        <v>0</v>
      </c>
      <c r="AH213" s="100">
        <f t="shared" si="218"/>
        <v>0</v>
      </c>
      <c r="AI213" s="109"/>
      <c r="AJ213" s="108">
        <f t="shared" si="219"/>
        <v>0</v>
      </c>
      <c r="AK213" s="108">
        <f t="shared" si="220"/>
        <v>0</v>
      </c>
      <c r="AL213" s="108">
        <f t="shared" si="221"/>
        <v>0</v>
      </c>
      <c r="AN213" s="100">
        <v>15</v>
      </c>
      <c r="AO213" s="100">
        <f t="shared" si="222"/>
        <v>0</v>
      </c>
      <c r="AP213" s="100">
        <f t="shared" si="223"/>
        <v>0</v>
      </c>
      <c r="AQ213" s="111" t="s">
        <v>7</v>
      </c>
      <c r="AV213" s="100">
        <f t="shared" si="224"/>
        <v>0</v>
      </c>
      <c r="AW213" s="100">
        <f t="shared" si="225"/>
        <v>0</v>
      </c>
      <c r="AX213" s="100">
        <f t="shared" si="226"/>
        <v>0</v>
      </c>
      <c r="AY213" s="110" t="s">
        <v>1720</v>
      </c>
      <c r="AZ213" s="110" t="s">
        <v>1730</v>
      </c>
      <c r="BA213" s="109" t="s">
        <v>1737</v>
      </c>
      <c r="BC213" s="100">
        <f t="shared" si="227"/>
        <v>0</v>
      </c>
      <c r="BD213" s="100">
        <f t="shared" si="228"/>
        <v>0</v>
      </c>
      <c r="BE213" s="100">
        <v>0</v>
      </c>
      <c r="BF213" s="100">
        <f>213</f>
        <v>213</v>
      </c>
      <c r="BH213" s="108">
        <f t="shared" si="229"/>
        <v>0</v>
      </c>
      <c r="BI213" s="108">
        <f t="shared" si="230"/>
        <v>0</v>
      </c>
      <c r="BJ213" s="108">
        <f t="shared" si="231"/>
        <v>0</v>
      </c>
    </row>
    <row r="214" spans="1:62" x14ac:dyDescent="0.2">
      <c r="A214" s="117" t="s">
        <v>188</v>
      </c>
      <c r="B214" s="117" t="s">
        <v>4485</v>
      </c>
      <c r="C214" s="304" t="s">
        <v>4287</v>
      </c>
      <c r="D214" s="305"/>
      <c r="E214" s="305"/>
      <c r="F214" s="117" t="s">
        <v>1644</v>
      </c>
      <c r="G214" s="116">
        <v>1</v>
      </c>
      <c r="H214" s="159"/>
      <c r="I214" s="108">
        <f t="shared" si="208"/>
        <v>0</v>
      </c>
      <c r="J214" s="108">
        <f t="shared" si="209"/>
        <v>0</v>
      </c>
      <c r="K214" s="108">
        <f t="shared" si="210"/>
        <v>0</v>
      </c>
      <c r="L214" s="111"/>
      <c r="Z214" s="100">
        <f t="shared" si="211"/>
        <v>0</v>
      </c>
      <c r="AB214" s="100">
        <f t="shared" si="212"/>
        <v>0</v>
      </c>
      <c r="AC214" s="100">
        <f t="shared" si="213"/>
        <v>0</v>
      </c>
      <c r="AD214" s="100">
        <f t="shared" si="214"/>
        <v>0</v>
      </c>
      <c r="AE214" s="100">
        <f t="shared" si="215"/>
        <v>0</v>
      </c>
      <c r="AF214" s="100">
        <f t="shared" si="216"/>
        <v>0</v>
      </c>
      <c r="AG214" s="100">
        <f t="shared" si="217"/>
        <v>0</v>
      </c>
      <c r="AH214" s="100">
        <f t="shared" si="218"/>
        <v>0</v>
      </c>
      <c r="AI214" s="109"/>
      <c r="AJ214" s="108">
        <f t="shared" si="219"/>
        <v>0</v>
      </c>
      <c r="AK214" s="108">
        <f t="shared" si="220"/>
        <v>0</v>
      </c>
      <c r="AL214" s="108">
        <f t="shared" si="221"/>
        <v>0</v>
      </c>
      <c r="AN214" s="100">
        <v>15</v>
      </c>
      <c r="AO214" s="100">
        <f t="shared" si="222"/>
        <v>0</v>
      </c>
      <c r="AP214" s="100">
        <f t="shared" si="223"/>
        <v>0</v>
      </c>
      <c r="AQ214" s="111" t="s">
        <v>7</v>
      </c>
      <c r="AV214" s="100">
        <f t="shared" si="224"/>
        <v>0</v>
      </c>
      <c r="AW214" s="100">
        <f t="shared" si="225"/>
        <v>0</v>
      </c>
      <c r="AX214" s="100">
        <f t="shared" si="226"/>
        <v>0</v>
      </c>
      <c r="AY214" s="110" t="s">
        <v>1720</v>
      </c>
      <c r="AZ214" s="110" t="s">
        <v>1730</v>
      </c>
      <c r="BA214" s="109" t="s">
        <v>1737</v>
      </c>
      <c r="BC214" s="100">
        <f t="shared" si="227"/>
        <v>0</v>
      </c>
      <c r="BD214" s="100">
        <f t="shared" si="228"/>
        <v>0</v>
      </c>
      <c r="BE214" s="100">
        <v>0</v>
      </c>
      <c r="BF214" s="100">
        <f>214</f>
        <v>214</v>
      </c>
      <c r="BH214" s="108">
        <f t="shared" si="229"/>
        <v>0</v>
      </c>
      <c r="BI214" s="108">
        <f t="shared" si="230"/>
        <v>0</v>
      </c>
      <c r="BJ214" s="108">
        <f t="shared" si="231"/>
        <v>0</v>
      </c>
    </row>
    <row r="215" spans="1:62" x14ac:dyDescent="0.2">
      <c r="A215" s="117" t="s">
        <v>189</v>
      </c>
      <c r="B215" s="117" t="s">
        <v>4484</v>
      </c>
      <c r="C215" s="304" t="s">
        <v>1551</v>
      </c>
      <c r="D215" s="305"/>
      <c r="E215" s="305"/>
      <c r="F215" s="117" t="s">
        <v>1644</v>
      </c>
      <c r="G215" s="116">
        <v>1</v>
      </c>
      <c r="H215" s="159"/>
      <c r="I215" s="108">
        <f t="shared" si="208"/>
        <v>0</v>
      </c>
      <c r="J215" s="108">
        <f t="shared" si="209"/>
        <v>0</v>
      </c>
      <c r="K215" s="108">
        <f t="shared" si="210"/>
        <v>0</v>
      </c>
      <c r="L215" s="111"/>
      <c r="Z215" s="100">
        <f t="shared" si="211"/>
        <v>0</v>
      </c>
      <c r="AB215" s="100">
        <f t="shared" si="212"/>
        <v>0</v>
      </c>
      <c r="AC215" s="100">
        <f t="shared" si="213"/>
        <v>0</v>
      </c>
      <c r="AD215" s="100">
        <f t="shared" si="214"/>
        <v>0</v>
      </c>
      <c r="AE215" s="100">
        <f t="shared" si="215"/>
        <v>0</v>
      </c>
      <c r="AF215" s="100">
        <f t="shared" si="216"/>
        <v>0</v>
      </c>
      <c r="AG215" s="100">
        <f t="shared" si="217"/>
        <v>0</v>
      </c>
      <c r="AH215" s="100">
        <f t="shared" si="218"/>
        <v>0</v>
      </c>
      <c r="AI215" s="109"/>
      <c r="AJ215" s="108">
        <f t="shared" si="219"/>
        <v>0</v>
      </c>
      <c r="AK215" s="108">
        <f t="shared" si="220"/>
        <v>0</v>
      </c>
      <c r="AL215" s="108">
        <f t="shared" si="221"/>
        <v>0</v>
      </c>
      <c r="AN215" s="100">
        <v>15</v>
      </c>
      <c r="AO215" s="100">
        <f t="shared" si="222"/>
        <v>0</v>
      </c>
      <c r="AP215" s="100">
        <f t="shared" si="223"/>
        <v>0</v>
      </c>
      <c r="AQ215" s="111" t="s">
        <v>7</v>
      </c>
      <c r="AV215" s="100">
        <f t="shared" si="224"/>
        <v>0</v>
      </c>
      <c r="AW215" s="100">
        <f t="shared" si="225"/>
        <v>0</v>
      </c>
      <c r="AX215" s="100">
        <f t="shared" si="226"/>
        <v>0</v>
      </c>
      <c r="AY215" s="110" t="s">
        <v>1720</v>
      </c>
      <c r="AZ215" s="110" t="s">
        <v>1730</v>
      </c>
      <c r="BA215" s="109" t="s">
        <v>1737</v>
      </c>
      <c r="BC215" s="100">
        <f t="shared" si="227"/>
        <v>0</v>
      </c>
      <c r="BD215" s="100">
        <f t="shared" si="228"/>
        <v>0</v>
      </c>
      <c r="BE215" s="100">
        <v>0</v>
      </c>
      <c r="BF215" s="100">
        <f>215</f>
        <v>215</v>
      </c>
      <c r="BH215" s="108">
        <f t="shared" si="229"/>
        <v>0</v>
      </c>
      <c r="BI215" s="108">
        <f t="shared" si="230"/>
        <v>0</v>
      </c>
      <c r="BJ215" s="108">
        <f t="shared" si="231"/>
        <v>0</v>
      </c>
    </row>
    <row r="216" spans="1:62" x14ac:dyDescent="0.2">
      <c r="A216" s="117" t="s">
        <v>190</v>
      </c>
      <c r="B216" s="117" t="s">
        <v>4483</v>
      </c>
      <c r="C216" s="304" t="s">
        <v>1552</v>
      </c>
      <c r="D216" s="305"/>
      <c r="E216" s="305"/>
      <c r="F216" s="117" t="s">
        <v>1644</v>
      </c>
      <c r="G216" s="116">
        <v>1</v>
      </c>
      <c r="H216" s="159"/>
      <c r="I216" s="108">
        <f t="shared" si="208"/>
        <v>0</v>
      </c>
      <c r="J216" s="108">
        <f t="shared" si="209"/>
        <v>0</v>
      </c>
      <c r="K216" s="108">
        <f t="shared" si="210"/>
        <v>0</v>
      </c>
      <c r="L216" s="111"/>
      <c r="Z216" s="100">
        <f t="shared" si="211"/>
        <v>0</v>
      </c>
      <c r="AB216" s="100">
        <f t="shared" si="212"/>
        <v>0</v>
      </c>
      <c r="AC216" s="100">
        <f t="shared" si="213"/>
        <v>0</v>
      </c>
      <c r="AD216" s="100">
        <f t="shared" si="214"/>
        <v>0</v>
      </c>
      <c r="AE216" s="100">
        <f t="shared" si="215"/>
        <v>0</v>
      </c>
      <c r="AF216" s="100">
        <f t="shared" si="216"/>
        <v>0</v>
      </c>
      <c r="AG216" s="100">
        <f t="shared" si="217"/>
        <v>0</v>
      </c>
      <c r="AH216" s="100">
        <f t="shared" si="218"/>
        <v>0</v>
      </c>
      <c r="AI216" s="109"/>
      <c r="AJ216" s="108">
        <f t="shared" si="219"/>
        <v>0</v>
      </c>
      <c r="AK216" s="108">
        <f t="shared" si="220"/>
        <v>0</v>
      </c>
      <c r="AL216" s="108">
        <f t="shared" si="221"/>
        <v>0</v>
      </c>
      <c r="AN216" s="100">
        <v>15</v>
      </c>
      <c r="AO216" s="100">
        <f t="shared" si="222"/>
        <v>0</v>
      </c>
      <c r="AP216" s="100">
        <f t="shared" si="223"/>
        <v>0</v>
      </c>
      <c r="AQ216" s="111" t="s">
        <v>7</v>
      </c>
      <c r="AV216" s="100">
        <f t="shared" si="224"/>
        <v>0</v>
      </c>
      <c r="AW216" s="100">
        <f t="shared" si="225"/>
        <v>0</v>
      </c>
      <c r="AX216" s="100">
        <f t="shared" si="226"/>
        <v>0</v>
      </c>
      <c r="AY216" s="110" t="s">
        <v>1720</v>
      </c>
      <c r="AZ216" s="110" t="s">
        <v>1730</v>
      </c>
      <c r="BA216" s="109" t="s">
        <v>1737</v>
      </c>
      <c r="BC216" s="100">
        <f t="shared" si="227"/>
        <v>0</v>
      </c>
      <c r="BD216" s="100">
        <f t="shared" si="228"/>
        <v>0</v>
      </c>
      <c r="BE216" s="100">
        <v>0</v>
      </c>
      <c r="BF216" s="100">
        <f>216</f>
        <v>216</v>
      </c>
      <c r="BH216" s="108">
        <f t="shared" si="229"/>
        <v>0</v>
      </c>
      <c r="BI216" s="108">
        <f t="shared" si="230"/>
        <v>0</v>
      </c>
      <c r="BJ216" s="108">
        <f t="shared" si="231"/>
        <v>0</v>
      </c>
    </row>
    <row r="217" spans="1:62" x14ac:dyDescent="0.2">
      <c r="A217" s="117" t="s">
        <v>191</v>
      </c>
      <c r="B217" s="117" t="s">
        <v>4482</v>
      </c>
      <c r="C217" s="304" t="s">
        <v>1553</v>
      </c>
      <c r="D217" s="305"/>
      <c r="E217" s="305"/>
      <c r="F217" s="117" t="s">
        <v>1644</v>
      </c>
      <c r="G217" s="116">
        <v>1</v>
      </c>
      <c r="H217" s="159"/>
      <c r="I217" s="108">
        <f t="shared" si="208"/>
        <v>0</v>
      </c>
      <c r="J217" s="108">
        <f t="shared" si="209"/>
        <v>0</v>
      </c>
      <c r="K217" s="108">
        <f t="shared" si="210"/>
        <v>0</v>
      </c>
      <c r="L217" s="111"/>
      <c r="Z217" s="100">
        <f t="shared" si="211"/>
        <v>0</v>
      </c>
      <c r="AB217" s="100">
        <f t="shared" si="212"/>
        <v>0</v>
      </c>
      <c r="AC217" s="100">
        <f t="shared" si="213"/>
        <v>0</v>
      </c>
      <c r="AD217" s="100">
        <f t="shared" si="214"/>
        <v>0</v>
      </c>
      <c r="AE217" s="100">
        <f t="shared" si="215"/>
        <v>0</v>
      </c>
      <c r="AF217" s="100">
        <f t="shared" si="216"/>
        <v>0</v>
      </c>
      <c r="AG217" s="100">
        <f t="shared" si="217"/>
        <v>0</v>
      </c>
      <c r="AH217" s="100">
        <f t="shared" si="218"/>
        <v>0</v>
      </c>
      <c r="AI217" s="109"/>
      <c r="AJ217" s="108">
        <f t="shared" si="219"/>
        <v>0</v>
      </c>
      <c r="AK217" s="108">
        <f t="shared" si="220"/>
        <v>0</v>
      </c>
      <c r="AL217" s="108">
        <f t="shared" si="221"/>
        <v>0</v>
      </c>
      <c r="AN217" s="100">
        <v>15</v>
      </c>
      <c r="AO217" s="100">
        <f t="shared" si="222"/>
        <v>0</v>
      </c>
      <c r="AP217" s="100">
        <f t="shared" si="223"/>
        <v>0</v>
      </c>
      <c r="AQ217" s="111" t="s">
        <v>7</v>
      </c>
      <c r="AV217" s="100">
        <f t="shared" si="224"/>
        <v>0</v>
      </c>
      <c r="AW217" s="100">
        <f t="shared" si="225"/>
        <v>0</v>
      </c>
      <c r="AX217" s="100">
        <f t="shared" si="226"/>
        <v>0</v>
      </c>
      <c r="AY217" s="110" t="s">
        <v>1720</v>
      </c>
      <c r="AZ217" s="110" t="s">
        <v>1730</v>
      </c>
      <c r="BA217" s="109" t="s">
        <v>1737</v>
      </c>
      <c r="BC217" s="100">
        <f t="shared" si="227"/>
        <v>0</v>
      </c>
      <c r="BD217" s="100">
        <f t="shared" si="228"/>
        <v>0</v>
      </c>
      <c r="BE217" s="100">
        <v>0</v>
      </c>
      <c r="BF217" s="100">
        <f>217</f>
        <v>217</v>
      </c>
      <c r="BH217" s="108">
        <f t="shared" si="229"/>
        <v>0</v>
      </c>
      <c r="BI217" s="108">
        <f t="shared" si="230"/>
        <v>0</v>
      </c>
      <c r="BJ217" s="108">
        <f t="shared" si="231"/>
        <v>0</v>
      </c>
    </row>
    <row r="218" spans="1:62" x14ac:dyDescent="0.2">
      <c r="A218" s="117" t="s">
        <v>192</v>
      </c>
      <c r="B218" s="117" t="s">
        <v>4481</v>
      </c>
      <c r="C218" s="304" t="s">
        <v>1554</v>
      </c>
      <c r="D218" s="305"/>
      <c r="E218" s="305"/>
      <c r="F218" s="117" t="s">
        <v>1644</v>
      </c>
      <c r="G218" s="116">
        <v>1</v>
      </c>
      <c r="H218" s="159"/>
      <c r="I218" s="108">
        <f t="shared" si="208"/>
        <v>0</v>
      </c>
      <c r="J218" s="108">
        <f t="shared" si="209"/>
        <v>0</v>
      </c>
      <c r="K218" s="108">
        <f t="shared" si="210"/>
        <v>0</v>
      </c>
      <c r="L218" s="111"/>
      <c r="Z218" s="100">
        <f t="shared" si="211"/>
        <v>0</v>
      </c>
      <c r="AB218" s="100">
        <f t="shared" si="212"/>
        <v>0</v>
      </c>
      <c r="AC218" s="100">
        <f t="shared" si="213"/>
        <v>0</v>
      </c>
      <c r="AD218" s="100">
        <f t="shared" si="214"/>
        <v>0</v>
      </c>
      <c r="AE218" s="100">
        <f t="shared" si="215"/>
        <v>0</v>
      </c>
      <c r="AF218" s="100">
        <f t="shared" si="216"/>
        <v>0</v>
      </c>
      <c r="AG218" s="100">
        <f t="shared" si="217"/>
        <v>0</v>
      </c>
      <c r="AH218" s="100">
        <f t="shared" si="218"/>
        <v>0</v>
      </c>
      <c r="AI218" s="109"/>
      <c r="AJ218" s="108">
        <f t="shared" si="219"/>
        <v>0</v>
      </c>
      <c r="AK218" s="108">
        <f t="shared" si="220"/>
        <v>0</v>
      </c>
      <c r="AL218" s="108">
        <f t="shared" si="221"/>
        <v>0</v>
      </c>
      <c r="AN218" s="100">
        <v>15</v>
      </c>
      <c r="AO218" s="100">
        <f t="shared" si="222"/>
        <v>0</v>
      </c>
      <c r="AP218" s="100">
        <f t="shared" si="223"/>
        <v>0</v>
      </c>
      <c r="AQ218" s="111" t="s">
        <v>7</v>
      </c>
      <c r="AV218" s="100">
        <f t="shared" si="224"/>
        <v>0</v>
      </c>
      <c r="AW218" s="100">
        <f t="shared" si="225"/>
        <v>0</v>
      </c>
      <c r="AX218" s="100">
        <f t="shared" si="226"/>
        <v>0</v>
      </c>
      <c r="AY218" s="110" t="s">
        <v>1720</v>
      </c>
      <c r="AZ218" s="110" t="s">
        <v>1730</v>
      </c>
      <c r="BA218" s="109" t="s">
        <v>1737</v>
      </c>
      <c r="BC218" s="100">
        <f t="shared" si="227"/>
        <v>0</v>
      </c>
      <c r="BD218" s="100">
        <f t="shared" si="228"/>
        <v>0</v>
      </c>
      <c r="BE218" s="100">
        <v>0</v>
      </c>
      <c r="BF218" s="100">
        <f>218</f>
        <v>218</v>
      </c>
      <c r="BH218" s="108">
        <f t="shared" si="229"/>
        <v>0</v>
      </c>
      <c r="BI218" s="108">
        <f t="shared" si="230"/>
        <v>0</v>
      </c>
      <c r="BJ218" s="108">
        <f t="shared" si="231"/>
        <v>0</v>
      </c>
    </row>
    <row r="219" spans="1:62" x14ac:dyDescent="0.2">
      <c r="A219" s="117" t="s">
        <v>193</v>
      </c>
      <c r="B219" s="117" t="s">
        <v>4480</v>
      </c>
      <c r="C219" s="304" t="s">
        <v>1555</v>
      </c>
      <c r="D219" s="305"/>
      <c r="E219" s="305"/>
      <c r="F219" s="117" t="s">
        <v>1644</v>
      </c>
      <c r="G219" s="116">
        <v>1</v>
      </c>
      <c r="H219" s="159"/>
      <c r="I219" s="108">
        <f t="shared" si="208"/>
        <v>0</v>
      </c>
      <c r="J219" s="108">
        <f t="shared" si="209"/>
        <v>0</v>
      </c>
      <c r="K219" s="108">
        <f t="shared" si="210"/>
        <v>0</v>
      </c>
      <c r="L219" s="111"/>
      <c r="Z219" s="100">
        <f t="shared" si="211"/>
        <v>0</v>
      </c>
      <c r="AB219" s="100">
        <f t="shared" si="212"/>
        <v>0</v>
      </c>
      <c r="AC219" s="100">
        <f t="shared" si="213"/>
        <v>0</v>
      </c>
      <c r="AD219" s="100">
        <f t="shared" si="214"/>
        <v>0</v>
      </c>
      <c r="AE219" s="100">
        <f t="shared" si="215"/>
        <v>0</v>
      </c>
      <c r="AF219" s="100">
        <f t="shared" si="216"/>
        <v>0</v>
      </c>
      <c r="AG219" s="100">
        <f t="shared" si="217"/>
        <v>0</v>
      </c>
      <c r="AH219" s="100">
        <f t="shared" si="218"/>
        <v>0</v>
      </c>
      <c r="AI219" s="109"/>
      <c r="AJ219" s="108">
        <f t="shared" si="219"/>
        <v>0</v>
      </c>
      <c r="AK219" s="108">
        <f t="shared" si="220"/>
        <v>0</v>
      </c>
      <c r="AL219" s="108">
        <f t="shared" si="221"/>
        <v>0</v>
      </c>
      <c r="AN219" s="100">
        <v>15</v>
      </c>
      <c r="AO219" s="100">
        <f t="shared" si="222"/>
        <v>0</v>
      </c>
      <c r="AP219" s="100">
        <f t="shared" si="223"/>
        <v>0</v>
      </c>
      <c r="AQ219" s="111" t="s">
        <v>7</v>
      </c>
      <c r="AV219" s="100">
        <f t="shared" si="224"/>
        <v>0</v>
      </c>
      <c r="AW219" s="100">
        <f t="shared" si="225"/>
        <v>0</v>
      </c>
      <c r="AX219" s="100">
        <f t="shared" si="226"/>
        <v>0</v>
      </c>
      <c r="AY219" s="110" t="s">
        <v>1720</v>
      </c>
      <c r="AZ219" s="110" t="s">
        <v>1730</v>
      </c>
      <c r="BA219" s="109" t="s">
        <v>1737</v>
      </c>
      <c r="BC219" s="100">
        <f t="shared" si="227"/>
        <v>0</v>
      </c>
      <c r="BD219" s="100">
        <f t="shared" si="228"/>
        <v>0</v>
      </c>
      <c r="BE219" s="100">
        <v>0</v>
      </c>
      <c r="BF219" s="100">
        <f>219</f>
        <v>219</v>
      </c>
      <c r="BH219" s="108">
        <f t="shared" si="229"/>
        <v>0</v>
      </c>
      <c r="BI219" s="108">
        <f t="shared" si="230"/>
        <v>0</v>
      </c>
      <c r="BJ219" s="108">
        <f t="shared" si="231"/>
        <v>0</v>
      </c>
    </row>
    <row r="220" spans="1:62" x14ac:dyDescent="0.2">
      <c r="A220" s="119"/>
      <c r="B220" s="120" t="s">
        <v>1039</v>
      </c>
      <c r="C220" s="306" t="s">
        <v>1631</v>
      </c>
      <c r="D220" s="307"/>
      <c r="E220" s="307"/>
      <c r="F220" s="119" t="s">
        <v>6</v>
      </c>
      <c r="G220" s="119" t="s">
        <v>6</v>
      </c>
      <c r="H220" s="119" t="s">
        <v>6</v>
      </c>
      <c r="I220" s="118">
        <f>SUM(I221:I226)</f>
        <v>0</v>
      </c>
      <c r="J220" s="118">
        <f>SUM(J221:J226)</f>
        <v>0</v>
      </c>
      <c r="K220" s="118">
        <f>SUM(K221:K226)</f>
        <v>0</v>
      </c>
      <c r="L220" s="109"/>
      <c r="AI220" s="109"/>
      <c r="AS220" s="118">
        <f>SUM(AJ221:AJ226)</f>
        <v>0</v>
      </c>
      <c r="AT220" s="118">
        <f>SUM(AK221:AK226)</f>
        <v>0</v>
      </c>
      <c r="AU220" s="118">
        <f>SUM(AL221:AL226)</f>
        <v>0</v>
      </c>
    </row>
    <row r="221" spans="1:62" x14ac:dyDescent="0.2">
      <c r="A221" s="117" t="s">
        <v>194</v>
      </c>
      <c r="B221" s="117" t="s">
        <v>1041</v>
      </c>
      <c r="C221" s="304" t="s">
        <v>1633</v>
      </c>
      <c r="D221" s="305"/>
      <c r="E221" s="305"/>
      <c r="F221" s="117" t="s">
        <v>1644</v>
      </c>
      <c r="G221" s="116">
        <v>1</v>
      </c>
      <c r="H221" s="159"/>
      <c r="I221" s="108">
        <f t="shared" ref="I221:I226" si="232">G221*AO221</f>
        <v>0</v>
      </c>
      <c r="J221" s="108">
        <f t="shared" ref="J221:J226" si="233">G221*AP221</f>
        <v>0</v>
      </c>
      <c r="K221" s="108">
        <f t="shared" ref="K221:K226" si="234">G221*H221</f>
        <v>0</v>
      </c>
      <c r="L221" s="111" t="s">
        <v>1671</v>
      </c>
      <c r="Z221" s="100">
        <f t="shared" ref="Z221:Z226" si="235">IF(AQ221="5",BJ221,0)</f>
        <v>0</v>
      </c>
      <c r="AB221" s="100">
        <f t="shared" ref="AB221:AB226" si="236">IF(AQ221="1",BH221,0)</f>
        <v>0</v>
      </c>
      <c r="AC221" s="100">
        <f t="shared" ref="AC221:AC226" si="237">IF(AQ221="1",BI221,0)</f>
        <v>0</v>
      </c>
      <c r="AD221" s="100">
        <f t="shared" ref="AD221:AD226" si="238">IF(AQ221="7",BH221,0)</f>
        <v>0</v>
      </c>
      <c r="AE221" s="100">
        <f t="shared" ref="AE221:AE226" si="239">IF(AQ221="7",BI221,0)</f>
        <v>0</v>
      </c>
      <c r="AF221" s="100">
        <f t="shared" ref="AF221:AF226" si="240">IF(AQ221="2",BH221,0)</f>
        <v>0</v>
      </c>
      <c r="AG221" s="100">
        <f t="shared" ref="AG221:AG226" si="241">IF(AQ221="2",BI221,0)</f>
        <v>0</v>
      </c>
      <c r="AH221" s="100">
        <f t="shared" ref="AH221:AH226" si="242">IF(AQ221="0",BJ221,0)</f>
        <v>0</v>
      </c>
      <c r="AI221" s="109"/>
      <c r="AJ221" s="108">
        <f t="shared" ref="AJ221:AJ226" si="243">IF(AN221=0,K221,0)</f>
        <v>0</v>
      </c>
      <c r="AK221" s="108">
        <f t="shared" ref="AK221:AK226" si="244">IF(AN221=15,K221,0)</f>
        <v>0</v>
      </c>
      <c r="AL221" s="108">
        <f t="shared" ref="AL221:AL226" si="245">IF(AN221=21,K221,0)</f>
        <v>0</v>
      </c>
      <c r="AN221" s="100">
        <v>15</v>
      </c>
      <c r="AO221" s="100">
        <f t="shared" ref="AO221:AO226" si="246">H221*0</f>
        <v>0</v>
      </c>
      <c r="AP221" s="100">
        <f t="shared" ref="AP221:AP226" si="247">H221*(1-0)</f>
        <v>0</v>
      </c>
      <c r="AQ221" s="111" t="s">
        <v>7</v>
      </c>
      <c r="AV221" s="100">
        <f t="shared" ref="AV221:AV226" si="248">AW221+AX221</f>
        <v>0</v>
      </c>
      <c r="AW221" s="100">
        <f t="shared" ref="AW221:AW226" si="249">G221*AO221</f>
        <v>0</v>
      </c>
      <c r="AX221" s="100">
        <f t="shared" ref="AX221:AX226" si="250">G221*AP221</f>
        <v>0</v>
      </c>
      <c r="AY221" s="110" t="s">
        <v>1723</v>
      </c>
      <c r="AZ221" s="110" t="s">
        <v>1730</v>
      </c>
      <c r="BA221" s="109" t="s">
        <v>1737</v>
      </c>
      <c r="BC221" s="100">
        <f t="shared" ref="BC221:BC226" si="251">AW221+AX221</f>
        <v>0</v>
      </c>
      <c r="BD221" s="100">
        <f t="shared" ref="BD221:BD226" si="252">H221/(100-BE221)*100</f>
        <v>0</v>
      </c>
      <c r="BE221" s="100">
        <v>0</v>
      </c>
      <c r="BF221" s="100">
        <f>221</f>
        <v>221</v>
      </c>
      <c r="BH221" s="108">
        <f t="shared" ref="BH221:BH226" si="253">G221*AO221</f>
        <v>0</v>
      </c>
      <c r="BI221" s="108">
        <f t="shared" ref="BI221:BI226" si="254">G221*AP221</f>
        <v>0</v>
      </c>
      <c r="BJ221" s="108">
        <f t="shared" ref="BJ221:BJ226" si="255">G221*H221</f>
        <v>0</v>
      </c>
    </row>
    <row r="222" spans="1:62" x14ac:dyDescent="0.2">
      <c r="A222" s="117" t="s">
        <v>195</v>
      </c>
      <c r="B222" s="117" t="s">
        <v>1042</v>
      </c>
      <c r="C222" s="304" t="s">
        <v>1634</v>
      </c>
      <c r="D222" s="305"/>
      <c r="E222" s="305"/>
      <c r="F222" s="117" t="s">
        <v>1644</v>
      </c>
      <c r="G222" s="116">
        <v>1</v>
      </c>
      <c r="H222" s="159"/>
      <c r="I222" s="108">
        <f t="shared" si="232"/>
        <v>0</v>
      </c>
      <c r="J222" s="108">
        <f t="shared" si="233"/>
        <v>0</v>
      </c>
      <c r="K222" s="108">
        <f t="shared" si="234"/>
        <v>0</v>
      </c>
      <c r="L222" s="111" t="s">
        <v>1671</v>
      </c>
      <c r="Z222" s="100">
        <f t="shared" si="235"/>
        <v>0</v>
      </c>
      <c r="AB222" s="100">
        <f t="shared" si="236"/>
        <v>0</v>
      </c>
      <c r="AC222" s="100">
        <f t="shared" si="237"/>
        <v>0</v>
      </c>
      <c r="AD222" s="100">
        <f t="shared" si="238"/>
        <v>0</v>
      </c>
      <c r="AE222" s="100">
        <f t="shared" si="239"/>
        <v>0</v>
      </c>
      <c r="AF222" s="100">
        <f t="shared" si="240"/>
        <v>0</v>
      </c>
      <c r="AG222" s="100">
        <f t="shared" si="241"/>
        <v>0</v>
      </c>
      <c r="AH222" s="100">
        <f t="shared" si="242"/>
        <v>0</v>
      </c>
      <c r="AI222" s="109"/>
      <c r="AJ222" s="108">
        <f t="shared" si="243"/>
        <v>0</v>
      </c>
      <c r="AK222" s="108">
        <f t="shared" si="244"/>
        <v>0</v>
      </c>
      <c r="AL222" s="108">
        <f t="shared" si="245"/>
        <v>0</v>
      </c>
      <c r="AN222" s="100">
        <v>15</v>
      </c>
      <c r="AO222" s="100">
        <f t="shared" si="246"/>
        <v>0</v>
      </c>
      <c r="AP222" s="100">
        <f t="shared" si="247"/>
        <v>0</v>
      </c>
      <c r="AQ222" s="111" t="s">
        <v>7</v>
      </c>
      <c r="AV222" s="100">
        <f t="shared" si="248"/>
        <v>0</v>
      </c>
      <c r="AW222" s="100">
        <f t="shared" si="249"/>
        <v>0</v>
      </c>
      <c r="AX222" s="100">
        <f t="shared" si="250"/>
        <v>0</v>
      </c>
      <c r="AY222" s="110" t="s">
        <v>1723</v>
      </c>
      <c r="AZ222" s="110" t="s">
        <v>1730</v>
      </c>
      <c r="BA222" s="109" t="s">
        <v>1737</v>
      </c>
      <c r="BC222" s="100">
        <f t="shared" si="251"/>
        <v>0</v>
      </c>
      <c r="BD222" s="100">
        <f t="shared" si="252"/>
        <v>0</v>
      </c>
      <c r="BE222" s="100">
        <v>0</v>
      </c>
      <c r="BF222" s="100">
        <f>222</f>
        <v>222</v>
      </c>
      <c r="BH222" s="108">
        <f t="shared" si="253"/>
        <v>0</v>
      </c>
      <c r="BI222" s="108">
        <f t="shared" si="254"/>
        <v>0</v>
      </c>
      <c r="BJ222" s="108">
        <f t="shared" si="255"/>
        <v>0</v>
      </c>
    </row>
    <row r="223" spans="1:62" x14ac:dyDescent="0.2">
      <c r="A223" s="117" t="s">
        <v>196</v>
      </c>
      <c r="B223" s="117" t="s">
        <v>1043</v>
      </c>
      <c r="C223" s="304" t="s">
        <v>1635</v>
      </c>
      <c r="D223" s="305"/>
      <c r="E223" s="305"/>
      <c r="F223" s="117" t="s">
        <v>1644</v>
      </c>
      <c r="G223" s="116">
        <v>1</v>
      </c>
      <c r="H223" s="159"/>
      <c r="I223" s="108">
        <f t="shared" si="232"/>
        <v>0</v>
      </c>
      <c r="J223" s="108">
        <f t="shared" si="233"/>
        <v>0</v>
      </c>
      <c r="K223" s="108">
        <f t="shared" si="234"/>
        <v>0</v>
      </c>
      <c r="L223" s="111" t="s">
        <v>1671</v>
      </c>
      <c r="Z223" s="100">
        <f t="shared" si="235"/>
        <v>0</v>
      </c>
      <c r="AB223" s="100">
        <f t="shared" si="236"/>
        <v>0</v>
      </c>
      <c r="AC223" s="100">
        <f t="shared" si="237"/>
        <v>0</v>
      </c>
      <c r="AD223" s="100">
        <f t="shared" si="238"/>
        <v>0</v>
      </c>
      <c r="AE223" s="100">
        <f t="shared" si="239"/>
        <v>0</v>
      </c>
      <c r="AF223" s="100">
        <f t="shared" si="240"/>
        <v>0</v>
      </c>
      <c r="AG223" s="100">
        <f t="shared" si="241"/>
        <v>0</v>
      </c>
      <c r="AH223" s="100">
        <f t="shared" si="242"/>
        <v>0</v>
      </c>
      <c r="AI223" s="109"/>
      <c r="AJ223" s="108">
        <f t="shared" si="243"/>
        <v>0</v>
      </c>
      <c r="AK223" s="108">
        <f t="shared" si="244"/>
        <v>0</v>
      </c>
      <c r="AL223" s="108">
        <f t="shared" si="245"/>
        <v>0</v>
      </c>
      <c r="AN223" s="100">
        <v>15</v>
      </c>
      <c r="AO223" s="100">
        <f t="shared" si="246"/>
        <v>0</v>
      </c>
      <c r="AP223" s="100">
        <f t="shared" si="247"/>
        <v>0</v>
      </c>
      <c r="AQ223" s="111" t="s">
        <v>7</v>
      </c>
      <c r="AV223" s="100">
        <f t="shared" si="248"/>
        <v>0</v>
      </c>
      <c r="AW223" s="100">
        <f t="shared" si="249"/>
        <v>0</v>
      </c>
      <c r="AX223" s="100">
        <f t="shared" si="250"/>
        <v>0</v>
      </c>
      <c r="AY223" s="110" t="s">
        <v>1723</v>
      </c>
      <c r="AZ223" s="110" t="s">
        <v>1730</v>
      </c>
      <c r="BA223" s="109" t="s">
        <v>1737</v>
      </c>
      <c r="BC223" s="100">
        <f t="shared" si="251"/>
        <v>0</v>
      </c>
      <c r="BD223" s="100">
        <f t="shared" si="252"/>
        <v>0</v>
      </c>
      <c r="BE223" s="100">
        <v>0</v>
      </c>
      <c r="BF223" s="100">
        <f>223</f>
        <v>223</v>
      </c>
      <c r="BH223" s="108">
        <f t="shared" si="253"/>
        <v>0</v>
      </c>
      <c r="BI223" s="108">
        <f t="shared" si="254"/>
        <v>0</v>
      </c>
      <c r="BJ223" s="108">
        <f t="shared" si="255"/>
        <v>0</v>
      </c>
    </row>
    <row r="224" spans="1:62" x14ac:dyDescent="0.2">
      <c r="A224" s="117" t="s">
        <v>197</v>
      </c>
      <c r="B224" s="117" t="s">
        <v>1044</v>
      </c>
      <c r="C224" s="304" t="s">
        <v>1636</v>
      </c>
      <c r="D224" s="305"/>
      <c r="E224" s="305"/>
      <c r="F224" s="117" t="s">
        <v>1644</v>
      </c>
      <c r="G224" s="116">
        <v>1</v>
      </c>
      <c r="H224" s="159"/>
      <c r="I224" s="108">
        <f t="shared" si="232"/>
        <v>0</v>
      </c>
      <c r="J224" s="108">
        <f t="shared" si="233"/>
        <v>0</v>
      </c>
      <c r="K224" s="108">
        <f t="shared" si="234"/>
        <v>0</v>
      </c>
      <c r="L224" s="111" t="s">
        <v>1671</v>
      </c>
      <c r="Z224" s="100">
        <f t="shared" si="235"/>
        <v>0</v>
      </c>
      <c r="AB224" s="100">
        <f t="shared" si="236"/>
        <v>0</v>
      </c>
      <c r="AC224" s="100">
        <f t="shared" si="237"/>
        <v>0</v>
      </c>
      <c r="AD224" s="100">
        <f t="shared" si="238"/>
        <v>0</v>
      </c>
      <c r="AE224" s="100">
        <f t="shared" si="239"/>
        <v>0</v>
      </c>
      <c r="AF224" s="100">
        <f t="shared" si="240"/>
        <v>0</v>
      </c>
      <c r="AG224" s="100">
        <f t="shared" si="241"/>
        <v>0</v>
      </c>
      <c r="AH224" s="100">
        <f t="shared" si="242"/>
        <v>0</v>
      </c>
      <c r="AI224" s="109"/>
      <c r="AJ224" s="108">
        <f t="shared" si="243"/>
        <v>0</v>
      </c>
      <c r="AK224" s="108">
        <f t="shared" si="244"/>
        <v>0</v>
      </c>
      <c r="AL224" s="108">
        <f t="shared" si="245"/>
        <v>0</v>
      </c>
      <c r="AN224" s="100">
        <v>15</v>
      </c>
      <c r="AO224" s="100">
        <f t="shared" si="246"/>
        <v>0</v>
      </c>
      <c r="AP224" s="100">
        <f t="shared" si="247"/>
        <v>0</v>
      </c>
      <c r="AQ224" s="111" t="s">
        <v>7</v>
      </c>
      <c r="AV224" s="100">
        <f t="shared" si="248"/>
        <v>0</v>
      </c>
      <c r="AW224" s="100">
        <f t="shared" si="249"/>
        <v>0</v>
      </c>
      <c r="AX224" s="100">
        <f t="shared" si="250"/>
        <v>0</v>
      </c>
      <c r="AY224" s="110" t="s">
        <v>1723</v>
      </c>
      <c r="AZ224" s="110" t="s">
        <v>1730</v>
      </c>
      <c r="BA224" s="109" t="s">
        <v>1737</v>
      </c>
      <c r="BC224" s="100">
        <f t="shared" si="251"/>
        <v>0</v>
      </c>
      <c r="BD224" s="100">
        <f t="shared" si="252"/>
        <v>0</v>
      </c>
      <c r="BE224" s="100">
        <v>0</v>
      </c>
      <c r="BF224" s="100">
        <f>224</f>
        <v>224</v>
      </c>
      <c r="BH224" s="108">
        <f t="shared" si="253"/>
        <v>0</v>
      </c>
      <c r="BI224" s="108">
        <f t="shared" si="254"/>
        <v>0</v>
      </c>
      <c r="BJ224" s="108">
        <f t="shared" si="255"/>
        <v>0</v>
      </c>
    </row>
    <row r="225" spans="1:62" x14ac:dyDescent="0.2">
      <c r="A225" s="117" t="s">
        <v>198</v>
      </c>
      <c r="B225" s="117" t="s">
        <v>1045</v>
      </c>
      <c r="C225" s="304" t="s">
        <v>1637</v>
      </c>
      <c r="D225" s="305"/>
      <c r="E225" s="305"/>
      <c r="F225" s="117" t="s">
        <v>1644</v>
      </c>
      <c r="G225" s="116">
        <v>1</v>
      </c>
      <c r="H225" s="159"/>
      <c r="I225" s="108">
        <f t="shared" si="232"/>
        <v>0</v>
      </c>
      <c r="J225" s="108">
        <f t="shared" si="233"/>
        <v>0</v>
      </c>
      <c r="K225" s="108">
        <f t="shared" si="234"/>
        <v>0</v>
      </c>
      <c r="L225" s="111" t="s">
        <v>1671</v>
      </c>
      <c r="Z225" s="100">
        <f t="shared" si="235"/>
        <v>0</v>
      </c>
      <c r="AB225" s="100">
        <f t="shared" si="236"/>
        <v>0</v>
      </c>
      <c r="AC225" s="100">
        <f t="shared" si="237"/>
        <v>0</v>
      </c>
      <c r="AD225" s="100">
        <f t="shared" si="238"/>
        <v>0</v>
      </c>
      <c r="AE225" s="100">
        <f t="shared" si="239"/>
        <v>0</v>
      </c>
      <c r="AF225" s="100">
        <f t="shared" si="240"/>
        <v>0</v>
      </c>
      <c r="AG225" s="100">
        <f t="shared" si="241"/>
        <v>0</v>
      </c>
      <c r="AH225" s="100">
        <f t="shared" si="242"/>
        <v>0</v>
      </c>
      <c r="AI225" s="109"/>
      <c r="AJ225" s="108">
        <f t="shared" si="243"/>
        <v>0</v>
      </c>
      <c r="AK225" s="108">
        <f t="shared" si="244"/>
        <v>0</v>
      </c>
      <c r="AL225" s="108">
        <f t="shared" si="245"/>
        <v>0</v>
      </c>
      <c r="AN225" s="100">
        <v>15</v>
      </c>
      <c r="AO225" s="100">
        <f t="shared" si="246"/>
        <v>0</v>
      </c>
      <c r="AP225" s="100">
        <f t="shared" si="247"/>
        <v>0</v>
      </c>
      <c r="AQ225" s="111" t="s">
        <v>7</v>
      </c>
      <c r="AV225" s="100">
        <f t="shared" si="248"/>
        <v>0</v>
      </c>
      <c r="AW225" s="100">
        <f t="shared" si="249"/>
        <v>0</v>
      </c>
      <c r="AX225" s="100">
        <f t="shared" si="250"/>
        <v>0</v>
      </c>
      <c r="AY225" s="110" t="s">
        <v>1723</v>
      </c>
      <c r="AZ225" s="110" t="s">
        <v>1730</v>
      </c>
      <c r="BA225" s="109" t="s">
        <v>1737</v>
      </c>
      <c r="BC225" s="100">
        <f t="shared" si="251"/>
        <v>0</v>
      </c>
      <c r="BD225" s="100">
        <f t="shared" si="252"/>
        <v>0</v>
      </c>
      <c r="BE225" s="100">
        <v>0</v>
      </c>
      <c r="BF225" s="100">
        <f>225</f>
        <v>225</v>
      </c>
      <c r="BH225" s="108">
        <f t="shared" si="253"/>
        <v>0</v>
      </c>
      <c r="BI225" s="108">
        <f t="shared" si="254"/>
        <v>0</v>
      </c>
      <c r="BJ225" s="108">
        <f t="shared" si="255"/>
        <v>0</v>
      </c>
    </row>
    <row r="226" spans="1:62" x14ac:dyDescent="0.2">
      <c r="A226" s="115" t="s">
        <v>199</v>
      </c>
      <c r="B226" s="115" t="s">
        <v>1046</v>
      </c>
      <c r="C226" s="308" t="s">
        <v>1638</v>
      </c>
      <c r="D226" s="309"/>
      <c r="E226" s="309"/>
      <c r="F226" s="115" t="s">
        <v>1644</v>
      </c>
      <c r="G226" s="114">
        <v>1</v>
      </c>
      <c r="H226" s="161"/>
      <c r="I226" s="113">
        <f t="shared" si="232"/>
        <v>0</v>
      </c>
      <c r="J226" s="113">
        <f t="shared" si="233"/>
        <v>0</v>
      </c>
      <c r="K226" s="113">
        <f t="shared" si="234"/>
        <v>0</v>
      </c>
      <c r="L226" s="112" t="s">
        <v>1671</v>
      </c>
      <c r="Z226" s="100">
        <f t="shared" si="235"/>
        <v>0</v>
      </c>
      <c r="AB226" s="100">
        <f t="shared" si="236"/>
        <v>0</v>
      </c>
      <c r="AC226" s="100">
        <f t="shared" si="237"/>
        <v>0</v>
      </c>
      <c r="AD226" s="100">
        <f t="shared" si="238"/>
        <v>0</v>
      </c>
      <c r="AE226" s="100">
        <f t="shared" si="239"/>
        <v>0</v>
      </c>
      <c r="AF226" s="100">
        <f t="shared" si="240"/>
        <v>0</v>
      </c>
      <c r="AG226" s="100">
        <f t="shared" si="241"/>
        <v>0</v>
      </c>
      <c r="AH226" s="100">
        <f t="shared" si="242"/>
        <v>0</v>
      </c>
      <c r="AI226" s="109"/>
      <c r="AJ226" s="108">
        <f t="shared" si="243"/>
        <v>0</v>
      </c>
      <c r="AK226" s="108">
        <f t="shared" si="244"/>
        <v>0</v>
      </c>
      <c r="AL226" s="108">
        <f t="shared" si="245"/>
        <v>0</v>
      </c>
      <c r="AN226" s="100">
        <v>15</v>
      </c>
      <c r="AO226" s="100">
        <f t="shared" si="246"/>
        <v>0</v>
      </c>
      <c r="AP226" s="100">
        <f t="shared" si="247"/>
        <v>0</v>
      </c>
      <c r="AQ226" s="111" t="s">
        <v>7</v>
      </c>
      <c r="AV226" s="100">
        <f t="shared" si="248"/>
        <v>0</v>
      </c>
      <c r="AW226" s="100">
        <f t="shared" si="249"/>
        <v>0</v>
      </c>
      <c r="AX226" s="100">
        <f t="shared" si="250"/>
        <v>0</v>
      </c>
      <c r="AY226" s="110" t="s">
        <v>1723</v>
      </c>
      <c r="AZ226" s="110" t="s">
        <v>1730</v>
      </c>
      <c r="BA226" s="109" t="s">
        <v>1737</v>
      </c>
      <c r="BC226" s="100">
        <f t="shared" si="251"/>
        <v>0</v>
      </c>
      <c r="BD226" s="100">
        <f t="shared" si="252"/>
        <v>0</v>
      </c>
      <c r="BE226" s="100">
        <v>0</v>
      </c>
      <c r="BF226" s="100">
        <f>226</f>
        <v>226</v>
      </c>
      <c r="BH226" s="108">
        <f t="shared" si="253"/>
        <v>0</v>
      </c>
      <c r="BI226" s="108">
        <f t="shared" si="254"/>
        <v>0</v>
      </c>
      <c r="BJ226" s="108">
        <f t="shared" si="255"/>
        <v>0</v>
      </c>
    </row>
    <row r="227" spans="1:62" x14ac:dyDescent="0.2">
      <c r="A227" s="84"/>
      <c r="B227" s="84"/>
      <c r="C227" s="84"/>
      <c r="D227" s="84"/>
      <c r="E227" s="84"/>
      <c r="F227" s="84"/>
      <c r="G227" s="84"/>
      <c r="H227" s="84"/>
      <c r="I227" s="310" t="s">
        <v>1666</v>
      </c>
      <c r="J227" s="291"/>
      <c r="K227" s="107">
        <f>K12+K14+K18+K21+K23+K26+K30+K46+K53+K58+K64+K77+K88+K90+K104+K141+K160+K184+K187+K195+K200+K220</f>
        <v>0</v>
      </c>
      <c r="L227" s="84"/>
    </row>
    <row r="228" spans="1:62" ht="11.25" customHeight="1" x14ac:dyDescent="0.2">
      <c r="A228" s="106" t="s">
        <v>569</v>
      </c>
    </row>
    <row r="229" spans="1:62" x14ac:dyDescent="0.2">
      <c r="A229" s="255"/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</row>
  </sheetData>
  <sheetProtection algorithmName="SHA-512" hashValue="S/74N0eus1o7MIk2D7FhzLl9b0TbrX+NIBOB+TOCV6w+uodAYR6X48tEFWWtvletCh4xDkZ+cT1J5HnzwZRBCw==" saltValue="QiPOTLXRmNYkJoprCJx7tQ==" spinCount="100000" sheet="1" objects="1" scenarios="1"/>
  <mergeCells count="245">
    <mergeCell ref="A229:L229"/>
    <mergeCell ref="C219:E219"/>
    <mergeCell ref="C220:E220"/>
    <mergeCell ref="C221:E221"/>
    <mergeCell ref="C222:E222"/>
    <mergeCell ref="C223:E223"/>
    <mergeCell ref="C224:E224"/>
    <mergeCell ref="C210:E210"/>
    <mergeCell ref="C211:E211"/>
    <mergeCell ref="C212:E212"/>
    <mergeCell ref="C213:E213"/>
    <mergeCell ref="C214:E214"/>
    <mergeCell ref="C215:E215"/>
    <mergeCell ref="C225:E225"/>
    <mergeCell ref="C226:E226"/>
    <mergeCell ref="I227:J227"/>
    <mergeCell ref="C186:E186"/>
    <mergeCell ref="C187:E187"/>
    <mergeCell ref="C188:E188"/>
    <mergeCell ref="C189:E189"/>
    <mergeCell ref="C190:E190"/>
    <mergeCell ref="C191:E191"/>
    <mergeCell ref="C216:E216"/>
    <mergeCell ref="C217:E217"/>
    <mergeCell ref="C218:E218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162:E162"/>
    <mergeCell ref="C163:E163"/>
    <mergeCell ref="C164:E164"/>
    <mergeCell ref="C165:E165"/>
    <mergeCell ref="C166:E166"/>
    <mergeCell ref="C167:E167"/>
    <mergeCell ref="C192:E192"/>
    <mergeCell ref="C193:E193"/>
    <mergeCell ref="C194:E194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38:E138"/>
    <mergeCell ref="C139:E139"/>
    <mergeCell ref="C140:E140"/>
    <mergeCell ref="C141:E141"/>
    <mergeCell ref="C142:E142"/>
    <mergeCell ref="C143:E143"/>
    <mergeCell ref="C168:E168"/>
    <mergeCell ref="C169:E169"/>
    <mergeCell ref="C170:E170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14:E114"/>
    <mergeCell ref="C115:E115"/>
    <mergeCell ref="C116:E116"/>
    <mergeCell ref="C117:E117"/>
    <mergeCell ref="C118:E118"/>
    <mergeCell ref="C119:E119"/>
    <mergeCell ref="C144:E144"/>
    <mergeCell ref="C145:E145"/>
    <mergeCell ref="C146:E146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90:E90"/>
    <mergeCell ref="C91:E91"/>
    <mergeCell ref="C92:E92"/>
    <mergeCell ref="C93:E93"/>
    <mergeCell ref="C94:E94"/>
    <mergeCell ref="C95:E95"/>
    <mergeCell ref="C120:E120"/>
    <mergeCell ref="C121:E121"/>
    <mergeCell ref="C122:E122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66:E66"/>
    <mergeCell ref="C67:E67"/>
    <mergeCell ref="C68:E68"/>
    <mergeCell ref="C69:E69"/>
    <mergeCell ref="C70:E70"/>
    <mergeCell ref="C71:E71"/>
    <mergeCell ref="C96:E96"/>
    <mergeCell ref="C97:E97"/>
    <mergeCell ref="C98:E98"/>
    <mergeCell ref="C75:E75"/>
    <mergeCell ref="C76:E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42:E42"/>
    <mergeCell ref="C43:E43"/>
    <mergeCell ref="C44:E44"/>
    <mergeCell ref="C45:E45"/>
    <mergeCell ref="C46:E46"/>
    <mergeCell ref="C47:E47"/>
    <mergeCell ref="C72:E72"/>
    <mergeCell ref="C73:E73"/>
    <mergeCell ref="C74:E74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18:E18"/>
    <mergeCell ref="C19:E19"/>
    <mergeCell ref="C20:E20"/>
    <mergeCell ref="C21:E21"/>
    <mergeCell ref="C22:E22"/>
    <mergeCell ref="C23:E23"/>
    <mergeCell ref="C48:E48"/>
    <mergeCell ref="C49:E49"/>
    <mergeCell ref="C50:E50"/>
    <mergeCell ref="C27:E27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A6:B7"/>
    <mergeCell ref="C6:C7"/>
    <mergeCell ref="D6:E7"/>
    <mergeCell ref="F6:G7"/>
    <mergeCell ref="H6:H7"/>
    <mergeCell ref="I6:L7"/>
    <mergeCell ref="C24:E24"/>
    <mergeCell ref="C25:E25"/>
    <mergeCell ref="C26:E26"/>
    <mergeCell ref="A8:B9"/>
    <mergeCell ref="C8:C9"/>
    <mergeCell ref="D8:E9"/>
    <mergeCell ref="F8:G9"/>
    <mergeCell ref="H8:H9"/>
    <mergeCell ref="I8:L9"/>
    <mergeCell ref="C10:E10"/>
    <mergeCell ref="I10:K10"/>
    <mergeCell ref="C11:E11"/>
    <mergeCell ref="C12:E12"/>
    <mergeCell ref="C13:E13"/>
    <mergeCell ref="C14:E14"/>
    <mergeCell ref="C15:E15"/>
    <mergeCell ref="C16:E16"/>
    <mergeCell ref="C17:E17"/>
    <mergeCell ref="A1:L1"/>
    <mergeCell ref="A2:B3"/>
    <mergeCell ref="C2:C3"/>
    <mergeCell ref="D2:E3"/>
    <mergeCell ref="F2:G3"/>
    <mergeCell ref="H2:H3"/>
    <mergeCell ref="I2:L3"/>
    <mergeCell ref="A4:B5"/>
    <mergeCell ref="C4:C5"/>
    <mergeCell ref="D4:E5"/>
    <mergeCell ref="F4:G5"/>
    <mergeCell ref="H4:H5"/>
    <mergeCell ref="I4:L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766B2-3083-422C-A5AC-EDE992E5491E}">
  <sheetPr>
    <pageSetUpPr fitToPage="1"/>
  </sheetPr>
  <dimension ref="A1:I320"/>
  <sheetViews>
    <sheetView workbookViewId="0">
      <pane ySplit="10" topLeftCell="A11" activePane="bottomLeft" state="frozenSplit"/>
      <selection pane="bottomLeft" activeCell="A2" sqref="A2:B3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7.42578125" style="75" customWidth="1"/>
    <col min="7" max="7" width="13.570312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rozpočet-SO10'!C2</f>
        <v>Snížení energetické.náročnosti objektů Domova Kladno-Švermov</v>
      </c>
      <c r="D2" s="291"/>
      <c r="E2" s="293" t="s">
        <v>1657</v>
      </c>
      <c r="F2" s="293" t="str">
        <f>'Stavební rozpočet-SO10'!I2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rozpočet-SO10'!C4</f>
        <v>SO 10 - OBJEKT 10 - č.p.1487</v>
      </c>
      <c r="D4" s="256"/>
      <c r="E4" s="255" t="s">
        <v>1658</v>
      </c>
      <c r="F4" s="255" t="str">
        <f>'Stavební rozpočet-SO10'!I4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rozpočet-SO10'!C6</f>
        <v xml:space="preserve"> </v>
      </c>
      <c r="D6" s="256"/>
      <c r="E6" s="255" t="s">
        <v>1659</v>
      </c>
      <c r="F6" s="255" t="str">
        <f>'Stavební rozpočet-SO10'!I6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rozpočet-SO10'!I8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19</v>
      </c>
      <c r="D11" s="322" t="s">
        <v>1061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580</v>
      </c>
      <c r="D12" s="304" t="s">
        <v>4434</v>
      </c>
      <c r="E12" s="305"/>
      <c r="F12" s="117" t="s">
        <v>1647</v>
      </c>
      <c r="G12" s="116">
        <v>1.56</v>
      </c>
      <c r="H12" s="108">
        <v>0</v>
      </c>
    </row>
    <row r="13" spans="1:9" ht="12.2" customHeight="1" x14ac:dyDescent="0.2">
      <c r="D13" s="334" t="s">
        <v>4479</v>
      </c>
      <c r="E13" s="335"/>
      <c r="F13" s="335"/>
      <c r="G13" s="143">
        <v>1.56</v>
      </c>
    </row>
    <row r="14" spans="1:9" x14ac:dyDescent="0.2">
      <c r="A14" s="120"/>
      <c r="B14" s="120"/>
      <c r="C14" s="120" t="s">
        <v>22</v>
      </c>
      <c r="D14" s="306" t="s">
        <v>1066</v>
      </c>
      <c r="E14" s="307"/>
      <c r="F14" s="120"/>
      <c r="G14" s="142"/>
      <c r="H14" s="109"/>
    </row>
    <row r="15" spans="1:9" x14ac:dyDescent="0.2">
      <c r="A15" s="117" t="s">
        <v>8</v>
      </c>
      <c r="B15" s="117"/>
      <c r="C15" s="117" t="s">
        <v>581</v>
      </c>
      <c r="D15" s="304" t="s">
        <v>1067</v>
      </c>
      <c r="E15" s="305"/>
      <c r="F15" s="117" t="s">
        <v>1647</v>
      </c>
      <c r="G15" s="116">
        <v>0.156</v>
      </c>
      <c r="H15" s="108">
        <v>0</v>
      </c>
    </row>
    <row r="16" spans="1:9" ht="12.2" customHeight="1" x14ac:dyDescent="0.2">
      <c r="D16" s="334" t="s">
        <v>4477</v>
      </c>
      <c r="E16" s="335"/>
      <c r="F16" s="335"/>
      <c r="G16" s="143">
        <v>0.156</v>
      </c>
    </row>
    <row r="17" spans="1:8" x14ac:dyDescent="0.2">
      <c r="A17" s="117" t="s">
        <v>9</v>
      </c>
      <c r="B17" s="117"/>
      <c r="C17" s="117" t="s">
        <v>582</v>
      </c>
      <c r="D17" s="304" t="s">
        <v>1068</v>
      </c>
      <c r="E17" s="305"/>
      <c r="F17" s="117" t="s">
        <v>1648</v>
      </c>
      <c r="G17" s="116">
        <v>0.27300000000000002</v>
      </c>
      <c r="H17" s="108">
        <v>0</v>
      </c>
    </row>
    <row r="18" spans="1:8" ht="12.2" customHeight="1" x14ac:dyDescent="0.2">
      <c r="D18" s="334" t="s">
        <v>4478</v>
      </c>
      <c r="E18" s="335"/>
      <c r="F18" s="335"/>
      <c r="G18" s="143">
        <v>0.27300000000000002</v>
      </c>
    </row>
    <row r="19" spans="1:8" x14ac:dyDescent="0.2">
      <c r="A19" s="117" t="s">
        <v>10</v>
      </c>
      <c r="B19" s="117"/>
      <c r="C19" s="117" t="s">
        <v>583</v>
      </c>
      <c r="D19" s="304" t="s">
        <v>1069</v>
      </c>
      <c r="E19" s="305"/>
      <c r="F19" s="117" t="s">
        <v>1647</v>
      </c>
      <c r="G19" s="116">
        <v>0.156</v>
      </c>
      <c r="H19" s="108">
        <v>0</v>
      </c>
    </row>
    <row r="20" spans="1:8" ht="12.2" customHeight="1" x14ac:dyDescent="0.2">
      <c r="D20" s="334" t="s">
        <v>4477</v>
      </c>
      <c r="E20" s="335"/>
      <c r="F20" s="335"/>
      <c r="G20" s="143">
        <v>0.156</v>
      </c>
    </row>
    <row r="21" spans="1:8" x14ac:dyDescent="0.2">
      <c r="A21" s="120"/>
      <c r="B21" s="120"/>
      <c r="C21" s="120" t="s">
        <v>23</v>
      </c>
      <c r="D21" s="306" t="s">
        <v>1070</v>
      </c>
      <c r="E21" s="307"/>
      <c r="F21" s="120"/>
      <c r="G21" s="142"/>
      <c r="H21" s="109"/>
    </row>
    <row r="22" spans="1:8" x14ac:dyDescent="0.2">
      <c r="A22" s="117" t="s">
        <v>11</v>
      </c>
      <c r="B22" s="117"/>
      <c r="C22" s="117" t="s">
        <v>584</v>
      </c>
      <c r="D22" s="304" t="s">
        <v>1071</v>
      </c>
      <c r="E22" s="305"/>
      <c r="F22" s="117" t="s">
        <v>1647</v>
      </c>
      <c r="G22" s="116">
        <v>0.156</v>
      </c>
      <c r="H22" s="108">
        <v>0</v>
      </c>
    </row>
    <row r="23" spans="1:8" ht="12.2" customHeight="1" x14ac:dyDescent="0.2">
      <c r="D23" s="334" t="s">
        <v>4477</v>
      </c>
      <c r="E23" s="335"/>
      <c r="F23" s="335"/>
      <c r="G23" s="143">
        <v>0.156</v>
      </c>
    </row>
    <row r="24" spans="1:8" x14ac:dyDescent="0.2">
      <c r="A24" s="117" t="s">
        <v>12</v>
      </c>
      <c r="B24" s="117"/>
      <c r="C24" s="117" t="s">
        <v>586</v>
      </c>
      <c r="D24" s="304" t="s">
        <v>4433</v>
      </c>
      <c r="E24" s="305"/>
      <c r="F24" s="117" t="s">
        <v>1647</v>
      </c>
      <c r="G24" s="116">
        <v>1.4039999999999999</v>
      </c>
      <c r="H24" s="108">
        <v>0</v>
      </c>
    </row>
    <row r="25" spans="1:8" ht="12.2" customHeight="1" x14ac:dyDescent="0.2">
      <c r="D25" s="334" t="s">
        <v>4476</v>
      </c>
      <c r="E25" s="335"/>
      <c r="F25" s="335"/>
      <c r="G25" s="143">
        <v>1.4039999999999999</v>
      </c>
    </row>
    <row r="26" spans="1:8" x14ac:dyDescent="0.2">
      <c r="A26" s="120"/>
      <c r="B26" s="120"/>
      <c r="C26" s="120" t="s">
        <v>24</v>
      </c>
      <c r="D26" s="306" t="s">
        <v>1076</v>
      </c>
      <c r="E26" s="307"/>
      <c r="F26" s="120"/>
      <c r="G26" s="142"/>
      <c r="H26" s="109"/>
    </row>
    <row r="27" spans="1:8" x14ac:dyDescent="0.2">
      <c r="A27" s="117" t="s">
        <v>13</v>
      </c>
      <c r="B27" s="117"/>
      <c r="C27" s="117" t="s">
        <v>4592</v>
      </c>
      <c r="D27" s="304" t="s">
        <v>4591</v>
      </c>
      <c r="E27" s="305"/>
      <c r="F27" s="117" t="s">
        <v>1645</v>
      </c>
      <c r="G27" s="116">
        <v>22.7</v>
      </c>
      <c r="H27" s="108">
        <v>0</v>
      </c>
    </row>
    <row r="28" spans="1:8" ht="12.2" customHeight="1" x14ac:dyDescent="0.2">
      <c r="D28" s="334" t="s">
        <v>4627</v>
      </c>
      <c r="E28" s="335"/>
      <c r="F28" s="335"/>
      <c r="G28" s="143">
        <v>22.7</v>
      </c>
    </row>
    <row r="29" spans="1:8" x14ac:dyDescent="0.2">
      <c r="A29" s="120"/>
      <c r="B29" s="120"/>
      <c r="C29" s="120" t="s">
        <v>37</v>
      </c>
      <c r="D29" s="306" t="s">
        <v>1084</v>
      </c>
      <c r="E29" s="307"/>
      <c r="F29" s="120"/>
      <c r="G29" s="142"/>
      <c r="H29" s="109"/>
    </row>
    <row r="30" spans="1:8" x14ac:dyDescent="0.2">
      <c r="A30" s="117" t="s">
        <v>14</v>
      </c>
      <c r="B30" s="117"/>
      <c r="C30" s="117" t="s">
        <v>592</v>
      </c>
      <c r="D30" s="304" t="s">
        <v>4432</v>
      </c>
      <c r="E30" s="305"/>
      <c r="F30" s="117" t="s">
        <v>1644</v>
      </c>
      <c r="G30" s="116">
        <v>1</v>
      </c>
      <c r="H30" s="108">
        <v>0</v>
      </c>
    </row>
    <row r="31" spans="1:8" ht="12.2" customHeight="1" x14ac:dyDescent="0.2">
      <c r="D31" s="334" t="s">
        <v>1749</v>
      </c>
      <c r="E31" s="335"/>
      <c r="F31" s="335"/>
      <c r="G31" s="143">
        <v>1</v>
      </c>
    </row>
    <row r="32" spans="1:8" x14ac:dyDescent="0.2">
      <c r="A32" s="117" t="s">
        <v>15</v>
      </c>
      <c r="B32" s="117"/>
      <c r="C32" s="117" t="s">
        <v>594</v>
      </c>
      <c r="D32" s="304" t="s">
        <v>4431</v>
      </c>
      <c r="E32" s="305"/>
      <c r="F32" s="117" t="s">
        <v>1648</v>
      </c>
      <c r="G32" s="116">
        <v>3.4000000000000002E-2</v>
      </c>
      <c r="H32" s="108">
        <v>0</v>
      </c>
    </row>
    <row r="33" spans="1:8" ht="12.2" customHeight="1" x14ac:dyDescent="0.2">
      <c r="D33" s="334" t="s">
        <v>1774</v>
      </c>
      <c r="E33" s="335"/>
      <c r="F33" s="335"/>
      <c r="G33" s="143">
        <v>3.4000000000000002E-2</v>
      </c>
    </row>
    <row r="34" spans="1:8" x14ac:dyDescent="0.2">
      <c r="A34" s="120"/>
      <c r="B34" s="120"/>
      <c r="C34" s="120" t="s">
        <v>67</v>
      </c>
      <c r="D34" s="306" t="s">
        <v>1097</v>
      </c>
      <c r="E34" s="307"/>
      <c r="F34" s="120"/>
      <c r="G34" s="142"/>
      <c r="H34" s="109"/>
    </row>
    <row r="35" spans="1:8" x14ac:dyDescent="0.2">
      <c r="A35" s="117" t="s">
        <v>16</v>
      </c>
      <c r="B35" s="117"/>
      <c r="C35" s="117" t="s">
        <v>601</v>
      </c>
      <c r="D35" s="304" t="s">
        <v>4430</v>
      </c>
      <c r="E35" s="305"/>
      <c r="F35" s="117" t="s">
        <v>1645</v>
      </c>
      <c r="G35" s="116">
        <v>18.809999999999999</v>
      </c>
      <c r="H35" s="108">
        <v>0</v>
      </c>
    </row>
    <row r="36" spans="1:8" ht="12.2" customHeight="1" x14ac:dyDescent="0.2">
      <c r="D36" s="334" t="s">
        <v>4610</v>
      </c>
      <c r="E36" s="335"/>
      <c r="F36" s="335"/>
      <c r="G36" s="143">
        <v>18.809999999999999</v>
      </c>
    </row>
    <row r="37" spans="1:8" x14ac:dyDescent="0.2">
      <c r="A37" s="117" t="s">
        <v>17</v>
      </c>
      <c r="B37" s="117"/>
      <c r="C37" s="117" t="s">
        <v>604</v>
      </c>
      <c r="D37" s="304" t="s">
        <v>4429</v>
      </c>
      <c r="E37" s="305"/>
      <c r="F37" s="117" t="s">
        <v>1645</v>
      </c>
      <c r="G37" s="116">
        <v>11.263</v>
      </c>
      <c r="H37" s="108">
        <v>0</v>
      </c>
    </row>
    <row r="38" spans="1:8" ht="12.2" customHeight="1" x14ac:dyDescent="0.2">
      <c r="D38" s="334" t="s">
        <v>4609</v>
      </c>
      <c r="E38" s="335"/>
      <c r="F38" s="335"/>
      <c r="G38" s="143">
        <v>11.263</v>
      </c>
    </row>
    <row r="39" spans="1:8" x14ac:dyDescent="0.2">
      <c r="A39" s="117" t="s">
        <v>18</v>
      </c>
      <c r="B39" s="117"/>
      <c r="C39" s="117" t="s">
        <v>606</v>
      </c>
      <c r="D39" s="304" t="s">
        <v>4428</v>
      </c>
      <c r="E39" s="305"/>
      <c r="F39" s="117" t="s">
        <v>1645</v>
      </c>
      <c r="G39" s="116">
        <v>23.28</v>
      </c>
      <c r="H39" s="108">
        <v>0</v>
      </c>
    </row>
    <row r="40" spans="1:8" ht="12.2" customHeight="1" x14ac:dyDescent="0.2">
      <c r="D40" s="334" t="s">
        <v>4608</v>
      </c>
      <c r="E40" s="335"/>
      <c r="F40" s="335"/>
      <c r="G40" s="143">
        <v>23.28</v>
      </c>
    </row>
    <row r="41" spans="1:8" x14ac:dyDescent="0.2">
      <c r="A41" s="120"/>
      <c r="B41" s="120"/>
      <c r="C41" s="120" t="s">
        <v>68</v>
      </c>
      <c r="D41" s="306" t="s">
        <v>1104</v>
      </c>
      <c r="E41" s="307"/>
      <c r="F41" s="120"/>
      <c r="G41" s="142"/>
      <c r="H41" s="109"/>
    </row>
    <row r="42" spans="1:8" x14ac:dyDescent="0.2">
      <c r="A42" s="117" t="s">
        <v>19</v>
      </c>
      <c r="B42" s="117"/>
      <c r="C42" s="117" t="s">
        <v>607</v>
      </c>
      <c r="D42" s="304" t="s">
        <v>1105</v>
      </c>
      <c r="E42" s="305"/>
      <c r="F42" s="117" t="s">
        <v>1645</v>
      </c>
      <c r="G42" s="116">
        <v>85.671999999999997</v>
      </c>
      <c r="H42" s="108">
        <v>0</v>
      </c>
    </row>
    <row r="43" spans="1:8" ht="12.2" customHeight="1" x14ac:dyDescent="0.2">
      <c r="D43" s="334" t="s">
        <v>4613</v>
      </c>
      <c r="E43" s="335"/>
      <c r="F43" s="335"/>
      <c r="G43" s="143">
        <v>77.260000000000005</v>
      </c>
    </row>
    <row r="44" spans="1:8" ht="12.2" customHeight="1" x14ac:dyDescent="0.2">
      <c r="A44" s="117"/>
      <c r="B44" s="117"/>
      <c r="C44" s="117"/>
      <c r="D44" s="334" t="s">
        <v>4612</v>
      </c>
      <c r="E44" s="335"/>
      <c r="F44" s="334"/>
      <c r="G44" s="144">
        <v>8.4120000000000008</v>
      </c>
      <c r="H44" s="111"/>
    </row>
    <row r="45" spans="1:8" x14ac:dyDescent="0.2">
      <c r="A45" s="117" t="s">
        <v>20</v>
      </c>
      <c r="B45" s="117"/>
      <c r="C45" s="117" t="s">
        <v>608</v>
      </c>
      <c r="D45" s="304" t="s">
        <v>4427</v>
      </c>
      <c r="E45" s="305"/>
      <c r="F45" s="117" t="s">
        <v>1645</v>
      </c>
      <c r="G45" s="116">
        <v>487.58699999999999</v>
      </c>
      <c r="H45" s="108">
        <v>0</v>
      </c>
    </row>
    <row r="46" spans="1:8" ht="12.2" customHeight="1" x14ac:dyDescent="0.2">
      <c r="D46" s="334" t="s">
        <v>4468</v>
      </c>
      <c r="E46" s="335"/>
      <c r="F46" s="335"/>
      <c r="G46" s="143">
        <v>562.09699999999998</v>
      </c>
    </row>
    <row r="47" spans="1:8" ht="12.2" customHeight="1" x14ac:dyDescent="0.2">
      <c r="A47" s="117"/>
      <c r="B47" s="117"/>
      <c r="C47" s="117"/>
      <c r="D47" s="334" t="s">
        <v>4621</v>
      </c>
      <c r="E47" s="335"/>
      <c r="F47" s="334"/>
      <c r="G47" s="144">
        <v>-74.510000000000005</v>
      </c>
      <c r="H47" s="111"/>
    </row>
    <row r="48" spans="1:8" x14ac:dyDescent="0.2">
      <c r="A48" s="117" t="s">
        <v>21</v>
      </c>
      <c r="B48" s="117"/>
      <c r="C48" s="117" t="s">
        <v>608</v>
      </c>
      <c r="D48" s="304" t="s">
        <v>4426</v>
      </c>
      <c r="E48" s="305"/>
      <c r="F48" s="117" t="s">
        <v>1645</v>
      </c>
      <c r="G48" s="116">
        <v>104.93600000000001</v>
      </c>
      <c r="H48" s="108">
        <v>0</v>
      </c>
    </row>
    <row r="49" spans="1:8" ht="12.2" customHeight="1" x14ac:dyDescent="0.2">
      <c r="D49" s="334" t="s">
        <v>4620</v>
      </c>
      <c r="E49" s="335"/>
      <c r="F49" s="335"/>
      <c r="G49" s="143">
        <v>104.93600000000001</v>
      </c>
    </row>
    <row r="50" spans="1:8" x14ac:dyDescent="0.2">
      <c r="A50" s="117" t="s">
        <v>22</v>
      </c>
      <c r="B50" s="117"/>
      <c r="C50" s="117" t="s">
        <v>4424</v>
      </c>
      <c r="D50" s="304" t="s">
        <v>4423</v>
      </c>
      <c r="E50" s="305"/>
      <c r="F50" s="117" t="s">
        <v>1645</v>
      </c>
      <c r="G50" s="116">
        <v>0.45</v>
      </c>
      <c r="H50" s="108">
        <v>0</v>
      </c>
    </row>
    <row r="51" spans="1:8" ht="12.2" customHeight="1" x14ac:dyDescent="0.2">
      <c r="D51" s="334" t="s">
        <v>4475</v>
      </c>
      <c r="E51" s="335"/>
      <c r="F51" s="335"/>
      <c r="G51" s="143">
        <v>0.45</v>
      </c>
    </row>
    <row r="52" spans="1:8" x14ac:dyDescent="0.2">
      <c r="A52" s="117" t="s">
        <v>23</v>
      </c>
      <c r="B52" s="117"/>
      <c r="C52" s="117" t="s">
        <v>4422</v>
      </c>
      <c r="D52" s="304" t="s">
        <v>4421</v>
      </c>
      <c r="E52" s="305"/>
      <c r="F52" s="117" t="s">
        <v>1645</v>
      </c>
      <c r="G52" s="116">
        <v>558.34100000000001</v>
      </c>
      <c r="H52" s="108">
        <v>0</v>
      </c>
    </row>
    <row r="53" spans="1:8" ht="12.2" customHeight="1" x14ac:dyDescent="0.2">
      <c r="D53" s="334" t="s">
        <v>4626</v>
      </c>
      <c r="E53" s="335"/>
      <c r="F53" s="335"/>
      <c r="G53" s="143">
        <v>558.34100000000001</v>
      </c>
    </row>
    <row r="54" spans="1:8" x14ac:dyDescent="0.2">
      <c r="A54" s="117" t="s">
        <v>24</v>
      </c>
      <c r="B54" s="117"/>
      <c r="C54" s="117" t="s">
        <v>4420</v>
      </c>
      <c r="D54" s="304" t="s">
        <v>4419</v>
      </c>
      <c r="E54" s="305"/>
      <c r="F54" s="117" t="s">
        <v>1645</v>
      </c>
      <c r="G54" s="116">
        <v>550.40700000000004</v>
      </c>
      <c r="H54" s="108">
        <v>0</v>
      </c>
    </row>
    <row r="55" spans="1:8" ht="12.2" customHeight="1" x14ac:dyDescent="0.2">
      <c r="D55" s="334" t="s">
        <v>4625</v>
      </c>
      <c r="E55" s="335"/>
      <c r="F55" s="335"/>
      <c r="G55" s="143">
        <v>451.73099999999999</v>
      </c>
    </row>
    <row r="56" spans="1:8" ht="12.2" customHeight="1" x14ac:dyDescent="0.2">
      <c r="A56" s="117"/>
      <c r="B56" s="117"/>
      <c r="C56" s="117"/>
      <c r="D56" s="334" t="s">
        <v>4624</v>
      </c>
      <c r="E56" s="335"/>
      <c r="F56" s="334"/>
      <c r="G56" s="144">
        <v>98.676000000000002</v>
      </c>
      <c r="H56" s="111"/>
    </row>
    <row r="57" spans="1:8" x14ac:dyDescent="0.2">
      <c r="A57" s="117" t="s">
        <v>25</v>
      </c>
      <c r="B57" s="117"/>
      <c r="C57" s="117" t="s">
        <v>4416</v>
      </c>
      <c r="D57" s="304" t="s">
        <v>4415</v>
      </c>
      <c r="E57" s="305"/>
      <c r="F57" s="117" t="s">
        <v>1645</v>
      </c>
      <c r="G57" s="116">
        <v>41.576000000000001</v>
      </c>
      <c r="H57" s="108">
        <v>0</v>
      </c>
    </row>
    <row r="58" spans="1:8" ht="12.2" customHeight="1" x14ac:dyDescent="0.2">
      <c r="D58" s="334" t="s">
        <v>4623</v>
      </c>
      <c r="E58" s="335"/>
      <c r="F58" s="335"/>
      <c r="G58" s="143">
        <v>35.856000000000002</v>
      </c>
    </row>
    <row r="59" spans="1:8" ht="12.2" customHeight="1" x14ac:dyDescent="0.2">
      <c r="A59" s="117"/>
      <c r="B59" s="117"/>
      <c r="C59" s="117"/>
      <c r="D59" s="334" t="s">
        <v>4622</v>
      </c>
      <c r="E59" s="335"/>
      <c r="F59" s="334"/>
      <c r="G59" s="144">
        <v>5.72</v>
      </c>
      <c r="H59" s="111"/>
    </row>
    <row r="60" spans="1:8" x14ac:dyDescent="0.2">
      <c r="A60" s="117" t="s">
        <v>26</v>
      </c>
      <c r="B60" s="117"/>
      <c r="C60" s="117" t="s">
        <v>623</v>
      </c>
      <c r="D60" s="304" t="s">
        <v>4414</v>
      </c>
      <c r="E60" s="305"/>
      <c r="F60" s="117" t="s">
        <v>1645</v>
      </c>
      <c r="G60" s="116">
        <v>592.52300000000002</v>
      </c>
      <c r="H60" s="108">
        <v>0</v>
      </c>
    </row>
    <row r="61" spans="1:8" ht="12.2" customHeight="1" x14ac:dyDescent="0.2">
      <c r="D61" s="334" t="s">
        <v>4468</v>
      </c>
      <c r="E61" s="335"/>
      <c r="F61" s="335"/>
      <c r="G61" s="143">
        <v>562.09699999999998</v>
      </c>
    </row>
    <row r="62" spans="1:8" ht="12.2" customHeight="1" x14ac:dyDescent="0.2">
      <c r="A62" s="117"/>
      <c r="B62" s="117"/>
      <c r="C62" s="117"/>
      <c r="D62" s="334" t="s">
        <v>4621</v>
      </c>
      <c r="E62" s="335"/>
      <c r="F62" s="334"/>
      <c r="G62" s="144">
        <v>-74.510000000000005</v>
      </c>
      <c r="H62" s="111"/>
    </row>
    <row r="63" spans="1:8" ht="12.2" customHeight="1" x14ac:dyDescent="0.2">
      <c r="A63" s="117"/>
      <c r="B63" s="117"/>
      <c r="C63" s="117"/>
      <c r="D63" s="334" t="s">
        <v>4620</v>
      </c>
      <c r="E63" s="335"/>
      <c r="F63" s="334"/>
      <c r="G63" s="144">
        <v>104.93600000000001</v>
      </c>
      <c r="H63" s="111"/>
    </row>
    <row r="64" spans="1:8" x14ac:dyDescent="0.2">
      <c r="A64" s="117" t="s">
        <v>27</v>
      </c>
      <c r="B64" s="117"/>
      <c r="C64" s="117" t="s">
        <v>623</v>
      </c>
      <c r="D64" s="304" t="s">
        <v>4413</v>
      </c>
      <c r="E64" s="305"/>
      <c r="F64" s="117" t="s">
        <v>1645</v>
      </c>
      <c r="G64" s="116">
        <v>96.453999999999994</v>
      </c>
      <c r="H64" s="108">
        <v>0</v>
      </c>
    </row>
    <row r="65" spans="1:8" ht="12.2" customHeight="1" x14ac:dyDescent="0.2">
      <c r="D65" s="334" t="s">
        <v>4619</v>
      </c>
      <c r="E65" s="335"/>
      <c r="F65" s="335"/>
      <c r="G65" s="143">
        <v>101.96599999999999</v>
      </c>
    </row>
    <row r="66" spans="1:8" ht="12.2" customHeight="1" x14ac:dyDescent="0.2">
      <c r="A66" s="117"/>
      <c r="B66" s="117"/>
      <c r="C66" s="117"/>
      <c r="D66" s="334" t="s">
        <v>4618</v>
      </c>
      <c r="E66" s="335"/>
      <c r="F66" s="334"/>
      <c r="G66" s="144">
        <v>-5.5119999999999996</v>
      </c>
      <c r="H66" s="111"/>
    </row>
    <row r="67" spans="1:8" x14ac:dyDescent="0.2">
      <c r="A67" s="117" t="s">
        <v>28</v>
      </c>
      <c r="B67" s="117"/>
      <c r="C67" s="117" t="s">
        <v>624</v>
      </c>
      <c r="D67" s="304" t="s">
        <v>4412</v>
      </c>
      <c r="E67" s="305"/>
      <c r="F67" s="117" t="s">
        <v>1645</v>
      </c>
      <c r="G67" s="116">
        <v>592.52300000000002</v>
      </c>
      <c r="H67" s="108">
        <v>0</v>
      </c>
    </row>
    <row r="68" spans="1:8" ht="12.2" customHeight="1" x14ac:dyDescent="0.2">
      <c r="D68" s="334" t="s">
        <v>4468</v>
      </c>
      <c r="E68" s="335"/>
      <c r="F68" s="335"/>
      <c r="G68" s="143">
        <v>562.09699999999998</v>
      </c>
    </row>
    <row r="69" spans="1:8" ht="12.2" customHeight="1" x14ac:dyDescent="0.2">
      <c r="A69" s="117"/>
      <c r="B69" s="117"/>
      <c r="C69" s="117"/>
      <c r="D69" s="334" t="s">
        <v>4621</v>
      </c>
      <c r="E69" s="335"/>
      <c r="F69" s="334"/>
      <c r="G69" s="144">
        <v>-74.510000000000005</v>
      </c>
      <c r="H69" s="111"/>
    </row>
    <row r="70" spans="1:8" ht="12.2" customHeight="1" x14ac:dyDescent="0.2">
      <c r="A70" s="117"/>
      <c r="B70" s="117"/>
      <c r="C70" s="117"/>
      <c r="D70" s="334" t="s">
        <v>4620</v>
      </c>
      <c r="E70" s="335"/>
      <c r="F70" s="334"/>
      <c r="G70" s="144">
        <v>104.93600000000001</v>
      </c>
      <c r="H70" s="111"/>
    </row>
    <row r="71" spans="1:8" x14ac:dyDescent="0.2">
      <c r="A71" s="117" t="s">
        <v>29</v>
      </c>
      <c r="B71" s="117"/>
      <c r="C71" s="117" t="s">
        <v>624</v>
      </c>
      <c r="D71" s="304" t="s">
        <v>4411</v>
      </c>
      <c r="E71" s="305"/>
      <c r="F71" s="117" t="s">
        <v>1645</v>
      </c>
      <c r="G71" s="116">
        <v>96.453999999999994</v>
      </c>
      <c r="H71" s="108">
        <v>0</v>
      </c>
    </row>
    <row r="72" spans="1:8" ht="12.2" customHeight="1" x14ac:dyDescent="0.2">
      <c r="D72" s="334" t="s">
        <v>4619</v>
      </c>
      <c r="E72" s="335"/>
      <c r="F72" s="335"/>
      <c r="G72" s="143">
        <v>101.96599999999999</v>
      </c>
    </row>
    <row r="73" spans="1:8" ht="12.2" customHeight="1" x14ac:dyDescent="0.2">
      <c r="A73" s="117"/>
      <c r="B73" s="117"/>
      <c r="C73" s="117"/>
      <c r="D73" s="334" t="s">
        <v>4618</v>
      </c>
      <c r="E73" s="335"/>
      <c r="F73" s="334"/>
      <c r="G73" s="144">
        <v>-5.5119999999999996</v>
      </c>
      <c r="H73" s="111"/>
    </row>
    <row r="74" spans="1:8" x14ac:dyDescent="0.2">
      <c r="A74" s="117" t="s">
        <v>30</v>
      </c>
      <c r="B74" s="117"/>
      <c r="C74" s="117" t="s">
        <v>625</v>
      </c>
      <c r="D74" s="304" t="s">
        <v>4410</v>
      </c>
      <c r="E74" s="305"/>
      <c r="F74" s="117" t="s">
        <v>1645</v>
      </c>
      <c r="G74" s="116">
        <v>295.99200000000002</v>
      </c>
      <c r="H74" s="108">
        <v>0</v>
      </c>
    </row>
    <row r="75" spans="1:8" ht="12.2" customHeight="1" x14ac:dyDescent="0.2">
      <c r="D75" s="334" t="s">
        <v>4617</v>
      </c>
      <c r="E75" s="335"/>
      <c r="F75" s="335"/>
      <c r="G75" s="143">
        <v>295.99200000000002</v>
      </c>
    </row>
    <row r="76" spans="1:8" x14ac:dyDescent="0.2">
      <c r="A76" s="117" t="s">
        <v>31</v>
      </c>
      <c r="B76" s="117"/>
      <c r="C76" s="117" t="s">
        <v>625</v>
      </c>
      <c r="D76" s="304" t="s">
        <v>4409</v>
      </c>
      <c r="E76" s="305"/>
      <c r="F76" s="117" t="s">
        <v>1645</v>
      </c>
      <c r="G76" s="116">
        <v>48.226999999999997</v>
      </c>
      <c r="H76" s="108">
        <v>0</v>
      </c>
    </row>
    <row r="77" spans="1:8" ht="12.2" customHeight="1" x14ac:dyDescent="0.2">
      <c r="D77" s="334" t="s">
        <v>4616</v>
      </c>
      <c r="E77" s="335"/>
      <c r="F77" s="335"/>
      <c r="G77" s="143">
        <v>48.226999999999997</v>
      </c>
    </row>
    <row r="78" spans="1:8" x14ac:dyDescent="0.2">
      <c r="A78" s="117" t="s">
        <v>32</v>
      </c>
      <c r="B78" s="117"/>
      <c r="C78" s="117" t="s">
        <v>626</v>
      </c>
      <c r="D78" s="304" t="s">
        <v>4408</v>
      </c>
      <c r="E78" s="305"/>
      <c r="F78" s="117" t="s">
        <v>1645</v>
      </c>
      <c r="G78" s="116">
        <v>295.99200000000002</v>
      </c>
      <c r="H78" s="108">
        <v>0</v>
      </c>
    </row>
    <row r="79" spans="1:8" ht="12.2" customHeight="1" x14ac:dyDescent="0.2">
      <c r="D79" s="334" t="s">
        <v>4617</v>
      </c>
      <c r="E79" s="335"/>
      <c r="F79" s="335"/>
      <c r="G79" s="143">
        <v>295.99200000000002</v>
      </c>
    </row>
    <row r="80" spans="1:8" x14ac:dyDescent="0.2">
      <c r="A80" s="117" t="s">
        <v>33</v>
      </c>
      <c r="B80" s="117"/>
      <c r="C80" s="117" t="s">
        <v>626</v>
      </c>
      <c r="D80" s="304" t="s">
        <v>4407</v>
      </c>
      <c r="E80" s="305"/>
      <c r="F80" s="117" t="s">
        <v>1645</v>
      </c>
      <c r="G80" s="116">
        <v>48.226999999999997</v>
      </c>
      <c r="H80" s="108">
        <v>0</v>
      </c>
    </row>
    <row r="81" spans="1:8" ht="12.2" customHeight="1" x14ac:dyDescent="0.2">
      <c r="D81" s="334" t="s">
        <v>4616</v>
      </c>
      <c r="E81" s="335"/>
      <c r="F81" s="335"/>
      <c r="G81" s="143">
        <v>48.226999999999997</v>
      </c>
    </row>
    <row r="82" spans="1:8" x14ac:dyDescent="0.2">
      <c r="A82" s="120"/>
      <c r="B82" s="120"/>
      <c r="C82" s="120" t="s">
        <v>100</v>
      </c>
      <c r="D82" s="306" t="s">
        <v>1139</v>
      </c>
      <c r="E82" s="307"/>
      <c r="F82" s="120"/>
      <c r="G82" s="142"/>
      <c r="H82" s="109"/>
    </row>
    <row r="83" spans="1:8" x14ac:dyDescent="0.2">
      <c r="A83" s="117" t="s">
        <v>34</v>
      </c>
      <c r="B83" s="117"/>
      <c r="C83" s="117" t="s">
        <v>634</v>
      </c>
      <c r="D83" s="304" t="s">
        <v>1140</v>
      </c>
      <c r="E83" s="305"/>
      <c r="F83" s="117" t="s">
        <v>1645</v>
      </c>
      <c r="G83" s="116">
        <v>778.04600000000005</v>
      </c>
      <c r="H83" s="108">
        <v>0</v>
      </c>
    </row>
    <row r="84" spans="1:8" ht="12.2" customHeight="1" x14ac:dyDescent="0.2">
      <c r="D84" s="334" t="s">
        <v>4614</v>
      </c>
      <c r="E84" s="335"/>
      <c r="F84" s="335"/>
      <c r="G84" s="143">
        <v>778.04600000000005</v>
      </c>
    </row>
    <row r="85" spans="1:8" x14ac:dyDescent="0.2">
      <c r="A85" s="117" t="s">
        <v>35</v>
      </c>
      <c r="B85" s="117"/>
      <c r="C85" s="117" t="s">
        <v>635</v>
      </c>
      <c r="D85" s="304" t="s">
        <v>1141</v>
      </c>
      <c r="E85" s="305"/>
      <c r="F85" s="117" t="s">
        <v>1645</v>
      </c>
      <c r="G85" s="116">
        <v>1556.0920000000001</v>
      </c>
      <c r="H85" s="108">
        <v>0</v>
      </c>
    </row>
    <row r="86" spans="1:8" ht="12.2" customHeight="1" x14ac:dyDescent="0.2">
      <c r="D86" s="334" t="s">
        <v>4615</v>
      </c>
      <c r="E86" s="335"/>
      <c r="F86" s="335"/>
      <c r="G86" s="143">
        <v>1556.0920000000001</v>
      </c>
    </row>
    <row r="87" spans="1:8" x14ac:dyDescent="0.2">
      <c r="A87" s="117" t="s">
        <v>36</v>
      </c>
      <c r="B87" s="117"/>
      <c r="C87" s="117" t="s">
        <v>636</v>
      </c>
      <c r="D87" s="304" t="s">
        <v>1142</v>
      </c>
      <c r="E87" s="305"/>
      <c r="F87" s="117" t="s">
        <v>1645</v>
      </c>
      <c r="G87" s="116">
        <v>778.04600000000005</v>
      </c>
      <c r="H87" s="108">
        <v>0</v>
      </c>
    </row>
    <row r="88" spans="1:8" ht="12.2" customHeight="1" x14ac:dyDescent="0.2">
      <c r="D88" s="334" t="s">
        <v>4614</v>
      </c>
      <c r="E88" s="335"/>
      <c r="F88" s="335"/>
      <c r="G88" s="143">
        <v>778.04600000000005</v>
      </c>
    </row>
    <row r="89" spans="1:8" x14ac:dyDescent="0.2">
      <c r="A89" s="117" t="s">
        <v>37</v>
      </c>
      <c r="B89" s="117"/>
      <c r="C89" s="117" t="s">
        <v>637</v>
      </c>
      <c r="D89" s="304" t="s">
        <v>1143</v>
      </c>
      <c r="E89" s="305"/>
      <c r="F89" s="117" t="s">
        <v>1645</v>
      </c>
      <c r="G89" s="116">
        <v>778.04600000000005</v>
      </c>
      <c r="H89" s="108">
        <v>0</v>
      </c>
    </row>
    <row r="90" spans="1:8" ht="12.2" customHeight="1" x14ac:dyDescent="0.2">
      <c r="D90" s="334" t="s">
        <v>4614</v>
      </c>
      <c r="E90" s="335"/>
      <c r="F90" s="335"/>
      <c r="G90" s="143">
        <v>778.04600000000005</v>
      </c>
    </row>
    <row r="91" spans="1:8" x14ac:dyDescent="0.2">
      <c r="A91" s="117" t="s">
        <v>38</v>
      </c>
      <c r="B91" s="117"/>
      <c r="C91" s="117" t="s">
        <v>638</v>
      </c>
      <c r="D91" s="304" t="s">
        <v>1144</v>
      </c>
      <c r="E91" s="305"/>
      <c r="F91" s="117" t="s">
        <v>1645</v>
      </c>
      <c r="G91" s="116">
        <v>1556.0920000000001</v>
      </c>
      <c r="H91" s="108">
        <v>0</v>
      </c>
    </row>
    <row r="92" spans="1:8" ht="12.2" customHeight="1" x14ac:dyDescent="0.2">
      <c r="D92" s="334" t="s">
        <v>4615</v>
      </c>
      <c r="E92" s="335"/>
      <c r="F92" s="335"/>
      <c r="G92" s="143">
        <v>1556.0920000000001</v>
      </c>
    </row>
    <row r="93" spans="1:8" x14ac:dyDescent="0.2">
      <c r="A93" s="117" t="s">
        <v>39</v>
      </c>
      <c r="B93" s="117"/>
      <c r="C93" s="117" t="s">
        <v>639</v>
      </c>
      <c r="D93" s="304" t="s">
        <v>1145</v>
      </c>
      <c r="E93" s="305"/>
      <c r="F93" s="117" t="s">
        <v>1645</v>
      </c>
      <c r="G93" s="116">
        <v>778.04600000000005</v>
      </c>
      <c r="H93" s="108">
        <v>0</v>
      </c>
    </row>
    <row r="94" spans="1:8" ht="12.2" customHeight="1" x14ac:dyDescent="0.2">
      <c r="D94" s="334" t="s">
        <v>4614</v>
      </c>
      <c r="E94" s="335"/>
      <c r="F94" s="335"/>
      <c r="G94" s="143">
        <v>778.04600000000005</v>
      </c>
    </row>
    <row r="95" spans="1:8" x14ac:dyDescent="0.2">
      <c r="A95" s="120"/>
      <c r="B95" s="120"/>
      <c r="C95" s="120" t="s">
        <v>101</v>
      </c>
      <c r="D95" s="306" t="s">
        <v>1147</v>
      </c>
      <c r="E95" s="307"/>
      <c r="F95" s="120"/>
      <c r="G95" s="142"/>
      <c r="H95" s="109"/>
    </row>
    <row r="96" spans="1:8" x14ac:dyDescent="0.2">
      <c r="A96" s="117" t="s">
        <v>40</v>
      </c>
      <c r="B96" s="117"/>
      <c r="C96" s="117" t="s">
        <v>641</v>
      </c>
      <c r="D96" s="304" t="s">
        <v>1148</v>
      </c>
      <c r="E96" s="305"/>
      <c r="F96" s="117" t="s">
        <v>1645</v>
      </c>
      <c r="G96" s="116">
        <v>85.671999999999997</v>
      </c>
      <c r="H96" s="108">
        <v>0</v>
      </c>
    </row>
    <row r="97" spans="1:8" ht="12.2" customHeight="1" x14ac:dyDescent="0.2">
      <c r="D97" s="334" t="s">
        <v>4613</v>
      </c>
      <c r="E97" s="335"/>
      <c r="F97" s="335"/>
      <c r="G97" s="143">
        <v>77.260000000000005</v>
      </c>
    </row>
    <row r="98" spans="1:8" ht="12.2" customHeight="1" x14ac:dyDescent="0.2">
      <c r="A98" s="117"/>
      <c r="B98" s="117"/>
      <c r="C98" s="117"/>
      <c r="D98" s="334" t="s">
        <v>4612</v>
      </c>
      <c r="E98" s="335"/>
      <c r="F98" s="334"/>
      <c r="G98" s="144">
        <v>8.4120000000000008</v>
      </c>
      <c r="H98" s="111"/>
    </row>
    <row r="99" spans="1:8" x14ac:dyDescent="0.2">
      <c r="A99" s="117" t="s">
        <v>41</v>
      </c>
      <c r="B99" s="117"/>
      <c r="C99" s="117" t="s">
        <v>642</v>
      </c>
      <c r="D99" s="304" t="s">
        <v>1149</v>
      </c>
      <c r="E99" s="305"/>
      <c r="F99" s="117" t="s">
        <v>1645</v>
      </c>
      <c r="G99" s="116">
        <v>17.100000000000001</v>
      </c>
      <c r="H99" s="108">
        <v>0</v>
      </c>
    </row>
    <row r="100" spans="1:8" ht="12.2" customHeight="1" x14ac:dyDescent="0.2">
      <c r="D100" s="334" t="s">
        <v>4611</v>
      </c>
      <c r="E100" s="335"/>
      <c r="F100" s="335"/>
      <c r="G100" s="143">
        <v>17.100000000000001</v>
      </c>
    </row>
    <row r="101" spans="1:8" x14ac:dyDescent="0.2">
      <c r="A101" s="117" t="s">
        <v>42</v>
      </c>
      <c r="B101" s="117"/>
      <c r="C101" s="117" t="s">
        <v>3180</v>
      </c>
      <c r="D101" s="304" t="s">
        <v>4406</v>
      </c>
      <c r="E101" s="305"/>
      <c r="F101" s="117" t="s">
        <v>1644</v>
      </c>
      <c r="G101" s="116">
        <v>1</v>
      </c>
      <c r="H101" s="108">
        <v>0</v>
      </c>
    </row>
    <row r="102" spans="1:8" ht="12.2" customHeight="1" x14ac:dyDescent="0.2">
      <c r="D102" s="334" t="s">
        <v>1749</v>
      </c>
      <c r="E102" s="335"/>
      <c r="F102" s="335"/>
      <c r="G102" s="143">
        <v>1</v>
      </c>
    </row>
    <row r="103" spans="1:8" x14ac:dyDescent="0.2">
      <c r="A103" s="117" t="s">
        <v>43</v>
      </c>
      <c r="B103" s="117"/>
      <c r="C103" s="117" t="s">
        <v>646</v>
      </c>
      <c r="D103" s="304" t="s">
        <v>1153</v>
      </c>
      <c r="E103" s="305"/>
      <c r="F103" s="117" t="s">
        <v>1650</v>
      </c>
      <c r="G103" s="116">
        <v>30</v>
      </c>
      <c r="H103" s="108">
        <v>0</v>
      </c>
    </row>
    <row r="104" spans="1:8" ht="12.2" customHeight="1" x14ac:dyDescent="0.2">
      <c r="D104" s="334" t="s">
        <v>2203</v>
      </c>
      <c r="E104" s="335"/>
      <c r="F104" s="335"/>
      <c r="G104" s="143">
        <v>30</v>
      </c>
    </row>
    <row r="105" spans="1:8" x14ac:dyDescent="0.2">
      <c r="A105" s="120"/>
      <c r="B105" s="120"/>
      <c r="C105" s="120" t="s">
        <v>102</v>
      </c>
      <c r="D105" s="306" t="s">
        <v>1158</v>
      </c>
      <c r="E105" s="307"/>
      <c r="F105" s="120"/>
      <c r="G105" s="142"/>
      <c r="H105" s="109"/>
    </row>
    <row r="106" spans="1:8" x14ac:dyDescent="0.2">
      <c r="A106" s="117" t="s">
        <v>44</v>
      </c>
      <c r="B106" s="117"/>
      <c r="C106" s="117" t="s">
        <v>653</v>
      </c>
      <c r="D106" s="304" t="s">
        <v>4405</v>
      </c>
      <c r="E106" s="305"/>
      <c r="F106" s="117" t="s">
        <v>1647</v>
      </c>
      <c r="G106" s="116">
        <v>0.12</v>
      </c>
      <c r="H106" s="108">
        <v>0</v>
      </c>
    </row>
    <row r="107" spans="1:8" ht="12.2" customHeight="1" x14ac:dyDescent="0.2">
      <c r="D107" s="334" t="s">
        <v>4456</v>
      </c>
      <c r="E107" s="335"/>
      <c r="F107" s="335"/>
      <c r="G107" s="143">
        <v>0.12</v>
      </c>
    </row>
    <row r="108" spans="1:8" x14ac:dyDescent="0.2">
      <c r="A108" s="117" t="s">
        <v>45</v>
      </c>
      <c r="B108" s="117"/>
      <c r="C108" s="117" t="s">
        <v>658</v>
      </c>
      <c r="D108" s="304" t="s">
        <v>4404</v>
      </c>
      <c r="E108" s="305"/>
      <c r="F108" s="117" t="s">
        <v>1645</v>
      </c>
      <c r="G108" s="116">
        <v>17.100000000000001</v>
      </c>
      <c r="H108" s="108">
        <v>0</v>
      </c>
    </row>
    <row r="109" spans="1:8" ht="12.2" customHeight="1" x14ac:dyDescent="0.2">
      <c r="D109" s="334" t="s">
        <v>4595</v>
      </c>
      <c r="E109" s="335"/>
      <c r="F109" s="335"/>
      <c r="G109" s="143">
        <v>17.100000000000001</v>
      </c>
    </row>
    <row r="110" spans="1:8" x14ac:dyDescent="0.2">
      <c r="A110" s="117" t="s">
        <v>46</v>
      </c>
      <c r="B110" s="117"/>
      <c r="C110" s="117" t="s">
        <v>659</v>
      </c>
      <c r="D110" s="304" t="s">
        <v>4403</v>
      </c>
      <c r="E110" s="305"/>
      <c r="F110" s="117" t="s">
        <v>1646</v>
      </c>
      <c r="G110" s="116">
        <v>15.7</v>
      </c>
      <c r="H110" s="108">
        <v>0</v>
      </c>
    </row>
    <row r="111" spans="1:8" ht="12.2" customHeight="1" x14ac:dyDescent="0.2">
      <c r="D111" s="334" t="s">
        <v>4599</v>
      </c>
      <c r="E111" s="335"/>
      <c r="F111" s="335"/>
      <c r="G111" s="143">
        <v>15.7</v>
      </c>
    </row>
    <row r="112" spans="1:8" x14ac:dyDescent="0.2">
      <c r="A112" s="117" t="s">
        <v>47</v>
      </c>
      <c r="B112" s="117"/>
      <c r="C112" s="117" t="s">
        <v>660</v>
      </c>
      <c r="D112" s="304" t="s">
        <v>4402</v>
      </c>
      <c r="E112" s="305"/>
      <c r="F112" s="117" t="s">
        <v>1645</v>
      </c>
      <c r="G112" s="116">
        <v>17.100000000000001</v>
      </c>
      <c r="H112" s="108">
        <v>0</v>
      </c>
    </row>
    <row r="113" spans="1:8" ht="12.2" customHeight="1" x14ac:dyDescent="0.2">
      <c r="D113" s="334" t="s">
        <v>4595</v>
      </c>
      <c r="E113" s="335"/>
      <c r="F113" s="335"/>
      <c r="G113" s="143">
        <v>17.100000000000001</v>
      </c>
    </row>
    <row r="114" spans="1:8" x14ac:dyDescent="0.2">
      <c r="A114" s="117" t="s">
        <v>48</v>
      </c>
      <c r="B114" s="117"/>
      <c r="C114" s="117" t="s">
        <v>2145</v>
      </c>
      <c r="D114" s="304" t="s">
        <v>4401</v>
      </c>
      <c r="E114" s="305"/>
      <c r="F114" s="117" t="s">
        <v>1644</v>
      </c>
      <c r="G114" s="116">
        <v>1</v>
      </c>
      <c r="H114" s="108">
        <v>0</v>
      </c>
    </row>
    <row r="115" spans="1:8" ht="12.2" customHeight="1" x14ac:dyDescent="0.2">
      <c r="D115" s="334" t="s">
        <v>1749</v>
      </c>
      <c r="E115" s="335"/>
      <c r="F115" s="335"/>
      <c r="G115" s="143">
        <v>1</v>
      </c>
    </row>
    <row r="116" spans="1:8" x14ac:dyDescent="0.2">
      <c r="A116" s="120"/>
      <c r="B116" s="120"/>
      <c r="C116" s="120" t="s">
        <v>103</v>
      </c>
      <c r="D116" s="306" t="s">
        <v>1178</v>
      </c>
      <c r="E116" s="307"/>
      <c r="F116" s="120"/>
      <c r="G116" s="142"/>
      <c r="H116" s="109"/>
    </row>
    <row r="117" spans="1:8" x14ac:dyDescent="0.2">
      <c r="A117" s="117" t="s">
        <v>49</v>
      </c>
      <c r="B117" s="117"/>
      <c r="C117" s="117" t="s">
        <v>670</v>
      </c>
      <c r="D117" s="304" t="s">
        <v>1179</v>
      </c>
      <c r="E117" s="305"/>
      <c r="F117" s="117" t="s">
        <v>1646</v>
      </c>
      <c r="G117" s="116">
        <v>0.9</v>
      </c>
      <c r="H117" s="108">
        <v>0</v>
      </c>
    </row>
    <row r="118" spans="1:8" ht="12.2" customHeight="1" x14ac:dyDescent="0.2">
      <c r="D118" s="334" t="s">
        <v>3217</v>
      </c>
      <c r="E118" s="335"/>
      <c r="F118" s="335"/>
      <c r="G118" s="143">
        <v>0.9</v>
      </c>
    </row>
    <row r="119" spans="1:8" x14ac:dyDescent="0.2">
      <c r="A119" s="117" t="s">
        <v>50</v>
      </c>
      <c r="B119" s="117"/>
      <c r="C119" s="117" t="s">
        <v>671</v>
      </c>
      <c r="D119" s="304" t="s">
        <v>1180</v>
      </c>
      <c r="E119" s="305"/>
      <c r="F119" s="117" t="s">
        <v>1646</v>
      </c>
      <c r="G119" s="116">
        <v>0.9</v>
      </c>
      <c r="H119" s="108">
        <v>0</v>
      </c>
    </row>
    <row r="120" spans="1:8" ht="12.2" customHeight="1" x14ac:dyDescent="0.2">
      <c r="D120" s="334" t="s">
        <v>3217</v>
      </c>
      <c r="E120" s="335"/>
      <c r="F120" s="335"/>
      <c r="G120" s="143">
        <v>0.9</v>
      </c>
    </row>
    <row r="121" spans="1:8" x14ac:dyDescent="0.2">
      <c r="A121" s="117" t="s">
        <v>51</v>
      </c>
      <c r="B121" s="117"/>
      <c r="C121" s="117" t="s">
        <v>672</v>
      </c>
      <c r="D121" s="304" t="s">
        <v>1181</v>
      </c>
      <c r="E121" s="305"/>
      <c r="F121" s="117" t="s">
        <v>1646</v>
      </c>
      <c r="G121" s="116">
        <v>0.9</v>
      </c>
      <c r="H121" s="108">
        <v>0</v>
      </c>
    </row>
    <row r="122" spans="1:8" ht="12.2" customHeight="1" x14ac:dyDescent="0.2">
      <c r="D122" s="334" t="s">
        <v>3217</v>
      </c>
      <c r="E122" s="335"/>
      <c r="F122" s="335"/>
      <c r="G122" s="143">
        <v>0.9</v>
      </c>
    </row>
    <row r="123" spans="1:8" x14ac:dyDescent="0.2">
      <c r="A123" s="117" t="s">
        <v>52</v>
      </c>
      <c r="B123" s="117"/>
      <c r="C123" s="117" t="s">
        <v>2479</v>
      </c>
      <c r="D123" s="304" t="s">
        <v>2478</v>
      </c>
      <c r="E123" s="305"/>
      <c r="F123" s="117" t="s">
        <v>1646</v>
      </c>
      <c r="G123" s="116">
        <v>0.45</v>
      </c>
      <c r="H123" s="108">
        <v>0</v>
      </c>
    </row>
    <row r="124" spans="1:8" ht="12.2" customHeight="1" x14ac:dyDescent="0.2">
      <c r="D124" s="334" t="s">
        <v>2546</v>
      </c>
      <c r="E124" s="335"/>
      <c r="F124" s="335"/>
      <c r="G124" s="143">
        <v>0.45</v>
      </c>
    </row>
    <row r="125" spans="1:8" x14ac:dyDescent="0.2">
      <c r="A125" s="117" t="s">
        <v>53</v>
      </c>
      <c r="B125" s="117"/>
      <c r="C125" s="117" t="s">
        <v>3721</v>
      </c>
      <c r="D125" s="304" t="s">
        <v>3720</v>
      </c>
      <c r="E125" s="305"/>
      <c r="F125" s="117" t="s">
        <v>1646</v>
      </c>
      <c r="G125" s="116">
        <v>0.45</v>
      </c>
      <c r="H125" s="108">
        <v>0</v>
      </c>
    </row>
    <row r="126" spans="1:8" ht="12.2" customHeight="1" x14ac:dyDescent="0.2">
      <c r="D126" s="334" t="s">
        <v>2546</v>
      </c>
      <c r="E126" s="335"/>
      <c r="F126" s="335"/>
      <c r="G126" s="143">
        <v>0.45</v>
      </c>
    </row>
    <row r="127" spans="1:8" x14ac:dyDescent="0.2">
      <c r="A127" s="117" t="s">
        <v>54</v>
      </c>
      <c r="B127" s="117"/>
      <c r="C127" s="117" t="s">
        <v>2477</v>
      </c>
      <c r="D127" s="304" t="s">
        <v>2476</v>
      </c>
      <c r="E127" s="305"/>
      <c r="F127" s="117" t="s">
        <v>1646</v>
      </c>
      <c r="G127" s="116">
        <v>0.45</v>
      </c>
      <c r="H127" s="108">
        <v>0</v>
      </c>
    </row>
    <row r="128" spans="1:8" ht="12.2" customHeight="1" x14ac:dyDescent="0.2">
      <c r="D128" s="334" t="s">
        <v>2546</v>
      </c>
      <c r="E128" s="335"/>
      <c r="F128" s="335"/>
      <c r="G128" s="143">
        <v>0.45</v>
      </c>
    </row>
    <row r="129" spans="1:8" x14ac:dyDescent="0.2">
      <c r="A129" s="117" t="s">
        <v>55</v>
      </c>
      <c r="B129" s="117"/>
      <c r="C129" s="117" t="s">
        <v>3719</v>
      </c>
      <c r="D129" s="304" t="s">
        <v>4400</v>
      </c>
      <c r="E129" s="305"/>
      <c r="F129" s="117" t="s">
        <v>1646</v>
      </c>
      <c r="G129" s="116">
        <v>1.5</v>
      </c>
      <c r="H129" s="108">
        <v>0</v>
      </c>
    </row>
    <row r="130" spans="1:8" ht="12.2" customHeight="1" x14ac:dyDescent="0.2">
      <c r="D130" s="334" t="s">
        <v>2545</v>
      </c>
      <c r="E130" s="335"/>
      <c r="F130" s="335"/>
      <c r="G130" s="143">
        <v>1.5</v>
      </c>
    </row>
    <row r="131" spans="1:8" x14ac:dyDescent="0.2">
      <c r="A131" s="117" t="s">
        <v>56</v>
      </c>
      <c r="B131" s="117"/>
      <c r="C131" s="117" t="s">
        <v>677</v>
      </c>
      <c r="D131" s="304" t="s">
        <v>4399</v>
      </c>
      <c r="E131" s="305"/>
      <c r="F131" s="117" t="s">
        <v>1645</v>
      </c>
      <c r="G131" s="116">
        <v>18.809999999999999</v>
      </c>
      <c r="H131" s="108">
        <v>0</v>
      </c>
    </row>
    <row r="132" spans="1:8" ht="12.2" customHeight="1" x14ac:dyDescent="0.2">
      <c r="D132" s="334" t="s">
        <v>4610</v>
      </c>
      <c r="E132" s="335"/>
      <c r="F132" s="335"/>
      <c r="G132" s="143">
        <v>18.809999999999999</v>
      </c>
    </row>
    <row r="133" spans="1:8" x14ac:dyDescent="0.2">
      <c r="A133" s="117" t="s">
        <v>57</v>
      </c>
      <c r="B133" s="117"/>
      <c r="C133" s="117" t="s">
        <v>678</v>
      </c>
      <c r="D133" s="304" t="s">
        <v>4398</v>
      </c>
      <c r="E133" s="305"/>
      <c r="F133" s="117" t="s">
        <v>1645</v>
      </c>
      <c r="G133" s="116">
        <v>23.28</v>
      </c>
      <c r="H133" s="108">
        <v>0</v>
      </c>
    </row>
    <row r="134" spans="1:8" ht="12.2" customHeight="1" x14ac:dyDescent="0.2">
      <c r="D134" s="334" t="s">
        <v>4608</v>
      </c>
      <c r="E134" s="335"/>
      <c r="F134" s="335"/>
      <c r="G134" s="143">
        <v>23.28</v>
      </c>
    </row>
    <row r="135" spans="1:8" x14ac:dyDescent="0.2">
      <c r="A135" s="117" t="s">
        <v>58</v>
      </c>
      <c r="B135" s="117"/>
      <c r="C135" s="117" t="s">
        <v>679</v>
      </c>
      <c r="D135" s="304" t="s">
        <v>4397</v>
      </c>
      <c r="E135" s="305"/>
      <c r="F135" s="117" t="s">
        <v>1645</v>
      </c>
      <c r="G135" s="116">
        <v>11.263</v>
      </c>
      <c r="H135" s="108">
        <v>0</v>
      </c>
    </row>
    <row r="136" spans="1:8" ht="12.2" customHeight="1" x14ac:dyDescent="0.2">
      <c r="D136" s="334" t="s">
        <v>4609</v>
      </c>
      <c r="E136" s="335"/>
      <c r="F136" s="335"/>
      <c r="G136" s="143">
        <v>11.263</v>
      </c>
    </row>
    <row r="137" spans="1:8" x14ac:dyDescent="0.2">
      <c r="A137" s="117" t="s">
        <v>59</v>
      </c>
      <c r="B137" s="117"/>
      <c r="C137" s="117" t="s">
        <v>673</v>
      </c>
      <c r="D137" s="304" t="s">
        <v>1182</v>
      </c>
      <c r="E137" s="305"/>
      <c r="F137" s="117" t="s">
        <v>1644</v>
      </c>
      <c r="G137" s="116">
        <v>8</v>
      </c>
      <c r="H137" s="108">
        <v>0</v>
      </c>
    </row>
    <row r="138" spans="1:8" ht="12.2" customHeight="1" x14ac:dyDescent="0.2">
      <c r="D138" s="334" t="s">
        <v>1821</v>
      </c>
      <c r="E138" s="335"/>
      <c r="F138" s="335"/>
      <c r="G138" s="143">
        <v>8</v>
      </c>
    </row>
    <row r="139" spans="1:8" x14ac:dyDescent="0.2">
      <c r="A139" s="117" t="s">
        <v>60</v>
      </c>
      <c r="B139" s="117"/>
      <c r="C139" s="117" t="s">
        <v>683</v>
      </c>
      <c r="D139" s="304" t="s">
        <v>1194</v>
      </c>
      <c r="E139" s="305"/>
      <c r="F139" s="117" t="s">
        <v>1645</v>
      </c>
      <c r="G139" s="116">
        <v>23.28</v>
      </c>
      <c r="H139" s="108">
        <v>0</v>
      </c>
    </row>
    <row r="140" spans="1:8" ht="12.2" customHeight="1" x14ac:dyDescent="0.2">
      <c r="D140" s="334" t="s">
        <v>4608</v>
      </c>
      <c r="E140" s="335"/>
      <c r="F140" s="335"/>
      <c r="G140" s="143">
        <v>23.28</v>
      </c>
    </row>
    <row r="141" spans="1:8" x14ac:dyDescent="0.2">
      <c r="A141" s="120"/>
      <c r="B141" s="120"/>
      <c r="C141" s="120" t="s">
        <v>686</v>
      </c>
      <c r="D141" s="306" t="s">
        <v>1198</v>
      </c>
      <c r="E141" s="307"/>
      <c r="F141" s="120"/>
      <c r="G141" s="142"/>
      <c r="H141" s="109"/>
    </row>
    <row r="142" spans="1:8" x14ac:dyDescent="0.2">
      <c r="A142" s="117" t="s">
        <v>61</v>
      </c>
      <c r="B142" s="117"/>
      <c r="C142" s="117" t="s">
        <v>689</v>
      </c>
      <c r="D142" s="304" t="s">
        <v>1201</v>
      </c>
      <c r="E142" s="305"/>
      <c r="F142" s="117" t="s">
        <v>1648</v>
      </c>
      <c r="G142" s="116">
        <v>2.8050000000000002</v>
      </c>
      <c r="H142" s="108">
        <v>0</v>
      </c>
    </row>
    <row r="143" spans="1:8" ht="12.2" customHeight="1" x14ac:dyDescent="0.2">
      <c r="D143" s="334" t="s">
        <v>4605</v>
      </c>
      <c r="E143" s="335"/>
      <c r="F143" s="335"/>
      <c r="G143" s="143">
        <v>2.8050000000000002</v>
      </c>
    </row>
    <row r="144" spans="1:8" x14ac:dyDescent="0.2">
      <c r="A144" s="117" t="s">
        <v>62</v>
      </c>
      <c r="B144" s="117"/>
      <c r="C144" s="117" t="s">
        <v>690</v>
      </c>
      <c r="D144" s="304" t="s">
        <v>1202</v>
      </c>
      <c r="E144" s="305"/>
      <c r="F144" s="117" t="s">
        <v>1648</v>
      </c>
      <c r="G144" s="116">
        <v>25.245000000000001</v>
      </c>
      <c r="H144" s="108">
        <v>0</v>
      </c>
    </row>
    <row r="145" spans="1:8" ht="12.2" customHeight="1" x14ac:dyDescent="0.2">
      <c r="D145" s="334" t="s">
        <v>4607</v>
      </c>
      <c r="E145" s="335"/>
      <c r="F145" s="335"/>
      <c r="G145" s="143">
        <v>25.245000000000001</v>
      </c>
    </row>
    <row r="146" spans="1:8" x14ac:dyDescent="0.2">
      <c r="A146" s="117" t="s">
        <v>63</v>
      </c>
      <c r="B146" s="117"/>
      <c r="C146" s="117" t="s">
        <v>691</v>
      </c>
      <c r="D146" s="304" t="s">
        <v>1203</v>
      </c>
      <c r="E146" s="305"/>
      <c r="F146" s="117" t="s">
        <v>1648</v>
      </c>
      <c r="G146" s="116">
        <v>2.8050000000000002</v>
      </c>
      <c r="H146" s="108">
        <v>0</v>
      </c>
    </row>
    <row r="147" spans="1:8" ht="12.2" customHeight="1" x14ac:dyDescent="0.2">
      <c r="D147" s="334" t="s">
        <v>4605</v>
      </c>
      <c r="E147" s="335"/>
      <c r="F147" s="335"/>
      <c r="G147" s="143">
        <v>2.8050000000000002</v>
      </c>
    </row>
    <row r="148" spans="1:8" x14ac:dyDescent="0.2">
      <c r="A148" s="117" t="s">
        <v>64</v>
      </c>
      <c r="B148" s="117"/>
      <c r="C148" s="117" t="s">
        <v>692</v>
      </c>
      <c r="D148" s="304" t="s">
        <v>1204</v>
      </c>
      <c r="E148" s="305"/>
      <c r="F148" s="117" t="s">
        <v>1648</v>
      </c>
      <c r="G148" s="116">
        <v>11.22</v>
      </c>
      <c r="H148" s="108">
        <v>0</v>
      </c>
    </row>
    <row r="149" spans="1:8" ht="12.2" customHeight="1" x14ac:dyDescent="0.2">
      <c r="D149" s="334" t="s">
        <v>4606</v>
      </c>
      <c r="E149" s="335"/>
      <c r="F149" s="335"/>
      <c r="G149" s="143">
        <v>11.22</v>
      </c>
    </row>
    <row r="150" spans="1:8" x14ac:dyDescent="0.2">
      <c r="A150" s="117" t="s">
        <v>65</v>
      </c>
      <c r="B150" s="117"/>
      <c r="C150" s="117" t="s">
        <v>693</v>
      </c>
      <c r="D150" s="304" t="s">
        <v>1205</v>
      </c>
      <c r="E150" s="305"/>
      <c r="F150" s="117" t="s">
        <v>1648</v>
      </c>
      <c r="G150" s="116">
        <v>2.8050000000000002</v>
      </c>
      <c r="H150" s="108">
        <v>0</v>
      </c>
    </row>
    <row r="151" spans="1:8" ht="12.2" customHeight="1" x14ac:dyDescent="0.2">
      <c r="D151" s="334" t="s">
        <v>4605</v>
      </c>
      <c r="E151" s="335"/>
      <c r="F151" s="335"/>
      <c r="G151" s="143">
        <v>2.8050000000000002</v>
      </c>
    </row>
    <row r="152" spans="1:8" x14ac:dyDescent="0.2">
      <c r="A152" s="117" t="s">
        <v>66</v>
      </c>
      <c r="B152" s="117"/>
      <c r="C152" s="117" t="s">
        <v>694</v>
      </c>
      <c r="D152" s="304" t="s">
        <v>1206</v>
      </c>
      <c r="E152" s="305"/>
      <c r="F152" s="117" t="s">
        <v>1648</v>
      </c>
      <c r="G152" s="116">
        <v>2.8050000000000002</v>
      </c>
      <c r="H152" s="108">
        <v>0</v>
      </c>
    </row>
    <row r="153" spans="1:8" ht="12.2" customHeight="1" x14ac:dyDescent="0.2">
      <c r="D153" s="334" t="s">
        <v>4605</v>
      </c>
      <c r="E153" s="335"/>
      <c r="F153" s="335"/>
      <c r="G153" s="143">
        <v>2.8050000000000002</v>
      </c>
    </row>
    <row r="154" spans="1:8" x14ac:dyDescent="0.2">
      <c r="A154" s="117" t="s">
        <v>67</v>
      </c>
      <c r="B154" s="117"/>
      <c r="C154" s="117" t="s">
        <v>696</v>
      </c>
      <c r="D154" s="304" t="s">
        <v>1208</v>
      </c>
      <c r="E154" s="305"/>
      <c r="F154" s="117" t="s">
        <v>1648</v>
      </c>
      <c r="G154" s="116">
        <v>0.28799999999999998</v>
      </c>
      <c r="H154" s="108">
        <v>0</v>
      </c>
    </row>
    <row r="155" spans="1:8" ht="12.2" customHeight="1" x14ac:dyDescent="0.2">
      <c r="D155" s="334" t="s">
        <v>4449</v>
      </c>
      <c r="E155" s="335"/>
      <c r="F155" s="335"/>
      <c r="G155" s="143">
        <v>0.28799999999999998</v>
      </c>
    </row>
    <row r="156" spans="1:8" x14ac:dyDescent="0.2">
      <c r="A156" s="117" t="s">
        <v>68</v>
      </c>
      <c r="B156" s="117"/>
      <c r="C156" s="117" t="s">
        <v>697</v>
      </c>
      <c r="D156" s="304" t="s">
        <v>1209</v>
      </c>
      <c r="E156" s="305"/>
      <c r="F156" s="117" t="s">
        <v>1648</v>
      </c>
      <c r="G156" s="116">
        <v>0.28599999999999998</v>
      </c>
      <c r="H156" s="108">
        <v>0</v>
      </c>
    </row>
    <row r="157" spans="1:8" ht="12.2" customHeight="1" x14ac:dyDescent="0.2">
      <c r="D157" s="334" t="s">
        <v>4448</v>
      </c>
      <c r="E157" s="335"/>
      <c r="F157" s="335"/>
      <c r="G157" s="143">
        <v>0.28599999999999998</v>
      </c>
    </row>
    <row r="158" spans="1:8" x14ac:dyDescent="0.2">
      <c r="A158" s="117" t="s">
        <v>69</v>
      </c>
      <c r="B158" s="117"/>
      <c r="C158" s="117" t="s">
        <v>698</v>
      </c>
      <c r="D158" s="304" t="s">
        <v>1210</v>
      </c>
      <c r="E158" s="305"/>
      <c r="F158" s="117" t="s">
        <v>1648</v>
      </c>
      <c r="G158" s="116">
        <v>1.883</v>
      </c>
      <c r="H158" s="108">
        <v>0</v>
      </c>
    </row>
    <row r="159" spans="1:8" ht="12.2" customHeight="1" x14ac:dyDescent="0.2">
      <c r="D159" s="334" t="s">
        <v>4604</v>
      </c>
      <c r="E159" s="335"/>
      <c r="F159" s="335"/>
      <c r="G159" s="143">
        <v>1.865</v>
      </c>
    </row>
    <row r="160" spans="1:8" ht="12.2" customHeight="1" x14ac:dyDescent="0.2">
      <c r="A160" s="117"/>
      <c r="B160" s="117"/>
      <c r="C160" s="117"/>
      <c r="D160" s="334" t="s">
        <v>4603</v>
      </c>
      <c r="E160" s="335"/>
      <c r="F160" s="334"/>
      <c r="G160" s="144">
        <v>1.7999999999999999E-2</v>
      </c>
      <c r="H160" s="111"/>
    </row>
    <row r="161" spans="1:8" x14ac:dyDescent="0.2">
      <c r="A161" s="117" t="s">
        <v>70</v>
      </c>
      <c r="B161" s="117"/>
      <c r="C161" s="117" t="s">
        <v>700</v>
      </c>
      <c r="D161" s="304" t="s">
        <v>1212</v>
      </c>
      <c r="E161" s="305"/>
      <c r="F161" s="117" t="s">
        <v>1648</v>
      </c>
      <c r="G161" s="116">
        <v>0.34799999999999998</v>
      </c>
      <c r="H161" s="108">
        <v>0</v>
      </c>
    </row>
    <row r="162" spans="1:8" ht="12.2" customHeight="1" x14ac:dyDescent="0.2">
      <c r="D162" s="334" t="s">
        <v>4602</v>
      </c>
      <c r="E162" s="335"/>
      <c r="F162" s="335"/>
      <c r="G162" s="143">
        <v>0.34799999999999998</v>
      </c>
    </row>
    <row r="163" spans="1:8" x14ac:dyDescent="0.2">
      <c r="A163" s="120"/>
      <c r="B163" s="120"/>
      <c r="C163" s="120" t="s">
        <v>703</v>
      </c>
      <c r="D163" s="306" t="s">
        <v>1215</v>
      </c>
      <c r="E163" s="307"/>
      <c r="F163" s="120"/>
      <c r="G163" s="142"/>
      <c r="H163" s="109"/>
    </row>
    <row r="164" spans="1:8" x14ac:dyDescent="0.2">
      <c r="A164" s="117" t="s">
        <v>71</v>
      </c>
      <c r="B164" s="117"/>
      <c r="C164" s="117" t="s">
        <v>704</v>
      </c>
      <c r="D164" s="304" t="s">
        <v>1216</v>
      </c>
      <c r="E164" s="305"/>
      <c r="F164" s="117" t="s">
        <v>1648</v>
      </c>
      <c r="G164" s="116">
        <v>25.027999999999999</v>
      </c>
      <c r="H164" s="108">
        <v>0</v>
      </c>
    </row>
    <row r="165" spans="1:8" ht="12.2" customHeight="1" x14ac:dyDescent="0.2">
      <c r="D165" s="334" t="s">
        <v>4601</v>
      </c>
      <c r="E165" s="335"/>
      <c r="F165" s="335"/>
      <c r="G165" s="143">
        <v>25.027999999999999</v>
      </c>
    </row>
    <row r="166" spans="1:8" x14ac:dyDescent="0.2">
      <c r="A166" s="120"/>
      <c r="B166" s="120"/>
      <c r="C166" s="120" t="s">
        <v>744</v>
      </c>
      <c r="D166" s="306" t="s">
        <v>1256</v>
      </c>
      <c r="E166" s="307"/>
      <c r="F166" s="120"/>
      <c r="G166" s="142"/>
      <c r="H166" s="109"/>
    </row>
    <row r="167" spans="1:8" x14ac:dyDescent="0.2">
      <c r="A167" s="117" t="s">
        <v>72</v>
      </c>
      <c r="B167" s="117"/>
      <c r="C167" s="117" t="s">
        <v>4590</v>
      </c>
      <c r="D167" s="304" t="s">
        <v>1258</v>
      </c>
      <c r="E167" s="305"/>
      <c r="F167" s="117" t="s">
        <v>1646</v>
      </c>
      <c r="G167" s="116">
        <v>4</v>
      </c>
      <c r="H167" s="108">
        <v>0</v>
      </c>
    </row>
    <row r="168" spans="1:8" x14ac:dyDescent="0.2">
      <c r="A168" s="117" t="s">
        <v>73</v>
      </c>
      <c r="B168" s="117"/>
      <c r="C168" s="117" t="s">
        <v>4589</v>
      </c>
      <c r="D168" s="304" t="s">
        <v>2133</v>
      </c>
      <c r="E168" s="305"/>
      <c r="F168" s="117" t="s">
        <v>1646</v>
      </c>
      <c r="G168" s="116">
        <v>1</v>
      </c>
      <c r="H168" s="108">
        <v>0</v>
      </c>
    </row>
    <row r="169" spans="1:8" x14ac:dyDescent="0.2">
      <c r="A169" s="117" t="s">
        <v>74</v>
      </c>
      <c r="B169" s="117"/>
      <c r="C169" s="117" t="s">
        <v>4588</v>
      </c>
      <c r="D169" s="304" t="s">
        <v>1263</v>
      </c>
      <c r="E169" s="305"/>
      <c r="F169" s="117" t="s">
        <v>1644</v>
      </c>
      <c r="G169" s="116">
        <v>4</v>
      </c>
      <c r="H169" s="108">
        <v>0</v>
      </c>
    </row>
    <row r="170" spans="1:8" x14ac:dyDescent="0.2">
      <c r="A170" s="117" t="s">
        <v>75</v>
      </c>
      <c r="B170" s="117"/>
      <c r="C170" s="117" t="s">
        <v>4587</v>
      </c>
      <c r="D170" s="304" t="s">
        <v>1269</v>
      </c>
      <c r="E170" s="305"/>
      <c r="F170" s="117" t="s">
        <v>1644</v>
      </c>
      <c r="G170" s="116">
        <v>1</v>
      </c>
      <c r="H170" s="108">
        <v>0</v>
      </c>
    </row>
    <row r="171" spans="1:8" x14ac:dyDescent="0.2">
      <c r="A171" s="117" t="s">
        <v>76</v>
      </c>
      <c r="B171" s="117"/>
      <c r="C171" s="117" t="s">
        <v>4586</v>
      </c>
      <c r="D171" s="304" t="s">
        <v>1270</v>
      </c>
      <c r="E171" s="305"/>
      <c r="F171" s="117" t="s">
        <v>1644</v>
      </c>
      <c r="G171" s="116">
        <v>1</v>
      </c>
      <c r="H171" s="108">
        <v>0</v>
      </c>
    </row>
    <row r="172" spans="1:8" x14ac:dyDescent="0.2">
      <c r="A172" s="117" t="s">
        <v>77</v>
      </c>
      <c r="B172" s="117"/>
      <c r="C172" s="117" t="s">
        <v>4585</v>
      </c>
      <c r="D172" s="304" t="s">
        <v>1271</v>
      </c>
      <c r="E172" s="305"/>
      <c r="F172" s="117" t="s">
        <v>1644</v>
      </c>
      <c r="G172" s="116">
        <v>1</v>
      </c>
      <c r="H172" s="108">
        <v>0</v>
      </c>
    </row>
    <row r="173" spans="1:8" x14ac:dyDescent="0.2">
      <c r="A173" s="117" t="s">
        <v>78</v>
      </c>
      <c r="B173" s="117"/>
      <c r="C173" s="117" t="s">
        <v>4584</v>
      </c>
      <c r="D173" s="304" t="s">
        <v>1272</v>
      </c>
      <c r="E173" s="305"/>
      <c r="F173" s="117" t="s">
        <v>1644</v>
      </c>
      <c r="G173" s="116">
        <v>1</v>
      </c>
      <c r="H173" s="108">
        <v>0</v>
      </c>
    </row>
    <row r="174" spans="1:8" x14ac:dyDescent="0.2">
      <c r="A174" s="117" t="s">
        <v>79</v>
      </c>
      <c r="B174" s="117"/>
      <c r="C174" s="117" t="s">
        <v>4583</v>
      </c>
      <c r="D174" s="304" t="s">
        <v>1276</v>
      </c>
      <c r="E174" s="305"/>
      <c r="F174" s="117" t="s">
        <v>1644</v>
      </c>
      <c r="G174" s="116">
        <v>1</v>
      </c>
      <c r="H174" s="108">
        <v>0</v>
      </c>
    </row>
    <row r="175" spans="1:8" x14ac:dyDescent="0.2">
      <c r="A175" s="117" t="s">
        <v>80</v>
      </c>
      <c r="B175" s="117"/>
      <c r="C175" s="117" t="s">
        <v>4582</v>
      </c>
      <c r="D175" s="304" t="s">
        <v>1278</v>
      </c>
      <c r="E175" s="305"/>
      <c r="F175" s="117" t="s">
        <v>1644</v>
      </c>
      <c r="G175" s="116">
        <v>2</v>
      </c>
      <c r="H175" s="108">
        <v>0</v>
      </c>
    </row>
    <row r="176" spans="1:8" x14ac:dyDescent="0.2">
      <c r="A176" s="117" t="s">
        <v>81</v>
      </c>
      <c r="B176" s="117"/>
      <c r="C176" s="117" t="s">
        <v>4581</v>
      </c>
      <c r="D176" s="304" t="s">
        <v>2123</v>
      </c>
      <c r="E176" s="305"/>
      <c r="F176" s="117" t="s">
        <v>1644</v>
      </c>
      <c r="G176" s="116">
        <v>1</v>
      </c>
      <c r="H176" s="108">
        <v>0</v>
      </c>
    </row>
    <row r="177" spans="1:8" x14ac:dyDescent="0.2">
      <c r="A177" s="117" t="s">
        <v>82</v>
      </c>
      <c r="B177" s="117"/>
      <c r="C177" s="117" t="s">
        <v>4580</v>
      </c>
      <c r="D177" s="304" t="s">
        <v>1280</v>
      </c>
      <c r="E177" s="305"/>
      <c r="F177" s="117" t="s">
        <v>1646</v>
      </c>
      <c r="G177" s="116">
        <v>8</v>
      </c>
      <c r="H177" s="108">
        <v>0</v>
      </c>
    </row>
    <row r="178" spans="1:8" x14ac:dyDescent="0.2">
      <c r="A178" s="117" t="s">
        <v>83</v>
      </c>
      <c r="B178" s="117"/>
      <c r="C178" s="117" t="s">
        <v>4579</v>
      </c>
      <c r="D178" s="304" t="s">
        <v>1281</v>
      </c>
      <c r="E178" s="305"/>
      <c r="F178" s="117" t="s">
        <v>1646</v>
      </c>
      <c r="G178" s="116">
        <v>4</v>
      </c>
      <c r="H178" s="108">
        <v>0</v>
      </c>
    </row>
    <row r="179" spans="1:8" x14ac:dyDescent="0.2">
      <c r="A179" s="117" t="s">
        <v>84</v>
      </c>
      <c r="B179" s="117"/>
      <c r="C179" s="117" t="s">
        <v>4578</v>
      </c>
      <c r="D179" s="304" t="s">
        <v>1282</v>
      </c>
      <c r="E179" s="305"/>
      <c r="F179" s="117" t="s">
        <v>1644</v>
      </c>
      <c r="G179" s="116">
        <v>1</v>
      </c>
      <c r="H179" s="108">
        <v>0</v>
      </c>
    </row>
    <row r="180" spans="1:8" x14ac:dyDescent="0.2">
      <c r="A180" s="120"/>
      <c r="B180" s="120"/>
      <c r="C180" s="120" t="s">
        <v>771</v>
      </c>
      <c r="D180" s="306" t="s">
        <v>1283</v>
      </c>
      <c r="E180" s="307"/>
      <c r="F180" s="120"/>
      <c r="G180" s="142"/>
      <c r="H180" s="109"/>
    </row>
    <row r="181" spans="1:8" x14ac:dyDescent="0.2">
      <c r="A181" s="117" t="s">
        <v>85</v>
      </c>
      <c r="B181" s="117"/>
      <c r="C181" s="117" t="s">
        <v>4577</v>
      </c>
      <c r="D181" s="304" t="s">
        <v>3625</v>
      </c>
      <c r="E181" s="305"/>
      <c r="F181" s="117" t="s">
        <v>1644</v>
      </c>
      <c r="G181" s="116">
        <v>1</v>
      </c>
      <c r="H181" s="108">
        <v>0</v>
      </c>
    </row>
    <row r="182" spans="1:8" x14ac:dyDescent="0.2">
      <c r="A182" s="117" t="s">
        <v>86</v>
      </c>
      <c r="B182" s="117"/>
      <c r="C182" s="117" t="s">
        <v>4576</v>
      </c>
      <c r="D182" s="304" t="s">
        <v>1311</v>
      </c>
      <c r="E182" s="305"/>
      <c r="F182" s="117" t="s">
        <v>1644</v>
      </c>
      <c r="G182" s="116">
        <v>1</v>
      </c>
      <c r="H182" s="108">
        <v>0</v>
      </c>
    </row>
    <row r="183" spans="1:8" x14ac:dyDescent="0.2">
      <c r="A183" s="117" t="s">
        <v>87</v>
      </c>
      <c r="B183" s="117"/>
      <c r="C183" s="117" t="s">
        <v>4575</v>
      </c>
      <c r="D183" s="304" t="s">
        <v>4380</v>
      </c>
      <c r="E183" s="305"/>
      <c r="F183" s="117" t="s">
        <v>1644</v>
      </c>
      <c r="G183" s="116">
        <v>1</v>
      </c>
      <c r="H183" s="108">
        <v>0</v>
      </c>
    </row>
    <row r="184" spans="1:8" x14ac:dyDescent="0.2">
      <c r="A184" s="117" t="s">
        <v>88</v>
      </c>
      <c r="B184" s="117"/>
      <c r="C184" s="117" t="s">
        <v>4574</v>
      </c>
      <c r="D184" s="304" t="s">
        <v>1320</v>
      </c>
      <c r="E184" s="305"/>
      <c r="F184" s="117" t="s">
        <v>1644</v>
      </c>
      <c r="G184" s="116">
        <v>3</v>
      </c>
      <c r="H184" s="108">
        <v>0</v>
      </c>
    </row>
    <row r="185" spans="1:8" x14ac:dyDescent="0.2">
      <c r="A185" s="117" t="s">
        <v>89</v>
      </c>
      <c r="B185" s="117"/>
      <c r="C185" s="117" t="s">
        <v>4573</v>
      </c>
      <c r="D185" s="304" t="s">
        <v>1321</v>
      </c>
      <c r="E185" s="305"/>
      <c r="F185" s="117" t="s">
        <v>1644</v>
      </c>
      <c r="G185" s="116">
        <v>1</v>
      </c>
      <c r="H185" s="108">
        <v>0</v>
      </c>
    </row>
    <row r="186" spans="1:8" x14ac:dyDescent="0.2">
      <c r="A186" s="117" t="s">
        <v>90</v>
      </c>
      <c r="B186" s="117"/>
      <c r="C186" s="117" t="s">
        <v>4572</v>
      </c>
      <c r="D186" s="304" t="s">
        <v>1323</v>
      </c>
      <c r="E186" s="305"/>
      <c r="F186" s="117" t="s">
        <v>1644</v>
      </c>
      <c r="G186" s="116">
        <v>1</v>
      </c>
      <c r="H186" s="108">
        <v>0</v>
      </c>
    </row>
    <row r="187" spans="1:8" x14ac:dyDescent="0.2">
      <c r="A187" s="117" t="s">
        <v>91</v>
      </c>
      <c r="B187" s="117"/>
      <c r="C187" s="117" t="s">
        <v>4571</v>
      </c>
      <c r="D187" s="304" t="s">
        <v>1297</v>
      </c>
      <c r="E187" s="305"/>
      <c r="F187" s="117" t="s">
        <v>1644</v>
      </c>
      <c r="G187" s="116">
        <v>2</v>
      </c>
      <c r="H187" s="108">
        <v>0</v>
      </c>
    </row>
    <row r="188" spans="1:8" x14ac:dyDescent="0.2">
      <c r="A188" s="117" t="s">
        <v>92</v>
      </c>
      <c r="B188" s="117"/>
      <c r="C188" s="117" t="s">
        <v>4570</v>
      </c>
      <c r="D188" s="304" t="s">
        <v>1327</v>
      </c>
      <c r="E188" s="305"/>
      <c r="F188" s="117" t="s">
        <v>1644</v>
      </c>
      <c r="G188" s="116">
        <v>2</v>
      </c>
      <c r="H188" s="108">
        <v>0</v>
      </c>
    </row>
    <row r="189" spans="1:8" x14ac:dyDescent="0.2">
      <c r="A189" s="117" t="s">
        <v>93</v>
      </c>
      <c r="B189" s="117"/>
      <c r="C189" s="117" t="s">
        <v>4569</v>
      </c>
      <c r="D189" s="304" t="s">
        <v>1294</v>
      </c>
      <c r="E189" s="305"/>
      <c r="F189" s="117" t="s">
        <v>1644</v>
      </c>
      <c r="G189" s="116">
        <v>1</v>
      </c>
      <c r="H189" s="108">
        <v>0</v>
      </c>
    </row>
    <row r="190" spans="1:8" x14ac:dyDescent="0.2">
      <c r="A190" s="117" t="s">
        <v>94</v>
      </c>
      <c r="B190" s="117"/>
      <c r="C190" s="117" t="s">
        <v>4568</v>
      </c>
      <c r="D190" s="304" t="s">
        <v>1295</v>
      </c>
      <c r="E190" s="305"/>
      <c r="F190" s="117" t="s">
        <v>1644</v>
      </c>
      <c r="G190" s="116">
        <v>1</v>
      </c>
      <c r="H190" s="108">
        <v>0</v>
      </c>
    </row>
    <row r="191" spans="1:8" x14ac:dyDescent="0.2">
      <c r="A191" s="117" t="s">
        <v>95</v>
      </c>
      <c r="B191" s="117"/>
      <c r="C191" s="117" t="s">
        <v>4567</v>
      </c>
      <c r="D191" s="304" t="s">
        <v>1328</v>
      </c>
      <c r="E191" s="305"/>
      <c r="F191" s="117" t="s">
        <v>1644</v>
      </c>
      <c r="G191" s="116">
        <v>3</v>
      </c>
      <c r="H191" s="108">
        <v>0</v>
      </c>
    </row>
    <row r="192" spans="1:8" x14ac:dyDescent="0.2">
      <c r="A192" s="117" t="s">
        <v>96</v>
      </c>
      <c r="B192" s="117"/>
      <c r="C192" s="117" t="s">
        <v>4566</v>
      </c>
      <c r="D192" s="304" t="s">
        <v>1330</v>
      </c>
      <c r="E192" s="305"/>
      <c r="F192" s="117" t="s">
        <v>1646</v>
      </c>
      <c r="G192" s="116">
        <v>10</v>
      </c>
      <c r="H192" s="108">
        <v>0</v>
      </c>
    </row>
    <row r="193" spans="1:8" x14ac:dyDescent="0.2">
      <c r="A193" s="117" t="s">
        <v>97</v>
      </c>
      <c r="B193" s="117"/>
      <c r="C193" s="117" t="s">
        <v>4565</v>
      </c>
      <c r="D193" s="304" t="s">
        <v>1331</v>
      </c>
      <c r="E193" s="305"/>
      <c r="F193" s="117" t="s">
        <v>1646</v>
      </c>
      <c r="G193" s="116">
        <v>1</v>
      </c>
      <c r="H193" s="108">
        <v>0</v>
      </c>
    </row>
    <row r="194" spans="1:8" x14ac:dyDescent="0.2">
      <c r="A194" s="117" t="s">
        <v>98</v>
      </c>
      <c r="B194" s="117"/>
      <c r="C194" s="117" t="s">
        <v>4564</v>
      </c>
      <c r="D194" s="304" t="s">
        <v>1332</v>
      </c>
      <c r="E194" s="305"/>
      <c r="F194" s="117" t="s">
        <v>1646</v>
      </c>
      <c r="G194" s="116">
        <v>2</v>
      </c>
      <c r="H194" s="108">
        <v>0</v>
      </c>
    </row>
    <row r="195" spans="1:8" x14ac:dyDescent="0.2">
      <c r="A195" s="117" t="s">
        <v>99</v>
      </c>
      <c r="B195" s="117"/>
      <c r="C195" s="117" t="s">
        <v>4563</v>
      </c>
      <c r="D195" s="304" t="s">
        <v>1333</v>
      </c>
      <c r="E195" s="305"/>
      <c r="F195" s="117" t="s">
        <v>1646</v>
      </c>
      <c r="G195" s="116">
        <v>10</v>
      </c>
      <c r="H195" s="108">
        <v>0</v>
      </c>
    </row>
    <row r="196" spans="1:8" x14ac:dyDescent="0.2">
      <c r="A196" s="117" t="s">
        <v>100</v>
      </c>
      <c r="B196" s="117"/>
      <c r="C196" s="117" t="s">
        <v>4562</v>
      </c>
      <c r="D196" s="304" t="s">
        <v>1335</v>
      </c>
      <c r="E196" s="305"/>
      <c r="F196" s="117" t="s">
        <v>1645</v>
      </c>
      <c r="G196" s="116">
        <v>0.7</v>
      </c>
      <c r="H196" s="108">
        <v>0</v>
      </c>
    </row>
    <row r="197" spans="1:8" x14ac:dyDescent="0.2">
      <c r="A197" s="117" t="s">
        <v>101</v>
      </c>
      <c r="B197" s="117"/>
      <c r="C197" s="117" t="s">
        <v>4561</v>
      </c>
      <c r="D197" s="304" t="s">
        <v>1336</v>
      </c>
      <c r="E197" s="305"/>
      <c r="F197" s="117" t="s">
        <v>1644</v>
      </c>
      <c r="G197" s="116">
        <v>1</v>
      </c>
      <c r="H197" s="108">
        <v>0</v>
      </c>
    </row>
    <row r="198" spans="1:8" x14ac:dyDescent="0.2">
      <c r="A198" s="117" t="s">
        <v>102</v>
      </c>
      <c r="B198" s="117"/>
      <c r="C198" s="117" t="s">
        <v>4560</v>
      </c>
      <c r="D198" s="304" t="s">
        <v>1337</v>
      </c>
      <c r="E198" s="305"/>
      <c r="F198" s="117" t="s">
        <v>1644</v>
      </c>
      <c r="G198" s="116">
        <v>1</v>
      </c>
      <c r="H198" s="108">
        <v>0</v>
      </c>
    </row>
    <row r="199" spans="1:8" x14ac:dyDescent="0.2">
      <c r="A199" s="117" t="s">
        <v>103</v>
      </c>
      <c r="B199" s="117"/>
      <c r="C199" s="117" t="s">
        <v>4559</v>
      </c>
      <c r="D199" s="304" t="s">
        <v>1338</v>
      </c>
      <c r="E199" s="305"/>
      <c r="F199" s="117" t="s">
        <v>1644</v>
      </c>
      <c r="G199" s="116">
        <v>1</v>
      </c>
      <c r="H199" s="108">
        <v>0</v>
      </c>
    </row>
    <row r="200" spans="1:8" x14ac:dyDescent="0.2">
      <c r="A200" s="117" t="s">
        <v>104</v>
      </c>
      <c r="B200" s="117"/>
      <c r="C200" s="117" t="s">
        <v>4558</v>
      </c>
      <c r="D200" s="304" t="s">
        <v>1339</v>
      </c>
      <c r="E200" s="305"/>
      <c r="F200" s="117" t="s">
        <v>1644</v>
      </c>
      <c r="G200" s="116">
        <v>1</v>
      </c>
      <c r="H200" s="108">
        <v>0</v>
      </c>
    </row>
    <row r="201" spans="1:8" x14ac:dyDescent="0.2">
      <c r="A201" s="117" t="s">
        <v>105</v>
      </c>
      <c r="B201" s="117"/>
      <c r="C201" s="117" t="s">
        <v>4557</v>
      </c>
      <c r="D201" s="304" t="s">
        <v>1340</v>
      </c>
      <c r="E201" s="305"/>
      <c r="F201" s="117" t="s">
        <v>1644</v>
      </c>
      <c r="G201" s="116">
        <v>2</v>
      </c>
      <c r="H201" s="108">
        <v>0</v>
      </c>
    </row>
    <row r="202" spans="1:8" x14ac:dyDescent="0.2">
      <c r="A202" s="117" t="s">
        <v>106</v>
      </c>
      <c r="B202" s="117"/>
      <c r="C202" s="117" t="s">
        <v>4556</v>
      </c>
      <c r="D202" s="304" t="s">
        <v>1341</v>
      </c>
      <c r="E202" s="305"/>
      <c r="F202" s="117" t="s">
        <v>1644</v>
      </c>
      <c r="G202" s="116">
        <v>1</v>
      </c>
      <c r="H202" s="108">
        <v>0</v>
      </c>
    </row>
    <row r="203" spans="1:8" x14ac:dyDescent="0.2">
      <c r="A203" s="117" t="s">
        <v>107</v>
      </c>
      <c r="B203" s="117"/>
      <c r="C203" s="117" t="s">
        <v>4555</v>
      </c>
      <c r="D203" s="304" t="s">
        <v>1342</v>
      </c>
      <c r="E203" s="305"/>
      <c r="F203" s="117" t="s">
        <v>1646</v>
      </c>
      <c r="G203" s="116">
        <v>5</v>
      </c>
      <c r="H203" s="108">
        <v>0</v>
      </c>
    </row>
    <row r="204" spans="1:8" x14ac:dyDescent="0.2">
      <c r="A204" s="117" t="s">
        <v>108</v>
      </c>
      <c r="B204" s="117"/>
      <c r="C204" s="117" t="s">
        <v>4554</v>
      </c>
      <c r="D204" s="304" t="s">
        <v>1343</v>
      </c>
      <c r="E204" s="305"/>
      <c r="F204" s="117" t="s">
        <v>1646</v>
      </c>
      <c r="G204" s="116">
        <v>9</v>
      </c>
      <c r="H204" s="108">
        <v>0</v>
      </c>
    </row>
    <row r="205" spans="1:8" x14ac:dyDescent="0.2">
      <c r="A205" s="117" t="s">
        <v>109</v>
      </c>
      <c r="B205" s="117"/>
      <c r="C205" s="117" t="s">
        <v>4553</v>
      </c>
      <c r="D205" s="304" t="s">
        <v>1344</v>
      </c>
      <c r="E205" s="305"/>
      <c r="F205" s="117" t="s">
        <v>1646</v>
      </c>
      <c r="G205" s="116">
        <v>6</v>
      </c>
      <c r="H205" s="108">
        <v>0</v>
      </c>
    </row>
    <row r="206" spans="1:8" x14ac:dyDescent="0.2">
      <c r="A206" s="117" t="s">
        <v>110</v>
      </c>
      <c r="B206" s="117"/>
      <c r="C206" s="117" t="s">
        <v>4552</v>
      </c>
      <c r="D206" s="304" t="s">
        <v>1345</v>
      </c>
      <c r="E206" s="305"/>
      <c r="F206" s="117" t="s">
        <v>1646</v>
      </c>
      <c r="G206" s="116">
        <v>20</v>
      </c>
      <c r="H206" s="108">
        <v>0</v>
      </c>
    </row>
    <row r="207" spans="1:8" x14ac:dyDescent="0.2">
      <c r="A207" s="117" t="s">
        <v>111</v>
      </c>
      <c r="B207" s="117"/>
      <c r="C207" s="117" t="s">
        <v>4551</v>
      </c>
      <c r="D207" s="304" t="s">
        <v>1346</v>
      </c>
      <c r="E207" s="305"/>
      <c r="F207" s="117" t="s">
        <v>1644</v>
      </c>
      <c r="G207" s="116">
        <v>1</v>
      </c>
      <c r="H207" s="108">
        <v>0</v>
      </c>
    </row>
    <row r="208" spans="1:8" x14ac:dyDescent="0.2">
      <c r="A208" s="117" t="s">
        <v>112</v>
      </c>
      <c r="B208" s="117"/>
      <c r="C208" s="117" t="s">
        <v>4550</v>
      </c>
      <c r="D208" s="304" t="s">
        <v>1253</v>
      </c>
      <c r="E208" s="305"/>
      <c r="F208" s="117" t="s">
        <v>1644</v>
      </c>
      <c r="G208" s="116">
        <v>1</v>
      </c>
      <c r="H208" s="108">
        <v>0</v>
      </c>
    </row>
    <row r="209" spans="1:8" x14ac:dyDescent="0.2">
      <c r="A209" s="117" t="s">
        <v>113</v>
      </c>
      <c r="B209" s="117"/>
      <c r="C209" s="117" t="s">
        <v>4549</v>
      </c>
      <c r="D209" s="304" t="s">
        <v>1347</v>
      </c>
      <c r="E209" s="305"/>
      <c r="F209" s="117" t="s">
        <v>1646</v>
      </c>
      <c r="G209" s="116">
        <v>13</v>
      </c>
      <c r="H209" s="108">
        <v>0</v>
      </c>
    </row>
    <row r="210" spans="1:8" x14ac:dyDescent="0.2">
      <c r="A210" s="117" t="s">
        <v>114</v>
      </c>
      <c r="B210" s="117"/>
      <c r="C210" s="117" t="s">
        <v>4548</v>
      </c>
      <c r="D210" s="304" t="s">
        <v>1348</v>
      </c>
      <c r="E210" s="305"/>
      <c r="F210" s="117" t="s">
        <v>1644</v>
      </c>
      <c r="G210" s="116">
        <v>1</v>
      </c>
      <c r="H210" s="108">
        <v>0</v>
      </c>
    </row>
    <row r="211" spans="1:8" x14ac:dyDescent="0.2">
      <c r="A211" s="117" t="s">
        <v>115</v>
      </c>
      <c r="B211" s="117"/>
      <c r="C211" s="117" t="s">
        <v>4547</v>
      </c>
      <c r="D211" s="304" t="s">
        <v>1349</v>
      </c>
      <c r="E211" s="305"/>
      <c r="F211" s="117" t="s">
        <v>1644</v>
      </c>
      <c r="G211" s="116">
        <v>2</v>
      </c>
      <c r="H211" s="108">
        <v>0</v>
      </c>
    </row>
    <row r="212" spans="1:8" x14ac:dyDescent="0.2">
      <c r="A212" s="117" t="s">
        <v>116</v>
      </c>
      <c r="B212" s="117"/>
      <c r="C212" s="117" t="s">
        <v>4546</v>
      </c>
      <c r="D212" s="304" t="s">
        <v>1350</v>
      </c>
      <c r="E212" s="305"/>
      <c r="F212" s="117" t="s">
        <v>1644</v>
      </c>
      <c r="G212" s="116">
        <v>1</v>
      </c>
      <c r="H212" s="108">
        <v>0</v>
      </c>
    </row>
    <row r="213" spans="1:8" x14ac:dyDescent="0.2">
      <c r="A213" s="117" t="s">
        <v>117</v>
      </c>
      <c r="B213" s="117"/>
      <c r="C213" s="117" t="s">
        <v>4545</v>
      </c>
      <c r="D213" s="304" t="s">
        <v>1351</v>
      </c>
      <c r="E213" s="305"/>
      <c r="F213" s="117" t="s">
        <v>1644</v>
      </c>
      <c r="G213" s="116">
        <v>1</v>
      </c>
      <c r="H213" s="108">
        <v>0</v>
      </c>
    </row>
    <row r="214" spans="1:8" x14ac:dyDescent="0.2">
      <c r="A214" s="117" t="s">
        <v>118</v>
      </c>
      <c r="B214" s="117"/>
      <c r="C214" s="117" t="s">
        <v>4544</v>
      </c>
      <c r="D214" s="304" t="s">
        <v>1352</v>
      </c>
      <c r="E214" s="305"/>
      <c r="F214" s="117" t="s">
        <v>1644</v>
      </c>
      <c r="G214" s="116">
        <v>16</v>
      </c>
      <c r="H214" s="108">
        <v>0</v>
      </c>
    </row>
    <row r="215" spans="1:8" x14ac:dyDescent="0.2">
      <c r="A215" s="117" t="s">
        <v>119</v>
      </c>
      <c r="B215" s="117"/>
      <c r="C215" s="117" t="s">
        <v>4543</v>
      </c>
      <c r="D215" s="304" t="s">
        <v>1353</v>
      </c>
      <c r="E215" s="305"/>
      <c r="F215" s="117" t="s">
        <v>1644</v>
      </c>
      <c r="G215" s="116">
        <v>1</v>
      </c>
      <c r="H215" s="108">
        <v>0</v>
      </c>
    </row>
    <row r="216" spans="1:8" x14ac:dyDescent="0.2">
      <c r="A216" s="117" t="s">
        <v>120</v>
      </c>
      <c r="B216" s="117"/>
      <c r="C216" s="117" t="s">
        <v>4542</v>
      </c>
      <c r="D216" s="304" t="s">
        <v>1354</v>
      </c>
      <c r="E216" s="305"/>
      <c r="F216" s="117" t="s">
        <v>1644</v>
      </c>
      <c r="G216" s="116">
        <v>1</v>
      </c>
      <c r="H216" s="108">
        <v>0</v>
      </c>
    </row>
    <row r="217" spans="1:8" x14ac:dyDescent="0.2">
      <c r="A217" s="120"/>
      <c r="B217" s="120"/>
      <c r="C217" s="120" t="s">
        <v>772</v>
      </c>
      <c r="D217" s="306" t="s">
        <v>1355</v>
      </c>
      <c r="E217" s="307"/>
      <c r="F217" s="120"/>
      <c r="G217" s="142"/>
      <c r="H217" s="109"/>
    </row>
    <row r="218" spans="1:8" x14ac:dyDescent="0.2">
      <c r="A218" s="117" t="s">
        <v>121</v>
      </c>
      <c r="B218" s="117"/>
      <c r="C218" s="117" t="s">
        <v>4541</v>
      </c>
      <c r="D218" s="304" t="s">
        <v>4540</v>
      </c>
      <c r="E218" s="305"/>
      <c r="F218" s="117" t="s">
        <v>1644</v>
      </c>
      <c r="G218" s="116">
        <v>1</v>
      </c>
      <c r="H218" s="108">
        <v>0</v>
      </c>
    </row>
    <row r="219" spans="1:8" x14ac:dyDescent="0.2">
      <c r="A219" s="117" t="s">
        <v>122</v>
      </c>
      <c r="B219" s="117"/>
      <c r="C219" s="117" t="s">
        <v>4539</v>
      </c>
      <c r="D219" s="304" t="s">
        <v>4538</v>
      </c>
      <c r="E219" s="305"/>
      <c r="F219" s="117" t="s">
        <v>1644</v>
      </c>
      <c r="G219" s="116">
        <v>1</v>
      </c>
      <c r="H219" s="108">
        <v>0</v>
      </c>
    </row>
    <row r="220" spans="1:8" x14ac:dyDescent="0.2">
      <c r="A220" s="117" t="s">
        <v>123</v>
      </c>
      <c r="B220" s="117"/>
      <c r="C220" s="117" t="s">
        <v>4537</v>
      </c>
      <c r="D220" s="304" t="s">
        <v>1359</v>
      </c>
      <c r="E220" s="305"/>
      <c r="F220" s="117" t="s">
        <v>1644</v>
      </c>
      <c r="G220" s="116">
        <v>1</v>
      </c>
      <c r="H220" s="108">
        <v>0</v>
      </c>
    </row>
    <row r="221" spans="1:8" x14ac:dyDescent="0.2">
      <c r="A221" s="117" t="s">
        <v>124</v>
      </c>
      <c r="B221" s="117"/>
      <c r="C221" s="117" t="s">
        <v>4536</v>
      </c>
      <c r="D221" s="304" t="s">
        <v>1363</v>
      </c>
      <c r="E221" s="305"/>
      <c r="F221" s="117" t="s">
        <v>1644</v>
      </c>
      <c r="G221" s="116">
        <v>1</v>
      </c>
      <c r="H221" s="108">
        <v>0</v>
      </c>
    </row>
    <row r="222" spans="1:8" x14ac:dyDescent="0.2">
      <c r="A222" s="117" t="s">
        <v>125</v>
      </c>
      <c r="B222" s="117"/>
      <c r="C222" s="117" t="s">
        <v>4535</v>
      </c>
      <c r="D222" s="304" t="s">
        <v>1364</v>
      </c>
      <c r="E222" s="305"/>
      <c r="F222" s="117" t="s">
        <v>1644</v>
      </c>
      <c r="G222" s="116">
        <v>1</v>
      </c>
      <c r="H222" s="108">
        <v>0</v>
      </c>
    </row>
    <row r="223" spans="1:8" x14ac:dyDescent="0.2">
      <c r="A223" s="117" t="s">
        <v>126</v>
      </c>
      <c r="B223" s="117"/>
      <c r="C223" s="117" t="s">
        <v>4534</v>
      </c>
      <c r="D223" s="304" t="s">
        <v>1365</v>
      </c>
      <c r="E223" s="305"/>
      <c r="F223" s="117" t="s">
        <v>1644</v>
      </c>
      <c r="G223" s="116">
        <v>1</v>
      </c>
      <c r="H223" s="108">
        <v>0</v>
      </c>
    </row>
    <row r="224" spans="1:8" x14ac:dyDescent="0.2">
      <c r="A224" s="117" t="s">
        <v>127</v>
      </c>
      <c r="B224" s="117"/>
      <c r="C224" s="117" t="s">
        <v>4533</v>
      </c>
      <c r="D224" s="304" t="s">
        <v>1366</v>
      </c>
      <c r="E224" s="305"/>
      <c r="F224" s="117" t="s">
        <v>1644</v>
      </c>
      <c r="G224" s="116">
        <v>1</v>
      </c>
      <c r="H224" s="108">
        <v>0</v>
      </c>
    </row>
    <row r="225" spans="1:8" x14ac:dyDescent="0.2">
      <c r="A225" s="117" t="s">
        <v>128</v>
      </c>
      <c r="B225" s="117"/>
      <c r="C225" s="117" t="s">
        <v>4532</v>
      </c>
      <c r="D225" s="304" t="s">
        <v>1367</v>
      </c>
      <c r="E225" s="305"/>
      <c r="F225" s="117" t="s">
        <v>1644</v>
      </c>
      <c r="G225" s="116">
        <v>1</v>
      </c>
      <c r="H225" s="108">
        <v>0</v>
      </c>
    </row>
    <row r="226" spans="1:8" x14ac:dyDescent="0.2">
      <c r="A226" s="117" t="s">
        <v>129</v>
      </c>
      <c r="B226" s="117"/>
      <c r="C226" s="117" t="s">
        <v>4531</v>
      </c>
      <c r="D226" s="304" t="s">
        <v>1368</v>
      </c>
      <c r="E226" s="305"/>
      <c r="F226" s="117" t="s">
        <v>1644</v>
      </c>
      <c r="G226" s="116">
        <v>2</v>
      </c>
      <c r="H226" s="108">
        <v>0</v>
      </c>
    </row>
    <row r="227" spans="1:8" x14ac:dyDescent="0.2">
      <c r="A227" s="117" t="s">
        <v>130</v>
      </c>
      <c r="B227" s="117"/>
      <c r="C227" s="117" t="s">
        <v>4530</v>
      </c>
      <c r="D227" s="304" t="s">
        <v>1369</v>
      </c>
      <c r="E227" s="305"/>
      <c r="F227" s="117" t="s">
        <v>1644</v>
      </c>
      <c r="G227" s="116">
        <v>2</v>
      </c>
      <c r="H227" s="108">
        <v>0</v>
      </c>
    </row>
    <row r="228" spans="1:8" x14ac:dyDescent="0.2">
      <c r="A228" s="117" t="s">
        <v>131</v>
      </c>
      <c r="B228" s="117"/>
      <c r="C228" s="117" t="s">
        <v>4529</v>
      </c>
      <c r="D228" s="304" t="s">
        <v>1327</v>
      </c>
      <c r="E228" s="305"/>
      <c r="F228" s="117" t="s">
        <v>1644</v>
      </c>
      <c r="G228" s="116">
        <v>1</v>
      </c>
      <c r="H228" s="108">
        <v>0</v>
      </c>
    </row>
    <row r="229" spans="1:8" x14ac:dyDescent="0.2">
      <c r="A229" s="117" t="s">
        <v>132</v>
      </c>
      <c r="B229" s="117"/>
      <c r="C229" s="117" t="s">
        <v>4528</v>
      </c>
      <c r="D229" s="304" t="s">
        <v>1326</v>
      </c>
      <c r="E229" s="305"/>
      <c r="F229" s="117" t="s">
        <v>1644</v>
      </c>
      <c r="G229" s="116">
        <v>1</v>
      </c>
      <c r="H229" s="108">
        <v>0</v>
      </c>
    </row>
    <row r="230" spans="1:8" x14ac:dyDescent="0.2">
      <c r="A230" s="117" t="s">
        <v>133</v>
      </c>
      <c r="B230" s="117"/>
      <c r="C230" s="117" t="s">
        <v>4527</v>
      </c>
      <c r="D230" s="304" t="s">
        <v>1372</v>
      </c>
      <c r="E230" s="305"/>
      <c r="F230" s="117" t="s">
        <v>1646</v>
      </c>
      <c r="G230" s="116">
        <v>17</v>
      </c>
      <c r="H230" s="108">
        <v>0</v>
      </c>
    </row>
    <row r="231" spans="1:8" x14ac:dyDescent="0.2">
      <c r="A231" s="117" t="s">
        <v>134</v>
      </c>
      <c r="B231" s="117"/>
      <c r="C231" s="117" t="s">
        <v>4526</v>
      </c>
      <c r="D231" s="304" t="s">
        <v>1374</v>
      </c>
      <c r="E231" s="305"/>
      <c r="F231" s="117" t="s">
        <v>1646</v>
      </c>
      <c r="G231" s="116">
        <v>10</v>
      </c>
      <c r="H231" s="108">
        <v>0</v>
      </c>
    </row>
    <row r="232" spans="1:8" x14ac:dyDescent="0.2">
      <c r="A232" s="117" t="s">
        <v>135</v>
      </c>
      <c r="B232" s="117"/>
      <c r="C232" s="117" t="s">
        <v>4525</v>
      </c>
      <c r="D232" s="304" t="s">
        <v>1375</v>
      </c>
      <c r="E232" s="305"/>
      <c r="F232" s="117" t="s">
        <v>1646</v>
      </c>
      <c r="G232" s="116">
        <v>10</v>
      </c>
      <c r="H232" s="108">
        <v>0</v>
      </c>
    </row>
    <row r="233" spans="1:8" x14ac:dyDescent="0.2">
      <c r="A233" s="117" t="s">
        <v>136</v>
      </c>
      <c r="B233" s="117"/>
      <c r="C233" s="117" t="s">
        <v>4524</v>
      </c>
      <c r="D233" s="304" t="s">
        <v>1376</v>
      </c>
      <c r="E233" s="305"/>
      <c r="F233" s="117" t="s">
        <v>1646</v>
      </c>
      <c r="G233" s="116">
        <v>10</v>
      </c>
      <c r="H233" s="108">
        <v>0</v>
      </c>
    </row>
    <row r="234" spans="1:8" x14ac:dyDescent="0.2">
      <c r="A234" s="117" t="s">
        <v>137</v>
      </c>
      <c r="B234" s="117"/>
      <c r="C234" s="117" t="s">
        <v>4523</v>
      </c>
      <c r="D234" s="304" t="s">
        <v>1377</v>
      </c>
      <c r="E234" s="305"/>
      <c r="F234" s="117" t="s">
        <v>1646</v>
      </c>
      <c r="G234" s="116">
        <v>27</v>
      </c>
      <c r="H234" s="108">
        <v>0</v>
      </c>
    </row>
    <row r="235" spans="1:8" x14ac:dyDescent="0.2">
      <c r="A235" s="117" t="s">
        <v>138</v>
      </c>
      <c r="B235" s="117"/>
      <c r="C235" s="117" t="s">
        <v>4522</v>
      </c>
      <c r="D235" s="304" t="s">
        <v>1378</v>
      </c>
      <c r="E235" s="305"/>
      <c r="F235" s="117" t="s">
        <v>1646</v>
      </c>
      <c r="G235" s="116">
        <v>10</v>
      </c>
      <c r="H235" s="108">
        <v>0</v>
      </c>
    </row>
    <row r="236" spans="1:8" x14ac:dyDescent="0.2">
      <c r="A236" s="120"/>
      <c r="B236" s="120"/>
      <c r="C236" s="120" t="s">
        <v>798</v>
      </c>
      <c r="D236" s="306" t="s">
        <v>1379</v>
      </c>
      <c r="E236" s="307"/>
      <c r="F236" s="120"/>
      <c r="G236" s="142"/>
      <c r="H236" s="109"/>
    </row>
    <row r="237" spans="1:8" x14ac:dyDescent="0.2">
      <c r="A237" s="117" t="s">
        <v>139</v>
      </c>
      <c r="B237" s="117"/>
      <c r="C237" s="117" t="s">
        <v>4521</v>
      </c>
      <c r="D237" s="304" t="s">
        <v>1380</v>
      </c>
      <c r="E237" s="305"/>
      <c r="F237" s="117" t="s">
        <v>1646</v>
      </c>
      <c r="G237" s="116">
        <v>2</v>
      </c>
      <c r="H237" s="108">
        <v>0</v>
      </c>
    </row>
    <row r="238" spans="1:8" x14ac:dyDescent="0.2">
      <c r="A238" s="117" t="s">
        <v>140</v>
      </c>
      <c r="B238" s="117"/>
      <c r="C238" s="117" t="s">
        <v>4520</v>
      </c>
      <c r="D238" s="304" t="s">
        <v>1381</v>
      </c>
      <c r="E238" s="305"/>
      <c r="F238" s="117" t="s">
        <v>1644</v>
      </c>
      <c r="G238" s="116">
        <v>1</v>
      </c>
      <c r="H238" s="108">
        <v>0</v>
      </c>
    </row>
    <row r="239" spans="1:8" x14ac:dyDescent="0.2">
      <c r="A239" s="117" t="s">
        <v>141</v>
      </c>
      <c r="B239" s="117"/>
      <c r="C239" s="117" t="s">
        <v>4519</v>
      </c>
      <c r="D239" s="304" t="s">
        <v>1382</v>
      </c>
      <c r="E239" s="305"/>
      <c r="F239" s="117" t="s">
        <v>1644</v>
      </c>
      <c r="G239" s="116">
        <v>2</v>
      </c>
      <c r="H239" s="108">
        <v>0</v>
      </c>
    </row>
    <row r="240" spans="1:8" x14ac:dyDescent="0.2">
      <c r="A240" s="117" t="s">
        <v>142</v>
      </c>
      <c r="B240" s="117"/>
      <c r="C240" s="117" t="s">
        <v>4518</v>
      </c>
      <c r="D240" s="304" t="s">
        <v>1383</v>
      </c>
      <c r="E240" s="305"/>
      <c r="F240" s="117" t="s">
        <v>1644</v>
      </c>
      <c r="G240" s="116">
        <v>1</v>
      </c>
      <c r="H240" s="108">
        <v>0</v>
      </c>
    </row>
    <row r="241" spans="1:8" x14ac:dyDescent="0.2">
      <c r="A241" s="117" t="s">
        <v>143</v>
      </c>
      <c r="B241" s="117"/>
      <c r="C241" s="117" t="s">
        <v>4517</v>
      </c>
      <c r="D241" s="304" t="s">
        <v>1384</v>
      </c>
      <c r="E241" s="305"/>
      <c r="F241" s="117" t="s">
        <v>1644</v>
      </c>
      <c r="G241" s="116">
        <v>1</v>
      </c>
      <c r="H241" s="108">
        <v>0</v>
      </c>
    </row>
    <row r="242" spans="1:8" x14ac:dyDescent="0.2">
      <c r="A242" s="117" t="s">
        <v>144</v>
      </c>
      <c r="B242" s="117"/>
      <c r="C242" s="117" t="s">
        <v>4516</v>
      </c>
      <c r="D242" s="304" t="s">
        <v>1385</v>
      </c>
      <c r="E242" s="305"/>
      <c r="F242" s="117" t="s">
        <v>1646</v>
      </c>
      <c r="G242" s="116">
        <v>9</v>
      </c>
      <c r="H242" s="108">
        <v>0</v>
      </c>
    </row>
    <row r="243" spans="1:8" x14ac:dyDescent="0.2">
      <c r="A243" s="117" t="s">
        <v>145</v>
      </c>
      <c r="B243" s="117"/>
      <c r="C243" s="117" t="s">
        <v>4515</v>
      </c>
      <c r="D243" s="304" t="s">
        <v>1386</v>
      </c>
      <c r="E243" s="305"/>
      <c r="F243" s="117" t="s">
        <v>1644</v>
      </c>
      <c r="G243" s="116">
        <v>1</v>
      </c>
      <c r="H243" s="108">
        <v>0</v>
      </c>
    </row>
    <row r="244" spans="1:8" x14ac:dyDescent="0.2">
      <c r="A244" s="117" t="s">
        <v>146</v>
      </c>
      <c r="B244" s="117"/>
      <c r="C244" s="117" t="s">
        <v>4514</v>
      </c>
      <c r="D244" s="304" t="s">
        <v>1387</v>
      </c>
      <c r="E244" s="305"/>
      <c r="F244" s="117" t="s">
        <v>1644</v>
      </c>
      <c r="G244" s="116">
        <v>1</v>
      </c>
      <c r="H244" s="108">
        <v>0</v>
      </c>
    </row>
    <row r="245" spans="1:8" x14ac:dyDescent="0.2">
      <c r="A245" s="117" t="s">
        <v>147</v>
      </c>
      <c r="B245" s="117"/>
      <c r="C245" s="117" t="s">
        <v>4513</v>
      </c>
      <c r="D245" s="304" t="s">
        <v>1388</v>
      </c>
      <c r="E245" s="305"/>
      <c r="F245" s="117" t="s">
        <v>1644</v>
      </c>
      <c r="G245" s="116">
        <v>1</v>
      </c>
      <c r="H245" s="108">
        <v>0</v>
      </c>
    </row>
    <row r="246" spans="1:8" x14ac:dyDescent="0.2">
      <c r="A246" s="117" t="s">
        <v>148</v>
      </c>
      <c r="B246" s="117"/>
      <c r="C246" s="117" t="s">
        <v>4512</v>
      </c>
      <c r="D246" s="304" t="s">
        <v>1389</v>
      </c>
      <c r="E246" s="305"/>
      <c r="F246" s="117" t="s">
        <v>1644</v>
      </c>
      <c r="G246" s="116">
        <v>1</v>
      </c>
      <c r="H246" s="108">
        <v>0</v>
      </c>
    </row>
    <row r="247" spans="1:8" x14ac:dyDescent="0.2">
      <c r="A247" s="117" t="s">
        <v>149</v>
      </c>
      <c r="B247" s="117"/>
      <c r="C247" s="117" t="s">
        <v>4511</v>
      </c>
      <c r="D247" s="304" t="s">
        <v>1380</v>
      </c>
      <c r="E247" s="305"/>
      <c r="F247" s="117" t="s">
        <v>1646</v>
      </c>
      <c r="G247" s="116">
        <v>3</v>
      </c>
      <c r="H247" s="108">
        <v>0</v>
      </c>
    </row>
    <row r="248" spans="1:8" x14ac:dyDescent="0.2">
      <c r="A248" s="117" t="s">
        <v>150</v>
      </c>
      <c r="B248" s="117"/>
      <c r="C248" s="117" t="s">
        <v>4510</v>
      </c>
      <c r="D248" s="304" t="s">
        <v>1382</v>
      </c>
      <c r="E248" s="305"/>
      <c r="F248" s="117" t="s">
        <v>1644</v>
      </c>
      <c r="G248" s="116">
        <v>2</v>
      </c>
      <c r="H248" s="108">
        <v>0</v>
      </c>
    </row>
    <row r="249" spans="1:8" x14ac:dyDescent="0.2">
      <c r="A249" s="117" t="s">
        <v>151</v>
      </c>
      <c r="B249" s="117"/>
      <c r="C249" s="117" t="s">
        <v>4509</v>
      </c>
      <c r="D249" s="304" t="s">
        <v>1383</v>
      </c>
      <c r="E249" s="305"/>
      <c r="F249" s="117" t="s">
        <v>1644</v>
      </c>
      <c r="G249" s="116">
        <v>1</v>
      </c>
      <c r="H249" s="108">
        <v>0</v>
      </c>
    </row>
    <row r="250" spans="1:8" x14ac:dyDescent="0.2">
      <c r="A250" s="117" t="s">
        <v>152</v>
      </c>
      <c r="B250" s="117"/>
      <c r="C250" s="117" t="s">
        <v>4508</v>
      </c>
      <c r="D250" s="304" t="s">
        <v>4317</v>
      </c>
      <c r="E250" s="305"/>
      <c r="F250" s="117" t="s">
        <v>1644</v>
      </c>
      <c r="G250" s="116">
        <v>1</v>
      </c>
      <c r="H250" s="108">
        <v>0</v>
      </c>
    </row>
    <row r="251" spans="1:8" x14ac:dyDescent="0.2">
      <c r="A251" s="117" t="s">
        <v>153</v>
      </c>
      <c r="B251" s="117"/>
      <c r="C251" s="117" t="s">
        <v>4507</v>
      </c>
      <c r="D251" s="304" t="s">
        <v>1384</v>
      </c>
      <c r="E251" s="305"/>
      <c r="F251" s="117" t="s">
        <v>1644</v>
      </c>
      <c r="G251" s="116">
        <v>1</v>
      </c>
      <c r="H251" s="108">
        <v>0</v>
      </c>
    </row>
    <row r="252" spans="1:8" x14ac:dyDescent="0.2">
      <c r="A252" s="117" t="s">
        <v>154</v>
      </c>
      <c r="B252" s="117"/>
      <c r="C252" s="117" t="s">
        <v>4506</v>
      </c>
      <c r="D252" s="304" t="s">
        <v>1385</v>
      </c>
      <c r="E252" s="305"/>
      <c r="F252" s="117" t="s">
        <v>1646</v>
      </c>
      <c r="G252" s="116">
        <v>9</v>
      </c>
      <c r="H252" s="108">
        <v>0</v>
      </c>
    </row>
    <row r="253" spans="1:8" x14ac:dyDescent="0.2">
      <c r="A253" s="117" t="s">
        <v>155</v>
      </c>
      <c r="B253" s="117"/>
      <c r="C253" s="117" t="s">
        <v>4505</v>
      </c>
      <c r="D253" s="304" t="s">
        <v>1386</v>
      </c>
      <c r="E253" s="305"/>
      <c r="F253" s="117" t="s">
        <v>1644</v>
      </c>
      <c r="G253" s="116">
        <v>1</v>
      </c>
      <c r="H253" s="108">
        <v>0</v>
      </c>
    </row>
    <row r="254" spans="1:8" x14ac:dyDescent="0.2">
      <c r="A254" s="117" t="s">
        <v>156</v>
      </c>
      <c r="B254" s="117"/>
      <c r="C254" s="117" t="s">
        <v>4504</v>
      </c>
      <c r="D254" s="304" t="s">
        <v>1387</v>
      </c>
      <c r="E254" s="305"/>
      <c r="F254" s="117" t="s">
        <v>1644</v>
      </c>
      <c r="G254" s="116">
        <v>1</v>
      </c>
      <c r="H254" s="108">
        <v>0</v>
      </c>
    </row>
    <row r="255" spans="1:8" x14ac:dyDescent="0.2">
      <c r="A255" s="117" t="s">
        <v>157</v>
      </c>
      <c r="B255" s="117"/>
      <c r="C255" s="117" t="s">
        <v>4503</v>
      </c>
      <c r="D255" s="304" t="s">
        <v>1388</v>
      </c>
      <c r="E255" s="305"/>
      <c r="F255" s="117" t="s">
        <v>1644</v>
      </c>
      <c r="G255" s="116">
        <v>1</v>
      </c>
      <c r="H255" s="108">
        <v>0</v>
      </c>
    </row>
    <row r="256" spans="1:8" x14ac:dyDescent="0.2">
      <c r="A256" s="117" t="s">
        <v>158</v>
      </c>
      <c r="B256" s="117"/>
      <c r="C256" s="117" t="s">
        <v>4502</v>
      </c>
      <c r="D256" s="304" t="s">
        <v>1389</v>
      </c>
      <c r="E256" s="305"/>
      <c r="F256" s="117" t="s">
        <v>1644</v>
      </c>
      <c r="G256" s="116">
        <v>1</v>
      </c>
      <c r="H256" s="108">
        <v>0</v>
      </c>
    </row>
    <row r="257" spans="1:8" x14ac:dyDescent="0.2">
      <c r="A257" s="117" t="s">
        <v>159</v>
      </c>
      <c r="B257" s="117"/>
      <c r="C257" s="117" t="s">
        <v>4501</v>
      </c>
      <c r="D257" s="304" t="s">
        <v>1392</v>
      </c>
      <c r="E257" s="305"/>
      <c r="F257" s="117" t="s">
        <v>1644</v>
      </c>
      <c r="G257" s="116">
        <v>1</v>
      </c>
      <c r="H257" s="108">
        <v>0</v>
      </c>
    </row>
    <row r="258" spans="1:8" x14ac:dyDescent="0.2">
      <c r="A258" s="117" t="s">
        <v>160</v>
      </c>
      <c r="B258" s="117"/>
      <c r="C258" s="117" t="s">
        <v>4500</v>
      </c>
      <c r="D258" s="304" t="s">
        <v>1393</v>
      </c>
      <c r="E258" s="305"/>
      <c r="F258" s="117" t="s">
        <v>1644</v>
      </c>
      <c r="G258" s="116">
        <v>1</v>
      </c>
      <c r="H258" s="108">
        <v>0</v>
      </c>
    </row>
    <row r="259" spans="1:8" x14ac:dyDescent="0.2">
      <c r="A259" s="117" t="s">
        <v>161</v>
      </c>
      <c r="B259" s="117"/>
      <c r="C259" s="117" t="s">
        <v>4499</v>
      </c>
      <c r="D259" s="304" t="s">
        <v>1394</v>
      </c>
      <c r="E259" s="305"/>
      <c r="F259" s="117" t="s">
        <v>1644</v>
      </c>
      <c r="G259" s="116">
        <v>1</v>
      </c>
      <c r="H259" s="108">
        <v>0</v>
      </c>
    </row>
    <row r="260" spans="1:8" x14ac:dyDescent="0.2">
      <c r="A260" s="120"/>
      <c r="B260" s="120"/>
      <c r="C260" s="120" t="s">
        <v>907</v>
      </c>
      <c r="D260" s="306" t="s">
        <v>1496</v>
      </c>
      <c r="E260" s="307"/>
      <c r="F260" s="120"/>
      <c r="G260" s="142"/>
      <c r="H260" s="109"/>
    </row>
    <row r="261" spans="1:8" x14ac:dyDescent="0.2">
      <c r="A261" s="117" t="s">
        <v>162</v>
      </c>
      <c r="B261" s="117"/>
      <c r="C261" s="117" t="s">
        <v>909</v>
      </c>
      <c r="D261" s="304" t="s">
        <v>4307</v>
      </c>
      <c r="E261" s="305"/>
      <c r="F261" s="117" t="s">
        <v>1644</v>
      </c>
      <c r="G261" s="116">
        <v>1</v>
      </c>
      <c r="H261" s="108">
        <v>0</v>
      </c>
    </row>
    <row r="262" spans="1:8" ht="12.2" customHeight="1" x14ac:dyDescent="0.2">
      <c r="D262" s="334" t="s">
        <v>1749</v>
      </c>
      <c r="E262" s="335"/>
      <c r="F262" s="335"/>
      <c r="G262" s="143">
        <v>1</v>
      </c>
    </row>
    <row r="263" spans="1:8" x14ac:dyDescent="0.2">
      <c r="A263" s="117" t="s">
        <v>163</v>
      </c>
      <c r="B263" s="117"/>
      <c r="C263" s="117" t="s">
        <v>921</v>
      </c>
      <c r="D263" s="304" t="s">
        <v>1510</v>
      </c>
      <c r="E263" s="305"/>
      <c r="F263" s="117" t="s">
        <v>1648</v>
      </c>
      <c r="G263" s="116">
        <v>1E-3</v>
      </c>
      <c r="H263" s="108">
        <v>0</v>
      </c>
    </row>
    <row r="264" spans="1:8" ht="12.2" customHeight="1" x14ac:dyDescent="0.2">
      <c r="D264" s="334" t="s">
        <v>4443</v>
      </c>
      <c r="E264" s="335"/>
      <c r="F264" s="335"/>
      <c r="G264" s="143">
        <v>1E-3</v>
      </c>
    </row>
    <row r="265" spans="1:8" x14ac:dyDescent="0.2">
      <c r="A265" s="120"/>
      <c r="B265" s="120"/>
      <c r="C265" s="120" t="s">
        <v>922</v>
      </c>
      <c r="D265" s="306" t="s">
        <v>1511</v>
      </c>
      <c r="E265" s="307"/>
      <c r="F265" s="120"/>
      <c r="G265" s="142"/>
      <c r="H265" s="109"/>
    </row>
    <row r="266" spans="1:8" x14ac:dyDescent="0.2">
      <c r="A266" s="117" t="s">
        <v>164</v>
      </c>
      <c r="B266" s="117"/>
      <c r="C266" s="117" t="s">
        <v>4306</v>
      </c>
      <c r="D266" s="304" t="s">
        <v>4305</v>
      </c>
      <c r="E266" s="305"/>
      <c r="F266" s="117" t="s">
        <v>1645</v>
      </c>
      <c r="G266" s="116">
        <v>17.100000000000001</v>
      </c>
      <c r="H266" s="108">
        <v>0</v>
      </c>
    </row>
    <row r="267" spans="1:8" ht="12.2" customHeight="1" x14ac:dyDescent="0.2">
      <c r="D267" s="334" t="s">
        <v>4595</v>
      </c>
      <c r="E267" s="335"/>
      <c r="F267" s="335"/>
      <c r="G267" s="143">
        <v>17.100000000000001</v>
      </c>
    </row>
    <row r="268" spans="1:8" x14ac:dyDescent="0.2">
      <c r="A268" s="117" t="s">
        <v>165</v>
      </c>
      <c r="B268" s="117"/>
      <c r="C268" s="117" t="s">
        <v>924</v>
      </c>
      <c r="D268" s="304" t="s">
        <v>1513</v>
      </c>
      <c r="E268" s="305"/>
      <c r="F268" s="117" t="s">
        <v>1645</v>
      </c>
      <c r="G268" s="116">
        <v>17.100000000000001</v>
      </c>
      <c r="H268" s="108">
        <v>0</v>
      </c>
    </row>
    <row r="269" spans="1:8" ht="12.2" customHeight="1" x14ac:dyDescent="0.2">
      <c r="D269" s="334" t="s">
        <v>4595</v>
      </c>
      <c r="E269" s="335"/>
      <c r="F269" s="335"/>
      <c r="G269" s="143">
        <v>17.100000000000001</v>
      </c>
    </row>
    <row r="270" spans="1:8" x14ac:dyDescent="0.2">
      <c r="A270" s="117" t="s">
        <v>166</v>
      </c>
      <c r="B270" s="117"/>
      <c r="C270" s="117" t="s">
        <v>925</v>
      </c>
      <c r="D270" s="304" t="s">
        <v>1514</v>
      </c>
      <c r="E270" s="305"/>
      <c r="F270" s="117" t="s">
        <v>1645</v>
      </c>
      <c r="G270" s="116">
        <v>17.100000000000001</v>
      </c>
      <c r="H270" s="108">
        <v>0</v>
      </c>
    </row>
    <row r="271" spans="1:8" ht="12.2" customHeight="1" x14ac:dyDescent="0.2">
      <c r="D271" s="334" t="s">
        <v>4595</v>
      </c>
      <c r="E271" s="335"/>
      <c r="F271" s="335"/>
      <c r="G271" s="143">
        <v>17.100000000000001</v>
      </c>
    </row>
    <row r="272" spans="1:8" x14ac:dyDescent="0.2">
      <c r="A272" s="124" t="s">
        <v>167</v>
      </c>
      <c r="B272" s="124"/>
      <c r="C272" s="124" t="s">
        <v>926</v>
      </c>
      <c r="D272" s="311" t="s">
        <v>1515</v>
      </c>
      <c r="E272" s="312"/>
      <c r="F272" s="124" t="s">
        <v>1645</v>
      </c>
      <c r="G272" s="123">
        <v>17.954999999999998</v>
      </c>
      <c r="H272" s="121">
        <v>0</v>
      </c>
    </row>
    <row r="273" spans="1:8" ht="12.2" customHeight="1" x14ac:dyDescent="0.2">
      <c r="D273" s="336" t="s">
        <v>4595</v>
      </c>
      <c r="E273" s="337"/>
      <c r="F273" s="337"/>
      <c r="G273" s="146">
        <v>17.100000000000001</v>
      </c>
    </row>
    <row r="274" spans="1:8" ht="12.2" customHeight="1" x14ac:dyDescent="0.2">
      <c r="A274" s="124"/>
      <c r="B274" s="124"/>
      <c r="C274" s="124"/>
      <c r="D274" s="336" t="s">
        <v>4600</v>
      </c>
      <c r="E274" s="337"/>
      <c r="F274" s="336"/>
      <c r="G274" s="145">
        <v>0.85499999999999998</v>
      </c>
      <c r="H274" s="122"/>
    </row>
    <row r="275" spans="1:8" x14ac:dyDescent="0.2">
      <c r="A275" s="117" t="s">
        <v>168</v>
      </c>
      <c r="B275" s="117"/>
      <c r="C275" s="117" t="s">
        <v>927</v>
      </c>
      <c r="D275" s="304" t="s">
        <v>1516</v>
      </c>
      <c r="E275" s="305"/>
      <c r="F275" s="117" t="s">
        <v>1646</v>
      </c>
      <c r="G275" s="116">
        <v>15.7</v>
      </c>
      <c r="H275" s="108">
        <v>0</v>
      </c>
    </row>
    <row r="276" spans="1:8" ht="12.2" customHeight="1" x14ac:dyDescent="0.2">
      <c r="D276" s="334" t="s">
        <v>4599</v>
      </c>
      <c r="E276" s="335"/>
      <c r="F276" s="335"/>
      <c r="G276" s="143">
        <v>15.7</v>
      </c>
    </row>
    <row r="277" spans="1:8" x14ac:dyDescent="0.2">
      <c r="A277" s="124" t="s">
        <v>169</v>
      </c>
      <c r="B277" s="124"/>
      <c r="C277" s="124" t="s">
        <v>928</v>
      </c>
      <c r="D277" s="311" t="s">
        <v>1517</v>
      </c>
      <c r="E277" s="312"/>
      <c r="F277" s="124" t="s">
        <v>1645</v>
      </c>
      <c r="G277" s="123">
        <v>1.9630000000000001</v>
      </c>
      <c r="H277" s="121">
        <v>0</v>
      </c>
    </row>
    <row r="278" spans="1:8" ht="12.2" customHeight="1" x14ac:dyDescent="0.2">
      <c r="D278" s="336" t="s">
        <v>4598</v>
      </c>
      <c r="E278" s="337"/>
      <c r="F278" s="337"/>
      <c r="G278" s="146">
        <v>1.57</v>
      </c>
    </row>
    <row r="279" spans="1:8" ht="12.2" customHeight="1" x14ac:dyDescent="0.2">
      <c r="A279" s="124"/>
      <c r="B279" s="124"/>
      <c r="C279" s="124"/>
      <c r="D279" s="336" t="s">
        <v>4597</v>
      </c>
      <c r="E279" s="337"/>
      <c r="F279" s="336"/>
      <c r="G279" s="145">
        <v>0.39300000000000002</v>
      </c>
      <c r="H279" s="122"/>
    </row>
    <row r="280" spans="1:8" x14ac:dyDescent="0.2">
      <c r="A280" s="117" t="s">
        <v>170</v>
      </c>
      <c r="B280" s="117"/>
      <c r="C280" s="117" t="s">
        <v>929</v>
      </c>
      <c r="D280" s="304" t="s">
        <v>1518</v>
      </c>
      <c r="E280" s="305"/>
      <c r="F280" s="117" t="s">
        <v>1648</v>
      </c>
      <c r="G280" s="116">
        <v>0.45200000000000001</v>
      </c>
      <c r="H280" s="108">
        <v>0</v>
      </c>
    </row>
    <row r="281" spans="1:8" ht="12.2" customHeight="1" x14ac:dyDescent="0.2">
      <c r="D281" s="334" t="s">
        <v>4596</v>
      </c>
      <c r="E281" s="335"/>
      <c r="F281" s="335"/>
      <c r="G281" s="143">
        <v>0.45200000000000001</v>
      </c>
    </row>
    <row r="282" spans="1:8" x14ac:dyDescent="0.2">
      <c r="A282" s="120"/>
      <c r="B282" s="120"/>
      <c r="C282" s="120" t="s">
        <v>930</v>
      </c>
      <c r="D282" s="306" t="s">
        <v>1519</v>
      </c>
      <c r="E282" s="307"/>
      <c r="F282" s="120"/>
      <c r="G282" s="142"/>
      <c r="H282" s="109"/>
    </row>
    <row r="283" spans="1:8" x14ac:dyDescent="0.2">
      <c r="A283" s="117" t="s">
        <v>171</v>
      </c>
      <c r="B283" s="117"/>
      <c r="C283" s="117" t="s">
        <v>931</v>
      </c>
      <c r="D283" s="304" t="s">
        <v>4304</v>
      </c>
      <c r="E283" s="305"/>
      <c r="F283" s="117" t="s">
        <v>1645</v>
      </c>
      <c r="G283" s="116">
        <v>53.353000000000002</v>
      </c>
      <c r="H283" s="108">
        <v>0</v>
      </c>
    </row>
    <row r="284" spans="1:8" ht="12.2" customHeight="1" x14ac:dyDescent="0.2">
      <c r="D284" s="334" t="s">
        <v>4594</v>
      </c>
      <c r="E284" s="335"/>
      <c r="F284" s="335"/>
      <c r="G284" s="143">
        <v>53.353000000000002</v>
      </c>
    </row>
    <row r="285" spans="1:8" x14ac:dyDescent="0.2">
      <c r="A285" s="117" t="s">
        <v>172</v>
      </c>
      <c r="B285" s="117"/>
      <c r="C285" s="117" t="s">
        <v>932</v>
      </c>
      <c r="D285" s="304" t="s">
        <v>4303</v>
      </c>
      <c r="E285" s="305"/>
      <c r="F285" s="117" t="s">
        <v>1645</v>
      </c>
      <c r="G285" s="116">
        <v>17.100000000000001</v>
      </c>
      <c r="H285" s="108">
        <v>0</v>
      </c>
    </row>
    <row r="286" spans="1:8" ht="12.2" customHeight="1" x14ac:dyDescent="0.2">
      <c r="D286" s="334" t="s">
        <v>4595</v>
      </c>
      <c r="E286" s="335"/>
      <c r="F286" s="335"/>
      <c r="G286" s="143">
        <v>17.100000000000001</v>
      </c>
    </row>
    <row r="287" spans="1:8" x14ac:dyDescent="0.2">
      <c r="A287" s="117" t="s">
        <v>173</v>
      </c>
      <c r="B287" s="117"/>
      <c r="C287" s="117" t="s">
        <v>933</v>
      </c>
      <c r="D287" s="304" t="s">
        <v>4302</v>
      </c>
      <c r="E287" s="305"/>
      <c r="F287" s="117" t="s">
        <v>1645</v>
      </c>
      <c r="G287" s="116">
        <v>53.353000000000002</v>
      </c>
      <c r="H287" s="108">
        <v>0</v>
      </c>
    </row>
    <row r="288" spans="1:8" ht="12.2" customHeight="1" x14ac:dyDescent="0.2">
      <c r="D288" s="334" t="s">
        <v>4594</v>
      </c>
      <c r="E288" s="335"/>
      <c r="F288" s="335"/>
      <c r="G288" s="143">
        <v>53.353000000000002</v>
      </c>
    </row>
    <row r="289" spans="1:8" x14ac:dyDescent="0.2">
      <c r="A289" s="117" t="s">
        <v>174</v>
      </c>
      <c r="B289" s="117"/>
      <c r="C289" s="117" t="s">
        <v>935</v>
      </c>
      <c r="D289" s="304" t="s">
        <v>4301</v>
      </c>
      <c r="E289" s="305"/>
      <c r="F289" s="117" t="s">
        <v>1645</v>
      </c>
      <c r="G289" s="116">
        <v>53.353000000000002</v>
      </c>
      <c r="H289" s="108">
        <v>0</v>
      </c>
    </row>
    <row r="290" spans="1:8" ht="12.2" customHeight="1" x14ac:dyDescent="0.2">
      <c r="D290" s="334" t="s">
        <v>4594</v>
      </c>
      <c r="E290" s="335"/>
      <c r="F290" s="335"/>
      <c r="G290" s="143">
        <v>53.353000000000002</v>
      </c>
    </row>
    <row r="291" spans="1:8" x14ac:dyDescent="0.2">
      <c r="A291" s="120"/>
      <c r="B291" s="120"/>
      <c r="C291" s="120" t="s">
        <v>936</v>
      </c>
      <c r="D291" s="306" t="s">
        <v>1525</v>
      </c>
      <c r="E291" s="307"/>
      <c r="F291" s="120"/>
      <c r="G291" s="142"/>
      <c r="H291" s="109"/>
    </row>
    <row r="292" spans="1:8" x14ac:dyDescent="0.2">
      <c r="A292" s="117" t="s">
        <v>175</v>
      </c>
      <c r="B292" s="117"/>
      <c r="C292" s="117" t="s">
        <v>4498</v>
      </c>
      <c r="D292" s="304" t="s">
        <v>1531</v>
      </c>
      <c r="E292" s="305"/>
      <c r="F292" s="117" t="s">
        <v>1644</v>
      </c>
      <c r="G292" s="116">
        <v>1</v>
      </c>
      <c r="H292" s="108">
        <v>0</v>
      </c>
    </row>
    <row r="293" spans="1:8" x14ac:dyDescent="0.2">
      <c r="A293" s="117" t="s">
        <v>176</v>
      </c>
      <c r="B293" s="117"/>
      <c r="C293" s="117" t="s">
        <v>4497</v>
      </c>
      <c r="D293" s="304" t="s">
        <v>1532</v>
      </c>
      <c r="E293" s="305"/>
      <c r="F293" s="117" t="s">
        <v>1646</v>
      </c>
      <c r="G293" s="116">
        <v>40</v>
      </c>
      <c r="H293" s="108">
        <v>0</v>
      </c>
    </row>
    <row r="294" spans="1:8" x14ac:dyDescent="0.2">
      <c r="A294" s="117" t="s">
        <v>177</v>
      </c>
      <c r="B294" s="117"/>
      <c r="C294" s="117" t="s">
        <v>4496</v>
      </c>
      <c r="D294" s="304" t="s">
        <v>1533</v>
      </c>
      <c r="E294" s="305"/>
      <c r="F294" s="117" t="s">
        <v>1646</v>
      </c>
      <c r="G294" s="116">
        <v>10</v>
      </c>
      <c r="H294" s="108">
        <v>0</v>
      </c>
    </row>
    <row r="295" spans="1:8" x14ac:dyDescent="0.2">
      <c r="A295" s="117" t="s">
        <v>178</v>
      </c>
      <c r="B295" s="117"/>
      <c r="C295" s="117" t="s">
        <v>4495</v>
      </c>
      <c r="D295" s="304" t="s">
        <v>1534</v>
      </c>
      <c r="E295" s="305"/>
      <c r="F295" s="117" t="s">
        <v>1644</v>
      </c>
      <c r="G295" s="116">
        <v>5</v>
      </c>
      <c r="H295" s="108">
        <v>0</v>
      </c>
    </row>
    <row r="296" spans="1:8" x14ac:dyDescent="0.2">
      <c r="A296" s="117" t="s">
        <v>179</v>
      </c>
      <c r="B296" s="117"/>
      <c r="C296" s="117" t="s">
        <v>4494</v>
      </c>
      <c r="D296" s="304" t="s">
        <v>1535</v>
      </c>
      <c r="E296" s="305"/>
      <c r="F296" s="117" t="s">
        <v>1644</v>
      </c>
      <c r="G296" s="116">
        <v>3</v>
      </c>
      <c r="H296" s="108">
        <v>0</v>
      </c>
    </row>
    <row r="297" spans="1:8" x14ac:dyDescent="0.2">
      <c r="A297" s="117" t="s">
        <v>180</v>
      </c>
      <c r="B297" s="117"/>
      <c r="C297" s="117" t="s">
        <v>4493</v>
      </c>
      <c r="D297" s="304" t="s">
        <v>1536</v>
      </c>
      <c r="E297" s="305"/>
      <c r="F297" s="117" t="s">
        <v>1644</v>
      </c>
      <c r="G297" s="116">
        <v>24</v>
      </c>
      <c r="H297" s="108">
        <v>0</v>
      </c>
    </row>
    <row r="298" spans="1:8" x14ac:dyDescent="0.2">
      <c r="A298" s="117" t="s">
        <v>181</v>
      </c>
      <c r="B298" s="117"/>
      <c r="C298" s="117" t="s">
        <v>4492</v>
      </c>
      <c r="D298" s="304" t="s">
        <v>1537</v>
      </c>
      <c r="E298" s="305"/>
      <c r="F298" s="117" t="s">
        <v>1644</v>
      </c>
      <c r="G298" s="116">
        <v>1</v>
      </c>
      <c r="H298" s="108">
        <v>0</v>
      </c>
    </row>
    <row r="299" spans="1:8" x14ac:dyDescent="0.2">
      <c r="A299" s="117" t="s">
        <v>182</v>
      </c>
      <c r="B299" s="117"/>
      <c r="C299" s="117" t="s">
        <v>4491</v>
      </c>
      <c r="D299" s="304" t="s">
        <v>1538</v>
      </c>
      <c r="E299" s="305"/>
      <c r="F299" s="117" t="s">
        <v>1646</v>
      </c>
      <c r="G299" s="116">
        <v>10</v>
      </c>
      <c r="H299" s="108">
        <v>0</v>
      </c>
    </row>
    <row r="300" spans="1:8" x14ac:dyDescent="0.2">
      <c r="A300" s="117" t="s">
        <v>183</v>
      </c>
      <c r="B300" s="117"/>
      <c r="C300" s="117" t="s">
        <v>4490</v>
      </c>
      <c r="D300" s="304" t="s">
        <v>1539</v>
      </c>
      <c r="E300" s="305"/>
      <c r="F300" s="117" t="s">
        <v>1646</v>
      </c>
      <c r="G300" s="116">
        <v>20</v>
      </c>
      <c r="H300" s="108">
        <v>0</v>
      </c>
    </row>
    <row r="301" spans="1:8" x14ac:dyDescent="0.2">
      <c r="A301" s="117" t="s">
        <v>184</v>
      </c>
      <c r="B301" s="117"/>
      <c r="C301" s="117" t="s">
        <v>4489</v>
      </c>
      <c r="D301" s="304" t="s">
        <v>1540</v>
      </c>
      <c r="E301" s="305"/>
      <c r="F301" s="117" t="s">
        <v>1646</v>
      </c>
      <c r="G301" s="116">
        <v>50</v>
      </c>
      <c r="H301" s="108">
        <v>0</v>
      </c>
    </row>
    <row r="302" spans="1:8" x14ac:dyDescent="0.2">
      <c r="A302" s="117" t="s">
        <v>185</v>
      </c>
      <c r="B302" s="117"/>
      <c r="C302" s="117" t="s">
        <v>4488</v>
      </c>
      <c r="D302" s="304" t="s">
        <v>1541</v>
      </c>
      <c r="E302" s="305"/>
      <c r="F302" s="117" t="s">
        <v>1646</v>
      </c>
      <c r="G302" s="116">
        <v>20</v>
      </c>
      <c r="H302" s="108">
        <v>0</v>
      </c>
    </row>
    <row r="303" spans="1:8" x14ac:dyDescent="0.2">
      <c r="A303" s="117" t="s">
        <v>186</v>
      </c>
      <c r="B303" s="117"/>
      <c r="C303" s="117" t="s">
        <v>4487</v>
      </c>
      <c r="D303" s="304" t="s">
        <v>1542</v>
      </c>
      <c r="E303" s="305"/>
      <c r="F303" s="117" t="s">
        <v>1646</v>
      </c>
      <c r="G303" s="116">
        <v>10</v>
      </c>
      <c r="H303" s="108">
        <v>0</v>
      </c>
    </row>
    <row r="304" spans="1:8" x14ac:dyDescent="0.2">
      <c r="A304" s="117" t="s">
        <v>187</v>
      </c>
      <c r="B304" s="117"/>
      <c r="C304" s="117" t="s">
        <v>4486</v>
      </c>
      <c r="D304" s="304" t="s">
        <v>1543</v>
      </c>
      <c r="E304" s="305"/>
      <c r="F304" s="117" t="s">
        <v>1644</v>
      </c>
      <c r="G304" s="116">
        <v>1</v>
      </c>
      <c r="H304" s="108">
        <v>0</v>
      </c>
    </row>
    <row r="305" spans="1:8" x14ac:dyDescent="0.2">
      <c r="A305" s="117" t="s">
        <v>188</v>
      </c>
      <c r="B305" s="117"/>
      <c r="C305" s="117" t="s">
        <v>4485</v>
      </c>
      <c r="D305" s="304" t="s">
        <v>4287</v>
      </c>
      <c r="E305" s="305"/>
      <c r="F305" s="117" t="s">
        <v>1644</v>
      </c>
      <c r="G305" s="116">
        <v>1</v>
      </c>
      <c r="H305" s="108">
        <v>0</v>
      </c>
    </row>
    <row r="306" spans="1:8" x14ac:dyDescent="0.2">
      <c r="A306" s="117" t="s">
        <v>189</v>
      </c>
      <c r="B306" s="117"/>
      <c r="C306" s="117" t="s">
        <v>4484</v>
      </c>
      <c r="D306" s="304" t="s">
        <v>1551</v>
      </c>
      <c r="E306" s="305"/>
      <c r="F306" s="117" t="s">
        <v>1644</v>
      </c>
      <c r="G306" s="116">
        <v>1</v>
      </c>
      <c r="H306" s="108">
        <v>0</v>
      </c>
    </row>
    <row r="307" spans="1:8" x14ac:dyDescent="0.2">
      <c r="A307" s="117" t="s">
        <v>190</v>
      </c>
      <c r="B307" s="117"/>
      <c r="C307" s="117" t="s">
        <v>4483</v>
      </c>
      <c r="D307" s="304" t="s">
        <v>1552</v>
      </c>
      <c r="E307" s="305"/>
      <c r="F307" s="117" t="s">
        <v>1644</v>
      </c>
      <c r="G307" s="116">
        <v>1</v>
      </c>
      <c r="H307" s="108">
        <v>0</v>
      </c>
    </row>
    <row r="308" spans="1:8" x14ac:dyDescent="0.2">
      <c r="A308" s="117" t="s">
        <v>191</v>
      </c>
      <c r="B308" s="117"/>
      <c r="C308" s="117" t="s">
        <v>4482</v>
      </c>
      <c r="D308" s="304" t="s">
        <v>1553</v>
      </c>
      <c r="E308" s="305"/>
      <c r="F308" s="117" t="s">
        <v>1644</v>
      </c>
      <c r="G308" s="116">
        <v>1</v>
      </c>
      <c r="H308" s="108">
        <v>0</v>
      </c>
    </row>
    <row r="309" spans="1:8" x14ac:dyDescent="0.2">
      <c r="A309" s="117" t="s">
        <v>192</v>
      </c>
      <c r="B309" s="117"/>
      <c r="C309" s="117" t="s">
        <v>4481</v>
      </c>
      <c r="D309" s="304" t="s">
        <v>1554</v>
      </c>
      <c r="E309" s="305"/>
      <c r="F309" s="117" t="s">
        <v>1644</v>
      </c>
      <c r="G309" s="116">
        <v>1</v>
      </c>
      <c r="H309" s="108">
        <v>0</v>
      </c>
    </row>
    <row r="310" spans="1:8" x14ac:dyDescent="0.2">
      <c r="A310" s="117" t="s">
        <v>193</v>
      </c>
      <c r="B310" s="117"/>
      <c r="C310" s="117" t="s">
        <v>4480</v>
      </c>
      <c r="D310" s="304" t="s">
        <v>1555</v>
      </c>
      <c r="E310" s="305"/>
      <c r="F310" s="117" t="s">
        <v>1644</v>
      </c>
      <c r="G310" s="116">
        <v>1</v>
      </c>
      <c r="H310" s="108">
        <v>0</v>
      </c>
    </row>
    <row r="311" spans="1:8" x14ac:dyDescent="0.2">
      <c r="A311" s="120"/>
      <c r="B311" s="120"/>
      <c r="C311" s="120" t="s">
        <v>1039</v>
      </c>
      <c r="D311" s="306" t="s">
        <v>1631</v>
      </c>
      <c r="E311" s="307"/>
      <c r="F311" s="120"/>
      <c r="G311" s="142"/>
      <c r="H311" s="109"/>
    </row>
    <row r="312" spans="1:8" x14ac:dyDescent="0.2">
      <c r="A312" s="117" t="s">
        <v>194</v>
      </c>
      <c r="B312" s="117"/>
      <c r="C312" s="117" t="s">
        <v>1041</v>
      </c>
      <c r="D312" s="304" t="s">
        <v>1633</v>
      </c>
      <c r="E312" s="305"/>
      <c r="F312" s="117" t="s">
        <v>1644</v>
      </c>
      <c r="G312" s="116">
        <v>1</v>
      </c>
      <c r="H312" s="108">
        <v>0</v>
      </c>
    </row>
    <row r="313" spans="1:8" x14ac:dyDescent="0.2">
      <c r="A313" s="117" t="s">
        <v>195</v>
      </c>
      <c r="B313" s="117"/>
      <c r="C313" s="117" t="s">
        <v>1042</v>
      </c>
      <c r="D313" s="304" t="s">
        <v>1634</v>
      </c>
      <c r="E313" s="305"/>
      <c r="F313" s="117" t="s">
        <v>1644</v>
      </c>
      <c r="G313" s="116">
        <v>1</v>
      </c>
      <c r="H313" s="108">
        <v>0</v>
      </c>
    </row>
    <row r="314" spans="1:8" x14ac:dyDescent="0.2">
      <c r="A314" s="117" t="s">
        <v>196</v>
      </c>
      <c r="B314" s="117"/>
      <c r="C314" s="117" t="s">
        <v>1043</v>
      </c>
      <c r="D314" s="304" t="s">
        <v>1635</v>
      </c>
      <c r="E314" s="305"/>
      <c r="F314" s="117" t="s">
        <v>1644</v>
      </c>
      <c r="G314" s="116">
        <v>1</v>
      </c>
      <c r="H314" s="108">
        <v>0</v>
      </c>
    </row>
    <row r="315" spans="1:8" x14ac:dyDescent="0.2">
      <c r="A315" s="117" t="s">
        <v>197</v>
      </c>
      <c r="B315" s="117"/>
      <c r="C315" s="117" t="s">
        <v>1044</v>
      </c>
      <c r="D315" s="304" t="s">
        <v>1636</v>
      </c>
      <c r="E315" s="305"/>
      <c r="F315" s="117" t="s">
        <v>1644</v>
      </c>
      <c r="G315" s="116">
        <v>1</v>
      </c>
      <c r="H315" s="108">
        <v>0</v>
      </c>
    </row>
    <row r="316" spans="1:8" x14ac:dyDescent="0.2">
      <c r="A316" s="117" t="s">
        <v>198</v>
      </c>
      <c r="B316" s="117"/>
      <c r="C316" s="117" t="s">
        <v>1045</v>
      </c>
      <c r="D316" s="304" t="s">
        <v>1637</v>
      </c>
      <c r="E316" s="305"/>
      <c r="F316" s="117" t="s">
        <v>1644</v>
      </c>
      <c r="G316" s="116">
        <v>1</v>
      </c>
      <c r="H316" s="108">
        <v>0</v>
      </c>
    </row>
    <row r="317" spans="1:8" x14ac:dyDescent="0.2">
      <c r="A317" s="117" t="s">
        <v>199</v>
      </c>
      <c r="B317" s="117"/>
      <c r="C317" s="117" t="s">
        <v>1046</v>
      </c>
      <c r="D317" s="304" t="s">
        <v>1638</v>
      </c>
      <c r="E317" s="305"/>
      <c r="F317" s="117" t="s">
        <v>1644</v>
      </c>
      <c r="G317" s="116">
        <v>1</v>
      </c>
      <c r="H317" s="108">
        <v>0</v>
      </c>
    </row>
    <row r="319" spans="1:8" ht="11.25" customHeight="1" x14ac:dyDescent="0.2">
      <c r="A319" s="106" t="s">
        <v>569</v>
      </c>
    </row>
    <row r="320" spans="1:8" x14ac:dyDescent="0.2">
      <c r="A320" s="255"/>
      <c r="B320" s="256"/>
      <c r="C320" s="256"/>
      <c r="D320" s="256"/>
      <c r="E320" s="256"/>
      <c r="F320" s="256"/>
      <c r="G320" s="256"/>
    </row>
  </sheetData>
  <sheetProtection algorithmName="SHA-512" hashValue="e9bcq3wW/aArn82lebM0ppcTiX09UgsHslsURVzXrhEJ8YnhfF17OPorRTWxQAVn/asAvTg03kUQfdjNzCgiBg==" saltValue="0dScKir8nBxKykgrAdWw2Q==" spinCount="100000" sheet="1" objects="1" scenarios="1"/>
  <mergeCells count="326">
    <mergeCell ref="D302:E302"/>
    <mergeCell ref="D303:E303"/>
    <mergeCell ref="D304:E304"/>
    <mergeCell ref="D305:E305"/>
    <mergeCell ref="D306:E306"/>
    <mergeCell ref="D316:E316"/>
    <mergeCell ref="D317:E317"/>
    <mergeCell ref="A320:G320"/>
    <mergeCell ref="D310:E310"/>
    <mergeCell ref="D311:E311"/>
    <mergeCell ref="D312:E312"/>
    <mergeCell ref="D313:E313"/>
    <mergeCell ref="D314:E314"/>
    <mergeCell ref="D315:E315"/>
    <mergeCell ref="D278:F278"/>
    <mergeCell ref="D279:F279"/>
    <mergeCell ref="D280:E280"/>
    <mergeCell ref="D281:F281"/>
    <mergeCell ref="D282:E282"/>
    <mergeCell ref="D307:E307"/>
    <mergeCell ref="D308:E308"/>
    <mergeCell ref="D309:E309"/>
    <mergeCell ref="D286:F286"/>
    <mergeCell ref="D287:E287"/>
    <mergeCell ref="D288:F288"/>
    <mergeCell ref="D289:E289"/>
    <mergeCell ref="D290:F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254:E254"/>
    <mergeCell ref="D255:E255"/>
    <mergeCell ref="D256:E256"/>
    <mergeCell ref="D257:E257"/>
    <mergeCell ref="D258:E258"/>
    <mergeCell ref="D283:E283"/>
    <mergeCell ref="D284:F284"/>
    <mergeCell ref="D285:E285"/>
    <mergeCell ref="D262:F262"/>
    <mergeCell ref="D263:E263"/>
    <mergeCell ref="D264:F264"/>
    <mergeCell ref="D265:E265"/>
    <mergeCell ref="D266:E266"/>
    <mergeCell ref="D267:F267"/>
    <mergeCell ref="D268:E268"/>
    <mergeCell ref="D269:F269"/>
    <mergeCell ref="D270:E270"/>
    <mergeCell ref="D271:F271"/>
    <mergeCell ref="D272:E272"/>
    <mergeCell ref="D273:F273"/>
    <mergeCell ref="D274:F274"/>
    <mergeCell ref="D275:E275"/>
    <mergeCell ref="D276:F276"/>
    <mergeCell ref="D277:E277"/>
    <mergeCell ref="D230:E230"/>
    <mergeCell ref="D231:E231"/>
    <mergeCell ref="D232:E232"/>
    <mergeCell ref="D233:E233"/>
    <mergeCell ref="D234:E234"/>
    <mergeCell ref="D259:E259"/>
    <mergeCell ref="D260:E260"/>
    <mergeCell ref="D261:E261"/>
    <mergeCell ref="D238:E238"/>
    <mergeCell ref="D239:E239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06:E206"/>
    <mergeCell ref="D207:E207"/>
    <mergeCell ref="D208:E208"/>
    <mergeCell ref="D209:E209"/>
    <mergeCell ref="D210:E210"/>
    <mergeCell ref="D235:E235"/>
    <mergeCell ref="D236:E236"/>
    <mergeCell ref="D237:E237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29:E229"/>
    <mergeCell ref="D182:E182"/>
    <mergeCell ref="D183:E183"/>
    <mergeCell ref="D184:E184"/>
    <mergeCell ref="D185:E185"/>
    <mergeCell ref="D186:E186"/>
    <mergeCell ref="D211:E211"/>
    <mergeCell ref="D212:E212"/>
    <mergeCell ref="D213:E213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158:E158"/>
    <mergeCell ref="D159:F159"/>
    <mergeCell ref="D160:F160"/>
    <mergeCell ref="D161:E161"/>
    <mergeCell ref="D162:F162"/>
    <mergeCell ref="D187:E187"/>
    <mergeCell ref="D188:E188"/>
    <mergeCell ref="D189:E189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34:F134"/>
    <mergeCell ref="D135:E135"/>
    <mergeCell ref="D136:F136"/>
    <mergeCell ref="D137:E137"/>
    <mergeCell ref="D138:F138"/>
    <mergeCell ref="D163:E163"/>
    <mergeCell ref="D164:E164"/>
    <mergeCell ref="D165:F165"/>
    <mergeCell ref="D142:E142"/>
    <mergeCell ref="D143:F143"/>
    <mergeCell ref="D144:E144"/>
    <mergeCell ref="D145:F145"/>
    <mergeCell ref="D146:E146"/>
    <mergeCell ref="D147:F147"/>
    <mergeCell ref="D148:E148"/>
    <mergeCell ref="D149:F149"/>
    <mergeCell ref="D150:E150"/>
    <mergeCell ref="D151:F151"/>
    <mergeCell ref="D152:E152"/>
    <mergeCell ref="D153:F153"/>
    <mergeCell ref="D154:E154"/>
    <mergeCell ref="D155:F155"/>
    <mergeCell ref="D156:E156"/>
    <mergeCell ref="D157:F157"/>
    <mergeCell ref="D110:E110"/>
    <mergeCell ref="D111:F111"/>
    <mergeCell ref="D112:E112"/>
    <mergeCell ref="D113:F113"/>
    <mergeCell ref="D114:E114"/>
    <mergeCell ref="D139:E139"/>
    <mergeCell ref="D140:F140"/>
    <mergeCell ref="D141:E141"/>
    <mergeCell ref="D118:F118"/>
    <mergeCell ref="D119:E119"/>
    <mergeCell ref="D120:F120"/>
    <mergeCell ref="D121:E121"/>
    <mergeCell ref="D122:F122"/>
    <mergeCell ref="D123:E123"/>
    <mergeCell ref="D124:F124"/>
    <mergeCell ref="D125:E125"/>
    <mergeCell ref="D126:F126"/>
    <mergeCell ref="D127:E127"/>
    <mergeCell ref="D128:F128"/>
    <mergeCell ref="D129:E129"/>
    <mergeCell ref="D130:F130"/>
    <mergeCell ref="D131:E131"/>
    <mergeCell ref="D132:F132"/>
    <mergeCell ref="D133:E133"/>
    <mergeCell ref="D86:F86"/>
    <mergeCell ref="D87:E87"/>
    <mergeCell ref="D88:F88"/>
    <mergeCell ref="D89:E89"/>
    <mergeCell ref="D90:F90"/>
    <mergeCell ref="D115:F115"/>
    <mergeCell ref="D116:E116"/>
    <mergeCell ref="D117:E117"/>
    <mergeCell ref="D94:F94"/>
    <mergeCell ref="D95:E95"/>
    <mergeCell ref="D96:E96"/>
    <mergeCell ref="D97:F97"/>
    <mergeCell ref="D98:F98"/>
    <mergeCell ref="D99:E99"/>
    <mergeCell ref="D100:F100"/>
    <mergeCell ref="D101:E101"/>
    <mergeCell ref="D102:F102"/>
    <mergeCell ref="D103:E103"/>
    <mergeCell ref="D104:F104"/>
    <mergeCell ref="D105:E105"/>
    <mergeCell ref="D106:E106"/>
    <mergeCell ref="D107:F107"/>
    <mergeCell ref="D108:E108"/>
    <mergeCell ref="D109:F109"/>
    <mergeCell ref="D62:F62"/>
    <mergeCell ref="D63:F63"/>
    <mergeCell ref="D64:E64"/>
    <mergeCell ref="D65:F65"/>
    <mergeCell ref="D66:F66"/>
    <mergeCell ref="D91:E91"/>
    <mergeCell ref="D92:F92"/>
    <mergeCell ref="D93:E93"/>
    <mergeCell ref="D70:F70"/>
    <mergeCell ref="D71:E71"/>
    <mergeCell ref="D72:F72"/>
    <mergeCell ref="D73:F73"/>
    <mergeCell ref="D74:E74"/>
    <mergeCell ref="D75:F75"/>
    <mergeCell ref="D76:E76"/>
    <mergeCell ref="D77:F77"/>
    <mergeCell ref="D78:E78"/>
    <mergeCell ref="D79:F79"/>
    <mergeCell ref="D80:E80"/>
    <mergeCell ref="D81:F81"/>
    <mergeCell ref="D82:E82"/>
    <mergeCell ref="D83:E83"/>
    <mergeCell ref="D84:F84"/>
    <mergeCell ref="D85:E85"/>
    <mergeCell ref="D38:F38"/>
    <mergeCell ref="D39:E39"/>
    <mergeCell ref="D40:F40"/>
    <mergeCell ref="D41:E41"/>
    <mergeCell ref="D42:E42"/>
    <mergeCell ref="D67:E67"/>
    <mergeCell ref="D68:F68"/>
    <mergeCell ref="D69:F69"/>
    <mergeCell ref="D46:F46"/>
    <mergeCell ref="D47:F47"/>
    <mergeCell ref="D48:E48"/>
    <mergeCell ref="D49:F49"/>
    <mergeCell ref="D50:E50"/>
    <mergeCell ref="D51:F51"/>
    <mergeCell ref="D52:E52"/>
    <mergeCell ref="D53:F53"/>
    <mergeCell ref="D54:E54"/>
    <mergeCell ref="D55:F55"/>
    <mergeCell ref="D56:F56"/>
    <mergeCell ref="D57:E57"/>
    <mergeCell ref="D58:F58"/>
    <mergeCell ref="D59:F59"/>
    <mergeCell ref="D60:E60"/>
    <mergeCell ref="D61:F61"/>
    <mergeCell ref="D14:E14"/>
    <mergeCell ref="D15:E15"/>
    <mergeCell ref="D16:F16"/>
    <mergeCell ref="D17:E17"/>
    <mergeCell ref="D18:F18"/>
    <mergeCell ref="D43:F43"/>
    <mergeCell ref="D44:F44"/>
    <mergeCell ref="D45:E45"/>
    <mergeCell ref="D22:E22"/>
    <mergeCell ref="D23:F23"/>
    <mergeCell ref="D24:E24"/>
    <mergeCell ref="D25:F25"/>
    <mergeCell ref="D26:E26"/>
    <mergeCell ref="D27:E27"/>
    <mergeCell ref="D28:F28"/>
    <mergeCell ref="D29:E29"/>
    <mergeCell ref="D30:E30"/>
    <mergeCell ref="D31:F31"/>
    <mergeCell ref="D32:E32"/>
    <mergeCell ref="D33:F33"/>
    <mergeCell ref="D34:E34"/>
    <mergeCell ref="D35:E35"/>
    <mergeCell ref="D36:F36"/>
    <mergeCell ref="D37:E37"/>
    <mergeCell ref="D19:E19"/>
    <mergeCell ref="D20:F20"/>
    <mergeCell ref="D21:E21"/>
    <mergeCell ref="A1:H1"/>
    <mergeCell ref="A2:B3"/>
    <mergeCell ref="C2:D3"/>
    <mergeCell ref="E2:E3"/>
    <mergeCell ref="F2:H3"/>
    <mergeCell ref="A4:B5"/>
    <mergeCell ref="C4:D5"/>
    <mergeCell ref="E4:E5"/>
    <mergeCell ref="F4:H5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F3200-3B39-4C5B-8170-CEEC58DC0334}">
  <sheetPr>
    <pageSetUpPr fitToPage="1"/>
  </sheetPr>
  <dimension ref="A1:BJ27"/>
  <sheetViews>
    <sheetView workbookViewId="0">
      <pane ySplit="11" topLeftCell="A12" activePane="bottomLeft" state="frozenSplit"/>
      <selection pane="bottomLeft" activeCell="J23" sqref="J23"/>
    </sheetView>
  </sheetViews>
  <sheetFormatPr defaultColWidth="11.5703125" defaultRowHeight="12.75" x14ac:dyDescent="0.2"/>
  <cols>
    <col min="1" max="1" width="3.7109375" style="75" customWidth="1"/>
    <col min="2" max="2" width="7.5703125" style="75" customWidth="1"/>
    <col min="3" max="3" width="14.28515625" style="75" customWidth="1"/>
    <col min="4" max="4" width="53.7109375" style="75" customWidth="1"/>
    <col min="5" max="5" width="4.28515625" style="75" customWidth="1"/>
    <col min="6" max="6" width="12.85546875" style="75" customWidth="1"/>
    <col min="7" max="7" width="17.42578125" style="75" customWidth="1"/>
    <col min="8" max="9" width="14.28515625" style="75" hidden="1" customWidth="1"/>
    <col min="10" max="10" width="20.28515625" style="75" customWidth="1"/>
    <col min="11" max="12" width="11.7109375" style="75" hidden="1" customWidth="1"/>
    <col min="13" max="13" width="11.7109375" style="75" customWidth="1"/>
    <col min="14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4655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</row>
    <row r="2" spans="1:62" x14ac:dyDescent="0.2">
      <c r="A2" s="288" t="s">
        <v>1</v>
      </c>
      <c r="B2" s="289"/>
      <c r="C2" s="289"/>
      <c r="D2" s="290" t="s">
        <v>1047</v>
      </c>
      <c r="E2" s="327" t="s">
        <v>1639</v>
      </c>
      <c r="F2" s="289"/>
      <c r="G2" s="327" t="s">
        <v>6</v>
      </c>
      <c r="H2" s="293" t="s">
        <v>1657</v>
      </c>
      <c r="I2" s="327" t="s">
        <v>1663</v>
      </c>
      <c r="J2" s="289"/>
      <c r="K2" s="289"/>
      <c r="L2" s="289"/>
      <c r="M2" s="303"/>
      <c r="N2" s="80"/>
    </row>
    <row r="3" spans="1:62" x14ac:dyDescent="0.2">
      <c r="A3" s="285"/>
      <c r="B3" s="256"/>
      <c r="C3" s="256"/>
      <c r="D3" s="292"/>
      <c r="E3" s="256"/>
      <c r="F3" s="256"/>
      <c r="G3" s="256"/>
      <c r="H3" s="256"/>
      <c r="I3" s="256"/>
      <c r="J3" s="256"/>
      <c r="K3" s="256"/>
      <c r="L3" s="256"/>
      <c r="M3" s="276"/>
      <c r="N3" s="80"/>
    </row>
    <row r="4" spans="1:62" x14ac:dyDescent="0.2">
      <c r="A4" s="277" t="s">
        <v>2</v>
      </c>
      <c r="B4" s="256"/>
      <c r="C4" s="256"/>
      <c r="D4" s="255" t="s">
        <v>4654</v>
      </c>
      <c r="E4" s="282" t="s">
        <v>1640</v>
      </c>
      <c r="F4" s="256"/>
      <c r="G4" s="282"/>
      <c r="H4" s="255" t="s">
        <v>1658</v>
      </c>
      <c r="I4" s="282" t="s">
        <v>1663</v>
      </c>
      <c r="J4" s="256"/>
      <c r="K4" s="256"/>
      <c r="L4" s="256"/>
      <c r="M4" s="276"/>
      <c r="N4" s="80"/>
    </row>
    <row r="5" spans="1:62" x14ac:dyDescent="0.2">
      <c r="A5" s="285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76"/>
      <c r="N5" s="80"/>
    </row>
    <row r="6" spans="1:62" x14ac:dyDescent="0.2">
      <c r="A6" s="277" t="s">
        <v>3</v>
      </c>
      <c r="B6" s="256"/>
      <c r="C6" s="256"/>
      <c r="D6" s="255" t="s">
        <v>6</v>
      </c>
      <c r="E6" s="282" t="s">
        <v>1641</v>
      </c>
      <c r="F6" s="256"/>
      <c r="G6" s="282"/>
      <c r="H6" s="255" t="s">
        <v>1659</v>
      </c>
      <c r="I6" s="282" t="s">
        <v>1663</v>
      </c>
      <c r="J6" s="256"/>
      <c r="K6" s="256"/>
      <c r="L6" s="256"/>
      <c r="M6" s="276"/>
      <c r="N6" s="80"/>
    </row>
    <row r="7" spans="1:62" x14ac:dyDescent="0.2">
      <c r="A7" s="285"/>
      <c r="B7" s="256"/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76"/>
      <c r="N7" s="80"/>
    </row>
    <row r="8" spans="1:62" x14ac:dyDescent="0.2">
      <c r="A8" s="277" t="s">
        <v>4</v>
      </c>
      <c r="B8" s="256"/>
      <c r="C8" s="256"/>
      <c r="D8" s="255" t="s">
        <v>6</v>
      </c>
      <c r="E8" s="282" t="s">
        <v>1642</v>
      </c>
      <c r="F8" s="256"/>
      <c r="G8" s="282"/>
      <c r="H8" s="255" t="s">
        <v>1660</v>
      </c>
      <c r="I8" s="282" t="s">
        <v>1663</v>
      </c>
      <c r="J8" s="256"/>
      <c r="K8" s="256"/>
      <c r="L8" s="256"/>
      <c r="M8" s="276"/>
      <c r="N8" s="80"/>
    </row>
    <row r="9" spans="1:62" ht="13.5" thickBot="1" x14ac:dyDescent="0.25">
      <c r="A9" s="299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1"/>
      <c r="N9" s="80"/>
    </row>
    <row r="10" spans="1:62" x14ac:dyDescent="0.2">
      <c r="A10" s="141" t="s">
        <v>5</v>
      </c>
      <c r="B10" s="140" t="s">
        <v>1742</v>
      </c>
      <c r="C10" s="140" t="s">
        <v>570</v>
      </c>
      <c r="D10" s="140" t="s">
        <v>1049</v>
      </c>
      <c r="E10" s="140" t="s">
        <v>1643</v>
      </c>
      <c r="F10" s="139" t="s">
        <v>1656</v>
      </c>
      <c r="G10" s="138" t="s">
        <v>4653</v>
      </c>
      <c r="H10" s="316" t="s">
        <v>4652</v>
      </c>
      <c r="I10" s="317"/>
      <c r="J10" s="318"/>
      <c r="K10" s="316" t="s">
        <v>4651</v>
      </c>
      <c r="L10" s="318"/>
      <c r="M10" s="137" t="s">
        <v>1669</v>
      </c>
      <c r="N10" s="78"/>
    </row>
    <row r="11" spans="1:62" ht="13.5" thickBot="1" x14ac:dyDescent="0.25">
      <c r="A11" s="136" t="s">
        <v>6</v>
      </c>
      <c r="B11" s="135" t="s">
        <v>6</v>
      </c>
      <c r="C11" s="135" t="s">
        <v>6</v>
      </c>
      <c r="D11" s="153" t="s">
        <v>1050</v>
      </c>
      <c r="E11" s="135" t="s">
        <v>6</v>
      </c>
      <c r="F11" s="135" t="s">
        <v>6</v>
      </c>
      <c r="G11" s="134" t="s">
        <v>1662</v>
      </c>
      <c r="H11" s="133" t="s">
        <v>1665</v>
      </c>
      <c r="I11" s="132" t="s">
        <v>1667</v>
      </c>
      <c r="J11" s="131" t="s">
        <v>1668</v>
      </c>
      <c r="K11" s="133" t="s">
        <v>4650</v>
      </c>
      <c r="L11" s="131" t="s">
        <v>1668</v>
      </c>
      <c r="M11" s="130" t="s">
        <v>1670</v>
      </c>
      <c r="N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/>
      <c r="C12" s="129" t="s">
        <v>4649</v>
      </c>
      <c r="D12" s="129" t="s">
        <v>4648</v>
      </c>
      <c r="E12" s="128" t="s">
        <v>6</v>
      </c>
      <c r="F12" s="128" t="s">
        <v>6</v>
      </c>
      <c r="G12" s="128" t="s">
        <v>6</v>
      </c>
      <c r="H12" s="127">
        <f>SUM(H13:H21)</f>
        <v>0</v>
      </c>
      <c r="I12" s="127">
        <f>SUM(I13:I21)</f>
        <v>0</v>
      </c>
      <c r="J12" s="127">
        <f>SUM(J13:J21)</f>
        <v>0</v>
      </c>
      <c r="K12" s="126"/>
      <c r="L12" s="127">
        <f>SUM(L13:L21)</f>
        <v>0</v>
      </c>
      <c r="M12" s="126"/>
      <c r="AI12" s="109"/>
      <c r="AS12" s="118">
        <f>SUM(AJ13:AJ21)</f>
        <v>0</v>
      </c>
      <c r="AT12" s="118">
        <f>SUM(AK13:AK21)</f>
        <v>0</v>
      </c>
      <c r="AU12" s="118">
        <f>SUM(AL13:AL21)</f>
        <v>0</v>
      </c>
    </row>
    <row r="13" spans="1:62" x14ac:dyDescent="0.2">
      <c r="A13" s="117" t="s">
        <v>7</v>
      </c>
      <c r="B13" s="117"/>
      <c r="C13" s="117" t="s">
        <v>4647</v>
      </c>
      <c r="D13" s="117" t="s">
        <v>4646</v>
      </c>
      <c r="E13" s="117" t="s">
        <v>1644</v>
      </c>
      <c r="F13" s="116">
        <v>1</v>
      </c>
      <c r="G13" s="108">
        <f>'Krycí list rozpočtu-SO01'!I28</f>
        <v>0</v>
      </c>
      <c r="H13" s="108">
        <f t="shared" ref="H13:H21" si="0">F13*AO13</f>
        <v>0</v>
      </c>
      <c r="I13" s="108">
        <f t="shared" ref="I13:I21" si="1">F13*AP13</f>
        <v>0</v>
      </c>
      <c r="J13" s="108">
        <f t="shared" ref="J13:J21" si="2">F13*G13</f>
        <v>0</v>
      </c>
      <c r="K13" s="108">
        <v>0</v>
      </c>
      <c r="L13" s="108">
        <f t="shared" ref="L13:L21" si="3">F13*K13</f>
        <v>0</v>
      </c>
      <c r="M13" s="111" t="s">
        <v>1671</v>
      </c>
      <c r="Z13" s="100">
        <f t="shared" ref="Z13:Z21" si="4">IF(AQ13="5",BJ13,0)</f>
        <v>0</v>
      </c>
      <c r="AB13" s="100">
        <f t="shared" ref="AB13:AB21" si="5">IF(AQ13="1",BH13,0)</f>
        <v>0</v>
      </c>
      <c r="AC13" s="100">
        <f t="shared" ref="AC13:AC21" si="6">IF(AQ13="1",BI13,0)</f>
        <v>0</v>
      </c>
      <c r="AD13" s="100">
        <f t="shared" ref="AD13:AD21" si="7">IF(AQ13="7",BH13,0)</f>
        <v>0</v>
      </c>
      <c r="AE13" s="100">
        <f t="shared" ref="AE13:AE21" si="8">IF(AQ13="7",BI13,0)</f>
        <v>0</v>
      </c>
      <c r="AF13" s="100">
        <f t="shared" ref="AF13:AF21" si="9">IF(AQ13="2",BH13,0)</f>
        <v>0</v>
      </c>
      <c r="AG13" s="100">
        <f t="shared" ref="AG13:AG21" si="10">IF(AQ13="2",BI13,0)</f>
        <v>0</v>
      </c>
      <c r="AH13" s="100">
        <f t="shared" ref="AH13:AH21" si="11">IF(AQ13="0",BJ13,0)</f>
        <v>0</v>
      </c>
      <c r="AI13" s="109"/>
      <c r="AJ13" s="108">
        <f t="shared" ref="AJ13:AJ21" si="12">IF(AN13=0,J13,0)</f>
        <v>0</v>
      </c>
      <c r="AK13" s="108">
        <f t="shared" ref="AK13:AK21" si="13">IF(AN13=15,J13,0)</f>
        <v>0</v>
      </c>
      <c r="AL13" s="108">
        <f t="shared" ref="AL13:AL21" si="14">IF(AN13=21,J13,0)</f>
        <v>0</v>
      </c>
      <c r="AN13" s="100">
        <v>15</v>
      </c>
      <c r="AO13" s="100">
        <f t="shared" ref="AO13:AO21" si="15">G13*0</f>
        <v>0</v>
      </c>
      <c r="AP13" s="100">
        <f t="shared" ref="AP13:AP21" si="16">G13*(1-0)</f>
        <v>0</v>
      </c>
      <c r="AQ13" s="111" t="s">
        <v>7</v>
      </c>
      <c r="AV13" s="100">
        <f t="shared" ref="AV13:AV21" si="17">AW13+AX13</f>
        <v>0</v>
      </c>
      <c r="AW13" s="100">
        <f t="shared" ref="AW13:AW21" si="18">F13*AO13</f>
        <v>0</v>
      </c>
      <c r="AX13" s="100">
        <f t="shared" ref="AX13:AX21" si="19">F13*AP13</f>
        <v>0</v>
      </c>
      <c r="AY13" s="110" t="s">
        <v>4629</v>
      </c>
      <c r="AZ13" s="110" t="s">
        <v>1730</v>
      </c>
      <c r="BA13" s="109" t="s">
        <v>1737</v>
      </c>
      <c r="BC13" s="100">
        <f t="shared" ref="BC13:BC21" si="20">AW13+AX13</f>
        <v>0</v>
      </c>
      <c r="BD13" s="100">
        <f t="shared" ref="BD13:BD21" si="21">G13/(100-BE13)*100</f>
        <v>0</v>
      </c>
      <c r="BE13" s="100">
        <v>0</v>
      </c>
      <c r="BF13" s="100">
        <f t="shared" ref="BF13:BF21" si="22">L13</f>
        <v>0</v>
      </c>
      <c r="BH13" s="108">
        <f t="shared" ref="BH13:BH21" si="23">F13*AO13</f>
        <v>0</v>
      </c>
      <c r="BI13" s="108">
        <f t="shared" ref="BI13:BI21" si="24">F13*AP13</f>
        <v>0</v>
      </c>
      <c r="BJ13" s="108">
        <f t="shared" ref="BJ13:BJ21" si="25">F13*G13</f>
        <v>0</v>
      </c>
    </row>
    <row r="14" spans="1:62" x14ac:dyDescent="0.2">
      <c r="A14" s="117" t="s">
        <v>8</v>
      </c>
      <c r="B14" s="117"/>
      <c r="C14" s="117" t="s">
        <v>4645</v>
      </c>
      <c r="D14" s="117" t="s">
        <v>4644</v>
      </c>
      <c r="E14" s="117" t="s">
        <v>1644</v>
      </c>
      <c r="F14" s="116">
        <v>1</v>
      </c>
      <c r="G14" s="108">
        <f>'Krycí list rozpočtu-SO02'!I28</f>
        <v>0</v>
      </c>
      <c r="H14" s="108">
        <f t="shared" si="0"/>
        <v>0</v>
      </c>
      <c r="I14" s="108">
        <f t="shared" si="1"/>
        <v>0</v>
      </c>
      <c r="J14" s="108">
        <f t="shared" si="2"/>
        <v>0</v>
      </c>
      <c r="K14" s="108">
        <v>0</v>
      </c>
      <c r="L14" s="108">
        <f t="shared" si="3"/>
        <v>0</v>
      </c>
      <c r="M14" s="111" t="s">
        <v>1671</v>
      </c>
      <c r="Z14" s="100">
        <f t="shared" si="4"/>
        <v>0</v>
      </c>
      <c r="AB14" s="100">
        <f t="shared" si="5"/>
        <v>0</v>
      </c>
      <c r="AC14" s="100">
        <f t="shared" si="6"/>
        <v>0</v>
      </c>
      <c r="AD14" s="100">
        <f t="shared" si="7"/>
        <v>0</v>
      </c>
      <c r="AE14" s="100">
        <f t="shared" si="8"/>
        <v>0</v>
      </c>
      <c r="AF14" s="100">
        <f t="shared" si="9"/>
        <v>0</v>
      </c>
      <c r="AG14" s="100">
        <f t="shared" si="10"/>
        <v>0</v>
      </c>
      <c r="AH14" s="100">
        <f t="shared" si="11"/>
        <v>0</v>
      </c>
      <c r="AI14" s="109"/>
      <c r="AJ14" s="108">
        <f t="shared" si="12"/>
        <v>0</v>
      </c>
      <c r="AK14" s="108">
        <f t="shared" si="13"/>
        <v>0</v>
      </c>
      <c r="AL14" s="108">
        <f t="shared" si="14"/>
        <v>0</v>
      </c>
      <c r="AN14" s="100">
        <v>15</v>
      </c>
      <c r="AO14" s="100">
        <f t="shared" si="15"/>
        <v>0</v>
      </c>
      <c r="AP14" s="100">
        <f t="shared" si="16"/>
        <v>0</v>
      </c>
      <c r="AQ14" s="111" t="s">
        <v>7</v>
      </c>
      <c r="AV14" s="100">
        <f t="shared" si="17"/>
        <v>0</v>
      </c>
      <c r="AW14" s="100">
        <f t="shared" si="18"/>
        <v>0</v>
      </c>
      <c r="AX14" s="100">
        <f t="shared" si="19"/>
        <v>0</v>
      </c>
      <c r="AY14" s="110" t="s">
        <v>4629</v>
      </c>
      <c r="AZ14" s="110" t="s">
        <v>1730</v>
      </c>
      <c r="BA14" s="109" t="s">
        <v>1737</v>
      </c>
      <c r="BC14" s="100">
        <f t="shared" si="20"/>
        <v>0</v>
      </c>
      <c r="BD14" s="100">
        <f t="shared" si="21"/>
        <v>0</v>
      </c>
      <c r="BE14" s="100">
        <v>0</v>
      </c>
      <c r="BF14" s="100">
        <f t="shared" si="22"/>
        <v>0</v>
      </c>
      <c r="BH14" s="108">
        <f t="shared" si="23"/>
        <v>0</v>
      </c>
      <c r="BI14" s="108">
        <f t="shared" si="24"/>
        <v>0</v>
      </c>
      <c r="BJ14" s="108">
        <f t="shared" si="25"/>
        <v>0</v>
      </c>
    </row>
    <row r="15" spans="1:62" x14ac:dyDescent="0.2">
      <c r="A15" s="117" t="s">
        <v>9</v>
      </c>
      <c r="B15" s="117"/>
      <c r="C15" s="117" t="s">
        <v>4643</v>
      </c>
      <c r="D15" s="117" t="s">
        <v>4642</v>
      </c>
      <c r="E15" s="117" t="s">
        <v>1644</v>
      </c>
      <c r="F15" s="116">
        <v>1</v>
      </c>
      <c r="G15" s="108">
        <f>'Krycí list rozpočtu-SO03'!I28</f>
        <v>0</v>
      </c>
      <c r="H15" s="108">
        <f t="shared" si="0"/>
        <v>0</v>
      </c>
      <c r="I15" s="108">
        <f t="shared" si="1"/>
        <v>0</v>
      </c>
      <c r="J15" s="108">
        <f t="shared" si="2"/>
        <v>0</v>
      </c>
      <c r="K15" s="108">
        <v>0</v>
      </c>
      <c r="L15" s="108">
        <f t="shared" si="3"/>
        <v>0</v>
      </c>
      <c r="M15" s="111" t="s">
        <v>1671</v>
      </c>
      <c r="Z15" s="100">
        <f t="shared" si="4"/>
        <v>0</v>
      </c>
      <c r="AB15" s="100">
        <f t="shared" si="5"/>
        <v>0</v>
      </c>
      <c r="AC15" s="100">
        <f t="shared" si="6"/>
        <v>0</v>
      </c>
      <c r="AD15" s="100">
        <f t="shared" si="7"/>
        <v>0</v>
      </c>
      <c r="AE15" s="100">
        <f t="shared" si="8"/>
        <v>0</v>
      </c>
      <c r="AF15" s="100">
        <f t="shared" si="9"/>
        <v>0</v>
      </c>
      <c r="AG15" s="100">
        <f t="shared" si="10"/>
        <v>0</v>
      </c>
      <c r="AH15" s="100">
        <f t="shared" si="11"/>
        <v>0</v>
      </c>
      <c r="AI15" s="109"/>
      <c r="AJ15" s="108">
        <f t="shared" si="12"/>
        <v>0</v>
      </c>
      <c r="AK15" s="108">
        <f t="shared" si="13"/>
        <v>0</v>
      </c>
      <c r="AL15" s="108">
        <f t="shared" si="14"/>
        <v>0</v>
      </c>
      <c r="AN15" s="100">
        <v>15</v>
      </c>
      <c r="AO15" s="100">
        <f t="shared" si="15"/>
        <v>0</v>
      </c>
      <c r="AP15" s="100">
        <f t="shared" si="16"/>
        <v>0</v>
      </c>
      <c r="AQ15" s="111" t="s">
        <v>7</v>
      </c>
      <c r="AV15" s="100">
        <f t="shared" si="17"/>
        <v>0</v>
      </c>
      <c r="AW15" s="100">
        <f t="shared" si="18"/>
        <v>0</v>
      </c>
      <c r="AX15" s="100">
        <f t="shared" si="19"/>
        <v>0</v>
      </c>
      <c r="AY15" s="110" t="s">
        <v>4629</v>
      </c>
      <c r="AZ15" s="110" t="s">
        <v>1730</v>
      </c>
      <c r="BA15" s="109" t="s">
        <v>1737</v>
      </c>
      <c r="BC15" s="100">
        <f t="shared" si="20"/>
        <v>0</v>
      </c>
      <c r="BD15" s="100">
        <f t="shared" si="21"/>
        <v>0</v>
      </c>
      <c r="BE15" s="100">
        <v>0</v>
      </c>
      <c r="BF15" s="100">
        <f t="shared" si="22"/>
        <v>0</v>
      </c>
      <c r="BH15" s="108">
        <f t="shared" si="23"/>
        <v>0</v>
      </c>
      <c r="BI15" s="108">
        <f t="shared" si="24"/>
        <v>0</v>
      </c>
      <c r="BJ15" s="108">
        <f t="shared" si="25"/>
        <v>0</v>
      </c>
    </row>
    <row r="16" spans="1:62" x14ac:dyDescent="0.2">
      <c r="A16" s="117" t="s">
        <v>10</v>
      </c>
      <c r="B16" s="117"/>
      <c r="C16" s="117" t="s">
        <v>4641</v>
      </c>
      <c r="D16" s="117" t="s">
        <v>4640</v>
      </c>
      <c r="E16" s="117" t="s">
        <v>1644</v>
      </c>
      <c r="F16" s="116">
        <v>1</v>
      </c>
      <c r="G16" s="108">
        <f>'Krycí list rozpočtu-SO04'!I28</f>
        <v>0</v>
      </c>
      <c r="H16" s="108">
        <f t="shared" si="0"/>
        <v>0</v>
      </c>
      <c r="I16" s="108">
        <f t="shared" si="1"/>
        <v>0</v>
      </c>
      <c r="J16" s="108">
        <f t="shared" si="2"/>
        <v>0</v>
      </c>
      <c r="K16" s="108">
        <v>0</v>
      </c>
      <c r="L16" s="108">
        <f t="shared" si="3"/>
        <v>0</v>
      </c>
      <c r="M16" s="111" t="s">
        <v>1671</v>
      </c>
      <c r="Z16" s="100">
        <f t="shared" si="4"/>
        <v>0</v>
      </c>
      <c r="AB16" s="100">
        <f t="shared" si="5"/>
        <v>0</v>
      </c>
      <c r="AC16" s="100">
        <f t="shared" si="6"/>
        <v>0</v>
      </c>
      <c r="AD16" s="100">
        <f t="shared" si="7"/>
        <v>0</v>
      </c>
      <c r="AE16" s="100">
        <f t="shared" si="8"/>
        <v>0</v>
      </c>
      <c r="AF16" s="100">
        <f t="shared" si="9"/>
        <v>0</v>
      </c>
      <c r="AG16" s="100">
        <f t="shared" si="10"/>
        <v>0</v>
      </c>
      <c r="AH16" s="100">
        <f t="shared" si="11"/>
        <v>0</v>
      </c>
      <c r="AI16" s="109"/>
      <c r="AJ16" s="108">
        <f t="shared" si="12"/>
        <v>0</v>
      </c>
      <c r="AK16" s="108">
        <f t="shared" si="13"/>
        <v>0</v>
      </c>
      <c r="AL16" s="108">
        <f t="shared" si="14"/>
        <v>0</v>
      </c>
      <c r="AN16" s="100">
        <v>15</v>
      </c>
      <c r="AO16" s="100">
        <f t="shared" si="15"/>
        <v>0</v>
      </c>
      <c r="AP16" s="100">
        <f t="shared" si="16"/>
        <v>0</v>
      </c>
      <c r="AQ16" s="111" t="s">
        <v>7</v>
      </c>
      <c r="AV16" s="100">
        <f t="shared" si="17"/>
        <v>0</v>
      </c>
      <c r="AW16" s="100">
        <f t="shared" si="18"/>
        <v>0</v>
      </c>
      <c r="AX16" s="100">
        <f t="shared" si="19"/>
        <v>0</v>
      </c>
      <c r="AY16" s="110" t="s">
        <v>4629</v>
      </c>
      <c r="AZ16" s="110" t="s">
        <v>1730</v>
      </c>
      <c r="BA16" s="109" t="s">
        <v>1737</v>
      </c>
      <c r="BC16" s="100">
        <f t="shared" si="20"/>
        <v>0</v>
      </c>
      <c r="BD16" s="100">
        <f t="shared" si="21"/>
        <v>0</v>
      </c>
      <c r="BE16" s="100">
        <v>0</v>
      </c>
      <c r="BF16" s="100">
        <f t="shared" si="22"/>
        <v>0</v>
      </c>
      <c r="BH16" s="108">
        <f t="shared" si="23"/>
        <v>0</v>
      </c>
      <c r="BI16" s="108">
        <f t="shared" si="24"/>
        <v>0</v>
      </c>
      <c r="BJ16" s="108">
        <f t="shared" si="25"/>
        <v>0</v>
      </c>
    </row>
    <row r="17" spans="1:62" x14ac:dyDescent="0.2">
      <c r="A17" s="117" t="s">
        <v>11</v>
      </c>
      <c r="B17" s="117"/>
      <c r="C17" s="117" t="s">
        <v>4639</v>
      </c>
      <c r="D17" s="117" t="s">
        <v>4638</v>
      </c>
      <c r="E17" s="117" t="s">
        <v>1644</v>
      </c>
      <c r="F17" s="116">
        <v>1</v>
      </c>
      <c r="G17" s="108">
        <f>'Krycí list rozpočtu-SO05'!I28</f>
        <v>0</v>
      </c>
      <c r="H17" s="108">
        <f t="shared" si="0"/>
        <v>0</v>
      </c>
      <c r="I17" s="108">
        <f t="shared" si="1"/>
        <v>0</v>
      </c>
      <c r="J17" s="108">
        <f t="shared" si="2"/>
        <v>0</v>
      </c>
      <c r="K17" s="108">
        <v>0</v>
      </c>
      <c r="L17" s="108">
        <f t="shared" si="3"/>
        <v>0</v>
      </c>
      <c r="M17" s="111" t="s">
        <v>1671</v>
      </c>
      <c r="Z17" s="100">
        <f t="shared" si="4"/>
        <v>0</v>
      </c>
      <c r="AB17" s="100">
        <f t="shared" si="5"/>
        <v>0</v>
      </c>
      <c r="AC17" s="100">
        <f t="shared" si="6"/>
        <v>0</v>
      </c>
      <c r="AD17" s="100">
        <f t="shared" si="7"/>
        <v>0</v>
      </c>
      <c r="AE17" s="100">
        <f t="shared" si="8"/>
        <v>0</v>
      </c>
      <c r="AF17" s="100">
        <f t="shared" si="9"/>
        <v>0</v>
      </c>
      <c r="AG17" s="100">
        <f t="shared" si="10"/>
        <v>0</v>
      </c>
      <c r="AH17" s="100">
        <f t="shared" si="11"/>
        <v>0</v>
      </c>
      <c r="AI17" s="109"/>
      <c r="AJ17" s="108">
        <f t="shared" si="12"/>
        <v>0</v>
      </c>
      <c r="AK17" s="108">
        <f t="shared" si="13"/>
        <v>0</v>
      </c>
      <c r="AL17" s="108">
        <f t="shared" si="14"/>
        <v>0</v>
      </c>
      <c r="AN17" s="100">
        <v>15</v>
      </c>
      <c r="AO17" s="100">
        <f t="shared" si="15"/>
        <v>0</v>
      </c>
      <c r="AP17" s="100">
        <f t="shared" si="16"/>
        <v>0</v>
      </c>
      <c r="AQ17" s="111" t="s">
        <v>7</v>
      </c>
      <c r="AV17" s="100">
        <f t="shared" si="17"/>
        <v>0</v>
      </c>
      <c r="AW17" s="100">
        <f t="shared" si="18"/>
        <v>0</v>
      </c>
      <c r="AX17" s="100">
        <f t="shared" si="19"/>
        <v>0</v>
      </c>
      <c r="AY17" s="110" t="s">
        <v>4629</v>
      </c>
      <c r="AZ17" s="110" t="s">
        <v>1730</v>
      </c>
      <c r="BA17" s="109" t="s">
        <v>1737</v>
      </c>
      <c r="BC17" s="100">
        <f t="shared" si="20"/>
        <v>0</v>
      </c>
      <c r="BD17" s="100">
        <f t="shared" si="21"/>
        <v>0</v>
      </c>
      <c r="BE17" s="100">
        <v>0</v>
      </c>
      <c r="BF17" s="100">
        <f t="shared" si="22"/>
        <v>0</v>
      </c>
      <c r="BH17" s="108">
        <f t="shared" si="23"/>
        <v>0</v>
      </c>
      <c r="BI17" s="108">
        <f t="shared" si="24"/>
        <v>0</v>
      </c>
      <c r="BJ17" s="108">
        <f t="shared" si="25"/>
        <v>0</v>
      </c>
    </row>
    <row r="18" spans="1:62" x14ac:dyDescent="0.2">
      <c r="A18" s="117" t="s">
        <v>12</v>
      </c>
      <c r="B18" s="117"/>
      <c r="C18" s="117" t="s">
        <v>4637</v>
      </c>
      <c r="D18" s="117" t="s">
        <v>4636</v>
      </c>
      <c r="E18" s="117" t="s">
        <v>1644</v>
      </c>
      <c r="F18" s="116">
        <v>1</v>
      </c>
      <c r="G18" s="108">
        <f>'Krycí list rozpočtu-SO06+SO07'!I28</f>
        <v>0</v>
      </c>
      <c r="H18" s="108">
        <f t="shared" si="0"/>
        <v>0</v>
      </c>
      <c r="I18" s="108">
        <f t="shared" si="1"/>
        <v>0</v>
      </c>
      <c r="J18" s="108">
        <f t="shared" si="2"/>
        <v>0</v>
      </c>
      <c r="K18" s="108">
        <v>0</v>
      </c>
      <c r="L18" s="108">
        <f t="shared" si="3"/>
        <v>0</v>
      </c>
      <c r="M18" s="111" t="s">
        <v>1671</v>
      </c>
      <c r="Z18" s="100">
        <f t="shared" si="4"/>
        <v>0</v>
      </c>
      <c r="AB18" s="100">
        <f t="shared" si="5"/>
        <v>0</v>
      </c>
      <c r="AC18" s="100">
        <f t="shared" si="6"/>
        <v>0</v>
      </c>
      <c r="AD18" s="100">
        <f t="shared" si="7"/>
        <v>0</v>
      </c>
      <c r="AE18" s="100">
        <f t="shared" si="8"/>
        <v>0</v>
      </c>
      <c r="AF18" s="100">
        <f t="shared" si="9"/>
        <v>0</v>
      </c>
      <c r="AG18" s="100">
        <f t="shared" si="10"/>
        <v>0</v>
      </c>
      <c r="AH18" s="100">
        <f t="shared" si="11"/>
        <v>0</v>
      </c>
      <c r="AI18" s="109"/>
      <c r="AJ18" s="108">
        <f t="shared" si="12"/>
        <v>0</v>
      </c>
      <c r="AK18" s="108">
        <f t="shared" si="13"/>
        <v>0</v>
      </c>
      <c r="AL18" s="108">
        <f t="shared" si="14"/>
        <v>0</v>
      </c>
      <c r="AN18" s="100">
        <v>15</v>
      </c>
      <c r="AO18" s="100">
        <f t="shared" si="15"/>
        <v>0</v>
      </c>
      <c r="AP18" s="100">
        <f t="shared" si="16"/>
        <v>0</v>
      </c>
      <c r="AQ18" s="111" t="s">
        <v>7</v>
      </c>
      <c r="AV18" s="100">
        <f t="shared" si="17"/>
        <v>0</v>
      </c>
      <c r="AW18" s="100">
        <f t="shared" si="18"/>
        <v>0</v>
      </c>
      <c r="AX18" s="100">
        <f t="shared" si="19"/>
        <v>0</v>
      </c>
      <c r="AY18" s="110" t="s">
        <v>4629</v>
      </c>
      <c r="AZ18" s="110" t="s">
        <v>1730</v>
      </c>
      <c r="BA18" s="109" t="s">
        <v>1737</v>
      </c>
      <c r="BC18" s="100">
        <f t="shared" si="20"/>
        <v>0</v>
      </c>
      <c r="BD18" s="100">
        <f t="shared" si="21"/>
        <v>0</v>
      </c>
      <c r="BE18" s="100">
        <v>0</v>
      </c>
      <c r="BF18" s="100">
        <f t="shared" si="22"/>
        <v>0</v>
      </c>
      <c r="BH18" s="108">
        <f t="shared" si="23"/>
        <v>0</v>
      </c>
      <c r="BI18" s="108">
        <f t="shared" si="24"/>
        <v>0</v>
      </c>
      <c r="BJ18" s="108">
        <f t="shared" si="25"/>
        <v>0</v>
      </c>
    </row>
    <row r="19" spans="1:62" x14ac:dyDescent="0.2">
      <c r="A19" s="117" t="s">
        <v>13</v>
      </c>
      <c r="B19" s="117"/>
      <c r="C19" s="117" t="s">
        <v>4635</v>
      </c>
      <c r="D19" s="117" t="s">
        <v>4634</v>
      </c>
      <c r="E19" s="117" t="s">
        <v>1644</v>
      </c>
      <c r="F19" s="116">
        <v>1</v>
      </c>
      <c r="G19" s="108">
        <f>'Krycí list rozpočtu-SO08'!I28</f>
        <v>0</v>
      </c>
      <c r="H19" s="108">
        <f t="shared" si="0"/>
        <v>0</v>
      </c>
      <c r="I19" s="108">
        <f t="shared" si="1"/>
        <v>0</v>
      </c>
      <c r="J19" s="108">
        <f t="shared" si="2"/>
        <v>0</v>
      </c>
      <c r="K19" s="108">
        <v>0</v>
      </c>
      <c r="L19" s="108">
        <f t="shared" si="3"/>
        <v>0</v>
      </c>
      <c r="M19" s="111" t="s">
        <v>1671</v>
      </c>
      <c r="Z19" s="100">
        <f t="shared" si="4"/>
        <v>0</v>
      </c>
      <c r="AB19" s="100">
        <f t="shared" si="5"/>
        <v>0</v>
      </c>
      <c r="AC19" s="100">
        <f t="shared" si="6"/>
        <v>0</v>
      </c>
      <c r="AD19" s="100">
        <f t="shared" si="7"/>
        <v>0</v>
      </c>
      <c r="AE19" s="100">
        <f t="shared" si="8"/>
        <v>0</v>
      </c>
      <c r="AF19" s="100">
        <f t="shared" si="9"/>
        <v>0</v>
      </c>
      <c r="AG19" s="100">
        <f t="shared" si="10"/>
        <v>0</v>
      </c>
      <c r="AH19" s="100">
        <f t="shared" si="11"/>
        <v>0</v>
      </c>
      <c r="AI19" s="109"/>
      <c r="AJ19" s="108">
        <f t="shared" si="12"/>
        <v>0</v>
      </c>
      <c r="AK19" s="108">
        <f t="shared" si="13"/>
        <v>0</v>
      </c>
      <c r="AL19" s="108">
        <f t="shared" si="14"/>
        <v>0</v>
      </c>
      <c r="AN19" s="100">
        <v>15</v>
      </c>
      <c r="AO19" s="100">
        <f t="shared" si="15"/>
        <v>0</v>
      </c>
      <c r="AP19" s="100">
        <f t="shared" si="16"/>
        <v>0</v>
      </c>
      <c r="AQ19" s="111" t="s">
        <v>7</v>
      </c>
      <c r="AV19" s="100">
        <f t="shared" si="17"/>
        <v>0</v>
      </c>
      <c r="AW19" s="100">
        <f t="shared" si="18"/>
        <v>0</v>
      </c>
      <c r="AX19" s="100">
        <f t="shared" si="19"/>
        <v>0</v>
      </c>
      <c r="AY19" s="110" t="s">
        <v>4629</v>
      </c>
      <c r="AZ19" s="110" t="s">
        <v>1730</v>
      </c>
      <c r="BA19" s="109" t="s">
        <v>1737</v>
      </c>
      <c r="BC19" s="100">
        <f t="shared" si="20"/>
        <v>0</v>
      </c>
      <c r="BD19" s="100">
        <f t="shared" si="21"/>
        <v>0</v>
      </c>
      <c r="BE19" s="100">
        <v>0</v>
      </c>
      <c r="BF19" s="100">
        <f t="shared" si="22"/>
        <v>0</v>
      </c>
      <c r="BH19" s="108">
        <f t="shared" si="23"/>
        <v>0</v>
      </c>
      <c r="BI19" s="108">
        <f t="shared" si="24"/>
        <v>0</v>
      </c>
      <c r="BJ19" s="108">
        <f t="shared" si="25"/>
        <v>0</v>
      </c>
    </row>
    <row r="20" spans="1:62" x14ac:dyDescent="0.2">
      <c r="A20" s="117" t="s">
        <v>14</v>
      </c>
      <c r="B20" s="117"/>
      <c r="C20" s="117" t="s">
        <v>4633</v>
      </c>
      <c r="D20" s="117" t="s">
        <v>4632</v>
      </c>
      <c r="E20" s="117" t="s">
        <v>1644</v>
      </c>
      <c r="F20" s="116">
        <v>1</v>
      </c>
      <c r="G20" s="108">
        <f>'Krycí list rozpočtu-SO09'!I28</f>
        <v>0</v>
      </c>
      <c r="H20" s="108">
        <f t="shared" si="0"/>
        <v>0</v>
      </c>
      <c r="I20" s="108">
        <f t="shared" si="1"/>
        <v>0</v>
      </c>
      <c r="J20" s="108">
        <f t="shared" si="2"/>
        <v>0</v>
      </c>
      <c r="K20" s="108">
        <v>0</v>
      </c>
      <c r="L20" s="108">
        <f t="shared" si="3"/>
        <v>0</v>
      </c>
      <c r="M20" s="111" t="s">
        <v>1671</v>
      </c>
      <c r="Z20" s="100">
        <f t="shared" si="4"/>
        <v>0</v>
      </c>
      <c r="AB20" s="100">
        <f t="shared" si="5"/>
        <v>0</v>
      </c>
      <c r="AC20" s="100">
        <f t="shared" si="6"/>
        <v>0</v>
      </c>
      <c r="AD20" s="100">
        <f t="shared" si="7"/>
        <v>0</v>
      </c>
      <c r="AE20" s="100">
        <f t="shared" si="8"/>
        <v>0</v>
      </c>
      <c r="AF20" s="100">
        <f t="shared" si="9"/>
        <v>0</v>
      </c>
      <c r="AG20" s="100">
        <f t="shared" si="10"/>
        <v>0</v>
      </c>
      <c r="AH20" s="100">
        <f t="shared" si="11"/>
        <v>0</v>
      </c>
      <c r="AI20" s="109"/>
      <c r="AJ20" s="108">
        <f t="shared" si="12"/>
        <v>0</v>
      </c>
      <c r="AK20" s="108">
        <f t="shared" si="13"/>
        <v>0</v>
      </c>
      <c r="AL20" s="108">
        <f t="shared" si="14"/>
        <v>0</v>
      </c>
      <c r="AN20" s="100">
        <v>15</v>
      </c>
      <c r="AO20" s="100">
        <f t="shared" si="15"/>
        <v>0</v>
      </c>
      <c r="AP20" s="100">
        <f t="shared" si="16"/>
        <v>0</v>
      </c>
      <c r="AQ20" s="111" t="s">
        <v>7</v>
      </c>
      <c r="AV20" s="100">
        <f t="shared" si="17"/>
        <v>0</v>
      </c>
      <c r="AW20" s="100">
        <f t="shared" si="18"/>
        <v>0</v>
      </c>
      <c r="AX20" s="100">
        <f t="shared" si="19"/>
        <v>0</v>
      </c>
      <c r="AY20" s="110" t="s">
        <v>4629</v>
      </c>
      <c r="AZ20" s="110" t="s">
        <v>1730</v>
      </c>
      <c r="BA20" s="109" t="s">
        <v>1737</v>
      </c>
      <c r="BC20" s="100">
        <f t="shared" si="20"/>
        <v>0</v>
      </c>
      <c r="BD20" s="100">
        <f t="shared" si="21"/>
        <v>0</v>
      </c>
      <c r="BE20" s="100">
        <v>0</v>
      </c>
      <c r="BF20" s="100">
        <f t="shared" si="22"/>
        <v>0</v>
      </c>
      <c r="BH20" s="108">
        <f t="shared" si="23"/>
        <v>0</v>
      </c>
      <c r="BI20" s="108">
        <f t="shared" si="24"/>
        <v>0</v>
      </c>
      <c r="BJ20" s="108">
        <f t="shared" si="25"/>
        <v>0</v>
      </c>
    </row>
    <row r="21" spans="1:62" x14ac:dyDescent="0.2">
      <c r="A21" s="115" t="s">
        <v>15</v>
      </c>
      <c r="B21" s="115"/>
      <c r="C21" s="115" t="s">
        <v>4631</v>
      </c>
      <c r="D21" s="115" t="s">
        <v>4630</v>
      </c>
      <c r="E21" s="115" t="s">
        <v>1644</v>
      </c>
      <c r="F21" s="116">
        <v>1</v>
      </c>
      <c r="G21" s="108">
        <f>'Krycí list rozpočtu-SO10'!I28</f>
        <v>0</v>
      </c>
      <c r="H21" s="113">
        <f t="shared" si="0"/>
        <v>0</v>
      </c>
      <c r="I21" s="113">
        <f t="shared" si="1"/>
        <v>0</v>
      </c>
      <c r="J21" s="113">
        <f t="shared" si="2"/>
        <v>0</v>
      </c>
      <c r="K21" s="113">
        <v>0</v>
      </c>
      <c r="L21" s="113">
        <f t="shared" si="3"/>
        <v>0</v>
      </c>
      <c r="M21" s="112" t="s">
        <v>1671</v>
      </c>
      <c r="Z21" s="100">
        <f t="shared" si="4"/>
        <v>0</v>
      </c>
      <c r="AB21" s="100">
        <f t="shared" si="5"/>
        <v>0</v>
      </c>
      <c r="AC21" s="100">
        <f t="shared" si="6"/>
        <v>0</v>
      </c>
      <c r="AD21" s="100">
        <f t="shared" si="7"/>
        <v>0</v>
      </c>
      <c r="AE21" s="100">
        <f t="shared" si="8"/>
        <v>0</v>
      </c>
      <c r="AF21" s="100">
        <f t="shared" si="9"/>
        <v>0</v>
      </c>
      <c r="AG21" s="100">
        <f t="shared" si="10"/>
        <v>0</v>
      </c>
      <c r="AH21" s="100">
        <f t="shared" si="11"/>
        <v>0</v>
      </c>
      <c r="AI21" s="109"/>
      <c r="AJ21" s="108">
        <f t="shared" si="12"/>
        <v>0</v>
      </c>
      <c r="AK21" s="108">
        <f t="shared" si="13"/>
        <v>0</v>
      </c>
      <c r="AL21" s="108">
        <f t="shared" si="14"/>
        <v>0</v>
      </c>
      <c r="AN21" s="100">
        <v>15</v>
      </c>
      <c r="AO21" s="100">
        <f t="shared" si="15"/>
        <v>0</v>
      </c>
      <c r="AP21" s="100">
        <f t="shared" si="16"/>
        <v>0</v>
      </c>
      <c r="AQ21" s="111" t="s">
        <v>7</v>
      </c>
      <c r="AV21" s="100">
        <f t="shared" si="17"/>
        <v>0</v>
      </c>
      <c r="AW21" s="100">
        <f t="shared" si="18"/>
        <v>0</v>
      </c>
      <c r="AX21" s="100">
        <f t="shared" si="19"/>
        <v>0</v>
      </c>
      <c r="AY21" s="110" t="s">
        <v>4629</v>
      </c>
      <c r="AZ21" s="110" t="s">
        <v>1730</v>
      </c>
      <c r="BA21" s="109" t="s">
        <v>1737</v>
      </c>
      <c r="BC21" s="100">
        <f t="shared" si="20"/>
        <v>0</v>
      </c>
      <c r="BD21" s="100">
        <f t="shared" si="21"/>
        <v>0</v>
      </c>
      <c r="BE21" s="100">
        <v>0</v>
      </c>
      <c r="BF21" s="100">
        <f t="shared" si="22"/>
        <v>0</v>
      </c>
      <c r="BH21" s="108">
        <f t="shared" si="23"/>
        <v>0</v>
      </c>
      <c r="BI21" s="108">
        <f t="shared" si="24"/>
        <v>0</v>
      </c>
      <c r="BJ21" s="108">
        <f t="shared" si="25"/>
        <v>0</v>
      </c>
    </row>
    <row r="22" spans="1:62" ht="28.5" customHeight="1" x14ac:dyDescent="0.2">
      <c r="A22" s="84"/>
      <c r="B22" s="84"/>
      <c r="C22" s="84"/>
      <c r="D22" s="84"/>
      <c r="E22" s="84"/>
      <c r="F22" s="152"/>
      <c r="G22" s="152" t="s">
        <v>4628</v>
      </c>
      <c r="H22" s="310" t="s">
        <v>1666</v>
      </c>
      <c r="I22" s="291"/>
      <c r="J22" s="156">
        <f>SUM(J13:J21)</f>
        <v>0</v>
      </c>
      <c r="K22" s="84"/>
      <c r="L22" s="84"/>
      <c r="M22" s="84"/>
    </row>
    <row r="23" spans="1:62" ht="31.5" customHeight="1" x14ac:dyDescent="0.2">
      <c r="A23" s="106" t="s">
        <v>569</v>
      </c>
      <c r="F23" s="151"/>
      <c r="G23" s="171" t="s">
        <v>4659</v>
      </c>
      <c r="J23" s="157">
        <f>J22*1.12</f>
        <v>0</v>
      </c>
    </row>
    <row r="24" spans="1:62" x14ac:dyDescent="0.2">
      <c r="A24" s="255"/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</row>
    <row r="27" spans="1:62" x14ac:dyDescent="0.2">
      <c r="P27" s="150"/>
    </row>
  </sheetData>
  <sheetProtection algorithmName="SHA-512" hashValue="4UxuNC2pS/efN7tvYD30D633jcfX8B4Qy5kimwZRlG9FOeDg89SBkHD53d2ea4RvCVCrv/qdfusZanx4fipaGA==" saltValue="XSMor/2YRUDkSq6YRbOW3Q==" spinCount="100000" sheet="1" objects="1" scenarios="1"/>
  <mergeCells count="29">
    <mergeCell ref="I4:M5"/>
    <mergeCell ref="A4:C5"/>
    <mergeCell ref="D4:D5"/>
    <mergeCell ref="E4:F5"/>
    <mergeCell ref="G4:G5"/>
    <mergeCell ref="H4:H5"/>
    <mergeCell ref="A1:M1"/>
    <mergeCell ref="A2:C3"/>
    <mergeCell ref="D2:D3"/>
    <mergeCell ref="E2:F3"/>
    <mergeCell ref="G2:G3"/>
    <mergeCell ref="H2:H3"/>
    <mergeCell ref="I2:M3"/>
    <mergeCell ref="A6:C7"/>
    <mergeCell ref="D6:D7"/>
    <mergeCell ref="E6:F7"/>
    <mergeCell ref="H10:J10"/>
    <mergeCell ref="K10:L10"/>
    <mergeCell ref="G6:G7"/>
    <mergeCell ref="H6:H7"/>
    <mergeCell ref="I6:M7"/>
    <mergeCell ref="H22:I22"/>
    <mergeCell ref="A24:M24"/>
    <mergeCell ref="A8:C9"/>
    <mergeCell ref="D8:D9"/>
    <mergeCell ref="E8:F9"/>
    <mergeCell ref="G8:G9"/>
    <mergeCell ref="H8:H9"/>
    <mergeCell ref="I8:M9"/>
  </mergeCells>
  <pageMargins left="0.39400000000000002" right="0.39400000000000002" top="0.59099999999999997" bottom="0.59099999999999997" header="0.5" footer="0.5"/>
  <pageSetup paperSize="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857"/>
  <sheetViews>
    <sheetView workbookViewId="0">
      <pane ySplit="10" topLeftCell="A846" activePane="bottomLeft" state="frozenSplit"/>
      <selection activeCell="C6" sqref="C6:C7"/>
      <selection pane="bottomLeft" activeCell="C6" sqref="C6:D7"/>
    </sheetView>
  </sheetViews>
  <sheetFormatPr defaultColWidth="11.5703125" defaultRowHeight="12.75" x14ac:dyDescent="0.2"/>
  <cols>
    <col min="1" max="2" width="9.140625" customWidth="1"/>
    <col min="3" max="3" width="13.28515625" customWidth="1"/>
    <col min="4" max="4" width="133" customWidth="1"/>
    <col min="5" max="5" width="14.5703125" customWidth="1"/>
    <col min="6" max="6" width="5.42578125" customWidth="1"/>
    <col min="7" max="7" width="14.28515625" customWidth="1"/>
    <col min="8" max="8" width="18.140625" hidden="1" customWidth="1"/>
  </cols>
  <sheetData>
    <row r="1" spans="1:9" ht="72.95" customHeight="1" x14ac:dyDescent="0.35">
      <c r="A1" s="212" t="s">
        <v>1748</v>
      </c>
      <c r="B1" s="174"/>
      <c r="C1" s="174"/>
      <c r="D1" s="174"/>
      <c r="E1" s="174"/>
      <c r="F1" s="174"/>
      <c r="G1" s="174"/>
      <c r="H1" s="174"/>
    </row>
    <row r="2" spans="1:9" x14ac:dyDescent="0.2">
      <c r="A2" s="175" t="s">
        <v>1</v>
      </c>
      <c r="B2" s="176"/>
      <c r="C2" s="179" t="str">
        <f>'Stavební rozpočet-SO01'!C2</f>
        <v>Snížení energetické.náročnosti objektů Domova Kladno-Švermov</v>
      </c>
      <c r="D2" s="180"/>
      <c r="E2" s="182" t="s">
        <v>1657</v>
      </c>
      <c r="F2" s="182" t="str">
        <f>'Stavební rozpočet-SO01'!I2</f>
        <v> </v>
      </c>
      <c r="G2" s="176"/>
      <c r="H2" s="213"/>
      <c r="I2" s="32"/>
    </row>
    <row r="3" spans="1:9" x14ac:dyDescent="0.2">
      <c r="A3" s="177"/>
      <c r="B3" s="178"/>
      <c r="C3" s="181"/>
      <c r="D3" s="181"/>
      <c r="E3" s="178"/>
      <c r="F3" s="178"/>
      <c r="G3" s="178"/>
      <c r="H3" s="184"/>
      <c r="I3" s="32"/>
    </row>
    <row r="4" spans="1:9" x14ac:dyDescent="0.2">
      <c r="A4" s="186" t="s">
        <v>2</v>
      </c>
      <c r="B4" s="178"/>
      <c r="C4" s="187" t="str">
        <f>'Stavební rozpočet-SO01'!C4</f>
        <v>SO 01 - OBJEKT 1 - č.p.1454</v>
      </c>
      <c r="D4" s="178"/>
      <c r="E4" s="187" t="s">
        <v>1658</v>
      </c>
      <c r="F4" s="187" t="str">
        <f>'Stavební rozpočet-SO01'!I4</f>
        <v> </v>
      </c>
      <c r="G4" s="178"/>
      <c r="H4" s="184"/>
      <c r="I4" s="32"/>
    </row>
    <row r="5" spans="1:9" x14ac:dyDescent="0.2">
      <c r="A5" s="177"/>
      <c r="B5" s="178"/>
      <c r="C5" s="178"/>
      <c r="D5" s="178"/>
      <c r="E5" s="178"/>
      <c r="F5" s="178"/>
      <c r="G5" s="178"/>
      <c r="H5" s="184"/>
      <c r="I5" s="32"/>
    </row>
    <row r="6" spans="1:9" x14ac:dyDescent="0.2">
      <c r="A6" s="186" t="s">
        <v>3</v>
      </c>
      <c r="B6" s="178"/>
      <c r="C6" s="187" t="str">
        <f>'Stavební rozpočet-SO01'!C6</f>
        <v xml:space="preserve"> </v>
      </c>
      <c r="D6" s="178"/>
      <c r="E6" s="187" t="s">
        <v>1659</v>
      </c>
      <c r="F6" s="187" t="str">
        <f>'Stavební rozpočet-SO01'!I6</f>
        <v> </v>
      </c>
      <c r="G6" s="178"/>
      <c r="H6" s="184"/>
      <c r="I6" s="32"/>
    </row>
    <row r="7" spans="1:9" x14ac:dyDescent="0.2">
      <c r="A7" s="177"/>
      <c r="B7" s="178"/>
      <c r="C7" s="178"/>
      <c r="D7" s="178"/>
      <c r="E7" s="178"/>
      <c r="F7" s="178"/>
      <c r="G7" s="178"/>
      <c r="H7" s="184"/>
      <c r="I7" s="32"/>
    </row>
    <row r="8" spans="1:9" x14ac:dyDescent="0.2">
      <c r="A8" s="186" t="s">
        <v>1660</v>
      </c>
      <c r="B8" s="178"/>
      <c r="C8" s="187" t="str">
        <f>'Stavební rozpočet-SO01'!I8</f>
        <v> </v>
      </c>
      <c r="D8" s="178"/>
      <c r="E8" s="187" t="s">
        <v>1642</v>
      </c>
      <c r="F8" s="187"/>
      <c r="G8" s="178"/>
      <c r="H8" s="184"/>
      <c r="I8" s="32"/>
    </row>
    <row r="9" spans="1:9" x14ac:dyDescent="0.2">
      <c r="A9" s="214"/>
      <c r="B9" s="215"/>
      <c r="C9" s="215"/>
      <c r="D9" s="215"/>
      <c r="E9" s="215"/>
      <c r="F9" s="215"/>
      <c r="G9" s="215"/>
      <c r="H9" s="216"/>
      <c r="I9" s="32"/>
    </row>
    <row r="10" spans="1:9" x14ac:dyDescent="0.2">
      <c r="A10" s="41" t="s">
        <v>5</v>
      </c>
      <c r="B10" s="46" t="s">
        <v>1742</v>
      </c>
      <c r="C10" s="46" t="s">
        <v>570</v>
      </c>
      <c r="D10" s="217" t="s">
        <v>1049</v>
      </c>
      <c r="E10" s="218"/>
      <c r="F10" s="46" t="s">
        <v>1643</v>
      </c>
      <c r="G10" s="47" t="s">
        <v>1656</v>
      </c>
      <c r="H10" s="39" t="s">
        <v>1880</v>
      </c>
      <c r="I10" s="33"/>
    </row>
    <row r="11" spans="1:9" x14ac:dyDescent="0.2">
      <c r="A11" s="12"/>
      <c r="B11" s="12"/>
      <c r="C11" s="12" t="s">
        <v>17</v>
      </c>
      <c r="D11" s="238" t="s">
        <v>1051</v>
      </c>
      <c r="E11" s="239"/>
      <c r="F11" s="12"/>
      <c r="G11" s="68"/>
      <c r="H11" s="27"/>
    </row>
    <row r="12" spans="1:9" x14ac:dyDescent="0.2">
      <c r="A12" s="4" t="s">
        <v>7</v>
      </c>
      <c r="B12" s="4"/>
      <c r="C12" s="4" t="s">
        <v>571</v>
      </c>
      <c r="D12" s="240" t="s">
        <v>1052</v>
      </c>
      <c r="E12" s="241"/>
      <c r="F12" s="4" t="s">
        <v>1644</v>
      </c>
      <c r="G12" s="69">
        <v>1</v>
      </c>
      <c r="H12" s="17">
        <v>0</v>
      </c>
    </row>
    <row r="13" spans="1:9" ht="12.2" customHeight="1" x14ac:dyDescent="0.2">
      <c r="D13" s="251" t="s">
        <v>1749</v>
      </c>
      <c r="E13" s="252"/>
      <c r="F13" s="252"/>
      <c r="G13" s="48">
        <v>1</v>
      </c>
    </row>
    <row r="14" spans="1:9" x14ac:dyDescent="0.2">
      <c r="A14" s="4" t="s">
        <v>8</v>
      </c>
      <c r="B14" s="4"/>
      <c r="C14" s="4" t="s">
        <v>572</v>
      </c>
      <c r="D14" s="240" t="s">
        <v>1053</v>
      </c>
      <c r="E14" s="241"/>
      <c r="F14" s="4" t="s">
        <v>1644</v>
      </c>
      <c r="G14" s="69">
        <v>1</v>
      </c>
      <c r="H14" s="17">
        <v>0</v>
      </c>
    </row>
    <row r="15" spans="1:9" ht="12.2" customHeight="1" x14ac:dyDescent="0.2">
      <c r="D15" s="251" t="s">
        <v>1749</v>
      </c>
      <c r="E15" s="252"/>
      <c r="F15" s="252"/>
      <c r="G15" s="48">
        <v>1</v>
      </c>
    </row>
    <row r="16" spans="1:9" x14ac:dyDescent="0.2">
      <c r="A16" s="4" t="s">
        <v>9</v>
      </c>
      <c r="B16" s="4"/>
      <c r="C16" s="4" t="s">
        <v>573</v>
      </c>
      <c r="D16" s="240" t="s">
        <v>1054</v>
      </c>
      <c r="E16" s="241"/>
      <c r="F16" s="4" t="s">
        <v>1645</v>
      </c>
      <c r="G16" s="69">
        <v>32.174999999999997</v>
      </c>
      <c r="H16" s="17">
        <v>0</v>
      </c>
    </row>
    <row r="17" spans="1:8" ht="12.2" customHeight="1" x14ac:dyDescent="0.2">
      <c r="D17" s="251" t="s">
        <v>1750</v>
      </c>
      <c r="E17" s="252"/>
      <c r="F17" s="252"/>
      <c r="G17" s="48">
        <v>32.174999999999997</v>
      </c>
    </row>
    <row r="18" spans="1:8" x14ac:dyDescent="0.2">
      <c r="A18" s="4" t="s">
        <v>10</v>
      </c>
      <c r="B18" s="4"/>
      <c r="C18" s="4" t="s">
        <v>573</v>
      </c>
      <c r="D18" s="240" t="s">
        <v>1055</v>
      </c>
      <c r="E18" s="241"/>
      <c r="F18" s="4" t="s">
        <v>1645</v>
      </c>
      <c r="G18" s="69">
        <v>3.2250000000000001</v>
      </c>
      <c r="H18" s="17">
        <v>0</v>
      </c>
    </row>
    <row r="19" spans="1:8" ht="12.2" customHeight="1" x14ac:dyDescent="0.2">
      <c r="D19" s="251" t="s">
        <v>1751</v>
      </c>
      <c r="E19" s="252"/>
      <c r="F19" s="252"/>
      <c r="G19" s="48">
        <v>3.2250000000000001</v>
      </c>
    </row>
    <row r="20" spans="1:8" x14ac:dyDescent="0.2">
      <c r="A20" s="4" t="s">
        <v>11</v>
      </c>
      <c r="B20" s="4"/>
      <c r="C20" s="4" t="s">
        <v>574</v>
      </c>
      <c r="D20" s="240" t="s">
        <v>1056</v>
      </c>
      <c r="E20" s="241"/>
      <c r="F20" s="4" t="s">
        <v>1645</v>
      </c>
      <c r="G20" s="69">
        <v>5.58</v>
      </c>
      <c r="H20" s="17">
        <v>0</v>
      </c>
    </row>
    <row r="21" spans="1:8" ht="12.2" customHeight="1" x14ac:dyDescent="0.2">
      <c r="D21" s="251" t="s">
        <v>1752</v>
      </c>
      <c r="E21" s="252"/>
      <c r="F21" s="252"/>
      <c r="G21" s="48">
        <v>5.58</v>
      </c>
    </row>
    <row r="22" spans="1:8" x14ac:dyDescent="0.2">
      <c r="A22" s="4" t="s">
        <v>12</v>
      </c>
      <c r="B22" s="4"/>
      <c r="C22" s="4" t="s">
        <v>575</v>
      </c>
      <c r="D22" s="240" t="s">
        <v>1057</v>
      </c>
      <c r="E22" s="241"/>
      <c r="F22" s="4" t="s">
        <v>1646</v>
      </c>
      <c r="G22" s="69">
        <v>3.6</v>
      </c>
      <c r="H22" s="17">
        <v>0</v>
      </c>
    </row>
    <row r="23" spans="1:8" ht="12.2" customHeight="1" x14ac:dyDescent="0.2">
      <c r="D23" s="251" t="s">
        <v>1753</v>
      </c>
      <c r="E23" s="252"/>
      <c r="F23" s="252"/>
      <c r="G23" s="48">
        <v>3.6</v>
      </c>
    </row>
    <row r="24" spans="1:8" x14ac:dyDescent="0.2">
      <c r="A24" s="4" t="s">
        <v>13</v>
      </c>
      <c r="B24" s="4"/>
      <c r="C24" s="4" t="s">
        <v>576</v>
      </c>
      <c r="D24" s="240" t="s">
        <v>1058</v>
      </c>
      <c r="E24" s="241"/>
      <c r="F24" s="4" t="s">
        <v>1646</v>
      </c>
      <c r="G24" s="69">
        <v>3.1</v>
      </c>
      <c r="H24" s="17">
        <v>0</v>
      </c>
    </row>
    <row r="25" spans="1:8" ht="12.2" customHeight="1" x14ac:dyDescent="0.2">
      <c r="D25" s="251" t="s">
        <v>1754</v>
      </c>
      <c r="E25" s="252"/>
      <c r="F25" s="252"/>
      <c r="G25" s="48">
        <v>3.1</v>
      </c>
    </row>
    <row r="26" spans="1:8" x14ac:dyDescent="0.2">
      <c r="A26" s="13"/>
      <c r="B26" s="13"/>
      <c r="C26" s="13" t="s">
        <v>18</v>
      </c>
      <c r="D26" s="244" t="s">
        <v>1059</v>
      </c>
      <c r="E26" s="245"/>
      <c r="F26" s="13"/>
      <c r="G26" s="70"/>
      <c r="H26" s="29"/>
    </row>
    <row r="27" spans="1:8" x14ac:dyDescent="0.2">
      <c r="A27" s="4" t="s">
        <v>14</v>
      </c>
      <c r="B27" s="4"/>
      <c r="C27" s="4" t="s">
        <v>577</v>
      </c>
      <c r="D27" s="240" t="s">
        <v>1060</v>
      </c>
      <c r="E27" s="241"/>
      <c r="F27" s="4" t="s">
        <v>1647</v>
      </c>
      <c r="G27" s="69">
        <v>9.7629999999999999</v>
      </c>
      <c r="H27" s="17">
        <v>0</v>
      </c>
    </row>
    <row r="28" spans="1:8" ht="12.2" customHeight="1" x14ac:dyDescent="0.2">
      <c r="D28" s="251" t="s">
        <v>1755</v>
      </c>
      <c r="E28" s="252"/>
      <c r="F28" s="252"/>
      <c r="G28" s="48">
        <v>9.7629999999999999</v>
      </c>
    </row>
    <row r="29" spans="1:8" x14ac:dyDescent="0.2">
      <c r="A29" s="13"/>
      <c r="B29" s="13"/>
      <c r="C29" s="13" t="s">
        <v>19</v>
      </c>
      <c r="D29" s="244" t="s">
        <v>1061</v>
      </c>
      <c r="E29" s="245"/>
      <c r="F29" s="13"/>
      <c r="G29" s="70"/>
      <c r="H29" s="29"/>
    </row>
    <row r="30" spans="1:8" x14ac:dyDescent="0.2">
      <c r="A30" s="4" t="s">
        <v>15</v>
      </c>
      <c r="B30" s="4"/>
      <c r="C30" s="4" t="s">
        <v>578</v>
      </c>
      <c r="D30" s="240" t="s">
        <v>1062</v>
      </c>
      <c r="E30" s="241"/>
      <c r="F30" s="4" t="s">
        <v>1647</v>
      </c>
      <c r="G30" s="69">
        <v>100.72799999999999</v>
      </c>
      <c r="H30" s="17">
        <v>0</v>
      </c>
    </row>
    <row r="31" spans="1:8" ht="12.2" customHeight="1" x14ac:dyDescent="0.2">
      <c r="D31" s="251" t="s">
        <v>1756</v>
      </c>
      <c r="E31" s="252"/>
      <c r="F31" s="252"/>
      <c r="G31" s="48">
        <v>100.72799999999999</v>
      </c>
    </row>
    <row r="32" spans="1:8" x14ac:dyDescent="0.2">
      <c r="A32" s="4" t="s">
        <v>16</v>
      </c>
      <c r="B32" s="4"/>
      <c r="C32" s="4" t="s">
        <v>579</v>
      </c>
      <c r="D32" s="240" t="s">
        <v>1063</v>
      </c>
      <c r="E32" s="241"/>
      <c r="F32" s="4" t="s">
        <v>1647</v>
      </c>
      <c r="G32" s="69">
        <v>100.72799999999999</v>
      </c>
      <c r="H32" s="17">
        <v>0</v>
      </c>
    </row>
    <row r="33" spans="1:8" ht="12.2" customHeight="1" x14ac:dyDescent="0.2">
      <c r="D33" s="251" t="s">
        <v>1757</v>
      </c>
      <c r="E33" s="252"/>
      <c r="F33" s="252"/>
      <c r="G33" s="48">
        <v>100.72799999999999</v>
      </c>
    </row>
    <row r="34" spans="1:8" x14ac:dyDescent="0.2">
      <c r="A34" s="4" t="s">
        <v>17</v>
      </c>
      <c r="B34" s="4"/>
      <c r="C34" s="4" t="s">
        <v>580</v>
      </c>
      <c r="D34" s="240" t="s">
        <v>1064</v>
      </c>
      <c r="E34" s="241"/>
      <c r="F34" s="4" t="s">
        <v>1647</v>
      </c>
      <c r="G34" s="69">
        <v>2.2050000000000001</v>
      </c>
      <c r="H34" s="17">
        <v>0</v>
      </c>
    </row>
    <row r="35" spans="1:8" ht="12.2" customHeight="1" x14ac:dyDescent="0.2">
      <c r="D35" s="251" t="s">
        <v>1758</v>
      </c>
      <c r="E35" s="252"/>
      <c r="F35" s="252"/>
      <c r="G35" s="48">
        <v>2.2050000000000001</v>
      </c>
    </row>
    <row r="36" spans="1:8" x14ac:dyDescent="0.2">
      <c r="A36" s="4" t="s">
        <v>18</v>
      </c>
      <c r="B36" s="4"/>
      <c r="C36" s="4" t="s">
        <v>580</v>
      </c>
      <c r="D36" s="240" t="s">
        <v>1065</v>
      </c>
      <c r="E36" s="241"/>
      <c r="F36" s="4" t="s">
        <v>1647</v>
      </c>
      <c r="G36" s="69">
        <v>1.1599999999999999</v>
      </c>
      <c r="H36" s="17">
        <v>0</v>
      </c>
    </row>
    <row r="37" spans="1:8" ht="12.2" customHeight="1" x14ac:dyDescent="0.2">
      <c r="D37" s="251" t="s">
        <v>1759</v>
      </c>
      <c r="E37" s="252"/>
      <c r="F37" s="252"/>
      <c r="G37" s="48">
        <v>1.1599999999999999</v>
      </c>
    </row>
    <row r="38" spans="1:8" x14ac:dyDescent="0.2">
      <c r="A38" s="13"/>
      <c r="B38" s="13"/>
      <c r="C38" s="13" t="s">
        <v>22</v>
      </c>
      <c r="D38" s="244" t="s">
        <v>1066</v>
      </c>
      <c r="E38" s="245"/>
      <c r="F38" s="13"/>
      <c r="G38" s="70"/>
      <c r="H38" s="29"/>
    </row>
    <row r="39" spans="1:8" x14ac:dyDescent="0.2">
      <c r="A39" s="4" t="s">
        <v>19</v>
      </c>
      <c r="B39" s="4"/>
      <c r="C39" s="4" t="s">
        <v>581</v>
      </c>
      <c r="D39" s="240" t="s">
        <v>1067</v>
      </c>
      <c r="E39" s="241"/>
      <c r="F39" s="4" t="s">
        <v>1647</v>
      </c>
      <c r="G39" s="69">
        <v>-20.367999999999999</v>
      </c>
      <c r="H39" s="17">
        <v>0</v>
      </c>
    </row>
    <row r="40" spans="1:8" ht="12.2" customHeight="1" x14ac:dyDescent="0.2">
      <c r="D40" s="251" t="s">
        <v>1760</v>
      </c>
      <c r="E40" s="252"/>
      <c r="F40" s="252"/>
      <c r="G40" s="48">
        <v>-20.367999999999999</v>
      </c>
    </row>
    <row r="41" spans="1:8" x14ac:dyDescent="0.2">
      <c r="A41" s="4" t="s">
        <v>20</v>
      </c>
      <c r="B41" s="4"/>
      <c r="C41" s="4" t="s">
        <v>582</v>
      </c>
      <c r="D41" s="240" t="s">
        <v>1068</v>
      </c>
      <c r="E41" s="241"/>
      <c r="F41" s="4" t="s">
        <v>1648</v>
      </c>
      <c r="G41" s="69">
        <v>0</v>
      </c>
      <c r="H41" s="17">
        <v>0</v>
      </c>
    </row>
    <row r="42" spans="1:8" ht="12.2" customHeight="1" x14ac:dyDescent="0.2">
      <c r="D42" s="251" t="s">
        <v>1761</v>
      </c>
      <c r="E42" s="252"/>
      <c r="F42" s="252"/>
      <c r="G42" s="48">
        <v>0</v>
      </c>
    </row>
    <row r="43" spans="1:8" x14ac:dyDescent="0.2">
      <c r="A43" s="4" t="s">
        <v>21</v>
      </c>
      <c r="B43" s="4"/>
      <c r="C43" s="4" t="s">
        <v>583</v>
      </c>
      <c r="D43" s="240" t="s">
        <v>1069</v>
      </c>
      <c r="E43" s="241"/>
      <c r="F43" s="4" t="s">
        <v>1647</v>
      </c>
      <c r="G43" s="69">
        <v>0</v>
      </c>
      <c r="H43" s="17">
        <v>0</v>
      </c>
    </row>
    <row r="44" spans="1:8" ht="12.2" customHeight="1" x14ac:dyDescent="0.2">
      <c r="D44" s="251" t="s">
        <v>1762</v>
      </c>
      <c r="E44" s="252"/>
      <c r="F44" s="252"/>
      <c r="G44" s="48">
        <v>0</v>
      </c>
    </row>
    <row r="45" spans="1:8" x14ac:dyDescent="0.2">
      <c r="A45" s="13"/>
      <c r="B45" s="13"/>
      <c r="C45" s="13" t="s">
        <v>23</v>
      </c>
      <c r="D45" s="244" t="s">
        <v>1070</v>
      </c>
      <c r="E45" s="245"/>
      <c r="F45" s="13"/>
      <c r="G45" s="70"/>
      <c r="H45" s="29"/>
    </row>
    <row r="46" spans="1:8" x14ac:dyDescent="0.2">
      <c r="A46" s="4" t="s">
        <v>22</v>
      </c>
      <c r="B46" s="4"/>
      <c r="C46" s="4" t="s">
        <v>584</v>
      </c>
      <c r="D46" s="240" t="s">
        <v>1071</v>
      </c>
      <c r="E46" s="241"/>
      <c r="F46" s="4" t="s">
        <v>1647</v>
      </c>
      <c r="G46" s="69">
        <v>0</v>
      </c>
      <c r="H46" s="17">
        <v>0</v>
      </c>
    </row>
    <row r="47" spans="1:8" ht="12.2" customHeight="1" x14ac:dyDescent="0.2">
      <c r="D47" s="251" t="s">
        <v>1762</v>
      </c>
      <c r="E47" s="252"/>
      <c r="F47" s="252"/>
      <c r="G47" s="48">
        <v>0</v>
      </c>
    </row>
    <row r="48" spans="1:8" x14ac:dyDescent="0.2">
      <c r="A48" s="4" t="s">
        <v>23</v>
      </c>
      <c r="B48" s="4"/>
      <c r="C48" s="4" t="s">
        <v>585</v>
      </c>
      <c r="D48" s="240" t="s">
        <v>1072</v>
      </c>
      <c r="E48" s="241"/>
      <c r="F48" s="4" t="s">
        <v>1647</v>
      </c>
      <c r="G48" s="69">
        <v>59.168999999999997</v>
      </c>
      <c r="H48" s="17">
        <v>0</v>
      </c>
    </row>
    <row r="49" spans="1:8" ht="12.2" customHeight="1" x14ac:dyDescent="0.2">
      <c r="D49" s="251" t="s">
        <v>1763</v>
      </c>
      <c r="E49" s="252"/>
      <c r="F49" s="252"/>
      <c r="G49" s="48">
        <v>59.168999999999997</v>
      </c>
    </row>
    <row r="50" spans="1:8" x14ac:dyDescent="0.2">
      <c r="A50" s="4" t="s">
        <v>24</v>
      </c>
      <c r="B50" s="4"/>
      <c r="C50" s="4" t="s">
        <v>585</v>
      </c>
      <c r="D50" s="240" t="s">
        <v>1073</v>
      </c>
      <c r="E50" s="241"/>
      <c r="F50" s="4" t="s">
        <v>1647</v>
      </c>
      <c r="G50" s="69">
        <v>62.387999999999998</v>
      </c>
      <c r="H50" s="17">
        <v>0</v>
      </c>
    </row>
    <row r="51" spans="1:8" ht="12.2" customHeight="1" x14ac:dyDescent="0.2">
      <c r="D51" s="251" t="s">
        <v>1764</v>
      </c>
      <c r="E51" s="252"/>
      <c r="F51" s="252"/>
      <c r="G51" s="48">
        <v>62.387999999999998</v>
      </c>
    </row>
    <row r="52" spans="1:8" x14ac:dyDescent="0.2">
      <c r="A52" s="4" t="s">
        <v>25</v>
      </c>
      <c r="B52" s="4"/>
      <c r="C52" s="4" t="s">
        <v>585</v>
      </c>
      <c r="D52" s="240" t="s">
        <v>1074</v>
      </c>
      <c r="E52" s="241"/>
      <c r="F52" s="4" t="s">
        <v>1647</v>
      </c>
      <c r="G52" s="69">
        <v>1.86</v>
      </c>
      <c r="H52" s="17">
        <v>0</v>
      </c>
    </row>
    <row r="53" spans="1:8" ht="12.2" customHeight="1" x14ac:dyDescent="0.2">
      <c r="D53" s="251" t="s">
        <v>1765</v>
      </c>
      <c r="E53" s="252"/>
      <c r="F53" s="252"/>
      <c r="G53" s="48">
        <v>1.86</v>
      </c>
    </row>
    <row r="54" spans="1:8" x14ac:dyDescent="0.2">
      <c r="A54" s="4" t="s">
        <v>26</v>
      </c>
      <c r="B54" s="4"/>
      <c r="C54" s="4" t="s">
        <v>586</v>
      </c>
      <c r="D54" s="240" t="s">
        <v>1075</v>
      </c>
      <c r="E54" s="241"/>
      <c r="F54" s="4" t="s">
        <v>1647</v>
      </c>
      <c r="G54" s="69">
        <v>1.044</v>
      </c>
      <c r="H54" s="17">
        <v>0</v>
      </c>
    </row>
    <row r="55" spans="1:8" ht="12.2" customHeight="1" x14ac:dyDescent="0.2">
      <c r="D55" s="251" t="s">
        <v>1766</v>
      </c>
      <c r="E55" s="252"/>
      <c r="F55" s="252"/>
      <c r="G55" s="48">
        <v>1.044</v>
      </c>
    </row>
    <row r="56" spans="1:8" x14ac:dyDescent="0.2">
      <c r="A56" s="13"/>
      <c r="B56" s="13"/>
      <c r="C56" s="13" t="s">
        <v>24</v>
      </c>
      <c r="D56" s="244" t="s">
        <v>1076</v>
      </c>
      <c r="E56" s="245"/>
      <c r="F56" s="13"/>
      <c r="G56" s="70"/>
      <c r="H56" s="29"/>
    </row>
    <row r="57" spans="1:8" x14ac:dyDescent="0.2">
      <c r="A57" s="4" t="s">
        <v>27</v>
      </c>
      <c r="B57" s="4"/>
      <c r="C57" s="4" t="s">
        <v>587</v>
      </c>
      <c r="D57" s="240" t="s">
        <v>1077</v>
      </c>
      <c r="E57" s="241"/>
      <c r="F57" s="4" t="s">
        <v>1645</v>
      </c>
      <c r="G57" s="69">
        <v>194.69499999999999</v>
      </c>
      <c r="H57" s="17">
        <v>0</v>
      </c>
    </row>
    <row r="58" spans="1:8" ht="12.2" customHeight="1" x14ac:dyDescent="0.2">
      <c r="D58" s="251" t="s">
        <v>1767</v>
      </c>
      <c r="E58" s="252"/>
      <c r="F58" s="252"/>
      <c r="G58" s="48">
        <v>44.784999999999997</v>
      </c>
    </row>
    <row r="59" spans="1:8" ht="12.2" customHeight="1" x14ac:dyDescent="0.2">
      <c r="A59" s="4"/>
      <c r="B59" s="4"/>
      <c r="C59" s="4"/>
      <c r="D59" s="251" t="s">
        <v>1768</v>
      </c>
      <c r="E59" s="252"/>
      <c r="F59" s="251"/>
      <c r="G59" s="71">
        <v>49.91</v>
      </c>
      <c r="H59" s="28"/>
    </row>
    <row r="60" spans="1:8" ht="12.2" customHeight="1" x14ac:dyDescent="0.2">
      <c r="A60" s="4"/>
      <c r="B60" s="4"/>
      <c r="C60" s="4"/>
      <c r="D60" s="251" t="s">
        <v>1769</v>
      </c>
      <c r="E60" s="252"/>
      <c r="F60" s="251"/>
      <c r="G60" s="71">
        <v>100</v>
      </c>
      <c r="H60" s="28"/>
    </row>
    <row r="61" spans="1:8" x14ac:dyDescent="0.2">
      <c r="A61" s="13"/>
      <c r="B61" s="13"/>
      <c r="C61" s="13" t="s">
        <v>27</v>
      </c>
      <c r="D61" s="244" t="s">
        <v>1078</v>
      </c>
      <c r="E61" s="245"/>
      <c r="F61" s="13"/>
      <c r="G61" s="70"/>
      <c r="H61" s="29"/>
    </row>
    <row r="62" spans="1:8" x14ac:dyDescent="0.2">
      <c r="A62" s="4" t="s">
        <v>28</v>
      </c>
      <c r="B62" s="4"/>
      <c r="C62" s="4" t="s">
        <v>588</v>
      </c>
      <c r="D62" s="240" t="s">
        <v>1079</v>
      </c>
      <c r="E62" s="241"/>
      <c r="F62" s="4" t="s">
        <v>1646</v>
      </c>
      <c r="G62" s="69">
        <v>83.2</v>
      </c>
      <c r="H62" s="17">
        <v>0</v>
      </c>
    </row>
    <row r="63" spans="1:8" ht="12.2" customHeight="1" x14ac:dyDescent="0.2">
      <c r="D63" s="251" t="s">
        <v>1770</v>
      </c>
      <c r="E63" s="252"/>
      <c r="F63" s="252"/>
      <c r="G63" s="48">
        <v>83.2</v>
      </c>
    </row>
    <row r="64" spans="1:8" x14ac:dyDescent="0.2">
      <c r="A64" s="4" t="s">
        <v>29</v>
      </c>
      <c r="B64" s="4"/>
      <c r="C64" s="4" t="s">
        <v>589</v>
      </c>
      <c r="D64" s="240" t="s">
        <v>1080</v>
      </c>
      <c r="E64" s="241"/>
      <c r="F64" s="4" t="s">
        <v>1646</v>
      </c>
      <c r="G64" s="69">
        <v>83.2</v>
      </c>
      <c r="H64" s="17">
        <v>0</v>
      </c>
    </row>
    <row r="65" spans="1:8" ht="12.2" customHeight="1" x14ac:dyDescent="0.2">
      <c r="D65" s="251" t="s">
        <v>1770</v>
      </c>
      <c r="E65" s="252"/>
      <c r="F65" s="252"/>
      <c r="G65" s="48">
        <v>83.2</v>
      </c>
    </row>
    <row r="66" spans="1:8" x14ac:dyDescent="0.2">
      <c r="A66" s="13"/>
      <c r="B66" s="13"/>
      <c r="C66" s="13" t="s">
        <v>33</v>
      </c>
      <c r="D66" s="244" t="s">
        <v>1081</v>
      </c>
      <c r="E66" s="245"/>
      <c r="F66" s="13"/>
      <c r="G66" s="70"/>
      <c r="H66" s="29"/>
    </row>
    <row r="67" spans="1:8" x14ac:dyDescent="0.2">
      <c r="A67" s="4" t="s">
        <v>30</v>
      </c>
      <c r="B67" s="4"/>
      <c r="C67" s="4" t="s">
        <v>590</v>
      </c>
      <c r="D67" s="240" t="s">
        <v>1082</v>
      </c>
      <c r="E67" s="241"/>
      <c r="F67" s="4" t="s">
        <v>1647</v>
      </c>
      <c r="G67" s="69">
        <v>6.4000000000000001E-2</v>
      </c>
      <c r="H67" s="17">
        <v>0</v>
      </c>
    </row>
    <row r="68" spans="1:8" ht="12.2" customHeight="1" x14ac:dyDescent="0.2">
      <c r="D68" s="251" t="s">
        <v>1771</v>
      </c>
      <c r="E68" s="252"/>
      <c r="F68" s="252"/>
      <c r="G68" s="48">
        <v>6.4000000000000001E-2</v>
      </c>
    </row>
    <row r="69" spans="1:8" x14ac:dyDescent="0.2">
      <c r="A69" s="4" t="s">
        <v>31</v>
      </c>
      <c r="B69" s="4"/>
      <c r="C69" s="4" t="s">
        <v>591</v>
      </c>
      <c r="D69" s="240" t="s">
        <v>1083</v>
      </c>
      <c r="E69" s="241"/>
      <c r="F69" s="4" t="s">
        <v>1647</v>
      </c>
      <c r="G69" s="69">
        <v>0.29599999999999999</v>
      </c>
      <c r="H69" s="17">
        <v>0</v>
      </c>
    </row>
    <row r="70" spans="1:8" ht="12.2" customHeight="1" x14ac:dyDescent="0.2">
      <c r="D70" s="251" t="s">
        <v>1772</v>
      </c>
      <c r="E70" s="252"/>
      <c r="F70" s="252"/>
      <c r="G70" s="48">
        <v>0.29599999999999999</v>
      </c>
    </row>
    <row r="71" spans="1:8" x14ac:dyDescent="0.2">
      <c r="A71" s="13"/>
      <c r="B71" s="13"/>
      <c r="C71" s="13" t="s">
        <v>37</v>
      </c>
      <c r="D71" s="244" t="s">
        <v>1084</v>
      </c>
      <c r="E71" s="245"/>
      <c r="F71" s="13"/>
      <c r="G71" s="70"/>
      <c r="H71" s="29"/>
    </row>
    <row r="72" spans="1:8" x14ac:dyDescent="0.2">
      <c r="A72" s="4" t="s">
        <v>32</v>
      </c>
      <c r="B72" s="4"/>
      <c r="C72" s="4" t="s">
        <v>592</v>
      </c>
      <c r="D72" s="240" t="s">
        <v>1085</v>
      </c>
      <c r="E72" s="241"/>
      <c r="F72" s="4" t="s">
        <v>1644</v>
      </c>
      <c r="G72" s="69">
        <v>1</v>
      </c>
      <c r="H72" s="17">
        <v>0</v>
      </c>
    </row>
    <row r="73" spans="1:8" ht="12.2" customHeight="1" x14ac:dyDescent="0.2">
      <c r="D73" s="251" t="s">
        <v>1749</v>
      </c>
      <c r="E73" s="252"/>
      <c r="F73" s="252"/>
      <c r="G73" s="48">
        <v>1</v>
      </c>
    </row>
    <row r="74" spans="1:8" x14ac:dyDescent="0.2">
      <c r="A74" s="4" t="s">
        <v>33</v>
      </c>
      <c r="B74" s="4"/>
      <c r="C74" s="4" t="s">
        <v>592</v>
      </c>
      <c r="D74" s="240" t="s">
        <v>1086</v>
      </c>
      <c r="E74" s="241"/>
      <c r="F74" s="4" t="s">
        <v>1644</v>
      </c>
      <c r="G74" s="69">
        <v>1</v>
      </c>
      <c r="H74" s="17">
        <v>0</v>
      </c>
    </row>
    <row r="75" spans="1:8" ht="12.2" customHeight="1" x14ac:dyDescent="0.2">
      <c r="D75" s="251" t="s">
        <v>1749</v>
      </c>
      <c r="E75" s="252"/>
      <c r="F75" s="252"/>
      <c r="G75" s="48">
        <v>1</v>
      </c>
    </row>
    <row r="76" spans="1:8" x14ac:dyDescent="0.2">
      <c r="A76" s="4" t="s">
        <v>34</v>
      </c>
      <c r="B76" s="4"/>
      <c r="C76" s="4" t="s">
        <v>593</v>
      </c>
      <c r="D76" s="240" t="s">
        <v>1087</v>
      </c>
      <c r="E76" s="241"/>
      <c r="F76" s="4" t="s">
        <v>1647</v>
      </c>
      <c r="G76" s="69">
        <v>0.94499999999999995</v>
      </c>
      <c r="H76" s="17">
        <v>0</v>
      </c>
    </row>
    <row r="77" spans="1:8" ht="12.2" customHeight="1" x14ac:dyDescent="0.2">
      <c r="D77" s="251" t="s">
        <v>1773</v>
      </c>
      <c r="E77" s="252"/>
      <c r="F77" s="252"/>
      <c r="G77" s="48">
        <v>0.94499999999999995</v>
      </c>
    </row>
    <row r="78" spans="1:8" x14ac:dyDescent="0.2">
      <c r="A78" s="4" t="s">
        <v>35</v>
      </c>
      <c r="B78" s="4"/>
      <c r="C78" s="4" t="s">
        <v>594</v>
      </c>
      <c r="D78" s="240" t="s">
        <v>1088</v>
      </c>
      <c r="E78" s="241"/>
      <c r="F78" s="4" t="s">
        <v>1648</v>
      </c>
      <c r="G78" s="69">
        <v>3.4000000000000002E-2</v>
      </c>
      <c r="H78" s="17">
        <v>0</v>
      </c>
    </row>
    <row r="79" spans="1:8" ht="12.2" customHeight="1" x14ac:dyDescent="0.2">
      <c r="D79" s="251" t="s">
        <v>1774</v>
      </c>
      <c r="E79" s="252"/>
      <c r="F79" s="252"/>
      <c r="G79" s="48">
        <v>3.4000000000000002E-2</v>
      </c>
    </row>
    <row r="80" spans="1:8" x14ac:dyDescent="0.2">
      <c r="A80" s="4" t="s">
        <v>36</v>
      </c>
      <c r="B80" s="4"/>
      <c r="C80" s="4" t="s">
        <v>595</v>
      </c>
      <c r="D80" s="240" t="s">
        <v>1089</v>
      </c>
      <c r="E80" s="241"/>
      <c r="F80" s="4" t="s">
        <v>1646</v>
      </c>
      <c r="G80" s="69">
        <v>100</v>
      </c>
      <c r="H80" s="17">
        <v>0</v>
      </c>
    </row>
    <row r="81" spans="1:8" ht="12.2" customHeight="1" x14ac:dyDescent="0.2">
      <c r="D81" s="251" t="s">
        <v>1769</v>
      </c>
      <c r="E81" s="252"/>
      <c r="F81" s="252"/>
      <c r="G81" s="48">
        <v>100</v>
      </c>
    </row>
    <row r="82" spans="1:8" x14ac:dyDescent="0.2">
      <c r="A82" s="13"/>
      <c r="B82" s="13"/>
      <c r="C82" s="13" t="s">
        <v>62</v>
      </c>
      <c r="D82" s="244" t="s">
        <v>1090</v>
      </c>
      <c r="E82" s="245"/>
      <c r="F82" s="13"/>
      <c r="G82" s="70"/>
      <c r="H82" s="29"/>
    </row>
    <row r="83" spans="1:8" x14ac:dyDescent="0.2">
      <c r="A83" s="4" t="s">
        <v>37</v>
      </c>
      <c r="B83" s="4"/>
      <c r="C83" s="4" t="s">
        <v>596</v>
      </c>
      <c r="D83" s="240" t="s">
        <v>1091</v>
      </c>
      <c r="E83" s="241"/>
      <c r="F83" s="4" t="s">
        <v>1645</v>
      </c>
      <c r="G83" s="69">
        <v>37.658000000000001</v>
      </c>
      <c r="H83" s="17">
        <v>0</v>
      </c>
    </row>
    <row r="84" spans="1:8" ht="12.2" customHeight="1" x14ac:dyDescent="0.2">
      <c r="D84" s="251" t="s">
        <v>1775</v>
      </c>
      <c r="E84" s="252"/>
      <c r="F84" s="252"/>
      <c r="G84" s="48">
        <v>37.658000000000001</v>
      </c>
    </row>
    <row r="85" spans="1:8" x14ac:dyDescent="0.2">
      <c r="A85" s="4" t="s">
        <v>38</v>
      </c>
      <c r="B85" s="4"/>
      <c r="C85" s="4" t="s">
        <v>597</v>
      </c>
      <c r="D85" s="240" t="s">
        <v>1092</v>
      </c>
      <c r="E85" s="241"/>
      <c r="F85" s="4" t="s">
        <v>1645</v>
      </c>
      <c r="G85" s="69">
        <v>37.658000000000001</v>
      </c>
      <c r="H85" s="17">
        <v>0</v>
      </c>
    </row>
    <row r="86" spans="1:8" ht="12.2" customHeight="1" x14ac:dyDescent="0.2">
      <c r="D86" s="251" t="s">
        <v>1775</v>
      </c>
      <c r="E86" s="252"/>
      <c r="F86" s="252"/>
      <c r="G86" s="48">
        <v>37.658000000000001</v>
      </c>
    </row>
    <row r="87" spans="1:8" x14ac:dyDescent="0.2">
      <c r="A87" s="4" t="s">
        <v>39</v>
      </c>
      <c r="B87" s="4"/>
      <c r="C87" s="4" t="s">
        <v>598</v>
      </c>
      <c r="D87" s="240" t="s">
        <v>1093</v>
      </c>
      <c r="E87" s="241"/>
      <c r="F87" s="4" t="s">
        <v>1645</v>
      </c>
      <c r="G87" s="69">
        <v>37.658000000000001</v>
      </c>
      <c r="H87" s="17">
        <v>0</v>
      </c>
    </row>
    <row r="88" spans="1:8" ht="12.2" customHeight="1" x14ac:dyDescent="0.2">
      <c r="D88" s="251" t="s">
        <v>1775</v>
      </c>
      <c r="E88" s="252"/>
      <c r="F88" s="252"/>
      <c r="G88" s="48">
        <v>37.658000000000001</v>
      </c>
    </row>
    <row r="89" spans="1:8" x14ac:dyDescent="0.2">
      <c r="A89" s="13"/>
      <c r="B89" s="13"/>
      <c r="C89" s="13" t="s">
        <v>65</v>
      </c>
      <c r="D89" s="244" t="s">
        <v>1094</v>
      </c>
      <c r="E89" s="245"/>
      <c r="F89" s="13"/>
      <c r="G89" s="70"/>
      <c r="H89" s="29"/>
    </row>
    <row r="90" spans="1:8" x14ac:dyDescent="0.2">
      <c r="A90" s="4" t="s">
        <v>40</v>
      </c>
      <c r="B90" s="4"/>
      <c r="C90" s="4" t="s">
        <v>599</v>
      </c>
      <c r="D90" s="240" t="s">
        <v>1095</v>
      </c>
      <c r="E90" s="241"/>
      <c r="F90" s="4" t="s">
        <v>1645</v>
      </c>
      <c r="G90" s="69">
        <v>5.58</v>
      </c>
      <c r="H90" s="17">
        <v>0</v>
      </c>
    </row>
    <row r="91" spans="1:8" ht="12.2" customHeight="1" x14ac:dyDescent="0.2">
      <c r="D91" s="251" t="s">
        <v>1752</v>
      </c>
      <c r="E91" s="252"/>
      <c r="F91" s="252"/>
      <c r="G91" s="48">
        <v>5.58</v>
      </c>
    </row>
    <row r="92" spans="1:8" x14ac:dyDescent="0.2">
      <c r="A92" s="4" t="s">
        <v>41</v>
      </c>
      <c r="B92" s="4"/>
      <c r="C92" s="4" t="s">
        <v>600</v>
      </c>
      <c r="D92" s="240" t="s">
        <v>1096</v>
      </c>
      <c r="E92" s="241"/>
      <c r="F92" s="4" t="s">
        <v>1645</v>
      </c>
      <c r="G92" s="69">
        <v>37.658000000000001</v>
      </c>
      <c r="H92" s="17">
        <v>0</v>
      </c>
    </row>
    <row r="93" spans="1:8" ht="12.2" customHeight="1" x14ac:dyDescent="0.2">
      <c r="D93" s="251" t="s">
        <v>1775</v>
      </c>
      <c r="E93" s="252"/>
      <c r="F93" s="252"/>
      <c r="G93" s="48">
        <v>37.658000000000001</v>
      </c>
    </row>
    <row r="94" spans="1:8" x14ac:dyDescent="0.2">
      <c r="A94" s="13"/>
      <c r="B94" s="13"/>
      <c r="C94" s="13" t="s">
        <v>67</v>
      </c>
      <c r="D94" s="244" t="s">
        <v>1097</v>
      </c>
      <c r="E94" s="245"/>
      <c r="F94" s="13"/>
      <c r="G94" s="70"/>
      <c r="H94" s="29"/>
    </row>
    <row r="95" spans="1:8" x14ac:dyDescent="0.2">
      <c r="A95" s="4" t="s">
        <v>42</v>
      </c>
      <c r="B95" s="4"/>
      <c r="C95" s="4" t="s">
        <v>601</v>
      </c>
      <c r="D95" s="240" t="s">
        <v>1098</v>
      </c>
      <c r="E95" s="241"/>
      <c r="F95" s="4" t="s">
        <v>1645</v>
      </c>
      <c r="G95" s="69">
        <v>16.649999999999999</v>
      </c>
      <c r="H95" s="17">
        <v>0</v>
      </c>
    </row>
    <row r="96" spans="1:8" ht="12.2" customHeight="1" x14ac:dyDescent="0.2">
      <c r="D96" s="251" t="s">
        <v>1776</v>
      </c>
      <c r="E96" s="252"/>
      <c r="F96" s="252"/>
      <c r="G96" s="48">
        <v>16.649999999999999</v>
      </c>
    </row>
    <row r="97" spans="1:8" x14ac:dyDescent="0.2">
      <c r="A97" s="4" t="s">
        <v>43</v>
      </c>
      <c r="B97" s="4"/>
      <c r="C97" s="4" t="s">
        <v>602</v>
      </c>
      <c r="D97" s="240" t="s">
        <v>1099</v>
      </c>
      <c r="E97" s="241"/>
      <c r="F97" s="4" t="s">
        <v>1645</v>
      </c>
      <c r="G97" s="69">
        <v>2.4340000000000002</v>
      </c>
      <c r="H97" s="17">
        <v>0</v>
      </c>
    </row>
    <row r="98" spans="1:8" ht="12.2" customHeight="1" x14ac:dyDescent="0.2">
      <c r="D98" s="251" t="s">
        <v>1777</v>
      </c>
      <c r="E98" s="252"/>
      <c r="F98" s="252"/>
      <c r="G98" s="48">
        <v>2.4340000000000002</v>
      </c>
    </row>
    <row r="99" spans="1:8" x14ac:dyDescent="0.2">
      <c r="A99" s="4" t="s">
        <v>44</v>
      </c>
      <c r="B99" s="4"/>
      <c r="C99" s="4" t="s">
        <v>603</v>
      </c>
      <c r="D99" s="240" t="s">
        <v>1100</v>
      </c>
      <c r="E99" s="241"/>
      <c r="F99" s="4" t="s">
        <v>1645</v>
      </c>
      <c r="G99" s="69">
        <v>2.4340000000000002</v>
      </c>
      <c r="H99" s="17">
        <v>0</v>
      </c>
    </row>
    <row r="100" spans="1:8" ht="12.2" customHeight="1" x14ac:dyDescent="0.2">
      <c r="D100" s="251" t="s">
        <v>1777</v>
      </c>
      <c r="E100" s="252"/>
      <c r="F100" s="252"/>
      <c r="G100" s="48">
        <v>2.4340000000000002</v>
      </c>
    </row>
    <row r="101" spans="1:8" x14ac:dyDescent="0.2">
      <c r="A101" s="4" t="s">
        <v>45</v>
      </c>
      <c r="B101" s="4"/>
      <c r="C101" s="4" t="s">
        <v>604</v>
      </c>
      <c r="D101" s="240" t="s">
        <v>1101</v>
      </c>
      <c r="E101" s="241"/>
      <c r="F101" s="4" t="s">
        <v>1645</v>
      </c>
      <c r="G101" s="69">
        <v>12.41</v>
      </c>
      <c r="H101" s="17">
        <v>0</v>
      </c>
    </row>
    <row r="102" spans="1:8" ht="12.2" customHeight="1" x14ac:dyDescent="0.2">
      <c r="D102" s="251" t="s">
        <v>1778</v>
      </c>
      <c r="E102" s="252"/>
      <c r="F102" s="252"/>
      <c r="G102" s="48">
        <v>12.41</v>
      </c>
    </row>
    <row r="103" spans="1:8" x14ac:dyDescent="0.2">
      <c r="A103" s="4" t="s">
        <v>46</v>
      </c>
      <c r="B103" s="4"/>
      <c r="C103" s="4" t="s">
        <v>605</v>
      </c>
      <c r="D103" s="240" t="s">
        <v>1102</v>
      </c>
      <c r="E103" s="241"/>
      <c r="F103" s="4" t="s">
        <v>1645</v>
      </c>
      <c r="G103" s="69">
        <v>268.387</v>
      </c>
      <c r="H103" s="17">
        <v>0</v>
      </c>
    </row>
    <row r="104" spans="1:8" ht="12.2" customHeight="1" x14ac:dyDescent="0.2">
      <c r="D104" s="251" t="s">
        <v>1779</v>
      </c>
      <c r="E104" s="252"/>
      <c r="F104" s="252"/>
      <c r="G104" s="48">
        <v>268.387</v>
      </c>
    </row>
    <row r="105" spans="1:8" x14ac:dyDescent="0.2">
      <c r="A105" s="4" t="s">
        <v>47</v>
      </c>
      <c r="B105" s="4"/>
      <c r="C105" s="4" t="s">
        <v>606</v>
      </c>
      <c r="D105" s="240" t="s">
        <v>1103</v>
      </c>
      <c r="E105" s="241"/>
      <c r="F105" s="4" t="s">
        <v>1645</v>
      </c>
      <c r="G105" s="69">
        <v>23.97</v>
      </c>
      <c r="H105" s="17">
        <v>0</v>
      </c>
    </row>
    <row r="106" spans="1:8" ht="12.2" customHeight="1" x14ac:dyDescent="0.2">
      <c r="D106" s="251" t="s">
        <v>1780</v>
      </c>
      <c r="E106" s="252"/>
      <c r="F106" s="252"/>
      <c r="G106" s="48">
        <v>23.97</v>
      </c>
    </row>
    <row r="107" spans="1:8" x14ac:dyDescent="0.2">
      <c r="A107" s="13"/>
      <c r="B107" s="13"/>
      <c r="C107" s="13" t="s">
        <v>68</v>
      </c>
      <c r="D107" s="244" t="s">
        <v>1104</v>
      </c>
      <c r="E107" s="245"/>
      <c r="F107" s="13"/>
      <c r="G107" s="70"/>
      <c r="H107" s="29"/>
    </row>
    <row r="108" spans="1:8" x14ac:dyDescent="0.2">
      <c r="A108" s="4" t="s">
        <v>48</v>
      </c>
      <c r="B108" s="4"/>
      <c r="C108" s="4" t="s">
        <v>607</v>
      </c>
      <c r="D108" s="240" t="s">
        <v>1105</v>
      </c>
      <c r="E108" s="241"/>
      <c r="F108" s="4" t="s">
        <v>1645</v>
      </c>
      <c r="G108" s="69">
        <v>85.9</v>
      </c>
      <c r="H108" s="17">
        <v>0</v>
      </c>
    </row>
    <row r="109" spans="1:8" ht="12.2" customHeight="1" x14ac:dyDescent="0.2">
      <c r="D109" s="251" t="s">
        <v>1781</v>
      </c>
      <c r="E109" s="252"/>
      <c r="F109" s="252"/>
      <c r="G109" s="48">
        <v>85.9</v>
      </c>
    </row>
    <row r="110" spans="1:8" x14ac:dyDescent="0.2">
      <c r="A110" s="4" t="s">
        <v>49</v>
      </c>
      <c r="B110" s="4"/>
      <c r="C110" s="4" t="s">
        <v>608</v>
      </c>
      <c r="D110" s="240" t="s">
        <v>1106</v>
      </c>
      <c r="E110" s="241"/>
      <c r="F110" s="4" t="s">
        <v>1645</v>
      </c>
      <c r="G110" s="69">
        <v>705.96799999999996</v>
      </c>
      <c r="H110" s="17">
        <v>0</v>
      </c>
    </row>
    <row r="111" spans="1:8" ht="12.2" customHeight="1" x14ac:dyDescent="0.2">
      <c r="D111" s="251" t="s">
        <v>1782</v>
      </c>
      <c r="E111" s="252"/>
      <c r="F111" s="252"/>
      <c r="G111" s="48">
        <v>67.430000000000007</v>
      </c>
    </row>
    <row r="112" spans="1:8" ht="12.2" customHeight="1" x14ac:dyDescent="0.2">
      <c r="A112" s="4"/>
      <c r="B112" s="4"/>
      <c r="C112" s="4"/>
      <c r="D112" s="251" t="s">
        <v>1783</v>
      </c>
      <c r="E112" s="252"/>
      <c r="F112" s="251"/>
      <c r="G112" s="71">
        <v>108.31100000000001</v>
      </c>
      <c r="H112" s="28"/>
    </row>
    <row r="113" spans="1:8" ht="12.2" customHeight="1" x14ac:dyDescent="0.2">
      <c r="A113" s="4"/>
      <c r="B113" s="4"/>
      <c r="C113" s="4"/>
      <c r="D113" s="251" t="s">
        <v>1784</v>
      </c>
      <c r="E113" s="252"/>
      <c r="F113" s="251"/>
      <c r="G113" s="71">
        <v>479.38299999999998</v>
      </c>
      <c r="H113" s="28"/>
    </row>
    <row r="114" spans="1:8" ht="12.2" customHeight="1" x14ac:dyDescent="0.2">
      <c r="A114" s="4"/>
      <c r="B114" s="4"/>
      <c r="C114" s="4"/>
      <c r="D114" s="251" t="s">
        <v>1785</v>
      </c>
      <c r="E114" s="252"/>
      <c r="F114" s="251"/>
      <c r="G114" s="71">
        <v>50.844000000000001</v>
      </c>
      <c r="H114" s="28"/>
    </row>
    <row r="115" spans="1:8" x14ac:dyDescent="0.2">
      <c r="A115" s="4" t="s">
        <v>50</v>
      </c>
      <c r="B115" s="4"/>
      <c r="C115" s="4" t="s">
        <v>609</v>
      </c>
      <c r="D115" s="240" t="s">
        <v>1107</v>
      </c>
      <c r="E115" s="241"/>
      <c r="F115" s="4" t="s">
        <v>1646</v>
      </c>
      <c r="G115" s="69">
        <v>40</v>
      </c>
      <c r="H115" s="17">
        <v>0</v>
      </c>
    </row>
    <row r="116" spans="1:8" ht="12.2" customHeight="1" x14ac:dyDescent="0.2">
      <c r="D116" s="251" t="s">
        <v>1786</v>
      </c>
      <c r="E116" s="252"/>
      <c r="F116" s="252"/>
      <c r="G116" s="48">
        <v>40</v>
      </c>
    </row>
    <row r="117" spans="1:8" x14ac:dyDescent="0.2">
      <c r="A117" s="4" t="s">
        <v>51</v>
      </c>
      <c r="B117" s="4"/>
      <c r="C117" s="4" t="s">
        <v>610</v>
      </c>
      <c r="D117" s="240" t="s">
        <v>1108</v>
      </c>
      <c r="E117" s="241"/>
      <c r="F117" s="4" t="s">
        <v>1646</v>
      </c>
      <c r="G117" s="69">
        <v>80.23</v>
      </c>
      <c r="H117" s="17">
        <v>0</v>
      </c>
    </row>
    <row r="118" spans="1:8" ht="12.2" customHeight="1" x14ac:dyDescent="0.2">
      <c r="D118" s="251" t="s">
        <v>1787</v>
      </c>
      <c r="E118" s="252"/>
      <c r="F118" s="252"/>
      <c r="G118" s="48">
        <v>80.23</v>
      </c>
    </row>
    <row r="119" spans="1:8" x14ac:dyDescent="0.2">
      <c r="A119" s="4" t="s">
        <v>52</v>
      </c>
      <c r="B119" s="4"/>
      <c r="C119" s="4" t="s">
        <v>611</v>
      </c>
      <c r="D119" s="240" t="s">
        <v>1109</v>
      </c>
      <c r="E119" s="241"/>
      <c r="F119" s="4" t="s">
        <v>1646</v>
      </c>
      <c r="G119" s="69">
        <v>15.7</v>
      </c>
      <c r="H119" s="17">
        <v>0</v>
      </c>
    </row>
    <row r="120" spans="1:8" ht="12.2" customHeight="1" x14ac:dyDescent="0.2">
      <c r="D120" s="251" t="s">
        <v>1788</v>
      </c>
      <c r="E120" s="252"/>
      <c r="F120" s="252"/>
      <c r="G120" s="48">
        <v>15.7</v>
      </c>
    </row>
    <row r="121" spans="1:8" x14ac:dyDescent="0.2">
      <c r="A121" s="4" t="s">
        <v>53</v>
      </c>
      <c r="B121" s="4"/>
      <c r="C121" s="4" t="s">
        <v>612</v>
      </c>
      <c r="D121" s="240" t="s">
        <v>1110</v>
      </c>
      <c r="E121" s="241"/>
      <c r="F121" s="4" t="s">
        <v>1645</v>
      </c>
      <c r="G121" s="69">
        <v>108.31100000000001</v>
      </c>
      <c r="H121" s="17">
        <v>0</v>
      </c>
    </row>
    <row r="122" spans="1:8" ht="12.2" customHeight="1" x14ac:dyDescent="0.2">
      <c r="D122" s="251" t="s">
        <v>1783</v>
      </c>
      <c r="E122" s="252"/>
      <c r="F122" s="252"/>
      <c r="G122" s="48">
        <v>108.31100000000001</v>
      </c>
    </row>
    <row r="123" spans="1:8" x14ac:dyDescent="0.2">
      <c r="A123" s="4" t="s">
        <v>54</v>
      </c>
      <c r="B123" s="4"/>
      <c r="C123" s="4" t="s">
        <v>614</v>
      </c>
      <c r="D123" s="240" t="s">
        <v>1112</v>
      </c>
      <c r="E123" s="241"/>
      <c r="F123" s="4" t="s">
        <v>1645</v>
      </c>
      <c r="G123" s="69">
        <v>67.430000000000007</v>
      </c>
      <c r="H123" s="17">
        <v>0</v>
      </c>
    </row>
    <row r="124" spans="1:8" ht="12.2" customHeight="1" x14ac:dyDescent="0.2">
      <c r="D124" s="251" t="s">
        <v>1782</v>
      </c>
      <c r="E124" s="252"/>
      <c r="F124" s="252"/>
      <c r="G124" s="48">
        <v>67.430000000000007</v>
      </c>
    </row>
    <row r="125" spans="1:8" x14ac:dyDescent="0.2">
      <c r="A125" s="4" t="s">
        <v>55</v>
      </c>
      <c r="B125" s="4"/>
      <c r="C125" s="4" t="s">
        <v>615</v>
      </c>
      <c r="D125" s="240" t="s">
        <v>1114</v>
      </c>
      <c r="E125" s="241"/>
      <c r="F125" s="4" t="s">
        <v>1645</v>
      </c>
      <c r="G125" s="69">
        <v>479.38299999999998</v>
      </c>
      <c r="H125" s="17">
        <v>0</v>
      </c>
    </row>
    <row r="126" spans="1:8" ht="12.2" customHeight="1" x14ac:dyDescent="0.2">
      <c r="D126" s="251" t="s">
        <v>1784</v>
      </c>
      <c r="E126" s="252"/>
      <c r="F126" s="252"/>
      <c r="G126" s="48">
        <v>479.38299999999998</v>
      </c>
    </row>
    <row r="127" spans="1:8" x14ac:dyDescent="0.2">
      <c r="A127" s="4" t="s">
        <v>56</v>
      </c>
      <c r="B127" s="4"/>
      <c r="C127" s="4" t="s">
        <v>616</v>
      </c>
      <c r="D127" s="240" t="s">
        <v>1116</v>
      </c>
      <c r="E127" s="241"/>
      <c r="F127" s="4" t="s">
        <v>1645</v>
      </c>
      <c r="G127" s="69">
        <v>50.844000000000001</v>
      </c>
      <c r="H127" s="17">
        <v>0</v>
      </c>
    </row>
    <row r="128" spans="1:8" ht="12.2" customHeight="1" x14ac:dyDescent="0.2">
      <c r="D128" s="251" t="s">
        <v>1785</v>
      </c>
      <c r="E128" s="252"/>
      <c r="F128" s="252"/>
      <c r="G128" s="48">
        <v>50.844000000000001</v>
      </c>
    </row>
    <row r="129" spans="1:8" x14ac:dyDescent="0.2">
      <c r="A129" s="4" t="s">
        <v>57</v>
      </c>
      <c r="B129" s="4"/>
      <c r="C129" s="4" t="s">
        <v>617</v>
      </c>
      <c r="D129" s="240" t="s">
        <v>1118</v>
      </c>
      <c r="E129" s="241"/>
      <c r="F129" s="4" t="s">
        <v>1646</v>
      </c>
      <c r="G129" s="69">
        <v>65</v>
      </c>
      <c r="H129" s="17">
        <v>0</v>
      </c>
    </row>
    <row r="130" spans="1:8" ht="12.2" customHeight="1" x14ac:dyDescent="0.2">
      <c r="D130" s="251" t="s">
        <v>1789</v>
      </c>
      <c r="E130" s="252"/>
      <c r="F130" s="252"/>
      <c r="G130" s="48">
        <v>65</v>
      </c>
    </row>
    <row r="131" spans="1:8" x14ac:dyDescent="0.2">
      <c r="A131" s="4" t="s">
        <v>58</v>
      </c>
      <c r="B131" s="4"/>
      <c r="C131" s="4" t="s">
        <v>618</v>
      </c>
      <c r="D131" s="240" t="s">
        <v>1119</v>
      </c>
      <c r="E131" s="241"/>
      <c r="F131" s="4" t="s">
        <v>1645</v>
      </c>
      <c r="G131" s="69">
        <v>705.96799999999996</v>
      </c>
      <c r="H131" s="17">
        <v>0</v>
      </c>
    </row>
    <row r="132" spans="1:8" ht="12.2" customHeight="1" x14ac:dyDescent="0.2">
      <c r="D132" s="251" t="s">
        <v>1790</v>
      </c>
      <c r="E132" s="252"/>
      <c r="F132" s="252"/>
      <c r="G132" s="48">
        <v>705.96799999999996</v>
      </c>
    </row>
    <row r="133" spans="1:8" x14ac:dyDescent="0.2">
      <c r="A133" s="4" t="s">
        <v>59</v>
      </c>
      <c r="B133" s="4"/>
      <c r="C133" s="4" t="s">
        <v>619</v>
      </c>
      <c r="D133" s="240" t="s">
        <v>1120</v>
      </c>
      <c r="E133" s="241"/>
      <c r="F133" s="4" t="s">
        <v>1646</v>
      </c>
      <c r="G133" s="69">
        <v>202.8</v>
      </c>
      <c r="H133" s="17">
        <v>0</v>
      </c>
    </row>
    <row r="134" spans="1:8" ht="12.2" customHeight="1" x14ac:dyDescent="0.2">
      <c r="D134" s="251" t="s">
        <v>1791</v>
      </c>
      <c r="E134" s="252"/>
      <c r="F134" s="252"/>
      <c r="G134" s="48">
        <v>202.8</v>
      </c>
    </row>
    <row r="135" spans="1:8" x14ac:dyDescent="0.2">
      <c r="A135" s="4" t="s">
        <v>60</v>
      </c>
      <c r="B135" s="4"/>
      <c r="C135" s="4" t="s">
        <v>620</v>
      </c>
      <c r="D135" s="240" t="s">
        <v>1121</v>
      </c>
      <c r="E135" s="241"/>
      <c r="F135" s="4" t="s">
        <v>1646</v>
      </c>
      <c r="G135" s="69">
        <v>65</v>
      </c>
      <c r="H135" s="17">
        <v>0</v>
      </c>
    </row>
    <row r="136" spans="1:8" ht="12.2" customHeight="1" x14ac:dyDescent="0.2">
      <c r="D136" s="251" t="s">
        <v>1789</v>
      </c>
      <c r="E136" s="252"/>
      <c r="F136" s="252"/>
      <c r="G136" s="48">
        <v>65</v>
      </c>
    </row>
    <row r="137" spans="1:8" x14ac:dyDescent="0.2">
      <c r="A137" s="4" t="s">
        <v>61</v>
      </c>
      <c r="B137" s="4"/>
      <c r="C137" s="4" t="s">
        <v>621</v>
      </c>
      <c r="D137" s="240" t="s">
        <v>1122</v>
      </c>
      <c r="E137" s="241"/>
      <c r="F137" s="4" t="s">
        <v>1645</v>
      </c>
      <c r="G137" s="69">
        <v>108.31100000000001</v>
      </c>
      <c r="H137" s="17">
        <v>0</v>
      </c>
    </row>
    <row r="138" spans="1:8" ht="12.2" customHeight="1" x14ac:dyDescent="0.2">
      <c r="D138" s="251" t="s">
        <v>1783</v>
      </c>
      <c r="E138" s="252"/>
      <c r="F138" s="252"/>
      <c r="G138" s="48">
        <v>108.31100000000001</v>
      </c>
    </row>
    <row r="139" spans="1:8" x14ac:dyDescent="0.2">
      <c r="A139" s="4" t="s">
        <v>62</v>
      </c>
      <c r="B139" s="4"/>
      <c r="C139" s="4" t="s">
        <v>622</v>
      </c>
      <c r="D139" s="240" t="s">
        <v>1123</v>
      </c>
      <c r="E139" s="241"/>
      <c r="F139" s="4" t="s">
        <v>1646</v>
      </c>
      <c r="G139" s="69">
        <v>202.8</v>
      </c>
      <c r="H139" s="17">
        <v>0</v>
      </c>
    </row>
    <row r="140" spans="1:8" ht="12.2" customHeight="1" x14ac:dyDescent="0.2">
      <c r="D140" s="251" t="s">
        <v>1791</v>
      </c>
      <c r="E140" s="252"/>
      <c r="F140" s="252"/>
      <c r="G140" s="48">
        <v>202.8</v>
      </c>
    </row>
    <row r="141" spans="1:8" x14ac:dyDescent="0.2">
      <c r="A141" s="4" t="s">
        <v>63</v>
      </c>
      <c r="B141" s="4"/>
      <c r="C141" s="4" t="s">
        <v>623</v>
      </c>
      <c r="D141" s="240" t="s">
        <v>1124</v>
      </c>
      <c r="E141" s="241"/>
      <c r="F141" s="4" t="s">
        <v>1645</v>
      </c>
      <c r="G141" s="69">
        <v>705.96799999999996</v>
      </c>
      <c r="H141" s="17">
        <v>0</v>
      </c>
    </row>
    <row r="142" spans="1:8" ht="12.2" customHeight="1" x14ac:dyDescent="0.2">
      <c r="D142" s="251" t="s">
        <v>1792</v>
      </c>
      <c r="E142" s="252"/>
      <c r="F142" s="252"/>
      <c r="G142" s="48">
        <v>705.96799999999996</v>
      </c>
    </row>
    <row r="143" spans="1:8" x14ac:dyDescent="0.2">
      <c r="A143" s="4" t="s">
        <v>64</v>
      </c>
      <c r="B143" s="4"/>
      <c r="C143" s="4" t="s">
        <v>624</v>
      </c>
      <c r="D143" s="240" t="s">
        <v>1125</v>
      </c>
      <c r="E143" s="241"/>
      <c r="F143" s="4" t="s">
        <v>1645</v>
      </c>
      <c r="G143" s="69">
        <v>705.96799999999996</v>
      </c>
      <c r="H143" s="17">
        <v>0</v>
      </c>
    </row>
    <row r="144" spans="1:8" ht="12.2" customHeight="1" x14ac:dyDescent="0.2">
      <c r="D144" s="251" t="s">
        <v>1792</v>
      </c>
      <c r="E144" s="252"/>
      <c r="F144" s="252"/>
      <c r="G144" s="48">
        <v>705.96799999999996</v>
      </c>
    </row>
    <row r="145" spans="1:8" x14ac:dyDescent="0.2">
      <c r="A145" s="4" t="s">
        <v>65</v>
      </c>
      <c r="B145" s="4"/>
      <c r="C145" s="4" t="s">
        <v>625</v>
      </c>
      <c r="D145" s="240" t="s">
        <v>1126</v>
      </c>
      <c r="E145" s="241"/>
      <c r="F145" s="4" t="s">
        <v>1645</v>
      </c>
      <c r="G145" s="69">
        <v>352.98399999999998</v>
      </c>
      <c r="H145" s="17">
        <v>0</v>
      </c>
    </row>
    <row r="146" spans="1:8" ht="12.2" customHeight="1" x14ac:dyDescent="0.2">
      <c r="D146" s="251" t="s">
        <v>1793</v>
      </c>
      <c r="E146" s="252"/>
      <c r="F146" s="252"/>
      <c r="G146" s="48">
        <v>352.98399999999998</v>
      </c>
    </row>
    <row r="147" spans="1:8" x14ac:dyDescent="0.2">
      <c r="A147" s="4" t="s">
        <v>66</v>
      </c>
      <c r="B147" s="4"/>
      <c r="C147" s="4" t="s">
        <v>626</v>
      </c>
      <c r="D147" s="240" t="s">
        <v>1127</v>
      </c>
      <c r="E147" s="241"/>
      <c r="F147" s="4" t="s">
        <v>1645</v>
      </c>
      <c r="G147" s="69">
        <v>352.98399999999998</v>
      </c>
      <c r="H147" s="17">
        <v>0</v>
      </c>
    </row>
    <row r="148" spans="1:8" ht="12.2" customHeight="1" x14ac:dyDescent="0.2">
      <c r="D148" s="251" t="s">
        <v>1793</v>
      </c>
      <c r="E148" s="252"/>
      <c r="F148" s="252"/>
      <c r="G148" s="48">
        <v>352.98399999999998</v>
      </c>
    </row>
    <row r="149" spans="1:8" x14ac:dyDescent="0.2">
      <c r="A149" s="13"/>
      <c r="B149" s="13"/>
      <c r="C149" s="13" t="s">
        <v>69</v>
      </c>
      <c r="D149" s="244" t="s">
        <v>1128</v>
      </c>
      <c r="E149" s="245"/>
      <c r="F149" s="13"/>
      <c r="G149" s="70"/>
      <c r="H149" s="29"/>
    </row>
    <row r="150" spans="1:8" x14ac:dyDescent="0.2">
      <c r="A150" s="4" t="s">
        <v>67</v>
      </c>
      <c r="B150" s="4"/>
      <c r="C150" s="4" t="s">
        <v>627</v>
      </c>
      <c r="D150" s="240" t="s">
        <v>1129</v>
      </c>
      <c r="E150" s="241"/>
      <c r="F150" s="4" t="s">
        <v>1645</v>
      </c>
      <c r="G150" s="69">
        <v>1</v>
      </c>
      <c r="H150" s="17">
        <v>0</v>
      </c>
    </row>
    <row r="151" spans="1:8" ht="12.2" customHeight="1" x14ac:dyDescent="0.2">
      <c r="D151" s="251" t="s">
        <v>1794</v>
      </c>
      <c r="E151" s="252"/>
      <c r="F151" s="252"/>
      <c r="G151" s="48">
        <v>1</v>
      </c>
    </row>
    <row r="152" spans="1:8" x14ac:dyDescent="0.2">
      <c r="A152" s="13"/>
      <c r="B152" s="13"/>
      <c r="C152" s="13" t="s">
        <v>89</v>
      </c>
      <c r="D152" s="244" t="s">
        <v>1130</v>
      </c>
      <c r="E152" s="245"/>
      <c r="F152" s="13"/>
      <c r="G152" s="70"/>
      <c r="H152" s="29"/>
    </row>
    <row r="153" spans="1:8" x14ac:dyDescent="0.2">
      <c r="A153" s="4" t="s">
        <v>68</v>
      </c>
      <c r="B153" s="4"/>
      <c r="C153" s="4" t="s">
        <v>628</v>
      </c>
      <c r="D153" s="240" t="s">
        <v>1131</v>
      </c>
      <c r="E153" s="241"/>
      <c r="F153" s="4" t="s">
        <v>1644</v>
      </c>
      <c r="G153" s="69">
        <v>4</v>
      </c>
      <c r="H153" s="17">
        <v>0</v>
      </c>
    </row>
    <row r="154" spans="1:8" ht="12.2" customHeight="1" x14ac:dyDescent="0.2">
      <c r="D154" s="251" t="s">
        <v>1795</v>
      </c>
      <c r="E154" s="252"/>
      <c r="F154" s="252"/>
      <c r="G154" s="48">
        <v>4</v>
      </c>
    </row>
    <row r="155" spans="1:8" x14ac:dyDescent="0.2">
      <c r="A155" s="4" t="s">
        <v>69</v>
      </c>
      <c r="B155" s="4"/>
      <c r="C155" s="4" t="s">
        <v>629</v>
      </c>
      <c r="D155" s="240" t="s">
        <v>1132</v>
      </c>
      <c r="E155" s="241"/>
      <c r="F155" s="4" t="s">
        <v>1646</v>
      </c>
      <c r="G155" s="69">
        <v>40</v>
      </c>
      <c r="H155" s="17">
        <v>0</v>
      </c>
    </row>
    <row r="156" spans="1:8" ht="12.2" customHeight="1" x14ac:dyDescent="0.2">
      <c r="D156" s="251" t="s">
        <v>1786</v>
      </c>
      <c r="E156" s="252"/>
      <c r="F156" s="252"/>
      <c r="G156" s="48">
        <v>40</v>
      </c>
    </row>
    <row r="157" spans="1:8" x14ac:dyDescent="0.2">
      <c r="A157" s="13"/>
      <c r="B157" s="13"/>
      <c r="C157" s="13" t="s">
        <v>95</v>
      </c>
      <c r="D157" s="244" t="s">
        <v>1133</v>
      </c>
      <c r="E157" s="245"/>
      <c r="F157" s="13"/>
      <c r="G157" s="70"/>
      <c r="H157" s="29"/>
    </row>
    <row r="158" spans="1:8" x14ac:dyDescent="0.2">
      <c r="A158" s="4" t="s">
        <v>70</v>
      </c>
      <c r="B158" s="4"/>
      <c r="C158" s="4" t="s">
        <v>630</v>
      </c>
      <c r="D158" s="240" t="s">
        <v>1134</v>
      </c>
      <c r="E158" s="241"/>
      <c r="F158" s="4" t="s">
        <v>1644</v>
      </c>
      <c r="G158" s="69">
        <v>8</v>
      </c>
      <c r="H158" s="17">
        <v>0</v>
      </c>
    </row>
    <row r="159" spans="1:8" ht="12.2" customHeight="1" x14ac:dyDescent="0.2">
      <c r="D159" s="251" t="s">
        <v>1796</v>
      </c>
      <c r="E159" s="252"/>
      <c r="F159" s="252"/>
      <c r="G159" s="48">
        <v>8</v>
      </c>
    </row>
    <row r="160" spans="1:8" x14ac:dyDescent="0.2">
      <c r="A160" s="4" t="s">
        <v>71</v>
      </c>
      <c r="B160" s="4"/>
      <c r="C160" s="4" t="s">
        <v>631</v>
      </c>
      <c r="D160" s="240" t="s">
        <v>1135</v>
      </c>
      <c r="E160" s="241"/>
      <c r="F160" s="4" t="s">
        <v>1644</v>
      </c>
      <c r="G160" s="69">
        <v>3</v>
      </c>
      <c r="H160" s="17">
        <v>0</v>
      </c>
    </row>
    <row r="161" spans="1:8" ht="12.2" customHeight="1" x14ac:dyDescent="0.2">
      <c r="D161" s="251" t="s">
        <v>1797</v>
      </c>
      <c r="E161" s="252"/>
      <c r="F161" s="252"/>
      <c r="G161" s="48">
        <v>3</v>
      </c>
    </row>
    <row r="162" spans="1:8" x14ac:dyDescent="0.2">
      <c r="A162" s="13"/>
      <c r="B162" s="13"/>
      <c r="C162" s="13" t="s">
        <v>97</v>
      </c>
      <c r="D162" s="244" t="s">
        <v>1136</v>
      </c>
      <c r="E162" s="245"/>
      <c r="F162" s="13"/>
      <c r="G162" s="70"/>
      <c r="H162" s="29"/>
    </row>
    <row r="163" spans="1:8" x14ac:dyDescent="0.2">
      <c r="A163" s="4" t="s">
        <v>72</v>
      </c>
      <c r="B163" s="4"/>
      <c r="C163" s="4" t="s">
        <v>632</v>
      </c>
      <c r="D163" s="240" t="s">
        <v>1137</v>
      </c>
      <c r="E163" s="241"/>
      <c r="F163" s="4" t="s">
        <v>1646</v>
      </c>
      <c r="G163" s="69">
        <v>4</v>
      </c>
      <c r="H163" s="17">
        <v>0</v>
      </c>
    </row>
    <row r="164" spans="1:8" ht="12.2" customHeight="1" x14ac:dyDescent="0.2">
      <c r="D164" s="251" t="s">
        <v>1798</v>
      </c>
      <c r="E164" s="252"/>
      <c r="F164" s="252"/>
      <c r="G164" s="48">
        <v>4</v>
      </c>
    </row>
    <row r="165" spans="1:8" x14ac:dyDescent="0.2">
      <c r="A165" s="4" t="s">
        <v>73</v>
      </c>
      <c r="B165" s="4"/>
      <c r="C165" s="4" t="s">
        <v>633</v>
      </c>
      <c r="D165" s="240" t="s">
        <v>1138</v>
      </c>
      <c r="E165" s="241"/>
      <c r="F165" s="4" t="s">
        <v>1647</v>
      </c>
      <c r="G165" s="69">
        <v>0.16200000000000001</v>
      </c>
      <c r="H165" s="17">
        <v>0</v>
      </c>
    </row>
    <row r="166" spans="1:8" ht="12.2" customHeight="1" x14ac:dyDescent="0.2">
      <c r="D166" s="251" t="s">
        <v>1799</v>
      </c>
      <c r="E166" s="252"/>
      <c r="F166" s="252"/>
      <c r="G166" s="48">
        <v>0.16200000000000001</v>
      </c>
    </row>
    <row r="167" spans="1:8" x14ac:dyDescent="0.2">
      <c r="A167" s="13"/>
      <c r="B167" s="13"/>
      <c r="C167" s="13" t="s">
        <v>100</v>
      </c>
      <c r="D167" s="244" t="s">
        <v>1139</v>
      </c>
      <c r="E167" s="245"/>
      <c r="F167" s="13"/>
      <c r="G167" s="70"/>
      <c r="H167" s="29"/>
    </row>
    <row r="168" spans="1:8" x14ac:dyDescent="0.2">
      <c r="A168" s="4" t="s">
        <v>74</v>
      </c>
      <c r="B168" s="4"/>
      <c r="C168" s="4" t="s">
        <v>634</v>
      </c>
      <c r="D168" s="240" t="s">
        <v>1140</v>
      </c>
      <c r="E168" s="241"/>
      <c r="F168" s="4" t="s">
        <v>1645</v>
      </c>
      <c r="G168" s="69">
        <v>746.93899999999996</v>
      </c>
      <c r="H168" s="17">
        <v>0</v>
      </c>
    </row>
    <row r="169" spans="1:8" ht="12.2" customHeight="1" x14ac:dyDescent="0.2">
      <c r="D169" s="251" t="s">
        <v>1800</v>
      </c>
      <c r="E169" s="252"/>
      <c r="F169" s="252"/>
      <c r="G169" s="48">
        <v>746.93899999999996</v>
      </c>
    </row>
    <row r="170" spans="1:8" x14ac:dyDescent="0.2">
      <c r="A170" s="4" t="s">
        <v>75</v>
      </c>
      <c r="B170" s="4"/>
      <c r="C170" s="4" t="s">
        <v>635</v>
      </c>
      <c r="D170" s="240" t="s">
        <v>1141</v>
      </c>
      <c r="E170" s="241"/>
      <c r="F170" s="4" t="s">
        <v>1645</v>
      </c>
      <c r="G170" s="69">
        <v>1493.8779999999999</v>
      </c>
      <c r="H170" s="17">
        <v>0</v>
      </c>
    </row>
    <row r="171" spans="1:8" ht="12.2" customHeight="1" x14ac:dyDescent="0.2">
      <c r="D171" s="251" t="s">
        <v>1801</v>
      </c>
      <c r="E171" s="252"/>
      <c r="F171" s="252"/>
      <c r="G171" s="48">
        <v>1493.8779999999999</v>
      </c>
    </row>
    <row r="172" spans="1:8" x14ac:dyDescent="0.2">
      <c r="A172" s="4" t="s">
        <v>76</v>
      </c>
      <c r="B172" s="4"/>
      <c r="C172" s="4" t="s">
        <v>636</v>
      </c>
      <c r="D172" s="240" t="s">
        <v>1142</v>
      </c>
      <c r="E172" s="241"/>
      <c r="F172" s="4" t="s">
        <v>1645</v>
      </c>
      <c r="G172" s="69">
        <v>746.93899999999996</v>
      </c>
      <c r="H172" s="17">
        <v>0</v>
      </c>
    </row>
    <row r="173" spans="1:8" ht="12.2" customHeight="1" x14ac:dyDescent="0.2">
      <c r="D173" s="251" t="s">
        <v>1800</v>
      </c>
      <c r="E173" s="252"/>
      <c r="F173" s="252"/>
      <c r="G173" s="48">
        <v>746.93899999999996</v>
      </c>
    </row>
    <row r="174" spans="1:8" x14ac:dyDescent="0.2">
      <c r="A174" s="4" t="s">
        <v>77</v>
      </c>
      <c r="B174" s="4"/>
      <c r="C174" s="4" t="s">
        <v>637</v>
      </c>
      <c r="D174" s="240" t="s">
        <v>1143</v>
      </c>
      <c r="E174" s="241"/>
      <c r="F174" s="4" t="s">
        <v>1645</v>
      </c>
      <c r="G174" s="69">
        <v>746.93899999999996</v>
      </c>
      <c r="H174" s="17">
        <v>0</v>
      </c>
    </row>
    <row r="175" spans="1:8" ht="12.2" customHeight="1" x14ac:dyDescent="0.2">
      <c r="D175" s="251" t="s">
        <v>1800</v>
      </c>
      <c r="E175" s="252"/>
      <c r="F175" s="252"/>
      <c r="G175" s="48">
        <v>746.93899999999996</v>
      </c>
    </row>
    <row r="176" spans="1:8" x14ac:dyDescent="0.2">
      <c r="A176" s="4" t="s">
        <v>78</v>
      </c>
      <c r="B176" s="4"/>
      <c r="C176" s="4" t="s">
        <v>638</v>
      </c>
      <c r="D176" s="240" t="s">
        <v>1144</v>
      </c>
      <c r="E176" s="241"/>
      <c r="F176" s="4" t="s">
        <v>1645</v>
      </c>
      <c r="G176" s="69">
        <v>1493.8779999999999</v>
      </c>
      <c r="H176" s="17">
        <v>0</v>
      </c>
    </row>
    <row r="177" spans="1:8" ht="12.2" customHeight="1" x14ac:dyDescent="0.2">
      <c r="D177" s="251" t="s">
        <v>1801</v>
      </c>
      <c r="E177" s="252"/>
      <c r="F177" s="252"/>
      <c r="G177" s="48">
        <v>1493.8779999999999</v>
      </c>
    </row>
    <row r="178" spans="1:8" x14ac:dyDescent="0.2">
      <c r="A178" s="4" t="s">
        <v>79</v>
      </c>
      <c r="B178" s="4"/>
      <c r="C178" s="4" t="s">
        <v>639</v>
      </c>
      <c r="D178" s="240" t="s">
        <v>1145</v>
      </c>
      <c r="E178" s="241"/>
      <c r="F178" s="4" t="s">
        <v>1645</v>
      </c>
      <c r="G178" s="69">
        <v>746.93899999999996</v>
      </c>
      <c r="H178" s="17">
        <v>0</v>
      </c>
    </row>
    <row r="179" spans="1:8" ht="12.2" customHeight="1" x14ac:dyDescent="0.2">
      <c r="D179" s="251" t="s">
        <v>1800</v>
      </c>
      <c r="E179" s="252"/>
      <c r="F179" s="252"/>
      <c r="G179" s="48">
        <v>746.93899999999996</v>
      </c>
    </row>
    <row r="180" spans="1:8" x14ac:dyDescent="0.2">
      <c r="A180" s="4" t="s">
        <v>80</v>
      </c>
      <c r="B180" s="4"/>
      <c r="C180" s="4" t="s">
        <v>640</v>
      </c>
      <c r="D180" s="240" t="s">
        <v>1146</v>
      </c>
      <c r="E180" s="241"/>
      <c r="F180" s="4" t="s">
        <v>1649</v>
      </c>
      <c r="G180" s="69">
        <v>20</v>
      </c>
      <c r="H180" s="17">
        <v>0</v>
      </c>
    </row>
    <row r="181" spans="1:8" ht="12.2" customHeight="1" x14ac:dyDescent="0.2">
      <c r="D181" s="251" t="s">
        <v>1802</v>
      </c>
      <c r="E181" s="252"/>
      <c r="F181" s="252"/>
      <c r="G181" s="48">
        <v>20</v>
      </c>
    </row>
    <row r="182" spans="1:8" x14ac:dyDescent="0.2">
      <c r="A182" s="13"/>
      <c r="B182" s="13"/>
      <c r="C182" s="13" t="s">
        <v>101</v>
      </c>
      <c r="D182" s="244" t="s">
        <v>1147</v>
      </c>
      <c r="E182" s="245"/>
      <c r="F182" s="13"/>
      <c r="G182" s="70"/>
      <c r="H182" s="29"/>
    </row>
    <row r="183" spans="1:8" x14ac:dyDescent="0.2">
      <c r="A183" s="4" t="s">
        <v>81</v>
      </c>
      <c r="B183" s="4"/>
      <c r="C183" s="4" t="s">
        <v>641</v>
      </c>
      <c r="D183" s="240" t="s">
        <v>1148</v>
      </c>
      <c r="E183" s="241"/>
      <c r="F183" s="4" t="s">
        <v>1645</v>
      </c>
      <c r="G183" s="69">
        <v>85.9</v>
      </c>
      <c r="H183" s="17">
        <v>0</v>
      </c>
    </row>
    <row r="184" spans="1:8" ht="12.2" customHeight="1" x14ac:dyDescent="0.2">
      <c r="D184" s="251" t="s">
        <v>1781</v>
      </c>
      <c r="E184" s="252"/>
      <c r="F184" s="252"/>
      <c r="G184" s="48">
        <v>85.9</v>
      </c>
    </row>
    <row r="185" spans="1:8" x14ac:dyDescent="0.2">
      <c r="A185" s="4" t="s">
        <v>82</v>
      </c>
      <c r="B185" s="4"/>
      <c r="C185" s="4" t="s">
        <v>642</v>
      </c>
      <c r="D185" s="240" t="s">
        <v>1149</v>
      </c>
      <c r="E185" s="241"/>
      <c r="F185" s="4" t="s">
        <v>1645</v>
      </c>
      <c r="G185" s="69">
        <v>16.649999999999999</v>
      </c>
      <c r="H185" s="17">
        <v>0</v>
      </c>
    </row>
    <row r="186" spans="1:8" ht="12.2" customHeight="1" x14ac:dyDescent="0.2">
      <c r="D186" s="251" t="s">
        <v>1776</v>
      </c>
      <c r="E186" s="252"/>
      <c r="F186" s="252"/>
      <c r="G186" s="48">
        <v>16.649999999999999</v>
      </c>
    </row>
    <row r="187" spans="1:8" x14ac:dyDescent="0.2">
      <c r="A187" s="4" t="s">
        <v>83</v>
      </c>
      <c r="B187" s="4"/>
      <c r="C187" s="4" t="s">
        <v>643</v>
      </c>
      <c r="D187" s="240" t="s">
        <v>1150</v>
      </c>
      <c r="E187" s="241"/>
      <c r="F187" s="4" t="s">
        <v>1645</v>
      </c>
      <c r="G187" s="69">
        <v>345.786</v>
      </c>
      <c r="H187" s="17">
        <v>0</v>
      </c>
    </row>
    <row r="188" spans="1:8" ht="12.2" customHeight="1" x14ac:dyDescent="0.2">
      <c r="D188" s="251" t="s">
        <v>1803</v>
      </c>
      <c r="E188" s="252"/>
      <c r="F188" s="252"/>
      <c r="G188" s="48">
        <v>345.786</v>
      </c>
    </row>
    <row r="189" spans="1:8" x14ac:dyDescent="0.2">
      <c r="A189" s="4" t="s">
        <v>84</v>
      </c>
      <c r="B189" s="4"/>
      <c r="C189" s="4" t="s">
        <v>644</v>
      </c>
      <c r="D189" s="240" t="s">
        <v>1151</v>
      </c>
      <c r="E189" s="241"/>
      <c r="F189" s="4" t="s">
        <v>1644</v>
      </c>
      <c r="G189" s="69">
        <v>1</v>
      </c>
      <c r="H189" s="17">
        <v>0</v>
      </c>
    </row>
    <row r="190" spans="1:8" ht="12.2" customHeight="1" x14ac:dyDescent="0.2">
      <c r="D190" s="251" t="s">
        <v>1749</v>
      </c>
      <c r="E190" s="252"/>
      <c r="F190" s="252"/>
      <c r="G190" s="48">
        <v>1</v>
      </c>
    </row>
    <row r="191" spans="1:8" x14ac:dyDescent="0.2">
      <c r="A191" s="4" t="s">
        <v>85</v>
      </c>
      <c r="B191" s="4"/>
      <c r="C191" s="4" t="s">
        <v>645</v>
      </c>
      <c r="D191" s="240" t="s">
        <v>1152</v>
      </c>
      <c r="E191" s="241"/>
      <c r="F191" s="4" t="s">
        <v>1645</v>
      </c>
      <c r="G191" s="69">
        <v>12</v>
      </c>
      <c r="H191" s="17">
        <v>0</v>
      </c>
    </row>
    <row r="192" spans="1:8" ht="12.2" customHeight="1" x14ac:dyDescent="0.2">
      <c r="D192" s="251" t="s">
        <v>1804</v>
      </c>
      <c r="E192" s="252"/>
      <c r="F192" s="252"/>
      <c r="G192" s="48">
        <v>12</v>
      </c>
    </row>
    <row r="193" spans="1:8" x14ac:dyDescent="0.2">
      <c r="A193" s="4" t="s">
        <v>86</v>
      </c>
      <c r="B193" s="4"/>
      <c r="C193" s="4" t="s">
        <v>646</v>
      </c>
      <c r="D193" s="240" t="s">
        <v>1153</v>
      </c>
      <c r="E193" s="241"/>
      <c r="F193" s="4" t="s">
        <v>1650</v>
      </c>
      <c r="G193" s="69">
        <v>150</v>
      </c>
      <c r="H193" s="17">
        <v>0</v>
      </c>
    </row>
    <row r="194" spans="1:8" ht="12.2" customHeight="1" x14ac:dyDescent="0.2">
      <c r="D194" s="251" t="s">
        <v>1805</v>
      </c>
      <c r="E194" s="252"/>
      <c r="F194" s="252"/>
      <c r="G194" s="48">
        <v>150</v>
      </c>
    </row>
    <row r="195" spans="1:8" x14ac:dyDescent="0.2">
      <c r="A195" s="4" t="s">
        <v>87</v>
      </c>
      <c r="B195" s="4"/>
      <c r="C195" s="4" t="s">
        <v>647</v>
      </c>
      <c r="D195" s="240" t="s">
        <v>1154</v>
      </c>
      <c r="E195" s="241"/>
      <c r="F195" s="4" t="s">
        <v>1644</v>
      </c>
      <c r="G195" s="69">
        <v>6</v>
      </c>
      <c r="H195" s="17">
        <v>0</v>
      </c>
    </row>
    <row r="196" spans="1:8" ht="12.2" customHeight="1" x14ac:dyDescent="0.2">
      <c r="D196" s="251" t="s">
        <v>1806</v>
      </c>
      <c r="E196" s="252"/>
      <c r="F196" s="252"/>
      <c r="G196" s="48">
        <v>6</v>
      </c>
    </row>
    <row r="197" spans="1:8" x14ac:dyDescent="0.2">
      <c r="A197" s="4" t="s">
        <v>88</v>
      </c>
      <c r="B197" s="4"/>
      <c r="C197" s="4" t="s">
        <v>648</v>
      </c>
      <c r="D197" s="240" t="s">
        <v>1155</v>
      </c>
      <c r="E197" s="241"/>
      <c r="F197" s="4" t="s">
        <v>1644</v>
      </c>
      <c r="G197" s="69">
        <v>1</v>
      </c>
      <c r="H197" s="17">
        <v>0</v>
      </c>
    </row>
    <row r="198" spans="1:8" ht="12.2" customHeight="1" x14ac:dyDescent="0.2">
      <c r="D198" s="251" t="s">
        <v>1749</v>
      </c>
      <c r="E198" s="252"/>
      <c r="F198" s="252"/>
      <c r="G198" s="48">
        <v>1</v>
      </c>
    </row>
    <row r="199" spans="1:8" x14ac:dyDescent="0.2">
      <c r="A199" s="4" t="s">
        <v>89</v>
      </c>
      <c r="B199" s="4"/>
      <c r="C199" s="4" t="s">
        <v>649</v>
      </c>
      <c r="D199" s="240" t="s">
        <v>1156</v>
      </c>
      <c r="E199" s="241"/>
      <c r="F199" s="4" t="s">
        <v>1644</v>
      </c>
      <c r="G199" s="69">
        <v>1</v>
      </c>
      <c r="H199" s="17">
        <v>0</v>
      </c>
    </row>
    <row r="200" spans="1:8" ht="12.2" customHeight="1" x14ac:dyDescent="0.2">
      <c r="D200" s="251" t="s">
        <v>1749</v>
      </c>
      <c r="E200" s="252"/>
      <c r="F200" s="252"/>
      <c r="G200" s="48">
        <v>1</v>
      </c>
    </row>
    <row r="201" spans="1:8" x14ac:dyDescent="0.2">
      <c r="A201" s="4" t="s">
        <v>90</v>
      </c>
      <c r="B201" s="4"/>
      <c r="C201" s="4" t="s">
        <v>650</v>
      </c>
      <c r="D201" s="240" t="s">
        <v>1157</v>
      </c>
      <c r="E201" s="241"/>
      <c r="F201" s="4" t="s">
        <v>1644</v>
      </c>
      <c r="G201" s="69">
        <v>1</v>
      </c>
      <c r="H201" s="17">
        <v>0</v>
      </c>
    </row>
    <row r="202" spans="1:8" ht="12.2" customHeight="1" x14ac:dyDescent="0.2">
      <c r="D202" s="251" t="s">
        <v>1749</v>
      </c>
      <c r="E202" s="252"/>
      <c r="F202" s="252"/>
      <c r="G202" s="48">
        <v>1</v>
      </c>
    </row>
    <row r="203" spans="1:8" x14ac:dyDescent="0.2">
      <c r="A203" s="13"/>
      <c r="B203" s="13"/>
      <c r="C203" s="13" t="s">
        <v>102</v>
      </c>
      <c r="D203" s="244" t="s">
        <v>1158</v>
      </c>
      <c r="E203" s="245"/>
      <c r="F203" s="13"/>
      <c r="G203" s="70"/>
      <c r="H203" s="29"/>
    </row>
    <row r="204" spans="1:8" x14ac:dyDescent="0.2">
      <c r="A204" s="4" t="s">
        <v>91</v>
      </c>
      <c r="B204" s="4"/>
      <c r="C204" s="4" t="s">
        <v>651</v>
      </c>
      <c r="D204" s="240" t="s">
        <v>1159</v>
      </c>
      <c r="E204" s="241"/>
      <c r="F204" s="4" t="s">
        <v>1645</v>
      </c>
      <c r="G204" s="69">
        <v>108.31100000000001</v>
      </c>
      <c r="H204" s="17">
        <v>0</v>
      </c>
    </row>
    <row r="205" spans="1:8" ht="12.2" customHeight="1" x14ac:dyDescent="0.2">
      <c r="D205" s="251" t="s">
        <v>1783</v>
      </c>
      <c r="E205" s="252"/>
      <c r="F205" s="252"/>
      <c r="G205" s="48">
        <v>108.31100000000001</v>
      </c>
    </row>
    <row r="206" spans="1:8" x14ac:dyDescent="0.2">
      <c r="A206" s="4" t="s">
        <v>92</v>
      </c>
      <c r="B206" s="4"/>
      <c r="C206" s="4" t="s">
        <v>652</v>
      </c>
      <c r="D206" s="240" t="s">
        <v>1160</v>
      </c>
      <c r="E206" s="241"/>
      <c r="F206" s="4" t="s">
        <v>1644</v>
      </c>
      <c r="G206" s="69">
        <v>4</v>
      </c>
      <c r="H206" s="17">
        <v>0</v>
      </c>
    </row>
    <row r="207" spans="1:8" ht="12.2" customHeight="1" x14ac:dyDescent="0.2">
      <c r="D207" s="251" t="s">
        <v>1795</v>
      </c>
      <c r="E207" s="252"/>
      <c r="F207" s="252"/>
      <c r="G207" s="48">
        <v>4</v>
      </c>
    </row>
    <row r="208" spans="1:8" x14ac:dyDescent="0.2">
      <c r="A208" s="4" t="s">
        <v>93</v>
      </c>
      <c r="B208" s="4"/>
      <c r="C208" s="4" t="s">
        <v>653</v>
      </c>
      <c r="D208" s="240" t="s">
        <v>1161</v>
      </c>
      <c r="E208" s="241"/>
      <c r="F208" s="4" t="s">
        <v>1647</v>
      </c>
      <c r="G208" s="69">
        <v>0.12</v>
      </c>
      <c r="H208" s="17">
        <v>0</v>
      </c>
    </row>
    <row r="209" spans="1:8" ht="12.2" customHeight="1" x14ac:dyDescent="0.2">
      <c r="D209" s="251" t="s">
        <v>1807</v>
      </c>
      <c r="E209" s="252"/>
      <c r="F209" s="252"/>
      <c r="G209" s="48">
        <v>0.12</v>
      </c>
    </row>
    <row r="210" spans="1:8" x14ac:dyDescent="0.2">
      <c r="A210" s="4" t="s">
        <v>94</v>
      </c>
      <c r="B210" s="4"/>
      <c r="C210" s="4" t="s">
        <v>654</v>
      </c>
      <c r="D210" s="240" t="s">
        <v>1162</v>
      </c>
      <c r="E210" s="241"/>
      <c r="F210" s="4" t="s">
        <v>1645</v>
      </c>
      <c r="G210" s="69">
        <v>108.31100000000001</v>
      </c>
      <c r="H210" s="17">
        <v>0</v>
      </c>
    </row>
    <row r="211" spans="1:8" ht="12.2" customHeight="1" x14ac:dyDescent="0.2">
      <c r="D211" s="251" t="s">
        <v>1783</v>
      </c>
      <c r="E211" s="252"/>
      <c r="F211" s="252"/>
      <c r="G211" s="48">
        <v>108.31100000000001</v>
      </c>
    </row>
    <row r="212" spans="1:8" x14ac:dyDescent="0.2">
      <c r="A212" s="4" t="s">
        <v>95</v>
      </c>
      <c r="B212" s="4"/>
      <c r="C212" s="4" t="s">
        <v>655</v>
      </c>
      <c r="D212" s="240" t="s">
        <v>1163</v>
      </c>
      <c r="E212" s="241"/>
      <c r="F212" s="4" t="s">
        <v>1647</v>
      </c>
      <c r="G212" s="69">
        <v>1.1000000000000001</v>
      </c>
      <c r="H212" s="17">
        <v>0</v>
      </c>
    </row>
    <row r="213" spans="1:8" ht="12.2" customHeight="1" x14ac:dyDescent="0.2">
      <c r="D213" s="251" t="s">
        <v>1808</v>
      </c>
      <c r="E213" s="252"/>
      <c r="F213" s="252"/>
      <c r="G213" s="48">
        <v>1.1000000000000001</v>
      </c>
    </row>
    <row r="214" spans="1:8" x14ac:dyDescent="0.2">
      <c r="A214" s="4" t="s">
        <v>96</v>
      </c>
      <c r="B214" s="4"/>
      <c r="C214" s="4" t="s">
        <v>656</v>
      </c>
      <c r="D214" s="240" t="s">
        <v>1164</v>
      </c>
      <c r="E214" s="241"/>
      <c r="F214" s="4" t="s">
        <v>1647</v>
      </c>
      <c r="G214" s="69">
        <v>11.907999999999999</v>
      </c>
      <c r="H214" s="17">
        <v>0</v>
      </c>
    </row>
    <row r="215" spans="1:8" ht="12.2" customHeight="1" x14ac:dyDescent="0.2">
      <c r="D215" s="251" t="s">
        <v>1809</v>
      </c>
      <c r="E215" s="252"/>
      <c r="F215" s="252"/>
      <c r="G215" s="48">
        <v>11.907999999999999</v>
      </c>
    </row>
    <row r="216" spans="1:8" x14ac:dyDescent="0.2">
      <c r="A216" s="4" t="s">
        <v>97</v>
      </c>
      <c r="B216" s="4"/>
      <c r="C216" s="4" t="s">
        <v>657</v>
      </c>
      <c r="D216" s="240" t="s">
        <v>1165</v>
      </c>
      <c r="E216" s="241"/>
      <c r="F216" s="4" t="s">
        <v>1647</v>
      </c>
      <c r="G216" s="69">
        <v>0.33800000000000002</v>
      </c>
      <c r="H216" s="17">
        <v>0</v>
      </c>
    </row>
    <row r="217" spans="1:8" ht="12.2" customHeight="1" x14ac:dyDescent="0.2">
      <c r="D217" s="251" t="s">
        <v>1810</v>
      </c>
      <c r="E217" s="252"/>
      <c r="F217" s="252"/>
      <c r="G217" s="48">
        <v>0.33800000000000002</v>
      </c>
    </row>
    <row r="218" spans="1:8" x14ac:dyDescent="0.2">
      <c r="A218" s="4" t="s">
        <v>98</v>
      </c>
      <c r="B218" s="4"/>
      <c r="C218" s="4" t="s">
        <v>658</v>
      </c>
      <c r="D218" s="240" t="s">
        <v>1166</v>
      </c>
      <c r="E218" s="241"/>
      <c r="F218" s="4" t="s">
        <v>1645</v>
      </c>
      <c r="G218" s="69">
        <v>15.45</v>
      </c>
      <c r="H218" s="17">
        <v>0</v>
      </c>
    </row>
    <row r="219" spans="1:8" ht="12.2" customHeight="1" x14ac:dyDescent="0.2">
      <c r="D219" s="251" t="s">
        <v>1811</v>
      </c>
      <c r="E219" s="252"/>
      <c r="F219" s="252"/>
      <c r="G219" s="48">
        <v>15.45</v>
      </c>
    </row>
    <row r="220" spans="1:8" x14ac:dyDescent="0.2">
      <c r="A220" s="4" t="s">
        <v>99</v>
      </c>
      <c r="B220" s="4"/>
      <c r="C220" s="4" t="s">
        <v>659</v>
      </c>
      <c r="D220" s="240" t="s">
        <v>1167</v>
      </c>
      <c r="E220" s="241"/>
      <c r="F220" s="4" t="s">
        <v>1646</v>
      </c>
      <c r="G220" s="69">
        <v>20.5</v>
      </c>
      <c r="H220" s="17">
        <v>0</v>
      </c>
    </row>
    <row r="221" spans="1:8" ht="12.2" customHeight="1" x14ac:dyDescent="0.2">
      <c r="D221" s="251" t="s">
        <v>1812</v>
      </c>
      <c r="E221" s="252"/>
      <c r="F221" s="252"/>
      <c r="G221" s="48">
        <v>20.5</v>
      </c>
    </row>
    <row r="222" spans="1:8" x14ac:dyDescent="0.2">
      <c r="A222" s="4" t="s">
        <v>100</v>
      </c>
      <c r="B222" s="4"/>
      <c r="C222" s="4" t="s">
        <v>660</v>
      </c>
      <c r="D222" s="240" t="s">
        <v>1168</v>
      </c>
      <c r="E222" s="241"/>
      <c r="F222" s="4" t="s">
        <v>1645</v>
      </c>
      <c r="G222" s="69">
        <v>15.45</v>
      </c>
      <c r="H222" s="17">
        <v>0</v>
      </c>
    </row>
    <row r="223" spans="1:8" ht="12.2" customHeight="1" x14ac:dyDescent="0.2">
      <c r="D223" s="251" t="s">
        <v>1811</v>
      </c>
      <c r="E223" s="252"/>
      <c r="F223" s="252"/>
      <c r="G223" s="48">
        <v>15.45</v>
      </c>
    </row>
    <row r="224" spans="1:8" x14ac:dyDescent="0.2">
      <c r="A224" s="4" t="s">
        <v>101</v>
      </c>
      <c r="B224" s="4"/>
      <c r="C224" s="4" t="s">
        <v>661</v>
      </c>
      <c r="D224" s="240" t="s">
        <v>1169</v>
      </c>
      <c r="E224" s="241"/>
      <c r="F224" s="4" t="s">
        <v>1644</v>
      </c>
      <c r="G224" s="69">
        <v>1</v>
      </c>
      <c r="H224" s="17">
        <v>0</v>
      </c>
    </row>
    <row r="225" spans="1:8" ht="12.2" customHeight="1" x14ac:dyDescent="0.2">
      <c r="D225" s="251" t="s">
        <v>1749</v>
      </c>
      <c r="E225" s="252"/>
      <c r="F225" s="252"/>
      <c r="G225" s="48">
        <v>1</v>
      </c>
    </row>
    <row r="226" spans="1:8" x14ac:dyDescent="0.2">
      <c r="A226" s="4" t="s">
        <v>102</v>
      </c>
      <c r="B226" s="4"/>
      <c r="C226" s="4" t="s">
        <v>662</v>
      </c>
      <c r="D226" s="240" t="s">
        <v>1170</v>
      </c>
      <c r="E226" s="241"/>
      <c r="F226" s="4" t="s">
        <v>1644</v>
      </c>
      <c r="G226" s="69">
        <v>1</v>
      </c>
      <c r="H226" s="17">
        <v>0</v>
      </c>
    </row>
    <row r="227" spans="1:8" ht="12.2" customHeight="1" x14ac:dyDescent="0.2">
      <c r="D227" s="251" t="s">
        <v>1749</v>
      </c>
      <c r="E227" s="252"/>
      <c r="F227" s="252"/>
      <c r="G227" s="48">
        <v>1</v>
      </c>
    </row>
    <row r="228" spans="1:8" x14ac:dyDescent="0.2">
      <c r="A228" s="4" t="s">
        <v>103</v>
      </c>
      <c r="B228" s="4"/>
      <c r="C228" s="4" t="s">
        <v>663</v>
      </c>
      <c r="D228" s="240" t="s">
        <v>1171</v>
      </c>
      <c r="E228" s="241"/>
      <c r="F228" s="4" t="s">
        <v>1644</v>
      </c>
      <c r="G228" s="69">
        <v>15</v>
      </c>
      <c r="H228" s="17">
        <v>0</v>
      </c>
    </row>
    <row r="229" spans="1:8" ht="12.2" customHeight="1" x14ac:dyDescent="0.2">
      <c r="D229" s="251" t="s">
        <v>1813</v>
      </c>
      <c r="E229" s="252"/>
      <c r="F229" s="252"/>
      <c r="G229" s="48">
        <v>15</v>
      </c>
    </row>
    <row r="230" spans="1:8" x14ac:dyDescent="0.2">
      <c r="A230" s="4" t="s">
        <v>104</v>
      </c>
      <c r="B230" s="4"/>
      <c r="C230" s="4" t="s">
        <v>664</v>
      </c>
      <c r="D230" s="240" t="s">
        <v>1172</v>
      </c>
      <c r="E230" s="241"/>
      <c r="F230" s="4" t="s">
        <v>1645</v>
      </c>
      <c r="G230" s="69">
        <v>8.43</v>
      </c>
      <c r="H230" s="17">
        <v>0</v>
      </c>
    </row>
    <row r="231" spans="1:8" ht="12.2" customHeight="1" x14ac:dyDescent="0.2">
      <c r="D231" s="251" t="s">
        <v>1814</v>
      </c>
      <c r="E231" s="252"/>
      <c r="F231" s="252"/>
      <c r="G231" s="48">
        <v>8.43</v>
      </c>
    </row>
    <row r="232" spans="1:8" x14ac:dyDescent="0.2">
      <c r="A232" s="4" t="s">
        <v>105</v>
      </c>
      <c r="B232" s="4"/>
      <c r="C232" s="4" t="s">
        <v>665</v>
      </c>
      <c r="D232" s="240" t="s">
        <v>1173</v>
      </c>
      <c r="E232" s="241"/>
      <c r="F232" s="4" t="s">
        <v>1645</v>
      </c>
      <c r="G232" s="69">
        <v>75.816999999999993</v>
      </c>
      <c r="H232" s="17">
        <v>0</v>
      </c>
    </row>
    <row r="233" spans="1:8" ht="12.2" customHeight="1" x14ac:dyDescent="0.2">
      <c r="D233" s="251" t="s">
        <v>1815</v>
      </c>
      <c r="E233" s="252"/>
      <c r="F233" s="252"/>
      <c r="G233" s="48">
        <v>75.816999999999993</v>
      </c>
    </row>
    <row r="234" spans="1:8" x14ac:dyDescent="0.2">
      <c r="A234" s="4" t="s">
        <v>106</v>
      </c>
      <c r="B234" s="4"/>
      <c r="C234" s="4" t="s">
        <v>666</v>
      </c>
      <c r="D234" s="240" t="s">
        <v>1174</v>
      </c>
      <c r="E234" s="241"/>
      <c r="F234" s="4" t="s">
        <v>1645</v>
      </c>
      <c r="G234" s="69">
        <v>32.493000000000002</v>
      </c>
      <c r="H234" s="17">
        <v>0</v>
      </c>
    </row>
    <row r="235" spans="1:8" ht="12.2" customHeight="1" x14ac:dyDescent="0.2">
      <c r="D235" s="251" t="s">
        <v>1816</v>
      </c>
      <c r="E235" s="252"/>
      <c r="F235" s="252"/>
      <c r="G235" s="48">
        <v>32.493000000000002</v>
      </c>
    </row>
    <row r="236" spans="1:8" x14ac:dyDescent="0.2">
      <c r="A236" s="4" t="s">
        <v>107</v>
      </c>
      <c r="B236" s="4"/>
      <c r="C236" s="4" t="s">
        <v>667</v>
      </c>
      <c r="D236" s="240" t="s">
        <v>1175</v>
      </c>
      <c r="E236" s="241"/>
      <c r="F236" s="4" t="s">
        <v>1644</v>
      </c>
      <c r="G236" s="69">
        <v>1</v>
      </c>
      <c r="H236" s="17">
        <v>0</v>
      </c>
    </row>
    <row r="237" spans="1:8" ht="12.2" customHeight="1" x14ac:dyDescent="0.2">
      <c r="D237" s="251" t="s">
        <v>1749</v>
      </c>
      <c r="E237" s="252"/>
      <c r="F237" s="252"/>
      <c r="G237" s="48">
        <v>1</v>
      </c>
    </row>
    <row r="238" spans="1:8" x14ac:dyDescent="0.2">
      <c r="A238" s="4" t="s">
        <v>108</v>
      </c>
      <c r="B238" s="4"/>
      <c r="C238" s="4" t="s">
        <v>668</v>
      </c>
      <c r="D238" s="240" t="s">
        <v>1176</v>
      </c>
      <c r="E238" s="241"/>
      <c r="F238" s="4" t="s">
        <v>1645</v>
      </c>
      <c r="G238" s="69">
        <v>1.56</v>
      </c>
      <c r="H238" s="17">
        <v>0</v>
      </c>
    </row>
    <row r="239" spans="1:8" ht="12.2" customHeight="1" x14ac:dyDescent="0.2">
      <c r="D239" s="251" t="s">
        <v>1817</v>
      </c>
      <c r="E239" s="252"/>
      <c r="F239" s="252"/>
      <c r="G239" s="48">
        <v>1.56</v>
      </c>
    </row>
    <row r="240" spans="1:8" x14ac:dyDescent="0.2">
      <c r="A240" s="4" t="s">
        <v>109</v>
      </c>
      <c r="B240" s="4"/>
      <c r="C240" s="4" t="s">
        <v>669</v>
      </c>
      <c r="D240" s="240" t="s">
        <v>1177</v>
      </c>
      <c r="E240" s="241"/>
      <c r="F240" s="4" t="s">
        <v>1645</v>
      </c>
      <c r="G240" s="69">
        <v>4.5</v>
      </c>
      <c r="H240" s="17">
        <v>0</v>
      </c>
    </row>
    <row r="241" spans="1:8" ht="12.2" customHeight="1" x14ac:dyDescent="0.2">
      <c r="D241" s="251" t="s">
        <v>1818</v>
      </c>
      <c r="E241" s="252"/>
      <c r="F241" s="252"/>
      <c r="G241" s="48">
        <v>4.5</v>
      </c>
    </row>
    <row r="242" spans="1:8" x14ac:dyDescent="0.2">
      <c r="A242" s="13"/>
      <c r="B242" s="13"/>
      <c r="C242" s="13" t="s">
        <v>103</v>
      </c>
      <c r="D242" s="244" t="s">
        <v>1178</v>
      </c>
      <c r="E242" s="245"/>
      <c r="F242" s="13"/>
      <c r="G242" s="70"/>
      <c r="H242" s="29"/>
    </row>
    <row r="243" spans="1:8" x14ac:dyDescent="0.2">
      <c r="A243" s="4" t="s">
        <v>110</v>
      </c>
      <c r="B243" s="4"/>
      <c r="C243" s="4" t="s">
        <v>670</v>
      </c>
      <c r="D243" s="240" t="s">
        <v>1179</v>
      </c>
      <c r="E243" s="241"/>
      <c r="F243" s="4" t="s">
        <v>1646</v>
      </c>
      <c r="G243" s="69">
        <v>1.75</v>
      </c>
      <c r="H243" s="17">
        <v>0</v>
      </c>
    </row>
    <row r="244" spans="1:8" ht="12.2" customHeight="1" x14ac:dyDescent="0.2">
      <c r="D244" s="251" t="s">
        <v>1819</v>
      </c>
      <c r="E244" s="252"/>
      <c r="F244" s="252"/>
      <c r="G244" s="48">
        <v>1.75</v>
      </c>
    </row>
    <row r="245" spans="1:8" x14ac:dyDescent="0.2">
      <c r="A245" s="4" t="s">
        <v>111</v>
      </c>
      <c r="B245" s="4"/>
      <c r="C245" s="4" t="s">
        <v>671</v>
      </c>
      <c r="D245" s="240" t="s">
        <v>1180</v>
      </c>
      <c r="E245" s="241"/>
      <c r="F245" s="4" t="s">
        <v>1646</v>
      </c>
      <c r="G245" s="69">
        <v>1.3</v>
      </c>
      <c r="H245" s="17">
        <v>0</v>
      </c>
    </row>
    <row r="246" spans="1:8" ht="12.2" customHeight="1" x14ac:dyDescent="0.2">
      <c r="D246" s="251" t="s">
        <v>1820</v>
      </c>
      <c r="E246" s="252"/>
      <c r="F246" s="252"/>
      <c r="G246" s="48">
        <v>1.3</v>
      </c>
    </row>
    <row r="247" spans="1:8" x14ac:dyDescent="0.2">
      <c r="A247" s="4" t="s">
        <v>112</v>
      </c>
      <c r="B247" s="4"/>
      <c r="C247" s="4" t="s">
        <v>672</v>
      </c>
      <c r="D247" s="240" t="s">
        <v>1181</v>
      </c>
      <c r="E247" s="241"/>
      <c r="F247" s="4" t="s">
        <v>1646</v>
      </c>
      <c r="G247" s="69">
        <v>1.75</v>
      </c>
      <c r="H247" s="17">
        <v>0</v>
      </c>
    </row>
    <row r="248" spans="1:8" ht="12.2" customHeight="1" x14ac:dyDescent="0.2">
      <c r="D248" s="251" t="s">
        <v>1819</v>
      </c>
      <c r="E248" s="252"/>
      <c r="F248" s="252"/>
      <c r="G248" s="48">
        <v>1.75</v>
      </c>
    </row>
    <row r="249" spans="1:8" x14ac:dyDescent="0.2">
      <c r="A249" s="4" t="s">
        <v>113</v>
      </c>
      <c r="B249" s="4"/>
      <c r="C249" s="4" t="s">
        <v>673</v>
      </c>
      <c r="D249" s="240" t="s">
        <v>1182</v>
      </c>
      <c r="E249" s="241"/>
      <c r="F249" s="4" t="s">
        <v>1644</v>
      </c>
      <c r="G249" s="69">
        <v>8</v>
      </c>
      <c r="H249" s="17">
        <v>0</v>
      </c>
    </row>
    <row r="250" spans="1:8" ht="12.2" customHeight="1" x14ac:dyDescent="0.2">
      <c r="D250" s="251" t="s">
        <v>1821</v>
      </c>
      <c r="E250" s="252"/>
      <c r="F250" s="252"/>
      <c r="G250" s="48">
        <v>8</v>
      </c>
    </row>
    <row r="251" spans="1:8" x14ac:dyDescent="0.2">
      <c r="A251" s="4" t="s">
        <v>114</v>
      </c>
      <c r="B251" s="4"/>
      <c r="C251" s="4" t="s">
        <v>674</v>
      </c>
      <c r="D251" s="240" t="s">
        <v>1183</v>
      </c>
      <c r="E251" s="241"/>
      <c r="F251" s="4" t="s">
        <v>1646</v>
      </c>
      <c r="G251" s="69">
        <v>2.25</v>
      </c>
      <c r="H251" s="17">
        <v>0</v>
      </c>
    </row>
    <row r="252" spans="1:8" ht="12.2" customHeight="1" x14ac:dyDescent="0.2">
      <c r="D252" s="251" t="s">
        <v>1822</v>
      </c>
      <c r="E252" s="252"/>
      <c r="F252" s="252"/>
      <c r="G252" s="48">
        <v>2.25</v>
      </c>
    </row>
    <row r="253" spans="1:8" x14ac:dyDescent="0.2">
      <c r="A253" s="4" t="s">
        <v>115</v>
      </c>
      <c r="B253" s="4"/>
      <c r="C253" s="4" t="s">
        <v>675</v>
      </c>
      <c r="D253" s="240" t="s">
        <v>1184</v>
      </c>
      <c r="E253" s="241"/>
      <c r="F253" s="4" t="s">
        <v>1646</v>
      </c>
      <c r="G253" s="69">
        <v>2.25</v>
      </c>
      <c r="H253" s="17">
        <v>0</v>
      </c>
    </row>
    <row r="254" spans="1:8" ht="12.2" customHeight="1" x14ac:dyDescent="0.2">
      <c r="D254" s="251" t="s">
        <v>1822</v>
      </c>
      <c r="E254" s="252"/>
      <c r="F254" s="252"/>
      <c r="G254" s="48">
        <v>2.25</v>
      </c>
    </row>
    <row r="255" spans="1:8" x14ac:dyDescent="0.2">
      <c r="A255" s="4" t="s">
        <v>116</v>
      </c>
      <c r="B255" s="4"/>
      <c r="C255" s="4" t="s">
        <v>676</v>
      </c>
      <c r="D255" s="240" t="s">
        <v>1185</v>
      </c>
      <c r="E255" s="241"/>
      <c r="F255" s="4" t="s">
        <v>1645</v>
      </c>
      <c r="G255" s="69">
        <v>268.387</v>
      </c>
      <c r="H255" s="17">
        <v>0</v>
      </c>
    </row>
    <row r="256" spans="1:8" ht="12.2" customHeight="1" x14ac:dyDescent="0.2">
      <c r="D256" s="251" t="s">
        <v>1779</v>
      </c>
      <c r="E256" s="252"/>
      <c r="F256" s="252"/>
      <c r="G256" s="48">
        <v>268.387</v>
      </c>
    </row>
    <row r="257" spans="1:8" x14ac:dyDescent="0.2">
      <c r="A257" s="4" t="s">
        <v>117</v>
      </c>
      <c r="B257" s="4"/>
      <c r="C257" s="4" t="s">
        <v>677</v>
      </c>
      <c r="D257" s="240" t="s">
        <v>1186</v>
      </c>
      <c r="E257" s="241"/>
      <c r="F257" s="4" t="s">
        <v>1645</v>
      </c>
      <c r="G257" s="69">
        <v>16.649999999999999</v>
      </c>
      <c r="H257" s="17">
        <v>0</v>
      </c>
    </row>
    <row r="258" spans="1:8" ht="12.2" customHeight="1" x14ac:dyDescent="0.2">
      <c r="D258" s="251" t="s">
        <v>1776</v>
      </c>
      <c r="E258" s="252"/>
      <c r="F258" s="252"/>
      <c r="G258" s="48">
        <v>16.649999999999999</v>
      </c>
    </row>
    <row r="259" spans="1:8" x14ac:dyDescent="0.2">
      <c r="A259" s="4" t="s">
        <v>118</v>
      </c>
      <c r="B259" s="4"/>
      <c r="C259" s="4" t="s">
        <v>678</v>
      </c>
      <c r="D259" s="240" t="s">
        <v>1187</v>
      </c>
      <c r="E259" s="241"/>
      <c r="F259" s="4" t="s">
        <v>1645</v>
      </c>
      <c r="G259" s="69">
        <v>23.97</v>
      </c>
      <c r="H259" s="17">
        <v>0</v>
      </c>
    </row>
    <row r="260" spans="1:8" ht="12.2" customHeight="1" x14ac:dyDescent="0.2">
      <c r="D260" s="251" t="s">
        <v>1780</v>
      </c>
      <c r="E260" s="252"/>
      <c r="F260" s="252"/>
      <c r="G260" s="48">
        <v>23.97</v>
      </c>
    </row>
    <row r="261" spans="1:8" x14ac:dyDescent="0.2">
      <c r="A261" s="4" t="s">
        <v>119</v>
      </c>
      <c r="B261" s="4"/>
      <c r="C261" s="4" t="s">
        <v>679</v>
      </c>
      <c r="D261" s="240" t="s">
        <v>1188</v>
      </c>
      <c r="E261" s="241"/>
      <c r="F261" s="4" t="s">
        <v>1645</v>
      </c>
      <c r="G261" s="69">
        <v>12.41</v>
      </c>
      <c r="H261" s="17">
        <v>0</v>
      </c>
    </row>
    <row r="262" spans="1:8" ht="12.2" customHeight="1" x14ac:dyDescent="0.2">
      <c r="D262" s="251" t="s">
        <v>1778</v>
      </c>
      <c r="E262" s="252"/>
      <c r="F262" s="252"/>
      <c r="G262" s="48">
        <v>12.41</v>
      </c>
    </row>
    <row r="263" spans="1:8" x14ac:dyDescent="0.2">
      <c r="A263" s="4" t="s">
        <v>120</v>
      </c>
      <c r="B263" s="4"/>
      <c r="C263" s="4" t="s">
        <v>680</v>
      </c>
      <c r="D263" s="240" t="s">
        <v>1189</v>
      </c>
      <c r="E263" s="241"/>
      <c r="F263" s="4" t="s">
        <v>1645</v>
      </c>
      <c r="G263" s="69">
        <v>479.38299999999998</v>
      </c>
      <c r="H263" s="17">
        <v>0</v>
      </c>
    </row>
    <row r="264" spans="1:8" ht="12.2" customHeight="1" x14ac:dyDescent="0.2">
      <c r="D264" s="251" t="s">
        <v>1823</v>
      </c>
      <c r="E264" s="252"/>
      <c r="F264" s="252"/>
      <c r="G264" s="48">
        <v>479.38299999999998</v>
      </c>
    </row>
    <row r="265" spans="1:8" x14ac:dyDescent="0.2">
      <c r="A265" s="4" t="s">
        <v>121</v>
      </c>
      <c r="B265" s="4"/>
      <c r="C265" s="4" t="s">
        <v>681</v>
      </c>
      <c r="D265" s="240" t="s">
        <v>1190</v>
      </c>
      <c r="E265" s="241"/>
      <c r="F265" s="4" t="s">
        <v>1645</v>
      </c>
      <c r="G265" s="69">
        <v>479.38299999999998</v>
      </c>
      <c r="H265" s="17">
        <v>0</v>
      </c>
    </row>
    <row r="266" spans="1:8" ht="12.2" customHeight="1" x14ac:dyDescent="0.2">
      <c r="D266" s="251" t="s">
        <v>1823</v>
      </c>
      <c r="E266" s="252"/>
      <c r="F266" s="252"/>
      <c r="G266" s="48">
        <v>479.38299999999998</v>
      </c>
    </row>
    <row r="267" spans="1:8" x14ac:dyDescent="0.2">
      <c r="A267" s="4" t="s">
        <v>122</v>
      </c>
      <c r="B267" s="4"/>
      <c r="C267" s="4" t="s">
        <v>682</v>
      </c>
      <c r="D267" s="240" t="s">
        <v>1191</v>
      </c>
      <c r="E267" s="241"/>
      <c r="F267" s="4" t="s">
        <v>1645</v>
      </c>
      <c r="G267" s="69">
        <v>108.31100000000001</v>
      </c>
      <c r="H267" s="17">
        <v>0</v>
      </c>
    </row>
    <row r="268" spans="1:8" ht="12.2" customHeight="1" x14ac:dyDescent="0.2">
      <c r="D268" s="251" t="s">
        <v>1783</v>
      </c>
      <c r="E268" s="252"/>
      <c r="F268" s="252"/>
      <c r="G268" s="48">
        <v>108.31100000000001</v>
      </c>
    </row>
    <row r="269" spans="1:8" x14ac:dyDescent="0.2">
      <c r="A269" s="4" t="s">
        <v>123</v>
      </c>
      <c r="B269" s="4"/>
      <c r="C269" s="4" t="s">
        <v>682</v>
      </c>
      <c r="D269" s="240" t="s">
        <v>1192</v>
      </c>
      <c r="E269" s="241"/>
      <c r="F269" s="4" t="s">
        <v>1645</v>
      </c>
      <c r="G269" s="69">
        <v>67.430000000000007</v>
      </c>
      <c r="H269" s="17">
        <v>0</v>
      </c>
    </row>
    <row r="270" spans="1:8" ht="12.2" customHeight="1" x14ac:dyDescent="0.2">
      <c r="D270" s="251" t="s">
        <v>1824</v>
      </c>
      <c r="E270" s="252"/>
      <c r="F270" s="252"/>
      <c r="G270" s="48">
        <v>67.430000000000007</v>
      </c>
    </row>
    <row r="271" spans="1:8" x14ac:dyDescent="0.2">
      <c r="A271" s="4" t="s">
        <v>124</v>
      </c>
      <c r="B271" s="4"/>
      <c r="C271" s="4" t="s">
        <v>682</v>
      </c>
      <c r="D271" s="240" t="s">
        <v>1193</v>
      </c>
      <c r="E271" s="241"/>
      <c r="F271" s="4" t="s">
        <v>1645</v>
      </c>
      <c r="G271" s="69">
        <v>34.523000000000003</v>
      </c>
      <c r="H271" s="17">
        <v>0</v>
      </c>
    </row>
    <row r="272" spans="1:8" ht="12.2" customHeight="1" x14ac:dyDescent="0.2">
      <c r="D272" s="251" t="s">
        <v>1825</v>
      </c>
      <c r="E272" s="252"/>
      <c r="F272" s="252"/>
      <c r="G272" s="48">
        <v>34.523000000000003</v>
      </c>
    </row>
    <row r="273" spans="1:8" x14ac:dyDescent="0.2">
      <c r="A273" s="4" t="s">
        <v>125</v>
      </c>
      <c r="B273" s="4"/>
      <c r="C273" s="4" t="s">
        <v>683</v>
      </c>
      <c r="D273" s="240" t="s">
        <v>1194</v>
      </c>
      <c r="E273" s="241"/>
      <c r="F273" s="4" t="s">
        <v>1645</v>
      </c>
      <c r="G273" s="69">
        <v>23.97</v>
      </c>
      <c r="H273" s="17">
        <v>0</v>
      </c>
    </row>
    <row r="274" spans="1:8" ht="12.2" customHeight="1" x14ac:dyDescent="0.2">
      <c r="D274" s="251" t="s">
        <v>1780</v>
      </c>
      <c r="E274" s="252"/>
      <c r="F274" s="252"/>
      <c r="G274" s="48">
        <v>23.97</v>
      </c>
    </row>
    <row r="275" spans="1:8" x14ac:dyDescent="0.2">
      <c r="A275" s="4" t="s">
        <v>126</v>
      </c>
      <c r="B275" s="4"/>
      <c r="C275" s="4" t="s">
        <v>684</v>
      </c>
      <c r="D275" s="240" t="s">
        <v>1195</v>
      </c>
      <c r="E275" s="241"/>
      <c r="F275" s="4" t="s">
        <v>1645</v>
      </c>
      <c r="G275" s="69">
        <v>20.234999999999999</v>
      </c>
      <c r="H275" s="17">
        <v>0</v>
      </c>
    </row>
    <row r="276" spans="1:8" ht="12.2" customHeight="1" x14ac:dyDescent="0.2">
      <c r="D276" s="251" t="s">
        <v>1826</v>
      </c>
      <c r="E276" s="252"/>
      <c r="F276" s="252"/>
      <c r="G276" s="48">
        <v>20.234999999999999</v>
      </c>
    </row>
    <row r="277" spans="1:8" x14ac:dyDescent="0.2">
      <c r="A277" s="13"/>
      <c r="B277" s="13"/>
      <c r="C277" s="13" t="s">
        <v>104</v>
      </c>
      <c r="D277" s="244" t="s">
        <v>1196</v>
      </c>
      <c r="E277" s="245"/>
      <c r="F277" s="13"/>
      <c r="G277" s="70"/>
      <c r="H277" s="29"/>
    </row>
    <row r="278" spans="1:8" x14ac:dyDescent="0.2">
      <c r="A278" s="4" t="s">
        <v>127</v>
      </c>
      <c r="B278" s="4"/>
      <c r="C278" s="4" t="s">
        <v>685</v>
      </c>
      <c r="D278" s="240" t="s">
        <v>1197</v>
      </c>
      <c r="E278" s="241"/>
      <c r="F278" s="4" t="s">
        <v>1647</v>
      </c>
      <c r="G278" s="69">
        <v>172.19</v>
      </c>
      <c r="H278" s="17">
        <v>0</v>
      </c>
    </row>
    <row r="279" spans="1:8" ht="12.2" customHeight="1" x14ac:dyDescent="0.2">
      <c r="D279" s="251" t="s">
        <v>1827</v>
      </c>
      <c r="E279" s="252"/>
      <c r="F279" s="252"/>
      <c r="G279" s="48">
        <v>172.19</v>
      </c>
    </row>
    <row r="280" spans="1:8" x14ac:dyDescent="0.2">
      <c r="A280" s="13"/>
      <c r="B280" s="13"/>
      <c r="C280" s="13" t="s">
        <v>686</v>
      </c>
      <c r="D280" s="244" t="s">
        <v>1198</v>
      </c>
      <c r="E280" s="245"/>
      <c r="F280" s="13"/>
      <c r="G280" s="70"/>
      <c r="H280" s="29"/>
    </row>
    <row r="281" spans="1:8" x14ac:dyDescent="0.2">
      <c r="A281" s="4" t="s">
        <v>128</v>
      </c>
      <c r="B281" s="4"/>
      <c r="C281" s="4" t="s">
        <v>687</v>
      </c>
      <c r="D281" s="240" t="s">
        <v>1199</v>
      </c>
      <c r="E281" s="241"/>
      <c r="F281" s="4" t="s">
        <v>1648</v>
      </c>
      <c r="G281" s="69">
        <v>38.627000000000002</v>
      </c>
      <c r="H281" s="17">
        <v>0</v>
      </c>
    </row>
    <row r="282" spans="1:8" ht="12.2" customHeight="1" x14ac:dyDescent="0.2">
      <c r="D282" s="251" t="s">
        <v>1828</v>
      </c>
      <c r="E282" s="252"/>
      <c r="F282" s="252"/>
      <c r="G282" s="48">
        <v>38.627000000000002</v>
      </c>
    </row>
    <row r="283" spans="1:8" x14ac:dyDescent="0.2">
      <c r="A283" s="4" t="s">
        <v>129</v>
      </c>
      <c r="B283" s="4"/>
      <c r="C283" s="4" t="s">
        <v>688</v>
      </c>
      <c r="D283" s="240" t="s">
        <v>1200</v>
      </c>
      <c r="E283" s="241"/>
      <c r="F283" s="4" t="s">
        <v>1648</v>
      </c>
      <c r="G283" s="69">
        <v>25.751999999999999</v>
      </c>
      <c r="H283" s="17">
        <v>0</v>
      </c>
    </row>
    <row r="284" spans="1:8" ht="12.2" customHeight="1" x14ac:dyDescent="0.2">
      <c r="D284" s="251" t="s">
        <v>1829</v>
      </c>
      <c r="E284" s="252"/>
      <c r="F284" s="252"/>
      <c r="G284" s="48">
        <v>25.751999999999999</v>
      </c>
    </row>
    <row r="285" spans="1:8" x14ac:dyDescent="0.2">
      <c r="A285" s="4" t="s">
        <v>130</v>
      </c>
      <c r="B285" s="4"/>
      <c r="C285" s="4" t="s">
        <v>689</v>
      </c>
      <c r="D285" s="240" t="s">
        <v>1201</v>
      </c>
      <c r="E285" s="241"/>
      <c r="F285" s="4" t="s">
        <v>1648</v>
      </c>
      <c r="G285" s="69">
        <v>154.50899999999999</v>
      </c>
      <c r="H285" s="17">
        <v>0</v>
      </c>
    </row>
    <row r="286" spans="1:8" ht="12.2" customHeight="1" x14ac:dyDescent="0.2">
      <c r="D286" s="251" t="s">
        <v>1830</v>
      </c>
      <c r="E286" s="252"/>
      <c r="F286" s="252"/>
      <c r="G286" s="48">
        <v>154.50899999999999</v>
      </c>
    </row>
    <row r="287" spans="1:8" x14ac:dyDescent="0.2">
      <c r="A287" s="4" t="s">
        <v>131</v>
      </c>
      <c r="B287" s="4"/>
      <c r="C287" s="4" t="s">
        <v>690</v>
      </c>
      <c r="D287" s="240" t="s">
        <v>1202</v>
      </c>
      <c r="E287" s="241"/>
      <c r="F287" s="4" t="s">
        <v>1648</v>
      </c>
      <c r="G287" s="69">
        <v>1390.5809999999999</v>
      </c>
      <c r="H287" s="17">
        <v>0</v>
      </c>
    </row>
    <row r="288" spans="1:8" ht="12.2" customHeight="1" x14ac:dyDescent="0.2">
      <c r="D288" s="251" t="s">
        <v>1831</v>
      </c>
      <c r="E288" s="252"/>
      <c r="F288" s="252"/>
      <c r="G288" s="48">
        <v>1390.5809999999999</v>
      </c>
    </row>
    <row r="289" spans="1:8" x14ac:dyDescent="0.2">
      <c r="A289" s="4" t="s">
        <v>132</v>
      </c>
      <c r="B289" s="4"/>
      <c r="C289" s="4" t="s">
        <v>691</v>
      </c>
      <c r="D289" s="240" t="s">
        <v>1203</v>
      </c>
      <c r="E289" s="241"/>
      <c r="F289" s="4" t="s">
        <v>1648</v>
      </c>
      <c r="G289" s="69">
        <v>154.50899999999999</v>
      </c>
      <c r="H289" s="17">
        <v>0</v>
      </c>
    </row>
    <row r="290" spans="1:8" ht="12.2" customHeight="1" x14ac:dyDescent="0.2">
      <c r="D290" s="251" t="s">
        <v>1830</v>
      </c>
      <c r="E290" s="252"/>
      <c r="F290" s="252"/>
      <c r="G290" s="48">
        <v>154.50899999999999</v>
      </c>
    </row>
    <row r="291" spans="1:8" x14ac:dyDescent="0.2">
      <c r="A291" s="4" t="s">
        <v>133</v>
      </c>
      <c r="B291" s="4"/>
      <c r="C291" s="4" t="s">
        <v>692</v>
      </c>
      <c r="D291" s="240" t="s">
        <v>1204</v>
      </c>
      <c r="E291" s="241"/>
      <c r="F291" s="4" t="s">
        <v>1648</v>
      </c>
      <c r="G291" s="69">
        <v>618.03599999999994</v>
      </c>
      <c r="H291" s="17">
        <v>0</v>
      </c>
    </row>
    <row r="292" spans="1:8" ht="12.2" customHeight="1" x14ac:dyDescent="0.2">
      <c r="D292" s="251" t="s">
        <v>1832</v>
      </c>
      <c r="E292" s="252"/>
      <c r="F292" s="252"/>
      <c r="G292" s="48">
        <v>618.03599999999994</v>
      </c>
    </row>
    <row r="293" spans="1:8" x14ac:dyDescent="0.2">
      <c r="A293" s="4" t="s">
        <v>134</v>
      </c>
      <c r="B293" s="4"/>
      <c r="C293" s="4" t="s">
        <v>693</v>
      </c>
      <c r="D293" s="240" t="s">
        <v>1205</v>
      </c>
      <c r="E293" s="241"/>
      <c r="F293" s="4" t="s">
        <v>1648</v>
      </c>
      <c r="G293" s="69">
        <v>154.50899999999999</v>
      </c>
      <c r="H293" s="17">
        <v>0</v>
      </c>
    </row>
    <row r="294" spans="1:8" ht="12.2" customHeight="1" x14ac:dyDescent="0.2">
      <c r="D294" s="251" t="s">
        <v>1830</v>
      </c>
      <c r="E294" s="252"/>
      <c r="F294" s="252"/>
      <c r="G294" s="48">
        <v>154.50899999999999</v>
      </c>
    </row>
    <row r="295" spans="1:8" x14ac:dyDescent="0.2">
      <c r="A295" s="4" t="s">
        <v>135</v>
      </c>
      <c r="B295" s="4"/>
      <c r="C295" s="4" t="s">
        <v>694</v>
      </c>
      <c r="D295" s="240" t="s">
        <v>1206</v>
      </c>
      <c r="E295" s="241"/>
      <c r="F295" s="4" t="s">
        <v>1648</v>
      </c>
      <c r="G295" s="69">
        <v>154.50899999999999</v>
      </c>
      <c r="H295" s="17">
        <v>0</v>
      </c>
    </row>
    <row r="296" spans="1:8" ht="12.2" customHeight="1" x14ac:dyDescent="0.2">
      <c r="D296" s="251" t="s">
        <v>1830</v>
      </c>
      <c r="E296" s="252"/>
      <c r="F296" s="252"/>
      <c r="G296" s="48">
        <v>154.50899999999999</v>
      </c>
    </row>
    <row r="297" spans="1:8" x14ac:dyDescent="0.2">
      <c r="A297" s="4" t="s">
        <v>136</v>
      </c>
      <c r="B297" s="4"/>
      <c r="C297" s="4" t="s">
        <v>695</v>
      </c>
      <c r="D297" s="240" t="s">
        <v>1207</v>
      </c>
      <c r="E297" s="241"/>
      <c r="F297" s="4" t="s">
        <v>1648</v>
      </c>
      <c r="G297" s="69">
        <v>3.3780000000000001</v>
      </c>
      <c r="H297" s="17">
        <v>0</v>
      </c>
    </row>
    <row r="298" spans="1:8" ht="12.2" customHeight="1" x14ac:dyDescent="0.2">
      <c r="D298" s="251" t="s">
        <v>1833</v>
      </c>
      <c r="E298" s="252"/>
      <c r="F298" s="252"/>
      <c r="G298" s="48">
        <v>3.3780000000000001</v>
      </c>
    </row>
    <row r="299" spans="1:8" x14ac:dyDescent="0.2">
      <c r="A299" s="4" t="s">
        <v>137</v>
      </c>
      <c r="B299" s="4"/>
      <c r="C299" s="4" t="s">
        <v>696</v>
      </c>
      <c r="D299" s="240" t="s">
        <v>1208</v>
      </c>
      <c r="E299" s="241"/>
      <c r="F299" s="4" t="s">
        <v>1648</v>
      </c>
      <c r="G299" s="69">
        <v>5.9169999999999998</v>
      </c>
      <c r="H299" s="17">
        <v>0</v>
      </c>
    </row>
    <row r="300" spans="1:8" ht="12.2" customHeight="1" x14ac:dyDescent="0.2">
      <c r="D300" s="251" t="s">
        <v>1834</v>
      </c>
      <c r="E300" s="252"/>
      <c r="F300" s="252"/>
      <c r="G300" s="48">
        <v>5.9169999999999998</v>
      </c>
    </row>
    <row r="301" spans="1:8" x14ac:dyDescent="0.2">
      <c r="A301" s="4" t="s">
        <v>138</v>
      </c>
      <c r="B301" s="4"/>
      <c r="C301" s="4" t="s">
        <v>697</v>
      </c>
      <c r="D301" s="240" t="s">
        <v>1209</v>
      </c>
      <c r="E301" s="241"/>
      <c r="F301" s="4" t="s">
        <v>1648</v>
      </c>
      <c r="G301" s="69">
        <v>109.857</v>
      </c>
      <c r="H301" s="17">
        <v>0</v>
      </c>
    </row>
    <row r="302" spans="1:8" ht="12.2" customHeight="1" x14ac:dyDescent="0.2">
      <c r="D302" s="251" t="s">
        <v>1835</v>
      </c>
      <c r="E302" s="252"/>
      <c r="F302" s="252"/>
      <c r="G302" s="48">
        <v>109.857</v>
      </c>
    </row>
    <row r="303" spans="1:8" x14ac:dyDescent="0.2">
      <c r="A303" s="4" t="s">
        <v>139</v>
      </c>
      <c r="B303" s="4"/>
      <c r="C303" s="4" t="s">
        <v>698</v>
      </c>
      <c r="D303" s="240" t="s">
        <v>1210</v>
      </c>
      <c r="E303" s="241"/>
      <c r="F303" s="4" t="s">
        <v>1648</v>
      </c>
      <c r="G303" s="69">
        <v>22.446000000000002</v>
      </c>
      <c r="H303" s="17">
        <v>0</v>
      </c>
    </row>
    <row r="304" spans="1:8" ht="12.2" customHeight="1" x14ac:dyDescent="0.2">
      <c r="D304" s="251" t="s">
        <v>1836</v>
      </c>
      <c r="E304" s="252"/>
      <c r="F304" s="252"/>
      <c r="G304" s="48">
        <v>22.446000000000002</v>
      </c>
    </row>
    <row r="305" spans="1:8" x14ac:dyDescent="0.2">
      <c r="A305" s="4" t="s">
        <v>140</v>
      </c>
      <c r="B305" s="4"/>
      <c r="C305" s="4" t="s">
        <v>699</v>
      </c>
      <c r="D305" s="240" t="s">
        <v>1211</v>
      </c>
      <c r="E305" s="241"/>
      <c r="F305" s="4" t="s">
        <v>1648</v>
      </c>
      <c r="G305" s="69">
        <v>0.128</v>
      </c>
      <c r="H305" s="17">
        <v>0</v>
      </c>
    </row>
    <row r="306" spans="1:8" ht="12.2" customHeight="1" x14ac:dyDescent="0.2">
      <c r="D306" s="251" t="s">
        <v>1837</v>
      </c>
      <c r="E306" s="252"/>
      <c r="F306" s="252"/>
      <c r="G306" s="48">
        <v>0.128</v>
      </c>
    </row>
    <row r="307" spans="1:8" x14ac:dyDescent="0.2">
      <c r="A307" s="4" t="s">
        <v>141</v>
      </c>
      <c r="B307" s="4"/>
      <c r="C307" s="4" t="s">
        <v>700</v>
      </c>
      <c r="D307" s="240" t="s">
        <v>1212</v>
      </c>
      <c r="E307" s="241"/>
      <c r="F307" s="4" t="s">
        <v>1648</v>
      </c>
      <c r="G307" s="69">
        <v>0.317</v>
      </c>
      <c r="H307" s="17">
        <v>0</v>
      </c>
    </row>
    <row r="308" spans="1:8" ht="12.2" customHeight="1" x14ac:dyDescent="0.2">
      <c r="D308" s="251" t="s">
        <v>1838</v>
      </c>
      <c r="E308" s="252"/>
      <c r="F308" s="252"/>
      <c r="G308" s="48">
        <v>0.317</v>
      </c>
    </row>
    <row r="309" spans="1:8" x14ac:dyDescent="0.2">
      <c r="A309" s="4" t="s">
        <v>142</v>
      </c>
      <c r="B309" s="4"/>
      <c r="C309" s="4" t="s">
        <v>701</v>
      </c>
      <c r="D309" s="240" t="s">
        <v>1213</v>
      </c>
      <c r="E309" s="241"/>
      <c r="F309" s="4" t="s">
        <v>1648</v>
      </c>
      <c r="G309" s="69">
        <v>4.8140000000000001</v>
      </c>
      <c r="H309" s="17">
        <v>0</v>
      </c>
    </row>
    <row r="310" spans="1:8" ht="12.2" customHeight="1" x14ac:dyDescent="0.2">
      <c r="D310" s="251" t="s">
        <v>1839</v>
      </c>
      <c r="E310" s="252"/>
      <c r="F310" s="252"/>
      <c r="G310" s="48">
        <v>4.8140000000000001</v>
      </c>
    </row>
    <row r="311" spans="1:8" x14ac:dyDescent="0.2">
      <c r="A311" s="4" t="s">
        <v>143</v>
      </c>
      <c r="B311" s="4"/>
      <c r="C311" s="4" t="s">
        <v>702</v>
      </c>
      <c r="D311" s="240" t="s">
        <v>1214</v>
      </c>
      <c r="E311" s="241"/>
      <c r="F311" s="4" t="s">
        <v>1648</v>
      </c>
      <c r="G311" s="69">
        <v>7.6520000000000001</v>
      </c>
      <c r="H311" s="17">
        <v>0</v>
      </c>
    </row>
    <row r="312" spans="1:8" ht="12.2" customHeight="1" x14ac:dyDescent="0.2">
      <c r="D312" s="251" t="s">
        <v>1840</v>
      </c>
      <c r="E312" s="252"/>
      <c r="F312" s="252"/>
      <c r="G312" s="48">
        <v>7.6520000000000001</v>
      </c>
    </row>
    <row r="313" spans="1:8" x14ac:dyDescent="0.2">
      <c r="A313" s="13"/>
      <c r="B313" s="13"/>
      <c r="C313" s="13" t="s">
        <v>703</v>
      </c>
      <c r="D313" s="244" t="s">
        <v>1215</v>
      </c>
      <c r="E313" s="245"/>
      <c r="F313" s="13"/>
      <c r="G313" s="70"/>
      <c r="H313" s="29"/>
    </row>
    <row r="314" spans="1:8" x14ac:dyDescent="0.2">
      <c r="A314" s="4" t="s">
        <v>144</v>
      </c>
      <c r="B314" s="4"/>
      <c r="C314" s="4" t="s">
        <v>704</v>
      </c>
      <c r="D314" s="240" t="s">
        <v>1216</v>
      </c>
      <c r="E314" s="241"/>
      <c r="F314" s="4" t="s">
        <v>1648</v>
      </c>
      <c r="G314" s="69">
        <v>156.81100000000001</v>
      </c>
      <c r="H314" s="17">
        <v>0</v>
      </c>
    </row>
    <row r="315" spans="1:8" ht="12.2" customHeight="1" x14ac:dyDescent="0.2">
      <c r="D315" s="251" t="s">
        <v>1841</v>
      </c>
      <c r="E315" s="252"/>
      <c r="F315" s="252"/>
      <c r="G315" s="48">
        <v>156.81100000000001</v>
      </c>
    </row>
    <row r="316" spans="1:8" x14ac:dyDescent="0.2">
      <c r="A316" s="13"/>
      <c r="B316" s="13"/>
      <c r="C316" s="13" t="s">
        <v>705</v>
      </c>
      <c r="D316" s="244" t="s">
        <v>1217</v>
      </c>
      <c r="E316" s="245"/>
      <c r="F316" s="13"/>
      <c r="G316" s="70"/>
      <c r="H316" s="29"/>
    </row>
    <row r="317" spans="1:8" x14ac:dyDescent="0.2">
      <c r="A317" s="4" t="s">
        <v>145</v>
      </c>
      <c r="B317" s="4"/>
      <c r="C317" s="4" t="s">
        <v>706</v>
      </c>
      <c r="D317" s="240" t="s">
        <v>1218</v>
      </c>
      <c r="E317" s="241"/>
      <c r="F317" s="4" t="s">
        <v>1645</v>
      </c>
      <c r="G317" s="69">
        <v>344.89400000000001</v>
      </c>
      <c r="H317" s="17">
        <v>0</v>
      </c>
    </row>
    <row r="318" spans="1:8" ht="12.2" customHeight="1" x14ac:dyDescent="0.2">
      <c r="D318" s="251" t="s">
        <v>1842</v>
      </c>
      <c r="E318" s="252"/>
      <c r="F318" s="252"/>
      <c r="G318" s="48">
        <v>344.89400000000001</v>
      </c>
    </row>
    <row r="319" spans="1:8" x14ac:dyDescent="0.2">
      <c r="A319" s="4" t="s">
        <v>146</v>
      </c>
      <c r="B319" s="4"/>
      <c r="C319" s="4" t="s">
        <v>707</v>
      </c>
      <c r="D319" s="240" t="s">
        <v>1219</v>
      </c>
      <c r="E319" s="241"/>
      <c r="F319" s="4" t="s">
        <v>1644</v>
      </c>
      <c r="G319" s="69">
        <v>20</v>
      </c>
      <c r="H319" s="17">
        <v>0</v>
      </c>
    </row>
    <row r="320" spans="1:8" ht="12.2" customHeight="1" x14ac:dyDescent="0.2">
      <c r="D320" s="251" t="s">
        <v>1802</v>
      </c>
      <c r="E320" s="252"/>
      <c r="F320" s="252"/>
      <c r="G320" s="48">
        <v>20</v>
      </c>
    </row>
    <row r="321" spans="1:8" x14ac:dyDescent="0.2">
      <c r="A321" s="4" t="s">
        <v>147</v>
      </c>
      <c r="B321" s="4"/>
      <c r="C321" s="4" t="s">
        <v>708</v>
      </c>
      <c r="D321" s="240" t="s">
        <v>1220</v>
      </c>
      <c r="E321" s="241"/>
      <c r="F321" s="4" t="s">
        <v>1645</v>
      </c>
      <c r="G321" s="69">
        <v>345.786</v>
      </c>
      <c r="H321" s="17">
        <v>0</v>
      </c>
    </row>
    <row r="322" spans="1:8" ht="12.2" customHeight="1" x14ac:dyDescent="0.2">
      <c r="D322" s="251" t="s">
        <v>1843</v>
      </c>
      <c r="E322" s="252"/>
      <c r="F322" s="252"/>
      <c r="G322" s="48">
        <v>345.786</v>
      </c>
    </row>
    <row r="323" spans="1:8" x14ac:dyDescent="0.2">
      <c r="A323" s="4" t="s">
        <v>148</v>
      </c>
      <c r="B323" s="4"/>
      <c r="C323" s="4" t="s">
        <v>709</v>
      </c>
      <c r="D323" s="240" t="s">
        <v>1221</v>
      </c>
      <c r="E323" s="241"/>
      <c r="F323" s="4" t="s">
        <v>1648</v>
      </c>
      <c r="G323" s="69">
        <v>4.3099999999999996</v>
      </c>
      <c r="H323" s="17">
        <v>0</v>
      </c>
    </row>
    <row r="324" spans="1:8" ht="12.2" customHeight="1" x14ac:dyDescent="0.2">
      <c r="D324" s="251" t="s">
        <v>1844</v>
      </c>
      <c r="E324" s="252"/>
      <c r="F324" s="252"/>
      <c r="G324" s="48">
        <v>4.3099999999999996</v>
      </c>
    </row>
    <row r="325" spans="1:8" x14ac:dyDescent="0.2">
      <c r="A325" s="13"/>
      <c r="B325" s="13"/>
      <c r="C325" s="13" t="s">
        <v>710</v>
      </c>
      <c r="D325" s="244" t="s">
        <v>1222</v>
      </c>
      <c r="E325" s="245"/>
      <c r="F325" s="13"/>
      <c r="G325" s="70"/>
      <c r="H325" s="29"/>
    </row>
    <row r="326" spans="1:8" x14ac:dyDescent="0.2">
      <c r="A326" s="4" t="s">
        <v>149</v>
      </c>
      <c r="B326" s="4"/>
      <c r="C326" s="4" t="s">
        <v>711</v>
      </c>
      <c r="D326" s="240" t="s">
        <v>1223</v>
      </c>
      <c r="E326" s="241"/>
      <c r="F326" s="4" t="s">
        <v>1645</v>
      </c>
      <c r="G326" s="69">
        <v>302</v>
      </c>
      <c r="H326" s="17">
        <v>0</v>
      </c>
    </row>
    <row r="327" spans="1:8" ht="12.2" customHeight="1" x14ac:dyDescent="0.2">
      <c r="D327" s="251" t="s">
        <v>1845</v>
      </c>
      <c r="E327" s="252"/>
      <c r="F327" s="252"/>
      <c r="G327" s="48">
        <v>302</v>
      </c>
    </row>
    <row r="328" spans="1:8" x14ac:dyDescent="0.2">
      <c r="A328" s="6" t="s">
        <v>150</v>
      </c>
      <c r="B328" s="6"/>
      <c r="C328" s="6" t="s">
        <v>712</v>
      </c>
      <c r="D328" s="246" t="s">
        <v>1224</v>
      </c>
      <c r="E328" s="247"/>
      <c r="F328" s="6" t="s">
        <v>1645</v>
      </c>
      <c r="G328" s="72">
        <v>332.2</v>
      </c>
      <c r="H328" s="18">
        <v>0</v>
      </c>
    </row>
    <row r="329" spans="1:8" ht="12.2" customHeight="1" x14ac:dyDescent="0.2">
      <c r="D329" s="253" t="s">
        <v>1845</v>
      </c>
      <c r="E329" s="254"/>
      <c r="F329" s="254"/>
      <c r="G329" s="49">
        <v>302</v>
      </c>
    </row>
    <row r="330" spans="1:8" ht="12.2" customHeight="1" x14ac:dyDescent="0.2">
      <c r="A330" s="6"/>
      <c r="B330" s="6"/>
      <c r="C330" s="6"/>
      <c r="D330" s="253" t="s">
        <v>1846</v>
      </c>
      <c r="E330" s="254"/>
      <c r="F330" s="253"/>
      <c r="G330" s="73">
        <v>30.2</v>
      </c>
      <c r="H330" s="30"/>
    </row>
    <row r="331" spans="1:8" x14ac:dyDescent="0.2">
      <c r="A331" s="6" t="s">
        <v>151</v>
      </c>
      <c r="B331" s="6"/>
      <c r="C331" s="6" t="s">
        <v>713</v>
      </c>
      <c r="D331" s="246" t="s">
        <v>1225</v>
      </c>
      <c r="E331" s="247"/>
      <c r="F331" s="6" t="s">
        <v>1645</v>
      </c>
      <c r="G331" s="72">
        <v>332.2</v>
      </c>
      <c r="H331" s="18">
        <v>0</v>
      </c>
    </row>
    <row r="332" spans="1:8" ht="12.2" customHeight="1" x14ac:dyDescent="0.2">
      <c r="D332" s="253" t="s">
        <v>1845</v>
      </c>
      <c r="E332" s="254"/>
      <c r="F332" s="254"/>
      <c r="G332" s="49">
        <v>302</v>
      </c>
    </row>
    <row r="333" spans="1:8" ht="12.2" customHeight="1" x14ac:dyDescent="0.2">
      <c r="A333" s="6"/>
      <c r="B333" s="6"/>
      <c r="C333" s="6"/>
      <c r="D333" s="253" t="s">
        <v>1846</v>
      </c>
      <c r="E333" s="254"/>
      <c r="F333" s="253"/>
      <c r="G333" s="73">
        <v>30.2</v>
      </c>
      <c r="H333" s="30"/>
    </row>
    <row r="334" spans="1:8" x14ac:dyDescent="0.2">
      <c r="A334" s="4" t="s">
        <v>152</v>
      </c>
      <c r="B334" s="4"/>
      <c r="C334" s="4" t="s">
        <v>714</v>
      </c>
      <c r="D334" s="240" t="s">
        <v>1226</v>
      </c>
      <c r="E334" s="241"/>
      <c r="F334" s="4" t="s">
        <v>1646</v>
      </c>
      <c r="G334" s="69">
        <v>62.5</v>
      </c>
      <c r="H334" s="17">
        <v>0</v>
      </c>
    </row>
    <row r="335" spans="1:8" ht="12.2" customHeight="1" x14ac:dyDescent="0.2">
      <c r="D335" s="251" t="s">
        <v>1847</v>
      </c>
      <c r="E335" s="252"/>
      <c r="F335" s="252"/>
      <c r="G335" s="48">
        <v>62.5</v>
      </c>
    </row>
    <row r="336" spans="1:8" x14ac:dyDescent="0.2">
      <c r="A336" s="4" t="s">
        <v>153</v>
      </c>
      <c r="B336" s="4"/>
      <c r="C336" s="4" t="s">
        <v>715</v>
      </c>
      <c r="D336" s="240" t="s">
        <v>1227</v>
      </c>
      <c r="E336" s="241"/>
      <c r="F336" s="4" t="s">
        <v>1645</v>
      </c>
      <c r="G336" s="69">
        <v>302</v>
      </c>
      <c r="H336" s="17">
        <v>0</v>
      </c>
    </row>
    <row r="337" spans="1:8" ht="12.2" customHeight="1" x14ac:dyDescent="0.2">
      <c r="D337" s="251" t="s">
        <v>1845</v>
      </c>
      <c r="E337" s="252"/>
      <c r="F337" s="252"/>
      <c r="G337" s="48">
        <v>302</v>
      </c>
    </row>
    <row r="338" spans="1:8" x14ac:dyDescent="0.2">
      <c r="A338" s="4" t="s">
        <v>154</v>
      </c>
      <c r="B338" s="4"/>
      <c r="C338" s="4" t="s">
        <v>716</v>
      </c>
      <c r="D338" s="240" t="s">
        <v>1228</v>
      </c>
      <c r="E338" s="241"/>
      <c r="F338" s="4" t="s">
        <v>1645</v>
      </c>
      <c r="G338" s="69">
        <v>302</v>
      </c>
      <c r="H338" s="17">
        <v>0</v>
      </c>
    </row>
    <row r="339" spans="1:8" ht="12.2" customHeight="1" x14ac:dyDescent="0.2">
      <c r="D339" s="251" t="s">
        <v>1845</v>
      </c>
      <c r="E339" s="252"/>
      <c r="F339" s="252"/>
      <c r="G339" s="48">
        <v>302</v>
      </c>
    </row>
    <row r="340" spans="1:8" x14ac:dyDescent="0.2">
      <c r="A340" s="4" t="s">
        <v>155</v>
      </c>
      <c r="B340" s="4"/>
      <c r="C340" s="4" t="s">
        <v>717</v>
      </c>
      <c r="D340" s="240" t="s">
        <v>1229</v>
      </c>
      <c r="E340" s="241"/>
      <c r="F340" s="4" t="s">
        <v>1645</v>
      </c>
      <c r="G340" s="69">
        <v>345.786</v>
      </c>
      <c r="H340" s="17">
        <v>0</v>
      </c>
    </row>
    <row r="341" spans="1:8" ht="12.2" customHeight="1" x14ac:dyDescent="0.2">
      <c r="D341" s="251" t="s">
        <v>1843</v>
      </c>
      <c r="E341" s="252"/>
      <c r="F341" s="252"/>
      <c r="G341" s="48">
        <v>345.786</v>
      </c>
    </row>
    <row r="342" spans="1:8" x14ac:dyDescent="0.2">
      <c r="A342" s="4" t="s">
        <v>156</v>
      </c>
      <c r="B342" s="4"/>
      <c r="C342" s="4" t="s">
        <v>718</v>
      </c>
      <c r="D342" s="240" t="s">
        <v>1230</v>
      </c>
      <c r="E342" s="241"/>
      <c r="F342" s="4" t="s">
        <v>1648</v>
      </c>
      <c r="G342" s="69">
        <v>1.4390000000000001</v>
      </c>
      <c r="H342" s="17">
        <v>0</v>
      </c>
    </row>
    <row r="343" spans="1:8" ht="12.2" customHeight="1" x14ac:dyDescent="0.2">
      <c r="D343" s="251" t="s">
        <v>1848</v>
      </c>
      <c r="E343" s="252"/>
      <c r="F343" s="252"/>
      <c r="G343" s="48">
        <v>1.4390000000000001</v>
      </c>
    </row>
    <row r="344" spans="1:8" x14ac:dyDescent="0.2">
      <c r="A344" s="13"/>
      <c r="B344" s="13"/>
      <c r="C344" s="13" t="s">
        <v>719</v>
      </c>
      <c r="D344" s="244" t="s">
        <v>1231</v>
      </c>
      <c r="E344" s="245"/>
      <c r="F344" s="13"/>
      <c r="G344" s="70"/>
      <c r="H344" s="29"/>
    </row>
    <row r="345" spans="1:8" x14ac:dyDescent="0.2">
      <c r="A345" s="4" t="s">
        <v>157</v>
      </c>
      <c r="B345" s="4"/>
      <c r="C345" s="4" t="s">
        <v>720</v>
      </c>
      <c r="D345" s="240" t="s">
        <v>1232</v>
      </c>
      <c r="E345" s="241"/>
      <c r="F345" s="4" t="s">
        <v>1646</v>
      </c>
      <c r="G345" s="69">
        <v>3.5</v>
      </c>
      <c r="H345" s="17">
        <v>0</v>
      </c>
    </row>
    <row r="346" spans="1:8" x14ac:dyDescent="0.2">
      <c r="A346" s="4" t="s">
        <v>158</v>
      </c>
      <c r="B346" s="4"/>
      <c r="C346" s="4" t="s">
        <v>721</v>
      </c>
      <c r="D346" s="240" t="s">
        <v>1233</v>
      </c>
      <c r="E346" s="241"/>
      <c r="F346" s="4" t="s">
        <v>1646</v>
      </c>
      <c r="G346" s="69">
        <v>3</v>
      </c>
      <c r="H346" s="17">
        <v>0</v>
      </c>
    </row>
    <row r="347" spans="1:8" x14ac:dyDescent="0.2">
      <c r="A347" s="4" t="s">
        <v>159</v>
      </c>
      <c r="B347" s="4"/>
      <c r="C347" s="4" t="s">
        <v>722</v>
      </c>
      <c r="D347" s="240" t="s">
        <v>1234</v>
      </c>
      <c r="E347" s="241"/>
      <c r="F347" s="4" t="s">
        <v>1646</v>
      </c>
      <c r="G347" s="69">
        <v>1.5</v>
      </c>
      <c r="H347" s="17">
        <v>0</v>
      </c>
    </row>
    <row r="348" spans="1:8" x14ac:dyDescent="0.2">
      <c r="A348" s="4" t="s">
        <v>160</v>
      </c>
      <c r="B348" s="4"/>
      <c r="C348" s="4" t="s">
        <v>723</v>
      </c>
      <c r="D348" s="240" t="s">
        <v>1235</v>
      </c>
      <c r="E348" s="241"/>
      <c r="F348" s="4" t="s">
        <v>1646</v>
      </c>
      <c r="G348" s="69">
        <v>3</v>
      </c>
      <c r="H348" s="17">
        <v>0</v>
      </c>
    </row>
    <row r="349" spans="1:8" x14ac:dyDescent="0.2">
      <c r="A349" s="4" t="s">
        <v>161</v>
      </c>
      <c r="B349" s="4"/>
      <c r="C349" s="4" t="s">
        <v>724</v>
      </c>
      <c r="D349" s="240" t="s">
        <v>1236</v>
      </c>
      <c r="E349" s="241"/>
      <c r="F349" s="4" t="s">
        <v>1646</v>
      </c>
      <c r="G349" s="69">
        <v>1</v>
      </c>
      <c r="H349" s="17">
        <v>0</v>
      </c>
    </row>
    <row r="350" spans="1:8" x14ac:dyDescent="0.2">
      <c r="A350" s="4" t="s">
        <v>162</v>
      </c>
      <c r="B350" s="4"/>
      <c r="C350" s="4" t="s">
        <v>725</v>
      </c>
      <c r="D350" s="240" t="s">
        <v>1237</v>
      </c>
      <c r="E350" s="241"/>
      <c r="F350" s="4" t="s">
        <v>1646</v>
      </c>
      <c r="G350" s="69">
        <v>11.5</v>
      </c>
      <c r="H350" s="17">
        <v>0</v>
      </c>
    </row>
    <row r="351" spans="1:8" x14ac:dyDescent="0.2">
      <c r="A351" s="4" t="s">
        <v>163</v>
      </c>
      <c r="B351" s="4"/>
      <c r="C351" s="4" t="s">
        <v>726</v>
      </c>
      <c r="D351" s="240" t="s">
        <v>1238</v>
      </c>
      <c r="E351" s="241"/>
      <c r="F351" s="4" t="s">
        <v>1644</v>
      </c>
      <c r="G351" s="69">
        <v>2</v>
      </c>
      <c r="H351" s="17">
        <v>0</v>
      </c>
    </row>
    <row r="352" spans="1:8" x14ac:dyDescent="0.2">
      <c r="A352" s="4" t="s">
        <v>164</v>
      </c>
      <c r="B352" s="4"/>
      <c r="C352" s="4" t="s">
        <v>727</v>
      </c>
      <c r="D352" s="240" t="s">
        <v>1239</v>
      </c>
      <c r="E352" s="241"/>
      <c r="F352" s="4" t="s">
        <v>1644</v>
      </c>
      <c r="G352" s="69">
        <v>1</v>
      </c>
      <c r="H352" s="17">
        <v>0</v>
      </c>
    </row>
    <row r="353" spans="1:8" x14ac:dyDescent="0.2">
      <c r="A353" s="4" t="s">
        <v>165</v>
      </c>
      <c r="B353" s="4"/>
      <c r="C353" s="4" t="s">
        <v>728</v>
      </c>
      <c r="D353" s="240" t="s">
        <v>1240</v>
      </c>
      <c r="E353" s="241"/>
      <c r="F353" s="4" t="s">
        <v>1644</v>
      </c>
      <c r="G353" s="69">
        <v>1</v>
      </c>
      <c r="H353" s="17">
        <v>0</v>
      </c>
    </row>
    <row r="354" spans="1:8" x14ac:dyDescent="0.2">
      <c r="A354" s="4" t="s">
        <v>166</v>
      </c>
      <c r="B354" s="4"/>
      <c r="C354" s="4" t="s">
        <v>729</v>
      </c>
      <c r="D354" s="240" t="s">
        <v>1241</v>
      </c>
      <c r="E354" s="241"/>
      <c r="F354" s="4" t="s">
        <v>1644</v>
      </c>
      <c r="G354" s="69">
        <v>1</v>
      </c>
      <c r="H354" s="17">
        <v>0</v>
      </c>
    </row>
    <row r="355" spans="1:8" x14ac:dyDescent="0.2">
      <c r="A355" s="4" t="s">
        <v>167</v>
      </c>
      <c r="B355" s="4"/>
      <c r="C355" s="4" t="s">
        <v>730</v>
      </c>
      <c r="D355" s="240" t="s">
        <v>1242</v>
      </c>
      <c r="E355" s="241"/>
      <c r="F355" s="4" t="s">
        <v>1644</v>
      </c>
      <c r="G355" s="69">
        <v>2</v>
      </c>
      <c r="H355" s="17">
        <v>0</v>
      </c>
    </row>
    <row r="356" spans="1:8" x14ac:dyDescent="0.2">
      <c r="A356" s="4" t="s">
        <v>168</v>
      </c>
      <c r="B356" s="4"/>
      <c r="C356" s="4" t="s">
        <v>731</v>
      </c>
      <c r="D356" s="240" t="s">
        <v>1243</v>
      </c>
      <c r="E356" s="241"/>
      <c r="F356" s="4" t="s">
        <v>1651</v>
      </c>
      <c r="G356" s="69">
        <v>1</v>
      </c>
      <c r="H356" s="17">
        <v>0</v>
      </c>
    </row>
    <row r="357" spans="1:8" x14ac:dyDescent="0.2">
      <c r="A357" s="4" t="s">
        <v>169</v>
      </c>
      <c r="B357" s="4"/>
      <c r="C357" s="4" t="s">
        <v>732</v>
      </c>
      <c r="D357" s="240" t="s">
        <v>1244</v>
      </c>
      <c r="E357" s="241"/>
      <c r="F357" s="4" t="s">
        <v>1651</v>
      </c>
      <c r="G357" s="69">
        <v>1</v>
      </c>
      <c r="H357" s="17">
        <v>0</v>
      </c>
    </row>
    <row r="358" spans="1:8" x14ac:dyDescent="0.2">
      <c r="A358" s="4" t="s">
        <v>170</v>
      </c>
      <c r="B358" s="4"/>
      <c r="C358" s="4" t="s">
        <v>733</v>
      </c>
      <c r="D358" s="240" t="s">
        <v>1245</v>
      </c>
      <c r="E358" s="241"/>
      <c r="F358" s="4" t="s">
        <v>1644</v>
      </c>
      <c r="G358" s="69">
        <v>1</v>
      </c>
      <c r="H358" s="17">
        <v>0</v>
      </c>
    </row>
    <row r="359" spans="1:8" x14ac:dyDescent="0.2">
      <c r="A359" s="4" t="s">
        <v>171</v>
      </c>
      <c r="B359" s="4"/>
      <c r="C359" s="4" t="s">
        <v>734</v>
      </c>
      <c r="D359" s="240" t="s">
        <v>1246</v>
      </c>
      <c r="E359" s="241"/>
      <c r="F359" s="4" t="s">
        <v>1644</v>
      </c>
      <c r="G359" s="69">
        <v>2</v>
      </c>
      <c r="H359" s="17">
        <v>0</v>
      </c>
    </row>
    <row r="360" spans="1:8" x14ac:dyDescent="0.2">
      <c r="A360" s="4" t="s">
        <v>172</v>
      </c>
      <c r="B360" s="4"/>
      <c r="C360" s="4" t="s">
        <v>735</v>
      </c>
      <c r="D360" s="240" t="s">
        <v>1247</v>
      </c>
      <c r="E360" s="241"/>
      <c r="F360" s="4" t="s">
        <v>1650</v>
      </c>
      <c r="G360" s="69">
        <v>30</v>
      </c>
      <c r="H360" s="17">
        <v>0</v>
      </c>
    </row>
    <row r="361" spans="1:8" x14ac:dyDescent="0.2">
      <c r="A361" s="4" t="s">
        <v>173</v>
      </c>
      <c r="B361" s="4"/>
      <c r="C361" s="4" t="s">
        <v>736</v>
      </c>
      <c r="D361" s="240" t="s">
        <v>1248</v>
      </c>
      <c r="E361" s="241"/>
      <c r="F361" s="4" t="s">
        <v>1646</v>
      </c>
      <c r="G361" s="69">
        <v>23.5</v>
      </c>
      <c r="H361" s="17">
        <v>0</v>
      </c>
    </row>
    <row r="362" spans="1:8" x14ac:dyDescent="0.2">
      <c r="A362" s="4" t="s">
        <v>174</v>
      </c>
      <c r="B362" s="4"/>
      <c r="C362" s="4" t="s">
        <v>737</v>
      </c>
      <c r="D362" s="240" t="s">
        <v>1249</v>
      </c>
      <c r="E362" s="241"/>
      <c r="F362" s="4" t="s">
        <v>1646</v>
      </c>
      <c r="G362" s="69">
        <v>23.5</v>
      </c>
      <c r="H362" s="17">
        <v>0</v>
      </c>
    </row>
    <row r="363" spans="1:8" x14ac:dyDescent="0.2">
      <c r="A363" s="4" t="s">
        <v>175</v>
      </c>
      <c r="B363" s="4"/>
      <c r="C363" s="4" t="s">
        <v>738</v>
      </c>
      <c r="D363" s="240" t="s">
        <v>1250</v>
      </c>
      <c r="E363" s="241"/>
      <c r="F363" s="4" t="s">
        <v>1646</v>
      </c>
      <c r="G363" s="69">
        <v>23.5</v>
      </c>
      <c r="H363" s="17">
        <v>0</v>
      </c>
    </row>
    <row r="364" spans="1:8" x14ac:dyDescent="0.2">
      <c r="A364" s="4" t="s">
        <v>176</v>
      </c>
      <c r="B364" s="4"/>
      <c r="C364" s="4" t="s">
        <v>739</v>
      </c>
      <c r="D364" s="240" t="s">
        <v>1251</v>
      </c>
      <c r="E364" s="241"/>
      <c r="F364" s="4" t="s">
        <v>1650</v>
      </c>
      <c r="G364" s="69">
        <v>10</v>
      </c>
      <c r="H364" s="17">
        <v>0</v>
      </c>
    </row>
    <row r="365" spans="1:8" x14ac:dyDescent="0.2">
      <c r="A365" s="4" t="s">
        <v>177</v>
      </c>
      <c r="B365" s="4"/>
      <c r="C365" s="4" t="s">
        <v>740</v>
      </c>
      <c r="D365" s="240" t="s">
        <v>1252</v>
      </c>
      <c r="E365" s="241"/>
      <c r="F365" s="4" t="s">
        <v>1644</v>
      </c>
      <c r="G365" s="69">
        <v>1</v>
      </c>
      <c r="H365" s="17">
        <v>0</v>
      </c>
    </row>
    <row r="366" spans="1:8" x14ac:dyDescent="0.2">
      <c r="A366" s="4" t="s">
        <v>178</v>
      </c>
      <c r="B366" s="4"/>
      <c r="C366" s="4" t="s">
        <v>741</v>
      </c>
      <c r="D366" s="240" t="s">
        <v>1253</v>
      </c>
      <c r="E366" s="241"/>
      <c r="F366" s="4" t="s">
        <v>1644</v>
      </c>
      <c r="G366" s="69">
        <v>1</v>
      </c>
      <c r="H366" s="17">
        <v>0</v>
      </c>
    </row>
    <row r="367" spans="1:8" x14ac:dyDescent="0.2">
      <c r="A367" s="4" t="s">
        <v>179</v>
      </c>
      <c r="B367" s="4"/>
      <c r="C367" s="4" t="s">
        <v>742</v>
      </c>
      <c r="D367" s="240" t="s">
        <v>1254</v>
      </c>
      <c r="E367" s="241"/>
      <c r="F367" s="4" t="s">
        <v>1644</v>
      </c>
      <c r="G367" s="69">
        <v>1</v>
      </c>
      <c r="H367" s="17">
        <v>0</v>
      </c>
    </row>
    <row r="368" spans="1:8" x14ac:dyDescent="0.2">
      <c r="A368" s="4" t="s">
        <v>180</v>
      </c>
      <c r="B368" s="4"/>
      <c r="C368" s="4" t="s">
        <v>743</v>
      </c>
      <c r="D368" s="240" t="s">
        <v>1255</v>
      </c>
      <c r="E368" s="241"/>
      <c r="F368" s="4" t="s">
        <v>1644</v>
      </c>
      <c r="G368" s="69">
        <v>1</v>
      </c>
      <c r="H368" s="17">
        <v>0</v>
      </c>
    </row>
    <row r="369" spans="1:8" x14ac:dyDescent="0.2">
      <c r="A369" s="13"/>
      <c r="B369" s="13"/>
      <c r="C369" s="13" t="s">
        <v>744</v>
      </c>
      <c r="D369" s="244" t="s">
        <v>1256</v>
      </c>
      <c r="E369" s="245"/>
      <c r="F369" s="13"/>
      <c r="G369" s="70"/>
      <c r="H369" s="29"/>
    </row>
    <row r="370" spans="1:8" x14ac:dyDescent="0.2">
      <c r="A370" s="4" t="s">
        <v>181</v>
      </c>
      <c r="B370" s="4"/>
      <c r="C370" s="4" t="s">
        <v>745</v>
      </c>
      <c r="D370" s="240" t="s">
        <v>1257</v>
      </c>
      <c r="E370" s="241"/>
      <c r="F370" s="4" t="s">
        <v>1646</v>
      </c>
      <c r="G370" s="69">
        <v>1</v>
      </c>
      <c r="H370" s="17">
        <v>0</v>
      </c>
    </row>
    <row r="371" spans="1:8" x14ac:dyDescent="0.2">
      <c r="A371" s="4" t="s">
        <v>182</v>
      </c>
      <c r="B371" s="4"/>
      <c r="C371" s="4" t="s">
        <v>746</v>
      </c>
      <c r="D371" s="240" t="s">
        <v>1258</v>
      </c>
      <c r="E371" s="241"/>
      <c r="F371" s="4" t="s">
        <v>1646</v>
      </c>
      <c r="G371" s="69">
        <v>2</v>
      </c>
      <c r="H371" s="17">
        <v>0</v>
      </c>
    </row>
    <row r="372" spans="1:8" x14ac:dyDescent="0.2">
      <c r="A372" s="4" t="s">
        <v>183</v>
      </c>
      <c r="B372" s="4"/>
      <c r="C372" s="4" t="s">
        <v>747</v>
      </c>
      <c r="D372" s="240" t="s">
        <v>1259</v>
      </c>
      <c r="E372" s="241"/>
      <c r="F372" s="4" t="s">
        <v>1646</v>
      </c>
      <c r="G372" s="69">
        <v>1</v>
      </c>
      <c r="H372" s="17">
        <v>0</v>
      </c>
    </row>
    <row r="373" spans="1:8" x14ac:dyDescent="0.2">
      <c r="A373" s="4" t="s">
        <v>184</v>
      </c>
      <c r="B373" s="4"/>
      <c r="C373" s="4" t="s">
        <v>748</v>
      </c>
      <c r="D373" s="240" t="s">
        <v>1260</v>
      </c>
      <c r="E373" s="241"/>
      <c r="F373" s="4" t="s">
        <v>1646</v>
      </c>
      <c r="G373" s="69">
        <v>8</v>
      </c>
      <c r="H373" s="17">
        <v>0</v>
      </c>
    </row>
    <row r="374" spans="1:8" x14ac:dyDescent="0.2">
      <c r="A374" s="4" t="s">
        <v>185</v>
      </c>
      <c r="B374" s="4"/>
      <c r="C374" s="4" t="s">
        <v>749</v>
      </c>
      <c r="D374" s="240" t="s">
        <v>1261</v>
      </c>
      <c r="E374" s="241"/>
      <c r="F374" s="4" t="s">
        <v>1646</v>
      </c>
      <c r="G374" s="69">
        <v>7</v>
      </c>
      <c r="H374" s="17">
        <v>0</v>
      </c>
    </row>
    <row r="375" spans="1:8" x14ac:dyDescent="0.2">
      <c r="A375" s="4" t="s">
        <v>186</v>
      </c>
      <c r="B375" s="4"/>
      <c r="C375" s="4" t="s">
        <v>750</v>
      </c>
      <c r="D375" s="240" t="s">
        <v>1262</v>
      </c>
      <c r="E375" s="241"/>
      <c r="F375" s="4" t="s">
        <v>1644</v>
      </c>
      <c r="G375" s="69">
        <v>1</v>
      </c>
      <c r="H375" s="17">
        <v>0</v>
      </c>
    </row>
    <row r="376" spans="1:8" x14ac:dyDescent="0.2">
      <c r="A376" s="4" t="s">
        <v>187</v>
      </c>
      <c r="B376" s="4"/>
      <c r="C376" s="4" t="s">
        <v>751</v>
      </c>
      <c r="D376" s="240" t="s">
        <v>1263</v>
      </c>
      <c r="E376" s="241"/>
      <c r="F376" s="4" t="s">
        <v>1644</v>
      </c>
      <c r="G376" s="69">
        <v>3</v>
      </c>
      <c r="H376" s="17">
        <v>0</v>
      </c>
    </row>
    <row r="377" spans="1:8" x14ac:dyDescent="0.2">
      <c r="A377" s="4" t="s">
        <v>188</v>
      </c>
      <c r="B377" s="4"/>
      <c r="C377" s="4" t="s">
        <v>752</v>
      </c>
      <c r="D377" s="240" t="s">
        <v>1264</v>
      </c>
      <c r="E377" s="241"/>
      <c r="F377" s="4" t="s">
        <v>1644</v>
      </c>
      <c r="G377" s="69">
        <v>3</v>
      </c>
      <c r="H377" s="17">
        <v>0</v>
      </c>
    </row>
    <row r="378" spans="1:8" x14ac:dyDescent="0.2">
      <c r="A378" s="4" t="s">
        <v>189</v>
      </c>
      <c r="B378" s="4"/>
      <c r="C378" s="4" t="s">
        <v>753</v>
      </c>
      <c r="D378" s="240" t="s">
        <v>1265</v>
      </c>
      <c r="E378" s="241"/>
      <c r="F378" s="4" t="s">
        <v>1644</v>
      </c>
      <c r="G378" s="69">
        <v>1</v>
      </c>
      <c r="H378" s="17">
        <v>0</v>
      </c>
    </row>
    <row r="379" spans="1:8" x14ac:dyDescent="0.2">
      <c r="A379" s="4" t="s">
        <v>190</v>
      </c>
      <c r="B379" s="4"/>
      <c r="C379" s="4" t="s">
        <v>754</v>
      </c>
      <c r="D379" s="240" t="s">
        <v>1266</v>
      </c>
      <c r="E379" s="241"/>
      <c r="F379" s="4" t="s">
        <v>1644</v>
      </c>
      <c r="G379" s="69">
        <v>1</v>
      </c>
      <c r="H379" s="17">
        <v>0</v>
      </c>
    </row>
    <row r="380" spans="1:8" x14ac:dyDescent="0.2">
      <c r="A380" s="4" t="s">
        <v>191</v>
      </c>
      <c r="B380" s="4"/>
      <c r="C380" s="4" t="s">
        <v>755</v>
      </c>
      <c r="D380" s="240" t="s">
        <v>1267</v>
      </c>
      <c r="E380" s="241"/>
      <c r="F380" s="4" t="s">
        <v>1644</v>
      </c>
      <c r="G380" s="69">
        <v>1</v>
      </c>
      <c r="H380" s="17">
        <v>0</v>
      </c>
    </row>
    <row r="381" spans="1:8" x14ac:dyDescent="0.2">
      <c r="A381" s="4" t="s">
        <v>192</v>
      </c>
      <c r="B381" s="4"/>
      <c r="C381" s="4" t="s">
        <v>756</v>
      </c>
      <c r="D381" s="240" t="s">
        <v>1268</v>
      </c>
      <c r="E381" s="241"/>
      <c r="F381" s="4" t="s">
        <v>1644</v>
      </c>
      <c r="G381" s="69">
        <v>1</v>
      </c>
      <c r="H381" s="17">
        <v>0</v>
      </c>
    </row>
    <row r="382" spans="1:8" x14ac:dyDescent="0.2">
      <c r="A382" s="4" t="s">
        <v>193</v>
      </c>
      <c r="B382" s="4"/>
      <c r="C382" s="4" t="s">
        <v>757</v>
      </c>
      <c r="D382" s="240" t="s">
        <v>1269</v>
      </c>
      <c r="E382" s="241"/>
      <c r="F382" s="4" t="s">
        <v>1644</v>
      </c>
      <c r="G382" s="69">
        <v>1</v>
      </c>
      <c r="H382" s="17">
        <v>0</v>
      </c>
    </row>
    <row r="383" spans="1:8" x14ac:dyDescent="0.2">
      <c r="A383" s="4" t="s">
        <v>194</v>
      </c>
      <c r="B383" s="4"/>
      <c r="C383" s="4" t="s">
        <v>758</v>
      </c>
      <c r="D383" s="240" t="s">
        <v>1270</v>
      </c>
      <c r="E383" s="241"/>
      <c r="F383" s="4" t="s">
        <v>1644</v>
      </c>
      <c r="G383" s="69">
        <v>1</v>
      </c>
      <c r="H383" s="17">
        <v>0</v>
      </c>
    </row>
    <row r="384" spans="1:8" x14ac:dyDescent="0.2">
      <c r="A384" s="4" t="s">
        <v>195</v>
      </c>
      <c r="B384" s="4"/>
      <c r="C384" s="4" t="s">
        <v>759</v>
      </c>
      <c r="D384" s="240" t="s">
        <v>1271</v>
      </c>
      <c r="E384" s="241"/>
      <c r="F384" s="4" t="s">
        <v>1644</v>
      </c>
      <c r="G384" s="69">
        <v>1</v>
      </c>
      <c r="H384" s="17">
        <v>0</v>
      </c>
    </row>
    <row r="385" spans="1:8" x14ac:dyDescent="0.2">
      <c r="A385" s="4" t="s">
        <v>196</v>
      </c>
      <c r="B385" s="4"/>
      <c r="C385" s="4" t="s">
        <v>760</v>
      </c>
      <c r="D385" s="240" t="s">
        <v>1272</v>
      </c>
      <c r="E385" s="241"/>
      <c r="F385" s="4" t="s">
        <v>1644</v>
      </c>
      <c r="G385" s="69">
        <v>2</v>
      </c>
      <c r="H385" s="17">
        <v>0</v>
      </c>
    </row>
    <row r="386" spans="1:8" x14ac:dyDescent="0.2">
      <c r="A386" s="4" t="s">
        <v>197</v>
      </c>
      <c r="B386" s="4"/>
      <c r="C386" s="4" t="s">
        <v>761</v>
      </c>
      <c r="D386" s="240" t="s">
        <v>1273</v>
      </c>
      <c r="E386" s="241"/>
      <c r="F386" s="4" t="s">
        <v>1644</v>
      </c>
      <c r="G386" s="69">
        <v>2</v>
      </c>
      <c r="H386" s="17">
        <v>0</v>
      </c>
    </row>
    <row r="387" spans="1:8" x14ac:dyDescent="0.2">
      <c r="A387" s="4" t="s">
        <v>198</v>
      </c>
      <c r="B387" s="4"/>
      <c r="C387" s="4" t="s">
        <v>762</v>
      </c>
      <c r="D387" s="240" t="s">
        <v>1274</v>
      </c>
      <c r="E387" s="241"/>
      <c r="F387" s="4" t="s">
        <v>1644</v>
      </c>
      <c r="G387" s="69">
        <v>1</v>
      </c>
      <c r="H387" s="17">
        <v>0</v>
      </c>
    </row>
    <row r="388" spans="1:8" x14ac:dyDescent="0.2">
      <c r="A388" s="4" t="s">
        <v>199</v>
      </c>
      <c r="B388" s="4"/>
      <c r="C388" s="4" t="s">
        <v>763</v>
      </c>
      <c r="D388" s="240" t="s">
        <v>1275</v>
      </c>
      <c r="E388" s="241"/>
      <c r="F388" s="4" t="s">
        <v>1644</v>
      </c>
      <c r="G388" s="69">
        <v>1</v>
      </c>
      <c r="H388" s="17">
        <v>0</v>
      </c>
    </row>
    <row r="389" spans="1:8" x14ac:dyDescent="0.2">
      <c r="A389" s="4" t="s">
        <v>200</v>
      </c>
      <c r="B389" s="4"/>
      <c r="C389" s="4" t="s">
        <v>764</v>
      </c>
      <c r="D389" s="240" t="s">
        <v>1276</v>
      </c>
      <c r="E389" s="241"/>
      <c r="F389" s="4" t="s">
        <v>1644</v>
      </c>
      <c r="G389" s="69">
        <v>1</v>
      </c>
      <c r="H389" s="17">
        <v>0</v>
      </c>
    </row>
    <row r="390" spans="1:8" x14ac:dyDescent="0.2">
      <c r="A390" s="4" t="s">
        <v>201</v>
      </c>
      <c r="B390" s="4"/>
      <c r="C390" s="4" t="s">
        <v>765</v>
      </c>
      <c r="D390" s="240" t="s">
        <v>1277</v>
      </c>
      <c r="E390" s="241"/>
      <c r="F390" s="4" t="s">
        <v>1644</v>
      </c>
      <c r="G390" s="69">
        <v>1</v>
      </c>
      <c r="H390" s="17">
        <v>0</v>
      </c>
    </row>
    <row r="391" spans="1:8" x14ac:dyDescent="0.2">
      <c r="A391" s="4" t="s">
        <v>202</v>
      </c>
      <c r="B391" s="4"/>
      <c r="C391" s="4" t="s">
        <v>766</v>
      </c>
      <c r="D391" s="240" t="s">
        <v>1278</v>
      </c>
      <c r="E391" s="241"/>
      <c r="F391" s="4" t="s">
        <v>1644</v>
      </c>
      <c r="G391" s="69">
        <v>1</v>
      </c>
      <c r="H391" s="17">
        <v>0</v>
      </c>
    </row>
    <row r="392" spans="1:8" x14ac:dyDescent="0.2">
      <c r="A392" s="4" t="s">
        <v>203</v>
      </c>
      <c r="B392" s="4"/>
      <c r="C392" s="4" t="s">
        <v>767</v>
      </c>
      <c r="D392" s="240" t="s">
        <v>1279</v>
      </c>
      <c r="E392" s="241"/>
      <c r="F392" s="4" t="s">
        <v>1644</v>
      </c>
      <c r="G392" s="69">
        <v>4</v>
      </c>
      <c r="H392" s="17">
        <v>0</v>
      </c>
    </row>
    <row r="393" spans="1:8" x14ac:dyDescent="0.2">
      <c r="A393" s="4" t="s">
        <v>204</v>
      </c>
      <c r="B393" s="4"/>
      <c r="C393" s="4" t="s">
        <v>768</v>
      </c>
      <c r="D393" s="240" t="s">
        <v>1280</v>
      </c>
      <c r="E393" s="241"/>
      <c r="F393" s="4" t="s">
        <v>1646</v>
      </c>
      <c r="G393" s="69">
        <v>10</v>
      </c>
      <c r="H393" s="17">
        <v>0</v>
      </c>
    </row>
    <row r="394" spans="1:8" x14ac:dyDescent="0.2">
      <c r="A394" s="4" t="s">
        <v>205</v>
      </c>
      <c r="B394" s="4"/>
      <c r="C394" s="4" t="s">
        <v>769</v>
      </c>
      <c r="D394" s="240" t="s">
        <v>1281</v>
      </c>
      <c r="E394" s="241"/>
      <c r="F394" s="4" t="s">
        <v>1646</v>
      </c>
      <c r="G394" s="69">
        <v>16</v>
      </c>
      <c r="H394" s="17">
        <v>0</v>
      </c>
    </row>
    <row r="395" spans="1:8" x14ac:dyDescent="0.2">
      <c r="A395" s="4" t="s">
        <v>206</v>
      </c>
      <c r="B395" s="4"/>
      <c r="C395" s="4" t="s">
        <v>770</v>
      </c>
      <c r="D395" s="240" t="s">
        <v>1282</v>
      </c>
      <c r="E395" s="241"/>
      <c r="F395" s="4" t="s">
        <v>1644</v>
      </c>
      <c r="G395" s="69">
        <v>1</v>
      </c>
      <c r="H395" s="17">
        <v>0</v>
      </c>
    </row>
    <row r="396" spans="1:8" x14ac:dyDescent="0.2">
      <c r="A396" s="13"/>
      <c r="B396" s="13"/>
      <c r="C396" s="13" t="s">
        <v>771</v>
      </c>
      <c r="D396" s="244" t="s">
        <v>1283</v>
      </c>
      <c r="E396" s="245"/>
      <c r="F396" s="13"/>
      <c r="G396" s="70"/>
      <c r="H396" s="29"/>
    </row>
    <row r="397" spans="1:8" x14ac:dyDescent="0.2">
      <c r="A397" s="4" t="s">
        <v>207</v>
      </c>
      <c r="B397" s="4"/>
      <c r="C397" s="4" t="s">
        <v>7</v>
      </c>
      <c r="D397" s="240" t="s">
        <v>1284</v>
      </c>
      <c r="E397" s="241"/>
      <c r="F397" s="4" t="s">
        <v>1644</v>
      </c>
      <c r="G397" s="69">
        <v>1</v>
      </c>
      <c r="H397" s="17">
        <v>0</v>
      </c>
    </row>
    <row r="398" spans="1:8" x14ac:dyDescent="0.2">
      <c r="A398" s="4" t="s">
        <v>208</v>
      </c>
      <c r="B398" s="4"/>
      <c r="C398" s="4" t="s">
        <v>8</v>
      </c>
      <c r="D398" s="240" t="s">
        <v>1285</v>
      </c>
      <c r="E398" s="241"/>
      <c r="F398" s="4" t="s">
        <v>1644</v>
      </c>
      <c r="G398" s="69">
        <v>1</v>
      </c>
      <c r="H398" s="17">
        <v>0</v>
      </c>
    </row>
    <row r="399" spans="1:8" ht="12.2" customHeight="1" x14ac:dyDescent="0.2">
      <c r="D399" s="251" t="s">
        <v>1749</v>
      </c>
      <c r="E399" s="252"/>
      <c r="F399" s="252"/>
      <c r="G399" s="48">
        <v>1</v>
      </c>
    </row>
    <row r="400" spans="1:8" x14ac:dyDescent="0.2">
      <c r="A400" s="4" t="s">
        <v>209</v>
      </c>
      <c r="B400" s="4"/>
      <c r="C400" s="4" t="s">
        <v>9</v>
      </c>
      <c r="D400" s="240" t="s">
        <v>1286</v>
      </c>
      <c r="E400" s="241"/>
      <c r="F400" s="4" t="s">
        <v>1644</v>
      </c>
      <c r="G400" s="69">
        <v>2</v>
      </c>
      <c r="H400" s="17">
        <v>0</v>
      </c>
    </row>
    <row r="401" spans="1:8" ht="12.2" customHeight="1" x14ac:dyDescent="0.2">
      <c r="D401" s="251" t="s">
        <v>1849</v>
      </c>
      <c r="E401" s="252"/>
      <c r="F401" s="252"/>
      <c r="G401" s="48">
        <v>2</v>
      </c>
    </row>
    <row r="402" spans="1:8" x14ac:dyDescent="0.2">
      <c r="A402" s="4" t="s">
        <v>210</v>
      </c>
      <c r="B402" s="4"/>
      <c r="C402" s="4" t="s">
        <v>10</v>
      </c>
      <c r="D402" s="240" t="s">
        <v>1287</v>
      </c>
      <c r="E402" s="241"/>
      <c r="F402" s="4" t="s">
        <v>1644</v>
      </c>
      <c r="G402" s="69">
        <v>1</v>
      </c>
      <c r="H402" s="17">
        <v>0</v>
      </c>
    </row>
    <row r="403" spans="1:8" x14ac:dyDescent="0.2">
      <c r="A403" s="4" t="s">
        <v>211</v>
      </c>
      <c r="B403" s="4"/>
      <c r="C403" s="4" t="s">
        <v>11</v>
      </c>
      <c r="D403" s="240" t="s">
        <v>1288</v>
      </c>
      <c r="E403" s="241"/>
      <c r="F403" s="4" t="s">
        <v>1644</v>
      </c>
      <c r="G403" s="69">
        <v>1</v>
      </c>
      <c r="H403" s="17">
        <v>0</v>
      </c>
    </row>
    <row r="404" spans="1:8" x14ac:dyDescent="0.2">
      <c r="A404" s="4" t="s">
        <v>212</v>
      </c>
      <c r="B404" s="4"/>
      <c r="C404" s="4" t="s">
        <v>12</v>
      </c>
      <c r="D404" s="240" t="s">
        <v>1289</v>
      </c>
      <c r="E404" s="241"/>
      <c r="F404" s="4" t="s">
        <v>1644</v>
      </c>
      <c r="G404" s="69">
        <v>3</v>
      </c>
      <c r="H404" s="17">
        <v>0</v>
      </c>
    </row>
    <row r="405" spans="1:8" ht="12.2" customHeight="1" x14ac:dyDescent="0.2">
      <c r="D405" s="251" t="s">
        <v>1797</v>
      </c>
      <c r="E405" s="252"/>
      <c r="F405" s="252"/>
      <c r="G405" s="48">
        <v>3</v>
      </c>
    </row>
    <row r="406" spans="1:8" x14ac:dyDescent="0.2">
      <c r="A406" s="4" t="s">
        <v>213</v>
      </c>
      <c r="B406" s="4"/>
      <c r="C406" s="4" t="s">
        <v>13</v>
      </c>
      <c r="D406" s="240" t="s">
        <v>1290</v>
      </c>
      <c r="E406" s="241"/>
      <c r="F406" s="4" t="s">
        <v>1644</v>
      </c>
      <c r="G406" s="69">
        <v>2</v>
      </c>
      <c r="H406" s="17">
        <v>0</v>
      </c>
    </row>
    <row r="407" spans="1:8" ht="12.2" customHeight="1" x14ac:dyDescent="0.2">
      <c r="D407" s="251" t="s">
        <v>1849</v>
      </c>
      <c r="E407" s="252"/>
      <c r="F407" s="252"/>
      <c r="G407" s="48">
        <v>2</v>
      </c>
    </row>
    <row r="408" spans="1:8" x14ac:dyDescent="0.2">
      <c r="A408" s="4" t="s">
        <v>214</v>
      </c>
      <c r="B408" s="4"/>
      <c r="C408" s="4" t="s">
        <v>14</v>
      </c>
      <c r="D408" s="240" t="s">
        <v>1291</v>
      </c>
      <c r="E408" s="241"/>
      <c r="F408" s="4" t="s">
        <v>1644</v>
      </c>
      <c r="G408" s="69">
        <v>2</v>
      </c>
      <c r="H408" s="17">
        <v>0</v>
      </c>
    </row>
    <row r="409" spans="1:8" ht="12.2" customHeight="1" x14ac:dyDescent="0.2">
      <c r="D409" s="251" t="s">
        <v>1849</v>
      </c>
      <c r="E409" s="252"/>
      <c r="F409" s="252"/>
      <c r="G409" s="48">
        <v>2</v>
      </c>
    </row>
    <row r="410" spans="1:8" x14ac:dyDescent="0.2">
      <c r="A410" s="4" t="s">
        <v>215</v>
      </c>
      <c r="B410" s="4"/>
      <c r="C410" s="4" t="s">
        <v>15</v>
      </c>
      <c r="D410" s="240" t="s">
        <v>1292</v>
      </c>
      <c r="E410" s="241"/>
      <c r="F410" s="4" t="s">
        <v>1644</v>
      </c>
      <c r="G410" s="69">
        <v>1</v>
      </c>
      <c r="H410" s="17">
        <v>0</v>
      </c>
    </row>
    <row r="411" spans="1:8" x14ac:dyDescent="0.2">
      <c r="A411" s="4" t="s">
        <v>216</v>
      </c>
      <c r="B411" s="4"/>
      <c r="C411" s="4" t="s">
        <v>16</v>
      </c>
      <c r="D411" s="240" t="s">
        <v>1293</v>
      </c>
      <c r="E411" s="241"/>
      <c r="F411" s="4" t="s">
        <v>1644</v>
      </c>
      <c r="G411" s="69">
        <v>1</v>
      </c>
      <c r="H411" s="17">
        <v>0</v>
      </c>
    </row>
    <row r="412" spans="1:8" x14ac:dyDescent="0.2">
      <c r="A412" s="4" t="s">
        <v>217</v>
      </c>
      <c r="B412" s="4"/>
      <c r="C412" s="4" t="s">
        <v>17</v>
      </c>
      <c r="D412" s="240" t="s">
        <v>1294</v>
      </c>
      <c r="E412" s="241"/>
      <c r="F412" s="4" t="s">
        <v>1644</v>
      </c>
      <c r="G412" s="69">
        <v>1</v>
      </c>
      <c r="H412" s="17">
        <v>0</v>
      </c>
    </row>
    <row r="413" spans="1:8" x14ac:dyDescent="0.2">
      <c r="A413" s="4" t="s">
        <v>218</v>
      </c>
      <c r="B413" s="4"/>
      <c r="C413" s="4" t="s">
        <v>18</v>
      </c>
      <c r="D413" s="240" t="s">
        <v>1295</v>
      </c>
      <c r="E413" s="241"/>
      <c r="F413" s="4" t="s">
        <v>1644</v>
      </c>
      <c r="G413" s="69">
        <v>1</v>
      </c>
      <c r="H413" s="17">
        <v>0</v>
      </c>
    </row>
    <row r="414" spans="1:8" x14ac:dyDescent="0.2">
      <c r="A414" s="4" t="s">
        <v>219</v>
      </c>
      <c r="B414" s="4"/>
      <c r="C414" s="4" t="s">
        <v>19</v>
      </c>
      <c r="D414" s="240" t="s">
        <v>1296</v>
      </c>
      <c r="E414" s="241"/>
      <c r="F414" s="4" t="s">
        <v>1644</v>
      </c>
      <c r="G414" s="69">
        <v>2</v>
      </c>
      <c r="H414" s="17">
        <v>0</v>
      </c>
    </row>
    <row r="415" spans="1:8" x14ac:dyDescent="0.2">
      <c r="A415" s="4" t="s">
        <v>220</v>
      </c>
      <c r="B415" s="4"/>
      <c r="C415" s="4" t="s">
        <v>20</v>
      </c>
      <c r="D415" s="240" t="s">
        <v>1297</v>
      </c>
      <c r="E415" s="241"/>
      <c r="F415" s="4" t="s">
        <v>1644</v>
      </c>
      <c r="G415" s="69">
        <v>2</v>
      </c>
      <c r="H415" s="17">
        <v>0</v>
      </c>
    </row>
    <row r="416" spans="1:8" x14ac:dyDescent="0.2">
      <c r="A416" s="4" t="s">
        <v>221</v>
      </c>
      <c r="B416" s="4"/>
      <c r="C416" s="4" t="s">
        <v>21</v>
      </c>
      <c r="D416" s="240" t="s">
        <v>1298</v>
      </c>
      <c r="E416" s="241"/>
      <c r="F416" s="4" t="s">
        <v>1644</v>
      </c>
      <c r="G416" s="69">
        <v>1</v>
      </c>
      <c r="H416" s="17">
        <v>0</v>
      </c>
    </row>
    <row r="417" spans="1:8" x14ac:dyDescent="0.2">
      <c r="A417" s="4" t="s">
        <v>222</v>
      </c>
      <c r="B417" s="4"/>
      <c r="C417" s="4" t="s">
        <v>22</v>
      </c>
      <c r="D417" s="240" t="s">
        <v>1299</v>
      </c>
      <c r="E417" s="241"/>
      <c r="F417" s="4" t="s">
        <v>1646</v>
      </c>
      <c r="G417" s="69">
        <v>8</v>
      </c>
      <c r="H417" s="17">
        <v>0</v>
      </c>
    </row>
    <row r="418" spans="1:8" x14ac:dyDescent="0.2">
      <c r="A418" s="4" t="s">
        <v>223</v>
      </c>
      <c r="B418" s="4"/>
      <c r="C418" s="4" t="s">
        <v>23</v>
      </c>
      <c r="D418" s="240" t="s">
        <v>1300</v>
      </c>
      <c r="E418" s="241"/>
      <c r="F418" s="4" t="s">
        <v>1646</v>
      </c>
      <c r="G418" s="69">
        <v>15</v>
      </c>
      <c r="H418" s="17">
        <v>0</v>
      </c>
    </row>
    <row r="419" spans="1:8" x14ac:dyDescent="0.2">
      <c r="A419" s="4" t="s">
        <v>224</v>
      </c>
      <c r="B419" s="4"/>
      <c r="C419" s="4" t="s">
        <v>24</v>
      </c>
      <c r="D419" s="240" t="s">
        <v>1301</v>
      </c>
      <c r="E419" s="241"/>
      <c r="F419" s="4" t="s">
        <v>1646</v>
      </c>
      <c r="G419" s="69">
        <v>8</v>
      </c>
      <c r="H419" s="17">
        <v>0</v>
      </c>
    </row>
    <row r="420" spans="1:8" x14ac:dyDescent="0.2">
      <c r="A420" s="4" t="s">
        <v>225</v>
      </c>
      <c r="B420" s="4"/>
      <c r="C420" s="4" t="s">
        <v>25</v>
      </c>
      <c r="D420" s="240" t="s">
        <v>1302</v>
      </c>
      <c r="E420" s="241"/>
      <c r="F420" s="4" t="s">
        <v>1644</v>
      </c>
      <c r="G420" s="69">
        <v>1</v>
      </c>
      <c r="H420" s="17">
        <v>0</v>
      </c>
    </row>
    <row r="421" spans="1:8" x14ac:dyDescent="0.2">
      <c r="A421" s="4" t="s">
        <v>226</v>
      </c>
      <c r="B421" s="4"/>
      <c r="C421" s="4" t="s">
        <v>26</v>
      </c>
      <c r="D421" s="240" t="s">
        <v>1303</v>
      </c>
      <c r="E421" s="241"/>
      <c r="F421" s="4" t="s">
        <v>1644</v>
      </c>
      <c r="G421" s="69">
        <v>1</v>
      </c>
      <c r="H421" s="17">
        <v>0</v>
      </c>
    </row>
    <row r="422" spans="1:8" x14ac:dyDescent="0.2">
      <c r="A422" s="4" t="s">
        <v>227</v>
      </c>
      <c r="B422" s="4"/>
      <c r="C422" s="4" t="s">
        <v>27</v>
      </c>
      <c r="D422" s="240" t="s">
        <v>1304</v>
      </c>
      <c r="E422" s="241"/>
      <c r="F422" s="4" t="s">
        <v>1644</v>
      </c>
      <c r="G422" s="69">
        <v>1</v>
      </c>
      <c r="H422" s="17">
        <v>0</v>
      </c>
    </row>
    <row r="423" spans="1:8" x14ac:dyDescent="0.2">
      <c r="A423" s="4" t="s">
        <v>228</v>
      </c>
      <c r="B423" s="4"/>
      <c r="C423" s="4" t="s">
        <v>28</v>
      </c>
      <c r="D423" s="240" t="s">
        <v>1305</v>
      </c>
      <c r="E423" s="241"/>
      <c r="F423" s="4" t="s">
        <v>1644</v>
      </c>
      <c r="G423" s="69">
        <v>1</v>
      </c>
      <c r="H423" s="17">
        <v>0</v>
      </c>
    </row>
    <row r="424" spans="1:8" x14ac:dyDescent="0.2">
      <c r="A424" s="4" t="s">
        <v>229</v>
      </c>
      <c r="B424" s="4"/>
      <c r="C424" s="4" t="s">
        <v>29</v>
      </c>
      <c r="D424" s="240" t="s">
        <v>1306</v>
      </c>
      <c r="E424" s="241"/>
      <c r="F424" s="4" t="s">
        <v>1646</v>
      </c>
      <c r="G424" s="69">
        <v>15</v>
      </c>
      <c r="H424" s="17">
        <v>0</v>
      </c>
    </row>
    <row r="425" spans="1:8" x14ac:dyDescent="0.2">
      <c r="A425" s="4" t="s">
        <v>230</v>
      </c>
      <c r="B425" s="4"/>
      <c r="C425" s="4" t="s">
        <v>30</v>
      </c>
      <c r="D425" s="240" t="s">
        <v>1286</v>
      </c>
      <c r="E425" s="241"/>
      <c r="F425" s="4" t="s">
        <v>1644</v>
      </c>
      <c r="G425" s="69">
        <v>2</v>
      </c>
      <c r="H425" s="17">
        <v>0</v>
      </c>
    </row>
    <row r="426" spans="1:8" x14ac:dyDescent="0.2">
      <c r="A426" s="4" t="s">
        <v>231</v>
      </c>
      <c r="B426" s="4"/>
      <c r="C426" s="4" t="s">
        <v>31</v>
      </c>
      <c r="D426" s="240" t="s">
        <v>1307</v>
      </c>
      <c r="E426" s="241"/>
      <c r="F426" s="4" t="s">
        <v>1644</v>
      </c>
      <c r="G426" s="69">
        <v>1</v>
      </c>
      <c r="H426" s="17">
        <v>0</v>
      </c>
    </row>
    <row r="427" spans="1:8" x14ac:dyDescent="0.2">
      <c r="A427" s="4" t="s">
        <v>232</v>
      </c>
      <c r="B427" s="4"/>
      <c r="C427" s="4" t="s">
        <v>32</v>
      </c>
      <c r="D427" s="240" t="s">
        <v>1308</v>
      </c>
      <c r="E427" s="241"/>
      <c r="F427" s="4" t="s">
        <v>1644</v>
      </c>
      <c r="G427" s="69">
        <v>1</v>
      </c>
      <c r="H427" s="17">
        <v>0</v>
      </c>
    </row>
    <row r="428" spans="1:8" x14ac:dyDescent="0.2">
      <c r="A428" s="4" t="s">
        <v>233</v>
      </c>
      <c r="B428" s="4"/>
      <c r="C428" s="4" t="s">
        <v>33</v>
      </c>
      <c r="D428" s="240" t="s">
        <v>1309</v>
      </c>
      <c r="E428" s="241"/>
      <c r="F428" s="4" t="s">
        <v>1644</v>
      </c>
      <c r="G428" s="69">
        <v>1</v>
      </c>
      <c r="H428" s="17">
        <v>0</v>
      </c>
    </row>
    <row r="429" spans="1:8" x14ac:dyDescent="0.2">
      <c r="A429" s="4" t="s">
        <v>234</v>
      </c>
      <c r="B429" s="4"/>
      <c r="C429" s="4" t="s">
        <v>34</v>
      </c>
      <c r="D429" s="240" t="s">
        <v>1310</v>
      </c>
      <c r="E429" s="241"/>
      <c r="F429" s="4" t="s">
        <v>1644</v>
      </c>
      <c r="G429" s="69">
        <v>1</v>
      </c>
      <c r="H429" s="17">
        <v>0</v>
      </c>
    </row>
    <row r="430" spans="1:8" x14ac:dyDescent="0.2">
      <c r="A430" s="4" t="s">
        <v>235</v>
      </c>
      <c r="B430" s="4"/>
      <c r="C430" s="4" t="s">
        <v>35</v>
      </c>
      <c r="D430" s="240" t="s">
        <v>1311</v>
      </c>
      <c r="E430" s="241"/>
      <c r="F430" s="4" t="s">
        <v>1644</v>
      </c>
      <c r="G430" s="69">
        <v>1</v>
      </c>
      <c r="H430" s="17">
        <v>0</v>
      </c>
    </row>
    <row r="431" spans="1:8" x14ac:dyDescent="0.2">
      <c r="A431" s="4" t="s">
        <v>236</v>
      </c>
      <c r="B431" s="4"/>
      <c r="C431" s="4" t="s">
        <v>36</v>
      </c>
      <c r="D431" s="240" t="s">
        <v>1312</v>
      </c>
      <c r="E431" s="241"/>
      <c r="F431" s="4" t="s">
        <v>1644</v>
      </c>
      <c r="G431" s="69">
        <v>2</v>
      </c>
      <c r="H431" s="17">
        <v>0</v>
      </c>
    </row>
    <row r="432" spans="1:8" x14ac:dyDescent="0.2">
      <c r="A432" s="4" t="s">
        <v>237</v>
      </c>
      <c r="B432" s="4"/>
      <c r="C432" s="4" t="s">
        <v>37</v>
      </c>
      <c r="D432" s="240" t="s">
        <v>1313</v>
      </c>
      <c r="E432" s="241"/>
      <c r="F432" s="4" t="s">
        <v>1644</v>
      </c>
      <c r="G432" s="69">
        <v>2</v>
      </c>
      <c r="H432" s="17">
        <v>0</v>
      </c>
    </row>
    <row r="433" spans="1:8" x14ac:dyDescent="0.2">
      <c r="A433" s="4" t="s">
        <v>238</v>
      </c>
      <c r="B433" s="4"/>
      <c r="C433" s="4" t="s">
        <v>38</v>
      </c>
      <c r="D433" s="240" t="s">
        <v>1314</v>
      </c>
      <c r="E433" s="241"/>
      <c r="F433" s="4" t="s">
        <v>1644</v>
      </c>
      <c r="G433" s="69">
        <v>1</v>
      </c>
      <c r="H433" s="17">
        <v>0</v>
      </c>
    </row>
    <row r="434" spans="1:8" x14ac:dyDescent="0.2">
      <c r="A434" s="4" t="s">
        <v>239</v>
      </c>
      <c r="B434" s="4"/>
      <c r="C434" s="4" t="s">
        <v>39</v>
      </c>
      <c r="D434" s="240" t="s">
        <v>1315</v>
      </c>
      <c r="E434" s="241"/>
      <c r="F434" s="4" t="s">
        <v>1644</v>
      </c>
      <c r="G434" s="69">
        <v>1</v>
      </c>
      <c r="H434" s="17">
        <v>0</v>
      </c>
    </row>
    <row r="435" spans="1:8" x14ac:dyDescent="0.2">
      <c r="A435" s="4" t="s">
        <v>240</v>
      </c>
      <c r="B435" s="4"/>
      <c r="C435" s="4" t="s">
        <v>40</v>
      </c>
      <c r="D435" s="240" t="s">
        <v>1316</v>
      </c>
      <c r="E435" s="241"/>
      <c r="F435" s="4" t="s">
        <v>1644</v>
      </c>
      <c r="G435" s="69">
        <v>2</v>
      </c>
      <c r="H435" s="17">
        <v>0</v>
      </c>
    </row>
    <row r="436" spans="1:8" x14ac:dyDescent="0.2">
      <c r="A436" s="4" t="s">
        <v>241</v>
      </c>
      <c r="B436" s="4"/>
      <c r="C436" s="4" t="s">
        <v>41</v>
      </c>
      <c r="D436" s="240" t="s">
        <v>1317</v>
      </c>
      <c r="E436" s="241"/>
      <c r="F436" s="4" t="s">
        <v>1644</v>
      </c>
      <c r="G436" s="69">
        <v>1</v>
      </c>
      <c r="H436" s="17">
        <v>0</v>
      </c>
    </row>
    <row r="437" spans="1:8" x14ac:dyDescent="0.2">
      <c r="A437" s="4" t="s">
        <v>242</v>
      </c>
      <c r="B437" s="4"/>
      <c r="C437" s="4" t="s">
        <v>42</v>
      </c>
      <c r="D437" s="240" t="s">
        <v>1318</v>
      </c>
      <c r="E437" s="241"/>
      <c r="F437" s="4" t="s">
        <v>1644</v>
      </c>
      <c r="G437" s="69">
        <v>2</v>
      </c>
      <c r="H437" s="17">
        <v>0</v>
      </c>
    </row>
    <row r="438" spans="1:8" x14ac:dyDescent="0.2">
      <c r="A438" s="4" t="s">
        <v>243</v>
      </c>
      <c r="B438" s="4"/>
      <c r="C438" s="4" t="s">
        <v>43</v>
      </c>
      <c r="D438" s="240" t="s">
        <v>1319</v>
      </c>
      <c r="E438" s="241"/>
      <c r="F438" s="4" t="s">
        <v>1644</v>
      </c>
      <c r="G438" s="69">
        <v>6</v>
      </c>
      <c r="H438" s="17">
        <v>0</v>
      </c>
    </row>
    <row r="439" spans="1:8" x14ac:dyDescent="0.2">
      <c r="A439" s="4" t="s">
        <v>244</v>
      </c>
      <c r="B439" s="4"/>
      <c r="C439" s="4" t="s">
        <v>44</v>
      </c>
      <c r="D439" s="240" t="s">
        <v>1320</v>
      </c>
      <c r="E439" s="241"/>
      <c r="F439" s="4" t="s">
        <v>1644</v>
      </c>
      <c r="G439" s="69">
        <v>14</v>
      </c>
      <c r="H439" s="17">
        <v>0</v>
      </c>
    </row>
    <row r="440" spans="1:8" x14ac:dyDescent="0.2">
      <c r="A440" s="4" t="s">
        <v>245</v>
      </c>
      <c r="B440" s="4"/>
      <c r="C440" s="4" t="s">
        <v>45</v>
      </c>
      <c r="D440" s="240" t="s">
        <v>1321</v>
      </c>
      <c r="E440" s="241"/>
      <c r="F440" s="4" t="s">
        <v>1644</v>
      </c>
      <c r="G440" s="69">
        <v>1</v>
      </c>
      <c r="H440" s="17">
        <v>0</v>
      </c>
    </row>
    <row r="441" spans="1:8" x14ac:dyDescent="0.2">
      <c r="A441" s="4" t="s">
        <v>246</v>
      </c>
      <c r="B441" s="4"/>
      <c r="C441" s="4" t="s">
        <v>46</v>
      </c>
      <c r="D441" s="240" t="s">
        <v>1322</v>
      </c>
      <c r="E441" s="241"/>
      <c r="F441" s="4" t="s">
        <v>1644</v>
      </c>
      <c r="G441" s="69">
        <v>2</v>
      </c>
      <c r="H441" s="17">
        <v>0</v>
      </c>
    </row>
    <row r="442" spans="1:8" x14ac:dyDescent="0.2">
      <c r="A442" s="4" t="s">
        <v>247</v>
      </c>
      <c r="B442" s="4"/>
      <c r="C442" s="4" t="s">
        <v>47</v>
      </c>
      <c r="D442" s="240" t="s">
        <v>1323</v>
      </c>
      <c r="E442" s="241"/>
      <c r="F442" s="4" t="s">
        <v>1644</v>
      </c>
      <c r="G442" s="69">
        <v>1</v>
      </c>
      <c r="H442" s="17">
        <v>0</v>
      </c>
    </row>
    <row r="443" spans="1:8" x14ac:dyDescent="0.2">
      <c r="A443" s="4" t="s">
        <v>248</v>
      </c>
      <c r="B443" s="4"/>
      <c r="C443" s="4" t="s">
        <v>48</v>
      </c>
      <c r="D443" s="240" t="s">
        <v>1324</v>
      </c>
      <c r="E443" s="241"/>
      <c r="F443" s="4" t="s">
        <v>1644</v>
      </c>
      <c r="G443" s="69">
        <v>2</v>
      </c>
      <c r="H443" s="17">
        <v>0</v>
      </c>
    </row>
    <row r="444" spans="1:8" x14ac:dyDescent="0.2">
      <c r="A444" s="4" t="s">
        <v>249</v>
      </c>
      <c r="B444" s="4"/>
      <c r="C444" s="4" t="s">
        <v>49</v>
      </c>
      <c r="D444" s="240" t="s">
        <v>1325</v>
      </c>
      <c r="E444" s="241"/>
      <c r="F444" s="4" t="s">
        <v>1644</v>
      </c>
      <c r="G444" s="69">
        <v>1</v>
      </c>
      <c r="H444" s="17">
        <v>0</v>
      </c>
    </row>
    <row r="445" spans="1:8" x14ac:dyDescent="0.2">
      <c r="A445" s="4" t="s">
        <v>250</v>
      </c>
      <c r="B445" s="4"/>
      <c r="C445" s="4" t="s">
        <v>50</v>
      </c>
      <c r="D445" s="240" t="s">
        <v>1297</v>
      </c>
      <c r="E445" s="241"/>
      <c r="F445" s="4" t="s">
        <v>1644</v>
      </c>
      <c r="G445" s="69">
        <v>8</v>
      </c>
      <c r="H445" s="17">
        <v>0</v>
      </c>
    </row>
    <row r="446" spans="1:8" x14ac:dyDescent="0.2">
      <c r="A446" s="4" t="s">
        <v>251</v>
      </c>
      <c r="B446" s="4"/>
      <c r="C446" s="4" t="s">
        <v>51</v>
      </c>
      <c r="D446" s="240" t="s">
        <v>1326</v>
      </c>
      <c r="E446" s="241"/>
      <c r="F446" s="4" t="s">
        <v>1644</v>
      </c>
      <c r="G446" s="69">
        <v>8</v>
      </c>
      <c r="H446" s="17">
        <v>0</v>
      </c>
    </row>
    <row r="447" spans="1:8" x14ac:dyDescent="0.2">
      <c r="A447" s="4" t="s">
        <v>252</v>
      </c>
      <c r="B447" s="4"/>
      <c r="C447" s="4" t="s">
        <v>52</v>
      </c>
      <c r="D447" s="240" t="s">
        <v>1327</v>
      </c>
      <c r="E447" s="241"/>
      <c r="F447" s="4" t="s">
        <v>1644</v>
      </c>
      <c r="G447" s="69">
        <v>6</v>
      </c>
      <c r="H447" s="17">
        <v>0</v>
      </c>
    </row>
    <row r="448" spans="1:8" x14ac:dyDescent="0.2">
      <c r="A448" s="4" t="s">
        <v>253</v>
      </c>
      <c r="B448" s="4"/>
      <c r="C448" s="4" t="s">
        <v>53</v>
      </c>
      <c r="D448" s="240" t="s">
        <v>1294</v>
      </c>
      <c r="E448" s="241"/>
      <c r="F448" s="4" t="s">
        <v>1644</v>
      </c>
      <c r="G448" s="69">
        <v>2</v>
      </c>
      <c r="H448" s="17">
        <v>0</v>
      </c>
    </row>
    <row r="449" spans="1:8" x14ac:dyDescent="0.2">
      <c r="A449" s="4" t="s">
        <v>254</v>
      </c>
      <c r="B449" s="4"/>
      <c r="C449" s="4" t="s">
        <v>54</v>
      </c>
      <c r="D449" s="240" t="s">
        <v>1295</v>
      </c>
      <c r="E449" s="241"/>
      <c r="F449" s="4" t="s">
        <v>1644</v>
      </c>
      <c r="G449" s="69">
        <v>2</v>
      </c>
      <c r="H449" s="17">
        <v>0</v>
      </c>
    </row>
    <row r="450" spans="1:8" x14ac:dyDescent="0.2">
      <c r="A450" s="4" t="s">
        <v>255</v>
      </c>
      <c r="B450" s="4"/>
      <c r="C450" s="4" t="s">
        <v>55</v>
      </c>
      <c r="D450" s="240" t="s">
        <v>1328</v>
      </c>
      <c r="E450" s="241"/>
      <c r="F450" s="4" t="s">
        <v>1644</v>
      </c>
      <c r="G450" s="69">
        <v>22</v>
      </c>
      <c r="H450" s="17">
        <v>0</v>
      </c>
    </row>
    <row r="451" spans="1:8" x14ac:dyDescent="0.2">
      <c r="A451" s="4" t="s">
        <v>256</v>
      </c>
      <c r="B451" s="4"/>
      <c r="C451" s="4" t="s">
        <v>56</v>
      </c>
      <c r="D451" s="240" t="s">
        <v>1329</v>
      </c>
      <c r="E451" s="241"/>
      <c r="F451" s="4" t="s">
        <v>1644</v>
      </c>
      <c r="G451" s="69">
        <v>1</v>
      </c>
      <c r="H451" s="17">
        <v>0</v>
      </c>
    </row>
    <row r="452" spans="1:8" x14ac:dyDescent="0.2">
      <c r="A452" s="4" t="s">
        <v>257</v>
      </c>
      <c r="B452" s="4"/>
      <c r="C452" s="4" t="s">
        <v>57</v>
      </c>
      <c r="D452" s="240" t="s">
        <v>1330</v>
      </c>
      <c r="E452" s="241"/>
      <c r="F452" s="4" t="s">
        <v>1646</v>
      </c>
      <c r="G452" s="69">
        <v>60</v>
      </c>
      <c r="H452" s="17">
        <v>0</v>
      </c>
    </row>
    <row r="453" spans="1:8" x14ac:dyDescent="0.2">
      <c r="A453" s="4" t="s">
        <v>258</v>
      </c>
      <c r="B453" s="4"/>
      <c r="C453" s="4" t="s">
        <v>58</v>
      </c>
      <c r="D453" s="240" t="s">
        <v>1331</v>
      </c>
      <c r="E453" s="241"/>
      <c r="F453" s="4" t="s">
        <v>1646</v>
      </c>
      <c r="G453" s="69">
        <v>24</v>
      </c>
      <c r="H453" s="17">
        <v>0</v>
      </c>
    </row>
    <row r="454" spans="1:8" x14ac:dyDescent="0.2">
      <c r="A454" s="4" t="s">
        <v>259</v>
      </c>
      <c r="B454" s="4"/>
      <c r="C454" s="4" t="s">
        <v>59</v>
      </c>
      <c r="D454" s="240" t="s">
        <v>1332</v>
      </c>
      <c r="E454" s="241"/>
      <c r="F454" s="4" t="s">
        <v>1646</v>
      </c>
      <c r="G454" s="69">
        <v>4</v>
      </c>
      <c r="H454" s="17">
        <v>0</v>
      </c>
    </row>
    <row r="455" spans="1:8" x14ac:dyDescent="0.2">
      <c r="A455" s="4" t="s">
        <v>260</v>
      </c>
      <c r="B455" s="4"/>
      <c r="C455" s="4" t="s">
        <v>60</v>
      </c>
      <c r="D455" s="240" t="s">
        <v>1333</v>
      </c>
      <c r="E455" s="241"/>
      <c r="F455" s="4" t="s">
        <v>1646</v>
      </c>
      <c r="G455" s="69">
        <v>60</v>
      </c>
      <c r="H455" s="17">
        <v>0</v>
      </c>
    </row>
    <row r="456" spans="1:8" x14ac:dyDescent="0.2">
      <c r="A456" s="4" t="s">
        <v>261</v>
      </c>
      <c r="B456" s="4"/>
      <c r="C456" s="4" t="s">
        <v>61</v>
      </c>
      <c r="D456" s="240" t="s">
        <v>1334</v>
      </c>
      <c r="E456" s="241"/>
      <c r="F456" s="4" t="s">
        <v>1646</v>
      </c>
      <c r="G456" s="69">
        <v>24</v>
      </c>
      <c r="H456" s="17">
        <v>0</v>
      </c>
    </row>
    <row r="457" spans="1:8" x14ac:dyDescent="0.2">
      <c r="A457" s="4" t="s">
        <v>262</v>
      </c>
      <c r="B457" s="4"/>
      <c r="C457" s="4" t="s">
        <v>62</v>
      </c>
      <c r="D457" s="240" t="s">
        <v>1335</v>
      </c>
      <c r="E457" s="241"/>
      <c r="F457" s="4" t="s">
        <v>1645</v>
      </c>
      <c r="G457" s="69">
        <v>0.7</v>
      </c>
      <c r="H457" s="17">
        <v>0</v>
      </c>
    </row>
    <row r="458" spans="1:8" x14ac:dyDescent="0.2">
      <c r="A458" s="4" t="s">
        <v>263</v>
      </c>
      <c r="B458" s="4"/>
      <c r="C458" s="4" t="s">
        <v>63</v>
      </c>
      <c r="D458" s="240" t="s">
        <v>1336</v>
      </c>
      <c r="E458" s="241"/>
      <c r="F458" s="4" t="s">
        <v>1644</v>
      </c>
      <c r="G458" s="69">
        <v>1</v>
      </c>
      <c r="H458" s="17">
        <v>0</v>
      </c>
    </row>
    <row r="459" spans="1:8" x14ac:dyDescent="0.2">
      <c r="A459" s="4" t="s">
        <v>264</v>
      </c>
      <c r="B459" s="4"/>
      <c r="C459" s="4" t="s">
        <v>64</v>
      </c>
      <c r="D459" s="240" t="s">
        <v>1337</v>
      </c>
      <c r="E459" s="241"/>
      <c r="F459" s="4" t="s">
        <v>1644</v>
      </c>
      <c r="G459" s="69">
        <v>1</v>
      </c>
      <c r="H459" s="17">
        <v>0</v>
      </c>
    </row>
    <row r="460" spans="1:8" x14ac:dyDescent="0.2">
      <c r="A460" s="4" t="s">
        <v>265</v>
      </c>
      <c r="B460" s="4"/>
      <c r="C460" s="4" t="s">
        <v>65</v>
      </c>
      <c r="D460" s="240" t="s">
        <v>1338</v>
      </c>
      <c r="E460" s="241"/>
      <c r="F460" s="4" t="s">
        <v>1644</v>
      </c>
      <c r="G460" s="69">
        <v>1</v>
      </c>
      <c r="H460" s="17">
        <v>0</v>
      </c>
    </row>
    <row r="461" spans="1:8" x14ac:dyDescent="0.2">
      <c r="A461" s="4" t="s">
        <v>266</v>
      </c>
      <c r="B461" s="4"/>
      <c r="C461" s="4" t="s">
        <v>66</v>
      </c>
      <c r="D461" s="240" t="s">
        <v>1339</v>
      </c>
      <c r="E461" s="241"/>
      <c r="F461" s="4" t="s">
        <v>1644</v>
      </c>
      <c r="G461" s="69">
        <v>1</v>
      </c>
      <c r="H461" s="17">
        <v>0</v>
      </c>
    </row>
    <row r="462" spans="1:8" x14ac:dyDescent="0.2">
      <c r="A462" s="4" t="s">
        <v>267</v>
      </c>
      <c r="B462" s="4"/>
      <c r="C462" s="4" t="s">
        <v>67</v>
      </c>
      <c r="D462" s="240" t="s">
        <v>1340</v>
      </c>
      <c r="E462" s="241"/>
      <c r="F462" s="4" t="s">
        <v>1644</v>
      </c>
      <c r="G462" s="69">
        <v>3</v>
      </c>
      <c r="H462" s="17">
        <v>0</v>
      </c>
    </row>
    <row r="463" spans="1:8" x14ac:dyDescent="0.2">
      <c r="A463" s="4" t="s">
        <v>268</v>
      </c>
      <c r="B463" s="4"/>
      <c r="C463" s="4" t="s">
        <v>68</v>
      </c>
      <c r="D463" s="240" t="s">
        <v>1341</v>
      </c>
      <c r="E463" s="241"/>
      <c r="F463" s="4" t="s">
        <v>1644</v>
      </c>
      <c r="G463" s="69">
        <v>1</v>
      </c>
      <c r="H463" s="17">
        <v>0</v>
      </c>
    </row>
    <row r="464" spans="1:8" x14ac:dyDescent="0.2">
      <c r="A464" s="4" t="s">
        <v>269</v>
      </c>
      <c r="B464" s="4"/>
      <c r="C464" s="4" t="s">
        <v>69</v>
      </c>
      <c r="D464" s="240" t="s">
        <v>1342</v>
      </c>
      <c r="E464" s="241"/>
      <c r="F464" s="4" t="s">
        <v>1646</v>
      </c>
      <c r="G464" s="69">
        <v>5</v>
      </c>
      <c r="H464" s="17">
        <v>0</v>
      </c>
    </row>
    <row r="465" spans="1:8" x14ac:dyDescent="0.2">
      <c r="A465" s="4" t="s">
        <v>270</v>
      </c>
      <c r="B465" s="4"/>
      <c r="C465" s="4" t="s">
        <v>70</v>
      </c>
      <c r="D465" s="240" t="s">
        <v>1343</v>
      </c>
      <c r="E465" s="241"/>
      <c r="F465" s="4" t="s">
        <v>1646</v>
      </c>
      <c r="G465" s="69">
        <v>9</v>
      </c>
      <c r="H465" s="17">
        <v>0</v>
      </c>
    </row>
    <row r="466" spans="1:8" x14ac:dyDescent="0.2">
      <c r="A466" s="4" t="s">
        <v>271</v>
      </c>
      <c r="B466" s="4"/>
      <c r="C466" s="4" t="s">
        <v>71</v>
      </c>
      <c r="D466" s="240" t="s">
        <v>1344</v>
      </c>
      <c r="E466" s="241"/>
      <c r="F466" s="4" t="s">
        <v>1646</v>
      </c>
      <c r="G466" s="69">
        <v>20</v>
      </c>
      <c r="H466" s="17">
        <v>0</v>
      </c>
    </row>
    <row r="467" spans="1:8" x14ac:dyDescent="0.2">
      <c r="A467" s="4" t="s">
        <v>272</v>
      </c>
      <c r="B467" s="4"/>
      <c r="C467" s="4" t="s">
        <v>72</v>
      </c>
      <c r="D467" s="240" t="s">
        <v>1345</v>
      </c>
      <c r="E467" s="241"/>
      <c r="F467" s="4" t="s">
        <v>1646</v>
      </c>
      <c r="G467" s="69">
        <v>20</v>
      </c>
      <c r="H467" s="17">
        <v>0</v>
      </c>
    </row>
    <row r="468" spans="1:8" x14ac:dyDescent="0.2">
      <c r="A468" s="4" t="s">
        <v>273</v>
      </c>
      <c r="B468" s="4"/>
      <c r="C468" s="4" t="s">
        <v>73</v>
      </c>
      <c r="D468" s="240" t="s">
        <v>1346</v>
      </c>
      <c r="E468" s="241"/>
      <c r="F468" s="4" t="s">
        <v>1644</v>
      </c>
      <c r="G468" s="69">
        <v>1</v>
      </c>
      <c r="H468" s="17">
        <v>0</v>
      </c>
    </row>
    <row r="469" spans="1:8" x14ac:dyDescent="0.2">
      <c r="A469" s="4" t="s">
        <v>274</v>
      </c>
      <c r="B469" s="4"/>
      <c r="C469" s="4" t="s">
        <v>74</v>
      </c>
      <c r="D469" s="240" t="s">
        <v>1253</v>
      </c>
      <c r="E469" s="241"/>
      <c r="F469" s="4" t="s">
        <v>1644</v>
      </c>
      <c r="G469" s="69">
        <v>1</v>
      </c>
      <c r="H469" s="17">
        <v>0</v>
      </c>
    </row>
    <row r="470" spans="1:8" x14ac:dyDescent="0.2">
      <c r="A470" s="4" t="s">
        <v>275</v>
      </c>
      <c r="B470" s="4"/>
      <c r="C470" s="4" t="s">
        <v>75</v>
      </c>
      <c r="D470" s="240" t="s">
        <v>1347</v>
      </c>
      <c r="E470" s="241"/>
      <c r="F470" s="4" t="s">
        <v>1646</v>
      </c>
      <c r="G470" s="69">
        <v>103</v>
      </c>
      <c r="H470" s="17">
        <v>0</v>
      </c>
    </row>
    <row r="471" spans="1:8" x14ac:dyDescent="0.2">
      <c r="A471" s="4" t="s">
        <v>276</v>
      </c>
      <c r="B471" s="4"/>
      <c r="C471" s="4" t="s">
        <v>76</v>
      </c>
      <c r="D471" s="240" t="s">
        <v>1348</v>
      </c>
      <c r="E471" s="241"/>
      <c r="F471" s="4" t="s">
        <v>1644</v>
      </c>
      <c r="G471" s="69">
        <v>1</v>
      </c>
      <c r="H471" s="17">
        <v>0</v>
      </c>
    </row>
    <row r="472" spans="1:8" x14ac:dyDescent="0.2">
      <c r="A472" s="4" t="s">
        <v>277</v>
      </c>
      <c r="B472" s="4"/>
      <c r="C472" s="4" t="s">
        <v>77</v>
      </c>
      <c r="D472" s="240" t="s">
        <v>1349</v>
      </c>
      <c r="E472" s="241"/>
      <c r="F472" s="4" t="s">
        <v>1644</v>
      </c>
      <c r="G472" s="69">
        <v>2</v>
      </c>
      <c r="H472" s="17">
        <v>0</v>
      </c>
    </row>
    <row r="473" spans="1:8" x14ac:dyDescent="0.2">
      <c r="A473" s="4" t="s">
        <v>278</v>
      </c>
      <c r="B473" s="4"/>
      <c r="C473" s="4" t="s">
        <v>78</v>
      </c>
      <c r="D473" s="240" t="s">
        <v>1350</v>
      </c>
      <c r="E473" s="241"/>
      <c r="F473" s="4" t="s">
        <v>1644</v>
      </c>
      <c r="G473" s="69">
        <v>1</v>
      </c>
      <c r="H473" s="17">
        <v>0</v>
      </c>
    </row>
    <row r="474" spans="1:8" x14ac:dyDescent="0.2">
      <c r="A474" s="4" t="s">
        <v>279</v>
      </c>
      <c r="B474" s="4"/>
      <c r="C474" s="4" t="s">
        <v>79</v>
      </c>
      <c r="D474" s="240" t="s">
        <v>1351</v>
      </c>
      <c r="E474" s="241"/>
      <c r="F474" s="4" t="s">
        <v>1644</v>
      </c>
      <c r="G474" s="69">
        <v>1</v>
      </c>
      <c r="H474" s="17">
        <v>0</v>
      </c>
    </row>
    <row r="475" spans="1:8" x14ac:dyDescent="0.2">
      <c r="A475" s="4" t="s">
        <v>280</v>
      </c>
      <c r="B475" s="4"/>
      <c r="C475" s="4" t="s">
        <v>80</v>
      </c>
      <c r="D475" s="240" t="s">
        <v>1352</v>
      </c>
      <c r="E475" s="241"/>
      <c r="F475" s="4" t="s">
        <v>1644</v>
      </c>
      <c r="G475" s="69">
        <v>16</v>
      </c>
      <c r="H475" s="17">
        <v>0</v>
      </c>
    </row>
    <row r="476" spans="1:8" x14ac:dyDescent="0.2">
      <c r="A476" s="4" t="s">
        <v>281</v>
      </c>
      <c r="B476" s="4"/>
      <c r="C476" s="4" t="s">
        <v>81</v>
      </c>
      <c r="D476" s="240" t="s">
        <v>1353</v>
      </c>
      <c r="E476" s="241"/>
      <c r="F476" s="4" t="s">
        <v>1644</v>
      </c>
      <c r="G476" s="69">
        <v>1</v>
      </c>
      <c r="H476" s="17">
        <v>0</v>
      </c>
    </row>
    <row r="477" spans="1:8" x14ac:dyDescent="0.2">
      <c r="A477" s="4" t="s">
        <v>282</v>
      </c>
      <c r="B477" s="4"/>
      <c r="C477" s="4" t="s">
        <v>82</v>
      </c>
      <c r="D477" s="240" t="s">
        <v>1354</v>
      </c>
      <c r="E477" s="241"/>
      <c r="F477" s="4" t="s">
        <v>1644</v>
      </c>
      <c r="G477" s="69">
        <v>1</v>
      </c>
      <c r="H477" s="17">
        <v>0</v>
      </c>
    </row>
    <row r="478" spans="1:8" x14ac:dyDescent="0.2">
      <c r="A478" s="13"/>
      <c r="B478" s="13"/>
      <c r="C478" s="13" t="s">
        <v>772</v>
      </c>
      <c r="D478" s="244" t="s">
        <v>1355</v>
      </c>
      <c r="E478" s="245"/>
      <c r="F478" s="13"/>
      <c r="G478" s="70"/>
      <c r="H478" s="29"/>
    </row>
    <row r="479" spans="1:8" x14ac:dyDescent="0.2">
      <c r="A479" s="4" t="s">
        <v>283</v>
      </c>
      <c r="B479" s="4"/>
      <c r="C479" s="4" t="s">
        <v>773</v>
      </c>
      <c r="D479" s="240" t="s">
        <v>1356</v>
      </c>
      <c r="E479" s="241"/>
      <c r="F479" s="4" t="s">
        <v>1644</v>
      </c>
      <c r="G479" s="69">
        <v>1</v>
      </c>
      <c r="H479" s="17">
        <v>0</v>
      </c>
    </row>
    <row r="480" spans="1:8" x14ac:dyDescent="0.2">
      <c r="A480" s="4" t="s">
        <v>284</v>
      </c>
      <c r="B480" s="4"/>
      <c r="C480" s="4" t="s">
        <v>774</v>
      </c>
      <c r="D480" s="240" t="s">
        <v>1357</v>
      </c>
      <c r="E480" s="241"/>
      <c r="F480" s="4" t="s">
        <v>1644</v>
      </c>
      <c r="G480" s="69">
        <v>1</v>
      </c>
      <c r="H480" s="17">
        <v>0</v>
      </c>
    </row>
    <row r="481" spans="1:8" x14ac:dyDescent="0.2">
      <c r="A481" s="4" t="s">
        <v>285</v>
      </c>
      <c r="B481" s="4"/>
      <c r="C481" s="4" t="s">
        <v>775</v>
      </c>
      <c r="D481" s="240" t="s">
        <v>1358</v>
      </c>
      <c r="E481" s="241"/>
      <c r="F481" s="4" t="s">
        <v>1644</v>
      </c>
      <c r="G481" s="69">
        <v>1</v>
      </c>
      <c r="H481" s="17">
        <v>0</v>
      </c>
    </row>
    <row r="482" spans="1:8" x14ac:dyDescent="0.2">
      <c r="A482" s="4" t="s">
        <v>286</v>
      </c>
      <c r="B482" s="4"/>
      <c r="C482" s="4" t="s">
        <v>776</v>
      </c>
      <c r="D482" s="240" t="s">
        <v>1359</v>
      </c>
      <c r="E482" s="241"/>
      <c r="F482" s="4" t="s">
        <v>1644</v>
      </c>
      <c r="G482" s="69">
        <v>1</v>
      </c>
      <c r="H482" s="17">
        <v>0</v>
      </c>
    </row>
    <row r="483" spans="1:8" x14ac:dyDescent="0.2">
      <c r="A483" s="4" t="s">
        <v>287</v>
      </c>
      <c r="B483" s="4"/>
      <c r="C483" s="4" t="s">
        <v>777</v>
      </c>
      <c r="D483" s="240" t="s">
        <v>1360</v>
      </c>
      <c r="E483" s="241"/>
      <c r="F483" s="4" t="s">
        <v>1644</v>
      </c>
      <c r="G483" s="69">
        <v>1</v>
      </c>
      <c r="H483" s="17">
        <v>0</v>
      </c>
    </row>
    <row r="484" spans="1:8" x14ac:dyDescent="0.2">
      <c r="A484" s="4" t="s">
        <v>288</v>
      </c>
      <c r="B484" s="4"/>
      <c r="C484" s="4" t="s">
        <v>778</v>
      </c>
      <c r="D484" s="240" t="s">
        <v>1361</v>
      </c>
      <c r="E484" s="241"/>
      <c r="F484" s="4" t="s">
        <v>1644</v>
      </c>
      <c r="G484" s="69">
        <v>1</v>
      </c>
      <c r="H484" s="17">
        <v>0</v>
      </c>
    </row>
    <row r="485" spans="1:8" x14ac:dyDescent="0.2">
      <c r="A485" s="4" t="s">
        <v>289</v>
      </c>
      <c r="B485" s="4"/>
      <c r="C485" s="4" t="s">
        <v>779</v>
      </c>
      <c r="D485" s="240" t="s">
        <v>1362</v>
      </c>
      <c r="E485" s="241"/>
      <c r="F485" s="4" t="s">
        <v>1644</v>
      </c>
      <c r="G485" s="69">
        <v>1</v>
      </c>
      <c r="H485" s="17">
        <v>0</v>
      </c>
    </row>
    <row r="486" spans="1:8" x14ac:dyDescent="0.2">
      <c r="A486" s="4" t="s">
        <v>290</v>
      </c>
      <c r="B486" s="4"/>
      <c r="C486" s="4" t="s">
        <v>780</v>
      </c>
      <c r="D486" s="240" t="s">
        <v>1363</v>
      </c>
      <c r="E486" s="241"/>
      <c r="F486" s="4" t="s">
        <v>1644</v>
      </c>
      <c r="G486" s="69">
        <v>1</v>
      </c>
      <c r="H486" s="17">
        <v>0</v>
      </c>
    </row>
    <row r="487" spans="1:8" x14ac:dyDescent="0.2">
      <c r="A487" s="4" t="s">
        <v>291</v>
      </c>
      <c r="B487" s="4"/>
      <c r="C487" s="4" t="s">
        <v>781</v>
      </c>
      <c r="D487" s="240" t="s">
        <v>1364</v>
      </c>
      <c r="E487" s="241"/>
      <c r="F487" s="4" t="s">
        <v>1644</v>
      </c>
      <c r="G487" s="69">
        <v>2</v>
      </c>
      <c r="H487" s="17">
        <v>0</v>
      </c>
    </row>
    <row r="488" spans="1:8" x14ac:dyDescent="0.2">
      <c r="A488" s="4" t="s">
        <v>292</v>
      </c>
      <c r="B488" s="4"/>
      <c r="C488" s="4" t="s">
        <v>782</v>
      </c>
      <c r="D488" s="240" t="s">
        <v>1365</v>
      </c>
      <c r="E488" s="241"/>
      <c r="F488" s="4" t="s">
        <v>1644</v>
      </c>
      <c r="G488" s="69">
        <v>1</v>
      </c>
      <c r="H488" s="17">
        <v>0</v>
      </c>
    </row>
    <row r="489" spans="1:8" x14ac:dyDescent="0.2">
      <c r="A489" s="4" t="s">
        <v>293</v>
      </c>
      <c r="B489" s="4"/>
      <c r="C489" s="4" t="s">
        <v>783</v>
      </c>
      <c r="D489" s="240" t="s">
        <v>1366</v>
      </c>
      <c r="E489" s="241"/>
      <c r="F489" s="4" t="s">
        <v>1644</v>
      </c>
      <c r="G489" s="69">
        <v>1</v>
      </c>
      <c r="H489" s="17">
        <v>0</v>
      </c>
    </row>
    <row r="490" spans="1:8" x14ac:dyDescent="0.2">
      <c r="A490" s="4" t="s">
        <v>294</v>
      </c>
      <c r="B490" s="4"/>
      <c r="C490" s="4" t="s">
        <v>784</v>
      </c>
      <c r="D490" s="240" t="s">
        <v>1367</v>
      </c>
      <c r="E490" s="241"/>
      <c r="F490" s="4" t="s">
        <v>1644</v>
      </c>
      <c r="G490" s="69">
        <v>1</v>
      </c>
      <c r="H490" s="17">
        <v>0</v>
      </c>
    </row>
    <row r="491" spans="1:8" x14ac:dyDescent="0.2">
      <c r="A491" s="4" t="s">
        <v>295</v>
      </c>
      <c r="B491" s="4"/>
      <c r="C491" s="4" t="s">
        <v>785</v>
      </c>
      <c r="D491" s="240" t="s">
        <v>1368</v>
      </c>
      <c r="E491" s="241"/>
      <c r="F491" s="4" t="s">
        <v>1644</v>
      </c>
      <c r="G491" s="69">
        <v>5</v>
      </c>
      <c r="H491" s="17">
        <v>0</v>
      </c>
    </row>
    <row r="492" spans="1:8" x14ac:dyDescent="0.2">
      <c r="A492" s="4" t="s">
        <v>296</v>
      </c>
      <c r="B492" s="4"/>
      <c r="C492" s="4" t="s">
        <v>786</v>
      </c>
      <c r="D492" s="240" t="s">
        <v>1369</v>
      </c>
      <c r="E492" s="241"/>
      <c r="F492" s="4" t="s">
        <v>1644</v>
      </c>
      <c r="G492" s="69">
        <v>2</v>
      </c>
      <c r="H492" s="17">
        <v>0</v>
      </c>
    </row>
    <row r="493" spans="1:8" x14ac:dyDescent="0.2">
      <c r="A493" s="4" t="s">
        <v>297</v>
      </c>
      <c r="B493" s="4"/>
      <c r="C493" s="4" t="s">
        <v>787</v>
      </c>
      <c r="D493" s="240" t="s">
        <v>1326</v>
      </c>
      <c r="E493" s="241"/>
      <c r="F493" s="4" t="s">
        <v>1644</v>
      </c>
      <c r="G493" s="69">
        <v>1</v>
      </c>
      <c r="H493" s="17">
        <v>0</v>
      </c>
    </row>
    <row r="494" spans="1:8" x14ac:dyDescent="0.2">
      <c r="A494" s="4" t="s">
        <v>298</v>
      </c>
      <c r="B494" s="4"/>
      <c r="C494" s="4" t="s">
        <v>788</v>
      </c>
      <c r="D494" s="240" t="s">
        <v>1370</v>
      </c>
      <c r="E494" s="241"/>
      <c r="F494" s="4" t="s">
        <v>1644</v>
      </c>
      <c r="G494" s="69">
        <v>1</v>
      </c>
      <c r="H494" s="17">
        <v>0</v>
      </c>
    </row>
    <row r="495" spans="1:8" x14ac:dyDescent="0.2">
      <c r="A495" s="4" t="s">
        <v>299</v>
      </c>
      <c r="B495" s="4"/>
      <c r="C495" s="4" t="s">
        <v>789</v>
      </c>
      <c r="D495" s="240" t="s">
        <v>1327</v>
      </c>
      <c r="E495" s="241"/>
      <c r="F495" s="4" t="s">
        <v>1644</v>
      </c>
      <c r="G495" s="69">
        <v>1</v>
      </c>
      <c r="H495" s="17">
        <v>0</v>
      </c>
    </row>
    <row r="496" spans="1:8" x14ac:dyDescent="0.2">
      <c r="A496" s="4" t="s">
        <v>300</v>
      </c>
      <c r="B496" s="4"/>
      <c r="C496" s="4" t="s">
        <v>790</v>
      </c>
      <c r="D496" s="240" t="s">
        <v>1371</v>
      </c>
      <c r="E496" s="241"/>
      <c r="F496" s="4" t="s">
        <v>1646</v>
      </c>
      <c r="G496" s="69">
        <v>6</v>
      </c>
      <c r="H496" s="17">
        <v>0</v>
      </c>
    </row>
    <row r="497" spans="1:8" x14ac:dyDescent="0.2">
      <c r="A497" s="4" t="s">
        <v>301</v>
      </c>
      <c r="B497" s="4"/>
      <c r="C497" s="4" t="s">
        <v>791</v>
      </c>
      <c r="D497" s="240" t="s">
        <v>1372</v>
      </c>
      <c r="E497" s="241"/>
      <c r="F497" s="4" t="s">
        <v>1646</v>
      </c>
      <c r="G497" s="69">
        <v>20</v>
      </c>
      <c r="H497" s="17">
        <v>0</v>
      </c>
    </row>
    <row r="498" spans="1:8" x14ac:dyDescent="0.2">
      <c r="A498" s="4" t="s">
        <v>302</v>
      </c>
      <c r="B498" s="4"/>
      <c r="C498" s="4" t="s">
        <v>792</v>
      </c>
      <c r="D498" s="240" t="s">
        <v>1373</v>
      </c>
      <c r="E498" s="241"/>
      <c r="F498" s="4" t="s">
        <v>1646</v>
      </c>
      <c r="G498" s="69">
        <v>2</v>
      </c>
      <c r="H498" s="17">
        <v>0</v>
      </c>
    </row>
    <row r="499" spans="1:8" x14ac:dyDescent="0.2">
      <c r="A499" s="4" t="s">
        <v>303</v>
      </c>
      <c r="B499" s="4"/>
      <c r="C499" s="4" t="s">
        <v>793</v>
      </c>
      <c r="D499" s="240" t="s">
        <v>1374</v>
      </c>
      <c r="E499" s="241"/>
      <c r="F499" s="4" t="s">
        <v>1646</v>
      </c>
      <c r="G499" s="69">
        <v>6</v>
      </c>
      <c r="H499" s="17">
        <v>0</v>
      </c>
    </row>
    <row r="500" spans="1:8" x14ac:dyDescent="0.2">
      <c r="A500" s="4" t="s">
        <v>304</v>
      </c>
      <c r="B500" s="4"/>
      <c r="C500" s="4" t="s">
        <v>794</v>
      </c>
      <c r="D500" s="240" t="s">
        <v>1375</v>
      </c>
      <c r="E500" s="241"/>
      <c r="F500" s="4" t="s">
        <v>1646</v>
      </c>
      <c r="G500" s="69">
        <v>6</v>
      </c>
      <c r="H500" s="17">
        <v>0</v>
      </c>
    </row>
    <row r="501" spans="1:8" x14ac:dyDescent="0.2">
      <c r="A501" s="4" t="s">
        <v>305</v>
      </c>
      <c r="B501" s="4"/>
      <c r="C501" s="4" t="s">
        <v>795</v>
      </c>
      <c r="D501" s="240" t="s">
        <v>1376</v>
      </c>
      <c r="E501" s="241"/>
      <c r="F501" s="4" t="s">
        <v>1646</v>
      </c>
      <c r="G501" s="69">
        <v>8</v>
      </c>
      <c r="H501" s="17">
        <v>0</v>
      </c>
    </row>
    <row r="502" spans="1:8" x14ac:dyDescent="0.2">
      <c r="A502" s="4" t="s">
        <v>306</v>
      </c>
      <c r="B502" s="4"/>
      <c r="C502" s="4" t="s">
        <v>796</v>
      </c>
      <c r="D502" s="240" t="s">
        <v>1377</v>
      </c>
      <c r="E502" s="241"/>
      <c r="F502" s="4" t="s">
        <v>1646</v>
      </c>
      <c r="G502" s="69">
        <v>26</v>
      </c>
      <c r="H502" s="17">
        <v>0</v>
      </c>
    </row>
    <row r="503" spans="1:8" x14ac:dyDescent="0.2">
      <c r="A503" s="4" t="s">
        <v>307</v>
      </c>
      <c r="B503" s="4"/>
      <c r="C503" s="4" t="s">
        <v>797</v>
      </c>
      <c r="D503" s="240" t="s">
        <v>1378</v>
      </c>
      <c r="E503" s="241"/>
      <c r="F503" s="4" t="s">
        <v>1646</v>
      </c>
      <c r="G503" s="69">
        <v>6</v>
      </c>
      <c r="H503" s="17">
        <v>0</v>
      </c>
    </row>
    <row r="504" spans="1:8" x14ac:dyDescent="0.2">
      <c r="A504" s="13"/>
      <c r="B504" s="13"/>
      <c r="C504" s="13" t="s">
        <v>798</v>
      </c>
      <c r="D504" s="244" t="s">
        <v>1379</v>
      </c>
      <c r="E504" s="245"/>
      <c r="F504" s="13"/>
      <c r="G504" s="70"/>
      <c r="H504" s="29"/>
    </row>
    <row r="505" spans="1:8" x14ac:dyDescent="0.2">
      <c r="A505" s="4" t="s">
        <v>308</v>
      </c>
      <c r="B505" s="4"/>
      <c r="C505" s="4" t="s">
        <v>799</v>
      </c>
      <c r="D505" s="240" t="s">
        <v>1380</v>
      </c>
      <c r="E505" s="241"/>
      <c r="F505" s="4" t="s">
        <v>1646</v>
      </c>
      <c r="G505" s="69">
        <v>1.5</v>
      </c>
      <c r="H505" s="17">
        <v>0</v>
      </c>
    </row>
    <row r="506" spans="1:8" x14ac:dyDescent="0.2">
      <c r="A506" s="4" t="s">
        <v>309</v>
      </c>
      <c r="B506" s="4"/>
      <c r="C506" s="4" t="s">
        <v>800</v>
      </c>
      <c r="D506" s="240" t="s">
        <v>1381</v>
      </c>
      <c r="E506" s="241"/>
      <c r="F506" s="4" t="s">
        <v>1644</v>
      </c>
      <c r="G506" s="69">
        <v>1</v>
      </c>
      <c r="H506" s="17">
        <v>0</v>
      </c>
    </row>
    <row r="507" spans="1:8" x14ac:dyDescent="0.2">
      <c r="A507" s="4" t="s">
        <v>310</v>
      </c>
      <c r="B507" s="4"/>
      <c r="C507" s="4" t="s">
        <v>801</v>
      </c>
      <c r="D507" s="240" t="s">
        <v>1382</v>
      </c>
      <c r="E507" s="241"/>
      <c r="F507" s="4" t="s">
        <v>1644</v>
      </c>
      <c r="G507" s="69">
        <v>1</v>
      </c>
      <c r="H507" s="17">
        <v>0</v>
      </c>
    </row>
    <row r="508" spans="1:8" x14ac:dyDescent="0.2">
      <c r="A508" s="4" t="s">
        <v>311</v>
      </c>
      <c r="B508" s="4"/>
      <c r="C508" s="4" t="s">
        <v>802</v>
      </c>
      <c r="D508" s="240" t="s">
        <v>1383</v>
      </c>
      <c r="E508" s="241"/>
      <c r="F508" s="4" t="s">
        <v>1644</v>
      </c>
      <c r="G508" s="69">
        <v>1</v>
      </c>
      <c r="H508" s="17">
        <v>0</v>
      </c>
    </row>
    <row r="509" spans="1:8" x14ac:dyDescent="0.2">
      <c r="A509" s="4" t="s">
        <v>312</v>
      </c>
      <c r="B509" s="4"/>
      <c r="C509" s="4" t="s">
        <v>803</v>
      </c>
      <c r="D509" s="240" t="s">
        <v>1384</v>
      </c>
      <c r="E509" s="241"/>
      <c r="F509" s="4" t="s">
        <v>1644</v>
      </c>
      <c r="G509" s="69">
        <v>1</v>
      </c>
      <c r="H509" s="17">
        <v>0</v>
      </c>
    </row>
    <row r="510" spans="1:8" x14ac:dyDescent="0.2">
      <c r="A510" s="4" t="s">
        <v>313</v>
      </c>
      <c r="B510" s="4"/>
      <c r="C510" s="4" t="s">
        <v>804</v>
      </c>
      <c r="D510" s="240" t="s">
        <v>1385</v>
      </c>
      <c r="E510" s="241"/>
      <c r="F510" s="4" t="s">
        <v>1646</v>
      </c>
      <c r="G510" s="69">
        <v>9</v>
      </c>
      <c r="H510" s="17">
        <v>0</v>
      </c>
    </row>
    <row r="511" spans="1:8" x14ac:dyDescent="0.2">
      <c r="A511" s="4" t="s">
        <v>314</v>
      </c>
      <c r="B511" s="4"/>
      <c r="C511" s="4" t="s">
        <v>805</v>
      </c>
      <c r="D511" s="240" t="s">
        <v>1386</v>
      </c>
      <c r="E511" s="241"/>
      <c r="F511" s="4" t="s">
        <v>1644</v>
      </c>
      <c r="G511" s="69">
        <v>1</v>
      </c>
      <c r="H511" s="17">
        <v>0</v>
      </c>
    </row>
    <row r="512" spans="1:8" x14ac:dyDescent="0.2">
      <c r="A512" s="4" t="s">
        <v>315</v>
      </c>
      <c r="B512" s="4"/>
      <c r="C512" s="4" t="s">
        <v>806</v>
      </c>
      <c r="D512" s="240" t="s">
        <v>1387</v>
      </c>
      <c r="E512" s="241"/>
      <c r="F512" s="4" t="s">
        <v>1644</v>
      </c>
      <c r="G512" s="69">
        <v>1</v>
      </c>
      <c r="H512" s="17">
        <v>0</v>
      </c>
    </row>
    <row r="513" spans="1:8" x14ac:dyDescent="0.2">
      <c r="A513" s="4" t="s">
        <v>316</v>
      </c>
      <c r="B513" s="4"/>
      <c r="C513" s="4" t="s">
        <v>807</v>
      </c>
      <c r="D513" s="240" t="s">
        <v>1388</v>
      </c>
      <c r="E513" s="241"/>
      <c r="F513" s="4" t="s">
        <v>1644</v>
      </c>
      <c r="G513" s="69">
        <v>1</v>
      </c>
      <c r="H513" s="17">
        <v>0</v>
      </c>
    </row>
    <row r="514" spans="1:8" x14ac:dyDescent="0.2">
      <c r="A514" s="4" t="s">
        <v>317</v>
      </c>
      <c r="B514" s="4"/>
      <c r="C514" s="4" t="s">
        <v>808</v>
      </c>
      <c r="D514" s="240" t="s">
        <v>1389</v>
      </c>
      <c r="E514" s="241"/>
      <c r="F514" s="4" t="s">
        <v>1644</v>
      </c>
      <c r="G514" s="69">
        <v>1</v>
      </c>
      <c r="H514" s="17">
        <v>0</v>
      </c>
    </row>
    <row r="515" spans="1:8" x14ac:dyDescent="0.2">
      <c r="A515" s="4" t="s">
        <v>318</v>
      </c>
      <c r="B515" s="4"/>
      <c r="C515" s="4" t="s">
        <v>809</v>
      </c>
      <c r="D515" s="240" t="s">
        <v>1380</v>
      </c>
      <c r="E515" s="241"/>
      <c r="F515" s="4" t="s">
        <v>1646</v>
      </c>
      <c r="G515" s="69">
        <v>1.5</v>
      </c>
      <c r="H515" s="17">
        <v>0</v>
      </c>
    </row>
    <row r="516" spans="1:8" x14ac:dyDescent="0.2">
      <c r="A516" s="4" t="s">
        <v>319</v>
      </c>
      <c r="B516" s="4"/>
      <c r="C516" s="4" t="s">
        <v>810</v>
      </c>
      <c r="D516" s="240" t="s">
        <v>1390</v>
      </c>
      <c r="E516" s="241"/>
      <c r="F516" s="4" t="s">
        <v>1644</v>
      </c>
      <c r="G516" s="69">
        <v>1</v>
      </c>
      <c r="H516" s="17">
        <v>0</v>
      </c>
    </row>
    <row r="517" spans="1:8" x14ac:dyDescent="0.2">
      <c r="A517" s="4" t="s">
        <v>320</v>
      </c>
      <c r="B517" s="4"/>
      <c r="C517" s="4" t="s">
        <v>811</v>
      </c>
      <c r="D517" s="240" t="s">
        <v>1391</v>
      </c>
      <c r="E517" s="241"/>
      <c r="F517" s="4" t="s">
        <v>1644</v>
      </c>
      <c r="G517" s="69">
        <v>3</v>
      </c>
      <c r="H517" s="17">
        <v>0</v>
      </c>
    </row>
    <row r="518" spans="1:8" x14ac:dyDescent="0.2">
      <c r="A518" s="4" t="s">
        <v>321</v>
      </c>
      <c r="B518" s="4"/>
      <c r="C518" s="4" t="s">
        <v>812</v>
      </c>
      <c r="D518" s="240" t="s">
        <v>1388</v>
      </c>
      <c r="E518" s="241"/>
      <c r="F518" s="4" t="s">
        <v>1644</v>
      </c>
      <c r="G518" s="69">
        <v>1</v>
      </c>
      <c r="H518" s="17">
        <v>0</v>
      </c>
    </row>
    <row r="519" spans="1:8" x14ac:dyDescent="0.2">
      <c r="A519" s="4" t="s">
        <v>322</v>
      </c>
      <c r="B519" s="4"/>
      <c r="C519" s="4" t="s">
        <v>813</v>
      </c>
      <c r="D519" s="240" t="s">
        <v>1383</v>
      </c>
      <c r="E519" s="241"/>
      <c r="F519" s="4" t="s">
        <v>1644</v>
      </c>
      <c r="G519" s="69">
        <v>1</v>
      </c>
      <c r="H519" s="17">
        <v>0</v>
      </c>
    </row>
    <row r="520" spans="1:8" x14ac:dyDescent="0.2">
      <c r="A520" s="4" t="s">
        <v>323</v>
      </c>
      <c r="B520" s="4"/>
      <c r="C520" s="4" t="s">
        <v>814</v>
      </c>
      <c r="D520" s="240" t="s">
        <v>1385</v>
      </c>
      <c r="E520" s="241"/>
      <c r="F520" s="4" t="s">
        <v>1646</v>
      </c>
      <c r="G520" s="69">
        <v>9</v>
      </c>
      <c r="H520" s="17">
        <v>0</v>
      </c>
    </row>
    <row r="521" spans="1:8" x14ac:dyDescent="0.2">
      <c r="A521" s="4" t="s">
        <v>324</v>
      </c>
      <c r="B521" s="4"/>
      <c r="C521" s="4" t="s">
        <v>815</v>
      </c>
      <c r="D521" s="240" t="s">
        <v>1386</v>
      </c>
      <c r="E521" s="241"/>
      <c r="F521" s="4" t="s">
        <v>1644</v>
      </c>
      <c r="G521" s="69">
        <v>1</v>
      </c>
      <c r="H521" s="17">
        <v>0</v>
      </c>
    </row>
    <row r="522" spans="1:8" x14ac:dyDescent="0.2">
      <c r="A522" s="4" t="s">
        <v>325</v>
      </c>
      <c r="B522" s="4"/>
      <c r="C522" s="4" t="s">
        <v>816</v>
      </c>
      <c r="D522" s="240" t="s">
        <v>1387</v>
      </c>
      <c r="E522" s="241"/>
      <c r="F522" s="4" t="s">
        <v>1644</v>
      </c>
      <c r="G522" s="69">
        <v>1</v>
      </c>
      <c r="H522" s="17">
        <v>0</v>
      </c>
    </row>
    <row r="523" spans="1:8" x14ac:dyDescent="0.2">
      <c r="A523" s="4" t="s">
        <v>326</v>
      </c>
      <c r="B523" s="4"/>
      <c r="C523" s="4" t="s">
        <v>817</v>
      </c>
      <c r="D523" s="240" t="s">
        <v>1388</v>
      </c>
      <c r="E523" s="241"/>
      <c r="F523" s="4" t="s">
        <v>1644</v>
      </c>
      <c r="G523" s="69">
        <v>1</v>
      </c>
      <c r="H523" s="17">
        <v>0</v>
      </c>
    </row>
    <row r="524" spans="1:8" x14ac:dyDescent="0.2">
      <c r="A524" s="4" t="s">
        <v>327</v>
      </c>
      <c r="B524" s="4"/>
      <c r="C524" s="4" t="s">
        <v>818</v>
      </c>
      <c r="D524" s="240" t="s">
        <v>1389</v>
      </c>
      <c r="E524" s="241"/>
      <c r="F524" s="4" t="s">
        <v>1644</v>
      </c>
      <c r="G524" s="69">
        <v>1</v>
      </c>
      <c r="H524" s="17">
        <v>0</v>
      </c>
    </row>
    <row r="525" spans="1:8" x14ac:dyDescent="0.2">
      <c r="A525" s="4" t="s">
        <v>328</v>
      </c>
      <c r="B525" s="4"/>
      <c r="C525" s="4" t="s">
        <v>819</v>
      </c>
      <c r="D525" s="240" t="s">
        <v>1392</v>
      </c>
      <c r="E525" s="241"/>
      <c r="F525" s="4" t="s">
        <v>1644</v>
      </c>
      <c r="G525" s="69">
        <v>2</v>
      </c>
      <c r="H525" s="17">
        <v>0</v>
      </c>
    </row>
    <row r="526" spans="1:8" x14ac:dyDescent="0.2">
      <c r="A526" s="4" t="s">
        <v>329</v>
      </c>
      <c r="B526" s="4"/>
      <c r="C526" s="4" t="s">
        <v>820</v>
      </c>
      <c r="D526" s="240" t="s">
        <v>1393</v>
      </c>
      <c r="E526" s="241"/>
      <c r="F526" s="4" t="s">
        <v>1644</v>
      </c>
      <c r="G526" s="69">
        <v>1</v>
      </c>
      <c r="H526" s="17">
        <v>0</v>
      </c>
    </row>
    <row r="527" spans="1:8" x14ac:dyDescent="0.2">
      <c r="A527" s="4" t="s">
        <v>330</v>
      </c>
      <c r="B527" s="4"/>
      <c r="C527" s="4" t="s">
        <v>821</v>
      </c>
      <c r="D527" s="240" t="s">
        <v>1394</v>
      </c>
      <c r="E527" s="241"/>
      <c r="F527" s="4" t="s">
        <v>1644</v>
      </c>
      <c r="G527" s="69">
        <v>1</v>
      </c>
      <c r="H527" s="17">
        <v>0</v>
      </c>
    </row>
    <row r="528" spans="1:8" x14ac:dyDescent="0.2">
      <c r="A528" s="13"/>
      <c r="B528" s="13"/>
      <c r="C528" s="13" t="s">
        <v>822</v>
      </c>
      <c r="D528" s="244" t="s">
        <v>1395</v>
      </c>
      <c r="E528" s="245"/>
      <c r="F528" s="13"/>
      <c r="G528" s="70"/>
      <c r="H528" s="29"/>
    </row>
    <row r="529" spans="1:8" x14ac:dyDescent="0.2">
      <c r="A529" s="4" t="s">
        <v>331</v>
      </c>
      <c r="B529" s="4"/>
      <c r="C529" s="4" t="s">
        <v>117</v>
      </c>
      <c r="D529" s="240" t="s">
        <v>1396</v>
      </c>
      <c r="E529" s="241"/>
      <c r="F529" s="4" t="s">
        <v>1652</v>
      </c>
      <c r="G529" s="69">
        <v>1</v>
      </c>
      <c r="H529" s="17">
        <v>0</v>
      </c>
    </row>
    <row r="530" spans="1:8" x14ac:dyDescent="0.2">
      <c r="A530" s="4" t="s">
        <v>332</v>
      </c>
      <c r="B530" s="4"/>
      <c r="C530" s="4" t="s">
        <v>118</v>
      </c>
      <c r="D530" s="240" t="s">
        <v>1397</v>
      </c>
      <c r="E530" s="241"/>
      <c r="F530" s="4" t="s">
        <v>1652</v>
      </c>
      <c r="G530" s="69">
        <v>1</v>
      </c>
      <c r="H530" s="17">
        <v>0</v>
      </c>
    </row>
    <row r="531" spans="1:8" x14ac:dyDescent="0.2">
      <c r="A531" s="4" t="s">
        <v>333</v>
      </c>
      <c r="B531" s="4"/>
      <c r="C531" s="4" t="s">
        <v>119</v>
      </c>
      <c r="D531" s="240" t="s">
        <v>1398</v>
      </c>
      <c r="E531" s="241"/>
      <c r="F531" s="4" t="s">
        <v>1652</v>
      </c>
      <c r="G531" s="69">
        <v>1</v>
      </c>
      <c r="H531" s="17">
        <v>0</v>
      </c>
    </row>
    <row r="532" spans="1:8" x14ac:dyDescent="0.2">
      <c r="A532" s="4" t="s">
        <v>334</v>
      </c>
      <c r="B532" s="4"/>
      <c r="C532" s="4" t="s">
        <v>120</v>
      </c>
      <c r="D532" s="240" t="s">
        <v>1399</v>
      </c>
      <c r="E532" s="241"/>
      <c r="F532" s="4" t="s">
        <v>1652</v>
      </c>
      <c r="G532" s="69">
        <v>1</v>
      </c>
      <c r="H532" s="17">
        <v>0</v>
      </c>
    </row>
    <row r="533" spans="1:8" x14ac:dyDescent="0.2">
      <c r="A533" s="4" t="s">
        <v>335</v>
      </c>
      <c r="B533" s="4"/>
      <c r="C533" s="4" t="s">
        <v>121</v>
      </c>
      <c r="D533" s="240" t="s">
        <v>1400</v>
      </c>
      <c r="E533" s="241"/>
      <c r="F533" s="4" t="s">
        <v>1652</v>
      </c>
      <c r="G533" s="69">
        <v>1</v>
      </c>
      <c r="H533" s="17">
        <v>0</v>
      </c>
    </row>
    <row r="534" spans="1:8" x14ac:dyDescent="0.2">
      <c r="A534" s="4" t="s">
        <v>336</v>
      </c>
      <c r="B534" s="4"/>
      <c r="C534" s="4" t="s">
        <v>122</v>
      </c>
      <c r="D534" s="240" t="s">
        <v>1401</v>
      </c>
      <c r="E534" s="241"/>
      <c r="F534" s="4" t="s">
        <v>1652</v>
      </c>
      <c r="G534" s="69">
        <v>1</v>
      </c>
      <c r="H534" s="17">
        <v>0</v>
      </c>
    </row>
    <row r="535" spans="1:8" x14ac:dyDescent="0.2">
      <c r="A535" s="4" t="s">
        <v>337</v>
      </c>
      <c r="B535" s="4"/>
      <c r="C535" s="4" t="s">
        <v>123</v>
      </c>
      <c r="D535" s="240" t="s">
        <v>1402</v>
      </c>
      <c r="E535" s="241"/>
      <c r="F535" s="4" t="s">
        <v>1652</v>
      </c>
      <c r="G535" s="69">
        <v>1</v>
      </c>
      <c r="H535" s="17">
        <v>0</v>
      </c>
    </row>
    <row r="536" spans="1:8" x14ac:dyDescent="0.2">
      <c r="A536" s="4" t="s">
        <v>338</v>
      </c>
      <c r="B536" s="4"/>
      <c r="C536" s="4" t="s">
        <v>124</v>
      </c>
      <c r="D536" s="240" t="s">
        <v>1403</v>
      </c>
      <c r="E536" s="241"/>
      <c r="F536" s="4" t="s">
        <v>1652</v>
      </c>
      <c r="G536" s="69">
        <v>1</v>
      </c>
      <c r="H536" s="17">
        <v>0</v>
      </c>
    </row>
    <row r="537" spans="1:8" x14ac:dyDescent="0.2">
      <c r="A537" s="4" t="s">
        <v>339</v>
      </c>
      <c r="B537" s="4"/>
      <c r="C537" s="4" t="s">
        <v>125</v>
      </c>
      <c r="D537" s="240" t="s">
        <v>1404</v>
      </c>
      <c r="E537" s="241"/>
      <c r="F537" s="4" t="s">
        <v>1647</v>
      </c>
      <c r="G537" s="69">
        <v>450</v>
      </c>
      <c r="H537" s="17">
        <v>0</v>
      </c>
    </row>
    <row r="538" spans="1:8" x14ac:dyDescent="0.2">
      <c r="A538" s="4" t="s">
        <v>340</v>
      </c>
      <c r="B538" s="4"/>
      <c r="C538" s="4" t="s">
        <v>823</v>
      </c>
      <c r="D538" s="240" t="s">
        <v>1405</v>
      </c>
      <c r="E538" s="241"/>
      <c r="F538" s="4" t="s">
        <v>1647</v>
      </c>
      <c r="G538" s="69">
        <v>180</v>
      </c>
      <c r="H538" s="17">
        <v>0</v>
      </c>
    </row>
    <row r="539" spans="1:8" x14ac:dyDescent="0.2">
      <c r="A539" s="4" t="s">
        <v>341</v>
      </c>
      <c r="B539" s="4"/>
      <c r="C539" s="4" t="s">
        <v>824</v>
      </c>
      <c r="D539" s="240" t="s">
        <v>1406</v>
      </c>
      <c r="E539" s="241"/>
      <c r="F539" s="4" t="s">
        <v>1652</v>
      </c>
      <c r="G539" s="69">
        <v>3</v>
      </c>
      <c r="H539" s="17">
        <v>0</v>
      </c>
    </row>
    <row r="540" spans="1:8" x14ac:dyDescent="0.2">
      <c r="A540" s="4" t="s">
        <v>342</v>
      </c>
      <c r="B540" s="4"/>
      <c r="C540" s="4" t="s">
        <v>825</v>
      </c>
      <c r="D540" s="240" t="s">
        <v>1407</v>
      </c>
      <c r="E540" s="241"/>
      <c r="F540" s="4" t="s">
        <v>1644</v>
      </c>
      <c r="G540" s="69">
        <v>3</v>
      </c>
      <c r="H540" s="17">
        <v>0</v>
      </c>
    </row>
    <row r="541" spans="1:8" x14ac:dyDescent="0.2">
      <c r="A541" s="4" t="s">
        <v>343</v>
      </c>
      <c r="B541" s="4"/>
      <c r="C541" s="4" t="s">
        <v>826</v>
      </c>
      <c r="D541" s="240" t="s">
        <v>1408</v>
      </c>
      <c r="E541" s="241"/>
      <c r="F541" s="4" t="s">
        <v>1644</v>
      </c>
      <c r="G541" s="69">
        <v>3</v>
      </c>
      <c r="H541" s="17">
        <v>0</v>
      </c>
    </row>
    <row r="542" spans="1:8" x14ac:dyDescent="0.2">
      <c r="A542" s="4" t="s">
        <v>344</v>
      </c>
      <c r="B542" s="4"/>
      <c r="C542" s="4" t="s">
        <v>827</v>
      </c>
      <c r="D542" s="240" t="s">
        <v>1409</v>
      </c>
      <c r="E542" s="241"/>
      <c r="F542" s="4" t="s">
        <v>1644</v>
      </c>
      <c r="G542" s="69">
        <v>3</v>
      </c>
      <c r="H542" s="17">
        <v>0</v>
      </c>
    </row>
    <row r="543" spans="1:8" x14ac:dyDescent="0.2">
      <c r="A543" s="4" t="s">
        <v>345</v>
      </c>
      <c r="B543" s="4"/>
      <c r="C543" s="4" t="s">
        <v>828</v>
      </c>
      <c r="D543" s="240" t="s">
        <v>1410</v>
      </c>
      <c r="E543" s="241"/>
      <c r="F543" s="4" t="s">
        <v>1652</v>
      </c>
      <c r="G543" s="69">
        <v>3</v>
      </c>
      <c r="H543" s="17">
        <v>0</v>
      </c>
    </row>
    <row r="544" spans="1:8" x14ac:dyDescent="0.2">
      <c r="A544" s="4" t="s">
        <v>346</v>
      </c>
      <c r="B544" s="4"/>
      <c r="C544" s="4" t="s">
        <v>829</v>
      </c>
      <c r="D544" s="240" t="s">
        <v>1411</v>
      </c>
      <c r="E544" s="241"/>
      <c r="F544" s="4" t="s">
        <v>1652</v>
      </c>
      <c r="G544" s="69">
        <v>3</v>
      </c>
      <c r="H544" s="17">
        <v>0</v>
      </c>
    </row>
    <row r="545" spans="1:8" x14ac:dyDescent="0.2">
      <c r="A545" s="4" t="s">
        <v>347</v>
      </c>
      <c r="B545" s="4"/>
      <c r="C545" s="4" t="s">
        <v>830</v>
      </c>
      <c r="D545" s="240" t="s">
        <v>1412</v>
      </c>
      <c r="E545" s="241"/>
      <c r="F545" s="4" t="s">
        <v>1647</v>
      </c>
      <c r="G545" s="69">
        <v>7</v>
      </c>
      <c r="H545" s="17">
        <v>0</v>
      </c>
    </row>
    <row r="546" spans="1:8" x14ac:dyDescent="0.2">
      <c r="A546" s="4" t="s">
        <v>348</v>
      </c>
      <c r="B546" s="4"/>
      <c r="C546" s="4" t="s">
        <v>831</v>
      </c>
      <c r="D546" s="240" t="s">
        <v>1413</v>
      </c>
      <c r="E546" s="241"/>
      <c r="F546" s="4" t="s">
        <v>1652</v>
      </c>
      <c r="G546" s="69">
        <v>1</v>
      </c>
      <c r="H546" s="17">
        <v>0</v>
      </c>
    </row>
    <row r="547" spans="1:8" x14ac:dyDescent="0.2">
      <c r="A547" s="4" t="s">
        <v>349</v>
      </c>
      <c r="B547" s="4"/>
      <c r="C547" s="4" t="s">
        <v>832</v>
      </c>
      <c r="D547" s="240" t="s">
        <v>1414</v>
      </c>
      <c r="E547" s="241"/>
      <c r="F547" s="4" t="s">
        <v>1652</v>
      </c>
      <c r="G547" s="69">
        <v>1</v>
      </c>
      <c r="H547" s="17">
        <v>0</v>
      </c>
    </row>
    <row r="548" spans="1:8" x14ac:dyDescent="0.2">
      <c r="A548" s="4" t="s">
        <v>350</v>
      </c>
      <c r="B548" s="4"/>
      <c r="C548" s="4" t="s">
        <v>833</v>
      </c>
      <c r="D548" s="240" t="s">
        <v>1415</v>
      </c>
      <c r="E548" s="241"/>
      <c r="F548" s="4" t="s">
        <v>1652</v>
      </c>
      <c r="G548" s="69">
        <v>1</v>
      </c>
      <c r="H548" s="17">
        <v>0</v>
      </c>
    </row>
    <row r="549" spans="1:8" x14ac:dyDescent="0.2">
      <c r="A549" s="4" t="s">
        <v>351</v>
      </c>
      <c r="B549" s="4"/>
      <c r="C549" s="4" t="s">
        <v>834</v>
      </c>
      <c r="D549" s="240" t="s">
        <v>1416</v>
      </c>
      <c r="E549" s="241"/>
      <c r="F549" s="4" t="s">
        <v>1652</v>
      </c>
      <c r="G549" s="69">
        <v>6</v>
      </c>
      <c r="H549" s="17">
        <v>0</v>
      </c>
    </row>
    <row r="550" spans="1:8" x14ac:dyDescent="0.2">
      <c r="A550" s="4" t="s">
        <v>352</v>
      </c>
      <c r="B550" s="4"/>
      <c r="C550" s="4" t="s">
        <v>835</v>
      </c>
      <c r="D550" s="240" t="s">
        <v>1417</v>
      </c>
      <c r="E550" s="241"/>
      <c r="F550" s="4" t="s">
        <v>1653</v>
      </c>
      <c r="G550" s="69">
        <v>6</v>
      </c>
      <c r="H550" s="17">
        <v>0</v>
      </c>
    </row>
    <row r="551" spans="1:8" x14ac:dyDescent="0.2">
      <c r="A551" s="4" t="s">
        <v>353</v>
      </c>
      <c r="B551" s="4"/>
      <c r="C551" s="4" t="s">
        <v>836</v>
      </c>
      <c r="D551" s="240" t="s">
        <v>1418</v>
      </c>
      <c r="E551" s="241"/>
      <c r="F551" s="4" t="s">
        <v>1652</v>
      </c>
      <c r="G551" s="69">
        <v>1</v>
      </c>
      <c r="H551" s="17">
        <v>0</v>
      </c>
    </row>
    <row r="552" spans="1:8" x14ac:dyDescent="0.2">
      <c r="A552" s="4" t="s">
        <v>354</v>
      </c>
      <c r="B552" s="4"/>
      <c r="C552" s="4" t="s">
        <v>837</v>
      </c>
      <c r="D552" s="240" t="s">
        <v>1419</v>
      </c>
      <c r="E552" s="241"/>
      <c r="F552" s="4" t="s">
        <v>1652</v>
      </c>
      <c r="G552" s="69">
        <v>1</v>
      </c>
      <c r="H552" s="17">
        <v>0</v>
      </c>
    </row>
    <row r="553" spans="1:8" x14ac:dyDescent="0.2">
      <c r="A553" s="4" t="s">
        <v>355</v>
      </c>
      <c r="B553" s="4"/>
      <c r="C553" s="4" t="s">
        <v>838</v>
      </c>
      <c r="D553" s="240" t="s">
        <v>1420</v>
      </c>
      <c r="E553" s="241"/>
      <c r="F553" s="4" t="s">
        <v>1652</v>
      </c>
      <c r="G553" s="69">
        <v>1</v>
      </c>
      <c r="H553" s="17">
        <v>0</v>
      </c>
    </row>
    <row r="554" spans="1:8" x14ac:dyDescent="0.2">
      <c r="A554" s="4" t="s">
        <v>356</v>
      </c>
      <c r="B554" s="4"/>
      <c r="C554" s="4" t="s">
        <v>839</v>
      </c>
      <c r="D554" s="240" t="s">
        <v>1421</v>
      </c>
      <c r="E554" s="241"/>
      <c r="F554" s="4" t="s">
        <v>1652</v>
      </c>
      <c r="G554" s="69">
        <v>1</v>
      </c>
      <c r="H554" s="17">
        <v>0</v>
      </c>
    </row>
    <row r="555" spans="1:8" x14ac:dyDescent="0.2">
      <c r="A555" s="4" t="s">
        <v>357</v>
      </c>
      <c r="B555" s="4"/>
      <c r="C555" s="4" t="s">
        <v>840</v>
      </c>
      <c r="D555" s="240" t="s">
        <v>1422</v>
      </c>
      <c r="E555" s="241"/>
      <c r="F555" s="4" t="s">
        <v>1652</v>
      </c>
      <c r="G555" s="69">
        <v>1</v>
      </c>
      <c r="H555" s="17">
        <v>0</v>
      </c>
    </row>
    <row r="556" spans="1:8" x14ac:dyDescent="0.2">
      <c r="A556" s="4" t="s">
        <v>358</v>
      </c>
      <c r="B556" s="4"/>
      <c r="C556" s="4" t="s">
        <v>841</v>
      </c>
      <c r="D556" s="240" t="s">
        <v>1423</v>
      </c>
      <c r="E556" s="241"/>
      <c r="F556" s="4" t="s">
        <v>1652</v>
      </c>
      <c r="G556" s="69">
        <v>1</v>
      </c>
      <c r="H556" s="17">
        <v>0</v>
      </c>
    </row>
    <row r="557" spans="1:8" x14ac:dyDescent="0.2">
      <c r="A557" s="13"/>
      <c r="B557" s="13"/>
      <c r="C557" s="13" t="s">
        <v>842</v>
      </c>
      <c r="D557" s="244" t="s">
        <v>1424</v>
      </c>
      <c r="E557" s="245"/>
      <c r="F557" s="13"/>
      <c r="G557" s="70"/>
      <c r="H557" s="29"/>
    </row>
    <row r="558" spans="1:8" x14ac:dyDescent="0.2">
      <c r="A558" s="4" t="s">
        <v>359</v>
      </c>
      <c r="B558" s="4"/>
      <c r="C558" s="4" t="s">
        <v>127</v>
      </c>
      <c r="D558" s="240" t="s">
        <v>1425</v>
      </c>
      <c r="E558" s="241"/>
      <c r="F558" s="4" t="s">
        <v>1644</v>
      </c>
      <c r="G558" s="69">
        <v>6</v>
      </c>
      <c r="H558" s="17">
        <v>0</v>
      </c>
    </row>
    <row r="559" spans="1:8" x14ac:dyDescent="0.2">
      <c r="A559" s="4" t="s">
        <v>360</v>
      </c>
      <c r="B559" s="4"/>
      <c r="C559" s="4" t="s">
        <v>128</v>
      </c>
      <c r="D559" s="240" t="s">
        <v>1426</v>
      </c>
      <c r="E559" s="241"/>
      <c r="F559" s="4" t="s">
        <v>1646</v>
      </c>
      <c r="G559" s="69">
        <v>80</v>
      </c>
      <c r="H559" s="17">
        <v>0</v>
      </c>
    </row>
    <row r="560" spans="1:8" x14ac:dyDescent="0.2">
      <c r="A560" s="4" t="s">
        <v>361</v>
      </c>
      <c r="B560" s="4"/>
      <c r="C560" s="4" t="s">
        <v>129</v>
      </c>
      <c r="D560" s="240" t="s">
        <v>1427</v>
      </c>
      <c r="E560" s="241"/>
      <c r="F560" s="4" t="s">
        <v>1644</v>
      </c>
      <c r="G560" s="69">
        <v>6</v>
      </c>
      <c r="H560" s="17">
        <v>0</v>
      </c>
    </row>
    <row r="561" spans="1:8" x14ac:dyDescent="0.2">
      <c r="A561" s="4" t="s">
        <v>362</v>
      </c>
      <c r="B561" s="4"/>
      <c r="C561" s="4" t="s">
        <v>130</v>
      </c>
      <c r="D561" s="240" t="s">
        <v>1428</v>
      </c>
      <c r="E561" s="241"/>
      <c r="F561" s="4" t="s">
        <v>1646</v>
      </c>
      <c r="G561" s="69">
        <v>80</v>
      </c>
      <c r="H561" s="17">
        <v>0</v>
      </c>
    </row>
    <row r="562" spans="1:8" x14ac:dyDescent="0.2">
      <c r="A562" s="4" t="s">
        <v>363</v>
      </c>
      <c r="B562" s="4"/>
      <c r="C562" s="4" t="s">
        <v>131</v>
      </c>
      <c r="D562" s="240" t="s">
        <v>1429</v>
      </c>
      <c r="E562" s="241"/>
      <c r="F562" s="4" t="s">
        <v>1646</v>
      </c>
      <c r="G562" s="69">
        <v>80</v>
      </c>
      <c r="H562" s="17">
        <v>0</v>
      </c>
    </row>
    <row r="563" spans="1:8" x14ac:dyDescent="0.2">
      <c r="A563" s="4" t="s">
        <v>364</v>
      </c>
      <c r="B563" s="4"/>
      <c r="C563" s="4" t="s">
        <v>132</v>
      </c>
      <c r="D563" s="240" t="s">
        <v>1430</v>
      </c>
      <c r="E563" s="241"/>
      <c r="F563" s="4" t="s">
        <v>1644</v>
      </c>
      <c r="G563" s="69">
        <v>1</v>
      </c>
      <c r="H563" s="17">
        <v>0</v>
      </c>
    </row>
    <row r="564" spans="1:8" x14ac:dyDescent="0.2">
      <c r="A564" s="4" t="s">
        <v>365</v>
      </c>
      <c r="B564" s="4"/>
      <c r="C564" s="4" t="s">
        <v>133</v>
      </c>
      <c r="D564" s="240" t="s">
        <v>1431</v>
      </c>
      <c r="E564" s="241"/>
      <c r="F564" s="4" t="s">
        <v>1646</v>
      </c>
      <c r="G564" s="69">
        <v>15</v>
      </c>
      <c r="H564" s="17">
        <v>0</v>
      </c>
    </row>
    <row r="565" spans="1:8" x14ac:dyDescent="0.2">
      <c r="A565" s="4" t="s">
        <v>366</v>
      </c>
      <c r="B565" s="4"/>
      <c r="C565" s="4" t="s">
        <v>134</v>
      </c>
      <c r="D565" s="240" t="s">
        <v>1432</v>
      </c>
      <c r="E565" s="241"/>
      <c r="F565" s="4" t="s">
        <v>1644</v>
      </c>
      <c r="G565" s="69">
        <v>4</v>
      </c>
      <c r="H565" s="17">
        <v>0</v>
      </c>
    </row>
    <row r="566" spans="1:8" x14ac:dyDescent="0.2">
      <c r="A566" s="4" t="s">
        <v>367</v>
      </c>
      <c r="B566" s="4"/>
      <c r="C566" s="4" t="s">
        <v>135</v>
      </c>
      <c r="D566" s="240" t="s">
        <v>1433</v>
      </c>
      <c r="E566" s="241"/>
      <c r="F566" s="4" t="s">
        <v>1646</v>
      </c>
      <c r="G566" s="69">
        <v>15</v>
      </c>
      <c r="H566" s="17">
        <v>0</v>
      </c>
    </row>
    <row r="567" spans="1:8" x14ac:dyDescent="0.2">
      <c r="A567" s="4" t="s">
        <v>368</v>
      </c>
      <c r="B567" s="4"/>
      <c r="C567" s="4" t="s">
        <v>843</v>
      </c>
      <c r="D567" s="240" t="s">
        <v>1434</v>
      </c>
      <c r="E567" s="241"/>
      <c r="F567" s="4" t="s">
        <v>1646</v>
      </c>
      <c r="G567" s="69">
        <v>15</v>
      </c>
      <c r="H567" s="17">
        <v>0</v>
      </c>
    </row>
    <row r="568" spans="1:8" x14ac:dyDescent="0.2">
      <c r="A568" s="4" t="s">
        <v>369</v>
      </c>
      <c r="B568" s="4"/>
      <c r="C568" s="4" t="s">
        <v>844</v>
      </c>
      <c r="D568" s="240" t="s">
        <v>1435</v>
      </c>
      <c r="E568" s="241"/>
      <c r="F568" s="4" t="s">
        <v>1652</v>
      </c>
      <c r="G568" s="69">
        <v>1</v>
      </c>
      <c r="H568" s="17">
        <v>0</v>
      </c>
    </row>
    <row r="569" spans="1:8" x14ac:dyDescent="0.2">
      <c r="A569" s="4" t="s">
        <v>370</v>
      </c>
      <c r="B569" s="4"/>
      <c r="C569" s="4" t="s">
        <v>845</v>
      </c>
      <c r="D569" s="240" t="s">
        <v>1436</v>
      </c>
      <c r="E569" s="241"/>
      <c r="F569" s="4" t="s">
        <v>1652</v>
      </c>
      <c r="G569" s="69">
        <v>1</v>
      </c>
      <c r="H569" s="17">
        <v>0</v>
      </c>
    </row>
    <row r="570" spans="1:8" x14ac:dyDescent="0.2">
      <c r="A570" s="4" t="s">
        <v>371</v>
      </c>
      <c r="B570" s="4"/>
      <c r="C570" s="4" t="s">
        <v>846</v>
      </c>
      <c r="D570" s="240" t="s">
        <v>1437</v>
      </c>
      <c r="E570" s="241"/>
      <c r="F570" s="4" t="s">
        <v>1654</v>
      </c>
      <c r="G570" s="69">
        <v>340</v>
      </c>
      <c r="H570" s="17">
        <v>0</v>
      </c>
    </row>
    <row r="571" spans="1:8" x14ac:dyDescent="0.2">
      <c r="A571" s="4" t="s">
        <v>372</v>
      </c>
      <c r="B571" s="4"/>
      <c r="C571" s="4" t="s">
        <v>847</v>
      </c>
      <c r="D571" s="240" t="s">
        <v>1438</v>
      </c>
      <c r="E571" s="241"/>
      <c r="F571" s="4" t="s">
        <v>1652</v>
      </c>
      <c r="G571" s="69">
        <v>1</v>
      </c>
      <c r="H571" s="17">
        <v>0</v>
      </c>
    </row>
    <row r="572" spans="1:8" x14ac:dyDescent="0.2">
      <c r="A572" s="4" t="s">
        <v>373</v>
      </c>
      <c r="B572" s="4"/>
      <c r="C572" s="4" t="s">
        <v>848</v>
      </c>
      <c r="D572" s="240" t="s">
        <v>1439</v>
      </c>
      <c r="E572" s="241"/>
      <c r="F572" s="4" t="s">
        <v>1652</v>
      </c>
      <c r="G572" s="69">
        <v>1</v>
      </c>
      <c r="H572" s="17">
        <v>0</v>
      </c>
    </row>
    <row r="573" spans="1:8" x14ac:dyDescent="0.2">
      <c r="A573" s="4" t="s">
        <v>374</v>
      </c>
      <c r="B573" s="4"/>
      <c r="C573" s="4" t="s">
        <v>849</v>
      </c>
      <c r="D573" s="240" t="s">
        <v>1440</v>
      </c>
      <c r="E573" s="241"/>
      <c r="F573" s="4" t="s">
        <v>1652</v>
      </c>
      <c r="G573" s="69">
        <v>1</v>
      </c>
      <c r="H573" s="17">
        <v>0</v>
      </c>
    </row>
    <row r="574" spans="1:8" x14ac:dyDescent="0.2">
      <c r="A574" s="4" t="s">
        <v>375</v>
      </c>
      <c r="B574" s="4"/>
      <c r="C574" s="4" t="s">
        <v>850</v>
      </c>
      <c r="D574" s="240" t="s">
        <v>1441</v>
      </c>
      <c r="E574" s="241"/>
      <c r="F574" s="4" t="s">
        <v>1652</v>
      </c>
      <c r="G574" s="69">
        <v>1</v>
      </c>
      <c r="H574" s="17">
        <v>0</v>
      </c>
    </row>
    <row r="575" spans="1:8" x14ac:dyDescent="0.2">
      <c r="A575" s="4" t="s">
        <v>376</v>
      </c>
      <c r="B575" s="4"/>
      <c r="C575" s="4" t="s">
        <v>851</v>
      </c>
      <c r="D575" s="240" t="s">
        <v>1442</v>
      </c>
      <c r="E575" s="241"/>
      <c r="F575" s="4" t="s">
        <v>1652</v>
      </c>
      <c r="G575" s="69">
        <v>1</v>
      </c>
      <c r="H575" s="17">
        <v>0</v>
      </c>
    </row>
    <row r="576" spans="1:8" x14ac:dyDescent="0.2">
      <c r="A576" s="4" t="s">
        <v>377</v>
      </c>
      <c r="B576" s="4"/>
      <c r="C576" s="4" t="s">
        <v>852</v>
      </c>
      <c r="D576" s="240" t="s">
        <v>1443</v>
      </c>
      <c r="E576" s="241"/>
      <c r="F576" s="4" t="s">
        <v>1645</v>
      </c>
      <c r="G576" s="69">
        <v>5</v>
      </c>
      <c r="H576" s="17">
        <v>0</v>
      </c>
    </row>
    <row r="577" spans="1:8" x14ac:dyDescent="0.2">
      <c r="A577" s="4" t="s">
        <v>378</v>
      </c>
      <c r="B577" s="4"/>
      <c r="C577" s="4" t="s">
        <v>853</v>
      </c>
      <c r="D577" s="240" t="s">
        <v>1444</v>
      </c>
      <c r="E577" s="241"/>
      <c r="F577" s="4" t="s">
        <v>1647</v>
      </c>
      <c r="G577" s="69">
        <v>10</v>
      </c>
      <c r="H577" s="17">
        <v>0</v>
      </c>
    </row>
    <row r="578" spans="1:8" x14ac:dyDescent="0.2">
      <c r="A578" s="4" t="s">
        <v>379</v>
      </c>
      <c r="B578" s="4"/>
      <c r="C578" s="4" t="s">
        <v>854</v>
      </c>
      <c r="D578" s="240" t="s">
        <v>1445</v>
      </c>
      <c r="E578" s="241"/>
      <c r="F578" s="4" t="s">
        <v>1647</v>
      </c>
      <c r="G578" s="69">
        <v>1</v>
      </c>
      <c r="H578" s="17">
        <v>0</v>
      </c>
    </row>
    <row r="579" spans="1:8" x14ac:dyDescent="0.2">
      <c r="A579" s="4" t="s">
        <v>380</v>
      </c>
      <c r="B579" s="4"/>
      <c r="C579" s="4" t="s">
        <v>855</v>
      </c>
      <c r="D579" s="240" t="s">
        <v>1446</v>
      </c>
      <c r="E579" s="241"/>
      <c r="F579" s="4" t="s">
        <v>1647</v>
      </c>
      <c r="G579" s="69">
        <v>11</v>
      </c>
      <c r="H579" s="17">
        <v>0</v>
      </c>
    </row>
    <row r="580" spans="1:8" x14ac:dyDescent="0.2">
      <c r="A580" s="4" t="s">
        <v>381</v>
      </c>
      <c r="B580" s="4"/>
      <c r="C580" s="4" t="s">
        <v>856</v>
      </c>
      <c r="D580" s="240" t="s">
        <v>1447</v>
      </c>
      <c r="E580" s="241"/>
      <c r="F580" s="4" t="s">
        <v>1647</v>
      </c>
      <c r="G580" s="69">
        <v>11</v>
      </c>
      <c r="H580" s="17">
        <v>0</v>
      </c>
    </row>
    <row r="581" spans="1:8" x14ac:dyDescent="0.2">
      <c r="A581" s="4" t="s">
        <v>382</v>
      </c>
      <c r="B581" s="4"/>
      <c r="C581" s="4" t="s">
        <v>857</v>
      </c>
      <c r="D581" s="240" t="s">
        <v>1448</v>
      </c>
      <c r="E581" s="241"/>
      <c r="F581" s="4" t="s">
        <v>1647</v>
      </c>
      <c r="G581" s="69">
        <v>2</v>
      </c>
      <c r="H581" s="17">
        <v>0</v>
      </c>
    </row>
    <row r="582" spans="1:8" x14ac:dyDescent="0.2">
      <c r="A582" s="4" t="s">
        <v>383</v>
      </c>
      <c r="B582" s="4"/>
      <c r="C582" s="4" t="s">
        <v>858</v>
      </c>
      <c r="D582" s="240" t="s">
        <v>1449</v>
      </c>
      <c r="E582" s="241"/>
      <c r="F582" s="4" t="s">
        <v>1647</v>
      </c>
      <c r="G582" s="69">
        <v>3</v>
      </c>
      <c r="H582" s="17">
        <v>0</v>
      </c>
    </row>
    <row r="583" spans="1:8" x14ac:dyDescent="0.2">
      <c r="A583" s="4" t="s">
        <v>384</v>
      </c>
      <c r="B583" s="4"/>
      <c r="C583" s="4" t="s">
        <v>859</v>
      </c>
      <c r="D583" s="240" t="s">
        <v>1450</v>
      </c>
      <c r="E583" s="241"/>
      <c r="F583" s="4" t="s">
        <v>1647</v>
      </c>
      <c r="G583" s="69">
        <v>2</v>
      </c>
      <c r="H583" s="17">
        <v>0</v>
      </c>
    </row>
    <row r="584" spans="1:8" x14ac:dyDescent="0.2">
      <c r="A584" s="4" t="s">
        <v>385</v>
      </c>
      <c r="B584" s="4"/>
      <c r="C584" s="4" t="s">
        <v>860</v>
      </c>
      <c r="D584" s="240" t="s">
        <v>1451</v>
      </c>
      <c r="E584" s="241"/>
      <c r="F584" s="4" t="s">
        <v>1647</v>
      </c>
      <c r="G584" s="69">
        <v>11</v>
      </c>
      <c r="H584" s="17">
        <v>0</v>
      </c>
    </row>
    <row r="585" spans="1:8" x14ac:dyDescent="0.2">
      <c r="A585" s="4" t="s">
        <v>386</v>
      </c>
      <c r="B585" s="4"/>
      <c r="C585" s="4" t="s">
        <v>861</v>
      </c>
      <c r="D585" s="240" t="s">
        <v>1452</v>
      </c>
      <c r="E585" s="241"/>
      <c r="F585" s="4" t="s">
        <v>1644</v>
      </c>
      <c r="G585" s="69">
        <v>1</v>
      </c>
      <c r="H585" s="17">
        <v>0</v>
      </c>
    </row>
    <row r="586" spans="1:8" x14ac:dyDescent="0.2">
      <c r="A586" s="4" t="s">
        <v>387</v>
      </c>
      <c r="B586" s="4"/>
      <c r="C586" s="4" t="s">
        <v>862</v>
      </c>
      <c r="D586" s="240" t="s">
        <v>1453</v>
      </c>
      <c r="E586" s="241"/>
      <c r="F586" s="4" t="s">
        <v>1645</v>
      </c>
      <c r="G586" s="69">
        <v>5</v>
      </c>
      <c r="H586" s="17">
        <v>0</v>
      </c>
    </row>
    <row r="587" spans="1:8" x14ac:dyDescent="0.2">
      <c r="A587" s="4" t="s">
        <v>388</v>
      </c>
      <c r="B587" s="4"/>
      <c r="C587" s="4" t="s">
        <v>863</v>
      </c>
      <c r="D587" s="240" t="s">
        <v>1454</v>
      </c>
      <c r="E587" s="241"/>
      <c r="F587" s="4" t="s">
        <v>1652</v>
      </c>
      <c r="G587" s="69">
        <v>1</v>
      </c>
      <c r="H587" s="17">
        <v>0</v>
      </c>
    </row>
    <row r="588" spans="1:8" x14ac:dyDescent="0.2">
      <c r="A588" s="4" t="s">
        <v>389</v>
      </c>
      <c r="B588" s="4"/>
      <c r="C588" s="4" t="s">
        <v>864</v>
      </c>
      <c r="D588" s="240" t="s">
        <v>1455</v>
      </c>
      <c r="E588" s="241"/>
      <c r="F588" s="4" t="s">
        <v>1652</v>
      </c>
      <c r="G588" s="69">
        <v>1</v>
      </c>
      <c r="H588" s="17">
        <v>0</v>
      </c>
    </row>
    <row r="589" spans="1:8" x14ac:dyDescent="0.2">
      <c r="A589" s="4" t="s">
        <v>390</v>
      </c>
      <c r="B589" s="4"/>
      <c r="C589" s="4" t="s">
        <v>865</v>
      </c>
      <c r="D589" s="240" t="s">
        <v>1456</v>
      </c>
      <c r="E589" s="241"/>
      <c r="F589" s="4" t="s">
        <v>1652</v>
      </c>
      <c r="G589" s="69">
        <v>1</v>
      </c>
      <c r="H589" s="17">
        <v>0</v>
      </c>
    </row>
    <row r="590" spans="1:8" x14ac:dyDescent="0.2">
      <c r="A590" s="4" t="s">
        <v>391</v>
      </c>
      <c r="B590" s="4"/>
      <c r="C590" s="4" t="s">
        <v>866</v>
      </c>
      <c r="D590" s="240" t="s">
        <v>1420</v>
      </c>
      <c r="E590" s="241"/>
      <c r="F590" s="4" t="s">
        <v>1652</v>
      </c>
      <c r="G590" s="69">
        <v>1</v>
      </c>
      <c r="H590" s="17">
        <v>0</v>
      </c>
    </row>
    <row r="591" spans="1:8" x14ac:dyDescent="0.2">
      <c r="A591" s="4" t="s">
        <v>392</v>
      </c>
      <c r="B591" s="4"/>
      <c r="C591" s="4" t="s">
        <v>867</v>
      </c>
      <c r="D591" s="240" t="s">
        <v>1421</v>
      </c>
      <c r="E591" s="241"/>
      <c r="F591" s="4" t="s">
        <v>1652</v>
      </c>
      <c r="G591" s="69">
        <v>1</v>
      </c>
      <c r="H591" s="17">
        <v>0</v>
      </c>
    </row>
    <row r="592" spans="1:8" x14ac:dyDescent="0.2">
      <c r="A592" s="4" t="s">
        <v>393</v>
      </c>
      <c r="B592" s="4"/>
      <c r="C592" s="4" t="s">
        <v>868</v>
      </c>
      <c r="D592" s="240" t="s">
        <v>1457</v>
      </c>
      <c r="E592" s="241"/>
      <c r="F592" s="4" t="s">
        <v>1652</v>
      </c>
      <c r="G592" s="69">
        <v>1</v>
      </c>
      <c r="H592" s="17">
        <v>0</v>
      </c>
    </row>
    <row r="593" spans="1:8" x14ac:dyDescent="0.2">
      <c r="A593" s="13"/>
      <c r="B593" s="13"/>
      <c r="C593" s="13" t="s">
        <v>869</v>
      </c>
      <c r="D593" s="244" t="s">
        <v>1458</v>
      </c>
      <c r="E593" s="245"/>
      <c r="F593" s="13"/>
      <c r="G593" s="70"/>
      <c r="H593" s="29"/>
    </row>
    <row r="594" spans="1:8" x14ac:dyDescent="0.2">
      <c r="A594" s="4" t="s">
        <v>394</v>
      </c>
      <c r="B594" s="4"/>
      <c r="C594" s="4" t="s">
        <v>870</v>
      </c>
      <c r="D594" s="240" t="s">
        <v>1459</v>
      </c>
      <c r="E594" s="241"/>
      <c r="F594" s="4" t="s">
        <v>1644</v>
      </c>
      <c r="G594" s="69">
        <v>3</v>
      </c>
      <c r="H594" s="17">
        <v>0</v>
      </c>
    </row>
    <row r="595" spans="1:8" ht="12.2" customHeight="1" x14ac:dyDescent="0.2">
      <c r="D595" s="251" t="s">
        <v>1797</v>
      </c>
      <c r="E595" s="252"/>
      <c r="F595" s="252"/>
      <c r="G595" s="48">
        <v>3</v>
      </c>
    </row>
    <row r="596" spans="1:8" x14ac:dyDescent="0.2">
      <c r="A596" s="4" t="s">
        <v>395</v>
      </c>
      <c r="B596" s="4"/>
      <c r="C596" s="4" t="s">
        <v>871</v>
      </c>
      <c r="D596" s="240" t="s">
        <v>1460</v>
      </c>
      <c r="E596" s="241"/>
      <c r="F596" s="4" t="s">
        <v>1645</v>
      </c>
      <c r="G596" s="69">
        <v>302</v>
      </c>
      <c r="H596" s="17">
        <v>0</v>
      </c>
    </row>
    <row r="597" spans="1:8" ht="12.2" customHeight="1" x14ac:dyDescent="0.2">
      <c r="D597" s="251" t="s">
        <v>1850</v>
      </c>
      <c r="E597" s="252"/>
      <c r="F597" s="252"/>
      <c r="G597" s="48">
        <v>302</v>
      </c>
    </row>
    <row r="598" spans="1:8" x14ac:dyDescent="0.2">
      <c r="A598" s="4" t="s">
        <v>396</v>
      </c>
      <c r="B598" s="4"/>
      <c r="C598" s="4" t="s">
        <v>872</v>
      </c>
      <c r="D598" s="240" t="s">
        <v>1461</v>
      </c>
      <c r="E598" s="241"/>
      <c r="F598" s="4" t="s">
        <v>1645</v>
      </c>
      <c r="G598" s="69">
        <v>345.786</v>
      </c>
      <c r="H598" s="17">
        <v>0</v>
      </c>
    </row>
    <row r="599" spans="1:8" ht="12.2" customHeight="1" x14ac:dyDescent="0.2">
      <c r="D599" s="251" t="s">
        <v>1843</v>
      </c>
      <c r="E599" s="252"/>
      <c r="F599" s="252"/>
      <c r="G599" s="48">
        <v>345.786</v>
      </c>
    </row>
    <row r="600" spans="1:8" x14ac:dyDescent="0.2">
      <c r="A600" s="4" t="s">
        <v>397</v>
      </c>
      <c r="B600" s="4"/>
      <c r="C600" s="4" t="s">
        <v>873</v>
      </c>
      <c r="D600" s="240" t="s">
        <v>1462</v>
      </c>
      <c r="E600" s="241"/>
      <c r="F600" s="4" t="s">
        <v>1645</v>
      </c>
      <c r="G600" s="69">
        <v>345.786</v>
      </c>
      <c r="H600" s="17">
        <v>0</v>
      </c>
    </row>
    <row r="601" spans="1:8" ht="12.2" customHeight="1" x14ac:dyDescent="0.2">
      <c r="D601" s="251" t="s">
        <v>1843</v>
      </c>
      <c r="E601" s="252"/>
      <c r="F601" s="252"/>
      <c r="G601" s="48">
        <v>345.786</v>
      </c>
    </row>
    <row r="602" spans="1:8" x14ac:dyDescent="0.2">
      <c r="A602" s="4" t="s">
        <v>398</v>
      </c>
      <c r="B602" s="4"/>
      <c r="C602" s="4" t="s">
        <v>874</v>
      </c>
      <c r="D602" s="240" t="s">
        <v>1463</v>
      </c>
      <c r="E602" s="241"/>
      <c r="F602" s="4" t="s">
        <v>1645</v>
      </c>
      <c r="G602" s="69">
        <v>345.786</v>
      </c>
      <c r="H602" s="17">
        <v>0</v>
      </c>
    </row>
    <row r="603" spans="1:8" ht="12.2" customHeight="1" x14ac:dyDescent="0.2">
      <c r="D603" s="251" t="s">
        <v>1843</v>
      </c>
      <c r="E603" s="252"/>
      <c r="F603" s="252"/>
      <c r="G603" s="48">
        <v>345.786</v>
      </c>
    </row>
    <row r="604" spans="1:8" x14ac:dyDescent="0.2">
      <c r="A604" s="6" t="s">
        <v>399</v>
      </c>
      <c r="B604" s="6"/>
      <c r="C604" s="6" t="s">
        <v>875</v>
      </c>
      <c r="D604" s="246" t="s">
        <v>1464</v>
      </c>
      <c r="E604" s="247"/>
      <c r="F604" s="6" t="s">
        <v>1645</v>
      </c>
      <c r="G604" s="72">
        <v>363.07499999999999</v>
      </c>
      <c r="H604" s="18">
        <v>0</v>
      </c>
    </row>
    <row r="605" spans="1:8" ht="12.2" customHeight="1" x14ac:dyDescent="0.2">
      <c r="D605" s="253" t="s">
        <v>1803</v>
      </c>
      <c r="E605" s="254"/>
      <c r="F605" s="254"/>
      <c r="G605" s="49">
        <v>345.786</v>
      </c>
    </row>
    <row r="606" spans="1:8" ht="12.2" customHeight="1" x14ac:dyDescent="0.2">
      <c r="A606" s="6"/>
      <c r="B606" s="6"/>
      <c r="C606" s="6"/>
      <c r="D606" s="253" t="s">
        <v>1851</v>
      </c>
      <c r="E606" s="254"/>
      <c r="F606" s="253"/>
      <c r="G606" s="73">
        <v>17.289000000000001</v>
      </c>
      <c r="H606" s="30"/>
    </row>
    <row r="607" spans="1:8" x14ac:dyDescent="0.2">
      <c r="A607" s="4" t="s">
        <v>400</v>
      </c>
      <c r="B607" s="4"/>
      <c r="C607" s="4" t="s">
        <v>876</v>
      </c>
      <c r="D607" s="240" t="s">
        <v>1465</v>
      </c>
      <c r="E607" s="241"/>
      <c r="F607" s="4" t="s">
        <v>1645</v>
      </c>
      <c r="G607" s="69">
        <v>344.89400000000001</v>
      </c>
      <c r="H607" s="17">
        <v>0</v>
      </c>
    </row>
    <row r="608" spans="1:8" ht="12.2" customHeight="1" x14ac:dyDescent="0.2">
      <c r="D608" s="251" t="s">
        <v>1842</v>
      </c>
      <c r="E608" s="252"/>
      <c r="F608" s="252"/>
      <c r="G608" s="48">
        <v>344.89400000000001</v>
      </c>
    </row>
    <row r="609" spans="1:8" x14ac:dyDescent="0.2">
      <c r="A609" s="4" t="s">
        <v>401</v>
      </c>
      <c r="B609" s="4"/>
      <c r="C609" s="4" t="s">
        <v>877</v>
      </c>
      <c r="D609" s="240" t="s">
        <v>1466</v>
      </c>
      <c r="E609" s="241"/>
      <c r="F609" s="4" t="s">
        <v>1647</v>
      </c>
      <c r="G609" s="69">
        <v>7.6070000000000002</v>
      </c>
      <c r="H609" s="17">
        <v>0</v>
      </c>
    </row>
    <row r="610" spans="1:8" ht="12.2" customHeight="1" x14ac:dyDescent="0.2">
      <c r="D610" s="251" t="s">
        <v>1852</v>
      </c>
      <c r="E610" s="252"/>
      <c r="F610" s="252"/>
      <c r="G610" s="48">
        <v>7.6070000000000002</v>
      </c>
    </row>
    <row r="611" spans="1:8" x14ac:dyDescent="0.2">
      <c r="A611" s="4" t="s">
        <v>402</v>
      </c>
      <c r="B611" s="4"/>
      <c r="C611" s="4" t="s">
        <v>878</v>
      </c>
      <c r="D611" s="240" t="s">
        <v>1467</v>
      </c>
      <c r="E611" s="241"/>
      <c r="F611" s="4" t="s">
        <v>1645</v>
      </c>
      <c r="G611" s="69">
        <v>54.9</v>
      </c>
      <c r="H611" s="17">
        <v>0</v>
      </c>
    </row>
    <row r="612" spans="1:8" ht="12.2" customHeight="1" x14ac:dyDescent="0.2">
      <c r="D612" s="251" t="s">
        <v>1853</v>
      </c>
      <c r="E612" s="252"/>
      <c r="F612" s="252"/>
      <c r="G612" s="48">
        <v>54.9</v>
      </c>
    </row>
    <row r="613" spans="1:8" x14ac:dyDescent="0.2">
      <c r="A613" s="4" t="s">
        <v>403</v>
      </c>
      <c r="B613" s="4"/>
      <c r="C613" s="4" t="s">
        <v>879</v>
      </c>
      <c r="D613" s="240" t="s">
        <v>1468</v>
      </c>
      <c r="E613" s="241"/>
      <c r="F613" s="4" t="s">
        <v>1645</v>
      </c>
      <c r="G613" s="69">
        <v>54.9</v>
      </c>
      <c r="H613" s="17">
        <v>0</v>
      </c>
    </row>
    <row r="614" spans="1:8" ht="12.2" customHeight="1" x14ac:dyDescent="0.2">
      <c r="D614" s="251" t="s">
        <v>1853</v>
      </c>
      <c r="E614" s="252"/>
      <c r="F614" s="252"/>
      <c r="G614" s="48">
        <v>54.9</v>
      </c>
    </row>
    <row r="615" spans="1:8" x14ac:dyDescent="0.2">
      <c r="A615" s="4" t="s">
        <v>404</v>
      </c>
      <c r="B615" s="4"/>
      <c r="C615" s="4" t="s">
        <v>880</v>
      </c>
      <c r="D615" s="240" t="s">
        <v>1469</v>
      </c>
      <c r="E615" s="241"/>
      <c r="F615" s="4" t="s">
        <v>1647</v>
      </c>
      <c r="G615" s="69">
        <v>1.0429999999999999</v>
      </c>
      <c r="H615" s="17">
        <v>0</v>
      </c>
    </row>
    <row r="616" spans="1:8" ht="12.2" customHeight="1" x14ac:dyDescent="0.2">
      <c r="D616" s="251" t="s">
        <v>1854</v>
      </c>
      <c r="E616" s="252"/>
      <c r="F616" s="252"/>
      <c r="G616" s="48">
        <v>1.0429999999999999</v>
      </c>
    </row>
    <row r="617" spans="1:8" x14ac:dyDescent="0.2">
      <c r="A617" s="4" t="s">
        <v>405</v>
      </c>
      <c r="B617" s="4"/>
      <c r="C617" s="4" t="s">
        <v>881</v>
      </c>
      <c r="D617" s="240" t="s">
        <v>1470</v>
      </c>
      <c r="E617" s="241"/>
      <c r="F617" s="4" t="s">
        <v>1648</v>
      </c>
      <c r="G617" s="69">
        <v>31.597999999999999</v>
      </c>
      <c r="H617" s="17">
        <v>0</v>
      </c>
    </row>
    <row r="618" spans="1:8" ht="12.2" customHeight="1" x14ac:dyDescent="0.2">
      <c r="D618" s="251" t="s">
        <v>1855</v>
      </c>
      <c r="E618" s="252"/>
      <c r="F618" s="252"/>
      <c r="G618" s="48">
        <v>31.597999999999999</v>
      </c>
    </row>
    <row r="619" spans="1:8" x14ac:dyDescent="0.2">
      <c r="A619" s="13"/>
      <c r="B619" s="13"/>
      <c r="C619" s="13" t="s">
        <v>882</v>
      </c>
      <c r="D619" s="244" t="s">
        <v>1471</v>
      </c>
      <c r="E619" s="245"/>
      <c r="F619" s="13"/>
      <c r="G619" s="70"/>
      <c r="H619" s="29"/>
    </row>
    <row r="620" spans="1:8" x14ac:dyDescent="0.2">
      <c r="A620" s="4" t="s">
        <v>406</v>
      </c>
      <c r="B620" s="4"/>
      <c r="C620" s="4" t="s">
        <v>883</v>
      </c>
      <c r="D620" s="240" t="s">
        <v>1472</v>
      </c>
      <c r="E620" s="241"/>
      <c r="F620" s="4" t="s">
        <v>1645</v>
      </c>
      <c r="G620" s="69">
        <v>344.89400000000001</v>
      </c>
      <c r="H620" s="17">
        <v>0</v>
      </c>
    </row>
    <row r="621" spans="1:8" ht="12.2" customHeight="1" x14ac:dyDescent="0.2">
      <c r="D621" s="251" t="s">
        <v>1842</v>
      </c>
      <c r="E621" s="252"/>
      <c r="F621" s="252"/>
      <c r="G621" s="48">
        <v>344.89400000000001</v>
      </c>
    </row>
    <row r="622" spans="1:8" x14ac:dyDescent="0.2">
      <c r="A622" s="4" t="s">
        <v>407</v>
      </c>
      <c r="B622" s="4"/>
      <c r="C622" s="4" t="s">
        <v>884</v>
      </c>
      <c r="D622" s="240" t="s">
        <v>1473</v>
      </c>
      <c r="E622" s="241"/>
      <c r="F622" s="4" t="s">
        <v>1646</v>
      </c>
      <c r="G622" s="69">
        <v>106</v>
      </c>
      <c r="H622" s="17">
        <v>0</v>
      </c>
    </row>
    <row r="623" spans="1:8" ht="12.2" customHeight="1" x14ac:dyDescent="0.2">
      <c r="D623" s="251" t="s">
        <v>1856</v>
      </c>
      <c r="E623" s="252"/>
      <c r="F623" s="252"/>
      <c r="G623" s="48">
        <v>106</v>
      </c>
    </row>
    <row r="624" spans="1:8" x14ac:dyDescent="0.2">
      <c r="A624" s="4" t="s">
        <v>408</v>
      </c>
      <c r="B624" s="4"/>
      <c r="C624" s="4" t="s">
        <v>885</v>
      </c>
      <c r="D624" s="240" t="s">
        <v>1474</v>
      </c>
      <c r="E624" s="241"/>
      <c r="F624" s="4" t="s">
        <v>1645</v>
      </c>
      <c r="G624" s="69">
        <v>1.952</v>
      </c>
      <c r="H624" s="17">
        <v>0</v>
      </c>
    </row>
    <row r="625" spans="1:8" ht="12.2" customHeight="1" x14ac:dyDescent="0.2">
      <c r="D625" s="251" t="s">
        <v>1857</v>
      </c>
      <c r="E625" s="252"/>
      <c r="F625" s="252"/>
      <c r="G625" s="48">
        <v>1.952</v>
      </c>
    </row>
    <row r="626" spans="1:8" x14ac:dyDescent="0.2">
      <c r="A626" s="4" t="s">
        <v>409</v>
      </c>
      <c r="B626" s="4"/>
      <c r="C626" s="4" t="s">
        <v>886</v>
      </c>
      <c r="D626" s="240" t="s">
        <v>1475</v>
      </c>
      <c r="E626" s="241"/>
      <c r="F626" s="4" t="s">
        <v>1646</v>
      </c>
      <c r="G626" s="69">
        <v>62.5</v>
      </c>
      <c r="H626" s="17">
        <v>0</v>
      </c>
    </row>
    <row r="627" spans="1:8" ht="12.2" customHeight="1" x14ac:dyDescent="0.2">
      <c r="D627" s="251" t="s">
        <v>1847</v>
      </c>
      <c r="E627" s="252"/>
      <c r="F627" s="252"/>
      <c r="G627" s="48">
        <v>62.5</v>
      </c>
    </row>
    <row r="628" spans="1:8" x14ac:dyDescent="0.2">
      <c r="A628" s="4" t="s">
        <v>410</v>
      </c>
      <c r="B628" s="4"/>
      <c r="C628" s="4" t="s">
        <v>887</v>
      </c>
      <c r="D628" s="240" t="s">
        <v>1476</v>
      </c>
      <c r="E628" s="241"/>
      <c r="F628" s="4" t="s">
        <v>1644</v>
      </c>
      <c r="G628" s="69">
        <v>4</v>
      </c>
      <c r="H628" s="17">
        <v>0</v>
      </c>
    </row>
    <row r="629" spans="1:8" ht="12.2" customHeight="1" x14ac:dyDescent="0.2">
      <c r="D629" s="251" t="s">
        <v>1795</v>
      </c>
      <c r="E629" s="252"/>
      <c r="F629" s="252"/>
      <c r="G629" s="48">
        <v>4</v>
      </c>
    </row>
    <row r="630" spans="1:8" x14ac:dyDescent="0.2">
      <c r="A630" s="4" t="s">
        <v>411</v>
      </c>
      <c r="B630" s="4"/>
      <c r="C630" s="4" t="s">
        <v>888</v>
      </c>
      <c r="D630" s="240" t="s">
        <v>1477</v>
      </c>
      <c r="E630" s="241"/>
      <c r="F630" s="4" t="s">
        <v>1644</v>
      </c>
      <c r="G630" s="69">
        <v>1</v>
      </c>
      <c r="H630" s="17">
        <v>0</v>
      </c>
    </row>
    <row r="631" spans="1:8" ht="12.2" customHeight="1" x14ac:dyDescent="0.2">
      <c r="D631" s="251" t="s">
        <v>1749</v>
      </c>
      <c r="E631" s="252"/>
      <c r="F631" s="252"/>
      <c r="G631" s="48">
        <v>1</v>
      </c>
    </row>
    <row r="632" spans="1:8" x14ac:dyDescent="0.2">
      <c r="A632" s="4" t="s">
        <v>412</v>
      </c>
      <c r="B632" s="4"/>
      <c r="C632" s="4" t="s">
        <v>889</v>
      </c>
      <c r="D632" s="240" t="s">
        <v>1478</v>
      </c>
      <c r="E632" s="241"/>
      <c r="F632" s="4" t="s">
        <v>1646</v>
      </c>
      <c r="G632" s="69">
        <v>47</v>
      </c>
      <c r="H632" s="17">
        <v>0</v>
      </c>
    </row>
    <row r="633" spans="1:8" ht="12.2" customHeight="1" x14ac:dyDescent="0.2">
      <c r="D633" s="251" t="s">
        <v>1858</v>
      </c>
      <c r="E633" s="252"/>
      <c r="F633" s="252"/>
      <c r="G633" s="48">
        <v>47</v>
      </c>
    </row>
    <row r="634" spans="1:8" x14ac:dyDescent="0.2">
      <c r="A634" s="4" t="s">
        <v>413</v>
      </c>
      <c r="B634" s="4"/>
      <c r="C634" s="4" t="s">
        <v>890</v>
      </c>
      <c r="D634" s="240" t="s">
        <v>1479</v>
      </c>
      <c r="E634" s="241"/>
      <c r="F634" s="4" t="s">
        <v>1646</v>
      </c>
      <c r="G634" s="69">
        <v>18</v>
      </c>
      <c r="H634" s="17">
        <v>0</v>
      </c>
    </row>
    <row r="635" spans="1:8" ht="12.2" customHeight="1" x14ac:dyDescent="0.2">
      <c r="D635" s="251" t="s">
        <v>1859</v>
      </c>
      <c r="E635" s="252"/>
      <c r="F635" s="252"/>
      <c r="G635" s="48">
        <v>18</v>
      </c>
    </row>
    <row r="636" spans="1:8" x14ac:dyDescent="0.2">
      <c r="A636" s="4" t="s">
        <v>414</v>
      </c>
      <c r="B636" s="4"/>
      <c r="C636" s="4" t="s">
        <v>891</v>
      </c>
      <c r="D636" s="240" t="s">
        <v>1480</v>
      </c>
      <c r="E636" s="241"/>
      <c r="F636" s="4" t="s">
        <v>1646</v>
      </c>
      <c r="G636" s="69">
        <v>65.004999999999995</v>
      </c>
      <c r="H636" s="17">
        <v>0</v>
      </c>
    </row>
    <row r="637" spans="1:8" ht="12.2" customHeight="1" x14ac:dyDescent="0.2">
      <c r="D637" s="251" t="s">
        <v>1860</v>
      </c>
      <c r="E637" s="252"/>
      <c r="F637" s="252"/>
      <c r="G637" s="48">
        <v>65.004999999999995</v>
      </c>
    </row>
    <row r="638" spans="1:8" x14ac:dyDescent="0.2">
      <c r="A638" s="4" t="s">
        <v>415</v>
      </c>
      <c r="B638" s="4"/>
      <c r="C638" s="4" t="s">
        <v>892</v>
      </c>
      <c r="D638" s="240" t="s">
        <v>1481</v>
      </c>
      <c r="E638" s="241"/>
      <c r="F638" s="4" t="s">
        <v>1646</v>
      </c>
      <c r="G638" s="69">
        <v>31</v>
      </c>
      <c r="H638" s="17">
        <v>0</v>
      </c>
    </row>
    <row r="639" spans="1:8" ht="12.2" customHeight="1" x14ac:dyDescent="0.2">
      <c r="D639" s="251" t="s">
        <v>1861</v>
      </c>
      <c r="E639" s="252"/>
      <c r="F639" s="252"/>
      <c r="G639" s="48">
        <v>31</v>
      </c>
    </row>
    <row r="640" spans="1:8" x14ac:dyDescent="0.2">
      <c r="A640" s="4" t="s">
        <v>416</v>
      </c>
      <c r="B640" s="4"/>
      <c r="C640" s="4" t="s">
        <v>893</v>
      </c>
      <c r="D640" s="240" t="s">
        <v>1482</v>
      </c>
      <c r="E640" s="241"/>
      <c r="F640" s="4" t="s">
        <v>1646</v>
      </c>
      <c r="G640" s="69">
        <v>62.5</v>
      </c>
      <c r="H640" s="17">
        <v>0</v>
      </c>
    </row>
    <row r="641" spans="1:8" ht="12.2" customHeight="1" x14ac:dyDescent="0.2">
      <c r="D641" s="251" t="s">
        <v>1847</v>
      </c>
      <c r="E641" s="252"/>
      <c r="F641" s="252"/>
      <c r="G641" s="48">
        <v>62.5</v>
      </c>
    </row>
    <row r="642" spans="1:8" x14ac:dyDescent="0.2">
      <c r="A642" s="4" t="s">
        <v>417</v>
      </c>
      <c r="B642" s="4"/>
      <c r="C642" s="4" t="s">
        <v>894</v>
      </c>
      <c r="D642" s="240" t="s">
        <v>1483</v>
      </c>
      <c r="E642" s="241"/>
      <c r="F642" s="4" t="s">
        <v>1644</v>
      </c>
      <c r="G642" s="69">
        <v>4</v>
      </c>
      <c r="H642" s="17">
        <v>0</v>
      </c>
    </row>
    <row r="643" spans="1:8" ht="12.2" customHeight="1" x14ac:dyDescent="0.2">
      <c r="D643" s="251" t="s">
        <v>1795</v>
      </c>
      <c r="E643" s="252"/>
      <c r="F643" s="252"/>
      <c r="G643" s="48">
        <v>4</v>
      </c>
    </row>
    <row r="644" spans="1:8" x14ac:dyDescent="0.2">
      <c r="A644" s="4" t="s">
        <v>418</v>
      </c>
      <c r="B644" s="4"/>
      <c r="C644" s="4" t="s">
        <v>895</v>
      </c>
      <c r="D644" s="240" t="s">
        <v>1484</v>
      </c>
      <c r="E644" s="241"/>
      <c r="F644" s="4" t="s">
        <v>1646</v>
      </c>
      <c r="G644" s="69">
        <v>31</v>
      </c>
      <c r="H644" s="17">
        <v>0</v>
      </c>
    </row>
    <row r="645" spans="1:8" ht="12.2" customHeight="1" x14ac:dyDescent="0.2">
      <c r="D645" s="251" t="s">
        <v>1861</v>
      </c>
      <c r="E645" s="252"/>
      <c r="F645" s="252"/>
      <c r="G645" s="48">
        <v>31</v>
      </c>
    </row>
    <row r="646" spans="1:8" x14ac:dyDescent="0.2">
      <c r="A646" s="4" t="s">
        <v>419</v>
      </c>
      <c r="B646" s="4"/>
      <c r="C646" s="4" t="s">
        <v>896</v>
      </c>
      <c r="D646" s="240" t="s">
        <v>1485</v>
      </c>
      <c r="E646" s="241"/>
      <c r="F646" s="4" t="s">
        <v>1646</v>
      </c>
      <c r="G646" s="69">
        <v>106</v>
      </c>
      <c r="H646" s="17">
        <v>0</v>
      </c>
    </row>
    <row r="647" spans="1:8" ht="12.2" customHeight="1" x14ac:dyDescent="0.2">
      <c r="D647" s="251" t="s">
        <v>1862</v>
      </c>
      <c r="E647" s="252"/>
      <c r="F647" s="252"/>
      <c r="G647" s="48">
        <v>106</v>
      </c>
    </row>
    <row r="648" spans="1:8" x14ac:dyDescent="0.2">
      <c r="A648" s="4" t="s">
        <v>420</v>
      </c>
      <c r="B648" s="4"/>
      <c r="C648" s="4" t="s">
        <v>897</v>
      </c>
      <c r="D648" s="240" t="s">
        <v>1486</v>
      </c>
      <c r="E648" s="241"/>
      <c r="F648" s="4" t="s">
        <v>1646</v>
      </c>
      <c r="G648" s="69">
        <v>6.2</v>
      </c>
      <c r="H648" s="17">
        <v>0</v>
      </c>
    </row>
    <row r="649" spans="1:8" ht="12.2" customHeight="1" x14ac:dyDescent="0.2">
      <c r="D649" s="251" t="s">
        <v>1863</v>
      </c>
      <c r="E649" s="252"/>
      <c r="F649" s="252"/>
      <c r="G649" s="48">
        <v>6.2</v>
      </c>
    </row>
    <row r="650" spans="1:8" x14ac:dyDescent="0.2">
      <c r="A650" s="4" t="s">
        <v>421</v>
      </c>
      <c r="B650" s="4"/>
      <c r="C650" s="4" t="s">
        <v>898</v>
      </c>
      <c r="D650" s="240" t="s">
        <v>1487</v>
      </c>
      <c r="E650" s="241"/>
      <c r="F650" s="4" t="s">
        <v>1646</v>
      </c>
      <c r="G650" s="69">
        <v>3.2</v>
      </c>
      <c r="H650" s="17">
        <v>0</v>
      </c>
    </row>
    <row r="651" spans="1:8" ht="12.2" customHeight="1" x14ac:dyDescent="0.2">
      <c r="D651" s="251" t="s">
        <v>1864</v>
      </c>
      <c r="E651" s="252"/>
      <c r="F651" s="252"/>
      <c r="G651" s="48">
        <v>3.2</v>
      </c>
    </row>
    <row r="652" spans="1:8" x14ac:dyDescent="0.2">
      <c r="A652" s="4" t="s">
        <v>422</v>
      </c>
      <c r="B652" s="4"/>
      <c r="C652" s="4" t="s">
        <v>899</v>
      </c>
      <c r="D652" s="240" t="s">
        <v>1488</v>
      </c>
      <c r="E652" s="241"/>
      <c r="F652" s="4" t="s">
        <v>1646</v>
      </c>
      <c r="G652" s="69">
        <v>31.18</v>
      </c>
      <c r="H652" s="17">
        <v>0</v>
      </c>
    </row>
    <row r="653" spans="1:8" ht="12.2" customHeight="1" x14ac:dyDescent="0.2">
      <c r="D653" s="251" t="s">
        <v>1865</v>
      </c>
      <c r="E653" s="252"/>
      <c r="F653" s="252"/>
      <c r="G653" s="48">
        <v>31.18</v>
      </c>
    </row>
    <row r="654" spans="1:8" x14ac:dyDescent="0.2">
      <c r="A654" s="4" t="s">
        <v>423</v>
      </c>
      <c r="B654" s="4"/>
      <c r="C654" s="4" t="s">
        <v>900</v>
      </c>
      <c r="D654" s="240" t="s">
        <v>1489</v>
      </c>
      <c r="E654" s="241"/>
      <c r="F654" s="4" t="s">
        <v>1646</v>
      </c>
      <c r="G654" s="69">
        <v>31.18</v>
      </c>
      <c r="H654" s="17">
        <v>0</v>
      </c>
    </row>
    <row r="655" spans="1:8" ht="12.2" customHeight="1" x14ac:dyDescent="0.2">
      <c r="D655" s="251" t="s">
        <v>1865</v>
      </c>
      <c r="E655" s="252"/>
      <c r="F655" s="252"/>
      <c r="G655" s="48">
        <v>31.18</v>
      </c>
    </row>
    <row r="656" spans="1:8" x14ac:dyDescent="0.2">
      <c r="A656" s="4" t="s">
        <v>424</v>
      </c>
      <c r="B656" s="4"/>
      <c r="C656" s="4" t="s">
        <v>901</v>
      </c>
      <c r="D656" s="240" t="s">
        <v>1490</v>
      </c>
      <c r="E656" s="241"/>
      <c r="F656" s="4" t="s">
        <v>1646</v>
      </c>
      <c r="G656" s="69">
        <v>62.5</v>
      </c>
      <c r="H656" s="17">
        <v>0</v>
      </c>
    </row>
    <row r="657" spans="1:8" ht="12.2" customHeight="1" x14ac:dyDescent="0.2">
      <c r="D657" s="251" t="s">
        <v>1847</v>
      </c>
      <c r="E657" s="252"/>
      <c r="F657" s="252"/>
      <c r="G657" s="48">
        <v>62.5</v>
      </c>
    </row>
    <row r="658" spans="1:8" x14ac:dyDescent="0.2">
      <c r="A658" s="4" t="s">
        <v>425</v>
      </c>
      <c r="B658" s="4"/>
      <c r="C658" s="4" t="s">
        <v>902</v>
      </c>
      <c r="D658" s="240" t="s">
        <v>1491</v>
      </c>
      <c r="E658" s="241"/>
      <c r="F658" s="4" t="s">
        <v>1648</v>
      </c>
      <c r="G658" s="69">
        <v>4.7439999999999998</v>
      </c>
      <c r="H658" s="17">
        <v>0</v>
      </c>
    </row>
    <row r="659" spans="1:8" ht="12.2" customHeight="1" x14ac:dyDescent="0.2">
      <c r="D659" s="251" t="s">
        <v>1866</v>
      </c>
      <c r="E659" s="252"/>
      <c r="F659" s="252"/>
      <c r="G659" s="48">
        <v>4.7439999999999998</v>
      </c>
    </row>
    <row r="660" spans="1:8" x14ac:dyDescent="0.2">
      <c r="A660" s="13"/>
      <c r="B660" s="13"/>
      <c r="C660" s="13" t="s">
        <v>903</v>
      </c>
      <c r="D660" s="244" t="s">
        <v>1492</v>
      </c>
      <c r="E660" s="245"/>
      <c r="F660" s="13"/>
      <c r="G660" s="70"/>
      <c r="H660" s="29"/>
    </row>
    <row r="661" spans="1:8" x14ac:dyDescent="0.2">
      <c r="A661" s="4" t="s">
        <v>426</v>
      </c>
      <c r="B661" s="4"/>
      <c r="C661" s="4" t="s">
        <v>904</v>
      </c>
      <c r="D661" s="240" t="s">
        <v>1493</v>
      </c>
      <c r="E661" s="241"/>
      <c r="F661" s="4" t="s">
        <v>1644</v>
      </c>
      <c r="G661" s="69">
        <v>1</v>
      </c>
      <c r="H661" s="17">
        <v>0</v>
      </c>
    </row>
    <row r="662" spans="1:8" ht="12.2" customHeight="1" x14ac:dyDescent="0.2">
      <c r="D662" s="251" t="s">
        <v>1749</v>
      </c>
      <c r="E662" s="252"/>
      <c r="F662" s="252"/>
      <c r="G662" s="48">
        <v>1</v>
      </c>
    </row>
    <row r="663" spans="1:8" x14ac:dyDescent="0.2">
      <c r="A663" s="4" t="s">
        <v>427</v>
      </c>
      <c r="B663" s="4"/>
      <c r="C663" s="4" t="s">
        <v>905</v>
      </c>
      <c r="D663" s="240" t="s">
        <v>1494</v>
      </c>
      <c r="E663" s="241"/>
      <c r="F663" s="4" t="s">
        <v>1644</v>
      </c>
      <c r="G663" s="69">
        <v>1</v>
      </c>
      <c r="H663" s="17">
        <v>0</v>
      </c>
    </row>
    <row r="664" spans="1:8" ht="12.2" customHeight="1" x14ac:dyDescent="0.2">
      <c r="D664" s="251" t="s">
        <v>1749</v>
      </c>
      <c r="E664" s="252"/>
      <c r="F664" s="252"/>
      <c r="G664" s="48">
        <v>1</v>
      </c>
    </row>
    <row r="665" spans="1:8" x14ac:dyDescent="0.2">
      <c r="A665" s="4" t="s">
        <v>428</v>
      </c>
      <c r="B665" s="4"/>
      <c r="C665" s="4" t="s">
        <v>906</v>
      </c>
      <c r="D665" s="240" t="s">
        <v>1495</v>
      </c>
      <c r="E665" s="241"/>
      <c r="F665" s="4" t="s">
        <v>1648</v>
      </c>
      <c r="G665" s="69">
        <v>4.7E-2</v>
      </c>
      <c r="H665" s="17">
        <v>0</v>
      </c>
    </row>
    <row r="666" spans="1:8" ht="12.2" customHeight="1" x14ac:dyDescent="0.2">
      <c r="D666" s="251" t="s">
        <v>1867</v>
      </c>
      <c r="E666" s="252"/>
      <c r="F666" s="252"/>
      <c r="G666" s="48">
        <v>4.7E-2</v>
      </c>
    </row>
    <row r="667" spans="1:8" x14ac:dyDescent="0.2">
      <c r="A667" s="13"/>
      <c r="B667" s="13"/>
      <c r="C667" s="13" t="s">
        <v>907</v>
      </c>
      <c r="D667" s="244" t="s">
        <v>1496</v>
      </c>
      <c r="E667" s="245"/>
      <c r="F667" s="13"/>
      <c r="G667" s="70"/>
      <c r="H667" s="29"/>
    </row>
    <row r="668" spans="1:8" x14ac:dyDescent="0.2">
      <c r="A668" s="4" t="s">
        <v>429</v>
      </c>
      <c r="B668" s="4"/>
      <c r="C668" s="4" t="s">
        <v>908</v>
      </c>
      <c r="D668" s="240" t="s">
        <v>1497</v>
      </c>
      <c r="E668" s="241"/>
      <c r="F668" s="4" t="s">
        <v>1644</v>
      </c>
      <c r="G668" s="69">
        <v>1</v>
      </c>
      <c r="H668" s="17">
        <v>0</v>
      </c>
    </row>
    <row r="669" spans="1:8" ht="12.2" customHeight="1" x14ac:dyDescent="0.2">
      <c r="D669" s="251" t="s">
        <v>1749</v>
      </c>
      <c r="E669" s="252"/>
      <c r="F669" s="252"/>
      <c r="G669" s="48">
        <v>1</v>
      </c>
    </row>
    <row r="670" spans="1:8" x14ac:dyDescent="0.2">
      <c r="A670" s="4" t="s">
        <v>430</v>
      </c>
      <c r="B670" s="4"/>
      <c r="C670" s="4" t="s">
        <v>909</v>
      </c>
      <c r="D670" s="240" t="s">
        <v>1498</v>
      </c>
      <c r="E670" s="241"/>
      <c r="F670" s="4" t="s">
        <v>1644</v>
      </c>
      <c r="G670" s="69">
        <v>1</v>
      </c>
      <c r="H670" s="17">
        <v>0</v>
      </c>
    </row>
    <row r="671" spans="1:8" ht="12.2" customHeight="1" x14ac:dyDescent="0.2">
      <c r="D671" s="251" t="s">
        <v>1749</v>
      </c>
      <c r="E671" s="252"/>
      <c r="F671" s="252"/>
      <c r="G671" s="48">
        <v>1</v>
      </c>
    </row>
    <row r="672" spans="1:8" x14ac:dyDescent="0.2">
      <c r="A672" s="4" t="s">
        <v>431</v>
      </c>
      <c r="B672" s="4"/>
      <c r="C672" s="4" t="s">
        <v>910</v>
      </c>
      <c r="D672" s="240" t="s">
        <v>1499</v>
      </c>
      <c r="E672" s="241"/>
      <c r="F672" s="4" t="s">
        <v>1644</v>
      </c>
      <c r="G672" s="69">
        <v>6</v>
      </c>
      <c r="H672" s="17">
        <v>0</v>
      </c>
    </row>
    <row r="673" spans="1:8" ht="12.2" customHeight="1" x14ac:dyDescent="0.2">
      <c r="D673" s="251" t="s">
        <v>1806</v>
      </c>
      <c r="E673" s="252"/>
      <c r="F673" s="252"/>
      <c r="G673" s="48">
        <v>6</v>
      </c>
    </row>
    <row r="674" spans="1:8" x14ac:dyDescent="0.2">
      <c r="A674" s="4" t="s">
        <v>432</v>
      </c>
      <c r="B674" s="4"/>
      <c r="C674" s="4" t="s">
        <v>911</v>
      </c>
      <c r="D674" s="240" t="s">
        <v>1500</v>
      </c>
      <c r="E674" s="241"/>
      <c r="F674" s="4" t="s">
        <v>1644</v>
      </c>
      <c r="G674" s="69">
        <v>1</v>
      </c>
      <c r="H674" s="17">
        <v>0</v>
      </c>
    </row>
    <row r="675" spans="1:8" ht="12.2" customHeight="1" x14ac:dyDescent="0.2">
      <c r="D675" s="251" t="s">
        <v>1749</v>
      </c>
      <c r="E675" s="252"/>
      <c r="F675" s="252"/>
      <c r="G675" s="48">
        <v>1</v>
      </c>
    </row>
    <row r="676" spans="1:8" x14ac:dyDescent="0.2">
      <c r="A676" s="4" t="s">
        <v>433</v>
      </c>
      <c r="B676" s="4"/>
      <c r="C676" s="4" t="s">
        <v>912</v>
      </c>
      <c r="D676" s="240" t="s">
        <v>1501</v>
      </c>
      <c r="E676" s="241"/>
      <c r="F676" s="4" t="s">
        <v>1644</v>
      </c>
      <c r="G676" s="69">
        <v>1</v>
      </c>
      <c r="H676" s="17">
        <v>0</v>
      </c>
    </row>
    <row r="677" spans="1:8" ht="12.2" customHeight="1" x14ac:dyDescent="0.2">
      <c r="D677" s="251" t="s">
        <v>1749</v>
      </c>
      <c r="E677" s="252"/>
      <c r="F677" s="252"/>
      <c r="G677" s="48">
        <v>1</v>
      </c>
    </row>
    <row r="678" spans="1:8" x14ac:dyDescent="0.2">
      <c r="A678" s="4" t="s">
        <v>434</v>
      </c>
      <c r="B678" s="4"/>
      <c r="C678" s="4" t="s">
        <v>913</v>
      </c>
      <c r="D678" s="240" t="s">
        <v>1502</v>
      </c>
      <c r="E678" s="241"/>
      <c r="F678" s="4" t="s">
        <v>1644</v>
      </c>
      <c r="G678" s="69">
        <v>2</v>
      </c>
      <c r="H678" s="17">
        <v>0</v>
      </c>
    </row>
    <row r="679" spans="1:8" ht="12.2" customHeight="1" x14ac:dyDescent="0.2">
      <c r="D679" s="251" t="s">
        <v>1849</v>
      </c>
      <c r="E679" s="252"/>
      <c r="F679" s="252"/>
      <c r="G679" s="48">
        <v>2</v>
      </c>
    </row>
    <row r="680" spans="1:8" x14ac:dyDescent="0.2">
      <c r="A680" s="4" t="s">
        <v>435</v>
      </c>
      <c r="B680" s="4"/>
      <c r="C680" s="4" t="s">
        <v>914</v>
      </c>
      <c r="D680" s="240" t="s">
        <v>1503</v>
      </c>
      <c r="E680" s="241"/>
      <c r="F680" s="4" t="s">
        <v>1644</v>
      </c>
      <c r="G680" s="69">
        <v>2</v>
      </c>
      <c r="H680" s="17">
        <v>0</v>
      </c>
    </row>
    <row r="681" spans="1:8" ht="12.2" customHeight="1" x14ac:dyDescent="0.2">
      <c r="D681" s="251" t="s">
        <v>1849</v>
      </c>
      <c r="E681" s="252"/>
      <c r="F681" s="252"/>
      <c r="G681" s="48">
        <v>2</v>
      </c>
    </row>
    <row r="682" spans="1:8" x14ac:dyDescent="0.2">
      <c r="A682" s="4" t="s">
        <v>436</v>
      </c>
      <c r="B682" s="4"/>
      <c r="C682" s="4" t="s">
        <v>915</v>
      </c>
      <c r="D682" s="240" t="s">
        <v>1504</v>
      </c>
      <c r="E682" s="241"/>
      <c r="F682" s="4" t="s">
        <v>1644</v>
      </c>
      <c r="G682" s="69">
        <v>2</v>
      </c>
      <c r="H682" s="17">
        <v>0</v>
      </c>
    </row>
    <row r="683" spans="1:8" ht="12.2" customHeight="1" x14ac:dyDescent="0.2">
      <c r="D683" s="251" t="s">
        <v>1849</v>
      </c>
      <c r="E683" s="252"/>
      <c r="F683" s="252"/>
      <c r="G683" s="48">
        <v>2</v>
      </c>
    </row>
    <row r="684" spans="1:8" x14ac:dyDescent="0.2">
      <c r="A684" s="4" t="s">
        <v>437</v>
      </c>
      <c r="B684" s="4"/>
      <c r="C684" s="4" t="s">
        <v>916</v>
      </c>
      <c r="D684" s="240" t="s">
        <v>1505</v>
      </c>
      <c r="E684" s="241"/>
      <c r="F684" s="4" t="s">
        <v>1644</v>
      </c>
      <c r="G684" s="69">
        <v>1</v>
      </c>
      <c r="H684" s="17">
        <v>0</v>
      </c>
    </row>
    <row r="685" spans="1:8" ht="12.2" customHeight="1" x14ac:dyDescent="0.2">
      <c r="D685" s="251" t="s">
        <v>1749</v>
      </c>
      <c r="E685" s="252"/>
      <c r="F685" s="252"/>
      <c r="G685" s="48">
        <v>1</v>
      </c>
    </row>
    <row r="686" spans="1:8" x14ac:dyDescent="0.2">
      <c r="A686" s="4" t="s">
        <v>438</v>
      </c>
      <c r="B686" s="4"/>
      <c r="C686" s="4" t="s">
        <v>917</v>
      </c>
      <c r="D686" s="240" t="s">
        <v>1506</v>
      </c>
      <c r="E686" s="241"/>
      <c r="F686" s="4" t="s">
        <v>1644</v>
      </c>
      <c r="G686" s="69">
        <v>1</v>
      </c>
      <c r="H686" s="17">
        <v>0</v>
      </c>
    </row>
    <row r="687" spans="1:8" ht="12.2" customHeight="1" x14ac:dyDescent="0.2">
      <c r="D687" s="251" t="s">
        <v>1749</v>
      </c>
      <c r="E687" s="252"/>
      <c r="F687" s="252"/>
      <c r="G687" s="48">
        <v>1</v>
      </c>
    </row>
    <row r="688" spans="1:8" x14ac:dyDescent="0.2">
      <c r="A688" s="4" t="s">
        <v>439</v>
      </c>
      <c r="B688" s="4"/>
      <c r="C688" s="4" t="s">
        <v>918</v>
      </c>
      <c r="D688" s="240" t="s">
        <v>1507</v>
      </c>
      <c r="E688" s="241"/>
      <c r="F688" s="4" t="s">
        <v>1644</v>
      </c>
      <c r="G688" s="69">
        <v>2</v>
      </c>
      <c r="H688" s="17">
        <v>0</v>
      </c>
    </row>
    <row r="689" spans="1:8" ht="12.2" customHeight="1" x14ac:dyDescent="0.2">
      <c r="D689" s="251" t="s">
        <v>1849</v>
      </c>
      <c r="E689" s="252"/>
      <c r="F689" s="252"/>
      <c r="G689" s="48">
        <v>2</v>
      </c>
    </row>
    <row r="690" spans="1:8" x14ac:dyDescent="0.2">
      <c r="A690" s="4" t="s">
        <v>440</v>
      </c>
      <c r="B690" s="4"/>
      <c r="C690" s="4" t="s">
        <v>919</v>
      </c>
      <c r="D690" s="240" t="s">
        <v>1508</v>
      </c>
      <c r="E690" s="241"/>
      <c r="F690" s="4" t="s">
        <v>1644</v>
      </c>
      <c r="G690" s="69">
        <v>2</v>
      </c>
      <c r="H690" s="17">
        <v>0</v>
      </c>
    </row>
    <row r="691" spans="1:8" ht="12.2" customHeight="1" x14ac:dyDescent="0.2">
      <c r="D691" s="251" t="s">
        <v>1849</v>
      </c>
      <c r="E691" s="252"/>
      <c r="F691" s="252"/>
      <c r="G691" s="48">
        <v>2</v>
      </c>
    </row>
    <row r="692" spans="1:8" x14ac:dyDescent="0.2">
      <c r="A692" s="4" t="s">
        <v>441</v>
      </c>
      <c r="B692" s="4"/>
      <c r="C692" s="4" t="s">
        <v>920</v>
      </c>
      <c r="D692" s="240" t="s">
        <v>1509</v>
      </c>
      <c r="E692" s="241"/>
      <c r="F692" s="4" t="s">
        <v>1644</v>
      </c>
      <c r="G692" s="69">
        <v>2</v>
      </c>
      <c r="H692" s="17">
        <v>0</v>
      </c>
    </row>
    <row r="693" spans="1:8" ht="12.2" customHeight="1" x14ac:dyDescent="0.2">
      <c r="D693" s="251" t="s">
        <v>1849</v>
      </c>
      <c r="E693" s="252"/>
      <c r="F693" s="252"/>
      <c r="G693" s="48">
        <v>2</v>
      </c>
    </row>
    <row r="694" spans="1:8" x14ac:dyDescent="0.2">
      <c r="A694" s="4" t="s">
        <v>442</v>
      </c>
      <c r="B694" s="4"/>
      <c r="C694" s="4" t="s">
        <v>921</v>
      </c>
      <c r="D694" s="240" t="s">
        <v>1510</v>
      </c>
      <c r="E694" s="241"/>
      <c r="F694" s="4" t="s">
        <v>1648</v>
      </c>
      <c r="G694" s="69">
        <v>0.75900000000000001</v>
      </c>
      <c r="H694" s="17">
        <v>0</v>
      </c>
    </row>
    <row r="695" spans="1:8" ht="12.2" customHeight="1" x14ac:dyDescent="0.2">
      <c r="D695" s="251" t="s">
        <v>1868</v>
      </c>
      <c r="E695" s="252"/>
      <c r="F695" s="252"/>
      <c r="G695" s="48">
        <v>0.75900000000000001</v>
      </c>
    </row>
    <row r="696" spans="1:8" x14ac:dyDescent="0.2">
      <c r="A696" s="13"/>
      <c r="B696" s="13"/>
      <c r="C696" s="13" t="s">
        <v>922</v>
      </c>
      <c r="D696" s="244" t="s">
        <v>1511</v>
      </c>
      <c r="E696" s="245"/>
      <c r="F696" s="13"/>
      <c r="G696" s="70"/>
      <c r="H696" s="29"/>
    </row>
    <row r="697" spans="1:8" x14ac:dyDescent="0.2">
      <c r="A697" s="4" t="s">
        <v>443</v>
      </c>
      <c r="B697" s="4"/>
      <c r="C697" s="4" t="s">
        <v>923</v>
      </c>
      <c r="D697" s="240" t="s">
        <v>1512</v>
      </c>
      <c r="E697" s="241"/>
      <c r="F697" s="4" t="s">
        <v>1645</v>
      </c>
      <c r="G697" s="69">
        <v>13.693</v>
      </c>
      <c r="H697" s="17">
        <v>0</v>
      </c>
    </row>
    <row r="698" spans="1:8" ht="12.2" customHeight="1" x14ac:dyDescent="0.2">
      <c r="D698" s="251" t="s">
        <v>1869</v>
      </c>
      <c r="E698" s="252"/>
      <c r="F698" s="252"/>
      <c r="G698" s="48">
        <v>13.693</v>
      </c>
    </row>
    <row r="699" spans="1:8" x14ac:dyDescent="0.2">
      <c r="A699" s="4" t="s">
        <v>444</v>
      </c>
      <c r="B699" s="4"/>
      <c r="C699" s="4" t="s">
        <v>924</v>
      </c>
      <c r="D699" s="240" t="s">
        <v>1513</v>
      </c>
      <c r="E699" s="241"/>
      <c r="F699" s="4" t="s">
        <v>1645</v>
      </c>
      <c r="G699" s="69">
        <v>13.693</v>
      </c>
      <c r="H699" s="17">
        <v>0</v>
      </c>
    </row>
    <row r="700" spans="1:8" ht="12.2" customHeight="1" x14ac:dyDescent="0.2">
      <c r="D700" s="251" t="s">
        <v>1869</v>
      </c>
      <c r="E700" s="252"/>
      <c r="F700" s="252"/>
      <c r="G700" s="48">
        <v>13.693</v>
      </c>
    </row>
    <row r="701" spans="1:8" x14ac:dyDescent="0.2">
      <c r="A701" s="4" t="s">
        <v>445</v>
      </c>
      <c r="B701" s="4"/>
      <c r="C701" s="4" t="s">
        <v>925</v>
      </c>
      <c r="D701" s="240" t="s">
        <v>1514</v>
      </c>
      <c r="E701" s="241"/>
      <c r="F701" s="4" t="s">
        <v>1645</v>
      </c>
      <c r="G701" s="69">
        <v>13.693</v>
      </c>
      <c r="H701" s="17">
        <v>0</v>
      </c>
    </row>
    <row r="702" spans="1:8" ht="12.2" customHeight="1" x14ac:dyDescent="0.2">
      <c r="D702" s="251" t="s">
        <v>1869</v>
      </c>
      <c r="E702" s="252"/>
      <c r="F702" s="252"/>
      <c r="G702" s="48">
        <v>13.693</v>
      </c>
    </row>
    <row r="703" spans="1:8" x14ac:dyDescent="0.2">
      <c r="A703" s="6" t="s">
        <v>446</v>
      </c>
      <c r="B703" s="6"/>
      <c r="C703" s="6" t="s">
        <v>926</v>
      </c>
      <c r="D703" s="246" t="s">
        <v>1515</v>
      </c>
      <c r="E703" s="247"/>
      <c r="F703" s="6" t="s">
        <v>1645</v>
      </c>
      <c r="G703" s="72">
        <v>14.378</v>
      </c>
      <c r="H703" s="18">
        <v>0</v>
      </c>
    </row>
    <row r="704" spans="1:8" ht="12.2" customHeight="1" x14ac:dyDescent="0.2">
      <c r="D704" s="253" t="s">
        <v>1870</v>
      </c>
      <c r="E704" s="254"/>
      <c r="F704" s="254"/>
      <c r="G704" s="49">
        <v>13.693</v>
      </c>
    </row>
    <row r="705" spans="1:8" ht="12.2" customHeight="1" x14ac:dyDescent="0.2">
      <c r="A705" s="6"/>
      <c r="B705" s="6"/>
      <c r="C705" s="6"/>
      <c r="D705" s="253" t="s">
        <v>1871</v>
      </c>
      <c r="E705" s="254"/>
      <c r="F705" s="253"/>
      <c r="G705" s="73">
        <v>0.68500000000000005</v>
      </c>
      <c r="H705" s="30"/>
    </row>
    <row r="706" spans="1:8" x14ac:dyDescent="0.2">
      <c r="A706" s="4" t="s">
        <v>447</v>
      </c>
      <c r="B706" s="4"/>
      <c r="C706" s="4" t="s">
        <v>927</v>
      </c>
      <c r="D706" s="240" t="s">
        <v>1516</v>
      </c>
      <c r="E706" s="241"/>
      <c r="F706" s="4" t="s">
        <v>1646</v>
      </c>
      <c r="G706" s="69">
        <v>19.48</v>
      </c>
      <c r="H706" s="17">
        <v>0</v>
      </c>
    </row>
    <row r="707" spans="1:8" ht="12.2" customHeight="1" x14ac:dyDescent="0.2">
      <c r="D707" s="251" t="s">
        <v>1872</v>
      </c>
      <c r="E707" s="252"/>
      <c r="F707" s="252"/>
      <c r="G707" s="48">
        <v>19.48</v>
      </c>
    </row>
    <row r="708" spans="1:8" x14ac:dyDescent="0.2">
      <c r="A708" s="6" t="s">
        <v>448</v>
      </c>
      <c r="B708" s="6"/>
      <c r="C708" s="6" t="s">
        <v>928</v>
      </c>
      <c r="D708" s="246" t="s">
        <v>1517</v>
      </c>
      <c r="E708" s="247"/>
      <c r="F708" s="6" t="s">
        <v>1645</v>
      </c>
      <c r="G708" s="72">
        <v>2.4350000000000001</v>
      </c>
      <c r="H708" s="18">
        <v>0</v>
      </c>
    </row>
    <row r="709" spans="1:8" ht="12.2" customHeight="1" x14ac:dyDescent="0.2">
      <c r="D709" s="253" t="s">
        <v>1873</v>
      </c>
      <c r="E709" s="254"/>
      <c r="F709" s="254"/>
      <c r="G709" s="49">
        <v>1.948</v>
      </c>
    </row>
    <row r="710" spans="1:8" ht="12.2" customHeight="1" x14ac:dyDescent="0.2">
      <c r="A710" s="6"/>
      <c r="B710" s="6"/>
      <c r="C710" s="6"/>
      <c r="D710" s="253" t="s">
        <v>1874</v>
      </c>
      <c r="E710" s="254"/>
      <c r="F710" s="253"/>
      <c r="G710" s="73">
        <v>0.48699999999999999</v>
      </c>
      <c r="H710" s="30"/>
    </row>
    <row r="711" spans="1:8" x14ac:dyDescent="0.2">
      <c r="A711" s="4" t="s">
        <v>449</v>
      </c>
      <c r="B711" s="4"/>
      <c r="C711" s="4" t="s">
        <v>929</v>
      </c>
      <c r="D711" s="240" t="s">
        <v>1518</v>
      </c>
      <c r="E711" s="241"/>
      <c r="F711" s="4" t="s">
        <v>1648</v>
      </c>
      <c r="G711" s="69">
        <v>0.4</v>
      </c>
      <c r="H711" s="17">
        <v>0</v>
      </c>
    </row>
    <row r="712" spans="1:8" ht="12.2" customHeight="1" x14ac:dyDescent="0.2">
      <c r="D712" s="251" t="s">
        <v>1875</v>
      </c>
      <c r="E712" s="252"/>
      <c r="F712" s="252"/>
      <c r="G712" s="48">
        <v>0.4</v>
      </c>
    </row>
    <row r="713" spans="1:8" x14ac:dyDescent="0.2">
      <c r="A713" s="13"/>
      <c r="B713" s="13"/>
      <c r="C713" s="13" t="s">
        <v>930</v>
      </c>
      <c r="D713" s="244" t="s">
        <v>1519</v>
      </c>
      <c r="E713" s="245"/>
      <c r="F713" s="13"/>
      <c r="G713" s="70"/>
      <c r="H713" s="29"/>
    </row>
    <row r="714" spans="1:8" x14ac:dyDescent="0.2">
      <c r="A714" s="4" t="s">
        <v>450</v>
      </c>
      <c r="B714" s="4"/>
      <c r="C714" s="4" t="s">
        <v>931</v>
      </c>
      <c r="D714" s="240" t="s">
        <v>1520</v>
      </c>
      <c r="E714" s="241"/>
      <c r="F714" s="4" t="s">
        <v>1645</v>
      </c>
      <c r="G714" s="69">
        <v>843.77</v>
      </c>
      <c r="H714" s="17">
        <v>0</v>
      </c>
    </row>
    <row r="715" spans="1:8" ht="12.2" customHeight="1" x14ac:dyDescent="0.2">
      <c r="D715" s="251" t="s">
        <v>1876</v>
      </c>
      <c r="E715" s="252"/>
      <c r="F715" s="252"/>
      <c r="G715" s="48">
        <v>285.03699999999998</v>
      </c>
    </row>
    <row r="716" spans="1:8" ht="12.2" customHeight="1" x14ac:dyDescent="0.2">
      <c r="A716" s="4"/>
      <c r="B716" s="4"/>
      <c r="C716" s="4"/>
      <c r="D716" s="251" t="s">
        <v>1877</v>
      </c>
      <c r="E716" s="252"/>
      <c r="F716" s="251"/>
      <c r="G716" s="71">
        <v>241.65700000000001</v>
      </c>
      <c r="H716" s="28"/>
    </row>
    <row r="717" spans="1:8" ht="12.2" customHeight="1" x14ac:dyDescent="0.2">
      <c r="A717" s="4"/>
      <c r="B717" s="4"/>
      <c r="C717" s="4"/>
      <c r="D717" s="251" t="s">
        <v>1878</v>
      </c>
      <c r="E717" s="252"/>
      <c r="F717" s="251"/>
      <c r="G717" s="71">
        <v>317.07600000000002</v>
      </c>
      <c r="H717" s="28"/>
    </row>
    <row r="718" spans="1:8" x14ac:dyDescent="0.2">
      <c r="A718" s="4" t="s">
        <v>451</v>
      </c>
      <c r="B718" s="4"/>
      <c r="C718" s="4" t="s">
        <v>932</v>
      </c>
      <c r="D718" s="240" t="s">
        <v>1521</v>
      </c>
      <c r="E718" s="241"/>
      <c r="F718" s="4" t="s">
        <v>1645</v>
      </c>
      <c r="G718" s="69">
        <v>438.322</v>
      </c>
      <c r="H718" s="17">
        <v>0</v>
      </c>
    </row>
    <row r="719" spans="1:8" ht="12.2" customHeight="1" x14ac:dyDescent="0.2">
      <c r="D719" s="251" t="s">
        <v>1876</v>
      </c>
      <c r="E719" s="252"/>
      <c r="F719" s="252"/>
      <c r="G719" s="48">
        <v>285.03699999999998</v>
      </c>
    </row>
    <row r="720" spans="1:8" ht="12.2" customHeight="1" x14ac:dyDescent="0.2">
      <c r="A720" s="4"/>
      <c r="B720" s="4"/>
      <c r="C720" s="4"/>
      <c r="D720" s="251" t="s">
        <v>1879</v>
      </c>
      <c r="E720" s="252"/>
      <c r="F720" s="251"/>
      <c r="G720" s="71">
        <v>153.285</v>
      </c>
      <c r="H720" s="28"/>
    </row>
    <row r="721" spans="1:8" x14ac:dyDescent="0.2">
      <c r="A721" s="4" t="s">
        <v>452</v>
      </c>
      <c r="B721" s="4"/>
      <c r="C721" s="4" t="s">
        <v>933</v>
      </c>
      <c r="D721" s="240" t="s">
        <v>1522</v>
      </c>
      <c r="E721" s="241"/>
      <c r="F721" s="4" t="s">
        <v>1645</v>
      </c>
      <c r="G721" s="69">
        <v>843.77</v>
      </c>
      <c r="H721" s="17">
        <v>0</v>
      </c>
    </row>
    <row r="722" spans="1:8" ht="12.2" customHeight="1" x14ac:dyDescent="0.2">
      <c r="D722" s="251" t="s">
        <v>1876</v>
      </c>
      <c r="E722" s="252"/>
      <c r="F722" s="252"/>
      <c r="G722" s="48">
        <v>285.03699999999998</v>
      </c>
    </row>
    <row r="723" spans="1:8" ht="12.2" customHeight="1" x14ac:dyDescent="0.2">
      <c r="A723" s="4"/>
      <c r="B723" s="4"/>
      <c r="C723" s="4"/>
      <c r="D723" s="251" t="s">
        <v>1877</v>
      </c>
      <c r="E723" s="252"/>
      <c r="F723" s="251"/>
      <c r="G723" s="71">
        <v>241.65700000000001</v>
      </c>
      <c r="H723" s="28"/>
    </row>
    <row r="724" spans="1:8" ht="12.2" customHeight="1" x14ac:dyDescent="0.2">
      <c r="A724" s="4"/>
      <c r="B724" s="4"/>
      <c r="C724" s="4"/>
      <c r="D724" s="251" t="s">
        <v>1878</v>
      </c>
      <c r="E724" s="252"/>
      <c r="F724" s="251"/>
      <c r="G724" s="71">
        <v>317.07600000000002</v>
      </c>
      <c r="H724" s="28"/>
    </row>
    <row r="725" spans="1:8" x14ac:dyDescent="0.2">
      <c r="A725" s="4" t="s">
        <v>453</v>
      </c>
      <c r="B725" s="4"/>
      <c r="C725" s="4" t="s">
        <v>934</v>
      </c>
      <c r="D725" s="240" t="s">
        <v>1523</v>
      </c>
      <c r="E725" s="241"/>
      <c r="F725" s="4" t="s">
        <v>1645</v>
      </c>
      <c r="G725" s="69">
        <v>241.65700000000001</v>
      </c>
      <c r="H725" s="17">
        <v>0</v>
      </c>
    </row>
    <row r="726" spans="1:8" ht="12.2" customHeight="1" x14ac:dyDescent="0.2">
      <c r="D726" s="251" t="s">
        <v>1877</v>
      </c>
      <c r="E726" s="252"/>
      <c r="F726" s="252"/>
      <c r="G726" s="48">
        <v>241.65700000000001</v>
      </c>
    </row>
    <row r="727" spans="1:8" x14ac:dyDescent="0.2">
      <c r="A727" s="4" t="s">
        <v>454</v>
      </c>
      <c r="B727" s="4"/>
      <c r="C727" s="4" t="s">
        <v>935</v>
      </c>
      <c r="D727" s="240" t="s">
        <v>1524</v>
      </c>
      <c r="E727" s="241"/>
      <c r="F727" s="4" t="s">
        <v>1645</v>
      </c>
      <c r="G727" s="69">
        <v>602.11300000000006</v>
      </c>
      <c r="H727" s="17">
        <v>0</v>
      </c>
    </row>
    <row r="728" spans="1:8" ht="12.2" customHeight="1" x14ac:dyDescent="0.2">
      <c r="D728" s="251" t="s">
        <v>1876</v>
      </c>
      <c r="E728" s="252"/>
      <c r="F728" s="252"/>
      <c r="G728" s="48">
        <v>285.03699999999998</v>
      </c>
    </row>
    <row r="729" spans="1:8" ht="12.2" customHeight="1" x14ac:dyDescent="0.2">
      <c r="A729" s="4"/>
      <c r="B729" s="4"/>
      <c r="C729" s="4"/>
      <c r="D729" s="251" t="s">
        <v>1878</v>
      </c>
      <c r="E729" s="252"/>
      <c r="F729" s="251"/>
      <c r="G729" s="71">
        <v>317.07600000000002</v>
      </c>
      <c r="H729" s="28"/>
    </row>
    <row r="730" spans="1:8" x14ac:dyDescent="0.2">
      <c r="A730" s="13"/>
      <c r="B730" s="13"/>
      <c r="C730" s="13" t="s">
        <v>936</v>
      </c>
      <c r="D730" s="244" t="s">
        <v>1525</v>
      </c>
      <c r="E730" s="245"/>
      <c r="F730" s="13"/>
      <c r="G730" s="70"/>
      <c r="H730" s="29"/>
    </row>
    <row r="731" spans="1:8" x14ac:dyDescent="0.2">
      <c r="A731" s="4" t="s">
        <v>455</v>
      </c>
      <c r="B731" s="4"/>
      <c r="C731" s="4" t="s">
        <v>937</v>
      </c>
      <c r="D731" s="240" t="s">
        <v>1526</v>
      </c>
      <c r="E731" s="241"/>
      <c r="F731" s="4" t="s">
        <v>1644</v>
      </c>
      <c r="G731" s="69">
        <v>2</v>
      </c>
      <c r="H731" s="17">
        <v>0</v>
      </c>
    </row>
    <row r="732" spans="1:8" ht="12.2" customHeight="1" x14ac:dyDescent="0.2">
      <c r="D732" s="251" t="s">
        <v>1849</v>
      </c>
      <c r="E732" s="252"/>
      <c r="F732" s="252"/>
      <c r="G732" s="48">
        <v>2</v>
      </c>
    </row>
    <row r="733" spans="1:8" x14ac:dyDescent="0.2">
      <c r="A733" s="4" t="s">
        <v>456</v>
      </c>
      <c r="B733" s="4"/>
      <c r="C733" s="4" t="s">
        <v>938</v>
      </c>
      <c r="D733" s="240" t="s">
        <v>1527</v>
      </c>
      <c r="E733" s="241"/>
      <c r="F733" s="4" t="s">
        <v>1655</v>
      </c>
      <c r="G733" s="69">
        <v>1</v>
      </c>
      <c r="H733" s="17">
        <v>0</v>
      </c>
    </row>
    <row r="734" spans="1:8" ht="12.2" customHeight="1" x14ac:dyDescent="0.2">
      <c r="D734" s="251" t="s">
        <v>1749</v>
      </c>
      <c r="E734" s="252"/>
      <c r="F734" s="252"/>
      <c r="G734" s="48">
        <v>1</v>
      </c>
    </row>
    <row r="735" spans="1:8" x14ac:dyDescent="0.2">
      <c r="A735" s="4" t="s">
        <v>457</v>
      </c>
      <c r="B735" s="4"/>
      <c r="C735" s="4" t="s">
        <v>939</v>
      </c>
      <c r="D735" s="240" t="s">
        <v>1528</v>
      </c>
      <c r="E735" s="241"/>
      <c r="F735" s="4" t="s">
        <v>1644</v>
      </c>
      <c r="G735" s="69">
        <v>1</v>
      </c>
      <c r="H735" s="17">
        <v>0</v>
      </c>
    </row>
    <row r="736" spans="1:8" ht="12.2" customHeight="1" x14ac:dyDescent="0.2">
      <c r="D736" s="251" t="s">
        <v>1749</v>
      </c>
      <c r="E736" s="252"/>
      <c r="F736" s="252"/>
      <c r="G736" s="48">
        <v>1</v>
      </c>
    </row>
    <row r="737" spans="1:8" x14ac:dyDescent="0.2">
      <c r="A737" s="4" t="s">
        <v>458</v>
      </c>
      <c r="B737" s="4"/>
      <c r="C737" s="4" t="s">
        <v>940</v>
      </c>
      <c r="D737" s="240" t="s">
        <v>1529</v>
      </c>
      <c r="E737" s="241"/>
      <c r="F737" s="4" t="s">
        <v>1644</v>
      </c>
      <c r="G737" s="69">
        <v>1</v>
      </c>
      <c r="H737" s="17">
        <v>0</v>
      </c>
    </row>
    <row r="738" spans="1:8" ht="12.2" customHeight="1" x14ac:dyDescent="0.2">
      <c r="D738" s="251" t="s">
        <v>1749</v>
      </c>
      <c r="E738" s="252"/>
      <c r="F738" s="252"/>
      <c r="G738" s="48">
        <v>1</v>
      </c>
    </row>
    <row r="739" spans="1:8" x14ac:dyDescent="0.2">
      <c r="A739" s="4" t="s">
        <v>459</v>
      </c>
      <c r="B739" s="4"/>
      <c r="C739" s="4" t="s">
        <v>941</v>
      </c>
      <c r="D739" s="240" t="s">
        <v>1530</v>
      </c>
      <c r="E739" s="241"/>
      <c r="F739" s="4" t="s">
        <v>1644</v>
      </c>
      <c r="G739" s="69">
        <v>1</v>
      </c>
      <c r="H739" s="17">
        <v>0</v>
      </c>
    </row>
    <row r="740" spans="1:8" ht="12.2" customHeight="1" x14ac:dyDescent="0.2">
      <c r="D740" s="251" t="s">
        <v>1749</v>
      </c>
      <c r="E740" s="252"/>
      <c r="F740" s="252"/>
      <c r="G740" s="48">
        <v>1</v>
      </c>
    </row>
    <row r="741" spans="1:8" x14ac:dyDescent="0.2">
      <c r="A741" s="4" t="s">
        <v>460</v>
      </c>
      <c r="B741" s="4"/>
      <c r="C741" s="4" t="s">
        <v>942</v>
      </c>
      <c r="D741" s="240" t="s">
        <v>1531</v>
      </c>
      <c r="E741" s="241"/>
      <c r="F741" s="4" t="s">
        <v>1644</v>
      </c>
      <c r="G741" s="69">
        <v>1</v>
      </c>
      <c r="H741" s="17">
        <v>0</v>
      </c>
    </row>
    <row r="742" spans="1:8" x14ac:dyDescent="0.2">
      <c r="A742" s="4" t="s">
        <v>461</v>
      </c>
      <c r="B742" s="4"/>
      <c r="C742" s="4" t="s">
        <v>943</v>
      </c>
      <c r="D742" s="240" t="s">
        <v>1532</v>
      </c>
      <c r="E742" s="241"/>
      <c r="F742" s="4" t="s">
        <v>1646</v>
      </c>
      <c r="G742" s="69">
        <v>60</v>
      </c>
      <c r="H742" s="17">
        <v>0</v>
      </c>
    </row>
    <row r="743" spans="1:8" x14ac:dyDescent="0.2">
      <c r="A743" s="4" t="s">
        <v>462</v>
      </c>
      <c r="B743" s="4"/>
      <c r="C743" s="4" t="s">
        <v>944</v>
      </c>
      <c r="D743" s="240" t="s">
        <v>1533</v>
      </c>
      <c r="E743" s="241"/>
      <c r="F743" s="4" t="s">
        <v>1646</v>
      </c>
      <c r="G743" s="69">
        <v>30</v>
      </c>
      <c r="H743" s="17">
        <v>0</v>
      </c>
    </row>
    <row r="744" spans="1:8" x14ac:dyDescent="0.2">
      <c r="A744" s="4" t="s">
        <v>463</v>
      </c>
      <c r="B744" s="4"/>
      <c r="C744" s="4" t="s">
        <v>945</v>
      </c>
      <c r="D744" s="240" t="s">
        <v>1534</v>
      </c>
      <c r="E744" s="241"/>
      <c r="F744" s="4" t="s">
        <v>1644</v>
      </c>
      <c r="G744" s="69">
        <v>5</v>
      </c>
      <c r="H744" s="17">
        <v>0</v>
      </c>
    </row>
    <row r="745" spans="1:8" x14ac:dyDescent="0.2">
      <c r="A745" s="4" t="s">
        <v>464</v>
      </c>
      <c r="B745" s="4"/>
      <c r="C745" s="4" t="s">
        <v>946</v>
      </c>
      <c r="D745" s="240" t="s">
        <v>1535</v>
      </c>
      <c r="E745" s="241"/>
      <c r="F745" s="4" t="s">
        <v>1644</v>
      </c>
      <c r="G745" s="69">
        <v>3</v>
      </c>
      <c r="H745" s="17">
        <v>0</v>
      </c>
    </row>
    <row r="746" spans="1:8" x14ac:dyDescent="0.2">
      <c r="A746" s="4" t="s">
        <v>465</v>
      </c>
      <c r="B746" s="4"/>
      <c r="C746" s="4" t="s">
        <v>947</v>
      </c>
      <c r="D746" s="240" t="s">
        <v>1536</v>
      </c>
      <c r="E746" s="241"/>
      <c r="F746" s="4" t="s">
        <v>1644</v>
      </c>
      <c r="G746" s="69">
        <v>24</v>
      </c>
      <c r="H746" s="17">
        <v>0</v>
      </c>
    </row>
    <row r="747" spans="1:8" x14ac:dyDescent="0.2">
      <c r="A747" s="4" t="s">
        <v>466</v>
      </c>
      <c r="B747" s="4"/>
      <c r="C747" s="4" t="s">
        <v>948</v>
      </c>
      <c r="D747" s="240" t="s">
        <v>1537</v>
      </c>
      <c r="E747" s="241"/>
      <c r="F747" s="4" t="s">
        <v>1644</v>
      </c>
      <c r="G747" s="69">
        <v>1</v>
      </c>
      <c r="H747" s="17">
        <v>0</v>
      </c>
    </row>
    <row r="748" spans="1:8" x14ac:dyDescent="0.2">
      <c r="A748" s="4" t="s">
        <v>467</v>
      </c>
      <c r="B748" s="4"/>
      <c r="C748" s="4" t="s">
        <v>949</v>
      </c>
      <c r="D748" s="240" t="s">
        <v>1538</v>
      </c>
      <c r="E748" s="241"/>
      <c r="F748" s="4" t="s">
        <v>1646</v>
      </c>
      <c r="G748" s="69">
        <v>10</v>
      </c>
      <c r="H748" s="17">
        <v>0</v>
      </c>
    </row>
    <row r="749" spans="1:8" x14ac:dyDescent="0.2">
      <c r="A749" s="4" t="s">
        <v>468</v>
      </c>
      <c r="B749" s="4"/>
      <c r="C749" s="4" t="s">
        <v>950</v>
      </c>
      <c r="D749" s="240" t="s">
        <v>1539</v>
      </c>
      <c r="E749" s="241"/>
      <c r="F749" s="4" t="s">
        <v>1646</v>
      </c>
      <c r="G749" s="69">
        <v>30</v>
      </c>
      <c r="H749" s="17">
        <v>0</v>
      </c>
    </row>
    <row r="750" spans="1:8" x14ac:dyDescent="0.2">
      <c r="A750" s="4" t="s">
        <v>469</v>
      </c>
      <c r="B750" s="4"/>
      <c r="C750" s="4" t="s">
        <v>951</v>
      </c>
      <c r="D750" s="240" t="s">
        <v>1540</v>
      </c>
      <c r="E750" s="241"/>
      <c r="F750" s="4" t="s">
        <v>1646</v>
      </c>
      <c r="G750" s="69">
        <v>40</v>
      </c>
      <c r="H750" s="17">
        <v>0</v>
      </c>
    </row>
    <row r="751" spans="1:8" x14ac:dyDescent="0.2">
      <c r="A751" s="4" t="s">
        <v>470</v>
      </c>
      <c r="B751" s="4"/>
      <c r="C751" s="4" t="s">
        <v>952</v>
      </c>
      <c r="D751" s="240" t="s">
        <v>1541</v>
      </c>
      <c r="E751" s="241"/>
      <c r="F751" s="4" t="s">
        <v>1646</v>
      </c>
      <c r="G751" s="69">
        <v>40</v>
      </c>
      <c r="H751" s="17">
        <v>0</v>
      </c>
    </row>
    <row r="752" spans="1:8" x14ac:dyDescent="0.2">
      <c r="A752" s="4" t="s">
        <v>471</v>
      </c>
      <c r="B752" s="4"/>
      <c r="C752" s="4" t="s">
        <v>953</v>
      </c>
      <c r="D752" s="240" t="s">
        <v>1542</v>
      </c>
      <c r="E752" s="241"/>
      <c r="F752" s="4" t="s">
        <v>1646</v>
      </c>
      <c r="G752" s="69">
        <v>30</v>
      </c>
      <c r="H752" s="17">
        <v>0</v>
      </c>
    </row>
    <row r="753" spans="1:8" x14ac:dyDescent="0.2">
      <c r="A753" s="4" t="s">
        <v>472</v>
      </c>
      <c r="B753" s="4"/>
      <c r="C753" s="4" t="s">
        <v>954</v>
      </c>
      <c r="D753" s="240" t="s">
        <v>1543</v>
      </c>
      <c r="E753" s="241"/>
      <c r="F753" s="4" t="s">
        <v>1644</v>
      </c>
      <c r="G753" s="69">
        <v>1</v>
      </c>
      <c r="H753" s="17">
        <v>0</v>
      </c>
    </row>
    <row r="754" spans="1:8" x14ac:dyDescent="0.2">
      <c r="A754" s="4" t="s">
        <v>473</v>
      </c>
      <c r="B754" s="4"/>
      <c r="C754" s="4" t="s">
        <v>955</v>
      </c>
      <c r="D754" s="240" t="s">
        <v>1544</v>
      </c>
      <c r="E754" s="241"/>
      <c r="F754" s="4" t="s">
        <v>1644</v>
      </c>
      <c r="G754" s="69">
        <v>4</v>
      </c>
      <c r="H754" s="17">
        <v>0</v>
      </c>
    </row>
    <row r="755" spans="1:8" x14ac:dyDescent="0.2">
      <c r="A755" s="4" t="s">
        <v>474</v>
      </c>
      <c r="B755" s="4"/>
      <c r="C755" s="4" t="s">
        <v>956</v>
      </c>
      <c r="D755" s="240" t="s">
        <v>1545</v>
      </c>
      <c r="E755" s="241"/>
      <c r="F755" s="4" t="s">
        <v>1646</v>
      </c>
      <c r="G755" s="69">
        <v>120</v>
      </c>
      <c r="H755" s="17">
        <v>0</v>
      </c>
    </row>
    <row r="756" spans="1:8" x14ac:dyDescent="0.2">
      <c r="A756" s="4" t="s">
        <v>475</v>
      </c>
      <c r="B756" s="4"/>
      <c r="C756" s="4" t="s">
        <v>957</v>
      </c>
      <c r="D756" s="240" t="s">
        <v>1546</v>
      </c>
      <c r="E756" s="241"/>
      <c r="F756" s="4" t="s">
        <v>1646</v>
      </c>
      <c r="G756" s="69">
        <v>30</v>
      </c>
      <c r="H756" s="17">
        <v>0</v>
      </c>
    </row>
    <row r="757" spans="1:8" x14ac:dyDescent="0.2">
      <c r="A757" s="4" t="s">
        <v>476</v>
      </c>
      <c r="B757" s="4"/>
      <c r="C757" s="4" t="s">
        <v>958</v>
      </c>
      <c r="D757" s="240" t="s">
        <v>1547</v>
      </c>
      <c r="E757" s="241"/>
      <c r="F757" s="4" t="s">
        <v>1646</v>
      </c>
      <c r="G757" s="69">
        <v>100</v>
      </c>
      <c r="H757" s="17">
        <v>0</v>
      </c>
    </row>
    <row r="758" spans="1:8" x14ac:dyDescent="0.2">
      <c r="A758" s="4" t="s">
        <v>477</v>
      </c>
      <c r="B758" s="4"/>
      <c r="C758" s="4" t="s">
        <v>959</v>
      </c>
      <c r="D758" s="240" t="s">
        <v>1548</v>
      </c>
      <c r="E758" s="241"/>
      <c r="F758" s="4" t="s">
        <v>1644</v>
      </c>
      <c r="G758" s="69">
        <v>4</v>
      </c>
      <c r="H758" s="17">
        <v>0</v>
      </c>
    </row>
    <row r="759" spans="1:8" x14ac:dyDescent="0.2">
      <c r="A759" s="4" t="s">
        <v>478</v>
      </c>
      <c r="B759" s="4"/>
      <c r="C759" s="4" t="s">
        <v>960</v>
      </c>
      <c r="D759" s="240" t="s">
        <v>1549</v>
      </c>
      <c r="E759" s="241"/>
      <c r="F759" s="4" t="s">
        <v>1644</v>
      </c>
      <c r="G759" s="69">
        <v>6</v>
      </c>
      <c r="H759" s="17">
        <v>0</v>
      </c>
    </row>
    <row r="760" spans="1:8" x14ac:dyDescent="0.2">
      <c r="A760" s="4" t="s">
        <v>479</v>
      </c>
      <c r="B760" s="4"/>
      <c r="C760" s="4" t="s">
        <v>961</v>
      </c>
      <c r="D760" s="240" t="s">
        <v>1550</v>
      </c>
      <c r="E760" s="241"/>
      <c r="F760" s="4" t="s">
        <v>1646</v>
      </c>
      <c r="G760" s="69">
        <v>80</v>
      </c>
      <c r="H760" s="17">
        <v>0</v>
      </c>
    </row>
    <row r="761" spans="1:8" x14ac:dyDescent="0.2">
      <c r="A761" s="4" t="s">
        <v>480</v>
      </c>
      <c r="B761" s="4"/>
      <c r="C761" s="4" t="s">
        <v>962</v>
      </c>
      <c r="D761" s="240" t="s">
        <v>1551</v>
      </c>
      <c r="E761" s="241"/>
      <c r="F761" s="4" t="s">
        <v>1644</v>
      </c>
      <c r="G761" s="69">
        <v>1</v>
      </c>
      <c r="H761" s="17">
        <v>0</v>
      </c>
    </row>
    <row r="762" spans="1:8" x14ac:dyDescent="0.2">
      <c r="A762" s="4" t="s">
        <v>481</v>
      </c>
      <c r="B762" s="4"/>
      <c r="C762" s="4" t="s">
        <v>963</v>
      </c>
      <c r="D762" s="240" t="s">
        <v>1552</v>
      </c>
      <c r="E762" s="241"/>
      <c r="F762" s="4" t="s">
        <v>1644</v>
      </c>
      <c r="G762" s="69">
        <v>1</v>
      </c>
      <c r="H762" s="17">
        <v>0</v>
      </c>
    </row>
    <row r="763" spans="1:8" x14ac:dyDescent="0.2">
      <c r="A763" s="4" t="s">
        <v>482</v>
      </c>
      <c r="B763" s="4"/>
      <c r="C763" s="4" t="s">
        <v>964</v>
      </c>
      <c r="D763" s="240" t="s">
        <v>1553</v>
      </c>
      <c r="E763" s="241"/>
      <c r="F763" s="4" t="s">
        <v>1644</v>
      </c>
      <c r="G763" s="69">
        <v>1</v>
      </c>
      <c r="H763" s="17">
        <v>0</v>
      </c>
    </row>
    <row r="764" spans="1:8" x14ac:dyDescent="0.2">
      <c r="A764" s="4" t="s">
        <v>483</v>
      </c>
      <c r="B764" s="4"/>
      <c r="C764" s="4" t="s">
        <v>965</v>
      </c>
      <c r="D764" s="240" t="s">
        <v>1554</v>
      </c>
      <c r="E764" s="241"/>
      <c r="F764" s="4" t="s">
        <v>1644</v>
      </c>
      <c r="G764" s="69">
        <v>1</v>
      </c>
      <c r="H764" s="17">
        <v>0</v>
      </c>
    </row>
    <row r="765" spans="1:8" x14ac:dyDescent="0.2">
      <c r="A765" s="4" t="s">
        <v>484</v>
      </c>
      <c r="B765" s="4"/>
      <c r="C765" s="4" t="s">
        <v>966</v>
      </c>
      <c r="D765" s="240" t="s">
        <v>1555</v>
      </c>
      <c r="E765" s="241"/>
      <c r="F765" s="4" t="s">
        <v>1644</v>
      </c>
      <c r="G765" s="69">
        <v>1</v>
      </c>
      <c r="H765" s="17">
        <v>0</v>
      </c>
    </row>
    <row r="766" spans="1:8" x14ac:dyDescent="0.2">
      <c r="A766" s="13"/>
      <c r="B766" s="13"/>
      <c r="C766" s="13" t="s">
        <v>967</v>
      </c>
      <c r="D766" s="244" t="s">
        <v>1556</v>
      </c>
      <c r="E766" s="245"/>
      <c r="F766" s="13"/>
      <c r="G766" s="70"/>
      <c r="H766" s="29"/>
    </row>
    <row r="767" spans="1:8" x14ac:dyDescent="0.2">
      <c r="A767" s="4" t="s">
        <v>485</v>
      </c>
      <c r="B767" s="4"/>
      <c r="C767" s="4" t="s">
        <v>968</v>
      </c>
      <c r="D767" s="240" t="s">
        <v>1557</v>
      </c>
      <c r="E767" s="241"/>
      <c r="F767" s="4" t="s">
        <v>1644</v>
      </c>
      <c r="G767" s="69">
        <v>1</v>
      </c>
      <c r="H767" s="17">
        <v>0</v>
      </c>
    </row>
    <row r="768" spans="1:8" ht="12.2" customHeight="1" x14ac:dyDescent="0.2">
      <c r="D768" s="251" t="s">
        <v>1749</v>
      </c>
      <c r="E768" s="252"/>
      <c r="F768" s="252"/>
      <c r="G768" s="48">
        <v>1</v>
      </c>
    </row>
    <row r="769" spans="1:8" x14ac:dyDescent="0.2">
      <c r="A769" s="4" t="s">
        <v>486</v>
      </c>
      <c r="B769" s="4"/>
      <c r="C769" s="4" t="s">
        <v>969</v>
      </c>
      <c r="D769" s="240" t="s">
        <v>1558</v>
      </c>
      <c r="E769" s="241"/>
      <c r="F769" s="4" t="s">
        <v>1644</v>
      </c>
      <c r="G769" s="69">
        <v>1</v>
      </c>
      <c r="H769" s="17">
        <v>0</v>
      </c>
    </row>
    <row r="770" spans="1:8" ht="12.2" customHeight="1" x14ac:dyDescent="0.2">
      <c r="D770" s="251" t="s">
        <v>1749</v>
      </c>
      <c r="E770" s="252"/>
      <c r="F770" s="252"/>
      <c r="G770" s="48">
        <v>1</v>
      </c>
    </row>
    <row r="771" spans="1:8" x14ac:dyDescent="0.2">
      <c r="A771" s="13"/>
      <c r="B771" s="13"/>
      <c r="C771" s="13" t="s">
        <v>970</v>
      </c>
      <c r="D771" s="244" t="s">
        <v>1559</v>
      </c>
      <c r="E771" s="245"/>
      <c r="F771" s="13"/>
      <c r="G771" s="70"/>
      <c r="H771" s="29"/>
    </row>
    <row r="772" spans="1:8" x14ac:dyDescent="0.2">
      <c r="A772" s="4" t="s">
        <v>487</v>
      </c>
      <c r="B772" s="4"/>
      <c r="C772" s="4" t="s">
        <v>971</v>
      </c>
      <c r="D772" s="240" t="s">
        <v>1560</v>
      </c>
      <c r="E772" s="241"/>
      <c r="F772" s="4" t="s">
        <v>1644</v>
      </c>
      <c r="G772" s="69">
        <v>1</v>
      </c>
      <c r="H772" s="17">
        <v>0</v>
      </c>
    </row>
    <row r="773" spans="1:8" x14ac:dyDescent="0.2">
      <c r="A773" s="4" t="s">
        <v>488</v>
      </c>
      <c r="B773" s="4"/>
      <c r="C773" s="4" t="s">
        <v>972</v>
      </c>
      <c r="D773" s="240" t="s">
        <v>1561</v>
      </c>
      <c r="E773" s="241"/>
      <c r="F773" s="4" t="s">
        <v>1644</v>
      </c>
      <c r="G773" s="69">
        <v>1</v>
      </c>
      <c r="H773" s="17">
        <v>0</v>
      </c>
    </row>
    <row r="774" spans="1:8" x14ac:dyDescent="0.2">
      <c r="A774" s="4" t="s">
        <v>489</v>
      </c>
      <c r="B774" s="4"/>
      <c r="C774" s="4" t="s">
        <v>973</v>
      </c>
      <c r="D774" s="240" t="s">
        <v>1562</v>
      </c>
      <c r="E774" s="241"/>
      <c r="F774" s="4" t="s">
        <v>1644</v>
      </c>
      <c r="G774" s="69">
        <v>1</v>
      </c>
      <c r="H774" s="17">
        <v>0</v>
      </c>
    </row>
    <row r="775" spans="1:8" x14ac:dyDescent="0.2">
      <c r="A775" s="4" t="s">
        <v>490</v>
      </c>
      <c r="B775" s="4"/>
      <c r="C775" s="4" t="s">
        <v>974</v>
      </c>
      <c r="D775" s="240" t="s">
        <v>1563</v>
      </c>
      <c r="E775" s="241"/>
      <c r="F775" s="4" t="s">
        <v>1644</v>
      </c>
      <c r="G775" s="69">
        <v>1</v>
      </c>
      <c r="H775" s="17">
        <v>0</v>
      </c>
    </row>
    <row r="776" spans="1:8" x14ac:dyDescent="0.2">
      <c r="A776" s="4" t="s">
        <v>491</v>
      </c>
      <c r="B776" s="4"/>
      <c r="C776" s="4" t="s">
        <v>975</v>
      </c>
      <c r="D776" s="240" t="s">
        <v>1564</v>
      </c>
      <c r="E776" s="241"/>
      <c r="F776" s="4" t="s">
        <v>1644</v>
      </c>
      <c r="G776" s="69">
        <v>1</v>
      </c>
      <c r="H776" s="17">
        <v>0</v>
      </c>
    </row>
    <row r="777" spans="1:8" x14ac:dyDescent="0.2">
      <c r="A777" s="4" t="s">
        <v>492</v>
      </c>
      <c r="B777" s="4"/>
      <c r="C777" s="4" t="s">
        <v>976</v>
      </c>
      <c r="D777" s="240" t="s">
        <v>1565</v>
      </c>
      <c r="E777" s="241"/>
      <c r="F777" s="4" t="s">
        <v>1644</v>
      </c>
      <c r="G777" s="69">
        <v>2</v>
      </c>
      <c r="H777" s="17">
        <v>0</v>
      </c>
    </row>
    <row r="778" spans="1:8" x14ac:dyDescent="0.2">
      <c r="A778" s="4" t="s">
        <v>493</v>
      </c>
      <c r="B778" s="4"/>
      <c r="C778" s="4" t="s">
        <v>977</v>
      </c>
      <c r="D778" s="240" t="s">
        <v>1566</v>
      </c>
      <c r="E778" s="241"/>
      <c r="F778" s="4" t="s">
        <v>1644</v>
      </c>
      <c r="G778" s="69">
        <v>1</v>
      </c>
      <c r="H778" s="17">
        <v>0</v>
      </c>
    </row>
    <row r="779" spans="1:8" x14ac:dyDescent="0.2">
      <c r="A779" s="4" t="s">
        <v>494</v>
      </c>
      <c r="B779" s="4"/>
      <c r="C779" s="4" t="s">
        <v>978</v>
      </c>
      <c r="D779" s="240" t="s">
        <v>1567</v>
      </c>
      <c r="E779" s="241"/>
      <c r="F779" s="4" t="s">
        <v>1644</v>
      </c>
      <c r="G779" s="69">
        <v>1</v>
      </c>
      <c r="H779" s="17">
        <v>0</v>
      </c>
    </row>
    <row r="780" spans="1:8" x14ac:dyDescent="0.2">
      <c r="A780" s="4" t="s">
        <v>495</v>
      </c>
      <c r="B780" s="4"/>
      <c r="C780" s="4" t="s">
        <v>979</v>
      </c>
      <c r="D780" s="240" t="s">
        <v>1568</v>
      </c>
      <c r="E780" s="241"/>
      <c r="F780" s="4" t="s">
        <v>1644</v>
      </c>
      <c r="G780" s="69">
        <v>1</v>
      </c>
      <c r="H780" s="17">
        <v>0</v>
      </c>
    </row>
    <row r="781" spans="1:8" x14ac:dyDescent="0.2">
      <c r="A781" s="4" t="s">
        <v>496</v>
      </c>
      <c r="B781" s="4"/>
      <c r="C781" s="4" t="s">
        <v>980</v>
      </c>
      <c r="D781" s="240" t="s">
        <v>1569</v>
      </c>
      <c r="E781" s="241"/>
      <c r="F781" s="4" t="s">
        <v>1644</v>
      </c>
      <c r="G781" s="69">
        <v>1</v>
      </c>
      <c r="H781" s="17">
        <v>0</v>
      </c>
    </row>
    <row r="782" spans="1:8" x14ac:dyDescent="0.2">
      <c r="A782" s="4" t="s">
        <v>497</v>
      </c>
      <c r="B782" s="4"/>
      <c r="C782" s="4" t="s">
        <v>981</v>
      </c>
      <c r="D782" s="240" t="s">
        <v>1570</v>
      </c>
      <c r="E782" s="241"/>
      <c r="F782" s="4" t="s">
        <v>1644</v>
      </c>
      <c r="G782" s="69">
        <v>1</v>
      </c>
      <c r="H782" s="17">
        <v>0</v>
      </c>
    </row>
    <row r="783" spans="1:8" x14ac:dyDescent="0.2">
      <c r="A783" s="4" t="s">
        <v>498</v>
      </c>
      <c r="B783" s="4"/>
      <c r="C783" s="4" t="s">
        <v>982</v>
      </c>
      <c r="D783" s="240" t="s">
        <v>1571</v>
      </c>
      <c r="E783" s="241"/>
      <c r="F783" s="4" t="s">
        <v>1644</v>
      </c>
      <c r="G783" s="69">
        <v>1</v>
      </c>
      <c r="H783" s="17">
        <v>0</v>
      </c>
    </row>
    <row r="784" spans="1:8" x14ac:dyDescent="0.2">
      <c r="A784" s="4" t="s">
        <v>499</v>
      </c>
      <c r="B784" s="4"/>
      <c r="C784" s="4" t="s">
        <v>983</v>
      </c>
      <c r="D784" s="240" t="s">
        <v>1572</v>
      </c>
      <c r="E784" s="241"/>
      <c r="F784" s="4" t="s">
        <v>1644</v>
      </c>
      <c r="G784" s="69">
        <v>1</v>
      </c>
      <c r="H784" s="17">
        <v>0</v>
      </c>
    </row>
    <row r="785" spans="1:8" x14ac:dyDescent="0.2">
      <c r="A785" s="4" t="s">
        <v>500</v>
      </c>
      <c r="B785" s="4"/>
      <c r="C785" s="4" t="s">
        <v>984</v>
      </c>
      <c r="D785" s="240" t="s">
        <v>1573</v>
      </c>
      <c r="E785" s="241"/>
      <c r="F785" s="4" t="s">
        <v>1644</v>
      </c>
      <c r="G785" s="69">
        <v>1</v>
      </c>
      <c r="H785" s="17">
        <v>0</v>
      </c>
    </row>
    <row r="786" spans="1:8" x14ac:dyDescent="0.2">
      <c r="A786" s="4" t="s">
        <v>501</v>
      </c>
      <c r="B786" s="4"/>
      <c r="C786" s="4" t="s">
        <v>985</v>
      </c>
      <c r="D786" s="240" t="s">
        <v>1574</v>
      </c>
      <c r="E786" s="241"/>
      <c r="F786" s="4" t="s">
        <v>1644</v>
      </c>
      <c r="G786" s="69">
        <v>1</v>
      </c>
      <c r="H786" s="17">
        <v>0</v>
      </c>
    </row>
    <row r="787" spans="1:8" x14ac:dyDescent="0.2">
      <c r="A787" s="4" t="s">
        <v>502</v>
      </c>
      <c r="B787" s="4"/>
      <c r="C787" s="4" t="s">
        <v>986</v>
      </c>
      <c r="D787" s="240" t="s">
        <v>1575</v>
      </c>
      <c r="E787" s="241"/>
      <c r="F787" s="4" t="s">
        <v>1644</v>
      </c>
      <c r="G787" s="69">
        <v>1</v>
      </c>
      <c r="H787" s="17">
        <v>0</v>
      </c>
    </row>
    <row r="788" spans="1:8" x14ac:dyDescent="0.2">
      <c r="A788" s="4" t="s">
        <v>503</v>
      </c>
      <c r="B788" s="4"/>
      <c r="C788" s="4" t="s">
        <v>987</v>
      </c>
      <c r="D788" s="240" t="s">
        <v>1576</v>
      </c>
      <c r="E788" s="241"/>
      <c r="F788" s="4" t="s">
        <v>1644</v>
      </c>
      <c r="G788" s="69">
        <v>1</v>
      </c>
      <c r="H788" s="17">
        <v>0</v>
      </c>
    </row>
    <row r="789" spans="1:8" x14ac:dyDescent="0.2">
      <c r="A789" s="4" t="s">
        <v>504</v>
      </c>
      <c r="B789" s="4"/>
      <c r="C789" s="4" t="s">
        <v>973</v>
      </c>
      <c r="D789" s="240" t="s">
        <v>1577</v>
      </c>
      <c r="E789" s="241"/>
      <c r="F789" s="4" t="s">
        <v>1644</v>
      </c>
      <c r="G789" s="69">
        <v>1</v>
      </c>
      <c r="H789" s="17">
        <v>0</v>
      </c>
    </row>
    <row r="790" spans="1:8" x14ac:dyDescent="0.2">
      <c r="A790" s="4" t="s">
        <v>505</v>
      </c>
      <c r="B790" s="4"/>
      <c r="C790" s="4" t="s">
        <v>988</v>
      </c>
      <c r="D790" s="240" t="s">
        <v>1578</v>
      </c>
      <c r="E790" s="241"/>
      <c r="F790" s="4" t="s">
        <v>1644</v>
      </c>
      <c r="G790" s="69">
        <v>1</v>
      </c>
      <c r="H790" s="17">
        <v>0</v>
      </c>
    </row>
    <row r="791" spans="1:8" x14ac:dyDescent="0.2">
      <c r="A791" s="4" t="s">
        <v>506</v>
      </c>
      <c r="B791" s="4"/>
      <c r="C791" s="4" t="s">
        <v>989</v>
      </c>
      <c r="D791" s="240" t="s">
        <v>1579</v>
      </c>
      <c r="E791" s="241"/>
      <c r="F791" s="4" t="s">
        <v>1644</v>
      </c>
      <c r="G791" s="69">
        <v>1</v>
      </c>
      <c r="H791" s="17">
        <v>0</v>
      </c>
    </row>
    <row r="792" spans="1:8" x14ac:dyDescent="0.2">
      <c r="A792" s="4" t="s">
        <v>507</v>
      </c>
      <c r="B792" s="4"/>
      <c r="C792" s="4" t="s">
        <v>990</v>
      </c>
      <c r="D792" s="240" t="s">
        <v>1580</v>
      </c>
      <c r="E792" s="241"/>
      <c r="F792" s="4" t="s">
        <v>1644</v>
      </c>
      <c r="G792" s="69">
        <v>1</v>
      </c>
      <c r="H792" s="17">
        <v>0</v>
      </c>
    </row>
    <row r="793" spans="1:8" x14ac:dyDescent="0.2">
      <c r="A793" s="4" t="s">
        <v>508</v>
      </c>
      <c r="B793" s="4"/>
      <c r="C793" s="4" t="s">
        <v>991</v>
      </c>
      <c r="D793" s="240" t="s">
        <v>1581</v>
      </c>
      <c r="E793" s="241"/>
      <c r="F793" s="4" t="s">
        <v>1644</v>
      </c>
      <c r="G793" s="69">
        <v>2</v>
      </c>
      <c r="H793" s="17">
        <v>0</v>
      </c>
    </row>
    <row r="794" spans="1:8" x14ac:dyDescent="0.2">
      <c r="A794" s="4" t="s">
        <v>509</v>
      </c>
      <c r="B794" s="4"/>
      <c r="C794" s="4" t="s">
        <v>992</v>
      </c>
      <c r="D794" s="240" t="s">
        <v>1582</v>
      </c>
      <c r="E794" s="241"/>
      <c r="F794" s="4" t="s">
        <v>1644</v>
      </c>
      <c r="G794" s="69">
        <v>1</v>
      </c>
      <c r="H794" s="17">
        <v>0</v>
      </c>
    </row>
    <row r="795" spans="1:8" x14ac:dyDescent="0.2">
      <c r="A795" s="4" t="s">
        <v>510</v>
      </c>
      <c r="B795" s="4"/>
      <c r="C795" s="4" t="s">
        <v>975</v>
      </c>
      <c r="D795" s="240" t="s">
        <v>1583</v>
      </c>
      <c r="E795" s="241"/>
      <c r="F795" s="4" t="s">
        <v>1644</v>
      </c>
      <c r="G795" s="69">
        <v>1</v>
      </c>
      <c r="H795" s="17">
        <v>0</v>
      </c>
    </row>
    <row r="796" spans="1:8" x14ac:dyDescent="0.2">
      <c r="A796" s="4" t="s">
        <v>511</v>
      </c>
      <c r="B796" s="4"/>
      <c r="C796" s="4" t="s">
        <v>993</v>
      </c>
      <c r="D796" s="240" t="s">
        <v>1581</v>
      </c>
      <c r="E796" s="241"/>
      <c r="F796" s="4" t="s">
        <v>1644</v>
      </c>
      <c r="G796" s="69">
        <v>1</v>
      </c>
      <c r="H796" s="17">
        <v>0</v>
      </c>
    </row>
    <row r="797" spans="1:8" x14ac:dyDescent="0.2">
      <c r="A797" s="4" t="s">
        <v>512</v>
      </c>
      <c r="B797" s="4"/>
      <c r="C797" s="4" t="s">
        <v>994</v>
      </c>
      <c r="D797" s="240" t="s">
        <v>1584</v>
      </c>
      <c r="E797" s="241"/>
      <c r="F797" s="4" t="s">
        <v>1644</v>
      </c>
      <c r="G797" s="69">
        <v>2</v>
      </c>
      <c r="H797" s="17">
        <v>0</v>
      </c>
    </row>
    <row r="798" spans="1:8" x14ac:dyDescent="0.2">
      <c r="A798" s="4" t="s">
        <v>513</v>
      </c>
      <c r="B798" s="4"/>
      <c r="C798" s="4" t="s">
        <v>995</v>
      </c>
      <c r="D798" s="240" t="s">
        <v>1585</v>
      </c>
      <c r="E798" s="241"/>
      <c r="F798" s="4" t="s">
        <v>1644</v>
      </c>
      <c r="G798" s="69">
        <v>1</v>
      </c>
      <c r="H798" s="17">
        <v>0</v>
      </c>
    </row>
    <row r="799" spans="1:8" x14ac:dyDescent="0.2">
      <c r="A799" s="4" t="s">
        <v>514</v>
      </c>
      <c r="B799" s="4"/>
      <c r="C799" s="4" t="s">
        <v>996</v>
      </c>
      <c r="D799" s="240" t="s">
        <v>1586</v>
      </c>
      <c r="E799" s="241"/>
      <c r="F799" s="4" t="s">
        <v>1644</v>
      </c>
      <c r="G799" s="69">
        <v>1</v>
      </c>
      <c r="H799" s="17">
        <v>0</v>
      </c>
    </row>
    <row r="800" spans="1:8" x14ac:dyDescent="0.2">
      <c r="A800" s="4" t="s">
        <v>515</v>
      </c>
      <c r="B800" s="4"/>
      <c r="C800" s="4" t="s">
        <v>996</v>
      </c>
      <c r="D800" s="240" t="s">
        <v>1587</v>
      </c>
      <c r="E800" s="241"/>
      <c r="F800" s="4" t="s">
        <v>1644</v>
      </c>
      <c r="G800" s="69">
        <v>1</v>
      </c>
      <c r="H800" s="17">
        <v>0</v>
      </c>
    </row>
    <row r="801" spans="1:8" x14ac:dyDescent="0.2">
      <c r="A801" s="4" t="s">
        <v>516</v>
      </c>
      <c r="B801" s="4"/>
      <c r="C801" s="4" t="s">
        <v>997</v>
      </c>
      <c r="D801" s="240" t="s">
        <v>1588</v>
      </c>
      <c r="E801" s="241"/>
      <c r="F801" s="4" t="s">
        <v>1644</v>
      </c>
      <c r="G801" s="69">
        <v>1</v>
      </c>
      <c r="H801" s="17">
        <v>0</v>
      </c>
    </row>
    <row r="802" spans="1:8" x14ac:dyDescent="0.2">
      <c r="A802" s="4" t="s">
        <v>517</v>
      </c>
      <c r="B802" s="4"/>
      <c r="C802" s="4" t="s">
        <v>997</v>
      </c>
      <c r="D802" s="240" t="s">
        <v>1589</v>
      </c>
      <c r="E802" s="241"/>
      <c r="F802" s="4" t="s">
        <v>1644</v>
      </c>
      <c r="G802" s="69">
        <v>1</v>
      </c>
      <c r="H802" s="17">
        <v>0</v>
      </c>
    </row>
    <row r="803" spans="1:8" x14ac:dyDescent="0.2">
      <c r="A803" s="4" t="s">
        <v>518</v>
      </c>
      <c r="B803" s="4"/>
      <c r="C803" s="4" t="s">
        <v>977</v>
      </c>
      <c r="D803" s="240" t="s">
        <v>1590</v>
      </c>
      <c r="E803" s="241"/>
      <c r="F803" s="4" t="s">
        <v>1644</v>
      </c>
      <c r="G803" s="69">
        <v>1</v>
      </c>
      <c r="H803" s="17">
        <v>0</v>
      </c>
    </row>
    <row r="804" spans="1:8" x14ac:dyDescent="0.2">
      <c r="A804" s="4" t="s">
        <v>519</v>
      </c>
      <c r="B804" s="4"/>
      <c r="C804" s="4" t="s">
        <v>998</v>
      </c>
      <c r="D804" s="240" t="s">
        <v>1591</v>
      </c>
      <c r="E804" s="241"/>
      <c r="F804" s="4" t="s">
        <v>1644</v>
      </c>
      <c r="G804" s="69">
        <v>1</v>
      </c>
      <c r="H804" s="17">
        <v>0</v>
      </c>
    </row>
    <row r="805" spans="1:8" x14ac:dyDescent="0.2">
      <c r="A805" s="4" t="s">
        <v>520</v>
      </c>
      <c r="B805" s="4"/>
      <c r="C805" s="4" t="s">
        <v>999</v>
      </c>
      <c r="D805" s="240" t="s">
        <v>1586</v>
      </c>
      <c r="E805" s="241"/>
      <c r="F805" s="4" t="s">
        <v>1644</v>
      </c>
      <c r="G805" s="69">
        <v>2</v>
      </c>
      <c r="H805" s="17">
        <v>0</v>
      </c>
    </row>
    <row r="806" spans="1:8" x14ac:dyDescent="0.2">
      <c r="A806" s="4" t="s">
        <v>521</v>
      </c>
      <c r="B806" s="4"/>
      <c r="C806" s="4" t="s">
        <v>999</v>
      </c>
      <c r="D806" s="240" t="s">
        <v>1587</v>
      </c>
      <c r="E806" s="241"/>
      <c r="F806" s="4" t="s">
        <v>1644</v>
      </c>
      <c r="G806" s="69">
        <v>2</v>
      </c>
      <c r="H806" s="17">
        <v>0</v>
      </c>
    </row>
    <row r="807" spans="1:8" x14ac:dyDescent="0.2">
      <c r="A807" s="4" t="s">
        <v>522</v>
      </c>
      <c r="B807" s="4"/>
      <c r="C807" s="4" t="s">
        <v>1000</v>
      </c>
      <c r="D807" s="240" t="s">
        <v>1581</v>
      </c>
      <c r="E807" s="241"/>
      <c r="F807" s="4" t="s">
        <v>1644</v>
      </c>
      <c r="G807" s="69">
        <v>1</v>
      </c>
      <c r="H807" s="17">
        <v>0</v>
      </c>
    </row>
    <row r="808" spans="1:8" x14ac:dyDescent="0.2">
      <c r="A808" s="4" t="s">
        <v>523</v>
      </c>
      <c r="B808" s="4"/>
      <c r="C808" s="4" t="s">
        <v>1001</v>
      </c>
      <c r="D808" s="240" t="s">
        <v>1592</v>
      </c>
      <c r="E808" s="241"/>
      <c r="F808" s="4" t="s">
        <v>1644</v>
      </c>
      <c r="G808" s="69">
        <v>1</v>
      </c>
      <c r="H808" s="17">
        <v>0</v>
      </c>
    </row>
    <row r="809" spans="1:8" x14ac:dyDescent="0.2">
      <c r="A809" s="4" t="s">
        <v>524</v>
      </c>
      <c r="B809" s="4"/>
      <c r="C809" s="4" t="s">
        <v>1002</v>
      </c>
      <c r="D809" s="240" t="s">
        <v>1593</v>
      </c>
      <c r="E809" s="241"/>
      <c r="F809" s="4" t="s">
        <v>1644</v>
      </c>
      <c r="G809" s="69">
        <v>1</v>
      </c>
      <c r="H809" s="17">
        <v>0</v>
      </c>
    </row>
    <row r="810" spans="1:8" x14ac:dyDescent="0.2">
      <c r="A810" s="4" t="s">
        <v>525</v>
      </c>
      <c r="B810" s="4"/>
      <c r="C810" s="4" t="s">
        <v>1003</v>
      </c>
      <c r="D810" s="240" t="s">
        <v>1594</v>
      </c>
      <c r="E810" s="241"/>
      <c r="F810" s="4" t="s">
        <v>1644</v>
      </c>
      <c r="G810" s="69">
        <v>1</v>
      </c>
      <c r="H810" s="17">
        <v>0</v>
      </c>
    </row>
    <row r="811" spans="1:8" x14ac:dyDescent="0.2">
      <c r="A811" s="4" t="s">
        <v>526</v>
      </c>
      <c r="B811" s="4"/>
      <c r="C811" s="4" t="s">
        <v>1003</v>
      </c>
      <c r="D811" s="240" t="s">
        <v>1595</v>
      </c>
      <c r="E811" s="241"/>
      <c r="F811" s="4" t="s">
        <v>1644</v>
      </c>
      <c r="G811" s="69">
        <v>1</v>
      </c>
      <c r="H811" s="17">
        <v>0</v>
      </c>
    </row>
    <row r="812" spans="1:8" x14ac:dyDescent="0.2">
      <c r="A812" s="4" t="s">
        <v>527</v>
      </c>
      <c r="B812" s="4"/>
      <c r="C812" s="4" t="s">
        <v>1004</v>
      </c>
      <c r="D812" s="240" t="s">
        <v>1596</v>
      </c>
      <c r="E812" s="241"/>
      <c r="F812" s="4" t="s">
        <v>1644</v>
      </c>
      <c r="G812" s="69">
        <v>1</v>
      </c>
      <c r="H812" s="17">
        <v>0</v>
      </c>
    </row>
    <row r="813" spans="1:8" x14ac:dyDescent="0.2">
      <c r="A813" s="4" t="s">
        <v>528</v>
      </c>
      <c r="B813" s="4"/>
      <c r="C813" s="4" t="s">
        <v>1005</v>
      </c>
      <c r="D813" s="240" t="s">
        <v>1597</v>
      </c>
      <c r="E813" s="241"/>
      <c r="F813" s="4" t="s">
        <v>1644</v>
      </c>
      <c r="G813" s="69">
        <v>1</v>
      </c>
      <c r="H813" s="17">
        <v>0</v>
      </c>
    </row>
    <row r="814" spans="1:8" x14ac:dyDescent="0.2">
      <c r="A814" s="4" t="s">
        <v>529</v>
      </c>
      <c r="B814" s="4"/>
      <c r="C814" s="4" t="s">
        <v>1006</v>
      </c>
      <c r="D814" s="240" t="s">
        <v>1598</v>
      </c>
      <c r="E814" s="241"/>
      <c r="F814" s="4" t="s">
        <v>1644</v>
      </c>
      <c r="G814" s="69">
        <v>1</v>
      </c>
      <c r="H814" s="17">
        <v>0</v>
      </c>
    </row>
    <row r="815" spans="1:8" x14ac:dyDescent="0.2">
      <c r="A815" s="4" t="s">
        <v>530</v>
      </c>
      <c r="B815" s="4"/>
      <c r="C815" s="4" t="s">
        <v>1007</v>
      </c>
      <c r="D815" s="240" t="s">
        <v>1599</v>
      </c>
      <c r="E815" s="241"/>
      <c r="F815" s="4" t="s">
        <v>1644</v>
      </c>
      <c r="G815" s="69">
        <v>1</v>
      </c>
      <c r="H815" s="17">
        <v>0</v>
      </c>
    </row>
    <row r="816" spans="1:8" x14ac:dyDescent="0.2">
      <c r="A816" s="4" t="s">
        <v>531</v>
      </c>
      <c r="B816" s="4"/>
      <c r="C816" s="4" t="s">
        <v>1008</v>
      </c>
      <c r="D816" s="240" t="s">
        <v>1600</v>
      </c>
      <c r="E816" s="241"/>
      <c r="F816" s="4" t="s">
        <v>1644</v>
      </c>
      <c r="G816" s="69">
        <v>1</v>
      </c>
      <c r="H816" s="17">
        <v>0</v>
      </c>
    </row>
    <row r="817" spans="1:8" x14ac:dyDescent="0.2">
      <c r="A817" s="4" t="s">
        <v>532</v>
      </c>
      <c r="B817" s="4"/>
      <c r="C817" s="4" t="s">
        <v>1009</v>
      </c>
      <c r="D817" s="240" t="s">
        <v>1601</v>
      </c>
      <c r="E817" s="241"/>
      <c r="F817" s="4" t="s">
        <v>1644</v>
      </c>
      <c r="G817" s="69">
        <v>1</v>
      </c>
      <c r="H817" s="17">
        <v>0</v>
      </c>
    </row>
    <row r="818" spans="1:8" x14ac:dyDescent="0.2">
      <c r="A818" s="4" t="s">
        <v>533</v>
      </c>
      <c r="B818" s="4"/>
      <c r="C818" s="4" t="s">
        <v>1010</v>
      </c>
      <c r="D818" s="240" t="s">
        <v>1602</v>
      </c>
      <c r="E818" s="241"/>
      <c r="F818" s="4" t="s">
        <v>1646</v>
      </c>
      <c r="G818" s="69">
        <v>20</v>
      </c>
      <c r="H818" s="17">
        <v>0</v>
      </c>
    </row>
    <row r="819" spans="1:8" x14ac:dyDescent="0.2">
      <c r="A819" s="4" t="s">
        <v>534</v>
      </c>
      <c r="B819" s="4"/>
      <c r="C819" s="4" t="s">
        <v>1011</v>
      </c>
      <c r="D819" s="240" t="s">
        <v>1603</v>
      </c>
      <c r="E819" s="241"/>
      <c r="F819" s="4" t="s">
        <v>1646</v>
      </c>
      <c r="G819" s="69">
        <v>10</v>
      </c>
      <c r="H819" s="17">
        <v>0</v>
      </c>
    </row>
    <row r="820" spans="1:8" x14ac:dyDescent="0.2">
      <c r="A820" s="4" t="s">
        <v>535</v>
      </c>
      <c r="B820" s="4"/>
      <c r="C820" s="4" t="s">
        <v>1012</v>
      </c>
      <c r="D820" s="240" t="s">
        <v>1604</v>
      </c>
      <c r="E820" s="241"/>
      <c r="F820" s="4" t="s">
        <v>1646</v>
      </c>
      <c r="G820" s="69">
        <v>5</v>
      </c>
      <c r="H820" s="17">
        <v>0</v>
      </c>
    </row>
    <row r="821" spans="1:8" x14ac:dyDescent="0.2">
      <c r="A821" s="4" t="s">
        <v>536</v>
      </c>
      <c r="B821" s="4"/>
      <c r="C821" s="4" t="s">
        <v>1013</v>
      </c>
      <c r="D821" s="240" t="s">
        <v>1605</v>
      </c>
      <c r="E821" s="241"/>
      <c r="F821" s="4" t="s">
        <v>1646</v>
      </c>
      <c r="G821" s="69">
        <v>5</v>
      </c>
      <c r="H821" s="17">
        <v>0</v>
      </c>
    </row>
    <row r="822" spans="1:8" x14ac:dyDescent="0.2">
      <c r="A822" s="4" t="s">
        <v>537</v>
      </c>
      <c r="B822" s="4"/>
      <c r="C822" s="4" t="s">
        <v>1014</v>
      </c>
      <c r="D822" s="240" t="s">
        <v>1606</v>
      </c>
      <c r="E822" s="241"/>
      <c r="F822" s="4" t="s">
        <v>1646</v>
      </c>
      <c r="G822" s="69">
        <v>20</v>
      </c>
      <c r="H822" s="17">
        <v>0</v>
      </c>
    </row>
    <row r="823" spans="1:8" x14ac:dyDescent="0.2">
      <c r="A823" s="4" t="s">
        <v>538</v>
      </c>
      <c r="B823" s="4"/>
      <c r="C823" s="4" t="s">
        <v>1015</v>
      </c>
      <c r="D823" s="240" t="s">
        <v>1607</v>
      </c>
      <c r="E823" s="241"/>
      <c r="F823" s="4" t="s">
        <v>1646</v>
      </c>
      <c r="G823" s="69">
        <v>10</v>
      </c>
      <c r="H823" s="17">
        <v>0</v>
      </c>
    </row>
    <row r="824" spans="1:8" x14ac:dyDescent="0.2">
      <c r="A824" s="4" t="s">
        <v>539</v>
      </c>
      <c r="B824" s="4"/>
      <c r="C824" s="4" t="s">
        <v>1016</v>
      </c>
      <c r="D824" s="240" t="s">
        <v>1608</v>
      </c>
      <c r="E824" s="241"/>
      <c r="F824" s="4" t="s">
        <v>1644</v>
      </c>
      <c r="G824" s="69">
        <v>70</v>
      </c>
      <c r="H824" s="17">
        <v>0</v>
      </c>
    </row>
    <row r="825" spans="1:8" x14ac:dyDescent="0.2">
      <c r="A825" s="4" t="s">
        <v>540</v>
      </c>
      <c r="B825" s="4"/>
      <c r="C825" s="4" t="s">
        <v>1017</v>
      </c>
      <c r="D825" s="240" t="s">
        <v>1609</v>
      </c>
      <c r="E825" s="241"/>
      <c r="F825" s="4" t="s">
        <v>1644</v>
      </c>
      <c r="G825" s="69">
        <v>3</v>
      </c>
      <c r="H825" s="17">
        <v>0</v>
      </c>
    </row>
    <row r="826" spans="1:8" x14ac:dyDescent="0.2">
      <c r="A826" s="4" t="s">
        <v>541</v>
      </c>
      <c r="B826" s="4"/>
      <c r="C826" s="4" t="s">
        <v>1018</v>
      </c>
      <c r="D826" s="240" t="s">
        <v>1610</v>
      </c>
      <c r="E826" s="241"/>
      <c r="F826" s="4" t="s">
        <v>1644</v>
      </c>
      <c r="G826" s="69">
        <v>1</v>
      </c>
      <c r="H826" s="17">
        <v>0</v>
      </c>
    </row>
    <row r="827" spans="1:8" x14ac:dyDescent="0.2">
      <c r="A827" s="4" t="s">
        <v>542</v>
      </c>
      <c r="B827" s="4"/>
      <c r="C827" s="4" t="s">
        <v>1019</v>
      </c>
      <c r="D827" s="240" t="s">
        <v>1611</v>
      </c>
      <c r="E827" s="241"/>
      <c r="F827" s="4" t="s">
        <v>1651</v>
      </c>
      <c r="G827" s="69">
        <v>1</v>
      </c>
      <c r="H827" s="17">
        <v>0</v>
      </c>
    </row>
    <row r="828" spans="1:8" x14ac:dyDescent="0.2">
      <c r="A828" s="4" t="s">
        <v>543</v>
      </c>
      <c r="B828" s="4"/>
      <c r="C828" s="4" t="s">
        <v>1020</v>
      </c>
      <c r="D828" s="240" t="s">
        <v>1612</v>
      </c>
      <c r="E828" s="241"/>
      <c r="F828" s="4" t="s">
        <v>1646</v>
      </c>
      <c r="G828" s="69">
        <v>140</v>
      </c>
      <c r="H828" s="17">
        <v>0</v>
      </c>
    </row>
    <row r="829" spans="1:8" x14ac:dyDescent="0.2">
      <c r="A829" s="4" t="s">
        <v>544</v>
      </c>
      <c r="B829" s="4"/>
      <c r="C829" s="4" t="s">
        <v>1021</v>
      </c>
      <c r="D829" s="240" t="s">
        <v>1613</v>
      </c>
      <c r="E829" s="241"/>
      <c r="F829" s="4" t="s">
        <v>1646</v>
      </c>
      <c r="G829" s="69">
        <v>40</v>
      </c>
      <c r="H829" s="17">
        <v>0</v>
      </c>
    </row>
    <row r="830" spans="1:8" x14ac:dyDescent="0.2">
      <c r="A830" s="4" t="s">
        <v>545</v>
      </c>
      <c r="B830" s="4"/>
      <c r="C830" s="4" t="s">
        <v>1022</v>
      </c>
      <c r="D830" s="240" t="s">
        <v>1614</v>
      </c>
      <c r="E830" s="241"/>
      <c r="F830" s="4" t="s">
        <v>1646</v>
      </c>
      <c r="G830" s="69">
        <v>60</v>
      </c>
      <c r="H830" s="17">
        <v>0</v>
      </c>
    </row>
    <row r="831" spans="1:8" x14ac:dyDescent="0.2">
      <c r="A831" s="4" t="s">
        <v>546</v>
      </c>
      <c r="B831" s="4"/>
      <c r="C831" s="4" t="s">
        <v>1023</v>
      </c>
      <c r="D831" s="240" t="s">
        <v>1615</v>
      </c>
      <c r="E831" s="241"/>
      <c r="F831" s="4" t="s">
        <v>1646</v>
      </c>
      <c r="G831" s="69">
        <v>30</v>
      </c>
      <c r="H831" s="17">
        <v>0</v>
      </c>
    </row>
    <row r="832" spans="1:8" x14ac:dyDescent="0.2">
      <c r="A832" s="4" t="s">
        <v>547</v>
      </c>
      <c r="B832" s="4"/>
      <c r="C832" s="4" t="s">
        <v>1024</v>
      </c>
      <c r="D832" s="240" t="s">
        <v>1616</v>
      </c>
      <c r="E832" s="241"/>
      <c r="F832" s="4" t="s">
        <v>1646</v>
      </c>
      <c r="G832" s="69">
        <v>35</v>
      </c>
      <c r="H832" s="17">
        <v>0</v>
      </c>
    </row>
    <row r="833" spans="1:8" x14ac:dyDescent="0.2">
      <c r="A833" s="4" t="s">
        <v>548</v>
      </c>
      <c r="B833" s="4"/>
      <c r="C833" s="4" t="s">
        <v>1025</v>
      </c>
      <c r="D833" s="240" t="s">
        <v>1617</v>
      </c>
      <c r="E833" s="241"/>
      <c r="F833" s="4" t="s">
        <v>1646</v>
      </c>
      <c r="G833" s="69">
        <v>30</v>
      </c>
      <c r="H833" s="17">
        <v>0</v>
      </c>
    </row>
    <row r="834" spans="1:8" x14ac:dyDescent="0.2">
      <c r="A834" s="4" t="s">
        <v>549</v>
      </c>
      <c r="B834" s="4"/>
      <c r="C834" s="4" t="s">
        <v>1026</v>
      </c>
      <c r="D834" s="240" t="s">
        <v>1618</v>
      </c>
      <c r="E834" s="241"/>
      <c r="F834" s="4" t="s">
        <v>1646</v>
      </c>
      <c r="G834" s="69">
        <v>25</v>
      </c>
      <c r="H834" s="17">
        <v>0</v>
      </c>
    </row>
    <row r="835" spans="1:8" x14ac:dyDescent="0.2">
      <c r="A835" s="4" t="s">
        <v>550</v>
      </c>
      <c r="B835" s="4"/>
      <c r="C835" s="4" t="s">
        <v>1027</v>
      </c>
      <c r="D835" s="240" t="s">
        <v>1619</v>
      </c>
      <c r="E835" s="241"/>
      <c r="F835" s="4" t="s">
        <v>1644</v>
      </c>
      <c r="G835" s="69">
        <v>1</v>
      </c>
      <c r="H835" s="17">
        <v>0</v>
      </c>
    </row>
    <row r="836" spans="1:8" x14ac:dyDescent="0.2">
      <c r="A836" s="4" t="s">
        <v>551</v>
      </c>
      <c r="B836" s="4"/>
      <c r="C836" s="4" t="s">
        <v>1028</v>
      </c>
      <c r="D836" s="240" t="s">
        <v>1620</v>
      </c>
      <c r="E836" s="241"/>
      <c r="F836" s="4" t="s">
        <v>1644</v>
      </c>
      <c r="G836" s="69">
        <v>1</v>
      </c>
      <c r="H836" s="17">
        <v>0</v>
      </c>
    </row>
    <row r="837" spans="1:8" x14ac:dyDescent="0.2">
      <c r="A837" s="4" t="s">
        <v>552</v>
      </c>
      <c r="B837" s="4"/>
      <c r="C837" s="4" t="s">
        <v>1029</v>
      </c>
      <c r="D837" s="240" t="s">
        <v>1621</v>
      </c>
      <c r="E837" s="241"/>
      <c r="F837" s="4" t="s">
        <v>1644</v>
      </c>
      <c r="G837" s="69">
        <v>1</v>
      </c>
      <c r="H837" s="17">
        <v>0</v>
      </c>
    </row>
    <row r="838" spans="1:8" x14ac:dyDescent="0.2">
      <c r="A838" s="4" t="s">
        <v>553</v>
      </c>
      <c r="B838" s="4"/>
      <c r="C838" s="4" t="s">
        <v>1030</v>
      </c>
      <c r="D838" s="240" t="s">
        <v>1622</v>
      </c>
      <c r="E838" s="241"/>
      <c r="F838" s="4" t="s">
        <v>1644</v>
      </c>
      <c r="G838" s="69">
        <v>1</v>
      </c>
      <c r="H838" s="17">
        <v>0</v>
      </c>
    </row>
    <row r="839" spans="1:8" x14ac:dyDescent="0.2">
      <c r="A839" s="4" t="s">
        <v>554</v>
      </c>
      <c r="B839" s="4"/>
      <c r="C839" s="4" t="s">
        <v>1031</v>
      </c>
      <c r="D839" s="240" t="s">
        <v>1623</v>
      </c>
      <c r="E839" s="241"/>
      <c r="F839" s="4" t="s">
        <v>1644</v>
      </c>
      <c r="G839" s="69">
        <v>1</v>
      </c>
      <c r="H839" s="17">
        <v>0</v>
      </c>
    </row>
    <row r="840" spans="1:8" x14ac:dyDescent="0.2">
      <c r="A840" s="4" t="s">
        <v>555</v>
      </c>
      <c r="B840" s="4"/>
      <c r="C840" s="4" t="s">
        <v>1032</v>
      </c>
      <c r="D840" s="240" t="s">
        <v>1624</v>
      </c>
      <c r="E840" s="241"/>
      <c r="F840" s="4" t="s">
        <v>1644</v>
      </c>
      <c r="G840" s="69">
        <v>1</v>
      </c>
      <c r="H840" s="17">
        <v>0</v>
      </c>
    </row>
    <row r="841" spans="1:8" x14ac:dyDescent="0.2">
      <c r="A841" s="4" t="s">
        <v>556</v>
      </c>
      <c r="B841" s="4"/>
      <c r="C841" s="4" t="s">
        <v>1033</v>
      </c>
      <c r="D841" s="240" t="s">
        <v>1625</v>
      </c>
      <c r="E841" s="241"/>
      <c r="F841" s="4" t="s">
        <v>1644</v>
      </c>
      <c r="G841" s="69">
        <v>1</v>
      </c>
      <c r="H841" s="17">
        <v>0</v>
      </c>
    </row>
    <row r="842" spans="1:8" x14ac:dyDescent="0.2">
      <c r="A842" s="4" t="s">
        <v>557</v>
      </c>
      <c r="B842" s="4"/>
      <c r="C842" s="4" t="s">
        <v>1034</v>
      </c>
      <c r="D842" s="240" t="s">
        <v>1626</v>
      </c>
      <c r="E842" s="241"/>
      <c r="F842" s="4" t="s">
        <v>1644</v>
      </c>
      <c r="G842" s="69">
        <v>1</v>
      </c>
      <c r="H842" s="17">
        <v>0</v>
      </c>
    </row>
    <row r="843" spans="1:8" x14ac:dyDescent="0.2">
      <c r="A843" s="4" t="s">
        <v>558</v>
      </c>
      <c r="B843" s="4"/>
      <c r="C843" s="4" t="s">
        <v>1035</v>
      </c>
      <c r="D843" s="240" t="s">
        <v>1627</v>
      </c>
      <c r="E843" s="241"/>
      <c r="F843" s="4" t="s">
        <v>1644</v>
      </c>
      <c r="G843" s="69">
        <v>1</v>
      </c>
      <c r="H843" s="17">
        <v>0</v>
      </c>
    </row>
    <row r="844" spans="1:8" x14ac:dyDescent="0.2">
      <c r="A844" s="4" t="s">
        <v>559</v>
      </c>
      <c r="B844" s="4"/>
      <c r="C844" s="4" t="s">
        <v>1036</v>
      </c>
      <c r="D844" s="240" t="s">
        <v>1628</v>
      </c>
      <c r="E844" s="241"/>
      <c r="F844" s="4" t="s">
        <v>1644</v>
      </c>
      <c r="G844" s="69">
        <v>1</v>
      </c>
      <c r="H844" s="17">
        <v>0</v>
      </c>
    </row>
    <row r="845" spans="1:8" x14ac:dyDescent="0.2">
      <c r="A845" s="4" t="s">
        <v>560</v>
      </c>
      <c r="B845" s="4"/>
      <c r="C845" s="4" t="s">
        <v>1037</v>
      </c>
      <c r="D845" s="240" t="s">
        <v>1629</v>
      </c>
      <c r="E845" s="241"/>
      <c r="F845" s="4" t="s">
        <v>1644</v>
      </c>
      <c r="G845" s="69">
        <v>1</v>
      </c>
      <c r="H845" s="17">
        <v>0</v>
      </c>
    </row>
    <row r="846" spans="1:8" x14ac:dyDescent="0.2">
      <c r="A846" s="4" t="s">
        <v>561</v>
      </c>
      <c r="B846" s="4"/>
      <c r="C846" s="4" t="s">
        <v>1038</v>
      </c>
      <c r="D846" s="240" t="s">
        <v>1630</v>
      </c>
      <c r="E846" s="241"/>
      <c r="F846" s="4" t="s">
        <v>1644</v>
      </c>
      <c r="G846" s="69">
        <v>1</v>
      </c>
      <c r="H846" s="17">
        <v>0</v>
      </c>
    </row>
    <row r="847" spans="1:8" x14ac:dyDescent="0.2">
      <c r="A847" s="13"/>
      <c r="B847" s="13"/>
      <c r="C847" s="13" t="s">
        <v>1039</v>
      </c>
      <c r="D847" s="244" t="s">
        <v>1631</v>
      </c>
      <c r="E847" s="245"/>
      <c r="F847" s="13"/>
      <c r="G847" s="70"/>
      <c r="H847" s="29"/>
    </row>
    <row r="848" spans="1:8" x14ac:dyDescent="0.2">
      <c r="A848" s="4" t="s">
        <v>562</v>
      </c>
      <c r="B848" s="4"/>
      <c r="C848" s="4" t="s">
        <v>1040</v>
      </c>
      <c r="D848" s="240" t="s">
        <v>1632</v>
      </c>
      <c r="E848" s="241"/>
      <c r="F848" s="4" t="s">
        <v>1644</v>
      </c>
      <c r="G848" s="69">
        <v>1</v>
      </c>
      <c r="H848" s="17">
        <v>0</v>
      </c>
    </row>
    <row r="849" spans="1:8" x14ac:dyDescent="0.2">
      <c r="A849" s="4" t="s">
        <v>563</v>
      </c>
      <c r="B849" s="4"/>
      <c r="C849" s="4" t="s">
        <v>1041</v>
      </c>
      <c r="D849" s="240" t="s">
        <v>1633</v>
      </c>
      <c r="E849" s="241"/>
      <c r="F849" s="4" t="s">
        <v>1644</v>
      </c>
      <c r="G849" s="69">
        <v>1</v>
      </c>
      <c r="H849" s="17">
        <v>0</v>
      </c>
    </row>
    <row r="850" spans="1:8" x14ac:dyDescent="0.2">
      <c r="A850" s="4" t="s">
        <v>564</v>
      </c>
      <c r="B850" s="4"/>
      <c r="C850" s="4" t="s">
        <v>1042</v>
      </c>
      <c r="D850" s="240" t="s">
        <v>1634</v>
      </c>
      <c r="E850" s="241"/>
      <c r="F850" s="4" t="s">
        <v>1644</v>
      </c>
      <c r="G850" s="69">
        <v>1</v>
      </c>
      <c r="H850" s="17">
        <v>0</v>
      </c>
    </row>
    <row r="851" spans="1:8" x14ac:dyDescent="0.2">
      <c r="A851" s="4" t="s">
        <v>565</v>
      </c>
      <c r="B851" s="4"/>
      <c r="C851" s="4" t="s">
        <v>1043</v>
      </c>
      <c r="D851" s="240" t="s">
        <v>1635</v>
      </c>
      <c r="E851" s="241"/>
      <c r="F851" s="4" t="s">
        <v>1644</v>
      </c>
      <c r="G851" s="69">
        <v>1</v>
      </c>
      <c r="H851" s="17">
        <v>0</v>
      </c>
    </row>
    <row r="852" spans="1:8" x14ac:dyDescent="0.2">
      <c r="A852" s="4" t="s">
        <v>566</v>
      </c>
      <c r="B852" s="4"/>
      <c r="C852" s="4" t="s">
        <v>1044</v>
      </c>
      <c r="D852" s="240" t="s">
        <v>1636</v>
      </c>
      <c r="E852" s="241"/>
      <c r="F852" s="4" t="s">
        <v>1644</v>
      </c>
      <c r="G852" s="69">
        <v>1</v>
      </c>
      <c r="H852" s="17">
        <v>0</v>
      </c>
    </row>
    <row r="853" spans="1:8" x14ac:dyDescent="0.2">
      <c r="A853" s="4" t="s">
        <v>567</v>
      </c>
      <c r="B853" s="4"/>
      <c r="C853" s="4" t="s">
        <v>1045</v>
      </c>
      <c r="D853" s="240" t="s">
        <v>1637</v>
      </c>
      <c r="E853" s="241"/>
      <c r="F853" s="4" t="s">
        <v>1644</v>
      </c>
      <c r="G853" s="69">
        <v>1</v>
      </c>
      <c r="H853" s="17">
        <v>0</v>
      </c>
    </row>
    <row r="854" spans="1:8" x14ac:dyDescent="0.2">
      <c r="A854" s="4" t="s">
        <v>568</v>
      </c>
      <c r="B854" s="4"/>
      <c r="C854" s="4" t="s">
        <v>1046</v>
      </c>
      <c r="D854" s="240" t="s">
        <v>1638</v>
      </c>
      <c r="E854" s="241"/>
      <c r="F854" s="4" t="s">
        <v>1644</v>
      </c>
      <c r="G854" s="69">
        <v>1</v>
      </c>
      <c r="H854" s="17">
        <v>0</v>
      </c>
    </row>
    <row r="856" spans="1:8" ht="11.25" customHeight="1" x14ac:dyDescent="0.2">
      <c r="A856" s="9" t="s">
        <v>569</v>
      </c>
    </row>
    <row r="857" spans="1:8" x14ac:dyDescent="0.2">
      <c r="A857" s="187"/>
      <c r="B857" s="178"/>
      <c r="C857" s="178"/>
      <c r="D857" s="178"/>
      <c r="E857" s="178"/>
      <c r="F857" s="178"/>
      <c r="G857" s="178"/>
    </row>
  </sheetData>
  <sheetProtection algorithmName="SHA-512" hashValue="dG855IlQASsqmCOUdZyL5pn2p2i/tvWp9tkPt4FlhzUOIJ42OaCdg/kMi60NCLhXZgrNxfZKddbjz+BJz2gLEA==" saltValue="6yQEivW5jIaF4FzpEWpe+g==" spinCount="100000" sheet="1" objects="1" scenarios="1"/>
  <mergeCells count="863">
    <mergeCell ref="D850:E850"/>
    <mergeCell ref="D851:E851"/>
    <mergeCell ref="D852:E852"/>
    <mergeCell ref="D853:E853"/>
    <mergeCell ref="D854:E854"/>
    <mergeCell ref="A857:G857"/>
    <mergeCell ref="D844:E844"/>
    <mergeCell ref="D845:E845"/>
    <mergeCell ref="D846:E846"/>
    <mergeCell ref="D847:E847"/>
    <mergeCell ref="D848:E848"/>
    <mergeCell ref="D849:E849"/>
    <mergeCell ref="D838:E838"/>
    <mergeCell ref="D839:E839"/>
    <mergeCell ref="D840:E840"/>
    <mergeCell ref="D841:E841"/>
    <mergeCell ref="D842:E842"/>
    <mergeCell ref="D843:E843"/>
    <mergeCell ref="D832:E832"/>
    <mergeCell ref="D833:E833"/>
    <mergeCell ref="D834:E834"/>
    <mergeCell ref="D835:E835"/>
    <mergeCell ref="D836:E836"/>
    <mergeCell ref="D837:E837"/>
    <mergeCell ref="D826:E826"/>
    <mergeCell ref="D827:E827"/>
    <mergeCell ref="D828:E828"/>
    <mergeCell ref="D829:E829"/>
    <mergeCell ref="D830:E830"/>
    <mergeCell ref="D831:E831"/>
    <mergeCell ref="D820:E820"/>
    <mergeCell ref="D821:E821"/>
    <mergeCell ref="D822:E822"/>
    <mergeCell ref="D823:E823"/>
    <mergeCell ref="D824:E824"/>
    <mergeCell ref="D825:E825"/>
    <mergeCell ref="D814:E814"/>
    <mergeCell ref="D815:E815"/>
    <mergeCell ref="D816:E816"/>
    <mergeCell ref="D817:E817"/>
    <mergeCell ref="D818:E818"/>
    <mergeCell ref="D819:E819"/>
    <mergeCell ref="D808:E808"/>
    <mergeCell ref="D809:E809"/>
    <mergeCell ref="D810:E810"/>
    <mergeCell ref="D811:E811"/>
    <mergeCell ref="D812:E812"/>
    <mergeCell ref="D813:E813"/>
    <mergeCell ref="D802:E802"/>
    <mergeCell ref="D803:E803"/>
    <mergeCell ref="D804:E804"/>
    <mergeCell ref="D805:E805"/>
    <mergeCell ref="D806:E806"/>
    <mergeCell ref="D807:E807"/>
    <mergeCell ref="D796:E796"/>
    <mergeCell ref="D797:E797"/>
    <mergeCell ref="D798:E798"/>
    <mergeCell ref="D799:E799"/>
    <mergeCell ref="D800:E800"/>
    <mergeCell ref="D801:E801"/>
    <mergeCell ref="D790:E790"/>
    <mergeCell ref="D791:E791"/>
    <mergeCell ref="D792:E792"/>
    <mergeCell ref="D793:E793"/>
    <mergeCell ref="D794:E794"/>
    <mergeCell ref="D795:E795"/>
    <mergeCell ref="D784:E784"/>
    <mergeCell ref="D785:E785"/>
    <mergeCell ref="D786:E786"/>
    <mergeCell ref="D787:E787"/>
    <mergeCell ref="D788:E788"/>
    <mergeCell ref="D789:E789"/>
    <mergeCell ref="D778:E778"/>
    <mergeCell ref="D779:E779"/>
    <mergeCell ref="D780:E780"/>
    <mergeCell ref="D781:E781"/>
    <mergeCell ref="D782:E782"/>
    <mergeCell ref="D783:E783"/>
    <mergeCell ref="D772:E772"/>
    <mergeCell ref="D773:E773"/>
    <mergeCell ref="D774:E774"/>
    <mergeCell ref="D775:E775"/>
    <mergeCell ref="D776:E776"/>
    <mergeCell ref="D777:E777"/>
    <mergeCell ref="D766:E766"/>
    <mergeCell ref="D767:E767"/>
    <mergeCell ref="D768:F768"/>
    <mergeCell ref="D769:E769"/>
    <mergeCell ref="D770:F770"/>
    <mergeCell ref="D771:E771"/>
    <mergeCell ref="D760:E760"/>
    <mergeCell ref="D761:E761"/>
    <mergeCell ref="D762:E762"/>
    <mergeCell ref="D763:E763"/>
    <mergeCell ref="D764:E764"/>
    <mergeCell ref="D765:E765"/>
    <mergeCell ref="D754:E754"/>
    <mergeCell ref="D755:E755"/>
    <mergeCell ref="D756:E756"/>
    <mergeCell ref="D757:E757"/>
    <mergeCell ref="D758:E758"/>
    <mergeCell ref="D759:E759"/>
    <mergeCell ref="D748:E748"/>
    <mergeCell ref="D749:E749"/>
    <mergeCell ref="D750:E750"/>
    <mergeCell ref="D751:E751"/>
    <mergeCell ref="D752:E752"/>
    <mergeCell ref="D753:E753"/>
    <mergeCell ref="D742:E742"/>
    <mergeCell ref="D743:E743"/>
    <mergeCell ref="D744:E744"/>
    <mergeCell ref="D745:E745"/>
    <mergeCell ref="D746:E746"/>
    <mergeCell ref="D747:E747"/>
    <mergeCell ref="D736:F736"/>
    <mergeCell ref="D737:E737"/>
    <mergeCell ref="D738:F738"/>
    <mergeCell ref="D739:E739"/>
    <mergeCell ref="D740:F740"/>
    <mergeCell ref="D741:E741"/>
    <mergeCell ref="D730:E730"/>
    <mergeCell ref="D731:E731"/>
    <mergeCell ref="D732:F732"/>
    <mergeCell ref="D733:E733"/>
    <mergeCell ref="D734:F734"/>
    <mergeCell ref="D735:E735"/>
    <mergeCell ref="D724:F724"/>
    <mergeCell ref="D725:E725"/>
    <mergeCell ref="D726:F726"/>
    <mergeCell ref="D727:E727"/>
    <mergeCell ref="D728:F728"/>
    <mergeCell ref="D729:F729"/>
    <mergeCell ref="D718:E718"/>
    <mergeCell ref="D719:F719"/>
    <mergeCell ref="D720:F720"/>
    <mergeCell ref="D721:E721"/>
    <mergeCell ref="D722:F722"/>
    <mergeCell ref="D723:F723"/>
    <mergeCell ref="D712:F712"/>
    <mergeCell ref="D713:E713"/>
    <mergeCell ref="D714:E714"/>
    <mergeCell ref="D715:F715"/>
    <mergeCell ref="D716:F716"/>
    <mergeCell ref="D717:F717"/>
    <mergeCell ref="D706:E706"/>
    <mergeCell ref="D707:F707"/>
    <mergeCell ref="D708:E708"/>
    <mergeCell ref="D709:F709"/>
    <mergeCell ref="D710:F710"/>
    <mergeCell ref="D711:E711"/>
    <mergeCell ref="D700:F700"/>
    <mergeCell ref="D701:E701"/>
    <mergeCell ref="D702:F702"/>
    <mergeCell ref="D703:E703"/>
    <mergeCell ref="D704:F704"/>
    <mergeCell ref="D705:F705"/>
    <mergeCell ref="D694:E694"/>
    <mergeCell ref="D695:F695"/>
    <mergeCell ref="D696:E696"/>
    <mergeCell ref="D697:E697"/>
    <mergeCell ref="D698:F698"/>
    <mergeCell ref="D699:E699"/>
    <mergeCell ref="D688:E688"/>
    <mergeCell ref="D689:F689"/>
    <mergeCell ref="D690:E690"/>
    <mergeCell ref="D691:F691"/>
    <mergeCell ref="D692:E692"/>
    <mergeCell ref="D693:F693"/>
    <mergeCell ref="D682:E682"/>
    <mergeCell ref="D683:F683"/>
    <mergeCell ref="D684:E684"/>
    <mergeCell ref="D685:F685"/>
    <mergeCell ref="D686:E686"/>
    <mergeCell ref="D687:F687"/>
    <mergeCell ref="D676:E676"/>
    <mergeCell ref="D677:F677"/>
    <mergeCell ref="D678:E678"/>
    <mergeCell ref="D679:F679"/>
    <mergeCell ref="D680:E680"/>
    <mergeCell ref="D681:F681"/>
    <mergeCell ref="D670:E670"/>
    <mergeCell ref="D671:F671"/>
    <mergeCell ref="D672:E672"/>
    <mergeCell ref="D673:F673"/>
    <mergeCell ref="D674:E674"/>
    <mergeCell ref="D675:F675"/>
    <mergeCell ref="D664:F664"/>
    <mergeCell ref="D665:E665"/>
    <mergeCell ref="D666:F666"/>
    <mergeCell ref="D667:E667"/>
    <mergeCell ref="D668:E668"/>
    <mergeCell ref="D669:F669"/>
    <mergeCell ref="D658:E658"/>
    <mergeCell ref="D659:F659"/>
    <mergeCell ref="D660:E660"/>
    <mergeCell ref="D661:E661"/>
    <mergeCell ref="D662:F662"/>
    <mergeCell ref="D663:E663"/>
    <mergeCell ref="D652:E652"/>
    <mergeCell ref="D653:F653"/>
    <mergeCell ref="D654:E654"/>
    <mergeCell ref="D655:F655"/>
    <mergeCell ref="D656:E656"/>
    <mergeCell ref="D657:F657"/>
    <mergeCell ref="D646:E646"/>
    <mergeCell ref="D647:F647"/>
    <mergeCell ref="D648:E648"/>
    <mergeCell ref="D649:F649"/>
    <mergeCell ref="D650:E650"/>
    <mergeCell ref="D651:F651"/>
    <mergeCell ref="D640:E640"/>
    <mergeCell ref="D641:F641"/>
    <mergeCell ref="D642:E642"/>
    <mergeCell ref="D643:F643"/>
    <mergeCell ref="D644:E644"/>
    <mergeCell ref="D645:F645"/>
    <mergeCell ref="D634:E634"/>
    <mergeCell ref="D635:F635"/>
    <mergeCell ref="D636:E636"/>
    <mergeCell ref="D637:F637"/>
    <mergeCell ref="D638:E638"/>
    <mergeCell ref="D639:F639"/>
    <mergeCell ref="D628:E628"/>
    <mergeCell ref="D629:F629"/>
    <mergeCell ref="D630:E630"/>
    <mergeCell ref="D631:F631"/>
    <mergeCell ref="D632:E632"/>
    <mergeCell ref="D633:F633"/>
    <mergeCell ref="D622:E622"/>
    <mergeCell ref="D623:F623"/>
    <mergeCell ref="D624:E624"/>
    <mergeCell ref="D625:F625"/>
    <mergeCell ref="D626:E626"/>
    <mergeCell ref="D627:F627"/>
    <mergeCell ref="D616:F616"/>
    <mergeCell ref="D617:E617"/>
    <mergeCell ref="D618:F618"/>
    <mergeCell ref="D619:E619"/>
    <mergeCell ref="D620:E620"/>
    <mergeCell ref="D621:F621"/>
    <mergeCell ref="D610:F610"/>
    <mergeCell ref="D611:E611"/>
    <mergeCell ref="D612:F612"/>
    <mergeCell ref="D613:E613"/>
    <mergeCell ref="D614:F614"/>
    <mergeCell ref="D615:E615"/>
    <mergeCell ref="D604:E604"/>
    <mergeCell ref="D605:F605"/>
    <mergeCell ref="D606:F606"/>
    <mergeCell ref="D607:E607"/>
    <mergeCell ref="D608:F608"/>
    <mergeCell ref="D609:E609"/>
    <mergeCell ref="D598:E598"/>
    <mergeCell ref="D599:F599"/>
    <mergeCell ref="D600:E600"/>
    <mergeCell ref="D601:F601"/>
    <mergeCell ref="D602:E602"/>
    <mergeCell ref="D603:F603"/>
    <mergeCell ref="D592:E592"/>
    <mergeCell ref="D593:E593"/>
    <mergeCell ref="D594:E594"/>
    <mergeCell ref="D595:F595"/>
    <mergeCell ref="D596:E596"/>
    <mergeCell ref="D597:F597"/>
    <mergeCell ref="D586:E586"/>
    <mergeCell ref="D587:E587"/>
    <mergeCell ref="D588:E588"/>
    <mergeCell ref="D589:E589"/>
    <mergeCell ref="D590:E590"/>
    <mergeCell ref="D591:E591"/>
    <mergeCell ref="D580:E580"/>
    <mergeCell ref="D581:E581"/>
    <mergeCell ref="D582:E582"/>
    <mergeCell ref="D583:E583"/>
    <mergeCell ref="D584:E584"/>
    <mergeCell ref="D585:E585"/>
    <mergeCell ref="D574:E574"/>
    <mergeCell ref="D575:E575"/>
    <mergeCell ref="D576:E576"/>
    <mergeCell ref="D577:E577"/>
    <mergeCell ref="D578:E578"/>
    <mergeCell ref="D579:E579"/>
    <mergeCell ref="D568:E568"/>
    <mergeCell ref="D569:E569"/>
    <mergeCell ref="D570:E570"/>
    <mergeCell ref="D571:E571"/>
    <mergeCell ref="D572:E572"/>
    <mergeCell ref="D573:E573"/>
    <mergeCell ref="D562:E562"/>
    <mergeCell ref="D563:E563"/>
    <mergeCell ref="D564:E564"/>
    <mergeCell ref="D565:E565"/>
    <mergeCell ref="D566:E566"/>
    <mergeCell ref="D567:E567"/>
    <mergeCell ref="D556:E556"/>
    <mergeCell ref="D557:E557"/>
    <mergeCell ref="D558:E558"/>
    <mergeCell ref="D559:E559"/>
    <mergeCell ref="D560:E560"/>
    <mergeCell ref="D561:E561"/>
    <mergeCell ref="D550:E550"/>
    <mergeCell ref="D551:E551"/>
    <mergeCell ref="D552:E552"/>
    <mergeCell ref="D553:E553"/>
    <mergeCell ref="D554:E554"/>
    <mergeCell ref="D555:E555"/>
    <mergeCell ref="D544:E544"/>
    <mergeCell ref="D545:E545"/>
    <mergeCell ref="D546:E546"/>
    <mergeCell ref="D547:E547"/>
    <mergeCell ref="D548:E548"/>
    <mergeCell ref="D549:E549"/>
    <mergeCell ref="D538:E538"/>
    <mergeCell ref="D539:E539"/>
    <mergeCell ref="D540:E540"/>
    <mergeCell ref="D541:E541"/>
    <mergeCell ref="D542:E542"/>
    <mergeCell ref="D543:E543"/>
    <mergeCell ref="D532:E532"/>
    <mergeCell ref="D533:E533"/>
    <mergeCell ref="D534:E534"/>
    <mergeCell ref="D535:E535"/>
    <mergeCell ref="D536:E536"/>
    <mergeCell ref="D537:E537"/>
    <mergeCell ref="D526:E526"/>
    <mergeCell ref="D527:E527"/>
    <mergeCell ref="D528:E528"/>
    <mergeCell ref="D529:E529"/>
    <mergeCell ref="D530:E530"/>
    <mergeCell ref="D531:E531"/>
    <mergeCell ref="D520:E520"/>
    <mergeCell ref="D521:E521"/>
    <mergeCell ref="D522:E522"/>
    <mergeCell ref="D523:E523"/>
    <mergeCell ref="D524:E524"/>
    <mergeCell ref="D525:E525"/>
    <mergeCell ref="D514:E514"/>
    <mergeCell ref="D515:E515"/>
    <mergeCell ref="D516:E516"/>
    <mergeCell ref="D517:E517"/>
    <mergeCell ref="D518:E518"/>
    <mergeCell ref="D519:E519"/>
    <mergeCell ref="D508:E508"/>
    <mergeCell ref="D509:E509"/>
    <mergeCell ref="D510:E510"/>
    <mergeCell ref="D511:E511"/>
    <mergeCell ref="D512:E512"/>
    <mergeCell ref="D513:E513"/>
    <mergeCell ref="D502:E502"/>
    <mergeCell ref="D503:E503"/>
    <mergeCell ref="D504:E504"/>
    <mergeCell ref="D505:E505"/>
    <mergeCell ref="D506:E506"/>
    <mergeCell ref="D507:E507"/>
    <mergeCell ref="D496:E496"/>
    <mergeCell ref="D497:E497"/>
    <mergeCell ref="D498:E498"/>
    <mergeCell ref="D499:E499"/>
    <mergeCell ref="D500:E500"/>
    <mergeCell ref="D501:E501"/>
    <mergeCell ref="D490:E490"/>
    <mergeCell ref="D491:E491"/>
    <mergeCell ref="D492:E492"/>
    <mergeCell ref="D493:E493"/>
    <mergeCell ref="D494:E494"/>
    <mergeCell ref="D495:E495"/>
    <mergeCell ref="D484:E484"/>
    <mergeCell ref="D485:E485"/>
    <mergeCell ref="D486:E486"/>
    <mergeCell ref="D487:E487"/>
    <mergeCell ref="D488:E488"/>
    <mergeCell ref="D489:E489"/>
    <mergeCell ref="D478:E478"/>
    <mergeCell ref="D479:E479"/>
    <mergeCell ref="D480:E480"/>
    <mergeCell ref="D481:E481"/>
    <mergeCell ref="D482:E482"/>
    <mergeCell ref="D483:E483"/>
    <mergeCell ref="D472:E472"/>
    <mergeCell ref="D473:E473"/>
    <mergeCell ref="D474:E474"/>
    <mergeCell ref="D475:E475"/>
    <mergeCell ref="D476:E476"/>
    <mergeCell ref="D477:E477"/>
    <mergeCell ref="D466:E466"/>
    <mergeCell ref="D467:E467"/>
    <mergeCell ref="D468:E468"/>
    <mergeCell ref="D469:E469"/>
    <mergeCell ref="D470:E470"/>
    <mergeCell ref="D471:E471"/>
    <mergeCell ref="D460:E460"/>
    <mergeCell ref="D461:E461"/>
    <mergeCell ref="D462:E462"/>
    <mergeCell ref="D463:E463"/>
    <mergeCell ref="D464:E464"/>
    <mergeCell ref="D465:E465"/>
    <mergeCell ref="D454:E454"/>
    <mergeCell ref="D455:E455"/>
    <mergeCell ref="D456:E456"/>
    <mergeCell ref="D457:E457"/>
    <mergeCell ref="D458:E458"/>
    <mergeCell ref="D459:E459"/>
    <mergeCell ref="D448:E448"/>
    <mergeCell ref="D449:E449"/>
    <mergeCell ref="D450:E450"/>
    <mergeCell ref="D451:E451"/>
    <mergeCell ref="D452:E452"/>
    <mergeCell ref="D453:E453"/>
    <mergeCell ref="D442:E442"/>
    <mergeCell ref="D443:E443"/>
    <mergeCell ref="D444:E444"/>
    <mergeCell ref="D445:E445"/>
    <mergeCell ref="D446:E446"/>
    <mergeCell ref="D447:E447"/>
    <mergeCell ref="D436:E436"/>
    <mergeCell ref="D437:E437"/>
    <mergeCell ref="D438:E438"/>
    <mergeCell ref="D439:E439"/>
    <mergeCell ref="D440:E440"/>
    <mergeCell ref="D441:E441"/>
    <mergeCell ref="D430:E430"/>
    <mergeCell ref="D431:E431"/>
    <mergeCell ref="D432:E432"/>
    <mergeCell ref="D433:E433"/>
    <mergeCell ref="D434:E434"/>
    <mergeCell ref="D435:E435"/>
    <mergeCell ref="D424:E424"/>
    <mergeCell ref="D425:E425"/>
    <mergeCell ref="D426:E426"/>
    <mergeCell ref="D427:E427"/>
    <mergeCell ref="D428:E428"/>
    <mergeCell ref="D429:E429"/>
    <mergeCell ref="D418:E418"/>
    <mergeCell ref="D419:E419"/>
    <mergeCell ref="D420:E420"/>
    <mergeCell ref="D421:E421"/>
    <mergeCell ref="D422:E422"/>
    <mergeCell ref="D423:E423"/>
    <mergeCell ref="D412:E412"/>
    <mergeCell ref="D413:E413"/>
    <mergeCell ref="D414:E414"/>
    <mergeCell ref="D415:E415"/>
    <mergeCell ref="D416:E416"/>
    <mergeCell ref="D417:E417"/>
    <mergeCell ref="D406:E406"/>
    <mergeCell ref="D407:F407"/>
    <mergeCell ref="D408:E408"/>
    <mergeCell ref="D409:F409"/>
    <mergeCell ref="D410:E410"/>
    <mergeCell ref="D411:E411"/>
    <mergeCell ref="D400:E400"/>
    <mergeCell ref="D401:F401"/>
    <mergeCell ref="D402:E402"/>
    <mergeCell ref="D403:E403"/>
    <mergeCell ref="D404:E404"/>
    <mergeCell ref="D405:F405"/>
    <mergeCell ref="D394:E394"/>
    <mergeCell ref="D395:E395"/>
    <mergeCell ref="D396:E396"/>
    <mergeCell ref="D397:E397"/>
    <mergeCell ref="D398:E398"/>
    <mergeCell ref="D399:F399"/>
    <mergeCell ref="D388:E388"/>
    <mergeCell ref="D389:E389"/>
    <mergeCell ref="D390:E390"/>
    <mergeCell ref="D391:E391"/>
    <mergeCell ref="D392:E392"/>
    <mergeCell ref="D393:E393"/>
    <mergeCell ref="D382:E382"/>
    <mergeCell ref="D383:E383"/>
    <mergeCell ref="D384:E384"/>
    <mergeCell ref="D385:E385"/>
    <mergeCell ref="D386:E386"/>
    <mergeCell ref="D387:E387"/>
    <mergeCell ref="D376:E376"/>
    <mergeCell ref="D377:E377"/>
    <mergeCell ref="D378:E378"/>
    <mergeCell ref="D379:E379"/>
    <mergeCell ref="D380:E380"/>
    <mergeCell ref="D381:E381"/>
    <mergeCell ref="D370:E370"/>
    <mergeCell ref="D371:E371"/>
    <mergeCell ref="D372:E372"/>
    <mergeCell ref="D373:E373"/>
    <mergeCell ref="D374:E374"/>
    <mergeCell ref="D375:E375"/>
    <mergeCell ref="D364:E364"/>
    <mergeCell ref="D365:E365"/>
    <mergeCell ref="D366:E366"/>
    <mergeCell ref="D367:E367"/>
    <mergeCell ref="D368:E368"/>
    <mergeCell ref="D369:E369"/>
    <mergeCell ref="D358:E358"/>
    <mergeCell ref="D359:E359"/>
    <mergeCell ref="D360:E360"/>
    <mergeCell ref="D361:E361"/>
    <mergeCell ref="D362:E362"/>
    <mergeCell ref="D363:E363"/>
    <mergeCell ref="D352:E352"/>
    <mergeCell ref="D353:E353"/>
    <mergeCell ref="D354:E354"/>
    <mergeCell ref="D355:E355"/>
    <mergeCell ref="D356:E356"/>
    <mergeCell ref="D357:E357"/>
    <mergeCell ref="D346:E346"/>
    <mergeCell ref="D347:E347"/>
    <mergeCell ref="D348:E348"/>
    <mergeCell ref="D349:E349"/>
    <mergeCell ref="D350:E350"/>
    <mergeCell ref="D351:E351"/>
    <mergeCell ref="D340:E340"/>
    <mergeCell ref="D341:F341"/>
    <mergeCell ref="D342:E342"/>
    <mergeCell ref="D343:F343"/>
    <mergeCell ref="D344:E344"/>
    <mergeCell ref="D345:E345"/>
    <mergeCell ref="D334:E334"/>
    <mergeCell ref="D335:F335"/>
    <mergeCell ref="D336:E336"/>
    <mergeCell ref="D337:F337"/>
    <mergeCell ref="D338:E338"/>
    <mergeCell ref="D339:F339"/>
    <mergeCell ref="D328:E328"/>
    <mergeCell ref="D329:F329"/>
    <mergeCell ref="D330:F330"/>
    <mergeCell ref="D331:E331"/>
    <mergeCell ref="D332:F332"/>
    <mergeCell ref="D333:F333"/>
    <mergeCell ref="D322:F322"/>
    <mergeCell ref="D323:E323"/>
    <mergeCell ref="D324:F324"/>
    <mergeCell ref="D325:E325"/>
    <mergeCell ref="D326:E326"/>
    <mergeCell ref="D327:F327"/>
    <mergeCell ref="D316:E316"/>
    <mergeCell ref="D317:E317"/>
    <mergeCell ref="D318:F318"/>
    <mergeCell ref="D319:E319"/>
    <mergeCell ref="D320:F320"/>
    <mergeCell ref="D321:E321"/>
    <mergeCell ref="D310:F310"/>
    <mergeCell ref="D311:E311"/>
    <mergeCell ref="D312:F312"/>
    <mergeCell ref="D313:E313"/>
    <mergeCell ref="D314:E314"/>
    <mergeCell ref="D315:F315"/>
    <mergeCell ref="D304:F304"/>
    <mergeCell ref="D305:E305"/>
    <mergeCell ref="D306:F306"/>
    <mergeCell ref="D307:E307"/>
    <mergeCell ref="D308:F308"/>
    <mergeCell ref="D309:E309"/>
    <mergeCell ref="D298:F298"/>
    <mergeCell ref="D299:E299"/>
    <mergeCell ref="D300:F300"/>
    <mergeCell ref="D301:E301"/>
    <mergeCell ref="D302:F302"/>
    <mergeCell ref="D303:E303"/>
    <mergeCell ref="D292:F292"/>
    <mergeCell ref="D293:E293"/>
    <mergeCell ref="D294:F294"/>
    <mergeCell ref="D295:E295"/>
    <mergeCell ref="D296:F296"/>
    <mergeCell ref="D297:E297"/>
    <mergeCell ref="D286:F286"/>
    <mergeCell ref="D287:E287"/>
    <mergeCell ref="D288:F288"/>
    <mergeCell ref="D289:E289"/>
    <mergeCell ref="D290:F290"/>
    <mergeCell ref="D291:E291"/>
    <mergeCell ref="D280:E280"/>
    <mergeCell ref="D281:E281"/>
    <mergeCell ref="D282:F282"/>
    <mergeCell ref="D283:E283"/>
    <mergeCell ref="D284:F284"/>
    <mergeCell ref="D285:E285"/>
    <mergeCell ref="D274:F274"/>
    <mergeCell ref="D275:E275"/>
    <mergeCell ref="D276:F276"/>
    <mergeCell ref="D277:E277"/>
    <mergeCell ref="D278:E278"/>
    <mergeCell ref="D279:F279"/>
    <mergeCell ref="D268:F268"/>
    <mergeCell ref="D269:E269"/>
    <mergeCell ref="D270:F270"/>
    <mergeCell ref="D271:E271"/>
    <mergeCell ref="D272:F272"/>
    <mergeCell ref="D273:E273"/>
    <mergeCell ref="D262:F262"/>
    <mergeCell ref="D263:E263"/>
    <mergeCell ref="D264:F264"/>
    <mergeCell ref="D265:E265"/>
    <mergeCell ref="D266:F266"/>
    <mergeCell ref="D267:E267"/>
    <mergeCell ref="D256:F256"/>
    <mergeCell ref="D257:E257"/>
    <mergeCell ref="D258:F258"/>
    <mergeCell ref="D259:E259"/>
    <mergeCell ref="D260:F260"/>
    <mergeCell ref="D261:E261"/>
    <mergeCell ref="D250:F250"/>
    <mergeCell ref="D251:E251"/>
    <mergeCell ref="D252:F252"/>
    <mergeCell ref="D253:E253"/>
    <mergeCell ref="D254:F254"/>
    <mergeCell ref="D255:E255"/>
    <mergeCell ref="D244:F244"/>
    <mergeCell ref="D245:E245"/>
    <mergeCell ref="D246:F246"/>
    <mergeCell ref="D247:E247"/>
    <mergeCell ref="D248:F248"/>
    <mergeCell ref="D249:E249"/>
    <mergeCell ref="D238:E238"/>
    <mergeCell ref="D239:F239"/>
    <mergeCell ref="D240:E240"/>
    <mergeCell ref="D241:F241"/>
    <mergeCell ref="D242:E242"/>
    <mergeCell ref="D243:E243"/>
    <mergeCell ref="D232:E232"/>
    <mergeCell ref="D233:F233"/>
    <mergeCell ref="D234:E234"/>
    <mergeCell ref="D235:F235"/>
    <mergeCell ref="D236:E236"/>
    <mergeCell ref="D237:F237"/>
    <mergeCell ref="D226:E226"/>
    <mergeCell ref="D227:F227"/>
    <mergeCell ref="D228:E228"/>
    <mergeCell ref="D229:F229"/>
    <mergeCell ref="D230:E230"/>
    <mergeCell ref="D231:F231"/>
    <mergeCell ref="D220:E220"/>
    <mergeCell ref="D221:F221"/>
    <mergeCell ref="D222:E222"/>
    <mergeCell ref="D223:F223"/>
    <mergeCell ref="D224:E224"/>
    <mergeCell ref="D225:F225"/>
    <mergeCell ref="D214:E214"/>
    <mergeCell ref="D215:F215"/>
    <mergeCell ref="D216:E216"/>
    <mergeCell ref="D217:F217"/>
    <mergeCell ref="D218:E218"/>
    <mergeCell ref="D219:F219"/>
    <mergeCell ref="D208:E208"/>
    <mergeCell ref="D209:F209"/>
    <mergeCell ref="D210:E210"/>
    <mergeCell ref="D211:F211"/>
    <mergeCell ref="D212:E212"/>
    <mergeCell ref="D213:F213"/>
    <mergeCell ref="D202:F202"/>
    <mergeCell ref="D203:E203"/>
    <mergeCell ref="D204:E204"/>
    <mergeCell ref="D205:F205"/>
    <mergeCell ref="D206:E206"/>
    <mergeCell ref="D207:F207"/>
    <mergeCell ref="D196:F196"/>
    <mergeCell ref="D197:E197"/>
    <mergeCell ref="D198:F198"/>
    <mergeCell ref="D199:E199"/>
    <mergeCell ref="D200:F200"/>
    <mergeCell ref="D201:E201"/>
    <mergeCell ref="D190:F190"/>
    <mergeCell ref="D191:E191"/>
    <mergeCell ref="D192:F192"/>
    <mergeCell ref="D193:E193"/>
    <mergeCell ref="D194:F194"/>
    <mergeCell ref="D195:E195"/>
    <mergeCell ref="D184:F184"/>
    <mergeCell ref="D185:E185"/>
    <mergeCell ref="D186:F186"/>
    <mergeCell ref="D187:E187"/>
    <mergeCell ref="D188:F188"/>
    <mergeCell ref="D189:E189"/>
    <mergeCell ref="D178:E178"/>
    <mergeCell ref="D179:F179"/>
    <mergeCell ref="D180:E180"/>
    <mergeCell ref="D181:F181"/>
    <mergeCell ref="D182:E182"/>
    <mergeCell ref="D183:E183"/>
    <mergeCell ref="D172:E172"/>
    <mergeCell ref="D173:F173"/>
    <mergeCell ref="D174:E174"/>
    <mergeCell ref="D175:F175"/>
    <mergeCell ref="D176:E176"/>
    <mergeCell ref="D177:F177"/>
    <mergeCell ref="D166:F166"/>
    <mergeCell ref="D167:E167"/>
    <mergeCell ref="D168:E168"/>
    <mergeCell ref="D169:F169"/>
    <mergeCell ref="D170:E170"/>
    <mergeCell ref="D171:F171"/>
    <mergeCell ref="D160:E160"/>
    <mergeCell ref="D161:F161"/>
    <mergeCell ref="D162:E162"/>
    <mergeCell ref="D163:E163"/>
    <mergeCell ref="D164:F164"/>
    <mergeCell ref="D165:E165"/>
    <mergeCell ref="D154:F154"/>
    <mergeCell ref="D155:E155"/>
    <mergeCell ref="D156:F156"/>
    <mergeCell ref="D157:E157"/>
    <mergeCell ref="D158:E158"/>
    <mergeCell ref="D159:F159"/>
    <mergeCell ref="D148:F148"/>
    <mergeCell ref="D149:E149"/>
    <mergeCell ref="D150:E150"/>
    <mergeCell ref="D151:F151"/>
    <mergeCell ref="D152:E152"/>
    <mergeCell ref="D153:E153"/>
    <mergeCell ref="D142:F142"/>
    <mergeCell ref="D143:E143"/>
    <mergeCell ref="D144:F144"/>
    <mergeCell ref="D145:E145"/>
    <mergeCell ref="D146:F146"/>
    <mergeCell ref="D147:E147"/>
    <mergeCell ref="D136:F136"/>
    <mergeCell ref="D137:E137"/>
    <mergeCell ref="D138:F138"/>
    <mergeCell ref="D139:E139"/>
    <mergeCell ref="D140:F140"/>
    <mergeCell ref="D141:E141"/>
    <mergeCell ref="D130:F130"/>
    <mergeCell ref="D131:E131"/>
    <mergeCell ref="D132:F132"/>
    <mergeCell ref="D133:E133"/>
    <mergeCell ref="D134:F134"/>
    <mergeCell ref="D135:E135"/>
    <mergeCell ref="D124:F124"/>
    <mergeCell ref="D125:E125"/>
    <mergeCell ref="D126:F126"/>
    <mergeCell ref="D127:E127"/>
    <mergeCell ref="D128:F128"/>
    <mergeCell ref="D129:E129"/>
    <mergeCell ref="D118:F118"/>
    <mergeCell ref="D119:E119"/>
    <mergeCell ref="D120:F120"/>
    <mergeCell ref="D121:E121"/>
    <mergeCell ref="D122:F122"/>
    <mergeCell ref="D123:E123"/>
    <mergeCell ref="D112:F112"/>
    <mergeCell ref="D113:F113"/>
    <mergeCell ref="D114:F114"/>
    <mergeCell ref="D115:E115"/>
    <mergeCell ref="D116:F116"/>
    <mergeCell ref="D117:E117"/>
    <mergeCell ref="D106:F106"/>
    <mergeCell ref="D107:E107"/>
    <mergeCell ref="D108:E108"/>
    <mergeCell ref="D109:F109"/>
    <mergeCell ref="D110:E110"/>
    <mergeCell ref="D111:F111"/>
    <mergeCell ref="D100:F100"/>
    <mergeCell ref="D101:E101"/>
    <mergeCell ref="D102:F102"/>
    <mergeCell ref="D103:E103"/>
    <mergeCell ref="D104:F104"/>
    <mergeCell ref="D105:E105"/>
    <mergeCell ref="D94:E94"/>
    <mergeCell ref="D95:E95"/>
    <mergeCell ref="D96:F96"/>
    <mergeCell ref="D97:E97"/>
    <mergeCell ref="D98:F98"/>
    <mergeCell ref="D99:E99"/>
    <mergeCell ref="D88:F88"/>
    <mergeCell ref="D89:E89"/>
    <mergeCell ref="D90:E90"/>
    <mergeCell ref="D91:F91"/>
    <mergeCell ref="D92:E92"/>
    <mergeCell ref="D93:F93"/>
    <mergeCell ref="D82:E82"/>
    <mergeCell ref="D83:E83"/>
    <mergeCell ref="D84:F84"/>
    <mergeCell ref="D85:E85"/>
    <mergeCell ref="D86:F86"/>
    <mergeCell ref="D87:E87"/>
    <mergeCell ref="D76:E76"/>
    <mergeCell ref="D77:F77"/>
    <mergeCell ref="D78:E78"/>
    <mergeCell ref="D79:F79"/>
    <mergeCell ref="D80:E80"/>
    <mergeCell ref="D81:F81"/>
    <mergeCell ref="D70:F70"/>
    <mergeCell ref="D71:E71"/>
    <mergeCell ref="D72:E72"/>
    <mergeCell ref="D73:F73"/>
    <mergeCell ref="D74:E74"/>
    <mergeCell ref="D75:F75"/>
    <mergeCell ref="D64:E64"/>
    <mergeCell ref="D65:F65"/>
    <mergeCell ref="D66:E66"/>
    <mergeCell ref="D67:E67"/>
    <mergeCell ref="D68:F68"/>
    <mergeCell ref="D69:E69"/>
    <mergeCell ref="D58:F58"/>
    <mergeCell ref="D59:F59"/>
    <mergeCell ref="D60:F60"/>
    <mergeCell ref="D61:E61"/>
    <mergeCell ref="D62:E62"/>
    <mergeCell ref="D63:F63"/>
    <mergeCell ref="D52:E52"/>
    <mergeCell ref="D53:F53"/>
    <mergeCell ref="D54:E54"/>
    <mergeCell ref="D55:F55"/>
    <mergeCell ref="D56:E56"/>
    <mergeCell ref="D57:E57"/>
    <mergeCell ref="D46:E46"/>
    <mergeCell ref="D47:F47"/>
    <mergeCell ref="D48:E48"/>
    <mergeCell ref="D49:F49"/>
    <mergeCell ref="D50:E50"/>
    <mergeCell ref="D51:F51"/>
    <mergeCell ref="D40:F40"/>
    <mergeCell ref="D41:E41"/>
    <mergeCell ref="D42:F42"/>
    <mergeCell ref="D43:E43"/>
    <mergeCell ref="D44:F44"/>
    <mergeCell ref="D45:E45"/>
    <mergeCell ref="D34:E34"/>
    <mergeCell ref="D35:F35"/>
    <mergeCell ref="D36:E36"/>
    <mergeCell ref="D37:F37"/>
    <mergeCell ref="D38:E38"/>
    <mergeCell ref="D39:E39"/>
    <mergeCell ref="D28:F28"/>
    <mergeCell ref="D29:E29"/>
    <mergeCell ref="D30:E30"/>
    <mergeCell ref="D31:F31"/>
    <mergeCell ref="D32:E32"/>
    <mergeCell ref="D33:F33"/>
    <mergeCell ref="D22:E22"/>
    <mergeCell ref="D23:F23"/>
    <mergeCell ref="D24:E24"/>
    <mergeCell ref="D25:F25"/>
    <mergeCell ref="D26:E26"/>
    <mergeCell ref="D27:E27"/>
    <mergeCell ref="D16:E16"/>
    <mergeCell ref="D17:F17"/>
    <mergeCell ref="D18:E18"/>
    <mergeCell ref="D19:F19"/>
    <mergeCell ref="D20:E20"/>
    <mergeCell ref="D21:F21"/>
    <mergeCell ref="D10:E10"/>
    <mergeCell ref="D11:E11"/>
    <mergeCell ref="D12:E12"/>
    <mergeCell ref="D13:F13"/>
    <mergeCell ref="D14:E14"/>
    <mergeCell ref="D15:F15"/>
    <mergeCell ref="A6:B7"/>
    <mergeCell ref="C6:D7"/>
    <mergeCell ref="E6:E7"/>
    <mergeCell ref="F6:H7"/>
    <mergeCell ref="A8:B9"/>
    <mergeCell ref="C8:D9"/>
    <mergeCell ref="E8:E9"/>
    <mergeCell ref="F8:H9"/>
    <mergeCell ref="A1:H1"/>
    <mergeCell ref="A2:B3"/>
    <mergeCell ref="C2:D3"/>
    <mergeCell ref="E2:E3"/>
    <mergeCell ref="F2:H3"/>
    <mergeCell ref="A4:B5"/>
    <mergeCell ref="C4:D5"/>
    <mergeCell ref="E4:E5"/>
    <mergeCell ref="F4:H5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7EE89-0387-4DCD-9ACC-FF1CD3EDFF5A}">
  <sheetPr>
    <pageSetUpPr fitToPage="1"/>
  </sheetPr>
  <dimension ref="A1:J37"/>
  <sheetViews>
    <sheetView workbookViewId="0">
      <selection activeCell="F28" sqref="F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rozpočet-SO02'!C2</f>
        <v>Snížení energetické.náročnosti objektů Domova Kladno-Švermov</v>
      </c>
      <c r="D2" s="291"/>
      <c r="E2" s="293" t="s">
        <v>1657</v>
      </c>
      <c r="F2" s="293" t="str">
        <f>'Stavební rozpočet-SO02'!I2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rozpočet-SO02'!C4</f>
        <v>SO 02 - OBJEKT 2 - č.p.1357</v>
      </c>
      <c r="D4" s="256"/>
      <c r="E4" s="255" t="s">
        <v>1658</v>
      </c>
      <c r="F4" s="255" t="str">
        <f>'Stavební rozpočet-SO02'!I4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rozpočet-SO02'!C6</f>
        <v xml:space="preserve"> </v>
      </c>
      <c r="D6" s="256"/>
      <c r="E6" s="255" t="s">
        <v>1659</v>
      </c>
      <c r="F6" s="255" t="str">
        <f>'Stavební rozpočet-SO02'!I6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547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rozpočet-SO02'!C8</f>
        <v xml:space="preserve"> </v>
      </c>
      <c r="D10" s="256"/>
      <c r="E10" s="255" t="s">
        <v>1660</v>
      </c>
      <c r="F10" s="255" t="str">
        <f>'Stavební rozpočet-SO02'!I8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rozpočet-SO02'!AB12:AB600)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rozpočet-SO02'!AC12:AC600)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rozpočet-SO02'!AD12:AD600)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rozpočet-SO02'!AE12:AE600)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rozpočet-SO02'!AF12:AF600)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rozpočet-SO02'!AG12:AG600)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rozpočet-SO02'!AH12:AH600)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rozpočet-SO02'!Z12:Z600)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rozpočet-SO02'!AJ12:AJ600)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rozpočet-SO02'!AK12:AK600)+(F22+I22+F23+I23+I24+I25)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rozpočet-SO02'!AL12:AL600)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YXVH2xsM1SRwUf/Fcln3R3Q2CidoIPHhk/nRQc3TeyKc+YYGi93LA2KXcRGEOnmZHHyNfVuVrMExbxqR4KT6xg==" saltValue="xmhwBxLgcZLEv0QdzkVp6g==" spinCount="100000" sheet="1" objects="1" scenarios="1"/>
  <mergeCells count="83">
    <mergeCell ref="C1:I1"/>
    <mergeCell ref="A2:B3"/>
    <mergeCell ref="C2:D3"/>
    <mergeCell ref="E2:E3"/>
    <mergeCell ref="F2:G3"/>
    <mergeCell ref="H2:H3"/>
    <mergeCell ref="I2:I3"/>
    <mergeCell ref="I6:I7"/>
    <mergeCell ref="A4:B5"/>
    <mergeCell ref="C4:D5"/>
    <mergeCell ref="E4:E5"/>
    <mergeCell ref="F4:G5"/>
    <mergeCell ref="H4:H5"/>
    <mergeCell ref="I4:I5"/>
    <mergeCell ref="A6:B7"/>
    <mergeCell ref="C6:D7"/>
    <mergeCell ref="E6:E7"/>
    <mergeCell ref="F6:G7"/>
    <mergeCell ref="H6:H7"/>
    <mergeCell ref="I8:I9"/>
    <mergeCell ref="A10:B11"/>
    <mergeCell ref="C10:D11"/>
    <mergeCell ref="E10:E11"/>
    <mergeCell ref="A12:I12"/>
    <mergeCell ref="F10:G11"/>
    <mergeCell ref="H10:H11"/>
    <mergeCell ref="I10:I11"/>
    <mergeCell ref="A8:B9"/>
    <mergeCell ref="C8:D9"/>
    <mergeCell ref="E8:E9"/>
    <mergeCell ref="F8:G9"/>
    <mergeCell ref="H8:H9"/>
    <mergeCell ref="B13:C13"/>
    <mergeCell ref="E13:F13"/>
    <mergeCell ref="H13:I13"/>
    <mergeCell ref="D14:E14"/>
    <mergeCell ref="G14:H14"/>
    <mergeCell ref="D15:E15"/>
    <mergeCell ref="G15:H15"/>
    <mergeCell ref="D16:E16"/>
    <mergeCell ref="G16:H16"/>
    <mergeCell ref="D17:E17"/>
    <mergeCell ref="G17:H17"/>
    <mergeCell ref="D18:E18"/>
    <mergeCell ref="G18:H18"/>
    <mergeCell ref="D19:E19"/>
    <mergeCell ref="G19:H19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G25:H25"/>
    <mergeCell ref="A27:B27"/>
    <mergeCell ref="A29:B29"/>
    <mergeCell ref="D29:E29"/>
    <mergeCell ref="G29:H29"/>
    <mergeCell ref="A31:C31"/>
    <mergeCell ref="D31:F31"/>
    <mergeCell ref="G31:I31"/>
    <mergeCell ref="A32:C32"/>
    <mergeCell ref="D32:F32"/>
    <mergeCell ref="G32:I32"/>
    <mergeCell ref="A33:C33"/>
    <mergeCell ref="D33:F33"/>
    <mergeCell ref="G33:I33"/>
    <mergeCell ref="A37:I37"/>
    <mergeCell ref="A34:C34"/>
    <mergeCell ref="D34:F34"/>
    <mergeCell ref="G34:I34"/>
    <mergeCell ref="A35:C35"/>
    <mergeCell ref="D35:F35"/>
    <mergeCell ref="G35:I3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FDE0-0772-46F0-A95F-9A0239D6C226}">
  <sheetPr>
    <pageSetUpPr fitToPage="1"/>
  </sheetPr>
  <dimension ref="A1:I55"/>
  <sheetViews>
    <sheetView workbookViewId="0">
      <pane ySplit="10" topLeftCell="A20" activePane="bottomLeft" state="frozenSplit"/>
      <selection activeCell="D38" sqref="D38:E38"/>
      <selection pane="bottomLeft" activeCell="C46" sqref="C46:D46"/>
    </sheetView>
  </sheetViews>
  <sheetFormatPr defaultColWidth="11.5703125" defaultRowHeight="12.75" x14ac:dyDescent="0.2"/>
  <cols>
    <col min="1" max="2" width="16.5703125" style="75" customWidth="1"/>
    <col min="3" max="3" width="41.7109375" style="75" customWidth="1"/>
    <col min="4" max="4" width="11.5703125" style="75"/>
    <col min="5" max="5" width="22.140625" style="75" hidden="1" customWidth="1"/>
    <col min="6" max="6" width="21" style="75" hidden="1" customWidth="1"/>
    <col min="7" max="7" width="20.85546875" style="75" customWidth="1"/>
    <col min="8" max="9" width="0" style="75" hidden="1" customWidth="1"/>
    <col min="10" max="16384" width="11.5703125" style="75"/>
  </cols>
  <sheetData>
    <row r="1" spans="1:9" ht="72.95" customHeight="1" x14ac:dyDescent="0.35">
      <c r="A1" s="302" t="s">
        <v>1741</v>
      </c>
      <c r="B1" s="287"/>
      <c r="C1" s="287"/>
      <c r="D1" s="287"/>
      <c r="E1" s="287"/>
      <c r="F1" s="287"/>
      <c r="G1" s="287"/>
    </row>
    <row r="2" spans="1:9" x14ac:dyDescent="0.2">
      <c r="A2" s="288" t="s">
        <v>1</v>
      </c>
      <c r="B2" s="290" t="str">
        <f>'Stavební rozpočet-SO02'!C2</f>
        <v>Snížení energetické.náročnosti objektů Domova Kladno-Švermov</v>
      </c>
      <c r="C2" s="291"/>
      <c r="D2" s="293" t="s">
        <v>1657</v>
      </c>
      <c r="E2" s="293" t="str">
        <f>'Stavební rozpočet-SO02'!I2</f>
        <v> </v>
      </c>
      <c r="F2" s="289"/>
      <c r="G2" s="303"/>
      <c r="H2" s="80"/>
    </row>
    <row r="3" spans="1:9" x14ac:dyDescent="0.2">
      <c r="A3" s="285"/>
      <c r="B3" s="292"/>
      <c r="C3" s="292"/>
      <c r="D3" s="256"/>
      <c r="E3" s="256"/>
      <c r="F3" s="256"/>
      <c r="G3" s="276"/>
      <c r="H3" s="80"/>
    </row>
    <row r="4" spans="1:9" x14ac:dyDescent="0.2">
      <c r="A4" s="277" t="s">
        <v>2</v>
      </c>
      <c r="B4" s="255" t="str">
        <f>'Stavební rozpočet-SO02'!C4</f>
        <v>SO 02 - OBJEKT 2 - č.p.1357</v>
      </c>
      <c r="C4" s="256"/>
      <c r="D4" s="255" t="s">
        <v>1658</v>
      </c>
      <c r="E4" s="255" t="str">
        <f>'Stavební rozpočet-SO02'!I4</f>
        <v> </v>
      </c>
      <c r="F4" s="256"/>
      <c r="G4" s="276"/>
      <c r="H4" s="80"/>
    </row>
    <row r="5" spans="1:9" x14ac:dyDescent="0.2">
      <c r="A5" s="285"/>
      <c r="B5" s="256"/>
      <c r="C5" s="256"/>
      <c r="D5" s="256"/>
      <c r="E5" s="256"/>
      <c r="F5" s="256"/>
      <c r="G5" s="276"/>
      <c r="H5" s="80"/>
    </row>
    <row r="6" spans="1:9" x14ac:dyDescent="0.2">
      <c r="A6" s="277" t="s">
        <v>3</v>
      </c>
      <c r="B6" s="255" t="str">
        <f>'Stavební rozpočet-SO02'!C6</f>
        <v xml:space="preserve"> </v>
      </c>
      <c r="C6" s="256"/>
      <c r="D6" s="255" t="s">
        <v>1659</v>
      </c>
      <c r="E6" s="255" t="str">
        <f>'Stavební rozpočet-SO02'!I6</f>
        <v> </v>
      </c>
      <c r="F6" s="256"/>
      <c r="G6" s="276"/>
      <c r="H6" s="80"/>
    </row>
    <row r="7" spans="1:9" x14ac:dyDescent="0.2">
      <c r="A7" s="285"/>
      <c r="B7" s="256"/>
      <c r="C7" s="256"/>
      <c r="D7" s="256"/>
      <c r="E7" s="256"/>
      <c r="F7" s="256"/>
      <c r="G7" s="276"/>
      <c r="H7" s="80"/>
    </row>
    <row r="8" spans="1:9" x14ac:dyDescent="0.2">
      <c r="A8" s="277" t="s">
        <v>1660</v>
      </c>
      <c r="B8" s="255" t="str">
        <f>'Stavební rozpočet-SO02'!I8</f>
        <v> </v>
      </c>
      <c r="C8" s="256"/>
      <c r="D8" s="282" t="s">
        <v>1642</v>
      </c>
      <c r="E8" s="255"/>
      <c r="F8" s="256"/>
      <c r="G8" s="276"/>
      <c r="H8" s="80"/>
    </row>
    <row r="9" spans="1:9" ht="13.5" thickBot="1" x14ac:dyDescent="0.25">
      <c r="A9" s="299"/>
      <c r="B9" s="300"/>
      <c r="C9" s="300"/>
      <c r="D9" s="300"/>
      <c r="E9" s="300"/>
      <c r="F9" s="300"/>
      <c r="G9" s="301"/>
      <c r="H9" s="80"/>
    </row>
    <row r="10" spans="1:9" ht="13.5" thickBot="1" x14ac:dyDescent="0.25">
      <c r="A10" s="105" t="s">
        <v>1742</v>
      </c>
      <c r="B10" s="104" t="s">
        <v>570</v>
      </c>
      <c r="C10" s="295" t="s">
        <v>1743</v>
      </c>
      <c r="D10" s="296"/>
      <c r="E10" s="103" t="s">
        <v>1744</v>
      </c>
      <c r="F10" s="103" t="s">
        <v>1745</v>
      </c>
      <c r="G10" s="103" t="s">
        <v>1746</v>
      </c>
      <c r="H10" s="80"/>
    </row>
    <row r="11" spans="1:9" x14ac:dyDescent="0.2">
      <c r="A11" s="102"/>
      <c r="B11" s="102" t="s">
        <v>17</v>
      </c>
      <c r="C11" s="297" t="s">
        <v>1051</v>
      </c>
      <c r="D11" s="298"/>
      <c r="E11" s="101">
        <f>'Stavební rozpočet-SO02'!I12</f>
        <v>0</v>
      </c>
      <c r="F11" s="101">
        <f>'Stavební rozpočet-SO02'!J12</f>
        <v>0</v>
      </c>
      <c r="G11" s="101">
        <f>'Stavební rozpočet-SO02'!K12</f>
        <v>0</v>
      </c>
      <c r="H11" s="100" t="s">
        <v>1747</v>
      </c>
      <c r="I11" s="100">
        <f t="shared" ref="I11:I53" si="0">IF(H11="F",0,G11)</f>
        <v>0</v>
      </c>
    </row>
    <row r="12" spans="1:9" x14ac:dyDescent="0.2">
      <c r="A12" s="96"/>
      <c r="B12" s="96" t="s">
        <v>18</v>
      </c>
      <c r="C12" s="282" t="s">
        <v>1059</v>
      </c>
      <c r="D12" s="256"/>
      <c r="E12" s="100">
        <f>'Stavební rozpočet-SO02'!I20</f>
        <v>0</v>
      </c>
      <c r="F12" s="100">
        <f>'Stavební rozpočet-SO02'!J20</f>
        <v>0</v>
      </c>
      <c r="G12" s="100">
        <f>'Stavební rozpočet-SO02'!K20</f>
        <v>0</v>
      </c>
      <c r="H12" s="100" t="s">
        <v>1747</v>
      </c>
      <c r="I12" s="100">
        <f t="shared" si="0"/>
        <v>0</v>
      </c>
    </row>
    <row r="13" spans="1:9" x14ac:dyDescent="0.2">
      <c r="A13" s="96"/>
      <c r="B13" s="96" t="s">
        <v>19</v>
      </c>
      <c r="C13" s="282" t="s">
        <v>1061</v>
      </c>
      <c r="D13" s="256"/>
      <c r="E13" s="100">
        <f>'Stavební rozpočet-SO02'!I22</f>
        <v>0</v>
      </c>
      <c r="F13" s="100">
        <f>'Stavební rozpočet-SO02'!J22</f>
        <v>0</v>
      </c>
      <c r="G13" s="100">
        <f>'Stavební rozpočet-SO02'!K22</f>
        <v>0</v>
      </c>
      <c r="H13" s="100" t="s">
        <v>1747</v>
      </c>
      <c r="I13" s="100">
        <f t="shared" si="0"/>
        <v>0</v>
      </c>
    </row>
    <row r="14" spans="1:9" x14ac:dyDescent="0.2">
      <c r="A14" s="96"/>
      <c r="B14" s="96" t="s">
        <v>22</v>
      </c>
      <c r="C14" s="282" t="s">
        <v>1066</v>
      </c>
      <c r="D14" s="256"/>
      <c r="E14" s="100">
        <f>'Stavební rozpočet-SO02'!I27</f>
        <v>0</v>
      </c>
      <c r="F14" s="100">
        <f>'Stavební rozpočet-SO02'!J27</f>
        <v>0</v>
      </c>
      <c r="G14" s="100">
        <f>'Stavební rozpočet-SO02'!K27</f>
        <v>0</v>
      </c>
      <c r="H14" s="100" t="s">
        <v>1747</v>
      </c>
      <c r="I14" s="100">
        <f t="shared" si="0"/>
        <v>0</v>
      </c>
    </row>
    <row r="15" spans="1:9" x14ac:dyDescent="0.2">
      <c r="A15" s="96"/>
      <c r="B15" s="96" t="s">
        <v>23</v>
      </c>
      <c r="C15" s="282" t="s">
        <v>1070</v>
      </c>
      <c r="D15" s="256"/>
      <c r="E15" s="100">
        <f>'Stavební rozpočet-SO02'!I32</f>
        <v>0</v>
      </c>
      <c r="F15" s="100">
        <f>'Stavební rozpočet-SO02'!J32</f>
        <v>0</v>
      </c>
      <c r="G15" s="100">
        <f>'Stavební rozpočet-SO02'!K32</f>
        <v>0</v>
      </c>
      <c r="H15" s="100" t="s">
        <v>1747</v>
      </c>
      <c r="I15" s="100">
        <f t="shared" si="0"/>
        <v>0</v>
      </c>
    </row>
    <row r="16" spans="1:9" x14ac:dyDescent="0.2">
      <c r="A16" s="96"/>
      <c r="B16" s="96" t="s">
        <v>24</v>
      </c>
      <c r="C16" s="282" t="s">
        <v>1076</v>
      </c>
      <c r="D16" s="256"/>
      <c r="E16" s="100">
        <f>'Stavební rozpočet-SO02'!I37</f>
        <v>0</v>
      </c>
      <c r="F16" s="100">
        <f>'Stavební rozpočet-SO02'!J37</f>
        <v>0</v>
      </c>
      <c r="G16" s="100">
        <f>'Stavební rozpočet-SO02'!K37</f>
        <v>0</v>
      </c>
      <c r="H16" s="100" t="s">
        <v>1747</v>
      </c>
      <c r="I16" s="100">
        <f t="shared" si="0"/>
        <v>0</v>
      </c>
    </row>
    <row r="17" spans="1:9" x14ac:dyDescent="0.2">
      <c r="A17" s="96"/>
      <c r="B17" s="96" t="s">
        <v>27</v>
      </c>
      <c r="C17" s="282" t="s">
        <v>1078</v>
      </c>
      <c r="D17" s="256"/>
      <c r="E17" s="100">
        <f>'Stavební rozpočet-SO02'!I40</f>
        <v>0</v>
      </c>
      <c r="F17" s="100">
        <f>'Stavební rozpočet-SO02'!J40</f>
        <v>0</v>
      </c>
      <c r="G17" s="100">
        <f>'Stavební rozpočet-SO02'!K40</f>
        <v>0</v>
      </c>
      <c r="H17" s="100" t="s">
        <v>1747</v>
      </c>
      <c r="I17" s="100">
        <f t="shared" si="0"/>
        <v>0</v>
      </c>
    </row>
    <row r="18" spans="1:9" x14ac:dyDescent="0.2">
      <c r="A18" s="96"/>
      <c r="B18" s="96" t="s">
        <v>33</v>
      </c>
      <c r="C18" s="282" t="s">
        <v>1081</v>
      </c>
      <c r="D18" s="256"/>
      <c r="E18" s="100">
        <f>'Stavební rozpočet-SO02'!I43</f>
        <v>0</v>
      </c>
      <c r="F18" s="100">
        <f>'Stavební rozpočet-SO02'!J43</f>
        <v>0</v>
      </c>
      <c r="G18" s="100">
        <f>'Stavební rozpočet-SO02'!K43</f>
        <v>0</v>
      </c>
      <c r="H18" s="100" t="s">
        <v>1747</v>
      </c>
      <c r="I18" s="100">
        <f t="shared" si="0"/>
        <v>0</v>
      </c>
    </row>
    <row r="19" spans="1:9" x14ac:dyDescent="0.2">
      <c r="A19" s="96"/>
      <c r="B19" s="96" t="s">
        <v>37</v>
      </c>
      <c r="C19" s="282" t="s">
        <v>1084</v>
      </c>
      <c r="D19" s="256"/>
      <c r="E19" s="100">
        <f>'Stavební rozpočet-SO02'!I46</f>
        <v>0</v>
      </c>
      <c r="F19" s="100">
        <f>'Stavební rozpočet-SO02'!J46</f>
        <v>0</v>
      </c>
      <c r="G19" s="100">
        <f>'Stavební rozpočet-SO02'!K46</f>
        <v>0</v>
      </c>
      <c r="H19" s="100" t="s">
        <v>1747</v>
      </c>
      <c r="I19" s="100">
        <f t="shared" si="0"/>
        <v>0</v>
      </c>
    </row>
    <row r="20" spans="1:9" x14ac:dyDescent="0.2">
      <c r="A20" s="96"/>
      <c r="B20" s="96" t="s">
        <v>62</v>
      </c>
      <c r="C20" s="282" t="s">
        <v>1090</v>
      </c>
      <c r="D20" s="256"/>
      <c r="E20" s="100">
        <f>'Stavební rozpočet-SO02'!I51</f>
        <v>0</v>
      </c>
      <c r="F20" s="100">
        <f>'Stavební rozpočet-SO02'!J51</f>
        <v>0</v>
      </c>
      <c r="G20" s="100">
        <f>'Stavební rozpočet-SO02'!K51</f>
        <v>0</v>
      </c>
      <c r="H20" s="100" t="s">
        <v>1747</v>
      </c>
      <c r="I20" s="100">
        <f t="shared" si="0"/>
        <v>0</v>
      </c>
    </row>
    <row r="21" spans="1:9" x14ac:dyDescent="0.2">
      <c r="A21" s="96"/>
      <c r="B21" s="96" t="s">
        <v>63</v>
      </c>
      <c r="C21" s="282" t="s">
        <v>1923</v>
      </c>
      <c r="D21" s="256"/>
      <c r="E21" s="100">
        <f>'Stavební rozpočet-SO02'!I55</f>
        <v>0</v>
      </c>
      <c r="F21" s="100">
        <f>'Stavební rozpočet-SO02'!J55</f>
        <v>0</v>
      </c>
      <c r="G21" s="100">
        <f>'Stavební rozpočet-SO02'!K55</f>
        <v>0</v>
      </c>
      <c r="H21" s="100" t="s">
        <v>1747</v>
      </c>
      <c r="I21" s="100">
        <f t="shared" si="0"/>
        <v>0</v>
      </c>
    </row>
    <row r="22" spans="1:9" x14ac:dyDescent="0.2">
      <c r="A22" s="96"/>
      <c r="B22" s="96" t="s">
        <v>65</v>
      </c>
      <c r="C22" s="282" t="s">
        <v>1094</v>
      </c>
      <c r="D22" s="256"/>
      <c r="E22" s="100">
        <f>'Stavební rozpočet-SO02'!I57</f>
        <v>0</v>
      </c>
      <c r="F22" s="100">
        <f>'Stavební rozpočet-SO02'!J57</f>
        <v>0</v>
      </c>
      <c r="G22" s="100">
        <f>'Stavební rozpočet-SO02'!K57</f>
        <v>0</v>
      </c>
      <c r="H22" s="100" t="s">
        <v>1747</v>
      </c>
      <c r="I22" s="100">
        <f t="shared" si="0"/>
        <v>0</v>
      </c>
    </row>
    <row r="23" spans="1:9" x14ac:dyDescent="0.2">
      <c r="A23" s="96"/>
      <c r="B23" s="96" t="s">
        <v>67</v>
      </c>
      <c r="C23" s="282" t="s">
        <v>1097</v>
      </c>
      <c r="D23" s="256"/>
      <c r="E23" s="100">
        <f>'Stavební rozpočet-SO02'!I59</f>
        <v>0</v>
      </c>
      <c r="F23" s="100">
        <f>'Stavební rozpočet-SO02'!J59</f>
        <v>0</v>
      </c>
      <c r="G23" s="100">
        <f>'Stavební rozpočet-SO02'!K59</f>
        <v>0</v>
      </c>
      <c r="H23" s="100" t="s">
        <v>1747</v>
      </c>
      <c r="I23" s="100">
        <f t="shared" si="0"/>
        <v>0</v>
      </c>
    </row>
    <row r="24" spans="1:9" x14ac:dyDescent="0.2">
      <c r="A24" s="96"/>
      <c r="B24" s="96" t="s">
        <v>68</v>
      </c>
      <c r="C24" s="282" t="s">
        <v>1104</v>
      </c>
      <c r="D24" s="256"/>
      <c r="E24" s="100">
        <f>'Stavební rozpočet-SO02'!I66</f>
        <v>0</v>
      </c>
      <c r="F24" s="100">
        <f>'Stavební rozpočet-SO02'!J66</f>
        <v>0</v>
      </c>
      <c r="G24" s="100">
        <f>'Stavební rozpočet-SO02'!K66</f>
        <v>0</v>
      </c>
      <c r="H24" s="100" t="s">
        <v>1747</v>
      </c>
      <c r="I24" s="100">
        <f t="shared" si="0"/>
        <v>0</v>
      </c>
    </row>
    <row r="25" spans="1:9" x14ac:dyDescent="0.2">
      <c r="A25" s="96"/>
      <c r="B25" s="96" t="s">
        <v>69</v>
      </c>
      <c r="C25" s="282" t="s">
        <v>1128</v>
      </c>
      <c r="D25" s="256"/>
      <c r="E25" s="100">
        <f>'Stavební rozpočet-SO02'!I90</f>
        <v>0</v>
      </c>
      <c r="F25" s="100">
        <f>'Stavební rozpočet-SO02'!J90</f>
        <v>0</v>
      </c>
      <c r="G25" s="100">
        <f>'Stavební rozpočet-SO02'!K90</f>
        <v>0</v>
      </c>
      <c r="H25" s="100" t="s">
        <v>1747</v>
      </c>
      <c r="I25" s="100">
        <f t="shared" si="0"/>
        <v>0</v>
      </c>
    </row>
    <row r="26" spans="1:9" x14ac:dyDescent="0.2">
      <c r="A26" s="96"/>
      <c r="B26" s="96" t="s">
        <v>89</v>
      </c>
      <c r="C26" s="282" t="s">
        <v>1130</v>
      </c>
      <c r="D26" s="256"/>
      <c r="E26" s="100">
        <f>'Stavební rozpočet-SO02'!I92</f>
        <v>0</v>
      </c>
      <c r="F26" s="100">
        <f>'Stavební rozpočet-SO02'!J92</f>
        <v>0</v>
      </c>
      <c r="G26" s="100">
        <f>'Stavební rozpočet-SO02'!K92</f>
        <v>0</v>
      </c>
      <c r="H26" s="100" t="s">
        <v>1747</v>
      </c>
      <c r="I26" s="100">
        <f t="shared" si="0"/>
        <v>0</v>
      </c>
    </row>
    <row r="27" spans="1:9" x14ac:dyDescent="0.2">
      <c r="A27" s="96"/>
      <c r="B27" s="96" t="s">
        <v>95</v>
      </c>
      <c r="C27" s="282" t="s">
        <v>1133</v>
      </c>
      <c r="D27" s="256"/>
      <c r="E27" s="100">
        <f>'Stavební rozpočet-SO02'!I95</f>
        <v>0</v>
      </c>
      <c r="F27" s="100">
        <f>'Stavební rozpočet-SO02'!J95</f>
        <v>0</v>
      </c>
      <c r="G27" s="100">
        <f>'Stavební rozpočet-SO02'!K95</f>
        <v>0</v>
      </c>
      <c r="H27" s="100" t="s">
        <v>1747</v>
      </c>
      <c r="I27" s="100">
        <f t="shared" si="0"/>
        <v>0</v>
      </c>
    </row>
    <row r="28" spans="1:9" x14ac:dyDescent="0.2">
      <c r="A28" s="96"/>
      <c r="B28" s="96" t="s">
        <v>97</v>
      </c>
      <c r="C28" s="282" t="s">
        <v>1136</v>
      </c>
      <c r="D28" s="256"/>
      <c r="E28" s="100">
        <f>'Stavební rozpočet-SO02'!I98</f>
        <v>0</v>
      </c>
      <c r="F28" s="100">
        <f>'Stavební rozpočet-SO02'!J98</f>
        <v>0</v>
      </c>
      <c r="G28" s="100">
        <f>'Stavební rozpočet-SO02'!K98</f>
        <v>0</v>
      </c>
      <c r="H28" s="100" t="s">
        <v>1747</v>
      </c>
      <c r="I28" s="100">
        <f t="shared" si="0"/>
        <v>0</v>
      </c>
    </row>
    <row r="29" spans="1:9" x14ac:dyDescent="0.2">
      <c r="A29" s="96"/>
      <c r="B29" s="96" t="s">
        <v>100</v>
      </c>
      <c r="C29" s="282" t="s">
        <v>1139</v>
      </c>
      <c r="D29" s="256"/>
      <c r="E29" s="100">
        <f>'Stavební rozpočet-SO02'!I102</f>
        <v>0</v>
      </c>
      <c r="F29" s="100">
        <f>'Stavební rozpočet-SO02'!J102</f>
        <v>0</v>
      </c>
      <c r="G29" s="100">
        <f>'Stavební rozpočet-SO02'!K102</f>
        <v>0</v>
      </c>
      <c r="H29" s="100" t="s">
        <v>1747</v>
      </c>
      <c r="I29" s="100">
        <f t="shared" si="0"/>
        <v>0</v>
      </c>
    </row>
    <row r="30" spans="1:9" x14ac:dyDescent="0.2">
      <c r="A30" s="96"/>
      <c r="B30" s="96" t="s">
        <v>101</v>
      </c>
      <c r="C30" s="282" t="s">
        <v>1147</v>
      </c>
      <c r="D30" s="256"/>
      <c r="E30" s="100">
        <f>'Stavební rozpočet-SO02'!I110</f>
        <v>0</v>
      </c>
      <c r="F30" s="100">
        <f>'Stavební rozpočet-SO02'!J110</f>
        <v>0</v>
      </c>
      <c r="G30" s="100">
        <f>'Stavební rozpočet-SO02'!K110</f>
        <v>0</v>
      </c>
      <c r="H30" s="100" t="s">
        <v>1747</v>
      </c>
      <c r="I30" s="100">
        <f t="shared" si="0"/>
        <v>0</v>
      </c>
    </row>
    <row r="31" spans="1:9" x14ac:dyDescent="0.2">
      <c r="A31" s="96"/>
      <c r="B31" s="96" t="s">
        <v>102</v>
      </c>
      <c r="C31" s="282" t="s">
        <v>1158</v>
      </c>
      <c r="D31" s="256"/>
      <c r="E31" s="100">
        <f>'Stavební rozpočet-SO02'!I121</f>
        <v>0</v>
      </c>
      <c r="F31" s="100">
        <f>'Stavební rozpočet-SO02'!J121</f>
        <v>0</v>
      </c>
      <c r="G31" s="100">
        <f>'Stavební rozpočet-SO02'!K121</f>
        <v>0</v>
      </c>
      <c r="H31" s="100" t="s">
        <v>1747</v>
      </c>
      <c r="I31" s="100">
        <f t="shared" si="0"/>
        <v>0</v>
      </c>
    </row>
    <row r="32" spans="1:9" x14ac:dyDescent="0.2">
      <c r="A32" s="96"/>
      <c r="B32" s="96" t="s">
        <v>103</v>
      </c>
      <c r="C32" s="282" t="s">
        <v>1178</v>
      </c>
      <c r="D32" s="256"/>
      <c r="E32" s="100">
        <f>'Stavební rozpočet-SO02'!I139</f>
        <v>0</v>
      </c>
      <c r="F32" s="100">
        <f>'Stavební rozpočet-SO02'!J139</f>
        <v>0</v>
      </c>
      <c r="G32" s="100">
        <f>'Stavební rozpočet-SO02'!K139</f>
        <v>0</v>
      </c>
      <c r="H32" s="100" t="s">
        <v>1747</v>
      </c>
      <c r="I32" s="100">
        <f t="shared" si="0"/>
        <v>0</v>
      </c>
    </row>
    <row r="33" spans="1:9" x14ac:dyDescent="0.2">
      <c r="A33" s="96"/>
      <c r="B33" s="96" t="s">
        <v>686</v>
      </c>
      <c r="C33" s="282" t="s">
        <v>1198</v>
      </c>
      <c r="D33" s="256"/>
      <c r="E33" s="100">
        <f>'Stavební rozpočet-SO02'!I155</f>
        <v>0</v>
      </c>
      <c r="F33" s="100">
        <f>'Stavební rozpočet-SO02'!J155</f>
        <v>0</v>
      </c>
      <c r="G33" s="100">
        <f>'Stavební rozpočet-SO02'!K155</f>
        <v>0</v>
      </c>
      <c r="H33" s="100" t="s">
        <v>1747</v>
      </c>
      <c r="I33" s="100">
        <f t="shared" si="0"/>
        <v>0</v>
      </c>
    </row>
    <row r="34" spans="1:9" x14ac:dyDescent="0.2">
      <c r="A34" s="96"/>
      <c r="B34" s="96" t="s">
        <v>703</v>
      </c>
      <c r="C34" s="282" t="s">
        <v>1215</v>
      </c>
      <c r="D34" s="256"/>
      <c r="E34" s="100">
        <f>'Stavební rozpočet-SO02'!I172</f>
        <v>0</v>
      </c>
      <c r="F34" s="100">
        <f>'Stavební rozpočet-SO02'!J172</f>
        <v>0</v>
      </c>
      <c r="G34" s="100">
        <f>'Stavební rozpočet-SO02'!K172</f>
        <v>0</v>
      </c>
      <c r="H34" s="100" t="s">
        <v>1747</v>
      </c>
      <c r="I34" s="100">
        <f t="shared" si="0"/>
        <v>0</v>
      </c>
    </row>
    <row r="35" spans="1:9" x14ac:dyDescent="0.2">
      <c r="A35" s="96"/>
      <c r="B35" s="96" t="s">
        <v>705</v>
      </c>
      <c r="C35" s="282" t="s">
        <v>1217</v>
      </c>
      <c r="D35" s="256"/>
      <c r="E35" s="100">
        <f>'Stavební rozpočet-SO02'!I174</f>
        <v>0</v>
      </c>
      <c r="F35" s="100">
        <f>'Stavební rozpočet-SO02'!J174</f>
        <v>0</v>
      </c>
      <c r="G35" s="100">
        <f>'Stavební rozpočet-SO02'!K174</f>
        <v>0</v>
      </c>
      <c r="H35" s="100" t="s">
        <v>1747</v>
      </c>
      <c r="I35" s="100">
        <f t="shared" si="0"/>
        <v>0</v>
      </c>
    </row>
    <row r="36" spans="1:9" x14ac:dyDescent="0.2">
      <c r="A36" s="96"/>
      <c r="B36" s="96" t="s">
        <v>710</v>
      </c>
      <c r="C36" s="282" t="s">
        <v>1222</v>
      </c>
      <c r="D36" s="256"/>
      <c r="E36" s="100">
        <f>'Stavební rozpočet-SO02'!I179</f>
        <v>0</v>
      </c>
      <c r="F36" s="100">
        <f>'Stavební rozpočet-SO02'!J179</f>
        <v>0</v>
      </c>
      <c r="G36" s="100">
        <f>'Stavební rozpočet-SO02'!K179</f>
        <v>0</v>
      </c>
      <c r="H36" s="100" t="s">
        <v>1747</v>
      </c>
      <c r="I36" s="100">
        <f t="shared" si="0"/>
        <v>0</v>
      </c>
    </row>
    <row r="37" spans="1:9" x14ac:dyDescent="0.2">
      <c r="A37" s="96"/>
      <c r="B37" s="96" t="s">
        <v>719</v>
      </c>
      <c r="C37" s="282" t="s">
        <v>1231</v>
      </c>
      <c r="D37" s="256"/>
      <c r="E37" s="100">
        <f>'Stavební rozpočet-SO02'!I188</f>
        <v>0</v>
      </c>
      <c r="F37" s="100">
        <f>'Stavební rozpočet-SO02'!J188</f>
        <v>0</v>
      </c>
      <c r="G37" s="100">
        <f>'Stavební rozpočet-SO02'!K188</f>
        <v>0</v>
      </c>
      <c r="H37" s="100" t="s">
        <v>1747</v>
      </c>
      <c r="I37" s="100">
        <f t="shared" si="0"/>
        <v>0</v>
      </c>
    </row>
    <row r="38" spans="1:9" x14ac:dyDescent="0.2">
      <c r="A38" s="96"/>
      <c r="B38" s="96" t="s">
        <v>744</v>
      </c>
      <c r="C38" s="282" t="s">
        <v>1256</v>
      </c>
      <c r="D38" s="256"/>
      <c r="E38" s="100">
        <f>'Stavební rozpočet-SO02'!I214</f>
        <v>0</v>
      </c>
      <c r="F38" s="100">
        <f>'Stavební rozpočet-SO02'!J214</f>
        <v>0</v>
      </c>
      <c r="G38" s="100">
        <f>'Stavební rozpočet-SO02'!K214</f>
        <v>0</v>
      </c>
      <c r="H38" s="100" t="s">
        <v>1747</v>
      </c>
      <c r="I38" s="100">
        <f t="shared" si="0"/>
        <v>0</v>
      </c>
    </row>
    <row r="39" spans="1:9" x14ac:dyDescent="0.2">
      <c r="A39" s="96"/>
      <c r="B39" s="96" t="s">
        <v>771</v>
      </c>
      <c r="C39" s="282" t="s">
        <v>1283</v>
      </c>
      <c r="D39" s="256"/>
      <c r="E39" s="100">
        <f>'Stavební rozpočet-SO02'!I230</f>
        <v>0</v>
      </c>
      <c r="F39" s="100">
        <f>'Stavební rozpočet-SO02'!J230</f>
        <v>0</v>
      </c>
      <c r="G39" s="100">
        <f>'Stavební rozpočet-SO02'!K230</f>
        <v>0</v>
      </c>
      <c r="H39" s="100" t="s">
        <v>1747</v>
      </c>
      <c r="I39" s="100">
        <f t="shared" si="0"/>
        <v>0</v>
      </c>
    </row>
    <row r="40" spans="1:9" x14ac:dyDescent="0.2">
      <c r="A40" s="96"/>
      <c r="B40" s="96" t="s">
        <v>772</v>
      </c>
      <c r="C40" s="282" t="s">
        <v>1355</v>
      </c>
      <c r="D40" s="256"/>
      <c r="E40" s="100">
        <f>'Stavební rozpočet-SO02'!I306</f>
        <v>0</v>
      </c>
      <c r="F40" s="100">
        <f>'Stavební rozpočet-SO02'!J306</f>
        <v>0</v>
      </c>
      <c r="G40" s="100">
        <f>'Stavební rozpočet-SO02'!K306</f>
        <v>0</v>
      </c>
      <c r="H40" s="100" t="s">
        <v>1747</v>
      </c>
      <c r="I40" s="100">
        <f t="shared" si="0"/>
        <v>0</v>
      </c>
    </row>
    <row r="41" spans="1:9" x14ac:dyDescent="0.2">
      <c r="A41" s="96"/>
      <c r="B41" s="96" t="s">
        <v>798</v>
      </c>
      <c r="C41" s="282" t="s">
        <v>1379</v>
      </c>
      <c r="D41" s="256"/>
      <c r="E41" s="100">
        <f>'Stavební rozpočet-SO02'!I330</f>
        <v>0</v>
      </c>
      <c r="F41" s="100">
        <f>'Stavební rozpočet-SO02'!J330</f>
        <v>0</v>
      </c>
      <c r="G41" s="100">
        <f>'Stavební rozpočet-SO02'!K330</f>
        <v>0</v>
      </c>
      <c r="H41" s="100" t="s">
        <v>1747</v>
      </c>
      <c r="I41" s="100">
        <f t="shared" si="0"/>
        <v>0</v>
      </c>
    </row>
    <row r="42" spans="1:9" x14ac:dyDescent="0.2">
      <c r="A42" s="96"/>
      <c r="B42" s="96" t="s">
        <v>822</v>
      </c>
      <c r="C42" s="282" t="s">
        <v>1395</v>
      </c>
      <c r="D42" s="256"/>
      <c r="E42" s="100">
        <f>'Stavební rozpočet-SO02'!I354</f>
        <v>0</v>
      </c>
      <c r="F42" s="100">
        <f>'Stavební rozpočet-SO02'!J354</f>
        <v>0</v>
      </c>
      <c r="G42" s="100">
        <f>'Stavební rozpočet-SO02'!K354</f>
        <v>0</v>
      </c>
      <c r="H42" s="100" t="s">
        <v>1747</v>
      </c>
      <c r="I42" s="100">
        <f t="shared" si="0"/>
        <v>0</v>
      </c>
    </row>
    <row r="43" spans="1:9" x14ac:dyDescent="0.2">
      <c r="A43" s="96"/>
      <c r="B43" s="96" t="s">
        <v>842</v>
      </c>
      <c r="C43" s="282" t="s">
        <v>1424</v>
      </c>
      <c r="D43" s="256"/>
      <c r="E43" s="100">
        <f>'Stavební rozpočet-SO02'!I383</f>
        <v>0</v>
      </c>
      <c r="F43" s="100">
        <f>'Stavební rozpočet-SO02'!J383</f>
        <v>0</v>
      </c>
      <c r="G43" s="100">
        <f>'Stavební rozpočet-SO02'!K383</f>
        <v>0</v>
      </c>
      <c r="H43" s="100" t="s">
        <v>1747</v>
      </c>
      <c r="I43" s="100">
        <f t="shared" si="0"/>
        <v>0</v>
      </c>
    </row>
    <row r="44" spans="1:9" x14ac:dyDescent="0.2">
      <c r="A44" s="96"/>
      <c r="B44" s="96" t="s">
        <v>869</v>
      </c>
      <c r="C44" s="282" t="s">
        <v>1458</v>
      </c>
      <c r="D44" s="256"/>
      <c r="E44" s="100">
        <f>'Stavební rozpočet-SO02'!I421</f>
        <v>0</v>
      </c>
      <c r="F44" s="100">
        <f>'Stavební rozpočet-SO02'!J421</f>
        <v>0</v>
      </c>
      <c r="G44" s="100">
        <f>'Stavební rozpočet-SO02'!K421</f>
        <v>0</v>
      </c>
      <c r="H44" s="100" t="s">
        <v>1747</v>
      </c>
      <c r="I44" s="100">
        <f t="shared" si="0"/>
        <v>0</v>
      </c>
    </row>
    <row r="45" spans="1:9" x14ac:dyDescent="0.2">
      <c r="A45" s="96"/>
      <c r="B45" s="96" t="s">
        <v>882</v>
      </c>
      <c r="C45" s="282" t="s">
        <v>1471</v>
      </c>
      <c r="D45" s="256"/>
      <c r="E45" s="100">
        <f>'Stavební rozpočet-SO02'!I434</f>
        <v>0</v>
      </c>
      <c r="F45" s="100">
        <f>'Stavební rozpočet-SO02'!J434</f>
        <v>0</v>
      </c>
      <c r="G45" s="100">
        <f>'Stavební rozpočet-SO02'!K434</f>
        <v>0</v>
      </c>
      <c r="H45" s="100" t="s">
        <v>1747</v>
      </c>
      <c r="I45" s="100">
        <f t="shared" si="0"/>
        <v>0</v>
      </c>
    </row>
    <row r="46" spans="1:9" x14ac:dyDescent="0.2">
      <c r="A46" s="96"/>
      <c r="B46" s="96" t="s">
        <v>903</v>
      </c>
      <c r="C46" s="282" t="s">
        <v>1492</v>
      </c>
      <c r="D46" s="256"/>
      <c r="E46" s="100">
        <f>'Stavební rozpočet-SO02'!I455</f>
        <v>0</v>
      </c>
      <c r="F46" s="100">
        <f>'Stavební rozpočet-SO02'!J455</f>
        <v>0</v>
      </c>
      <c r="G46" s="100">
        <f>'Stavební rozpočet-SO02'!K455</f>
        <v>0</v>
      </c>
      <c r="H46" s="100" t="s">
        <v>1747</v>
      </c>
      <c r="I46" s="100">
        <f t="shared" si="0"/>
        <v>0</v>
      </c>
    </row>
    <row r="47" spans="1:9" x14ac:dyDescent="0.2">
      <c r="A47" s="96"/>
      <c r="B47" s="96" t="s">
        <v>907</v>
      </c>
      <c r="C47" s="282" t="s">
        <v>1496</v>
      </c>
      <c r="D47" s="256"/>
      <c r="E47" s="100">
        <f>'Stavební rozpočet-SO02'!I459</f>
        <v>0</v>
      </c>
      <c r="F47" s="100">
        <f>'Stavební rozpočet-SO02'!J459</f>
        <v>0</v>
      </c>
      <c r="G47" s="100">
        <f>'Stavební rozpočet-SO02'!K459</f>
        <v>0</v>
      </c>
      <c r="H47" s="100" t="s">
        <v>1747</v>
      </c>
      <c r="I47" s="100">
        <f t="shared" si="0"/>
        <v>0</v>
      </c>
    </row>
    <row r="48" spans="1:9" x14ac:dyDescent="0.2">
      <c r="A48" s="96"/>
      <c r="B48" s="96" t="s">
        <v>922</v>
      </c>
      <c r="C48" s="282" t="s">
        <v>1511</v>
      </c>
      <c r="D48" s="256"/>
      <c r="E48" s="100">
        <f>'Stavební rozpočet-SO02'!I471</f>
        <v>0</v>
      </c>
      <c r="F48" s="100">
        <f>'Stavební rozpočet-SO02'!J471</f>
        <v>0</v>
      </c>
      <c r="G48" s="100">
        <f>'Stavební rozpočet-SO02'!K471</f>
        <v>0</v>
      </c>
      <c r="H48" s="100" t="s">
        <v>1747</v>
      </c>
      <c r="I48" s="100">
        <f t="shared" si="0"/>
        <v>0</v>
      </c>
    </row>
    <row r="49" spans="1:9" x14ac:dyDescent="0.2">
      <c r="A49" s="96"/>
      <c r="B49" s="96" t="s">
        <v>930</v>
      </c>
      <c r="C49" s="282" t="s">
        <v>1519</v>
      </c>
      <c r="D49" s="256"/>
      <c r="E49" s="100">
        <f>'Stavební rozpočet-SO02'!I479</f>
        <v>0</v>
      </c>
      <c r="F49" s="100">
        <f>'Stavební rozpočet-SO02'!J479</f>
        <v>0</v>
      </c>
      <c r="G49" s="100">
        <f>'Stavební rozpočet-SO02'!K479</f>
        <v>0</v>
      </c>
      <c r="H49" s="100" t="s">
        <v>1747</v>
      </c>
      <c r="I49" s="100">
        <f t="shared" si="0"/>
        <v>0</v>
      </c>
    </row>
    <row r="50" spans="1:9" x14ac:dyDescent="0.2">
      <c r="A50" s="96"/>
      <c r="B50" s="96" t="s">
        <v>936</v>
      </c>
      <c r="C50" s="282" t="s">
        <v>1525</v>
      </c>
      <c r="D50" s="256"/>
      <c r="E50" s="100">
        <f>'Stavební rozpočet-SO02'!I485</f>
        <v>0</v>
      </c>
      <c r="F50" s="100">
        <f>'Stavební rozpočet-SO02'!J485</f>
        <v>0</v>
      </c>
      <c r="G50" s="100">
        <f>'Stavební rozpočet-SO02'!K485</f>
        <v>0</v>
      </c>
      <c r="H50" s="100" t="s">
        <v>1747</v>
      </c>
      <c r="I50" s="100">
        <f t="shared" si="0"/>
        <v>0</v>
      </c>
    </row>
    <row r="51" spans="1:9" x14ac:dyDescent="0.2">
      <c r="A51" s="96"/>
      <c r="B51" s="96" t="s">
        <v>967</v>
      </c>
      <c r="C51" s="282" t="s">
        <v>1556</v>
      </c>
      <c r="D51" s="256"/>
      <c r="E51" s="100">
        <f>'Stavební rozpočet-SO02'!I515</f>
        <v>0</v>
      </c>
      <c r="F51" s="100">
        <f>'Stavební rozpočet-SO02'!J515</f>
        <v>0</v>
      </c>
      <c r="G51" s="100">
        <f>'Stavební rozpočet-SO02'!K515</f>
        <v>0</v>
      </c>
      <c r="H51" s="100" t="s">
        <v>1747</v>
      </c>
      <c r="I51" s="100">
        <f t="shared" si="0"/>
        <v>0</v>
      </c>
    </row>
    <row r="52" spans="1:9" x14ac:dyDescent="0.2">
      <c r="A52" s="96"/>
      <c r="B52" s="96" t="s">
        <v>970</v>
      </c>
      <c r="C52" s="282" t="s">
        <v>1559</v>
      </c>
      <c r="D52" s="256"/>
      <c r="E52" s="100">
        <f>'Stavební rozpočet-SO02'!I518</f>
        <v>0</v>
      </c>
      <c r="F52" s="100">
        <f>'Stavební rozpočet-SO02'!J518</f>
        <v>0</v>
      </c>
      <c r="G52" s="100">
        <f>'Stavební rozpočet-SO02'!K518</f>
        <v>0</v>
      </c>
      <c r="H52" s="100" t="s">
        <v>1747</v>
      </c>
      <c r="I52" s="100">
        <f t="shared" si="0"/>
        <v>0</v>
      </c>
    </row>
    <row r="53" spans="1:9" x14ac:dyDescent="0.2">
      <c r="A53" s="96"/>
      <c r="B53" s="96" t="s">
        <v>1039</v>
      </c>
      <c r="C53" s="282" t="s">
        <v>1631</v>
      </c>
      <c r="D53" s="256"/>
      <c r="E53" s="100">
        <f>'Stavební rozpočet-SO02'!I593</f>
        <v>0</v>
      </c>
      <c r="F53" s="100">
        <f>'Stavební rozpočet-SO02'!J593</f>
        <v>0</v>
      </c>
      <c r="G53" s="100">
        <f>'Stavební rozpočet-SO02'!K593</f>
        <v>0</v>
      </c>
      <c r="H53" s="100" t="s">
        <v>1747</v>
      </c>
      <c r="I53" s="100">
        <f t="shared" si="0"/>
        <v>0</v>
      </c>
    </row>
    <row r="55" spans="1:9" x14ac:dyDescent="0.2">
      <c r="F55" s="99" t="s">
        <v>1666</v>
      </c>
      <c r="G55" s="98">
        <f>SUM(I11:I53)</f>
        <v>0</v>
      </c>
    </row>
  </sheetData>
  <sheetProtection algorithmName="SHA-512" hashValue="L+7CnpRq0yN1sZe/JfPX5AQ+oHoQ+uasISxHP1Lwgy9AcAADLw41KtPlXXsHtd7NlIucuM0gpazTRX0GGoaHTg==" saltValue="HbqGIYPhJelNhUDSfAwAAQ==" spinCount="100000" sheet="1" objects="1" scenarios="1"/>
  <mergeCells count="61">
    <mergeCell ref="A4:A5"/>
    <mergeCell ref="B4:C5"/>
    <mergeCell ref="D4:D5"/>
    <mergeCell ref="E4:G5"/>
    <mergeCell ref="A1:G1"/>
    <mergeCell ref="A2:A3"/>
    <mergeCell ref="B2:C3"/>
    <mergeCell ref="D2:D3"/>
    <mergeCell ref="E2:G3"/>
    <mergeCell ref="A6:A7"/>
    <mergeCell ref="B6:C7"/>
    <mergeCell ref="D6:D7"/>
    <mergeCell ref="E6:G7"/>
    <mergeCell ref="A8:A9"/>
    <mergeCell ref="B8:C9"/>
    <mergeCell ref="D8:D9"/>
    <mergeCell ref="E8:G9"/>
    <mergeCell ref="C15:D15"/>
    <mergeCell ref="C16:D16"/>
    <mergeCell ref="C17:D17"/>
    <mergeCell ref="C18:D18"/>
    <mergeCell ref="C19:D19"/>
    <mergeCell ref="C20:D20"/>
    <mergeCell ref="C29:D29"/>
    <mergeCell ref="C30:D30"/>
    <mergeCell ref="C31:D31"/>
    <mergeCell ref="C32:D32"/>
    <mergeCell ref="C21:D21"/>
    <mergeCell ref="C10:D10"/>
    <mergeCell ref="C11:D11"/>
    <mergeCell ref="C12:D12"/>
    <mergeCell ref="C13:D13"/>
    <mergeCell ref="C14:D14"/>
    <mergeCell ref="C33:D33"/>
    <mergeCell ref="C22:D22"/>
    <mergeCell ref="C23:D23"/>
    <mergeCell ref="C24:D24"/>
    <mergeCell ref="C25:D25"/>
    <mergeCell ref="C26:D26"/>
    <mergeCell ref="C27:D27"/>
    <mergeCell ref="C28:D28"/>
    <mergeCell ref="C45:D45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44:D44"/>
    <mergeCell ref="C52:D52"/>
    <mergeCell ref="C53:D53"/>
    <mergeCell ref="C46:D46"/>
    <mergeCell ref="C47:D47"/>
    <mergeCell ref="C48:D48"/>
    <mergeCell ref="C49:D49"/>
    <mergeCell ref="C50:D50"/>
    <mergeCell ref="C51:D51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4AB05-6167-41E2-BF99-03893DD82EED}">
  <sheetPr>
    <pageSetUpPr fitToPage="1"/>
  </sheetPr>
  <dimension ref="A1:BJ603"/>
  <sheetViews>
    <sheetView workbookViewId="0">
      <pane ySplit="11" topLeftCell="A430" activePane="bottomLeft" state="frozenSplit"/>
      <selection activeCell="A2" sqref="A2:A3"/>
      <selection pane="bottomLeft" activeCell="H431" sqref="H431"/>
    </sheetView>
  </sheetViews>
  <sheetFormatPr defaultColWidth="11.5703125" defaultRowHeight="12.75" x14ac:dyDescent="0.2"/>
  <cols>
    <col min="1" max="1" width="3.7109375" style="75" customWidth="1"/>
    <col min="2" max="2" width="14.28515625" style="75" customWidth="1"/>
    <col min="3" max="3" width="133" style="75" customWidth="1"/>
    <col min="4" max="5" width="11.5703125" style="75"/>
    <col min="6" max="6" width="6.42578125" style="75" customWidth="1"/>
    <col min="7" max="7" width="12.85546875" style="75" customWidth="1"/>
    <col min="8" max="8" width="12" style="75" customWidth="1"/>
    <col min="9" max="10" width="14.28515625" style="75" hidden="1" customWidth="1"/>
    <col min="11" max="11" width="14.28515625" style="75" customWidth="1"/>
    <col min="12" max="12" width="11.7109375" style="75" hidden="1" customWidth="1"/>
    <col min="13" max="24" width="11.5703125" style="75"/>
    <col min="25" max="62" width="12.140625" style="75" hidden="1" customWidth="1"/>
    <col min="63" max="16384" width="11.5703125" style="75"/>
  </cols>
  <sheetData>
    <row r="1" spans="1:62" ht="72.95" customHeight="1" x14ac:dyDescent="0.35">
      <c r="A1" s="302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62" x14ac:dyDescent="0.2">
      <c r="A2" s="288" t="s">
        <v>1</v>
      </c>
      <c r="B2" s="289"/>
      <c r="C2" s="290" t="s">
        <v>1047</v>
      </c>
      <c r="D2" s="327" t="s">
        <v>1639</v>
      </c>
      <c r="E2" s="289"/>
      <c r="F2" s="328" t="s">
        <v>6</v>
      </c>
      <c r="G2" s="329"/>
      <c r="H2" s="293" t="s">
        <v>1657</v>
      </c>
      <c r="I2" s="328" t="s">
        <v>1663</v>
      </c>
      <c r="J2" s="329"/>
      <c r="K2" s="329"/>
      <c r="L2" s="330"/>
      <c r="M2" s="80"/>
    </row>
    <row r="3" spans="1:62" x14ac:dyDescent="0.2">
      <c r="A3" s="285"/>
      <c r="B3" s="256"/>
      <c r="C3" s="292"/>
      <c r="D3" s="256"/>
      <c r="E3" s="256"/>
      <c r="F3" s="325"/>
      <c r="G3" s="325"/>
      <c r="H3" s="256"/>
      <c r="I3" s="325"/>
      <c r="J3" s="325"/>
      <c r="K3" s="325"/>
      <c r="L3" s="326"/>
      <c r="M3" s="80"/>
    </row>
    <row r="4" spans="1:62" x14ac:dyDescent="0.2">
      <c r="A4" s="277" t="s">
        <v>2</v>
      </c>
      <c r="B4" s="256"/>
      <c r="C4" s="255" t="s">
        <v>2167</v>
      </c>
      <c r="D4" s="282" t="s">
        <v>1640</v>
      </c>
      <c r="E4" s="256"/>
      <c r="F4" s="324"/>
      <c r="G4" s="325"/>
      <c r="H4" s="255" t="s">
        <v>1658</v>
      </c>
      <c r="I4" s="324" t="s">
        <v>1663</v>
      </c>
      <c r="J4" s="325"/>
      <c r="K4" s="325"/>
      <c r="L4" s="326"/>
      <c r="M4" s="80"/>
    </row>
    <row r="5" spans="1:62" x14ac:dyDescent="0.2">
      <c r="A5" s="285"/>
      <c r="B5" s="256"/>
      <c r="C5" s="256"/>
      <c r="D5" s="256"/>
      <c r="E5" s="256"/>
      <c r="F5" s="325"/>
      <c r="G5" s="325"/>
      <c r="H5" s="256"/>
      <c r="I5" s="325"/>
      <c r="J5" s="325"/>
      <c r="K5" s="325"/>
      <c r="L5" s="326"/>
      <c r="M5" s="80"/>
    </row>
    <row r="6" spans="1:62" x14ac:dyDescent="0.2">
      <c r="A6" s="277" t="s">
        <v>3</v>
      </c>
      <c r="B6" s="256"/>
      <c r="C6" s="331" t="s">
        <v>6</v>
      </c>
      <c r="D6" s="282" t="s">
        <v>1641</v>
      </c>
      <c r="E6" s="256"/>
      <c r="F6" s="324"/>
      <c r="G6" s="325"/>
      <c r="H6" s="255" t="s">
        <v>1659</v>
      </c>
      <c r="I6" s="324" t="s">
        <v>1663</v>
      </c>
      <c r="J6" s="325"/>
      <c r="K6" s="325"/>
      <c r="L6" s="326"/>
      <c r="M6" s="80"/>
    </row>
    <row r="7" spans="1:62" x14ac:dyDescent="0.2">
      <c r="A7" s="285"/>
      <c r="B7" s="256"/>
      <c r="C7" s="325"/>
      <c r="D7" s="256"/>
      <c r="E7" s="256"/>
      <c r="F7" s="325"/>
      <c r="G7" s="325"/>
      <c r="H7" s="256"/>
      <c r="I7" s="325"/>
      <c r="J7" s="325"/>
      <c r="K7" s="325"/>
      <c r="L7" s="326"/>
      <c r="M7" s="80"/>
    </row>
    <row r="8" spans="1:62" x14ac:dyDescent="0.2">
      <c r="A8" s="277" t="s">
        <v>4</v>
      </c>
      <c r="B8" s="256"/>
      <c r="C8" s="331" t="s">
        <v>6</v>
      </c>
      <c r="D8" s="282" t="s">
        <v>1642</v>
      </c>
      <c r="E8" s="256"/>
      <c r="F8" s="324"/>
      <c r="G8" s="325"/>
      <c r="H8" s="255" t="s">
        <v>1660</v>
      </c>
      <c r="I8" s="324" t="s">
        <v>1663</v>
      </c>
      <c r="J8" s="325"/>
      <c r="K8" s="325"/>
      <c r="L8" s="326"/>
      <c r="M8" s="80"/>
    </row>
    <row r="9" spans="1:62" ht="13.5" thickBot="1" x14ac:dyDescent="0.25">
      <c r="A9" s="299"/>
      <c r="B9" s="300"/>
      <c r="C9" s="332"/>
      <c r="D9" s="300"/>
      <c r="E9" s="300"/>
      <c r="F9" s="332"/>
      <c r="G9" s="332"/>
      <c r="H9" s="300"/>
      <c r="I9" s="332"/>
      <c r="J9" s="332"/>
      <c r="K9" s="332"/>
      <c r="L9" s="333"/>
      <c r="M9" s="80"/>
    </row>
    <row r="10" spans="1:62" x14ac:dyDescent="0.2">
      <c r="A10" s="141" t="s">
        <v>5</v>
      </c>
      <c r="B10" s="140" t="s">
        <v>570</v>
      </c>
      <c r="C10" s="313" t="s">
        <v>1049</v>
      </c>
      <c r="D10" s="314"/>
      <c r="E10" s="315"/>
      <c r="F10" s="140" t="s">
        <v>1643</v>
      </c>
      <c r="G10" s="139" t="s">
        <v>1656</v>
      </c>
      <c r="H10" s="138" t="s">
        <v>1661</v>
      </c>
      <c r="I10" s="316" t="s">
        <v>1664</v>
      </c>
      <c r="J10" s="317"/>
      <c r="K10" s="318"/>
      <c r="L10" s="137" t="s">
        <v>1669</v>
      </c>
      <c r="M10" s="78"/>
    </row>
    <row r="11" spans="1:62" ht="13.5" thickBot="1" x14ac:dyDescent="0.25">
      <c r="A11" s="136" t="s">
        <v>6</v>
      </c>
      <c r="B11" s="135" t="s">
        <v>6</v>
      </c>
      <c r="C11" s="319" t="s">
        <v>1050</v>
      </c>
      <c r="D11" s="320"/>
      <c r="E11" s="321"/>
      <c r="F11" s="135" t="s">
        <v>6</v>
      </c>
      <c r="G11" s="135" t="s">
        <v>6</v>
      </c>
      <c r="H11" s="134" t="s">
        <v>1662</v>
      </c>
      <c r="I11" s="133" t="s">
        <v>1665</v>
      </c>
      <c r="J11" s="132" t="s">
        <v>1667</v>
      </c>
      <c r="K11" s="131" t="s">
        <v>1668</v>
      </c>
      <c r="L11" s="130" t="s">
        <v>1670</v>
      </c>
      <c r="M11" s="78"/>
      <c r="Z11" s="109" t="s">
        <v>1672</v>
      </c>
      <c r="AA11" s="109" t="s">
        <v>1673</v>
      </c>
      <c r="AB11" s="109" t="s">
        <v>1674</v>
      </c>
      <c r="AC11" s="109" t="s">
        <v>1675</v>
      </c>
      <c r="AD11" s="109" t="s">
        <v>1676</v>
      </c>
      <c r="AE11" s="109" t="s">
        <v>1677</v>
      </c>
      <c r="AF11" s="109" t="s">
        <v>1678</v>
      </c>
      <c r="AG11" s="109" t="s">
        <v>1679</v>
      </c>
      <c r="AH11" s="109" t="s">
        <v>1680</v>
      </c>
      <c r="BH11" s="109" t="s">
        <v>1738</v>
      </c>
      <c r="BI11" s="109" t="s">
        <v>1739</v>
      </c>
      <c r="BJ11" s="109" t="s">
        <v>1740</v>
      </c>
    </row>
    <row r="12" spans="1:62" x14ac:dyDescent="0.2">
      <c r="A12" s="128"/>
      <c r="B12" s="129" t="s">
        <v>17</v>
      </c>
      <c r="C12" s="322" t="s">
        <v>1051</v>
      </c>
      <c r="D12" s="323"/>
      <c r="E12" s="323"/>
      <c r="F12" s="128" t="s">
        <v>6</v>
      </c>
      <c r="G12" s="128" t="s">
        <v>6</v>
      </c>
      <c r="H12" s="128" t="s">
        <v>6</v>
      </c>
      <c r="I12" s="127">
        <f>SUM(I13:I19)</f>
        <v>0</v>
      </c>
      <c r="J12" s="127">
        <f>SUM(J13:J19)</f>
        <v>0</v>
      </c>
      <c r="K12" s="127">
        <f>SUM(K13:K19)</f>
        <v>0</v>
      </c>
      <c r="L12" s="126"/>
      <c r="AI12" s="109"/>
      <c r="AS12" s="118">
        <f>SUM(AJ13:AJ19)</f>
        <v>0</v>
      </c>
      <c r="AT12" s="118">
        <f>SUM(AK13:AK19)</f>
        <v>0</v>
      </c>
      <c r="AU12" s="118">
        <f>SUM(AL13:AL19)</f>
        <v>0</v>
      </c>
    </row>
    <row r="13" spans="1:62" x14ac:dyDescent="0.2">
      <c r="A13" s="117" t="s">
        <v>7</v>
      </c>
      <c r="B13" s="117" t="s">
        <v>571</v>
      </c>
      <c r="C13" s="304" t="s">
        <v>1052</v>
      </c>
      <c r="D13" s="305"/>
      <c r="E13" s="305"/>
      <c r="F13" s="117" t="s">
        <v>1644</v>
      </c>
      <c r="G13" s="116">
        <v>1</v>
      </c>
      <c r="H13" s="159"/>
      <c r="I13" s="108">
        <f t="shared" ref="I13:I19" si="0">G13*AO13</f>
        <v>0</v>
      </c>
      <c r="J13" s="108">
        <f t="shared" ref="J13:J19" si="1">G13*AP13</f>
        <v>0</v>
      </c>
      <c r="K13" s="108">
        <f t="shared" ref="K13:K19" si="2">G13*H13</f>
        <v>0</v>
      </c>
      <c r="L13" s="111" t="s">
        <v>1671</v>
      </c>
      <c r="Z13" s="100">
        <f t="shared" ref="Z13:Z19" si="3">IF(AQ13="5",BJ13,0)</f>
        <v>0</v>
      </c>
      <c r="AB13" s="100">
        <f t="shared" ref="AB13:AB19" si="4">IF(AQ13="1",BH13,0)</f>
        <v>0</v>
      </c>
      <c r="AC13" s="100">
        <f t="shared" ref="AC13:AC19" si="5">IF(AQ13="1",BI13,0)</f>
        <v>0</v>
      </c>
      <c r="AD13" s="100">
        <f t="shared" ref="AD13:AD19" si="6">IF(AQ13="7",BH13,0)</f>
        <v>0</v>
      </c>
      <c r="AE13" s="100">
        <f t="shared" ref="AE13:AE19" si="7">IF(AQ13="7",BI13,0)</f>
        <v>0</v>
      </c>
      <c r="AF13" s="100">
        <f t="shared" ref="AF13:AF19" si="8">IF(AQ13="2",BH13,0)</f>
        <v>0</v>
      </c>
      <c r="AG13" s="100">
        <f t="shared" ref="AG13:AG19" si="9">IF(AQ13="2",BI13,0)</f>
        <v>0</v>
      </c>
      <c r="AH13" s="100">
        <f t="shared" ref="AH13:AH19" si="10">IF(AQ13="0",BJ13,0)</f>
        <v>0</v>
      </c>
      <c r="AI13" s="109"/>
      <c r="AJ13" s="108">
        <f t="shared" ref="AJ13:AJ19" si="11">IF(AN13=0,K13,0)</f>
        <v>0</v>
      </c>
      <c r="AK13" s="108">
        <f t="shared" ref="AK13:AK19" si="12">IF(AN13=15,K13,0)</f>
        <v>0</v>
      </c>
      <c r="AL13" s="108">
        <f t="shared" ref="AL13:AL19" si="13">IF(AN13=21,K13,0)</f>
        <v>0</v>
      </c>
      <c r="AN13" s="100">
        <v>15</v>
      </c>
      <c r="AO13" s="100">
        <f>H13*0</f>
        <v>0</v>
      </c>
      <c r="AP13" s="100">
        <f>H13*(1-0)</f>
        <v>0</v>
      </c>
      <c r="AQ13" s="111" t="s">
        <v>7</v>
      </c>
      <c r="AV13" s="100">
        <f t="shared" ref="AV13:AV19" si="14">AW13+AX13</f>
        <v>0</v>
      </c>
      <c r="AW13" s="100">
        <f t="shared" ref="AW13:AW19" si="15">G13*AO13</f>
        <v>0</v>
      </c>
      <c r="AX13" s="100">
        <f t="shared" ref="AX13:AX19" si="16">G13*AP13</f>
        <v>0</v>
      </c>
      <c r="AY13" s="110" t="s">
        <v>1681</v>
      </c>
      <c r="AZ13" s="110" t="s">
        <v>1724</v>
      </c>
      <c r="BA13" s="109" t="s">
        <v>1737</v>
      </c>
      <c r="BC13" s="100">
        <f t="shared" ref="BC13:BC19" si="17">AW13+AX13</f>
        <v>0</v>
      </c>
      <c r="BD13" s="100">
        <f t="shared" ref="BD13:BD19" si="18">H13/(100-BE13)*100</f>
        <v>0</v>
      </c>
      <c r="BE13" s="100">
        <v>0</v>
      </c>
      <c r="BF13" s="100">
        <f>13</f>
        <v>13</v>
      </c>
      <c r="BH13" s="108">
        <f t="shared" ref="BH13:BH19" si="19">G13*AO13</f>
        <v>0</v>
      </c>
      <c r="BI13" s="108">
        <f t="shared" ref="BI13:BI19" si="20">G13*AP13</f>
        <v>0</v>
      </c>
      <c r="BJ13" s="108">
        <f t="shared" ref="BJ13:BJ19" si="21">G13*H13</f>
        <v>0</v>
      </c>
    </row>
    <row r="14" spans="1:62" x14ac:dyDescent="0.2">
      <c r="A14" s="117" t="s">
        <v>8</v>
      </c>
      <c r="B14" s="117" t="s">
        <v>572</v>
      </c>
      <c r="C14" s="304" t="s">
        <v>1053</v>
      </c>
      <c r="D14" s="305"/>
      <c r="E14" s="305"/>
      <c r="F14" s="117" t="s">
        <v>1644</v>
      </c>
      <c r="G14" s="116">
        <v>1</v>
      </c>
      <c r="H14" s="159"/>
      <c r="I14" s="108">
        <f t="shared" si="0"/>
        <v>0</v>
      </c>
      <c r="J14" s="108">
        <f t="shared" si="1"/>
        <v>0</v>
      </c>
      <c r="K14" s="108">
        <f t="shared" si="2"/>
        <v>0</v>
      </c>
      <c r="L14" s="111" t="s">
        <v>1671</v>
      </c>
      <c r="Z14" s="100">
        <f t="shared" si="3"/>
        <v>0</v>
      </c>
      <c r="AB14" s="100">
        <f t="shared" si="4"/>
        <v>0</v>
      </c>
      <c r="AC14" s="100">
        <f t="shared" si="5"/>
        <v>0</v>
      </c>
      <c r="AD14" s="100">
        <f t="shared" si="6"/>
        <v>0</v>
      </c>
      <c r="AE14" s="100">
        <f t="shared" si="7"/>
        <v>0</v>
      </c>
      <c r="AF14" s="100">
        <f t="shared" si="8"/>
        <v>0</v>
      </c>
      <c r="AG14" s="100">
        <f t="shared" si="9"/>
        <v>0</v>
      </c>
      <c r="AH14" s="100">
        <f t="shared" si="10"/>
        <v>0</v>
      </c>
      <c r="AI14" s="109"/>
      <c r="AJ14" s="108">
        <f t="shared" si="11"/>
        <v>0</v>
      </c>
      <c r="AK14" s="108">
        <f t="shared" si="12"/>
        <v>0</v>
      </c>
      <c r="AL14" s="108">
        <f t="shared" si="13"/>
        <v>0</v>
      </c>
      <c r="AN14" s="100">
        <v>15</v>
      </c>
      <c r="AO14" s="100">
        <f>H14*0.02432</f>
        <v>0</v>
      </c>
      <c r="AP14" s="100">
        <f>H14*(1-0.02432)</f>
        <v>0</v>
      </c>
      <c r="AQ14" s="111" t="s">
        <v>7</v>
      </c>
      <c r="AV14" s="100">
        <f t="shared" si="14"/>
        <v>0</v>
      </c>
      <c r="AW14" s="100">
        <f t="shared" si="15"/>
        <v>0</v>
      </c>
      <c r="AX14" s="100">
        <f t="shared" si="16"/>
        <v>0</v>
      </c>
      <c r="AY14" s="110" t="s">
        <v>1681</v>
      </c>
      <c r="AZ14" s="110" t="s">
        <v>1724</v>
      </c>
      <c r="BA14" s="109" t="s">
        <v>1737</v>
      </c>
      <c r="BC14" s="100">
        <f t="shared" si="17"/>
        <v>0</v>
      </c>
      <c r="BD14" s="100">
        <f t="shared" si="18"/>
        <v>0</v>
      </c>
      <c r="BE14" s="100">
        <v>0</v>
      </c>
      <c r="BF14" s="100">
        <f>14</f>
        <v>14</v>
      </c>
      <c r="BH14" s="108">
        <f t="shared" si="19"/>
        <v>0</v>
      </c>
      <c r="BI14" s="108">
        <f t="shared" si="20"/>
        <v>0</v>
      </c>
      <c r="BJ14" s="108">
        <f t="shared" si="21"/>
        <v>0</v>
      </c>
    </row>
    <row r="15" spans="1:62" x14ac:dyDescent="0.2">
      <c r="A15" s="117" t="s">
        <v>9</v>
      </c>
      <c r="B15" s="117" t="s">
        <v>573</v>
      </c>
      <c r="C15" s="304" t="s">
        <v>1054</v>
      </c>
      <c r="D15" s="305"/>
      <c r="E15" s="305"/>
      <c r="F15" s="117" t="s">
        <v>1645</v>
      </c>
      <c r="G15" s="116">
        <v>38</v>
      </c>
      <c r="H15" s="159"/>
      <c r="I15" s="108">
        <f t="shared" si="0"/>
        <v>0</v>
      </c>
      <c r="J15" s="108">
        <f t="shared" si="1"/>
        <v>0</v>
      </c>
      <c r="K15" s="108">
        <f t="shared" si="2"/>
        <v>0</v>
      </c>
      <c r="L15" s="111" t="s">
        <v>1671</v>
      </c>
      <c r="Z15" s="100">
        <f t="shared" si="3"/>
        <v>0</v>
      </c>
      <c r="AB15" s="100">
        <f t="shared" si="4"/>
        <v>0</v>
      </c>
      <c r="AC15" s="100">
        <f t="shared" si="5"/>
        <v>0</v>
      </c>
      <c r="AD15" s="100">
        <f t="shared" si="6"/>
        <v>0</v>
      </c>
      <c r="AE15" s="100">
        <f t="shared" si="7"/>
        <v>0</v>
      </c>
      <c r="AF15" s="100">
        <f t="shared" si="8"/>
        <v>0</v>
      </c>
      <c r="AG15" s="100">
        <f t="shared" si="9"/>
        <v>0</v>
      </c>
      <c r="AH15" s="100">
        <f t="shared" si="10"/>
        <v>0</v>
      </c>
      <c r="AI15" s="109"/>
      <c r="AJ15" s="108">
        <f t="shared" si="11"/>
        <v>0</v>
      </c>
      <c r="AK15" s="108">
        <f t="shared" si="12"/>
        <v>0</v>
      </c>
      <c r="AL15" s="108">
        <f t="shared" si="13"/>
        <v>0</v>
      </c>
      <c r="AN15" s="100">
        <v>15</v>
      </c>
      <c r="AO15" s="100">
        <f>H15*0</f>
        <v>0</v>
      </c>
      <c r="AP15" s="100">
        <f>H15*(1-0)</f>
        <v>0</v>
      </c>
      <c r="AQ15" s="111" t="s">
        <v>7</v>
      </c>
      <c r="AV15" s="100">
        <f t="shared" si="14"/>
        <v>0</v>
      </c>
      <c r="AW15" s="100">
        <f t="shared" si="15"/>
        <v>0</v>
      </c>
      <c r="AX15" s="100">
        <f t="shared" si="16"/>
        <v>0</v>
      </c>
      <c r="AY15" s="110" t="s">
        <v>1681</v>
      </c>
      <c r="AZ15" s="110" t="s">
        <v>1724</v>
      </c>
      <c r="BA15" s="109" t="s">
        <v>1737</v>
      </c>
      <c r="BC15" s="100">
        <f t="shared" si="17"/>
        <v>0</v>
      </c>
      <c r="BD15" s="100">
        <f t="shared" si="18"/>
        <v>0</v>
      </c>
      <c r="BE15" s="100">
        <v>0</v>
      </c>
      <c r="BF15" s="100">
        <f>15</f>
        <v>15</v>
      </c>
      <c r="BH15" s="108">
        <f t="shared" si="19"/>
        <v>0</v>
      </c>
      <c r="BI15" s="108">
        <f t="shared" si="20"/>
        <v>0</v>
      </c>
      <c r="BJ15" s="108">
        <f t="shared" si="21"/>
        <v>0</v>
      </c>
    </row>
    <row r="16" spans="1:62" x14ac:dyDescent="0.2">
      <c r="A16" s="117" t="s">
        <v>10</v>
      </c>
      <c r="B16" s="117" t="s">
        <v>573</v>
      </c>
      <c r="C16" s="304" t="s">
        <v>1055</v>
      </c>
      <c r="D16" s="305"/>
      <c r="E16" s="305"/>
      <c r="F16" s="117" t="s">
        <v>1645</v>
      </c>
      <c r="G16" s="116">
        <v>16.8</v>
      </c>
      <c r="H16" s="159"/>
      <c r="I16" s="108">
        <f t="shared" si="0"/>
        <v>0</v>
      </c>
      <c r="J16" s="108">
        <f t="shared" si="1"/>
        <v>0</v>
      </c>
      <c r="K16" s="108">
        <f t="shared" si="2"/>
        <v>0</v>
      </c>
      <c r="L16" s="111" t="s">
        <v>1671</v>
      </c>
      <c r="Z16" s="100">
        <f t="shared" si="3"/>
        <v>0</v>
      </c>
      <c r="AB16" s="100">
        <f t="shared" si="4"/>
        <v>0</v>
      </c>
      <c r="AC16" s="100">
        <f t="shared" si="5"/>
        <v>0</v>
      </c>
      <c r="AD16" s="100">
        <f t="shared" si="6"/>
        <v>0</v>
      </c>
      <c r="AE16" s="100">
        <f t="shared" si="7"/>
        <v>0</v>
      </c>
      <c r="AF16" s="100">
        <f t="shared" si="8"/>
        <v>0</v>
      </c>
      <c r="AG16" s="100">
        <f t="shared" si="9"/>
        <v>0</v>
      </c>
      <c r="AH16" s="100">
        <f t="shared" si="10"/>
        <v>0</v>
      </c>
      <c r="AI16" s="109"/>
      <c r="AJ16" s="108">
        <f t="shared" si="11"/>
        <v>0</v>
      </c>
      <c r="AK16" s="108">
        <f t="shared" si="12"/>
        <v>0</v>
      </c>
      <c r="AL16" s="108">
        <f t="shared" si="13"/>
        <v>0</v>
      </c>
      <c r="AN16" s="100">
        <v>15</v>
      </c>
      <c r="AO16" s="100">
        <f>H16*0</f>
        <v>0</v>
      </c>
      <c r="AP16" s="100">
        <f>H16*(1-0)</f>
        <v>0</v>
      </c>
      <c r="AQ16" s="111" t="s">
        <v>7</v>
      </c>
      <c r="AV16" s="100">
        <f t="shared" si="14"/>
        <v>0</v>
      </c>
      <c r="AW16" s="100">
        <f t="shared" si="15"/>
        <v>0</v>
      </c>
      <c r="AX16" s="100">
        <f t="shared" si="16"/>
        <v>0</v>
      </c>
      <c r="AY16" s="110" t="s">
        <v>1681</v>
      </c>
      <c r="AZ16" s="110" t="s">
        <v>1724</v>
      </c>
      <c r="BA16" s="109" t="s">
        <v>1737</v>
      </c>
      <c r="BC16" s="100">
        <f t="shared" si="17"/>
        <v>0</v>
      </c>
      <c r="BD16" s="100">
        <f t="shared" si="18"/>
        <v>0</v>
      </c>
      <c r="BE16" s="100">
        <v>0</v>
      </c>
      <c r="BF16" s="100">
        <f>16</f>
        <v>16</v>
      </c>
      <c r="BH16" s="108">
        <f t="shared" si="19"/>
        <v>0</v>
      </c>
      <c r="BI16" s="108">
        <f t="shared" si="20"/>
        <v>0</v>
      </c>
      <c r="BJ16" s="108">
        <f t="shared" si="21"/>
        <v>0</v>
      </c>
    </row>
    <row r="17" spans="1:62" x14ac:dyDescent="0.2">
      <c r="A17" s="117" t="s">
        <v>11</v>
      </c>
      <c r="B17" s="117" t="s">
        <v>2166</v>
      </c>
      <c r="C17" s="304" t="s">
        <v>2165</v>
      </c>
      <c r="D17" s="305"/>
      <c r="E17" s="305"/>
      <c r="F17" s="117" t="s">
        <v>1645</v>
      </c>
      <c r="G17" s="116">
        <v>5.58</v>
      </c>
      <c r="H17" s="159"/>
      <c r="I17" s="108">
        <f t="shared" si="0"/>
        <v>0</v>
      </c>
      <c r="J17" s="108">
        <f t="shared" si="1"/>
        <v>0</v>
      </c>
      <c r="K17" s="108">
        <f t="shared" si="2"/>
        <v>0</v>
      </c>
      <c r="L17" s="111" t="s">
        <v>1671</v>
      </c>
      <c r="Z17" s="100">
        <f t="shared" si="3"/>
        <v>0</v>
      </c>
      <c r="AB17" s="100">
        <f t="shared" si="4"/>
        <v>0</v>
      </c>
      <c r="AC17" s="100">
        <f t="shared" si="5"/>
        <v>0</v>
      </c>
      <c r="AD17" s="100">
        <f t="shared" si="6"/>
        <v>0</v>
      </c>
      <c r="AE17" s="100">
        <f t="shared" si="7"/>
        <v>0</v>
      </c>
      <c r="AF17" s="100">
        <f t="shared" si="8"/>
        <v>0</v>
      </c>
      <c r="AG17" s="100">
        <f t="shared" si="9"/>
        <v>0</v>
      </c>
      <c r="AH17" s="100">
        <f t="shared" si="10"/>
        <v>0</v>
      </c>
      <c r="AI17" s="109"/>
      <c r="AJ17" s="108">
        <f t="shared" si="11"/>
        <v>0</v>
      </c>
      <c r="AK17" s="108">
        <f t="shared" si="12"/>
        <v>0</v>
      </c>
      <c r="AL17" s="108">
        <f t="shared" si="13"/>
        <v>0</v>
      </c>
      <c r="AN17" s="100">
        <v>15</v>
      </c>
      <c r="AO17" s="100">
        <f>H17*0</f>
        <v>0</v>
      </c>
      <c r="AP17" s="100">
        <f>H17*(1-0)</f>
        <v>0</v>
      </c>
      <c r="AQ17" s="111" t="s">
        <v>7</v>
      </c>
      <c r="AV17" s="100">
        <f t="shared" si="14"/>
        <v>0</v>
      </c>
      <c r="AW17" s="100">
        <f t="shared" si="15"/>
        <v>0</v>
      </c>
      <c r="AX17" s="100">
        <f t="shared" si="16"/>
        <v>0</v>
      </c>
      <c r="AY17" s="110" t="s">
        <v>1681</v>
      </c>
      <c r="AZ17" s="110" t="s">
        <v>1724</v>
      </c>
      <c r="BA17" s="109" t="s">
        <v>1737</v>
      </c>
      <c r="BC17" s="100">
        <f t="shared" si="17"/>
        <v>0</v>
      </c>
      <c r="BD17" s="100">
        <f t="shared" si="18"/>
        <v>0</v>
      </c>
      <c r="BE17" s="100">
        <v>0</v>
      </c>
      <c r="BF17" s="100">
        <f>17</f>
        <v>17</v>
      </c>
      <c r="BH17" s="108">
        <f t="shared" si="19"/>
        <v>0</v>
      </c>
      <c r="BI17" s="108">
        <f t="shared" si="20"/>
        <v>0</v>
      </c>
      <c r="BJ17" s="108">
        <f t="shared" si="21"/>
        <v>0</v>
      </c>
    </row>
    <row r="18" spans="1:62" x14ac:dyDescent="0.2">
      <c r="A18" s="117" t="s">
        <v>12</v>
      </c>
      <c r="B18" s="117" t="s">
        <v>2164</v>
      </c>
      <c r="C18" s="304" t="s">
        <v>2163</v>
      </c>
      <c r="D18" s="305"/>
      <c r="E18" s="305"/>
      <c r="F18" s="117" t="s">
        <v>1645</v>
      </c>
      <c r="G18" s="116">
        <v>5.58</v>
      </c>
      <c r="H18" s="159"/>
      <c r="I18" s="108">
        <f t="shared" si="0"/>
        <v>0</v>
      </c>
      <c r="J18" s="108">
        <f t="shared" si="1"/>
        <v>0</v>
      </c>
      <c r="K18" s="108">
        <f t="shared" si="2"/>
        <v>0</v>
      </c>
      <c r="L18" s="111" t="s">
        <v>1671</v>
      </c>
      <c r="Z18" s="100">
        <f t="shared" si="3"/>
        <v>0</v>
      </c>
      <c r="AB18" s="100">
        <f t="shared" si="4"/>
        <v>0</v>
      </c>
      <c r="AC18" s="100">
        <f t="shared" si="5"/>
        <v>0</v>
      </c>
      <c r="AD18" s="100">
        <f t="shared" si="6"/>
        <v>0</v>
      </c>
      <c r="AE18" s="100">
        <f t="shared" si="7"/>
        <v>0</v>
      </c>
      <c r="AF18" s="100">
        <f t="shared" si="8"/>
        <v>0</v>
      </c>
      <c r="AG18" s="100">
        <f t="shared" si="9"/>
        <v>0</v>
      </c>
      <c r="AH18" s="100">
        <f t="shared" si="10"/>
        <v>0</v>
      </c>
      <c r="AI18" s="109"/>
      <c r="AJ18" s="108">
        <f t="shared" si="11"/>
        <v>0</v>
      </c>
      <c r="AK18" s="108">
        <f t="shared" si="12"/>
        <v>0</v>
      </c>
      <c r="AL18" s="108">
        <f t="shared" si="13"/>
        <v>0</v>
      </c>
      <c r="AN18" s="100">
        <v>15</v>
      </c>
      <c r="AO18" s="100">
        <f>H18*0</f>
        <v>0</v>
      </c>
      <c r="AP18" s="100">
        <f>H18*(1-0)</f>
        <v>0</v>
      </c>
      <c r="AQ18" s="111" t="s">
        <v>7</v>
      </c>
      <c r="AV18" s="100">
        <f t="shared" si="14"/>
        <v>0</v>
      </c>
      <c r="AW18" s="100">
        <f t="shared" si="15"/>
        <v>0</v>
      </c>
      <c r="AX18" s="100">
        <f t="shared" si="16"/>
        <v>0</v>
      </c>
      <c r="AY18" s="110" t="s">
        <v>1681</v>
      </c>
      <c r="AZ18" s="110" t="s">
        <v>1724</v>
      </c>
      <c r="BA18" s="109" t="s">
        <v>1737</v>
      </c>
      <c r="BC18" s="100">
        <f t="shared" si="17"/>
        <v>0</v>
      </c>
      <c r="BD18" s="100">
        <f t="shared" si="18"/>
        <v>0</v>
      </c>
      <c r="BE18" s="100">
        <v>0</v>
      </c>
      <c r="BF18" s="100">
        <f>18</f>
        <v>18</v>
      </c>
      <c r="BH18" s="108">
        <f t="shared" si="19"/>
        <v>0</v>
      </c>
      <c r="BI18" s="108">
        <f t="shared" si="20"/>
        <v>0</v>
      </c>
      <c r="BJ18" s="108">
        <f t="shared" si="21"/>
        <v>0</v>
      </c>
    </row>
    <row r="19" spans="1:62" x14ac:dyDescent="0.2">
      <c r="A19" s="117" t="s">
        <v>13</v>
      </c>
      <c r="B19" s="117" t="s">
        <v>575</v>
      </c>
      <c r="C19" s="304" t="s">
        <v>1057</v>
      </c>
      <c r="D19" s="305"/>
      <c r="E19" s="305"/>
      <c r="F19" s="117" t="s">
        <v>1646</v>
      </c>
      <c r="G19" s="116">
        <v>3.6</v>
      </c>
      <c r="H19" s="159"/>
      <c r="I19" s="108">
        <f t="shared" si="0"/>
        <v>0</v>
      </c>
      <c r="J19" s="108">
        <f t="shared" si="1"/>
        <v>0</v>
      </c>
      <c r="K19" s="108">
        <f t="shared" si="2"/>
        <v>0</v>
      </c>
      <c r="L19" s="111" t="s">
        <v>1671</v>
      </c>
      <c r="Z19" s="100">
        <f t="shared" si="3"/>
        <v>0</v>
      </c>
      <c r="AB19" s="100">
        <f t="shared" si="4"/>
        <v>0</v>
      </c>
      <c r="AC19" s="100">
        <f t="shared" si="5"/>
        <v>0</v>
      </c>
      <c r="AD19" s="100">
        <f t="shared" si="6"/>
        <v>0</v>
      </c>
      <c r="AE19" s="100">
        <f t="shared" si="7"/>
        <v>0</v>
      </c>
      <c r="AF19" s="100">
        <f t="shared" si="8"/>
        <v>0</v>
      </c>
      <c r="AG19" s="100">
        <f t="shared" si="9"/>
        <v>0</v>
      </c>
      <c r="AH19" s="100">
        <f t="shared" si="10"/>
        <v>0</v>
      </c>
      <c r="AI19" s="109"/>
      <c r="AJ19" s="108">
        <f t="shared" si="11"/>
        <v>0</v>
      </c>
      <c r="AK19" s="108">
        <f t="shared" si="12"/>
        <v>0</v>
      </c>
      <c r="AL19" s="108">
        <f t="shared" si="13"/>
        <v>0</v>
      </c>
      <c r="AN19" s="100">
        <v>15</v>
      </c>
      <c r="AO19" s="100">
        <f>H19*0</f>
        <v>0</v>
      </c>
      <c r="AP19" s="100">
        <f>H19*(1-0)</f>
        <v>0</v>
      </c>
      <c r="AQ19" s="111" t="s">
        <v>7</v>
      </c>
      <c r="AV19" s="100">
        <f t="shared" si="14"/>
        <v>0</v>
      </c>
      <c r="AW19" s="100">
        <f t="shared" si="15"/>
        <v>0</v>
      </c>
      <c r="AX19" s="100">
        <f t="shared" si="16"/>
        <v>0</v>
      </c>
      <c r="AY19" s="110" t="s">
        <v>1681</v>
      </c>
      <c r="AZ19" s="110" t="s">
        <v>1724</v>
      </c>
      <c r="BA19" s="109" t="s">
        <v>1737</v>
      </c>
      <c r="BC19" s="100">
        <f t="shared" si="17"/>
        <v>0</v>
      </c>
      <c r="BD19" s="100">
        <f t="shared" si="18"/>
        <v>0</v>
      </c>
      <c r="BE19" s="100">
        <v>0</v>
      </c>
      <c r="BF19" s="100">
        <f>19</f>
        <v>19</v>
      </c>
      <c r="BH19" s="108">
        <f t="shared" si="19"/>
        <v>0</v>
      </c>
      <c r="BI19" s="108">
        <f t="shared" si="20"/>
        <v>0</v>
      </c>
      <c r="BJ19" s="108">
        <f t="shared" si="21"/>
        <v>0</v>
      </c>
    </row>
    <row r="20" spans="1:62" x14ac:dyDescent="0.2">
      <c r="A20" s="119"/>
      <c r="B20" s="120" t="s">
        <v>18</v>
      </c>
      <c r="C20" s="306" t="s">
        <v>1059</v>
      </c>
      <c r="D20" s="307"/>
      <c r="E20" s="307"/>
      <c r="F20" s="119" t="s">
        <v>6</v>
      </c>
      <c r="G20" s="119" t="s">
        <v>6</v>
      </c>
      <c r="H20" s="119" t="s">
        <v>6</v>
      </c>
      <c r="I20" s="118">
        <f>SUM(I21:I21)</f>
        <v>0</v>
      </c>
      <c r="J20" s="118">
        <f>SUM(J21:J21)</f>
        <v>0</v>
      </c>
      <c r="K20" s="118">
        <f>SUM(K21:K21)</f>
        <v>0</v>
      </c>
      <c r="L20" s="109"/>
      <c r="AI20" s="109"/>
      <c r="AS20" s="118">
        <f>SUM(AJ21:AJ21)</f>
        <v>0</v>
      </c>
      <c r="AT20" s="118">
        <f>SUM(AK21:AK21)</f>
        <v>0</v>
      </c>
      <c r="AU20" s="118">
        <f>SUM(AL21:AL21)</f>
        <v>0</v>
      </c>
    </row>
    <row r="21" spans="1:62" x14ac:dyDescent="0.2">
      <c r="A21" s="117" t="s">
        <v>14</v>
      </c>
      <c r="B21" s="117" t="s">
        <v>577</v>
      </c>
      <c r="C21" s="304" t="s">
        <v>1060</v>
      </c>
      <c r="D21" s="305"/>
      <c r="E21" s="305"/>
      <c r="F21" s="117" t="s">
        <v>1647</v>
      </c>
      <c r="G21" s="116">
        <v>10.66</v>
      </c>
      <c r="H21" s="159"/>
      <c r="I21" s="108">
        <f>G21*AO21</f>
        <v>0</v>
      </c>
      <c r="J21" s="108">
        <f>G21*AP21</f>
        <v>0</v>
      </c>
      <c r="K21" s="108">
        <f>G21*H21</f>
        <v>0</v>
      </c>
      <c r="L21" s="111" t="s">
        <v>1671</v>
      </c>
      <c r="Z21" s="100">
        <f>IF(AQ21="5",BJ21,0)</f>
        <v>0</v>
      </c>
      <c r="AB21" s="100">
        <f>IF(AQ21="1",BH21,0)</f>
        <v>0</v>
      </c>
      <c r="AC21" s="100">
        <f>IF(AQ21="1",BI21,0)</f>
        <v>0</v>
      </c>
      <c r="AD21" s="100">
        <f>IF(AQ21="7",BH21,0)</f>
        <v>0</v>
      </c>
      <c r="AE21" s="100">
        <f>IF(AQ21="7",BI21,0)</f>
        <v>0</v>
      </c>
      <c r="AF21" s="100">
        <f>IF(AQ21="2",BH21,0)</f>
        <v>0</v>
      </c>
      <c r="AG21" s="100">
        <f>IF(AQ21="2",BI21,0)</f>
        <v>0</v>
      </c>
      <c r="AH21" s="100">
        <f>IF(AQ21="0",BJ21,0)</f>
        <v>0</v>
      </c>
      <c r="AI21" s="109"/>
      <c r="AJ21" s="108">
        <f>IF(AN21=0,K21,0)</f>
        <v>0</v>
      </c>
      <c r="AK21" s="108">
        <f>IF(AN21=15,K21,0)</f>
        <v>0</v>
      </c>
      <c r="AL21" s="108">
        <f>IF(AN21=21,K21,0)</f>
        <v>0</v>
      </c>
      <c r="AN21" s="100">
        <v>15</v>
      </c>
      <c r="AO21" s="100">
        <f>H21*0</f>
        <v>0</v>
      </c>
      <c r="AP21" s="100">
        <f>H21*(1-0)</f>
        <v>0</v>
      </c>
      <c r="AQ21" s="111" t="s">
        <v>7</v>
      </c>
      <c r="AV21" s="100">
        <f>AW21+AX21</f>
        <v>0</v>
      </c>
      <c r="AW21" s="100">
        <f>G21*AO21</f>
        <v>0</v>
      </c>
      <c r="AX21" s="100">
        <f>G21*AP21</f>
        <v>0</v>
      </c>
      <c r="AY21" s="110" t="s">
        <v>1682</v>
      </c>
      <c r="AZ21" s="110" t="s">
        <v>1724</v>
      </c>
      <c r="BA21" s="109" t="s">
        <v>1737</v>
      </c>
      <c r="BC21" s="100">
        <f>AW21+AX21</f>
        <v>0</v>
      </c>
      <c r="BD21" s="100">
        <f>H21/(100-BE21)*100</f>
        <v>0</v>
      </c>
      <c r="BE21" s="100">
        <v>0</v>
      </c>
      <c r="BF21" s="100">
        <f>21</f>
        <v>21</v>
      </c>
      <c r="BH21" s="108">
        <f>G21*AO21</f>
        <v>0</v>
      </c>
      <c r="BI21" s="108">
        <f>G21*AP21</f>
        <v>0</v>
      </c>
      <c r="BJ21" s="108">
        <f>G21*H21</f>
        <v>0</v>
      </c>
    </row>
    <row r="22" spans="1:62" x14ac:dyDescent="0.2">
      <c r="A22" s="119"/>
      <c r="B22" s="120" t="s">
        <v>19</v>
      </c>
      <c r="C22" s="306" t="s">
        <v>1061</v>
      </c>
      <c r="D22" s="307"/>
      <c r="E22" s="307"/>
      <c r="F22" s="119" t="s">
        <v>6</v>
      </c>
      <c r="G22" s="119" t="s">
        <v>6</v>
      </c>
      <c r="H22" s="119" t="s">
        <v>6</v>
      </c>
      <c r="I22" s="118">
        <f>SUM(I23:I26)</f>
        <v>0</v>
      </c>
      <c r="J22" s="118">
        <f>SUM(J23:J26)</f>
        <v>0</v>
      </c>
      <c r="K22" s="118">
        <f>SUM(K23:K26)</f>
        <v>0</v>
      </c>
      <c r="L22" s="109"/>
      <c r="AI22" s="109"/>
      <c r="AS22" s="118">
        <f>SUM(AJ23:AJ26)</f>
        <v>0</v>
      </c>
      <c r="AT22" s="118">
        <f>SUM(AK23:AK26)</f>
        <v>0</v>
      </c>
      <c r="AU22" s="118">
        <f>SUM(AL23:AL26)</f>
        <v>0</v>
      </c>
    </row>
    <row r="23" spans="1:62" x14ac:dyDescent="0.2">
      <c r="A23" s="117" t="s">
        <v>15</v>
      </c>
      <c r="B23" s="117" t="s">
        <v>578</v>
      </c>
      <c r="C23" s="304" t="s">
        <v>1062</v>
      </c>
      <c r="D23" s="305"/>
      <c r="E23" s="305"/>
      <c r="F23" s="117" t="s">
        <v>1647</v>
      </c>
      <c r="G23" s="116">
        <v>111.592</v>
      </c>
      <c r="H23" s="159"/>
      <c r="I23" s="108">
        <f>G23*AO23</f>
        <v>0</v>
      </c>
      <c r="J23" s="108">
        <f>G23*AP23</f>
        <v>0</v>
      </c>
      <c r="K23" s="108">
        <f>G23*H23</f>
        <v>0</v>
      </c>
      <c r="L23" s="111" t="s">
        <v>1671</v>
      </c>
      <c r="Z23" s="100">
        <f>IF(AQ23="5",BJ23,0)</f>
        <v>0</v>
      </c>
      <c r="AB23" s="100">
        <f>IF(AQ23="1",BH23,0)</f>
        <v>0</v>
      </c>
      <c r="AC23" s="100">
        <f>IF(AQ23="1",BI23,0)</f>
        <v>0</v>
      </c>
      <c r="AD23" s="100">
        <f>IF(AQ23="7",BH23,0)</f>
        <v>0</v>
      </c>
      <c r="AE23" s="100">
        <f>IF(AQ23="7",BI23,0)</f>
        <v>0</v>
      </c>
      <c r="AF23" s="100">
        <f>IF(AQ23="2",BH23,0)</f>
        <v>0</v>
      </c>
      <c r="AG23" s="100">
        <f>IF(AQ23="2",BI23,0)</f>
        <v>0</v>
      </c>
      <c r="AH23" s="100">
        <f>IF(AQ23="0",BJ23,0)</f>
        <v>0</v>
      </c>
      <c r="AI23" s="109"/>
      <c r="AJ23" s="108">
        <f>IF(AN23=0,K23,0)</f>
        <v>0</v>
      </c>
      <c r="AK23" s="108">
        <f>IF(AN23=15,K23,0)</f>
        <v>0</v>
      </c>
      <c r="AL23" s="108">
        <f>IF(AN23=21,K23,0)</f>
        <v>0</v>
      </c>
      <c r="AN23" s="100">
        <v>15</v>
      </c>
      <c r="AO23" s="100">
        <f>H23*0</f>
        <v>0</v>
      </c>
      <c r="AP23" s="100">
        <f>H23*(1-0)</f>
        <v>0</v>
      </c>
      <c r="AQ23" s="111" t="s">
        <v>7</v>
      </c>
      <c r="AV23" s="100">
        <f>AW23+AX23</f>
        <v>0</v>
      </c>
      <c r="AW23" s="100">
        <f>G23*AO23</f>
        <v>0</v>
      </c>
      <c r="AX23" s="100">
        <f>G23*AP23</f>
        <v>0</v>
      </c>
      <c r="AY23" s="110" t="s">
        <v>1683</v>
      </c>
      <c r="AZ23" s="110" t="s">
        <v>1724</v>
      </c>
      <c r="BA23" s="109" t="s">
        <v>1737</v>
      </c>
      <c r="BC23" s="100">
        <f>AW23+AX23</f>
        <v>0</v>
      </c>
      <c r="BD23" s="100">
        <f>H23/(100-BE23)*100</f>
        <v>0</v>
      </c>
      <c r="BE23" s="100">
        <v>0</v>
      </c>
      <c r="BF23" s="100">
        <f>23</f>
        <v>23</v>
      </c>
      <c r="BH23" s="108">
        <f>G23*AO23</f>
        <v>0</v>
      </c>
      <c r="BI23" s="108">
        <f>G23*AP23</f>
        <v>0</v>
      </c>
      <c r="BJ23" s="108">
        <f>G23*H23</f>
        <v>0</v>
      </c>
    </row>
    <row r="24" spans="1:62" x14ac:dyDescent="0.2">
      <c r="A24" s="117" t="s">
        <v>16</v>
      </c>
      <c r="B24" s="117" t="s">
        <v>579</v>
      </c>
      <c r="C24" s="304" t="s">
        <v>1063</v>
      </c>
      <c r="D24" s="305"/>
      <c r="E24" s="305"/>
      <c r="F24" s="117" t="s">
        <v>1647</v>
      </c>
      <c r="G24" s="116">
        <v>111.592</v>
      </c>
      <c r="H24" s="159"/>
      <c r="I24" s="108">
        <f>G24*AO24</f>
        <v>0</v>
      </c>
      <c r="J24" s="108">
        <f>G24*AP24</f>
        <v>0</v>
      </c>
      <c r="K24" s="108">
        <f>G24*H24</f>
        <v>0</v>
      </c>
      <c r="L24" s="111" t="s">
        <v>1671</v>
      </c>
      <c r="Z24" s="100">
        <f>IF(AQ24="5",BJ24,0)</f>
        <v>0</v>
      </c>
      <c r="AB24" s="100">
        <f>IF(AQ24="1",BH24,0)</f>
        <v>0</v>
      </c>
      <c r="AC24" s="100">
        <f>IF(AQ24="1",BI24,0)</f>
        <v>0</v>
      </c>
      <c r="AD24" s="100">
        <f>IF(AQ24="7",BH24,0)</f>
        <v>0</v>
      </c>
      <c r="AE24" s="100">
        <f>IF(AQ24="7",BI24,0)</f>
        <v>0</v>
      </c>
      <c r="AF24" s="100">
        <f>IF(AQ24="2",BH24,0)</f>
        <v>0</v>
      </c>
      <c r="AG24" s="100">
        <f>IF(AQ24="2",BI24,0)</f>
        <v>0</v>
      </c>
      <c r="AH24" s="100">
        <f>IF(AQ24="0",BJ24,0)</f>
        <v>0</v>
      </c>
      <c r="AI24" s="109"/>
      <c r="AJ24" s="108">
        <f>IF(AN24=0,K24,0)</f>
        <v>0</v>
      </c>
      <c r="AK24" s="108">
        <f>IF(AN24=15,K24,0)</f>
        <v>0</v>
      </c>
      <c r="AL24" s="108">
        <f>IF(AN24=21,K24,0)</f>
        <v>0</v>
      </c>
      <c r="AN24" s="100">
        <v>15</v>
      </c>
      <c r="AO24" s="100">
        <f>H24*0</f>
        <v>0</v>
      </c>
      <c r="AP24" s="100">
        <f>H24*(1-0)</f>
        <v>0</v>
      </c>
      <c r="AQ24" s="111" t="s">
        <v>7</v>
      </c>
      <c r="AV24" s="100">
        <f>AW24+AX24</f>
        <v>0</v>
      </c>
      <c r="AW24" s="100">
        <f>G24*AO24</f>
        <v>0</v>
      </c>
      <c r="AX24" s="100">
        <f>G24*AP24</f>
        <v>0</v>
      </c>
      <c r="AY24" s="110" t="s">
        <v>1683</v>
      </c>
      <c r="AZ24" s="110" t="s">
        <v>1724</v>
      </c>
      <c r="BA24" s="109" t="s">
        <v>1737</v>
      </c>
      <c r="BC24" s="100">
        <f>AW24+AX24</f>
        <v>0</v>
      </c>
      <c r="BD24" s="100">
        <f>H24/(100-BE24)*100</f>
        <v>0</v>
      </c>
      <c r="BE24" s="100">
        <v>0</v>
      </c>
      <c r="BF24" s="100">
        <f>24</f>
        <v>24</v>
      </c>
      <c r="BH24" s="108">
        <f>G24*AO24</f>
        <v>0</v>
      </c>
      <c r="BI24" s="108">
        <f>G24*AP24</f>
        <v>0</v>
      </c>
      <c r="BJ24" s="108">
        <f>G24*H24</f>
        <v>0</v>
      </c>
    </row>
    <row r="25" spans="1:62" x14ac:dyDescent="0.2">
      <c r="A25" s="117" t="s">
        <v>17</v>
      </c>
      <c r="B25" s="117" t="s">
        <v>580</v>
      </c>
      <c r="C25" s="304" t="s">
        <v>1064</v>
      </c>
      <c r="D25" s="305"/>
      <c r="E25" s="305"/>
      <c r="F25" s="117" t="s">
        <v>1647</v>
      </c>
      <c r="G25" s="116">
        <v>2.2050000000000001</v>
      </c>
      <c r="H25" s="159"/>
      <c r="I25" s="108">
        <f>G25*AO25</f>
        <v>0</v>
      </c>
      <c r="J25" s="108">
        <f>G25*AP25</f>
        <v>0</v>
      </c>
      <c r="K25" s="108">
        <f>G25*H25</f>
        <v>0</v>
      </c>
      <c r="L25" s="111" t="s">
        <v>1671</v>
      </c>
      <c r="Z25" s="100">
        <f>IF(AQ25="5",BJ25,0)</f>
        <v>0</v>
      </c>
      <c r="AB25" s="100">
        <f>IF(AQ25="1",BH25,0)</f>
        <v>0</v>
      </c>
      <c r="AC25" s="100">
        <f>IF(AQ25="1",BI25,0)</f>
        <v>0</v>
      </c>
      <c r="AD25" s="100">
        <f>IF(AQ25="7",BH25,0)</f>
        <v>0</v>
      </c>
      <c r="AE25" s="100">
        <f>IF(AQ25="7",BI25,0)</f>
        <v>0</v>
      </c>
      <c r="AF25" s="100">
        <f>IF(AQ25="2",BH25,0)</f>
        <v>0</v>
      </c>
      <c r="AG25" s="100">
        <f>IF(AQ25="2",BI25,0)</f>
        <v>0</v>
      </c>
      <c r="AH25" s="100">
        <f>IF(AQ25="0",BJ25,0)</f>
        <v>0</v>
      </c>
      <c r="AI25" s="109"/>
      <c r="AJ25" s="108">
        <f>IF(AN25=0,K25,0)</f>
        <v>0</v>
      </c>
      <c r="AK25" s="108">
        <f>IF(AN25=15,K25,0)</f>
        <v>0</v>
      </c>
      <c r="AL25" s="108">
        <f>IF(AN25=21,K25,0)</f>
        <v>0</v>
      </c>
      <c r="AN25" s="100">
        <v>15</v>
      </c>
      <c r="AO25" s="100">
        <f>H25*0</f>
        <v>0</v>
      </c>
      <c r="AP25" s="100">
        <f>H25*(1-0)</f>
        <v>0</v>
      </c>
      <c r="AQ25" s="111" t="s">
        <v>7</v>
      </c>
      <c r="AV25" s="100">
        <f>AW25+AX25</f>
        <v>0</v>
      </c>
      <c r="AW25" s="100">
        <f>G25*AO25</f>
        <v>0</v>
      </c>
      <c r="AX25" s="100">
        <f>G25*AP25</f>
        <v>0</v>
      </c>
      <c r="AY25" s="110" t="s">
        <v>1683</v>
      </c>
      <c r="AZ25" s="110" t="s">
        <v>1724</v>
      </c>
      <c r="BA25" s="109" t="s">
        <v>1737</v>
      </c>
      <c r="BC25" s="100">
        <f>AW25+AX25</f>
        <v>0</v>
      </c>
      <c r="BD25" s="100">
        <f>H25/(100-BE25)*100</f>
        <v>0</v>
      </c>
      <c r="BE25" s="100">
        <v>0</v>
      </c>
      <c r="BF25" s="100">
        <f>25</f>
        <v>25</v>
      </c>
      <c r="BH25" s="108">
        <f>G25*AO25</f>
        <v>0</v>
      </c>
      <c r="BI25" s="108">
        <f>G25*AP25</f>
        <v>0</v>
      </c>
      <c r="BJ25" s="108">
        <f>G25*H25</f>
        <v>0</v>
      </c>
    </row>
    <row r="26" spans="1:62" x14ac:dyDescent="0.2">
      <c r="A26" s="117" t="s">
        <v>18</v>
      </c>
      <c r="B26" s="117" t="s">
        <v>580</v>
      </c>
      <c r="C26" s="304" t="s">
        <v>2162</v>
      </c>
      <c r="D26" s="305"/>
      <c r="E26" s="305"/>
      <c r="F26" s="117" t="s">
        <v>1647</v>
      </c>
      <c r="G26" s="116">
        <v>2.16</v>
      </c>
      <c r="H26" s="159"/>
      <c r="I26" s="108">
        <f>G26*AO26</f>
        <v>0</v>
      </c>
      <c r="J26" s="108">
        <f>G26*AP26</f>
        <v>0</v>
      </c>
      <c r="K26" s="108">
        <f>G26*H26</f>
        <v>0</v>
      </c>
      <c r="L26" s="111" t="s">
        <v>1671</v>
      </c>
      <c r="Z26" s="100">
        <f>IF(AQ26="5",BJ26,0)</f>
        <v>0</v>
      </c>
      <c r="AB26" s="100">
        <f>IF(AQ26="1",BH26,0)</f>
        <v>0</v>
      </c>
      <c r="AC26" s="100">
        <f>IF(AQ26="1",BI26,0)</f>
        <v>0</v>
      </c>
      <c r="AD26" s="100">
        <f>IF(AQ26="7",BH26,0)</f>
        <v>0</v>
      </c>
      <c r="AE26" s="100">
        <f>IF(AQ26="7",BI26,0)</f>
        <v>0</v>
      </c>
      <c r="AF26" s="100">
        <f>IF(AQ26="2",BH26,0)</f>
        <v>0</v>
      </c>
      <c r="AG26" s="100">
        <f>IF(AQ26="2",BI26,0)</f>
        <v>0</v>
      </c>
      <c r="AH26" s="100">
        <f>IF(AQ26="0",BJ26,0)</f>
        <v>0</v>
      </c>
      <c r="AI26" s="109"/>
      <c r="AJ26" s="108">
        <f>IF(AN26=0,K26,0)</f>
        <v>0</v>
      </c>
      <c r="AK26" s="108">
        <f>IF(AN26=15,K26,0)</f>
        <v>0</v>
      </c>
      <c r="AL26" s="108">
        <f>IF(AN26=21,K26,0)</f>
        <v>0</v>
      </c>
      <c r="AN26" s="100">
        <v>15</v>
      </c>
      <c r="AO26" s="100">
        <f>H26*0</f>
        <v>0</v>
      </c>
      <c r="AP26" s="100">
        <f>H26*(1-0)</f>
        <v>0</v>
      </c>
      <c r="AQ26" s="111" t="s">
        <v>7</v>
      </c>
      <c r="AV26" s="100">
        <f>AW26+AX26</f>
        <v>0</v>
      </c>
      <c r="AW26" s="100">
        <f>G26*AO26</f>
        <v>0</v>
      </c>
      <c r="AX26" s="100">
        <f>G26*AP26</f>
        <v>0</v>
      </c>
      <c r="AY26" s="110" t="s">
        <v>1683</v>
      </c>
      <c r="AZ26" s="110" t="s">
        <v>1724</v>
      </c>
      <c r="BA26" s="109" t="s">
        <v>1737</v>
      </c>
      <c r="BC26" s="100">
        <f>AW26+AX26</f>
        <v>0</v>
      </c>
      <c r="BD26" s="100">
        <f>H26/(100-BE26)*100</f>
        <v>0</v>
      </c>
      <c r="BE26" s="100">
        <v>0</v>
      </c>
      <c r="BF26" s="100">
        <f>26</f>
        <v>26</v>
      </c>
      <c r="BH26" s="108">
        <f>G26*AO26</f>
        <v>0</v>
      </c>
      <c r="BI26" s="108">
        <f>G26*AP26</f>
        <v>0</v>
      </c>
      <c r="BJ26" s="108">
        <f>G26*H26</f>
        <v>0</v>
      </c>
    </row>
    <row r="27" spans="1:62" x14ac:dyDescent="0.2">
      <c r="A27" s="119"/>
      <c r="B27" s="120" t="s">
        <v>22</v>
      </c>
      <c r="C27" s="306" t="s">
        <v>1066</v>
      </c>
      <c r="D27" s="307"/>
      <c r="E27" s="307"/>
      <c r="F27" s="119" t="s">
        <v>6</v>
      </c>
      <c r="G27" s="119" t="s">
        <v>6</v>
      </c>
      <c r="H27" s="119" t="s">
        <v>6</v>
      </c>
      <c r="I27" s="118">
        <f>SUM(I28:I31)</f>
        <v>0</v>
      </c>
      <c r="J27" s="118">
        <f>SUM(J28:J31)</f>
        <v>0</v>
      </c>
      <c r="K27" s="118">
        <f>SUM(K28:K31)</f>
        <v>0</v>
      </c>
      <c r="L27" s="109"/>
      <c r="AI27" s="109"/>
      <c r="AS27" s="118">
        <f>SUM(AJ28:AJ31)</f>
        <v>0</v>
      </c>
      <c r="AT27" s="118">
        <f>SUM(AK28:AK31)</f>
        <v>0</v>
      </c>
      <c r="AU27" s="118">
        <f>SUM(AL28:AL31)</f>
        <v>0</v>
      </c>
    </row>
    <row r="28" spans="1:62" x14ac:dyDescent="0.2">
      <c r="A28" s="117" t="s">
        <v>19</v>
      </c>
      <c r="B28" s="117" t="s">
        <v>581</v>
      </c>
      <c r="C28" s="304" t="s">
        <v>1067</v>
      </c>
      <c r="D28" s="305"/>
      <c r="E28" s="305"/>
      <c r="F28" s="117" t="s">
        <v>1647</v>
      </c>
      <c r="G28" s="116">
        <v>26.234000000000002</v>
      </c>
      <c r="H28" s="159"/>
      <c r="I28" s="108">
        <f>G28*AO28</f>
        <v>0</v>
      </c>
      <c r="J28" s="108">
        <f>G28*AP28</f>
        <v>0</v>
      </c>
      <c r="K28" s="108">
        <f>G28*H28</f>
        <v>0</v>
      </c>
      <c r="L28" s="111" t="s">
        <v>1671</v>
      </c>
      <c r="Z28" s="100">
        <f>IF(AQ28="5",BJ28,0)</f>
        <v>0</v>
      </c>
      <c r="AB28" s="100">
        <f>IF(AQ28="1",BH28,0)</f>
        <v>0</v>
      </c>
      <c r="AC28" s="100">
        <f>IF(AQ28="1",BI28,0)</f>
        <v>0</v>
      </c>
      <c r="AD28" s="100">
        <f>IF(AQ28="7",BH28,0)</f>
        <v>0</v>
      </c>
      <c r="AE28" s="100">
        <f>IF(AQ28="7",BI28,0)</f>
        <v>0</v>
      </c>
      <c r="AF28" s="100">
        <f>IF(AQ28="2",BH28,0)</f>
        <v>0</v>
      </c>
      <c r="AG28" s="100">
        <f>IF(AQ28="2",BI28,0)</f>
        <v>0</v>
      </c>
      <c r="AH28" s="100">
        <f>IF(AQ28="0",BJ28,0)</f>
        <v>0</v>
      </c>
      <c r="AI28" s="109"/>
      <c r="AJ28" s="108">
        <f>IF(AN28=0,K28,0)</f>
        <v>0</v>
      </c>
      <c r="AK28" s="108">
        <f>IF(AN28=15,K28,0)</f>
        <v>0</v>
      </c>
      <c r="AL28" s="108">
        <f>IF(AN28=21,K28,0)</f>
        <v>0</v>
      </c>
      <c r="AN28" s="100">
        <v>15</v>
      </c>
      <c r="AO28" s="100">
        <f>H28*0</f>
        <v>0</v>
      </c>
      <c r="AP28" s="100">
        <f>H28*(1-0)</f>
        <v>0</v>
      </c>
      <c r="AQ28" s="111" t="s">
        <v>7</v>
      </c>
      <c r="AV28" s="100">
        <f>AW28+AX28</f>
        <v>0</v>
      </c>
      <c r="AW28" s="100">
        <f>G28*AO28</f>
        <v>0</v>
      </c>
      <c r="AX28" s="100">
        <f>G28*AP28</f>
        <v>0</v>
      </c>
      <c r="AY28" s="110" t="s">
        <v>1684</v>
      </c>
      <c r="AZ28" s="110" t="s">
        <v>1724</v>
      </c>
      <c r="BA28" s="109" t="s">
        <v>1737</v>
      </c>
      <c r="BC28" s="100">
        <f>AW28+AX28</f>
        <v>0</v>
      </c>
      <c r="BD28" s="100">
        <f>H28/(100-BE28)*100</f>
        <v>0</v>
      </c>
      <c r="BE28" s="100">
        <v>0</v>
      </c>
      <c r="BF28" s="100">
        <f>28</f>
        <v>28</v>
      </c>
      <c r="BH28" s="108">
        <f>G28*AO28</f>
        <v>0</v>
      </c>
      <c r="BI28" s="108">
        <f>G28*AP28</f>
        <v>0</v>
      </c>
      <c r="BJ28" s="108">
        <f>G28*H28</f>
        <v>0</v>
      </c>
    </row>
    <row r="29" spans="1:62" x14ac:dyDescent="0.2">
      <c r="B29" s="125" t="s">
        <v>613</v>
      </c>
      <c r="C29" s="164" t="s">
        <v>2161</v>
      </c>
      <c r="D29" s="158"/>
      <c r="E29" s="158"/>
      <c r="F29" s="158"/>
      <c r="G29" s="158"/>
      <c r="H29" s="158"/>
      <c r="I29" s="158"/>
      <c r="J29" s="158"/>
      <c r="K29" s="158"/>
      <c r="L29" s="158"/>
    </row>
    <row r="30" spans="1:62" x14ac:dyDescent="0.2">
      <c r="A30" s="117" t="s">
        <v>20</v>
      </c>
      <c r="B30" s="117" t="s">
        <v>582</v>
      </c>
      <c r="C30" s="304" t="s">
        <v>1068</v>
      </c>
      <c r="D30" s="305"/>
      <c r="E30" s="305"/>
      <c r="F30" s="117" t="s">
        <v>1648</v>
      </c>
      <c r="G30" s="116">
        <v>45.91</v>
      </c>
      <c r="H30" s="159"/>
      <c r="I30" s="108">
        <f>G30*AO30</f>
        <v>0</v>
      </c>
      <c r="J30" s="108">
        <f>G30*AP30</f>
        <v>0</v>
      </c>
      <c r="K30" s="108">
        <f>G30*H30</f>
        <v>0</v>
      </c>
      <c r="L30" s="111" t="s">
        <v>1671</v>
      </c>
      <c r="Z30" s="100">
        <f>IF(AQ30="5",BJ30,0)</f>
        <v>0</v>
      </c>
      <c r="AB30" s="100">
        <f>IF(AQ30="1",BH30,0)</f>
        <v>0</v>
      </c>
      <c r="AC30" s="100">
        <f>IF(AQ30="1",BI30,0)</f>
        <v>0</v>
      </c>
      <c r="AD30" s="100">
        <f>IF(AQ30="7",BH30,0)</f>
        <v>0</v>
      </c>
      <c r="AE30" s="100">
        <f>IF(AQ30="7",BI30,0)</f>
        <v>0</v>
      </c>
      <c r="AF30" s="100">
        <f>IF(AQ30="2",BH30,0)</f>
        <v>0</v>
      </c>
      <c r="AG30" s="100">
        <f>IF(AQ30="2",BI30,0)</f>
        <v>0</v>
      </c>
      <c r="AH30" s="100">
        <f>IF(AQ30="0",BJ30,0)</f>
        <v>0</v>
      </c>
      <c r="AI30" s="109"/>
      <c r="AJ30" s="108">
        <f>IF(AN30=0,K30,0)</f>
        <v>0</v>
      </c>
      <c r="AK30" s="108">
        <f>IF(AN30=15,K30,0)</f>
        <v>0</v>
      </c>
      <c r="AL30" s="108">
        <f>IF(AN30=21,K30,0)</f>
        <v>0</v>
      </c>
      <c r="AN30" s="100">
        <v>15</v>
      </c>
      <c r="AO30" s="100">
        <f>H30*0</f>
        <v>0</v>
      </c>
      <c r="AP30" s="100">
        <f>H30*(1-0)</f>
        <v>0</v>
      </c>
      <c r="AQ30" s="111" t="s">
        <v>7</v>
      </c>
      <c r="AV30" s="100">
        <f>AW30+AX30</f>
        <v>0</v>
      </c>
      <c r="AW30" s="100">
        <f>G30*AO30</f>
        <v>0</v>
      </c>
      <c r="AX30" s="100">
        <f>G30*AP30</f>
        <v>0</v>
      </c>
      <c r="AY30" s="110" t="s">
        <v>1684</v>
      </c>
      <c r="AZ30" s="110" t="s">
        <v>1724</v>
      </c>
      <c r="BA30" s="109" t="s">
        <v>1737</v>
      </c>
      <c r="BC30" s="100">
        <f>AW30+AX30</f>
        <v>0</v>
      </c>
      <c r="BD30" s="100">
        <f>H30/(100-BE30)*100</f>
        <v>0</v>
      </c>
      <c r="BE30" s="100">
        <v>0</v>
      </c>
      <c r="BF30" s="100">
        <f>30</f>
        <v>30</v>
      </c>
      <c r="BH30" s="108">
        <f>G30*AO30</f>
        <v>0</v>
      </c>
      <c r="BI30" s="108">
        <f>G30*AP30</f>
        <v>0</v>
      </c>
      <c r="BJ30" s="108">
        <f>G30*H30</f>
        <v>0</v>
      </c>
    </row>
    <row r="31" spans="1:62" x14ac:dyDescent="0.2">
      <c r="A31" s="117" t="s">
        <v>21</v>
      </c>
      <c r="B31" s="117" t="s">
        <v>583</v>
      </c>
      <c r="C31" s="304" t="s">
        <v>1069</v>
      </c>
      <c r="D31" s="305"/>
      <c r="E31" s="305"/>
      <c r="F31" s="117" t="s">
        <v>1647</v>
      </c>
      <c r="G31" s="116">
        <v>26.234000000000002</v>
      </c>
      <c r="H31" s="159"/>
      <c r="I31" s="108">
        <f>G31*AO31</f>
        <v>0</v>
      </c>
      <c r="J31" s="108">
        <f>G31*AP31</f>
        <v>0</v>
      </c>
      <c r="K31" s="108">
        <f>G31*H31</f>
        <v>0</v>
      </c>
      <c r="L31" s="111" t="s">
        <v>1671</v>
      </c>
      <c r="Z31" s="100">
        <f>IF(AQ31="5",BJ31,0)</f>
        <v>0</v>
      </c>
      <c r="AB31" s="100">
        <f>IF(AQ31="1",BH31,0)</f>
        <v>0</v>
      </c>
      <c r="AC31" s="100">
        <f>IF(AQ31="1",BI31,0)</f>
        <v>0</v>
      </c>
      <c r="AD31" s="100">
        <f>IF(AQ31="7",BH31,0)</f>
        <v>0</v>
      </c>
      <c r="AE31" s="100">
        <f>IF(AQ31="7",BI31,0)</f>
        <v>0</v>
      </c>
      <c r="AF31" s="100">
        <f>IF(AQ31="2",BH31,0)</f>
        <v>0</v>
      </c>
      <c r="AG31" s="100">
        <f>IF(AQ31="2",BI31,0)</f>
        <v>0</v>
      </c>
      <c r="AH31" s="100">
        <f>IF(AQ31="0",BJ31,0)</f>
        <v>0</v>
      </c>
      <c r="AI31" s="109"/>
      <c r="AJ31" s="108">
        <f>IF(AN31=0,K31,0)</f>
        <v>0</v>
      </c>
      <c r="AK31" s="108">
        <f>IF(AN31=15,K31,0)</f>
        <v>0</v>
      </c>
      <c r="AL31" s="108">
        <f>IF(AN31=21,K31,0)</f>
        <v>0</v>
      </c>
      <c r="AN31" s="100">
        <v>15</v>
      </c>
      <c r="AO31" s="100">
        <f>H31*0</f>
        <v>0</v>
      </c>
      <c r="AP31" s="100">
        <f>H31*(1-0)</f>
        <v>0</v>
      </c>
      <c r="AQ31" s="111" t="s">
        <v>7</v>
      </c>
      <c r="AV31" s="100">
        <f>AW31+AX31</f>
        <v>0</v>
      </c>
      <c r="AW31" s="100">
        <f>G31*AO31</f>
        <v>0</v>
      </c>
      <c r="AX31" s="100">
        <f>G31*AP31</f>
        <v>0</v>
      </c>
      <c r="AY31" s="110" t="s">
        <v>1684</v>
      </c>
      <c r="AZ31" s="110" t="s">
        <v>1724</v>
      </c>
      <c r="BA31" s="109" t="s">
        <v>1737</v>
      </c>
      <c r="BC31" s="100">
        <f>AW31+AX31</f>
        <v>0</v>
      </c>
      <c r="BD31" s="100">
        <f>H31/(100-BE31)*100</f>
        <v>0</v>
      </c>
      <c r="BE31" s="100">
        <v>0</v>
      </c>
      <c r="BF31" s="100">
        <f>31</f>
        <v>31</v>
      </c>
      <c r="BH31" s="108">
        <f>G31*AO31</f>
        <v>0</v>
      </c>
      <c r="BI31" s="108">
        <f>G31*AP31</f>
        <v>0</v>
      </c>
      <c r="BJ31" s="108">
        <f>G31*H31</f>
        <v>0</v>
      </c>
    </row>
    <row r="32" spans="1:62" x14ac:dyDescent="0.2">
      <c r="A32" s="119"/>
      <c r="B32" s="120" t="s">
        <v>23</v>
      </c>
      <c r="C32" s="306" t="s">
        <v>1070</v>
      </c>
      <c r="D32" s="307"/>
      <c r="E32" s="307"/>
      <c r="F32" s="119" t="s">
        <v>6</v>
      </c>
      <c r="G32" s="119" t="s">
        <v>6</v>
      </c>
      <c r="H32" s="119" t="s">
        <v>6</v>
      </c>
      <c r="I32" s="118">
        <f>SUM(I33:I36)</f>
        <v>0</v>
      </c>
      <c r="J32" s="118">
        <f>SUM(J33:J36)</f>
        <v>0</v>
      </c>
      <c r="K32" s="118">
        <f>SUM(K33:K36)</f>
        <v>0</v>
      </c>
      <c r="L32" s="109"/>
      <c r="AI32" s="109"/>
      <c r="AS32" s="118">
        <f>SUM(AJ33:AJ36)</f>
        <v>0</v>
      </c>
      <c r="AT32" s="118">
        <f>SUM(AK33:AK36)</f>
        <v>0</v>
      </c>
      <c r="AU32" s="118">
        <f>SUM(AL33:AL36)</f>
        <v>0</v>
      </c>
    </row>
    <row r="33" spans="1:62" x14ac:dyDescent="0.2">
      <c r="A33" s="117" t="s">
        <v>22</v>
      </c>
      <c r="B33" s="117" t="s">
        <v>584</v>
      </c>
      <c r="C33" s="304" t="s">
        <v>1071</v>
      </c>
      <c r="D33" s="305"/>
      <c r="E33" s="305"/>
      <c r="F33" s="117" t="s">
        <v>1647</v>
      </c>
      <c r="G33" s="116">
        <v>26.234000000000002</v>
      </c>
      <c r="H33" s="159"/>
      <c r="I33" s="108">
        <f>G33*AO33</f>
        <v>0</v>
      </c>
      <c r="J33" s="108">
        <f>G33*AP33</f>
        <v>0</v>
      </c>
      <c r="K33" s="108">
        <f>G33*H33</f>
        <v>0</v>
      </c>
      <c r="L33" s="111" t="s">
        <v>1671</v>
      </c>
      <c r="Z33" s="100">
        <f>IF(AQ33="5",BJ33,0)</f>
        <v>0</v>
      </c>
      <c r="AB33" s="100">
        <f>IF(AQ33="1",BH33,0)</f>
        <v>0</v>
      </c>
      <c r="AC33" s="100">
        <f>IF(AQ33="1",BI33,0)</f>
        <v>0</v>
      </c>
      <c r="AD33" s="100">
        <f>IF(AQ33="7",BH33,0)</f>
        <v>0</v>
      </c>
      <c r="AE33" s="100">
        <f>IF(AQ33="7",BI33,0)</f>
        <v>0</v>
      </c>
      <c r="AF33" s="100">
        <f>IF(AQ33="2",BH33,0)</f>
        <v>0</v>
      </c>
      <c r="AG33" s="100">
        <f>IF(AQ33="2",BI33,0)</f>
        <v>0</v>
      </c>
      <c r="AH33" s="100">
        <f>IF(AQ33="0",BJ33,0)</f>
        <v>0</v>
      </c>
      <c r="AI33" s="109"/>
      <c r="AJ33" s="108">
        <f>IF(AN33=0,K33,0)</f>
        <v>0</v>
      </c>
      <c r="AK33" s="108">
        <f>IF(AN33=15,K33,0)</f>
        <v>0</v>
      </c>
      <c r="AL33" s="108">
        <f>IF(AN33=21,K33,0)</f>
        <v>0</v>
      </c>
      <c r="AN33" s="100">
        <v>15</v>
      </c>
      <c r="AO33" s="100">
        <f>H33*0</f>
        <v>0</v>
      </c>
      <c r="AP33" s="100">
        <f>H33*(1-0)</f>
        <v>0</v>
      </c>
      <c r="AQ33" s="111" t="s">
        <v>7</v>
      </c>
      <c r="AV33" s="100">
        <f>AW33+AX33</f>
        <v>0</v>
      </c>
      <c r="AW33" s="100">
        <f>G33*AO33</f>
        <v>0</v>
      </c>
      <c r="AX33" s="100">
        <f>G33*AP33</f>
        <v>0</v>
      </c>
      <c r="AY33" s="110" t="s">
        <v>1685</v>
      </c>
      <c r="AZ33" s="110" t="s">
        <v>1724</v>
      </c>
      <c r="BA33" s="109" t="s">
        <v>1737</v>
      </c>
      <c r="BC33" s="100">
        <f>AW33+AX33</f>
        <v>0</v>
      </c>
      <c r="BD33" s="100">
        <f>H33/(100-BE33)*100</f>
        <v>0</v>
      </c>
      <c r="BE33" s="100">
        <v>0</v>
      </c>
      <c r="BF33" s="100">
        <f>33</f>
        <v>33</v>
      </c>
      <c r="BH33" s="108">
        <f>G33*AO33</f>
        <v>0</v>
      </c>
      <c r="BI33" s="108">
        <f>G33*AP33</f>
        <v>0</v>
      </c>
      <c r="BJ33" s="108">
        <f>G33*H33</f>
        <v>0</v>
      </c>
    </row>
    <row r="34" spans="1:62" x14ac:dyDescent="0.2">
      <c r="A34" s="117" t="s">
        <v>23</v>
      </c>
      <c r="B34" s="117" t="s">
        <v>585</v>
      </c>
      <c r="C34" s="304" t="s">
        <v>1072</v>
      </c>
      <c r="D34" s="305"/>
      <c r="E34" s="305"/>
      <c r="F34" s="117" t="s">
        <v>1647</v>
      </c>
      <c r="G34" s="116">
        <v>65.551000000000002</v>
      </c>
      <c r="H34" s="159"/>
      <c r="I34" s="108">
        <f>G34*AO34</f>
        <v>0</v>
      </c>
      <c r="J34" s="108">
        <f>G34*AP34</f>
        <v>0</v>
      </c>
      <c r="K34" s="108">
        <f>G34*H34</f>
        <v>0</v>
      </c>
      <c r="L34" s="111" t="s">
        <v>1671</v>
      </c>
      <c r="Z34" s="100">
        <f>IF(AQ34="5",BJ34,0)</f>
        <v>0</v>
      </c>
      <c r="AB34" s="100">
        <f>IF(AQ34="1",BH34,0)</f>
        <v>0</v>
      </c>
      <c r="AC34" s="100">
        <f>IF(AQ34="1",BI34,0)</f>
        <v>0</v>
      </c>
      <c r="AD34" s="100">
        <f>IF(AQ34="7",BH34,0)</f>
        <v>0</v>
      </c>
      <c r="AE34" s="100">
        <f>IF(AQ34="7",BI34,0)</f>
        <v>0</v>
      </c>
      <c r="AF34" s="100">
        <f>IF(AQ34="2",BH34,0)</f>
        <v>0</v>
      </c>
      <c r="AG34" s="100">
        <f>IF(AQ34="2",BI34,0)</f>
        <v>0</v>
      </c>
      <c r="AH34" s="100">
        <f>IF(AQ34="0",BJ34,0)</f>
        <v>0</v>
      </c>
      <c r="AI34" s="109"/>
      <c r="AJ34" s="108">
        <f>IF(AN34=0,K34,0)</f>
        <v>0</v>
      </c>
      <c r="AK34" s="108">
        <f>IF(AN34=15,K34,0)</f>
        <v>0</v>
      </c>
      <c r="AL34" s="108">
        <f>IF(AN34=21,K34,0)</f>
        <v>0</v>
      </c>
      <c r="AN34" s="100">
        <v>15</v>
      </c>
      <c r="AO34" s="100">
        <f>H34*0</f>
        <v>0</v>
      </c>
      <c r="AP34" s="100">
        <f>H34*(1-0)</f>
        <v>0</v>
      </c>
      <c r="AQ34" s="111" t="s">
        <v>7</v>
      </c>
      <c r="AV34" s="100">
        <f>AW34+AX34</f>
        <v>0</v>
      </c>
      <c r="AW34" s="100">
        <f>G34*AO34</f>
        <v>0</v>
      </c>
      <c r="AX34" s="100">
        <f>G34*AP34</f>
        <v>0</v>
      </c>
      <c r="AY34" s="110" t="s">
        <v>1685</v>
      </c>
      <c r="AZ34" s="110" t="s">
        <v>1724</v>
      </c>
      <c r="BA34" s="109" t="s">
        <v>1737</v>
      </c>
      <c r="BC34" s="100">
        <f>AW34+AX34</f>
        <v>0</v>
      </c>
      <c r="BD34" s="100">
        <f>H34/(100-BE34)*100</f>
        <v>0</v>
      </c>
      <c r="BE34" s="100">
        <v>0</v>
      </c>
      <c r="BF34" s="100">
        <f>34</f>
        <v>34</v>
      </c>
      <c r="BH34" s="108">
        <f>G34*AO34</f>
        <v>0</v>
      </c>
      <c r="BI34" s="108">
        <f>G34*AP34</f>
        <v>0</v>
      </c>
      <c r="BJ34" s="108">
        <f>G34*H34</f>
        <v>0</v>
      </c>
    </row>
    <row r="35" spans="1:62" x14ac:dyDescent="0.2">
      <c r="A35" s="117" t="s">
        <v>24</v>
      </c>
      <c r="B35" s="117" t="s">
        <v>585</v>
      </c>
      <c r="C35" s="304" t="s">
        <v>1074</v>
      </c>
      <c r="D35" s="305"/>
      <c r="E35" s="305"/>
      <c r="F35" s="117" t="s">
        <v>1647</v>
      </c>
      <c r="G35" s="116">
        <v>1.86</v>
      </c>
      <c r="H35" s="159"/>
      <c r="I35" s="108">
        <f>G35*AO35</f>
        <v>0</v>
      </c>
      <c r="J35" s="108">
        <f>G35*AP35</f>
        <v>0</v>
      </c>
      <c r="K35" s="108">
        <f>G35*H35</f>
        <v>0</v>
      </c>
      <c r="L35" s="111" t="s">
        <v>1671</v>
      </c>
      <c r="Z35" s="100">
        <f>IF(AQ35="5",BJ35,0)</f>
        <v>0</v>
      </c>
      <c r="AB35" s="100">
        <f>IF(AQ35="1",BH35,0)</f>
        <v>0</v>
      </c>
      <c r="AC35" s="100">
        <f>IF(AQ35="1",BI35,0)</f>
        <v>0</v>
      </c>
      <c r="AD35" s="100">
        <f>IF(AQ35="7",BH35,0)</f>
        <v>0</v>
      </c>
      <c r="AE35" s="100">
        <f>IF(AQ35="7",BI35,0)</f>
        <v>0</v>
      </c>
      <c r="AF35" s="100">
        <f>IF(AQ35="2",BH35,0)</f>
        <v>0</v>
      </c>
      <c r="AG35" s="100">
        <f>IF(AQ35="2",BI35,0)</f>
        <v>0</v>
      </c>
      <c r="AH35" s="100">
        <f>IF(AQ35="0",BJ35,0)</f>
        <v>0</v>
      </c>
      <c r="AI35" s="109"/>
      <c r="AJ35" s="108">
        <f>IF(AN35=0,K35,0)</f>
        <v>0</v>
      </c>
      <c r="AK35" s="108">
        <f>IF(AN35=15,K35,0)</f>
        <v>0</v>
      </c>
      <c r="AL35" s="108">
        <f>IF(AN35=21,K35,0)</f>
        <v>0</v>
      </c>
      <c r="AN35" s="100">
        <v>15</v>
      </c>
      <c r="AO35" s="100">
        <f>H35*0</f>
        <v>0</v>
      </c>
      <c r="AP35" s="100">
        <f>H35*(1-0)</f>
        <v>0</v>
      </c>
      <c r="AQ35" s="111" t="s">
        <v>7</v>
      </c>
      <c r="AV35" s="100">
        <f>AW35+AX35</f>
        <v>0</v>
      </c>
      <c r="AW35" s="100">
        <f>G35*AO35</f>
        <v>0</v>
      </c>
      <c r="AX35" s="100">
        <f>G35*AP35</f>
        <v>0</v>
      </c>
      <c r="AY35" s="110" t="s">
        <v>1685</v>
      </c>
      <c r="AZ35" s="110" t="s">
        <v>1724</v>
      </c>
      <c r="BA35" s="109" t="s">
        <v>1737</v>
      </c>
      <c r="BC35" s="100">
        <f>AW35+AX35</f>
        <v>0</v>
      </c>
      <c r="BD35" s="100">
        <f>H35/(100-BE35)*100</f>
        <v>0</v>
      </c>
      <c r="BE35" s="100">
        <v>0</v>
      </c>
      <c r="BF35" s="100">
        <f>35</f>
        <v>35</v>
      </c>
      <c r="BH35" s="108">
        <f>G35*AO35</f>
        <v>0</v>
      </c>
      <c r="BI35" s="108">
        <f>G35*AP35</f>
        <v>0</v>
      </c>
      <c r="BJ35" s="108">
        <f>G35*H35</f>
        <v>0</v>
      </c>
    </row>
    <row r="36" spans="1:62" x14ac:dyDescent="0.2">
      <c r="A36" s="117" t="s">
        <v>25</v>
      </c>
      <c r="B36" s="117" t="s">
        <v>586</v>
      </c>
      <c r="C36" s="304" t="s">
        <v>2160</v>
      </c>
      <c r="D36" s="305"/>
      <c r="E36" s="305"/>
      <c r="F36" s="117" t="s">
        <v>1647</v>
      </c>
      <c r="G36" s="116">
        <v>1.944</v>
      </c>
      <c r="H36" s="159"/>
      <c r="I36" s="108">
        <f>G36*AO36</f>
        <v>0</v>
      </c>
      <c r="J36" s="108">
        <f>G36*AP36</f>
        <v>0</v>
      </c>
      <c r="K36" s="108">
        <f>G36*H36</f>
        <v>0</v>
      </c>
      <c r="L36" s="111" t="s">
        <v>1671</v>
      </c>
      <c r="Z36" s="100">
        <f>IF(AQ36="5",BJ36,0)</f>
        <v>0</v>
      </c>
      <c r="AB36" s="100">
        <f>IF(AQ36="1",BH36,0)</f>
        <v>0</v>
      </c>
      <c r="AC36" s="100">
        <f>IF(AQ36="1",BI36,0)</f>
        <v>0</v>
      </c>
      <c r="AD36" s="100">
        <f>IF(AQ36="7",BH36,0)</f>
        <v>0</v>
      </c>
      <c r="AE36" s="100">
        <f>IF(AQ36="7",BI36,0)</f>
        <v>0</v>
      </c>
      <c r="AF36" s="100">
        <f>IF(AQ36="2",BH36,0)</f>
        <v>0</v>
      </c>
      <c r="AG36" s="100">
        <f>IF(AQ36="2",BI36,0)</f>
        <v>0</v>
      </c>
      <c r="AH36" s="100">
        <f>IF(AQ36="0",BJ36,0)</f>
        <v>0</v>
      </c>
      <c r="AI36" s="109"/>
      <c r="AJ36" s="108">
        <f>IF(AN36=0,K36,0)</f>
        <v>0</v>
      </c>
      <c r="AK36" s="108">
        <f>IF(AN36=15,K36,0)</f>
        <v>0</v>
      </c>
      <c r="AL36" s="108">
        <f>IF(AN36=21,K36,0)</f>
        <v>0</v>
      </c>
      <c r="AN36" s="100">
        <v>15</v>
      </c>
      <c r="AO36" s="100">
        <f>H36*0</f>
        <v>0</v>
      </c>
      <c r="AP36" s="100">
        <f>H36*(1-0)</f>
        <v>0</v>
      </c>
      <c r="AQ36" s="111" t="s">
        <v>7</v>
      </c>
      <c r="AV36" s="100">
        <f>AW36+AX36</f>
        <v>0</v>
      </c>
      <c r="AW36" s="100">
        <f>G36*AO36</f>
        <v>0</v>
      </c>
      <c r="AX36" s="100">
        <f>G36*AP36</f>
        <v>0</v>
      </c>
      <c r="AY36" s="110" t="s">
        <v>1685</v>
      </c>
      <c r="AZ36" s="110" t="s">
        <v>1724</v>
      </c>
      <c r="BA36" s="109" t="s">
        <v>1737</v>
      </c>
      <c r="BC36" s="100">
        <f>AW36+AX36</f>
        <v>0</v>
      </c>
      <c r="BD36" s="100">
        <f>H36/(100-BE36)*100</f>
        <v>0</v>
      </c>
      <c r="BE36" s="100">
        <v>0</v>
      </c>
      <c r="BF36" s="100">
        <f>36</f>
        <v>36</v>
      </c>
      <c r="BH36" s="108">
        <f>G36*AO36</f>
        <v>0</v>
      </c>
      <c r="BI36" s="108">
        <f>G36*AP36</f>
        <v>0</v>
      </c>
      <c r="BJ36" s="108">
        <f>G36*H36</f>
        <v>0</v>
      </c>
    </row>
    <row r="37" spans="1:62" x14ac:dyDescent="0.2">
      <c r="A37" s="119"/>
      <c r="B37" s="120" t="s">
        <v>24</v>
      </c>
      <c r="C37" s="306" t="s">
        <v>1076</v>
      </c>
      <c r="D37" s="307"/>
      <c r="E37" s="307"/>
      <c r="F37" s="119" t="s">
        <v>6</v>
      </c>
      <c r="G37" s="119" t="s">
        <v>6</v>
      </c>
      <c r="H37" s="119" t="s">
        <v>6</v>
      </c>
      <c r="I37" s="118">
        <f>SUM(I38:I39)</f>
        <v>0</v>
      </c>
      <c r="J37" s="118">
        <f>SUM(J38:J39)</f>
        <v>0</v>
      </c>
      <c r="K37" s="118">
        <f>SUM(K38:K39)</f>
        <v>0</v>
      </c>
      <c r="L37" s="109"/>
      <c r="AI37" s="109"/>
      <c r="AS37" s="118">
        <f>SUM(AJ38:AJ39)</f>
        <v>0</v>
      </c>
      <c r="AT37" s="118">
        <f>SUM(AK38:AK39)</f>
        <v>0</v>
      </c>
      <c r="AU37" s="118">
        <f>SUM(AL38:AL39)</f>
        <v>0</v>
      </c>
    </row>
    <row r="38" spans="1:62" x14ac:dyDescent="0.2">
      <c r="A38" s="117" t="s">
        <v>26</v>
      </c>
      <c r="B38" s="117" t="s">
        <v>587</v>
      </c>
      <c r="C38" s="304" t="s">
        <v>1077</v>
      </c>
      <c r="D38" s="305"/>
      <c r="E38" s="305"/>
      <c r="F38" s="117" t="s">
        <v>1645</v>
      </c>
      <c r="G38" s="116">
        <v>134.22300000000001</v>
      </c>
      <c r="H38" s="159"/>
      <c r="I38" s="108">
        <f>G38*AO38</f>
        <v>0</v>
      </c>
      <c r="J38" s="108">
        <f>G38*AP38</f>
        <v>0</v>
      </c>
      <c r="K38" s="108">
        <f>G38*H38</f>
        <v>0</v>
      </c>
      <c r="L38" s="111" t="s">
        <v>1671</v>
      </c>
      <c r="Z38" s="100">
        <f>IF(AQ38="5",BJ38,0)</f>
        <v>0</v>
      </c>
      <c r="AB38" s="100">
        <f>IF(AQ38="1",BH38,0)</f>
        <v>0</v>
      </c>
      <c r="AC38" s="100">
        <f>IF(AQ38="1",BI38,0)</f>
        <v>0</v>
      </c>
      <c r="AD38" s="100">
        <f>IF(AQ38="7",BH38,0)</f>
        <v>0</v>
      </c>
      <c r="AE38" s="100">
        <f>IF(AQ38="7",BI38,0)</f>
        <v>0</v>
      </c>
      <c r="AF38" s="100">
        <f>IF(AQ38="2",BH38,0)</f>
        <v>0</v>
      </c>
      <c r="AG38" s="100">
        <f>IF(AQ38="2",BI38,0)</f>
        <v>0</v>
      </c>
      <c r="AH38" s="100">
        <f>IF(AQ38="0",BJ38,0)</f>
        <v>0</v>
      </c>
      <c r="AI38" s="109"/>
      <c r="AJ38" s="108">
        <f>IF(AN38=0,K38,0)</f>
        <v>0</v>
      </c>
      <c r="AK38" s="108">
        <f>IF(AN38=15,K38,0)</f>
        <v>0</v>
      </c>
      <c r="AL38" s="108">
        <f>IF(AN38=21,K38,0)</f>
        <v>0</v>
      </c>
      <c r="AN38" s="100">
        <v>15</v>
      </c>
      <c r="AO38" s="100">
        <f>H38*0</f>
        <v>0</v>
      </c>
      <c r="AP38" s="100">
        <f>H38*(1-0)</f>
        <v>0</v>
      </c>
      <c r="AQ38" s="111" t="s">
        <v>7</v>
      </c>
      <c r="AV38" s="100">
        <f>AW38+AX38</f>
        <v>0</v>
      </c>
      <c r="AW38" s="100">
        <f>G38*AO38</f>
        <v>0</v>
      </c>
      <c r="AX38" s="100">
        <f>G38*AP38</f>
        <v>0</v>
      </c>
      <c r="AY38" s="110" t="s">
        <v>1686</v>
      </c>
      <c r="AZ38" s="110" t="s">
        <v>1724</v>
      </c>
      <c r="BA38" s="109" t="s">
        <v>1737</v>
      </c>
      <c r="BC38" s="100">
        <f>AW38+AX38</f>
        <v>0</v>
      </c>
      <c r="BD38" s="100">
        <f>H38/(100-BE38)*100</f>
        <v>0</v>
      </c>
      <c r="BE38" s="100">
        <v>0</v>
      </c>
      <c r="BF38" s="100">
        <f>38</f>
        <v>38</v>
      </c>
      <c r="BH38" s="108">
        <f>G38*AO38</f>
        <v>0</v>
      </c>
      <c r="BI38" s="108">
        <f>G38*AP38</f>
        <v>0</v>
      </c>
      <c r="BJ38" s="108">
        <f>G38*H38</f>
        <v>0</v>
      </c>
    </row>
    <row r="39" spans="1:62" x14ac:dyDescent="0.2">
      <c r="A39" s="117" t="s">
        <v>27</v>
      </c>
      <c r="B39" s="117" t="s">
        <v>2159</v>
      </c>
      <c r="C39" s="304" t="s">
        <v>2158</v>
      </c>
      <c r="D39" s="305"/>
      <c r="E39" s="305"/>
      <c r="F39" s="117" t="s">
        <v>1645</v>
      </c>
      <c r="G39" s="116">
        <v>15.827999999999999</v>
      </c>
      <c r="H39" s="159"/>
      <c r="I39" s="108">
        <f>G39*AO39</f>
        <v>0</v>
      </c>
      <c r="J39" s="108">
        <f>G39*AP39</f>
        <v>0</v>
      </c>
      <c r="K39" s="108">
        <f>G39*H39</f>
        <v>0</v>
      </c>
      <c r="L39" s="111" t="s">
        <v>1671</v>
      </c>
      <c r="Z39" s="100">
        <f>IF(AQ39="5",BJ39,0)</f>
        <v>0</v>
      </c>
      <c r="AB39" s="100">
        <f>IF(AQ39="1",BH39,0)</f>
        <v>0</v>
      </c>
      <c r="AC39" s="100">
        <f>IF(AQ39="1",BI39,0)</f>
        <v>0</v>
      </c>
      <c r="AD39" s="100">
        <f>IF(AQ39="7",BH39,0)</f>
        <v>0</v>
      </c>
      <c r="AE39" s="100">
        <f>IF(AQ39="7",BI39,0)</f>
        <v>0</v>
      </c>
      <c r="AF39" s="100">
        <f>IF(AQ39="2",BH39,0)</f>
        <v>0</v>
      </c>
      <c r="AG39" s="100">
        <f>IF(AQ39="2",BI39,0)</f>
        <v>0</v>
      </c>
      <c r="AH39" s="100">
        <f>IF(AQ39="0",BJ39,0)</f>
        <v>0</v>
      </c>
      <c r="AI39" s="109"/>
      <c r="AJ39" s="108">
        <f>IF(AN39=0,K39,0)</f>
        <v>0</v>
      </c>
      <c r="AK39" s="108">
        <f>IF(AN39=15,K39,0)</f>
        <v>0</v>
      </c>
      <c r="AL39" s="108">
        <f>IF(AN39=21,K39,0)</f>
        <v>0</v>
      </c>
      <c r="AN39" s="100">
        <v>15</v>
      </c>
      <c r="AO39" s="100">
        <f>H39*0</f>
        <v>0</v>
      </c>
      <c r="AP39" s="100">
        <f>H39*(1-0)</f>
        <v>0</v>
      </c>
      <c r="AQ39" s="111" t="s">
        <v>7</v>
      </c>
      <c r="AV39" s="100">
        <f>AW39+AX39</f>
        <v>0</v>
      </c>
      <c r="AW39" s="100">
        <f>G39*AO39</f>
        <v>0</v>
      </c>
      <c r="AX39" s="100">
        <f>G39*AP39</f>
        <v>0</v>
      </c>
      <c r="AY39" s="110" t="s">
        <v>1686</v>
      </c>
      <c r="AZ39" s="110" t="s">
        <v>1724</v>
      </c>
      <c r="BA39" s="109" t="s">
        <v>1737</v>
      </c>
      <c r="BC39" s="100">
        <f>AW39+AX39</f>
        <v>0</v>
      </c>
      <c r="BD39" s="100">
        <f>H39/(100-BE39)*100</f>
        <v>0</v>
      </c>
      <c r="BE39" s="100">
        <v>0</v>
      </c>
      <c r="BF39" s="100">
        <f>39</f>
        <v>39</v>
      </c>
      <c r="BH39" s="108">
        <f>G39*AO39</f>
        <v>0</v>
      </c>
      <c r="BI39" s="108">
        <f>G39*AP39</f>
        <v>0</v>
      </c>
      <c r="BJ39" s="108">
        <f>G39*H39</f>
        <v>0</v>
      </c>
    </row>
    <row r="40" spans="1:62" x14ac:dyDescent="0.2">
      <c r="A40" s="119"/>
      <c r="B40" s="120" t="s">
        <v>27</v>
      </c>
      <c r="C40" s="306" t="s">
        <v>1078</v>
      </c>
      <c r="D40" s="307"/>
      <c r="E40" s="307"/>
      <c r="F40" s="119" t="s">
        <v>6</v>
      </c>
      <c r="G40" s="119" t="s">
        <v>6</v>
      </c>
      <c r="H40" s="119" t="s">
        <v>6</v>
      </c>
      <c r="I40" s="118">
        <f>SUM(I41:I42)</f>
        <v>0</v>
      </c>
      <c r="J40" s="118">
        <f>SUM(J41:J42)</f>
        <v>0</v>
      </c>
      <c r="K40" s="118">
        <f>SUM(K41:K42)</f>
        <v>0</v>
      </c>
      <c r="L40" s="109"/>
      <c r="AI40" s="109"/>
      <c r="AS40" s="118">
        <f>SUM(AJ41:AJ42)</f>
        <v>0</v>
      </c>
      <c r="AT40" s="118">
        <f>SUM(AK41:AK42)</f>
        <v>0</v>
      </c>
      <c r="AU40" s="118">
        <f>SUM(AL41:AL42)</f>
        <v>0</v>
      </c>
    </row>
    <row r="41" spans="1:62" x14ac:dyDescent="0.2">
      <c r="A41" s="117" t="s">
        <v>28</v>
      </c>
      <c r="B41" s="117" t="s">
        <v>588</v>
      </c>
      <c r="C41" s="304" t="s">
        <v>1079</v>
      </c>
      <c r="D41" s="305"/>
      <c r="E41" s="305"/>
      <c r="F41" s="117" t="s">
        <v>1646</v>
      </c>
      <c r="G41" s="116">
        <v>83.2</v>
      </c>
      <c r="H41" s="159"/>
      <c r="I41" s="108">
        <f>G41*AO41</f>
        <v>0</v>
      </c>
      <c r="J41" s="108">
        <f>G41*AP41</f>
        <v>0</v>
      </c>
      <c r="K41" s="108">
        <f>G41*H41</f>
        <v>0</v>
      </c>
      <c r="L41" s="111" t="s">
        <v>1671</v>
      </c>
      <c r="Z41" s="100">
        <f>IF(AQ41="5",BJ41,0)</f>
        <v>0</v>
      </c>
      <c r="AB41" s="100">
        <f>IF(AQ41="1",BH41,0)</f>
        <v>0</v>
      </c>
      <c r="AC41" s="100">
        <f>IF(AQ41="1",BI41,0)</f>
        <v>0</v>
      </c>
      <c r="AD41" s="100">
        <f>IF(AQ41="7",BH41,0)</f>
        <v>0</v>
      </c>
      <c r="AE41" s="100">
        <f>IF(AQ41="7",BI41,0)</f>
        <v>0</v>
      </c>
      <c r="AF41" s="100">
        <f>IF(AQ41="2",BH41,0)</f>
        <v>0</v>
      </c>
      <c r="AG41" s="100">
        <f>IF(AQ41="2",BI41,0)</f>
        <v>0</v>
      </c>
      <c r="AH41" s="100">
        <f>IF(AQ41="0",BJ41,0)</f>
        <v>0</v>
      </c>
      <c r="AI41" s="109"/>
      <c r="AJ41" s="108">
        <f>IF(AN41=0,K41,0)</f>
        <v>0</v>
      </c>
      <c r="AK41" s="108">
        <f>IF(AN41=15,K41,0)</f>
        <v>0</v>
      </c>
      <c r="AL41" s="108">
        <f>IF(AN41=21,K41,0)</f>
        <v>0</v>
      </c>
      <c r="AN41" s="100">
        <v>15</v>
      </c>
      <c r="AO41" s="100">
        <f>H41*0.568421052631579</f>
        <v>0</v>
      </c>
      <c r="AP41" s="100">
        <f>H41*(1-0.568421052631579)</f>
        <v>0</v>
      </c>
      <c r="AQ41" s="111" t="s">
        <v>7</v>
      </c>
      <c r="AV41" s="100">
        <f>AW41+AX41</f>
        <v>0</v>
      </c>
      <c r="AW41" s="100">
        <f>G41*AO41</f>
        <v>0</v>
      </c>
      <c r="AX41" s="100">
        <f>G41*AP41</f>
        <v>0</v>
      </c>
      <c r="AY41" s="110" t="s">
        <v>1687</v>
      </c>
      <c r="AZ41" s="110" t="s">
        <v>1725</v>
      </c>
      <c r="BA41" s="109" t="s">
        <v>1737</v>
      </c>
      <c r="BC41" s="100">
        <f>AW41+AX41</f>
        <v>0</v>
      </c>
      <c r="BD41" s="100">
        <f>H41/(100-BE41)*100</f>
        <v>0</v>
      </c>
      <c r="BE41" s="100">
        <v>0</v>
      </c>
      <c r="BF41" s="100">
        <f>41</f>
        <v>41</v>
      </c>
      <c r="BH41" s="108">
        <f>G41*AO41</f>
        <v>0</v>
      </c>
      <c r="BI41" s="108">
        <f>G41*AP41</f>
        <v>0</v>
      </c>
      <c r="BJ41" s="108">
        <f>G41*H41</f>
        <v>0</v>
      </c>
    </row>
    <row r="42" spans="1:62" x14ac:dyDescent="0.2">
      <c r="A42" s="117" t="s">
        <v>29</v>
      </c>
      <c r="B42" s="117" t="s">
        <v>589</v>
      </c>
      <c r="C42" s="304" t="s">
        <v>1080</v>
      </c>
      <c r="D42" s="305"/>
      <c r="E42" s="305"/>
      <c r="F42" s="117" t="s">
        <v>1646</v>
      </c>
      <c r="G42" s="116">
        <v>83.2</v>
      </c>
      <c r="H42" s="159"/>
      <c r="I42" s="108">
        <f>G42*AO42</f>
        <v>0</v>
      </c>
      <c r="J42" s="108">
        <f>G42*AP42</f>
        <v>0</v>
      </c>
      <c r="K42" s="108">
        <f>G42*H42</f>
        <v>0</v>
      </c>
      <c r="L42" s="111" t="s">
        <v>1671</v>
      </c>
      <c r="Z42" s="100">
        <f>IF(AQ42="5",BJ42,0)</f>
        <v>0</v>
      </c>
      <c r="AB42" s="100">
        <f>IF(AQ42="1",BH42,0)</f>
        <v>0</v>
      </c>
      <c r="AC42" s="100">
        <f>IF(AQ42="1",BI42,0)</f>
        <v>0</v>
      </c>
      <c r="AD42" s="100">
        <f>IF(AQ42="7",BH42,0)</f>
        <v>0</v>
      </c>
      <c r="AE42" s="100">
        <f>IF(AQ42="7",BI42,0)</f>
        <v>0</v>
      </c>
      <c r="AF42" s="100">
        <f>IF(AQ42="2",BH42,0)</f>
        <v>0</v>
      </c>
      <c r="AG42" s="100">
        <f>IF(AQ42="2",BI42,0)</f>
        <v>0</v>
      </c>
      <c r="AH42" s="100">
        <f>IF(AQ42="0",BJ42,0)</f>
        <v>0</v>
      </c>
      <c r="AI42" s="109"/>
      <c r="AJ42" s="108">
        <f>IF(AN42=0,K42,0)</f>
        <v>0</v>
      </c>
      <c r="AK42" s="108">
        <f>IF(AN42=15,K42,0)</f>
        <v>0</v>
      </c>
      <c r="AL42" s="108">
        <f>IF(AN42=21,K42,0)</f>
        <v>0</v>
      </c>
      <c r="AN42" s="100">
        <v>15</v>
      </c>
      <c r="AO42" s="100">
        <f>H42*0.677510040160643</f>
        <v>0</v>
      </c>
      <c r="AP42" s="100">
        <f>H42*(1-0.677510040160643)</f>
        <v>0</v>
      </c>
      <c r="AQ42" s="111" t="s">
        <v>7</v>
      </c>
      <c r="AV42" s="100">
        <f>AW42+AX42</f>
        <v>0</v>
      </c>
      <c r="AW42" s="100">
        <f>G42*AO42</f>
        <v>0</v>
      </c>
      <c r="AX42" s="100">
        <f>G42*AP42</f>
        <v>0</v>
      </c>
      <c r="AY42" s="110" t="s">
        <v>1687</v>
      </c>
      <c r="AZ42" s="110" t="s">
        <v>1725</v>
      </c>
      <c r="BA42" s="109" t="s">
        <v>1737</v>
      </c>
      <c r="BC42" s="100">
        <f>AW42+AX42</f>
        <v>0</v>
      </c>
      <c r="BD42" s="100">
        <f>H42/(100-BE42)*100</f>
        <v>0</v>
      </c>
      <c r="BE42" s="100">
        <v>0</v>
      </c>
      <c r="BF42" s="100">
        <f>42</f>
        <v>42</v>
      </c>
      <c r="BH42" s="108">
        <f>G42*AO42</f>
        <v>0</v>
      </c>
      <c r="BI42" s="108">
        <f>G42*AP42</f>
        <v>0</v>
      </c>
      <c r="BJ42" s="108">
        <f>G42*H42</f>
        <v>0</v>
      </c>
    </row>
    <row r="43" spans="1:62" x14ac:dyDescent="0.2">
      <c r="A43" s="119"/>
      <c r="B43" s="120" t="s">
        <v>33</v>
      </c>
      <c r="C43" s="306" t="s">
        <v>1081</v>
      </c>
      <c r="D43" s="307"/>
      <c r="E43" s="307"/>
      <c r="F43" s="119" t="s">
        <v>6</v>
      </c>
      <c r="G43" s="119" t="s">
        <v>6</v>
      </c>
      <c r="H43" s="119" t="s">
        <v>6</v>
      </c>
      <c r="I43" s="118">
        <f>SUM(I44:I45)</f>
        <v>0</v>
      </c>
      <c r="J43" s="118">
        <f>SUM(J44:J45)</f>
        <v>0</v>
      </c>
      <c r="K43" s="118">
        <f>SUM(K44:K45)</f>
        <v>0</v>
      </c>
      <c r="L43" s="109"/>
      <c r="AI43" s="109"/>
      <c r="AS43" s="118">
        <f>SUM(AJ44:AJ45)</f>
        <v>0</v>
      </c>
      <c r="AT43" s="118">
        <f>SUM(AK44:AK45)</f>
        <v>0</v>
      </c>
      <c r="AU43" s="118">
        <f>SUM(AL44:AL45)</f>
        <v>0</v>
      </c>
    </row>
    <row r="44" spans="1:62" x14ac:dyDescent="0.2">
      <c r="A44" s="117" t="s">
        <v>30</v>
      </c>
      <c r="B44" s="117" t="s">
        <v>590</v>
      </c>
      <c r="C44" s="304" t="s">
        <v>1082</v>
      </c>
      <c r="D44" s="305"/>
      <c r="E44" s="305"/>
      <c r="F44" s="117" t="s">
        <v>1647</v>
      </c>
      <c r="G44" s="116">
        <v>6.4000000000000001E-2</v>
      </c>
      <c r="H44" s="159"/>
      <c r="I44" s="108">
        <f>G44*AO44</f>
        <v>0</v>
      </c>
      <c r="J44" s="108">
        <f>G44*AP44</f>
        <v>0</v>
      </c>
      <c r="K44" s="108">
        <f>G44*H44</f>
        <v>0</v>
      </c>
      <c r="L44" s="111" t="s">
        <v>1671</v>
      </c>
      <c r="Z44" s="100">
        <f>IF(AQ44="5",BJ44,0)</f>
        <v>0</v>
      </c>
      <c r="AB44" s="100">
        <f>IF(AQ44="1",BH44,0)</f>
        <v>0</v>
      </c>
      <c r="AC44" s="100">
        <f>IF(AQ44="1",BI44,0)</f>
        <v>0</v>
      </c>
      <c r="AD44" s="100">
        <f>IF(AQ44="7",BH44,0)</f>
        <v>0</v>
      </c>
      <c r="AE44" s="100">
        <f>IF(AQ44="7",BI44,0)</f>
        <v>0</v>
      </c>
      <c r="AF44" s="100">
        <f>IF(AQ44="2",BH44,0)</f>
        <v>0</v>
      </c>
      <c r="AG44" s="100">
        <f>IF(AQ44="2",BI44,0)</f>
        <v>0</v>
      </c>
      <c r="AH44" s="100">
        <f>IF(AQ44="0",BJ44,0)</f>
        <v>0</v>
      </c>
      <c r="AI44" s="109"/>
      <c r="AJ44" s="108">
        <f>IF(AN44=0,K44,0)</f>
        <v>0</v>
      </c>
      <c r="AK44" s="108">
        <f>IF(AN44=15,K44,0)</f>
        <v>0</v>
      </c>
      <c r="AL44" s="108">
        <f>IF(AN44=21,K44,0)</f>
        <v>0</v>
      </c>
      <c r="AN44" s="100">
        <v>15</v>
      </c>
      <c r="AO44" s="100">
        <f>H44*0.283464063886424</f>
        <v>0</v>
      </c>
      <c r="AP44" s="100">
        <f>H44*(1-0.283464063886424)</f>
        <v>0</v>
      </c>
      <c r="AQ44" s="111" t="s">
        <v>7</v>
      </c>
      <c r="AV44" s="100">
        <f>AW44+AX44</f>
        <v>0</v>
      </c>
      <c r="AW44" s="100">
        <f>G44*AO44</f>
        <v>0</v>
      </c>
      <c r="AX44" s="100">
        <f>G44*AP44</f>
        <v>0</v>
      </c>
      <c r="AY44" s="110" t="s">
        <v>1688</v>
      </c>
      <c r="AZ44" s="110" t="s">
        <v>1725</v>
      </c>
      <c r="BA44" s="109" t="s">
        <v>1737</v>
      </c>
      <c r="BC44" s="100">
        <f>AW44+AX44</f>
        <v>0</v>
      </c>
      <c r="BD44" s="100">
        <f>H44/(100-BE44)*100</f>
        <v>0</v>
      </c>
      <c r="BE44" s="100">
        <v>0</v>
      </c>
      <c r="BF44" s="100">
        <f>44</f>
        <v>44</v>
      </c>
      <c r="BH44" s="108">
        <f>G44*AO44</f>
        <v>0</v>
      </c>
      <c r="BI44" s="108">
        <f>G44*AP44</f>
        <v>0</v>
      </c>
      <c r="BJ44" s="108">
        <f>G44*H44</f>
        <v>0</v>
      </c>
    </row>
    <row r="45" spans="1:62" x14ac:dyDescent="0.2">
      <c r="A45" s="117" t="s">
        <v>31</v>
      </c>
      <c r="B45" s="117" t="s">
        <v>591</v>
      </c>
      <c r="C45" s="304" t="s">
        <v>1083</v>
      </c>
      <c r="D45" s="305"/>
      <c r="E45" s="305"/>
      <c r="F45" s="117" t="s">
        <v>1647</v>
      </c>
      <c r="G45" s="116">
        <v>0.29499999999999998</v>
      </c>
      <c r="H45" s="159"/>
      <c r="I45" s="108">
        <f>G45*AO45</f>
        <v>0</v>
      </c>
      <c r="J45" s="108">
        <f>G45*AP45</f>
        <v>0</v>
      </c>
      <c r="K45" s="108">
        <f>G45*H45</f>
        <v>0</v>
      </c>
      <c r="L45" s="111" t="s">
        <v>1671</v>
      </c>
      <c r="Z45" s="100">
        <f>IF(AQ45="5",BJ45,0)</f>
        <v>0</v>
      </c>
      <c r="AB45" s="100">
        <f>IF(AQ45="1",BH45,0)</f>
        <v>0</v>
      </c>
      <c r="AC45" s="100">
        <f>IF(AQ45="1",BI45,0)</f>
        <v>0</v>
      </c>
      <c r="AD45" s="100">
        <f>IF(AQ45="7",BH45,0)</f>
        <v>0</v>
      </c>
      <c r="AE45" s="100">
        <f>IF(AQ45="7",BI45,0)</f>
        <v>0</v>
      </c>
      <c r="AF45" s="100">
        <f>IF(AQ45="2",BH45,0)</f>
        <v>0</v>
      </c>
      <c r="AG45" s="100">
        <f>IF(AQ45="2",BI45,0)</f>
        <v>0</v>
      </c>
      <c r="AH45" s="100">
        <f>IF(AQ45="0",BJ45,0)</f>
        <v>0</v>
      </c>
      <c r="AI45" s="109"/>
      <c r="AJ45" s="108">
        <f>IF(AN45=0,K45,0)</f>
        <v>0</v>
      </c>
      <c r="AK45" s="108">
        <f>IF(AN45=15,K45,0)</f>
        <v>0</v>
      </c>
      <c r="AL45" s="108">
        <f>IF(AN45=21,K45,0)</f>
        <v>0</v>
      </c>
      <c r="AN45" s="100">
        <v>15</v>
      </c>
      <c r="AO45" s="100">
        <f>H45*0.658321409382688</f>
        <v>0</v>
      </c>
      <c r="AP45" s="100">
        <f>H45*(1-0.658321409382688)</f>
        <v>0</v>
      </c>
      <c r="AQ45" s="111" t="s">
        <v>7</v>
      </c>
      <c r="AV45" s="100">
        <f>AW45+AX45</f>
        <v>0</v>
      </c>
      <c r="AW45" s="100">
        <f>G45*AO45</f>
        <v>0</v>
      </c>
      <c r="AX45" s="100">
        <f>G45*AP45</f>
        <v>0</v>
      </c>
      <c r="AY45" s="110" t="s">
        <v>1688</v>
      </c>
      <c r="AZ45" s="110" t="s">
        <v>1725</v>
      </c>
      <c r="BA45" s="109" t="s">
        <v>1737</v>
      </c>
      <c r="BC45" s="100">
        <f>AW45+AX45</f>
        <v>0</v>
      </c>
      <c r="BD45" s="100">
        <f>H45/(100-BE45)*100</f>
        <v>0</v>
      </c>
      <c r="BE45" s="100">
        <v>0</v>
      </c>
      <c r="BF45" s="100">
        <f>45</f>
        <v>45</v>
      </c>
      <c r="BH45" s="108">
        <f>G45*AO45</f>
        <v>0</v>
      </c>
      <c r="BI45" s="108">
        <f>G45*AP45</f>
        <v>0</v>
      </c>
      <c r="BJ45" s="108">
        <f>G45*H45</f>
        <v>0</v>
      </c>
    </row>
    <row r="46" spans="1:62" x14ac:dyDescent="0.2">
      <c r="A46" s="119"/>
      <c r="B46" s="120" t="s">
        <v>37</v>
      </c>
      <c r="C46" s="306" t="s">
        <v>1084</v>
      </c>
      <c r="D46" s="307"/>
      <c r="E46" s="307"/>
      <c r="F46" s="119" t="s">
        <v>6</v>
      </c>
      <c r="G46" s="119" t="s">
        <v>6</v>
      </c>
      <c r="H46" s="119" t="s">
        <v>6</v>
      </c>
      <c r="I46" s="118">
        <f>SUM(I47:I50)</f>
        <v>0</v>
      </c>
      <c r="J46" s="118">
        <f>SUM(J47:J50)</f>
        <v>0</v>
      </c>
      <c r="K46" s="118">
        <f>SUM(K47:K50)</f>
        <v>0</v>
      </c>
      <c r="L46" s="109"/>
      <c r="AI46" s="109"/>
      <c r="AS46" s="118">
        <f>SUM(AJ47:AJ50)</f>
        <v>0</v>
      </c>
      <c r="AT46" s="118">
        <f>SUM(AK47:AK50)</f>
        <v>0</v>
      </c>
      <c r="AU46" s="118">
        <f>SUM(AL47:AL50)</f>
        <v>0</v>
      </c>
    </row>
    <row r="47" spans="1:62" x14ac:dyDescent="0.2">
      <c r="A47" s="117" t="s">
        <v>32</v>
      </c>
      <c r="B47" s="117" t="s">
        <v>592</v>
      </c>
      <c r="C47" s="304" t="s">
        <v>1086</v>
      </c>
      <c r="D47" s="305"/>
      <c r="E47" s="305"/>
      <c r="F47" s="117" t="s">
        <v>1644</v>
      </c>
      <c r="G47" s="116">
        <v>1</v>
      </c>
      <c r="H47" s="159"/>
      <c r="I47" s="108">
        <f>G47*AO47</f>
        <v>0</v>
      </c>
      <c r="J47" s="108">
        <f>G47*AP47</f>
        <v>0</v>
      </c>
      <c r="K47" s="108">
        <f>G47*H47</f>
        <v>0</v>
      </c>
      <c r="L47" s="111" t="s">
        <v>1671</v>
      </c>
      <c r="Z47" s="100">
        <f>IF(AQ47="5",BJ47,0)</f>
        <v>0</v>
      </c>
      <c r="AB47" s="100">
        <f>IF(AQ47="1",BH47,0)</f>
        <v>0</v>
      </c>
      <c r="AC47" s="100">
        <f>IF(AQ47="1",BI47,0)</f>
        <v>0</v>
      </c>
      <c r="AD47" s="100">
        <f>IF(AQ47="7",BH47,0)</f>
        <v>0</v>
      </c>
      <c r="AE47" s="100">
        <f>IF(AQ47="7",BI47,0)</f>
        <v>0</v>
      </c>
      <c r="AF47" s="100">
        <f>IF(AQ47="2",BH47,0)</f>
        <v>0</v>
      </c>
      <c r="AG47" s="100">
        <f>IF(AQ47="2",BI47,0)</f>
        <v>0</v>
      </c>
      <c r="AH47" s="100">
        <f>IF(AQ47="0",BJ47,0)</f>
        <v>0</v>
      </c>
      <c r="AI47" s="109"/>
      <c r="AJ47" s="108">
        <f>IF(AN47=0,K47,0)</f>
        <v>0</v>
      </c>
      <c r="AK47" s="108">
        <f>IF(AN47=15,K47,0)</f>
        <v>0</v>
      </c>
      <c r="AL47" s="108">
        <f>IF(AN47=21,K47,0)</f>
        <v>0</v>
      </c>
      <c r="AN47" s="100">
        <v>15</v>
      </c>
      <c r="AO47" s="100">
        <f>H47*0.535388860807912</f>
        <v>0</v>
      </c>
      <c r="AP47" s="100">
        <f>H47*(1-0.535388860807912)</f>
        <v>0</v>
      </c>
      <c r="AQ47" s="111" t="s">
        <v>7</v>
      </c>
      <c r="AV47" s="100">
        <f>AW47+AX47</f>
        <v>0</v>
      </c>
      <c r="AW47" s="100">
        <f>G47*AO47</f>
        <v>0</v>
      </c>
      <c r="AX47" s="100">
        <f>G47*AP47</f>
        <v>0</v>
      </c>
      <c r="AY47" s="110" t="s">
        <v>1689</v>
      </c>
      <c r="AZ47" s="110" t="s">
        <v>1726</v>
      </c>
      <c r="BA47" s="109" t="s">
        <v>1737</v>
      </c>
      <c r="BC47" s="100">
        <f>AW47+AX47</f>
        <v>0</v>
      </c>
      <c r="BD47" s="100">
        <f>H47/(100-BE47)*100</f>
        <v>0</v>
      </c>
      <c r="BE47" s="100">
        <v>0</v>
      </c>
      <c r="BF47" s="100">
        <f>47</f>
        <v>47</v>
      </c>
      <c r="BH47" s="108">
        <f>G47*AO47</f>
        <v>0</v>
      </c>
      <c r="BI47" s="108">
        <f>G47*AP47</f>
        <v>0</v>
      </c>
      <c r="BJ47" s="108">
        <f>G47*H47</f>
        <v>0</v>
      </c>
    </row>
    <row r="48" spans="1:62" x14ac:dyDescent="0.2">
      <c r="A48" s="117" t="s">
        <v>33</v>
      </c>
      <c r="B48" s="117" t="s">
        <v>2157</v>
      </c>
      <c r="C48" s="304" t="s">
        <v>2156</v>
      </c>
      <c r="D48" s="305"/>
      <c r="E48" s="305"/>
      <c r="F48" s="117" t="s">
        <v>1645</v>
      </c>
      <c r="G48" s="116">
        <v>21.76</v>
      </c>
      <c r="H48" s="159"/>
      <c r="I48" s="108">
        <f>G48*AO48</f>
        <v>0</v>
      </c>
      <c r="J48" s="108">
        <f>G48*AP48</f>
        <v>0</v>
      </c>
      <c r="K48" s="108">
        <f>G48*H48</f>
        <v>0</v>
      </c>
      <c r="L48" s="111" t="s">
        <v>1671</v>
      </c>
      <c r="Z48" s="100">
        <f>IF(AQ48="5",BJ48,0)</f>
        <v>0</v>
      </c>
      <c r="AB48" s="100">
        <f>IF(AQ48="1",BH48,0)</f>
        <v>0</v>
      </c>
      <c r="AC48" s="100">
        <f>IF(AQ48="1",BI48,0)</f>
        <v>0</v>
      </c>
      <c r="AD48" s="100">
        <f>IF(AQ48="7",BH48,0)</f>
        <v>0</v>
      </c>
      <c r="AE48" s="100">
        <f>IF(AQ48="7",BI48,0)</f>
        <v>0</v>
      </c>
      <c r="AF48" s="100">
        <f>IF(AQ48="2",BH48,0)</f>
        <v>0</v>
      </c>
      <c r="AG48" s="100">
        <f>IF(AQ48="2",BI48,0)</f>
        <v>0</v>
      </c>
      <c r="AH48" s="100">
        <f>IF(AQ48="0",BJ48,0)</f>
        <v>0</v>
      </c>
      <c r="AI48" s="109"/>
      <c r="AJ48" s="108">
        <f>IF(AN48=0,K48,0)</f>
        <v>0</v>
      </c>
      <c r="AK48" s="108">
        <f>IF(AN48=15,K48,0)</f>
        <v>0</v>
      </c>
      <c r="AL48" s="108">
        <f>IF(AN48=21,K48,0)</f>
        <v>0</v>
      </c>
      <c r="AN48" s="100">
        <v>15</v>
      </c>
      <c r="AO48" s="100">
        <f>H48*0.63564347826087</f>
        <v>0</v>
      </c>
      <c r="AP48" s="100">
        <f>H48*(1-0.63564347826087)</f>
        <v>0</v>
      </c>
      <c r="AQ48" s="111" t="s">
        <v>7</v>
      </c>
      <c r="AV48" s="100">
        <f>AW48+AX48</f>
        <v>0</v>
      </c>
      <c r="AW48" s="100">
        <f>G48*AO48</f>
        <v>0</v>
      </c>
      <c r="AX48" s="100">
        <f>G48*AP48</f>
        <v>0</v>
      </c>
      <c r="AY48" s="110" t="s">
        <v>1689</v>
      </c>
      <c r="AZ48" s="110" t="s">
        <v>1726</v>
      </c>
      <c r="BA48" s="109" t="s">
        <v>1737</v>
      </c>
      <c r="BC48" s="100">
        <f>AW48+AX48</f>
        <v>0</v>
      </c>
      <c r="BD48" s="100">
        <f>H48/(100-BE48)*100</f>
        <v>0</v>
      </c>
      <c r="BE48" s="100">
        <v>0</v>
      </c>
      <c r="BF48" s="100">
        <f>48</f>
        <v>48</v>
      </c>
      <c r="BH48" s="108">
        <f>G48*AO48</f>
        <v>0</v>
      </c>
      <c r="BI48" s="108">
        <f>G48*AP48</f>
        <v>0</v>
      </c>
      <c r="BJ48" s="108">
        <f>G48*H48</f>
        <v>0</v>
      </c>
    </row>
    <row r="49" spans="1:62" x14ac:dyDescent="0.2">
      <c r="A49" s="117" t="s">
        <v>34</v>
      </c>
      <c r="B49" s="117" t="s">
        <v>594</v>
      </c>
      <c r="C49" s="304" t="s">
        <v>2155</v>
      </c>
      <c r="D49" s="305"/>
      <c r="E49" s="305"/>
      <c r="F49" s="117" t="s">
        <v>1648</v>
      </c>
      <c r="G49" s="116">
        <v>3.4000000000000002E-2</v>
      </c>
      <c r="H49" s="159"/>
      <c r="I49" s="108">
        <f>G49*AO49</f>
        <v>0</v>
      </c>
      <c r="J49" s="108">
        <f>G49*AP49</f>
        <v>0</v>
      </c>
      <c r="K49" s="108">
        <f>G49*H49</f>
        <v>0</v>
      </c>
      <c r="L49" s="111" t="s">
        <v>1671</v>
      </c>
      <c r="Z49" s="100">
        <f>IF(AQ49="5",BJ49,0)</f>
        <v>0</v>
      </c>
      <c r="AB49" s="100">
        <f>IF(AQ49="1",BH49,0)</f>
        <v>0</v>
      </c>
      <c r="AC49" s="100">
        <f>IF(AQ49="1",BI49,0)</f>
        <v>0</v>
      </c>
      <c r="AD49" s="100">
        <f>IF(AQ49="7",BH49,0)</f>
        <v>0</v>
      </c>
      <c r="AE49" s="100">
        <f>IF(AQ49="7",BI49,0)</f>
        <v>0</v>
      </c>
      <c r="AF49" s="100">
        <f>IF(AQ49="2",BH49,0)</f>
        <v>0</v>
      </c>
      <c r="AG49" s="100">
        <f>IF(AQ49="2",BI49,0)</f>
        <v>0</v>
      </c>
      <c r="AH49" s="100">
        <f>IF(AQ49="0",BJ49,0)</f>
        <v>0</v>
      </c>
      <c r="AI49" s="109"/>
      <c r="AJ49" s="108">
        <f>IF(AN49=0,K49,0)</f>
        <v>0</v>
      </c>
      <c r="AK49" s="108">
        <f>IF(AN49=15,K49,0)</f>
        <v>0</v>
      </c>
      <c r="AL49" s="108">
        <f>IF(AN49=21,K49,0)</f>
        <v>0</v>
      </c>
      <c r="AN49" s="100">
        <v>15</v>
      </c>
      <c r="AO49" s="100">
        <f>H49*0.782234965034965</f>
        <v>0</v>
      </c>
      <c r="AP49" s="100">
        <f>H49*(1-0.782234965034965)</f>
        <v>0</v>
      </c>
      <c r="AQ49" s="111" t="s">
        <v>7</v>
      </c>
      <c r="AV49" s="100">
        <f>AW49+AX49</f>
        <v>0</v>
      </c>
      <c r="AW49" s="100">
        <f>G49*AO49</f>
        <v>0</v>
      </c>
      <c r="AX49" s="100">
        <f>G49*AP49</f>
        <v>0</v>
      </c>
      <c r="AY49" s="110" t="s">
        <v>1689</v>
      </c>
      <c r="AZ49" s="110" t="s">
        <v>1726</v>
      </c>
      <c r="BA49" s="109" t="s">
        <v>1737</v>
      </c>
      <c r="BC49" s="100">
        <f>AW49+AX49</f>
        <v>0</v>
      </c>
      <c r="BD49" s="100">
        <f>H49/(100-BE49)*100</f>
        <v>0</v>
      </c>
      <c r="BE49" s="100">
        <v>0</v>
      </c>
      <c r="BF49" s="100">
        <f>49</f>
        <v>49</v>
      </c>
      <c r="BH49" s="108">
        <f>G49*AO49</f>
        <v>0</v>
      </c>
      <c r="BI49" s="108">
        <f>G49*AP49</f>
        <v>0</v>
      </c>
      <c r="BJ49" s="108">
        <f>G49*H49</f>
        <v>0</v>
      </c>
    </row>
    <row r="50" spans="1:62" x14ac:dyDescent="0.2">
      <c r="A50" s="117" t="s">
        <v>35</v>
      </c>
      <c r="B50" s="117" t="s">
        <v>595</v>
      </c>
      <c r="C50" s="304" t="s">
        <v>1089</v>
      </c>
      <c r="D50" s="305"/>
      <c r="E50" s="305"/>
      <c r="F50" s="117" t="s">
        <v>1646</v>
      </c>
      <c r="G50" s="116">
        <v>100</v>
      </c>
      <c r="H50" s="159"/>
      <c r="I50" s="108">
        <f>G50*AO50</f>
        <v>0</v>
      </c>
      <c r="J50" s="108">
        <f>G50*AP50</f>
        <v>0</v>
      </c>
      <c r="K50" s="108">
        <f>G50*H50</f>
        <v>0</v>
      </c>
      <c r="L50" s="111" t="s">
        <v>1671</v>
      </c>
      <c r="Z50" s="100">
        <f>IF(AQ50="5",BJ50,0)</f>
        <v>0</v>
      </c>
      <c r="AB50" s="100">
        <f>IF(AQ50="1",BH50,0)</f>
        <v>0</v>
      </c>
      <c r="AC50" s="100">
        <f>IF(AQ50="1",BI50,0)</f>
        <v>0</v>
      </c>
      <c r="AD50" s="100">
        <f>IF(AQ50="7",BH50,0)</f>
        <v>0</v>
      </c>
      <c r="AE50" s="100">
        <f>IF(AQ50="7",BI50,0)</f>
        <v>0</v>
      </c>
      <c r="AF50" s="100">
        <f>IF(AQ50="2",BH50,0)</f>
        <v>0</v>
      </c>
      <c r="AG50" s="100">
        <f>IF(AQ50="2",BI50,0)</f>
        <v>0</v>
      </c>
      <c r="AH50" s="100">
        <f>IF(AQ50="0",BJ50,0)</f>
        <v>0</v>
      </c>
      <c r="AI50" s="109"/>
      <c r="AJ50" s="108">
        <f>IF(AN50=0,K50,0)</f>
        <v>0</v>
      </c>
      <c r="AK50" s="108">
        <f>IF(AN50=15,K50,0)</f>
        <v>0</v>
      </c>
      <c r="AL50" s="108">
        <f>IF(AN50=21,K50,0)</f>
        <v>0</v>
      </c>
      <c r="AN50" s="100">
        <v>15</v>
      </c>
      <c r="AO50" s="100">
        <f>H50*0.318303571428571</f>
        <v>0</v>
      </c>
      <c r="AP50" s="100">
        <f>H50*(1-0.318303571428571)</f>
        <v>0</v>
      </c>
      <c r="AQ50" s="111" t="s">
        <v>7</v>
      </c>
      <c r="AV50" s="100">
        <f>AW50+AX50</f>
        <v>0</v>
      </c>
      <c r="AW50" s="100">
        <f>G50*AO50</f>
        <v>0</v>
      </c>
      <c r="AX50" s="100">
        <f>G50*AP50</f>
        <v>0</v>
      </c>
      <c r="AY50" s="110" t="s">
        <v>1689</v>
      </c>
      <c r="AZ50" s="110" t="s">
        <v>1726</v>
      </c>
      <c r="BA50" s="109" t="s">
        <v>1737</v>
      </c>
      <c r="BC50" s="100">
        <f>AW50+AX50</f>
        <v>0</v>
      </c>
      <c r="BD50" s="100">
        <f>H50/(100-BE50)*100</f>
        <v>0</v>
      </c>
      <c r="BE50" s="100">
        <v>0</v>
      </c>
      <c r="BF50" s="100">
        <f>50</f>
        <v>50</v>
      </c>
      <c r="BH50" s="108">
        <f>G50*AO50</f>
        <v>0</v>
      </c>
      <c r="BI50" s="108">
        <f>G50*AP50</f>
        <v>0</v>
      </c>
      <c r="BJ50" s="108">
        <f>G50*H50</f>
        <v>0</v>
      </c>
    </row>
    <row r="51" spans="1:62" x14ac:dyDescent="0.2">
      <c r="A51" s="119"/>
      <c r="B51" s="120" t="s">
        <v>62</v>
      </c>
      <c r="C51" s="306" t="s">
        <v>1090</v>
      </c>
      <c r="D51" s="307"/>
      <c r="E51" s="307"/>
      <c r="F51" s="119" t="s">
        <v>6</v>
      </c>
      <c r="G51" s="119" t="s">
        <v>6</v>
      </c>
      <c r="H51" s="119" t="s">
        <v>6</v>
      </c>
      <c r="I51" s="118">
        <f>SUM(I52:I54)</f>
        <v>0</v>
      </c>
      <c r="J51" s="118">
        <f>SUM(J52:J54)</f>
        <v>0</v>
      </c>
      <c r="K51" s="118">
        <f>SUM(K52:K54)</f>
        <v>0</v>
      </c>
      <c r="L51" s="109"/>
      <c r="AI51" s="109"/>
      <c r="AS51" s="118">
        <f>SUM(AJ52:AJ54)</f>
        <v>0</v>
      </c>
      <c r="AT51" s="118">
        <f>SUM(AK52:AK54)</f>
        <v>0</v>
      </c>
      <c r="AU51" s="118">
        <f>SUM(AL52:AL54)</f>
        <v>0</v>
      </c>
    </row>
    <row r="52" spans="1:62" x14ac:dyDescent="0.2">
      <c r="A52" s="117" t="s">
        <v>36</v>
      </c>
      <c r="B52" s="117" t="s">
        <v>596</v>
      </c>
      <c r="C52" s="304" t="s">
        <v>1091</v>
      </c>
      <c r="D52" s="305"/>
      <c r="E52" s="305"/>
      <c r="F52" s="117" t="s">
        <v>1645</v>
      </c>
      <c r="G52" s="116">
        <v>37.648000000000003</v>
      </c>
      <c r="H52" s="159"/>
      <c r="I52" s="108">
        <f>G52*AO52</f>
        <v>0</v>
      </c>
      <c r="J52" s="108">
        <f>G52*AP52</f>
        <v>0</v>
      </c>
      <c r="K52" s="108">
        <f>G52*H52</f>
        <v>0</v>
      </c>
      <c r="L52" s="111" t="s">
        <v>1671</v>
      </c>
      <c r="Z52" s="100">
        <f>IF(AQ52="5",BJ52,0)</f>
        <v>0</v>
      </c>
      <c r="AB52" s="100">
        <f>IF(AQ52="1",BH52,0)</f>
        <v>0</v>
      </c>
      <c r="AC52" s="100">
        <f>IF(AQ52="1",BI52,0)</f>
        <v>0</v>
      </c>
      <c r="AD52" s="100">
        <f>IF(AQ52="7",BH52,0)</f>
        <v>0</v>
      </c>
      <c r="AE52" s="100">
        <f>IF(AQ52="7",BI52,0)</f>
        <v>0</v>
      </c>
      <c r="AF52" s="100">
        <f>IF(AQ52="2",BH52,0)</f>
        <v>0</v>
      </c>
      <c r="AG52" s="100">
        <f>IF(AQ52="2",BI52,0)</f>
        <v>0</v>
      </c>
      <c r="AH52" s="100">
        <f>IF(AQ52="0",BJ52,0)</f>
        <v>0</v>
      </c>
      <c r="AI52" s="109"/>
      <c r="AJ52" s="108">
        <f>IF(AN52=0,K52,0)</f>
        <v>0</v>
      </c>
      <c r="AK52" s="108">
        <f>IF(AN52=15,K52,0)</f>
        <v>0</v>
      </c>
      <c r="AL52" s="108">
        <f>IF(AN52=21,K52,0)</f>
        <v>0</v>
      </c>
      <c r="AN52" s="100">
        <v>15</v>
      </c>
      <c r="AO52" s="100">
        <f>H52*0.863567890487461</f>
        <v>0</v>
      </c>
      <c r="AP52" s="100">
        <f>H52*(1-0.863567890487461)</f>
        <v>0</v>
      </c>
      <c r="AQ52" s="111" t="s">
        <v>7</v>
      </c>
      <c r="AV52" s="100">
        <f>AW52+AX52</f>
        <v>0</v>
      </c>
      <c r="AW52" s="100">
        <f>G52*AO52</f>
        <v>0</v>
      </c>
      <c r="AX52" s="100">
        <f>G52*AP52</f>
        <v>0</v>
      </c>
      <c r="AY52" s="110" t="s">
        <v>1690</v>
      </c>
      <c r="AZ52" s="110" t="s">
        <v>1727</v>
      </c>
      <c r="BA52" s="109" t="s">
        <v>1737</v>
      </c>
      <c r="BC52" s="100">
        <f>AW52+AX52</f>
        <v>0</v>
      </c>
      <c r="BD52" s="100">
        <f>H52/(100-BE52)*100</f>
        <v>0</v>
      </c>
      <c r="BE52" s="100">
        <v>0</v>
      </c>
      <c r="BF52" s="100">
        <f>52</f>
        <v>52</v>
      </c>
      <c r="BH52" s="108">
        <f>G52*AO52</f>
        <v>0</v>
      </c>
      <c r="BI52" s="108">
        <f>G52*AP52</f>
        <v>0</v>
      </c>
      <c r="BJ52" s="108">
        <f>G52*H52</f>
        <v>0</v>
      </c>
    </row>
    <row r="53" spans="1:62" x14ac:dyDescent="0.2">
      <c r="A53" s="117" t="s">
        <v>37</v>
      </c>
      <c r="B53" s="117" t="s">
        <v>597</v>
      </c>
      <c r="C53" s="304" t="s">
        <v>1092</v>
      </c>
      <c r="D53" s="305"/>
      <c r="E53" s="305"/>
      <c r="F53" s="117" t="s">
        <v>1645</v>
      </c>
      <c r="G53" s="116">
        <v>37.648000000000003</v>
      </c>
      <c r="H53" s="159"/>
      <c r="I53" s="108">
        <f>G53*AO53</f>
        <v>0</v>
      </c>
      <c r="J53" s="108">
        <f>G53*AP53</f>
        <v>0</v>
      </c>
      <c r="K53" s="108">
        <f>G53*H53</f>
        <v>0</v>
      </c>
      <c r="L53" s="111" t="s">
        <v>1671</v>
      </c>
      <c r="Z53" s="100">
        <f>IF(AQ53="5",BJ53,0)</f>
        <v>0</v>
      </c>
      <c r="AB53" s="100">
        <f>IF(AQ53="1",BH53,0)</f>
        <v>0</v>
      </c>
      <c r="AC53" s="100">
        <f>IF(AQ53="1",BI53,0)</f>
        <v>0</v>
      </c>
      <c r="AD53" s="100">
        <f>IF(AQ53="7",BH53,0)</f>
        <v>0</v>
      </c>
      <c r="AE53" s="100">
        <f>IF(AQ53="7",BI53,0)</f>
        <v>0</v>
      </c>
      <c r="AF53" s="100">
        <f>IF(AQ53="2",BH53,0)</f>
        <v>0</v>
      </c>
      <c r="AG53" s="100">
        <f>IF(AQ53="2",BI53,0)</f>
        <v>0</v>
      </c>
      <c r="AH53" s="100">
        <f>IF(AQ53="0",BJ53,0)</f>
        <v>0</v>
      </c>
      <c r="AI53" s="109"/>
      <c r="AJ53" s="108">
        <f>IF(AN53=0,K53,0)</f>
        <v>0</v>
      </c>
      <c r="AK53" s="108">
        <f>IF(AN53=15,K53,0)</f>
        <v>0</v>
      </c>
      <c r="AL53" s="108">
        <f>IF(AN53=21,K53,0)</f>
        <v>0</v>
      </c>
      <c r="AN53" s="100">
        <v>15</v>
      </c>
      <c r="AO53" s="100">
        <f>H53*0.76404746708629</f>
        <v>0</v>
      </c>
      <c r="AP53" s="100">
        <f>H53*(1-0.76404746708629)</f>
        <v>0</v>
      </c>
      <c r="AQ53" s="111" t="s">
        <v>7</v>
      </c>
      <c r="AV53" s="100">
        <f>AW53+AX53</f>
        <v>0</v>
      </c>
      <c r="AW53" s="100">
        <f>G53*AO53</f>
        <v>0</v>
      </c>
      <c r="AX53" s="100">
        <f>G53*AP53</f>
        <v>0</v>
      </c>
      <c r="AY53" s="110" t="s">
        <v>1690</v>
      </c>
      <c r="AZ53" s="110" t="s">
        <v>1727</v>
      </c>
      <c r="BA53" s="109" t="s">
        <v>1737</v>
      </c>
      <c r="BC53" s="100">
        <f>AW53+AX53</f>
        <v>0</v>
      </c>
      <c r="BD53" s="100">
        <f>H53/(100-BE53)*100</f>
        <v>0</v>
      </c>
      <c r="BE53" s="100">
        <v>0</v>
      </c>
      <c r="BF53" s="100">
        <f>53</f>
        <v>53</v>
      </c>
      <c r="BH53" s="108">
        <f>G53*AO53</f>
        <v>0</v>
      </c>
      <c r="BI53" s="108">
        <f>G53*AP53</f>
        <v>0</v>
      </c>
      <c r="BJ53" s="108">
        <f>G53*H53</f>
        <v>0</v>
      </c>
    </row>
    <row r="54" spans="1:62" x14ac:dyDescent="0.2">
      <c r="A54" s="117" t="s">
        <v>38</v>
      </c>
      <c r="B54" s="117" t="s">
        <v>598</v>
      </c>
      <c r="C54" s="304" t="s">
        <v>1093</v>
      </c>
      <c r="D54" s="305"/>
      <c r="E54" s="305"/>
      <c r="F54" s="117" t="s">
        <v>1645</v>
      </c>
      <c r="G54" s="116">
        <v>37.648000000000003</v>
      </c>
      <c r="H54" s="159"/>
      <c r="I54" s="108">
        <f>G54*AO54</f>
        <v>0</v>
      </c>
      <c r="J54" s="108">
        <f>G54*AP54</f>
        <v>0</v>
      </c>
      <c r="K54" s="108">
        <f>G54*H54</f>
        <v>0</v>
      </c>
      <c r="L54" s="111" t="s">
        <v>1671</v>
      </c>
      <c r="Z54" s="100">
        <f>IF(AQ54="5",BJ54,0)</f>
        <v>0</v>
      </c>
      <c r="AB54" s="100">
        <f>IF(AQ54="1",BH54,0)</f>
        <v>0</v>
      </c>
      <c r="AC54" s="100">
        <f>IF(AQ54="1",BI54,0)</f>
        <v>0</v>
      </c>
      <c r="AD54" s="100">
        <f>IF(AQ54="7",BH54,0)</f>
        <v>0</v>
      </c>
      <c r="AE54" s="100">
        <f>IF(AQ54="7",BI54,0)</f>
        <v>0</v>
      </c>
      <c r="AF54" s="100">
        <f>IF(AQ54="2",BH54,0)</f>
        <v>0</v>
      </c>
      <c r="AG54" s="100">
        <f>IF(AQ54="2",BI54,0)</f>
        <v>0</v>
      </c>
      <c r="AH54" s="100">
        <f>IF(AQ54="0",BJ54,0)</f>
        <v>0</v>
      </c>
      <c r="AI54" s="109"/>
      <c r="AJ54" s="108">
        <f>IF(AN54=0,K54,0)</f>
        <v>0</v>
      </c>
      <c r="AK54" s="108">
        <f>IF(AN54=15,K54,0)</f>
        <v>0</v>
      </c>
      <c r="AL54" s="108">
        <f>IF(AN54=21,K54,0)</f>
        <v>0</v>
      </c>
      <c r="AN54" s="100">
        <v>15</v>
      </c>
      <c r="AO54" s="100">
        <f>H54*0</f>
        <v>0</v>
      </c>
      <c r="AP54" s="100">
        <f>H54*(1-0)</f>
        <v>0</v>
      </c>
      <c r="AQ54" s="111" t="s">
        <v>7</v>
      </c>
      <c r="AV54" s="100">
        <f>AW54+AX54</f>
        <v>0</v>
      </c>
      <c r="AW54" s="100">
        <f>G54*AO54</f>
        <v>0</v>
      </c>
      <c r="AX54" s="100">
        <f>G54*AP54</f>
        <v>0</v>
      </c>
      <c r="AY54" s="110" t="s">
        <v>1690</v>
      </c>
      <c r="AZ54" s="110" t="s">
        <v>1727</v>
      </c>
      <c r="BA54" s="109" t="s">
        <v>1737</v>
      </c>
      <c r="BC54" s="100">
        <f>AW54+AX54</f>
        <v>0</v>
      </c>
      <c r="BD54" s="100">
        <f>H54/(100-BE54)*100</f>
        <v>0</v>
      </c>
      <c r="BE54" s="100">
        <v>0</v>
      </c>
      <c r="BF54" s="100">
        <f>54</f>
        <v>54</v>
      </c>
      <c r="BH54" s="108">
        <f>G54*AO54</f>
        <v>0</v>
      </c>
      <c r="BI54" s="108">
        <f>G54*AP54</f>
        <v>0</v>
      </c>
      <c r="BJ54" s="108">
        <f>G54*H54</f>
        <v>0</v>
      </c>
    </row>
    <row r="55" spans="1:62" x14ac:dyDescent="0.2">
      <c r="A55" s="119"/>
      <c r="B55" s="120" t="s">
        <v>63</v>
      </c>
      <c r="C55" s="306" t="s">
        <v>1923</v>
      </c>
      <c r="D55" s="307"/>
      <c r="E55" s="307"/>
      <c r="F55" s="119" t="s">
        <v>6</v>
      </c>
      <c r="G55" s="119" t="s">
        <v>6</v>
      </c>
      <c r="H55" s="119" t="s">
        <v>6</v>
      </c>
      <c r="I55" s="118">
        <f>SUM(I56:I56)</f>
        <v>0</v>
      </c>
      <c r="J55" s="118">
        <f>SUM(J56:J56)</f>
        <v>0</v>
      </c>
      <c r="K55" s="118">
        <f>SUM(K56:K56)</f>
        <v>0</v>
      </c>
      <c r="L55" s="109"/>
      <c r="AI55" s="109"/>
      <c r="AS55" s="118">
        <f>SUM(AJ56:AJ56)</f>
        <v>0</v>
      </c>
      <c r="AT55" s="118">
        <f>SUM(AK56:AK56)</f>
        <v>0</v>
      </c>
      <c r="AU55" s="118">
        <f>SUM(AL56:AL56)</f>
        <v>0</v>
      </c>
    </row>
    <row r="56" spans="1:62" x14ac:dyDescent="0.2">
      <c r="A56" s="117" t="s">
        <v>39</v>
      </c>
      <c r="B56" s="117" t="s">
        <v>2154</v>
      </c>
      <c r="C56" s="304" t="s">
        <v>2153</v>
      </c>
      <c r="D56" s="305"/>
      <c r="E56" s="305"/>
      <c r="F56" s="117" t="s">
        <v>1645</v>
      </c>
      <c r="G56" s="116">
        <v>5.58</v>
      </c>
      <c r="H56" s="159"/>
      <c r="I56" s="108">
        <f>G56*AO56</f>
        <v>0</v>
      </c>
      <c r="J56" s="108">
        <f>G56*AP56</f>
        <v>0</v>
      </c>
      <c r="K56" s="108">
        <f>G56*H56</f>
        <v>0</v>
      </c>
      <c r="L56" s="111" t="s">
        <v>1671</v>
      </c>
      <c r="Z56" s="100">
        <f>IF(AQ56="5",BJ56,0)</f>
        <v>0</v>
      </c>
      <c r="AB56" s="100">
        <f>IF(AQ56="1",BH56,0)</f>
        <v>0</v>
      </c>
      <c r="AC56" s="100">
        <f>IF(AQ56="1",BI56,0)</f>
        <v>0</v>
      </c>
      <c r="AD56" s="100">
        <f>IF(AQ56="7",BH56,0)</f>
        <v>0</v>
      </c>
      <c r="AE56" s="100">
        <f>IF(AQ56="7",BI56,0)</f>
        <v>0</v>
      </c>
      <c r="AF56" s="100">
        <f>IF(AQ56="2",BH56,0)</f>
        <v>0</v>
      </c>
      <c r="AG56" s="100">
        <f>IF(AQ56="2",BI56,0)</f>
        <v>0</v>
      </c>
      <c r="AH56" s="100">
        <f>IF(AQ56="0",BJ56,0)</f>
        <v>0</v>
      </c>
      <c r="AI56" s="109"/>
      <c r="AJ56" s="108">
        <f>IF(AN56=0,K56,0)</f>
        <v>0</v>
      </c>
      <c r="AK56" s="108">
        <f>IF(AN56=15,K56,0)</f>
        <v>0</v>
      </c>
      <c r="AL56" s="108">
        <f>IF(AN56=21,K56,0)</f>
        <v>0</v>
      </c>
      <c r="AN56" s="100">
        <v>15</v>
      </c>
      <c r="AO56" s="100">
        <f>H56*0.811270685621226</f>
        <v>0</v>
      </c>
      <c r="AP56" s="100">
        <f>H56*(1-0.811270685621226)</f>
        <v>0</v>
      </c>
      <c r="AQ56" s="111" t="s">
        <v>7</v>
      </c>
      <c r="AV56" s="100">
        <f>AW56+AX56</f>
        <v>0</v>
      </c>
      <c r="AW56" s="100">
        <f>G56*AO56</f>
        <v>0</v>
      </c>
      <c r="AX56" s="100">
        <f>G56*AP56</f>
        <v>0</v>
      </c>
      <c r="AY56" s="110" t="s">
        <v>2152</v>
      </c>
      <c r="AZ56" s="110" t="s">
        <v>1727</v>
      </c>
      <c r="BA56" s="109" t="s">
        <v>1737</v>
      </c>
      <c r="BC56" s="100">
        <f>AW56+AX56</f>
        <v>0</v>
      </c>
      <c r="BD56" s="100">
        <f>H56/(100-BE56)*100</f>
        <v>0</v>
      </c>
      <c r="BE56" s="100">
        <v>0</v>
      </c>
      <c r="BF56" s="100">
        <f>56</f>
        <v>56</v>
      </c>
      <c r="BH56" s="108">
        <f>G56*AO56</f>
        <v>0</v>
      </c>
      <c r="BI56" s="108">
        <f>G56*AP56</f>
        <v>0</v>
      </c>
      <c r="BJ56" s="108">
        <f>G56*H56</f>
        <v>0</v>
      </c>
    </row>
    <row r="57" spans="1:62" x14ac:dyDescent="0.2">
      <c r="A57" s="119"/>
      <c r="B57" s="120" t="s">
        <v>65</v>
      </c>
      <c r="C57" s="306" t="s">
        <v>1094</v>
      </c>
      <c r="D57" s="307"/>
      <c r="E57" s="307"/>
      <c r="F57" s="119" t="s">
        <v>6</v>
      </c>
      <c r="G57" s="119" t="s">
        <v>6</v>
      </c>
      <c r="H57" s="119" t="s">
        <v>6</v>
      </c>
      <c r="I57" s="118">
        <f>SUM(I58:I58)</f>
        <v>0</v>
      </c>
      <c r="J57" s="118">
        <f>SUM(J58:J58)</f>
        <v>0</v>
      </c>
      <c r="K57" s="118">
        <f>SUM(K58:K58)</f>
        <v>0</v>
      </c>
      <c r="L57" s="109"/>
      <c r="AI57" s="109"/>
      <c r="AS57" s="118">
        <f>SUM(AJ58:AJ58)</f>
        <v>0</v>
      </c>
      <c r="AT57" s="118">
        <f>SUM(AK58:AK58)</f>
        <v>0</v>
      </c>
      <c r="AU57" s="118">
        <f>SUM(AL58:AL58)</f>
        <v>0</v>
      </c>
    </row>
    <row r="58" spans="1:62" x14ac:dyDescent="0.2">
      <c r="A58" s="117" t="s">
        <v>40</v>
      </c>
      <c r="B58" s="117" t="s">
        <v>600</v>
      </c>
      <c r="C58" s="304" t="s">
        <v>1096</v>
      </c>
      <c r="D58" s="305"/>
      <c r="E58" s="305"/>
      <c r="F58" s="117" t="s">
        <v>1645</v>
      </c>
      <c r="G58" s="116">
        <v>37.648000000000003</v>
      </c>
      <c r="H58" s="159"/>
      <c r="I58" s="108">
        <f>G58*AO58</f>
        <v>0</v>
      </c>
      <c r="J58" s="108">
        <f>G58*AP58</f>
        <v>0</v>
      </c>
      <c r="K58" s="108">
        <f>G58*H58</f>
        <v>0</v>
      </c>
      <c r="L58" s="111" t="s">
        <v>1671</v>
      </c>
      <c r="Z58" s="100">
        <f>IF(AQ58="5",BJ58,0)</f>
        <v>0</v>
      </c>
      <c r="AB58" s="100">
        <f>IF(AQ58="1",BH58,0)</f>
        <v>0</v>
      </c>
      <c r="AC58" s="100">
        <f>IF(AQ58="1",BI58,0)</f>
        <v>0</v>
      </c>
      <c r="AD58" s="100">
        <f>IF(AQ58="7",BH58,0)</f>
        <v>0</v>
      </c>
      <c r="AE58" s="100">
        <f>IF(AQ58="7",BI58,0)</f>
        <v>0</v>
      </c>
      <c r="AF58" s="100">
        <f>IF(AQ58="2",BH58,0)</f>
        <v>0</v>
      </c>
      <c r="AG58" s="100">
        <f>IF(AQ58="2",BI58,0)</f>
        <v>0</v>
      </c>
      <c r="AH58" s="100">
        <f>IF(AQ58="0",BJ58,0)</f>
        <v>0</v>
      </c>
      <c r="AI58" s="109"/>
      <c r="AJ58" s="108">
        <f>IF(AN58=0,K58,0)</f>
        <v>0</v>
      </c>
      <c r="AK58" s="108">
        <f>IF(AN58=15,K58,0)</f>
        <v>0</v>
      </c>
      <c r="AL58" s="108">
        <f>IF(AN58=21,K58,0)</f>
        <v>0</v>
      </c>
      <c r="AN58" s="100">
        <v>15</v>
      </c>
      <c r="AO58" s="100">
        <f>H58*0.763125677621579</f>
        <v>0</v>
      </c>
      <c r="AP58" s="100">
        <f>H58*(1-0.763125677621579)</f>
        <v>0</v>
      </c>
      <c r="AQ58" s="111" t="s">
        <v>7</v>
      </c>
      <c r="AV58" s="100">
        <f>AW58+AX58</f>
        <v>0</v>
      </c>
      <c r="AW58" s="100">
        <f>G58*AO58</f>
        <v>0</v>
      </c>
      <c r="AX58" s="100">
        <f>G58*AP58</f>
        <v>0</v>
      </c>
      <c r="AY58" s="110" t="s">
        <v>1691</v>
      </c>
      <c r="AZ58" s="110" t="s">
        <v>1727</v>
      </c>
      <c r="BA58" s="109" t="s">
        <v>1737</v>
      </c>
      <c r="BC58" s="100">
        <f>AW58+AX58</f>
        <v>0</v>
      </c>
      <c r="BD58" s="100">
        <f>H58/(100-BE58)*100</f>
        <v>0</v>
      </c>
      <c r="BE58" s="100">
        <v>0</v>
      </c>
      <c r="BF58" s="100">
        <f>58</f>
        <v>58</v>
      </c>
      <c r="BH58" s="108">
        <f>G58*AO58</f>
        <v>0</v>
      </c>
      <c r="BI58" s="108">
        <f>G58*AP58</f>
        <v>0</v>
      </c>
      <c r="BJ58" s="108">
        <f>G58*H58</f>
        <v>0</v>
      </c>
    </row>
    <row r="59" spans="1:62" x14ac:dyDescent="0.2">
      <c r="A59" s="119"/>
      <c r="B59" s="120" t="s">
        <v>67</v>
      </c>
      <c r="C59" s="306" t="s">
        <v>1097</v>
      </c>
      <c r="D59" s="307"/>
      <c r="E59" s="307"/>
      <c r="F59" s="119" t="s">
        <v>6</v>
      </c>
      <c r="G59" s="119" t="s">
        <v>6</v>
      </c>
      <c r="H59" s="119" t="s">
        <v>6</v>
      </c>
      <c r="I59" s="118">
        <f>SUM(I60:I65)</f>
        <v>0</v>
      </c>
      <c r="J59" s="118">
        <f>SUM(J60:J65)</f>
        <v>0</v>
      </c>
      <c r="K59" s="118">
        <f>SUM(K60:K65)</f>
        <v>0</v>
      </c>
      <c r="L59" s="109"/>
      <c r="AI59" s="109"/>
      <c r="AS59" s="118">
        <f>SUM(AJ60:AJ65)</f>
        <v>0</v>
      </c>
      <c r="AT59" s="118">
        <f>SUM(AK60:AK65)</f>
        <v>0</v>
      </c>
      <c r="AU59" s="118">
        <f>SUM(AL60:AL65)</f>
        <v>0</v>
      </c>
    </row>
    <row r="60" spans="1:62" x14ac:dyDescent="0.2">
      <c r="A60" s="117" t="s">
        <v>41</v>
      </c>
      <c r="B60" s="117" t="s">
        <v>601</v>
      </c>
      <c r="C60" s="304" t="s">
        <v>1098</v>
      </c>
      <c r="D60" s="305"/>
      <c r="E60" s="305"/>
      <c r="F60" s="117" t="s">
        <v>1645</v>
      </c>
      <c r="G60" s="116">
        <v>11.925000000000001</v>
      </c>
      <c r="H60" s="159"/>
      <c r="I60" s="108">
        <f t="shared" ref="I60:I65" si="22">G60*AO60</f>
        <v>0</v>
      </c>
      <c r="J60" s="108">
        <f t="shared" ref="J60:J65" si="23">G60*AP60</f>
        <v>0</v>
      </c>
      <c r="K60" s="108">
        <f t="shared" ref="K60:K65" si="24">G60*H60</f>
        <v>0</v>
      </c>
      <c r="L60" s="111" t="s">
        <v>1671</v>
      </c>
      <c r="Z60" s="100">
        <f t="shared" ref="Z60:Z65" si="25">IF(AQ60="5",BJ60,0)</f>
        <v>0</v>
      </c>
      <c r="AB60" s="100">
        <f t="shared" ref="AB60:AB65" si="26">IF(AQ60="1",BH60,0)</f>
        <v>0</v>
      </c>
      <c r="AC60" s="100">
        <f t="shared" ref="AC60:AC65" si="27">IF(AQ60="1",BI60,0)</f>
        <v>0</v>
      </c>
      <c r="AD60" s="100">
        <f t="shared" ref="AD60:AD65" si="28">IF(AQ60="7",BH60,0)</f>
        <v>0</v>
      </c>
      <c r="AE60" s="100">
        <f t="shared" ref="AE60:AE65" si="29">IF(AQ60="7",BI60,0)</f>
        <v>0</v>
      </c>
      <c r="AF60" s="100">
        <f t="shared" ref="AF60:AF65" si="30">IF(AQ60="2",BH60,0)</f>
        <v>0</v>
      </c>
      <c r="AG60" s="100">
        <f t="shared" ref="AG60:AG65" si="31">IF(AQ60="2",BI60,0)</f>
        <v>0</v>
      </c>
      <c r="AH60" s="100">
        <f t="shared" ref="AH60:AH65" si="32">IF(AQ60="0",BJ60,0)</f>
        <v>0</v>
      </c>
      <c r="AI60" s="109"/>
      <c r="AJ60" s="108">
        <f t="shared" ref="AJ60:AJ65" si="33">IF(AN60=0,K60,0)</f>
        <v>0</v>
      </c>
      <c r="AK60" s="108">
        <f t="shared" ref="AK60:AK65" si="34">IF(AN60=15,K60,0)</f>
        <v>0</v>
      </c>
      <c r="AL60" s="108">
        <f t="shared" ref="AL60:AL65" si="35">IF(AN60=21,K60,0)</f>
        <v>0</v>
      </c>
      <c r="AN60" s="100">
        <v>15</v>
      </c>
      <c r="AO60" s="100">
        <f>H60*0.137604681520274</f>
        <v>0</v>
      </c>
      <c r="AP60" s="100">
        <f>H60*(1-0.137604681520274)</f>
        <v>0</v>
      </c>
      <c r="AQ60" s="111" t="s">
        <v>7</v>
      </c>
      <c r="AV60" s="100">
        <f t="shared" ref="AV60:AV65" si="36">AW60+AX60</f>
        <v>0</v>
      </c>
      <c r="AW60" s="100">
        <f t="shared" ref="AW60:AW65" si="37">G60*AO60</f>
        <v>0</v>
      </c>
      <c r="AX60" s="100">
        <f t="shared" ref="AX60:AX65" si="38">G60*AP60</f>
        <v>0</v>
      </c>
      <c r="AY60" s="110" t="s">
        <v>1692</v>
      </c>
      <c r="AZ60" s="110" t="s">
        <v>1728</v>
      </c>
      <c r="BA60" s="109" t="s">
        <v>1737</v>
      </c>
      <c r="BC60" s="100">
        <f t="shared" ref="BC60:BC65" si="39">AW60+AX60</f>
        <v>0</v>
      </c>
      <c r="BD60" s="100">
        <f t="shared" ref="BD60:BD65" si="40">H60/(100-BE60)*100</f>
        <v>0</v>
      </c>
      <c r="BE60" s="100">
        <v>0</v>
      </c>
      <c r="BF60" s="100">
        <f>60</f>
        <v>60</v>
      </c>
      <c r="BH60" s="108">
        <f t="shared" ref="BH60:BH65" si="41">G60*AO60</f>
        <v>0</v>
      </c>
      <c r="BI60" s="108">
        <f t="shared" ref="BI60:BI65" si="42">G60*AP60</f>
        <v>0</v>
      </c>
      <c r="BJ60" s="108">
        <f t="shared" ref="BJ60:BJ65" si="43">G60*H60</f>
        <v>0</v>
      </c>
    </row>
    <row r="61" spans="1:62" x14ac:dyDescent="0.2">
      <c r="A61" s="117" t="s">
        <v>42</v>
      </c>
      <c r="B61" s="117" t="s">
        <v>602</v>
      </c>
      <c r="C61" s="304" t="s">
        <v>1099</v>
      </c>
      <c r="D61" s="305"/>
      <c r="E61" s="305"/>
      <c r="F61" s="117" t="s">
        <v>1645</v>
      </c>
      <c r="G61" s="116">
        <v>0.15</v>
      </c>
      <c r="H61" s="159"/>
      <c r="I61" s="108">
        <f t="shared" si="22"/>
        <v>0</v>
      </c>
      <c r="J61" s="108">
        <f t="shared" si="23"/>
        <v>0</v>
      </c>
      <c r="K61" s="108">
        <f t="shared" si="24"/>
        <v>0</v>
      </c>
      <c r="L61" s="111" t="s">
        <v>1671</v>
      </c>
      <c r="Z61" s="100">
        <f t="shared" si="25"/>
        <v>0</v>
      </c>
      <c r="AB61" s="100">
        <f t="shared" si="26"/>
        <v>0</v>
      </c>
      <c r="AC61" s="100">
        <f t="shared" si="27"/>
        <v>0</v>
      </c>
      <c r="AD61" s="100">
        <f t="shared" si="28"/>
        <v>0</v>
      </c>
      <c r="AE61" s="100">
        <f t="shared" si="29"/>
        <v>0</v>
      </c>
      <c r="AF61" s="100">
        <f t="shared" si="30"/>
        <v>0</v>
      </c>
      <c r="AG61" s="100">
        <f t="shared" si="31"/>
        <v>0</v>
      </c>
      <c r="AH61" s="100">
        <f t="shared" si="32"/>
        <v>0</v>
      </c>
      <c r="AI61" s="109"/>
      <c r="AJ61" s="108">
        <f t="shared" si="33"/>
        <v>0</v>
      </c>
      <c r="AK61" s="108">
        <f t="shared" si="34"/>
        <v>0</v>
      </c>
      <c r="AL61" s="108">
        <f t="shared" si="35"/>
        <v>0</v>
      </c>
      <c r="AN61" s="100">
        <v>15</v>
      </c>
      <c r="AO61" s="100">
        <f>H61*0.193992673992674</f>
        <v>0</v>
      </c>
      <c r="AP61" s="100">
        <f>H61*(1-0.193992673992674)</f>
        <v>0</v>
      </c>
      <c r="AQ61" s="111" t="s">
        <v>7</v>
      </c>
      <c r="AV61" s="100">
        <f t="shared" si="36"/>
        <v>0</v>
      </c>
      <c r="AW61" s="100">
        <f t="shared" si="37"/>
        <v>0</v>
      </c>
      <c r="AX61" s="100">
        <f t="shared" si="38"/>
        <v>0</v>
      </c>
      <c r="AY61" s="110" t="s">
        <v>1692</v>
      </c>
      <c r="AZ61" s="110" t="s">
        <v>1728</v>
      </c>
      <c r="BA61" s="109" t="s">
        <v>1737</v>
      </c>
      <c r="BC61" s="100">
        <f t="shared" si="39"/>
        <v>0</v>
      </c>
      <c r="BD61" s="100">
        <f t="shared" si="40"/>
        <v>0</v>
      </c>
      <c r="BE61" s="100">
        <v>0</v>
      </c>
      <c r="BF61" s="100">
        <f>61</f>
        <v>61</v>
      </c>
      <c r="BH61" s="108">
        <f t="shared" si="41"/>
        <v>0</v>
      </c>
      <c r="BI61" s="108">
        <f t="shared" si="42"/>
        <v>0</v>
      </c>
      <c r="BJ61" s="108">
        <f t="shared" si="43"/>
        <v>0</v>
      </c>
    </row>
    <row r="62" spans="1:62" x14ac:dyDescent="0.2">
      <c r="A62" s="117" t="s">
        <v>43</v>
      </c>
      <c r="B62" s="117" t="s">
        <v>603</v>
      </c>
      <c r="C62" s="304" t="s">
        <v>1100</v>
      </c>
      <c r="D62" s="305"/>
      <c r="E62" s="305"/>
      <c r="F62" s="117" t="s">
        <v>1645</v>
      </c>
      <c r="G62" s="116">
        <v>0.15</v>
      </c>
      <c r="H62" s="159"/>
      <c r="I62" s="108">
        <f t="shared" si="22"/>
        <v>0</v>
      </c>
      <c r="J62" s="108">
        <f t="shared" si="23"/>
        <v>0</v>
      </c>
      <c r="K62" s="108">
        <f t="shared" si="24"/>
        <v>0</v>
      </c>
      <c r="L62" s="111" t="s">
        <v>1671</v>
      </c>
      <c r="Z62" s="100">
        <f t="shared" si="25"/>
        <v>0</v>
      </c>
      <c r="AB62" s="100">
        <f t="shared" si="26"/>
        <v>0</v>
      </c>
      <c r="AC62" s="100">
        <f t="shared" si="27"/>
        <v>0</v>
      </c>
      <c r="AD62" s="100">
        <f t="shared" si="28"/>
        <v>0</v>
      </c>
      <c r="AE62" s="100">
        <f t="shared" si="29"/>
        <v>0</v>
      </c>
      <c r="AF62" s="100">
        <f t="shared" si="30"/>
        <v>0</v>
      </c>
      <c r="AG62" s="100">
        <f t="shared" si="31"/>
        <v>0</v>
      </c>
      <c r="AH62" s="100">
        <f t="shared" si="32"/>
        <v>0</v>
      </c>
      <c r="AI62" s="109"/>
      <c r="AJ62" s="108">
        <f t="shared" si="33"/>
        <v>0</v>
      </c>
      <c r="AK62" s="108">
        <f t="shared" si="34"/>
        <v>0</v>
      </c>
      <c r="AL62" s="108">
        <f t="shared" si="35"/>
        <v>0</v>
      </c>
      <c r="AN62" s="100">
        <v>15</v>
      </c>
      <c r="AO62" s="100">
        <f>H62*0.0969218415417559</f>
        <v>0</v>
      </c>
      <c r="AP62" s="100">
        <f>H62*(1-0.0969218415417559)</f>
        <v>0</v>
      </c>
      <c r="AQ62" s="111" t="s">
        <v>7</v>
      </c>
      <c r="AV62" s="100">
        <f t="shared" si="36"/>
        <v>0</v>
      </c>
      <c r="AW62" s="100">
        <f t="shared" si="37"/>
        <v>0</v>
      </c>
      <c r="AX62" s="100">
        <f t="shared" si="38"/>
        <v>0</v>
      </c>
      <c r="AY62" s="110" t="s">
        <v>1692</v>
      </c>
      <c r="AZ62" s="110" t="s">
        <v>1728</v>
      </c>
      <c r="BA62" s="109" t="s">
        <v>1737</v>
      </c>
      <c r="BC62" s="100">
        <f t="shared" si="39"/>
        <v>0</v>
      </c>
      <c r="BD62" s="100">
        <f t="shared" si="40"/>
        <v>0</v>
      </c>
      <c r="BE62" s="100">
        <v>0</v>
      </c>
      <c r="BF62" s="100">
        <f>62</f>
        <v>62</v>
      </c>
      <c r="BH62" s="108">
        <f t="shared" si="41"/>
        <v>0</v>
      </c>
      <c r="BI62" s="108">
        <f t="shared" si="42"/>
        <v>0</v>
      </c>
      <c r="BJ62" s="108">
        <f t="shared" si="43"/>
        <v>0</v>
      </c>
    </row>
    <row r="63" spans="1:62" x14ac:dyDescent="0.2">
      <c r="A63" s="117" t="s">
        <v>44</v>
      </c>
      <c r="B63" s="117" t="s">
        <v>604</v>
      </c>
      <c r="C63" s="304" t="s">
        <v>1101</v>
      </c>
      <c r="D63" s="305"/>
      <c r="E63" s="305"/>
      <c r="F63" s="117" t="s">
        <v>1645</v>
      </c>
      <c r="G63" s="116">
        <v>10.137</v>
      </c>
      <c r="H63" s="159"/>
      <c r="I63" s="108">
        <f t="shared" si="22"/>
        <v>0</v>
      </c>
      <c r="J63" s="108">
        <f t="shared" si="23"/>
        <v>0</v>
      </c>
      <c r="K63" s="108">
        <f t="shared" si="24"/>
        <v>0</v>
      </c>
      <c r="L63" s="111" t="s">
        <v>1671</v>
      </c>
      <c r="Z63" s="100">
        <f t="shared" si="25"/>
        <v>0</v>
      </c>
      <c r="AB63" s="100">
        <f t="shared" si="26"/>
        <v>0</v>
      </c>
      <c r="AC63" s="100">
        <f t="shared" si="27"/>
        <v>0</v>
      </c>
      <c r="AD63" s="100">
        <f t="shared" si="28"/>
        <v>0</v>
      </c>
      <c r="AE63" s="100">
        <f t="shared" si="29"/>
        <v>0</v>
      </c>
      <c r="AF63" s="100">
        <f t="shared" si="30"/>
        <v>0</v>
      </c>
      <c r="AG63" s="100">
        <f t="shared" si="31"/>
        <v>0</v>
      </c>
      <c r="AH63" s="100">
        <f t="shared" si="32"/>
        <v>0</v>
      </c>
      <c r="AI63" s="109"/>
      <c r="AJ63" s="108">
        <f t="shared" si="33"/>
        <v>0</v>
      </c>
      <c r="AK63" s="108">
        <f t="shared" si="34"/>
        <v>0</v>
      </c>
      <c r="AL63" s="108">
        <f t="shared" si="35"/>
        <v>0</v>
      </c>
      <c r="AN63" s="100">
        <v>15</v>
      </c>
      <c r="AO63" s="100">
        <f>H63*0.0969233051778818</f>
        <v>0</v>
      </c>
      <c r="AP63" s="100">
        <f>H63*(1-0.0969233051778818)</f>
        <v>0</v>
      </c>
      <c r="AQ63" s="111" t="s">
        <v>7</v>
      </c>
      <c r="AV63" s="100">
        <f t="shared" si="36"/>
        <v>0</v>
      </c>
      <c r="AW63" s="100">
        <f t="shared" si="37"/>
        <v>0</v>
      </c>
      <c r="AX63" s="100">
        <f t="shared" si="38"/>
        <v>0</v>
      </c>
      <c r="AY63" s="110" t="s">
        <v>1692</v>
      </c>
      <c r="AZ63" s="110" t="s">
        <v>1728</v>
      </c>
      <c r="BA63" s="109" t="s">
        <v>1737</v>
      </c>
      <c r="BC63" s="100">
        <f t="shared" si="39"/>
        <v>0</v>
      </c>
      <c r="BD63" s="100">
        <f t="shared" si="40"/>
        <v>0</v>
      </c>
      <c r="BE63" s="100">
        <v>0</v>
      </c>
      <c r="BF63" s="100">
        <f>63</f>
        <v>63</v>
      </c>
      <c r="BH63" s="108">
        <f t="shared" si="41"/>
        <v>0</v>
      </c>
      <c r="BI63" s="108">
        <f t="shared" si="42"/>
        <v>0</v>
      </c>
      <c r="BJ63" s="108">
        <f t="shared" si="43"/>
        <v>0</v>
      </c>
    </row>
    <row r="64" spans="1:62" x14ac:dyDescent="0.2">
      <c r="A64" s="117" t="s">
        <v>45</v>
      </c>
      <c r="B64" s="117" t="s">
        <v>605</v>
      </c>
      <c r="C64" s="304" t="s">
        <v>1102</v>
      </c>
      <c r="D64" s="305"/>
      <c r="E64" s="305"/>
      <c r="F64" s="117" t="s">
        <v>1645</v>
      </c>
      <c r="G64" s="116">
        <v>268.387</v>
      </c>
      <c r="H64" s="159"/>
      <c r="I64" s="108">
        <f t="shared" si="22"/>
        <v>0</v>
      </c>
      <c r="J64" s="108">
        <f t="shared" si="23"/>
        <v>0</v>
      </c>
      <c r="K64" s="108">
        <f t="shared" si="24"/>
        <v>0</v>
      </c>
      <c r="L64" s="111" t="s">
        <v>1671</v>
      </c>
      <c r="Z64" s="100">
        <f t="shared" si="25"/>
        <v>0</v>
      </c>
      <c r="AB64" s="100">
        <f t="shared" si="26"/>
        <v>0</v>
      </c>
      <c r="AC64" s="100">
        <f t="shared" si="27"/>
        <v>0</v>
      </c>
      <c r="AD64" s="100">
        <f t="shared" si="28"/>
        <v>0</v>
      </c>
      <c r="AE64" s="100">
        <f t="shared" si="29"/>
        <v>0</v>
      </c>
      <c r="AF64" s="100">
        <f t="shared" si="30"/>
        <v>0</v>
      </c>
      <c r="AG64" s="100">
        <f t="shared" si="31"/>
        <v>0</v>
      </c>
      <c r="AH64" s="100">
        <f t="shared" si="32"/>
        <v>0</v>
      </c>
      <c r="AI64" s="109"/>
      <c r="AJ64" s="108">
        <f t="shared" si="33"/>
        <v>0</v>
      </c>
      <c r="AK64" s="108">
        <f t="shared" si="34"/>
        <v>0</v>
      </c>
      <c r="AL64" s="108">
        <f t="shared" si="35"/>
        <v>0</v>
      </c>
      <c r="AN64" s="100">
        <v>15</v>
      </c>
      <c r="AO64" s="100">
        <f>H64*0.0912499988356366</f>
        <v>0</v>
      </c>
      <c r="AP64" s="100">
        <f>H64*(1-0.0912499988356366)</f>
        <v>0</v>
      </c>
      <c r="AQ64" s="111" t="s">
        <v>7</v>
      </c>
      <c r="AV64" s="100">
        <f t="shared" si="36"/>
        <v>0</v>
      </c>
      <c r="AW64" s="100">
        <f t="shared" si="37"/>
        <v>0</v>
      </c>
      <c r="AX64" s="100">
        <f t="shared" si="38"/>
        <v>0</v>
      </c>
      <c r="AY64" s="110" t="s">
        <v>1692</v>
      </c>
      <c r="AZ64" s="110" t="s">
        <v>1728</v>
      </c>
      <c r="BA64" s="109" t="s">
        <v>1737</v>
      </c>
      <c r="BC64" s="100">
        <f t="shared" si="39"/>
        <v>0</v>
      </c>
      <c r="BD64" s="100">
        <f t="shared" si="40"/>
        <v>0</v>
      </c>
      <c r="BE64" s="100">
        <v>0</v>
      </c>
      <c r="BF64" s="100">
        <f>64</f>
        <v>64</v>
      </c>
      <c r="BH64" s="108">
        <f t="shared" si="41"/>
        <v>0</v>
      </c>
      <c r="BI64" s="108">
        <f t="shared" si="42"/>
        <v>0</v>
      </c>
      <c r="BJ64" s="108">
        <f t="shared" si="43"/>
        <v>0</v>
      </c>
    </row>
    <row r="65" spans="1:62" x14ac:dyDescent="0.2">
      <c r="A65" s="117" t="s">
        <v>46</v>
      </c>
      <c r="B65" s="117" t="s">
        <v>606</v>
      </c>
      <c r="C65" s="304" t="s">
        <v>1103</v>
      </c>
      <c r="D65" s="305"/>
      <c r="E65" s="305"/>
      <c r="F65" s="117" t="s">
        <v>1645</v>
      </c>
      <c r="G65" s="116">
        <v>19.77</v>
      </c>
      <c r="H65" s="159"/>
      <c r="I65" s="108">
        <f t="shared" si="22"/>
        <v>0</v>
      </c>
      <c r="J65" s="108">
        <f t="shared" si="23"/>
        <v>0</v>
      </c>
      <c r="K65" s="108">
        <f t="shared" si="24"/>
        <v>0</v>
      </c>
      <c r="L65" s="111" t="s">
        <v>1671</v>
      </c>
      <c r="Z65" s="100">
        <f t="shared" si="25"/>
        <v>0</v>
      </c>
      <c r="AB65" s="100">
        <f t="shared" si="26"/>
        <v>0</v>
      </c>
      <c r="AC65" s="100">
        <f t="shared" si="27"/>
        <v>0</v>
      </c>
      <c r="AD65" s="100">
        <f t="shared" si="28"/>
        <v>0</v>
      </c>
      <c r="AE65" s="100">
        <f t="shared" si="29"/>
        <v>0</v>
      </c>
      <c r="AF65" s="100">
        <f t="shared" si="30"/>
        <v>0</v>
      </c>
      <c r="AG65" s="100">
        <f t="shared" si="31"/>
        <v>0</v>
      </c>
      <c r="AH65" s="100">
        <f t="shared" si="32"/>
        <v>0</v>
      </c>
      <c r="AI65" s="109"/>
      <c r="AJ65" s="108">
        <f t="shared" si="33"/>
        <v>0</v>
      </c>
      <c r="AK65" s="108">
        <f t="shared" si="34"/>
        <v>0</v>
      </c>
      <c r="AL65" s="108">
        <f t="shared" si="35"/>
        <v>0</v>
      </c>
      <c r="AN65" s="100">
        <v>15</v>
      </c>
      <c r="AO65" s="100">
        <f>H65*0.523085271317829</f>
        <v>0</v>
      </c>
      <c r="AP65" s="100">
        <f>H65*(1-0.523085271317829)</f>
        <v>0</v>
      </c>
      <c r="AQ65" s="111" t="s">
        <v>7</v>
      </c>
      <c r="AV65" s="100">
        <f t="shared" si="36"/>
        <v>0</v>
      </c>
      <c r="AW65" s="100">
        <f t="shared" si="37"/>
        <v>0</v>
      </c>
      <c r="AX65" s="100">
        <f t="shared" si="38"/>
        <v>0</v>
      </c>
      <c r="AY65" s="110" t="s">
        <v>1692</v>
      </c>
      <c r="AZ65" s="110" t="s">
        <v>1728</v>
      </c>
      <c r="BA65" s="109" t="s">
        <v>1737</v>
      </c>
      <c r="BC65" s="100">
        <f t="shared" si="39"/>
        <v>0</v>
      </c>
      <c r="BD65" s="100">
        <f t="shared" si="40"/>
        <v>0</v>
      </c>
      <c r="BE65" s="100">
        <v>0</v>
      </c>
      <c r="BF65" s="100">
        <f>65</f>
        <v>65</v>
      </c>
      <c r="BH65" s="108">
        <f t="shared" si="41"/>
        <v>0</v>
      </c>
      <c r="BI65" s="108">
        <f t="shared" si="42"/>
        <v>0</v>
      </c>
      <c r="BJ65" s="108">
        <f t="shared" si="43"/>
        <v>0</v>
      </c>
    </row>
    <row r="66" spans="1:62" x14ac:dyDescent="0.2">
      <c r="A66" s="119"/>
      <c r="B66" s="120" t="s">
        <v>68</v>
      </c>
      <c r="C66" s="306" t="s">
        <v>1104</v>
      </c>
      <c r="D66" s="307"/>
      <c r="E66" s="307"/>
      <c r="F66" s="119" t="s">
        <v>6</v>
      </c>
      <c r="G66" s="119" t="s">
        <v>6</v>
      </c>
      <c r="H66" s="119" t="s">
        <v>6</v>
      </c>
      <c r="I66" s="118">
        <f>SUM(I67:I89)</f>
        <v>0</v>
      </c>
      <c r="J66" s="118">
        <f>SUM(J67:J89)</f>
        <v>0</v>
      </c>
      <c r="K66" s="118">
        <f>SUM(K67:K89)</f>
        <v>0</v>
      </c>
      <c r="L66" s="109"/>
      <c r="AI66" s="109"/>
      <c r="AS66" s="118">
        <f>SUM(AJ67:AJ89)</f>
        <v>0</v>
      </c>
      <c r="AT66" s="118">
        <f>SUM(AK67:AK89)</f>
        <v>0</v>
      </c>
      <c r="AU66" s="118">
        <f>SUM(AL67:AL89)</f>
        <v>0</v>
      </c>
    </row>
    <row r="67" spans="1:62" x14ac:dyDescent="0.2">
      <c r="A67" s="117" t="s">
        <v>47</v>
      </c>
      <c r="B67" s="117" t="s">
        <v>607</v>
      </c>
      <c r="C67" s="304" t="s">
        <v>1105</v>
      </c>
      <c r="D67" s="305"/>
      <c r="E67" s="305"/>
      <c r="F67" s="117" t="s">
        <v>1645</v>
      </c>
      <c r="G67" s="116">
        <v>85.9</v>
      </c>
      <c r="H67" s="159"/>
      <c r="I67" s="108">
        <f t="shared" ref="I67:I72" si="44">G67*AO67</f>
        <v>0</v>
      </c>
      <c r="J67" s="108">
        <f t="shared" ref="J67:J72" si="45">G67*AP67</f>
        <v>0</v>
      </c>
      <c r="K67" s="108">
        <f t="shared" ref="K67:K72" si="46">G67*H67</f>
        <v>0</v>
      </c>
      <c r="L67" s="111" t="s">
        <v>1671</v>
      </c>
      <c r="Z67" s="100">
        <f t="shared" ref="Z67:Z72" si="47">IF(AQ67="5",BJ67,0)</f>
        <v>0</v>
      </c>
      <c r="AB67" s="100">
        <f t="shared" ref="AB67:AB72" si="48">IF(AQ67="1",BH67,0)</f>
        <v>0</v>
      </c>
      <c r="AC67" s="100">
        <f t="shared" ref="AC67:AC72" si="49">IF(AQ67="1",BI67,0)</f>
        <v>0</v>
      </c>
      <c r="AD67" s="100">
        <f t="shared" ref="AD67:AD72" si="50">IF(AQ67="7",BH67,0)</f>
        <v>0</v>
      </c>
      <c r="AE67" s="100">
        <f t="shared" ref="AE67:AE72" si="51">IF(AQ67="7",BI67,0)</f>
        <v>0</v>
      </c>
      <c r="AF67" s="100">
        <f t="shared" ref="AF67:AF72" si="52">IF(AQ67="2",BH67,0)</f>
        <v>0</v>
      </c>
      <c r="AG67" s="100">
        <f t="shared" ref="AG67:AG72" si="53">IF(AQ67="2",BI67,0)</f>
        <v>0</v>
      </c>
      <c r="AH67" s="100">
        <f t="shared" ref="AH67:AH72" si="54">IF(AQ67="0",BJ67,0)</f>
        <v>0</v>
      </c>
      <c r="AI67" s="109"/>
      <c r="AJ67" s="108">
        <f t="shared" ref="AJ67:AJ72" si="55">IF(AN67=0,K67,0)</f>
        <v>0</v>
      </c>
      <c r="AK67" s="108">
        <f t="shared" ref="AK67:AK72" si="56">IF(AN67=15,K67,0)</f>
        <v>0</v>
      </c>
      <c r="AL67" s="108">
        <f t="shared" ref="AL67:AL72" si="57">IF(AN67=21,K67,0)</f>
        <v>0</v>
      </c>
      <c r="AN67" s="100">
        <v>15</v>
      </c>
      <c r="AO67" s="100">
        <f>H67*0.285592750047071</f>
        <v>0</v>
      </c>
      <c r="AP67" s="100">
        <f>H67*(1-0.285592750047071)</f>
        <v>0</v>
      </c>
      <c r="AQ67" s="111" t="s">
        <v>7</v>
      </c>
      <c r="AV67" s="100">
        <f t="shared" ref="AV67:AV72" si="58">AW67+AX67</f>
        <v>0</v>
      </c>
      <c r="AW67" s="100">
        <f t="shared" ref="AW67:AW72" si="59">G67*AO67</f>
        <v>0</v>
      </c>
      <c r="AX67" s="100">
        <f t="shared" ref="AX67:AX72" si="60">G67*AP67</f>
        <v>0</v>
      </c>
      <c r="AY67" s="110" t="s">
        <v>1693</v>
      </c>
      <c r="AZ67" s="110" t="s">
        <v>1728</v>
      </c>
      <c r="BA67" s="109" t="s">
        <v>1737</v>
      </c>
      <c r="BC67" s="100">
        <f t="shared" ref="BC67:BC72" si="61">AW67+AX67</f>
        <v>0</v>
      </c>
      <c r="BD67" s="100">
        <f t="shared" ref="BD67:BD72" si="62">H67/(100-BE67)*100</f>
        <v>0</v>
      </c>
      <c r="BE67" s="100">
        <v>0</v>
      </c>
      <c r="BF67" s="100">
        <f>67</f>
        <v>67</v>
      </c>
      <c r="BH67" s="108">
        <f t="shared" ref="BH67:BH72" si="63">G67*AO67</f>
        <v>0</v>
      </c>
      <c r="BI67" s="108">
        <f t="shared" ref="BI67:BI72" si="64">G67*AP67</f>
        <v>0</v>
      </c>
      <c r="BJ67" s="108">
        <f t="shared" ref="BJ67:BJ72" si="65">G67*H67</f>
        <v>0</v>
      </c>
    </row>
    <row r="68" spans="1:62" x14ac:dyDescent="0.2">
      <c r="A68" s="117" t="s">
        <v>48</v>
      </c>
      <c r="B68" s="117" t="s">
        <v>608</v>
      </c>
      <c r="C68" s="304" t="s">
        <v>1106</v>
      </c>
      <c r="D68" s="305"/>
      <c r="E68" s="305"/>
      <c r="F68" s="117" t="s">
        <v>1645</v>
      </c>
      <c r="G68" s="116">
        <v>705.60299999999995</v>
      </c>
      <c r="H68" s="159"/>
      <c r="I68" s="108">
        <f t="shared" si="44"/>
        <v>0</v>
      </c>
      <c r="J68" s="108">
        <f t="shared" si="45"/>
        <v>0</v>
      </c>
      <c r="K68" s="108">
        <f t="shared" si="46"/>
        <v>0</v>
      </c>
      <c r="L68" s="111" t="s">
        <v>1671</v>
      </c>
      <c r="Z68" s="100">
        <f t="shared" si="47"/>
        <v>0</v>
      </c>
      <c r="AB68" s="100">
        <f t="shared" si="48"/>
        <v>0</v>
      </c>
      <c r="AC68" s="100">
        <f t="shared" si="49"/>
        <v>0</v>
      </c>
      <c r="AD68" s="100">
        <f t="shared" si="50"/>
        <v>0</v>
      </c>
      <c r="AE68" s="100">
        <f t="shared" si="51"/>
        <v>0</v>
      </c>
      <c r="AF68" s="100">
        <f t="shared" si="52"/>
        <v>0</v>
      </c>
      <c r="AG68" s="100">
        <f t="shared" si="53"/>
        <v>0</v>
      </c>
      <c r="AH68" s="100">
        <f t="shared" si="54"/>
        <v>0</v>
      </c>
      <c r="AI68" s="109"/>
      <c r="AJ68" s="108">
        <f t="shared" si="55"/>
        <v>0</v>
      </c>
      <c r="AK68" s="108">
        <f t="shared" si="56"/>
        <v>0</v>
      </c>
      <c r="AL68" s="108">
        <f t="shared" si="57"/>
        <v>0</v>
      </c>
      <c r="AN68" s="100">
        <v>15</v>
      </c>
      <c r="AO68" s="100">
        <f>H68*0.578269361753371</f>
        <v>0</v>
      </c>
      <c r="AP68" s="100">
        <f>H68*(1-0.578269361753371)</f>
        <v>0</v>
      </c>
      <c r="AQ68" s="111" t="s">
        <v>7</v>
      </c>
      <c r="AV68" s="100">
        <f t="shared" si="58"/>
        <v>0</v>
      </c>
      <c r="AW68" s="100">
        <f t="shared" si="59"/>
        <v>0</v>
      </c>
      <c r="AX68" s="100">
        <f t="shared" si="60"/>
        <v>0</v>
      </c>
      <c r="AY68" s="110" t="s">
        <v>1693</v>
      </c>
      <c r="AZ68" s="110" t="s">
        <v>1728</v>
      </c>
      <c r="BA68" s="109" t="s">
        <v>1737</v>
      </c>
      <c r="BC68" s="100">
        <f t="shared" si="61"/>
        <v>0</v>
      </c>
      <c r="BD68" s="100">
        <f t="shared" si="62"/>
        <v>0</v>
      </c>
      <c r="BE68" s="100">
        <v>0</v>
      </c>
      <c r="BF68" s="100">
        <f>68</f>
        <v>68</v>
      </c>
      <c r="BH68" s="108">
        <f t="shared" si="63"/>
        <v>0</v>
      </c>
      <c r="BI68" s="108">
        <f t="shared" si="64"/>
        <v>0</v>
      </c>
      <c r="BJ68" s="108">
        <f t="shared" si="65"/>
        <v>0</v>
      </c>
    </row>
    <row r="69" spans="1:62" x14ac:dyDescent="0.2">
      <c r="A69" s="117" t="s">
        <v>49</v>
      </c>
      <c r="B69" s="117" t="s">
        <v>609</v>
      </c>
      <c r="C69" s="304" t="s">
        <v>1107</v>
      </c>
      <c r="D69" s="305"/>
      <c r="E69" s="305"/>
      <c r="F69" s="117" t="s">
        <v>1646</v>
      </c>
      <c r="G69" s="116">
        <v>40</v>
      </c>
      <c r="H69" s="159"/>
      <c r="I69" s="108">
        <f t="shared" si="44"/>
        <v>0</v>
      </c>
      <c r="J69" s="108">
        <f t="shared" si="45"/>
        <v>0</v>
      </c>
      <c r="K69" s="108">
        <f t="shared" si="46"/>
        <v>0</v>
      </c>
      <c r="L69" s="111" t="s">
        <v>1671</v>
      </c>
      <c r="Z69" s="100">
        <f t="shared" si="47"/>
        <v>0</v>
      </c>
      <c r="AB69" s="100">
        <f t="shared" si="48"/>
        <v>0</v>
      </c>
      <c r="AC69" s="100">
        <f t="shared" si="49"/>
        <v>0</v>
      </c>
      <c r="AD69" s="100">
        <f t="shared" si="50"/>
        <v>0</v>
      </c>
      <c r="AE69" s="100">
        <f t="shared" si="51"/>
        <v>0</v>
      </c>
      <c r="AF69" s="100">
        <f t="shared" si="52"/>
        <v>0</v>
      </c>
      <c r="AG69" s="100">
        <f t="shared" si="53"/>
        <v>0</v>
      </c>
      <c r="AH69" s="100">
        <f t="shared" si="54"/>
        <v>0</v>
      </c>
      <c r="AI69" s="109"/>
      <c r="AJ69" s="108">
        <f t="shared" si="55"/>
        <v>0</v>
      </c>
      <c r="AK69" s="108">
        <f t="shared" si="56"/>
        <v>0</v>
      </c>
      <c r="AL69" s="108">
        <f t="shared" si="57"/>
        <v>0</v>
      </c>
      <c r="AN69" s="100">
        <v>15</v>
      </c>
      <c r="AO69" s="100">
        <f>H69*0.215363511659808</f>
        <v>0</v>
      </c>
      <c r="AP69" s="100">
        <f>H69*(1-0.215363511659808)</f>
        <v>0</v>
      </c>
      <c r="AQ69" s="111" t="s">
        <v>7</v>
      </c>
      <c r="AV69" s="100">
        <f t="shared" si="58"/>
        <v>0</v>
      </c>
      <c r="AW69" s="100">
        <f t="shared" si="59"/>
        <v>0</v>
      </c>
      <c r="AX69" s="100">
        <f t="shared" si="60"/>
        <v>0</v>
      </c>
      <c r="AY69" s="110" t="s">
        <v>1693</v>
      </c>
      <c r="AZ69" s="110" t="s">
        <v>1728</v>
      </c>
      <c r="BA69" s="109" t="s">
        <v>1737</v>
      </c>
      <c r="BC69" s="100">
        <f t="shared" si="61"/>
        <v>0</v>
      </c>
      <c r="BD69" s="100">
        <f t="shared" si="62"/>
        <v>0</v>
      </c>
      <c r="BE69" s="100">
        <v>0</v>
      </c>
      <c r="BF69" s="100">
        <f>69</f>
        <v>69</v>
      </c>
      <c r="BH69" s="108">
        <f t="shared" si="63"/>
        <v>0</v>
      </c>
      <c r="BI69" s="108">
        <f t="shared" si="64"/>
        <v>0</v>
      </c>
      <c r="BJ69" s="108">
        <f t="shared" si="65"/>
        <v>0</v>
      </c>
    </row>
    <row r="70" spans="1:62" x14ac:dyDescent="0.2">
      <c r="A70" s="117" t="s">
        <v>50</v>
      </c>
      <c r="B70" s="117" t="s">
        <v>610</v>
      </c>
      <c r="C70" s="304" t="s">
        <v>1108</v>
      </c>
      <c r="D70" s="305"/>
      <c r="E70" s="305"/>
      <c r="F70" s="117" t="s">
        <v>1646</v>
      </c>
      <c r="G70" s="116">
        <v>80.19</v>
      </c>
      <c r="H70" s="159"/>
      <c r="I70" s="108">
        <f t="shared" si="44"/>
        <v>0</v>
      </c>
      <c r="J70" s="108">
        <f t="shared" si="45"/>
        <v>0</v>
      </c>
      <c r="K70" s="108">
        <f t="shared" si="46"/>
        <v>0</v>
      </c>
      <c r="L70" s="111" t="s">
        <v>1671</v>
      </c>
      <c r="Z70" s="100">
        <f t="shared" si="47"/>
        <v>0</v>
      </c>
      <c r="AB70" s="100">
        <f t="shared" si="48"/>
        <v>0</v>
      </c>
      <c r="AC70" s="100">
        <f t="shared" si="49"/>
        <v>0</v>
      </c>
      <c r="AD70" s="100">
        <f t="shared" si="50"/>
        <v>0</v>
      </c>
      <c r="AE70" s="100">
        <f t="shared" si="51"/>
        <v>0</v>
      </c>
      <c r="AF70" s="100">
        <f t="shared" si="52"/>
        <v>0</v>
      </c>
      <c r="AG70" s="100">
        <f t="shared" si="53"/>
        <v>0</v>
      </c>
      <c r="AH70" s="100">
        <f t="shared" si="54"/>
        <v>0</v>
      </c>
      <c r="AI70" s="109"/>
      <c r="AJ70" s="108">
        <f t="shared" si="55"/>
        <v>0</v>
      </c>
      <c r="AK70" s="108">
        <f t="shared" si="56"/>
        <v>0</v>
      </c>
      <c r="AL70" s="108">
        <f t="shared" si="57"/>
        <v>0</v>
      </c>
      <c r="AN70" s="100">
        <v>15</v>
      </c>
      <c r="AO70" s="100">
        <f>H70*0.564852747338817</f>
        <v>0</v>
      </c>
      <c r="AP70" s="100">
        <f>H70*(1-0.564852747338817)</f>
        <v>0</v>
      </c>
      <c r="AQ70" s="111" t="s">
        <v>7</v>
      </c>
      <c r="AV70" s="100">
        <f t="shared" si="58"/>
        <v>0</v>
      </c>
      <c r="AW70" s="100">
        <f t="shared" si="59"/>
        <v>0</v>
      </c>
      <c r="AX70" s="100">
        <f t="shared" si="60"/>
        <v>0</v>
      </c>
      <c r="AY70" s="110" t="s">
        <v>1693</v>
      </c>
      <c r="AZ70" s="110" t="s">
        <v>1728</v>
      </c>
      <c r="BA70" s="109" t="s">
        <v>1737</v>
      </c>
      <c r="BC70" s="100">
        <f t="shared" si="61"/>
        <v>0</v>
      </c>
      <c r="BD70" s="100">
        <f t="shared" si="62"/>
        <v>0</v>
      </c>
      <c r="BE70" s="100">
        <v>0</v>
      </c>
      <c r="BF70" s="100">
        <f>70</f>
        <v>70</v>
      </c>
      <c r="BH70" s="108">
        <f t="shared" si="63"/>
        <v>0</v>
      </c>
      <c r="BI70" s="108">
        <f t="shared" si="64"/>
        <v>0</v>
      </c>
      <c r="BJ70" s="108">
        <f t="shared" si="65"/>
        <v>0</v>
      </c>
    </row>
    <row r="71" spans="1:62" x14ac:dyDescent="0.2">
      <c r="A71" s="117" t="s">
        <v>51</v>
      </c>
      <c r="B71" s="117" t="s">
        <v>611</v>
      </c>
      <c r="C71" s="304" t="s">
        <v>1109</v>
      </c>
      <c r="D71" s="305"/>
      <c r="E71" s="305"/>
      <c r="F71" s="117" t="s">
        <v>1646</v>
      </c>
      <c r="G71" s="116">
        <v>15.7</v>
      </c>
      <c r="H71" s="159"/>
      <c r="I71" s="108">
        <f t="shared" si="44"/>
        <v>0</v>
      </c>
      <c r="J71" s="108">
        <f t="shared" si="45"/>
        <v>0</v>
      </c>
      <c r="K71" s="108">
        <f t="shared" si="46"/>
        <v>0</v>
      </c>
      <c r="L71" s="111" t="s">
        <v>1671</v>
      </c>
      <c r="Z71" s="100">
        <f t="shared" si="47"/>
        <v>0</v>
      </c>
      <c r="AB71" s="100">
        <f t="shared" si="48"/>
        <v>0</v>
      </c>
      <c r="AC71" s="100">
        <f t="shared" si="49"/>
        <v>0</v>
      </c>
      <c r="AD71" s="100">
        <f t="shared" si="50"/>
        <v>0</v>
      </c>
      <c r="AE71" s="100">
        <f t="shared" si="51"/>
        <v>0</v>
      </c>
      <c r="AF71" s="100">
        <f t="shared" si="52"/>
        <v>0</v>
      </c>
      <c r="AG71" s="100">
        <f t="shared" si="53"/>
        <v>0</v>
      </c>
      <c r="AH71" s="100">
        <f t="shared" si="54"/>
        <v>0</v>
      </c>
      <c r="AI71" s="109"/>
      <c r="AJ71" s="108">
        <f t="shared" si="55"/>
        <v>0</v>
      </c>
      <c r="AK71" s="108">
        <f t="shared" si="56"/>
        <v>0</v>
      </c>
      <c r="AL71" s="108">
        <f t="shared" si="57"/>
        <v>0</v>
      </c>
      <c r="AN71" s="100">
        <v>15</v>
      </c>
      <c r="AO71" s="100">
        <f>H71*0.723184646223634</f>
        <v>0</v>
      </c>
      <c r="AP71" s="100">
        <f>H71*(1-0.723184646223634)</f>
        <v>0</v>
      </c>
      <c r="AQ71" s="111" t="s">
        <v>7</v>
      </c>
      <c r="AV71" s="100">
        <f t="shared" si="58"/>
        <v>0</v>
      </c>
      <c r="AW71" s="100">
        <f t="shared" si="59"/>
        <v>0</v>
      </c>
      <c r="AX71" s="100">
        <f t="shared" si="60"/>
        <v>0</v>
      </c>
      <c r="AY71" s="110" t="s">
        <v>1693</v>
      </c>
      <c r="AZ71" s="110" t="s">
        <v>1728</v>
      </c>
      <c r="BA71" s="109" t="s">
        <v>1737</v>
      </c>
      <c r="BC71" s="100">
        <f t="shared" si="61"/>
        <v>0</v>
      </c>
      <c r="BD71" s="100">
        <f t="shared" si="62"/>
        <v>0</v>
      </c>
      <c r="BE71" s="100">
        <v>0</v>
      </c>
      <c r="BF71" s="100">
        <f>71</f>
        <v>71</v>
      </c>
      <c r="BH71" s="108">
        <f t="shared" si="63"/>
        <v>0</v>
      </c>
      <c r="BI71" s="108">
        <f t="shared" si="64"/>
        <v>0</v>
      </c>
      <c r="BJ71" s="108">
        <f t="shared" si="65"/>
        <v>0</v>
      </c>
    </row>
    <row r="72" spans="1:62" x14ac:dyDescent="0.2">
      <c r="A72" s="117" t="s">
        <v>52</v>
      </c>
      <c r="B72" s="117" t="s">
        <v>612</v>
      </c>
      <c r="C72" s="304" t="s">
        <v>1110</v>
      </c>
      <c r="D72" s="305"/>
      <c r="E72" s="305"/>
      <c r="F72" s="117" t="s">
        <v>1645</v>
      </c>
      <c r="G72" s="116">
        <v>108.25700000000001</v>
      </c>
      <c r="H72" s="159"/>
      <c r="I72" s="108">
        <f t="shared" si="44"/>
        <v>0</v>
      </c>
      <c r="J72" s="108">
        <f t="shared" si="45"/>
        <v>0</v>
      </c>
      <c r="K72" s="108">
        <f t="shared" si="46"/>
        <v>0</v>
      </c>
      <c r="L72" s="111" t="s">
        <v>1671</v>
      </c>
      <c r="Z72" s="100">
        <f t="shared" si="47"/>
        <v>0</v>
      </c>
      <c r="AB72" s="100">
        <f t="shared" si="48"/>
        <v>0</v>
      </c>
      <c r="AC72" s="100">
        <f t="shared" si="49"/>
        <v>0</v>
      </c>
      <c r="AD72" s="100">
        <f t="shared" si="50"/>
        <v>0</v>
      </c>
      <c r="AE72" s="100">
        <f t="shared" si="51"/>
        <v>0</v>
      </c>
      <c r="AF72" s="100">
        <f t="shared" si="52"/>
        <v>0</v>
      </c>
      <c r="AG72" s="100">
        <f t="shared" si="53"/>
        <v>0</v>
      </c>
      <c r="AH72" s="100">
        <f t="shared" si="54"/>
        <v>0</v>
      </c>
      <c r="AI72" s="109"/>
      <c r="AJ72" s="108">
        <f t="shared" si="55"/>
        <v>0</v>
      </c>
      <c r="AK72" s="108">
        <f t="shared" si="56"/>
        <v>0</v>
      </c>
      <c r="AL72" s="108">
        <f t="shared" si="57"/>
        <v>0</v>
      </c>
      <c r="AN72" s="100">
        <v>15</v>
      </c>
      <c r="AO72" s="100">
        <f>H72*0.580357810394608</f>
        <v>0</v>
      </c>
      <c r="AP72" s="100">
        <f>H72*(1-0.580357810394608)</f>
        <v>0</v>
      </c>
      <c r="AQ72" s="111" t="s">
        <v>7</v>
      </c>
      <c r="AV72" s="100">
        <f t="shared" si="58"/>
        <v>0</v>
      </c>
      <c r="AW72" s="100">
        <f t="shared" si="59"/>
        <v>0</v>
      </c>
      <c r="AX72" s="100">
        <f t="shared" si="60"/>
        <v>0</v>
      </c>
      <c r="AY72" s="110" t="s">
        <v>1693</v>
      </c>
      <c r="AZ72" s="110" t="s">
        <v>1728</v>
      </c>
      <c r="BA72" s="109" t="s">
        <v>1737</v>
      </c>
      <c r="BC72" s="100">
        <f t="shared" si="61"/>
        <v>0</v>
      </c>
      <c r="BD72" s="100">
        <f t="shared" si="62"/>
        <v>0</v>
      </c>
      <c r="BE72" s="100">
        <v>0</v>
      </c>
      <c r="BF72" s="100">
        <f>72</f>
        <v>72</v>
      </c>
      <c r="BH72" s="108">
        <f t="shared" si="63"/>
        <v>0</v>
      </c>
      <c r="BI72" s="108">
        <f t="shared" si="64"/>
        <v>0</v>
      </c>
      <c r="BJ72" s="108">
        <f t="shared" si="65"/>
        <v>0</v>
      </c>
    </row>
    <row r="73" spans="1:62" ht="12.75" customHeight="1" x14ac:dyDescent="0.2">
      <c r="B73" s="125" t="s">
        <v>613</v>
      </c>
      <c r="C73" s="164" t="s">
        <v>1111</v>
      </c>
      <c r="D73" s="158"/>
      <c r="E73" s="158"/>
      <c r="F73" s="158"/>
      <c r="G73" s="158"/>
      <c r="H73" s="158"/>
      <c r="I73" s="158"/>
      <c r="J73" s="158"/>
      <c r="K73" s="158"/>
      <c r="L73" s="158"/>
    </row>
    <row r="74" spans="1:62" x14ac:dyDescent="0.2">
      <c r="A74" s="117" t="s">
        <v>53</v>
      </c>
      <c r="B74" s="117" t="s">
        <v>614</v>
      </c>
      <c r="C74" s="304" t="s">
        <v>1112</v>
      </c>
      <c r="D74" s="305"/>
      <c r="E74" s="305"/>
      <c r="F74" s="117" t="s">
        <v>1645</v>
      </c>
      <c r="G74" s="116">
        <v>67.39</v>
      </c>
      <c r="H74" s="159"/>
      <c r="I74" s="108">
        <f>G74*AO74</f>
        <v>0</v>
      </c>
      <c r="J74" s="108">
        <f>G74*AP74</f>
        <v>0</v>
      </c>
      <c r="K74" s="108">
        <f>G74*H74</f>
        <v>0</v>
      </c>
      <c r="L74" s="111" t="s">
        <v>1671</v>
      </c>
      <c r="Z74" s="100">
        <f>IF(AQ74="5",BJ74,0)</f>
        <v>0</v>
      </c>
      <c r="AB74" s="100">
        <f>IF(AQ74="1",BH74,0)</f>
        <v>0</v>
      </c>
      <c r="AC74" s="100">
        <f>IF(AQ74="1",BI74,0)</f>
        <v>0</v>
      </c>
      <c r="AD74" s="100">
        <f>IF(AQ74="7",BH74,0)</f>
        <v>0</v>
      </c>
      <c r="AE74" s="100">
        <f>IF(AQ74="7",BI74,0)</f>
        <v>0</v>
      </c>
      <c r="AF74" s="100">
        <f>IF(AQ74="2",BH74,0)</f>
        <v>0</v>
      </c>
      <c r="AG74" s="100">
        <f>IF(AQ74="2",BI74,0)</f>
        <v>0</v>
      </c>
      <c r="AH74" s="100">
        <f>IF(AQ74="0",BJ74,0)</f>
        <v>0</v>
      </c>
      <c r="AI74" s="109"/>
      <c r="AJ74" s="108">
        <f>IF(AN74=0,K74,0)</f>
        <v>0</v>
      </c>
      <c r="AK74" s="108">
        <f>IF(AN74=15,K74,0)</f>
        <v>0</v>
      </c>
      <c r="AL74" s="108">
        <f>IF(AN74=21,K74,0)</f>
        <v>0</v>
      </c>
      <c r="AN74" s="100">
        <v>15</v>
      </c>
      <c r="AO74" s="100">
        <f>H74*0.659033041788144</f>
        <v>0</v>
      </c>
      <c r="AP74" s="100">
        <f>H74*(1-0.659033041788144)</f>
        <v>0</v>
      </c>
      <c r="AQ74" s="111" t="s">
        <v>7</v>
      </c>
      <c r="AV74" s="100">
        <f>AW74+AX74</f>
        <v>0</v>
      </c>
      <c r="AW74" s="100">
        <f>G74*AO74</f>
        <v>0</v>
      </c>
      <c r="AX74" s="100">
        <f>G74*AP74</f>
        <v>0</v>
      </c>
      <c r="AY74" s="110" t="s">
        <v>1693</v>
      </c>
      <c r="AZ74" s="110" t="s">
        <v>1728</v>
      </c>
      <c r="BA74" s="109" t="s">
        <v>1737</v>
      </c>
      <c r="BC74" s="100">
        <f>AW74+AX74</f>
        <v>0</v>
      </c>
      <c r="BD74" s="100">
        <f>H74/(100-BE74)*100</f>
        <v>0</v>
      </c>
      <c r="BE74" s="100">
        <v>0</v>
      </c>
      <c r="BF74" s="100">
        <f>74</f>
        <v>74</v>
      </c>
      <c r="BH74" s="108">
        <f>G74*AO74</f>
        <v>0</v>
      </c>
      <c r="BI74" s="108">
        <f>G74*AP74</f>
        <v>0</v>
      </c>
      <c r="BJ74" s="108">
        <f>G74*H74</f>
        <v>0</v>
      </c>
    </row>
    <row r="75" spans="1:62" ht="12.75" customHeight="1" x14ac:dyDescent="0.2">
      <c r="B75" s="125" t="s">
        <v>613</v>
      </c>
      <c r="C75" s="164" t="s">
        <v>1113</v>
      </c>
      <c r="D75" s="158"/>
      <c r="E75" s="158"/>
      <c r="F75" s="158"/>
      <c r="G75" s="158"/>
      <c r="H75" s="158"/>
      <c r="I75" s="158"/>
      <c r="J75" s="158"/>
      <c r="K75" s="158"/>
      <c r="L75" s="158"/>
    </row>
    <row r="76" spans="1:62" x14ac:dyDescent="0.2">
      <c r="A76" s="117" t="s">
        <v>54</v>
      </c>
      <c r="B76" s="117" t="s">
        <v>615</v>
      </c>
      <c r="C76" s="304" t="s">
        <v>1114</v>
      </c>
      <c r="D76" s="305"/>
      <c r="E76" s="305"/>
      <c r="F76" s="117" t="s">
        <v>1645</v>
      </c>
      <c r="G76" s="116">
        <v>479.11200000000002</v>
      </c>
      <c r="H76" s="159"/>
      <c r="I76" s="108">
        <f>G76*AO76</f>
        <v>0</v>
      </c>
      <c r="J76" s="108">
        <f>G76*AP76</f>
        <v>0</v>
      </c>
      <c r="K76" s="108">
        <f>G76*H76</f>
        <v>0</v>
      </c>
      <c r="L76" s="111" t="s">
        <v>1671</v>
      </c>
      <c r="Z76" s="100">
        <f>IF(AQ76="5",BJ76,0)</f>
        <v>0</v>
      </c>
      <c r="AB76" s="100">
        <f>IF(AQ76="1",BH76,0)</f>
        <v>0</v>
      </c>
      <c r="AC76" s="100">
        <f>IF(AQ76="1",BI76,0)</f>
        <v>0</v>
      </c>
      <c r="AD76" s="100">
        <f>IF(AQ76="7",BH76,0)</f>
        <v>0</v>
      </c>
      <c r="AE76" s="100">
        <f>IF(AQ76="7",BI76,0)</f>
        <v>0</v>
      </c>
      <c r="AF76" s="100">
        <f>IF(AQ76="2",BH76,0)</f>
        <v>0</v>
      </c>
      <c r="AG76" s="100">
        <f>IF(AQ76="2",BI76,0)</f>
        <v>0</v>
      </c>
      <c r="AH76" s="100">
        <f>IF(AQ76="0",BJ76,0)</f>
        <v>0</v>
      </c>
      <c r="AI76" s="109"/>
      <c r="AJ76" s="108">
        <f>IF(AN76=0,K76,0)</f>
        <v>0</v>
      </c>
      <c r="AK76" s="108">
        <f>IF(AN76=15,K76,0)</f>
        <v>0</v>
      </c>
      <c r="AL76" s="108">
        <f>IF(AN76=21,K76,0)</f>
        <v>0</v>
      </c>
      <c r="AN76" s="100">
        <v>15</v>
      </c>
      <c r="AO76" s="100">
        <f>H76*0.695718875502008</f>
        <v>0</v>
      </c>
      <c r="AP76" s="100">
        <f>H76*(1-0.695718875502008)</f>
        <v>0</v>
      </c>
      <c r="AQ76" s="111" t="s">
        <v>7</v>
      </c>
      <c r="AV76" s="100">
        <f>AW76+AX76</f>
        <v>0</v>
      </c>
      <c r="AW76" s="100">
        <f>G76*AO76</f>
        <v>0</v>
      </c>
      <c r="AX76" s="100">
        <f>G76*AP76</f>
        <v>0</v>
      </c>
      <c r="AY76" s="110" t="s">
        <v>1693</v>
      </c>
      <c r="AZ76" s="110" t="s">
        <v>1728</v>
      </c>
      <c r="BA76" s="109" t="s">
        <v>1737</v>
      </c>
      <c r="BC76" s="100">
        <f>AW76+AX76</f>
        <v>0</v>
      </c>
      <c r="BD76" s="100">
        <f>H76/(100-BE76)*100</f>
        <v>0</v>
      </c>
      <c r="BE76" s="100">
        <v>0</v>
      </c>
      <c r="BF76" s="100">
        <f>76</f>
        <v>76</v>
      </c>
      <c r="BH76" s="108">
        <f>G76*AO76</f>
        <v>0</v>
      </c>
      <c r="BI76" s="108">
        <f>G76*AP76</f>
        <v>0</v>
      </c>
      <c r="BJ76" s="108">
        <f>G76*H76</f>
        <v>0</v>
      </c>
    </row>
    <row r="77" spans="1:62" x14ac:dyDescent="0.2">
      <c r="B77" s="125" t="s">
        <v>613</v>
      </c>
      <c r="C77" s="164" t="s">
        <v>1115</v>
      </c>
      <c r="D77" s="158"/>
      <c r="E77" s="158"/>
      <c r="F77" s="158"/>
      <c r="G77" s="158"/>
      <c r="H77" s="158"/>
      <c r="I77" s="158"/>
      <c r="J77" s="158"/>
      <c r="K77" s="158"/>
      <c r="L77" s="158"/>
    </row>
    <row r="78" spans="1:62" x14ac:dyDescent="0.2">
      <c r="A78" s="117" t="s">
        <v>55</v>
      </c>
      <c r="B78" s="117" t="s">
        <v>616</v>
      </c>
      <c r="C78" s="304" t="s">
        <v>1116</v>
      </c>
      <c r="D78" s="305"/>
      <c r="E78" s="305"/>
      <c r="F78" s="117" t="s">
        <v>1645</v>
      </c>
      <c r="G78" s="116">
        <v>50.844000000000001</v>
      </c>
      <c r="H78" s="159"/>
      <c r="I78" s="108">
        <f>G78*AO78</f>
        <v>0</v>
      </c>
      <c r="J78" s="108">
        <f>G78*AP78</f>
        <v>0</v>
      </c>
      <c r="K78" s="108">
        <f>G78*H78</f>
        <v>0</v>
      </c>
      <c r="L78" s="111" t="s">
        <v>1671</v>
      </c>
      <c r="Z78" s="100">
        <f>IF(AQ78="5",BJ78,0)</f>
        <v>0</v>
      </c>
      <c r="AB78" s="100">
        <f>IF(AQ78="1",BH78,0)</f>
        <v>0</v>
      </c>
      <c r="AC78" s="100">
        <f>IF(AQ78="1",BI78,0)</f>
        <v>0</v>
      </c>
      <c r="AD78" s="100">
        <f>IF(AQ78="7",BH78,0)</f>
        <v>0</v>
      </c>
      <c r="AE78" s="100">
        <f>IF(AQ78="7",BI78,0)</f>
        <v>0</v>
      </c>
      <c r="AF78" s="100">
        <f>IF(AQ78="2",BH78,0)</f>
        <v>0</v>
      </c>
      <c r="AG78" s="100">
        <f>IF(AQ78="2",BI78,0)</f>
        <v>0</v>
      </c>
      <c r="AH78" s="100">
        <f>IF(AQ78="0",BJ78,0)</f>
        <v>0</v>
      </c>
      <c r="AI78" s="109"/>
      <c r="AJ78" s="108">
        <f>IF(AN78=0,K78,0)</f>
        <v>0</v>
      </c>
      <c r="AK78" s="108">
        <f>IF(AN78=15,K78,0)</f>
        <v>0</v>
      </c>
      <c r="AL78" s="108">
        <f>IF(AN78=21,K78,0)</f>
        <v>0</v>
      </c>
      <c r="AN78" s="100">
        <v>15</v>
      </c>
      <c r="AO78" s="100">
        <f>H78*0.355093424731702</f>
        <v>0</v>
      </c>
      <c r="AP78" s="100">
        <f>H78*(1-0.355093424731702)</f>
        <v>0</v>
      </c>
      <c r="AQ78" s="111" t="s">
        <v>7</v>
      </c>
      <c r="AV78" s="100">
        <f>AW78+AX78</f>
        <v>0</v>
      </c>
      <c r="AW78" s="100">
        <f>G78*AO78</f>
        <v>0</v>
      </c>
      <c r="AX78" s="100">
        <f>G78*AP78</f>
        <v>0</v>
      </c>
      <c r="AY78" s="110" t="s">
        <v>1693</v>
      </c>
      <c r="AZ78" s="110" t="s">
        <v>1728</v>
      </c>
      <c r="BA78" s="109" t="s">
        <v>1737</v>
      </c>
      <c r="BC78" s="100">
        <f>AW78+AX78</f>
        <v>0</v>
      </c>
      <c r="BD78" s="100">
        <f>H78/(100-BE78)*100</f>
        <v>0</v>
      </c>
      <c r="BE78" s="100">
        <v>0</v>
      </c>
      <c r="BF78" s="100">
        <f>78</f>
        <v>78</v>
      </c>
      <c r="BH78" s="108">
        <f>G78*AO78</f>
        <v>0</v>
      </c>
      <c r="BI78" s="108">
        <f>G78*AP78</f>
        <v>0</v>
      </c>
      <c r="BJ78" s="108">
        <f>G78*H78</f>
        <v>0</v>
      </c>
    </row>
    <row r="79" spans="1:62" x14ac:dyDescent="0.2">
      <c r="B79" s="125" t="s">
        <v>613</v>
      </c>
      <c r="C79" s="164" t="s">
        <v>1117</v>
      </c>
      <c r="D79" s="158"/>
      <c r="E79" s="158"/>
      <c r="F79" s="158"/>
      <c r="G79" s="158"/>
      <c r="H79" s="158"/>
      <c r="I79" s="158"/>
      <c r="J79" s="158"/>
      <c r="K79" s="158"/>
      <c r="L79" s="158"/>
    </row>
    <row r="80" spans="1:62" x14ac:dyDescent="0.2">
      <c r="A80" s="117" t="s">
        <v>56</v>
      </c>
      <c r="B80" s="117" t="s">
        <v>617</v>
      </c>
      <c r="C80" s="304" t="s">
        <v>1118</v>
      </c>
      <c r="D80" s="305"/>
      <c r="E80" s="305"/>
      <c r="F80" s="117" t="s">
        <v>1646</v>
      </c>
      <c r="G80" s="116">
        <v>65</v>
      </c>
      <c r="H80" s="159"/>
      <c r="I80" s="108">
        <f t="shared" ref="I80:I89" si="66">G80*AO80</f>
        <v>0</v>
      </c>
      <c r="J80" s="108">
        <f t="shared" ref="J80:J89" si="67">G80*AP80</f>
        <v>0</v>
      </c>
      <c r="K80" s="108">
        <f t="shared" ref="K80:K89" si="68">G80*H80</f>
        <v>0</v>
      </c>
      <c r="L80" s="111" t="s">
        <v>1671</v>
      </c>
      <c r="Z80" s="100">
        <f t="shared" ref="Z80:Z89" si="69">IF(AQ80="5",BJ80,0)</f>
        <v>0</v>
      </c>
      <c r="AB80" s="100">
        <f t="shared" ref="AB80:AB89" si="70">IF(AQ80="1",BH80,0)</f>
        <v>0</v>
      </c>
      <c r="AC80" s="100">
        <f t="shared" ref="AC80:AC89" si="71">IF(AQ80="1",BI80,0)</f>
        <v>0</v>
      </c>
      <c r="AD80" s="100">
        <f t="shared" ref="AD80:AD89" si="72">IF(AQ80="7",BH80,0)</f>
        <v>0</v>
      </c>
      <c r="AE80" s="100">
        <f t="shared" ref="AE80:AE89" si="73">IF(AQ80="7",BI80,0)</f>
        <v>0</v>
      </c>
      <c r="AF80" s="100">
        <f t="shared" ref="AF80:AF89" si="74">IF(AQ80="2",BH80,0)</f>
        <v>0</v>
      </c>
      <c r="AG80" s="100">
        <f t="shared" ref="AG80:AG89" si="75">IF(AQ80="2",BI80,0)</f>
        <v>0</v>
      </c>
      <c r="AH80" s="100">
        <f t="shared" ref="AH80:AH89" si="76">IF(AQ80="0",BJ80,0)</f>
        <v>0</v>
      </c>
      <c r="AI80" s="109"/>
      <c r="AJ80" s="108">
        <f t="shared" ref="AJ80:AJ89" si="77">IF(AN80=0,K80,0)</f>
        <v>0</v>
      </c>
      <c r="AK80" s="108">
        <f t="shared" ref="AK80:AK89" si="78">IF(AN80=15,K80,0)</f>
        <v>0</v>
      </c>
      <c r="AL80" s="108">
        <f t="shared" ref="AL80:AL89" si="79">IF(AN80=21,K80,0)</f>
        <v>0</v>
      </c>
      <c r="AN80" s="100">
        <v>15</v>
      </c>
      <c r="AO80" s="100">
        <f>H80*0.314</f>
        <v>0</v>
      </c>
      <c r="AP80" s="100">
        <f>H80*(1-0.314)</f>
        <v>0</v>
      </c>
      <c r="AQ80" s="111" t="s">
        <v>7</v>
      </c>
      <c r="AV80" s="100">
        <f t="shared" ref="AV80:AV89" si="80">AW80+AX80</f>
        <v>0</v>
      </c>
      <c r="AW80" s="100">
        <f t="shared" ref="AW80:AW89" si="81">G80*AO80</f>
        <v>0</v>
      </c>
      <c r="AX80" s="100">
        <f t="shared" ref="AX80:AX89" si="82">G80*AP80</f>
        <v>0</v>
      </c>
      <c r="AY80" s="110" t="s">
        <v>1693</v>
      </c>
      <c r="AZ80" s="110" t="s">
        <v>1728</v>
      </c>
      <c r="BA80" s="109" t="s">
        <v>1737</v>
      </c>
      <c r="BC80" s="100">
        <f t="shared" ref="BC80:BC89" si="83">AW80+AX80</f>
        <v>0</v>
      </c>
      <c r="BD80" s="100">
        <f t="shared" ref="BD80:BD89" si="84">H80/(100-BE80)*100</f>
        <v>0</v>
      </c>
      <c r="BE80" s="100">
        <v>0</v>
      </c>
      <c r="BF80" s="100">
        <f>80</f>
        <v>80</v>
      </c>
      <c r="BH80" s="108">
        <f t="shared" ref="BH80:BH89" si="85">G80*AO80</f>
        <v>0</v>
      </c>
      <c r="BI80" s="108">
        <f t="shared" ref="BI80:BI89" si="86">G80*AP80</f>
        <v>0</v>
      </c>
      <c r="BJ80" s="108">
        <f t="shared" ref="BJ80:BJ89" si="87">G80*H80</f>
        <v>0</v>
      </c>
    </row>
    <row r="81" spans="1:62" x14ac:dyDescent="0.2">
      <c r="A81" s="117" t="s">
        <v>57</v>
      </c>
      <c r="B81" s="117" t="s">
        <v>618</v>
      </c>
      <c r="C81" s="304" t="s">
        <v>1119</v>
      </c>
      <c r="D81" s="305"/>
      <c r="E81" s="305"/>
      <c r="F81" s="117" t="s">
        <v>1645</v>
      </c>
      <c r="G81" s="116">
        <v>705.60299999999995</v>
      </c>
      <c r="H81" s="159"/>
      <c r="I81" s="108">
        <f t="shared" si="66"/>
        <v>0</v>
      </c>
      <c r="J81" s="108">
        <f t="shared" si="67"/>
        <v>0</v>
      </c>
      <c r="K81" s="108">
        <f t="shared" si="68"/>
        <v>0</v>
      </c>
      <c r="L81" s="111" t="s">
        <v>1671</v>
      </c>
      <c r="Z81" s="100">
        <f t="shared" si="69"/>
        <v>0</v>
      </c>
      <c r="AB81" s="100">
        <f t="shared" si="70"/>
        <v>0</v>
      </c>
      <c r="AC81" s="100">
        <f t="shared" si="71"/>
        <v>0</v>
      </c>
      <c r="AD81" s="100">
        <f t="shared" si="72"/>
        <v>0</v>
      </c>
      <c r="AE81" s="100">
        <f t="shared" si="73"/>
        <v>0</v>
      </c>
      <c r="AF81" s="100">
        <f t="shared" si="74"/>
        <v>0</v>
      </c>
      <c r="AG81" s="100">
        <f t="shared" si="75"/>
        <v>0</v>
      </c>
      <c r="AH81" s="100">
        <f t="shared" si="76"/>
        <v>0</v>
      </c>
      <c r="AI81" s="109"/>
      <c r="AJ81" s="108">
        <f t="shared" si="77"/>
        <v>0</v>
      </c>
      <c r="AK81" s="108">
        <f t="shared" si="78"/>
        <v>0</v>
      </c>
      <c r="AL81" s="108">
        <f t="shared" si="79"/>
        <v>0</v>
      </c>
      <c r="AN81" s="100">
        <v>15</v>
      </c>
      <c r="AO81" s="100">
        <f>H81*0.321454504038711</f>
        <v>0</v>
      </c>
      <c r="AP81" s="100">
        <f>H81*(1-0.321454504038711)</f>
        <v>0</v>
      </c>
      <c r="AQ81" s="111" t="s">
        <v>7</v>
      </c>
      <c r="AV81" s="100">
        <f t="shared" si="80"/>
        <v>0</v>
      </c>
      <c r="AW81" s="100">
        <f t="shared" si="81"/>
        <v>0</v>
      </c>
      <c r="AX81" s="100">
        <f t="shared" si="82"/>
        <v>0</v>
      </c>
      <c r="AY81" s="110" t="s">
        <v>1693</v>
      </c>
      <c r="AZ81" s="110" t="s">
        <v>1728</v>
      </c>
      <c r="BA81" s="109" t="s">
        <v>1737</v>
      </c>
      <c r="BC81" s="100">
        <f t="shared" si="83"/>
        <v>0</v>
      </c>
      <c r="BD81" s="100">
        <f t="shared" si="84"/>
        <v>0</v>
      </c>
      <c r="BE81" s="100">
        <v>0</v>
      </c>
      <c r="BF81" s="100">
        <f>81</f>
        <v>81</v>
      </c>
      <c r="BH81" s="108">
        <f t="shared" si="85"/>
        <v>0</v>
      </c>
      <c r="BI81" s="108">
        <f t="shared" si="86"/>
        <v>0</v>
      </c>
      <c r="BJ81" s="108">
        <f t="shared" si="87"/>
        <v>0</v>
      </c>
    </row>
    <row r="82" spans="1:62" x14ac:dyDescent="0.2">
      <c r="A82" s="117" t="s">
        <v>58</v>
      </c>
      <c r="B82" s="117" t="s">
        <v>619</v>
      </c>
      <c r="C82" s="304" t="s">
        <v>1120</v>
      </c>
      <c r="D82" s="305"/>
      <c r="E82" s="305"/>
      <c r="F82" s="117" t="s">
        <v>1646</v>
      </c>
      <c r="G82" s="116">
        <v>202.8</v>
      </c>
      <c r="H82" s="159"/>
      <c r="I82" s="108">
        <f t="shared" si="66"/>
        <v>0</v>
      </c>
      <c r="J82" s="108">
        <f t="shared" si="67"/>
        <v>0</v>
      </c>
      <c r="K82" s="108">
        <f t="shared" si="68"/>
        <v>0</v>
      </c>
      <c r="L82" s="111" t="s">
        <v>1671</v>
      </c>
      <c r="Z82" s="100">
        <f t="shared" si="69"/>
        <v>0</v>
      </c>
      <c r="AB82" s="100">
        <f t="shared" si="70"/>
        <v>0</v>
      </c>
      <c r="AC82" s="100">
        <f t="shared" si="71"/>
        <v>0</v>
      </c>
      <c r="AD82" s="100">
        <f t="shared" si="72"/>
        <v>0</v>
      </c>
      <c r="AE82" s="100">
        <f t="shared" si="73"/>
        <v>0</v>
      </c>
      <c r="AF82" s="100">
        <f t="shared" si="74"/>
        <v>0</v>
      </c>
      <c r="AG82" s="100">
        <f t="shared" si="75"/>
        <v>0</v>
      </c>
      <c r="AH82" s="100">
        <f t="shared" si="76"/>
        <v>0</v>
      </c>
      <c r="AI82" s="109"/>
      <c r="AJ82" s="108">
        <f t="shared" si="77"/>
        <v>0</v>
      </c>
      <c r="AK82" s="108">
        <f t="shared" si="78"/>
        <v>0</v>
      </c>
      <c r="AL82" s="108">
        <f t="shared" si="79"/>
        <v>0</v>
      </c>
      <c r="AN82" s="100">
        <v>15</v>
      </c>
      <c r="AO82" s="100">
        <f>H82*0.240880106443885</f>
        <v>0</v>
      </c>
      <c r="AP82" s="100">
        <f>H82*(1-0.240880106443885)</f>
        <v>0</v>
      </c>
      <c r="AQ82" s="111" t="s">
        <v>7</v>
      </c>
      <c r="AV82" s="100">
        <f t="shared" si="80"/>
        <v>0</v>
      </c>
      <c r="AW82" s="100">
        <f t="shared" si="81"/>
        <v>0</v>
      </c>
      <c r="AX82" s="100">
        <f t="shared" si="82"/>
        <v>0</v>
      </c>
      <c r="AY82" s="110" t="s">
        <v>1693</v>
      </c>
      <c r="AZ82" s="110" t="s">
        <v>1728</v>
      </c>
      <c r="BA82" s="109" t="s">
        <v>1737</v>
      </c>
      <c r="BC82" s="100">
        <f t="shared" si="83"/>
        <v>0</v>
      </c>
      <c r="BD82" s="100">
        <f t="shared" si="84"/>
        <v>0</v>
      </c>
      <c r="BE82" s="100">
        <v>0</v>
      </c>
      <c r="BF82" s="100">
        <f>82</f>
        <v>82</v>
      </c>
      <c r="BH82" s="108">
        <f t="shared" si="85"/>
        <v>0</v>
      </c>
      <c r="BI82" s="108">
        <f t="shared" si="86"/>
        <v>0</v>
      </c>
      <c r="BJ82" s="108">
        <f t="shared" si="87"/>
        <v>0</v>
      </c>
    </row>
    <row r="83" spans="1:62" x14ac:dyDescent="0.2">
      <c r="A83" s="117" t="s">
        <v>59</v>
      </c>
      <c r="B83" s="117" t="s">
        <v>620</v>
      </c>
      <c r="C83" s="304" t="s">
        <v>1121</v>
      </c>
      <c r="D83" s="305"/>
      <c r="E83" s="305"/>
      <c r="F83" s="117" t="s">
        <v>1646</v>
      </c>
      <c r="G83" s="116">
        <v>65</v>
      </c>
      <c r="H83" s="159"/>
      <c r="I83" s="108">
        <f t="shared" si="66"/>
        <v>0</v>
      </c>
      <c r="J83" s="108">
        <f t="shared" si="67"/>
        <v>0</v>
      </c>
      <c r="K83" s="108">
        <f t="shared" si="68"/>
        <v>0</v>
      </c>
      <c r="L83" s="111" t="s">
        <v>1671</v>
      </c>
      <c r="Z83" s="100">
        <f t="shared" si="69"/>
        <v>0</v>
      </c>
      <c r="AB83" s="100">
        <f t="shared" si="70"/>
        <v>0</v>
      </c>
      <c r="AC83" s="100">
        <f t="shared" si="71"/>
        <v>0</v>
      </c>
      <c r="AD83" s="100">
        <f t="shared" si="72"/>
        <v>0</v>
      </c>
      <c r="AE83" s="100">
        <f t="shared" si="73"/>
        <v>0</v>
      </c>
      <c r="AF83" s="100">
        <f t="shared" si="74"/>
        <v>0</v>
      </c>
      <c r="AG83" s="100">
        <f t="shared" si="75"/>
        <v>0</v>
      </c>
      <c r="AH83" s="100">
        <f t="shared" si="76"/>
        <v>0</v>
      </c>
      <c r="AI83" s="109"/>
      <c r="AJ83" s="108">
        <f t="shared" si="77"/>
        <v>0</v>
      </c>
      <c r="AK83" s="108">
        <f t="shared" si="78"/>
        <v>0</v>
      </c>
      <c r="AL83" s="108">
        <f t="shared" si="79"/>
        <v>0</v>
      </c>
      <c r="AN83" s="100">
        <v>15</v>
      </c>
      <c r="AO83" s="100">
        <f>H83*0.25955902874686</f>
        <v>0</v>
      </c>
      <c r="AP83" s="100">
        <f>H83*(1-0.25955902874686)</f>
        <v>0</v>
      </c>
      <c r="AQ83" s="111" t="s">
        <v>7</v>
      </c>
      <c r="AV83" s="100">
        <f t="shared" si="80"/>
        <v>0</v>
      </c>
      <c r="AW83" s="100">
        <f t="shared" si="81"/>
        <v>0</v>
      </c>
      <c r="AX83" s="100">
        <f t="shared" si="82"/>
        <v>0</v>
      </c>
      <c r="AY83" s="110" t="s">
        <v>1693</v>
      </c>
      <c r="AZ83" s="110" t="s">
        <v>1728</v>
      </c>
      <c r="BA83" s="109" t="s">
        <v>1737</v>
      </c>
      <c r="BC83" s="100">
        <f t="shared" si="83"/>
        <v>0</v>
      </c>
      <c r="BD83" s="100">
        <f t="shared" si="84"/>
        <v>0</v>
      </c>
      <c r="BE83" s="100">
        <v>0</v>
      </c>
      <c r="BF83" s="100">
        <f>83</f>
        <v>83</v>
      </c>
      <c r="BH83" s="108">
        <f t="shared" si="85"/>
        <v>0</v>
      </c>
      <c r="BI83" s="108">
        <f t="shared" si="86"/>
        <v>0</v>
      </c>
      <c r="BJ83" s="108">
        <f t="shared" si="87"/>
        <v>0</v>
      </c>
    </row>
    <row r="84" spans="1:62" x14ac:dyDescent="0.2">
      <c r="A84" s="117" t="s">
        <v>60</v>
      </c>
      <c r="B84" s="117" t="s">
        <v>621</v>
      </c>
      <c r="C84" s="304" t="s">
        <v>1122</v>
      </c>
      <c r="D84" s="305"/>
      <c r="E84" s="305"/>
      <c r="F84" s="117" t="s">
        <v>1645</v>
      </c>
      <c r="G84" s="116">
        <v>108.25700000000001</v>
      </c>
      <c r="H84" s="159"/>
      <c r="I84" s="108">
        <f t="shared" si="66"/>
        <v>0</v>
      </c>
      <c r="J84" s="108">
        <f t="shared" si="67"/>
        <v>0</v>
      </c>
      <c r="K84" s="108">
        <f t="shared" si="68"/>
        <v>0</v>
      </c>
      <c r="L84" s="111" t="s">
        <v>1671</v>
      </c>
      <c r="Z84" s="100">
        <f t="shared" si="69"/>
        <v>0</v>
      </c>
      <c r="AB84" s="100">
        <f t="shared" si="70"/>
        <v>0</v>
      </c>
      <c r="AC84" s="100">
        <f t="shared" si="71"/>
        <v>0</v>
      </c>
      <c r="AD84" s="100">
        <f t="shared" si="72"/>
        <v>0</v>
      </c>
      <c r="AE84" s="100">
        <f t="shared" si="73"/>
        <v>0</v>
      </c>
      <c r="AF84" s="100">
        <f t="shared" si="74"/>
        <v>0</v>
      </c>
      <c r="AG84" s="100">
        <f t="shared" si="75"/>
        <v>0</v>
      </c>
      <c r="AH84" s="100">
        <f t="shared" si="76"/>
        <v>0</v>
      </c>
      <c r="AI84" s="109"/>
      <c r="AJ84" s="108">
        <f t="shared" si="77"/>
        <v>0</v>
      </c>
      <c r="AK84" s="108">
        <f t="shared" si="78"/>
        <v>0</v>
      </c>
      <c r="AL84" s="108">
        <f t="shared" si="79"/>
        <v>0</v>
      </c>
      <c r="AN84" s="100">
        <v>15</v>
      </c>
      <c r="AO84" s="100">
        <f>H84*0.476853748987807</f>
        <v>0</v>
      </c>
      <c r="AP84" s="100">
        <f>H84*(1-0.476853748987807)</f>
        <v>0</v>
      </c>
      <c r="AQ84" s="111" t="s">
        <v>7</v>
      </c>
      <c r="AV84" s="100">
        <f t="shared" si="80"/>
        <v>0</v>
      </c>
      <c r="AW84" s="100">
        <f t="shared" si="81"/>
        <v>0</v>
      </c>
      <c r="AX84" s="100">
        <f t="shared" si="82"/>
        <v>0</v>
      </c>
      <c r="AY84" s="110" t="s">
        <v>1693</v>
      </c>
      <c r="AZ84" s="110" t="s">
        <v>1728</v>
      </c>
      <c r="BA84" s="109" t="s">
        <v>1737</v>
      </c>
      <c r="BC84" s="100">
        <f t="shared" si="83"/>
        <v>0</v>
      </c>
      <c r="BD84" s="100">
        <f t="shared" si="84"/>
        <v>0</v>
      </c>
      <c r="BE84" s="100">
        <v>0</v>
      </c>
      <c r="BF84" s="100">
        <f>84</f>
        <v>84</v>
      </c>
      <c r="BH84" s="108">
        <f t="shared" si="85"/>
        <v>0</v>
      </c>
      <c r="BI84" s="108">
        <f t="shared" si="86"/>
        <v>0</v>
      </c>
      <c r="BJ84" s="108">
        <f t="shared" si="87"/>
        <v>0</v>
      </c>
    </row>
    <row r="85" spans="1:62" x14ac:dyDescent="0.2">
      <c r="A85" s="117" t="s">
        <v>61</v>
      </c>
      <c r="B85" s="117" t="s">
        <v>622</v>
      </c>
      <c r="C85" s="304" t="s">
        <v>1123</v>
      </c>
      <c r="D85" s="305"/>
      <c r="E85" s="305"/>
      <c r="F85" s="117" t="s">
        <v>1646</v>
      </c>
      <c r="G85" s="116">
        <v>202.8</v>
      </c>
      <c r="H85" s="159"/>
      <c r="I85" s="108">
        <f t="shared" si="66"/>
        <v>0</v>
      </c>
      <c r="J85" s="108">
        <f t="shared" si="67"/>
        <v>0</v>
      </c>
      <c r="K85" s="108">
        <f t="shared" si="68"/>
        <v>0</v>
      </c>
      <c r="L85" s="111" t="s">
        <v>1671</v>
      </c>
      <c r="Z85" s="100">
        <f t="shared" si="69"/>
        <v>0</v>
      </c>
      <c r="AB85" s="100">
        <f t="shared" si="70"/>
        <v>0</v>
      </c>
      <c r="AC85" s="100">
        <f t="shared" si="71"/>
        <v>0</v>
      </c>
      <c r="AD85" s="100">
        <f t="shared" si="72"/>
        <v>0</v>
      </c>
      <c r="AE85" s="100">
        <f t="shared" si="73"/>
        <v>0</v>
      </c>
      <c r="AF85" s="100">
        <f t="shared" si="74"/>
        <v>0</v>
      </c>
      <c r="AG85" s="100">
        <f t="shared" si="75"/>
        <v>0</v>
      </c>
      <c r="AH85" s="100">
        <f t="shared" si="76"/>
        <v>0</v>
      </c>
      <c r="AI85" s="109"/>
      <c r="AJ85" s="108">
        <f t="shared" si="77"/>
        <v>0</v>
      </c>
      <c r="AK85" s="108">
        <f t="shared" si="78"/>
        <v>0</v>
      </c>
      <c r="AL85" s="108">
        <f t="shared" si="79"/>
        <v>0</v>
      </c>
      <c r="AN85" s="100">
        <v>15</v>
      </c>
      <c r="AO85" s="100">
        <f>H85*0.413696060037524</f>
        <v>0</v>
      </c>
      <c r="AP85" s="100">
        <f>H85*(1-0.413696060037524)</f>
        <v>0</v>
      </c>
      <c r="AQ85" s="111" t="s">
        <v>7</v>
      </c>
      <c r="AV85" s="100">
        <f t="shared" si="80"/>
        <v>0</v>
      </c>
      <c r="AW85" s="100">
        <f t="shared" si="81"/>
        <v>0</v>
      </c>
      <c r="AX85" s="100">
        <f t="shared" si="82"/>
        <v>0</v>
      </c>
      <c r="AY85" s="110" t="s">
        <v>1693</v>
      </c>
      <c r="AZ85" s="110" t="s">
        <v>1728</v>
      </c>
      <c r="BA85" s="109" t="s">
        <v>1737</v>
      </c>
      <c r="BC85" s="100">
        <f t="shared" si="83"/>
        <v>0</v>
      </c>
      <c r="BD85" s="100">
        <f t="shared" si="84"/>
        <v>0</v>
      </c>
      <c r="BE85" s="100">
        <v>0</v>
      </c>
      <c r="BF85" s="100">
        <f>85</f>
        <v>85</v>
      </c>
      <c r="BH85" s="108">
        <f t="shared" si="85"/>
        <v>0</v>
      </c>
      <c r="BI85" s="108">
        <f t="shared" si="86"/>
        <v>0</v>
      </c>
      <c r="BJ85" s="108">
        <f t="shared" si="87"/>
        <v>0</v>
      </c>
    </row>
    <row r="86" spans="1:62" x14ac:dyDescent="0.2">
      <c r="A86" s="117" t="s">
        <v>62</v>
      </c>
      <c r="B86" s="117" t="s">
        <v>623</v>
      </c>
      <c r="C86" s="304" t="s">
        <v>2151</v>
      </c>
      <c r="D86" s="305"/>
      <c r="E86" s="305"/>
      <c r="F86" s="117" t="s">
        <v>1645</v>
      </c>
      <c r="G86" s="116">
        <v>705.60299999999995</v>
      </c>
      <c r="H86" s="159"/>
      <c r="I86" s="108">
        <f t="shared" si="66"/>
        <v>0</v>
      </c>
      <c r="J86" s="108">
        <f t="shared" si="67"/>
        <v>0</v>
      </c>
      <c r="K86" s="108">
        <f t="shared" si="68"/>
        <v>0</v>
      </c>
      <c r="L86" s="111" t="s">
        <v>1671</v>
      </c>
      <c r="Z86" s="100">
        <f t="shared" si="69"/>
        <v>0</v>
      </c>
      <c r="AB86" s="100">
        <f t="shared" si="70"/>
        <v>0</v>
      </c>
      <c r="AC86" s="100">
        <f t="shared" si="71"/>
        <v>0</v>
      </c>
      <c r="AD86" s="100">
        <f t="shared" si="72"/>
        <v>0</v>
      </c>
      <c r="AE86" s="100">
        <f t="shared" si="73"/>
        <v>0</v>
      </c>
      <c r="AF86" s="100">
        <f t="shared" si="74"/>
        <v>0</v>
      </c>
      <c r="AG86" s="100">
        <f t="shared" si="75"/>
        <v>0</v>
      </c>
      <c r="AH86" s="100">
        <f t="shared" si="76"/>
        <v>0</v>
      </c>
      <c r="AI86" s="109"/>
      <c r="AJ86" s="108">
        <f t="shared" si="77"/>
        <v>0</v>
      </c>
      <c r="AK86" s="108">
        <f t="shared" si="78"/>
        <v>0</v>
      </c>
      <c r="AL86" s="108">
        <f t="shared" si="79"/>
        <v>0</v>
      </c>
      <c r="AN86" s="100">
        <v>15</v>
      </c>
      <c r="AO86" s="100">
        <f>H86*0</f>
        <v>0</v>
      </c>
      <c r="AP86" s="100">
        <f>H86*(1-0)</f>
        <v>0</v>
      </c>
      <c r="AQ86" s="111" t="s">
        <v>7</v>
      </c>
      <c r="AV86" s="100">
        <f t="shared" si="80"/>
        <v>0</v>
      </c>
      <c r="AW86" s="100">
        <f t="shared" si="81"/>
        <v>0</v>
      </c>
      <c r="AX86" s="100">
        <f t="shared" si="82"/>
        <v>0</v>
      </c>
      <c r="AY86" s="110" t="s">
        <v>1693</v>
      </c>
      <c r="AZ86" s="110" t="s">
        <v>1728</v>
      </c>
      <c r="BA86" s="109" t="s">
        <v>1737</v>
      </c>
      <c r="BC86" s="100">
        <f t="shared" si="83"/>
        <v>0</v>
      </c>
      <c r="BD86" s="100">
        <f t="shared" si="84"/>
        <v>0</v>
      </c>
      <c r="BE86" s="100">
        <v>0</v>
      </c>
      <c r="BF86" s="100">
        <f>86</f>
        <v>86</v>
      </c>
      <c r="BH86" s="108">
        <f t="shared" si="85"/>
        <v>0</v>
      </c>
      <c r="BI86" s="108">
        <f t="shared" si="86"/>
        <v>0</v>
      </c>
      <c r="BJ86" s="108">
        <f t="shared" si="87"/>
        <v>0</v>
      </c>
    </row>
    <row r="87" spans="1:62" x14ac:dyDescent="0.2">
      <c r="A87" s="117" t="s">
        <v>63</v>
      </c>
      <c r="B87" s="117" t="s">
        <v>624</v>
      </c>
      <c r="C87" s="304" t="s">
        <v>2150</v>
      </c>
      <c r="D87" s="305"/>
      <c r="E87" s="305"/>
      <c r="F87" s="117" t="s">
        <v>1645</v>
      </c>
      <c r="G87" s="116">
        <v>705.60299999999995</v>
      </c>
      <c r="H87" s="159"/>
      <c r="I87" s="108">
        <f t="shared" si="66"/>
        <v>0</v>
      </c>
      <c r="J87" s="108">
        <f t="shared" si="67"/>
        <v>0</v>
      </c>
      <c r="K87" s="108">
        <f t="shared" si="68"/>
        <v>0</v>
      </c>
      <c r="L87" s="111" t="s">
        <v>1671</v>
      </c>
      <c r="Z87" s="100">
        <f t="shared" si="69"/>
        <v>0</v>
      </c>
      <c r="AB87" s="100">
        <f t="shared" si="70"/>
        <v>0</v>
      </c>
      <c r="AC87" s="100">
        <f t="shared" si="71"/>
        <v>0</v>
      </c>
      <c r="AD87" s="100">
        <f t="shared" si="72"/>
        <v>0</v>
      </c>
      <c r="AE87" s="100">
        <f t="shared" si="73"/>
        <v>0</v>
      </c>
      <c r="AF87" s="100">
        <f t="shared" si="74"/>
        <v>0</v>
      </c>
      <c r="AG87" s="100">
        <f t="shared" si="75"/>
        <v>0</v>
      </c>
      <c r="AH87" s="100">
        <f t="shared" si="76"/>
        <v>0</v>
      </c>
      <c r="AI87" s="109"/>
      <c r="AJ87" s="108">
        <f t="shared" si="77"/>
        <v>0</v>
      </c>
      <c r="AK87" s="108">
        <f t="shared" si="78"/>
        <v>0</v>
      </c>
      <c r="AL87" s="108">
        <f t="shared" si="79"/>
        <v>0</v>
      </c>
      <c r="AN87" s="100">
        <v>15</v>
      </c>
      <c r="AO87" s="100">
        <f>H87*0.0655405367748978</f>
        <v>0</v>
      </c>
      <c r="AP87" s="100">
        <f>H87*(1-0.0655405367748978)</f>
        <v>0</v>
      </c>
      <c r="AQ87" s="111" t="s">
        <v>7</v>
      </c>
      <c r="AV87" s="100">
        <f t="shared" si="80"/>
        <v>0</v>
      </c>
      <c r="AW87" s="100">
        <f t="shared" si="81"/>
        <v>0</v>
      </c>
      <c r="AX87" s="100">
        <f t="shared" si="82"/>
        <v>0</v>
      </c>
      <c r="AY87" s="110" t="s">
        <v>1693</v>
      </c>
      <c r="AZ87" s="110" t="s">
        <v>1728</v>
      </c>
      <c r="BA87" s="109" t="s">
        <v>1737</v>
      </c>
      <c r="BC87" s="100">
        <f t="shared" si="83"/>
        <v>0</v>
      </c>
      <c r="BD87" s="100">
        <f t="shared" si="84"/>
        <v>0</v>
      </c>
      <c r="BE87" s="100">
        <v>0</v>
      </c>
      <c r="BF87" s="100">
        <f>87</f>
        <v>87</v>
      </c>
      <c r="BH87" s="108">
        <f t="shared" si="85"/>
        <v>0</v>
      </c>
      <c r="BI87" s="108">
        <f t="shared" si="86"/>
        <v>0</v>
      </c>
      <c r="BJ87" s="108">
        <f t="shared" si="87"/>
        <v>0</v>
      </c>
    </row>
    <row r="88" spans="1:62" x14ac:dyDescent="0.2">
      <c r="A88" s="117" t="s">
        <v>64</v>
      </c>
      <c r="B88" s="117" t="s">
        <v>625</v>
      </c>
      <c r="C88" s="304" t="s">
        <v>2149</v>
      </c>
      <c r="D88" s="305"/>
      <c r="E88" s="305"/>
      <c r="F88" s="117" t="s">
        <v>1645</v>
      </c>
      <c r="G88" s="116">
        <v>352.80200000000002</v>
      </c>
      <c r="H88" s="159"/>
      <c r="I88" s="108">
        <f t="shared" si="66"/>
        <v>0</v>
      </c>
      <c r="J88" s="108">
        <f t="shared" si="67"/>
        <v>0</v>
      </c>
      <c r="K88" s="108">
        <f t="shared" si="68"/>
        <v>0</v>
      </c>
      <c r="L88" s="111" t="s">
        <v>1671</v>
      </c>
      <c r="Z88" s="100">
        <f t="shared" si="69"/>
        <v>0</v>
      </c>
      <c r="AB88" s="100">
        <f t="shared" si="70"/>
        <v>0</v>
      </c>
      <c r="AC88" s="100">
        <f t="shared" si="71"/>
        <v>0</v>
      </c>
      <c r="AD88" s="100">
        <f t="shared" si="72"/>
        <v>0</v>
      </c>
      <c r="AE88" s="100">
        <f t="shared" si="73"/>
        <v>0</v>
      </c>
      <c r="AF88" s="100">
        <f t="shared" si="74"/>
        <v>0</v>
      </c>
      <c r="AG88" s="100">
        <f t="shared" si="75"/>
        <v>0</v>
      </c>
      <c r="AH88" s="100">
        <f t="shared" si="76"/>
        <v>0</v>
      </c>
      <c r="AI88" s="109"/>
      <c r="AJ88" s="108">
        <f t="shared" si="77"/>
        <v>0</v>
      </c>
      <c r="AK88" s="108">
        <f t="shared" si="78"/>
        <v>0</v>
      </c>
      <c r="AL88" s="108">
        <f t="shared" si="79"/>
        <v>0</v>
      </c>
      <c r="AN88" s="100">
        <v>15</v>
      </c>
      <c r="AO88" s="100">
        <f>H88*0</f>
        <v>0</v>
      </c>
      <c r="AP88" s="100">
        <f>H88*(1-0)</f>
        <v>0</v>
      </c>
      <c r="AQ88" s="111" t="s">
        <v>7</v>
      </c>
      <c r="AV88" s="100">
        <f t="shared" si="80"/>
        <v>0</v>
      </c>
      <c r="AW88" s="100">
        <f t="shared" si="81"/>
        <v>0</v>
      </c>
      <c r="AX88" s="100">
        <f t="shared" si="82"/>
        <v>0</v>
      </c>
      <c r="AY88" s="110" t="s">
        <v>1693</v>
      </c>
      <c r="AZ88" s="110" t="s">
        <v>1728</v>
      </c>
      <c r="BA88" s="109" t="s">
        <v>1737</v>
      </c>
      <c r="BC88" s="100">
        <f t="shared" si="83"/>
        <v>0</v>
      </c>
      <c r="BD88" s="100">
        <f t="shared" si="84"/>
        <v>0</v>
      </c>
      <c r="BE88" s="100">
        <v>0</v>
      </c>
      <c r="BF88" s="100">
        <f>88</f>
        <v>88</v>
      </c>
      <c r="BH88" s="108">
        <f t="shared" si="85"/>
        <v>0</v>
      </c>
      <c r="BI88" s="108">
        <f t="shared" si="86"/>
        <v>0</v>
      </c>
      <c r="BJ88" s="108">
        <f t="shared" si="87"/>
        <v>0</v>
      </c>
    </row>
    <row r="89" spans="1:62" x14ac:dyDescent="0.2">
      <c r="A89" s="117" t="s">
        <v>65</v>
      </c>
      <c r="B89" s="117" t="s">
        <v>626</v>
      </c>
      <c r="C89" s="304" t="s">
        <v>2148</v>
      </c>
      <c r="D89" s="305"/>
      <c r="E89" s="305"/>
      <c r="F89" s="117" t="s">
        <v>1645</v>
      </c>
      <c r="G89" s="116">
        <v>352.80200000000002</v>
      </c>
      <c r="H89" s="159"/>
      <c r="I89" s="108">
        <f t="shared" si="66"/>
        <v>0</v>
      </c>
      <c r="J89" s="108">
        <f t="shared" si="67"/>
        <v>0</v>
      </c>
      <c r="K89" s="108">
        <f t="shared" si="68"/>
        <v>0</v>
      </c>
      <c r="L89" s="111" t="s">
        <v>1671</v>
      </c>
      <c r="Z89" s="100">
        <f t="shared" si="69"/>
        <v>0</v>
      </c>
      <c r="AB89" s="100">
        <f t="shared" si="70"/>
        <v>0</v>
      </c>
      <c r="AC89" s="100">
        <f t="shared" si="71"/>
        <v>0</v>
      </c>
      <c r="AD89" s="100">
        <f t="shared" si="72"/>
        <v>0</v>
      </c>
      <c r="AE89" s="100">
        <f t="shared" si="73"/>
        <v>0</v>
      </c>
      <c r="AF89" s="100">
        <f t="shared" si="74"/>
        <v>0</v>
      </c>
      <c r="AG89" s="100">
        <f t="shared" si="75"/>
        <v>0</v>
      </c>
      <c r="AH89" s="100">
        <f t="shared" si="76"/>
        <v>0</v>
      </c>
      <c r="AI89" s="109"/>
      <c r="AJ89" s="108">
        <f t="shared" si="77"/>
        <v>0</v>
      </c>
      <c r="AK89" s="108">
        <f t="shared" si="78"/>
        <v>0</v>
      </c>
      <c r="AL89" s="108">
        <f t="shared" si="79"/>
        <v>0</v>
      </c>
      <c r="AN89" s="100">
        <v>15</v>
      </c>
      <c r="AO89" s="100">
        <f>H89*0.313660746037715</f>
        <v>0</v>
      </c>
      <c r="AP89" s="100">
        <f>H89*(1-0.313660746037715)</f>
        <v>0</v>
      </c>
      <c r="AQ89" s="111" t="s">
        <v>7</v>
      </c>
      <c r="AV89" s="100">
        <f t="shared" si="80"/>
        <v>0</v>
      </c>
      <c r="AW89" s="100">
        <f t="shared" si="81"/>
        <v>0</v>
      </c>
      <c r="AX89" s="100">
        <f t="shared" si="82"/>
        <v>0</v>
      </c>
      <c r="AY89" s="110" t="s">
        <v>1693</v>
      </c>
      <c r="AZ89" s="110" t="s">
        <v>1728</v>
      </c>
      <c r="BA89" s="109" t="s">
        <v>1737</v>
      </c>
      <c r="BC89" s="100">
        <f t="shared" si="83"/>
        <v>0</v>
      </c>
      <c r="BD89" s="100">
        <f t="shared" si="84"/>
        <v>0</v>
      </c>
      <c r="BE89" s="100">
        <v>0</v>
      </c>
      <c r="BF89" s="100">
        <f>89</f>
        <v>89</v>
      </c>
      <c r="BH89" s="108">
        <f t="shared" si="85"/>
        <v>0</v>
      </c>
      <c r="BI89" s="108">
        <f t="shared" si="86"/>
        <v>0</v>
      </c>
      <c r="BJ89" s="108">
        <f t="shared" si="87"/>
        <v>0</v>
      </c>
    </row>
    <row r="90" spans="1:62" x14ac:dyDescent="0.2">
      <c r="A90" s="119"/>
      <c r="B90" s="120" t="s">
        <v>69</v>
      </c>
      <c r="C90" s="306" t="s">
        <v>1128</v>
      </c>
      <c r="D90" s="307"/>
      <c r="E90" s="307"/>
      <c r="F90" s="119" t="s">
        <v>6</v>
      </c>
      <c r="G90" s="119" t="s">
        <v>6</v>
      </c>
      <c r="H90" s="119" t="s">
        <v>6</v>
      </c>
      <c r="I90" s="118">
        <f>SUM(I91:I91)</f>
        <v>0</v>
      </c>
      <c r="J90" s="118">
        <f>SUM(J91:J91)</f>
        <v>0</v>
      </c>
      <c r="K90" s="118">
        <f>SUM(K91:K91)</f>
        <v>0</v>
      </c>
      <c r="L90" s="109"/>
      <c r="AI90" s="109"/>
      <c r="AS90" s="118">
        <f>SUM(AJ91:AJ91)</f>
        <v>0</v>
      </c>
      <c r="AT90" s="118">
        <f>SUM(AK91:AK91)</f>
        <v>0</v>
      </c>
      <c r="AU90" s="118">
        <f>SUM(AL91:AL91)</f>
        <v>0</v>
      </c>
    </row>
    <row r="91" spans="1:62" x14ac:dyDescent="0.2">
      <c r="A91" s="117" t="s">
        <v>66</v>
      </c>
      <c r="B91" s="117" t="s">
        <v>627</v>
      </c>
      <c r="C91" s="304" t="s">
        <v>1129</v>
      </c>
      <c r="D91" s="305"/>
      <c r="E91" s="305"/>
      <c r="F91" s="117" t="s">
        <v>1645</v>
      </c>
      <c r="G91" s="116">
        <v>1</v>
      </c>
      <c r="H91" s="159"/>
      <c r="I91" s="108">
        <f>G91*AO91</f>
        <v>0</v>
      </c>
      <c r="J91" s="108">
        <f>G91*AP91</f>
        <v>0</v>
      </c>
      <c r="K91" s="108">
        <f>G91*H91</f>
        <v>0</v>
      </c>
      <c r="L91" s="111" t="s">
        <v>1671</v>
      </c>
      <c r="Z91" s="100">
        <f>IF(AQ91="5",BJ91,0)</f>
        <v>0</v>
      </c>
      <c r="AB91" s="100">
        <f>IF(AQ91="1",BH91,0)</f>
        <v>0</v>
      </c>
      <c r="AC91" s="100">
        <f>IF(AQ91="1",BI91,0)</f>
        <v>0</v>
      </c>
      <c r="AD91" s="100">
        <f>IF(AQ91="7",BH91,0)</f>
        <v>0</v>
      </c>
      <c r="AE91" s="100">
        <f>IF(AQ91="7",BI91,0)</f>
        <v>0</v>
      </c>
      <c r="AF91" s="100">
        <f>IF(AQ91="2",BH91,0)</f>
        <v>0</v>
      </c>
      <c r="AG91" s="100">
        <f>IF(AQ91="2",BI91,0)</f>
        <v>0</v>
      </c>
      <c r="AH91" s="100">
        <f>IF(AQ91="0",BJ91,0)</f>
        <v>0</v>
      </c>
      <c r="AI91" s="109"/>
      <c r="AJ91" s="108">
        <f>IF(AN91=0,K91,0)</f>
        <v>0</v>
      </c>
      <c r="AK91" s="108">
        <f>IF(AN91=15,K91,0)</f>
        <v>0</v>
      </c>
      <c r="AL91" s="108">
        <f>IF(AN91=21,K91,0)</f>
        <v>0</v>
      </c>
      <c r="AN91" s="100">
        <v>15</v>
      </c>
      <c r="AO91" s="100">
        <f>H91*0.523900523560209</f>
        <v>0</v>
      </c>
      <c r="AP91" s="100">
        <f>H91*(1-0.523900523560209)</f>
        <v>0</v>
      </c>
      <c r="AQ91" s="111" t="s">
        <v>7</v>
      </c>
      <c r="AV91" s="100">
        <f>AW91+AX91</f>
        <v>0</v>
      </c>
      <c r="AW91" s="100">
        <f>G91*AO91</f>
        <v>0</v>
      </c>
      <c r="AX91" s="100">
        <f>G91*AP91</f>
        <v>0</v>
      </c>
      <c r="AY91" s="110" t="s">
        <v>1694</v>
      </c>
      <c r="AZ91" s="110" t="s">
        <v>1728</v>
      </c>
      <c r="BA91" s="109" t="s">
        <v>1737</v>
      </c>
      <c r="BC91" s="100">
        <f>AW91+AX91</f>
        <v>0</v>
      </c>
      <c r="BD91" s="100">
        <f>H91/(100-BE91)*100</f>
        <v>0</v>
      </c>
      <c r="BE91" s="100">
        <v>0</v>
      </c>
      <c r="BF91" s="100">
        <f>91</f>
        <v>91</v>
      </c>
      <c r="BH91" s="108">
        <f>G91*AO91</f>
        <v>0</v>
      </c>
      <c r="BI91" s="108">
        <f>G91*AP91</f>
        <v>0</v>
      </c>
      <c r="BJ91" s="108">
        <f>G91*H91</f>
        <v>0</v>
      </c>
    </row>
    <row r="92" spans="1:62" x14ac:dyDescent="0.2">
      <c r="A92" s="119"/>
      <c r="B92" s="120" t="s">
        <v>89</v>
      </c>
      <c r="C92" s="306" t="s">
        <v>1130</v>
      </c>
      <c r="D92" s="307"/>
      <c r="E92" s="307"/>
      <c r="F92" s="119" t="s">
        <v>6</v>
      </c>
      <c r="G92" s="119" t="s">
        <v>6</v>
      </c>
      <c r="H92" s="119" t="s">
        <v>6</v>
      </c>
      <c r="I92" s="118">
        <f>SUM(I93:I94)</f>
        <v>0</v>
      </c>
      <c r="J92" s="118">
        <f>SUM(J93:J94)</f>
        <v>0</v>
      </c>
      <c r="K92" s="118">
        <f>SUM(K93:K94)</f>
        <v>0</v>
      </c>
      <c r="L92" s="109"/>
      <c r="AI92" s="109"/>
      <c r="AS92" s="118">
        <f>SUM(AJ93:AJ94)</f>
        <v>0</v>
      </c>
      <c r="AT92" s="118">
        <f>SUM(AK93:AK94)</f>
        <v>0</v>
      </c>
      <c r="AU92" s="118">
        <f>SUM(AL93:AL94)</f>
        <v>0</v>
      </c>
    </row>
    <row r="93" spans="1:62" x14ac:dyDescent="0.2">
      <c r="A93" s="117" t="s">
        <v>67</v>
      </c>
      <c r="B93" s="117" t="s">
        <v>628</v>
      </c>
      <c r="C93" s="304" t="s">
        <v>1131</v>
      </c>
      <c r="D93" s="305"/>
      <c r="E93" s="305"/>
      <c r="F93" s="117" t="s">
        <v>1644</v>
      </c>
      <c r="G93" s="116">
        <v>4</v>
      </c>
      <c r="H93" s="159"/>
      <c r="I93" s="108">
        <f>G93*AO93</f>
        <v>0</v>
      </c>
      <c r="J93" s="108">
        <f>G93*AP93</f>
        <v>0</v>
      </c>
      <c r="K93" s="108">
        <f>G93*H93</f>
        <v>0</v>
      </c>
      <c r="L93" s="111" t="s">
        <v>1671</v>
      </c>
      <c r="Z93" s="100">
        <f>IF(AQ93="5",BJ93,0)</f>
        <v>0</v>
      </c>
      <c r="AB93" s="100">
        <f>IF(AQ93="1",BH93,0)</f>
        <v>0</v>
      </c>
      <c r="AC93" s="100">
        <f>IF(AQ93="1",BI93,0)</f>
        <v>0</v>
      </c>
      <c r="AD93" s="100">
        <f>IF(AQ93="7",BH93,0)</f>
        <v>0</v>
      </c>
      <c r="AE93" s="100">
        <f>IF(AQ93="7",BI93,0)</f>
        <v>0</v>
      </c>
      <c r="AF93" s="100">
        <f>IF(AQ93="2",BH93,0)</f>
        <v>0</v>
      </c>
      <c r="AG93" s="100">
        <f>IF(AQ93="2",BI93,0)</f>
        <v>0</v>
      </c>
      <c r="AH93" s="100">
        <f>IF(AQ93="0",BJ93,0)</f>
        <v>0</v>
      </c>
      <c r="AI93" s="109"/>
      <c r="AJ93" s="108">
        <f>IF(AN93=0,K93,0)</f>
        <v>0</v>
      </c>
      <c r="AK93" s="108">
        <f>IF(AN93=15,K93,0)</f>
        <v>0</v>
      </c>
      <c r="AL93" s="108">
        <f>IF(AN93=21,K93,0)</f>
        <v>0</v>
      </c>
      <c r="AN93" s="100">
        <v>15</v>
      </c>
      <c r="AO93" s="100">
        <f>H93*0.915172602097089</f>
        <v>0</v>
      </c>
      <c r="AP93" s="100">
        <f>H93*(1-0.915172602097089)</f>
        <v>0</v>
      </c>
      <c r="AQ93" s="111" t="s">
        <v>7</v>
      </c>
      <c r="AV93" s="100">
        <f>AW93+AX93</f>
        <v>0</v>
      </c>
      <c r="AW93" s="100">
        <f>G93*AO93</f>
        <v>0</v>
      </c>
      <c r="AX93" s="100">
        <f>G93*AP93</f>
        <v>0</v>
      </c>
      <c r="AY93" s="110" t="s">
        <v>1695</v>
      </c>
      <c r="AZ93" s="110" t="s">
        <v>1729</v>
      </c>
      <c r="BA93" s="109" t="s">
        <v>1737</v>
      </c>
      <c r="BC93" s="100">
        <f>AW93+AX93</f>
        <v>0</v>
      </c>
      <c r="BD93" s="100">
        <f>H93/(100-BE93)*100</f>
        <v>0</v>
      </c>
      <c r="BE93" s="100">
        <v>0</v>
      </c>
      <c r="BF93" s="100">
        <f>93</f>
        <v>93</v>
      </c>
      <c r="BH93" s="108">
        <f>G93*AO93</f>
        <v>0</v>
      </c>
      <c r="BI93" s="108">
        <f>G93*AP93</f>
        <v>0</v>
      </c>
      <c r="BJ93" s="108">
        <f>G93*H93</f>
        <v>0</v>
      </c>
    </row>
    <row r="94" spans="1:62" x14ac:dyDescent="0.2">
      <c r="A94" s="117" t="s">
        <v>68</v>
      </c>
      <c r="B94" s="117" t="s">
        <v>629</v>
      </c>
      <c r="C94" s="304" t="s">
        <v>1132</v>
      </c>
      <c r="D94" s="305"/>
      <c r="E94" s="305"/>
      <c r="F94" s="117" t="s">
        <v>1646</v>
      </c>
      <c r="G94" s="116">
        <v>30</v>
      </c>
      <c r="H94" s="159"/>
      <c r="I94" s="108">
        <f>G94*AO94</f>
        <v>0</v>
      </c>
      <c r="J94" s="108">
        <f>G94*AP94</f>
        <v>0</v>
      </c>
      <c r="K94" s="108">
        <f>G94*H94</f>
        <v>0</v>
      </c>
      <c r="L94" s="111" t="s">
        <v>1671</v>
      </c>
      <c r="Z94" s="100">
        <f>IF(AQ94="5",BJ94,0)</f>
        <v>0</v>
      </c>
      <c r="AB94" s="100">
        <f>IF(AQ94="1",BH94,0)</f>
        <v>0</v>
      </c>
      <c r="AC94" s="100">
        <f>IF(AQ94="1",BI94,0)</f>
        <v>0</v>
      </c>
      <c r="AD94" s="100">
        <f>IF(AQ94="7",BH94,0)</f>
        <v>0</v>
      </c>
      <c r="AE94" s="100">
        <f>IF(AQ94="7",BI94,0)</f>
        <v>0</v>
      </c>
      <c r="AF94" s="100">
        <f>IF(AQ94="2",BH94,0)</f>
        <v>0</v>
      </c>
      <c r="AG94" s="100">
        <f>IF(AQ94="2",BI94,0)</f>
        <v>0</v>
      </c>
      <c r="AH94" s="100">
        <f>IF(AQ94="0",BJ94,0)</f>
        <v>0</v>
      </c>
      <c r="AI94" s="109"/>
      <c r="AJ94" s="108">
        <f>IF(AN94=0,K94,0)</f>
        <v>0</v>
      </c>
      <c r="AK94" s="108">
        <f>IF(AN94=15,K94,0)</f>
        <v>0</v>
      </c>
      <c r="AL94" s="108">
        <f>IF(AN94=21,K94,0)</f>
        <v>0</v>
      </c>
      <c r="AN94" s="100">
        <v>15</v>
      </c>
      <c r="AO94" s="100">
        <f>H94*0.343381518923828</f>
        <v>0</v>
      </c>
      <c r="AP94" s="100">
        <f>H94*(1-0.343381518923828)</f>
        <v>0</v>
      </c>
      <c r="AQ94" s="111" t="s">
        <v>7</v>
      </c>
      <c r="AV94" s="100">
        <f>AW94+AX94</f>
        <v>0</v>
      </c>
      <c r="AW94" s="100">
        <f>G94*AO94</f>
        <v>0</v>
      </c>
      <c r="AX94" s="100">
        <f>G94*AP94</f>
        <v>0</v>
      </c>
      <c r="AY94" s="110" t="s">
        <v>1695</v>
      </c>
      <c r="AZ94" s="110" t="s">
        <v>1729</v>
      </c>
      <c r="BA94" s="109" t="s">
        <v>1737</v>
      </c>
      <c r="BC94" s="100">
        <f>AW94+AX94</f>
        <v>0</v>
      </c>
      <c r="BD94" s="100">
        <f>H94/(100-BE94)*100</f>
        <v>0</v>
      </c>
      <c r="BE94" s="100">
        <v>0</v>
      </c>
      <c r="BF94" s="100">
        <f>94</f>
        <v>94</v>
      </c>
      <c r="BH94" s="108">
        <f>G94*AO94</f>
        <v>0</v>
      </c>
      <c r="BI94" s="108">
        <f>G94*AP94</f>
        <v>0</v>
      </c>
      <c r="BJ94" s="108">
        <f>G94*H94</f>
        <v>0</v>
      </c>
    </row>
    <row r="95" spans="1:62" x14ac:dyDescent="0.2">
      <c r="A95" s="119"/>
      <c r="B95" s="120" t="s">
        <v>95</v>
      </c>
      <c r="C95" s="306" t="s">
        <v>1133</v>
      </c>
      <c r="D95" s="307"/>
      <c r="E95" s="307"/>
      <c r="F95" s="119" t="s">
        <v>6</v>
      </c>
      <c r="G95" s="119" t="s">
        <v>6</v>
      </c>
      <c r="H95" s="119" t="s">
        <v>6</v>
      </c>
      <c r="I95" s="118">
        <f>SUM(I96:I97)</f>
        <v>0</v>
      </c>
      <c r="J95" s="118">
        <f>SUM(J96:J97)</f>
        <v>0</v>
      </c>
      <c r="K95" s="118">
        <f>SUM(K96:K97)</f>
        <v>0</v>
      </c>
      <c r="L95" s="109"/>
      <c r="AI95" s="109"/>
      <c r="AS95" s="118">
        <f>SUM(AJ96:AJ97)</f>
        <v>0</v>
      </c>
      <c r="AT95" s="118">
        <f>SUM(AK96:AK97)</f>
        <v>0</v>
      </c>
      <c r="AU95" s="118">
        <f>SUM(AL96:AL97)</f>
        <v>0</v>
      </c>
    </row>
    <row r="96" spans="1:62" x14ac:dyDescent="0.2">
      <c r="A96" s="117" t="s">
        <v>69</v>
      </c>
      <c r="B96" s="117" t="s">
        <v>630</v>
      </c>
      <c r="C96" s="304" t="s">
        <v>1134</v>
      </c>
      <c r="D96" s="305"/>
      <c r="E96" s="305"/>
      <c r="F96" s="117" t="s">
        <v>1644</v>
      </c>
      <c r="G96" s="116">
        <v>8</v>
      </c>
      <c r="H96" s="159"/>
      <c r="I96" s="108">
        <f>G96*AO96</f>
        <v>0</v>
      </c>
      <c r="J96" s="108">
        <f>G96*AP96</f>
        <v>0</v>
      </c>
      <c r="K96" s="108">
        <f>G96*H96</f>
        <v>0</v>
      </c>
      <c r="L96" s="111" t="s">
        <v>1671</v>
      </c>
      <c r="Z96" s="100">
        <f>IF(AQ96="5",BJ96,0)</f>
        <v>0</v>
      </c>
      <c r="AB96" s="100">
        <f>IF(AQ96="1",BH96,0)</f>
        <v>0</v>
      </c>
      <c r="AC96" s="100">
        <f>IF(AQ96="1",BI96,0)</f>
        <v>0</v>
      </c>
      <c r="AD96" s="100">
        <f>IF(AQ96="7",BH96,0)</f>
        <v>0</v>
      </c>
      <c r="AE96" s="100">
        <f>IF(AQ96="7",BI96,0)</f>
        <v>0</v>
      </c>
      <c r="AF96" s="100">
        <f>IF(AQ96="2",BH96,0)</f>
        <v>0</v>
      </c>
      <c r="AG96" s="100">
        <f>IF(AQ96="2",BI96,0)</f>
        <v>0</v>
      </c>
      <c r="AH96" s="100">
        <f>IF(AQ96="0",BJ96,0)</f>
        <v>0</v>
      </c>
      <c r="AI96" s="109"/>
      <c r="AJ96" s="108">
        <f>IF(AN96=0,K96,0)</f>
        <v>0</v>
      </c>
      <c r="AK96" s="108">
        <f>IF(AN96=15,K96,0)</f>
        <v>0</v>
      </c>
      <c r="AL96" s="108">
        <f>IF(AN96=21,K96,0)</f>
        <v>0</v>
      </c>
      <c r="AN96" s="100">
        <v>15</v>
      </c>
      <c r="AO96" s="100">
        <f>H96*0.904839880279376</f>
        <v>0</v>
      </c>
      <c r="AP96" s="100">
        <f>H96*(1-0.904839880279376)</f>
        <v>0</v>
      </c>
      <c r="AQ96" s="111" t="s">
        <v>7</v>
      </c>
      <c r="AV96" s="100">
        <f>AW96+AX96</f>
        <v>0</v>
      </c>
      <c r="AW96" s="100">
        <f>G96*AO96</f>
        <v>0</v>
      </c>
      <c r="AX96" s="100">
        <f>G96*AP96</f>
        <v>0</v>
      </c>
      <c r="AY96" s="110" t="s">
        <v>1696</v>
      </c>
      <c r="AZ96" s="110" t="s">
        <v>1729</v>
      </c>
      <c r="BA96" s="109" t="s">
        <v>1737</v>
      </c>
      <c r="BC96" s="100">
        <f>AW96+AX96</f>
        <v>0</v>
      </c>
      <c r="BD96" s="100">
        <f>H96/(100-BE96)*100</f>
        <v>0</v>
      </c>
      <c r="BE96" s="100">
        <v>0</v>
      </c>
      <c r="BF96" s="100">
        <f>96</f>
        <v>96</v>
      </c>
      <c r="BH96" s="108">
        <f>G96*AO96</f>
        <v>0</v>
      </c>
      <c r="BI96" s="108">
        <f>G96*AP96</f>
        <v>0</v>
      </c>
      <c r="BJ96" s="108">
        <f>G96*H96</f>
        <v>0</v>
      </c>
    </row>
    <row r="97" spans="1:62" x14ac:dyDescent="0.2">
      <c r="A97" s="117" t="s">
        <v>70</v>
      </c>
      <c r="B97" s="117" t="s">
        <v>631</v>
      </c>
      <c r="C97" s="304" t="s">
        <v>1135</v>
      </c>
      <c r="D97" s="305"/>
      <c r="E97" s="305"/>
      <c r="F97" s="117" t="s">
        <v>1644</v>
      </c>
      <c r="G97" s="116">
        <v>3</v>
      </c>
      <c r="H97" s="159"/>
      <c r="I97" s="108">
        <f>G97*AO97</f>
        <v>0</v>
      </c>
      <c r="J97" s="108">
        <f>G97*AP97</f>
        <v>0</v>
      </c>
      <c r="K97" s="108">
        <f>G97*H97</f>
        <v>0</v>
      </c>
      <c r="L97" s="111" t="s">
        <v>1671</v>
      </c>
      <c r="Z97" s="100">
        <f>IF(AQ97="5",BJ97,0)</f>
        <v>0</v>
      </c>
      <c r="AB97" s="100">
        <f>IF(AQ97="1",BH97,0)</f>
        <v>0</v>
      </c>
      <c r="AC97" s="100">
        <f>IF(AQ97="1",BI97,0)</f>
        <v>0</v>
      </c>
      <c r="AD97" s="100">
        <f>IF(AQ97="7",BH97,0)</f>
        <v>0</v>
      </c>
      <c r="AE97" s="100">
        <f>IF(AQ97="7",BI97,0)</f>
        <v>0</v>
      </c>
      <c r="AF97" s="100">
        <f>IF(AQ97="2",BH97,0)</f>
        <v>0</v>
      </c>
      <c r="AG97" s="100">
        <f>IF(AQ97="2",BI97,0)</f>
        <v>0</v>
      </c>
      <c r="AH97" s="100">
        <f>IF(AQ97="0",BJ97,0)</f>
        <v>0</v>
      </c>
      <c r="AI97" s="109"/>
      <c r="AJ97" s="108">
        <f>IF(AN97=0,K97,0)</f>
        <v>0</v>
      </c>
      <c r="AK97" s="108">
        <f>IF(AN97=15,K97,0)</f>
        <v>0</v>
      </c>
      <c r="AL97" s="108">
        <f>IF(AN97=21,K97,0)</f>
        <v>0</v>
      </c>
      <c r="AN97" s="100">
        <v>15</v>
      </c>
      <c r="AO97" s="100">
        <f>H97*0.964949325254751</f>
        <v>0</v>
      </c>
      <c r="AP97" s="100">
        <f>H97*(1-0.964949325254751)</f>
        <v>0</v>
      </c>
      <c r="AQ97" s="111" t="s">
        <v>7</v>
      </c>
      <c r="AV97" s="100">
        <f>AW97+AX97</f>
        <v>0</v>
      </c>
      <c r="AW97" s="100">
        <f>G97*AO97</f>
        <v>0</v>
      </c>
      <c r="AX97" s="100">
        <f>G97*AP97</f>
        <v>0</v>
      </c>
      <c r="AY97" s="110" t="s">
        <v>1696</v>
      </c>
      <c r="AZ97" s="110" t="s">
        <v>1729</v>
      </c>
      <c r="BA97" s="109" t="s">
        <v>1737</v>
      </c>
      <c r="BC97" s="100">
        <f>AW97+AX97</f>
        <v>0</v>
      </c>
      <c r="BD97" s="100">
        <f>H97/(100-BE97)*100</f>
        <v>0</v>
      </c>
      <c r="BE97" s="100">
        <v>0</v>
      </c>
      <c r="BF97" s="100">
        <f>97</f>
        <v>97</v>
      </c>
      <c r="BH97" s="108">
        <f>G97*AO97</f>
        <v>0</v>
      </c>
      <c r="BI97" s="108">
        <f>G97*AP97</f>
        <v>0</v>
      </c>
      <c r="BJ97" s="108">
        <f>G97*H97</f>
        <v>0</v>
      </c>
    </row>
    <row r="98" spans="1:62" x14ac:dyDescent="0.2">
      <c r="A98" s="119"/>
      <c r="B98" s="120" t="s">
        <v>97</v>
      </c>
      <c r="C98" s="306" t="s">
        <v>1136</v>
      </c>
      <c r="D98" s="307"/>
      <c r="E98" s="307"/>
      <c r="F98" s="119" t="s">
        <v>6</v>
      </c>
      <c r="G98" s="119" t="s">
        <v>6</v>
      </c>
      <c r="H98" s="119" t="s">
        <v>6</v>
      </c>
      <c r="I98" s="118">
        <f>SUM(I99:I101)</f>
        <v>0</v>
      </c>
      <c r="J98" s="118">
        <f>SUM(J99:J101)</f>
        <v>0</v>
      </c>
      <c r="K98" s="118">
        <f>SUM(K99:K101)</f>
        <v>0</v>
      </c>
      <c r="L98" s="109"/>
      <c r="AI98" s="109"/>
      <c r="AS98" s="118">
        <f>SUM(AJ99:AJ101)</f>
        <v>0</v>
      </c>
      <c r="AT98" s="118">
        <f>SUM(AK99:AK101)</f>
        <v>0</v>
      </c>
      <c r="AU98" s="118">
        <f>SUM(AL99:AL101)</f>
        <v>0</v>
      </c>
    </row>
    <row r="99" spans="1:62" x14ac:dyDescent="0.2">
      <c r="A99" s="117" t="s">
        <v>71</v>
      </c>
      <c r="B99" s="117" t="s">
        <v>632</v>
      </c>
      <c r="C99" s="304" t="s">
        <v>1137</v>
      </c>
      <c r="D99" s="305"/>
      <c r="E99" s="305"/>
      <c r="F99" s="117" t="s">
        <v>1646</v>
      </c>
      <c r="G99" s="116">
        <v>4</v>
      </c>
      <c r="H99" s="159"/>
      <c r="I99" s="108">
        <f>G99*AO99</f>
        <v>0</v>
      </c>
      <c r="J99" s="108">
        <f>G99*AP99</f>
        <v>0</v>
      </c>
      <c r="K99" s="108">
        <f>G99*H99</f>
        <v>0</v>
      </c>
      <c r="L99" s="111" t="s">
        <v>1671</v>
      </c>
      <c r="Z99" s="100">
        <f>IF(AQ99="5",BJ99,0)</f>
        <v>0</v>
      </c>
      <c r="AB99" s="100">
        <f>IF(AQ99="1",BH99,0)</f>
        <v>0</v>
      </c>
      <c r="AC99" s="100">
        <f>IF(AQ99="1",BI99,0)</f>
        <v>0</v>
      </c>
      <c r="AD99" s="100">
        <f>IF(AQ99="7",BH99,0)</f>
        <v>0</v>
      </c>
      <c r="AE99" s="100">
        <f>IF(AQ99="7",BI99,0)</f>
        <v>0</v>
      </c>
      <c r="AF99" s="100">
        <f>IF(AQ99="2",BH99,0)</f>
        <v>0</v>
      </c>
      <c r="AG99" s="100">
        <f>IF(AQ99="2",BI99,0)</f>
        <v>0</v>
      </c>
      <c r="AH99" s="100">
        <f>IF(AQ99="0",BJ99,0)</f>
        <v>0</v>
      </c>
      <c r="AI99" s="109"/>
      <c r="AJ99" s="108">
        <f>IF(AN99=0,K99,0)</f>
        <v>0</v>
      </c>
      <c r="AK99" s="108">
        <f>IF(AN99=15,K99,0)</f>
        <v>0</v>
      </c>
      <c r="AL99" s="108">
        <f>IF(AN99=21,K99,0)</f>
        <v>0</v>
      </c>
      <c r="AN99" s="100">
        <v>15</v>
      </c>
      <c r="AO99" s="100">
        <f>H99*0.72</f>
        <v>0</v>
      </c>
      <c r="AP99" s="100">
        <f>H99*(1-0.72)</f>
        <v>0</v>
      </c>
      <c r="AQ99" s="111" t="s">
        <v>7</v>
      </c>
      <c r="AV99" s="100">
        <f>AW99+AX99</f>
        <v>0</v>
      </c>
      <c r="AW99" s="100">
        <f>G99*AO99</f>
        <v>0</v>
      </c>
      <c r="AX99" s="100">
        <f>G99*AP99</f>
        <v>0</v>
      </c>
      <c r="AY99" s="110" t="s">
        <v>1697</v>
      </c>
      <c r="AZ99" s="110" t="s">
        <v>1730</v>
      </c>
      <c r="BA99" s="109" t="s">
        <v>1737</v>
      </c>
      <c r="BC99" s="100">
        <f>AW99+AX99</f>
        <v>0</v>
      </c>
      <c r="BD99" s="100">
        <f>H99/(100-BE99)*100</f>
        <v>0</v>
      </c>
      <c r="BE99" s="100">
        <v>0</v>
      </c>
      <c r="BF99" s="100">
        <f>99</f>
        <v>99</v>
      </c>
      <c r="BH99" s="108">
        <f>G99*AO99</f>
        <v>0</v>
      </c>
      <c r="BI99" s="108">
        <f>G99*AP99</f>
        <v>0</v>
      </c>
      <c r="BJ99" s="108">
        <f>G99*H99</f>
        <v>0</v>
      </c>
    </row>
    <row r="100" spans="1:62" x14ac:dyDescent="0.2">
      <c r="A100" s="117" t="s">
        <v>72</v>
      </c>
      <c r="B100" s="117" t="s">
        <v>633</v>
      </c>
      <c r="C100" s="304" t="s">
        <v>1138</v>
      </c>
      <c r="D100" s="305"/>
      <c r="E100" s="305"/>
      <c r="F100" s="117" t="s">
        <v>1647</v>
      </c>
      <c r="G100" s="116">
        <v>0.16200000000000001</v>
      </c>
      <c r="H100" s="159"/>
      <c r="I100" s="108">
        <f>G100*AO100</f>
        <v>0</v>
      </c>
      <c r="J100" s="108">
        <f>G100*AP100</f>
        <v>0</v>
      </c>
      <c r="K100" s="108">
        <f>G100*H100</f>
        <v>0</v>
      </c>
      <c r="L100" s="111" t="s">
        <v>1671</v>
      </c>
      <c r="Z100" s="100">
        <f>IF(AQ100="5",BJ100,0)</f>
        <v>0</v>
      </c>
      <c r="AB100" s="100">
        <f>IF(AQ100="1",BH100,0)</f>
        <v>0</v>
      </c>
      <c r="AC100" s="100">
        <f>IF(AQ100="1",BI100,0)</f>
        <v>0</v>
      </c>
      <c r="AD100" s="100">
        <f>IF(AQ100="7",BH100,0)</f>
        <v>0</v>
      </c>
      <c r="AE100" s="100">
        <f>IF(AQ100="7",BI100,0)</f>
        <v>0</v>
      </c>
      <c r="AF100" s="100">
        <f>IF(AQ100="2",BH100,0)</f>
        <v>0</v>
      </c>
      <c r="AG100" s="100">
        <f>IF(AQ100="2",BI100,0)</f>
        <v>0</v>
      </c>
      <c r="AH100" s="100">
        <f>IF(AQ100="0",BJ100,0)</f>
        <v>0</v>
      </c>
      <c r="AI100" s="109"/>
      <c r="AJ100" s="108">
        <f>IF(AN100=0,K100,0)</f>
        <v>0</v>
      </c>
      <c r="AK100" s="108">
        <f>IF(AN100=15,K100,0)</f>
        <v>0</v>
      </c>
      <c r="AL100" s="108">
        <f>IF(AN100=21,K100,0)</f>
        <v>0</v>
      </c>
      <c r="AN100" s="100">
        <v>15</v>
      </c>
      <c r="AO100" s="100">
        <f>H100*0.780343362831858</f>
        <v>0</v>
      </c>
      <c r="AP100" s="100">
        <f>H100*(1-0.780343362831858)</f>
        <v>0</v>
      </c>
      <c r="AQ100" s="111" t="s">
        <v>7</v>
      </c>
      <c r="AV100" s="100">
        <f>AW100+AX100</f>
        <v>0</v>
      </c>
      <c r="AW100" s="100">
        <f>G100*AO100</f>
        <v>0</v>
      </c>
      <c r="AX100" s="100">
        <f>G100*AP100</f>
        <v>0</v>
      </c>
      <c r="AY100" s="110" t="s">
        <v>1697</v>
      </c>
      <c r="AZ100" s="110" t="s">
        <v>1730</v>
      </c>
      <c r="BA100" s="109" t="s">
        <v>1737</v>
      </c>
      <c r="BC100" s="100">
        <f>AW100+AX100</f>
        <v>0</v>
      </c>
      <c r="BD100" s="100">
        <f>H100/(100-BE100)*100</f>
        <v>0</v>
      </c>
      <c r="BE100" s="100">
        <v>0</v>
      </c>
      <c r="BF100" s="100">
        <f>100</f>
        <v>100</v>
      </c>
      <c r="BH100" s="108">
        <f>G100*AO100</f>
        <v>0</v>
      </c>
      <c r="BI100" s="108">
        <f>G100*AP100</f>
        <v>0</v>
      </c>
      <c r="BJ100" s="108">
        <f>G100*H100</f>
        <v>0</v>
      </c>
    </row>
    <row r="101" spans="1:62" x14ac:dyDescent="0.2">
      <c r="A101" s="117" t="s">
        <v>73</v>
      </c>
      <c r="B101" s="117" t="s">
        <v>2147</v>
      </c>
      <c r="C101" s="304" t="s">
        <v>2146</v>
      </c>
      <c r="D101" s="305"/>
      <c r="E101" s="305"/>
      <c r="F101" s="117" t="s">
        <v>1646</v>
      </c>
      <c r="G101" s="116">
        <v>6.2</v>
      </c>
      <c r="H101" s="159"/>
      <c r="I101" s="108">
        <f>G101*AO101</f>
        <v>0</v>
      </c>
      <c r="J101" s="108">
        <f>G101*AP101</f>
        <v>0</v>
      </c>
      <c r="K101" s="108">
        <f>G101*H101</f>
        <v>0</v>
      </c>
      <c r="L101" s="111" t="s">
        <v>1671</v>
      </c>
      <c r="Z101" s="100">
        <f>IF(AQ101="5",BJ101,0)</f>
        <v>0</v>
      </c>
      <c r="AB101" s="100">
        <f>IF(AQ101="1",BH101,0)</f>
        <v>0</v>
      </c>
      <c r="AC101" s="100">
        <f>IF(AQ101="1",BI101,0)</f>
        <v>0</v>
      </c>
      <c r="AD101" s="100">
        <f>IF(AQ101="7",BH101,0)</f>
        <v>0</v>
      </c>
      <c r="AE101" s="100">
        <f>IF(AQ101="7",BI101,0)</f>
        <v>0</v>
      </c>
      <c r="AF101" s="100">
        <f>IF(AQ101="2",BH101,0)</f>
        <v>0</v>
      </c>
      <c r="AG101" s="100">
        <f>IF(AQ101="2",BI101,0)</f>
        <v>0</v>
      </c>
      <c r="AH101" s="100">
        <f>IF(AQ101="0",BJ101,0)</f>
        <v>0</v>
      </c>
      <c r="AI101" s="109"/>
      <c r="AJ101" s="108">
        <f>IF(AN101=0,K101,0)</f>
        <v>0</v>
      </c>
      <c r="AK101" s="108">
        <f>IF(AN101=15,K101,0)</f>
        <v>0</v>
      </c>
      <c r="AL101" s="108">
        <f>IF(AN101=21,K101,0)</f>
        <v>0</v>
      </c>
      <c r="AN101" s="100">
        <v>15</v>
      </c>
      <c r="AO101" s="100">
        <f>H101*0.506386861313869</f>
        <v>0</v>
      </c>
      <c r="AP101" s="100">
        <f>H101*(1-0.506386861313869)</f>
        <v>0</v>
      </c>
      <c r="AQ101" s="111" t="s">
        <v>7</v>
      </c>
      <c r="AV101" s="100">
        <f>AW101+AX101</f>
        <v>0</v>
      </c>
      <c r="AW101" s="100">
        <f>G101*AO101</f>
        <v>0</v>
      </c>
      <c r="AX101" s="100">
        <f>G101*AP101</f>
        <v>0</v>
      </c>
      <c r="AY101" s="110" t="s">
        <v>1697</v>
      </c>
      <c r="AZ101" s="110" t="s">
        <v>1730</v>
      </c>
      <c r="BA101" s="109" t="s">
        <v>1737</v>
      </c>
      <c r="BC101" s="100">
        <f>AW101+AX101</f>
        <v>0</v>
      </c>
      <c r="BD101" s="100">
        <f>H101/(100-BE101)*100</f>
        <v>0</v>
      </c>
      <c r="BE101" s="100">
        <v>0</v>
      </c>
      <c r="BF101" s="100">
        <f>101</f>
        <v>101</v>
      </c>
      <c r="BH101" s="108">
        <f>G101*AO101</f>
        <v>0</v>
      </c>
      <c r="BI101" s="108">
        <f>G101*AP101</f>
        <v>0</v>
      </c>
      <c r="BJ101" s="108">
        <f>G101*H101</f>
        <v>0</v>
      </c>
    </row>
    <row r="102" spans="1:62" x14ac:dyDescent="0.2">
      <c r="A102" s="119"/>
      <c r="B102" s="120" t="s">
        <v>100</v>
      </c>
      <c r="C102" s="306" t="s">
        <v>1139</v>
      </c>
      <c r="D102" s="307"/>
      <c r="E102" s="307"/>
      <c r="F102" s="119" t="s">
        <v>6</v>
      </c>
      <c r="G102" s="119" t="s">
        <v>6</v>
      </c>
      <c r="H102" s="119" t="s">
        <v>6</v>
      </c>
      <c r="I102" s="118">
        <f>SUM(I103:I109)</f>
        <v>0</v>
      </c>
      <c r="J102" s="118">
        <f>SUM(J103:J109)</f>
        <v>0</v>
      </c>
      <c r="K102" s="118">
        <f>SUM(K103:K109)</f>
        <v>0</v>
      </c>
      <c r="L102" s="109"/>
      <c r="AI102" s="109"/>
      <c r="AS102" s="118">
        <f>SUM(AJ103:AJ109)</f>
        <v>0</v>
      </c>
      <c r="AT102" s="118">
        <f>SUM(AK103:AK109)</f>
        <v>0</v>
      </c>
      <c r="AU102" s="118">
        <f>SUM(AL103:AL109)</f>
        <v>0</v>
      </c>
    </row>
    <row r="103" spans="1:62" x14ac:dyDescent="0.2">
      <c r="A103" s="117" t="s">
        <v>74</v>
      </c>
      <c r="B103" s="117" t="s">
        <v>634</v>
      </c>
      <c r="C103" s="304" t="s">
        <v>1140</v>
      </c>
      <c r="D103" s="305"/>
      <c r="E103" s="305"/>
      <c r="F103" s="117" t="s">
        <v>1645</v>
      </c>
      <c r="G103" s="116">
        <v>746.58</v>
      </c>
      <c r="H103" s="159"/>
      <c r="I103" s="108">
        <f t="shared" ref="I103:I109" si="88">G103*AO103</f>
        <v>0</v>
      </c>
      <c r="J103" s="108">
        <f t="shared" ref="J103:J109" si="89">G103*AP103</f>
        <v>0</v>
      </c>
      <c r="K103" s="108">
        <f t="shared" ref="K103:K109" si="90">G103*H103</f>
        <v>0</v>
      </c>
      <c r="L103" s="111" t="s">
        <v>1671</v>
      </c>
      <c r="Z103" s="100">
        <f t="shared" ref="Z103:Z109" si="91">IF(AQ103="5",BJ103,0)</f>
        <v>0</v>
      </c>
      <c r="AB103" s="100">
        <f t="shared" ref="AB103:AB109" si="92">IF(AQ103="1",BH103,0)</f>
        <v>0</v>
      </c>
      <c r="AC103" s="100">
        <f t="shared" ref="AC103:AC109" si="93">IF(AQ103="1",BI103,0)</f>
        <v>0</v>
      </c>
      <c r="AD103" s="100">
        <f t="shared" ref="AD103:AD109" si="94">IF(AQ103="7",BH103,0)</f>
        <v>0</v>
      </c>
      <c r="AE103" s="100">
        <f t="shared" ref="AE103:AE109" si="95">IF(AQ103="7",BI103,0)</f>
        <v>0</v>
      </c>
      <c r="AF103" s="100">
        <f t="shared" ref="AF103:AF109" si="96">IF(AQ103="2",BH103,0)</f>
        <v>0</v>
      </c>
      <c r="AG103" s="100">
        <f t="shared" ref="AG103:AG109" si="97">IF(AQ103="2",BI103,0)</f>
        <v>0</v>
      </c>
      <c r="AH103" s="100">
        <f t="shared" ref="AH103:AH109" si="98">IF(AQ103="0",BJ103,0)</f>
        <v>0</v>
      </c>
      <c r="AI103" s="109"/>
      <c r="AJ103" s="108">
        <f t="shared" ref="AJ103:AJ109" si="99">IF(AN103=0,K103,0)</f>
        <v>0</v>
      </c>
      <c r="AK103" s="108">
        <f t="shared" ref="AK103:AK109" si="100">IF(AN103=15,K103,0)</f>
        <v>0</v>
      </c>
      <c r="AL103" s="108">
        <f t="shared" ref="AL103:AL109" si="101">IF(AN103=21,K103,0)</f>
        <v>0</v>
      </c>
      <c r="AN103" s="100">
        <v>15</v>
      </c>
      <c r="AO103" s="100">
        <f>H103*0.000315955792935495</f>
        <v>0</v>
      </c>
      <c r="AP103" s="100">
        <f>H103*(1-0.000315955792935495)</f>
        <v>0</v>
      </c>
      <c r="AQ103" s="111" t="s">
        <v>7</v>
      </c>
      <c r="AV103" s="100">
        <f t="shared" ref="AV103:AV109" si="102">AW103+AX103</f>
        <v>0</v>
      </c>
      <c r="AW103" s="100">
        <f t="shared" ref="AW103:AW109" si="103">G103*AO103</f>
        <v>0</v>
      </c>
      <c r="AX103" s="100">
        <f t="shared" ref="AX103:AX109" si="104">G103*AP103</f>
        <v>0</v>
      </c>
      <c r="AY103" s="110" t="s">
        <v>1698</v>
      </c>
      <c r="AZ103" s="110" t="s">
        <v>1730</v>
      </c>
      <c r="BA103" s="109" t="s">
        <v>1737</v>
      </c>
      <c r="BC103" s="100">
        <f t="shared" ref="BC103:BC109" si="105">AW103+AX103</f>
        <v>0</v>
      </c>
      <c r="BD103" s="100">
        <f t="shared" ref="BD103:BD109" si="106">H103/(100-BE103)*100</f>
        <v>0</v>
      </c>
      <c r="BE103" s="100">
        <v>0</v>
      </c>
      <c r="BF103" s="100">
        <f>103</f>
        <v>103</v>
      </c>
      <c r="BH103" s="108">
        <f t="shared" ref="BH103:BH109" si="107">G103*AO103</f>
        <v>0</v>
      </c>
      <c r="BI103" s="108">
        <f t="shared" ref="BI103:BI109" si="108">G103*AP103</f>
        <v>0</v>
      </c>
      <c r="BJ103" s="108">
        <f t="shared" ref="BJ103:BJ109" si="109">G103*H103</f>
        <v>0</v>
      </c>
    </row>
    <row r="104" spans="1:62" x14ac:dyDescent="0.2">
      <c r="A104" s="117" t="s">
        <v>75</v>
      </c>
      <c r="B104" s="117" t="s">
        <v>635</v>
      </c>
      <c r="C104" s="304" t="s">
        <v>1141</v>
      </c>
      <c r="D104" s="305"/>
      <c r="E104" s="305"/>
      <c r="F104" s="117" t="s">
        <v>1645</v>
      </c>
      <c r="G104" s="116">
        <v>1493.16</v>
      </c>
      <c r="H104" s="159"/>
      <c r="I104" s="108">
        <f t="shared" si="88"/>
        <v>0</v>
      </c>
      <c r="J104" s="108">
        <f t="shared" si="89"/>
        <v>0</v>
      </c>
      <c r="K104" s="108">
        <f t="shared" si="90"/>
        <v>0</v>
      </c>
      <c r="L104" s="111" t="s">
        <v>1671</v>
      </c>
      <c r="Z104" s="100">
        <f t="shared" si="91"/>
        <v>0</v>
      </c>
      <c r="AB104" s="100">
        <f t="shared" si="92"/>
        <v>0</v>
      </c>
      <c r="AC104" s="100">
        <f t="shared" si="93"/>
        <v>0</v>
      </c>
      <c r="AD104" s="100">
        <f t="shared" si="94"/>
        <v>0</v>
      </c>
      <c r="AE104" s="100">
        <f t="shared" si="95"/>
        <v>0</v>
      </c>
      <c r="AF104" s="100">
        <f t="shared" si="96"/>
        <v>0</v>
      </c>
      <c r="AG104" s="100">
        <f t="shared" si="97"/>
        <v>0</v>
      </c>
      <c r="AH104" s="100">
        <f t="shared" si="98"/>
        <v>0</v>
      </c>
      <c r="AI104" s="109"/>
      <c r="AJ104" s="108">
        <f t="shared" si="99"/>
        <v>0</v>
      </c>
      <c r="AK104" s="108">
        <f t="shared" si="100"/>
        <v>0</v>
      </c>
      <c r="AL104" s="108">
        <f t="shared" si="101"/>
        <v>0</v>
      </c>
      <c r="AN104" s="100">
        <v>15</v>
      </c>
      <c r="AO104" s="100">
        <f>H104*0.909487494531589</f>
        <v>0</v>
      </c>
      <c r="AP104" s="100">
        <f>H104*(1-0.909487494531589)</f>
        <v>0</v>
      </c>
      <c r="AQ104" s="111" t="s">
        <v>7</v>
      </c>
      <c r="AV104" s="100">
        <f t="shared" si="102"/>
        <v>0</v>
      </c>
      <c r="AW104" s="100">
        <f t="shared" si="103"/>
        <v>0</v>
      </c>
      <c r="AX104" s="100">
        <f t="shared" si="104"/>
        <v>0</v>
      </c>
      <c r="AY104" s="110" t="s">
        <v>1698</v>
      </c>
      <c r="AZ104" s="110" t="s">
        <v>1730</v>
      </c>
      <c r="BA104" s="109" t="s">
        <v>1737</v>
      </c>
      <c r="BC104" s="100">
        <f t="shared" si="105"/>
        <v>0</v>
      </c>
      <c r="BD104" s="100">
        <f t="shared" si="106"/>
        <v>0</v>
      </c>
      <c r="BE104" s="100">
        <v>0</v>
      </c>
      <c r="BF104" s="100">
        <f>104</f>
        <v>104</v>
      </c>
      <c r="BH104" s="108">
        <f t="shared" si="107"/>
        <v>0</v>
      </c>
      <c r="BI104" s="108">
        <f t="shared" si="108"/>
        <v>0</v>
      </c>
      <c r="BJ104" s="108">
        <f t="shared" si="109"/>
        <v>0</v>
      </c>
    </row>
    <row r="105" spans="1:62" x14ac:dyDescent="0.2">
      <c r="A105" s="117" t="s">
        <v>76</v>
      </c>
      <c r="B105" s="117" t="s">
        <v>636</v>
      </c>
      <c r="C105" s="304" t="s">
        <v>1142</v>
      </c>
      <c r="D105" s="305"/>
      <c r="E105" s="305"/>
      <c r="F105" s="117" t="s">
        <v>1645</v>
      </c>
      <c r="G105" s="116">
        <v>746.58</v>
      </c>
      <c r="H105" s="159"/>
      <c r="I105" s="108">
        <f t="shared" si="88"/>
        <v>0</v>
      </c>
      <c r="J105" s="108">
        <f t="shared" si="89"/>
        <v>0</v>
      </c>
      <c r="K105" s="108">
        <f t="shared" si="90"/>
        <v>0</v>
      </c>
      <c r="L105" s="111" t="s">
        <v>1671</v>
      </c>
      <c r="Z105" s="100">
        <f t="shared" si="91"/>
        <v>0</v>
      </c>
      <c r="AB105" s="100">
        <f t="shared" si="92"/>
        <v>0</v>
      </c>
      <c r="AC105" s="100">
        <f t="shared" si="93"/>
        <v>0</v>
      </c>
      <c r="AD105" s="100">
        <f t="shared" si="94"/>
        <v>0</v>
      </c>
      <c r="AE105" s="100">
        <f t="shared" si="95"/>
        <v>0</v>
      </c>
      <c r="AF105" s="100">
        <f t="shared" si="96"/>
        <v>0</v>
      </c>
      <c r="AG105" s="100">
        <f t="shared" si="97"/>
        <v>0</v>
      </c>
      <c r="AH105" s="100">
        <f t="shared" si="98"/>
        <v>0</v>
      </c>
      <c r="AI105" s="109"/>
      <c r="AJ105" s="108">
        <f t="shared" si="99"/>
        <v>0</v>
      </c>
      <c r="AK105" s="108">
        <f t="shared" si="100"/>
        <v>0</v>
      </c>
      <c r="AL105" s="108">
        <f t="shared" si="101"/>
        <v>0</v>
      </c>
      <c r="AN105" s="100">
        <v>15</v>
      </c>
      <c r="AO105" s="100">
        <f>H105*0</f>
        <v>0</v>
      </c>
      <c r="AP105" s="100">
        <f>H105*(1-0)</f>
        <v>0</v>
      </c>
      <c r="AQ105" s="111" t="s">
        <v>7</v>
      </c>
      <c r="AV105" s="100">
        <f t="shared" si="102"/>
        <v>0</v>
      </c>
      <c r="AW105" s="100">
        <f t="shared" si="103"/>
        <v>0</v>
      </c>
      <c r="AX105" s="100">
        <f t="shared" si="104"/>
        <v>0</v>
      </c>
      <c r="AY105" s="110" t="s">
        <v>1698</v>
      </c>
      <c r="AZ105" s="110" t="s">
        <v>1730</v>
      </c>
      <c r="BA105" s="109" t="s">
        <v>1737</v>
      </c>
      <c r="BC105" s="100">
        <f t="shared" si="105"/>
        <v>0</v>
      </c>
      <c r="BD105" s="100">
        <f t="shared" si="106"/>
        <v>0</v>
      </c>
      <c r="BE105" s="100">
        <v>0</v>
      </c>
      <c r="BF105" s="100">
        <f>105</f>
        <v>105</v>
      </c>
      <c r="BH105" s="108">
        <f t="shared" si="107"/>
        <v>0</v>
      </c>
      <c r="BI105" s="108">
        <f t="shared" si="108"/>
        <v>0</v>
      </c>
      <c r="BJ105" s="108">
        <f t="shared" si="109"/>
        <v>0</v>
      </c>
    </row>
    <row r="106" spans="1:62" x14ac:dyDescent="0.2">
      <c r="A106" s="117" t="s">
        <v>77</v>
      </c>
      <c r="B106" s="117" t="s">
        <v>637</v>
      </c>
      <c r="C106" s="304" t="s">
        <v>1143</v>
      </c>
      <c r="D106" s="305"/>
      <c r="E106" s="305"/>
      <c r="F106" s="117" t="s">
        <v>1645</v>
      </c>
      <c r="G106" s="116">
        <v>746.58</v>
      </c>
      <c r="H106" s="159"/>
      <c r="I106" s="108">
        <f t="shared" si="88"/>
        <v>0</v>
      </c>
      <c r="J106" s="108">
        <f t="shared" si="89"/>
        <v>0</v>
      </c>
      <c r="K106" s="108">
        <f t="shared" si="90"/>
        <v>0</v>
      </c>
      <c r="L106" s="111" t="s">
        <v>1671</v>
      </c>
      <c r="Z106" s="100">
        <f t="shared" si="91"/>
        <v>0</v>
      </c>
      <c r="AB106" s="100">
        <f t="shared" si="92"/>
        <v>0</v>
      </c>
      <c r="AC106" s="100">
        <f t="shared" si="93"/>
        <v>0</v>
      </c>
      <c r="AD106" s="100">
        <f t="shared" si="94"/>
        <v>0</v>
      </c>
      <c r="AE106" s="100">
        <f t="shared" si="95"/>
        <v>0</v>
      </c>
      <c r="AF106" s="100">
        <f t="shared" si="96"/>
        <v>0</v>
      </c>
      <c r="AG106" s="100">
        <f t="shared" si="97"/>
        <v>0</v>
      </c>
      <c r="AH106" s="100">
        <f t="shared" si="98"/>
        <v>0</v>
      </c>
      <c r="AI106" s="109"/>
      <c r="AJ106" s="108">
        <f t="shared" si="99"/>
        <v>0</v>
      </c>
      <c r="AK106" s="108">
        <f t="shared" si="100"/>
        <v>0</v>
      </c>
      <c r="AL106" s="108">
        <f t="shared" si="101"/>
        <v>0</v>
      </c>
      <c r="AN106" s="100">
        <v>15</v>
      </c>
      <c r="AO106" s="100">
        <f>H106*0</f>
        <v>0</v>
      </c>
      <c r="AP106" s="100">
        <f>H106*(1-0)</f>
        <v>0</v>
      </c>
      <c r="AQ106" s="111" t="s">
        <v>7</v>
      </c>
      <c r="AV106" s="100">
        <f t="shared" si="102"/>
        <v>0</v>
      </c>
      <c r="AW106" s="100">
        <f t="shared" si="103"/>
        <v>0</v>
      </c>
      <c r="AX106" s="100">
        <f t="shared" si="104"/>
        <v>0</v>
      </c>
      <c r="AY106" s="110" t="s">
        <v>1698</v>
      </c>
      <c r="AZ106" s="110" t="s">
        <v>1730</v>
      </c>
      <c r="BA106" s="109" t="s">
        <v>1737</v>
      </c>
      <c r="BC106" s="100">
        <f t="shared" si="105"/>
        <v>0</v>
      </c>
      <c r="BD106" s="100">
        <f t="shared" si="106"/>
        <v>0</v>
      </c>
      <c r="BE106" s="100">
        <v>0</v>
      </c>
      <c r="BF106" s="100">
        <f>106</f>
        <v>106</v>
      </c>
      <c r="BH106" s="108">
        <f t="shared" si="107"/>
        <v>0</v>
      </c>
      <c r="BI106" s="108">
        <f t="shared" si="108"/>
        <v>0</v>
      </c>
      <c r="BJ106" s="108">
        <f t="shared" si="109"/>
        <v>0</v>
      </c>
    </row>
    <row r="107" spans="1:62" x14ac:dyDescent="0.2">
      <c r="A107" s="117" t="s">
        <v>78</v>
      </c>
      <c r="B107" s="117" t="s">
        <v>638</v>
      </c>
      <c r="C107" s="304" t="s">
        <v>1144</v>
      </c>
      <c r="D107" s="305"/>
      <c r="E107" s="305"/>
      <c r="F107" s="117" t="s">
        <v>1645</v>
      </c>
      <c r="G107" s="116">
        <v>1493.16</v>
      </c>
      <c r="H107" s="159"/>
      <c r="I107" s="108">
        <f t="shared" si="88"/>
        <v>0</v>
      </c>
      <c r="J107" s="108">
        <f t="shared" si="89"/>
        <v>0</v>
      </c>
      <c r="K107" s="108">
        <f t="shared" si="90"/>
        <v>0</v>
      </c>
      <c r="L107" s="111" t="s">
        <v>1671</v>
      </c>
      <c r="Z107" s="100">
        <f t="shared" si="91"/>
        <v>0</v>
      </c>
      <c r="AB107" s="100">
        <f t="shared" si="92"/>
        <v>0</v>
      </c>
      <c r="AC107" s="100">
        <f t="shared" si="93"/>
        <v>0</v>
      </c>
      <c r="AD107" s="100">
        <f t="shared" si="94"/>
        <v>0</v>
      </c>
      <c r="AE107" s="100">
        <f t="shared" si="95"/>
        <v>0</v>
      </c>
      <c r="AF107" s="100">
        <f t="shared" si="96"/>
        <v>0</v>
      </c>
      <c r="AG107" s="100">
        <f t="shared" si="97"/>
        <v>0</v>
      </c>
      <c r="AH107" s="100">
        <f t="shared" si="98"/>
        <v>0</v>
      </c>
      <c r="AI107" s="109"/>
      <c r="AJ107" s="108">
        <f t="shared" si="99"/>
        <v>0</v>
      </c>
      <c r="AK107" s="108">
        <f t="shared" si="100"/>
        <v>0</v>
      </c>
      <c r="AL107" s="108">
        <f t="shared" si="101"/>
        <v>0</v>
      </c>
      <c r="AN107" s="100">
        <v>15</v>
      </c>
      <c r="AO107" s="100">
        <f>H107*1.00000017395343</f>
        <v>0</v>
      </c>
      <c r="AP107" s="100">
        <f>H107*(1-1.00000017395343)</f>
        <v>0</v>
      </c>
      <c r="AQ107" s="111" t="s">
        <v>7</v>
      </c>
      <c r="AV107" s="100">
        <f t="shared" si="102"/>
        <v>0</v>
      </c>
      <c r="AW107" s="100">
        <f t="shared" si="103"/>
        <v>0</v>
      </c>
      <c r="AX107" s="100">
        <f t="shared" si="104"/>
        <v>0</v>
      </c>
      <c r="AY107" s="110" t="s">
        <v>1698</v>
      </c>
      <c r="AZ107" s="110" t="s">
        <v>1730</v>
      </c>
      <c r="BA107" s="109" t="s">
        <v>1737</v>
      </c>
      <c r="BC107" s="100">
        <f t="shared" si="105"/>
        <v>0</v>
      </c>
      <c r="BD107" s="100">
        <f t="shared" si="106"/>
        <v>0</v>
      </c>
      <c r="BE107" s="100">
        <v>0</v>
      </c>
      <c r="BF107" s="100">
        <f>107</f>
        <v>107</v>
      </c>
      <c r="BH107" s="108">
        <f t="shared" si="107"/>
        <v>0</v>
      </c>
      <c r="BI107" s="108">
        <f t="shared" si="108"/>
        <v>0</v>
      </c>
      <c r="BJ107" s="108">
        <f t="shared" si="109"/>
        <v>0</v>
      </c>
    </row>
    <row r="108" spans="1:62" x14ac:dyDescent="0.2">
      <c r="A108" s="117" t="s">
        <v>79</v>
      </c>
      <c r="B108" s="117" t="s">
        <v>639</v>
      </c>
      <c r="C108" s="304" t="s">
        <v>1145</v>
      </c>
      <c r="D108" s="305"/>
      <c r="E108" s="305"/>
      <c r="F108" s="117" t="s">
        <v>1645</v>
      </c>
      <c r="G108" s="116">
        <v>746.58</v>
      </c>
      <c r="H108" s="159"/>
      <c r="I108" s="108">
        <f t="shared" si="88"/>
        <v>0</v>
      </c>
      <c r="J108" s="108">
        <f t="shared" si="89"/>
        <v>0</v>
      </c>
      <c r="K108" s="108">
        <f t="shared" si="90"/>
        <v>0</v>
      </c>
      <c r="L108" s="111" t="s">
        <v>1671</v>
      </c>
      <c r="Z108" s="100">
        <f t="shared" si="91"/>
        <v>0</v>
      </c>
      <c r="AB108" s="100">
        <f t="shared" si="92"/>
        <v>0</v>
      </c>
      <c r="AC108" s="100">
        <f t="shared" si="93"/>
        <v>0</v>
      </c>
      <c r="AD108" s="100">
        <f t="shared" si="94"/>
        <v>0</v>
      </c>
      <c r="AE108" s="100">
        <f t="shared" si="95"/>
        <v>0</v>
      </c>
      <c r="AF108" s="100">
        <f t="shared" si="96"/>
        <v>0</v>
      </c>
      <c r="AG108" s="100">
        <f t="shared" si="97"/>
        <v>0</v>
      </c>
      <c r="AH108" s="100">
        <f t="shared" si="98"/>
        <v>0</v>
      </c>
      <c r="AI108" s="109"/>
      <c r="AJ108" s="108">
        <f t="shared" si="99"/>
        <v>0</v>
      </c>
      <c r="AK108" s="108">
        <f t="shared" si="100"/>
        <v>0</v>
      </c>
      <c r="AL108" s="108">
        <f t="shared" si="101"/>
        <v>0</v>
      </c>
      <c r="AN108" s="100">
        <v>15</v>
      </c>
      <c r="AO108" s="100">
        <f>H108*0</f>
        <v>0</v>
      </c>
      <c r="AP108" s="100">
        <f>H108*(1-0)</f>
        <v>0</v>
      </c>
      <c r="AQ108" s="111" t="s">
        <v>7</v>
      </c>
      <c r="AV108" s="100">
        <f t="shared" si="102"/>
        <v>0</v>
      </c>
      <c r="AW108" s="100">
        <f t="shared" si="103"/>
        <v>0</v>
      </c>
      <c r="AX108" s="100">
        <f t="shared" si="104"/>
        <v>0</v>
      </c>
      <c r="AY108" s="110" t="s">
        <v>1698</v>
      </c>
      <c r="AZ108" s="110" t="s">
        <v>1730</v>
      </c>
      <c r="BA108" s="109" t="s">
        <v>1737</v>
      </c>
      <c r="BC108" s="100">
        <f t="shared" si="105"/>
        <v>0</v>
      </c>
      <c r="BD108" s="100">
        <f t="shared" si="106"/>
        <v>0</v>
      </c>
      <c r="BE108" s="100">
        <v>0</v>
      </c>
      <c r="BF108" s="100">
        <f>108</f>
        <v>108</v>
      </c>
      <c r="BH108" s="108">
        <f t="shared" si="107"/>
        <v>0</v>
      </c>
      <c r="BI108" s="108">
        <f t="shared" si="108"/>
        <v>0</v>
      </c>
      <c r="BJ108" s="108">
        <f t="shared" si="109"/>
        <v>0</v>
      </c>
    </row>
    <row r="109" spans="1:62" x14ac:dyDescent="0.2">
      <c r="A109" s="117" t="s">
        <v>80</v>
      </c>
      <c r="B109" s="117" t="s">
        <v>640</v>
      </c>
      <c r="C109" s="304" t="s">
        <v>1146</v>
      </c>
      <c r="D109" s="305"/>
      <c r="E109" s="305"/>
      <c r="F109" s="117" t="s">
        <v>1649</v>
      </c>
      <c r="G109" s="116">
        <v>20</v>
      </c>
      <c r="H109" s="159"/>
      <c r="I109" s="108">
        <f t="shared" si="88"/>
        <v>0</v>
      </c>
      <c r="J109" s="108">
        <f t="shared" si="89"/>
        <v>0</v>
      </c>
      <c r="K109" s="108">
        <f t="shared" si="90"/>
        <v>0</v>
      </c>
      <c r="L109" s="111" t="s">
        <v>1671</v>
      </c>
      <c r="Z109" s="100">
        <f t="shared" si="91"/>
        <v>0</v>
      </c>
      <c r="AB109" s="100">
        <f t="shared" si="92"/>
        <v>0</v>
      </c>
      <c r="AC109" s="100">
        <f t="shared" si="93"/>
        <v>0</v>
      </c>
      <c r="AD109" s="100">
        <f t="shared" si="94"/>
        <v>0</v>
      </c>
      <c r="AE109" s="100">
        <f t="shared" si="95"/>
        <v>0</v>
      </c>
      <c r="AF109" s="100">
        <f t="shared" si="96"/>
        <v>0</v>
      </c>
      <c r="AG109" s="100">
        <f t="shared" si="97"/>
        <v>0</v>
      </c>
      <c r="AH109" s="100">
        <f t="shared" si="98"/>
        <v>0</v>
      </c>
      <c r="AI109" s="109"/>
      <c r="AJ109" s="108">
        <f t="shared" si="99"/>
        <v>0</v>
      </c>
      <c r="AK109" s="108">
        <f t="shared" si="100"/>
        <v>0</v>
      </c>
      <c r="AL109" s="108">
        <f t="shared" si="101"/>
        <v>0</v>
      </c>
      <c r="AN109" s="100">
        <v>15</v>
      </c>
      <c r="AO109" s="100">
        <f>H109*0</f>
        <v>0</v>
      </c>
      <c r="AP109" s="100">
        <f>H109*(1-0)</f>
        <v>0</v>
      </c>
      <c r="AQ109" s="111" t="s">
        <v>7</v>
      </c>
      <c r="AV109" s="100">
        <f t="shared" si="102"/>
        <v>0</v>
      </c>
      <c r="AW109" s="100">
        <f t="shared" si="103"/>
        <v>0</v>
      </c>
      <c r="AX109" s="100">
        <f t="shared" si="104"/>
        <v>0</v>
      </c>
      <c r="AY109" s="110" t="s">
        <v>1698</v>
      </c>
      <c r="AZ109" s="110" t="s">
        <v>1730</v>
      </c>
      <c r="BA109" s="109" t="s">
        <v>1737</v>
      </c>
      <c r="BC109" s="100">
        <f t="shared" si="105"/>
        <v>0</v>
      </c>
      <c r="BD109" s="100">
        <f t="shared" si="106"/>
        <v>0</v>
      </c>
      <c r="BE109" s="100">
        <v>0</v>
      </c>
      <c r="BF109" s="100">
        <f>109</f>
        <v>109</v>
      </c>
      <c r="BH109" s="108">
        <f t="shared" si="107"/>
        <v>0</v>
      </c>
      <c r="BI109" s="108">
        <f t="shared" si="108"/>
        <v>0</v>
      </c>
      <c r="BJ109" s="108">
        <f t="shared" si="109"/>
        <v>0</v>
      </c>
    </row>
    <row r="110" spans="1:62" x14ac:dyDescent="0.2">
      <c r="A110" s="119"/>
      <c r="B110" s="120" t="s">
        <v>101</v>
      </c>
      <c r="C110" s="306" t="s">
        <v>1147</v>
      </c>
      <c r="D110" s="307"/>
      <c r="E110" s="307"/>
      <c r="F110" s="119" t="s">
        <v>6</v>
      </c>
      <c r="G110" s="119" t="s">
        <v>6</v>
      </c>
      <c r="H110" s="119" t="s">
        <v>6</v>
      </c>
      <c r="I110" s="118">
        <f>SUM(I111:I120)</f>
        <v>0</v>
      </c>
      <c r="J110" s="118">
        <f>SUM(J111:J120)</f>
        <v>0</v>
      </c>
      <c r="K110" s="118">
        <f>SUM(K111:K120)</f>
        <v>0</v>
      </c>
      <c r="L110" s="109"/>
      <c r="AI110" s="109"/>
      <c r="AS110" s="118">
        <f>SUM(AJ111:AJ120)</f>
        <v>0</v>
      </c>
      <c r="AT110" s="118">
        <f>SUM(AK111:AK120)</f>
        <v>0</v>
      </c>
      <c r="AU110" s="118">
        <f>SUM(AL111:AL120)</f>
        <v>0</v>
      </c>
    </row>
    <row r="111" spans="1:62" x14ac:dyDescent="0.2">
      <c r="A111" s="117" t="s">
        <v>81</v>
      </c>
      <c r="B111" s="117" t="s">
        <v>641</v>
      </c>
      <c r="C111" s="304" t="s">
        <v>1148</v>
      </c>
      <c r="D111" s="305"/>
      <c r="E111" s="305"/>
      <c r="F111" s="117" t="s">
        <v>1645</v>
      </c>
      <c r="G111" s="116">
        <v>85.9</v>
      </c>
      <c r="H111" s="159"/>
      <c r="I111" s="108">
        <f t="shared" ref="I111:I120" si="110">G111*AO111</f>
        <v>0</v>
      </c>
      <c r="J111" s="108">
        <f t="shared" ref="J111:J120" si="111">G111*AP111</f>
        <v>0</v>
      </c>
      <c r="K111" s="108">
        <f t="shared" ref="K111:K120" si="112">G111*H111</f>
        <v>0</v>
      </c>
      <c r="L111" s="111" t="s">
        <v>1671</v>
      </c>
      <c r="Z111" s="100">
        <f t="shared" ref="Z111:Z120" si="113">IF(AQ111="5",BJ111,0)</f>
        <v>0</v>
      </c>
      <c r="AB111" s="100">
        <f t="shared" ref="AB111:AB120" si="114">IF(AQ111="1",BH111,0)</f>
        <v>0</v>
      </c>
      <c r="AC111" s="100">
        <f t="shared" ref="AC111:AC120" si="115">IF(AQ111="1",BI111,0)</f>
        <v>0</v>
      </c>
      <c r="AD111" s="100">
        <f t="shared" ref="AD111:AD120" si="116">IF(AQ111="7",BH111,0)</f>
        <v>0</v>
      </c>
      <c r="AE111" s="100">
        <f t="shared" ref="AE111:AE120" si="117">IF(AQ111="7",BI111,0)</f>
        <v>0</v>
      </c>
      <c r="AF111" s="100">
        <f t="shared" ref="AF111:AF120" si="118">IF(AQ111="2",BH111,0)</f>
        <v>0</v>
      </c>
      <c r="AG111" s="100">
        <f t="shared" ref="AG111:AG120" si="119">IF(AQ111="2",BI111,0)</f>
        <v>0</v>
      </c>
      <c r="AH111" s="100">
        <f t="shared" ref="AH111:AH120" si="120">IF(AQ111="0",BJ111,0)</f>
        <v>0</v>
      </c>
      <c r="AI111" s="109"/>
      <c r="AJ111" s="108">
        <f t="shared" ref="AJ111:AJ120" si="121">IF(AN111=0,K111,0)</f>
        <v>0</v>
      </c>
      <c r="AK111" s="108">
        <f t="shared" ref="AK111:AK120" si="122">IF(AN111=15,K111,0)</f>
        <v>0</v>
      </c>
      <c r="AL111" s="108">
        <f t="shared" ref="AL111:AL120" si="123">IF(AN111=21,K111,0)</f>
        <v>0</v>
      </c>
      <c r="AN111" s="100">
        <v>15</v>
      </c>
      <c r="AO111" s="100">
        <f>H111*0.0189490177885118</f>
        <v>0</v>
      </c>
      <c r="AP111" s="100">
        <f>H111*(1-0.0189490177885118)</f>
        <v>0</v>
      </c>
      <c r="AQ111" s="111" t="s">
        <v>7</v>
      </c>
      <c r="AV111" s="100">
        <f t="shared" ref="AV111:AV120" si="124">AW111+AX111</f>
        <v>0</v>
      </c>
      <c r="AW111" s="100">
        <f t="shared" ref="AW111:AW120" si="125">G111*AO111</f>
        <v>0</v>
      </c>
      <c r="AX111" s="100">
        <f t="shared" ref="AX111:AX120" si="126">G111*AP111</f>
        <v>0</v>
      </c>
      <c r="AY111" s="110" t="s">
        <v>1699</v>
      </c>
      <c r="AZ111" s="110" t="s">
        <v>1730</v>
      </c>
      <c r="BA111" s="109" t="s">
        <v>1737</v>
      </c>
      <c r="BC111" s="100">
        <f t="shared" ref="BC111:BC120" si="127">AW111+AX111</f>
        <v>0</v>
      </c>
      <c r="BD111" s="100">
        <f t="shared" ref="BD111:BD120" si="128">H111/(100-BE111)*100</f>
        <v>0</v>
      </c>
      <c r="BE111" s="100">
        <v>0</v>
      </c>
      <c r="BF111" s="100">
        <f>111</f>
        <v>111</v>
      </c>
      <c r="BH111" s="108">
        <f t="shared" ref="BH111:BH120" si="129">G111*AO111</f>
        <v>0</v>
      </c>
      <c r="BI111" s="108">
        <f t="shared" ref="BI111:BI120" si="130">G111*AP111</f>
        <v>0</v>
      </c>
      <c r="BJ111" s="108">
        <f t="shared" ref="BJ111:BJ120" si="131">G111*H111</f>
        <v>0</v>
      </c>
    </row>
    <row r="112" spans="1:62" x14ac:dyDescent="0.2">
      <c r="A112" s="117" t="s">
        <v>82</v>
      </c>
      <c r="B112" s="117" t="s">
        <v>642</v>
      </c>
      <c r="C112" s="304" t="s">
        <v>1149</v>
      </c>
      <c r="D112" s="305"/>
      <c r="E112" s="305"/>
      <c r="F112" s="117" t="s">
        <v>1645</v>
      </c>
      <c r="G112" s="116">
        <v>11.925000000000001</v>
      </c>
      <c r="H112" s="159"/>
      <c r="I112" s="108">
        <f t="shared" si="110"/>
        <v>0</v>
      </c>
      <c r="J112" s="108">
        <f t="shared" si="111"/>
        <v>0</v>
      </c>
      <c r="K112" s="108">
        <f t="shared" si="112"/>
        <v>0</v>
      </c>
      <c r="L112" s="111" t="s">
        <v>1671</v>
      </c>
      <c r="Z112" s="100">
        <f t="shared" si="113"/>
        <v>0</v>
      </c>
      <c r="AB112" s="100">
        <f t="shared" si="114"/>
        <v>0</v>
      </c>
      <c r="AC112" s="100">
        <f t="shared" si="115"/>
        <v>0</v>
      </c>
      <c r="AD112" s="100">
        <f t="shared" si="116"/>
        <v>0</v>
      </c>
      <c r="AE112" s="100">
        <f t="shared" si="117"/>
        <v>0</v>
      </c>
      <c r="AF112" s="100">
        <f t="shared" si="118"/>
        <v>0</v>
      </c>
      <c r="AG112" s="100">
        <f t="shared" si="119"/>
        <v>0</v>
      </c>
      <c r="AH112" s="100">
        <f t="shared" si="120"/>
        <v>0</v>
      </c>
      <c r="AI112" s="109"/>
      <c r="AJ112" s="108">
        <f t="shared" si="121"/>
        <v>0</v>
      </c>
      <c r="AK112" s="108">
        <f t="shared" si="122"/>
        <v>0</v>
      </c>
      <c r="AL112" s="108">
        <f t="shared" si="123"/>
        <v>0</v>
      </c>
      <c r="AN112" s="100">
        <v>15</v>
      </c>
      <c r="AO112" s="100">
        <f>H112*0.0118672405634116</f>
        <v>0</v>
      </c>
      <c r="AP112" s="100">
        <f>H112*(1-0.0118672405634116)</f>
        <v>0</v>
      </c>
      <c r="AQ112" s="111" t="s">
        <v>7</v>
      </c>
      <c r="AV112" s="100">
        <f t="shared" si="124"/>
        <v>0</v>
      </c>
      <c r="AW112" s="100">
        <f t="shared" si="125"/>
        <v>0</v>
      </c>
      <c r="AX112" s="100">
        <f t="shared" si="126"/>
        <v>0</v>
      </c>
      <c r="AY112" s="110" t="s">
        <v>1699</v>
      </c>
      <c r="AZ112" s="110" t="s">
        <v>1730</v>
      </c>
      <c r="BA112" s="109" t="s">
        <v>1737</v>
      </c>
      <c r="BC112" s="100">
        <f t="shared" si="127"/>
        <v>0</v>
      </c>
      <c r="BD112" s="100">
        <f t="shared" si="128"/>
        <v>0</v>
      </c>
      <c r="BE112" s="100">
        <v>0</v>
      </c>
      <c r="BF112" s="100">
        <f>112</f>
        <v>112</v>
      </c>
      <c r="BH112" s="108">
        <f t="shared" si="129"/>
        <v>0</v>
      </c>
      <c r="BI112" s="108">
        <f t="shared" si="130"/>
        <v>0</v>
      </c>
      <c r="BJ112" s="108">
        <f t="shared" si="131"/>
        <v>0</v>
      </c>
    </row>
    <row r="113" spans="1:62" x14ac:dyDescent="0.2">
      <c r="A113" s="117" t="s">
        <v>83</v>
      </c>
      <c r="B113" s="117" t="s">
        <v>643</v>
      </c>
      <c r="C113" s="304" t="s">
        <v>1150</v>
      </c>
      <c r="D113" s="305"/>
      <c r="E113" s="305"/>
      <c r="F113" s="117" t="s">
        <v>1645</v>
      </c>
      <c r="G113" s="116">
        <v>345.786</v>
      </c>
      <c r="H113" s="159"/>
      <c r="I113" s="108">
        <f t="shared" si="110"/>
        <v>0</v>
      </c>
      <c r="J113" s="108">
        <f t="shared" si="111"/>
        <v>0</v>
      </c>
      <c r="K113" s="108">
        <f t="shared" si="112"/>
        <v>0</v>
      </c>
      <c r="L113" s="111" t="s">
        <v>1671</v>
      </c>
      <c r="Z113" s="100">
        <f t="shared" si="113"/>
        <v>0</v>
      </c>
      <c r="AB113" s="100">
        <f t="shared" si="114"/>
        <v>0</v>
      </c>
      <c r="AC113" s="100">
        <f t="shared" si="115"/>
        <v>0</v>
      </c>
      <c r="AD113" s="100">
        <f t="shared" si="116"/>
        <v>0</v>
      </c>
      <c r="AE113" s="100">
        <f t="shared" si="117"/>
        <v>0</v>
      </c>
      <c r="AF113" s="100">
        <f t="shared" si="118"/>
        <v>0</v>
      </c>
      <c r="AG113" s="100">
        <f t="shared" si="119"/>
        <v>0</v>
      </c>
      <c r="AH113" s="100">
        <f t="shared" si="120"/>
        <v>0</v>
      </c>
      <c r="AI113" s="109"/>
      <c r="AJ113" s="108">
        <f t="shared" si="121"/>
        <v>0</v>
      </c>
      <c r="AK113" s="108">
        <f t="shared" si="122"/>
        <v>0</v>
      </c>
      <c r="AL113" s="108">
        <f t="shared" si="123"/>
        <v>0</v>
      </c>
      <c r="AN113" s="100">
        <v>15</v>
      </c>
      <c r="AO113" s="100">
        <f>H113*0</f>
        <v>0</v>
      </c>
      <c r="AP113" s="100">
        <f>H113*(1-0)</f>
        <v>0</v>
      </c>
      <c r="AQ113" s="111" t="s">
        <v>7</v>
      </c>
      <c r="AV113" s="100">
        <f t="shared" si="124"/>
        <v>0</v>
      </c>
      <c r="AW113" s="100">
        <f t="shared" si="125"/>
        <v>0</v>
      </c>
      <c r="AX113" s="100">
        <f t="shared" si="126"/>
        <v>0</v>
      </c>
      <c r="AY113" s="110" t="s">
        <v>1699</v>
      </c>
      <c r="AZ113" s="110" t="s">
        <v>1730</v>
      </c>
      <c r="BA113" s="109" t="s">
        <v>1737</v>
      </c>
      <c r="BC113" s="100">
        <f t="shared" si="127"/>
        <v>0</v>
      </c>
      <c r="BD113" s="100">
        <f t="shared" si="128"/>
        <v>0</v>
      </c>
      <c r="BE113" s="100">
        <v>0</v>
      </c>
      <c r="BF113" s="100">
        <f>113</f>
        <v>113</v>
      </c>
      <c r="BH113" s="108">
        <f t="shared" si="129"/>
        <v>0</v>
      </c>
      <c r="BI113" s="108">
        <f t="shared" si="130"/>
        <v>0</v>
      </c>
      <c r="BJ113" s="108">
        <f t="shared" si="131"/>
        <v>0</v>
      </c>
    </row>
    <row r="114" spans="1:62" x14ac:dyDescent="0.2">
      <c r="A114" s="117" t="s">
        <v>84</v>
      </c>
      <c r="B114" s="117" t="s">
        <v>644</v>
      </c>
      <c r="C114" s="304" t="s">
        <v>1151</v>
      </c>
      <c r="D114" s="305"/>
      <c r="E114" s="305"/>
      <c r="F114" s="117" t="s">
        <v>1644</v>
      </c>
      <c r="G114" s="116">
        <v>1</v>
      </c>
      <c r="H114" s="159"/>
      <c r="I114" s="108">
        <f t="shared" si="110"/>
        <v>0</v>
      </c>
      <c r="J114" s="108">
        <f t="shared" si="111"/>
        <v>0</v>
      </c>
      <c r="K114" s="108">
        <f t="shared" si="112"/>
        <v>0</v>
      </c>
      <c r="L114" s="111" t="s">
        <v>1671</v>
      </c>
      <c r="Z114" s="100">
        <f t="shared" si="113"/>
        <v>0</v>
      </c>
      <c r="AB114" s="100">
        <f t="shared" si="114"/>
        <v>0</v>
      </c>
      <c r="AC114" s="100">
        <f t="shared" si="115"/>
        <v>0</v>
      </c>
      <c r="AD114" s="100">
        <f t="shared" si="116"/>
        <v>0</v>
      </c>
      <c r="AE114" s="100">
        <f t="shared" si="117"/>
        <v>0</v>
      </c>
      <c r="AF114" s="100">
        <f t="shared" si="118"/>
        <v>0</v>
      </c>
      <c r="AG114" s="100">
        <f t="shared" si="119"/>
        <v>0</v>
      </c>
      <c r="AH114" s="100">
        <f t="shared" si="120"/>
        <v>0</v>
      </c>
      <c r="AI114" s="109"/>
      <c r="AJ114" s="108">
        <f t="shared" si="121"/>
        <v>0</v>
      </c>
      <c r="AK114" s="108">
        <f t="shared" si="122"/>
        <v>0</v>
      </c>
      <c r="AL114" s="108">
        <f t="shared" si="123"/>
        <v>0</v>
      </c>
      <c r="AN114" s="100">
        <v>15</v>
      </c>
      <c r="AO114" s="100">
        <f>H114*0</f>
        <v>0</v>
      </c>
      <c r="AP114" s="100">
        <f>H114*(1-0)</f>
        <v>0</v>
      </c>
      <c r="AQ114" s="111" t="s">
        <v>7</v>
      </c>
      <c r="AV114" s="100">
        <f t="shared" si="124"/>
        <v>0</v>
      </c>
      <c r="AW114" s="100">
        <f t="shared" si="125"/>
        <v>0</v>
      </c>
      <c r="AX114" s="100">
        <f t="shared" si="126"/>
        <v>0</v>
      </c>
      <c r="AY114" s="110" t="s">
        <v>1699</v>
      </c>
      <c r="AZ114" s="110" t="s">
        <v>1730</v>
      </c>
      <c r="BA114" s="109" t="s">
        <v>1737</v>
      </c>
      <c r="BC114" s="100">
        <f t="shared" si="127"/>
        <v>0</v>
      </c>
      <c r="BD114" s="100">
        <f t="shared" si="128"/>
        <v>0</v>
      </c>
      <c r="BE114" s="100">
        <v>0</v>
      </c>
      <c r="BF114" s="100">
        <f>114</f>
        <v>114</v>
      </c>
      <c r="BH114" s="108">
        <f t="shared" si="129"/>
        <v>0</v>
      </c>
      <c r="BI114" s="108">
        <f t="shared" si="130"/>
        <v>0</v>
      </c>
      <c r="BJ114" s="108">
        <f t="shared" si="131"/>
        <v>0</v>
      </c>
    </row>
    <row r="115" spans="1:62" x14ac:dyDescent="0.2">
      <c r="A115" s="117" t="s">
        <v>85</v>
      </c>
      <c r="B115" s="117" t="s">
        <v>645</v>
      </c>
      <c r="C115" s="304" t="s">
        <v>1152</v>
      </c>
      <c r="D115" s="305"/>
      <c r="E115" s="305"/>
      <c r="F115" s="117" t="s">
        <v>1645</v>
      </c>
      <c r="G115" s="116">
        <v>20.399999999999999</v>
      </c>
      <c r="H115" s="159"/>
      <c r="I115" s="108">
        <f t="shared" si="110"/>
        <v>0</v>
      </c>
      <c r="J115" s="108">
        <f t="shared" si="111"/>
        <v>0</v>
      </c>
      <c r="K115" s="108">
        <f t="shared" si="112"/>
        <v>0</v>
      </c>
      <c r="L115" s="111" t="s">
        <v>1671</v>
      </c>
      <c r="Z115" s="100">
        <f t="shared" si="113"/>
        <v>0</v>
      </c>
      <c r="AB115" s="100">
        <f t="shared" si="114"/>
        <v>0</v>
      </c>
      <c r="AC115" s="100">
        <f t="shared" si="115"/>
        <v>0</v>
      </c>
      <c r="AD115" s="100">
        <f t="shared" si="116"/>
        <v>0</v>
      </c>
      <c r="AE115" s="100">
        <f t="shared" si="117"/>
        <v>0</v>
      </c>
      <c r="AF115" s="100">
        <f t="shared" si="118"/>
        <v>0</v>
      </c>
      <c r="AG115" s="100">
        <f t="shared" si="119"/>
        <v>0</v>
      </c>
      <c r="AH115" s="100">
        <f t="shared" si="120"/>
        <v>0</v>
      </c>
      <c r="AI115" s="109"/>
      <c r="AJ115" s="108">
        <f t="shared" si="121"/>
        <v>0</v>
      </c>
      <c r="AK115" s="108">
        <f t="shared" si="122"/>
        <v>0</v>
      </c>
      <c r="AL115" s="108">
        <f t="shared" si="123"/>
        <v>0</v>
      </c>
      <c r="AN115" s="100">
        <v>15</v>
      </c>
      <c r="AO115" s="100">
        <f>H115*0.325368700265252</f>
        <v>0</v>
      </c>
      <c r="AP115" s="100">
        <f>H115*(1-0.325368700265252)</f>
        <v>0</v>
      </c>
      <c r="AQ115" s="111" t="s">
        <v>7</v>
      </c>
      <c r="AV115" s="100">
        <f t="shared" si="124"/>
        <v>0</v>
      </c>
      <c r="AW115" s="100">
        <f t="shared" si="125"/>
        <v>0</v>
      </c>
      <c r="AX115" s="100">
        <f t="shared" si="126"/>
        <v>0</v>
      </c>
      <c r="AY115" s="110" t="s">
        <v>1699</v>
      </c>
      <c r="AZ115" s="110" t="s">
        <v>1730</v>
      </c>
      <c r="BA115" s="109" t="s">
        <v>1737</v>
      </c>
      <c r="BC115" s="100">
        <f t="shared" si="127"/>
        <v>0</v>
      </c>
      <c r="BD115" s="100">
        <f t="shared" si="128"/>
        <v>0</v>
      </c>
      <c r="BE115" s="100">
        <v>0</v>
      </c>
      <c r="BF115" s="100">
        <f>115</f>
        <v>115</v>
      </c>
      <c r="BH115" s="108">
        <f t="shared" si="129"/>
        <v>0</v>
      </c>
      <c r="BI115" s="108">
        <f t="shared" si="130"/>
        <v>0</v>
      </c>
      <c r="BJ115" s="108">
        <f t="shared" si="131"/>
        <v>0</v>
      </c>
    </row>
    <row r="116" spans="1:62" x14ac:dyDescent="0.2">
      <c r="A116" s="117" t="s">
        <v>86</v>
      </c>
      <c r="B116" s="117" t="s">
        <v>646</v>
      </c>
      <c r="C116" s="304" t="s">
        <v>1153</v>
      </c>
      <c r="D116" s="305"/>
      <c r="E116" s="305"/>
      <c r="F116" s="117" t="s">
        <v>1650</v>
      </c>
      <c r="G116" s="116">
        <v>150</v>
      </c>
      <c r="H116" s="159"/>
      <c r="I116" s="108">
        <f t="shared" si="110"/>
        <v>0</v>
      </c>
      <c r="J116" s="108">
        <f t="shared" si="111"/>
        <v>0</v>
      </c>
      <c r="K116" s="108">
        <f t="shared" si="112"/>
        <v>0</v>
      </c>
      <c r="L116" s="111" t="s">
        <v>1671</v>
      </c>
      <c r="Z116" s="100">
        <f t="shared" si="113"/>
        <v>0</v>
      </c>
      <c r="AB116" s="100">
        <f t="shared" si="114"/>
        <v>0</v>
      </c>
      <c r="AC116" s="100">
        <f t="shared" si="115"/>
        <v>0</v>
      </c>
      <c r="AD116" s="100">
        <f t="shared" si="116"/>
        <v>0</v>
      </c>
      <c r="AE116" s="100">
        <f t="shared" si="117"/>
        <v>0</v>
      </c>
      <c r="AF116" s="100">
        <f t="shared" si="118"/>
        <v>0</v>
      </c>
      <c r="AG116" s="100">
        <f t="shared" si="119"/>
        <v>0</v>
      </c>
      <c r="AH116" s="100">
        <f t="shared" si="120"/>
        <v>0</v>
      </c>
      <c r="AI116" s="109"/>
      <c r="AJ116" s="108">
        <f t="shared" si="121"/>
        <v>0</v>
      </c>
      <c r="AK116" s="108">
        <f t="shared" si="122"/>
        <v>0</v>
      </c>
      <c r="AL116" s="108">
        <f t="shared" si="123"/>
        <v>0</v>
      </c>
      <c r="AN116" s="100">
        <v>15</v>
      </c>
      <c r="AO116" s="100">
        <f>H116*0.412803738317757</f>
        <v>0</v>
      </c>
      <c r="AP116" s="100">
        <f>H116*(1-0.412803738317757)</f>
        <v>0</v>
      </c>
      <c r="AQ116" s="111" t="s">
        <v>7</v>
      </c>
      <c r="AV116" s="100">
        <f t="shared" si="124"/>
        <v>0</v>
      </c>
      <c r="AW116" s="100">
        <f t="shared" si="125"/>
        <v>0</v>
      </c>
      <c r="AX116" s="100">
        <f t="shared" si="126"/>
        <v>0</v>
      </c>
      <c r="AY116" s="110" t="s">
        <v>1699</v>
      </c>
      <c r="AZ116" s="110" t="s">
        <v>1730</v>
      </c>
      <c r="BA116" s="109" t="s">
        <v>1737</v>
      </c>
      <c r="BC116" s="100">
        <f t="shared" si="127"/>
        <v>0</v>
      </c>
      <c r="BD116" s="100">
        <f t="shared" si="128"/>
        <v>0</v>
      </c>
      <c r="BE116" s="100">
        <v>0</v>
      </c>
      <c r="BF116" s="100">
        <f>116</f>
        <v>116</v>
      </c>
      <c r="BH116" s="108">
        <f t="shared" si="129"/>
        <v>0</v>
      </c>
      <c r="BI116" s="108">
        <f t="shared" si="130"/>
        <v>0</v>
      </c>
      <c r="BJ116" s="108">
        <f t="shared" si="131"/>
        <v>0</v>
      </c>
    </row>
    <row r="117" spans="1:62" x14ac:dyDescent="0.2">
      <c r="A117" s="117" t="s">
        <v>87</v>
      </c>
      <c r="B117" s="117" t="s">
        <v>647</v>
      </c>
      <c r="C117" s="304" t="s">
        <v>1154</v>
      </c>
      <c r="D117" s="305"/>
      <c r="E117" s="305"/>
      <c r="F117" s="117" t="s">
        <v>1644</v>
      </c>
      <c r="G117" s="116">
        <v>6</v>
      </c>
      <c r="H117" s="159"/>
      <c r="I117" s="108">
        <f t="shared" si="110"/>
        <v>0</v>
      </c>
      <c r="J117" s="108">
        <f t="shared" si="111"/>
        <v>0</v>
      </c>
      <c r="K117" s="108">
        <f t="shared" si="112"/>
        <v>0</v>
      </c>
      <c r="L117" s="111" t="s">
        <v>1671</v>
      </c>
      <c r="Z117" s="100">
        <f t="shared" si="113"/>
        <v>0</v>
      </c>
      <c r="AB117" s="100">
        <f t="shared" si="114"/>
        <v>0</v>
      </c>
      <c r="AC117" s="100">
        <f t="shared" si="115"/>
        <v>0</v>
      </c>
      <c r="AD117" s="100">
        <f t="shared" si="116"/>
        <v>0</v>
      </c>
      <c r="AE117" s="100">
        <f t="shared" si="117"/>
        <v>0</v>
      </c>
      <c r="AF117" s="100">
        <f t="shared" si="118"/>
        <v>0</v>
      </c>
      <c r="AG117" s="100">
        <f t="shared" si="119"/>
        <v>0</v>
      </c>
      <c r="AH117" s="100">
        <f t="shared" si="120"/>
        <v>0</v>
      </c>
      <c r="AI117" s="109"/>
      <c r="AJ117" s="108">
        <f t="shared" si="121"/>
        <v>0</v>
      </c>
      <c r="AK117" s="108">
        <f t="shared" si="122"/>
        <v>0</v>
      </c>
      <c r="AL117" s="108">
        <f t="shared" si="123"/>
        <v>0</v>
      </c>
      <c r="AN117" s="100">
        <v>15</v>
      </c>
      <c r="AO117" s="100">
        <f>H117*0.35032967032967</f>
        <v>0</v>
      </c>
      <c r="AP117" s="100">
        <f>H117*(1-0.35032967032967)</f>
        <v>0</v>
      </c>
      <c r="AQ117" s="111" t="s">
        <v>7</v>
      </c>
      <c r="AV117" s="100">
        <f t="shared" si="124"/>
        <v>0</v>
      </c>
      <c r="AW117" s="100">
        <f t="shared" si="125"/>
        <v>0</v>
      </c>
      <c r="AX117" s="100">
        <f t="shared" si="126"/>
        <v>0</v>
      </c>
      <c r="AY117" s="110" t="s">
        <v>1699</v>
      </c>
      <c r="AZ117" s="110" t="s">
        <v>1730</v>
      </c>
      <c r="BA117" s="109" t="s">
        <v>1737</v>
      </c>
      <c r="BC117" s="100">
        <f t="shared" si="127"/>
        <v>0</v>
      </c>
      <c r="BD117" s="100">
        <f t="shared" si="128"/>
        <v>0</v>
      </c>
      <c r="BE117" s="100">
        <v>0</v>
      </c>
      <c r="BF117" s="100">
        <f>117</f>
        <v>117</v>
      </c>
      <c r="BH117" s="108">
        <f t="shared" si="129"/>
        <v>0</v>
      </c>
      <c r="BI117" s="108">
        <f t="shared" si="130"/>
        <v>0</v>
      </c>
      <c r="BJ117" s="108">
        <f t="shared" si="131"/>
        <v>0</v>
      </c>
    </row>
    <row r="118" spans="1:62" x14ac:dyDescent="0.2">
      <c r="A118" s="117" t="s">
        <v>88</v>
      </c>
      <c r="B118" s="117" t="s">
        <v>648</v>
      </c>
      <c r="C118" s="304" t="s">
        <v>1155</v>
      </c>
      <c r="D118" s="305"/>
      <c r="E118" s="305"/>
      <c r="F118" s="117" t="s">
        <v>1644</v>
      </c>
      <c r="G118" s="116">
        <v>1</v>
      </c>
      <c r="H118" s="159"/>
      <c r="I118" s="108">
        <f t="shared" si="110"/>
        <v>0</v>
      </c>
      <c r="J118" s="108">
        <f t="shared" si="111"/>
        <v>0</v>
      </c>
      <c r="K118" s="108">
        <f t="shared" si="112"/>
        <v>0</v>
      </c>
      <c r="L118" s="111" t="s">
        <v>1671</v>
      </c>
      <c r="Z118" s="100">
        <f t="shared" si="113"/>
        <v>0</v>
      </c>
      <c r="AB118" s="100">
        <f t="shared" si="114"/>
        <v>0</v>
      </c>
      <c r="AC118" s="100">
        <f t="shared" si="115"/>
        <v>0</v>
      </c>
      <c r="AD118" s="100">
        <f t="shared" si="116"/>
        <v>0</v>
      </c>
      <c r="AE118" s="100">
        <f t="shared" si="117"/>
        <v>0</v>
      </c>
      <c r="AF118" s="100">
        <f t="shared" si="118"/>
        <v>0</v>
      </c>
      <c r="AG118" s="100">
        <f t="shared" si="119"/>
        <v>0</v>
      </c>
      <c r="AH118" s="100">
        <f t="shared" si="120"/>
        <v>0</v>
      </c>
      <c r="AI118" s="109"/>
      <c r="AJ118" s="108">
        <f t="shared" si="121"/>
        <v>0</v>
      </c>
      <c r="AK118" s="108">
        <f t="shared" si="122"/>
        <v>0</v>
      </c>
      <c r="AL118" s="108">
        <f t="shared" si="123"/>
        <v>0</v>
      </c>
      <c r="AN118" s="100">
        <v>15</v>
      </c>
      <c r="AO118" s="100">
        <f>H118*0.90816</f>
        <v>0</v>
      </c>
      <c r="AP118" s="100">
        <f>H118*(1-0.90816)</f>
        <v>0</v>
      </c>
      <c r="AQ118" s="111" t="s">
        <v>7</v>
      </c>
      <c r="AV118" s="100">
        <f t="shared" si="124"/>
        <v>0</v>
      </c>
      <c r="AW118" s="100">
        <f t="shared" si="125"/>
        <v>0</v>
      </c>
      <c r="AX118" s="100">
        <f t="shared" si="126"/>
        <v>0</v>
      </c>
      <c r="AY118" s="110" t="s">
        <v>1699</v>
      </c>
      <c r="AZ118" s="110" t="s">
        <v>1730</v>
      </c>
      <c r="BA118" s="109" t="s">
        <v>1737</v>
      </c>
      <c r="BC118" s="100">
        <f t="shared" si="127"/>
        <v>0</v>
      </c>
      <c r="BD118" s="100">
        <f t="shared" si="128"/>
        <v>0</v>
      </c>
      <c r="BE118" s="100">
        <v>0</v>
      </c>
      <c r="BF118" s="100">
        <f>118</f>
        <v>118</v>
      </c>
      <c r="BH118" s="108">
        <f t="shared" si="129"/>
        <v>0</v>
      </c>
      <c r="BI118" s="108">
        <f t="shared" si="130"/>
        <v>0</v>
      </c>
      <c r="BJ118" s="108">
        <f t="shared" si="131"/>
        <v>0</v>
      </c>
    </row>
    <row r="119" spans="1:62" x14ac:dyDescent="0.2">
      <c r="A119" s="117" t="s">
        <v>89</v>
      </c>
      <c r="B119" s="117" t="s">
        <v>649</v>
      </c>
      <c r="C119" s="304" t="s">
        <v>1156</v>
      </c>
      <c r="D119" s="305"/>
      <c r="E119" s="305"/>
      <c r="F119" s="117" t="s">
        <v>1644</v>
      </c>
      <c r="G119" s="116">
        <v>1</v>
      </c>
      <c r="H119" s="159"/>
      <c r="I119" s="108">
        <f t="shared" si="110"/>
        <v>0</v>
      </c>
      <c r="J119" s="108">
        <f t="shared" si="111"/>
        <v>0</v>
      </c>
      <c r="K119" s="108">
        <f t="shared" si="112"/>
        <v>0</v>
      </c>
      <c r="L119" s="111" t="s">
        <v>1671</v>
      </c>
      <c r="Z119" s="100">
        <f t="shared" si="113"/>
        <v>0</v>
      </c>
      <c r="AB119" s="100">
        <f t="shared" si="114"/>
        <v>0</v>
      </c>
      <c r="AC119" s="100">
        <f t="shared" si="115"/>
        <v>0</v>
      </c>
      <c r="AD119" s="100">
        <f t="shared" si="116"/>
        <v>0</v>
      </c>
      <c r="AE119" s="100">
        <f t="shared" si="117"/>
        <v>0</v>
      </c>
      <c r="AF119" s="100">
        <f t="shared" si="118"/>
        <v>0</v>
      </c>
      <c r="AG119" s="100">
        <f t="shared" si="119"/>
        <v>0</v>
      </c>
      <c r="AH119" s="100">
        <f t="shared" si="120"/>
        <v>0</v>
      </c>
      <c r="AI119" s="109"/>
      <c r="AJ119" s="108">
        <f t="shared" si="121"/>
        <v>0</v>
      </c>
      <c r="AK119" s="108">
        <f t="shared" si="122"/>
        <v>0</v>
      </c>
      <c r="AL119" s="108">
        <f t="shared" si="123"/>
        <v>0</v>
      </c>
      <c r="AN119" s="100">
        <v>15</v>
      </c>
      <c r="AO119" s="100">
        <f>H119*0.908156</f>
        <v>0</v>
      </c>
      <c r="AP119" s="100">
        <f>H119*(1-0.908156)</f>
        <v>0</v>
      </c>
      <c r="AQ119" s="111" t="s">
        <v>7</v>
      </c>
      <c r="AV119" s="100">
        <f t="shared" si="124"/>
        <v>0</v>
      </c>
      <c r="AW119" s="100">
        <f t="shared" si="125"/>
        <v>0</v>
      </c>
      <c r="AX119" s="100">
        <f t="shared" si="126"/>
        <v>0</v>
      </c>
      <c r="AY119" s="110" t="s">
        <v>1699</v>
      </c>
      <c r="AZ119" s="110" t="s">
        <v>1730</v>
      </c>
      <c r="BA119" s="109" t="s">
        <v>1737</v>
      </c>
      <c r="BC119" s="100">
        <f t="shared" si="127"/>
        <v>0</v>
      </c>
      <c r="BD119" s="100">
        <f t="shared" si="128"/>
        <v>0</v>
      </c>
      <c r="BE119" s="100">
        <v>0</v>
      </c>
      <c r="BF119" s="100">
        <f>119</f>
        <v>119</v>
      </c>
      <c r="BH119" s="108">
        <f t="shared" si="129"/>
        <v>0</v>
      </c>
      <c r="BI119" s="108">
        <f t="shared" si="130"/>
        <v>0</v>
      </c>
      <c r="BJ119" s="108">
        <f t="shared" si="131"/>
        <v>0</v>
      </c>
    </row>
    <row r="120" spans="1:62" x14ac:dyDescent="0.2">
      <c r="A120" s="117" t="s">
        <v>90</v>
      </c>
      <c r="B120" s="117" t="s">
        <v>650</v>
      </c>
      <c r="C120" s="304" t="s">
        <v>1157</v>
      </c>
      <c r="D120" s="305"/>
      <c r="E120" s="305"/>
      <c r="F120" s="117" t="s">
        <v>1644</v>
      </c>
      <c r="G120" s="116">
        <v>1</v>
      </c>
      <c r="H120" s="159"/>
      <c r="I120" s="108">
        <f t="shared" si="110"/>
        <v>0</v>
      </c>
      <c r="J120" s="108">
        <f t="shared" si="111"/>
        <v>0</v>
      </c>
      <c r="K120" s="108">
        <f t="shared" si="112"/>
        <v>0</v>
      </c>
      <c r="L120" s="111" t="s">
        <v>1671</v>
      </c>
      <c r="Z120" s="100">
        <f t="shared" si="113"/>
        <v>0</v>
      </c>
      <c r="AB120" s="100">
        <f t="shared" si="114"/>
        <v>0</v>
      </c>
      <c r="AC120" s="100">
        <f t="shared" si="115"/>
        <v>0</v>
      </c>
      <c r="AD120" s="100">
        <f t="shared" si="116"/>
        <v>0</v>
      </c>
      <c r="AE120" s="100">
        <f t="shared" si="117"/>
        <v>0</v>
      </c>
      <c r="AF120" s="100">
        <f t="shared" si="118"/>
        <v>0</v>
      </c>
      <c r="AG120" s="100">
        <f t="shared" si="119"/>
        <v>0</v>
      </c>
      <c r="AH120" s="100">
        <f t="shared" si="120"/>
        <v>0</v>
      </c>
      <c r="AI120" s="109"/>
      <c r="AJ120" s="108">
        <f t="shared" si="121"/>
        <v>0</v>
      </c>
      <c r="AK120" s="108">
        <f t="shared" si="122"/>
        <v>0</v>
      </c>
      <c r="AL120" s="108">
        <f t="shared" si="123"/>
        <v>0</v>
      </c>
      <c r="AN120" s="100">
        <v>15</v>
      </c>
      <c r="AO120" s="100">
        <f>H120*0.90816</f>
        <v>0</v>
      </c>
      <c r="AP120" s="100">
        <f>H120*(1-0.90816)</f>
        <v>0</v>
      </c>
      <c r="AQ120" s="111" t="s">
        <v>7</v>
      </c>
      <c r="AV120" s="100">
        <f t="shared" si="124"/>
        <v>0</v>
      </c>
      <c r="AW120" s="100">
        <f t="shared" si="125"/>
        <v>0</v>
      </c>
      <c r="AX120" s="100">
        <f t="shared" si="126"/>
        <v>0</v>
      </c>
      <c r="AY120" s="110" t="s">
        <v>1699</v>
      </c>
      <c r="AZ120" s="110" t="s">
        <v>1730</v>
      </c>
      <c r="BA120" s="109" t="s">
        <v>1737</v>
      </c>
      <c r="BC120" s="100">
        <f t="shared" si="127"/>
        <v>0</v>
      </c>
      <c r="BD120" s="100">
        <f t="shared" si="128"/>
        <v>0</v>
      </c>
      <c r="BE120" s="100">
        <v>0</v>
      </c>
      <c r="BF120" s="100">
        <f>120</f>
        <v>120</v>
      </c>
      <c r="BH120" s="108">
        <f t="shared" si="129"/>
        <v>0</v>
      </c>
      <c r="BI120" s="108">
        <f t="shared" si="130"/>
        <v>0</v>
      </c>
      <c r="BJ120" s="108">
        <f t="shared" si="131"/>
        <v>0</v>
      </c>
    </row>
    <row r="121" spans="1:62" x14ac:dyDescent="0.2">
      <c r="A121" s="119"/>
      <c r="B121" s="120" t="s">
        <v>102</v>
      </c>
      <c r="C121" s="306" t="s">
        <v>1158</v>
      </c>
      <c r="D121" s="307"/>
      <c r="E121" s="307"/>
      <c r="F121" s="119" t="s">
        <v>6</v>
      </c>
      <c r="G121" s="119" t="s">
        <v>6</v>
      </c>
      <c r="H121" s="119" t="s">
        <v>6</v>
      </c>
      <c r="I121" s="118">
        <f>SUM(I122:I138)</f>
        <v>0</v>
      </c>
      <c r="J121" s="118">
        <f>SUM(J122:J138)</f>
        <v>0</v>
      </c>
      <c r="K121" s="118">
        <f>SUM(K122:K138)</f>
        <v>0</v>
      </c>
      <c r="L121" s="109"/>
      <c r="AI121" s="109"/>
      <c r="AS121" s="118">
        <f>SUM(AJ122:AJ138)</f>
        <v>0</v>
      </c>
      <c r="AT121" s="118">
        <f>SUM(AK122:AK138)</f>
        <v>0</v>
      </c>
      <c r="AU121" s="118">
        <f>SUM(AL122:AL138)</f>
        <v>0</v>
      </c>
    </row>
    <row r="122" spans="1:62" x14ac:dyDescent="0.2">
      <c r="A122" s="117" t="s">
        <v>91</v>
      </c>
      <c r="B122" s="117" t="s">
        <v>651</v>
      </c>
      <c r="C122" s="304" t="s">
        <v>1159</v>
      </c>
      <c r="D122" s="305"/>
      <c r="E122" s="305"/>
      <c r="F122" s="117" t="s">
        <v>1645</v>
      </c>
      <c r="G122" s="116">
        <v>108.31100000000001</v>
      </c>
      <c r="H122" s="159"/>
      <c r="I122" s="108">
        <f t="shared" ref="I122:I138" si="132">G122*AO122</f>
        <v>0</v>
      </c>
      <c r="J122" s="108">
        <f t="shared" ref="J122:J138" si="133">G122*AP122</f>
        <v>0</v>
      </c>
      <c r="K122" s="108">
        <f t="shared" ref="K122:K138" si="134">G122*H122</f>
        <v>0</v>
      </c>
      <c r="L122" s="111" t="s">
        <v>1671</v>
      </c>
      <c r="Z122" s="100">
        <f t="shared" ref="Z122:Z138" si="135">IF(AQ122="5",BJ122,0)</f>
        <v>0</v>
      </c>
      <c r="AB122" s="100">
        <f t="shared" ref="AB122:AB138" si="136">IF(AQ122="1",BH122,0)</f>
        <v>0</v>
      </c>
      <c r="AC122" s="100">
        <f t="shared" ref="AC122:AC138" si="137">IF(AQ122="1",BI122,0)</f>
        <v>0</v>
      </c>
      <c r="AD122" s="100">
        <f t="shared" ref="AD122:AD138" si="138">IF(AQ122="7",BH122,0)</f>
        <v>0</v>
      </c>
      <c r="AE122" s="100">
        <f t="shared" ref="AE122:AE138" si="139">IF(AQ122="7",BI122,0)</f>
        <v>0</v>
      </c>
      <c r="AF122" s="100">
        <f t="shared" ref="AF122:AF138" si="140">IF(AQ122="2",BH122,0)</f>
        <v>0</v>
      </c>
      <c r="AG122" s="100">
        <f t="shared" ref="AG122:AG138" si="141">IF(AQ122="2",BI122,0)</f>
        <v>0</v>
      </c>
      <c r="AH122" s="100">
        <f t="shared" ref="AH122:AH138" si="142">IF(AQ122="0",BJ122,0)</f>
        <v>0</v>
      </c>
      <c r="AI122" s="109"/>
      <c r="AJ122" s="108">
        <f t="shared" ref="AJ122:AJ138" si="143">IF(AN122=0,K122,0)</f>
        <v>0</v>
      </c>
      <c r="AK122" s="108">
        <f t="shared" ref="AK122:AK138" si="144">IF(AN122=15,K122,0)</f>
        <v>0</v>
      </c>
      <c r="AL122" s="108">
        <f t="shared" ref="AL122:AL138" si="145">IF(AN122=21,K122,0)</f>
        <v>0</v>
      </c>
      <c r="AN122" s="100">
        <v>15</v>
      </c>
      <c r="AO122" s="100">
        <f>H122*0</f>
        <v>0</v>
      </c>
      <c r="AP122" s="100">
        <f>H122*(1-0)</f>
        <v>0</v>
      </c>
      <c r="AQ122" s="111" t="s">
        <v>7</v>
      </c>
      <c r="AV122" s="100">
        <f t="shared" ref="AV122:AV138" si="146">AW122+AX122</f>
        <v>0</v>
      </c>
      <c r="AW122" s="100">
        <f t="shared" ref="AW122:AW138" si="147">G122*AO122</f>
        <v>0</v>
      </c>
      <c r="AX122" s="100">
        <f t="shared" ref="AX122:AX138" si="148">G122*AP122</f>
        <v>0</v>
      </c>
      <c r="AY122" s="110" t="s">
        <v>1700</v>
      </c>
      <c r="AZ122" s="110" t="s">
        <v>1730</v>
      </c>
      <c r="BA122" s="109" t="s">
        <v>1737</v>
      </c>
      <c r="BC122" s="100">
        <f t="shared" ref="BC122:BC138" si="149">AW122+AX122</f>
        <v>0</v>
      </c>
      <c r="BD122" s="100">
        <f t="shared" ref="BD122:BD138" si="150">H122/(100-BE122)*100</f>
        <v>0</v>
      </c>
      <c r="BE122" s="100">
        <v>0</v>
      </c>
      <c r="BF122" s="100">
        <f>122</f>
        <v>122</v>
      </c>
      <c r="BH122" s="108">
        <f t="shared" ref="BH122:BH138" si="151">G122*AO122</f>
        <v>0</v>
      </c>
      <c r="BI122" s="108">
        <f t="shared" ref="BI122:BI138" si="152">G122*AP122</f>
        <v>0</v>
      </c>
      <c r="BJ122" s="108">
        <f t="shared" ref="BJ122:BJ138" si="153">G122*H122</f>
        <v>0</v>
      </c>
    </row>
    <row r="123" spans="1:62" x14ac:dyDescent="0.2">
      <c r="A123" s="117" t="s">
        <v>92</v>
      </c>
      <c r="B123" s="117" t="s">
        <v>652</v>
      </c>
      <c r="C123" s="304" t="s">
        <v>1160</v>
      </c>
      <c r="D123" s="305"/>
      <c r="E123" s="305"/>
      <c r="F123" s="117" t="s">
        <v>1644</v>
      </c>
      <c r="G123" s="116">
        <v>4</v>
      </c>
      <c r="H123" s="159"/>
      <c r="I123" s="108">
        <f t="shared" si="132"/>
        <v>0</v>
      </c>
      <c r="J123" s="108">
        <f t="shared" si="133"/>
        <v>0</v>
      </c>
      <c r="K123" s="108">
        <f t="shared" si="134"/>
        <v>0</v>
      </c>
      <c r="L123" s="111" t="s">
        <v>1671</v>
      </c>
      <c r="Z123" s="100">
        <f t="shared" si="135"/>
        <v>0</v>
      </c>
      <c r="AB123" s="100">
        <f t="shared" si="136"/>
        <v>0</v>
      </c>
      <c r="AC123" s="100">
        <f t="shared" si="137"/>
        <v>0</v>
      </c>
      <c r="AD123" s="100">
        <f t="shared" si="138"/>
        <v>0</v>
      </c>
      <c r="AE123" s="100">
        <f t="shared" si="139"/>
        <v>0</v>
      </c>
      <c r="AF123" s="100">
        <f t="shared" si="140"/>
        <v>0</v>
      </c>
      <c r="AG123" s="100">
        <f t="shared" si="141"/>
        <v>0</v>
      </c>
      <c r="AH123" s="100">
        <f t="shared" si="142"/>
        <v>0</v>
      </c>
      <c r="AI123" s="109"/>
      <c r="AJ123" s="108">
        <f t="shared" si="143"/>
        <v>0</v>
      </c>
      <c r="AK123" s="108">
        <f t="shared" si="144"/>
        <v>0</v>
      </c>
      <c r="AL123" s="108">
        <f t="shared" si="145"/>
        <v>0</v>
      </c>
      <c r="AN123" s="100">
        <v>15</v>
      </c>
      <c r="AO123" s="100">
        <f>H123*0</f>
        <v>0</v>
      </c>
      <c r="AP123" s="100">
        <f>H123*(1-0)</f>
        <v>0</v>
      </c>
      <c r="AQ123" s="111" t="s">
        <v>7</v>
      </c>
      <c r="AV123" s="100">
        <f t="shared" si="146"/>
        <v>0</v>
      </c>
      <c r="AW123" s="100">
        <f t="shared" si="147"/>
        <v>0</v>
      </c>
      <c r="AX123" s="100">
        <f t="shared" si="148"/>
        <v>0</v>
      </c>
      <c r="AY123" s="110" t="s">
        <v>1700</v>
      </c>
      <c r="AZ123" s="110" t="s">
        <v>1730</v>
      </c>
      <c r="BA123" s="109" t="s">
        <v>1737</v>
      </c>
      <c r="BC123" s="100">
        <f t="shared" si="149"/>
        <v>0</v>
      </c>
      <c r="BD123" s="100">
        <f t="shared" si="150"/>
        <v>0</v>
      </c>
      <c r="BE123" s="100">
        <v>0</v>
      </c>
      <c r="BF123" s="100">
        <f>123</f>
        <v>123</v>
      </c>
      <c r="BH123" s="108">
        <f t="shared" si="151"/>
        <v>0</v>
      </c>
      <c r="BI123" s="108">
        <f t="shared" si="152"/>
        <v>0</v>
      </c>
      <c r="BJ123" s="108">
        <f t="shared" si="153"/>
        <v>0</v>
      </c>
    </row>
    <row r="124" spans="1:62" x14ac:dyDescent="0.2">
      <c r="A124" s="117" t="s">
        <v>93</v>
      </c>
      <c r="B124" s="117" t="s">
        <v>653</v>
      </c>
      <c r="C124" s="304" t="s">
        <v>1161</v>
      </c>
      <c r="D124" s="305"/>
      <c r="E124" s="305"/>
      <c r="F124" s="117" t="s">
        <v>1647</v>
      </c>
      <c r="G124" s="116">
        <v>0.12</v>
      </c>
      <c r="H124" s="159"/>
      <c r="I124" s="108">
        <f t="shared" si="132"/>
        <v>0</v>
      </c>
      <c r="J124" s="108">
        <f t="shared" si="133"/>
        <v>0</v>
      </c>
      <c r="K124" s="108">
        <f t="shared" si="134"/>
        <v>0</v>
      </c>
      <c r="L124" s="111" t="s">
        <v>1671</v>
      </c>
      <c r="Z124" s="100">
        <f t="shared" si="135"/>
        <v>0</v>
      </c>
      <c r="AB124" s="100">
        <f t="shared" si="136"/>
        <v>0</v>
      </c>
      <c r="AC124" s="100">
        <f t="shared" si="137"/>
        <v>0</v>
      </c>
      <c r="AD124" s="100">
        <f t="shared" si="138"/>
        <v>0</v>
      </c>
      <c r="AE124" s="100">
        <f t="shared" si="139"/>
        <v>0</v>
      </c>
      <c r="AF124" s="100">
        <f t="shared" si="140"/>
        <v>0</v>
      </c>
      <c r="AG124" s="100">
        <f t="shared" si="141"/>
        <v>0</v>
      </c>
      <c r="AH124" s="100">
        <f t="shared" si="142"/>
        <v>0</v>
      </c>
      <c r="AI124" s="109"/>
      <c r="AJ124" s="108">
        <f t="shared" si="143"/>
        <v>0</v>
      </c>
      <c r="AK124" s="108">
        <f t="shared" si="144"/>
        <v>0</v>
      </c>
      <c r="AL124" s="108">
        <f t="shared" si="145"/>
        <v>0</v>
      </c>
      <c r="AN124" s="100">
        <v>15</v>
      </c>
      <c r="AO124" s="100">
        <f>H124*0</f>
        <v>0</v>
      </c>
      <c r="AP124" s="100">
        <f>H124*(1-0)</f>
        <v>0</v>
      </c>
      <c r="AQ124" s="111" t="s">
        <v>7</v>
      </c>
      <c r="AV124" s="100">
        <f t="shared" si="146"/>
        <v>0</v>
      </c>
      <c r="AW124" s="100">
        <f t="shared" si="147"/>
        <v>0</v>
      </c>
      <c r="AX124" s="100">
        <f t="shared" si="148"/>
        <v>0</v>
      </c>
      <c r="AY124" s="110" t="s">
        <v>1700</v>
      </c>
      <c r="AZ124" s="110" t="s">
        <v>1730</v>
      </c>
      <c r="BA124" s="109" t="s">
        <v>1737</v>
      </c>
      <c r="BC124" s="100">
        <f t="shared" si="149"/>
        <v>0</v>
      </c>
      <c r="BD124" s="100">
        <f t="shared" si="150"/>
        <v>0</v>
      </c>
      <c r="BE124" s="100">
        <v>0</v>
      </c>
      <c r="BF124" s="100">
        <f>124</f>
        <v>124</v>
      </c>
      <c r="BH124" s="108">
        <f t="shared" si="151"/>
        <v>0</v>
      </c>
      <c r="BI124" s="108">
        <f t="shared" si="152"/>
        <v>0</v>
      </c>
      <c r="BJ124" s="108">
        <f t="shared" si="153"/>
        <v>0</v>
      </c>
    </row>
    <row r="125" spans="1:62" x14ac:dyDescent="0.2">
      <c r="A125" s="117" t="s">
        <v>94</v>
      </c>
      <c r="B125" s="117" t="s">
        <v>654</v>
      </c>
      <c r="C125" s="304" t="s">
        <v>1162</v>
      </c>
      <c r="D125" s="305"/>
      <c r="E125" s="305"/>
      <c r="F125" s="117" t="s">
        <v>1645</v>
      </c>
      <c r="G125" s="116">
        <v>108.31100000000001</v>
      </c>
      <c r="H125" s="159"/>
      <c r="I125" s="108">
        <f t="shared" si="132"/>
        <v>0</v>
      </c>
      <c r="J125" s="108">
        <f t="shared" si="133"/>
        <v>0</v>
      </c>
      <c r="K125" s="108">
        <f t="shared" si="134"/>
        <v>0</v>
      </c>
      <c r="L125" s="111" t="s">
        <v>1671</v>
      </c>
      <c r="Z125" s="100">
        <f t="shared" si="135"/>
        <v>0</v>
      </c>
      <c r="AB125" s="100">
        <f t="shared" si="136"/>
        <v>0</v>
      </c>
      <c r="AC125" s="100">
        <f t="shared" si="137"/>
        <v>0</v>
      </c>
      <c r="AD125" s="100">
        <f t="shared" si="138"/>
        <v>0</v>
      </c>
      <c r="AE125" s="100">
        <f t="shared" si="139"/>
        <v>0</v>
      </c>
      <c r="AF125" s="100">
        <f t="shared" si="140"/>
        <v>0</v>
      </c>
      <c r="AG125" s="100">
        <f t="shared" si="141"/>
        <v>0</v>
      </c>
      <c r="AH125" s="100">
        <f t="shared" si="142"/>
        <v>0</v>
      </c>
      <c r="AI125" s="109"/>
      <c r="AJ125" s="108">
        <f t="shared" si="143"/>
        <v>0</v>
      </c>
      <c r="AK125" s="108">
        <f t="shared" si="144"/>
        <v>0</v>
      </c>
      <c r="AL125" s="108">
        <f t="shared" si="145"/>
        <v>0</v>
      </c>
      <c r="AN125" s="100">
        <v>15</v>
      </c>
      <c r="AO125" s="100">
        <f>H125*0.0999481044274186</f>
        <v>0</v>
      </c>
      <c r="AP125" s="100">
        <f>H125*(1-0.0999481044274186)</f>
        <v>0</v>
      </c>
      <c r="AQ125" s="111" t="s">
        <v>7</v>
      </c>
      <c r="AV125" s="100">
        <f t="shared" si="146"/>
        <v>0</v>
      </c>
      <c r="AW125" s="100">
        <f t="shared" si="147"/>
        <v>0</v>
      </c>
      <c r="AX125" s="100">
        <f t="shared" si="148"/>
        <v>0</v>
      </c>
      <c r="AY125" s="110" t="s">
        <v>1700</v>
      </c>
      <c r="AZ125" s="110" t="s">
        <v>1730</v>
      </c>
      <c r="BA125" s="109" t="s">
        <v>1737</v>
      </c>
      <c r="BC125" s="100">
        <f t="shared" si="149"/>
        <v>0</v>
      </c>
      <c r="BD125" s="100">
        <f t="shared" si="150"/>
        <v>0</v>
      </c>
      <c r="BE125" s="100">
        <v>0</v>
      </c>
      <c r="BF125" s="100">
        <f>125</f>
        <v>125</v>
      </c>
      <c r="BH125" s="108">
        <f t="shared" si="151"/>
        <v>0</v>
      </c>
      <c r="BI125" s="108">
        <f t="shared" si="152"/>
        <v>0</v>
      </c>
      <c r="BJ125" s="108">
        <f t="shared" si="153"/>
        <v>0</v>
      </c>
    </row>
    <row r="126" spans="1:62" x14ac:dyDescent="0.2">
      <c r="A126" s="117" t="s">
        <v>95</v>
      </c>
      <c r="B126" s="117" t="s">
        <v>655</v>
      </c>
      <c r="C126" s="304" t="s">
        <v>1163</v>
      </c>
      <c r="D126" s="305"/>
      <c r="E126" s="305"/>
      <c r="F126" s="117" t="s">
        <v>1647</v>
      </c>
      <c r="G126" s="116">
        <v>1.1000000000000001</v>
      </c>
      <c r="H126" s="159"/>
      <c r="I126" s="108">
        <f t="shared" si="132"/>
        <v>0</v>
      </c>
      <c r="J126" s="108">
        <f t="shared" si="133"/>
        <v>0</v>
      </c>
      <c r="K126" s="108">
        <f t="shared" si="134"/>
        <v>0</v>
      </c>
      <c r="L126" s="111" t="s">
        <v>1671</v>
      </c>
      <c r="Z126" s="100">
        <f t="shared" si="135"/>
        <v>0</v>
      </c>
      <c r="AB126" s="100">
        <f t="shared" si="136"/>
        <v>0</v>
      </c>
      <c r="AC126" s="100">
        <f t="shared" si="137"/>
        <v>0</v>
      </c>
      <c r="AD126" s="100">
        <f t="shared" si="138"/>
        <v>0</v>
      </c>
      <c r="AE126" s="100">
        <f t="shared" si="139"/>
        <v>0</v>
      </c>
      <c r="AF126" s="100">
        <f t="shared" si="140"/>
        <v>0</v>
      </c>
      <c r="AG126" s="100">
        <f t="shared" si="141"/>
        <v>0</v>
      </c>
      <c r="AH126" s="100">
        <f t="shared" si="142"/>
        <v>0</v>
      </c>
      <c r="AI126" s="109"/>
      <c r="AJ126" s="108">
        <f t="shared" si="143"/>
        <v>0</v>
      </c>
      <c r="AK126" s="108">
        <f t="shared" si="144"/>
        <v>0</v>
      </c>
      <c r="AL126" s="108">
        <f t="shared" si="145"/>
        <v>0</v>
      </c>
      <c r="AN126" s="100">
        <v>15</v>
      </c>
      <c r="AO126" s="100">
        <f>H126*0.0363940520446097</f>
        <v>0</v>
      </c>
      <c r="AP126" s="100">
        <f>H126*(1-0.0363940520446097)</f>
        <v>0</v>
      </c>
      <c r="AQ126" s="111" t="s">
        <v>7</v>
      </c>
      <c r="AV126" s="100">
        <f t="shared" si="146"/>
        <v>0</v>
      </c>
      <c r="AW126" s="100">
        <f t="shared" si="147"/>
        <v>0</v>
      </c>
      <c r="AX126" s="100">
        <f t="shared" si="148"/>
        <v>0</v>
      </c>
      <c r="AY126" s="110" t="s">
        <v>1700</v>
      </c>
      <c r="AZ126" s="110" t="s">
        <v>1730</v>
      </c>
      <c r="BA126" s="109" t="s">
        <v>1737</v>
      </c>
      <c r="BC126" s="100">
        <f t="shared" si="149"/>
        <v>0</v>
      </c>
      <c r="BD126" s="100">
        <f t="shared" si="150"/>
        <v>0</v>
      </c>
      <c r="BE126" s="100">
        <v>0</v>
      </c>
      <c r="BF126" s="100">
        <f>126</f>
        <v>126</v>
      </c>
      <c r="BH126" s="108">
        <f t="shared" si="151"/>
        <v>0</v>
      </c>
      <c r="BI126" s="108">
        <f t="shared" si="152"/>
        <v>0</v>
      </c>
      <c r="BJ126" s="108">
        <f t="shared" si="153"/>
        <v>0</v>
      </c>
    </row>
    <row r="127" spans="1:62" x14ac:dyDescent="0.2">
      <c r="A127" s="117" t="s">
        <v>96</v>
      </c>
      <c r="B127" s="117" t="s">
        <v>657</v>
      </c>
      <c r="C127" s="304" t="s">
        <v>1165</v>
      </c>
      <c r="D127" s="305"/>
      <c r="E127" s="305"/>
      <c r="F127" s="117" t="s">
        <v>1647</v>
      </c>
      <c r="G127" s="116">
        <v>0.33800000000000002</v>
      </c>
      <c r="H127" s="159"/>
      <c r="I127" s="108">
        <f t="shared" si="132"/>
        <v>0</v>
      </c>
      <c r="J127" s="108">
        <f t="shared" si="133"/>
        <v>0</v>
      </c>
      <c r="K127" s="108">
        <f t="shared" si="134"/>
        <v>0</v>
      </c>
      <c r="L127" s="111" t="s">
        <v>1671</v>
      </c>
      <c r="Z127" s="100">
        <f t="shared" si="135"/>
        <v>0</v>
      </c>
      <c r="AB127" s="100">
        <f t="shared" si="136"/>
        <v>0</v>
      </c>
      <c r="AC127" s="100">
        <f t="shared" si="137"/>
        <v>0</v>
      </c>
      <c r="AD127" s="100">
        <f t="shared" si="138"/>
        <v>0</v>
      </c>
      <c r="AE127" s="100">
        <f t="shared" si="139"/>
        <v>0</v>
      </c>
      <c r="AF127" s="100">
        <f t="shared" si="140"/>
        <v>0</v>
      </c>
      <c r="AG127" s="100">
        <f t="shared" si="141"/>
        <v>0</v>
      </c>
      <c r="AH127" s="100">
        <f t="shared" si="142"/>
        <v>0</v>
      </c>
      <c r="AI127" s="109"/>
      <c r="AJ127" s="108">
        <f t="shared" si="143"/>
        <v>0</v>
      </c>
      <c r="AK127" s="108">
        <f t="shared" si="144"/>
        <v>0</v>
      </c>
      <c r="AL127" s="108">
        <f t="shared" si="145"/>
        <v>0</v>
      </c>
      <c r="AN127" s="100">
        <v>15</v>
      </c>
      <c r="AO127" s="100">
        <f>H127*0</f>
        <v>0</v>
      </c>
      <c r="AP127" s="100">
        <f>H127*(1-0)</f>
        <v>0</v>
      </c>
      <c r="AQ127" s="111" t="s">
        <v>7</v>
      </c>
      <c r="AV127" s="100">
        <f t="shared" si="146"/>
        <v>0</v>
      </c>
      <c r="AW127" s="100">
        <f t="shared" si="147"/>
        <v>0</v>
      </c>
      <c r="AX127" s="100">
        <f t="shared" si="148"/>
        <v>0</v>
      </c>
      <c r="AY127" s="110" t="s">
        <v>1700</v>
      </c>
      <c r="AZ127" s="110" t="s">
        <v>1730</v>
      </c>
      <c r="BA127" s="109" t="s">
        <v>1737</v>
      </c>
      <c r="BC127" s="100">
        <f t="shared" si="149"/>
        <v>0</v>
      </c>
      <c r="BD127" s="100">
        <f t="shared" si="150"/>
        <v>0</v>
      </c>
      <c r="BE127" s="100">
        <v>0</v>
      </c>
      <c r="BF127" s="100">
        <f>127</f>
        <v>127</v>
      </c>
      <c r="BH127" s="108">
        <f t="shared" si="151"/>
        <v>0</v>
      </c>
      <c r="BI127" s="108">
        <f t="shared" si="152"/>
        <v>0</v>
      </c>
      <c r="BJ127" s="108">
        <f t="shared" si="153"/>
        <v>0</v>
      </c>
    </row>
    <row r="128" spans="1:62" x14ac:dyDescent="0.2">
      <c r="A128" s="117" t="s">
        <v>97</v>
      </c>
      <c r="B128" s="117" t="s">
        <v>658</v>
      </c>
      <c r="C128" s="304" t="s">
        <v>1166</v>
      </c>
      <c r="D128" s="305"/>
      <c r="E128" s="305"/>
      <c r="F128" s="117" t="s">
        <v>1645</v>
      </c>
      <c r="G128" s="116">
        <v>10.725</v>
      </c>
      <c r="H128" s="159"/>
      <c r="I128" s="108">
        <f t="shared" si="132"/>
        <v>0</v>
      </c>
      <c r="J128" s="108">
        <f t="shared" si="133"/>
        <v>0</v>
      </c>
      <c r="K128" s="108">
        <f t="shared" si="134"/>
        <v>0</v>
      </c>
      <c r="L128" s="111" t="s">
        <v>1671</v>
      </c>
      <c r="Z128" s="100">
        <f t="shared" si="135"/>
        <v>0</v>
      </c>
      <c r="AB128" s="100">
        <f t="shared" si="136"/>
        <v>0</v>
      </c>
      <c r="AC128" s="100">
        <f t="shared" si="137"/>
        <v>0</v>
      </c>
      <c r="AD128" s="100">
        <f t="shared" si="138"/>
        <v>0</v>
      </c>
      <c r="AE128" s="100">
        <f t="shared" si="139"/>
        <v>0</v>
      </c>
      <c r="AF128" s="100">
        <f t="shared" si="140"/>
        <v>0</v>
      </c>
      <c r="AG128" s="100">
        <f t="shared" si="141"/>
        <v>0</v>
      </c>
      <c r="AH128" s="100">
        <f t="shared" si="142"/>
        <v>0</v>
      </c>
      <c r="AI128" s="109"/>
      <c r="AJ128" s="108">
        <f t="shared" si="143"/>
        <v>0</v>
      </c>
      <c r="AK128" s="108">
        <f t="shared" si="144"/>
        <v>0</v>
      </c>
      <c r="AL128" s="108">
        <f t="shared" si="145"/>
        <v>0</v>
      </c>
      <c r="AN128" s="100">
        <v>15</v>
      </c>
      <c r="AO128" s="100">
        <f>H128*0</f>
        <v>0</v>
      </c>
      <c r="AP128" s="100">
        <f>H128*(1-0)</f>
        <v>0</v>
      </c>
      <c r="AQ128" s="111" t="s">
        <v>7</v>
      </c>
      <c r="AV128" s="100">
        <f t="shared" si="146"/>
        <v>0</v>
      </c>
      <c r="AW128" s="100">
        <f t="shared" si="147"/>
        <v>0</v>
      </c>
      <c r="AX128" s="100">
        <f t="shared" si="148"/>
        <v>0</v>
      </c>
      <c r="AY128" s="110" t="s">
        <v>1700</v>
      </c>
      <c r="AZ128" s="110" t="s">
        <v>1730</v>
      </c>
      <c r="BA128" s="109" t="s">
        <v>1737</v>
      </c>
      <c r="BC128" s="100">
        <f t="shared" si="149"/>
        <v>0</v>
      </c>
      <c r="BD128" s="100">
        <f t="shared" si="150"/>
        <v>0</v>
      </c>
      <c r="BE128" s="100">
        <v>0</v>
      </c>
      <c r="BF128" s="100">
        <f>128</f>
        <v>128</v>
      </c>
      <c r="BH128" s="108">
        <f t="shared" si="151"/>
        <v>0</v>
      </c>
      <c r="BI128" s="108">
        <f t="shared" si="152"/>
        <v>0</v>
      </c>
      <c r="BJ128" s="108">
        <f t="shared" si="153"/>
        <v>0</v>
      </c>
    </row>
    <row r="129" spans="1:62" x14ac:dyDescent="0.2">
      <c r="A129" s="117" t="s">
        <v>98</v>
      </c>
      <c r="B129" s="117" t="s">
        <v>659</v>
      </c>
      <c r="C129" s="304" t="s">
        <v>1167</v>
      </c>
      <c r="D129" s="305"/>
      <c r="E129" s="305"/>
      <c r="F129" s="117" t="s">
        <v>1646</v>
      </c>
      <c r="G129" s="116">
        <v>17.7</v>
      </c>
      <c r="H129" s="159"/>
      <c r="I129" s="108">
        <f t="shared" si="132"/>
        <v>0</v>
      </c>
      <c r="J129" s="108">
        <f t="shared" si="133"/>
        <v>0</v>
      </c>
      <c r="K129" s="108">
        <f t="shared" si="134"/>
        <v>0</v>
      </c>
      <c r="L129" s="111" t="s">
        <v>1671</v>
      </c>
      <c r="Z129" s="100">
        <f t="shared" si="135"/>
        <v>0</v>
      </c>
      <c r="AB129" s="100">
        <f t="shared" si="136"/>
        <v>0</v>
      </c>
      <c r="AC129" s="100">
        <f t="shared" si="137"/>
        <v>0</v>
      </c>
      <c r="AD129" s="100">
        <f t="shared" si="138"/>
        <v>0</v>
      </c>
      <c r="AE129" s="100">
        <f t="shared" si="139"/>
        <v>0</v>
      </c>
      <c r="AF129" s="100">
        <f t="shared" si="140"/>
        <v>0</v>
      </c>
      <c r="AG129" s="100">
        <f t="shared" si="141"/>
        <v>0</v>
      </c>
      <c r="AH129" s="100">
        <f t="shared" si="142"/>
        <v>0</v>
      </c>
      <c r="AI129" s="109"/>
      <c r="AJ129" s="108">
        <f t="shared" si="143"/>
        <v>0</v>
      </c>
      <c r="AK129" s="108">
        <f t="shared" si="144"/>
        <v>0</v>
      </c>
      <c r="AL129" s="108">
        <f t="shared" si="145"/>
        <v>0</v>
      </c>
      <c r="AN129" s="100">
        <v>15</v>
      </c>
      <c r="AO129" s="100">
        <f>H129*0</f>
        <v>0</v>
      </c>
      <c r="AP129" s="100">
        <f>H129*(1-0)</f>
        <v>0</v>
      </c>
      <c r="AQ129" s="111" t="s">
        <v>7</v>
      </c>
      <c r="AV129" s="100">
        <f t="shared" si="146"/>
        <v>0</v>
      </c>
      <c r="AW129" s="100">
        <f t="shared" si="147"/>
        <v>0</v>
      </c>
      <c r="AX129" s="100">
        <f t="shared" si="148"/>
        <v>0</v>
      </c>
      <c r="AY129" s="110" t="s">
        <v>1700</v>
      </c>
      <c r="AZ129" s="110" t="s">
        <v>1730</v>
      </c>
      <c r="BA129" s="109" t="s">
        <v>1737</v>
      </c>
      <c r="BC129" s="100">
        <f t="shared" si="149"/>
        <v>0</v>
      </c>
      <c r="BD129" s="100">
        <f t="shared" si="150"/>
        <v>0</v>
      </c>
      <c r="BE129" s="100">
        <v>0</v>
      </c>
      <c r="BF129" s="100">
        <f>129</f>
        <v>129</v>
      </c>
      <c r="BH129" s="108">
        <f t="shared" si="151"/>
        <v>0</v>
      </c>
      <c r="BI129" s="108">
        <f t="shared" si="152"/>
        <v>0</v>
      </c>
      <c r="BJ129" s="108">
        <f t="shared" si="153"/>
        <v>0</v>
      </c>
    </row>
    <row r="130" spans="1:62" x14ac:dyDescent="0.2">
      <c r="A130" s="117" t="s">
        <v>99</v>
      </c>
      <c r="B130" s="117" t="s">
        <v>660</v>
      </c>
      <c r="C130" s="304" t="s">
        <v>1168</v>
      </c>
      <c r="D130" s="305"/>
      <c r="E130" s="305"/>
      <c r="F130" s="117" t="s">
        <v>1645</v>
      </c>
      <c r="G130" s="116">
        <v>10.725</v>
      </c>
      <c r="H130" s="159"/>
      <c r="I130" s="108">
        <f t="shared" si="132"/>
        <v>0</v>
      </c>
      <c r="J130" s="108">
        <f t="shared" si="133"/>
        <v>0</v>
      </c>
      <c r="K130" s="108">
        <f t="shared" si="134"/>
        <v>0</v>
      </c>
      <c r="L130" s="111" t="s">
        <v>1671</v>
      </c>
      <c r="Z130" s="100">
        <f t="shared" si="135"/>
        <v>0</v>
      </c>
      <c r="AB130" s="100">
        <f t="shared" si="136"/>
        <v>0</v>
      </c>
      <c r="AC130" s="100">
        <f t="shared" si="137"/>
        <v>0</v>
      </c>
      <c r="AD130" s="100">
        <f t="shared" si="138"/>
        <v>0</v>
      </c>
      <c r="AE130" s="100">
        <f t="shared" si="139"/>
        <v>0</v>
      </c>
      <c r="AF130" s="100">
        <f t="shared" si="140"/>
        <v>0</v>
      </c>
      <c r="AG130" s="100">
        <f t="shared" si="141"/>
        <v>0</v>
      </c>
      <c r="AH130" s="100">
        <f t="shared" si="142"/>
        <v>0</v>
      </c>
      <c r="AI130" s="109"/>
      <c r="AJ130" s="108">
        <f t="shared" si="143"/>
        <v>0</v>
      </c>
      <c r="AK130" s="108">
        <f t="shared" si="144"/>
        <v>0</v>
      </c>
      <c r="AL130" s="108">
        <f t="shared" si="145"/>
        <v>0</v>
      </c>
      <c r="AN130" s="100">
        <v>15</v>
      </c>
      <c r="AO130" s="100">
        <f>H130*0</f>
        <v>0</v>
      </c>
      <c r="AP130" s="100">
        <f>H130*(1-0)</f>
        <v>0</v>
      </c>
      <c r="AQ130" s="111" t="s">
        <v>7</v>
      </c>
      <c r="AV130" s="100">
        <f t="shared" si="146"/>
        <v>0</v>
      </c>
      <c r="AW130" s="100">
        <f t="shared" si="147"/>
        <v>0</v>
      </c>
      <c r="AX130" s="100">
        <f t="shared" si="148"/>
        <v>0</v>
      </c>
      <c r="AY130" s="110" t="s">
        <v>1700</v>
      </c>
      <c r="AZ130" s="110" t="s">
        <v>1730</v>
      </c>
      <c r="BA130" s="109" t="s">
        <v>1737</v>
      </c>
      <c r="BC130" s="100">
        <f t="shared" si="149"/>
        <v>0</v>
      </c>
      <c r="BD130" s="100">
        <f t="shared" si="150"/>
        <v>0</v>
      </c>
      <c r="BE130" s="100">
        <v>0</v>
      </c>
      <c r="BF130" s="100">
        <f>130</f>
        <v>130</v>
      </c>
      <c r="BH130" s="108">
        <f t="shared" si="151"/>
        <v>0</v>
      </c>
      <c r="BI130" s="108">
        <f t="shared" si="152"/>
        <v>0</v>
      </c>
      <c r="BJ130" s="108">
        <f t="shared" si="153"/>
        <v>0</v>
      </c>
    </row>
    <row r="131" spans="1:62" x14ac:dyDescent="0.2">
      <c r="A131" s="117" t="s">
        <v>100</v>
      </c>
      <c r="B131" s="117" t="s">
        <v>661</v>
      </c>
      <c r="C131" s="304" t="s">
        <v>1169</v>
      </c>
      <c r="D131" s="305"/>
      <c r="E131" s="305"/>
      <c r="F131" s="117" t="s">
        <v>1644</v>
      </c>
      <c r="G131" s="116">
        <v>1</v>
      </c>
      <c r="H131" s="159"/>
      <c r="I131" s="108">
        <f t="shared" si="132"/>
        <v>0</v>
      </c>
      <c r="J131" s="108">
        <f t="shared" si="133"/>
        <v>0</v>
      </c>
      <c r="K131" s="108">
        <f t="shared" si="134"/>
        <v>0</v>
      </c>
      <c r="L131" s="111" t="s">
        <v>1671</v>
      </c>
      <c r="Z131" s="100">
        <f t="shared" si="135"/>
        <v>0</v>
      </c>
      <c r="AB131" s="100">
        <f t="shared" si="136"/>
        <v>0</v>
      </c>
      <c r="AC131" s="100">
        <f t="shared" si="137"/>
        <v>0</v>
      </c>
      <c r="AD131" s="100">
        <f t="shared" si="138"/>
        <v>0</v>
      </c>
      <c r="AE131" s="100">
        <f t="shared" si="139"/>
        <v>0</v>
      </c>
      <c r="AF131" s="100">
        <f t="shared" si="140"/>
        <v>0</v>
      </c>
      <c r="AG131" s="100">
        <f t="shared" si="141"/>
        <v>0</v>
      </c>
      <c r="AH131" s="100">
        <f t="shared" si="142"/>
        <v>0</v>
      </c>
      <c r="AI131" s="109"/>
      <c r="AJ131" s="108">
        <f t="shared" si="143"/>
        <v>0</v>
      </c>
      <c r="AK131" s="108">
        <f t="shared" si="144"/>
        <v>0</v>
      </c>
      <c r="AL131" s="108">
        <f t="shared" si="145"/>
        <v>0</v>
      </c>
      <c r="AN131" s="100">
        <v>15</v>
      </c>
      <c r="AO131" s="100">
        <f>H131*0.000102564102564103</f>
        <v>0</v>
      </c>
      <c r="AP131" s="100">
        <f>H131*(1-0.000102564102564103)</f>
        <v>0</v>
      </c>
      <c r="AQ131" s="111" t="s">
        <v>7</v>
      </c>
      <c r="AV131" s="100">
        <f t="shared" si="146"/>
        <v>0</v>
      </c>
      <c r="AW131" s="100">
        <f t="shared" si="147"/>
        <v>0</v>
      </c>
      <c r="AX131" s="100">
        <f t="shared" si="148"/>
        <v>0</v>
      </c>
      <c r="AY131" s="110" t="s">
        <v>1700</v>
      </c>
      <c r="AZ131" s="110" t="s">
        <v>1730</v>
      </c>
      <c r="BA131" s="109" t="s">
        <v>1737</v>
      </c>
      <c r="BC131" s="100">
        <f t="shared" si="149"/>
        <v>0</v>
      </c>
      <c r="BD131" s="100">
        <f t="shared" si="150"/>
        <v>0</v>
      </c>
      <c r="BE131" s="100">
        <v>0</v>
      </c>
      <c r="BF131" s="100">
        <f>131</f>
        <v>131</v>
      </c>
      <c r="BH131" s="108">
        <f t="shared" si="151"/>
        <v>0</v>
      </c>
      <c r="BI131" s="108">
        <f t="shared" si="152"/>
        <v>0</v>
      </c>
      <c r="BJ131" s="108">
        <f t="shared" si="153"/>
        <v>0</v>
      </c>
    </row>
    <row r="132" spans="1:62" x14ac:dyDescent="0.2">
      <c r="A132" s="117" t="s">
        <v>101</v>
      </c>
      <c r="B132" s="117" t="s">
        <v>662</v>
      </c>
      <c r="C132" s="304" t="s">
        <v>1170</v>
      </c>
      <c r="D132" s="305"/>
      <c r="E132" s="305"/>
      <c r="F132" s="117" t="s">
        <v>1644</v>
      </c>
      <c r="G132" s="116">
        <v>1</v>
      </c>
      <c r="H132" s="159"/>
      <c r="I132" s="108">
        <f t="shared" si="132"/>
        <v>0</v>
      </c>
      <c r="J132" s="108">
        <f t="shared" si="133"/>
        <v>0</v>
      </c>
      <c r="K132" s="108">
        <f t="shared" si="134"/>
        <v>0</v>
      </c>
      <c r="L132" s="111" t="s">
        <v>1671</v>
      </c>
      <c r="Z132" s="100">
        <f t="shared" si="135"/>
        <v>0</v>
      </c>
      <c r="AB132" s="100">
        <f t="shared" si="136"/>
        <v>0</v>
      </c>
      <c r="AC132" s="100">
        <f t="shared" si="137"/>
        <v>0</v>
      </c>
      <c r="AD132" s="100">
        <f t="shared" si="138"/>
        <v>0</v>
      </c>
      <c r="AE132" s="100">
        <f t="shared" si="139"/>
        <v>0</v>
      </c>
      <c r="AF132" s="100">
        <f t="shared" si="140"/>
        <v>0</v>
      </c>
      <c r="AG132" s="100">
        <f t="shared" si="141"/>
        <v>0</v>
      </c>
      <c r="AH132" s="100">
        <f t="shared" si="142"/>
        <v>0</v>
      </c>
      <c r="AI132" s="109"/>
      <c r="AJ132" s="108">
        <f t="shared" si="143"/>
        <v>0</v>
      </c>
      <c r="AK132" s="108">
        <f t="shared" si="144"/>
        <v>0</v>
      </c>
      <c r="AL132" s="108">
        <f t="shared" si="145"/>
        <v>0</v>
      </c>
      <c r="AN132" s="100">
        <v>15</v>
      </c>
      <c r="AO132" s="100">
        <f>H132*0.14559068800201</f>
        <v>0</v>
      </c>
      <c r="AP132" s="100">
        <f>H132*(1-0.14559068800201)</f>
        <v>0</v>
      </c>
      <c r="AQ132" s="111" t="s">
        <v>7</v>
      </c>
      <c r="AV132" s="100">
        <f t="shared" si="146"/>
        <v>0</v>
      </c>
      <c r="AW132" s="100">
        <f t="shared" si="147"/>
        <v>0</v>
      </c>
      <c r="AX132" s="100">
        <f t="shared" si="148"/>
        <v>0</v>
      </c>
      <c r="AY132" s="110" t="s">
        <v>1700</v>
      </c>
      <c r="AZ132" s="110" t="s">
        <v>1730</v>
      </c>
      <c r="BA132" s="109" t="s">
        <v>1737</v>
      </c>
      <c r="BC132" s="100">
        <f t="shared" si="149"/>
        <v>0</v>
      </c>
      <c r="BD132" s="100">
        <f t="shared" si="150"/>
        <v>0</v>
      </c>
      <c r="BE132" s="100">
        <v>0</v>
      </c>
      <c r="BF132" s="100">
        <f>132</f>
        <v>132</v>
      </c>
      <c r="BH132" s="108">
        <f t="shared" si="151"/>
        <v>0</v>
      </c>
      <c r="BI132" s="108">
        <f t="shared" si="152"/>
        <v>0</v>
      </c>
      <c r="BJ132" s="108">
        <f t="shared" si="153"/>
        <v>0</v>
      </c>
    </row>
    <row r="133" spans="1:62" x14ac:dyDescent="0.2">
      <c r="A133" s="117" t="s">
        <v>102</v>
      </c>
      <c r="B133" s="117" t="s">
        <v>2145</v>
      </c>
      <c r="C133" s="304" t="s">
        <v>2144</v>
      </c>
      <c r="D133" s="305"/>
      <c r="E133" s="305"/>
      <c r="F133" s="117" t="s">
        <v>1644</v>
      </c>
      <c r="G133" s="116">
        <v>1</v>
      </c>
      <c r="H133" s="159"/>
      <c r="I133" s="108">
        <f t="shared" si="132"/>
        <v>0</v>
      </c>
      <c r="J133" s="108">
        <f t="shared" si="133"/>
        <v>0</v>
      </c>
      <c r="K133" s="108">
        <f t="shared" si="134"/>
        <v>0</v>
      </c>
      <c r="L133" s="111" t="s">
        <v>1671</v>
      </c>
      <c r="Z133" s="100">
        <f t="shared" si="135"/>
        <v>0</v>
      </c>
      <c r="AB133" s="100">
        <f t="shared" si="136"/>
        <v>0</v>
      </c>
      <c r="AC133" s="100">
        <f t="shared" si="137"/>
        <v>0</v>
      </c>
      <c r="AD133" s="100">
        <f t="shared" si="138"/>
        <v>0</v>
      </c>
      <c r="AE133" s="100">
        <f t="shared" si="139"/>
        <v>0</v>
      </c>
      <c r="AF133" s="100">
        <f t="shared" si="140"/>
        <v>0</v>
      </c>
      <c r="AG133" s="100">
        <f t="shared" si="141"/>
        <v>0</v>
      </c>
      <c r="AH133" s="100">
        <f t="shared" si="142"/>
        <v>0</v>
      </c>
      <c r="AI133" s="109"/>
      <c r="AJ133" s="108">
        <f t="shared" si="143"/>
        <v>0</v>
      </c>
      <c r="AK133" s="108">
        <f t="shared" si="144"/>
        <v>0</v>
      </c>
      <c r="AL133" s="108">
        <f t="shared" si="145"/>
        <v>0</v>
      </c>
      <c r="AN133" s="100">
        <v>15</v>
      </c>
      <c r="AO133" s="100">
        <f>H133*0.14559</f>
        <v>0</v>
      </c>
      <c r="AP133" s="100">
        <f>H133*(1-0.14559)</f>
        <v>0</v>
      </c>
      <c r="AQ133" s="111" t="s">
        <v>7</v>
      </c>
      <c r="AV133" s="100">
        <f t="shared" si="146"/>
        <v>0</v>
      </c>
      <c r="AW133" s="100">
        <f t="shared" si="147"/>
        <v>0</v>
      </c>
      <c r="AX133" s="100">
        <f t="shared" si="148"/>
        <v>0</v>
      </c>
      <c r="AY133" s="110" t="s">
        <v>1700</v>
      </c>
      <c r="AZ133" s="110" t="s">
        <v>1730</v>
      </c>
      <c r="BA133" s="109" t="s">
        <v>1737</v>
      </c>
      <c r="BC133" s="100">
        <f t="shared" si="149"/>
        <v>0</v>
      </c>
      <c r="BD133" s="100">
        <f t="shared" si="150"/>
        <v>0</v>
      </c>
      <c r="BE133" s="100">
        <v>0</v>
      </c>
      <c r="BF133" s="100">
        <f>133</f>
        <v>133</v>
      </c>
      <c r="BH133" s="108">
        <f t="shared" si="151"/>
        <v>0</v>
      </c>
      <c r="BI133" s="108">
        <f t="shared" si="152"/>
        <v>0</v>
      </c>
      <c r="BJ133" s="108">
        <f t="shared" si="153"/>
        <v>0</v>
      </c>
    </row>
    <row r="134" spans="1:62" x14ac:dyDescent="0.2">
      <c r="A134" s="117" t="s">
        <v>103</v>
      </c>
      <c r="B134" s="117" t="s">
        <v>663</v>
      </c>
      <c r="C134" s="304" t="s">
        <v>1171</v>
      </c>
      <c r="D134" s="305"/>
      <c r="E134" s="305"/>
      <c r="F134" s="117" t="s">
        <v>1644</v>
      </c>
      <c r="G134" s="116">
        <v>15</v>
      </c>
      <c r="H134" s="159"/>
      <c r="I134" s="108">
        <f t="shared" si="132"/>
        <v>0</v>
      </c>
      <c r="J134" s="108">
        <f t="shared" si="133"/>
        <v>0</v>
      </c>
      <c r="K134" s="108">
        <f t="shared" si="134"/>
        <v>0</v>
      </c>
      <c r="L134" s="111" t="s">
        <v>1671</v>
      </c>
      <c r="Z134" s="100">
        <f t="shared" si="135"/>
        <v>0</v>
      </c>
      <c r="AB134" s="100">
        <f t="shared" si="136"/>
        <v>0</v>
      </c>
      <c r="AC134" s="100">
        <f t="shared" si="137"/>
        <v>0</v>
      </c>
      <c r="AD134" s="100">
        <f t="shared" si="138"/>
        <v>0</v>
      </c>
      <c r="AE134" s="100">
        <f t="shared" si="139"/>
        <v>0</v>
      </c>
      <c r="AF134" s="100">
        <f t="shared" si="140"/>
        <v>0</v>
      </c>
      <c r="AG134" s="100">
        <f t="shared" si="141"/>
        <v>0</v>
      </c>
      <c r="AH134" s="100">
        <f t="shared" si="142"/>
        <v>0</v>
      </c>
      <c r="AI134" s="109"/>
      <c r="AJ134" s="108">
        <f t="shared" si="143"/>
        <v>0</v>
      </c>
      <c r="AK134" s="108">
        <f t="shared" si="144"/>
        <v>0</v>
      </c>
      <c r="AL134" s="108">
        <f t="shared" si="145"/>
        <v>0</v>
      </c>
      <c r="AN134" s="100">
        <v>15</v>
      </c>
      <c r="AO134" s="100">
        <f>H134*0.000181818181818182</f>
        <v>0</v>
      </c>
      <c r="AP134" s="100">
        <f>H134*(1-0.000181818181818182)</f>
        <v>0</v>
      </c>
      <c r="AQ134" s="111" t="s">
        <v>7</v>
      </c>
      <c r="AV134" s="100">
        <f t="shared" si="146"/>
        <v>0</v>
      </c>
      <c r="AW134" s="100">
        <f t="shared" si="147"/>
        <v>0</v>
      </c>
      <c r="AX134" s="100">
        <f t="shared" si="148"/>
        <v>0</v>
      </c>
      <c r="AY134" s="110" t="s">
        <v>1700</v>
      </c>
      <c r="AZ134" s="110" t="s">
        <v>1730</v>
      </c>
      <c r="BA134" s="109" t="s">
        <v>1737</v>
      </c>
      <c r="BC134" s="100">
        <f t="shared" si="149"/>
        <v>0</v>
      </c>
      <c r="BD134" s="100">
        <f t="shared" si="150"/>
        <v>0</v>
      </c>
      <c r="BE134" s="100">
        <v>0</v>
      </c>
      <c r="BF134" s="100">
        <f>134</f>
        <v>134</v>
      </c>
      <c r="BH134" s="108">
        <f t="shared" si="151"/>
        <v>0</v>
      </c>
      <c r="BI134" s="108">
        <f t="shared" si="152"/>
        <v>0</v>
      </c>
      <c r="BJ134" s="108">
        <f t="shared" si="153"/>
        <v>0</v>
      </c>
    </row>
    <row r="135" spans="1:62" x14ac:dyDescent="0.2">
      <c r="A135" s="117" t="s">
        <v>104</v>
      </c>
      <c r="B135" s="117" t="s">
        <v>665</v>
      </c>
      <c r="C135" s="304" t="s">
        <v>1173</v>
      </c>
      <c r="D135" s="305"/>
      <c r="E135" s="305"/>
      <c r="F135" s="117" t="s">
        <v>1645</v>
      </c>
      <c r="G135" s="116">
        <v>75.816999999999993</v>
      </c>
      <c r="H135" s="159"/>
      <c r="I135" s="108">
        <f t="shared" si="132"/>
        <v>0</v>
      </c>
      <c r="J135" s="108">
        <f t="shared" si="133"/>
        <v>0</v>
      </c>
      <c r="K135" s="108">
        <f t="shared" si="134"/>
        <v>0</v>
      </c>
      <c r="L135" s="111" t="s">
        <v>1671</v>
      </c>
      <c r="Z135" s="100">
        <f t="shared" si="135"/>
        <v>0</v>
      </c>
      <c r="AB135" s="100">
        <f t="shared" si="136"/>
        <v>0</v>
      </c>
      <c r="AC135" s="100">
        <f t="shared" si="137"/>
        <v>0</v>
      </c>
      <c r="AD135" s="100">
        <f t="shared" si="138"/>
        <v>0</v>
      </c>
      <c r="AE135" s="100">
        <f t="shared" si="139"/>
        <v>0</v>
      </c>
      <c r="AF135" s="100">
        <f t="shared" si="140"/>
        <v>0</v>
      </c>
      <c r="AG135" s="100">
        <f t="shared" si="141"/>
        <v>0</v>
      </c>
      <c r="AH135" s="100">
        <f t="shared" si="142"/>
        <v>0</v>
      </c>
      <c r="AI135" s="109"/>
      <c r="AJ135" s="108">
        <f t="shared" si="143"/>
        <v>0</v>
      </c>
      <c r="AK135" s="108">
        <f t="shared" si="144"/>
        <v>0</v>
      </c>
      <c r="AL135" s="108">
        <f t="shared" si="145"/>
        <v>0</v>
      </c>
      <c r="AN135" s="100">
        <v>15</v>
      </c>
      <c r="AO135" s="100">
        <f>H135*0.0147509593452877</f>
        <v>0</v>
      </c>
      <c r="AP135" s="100">
        <f>H135*(1-0.0147509593452877)</f>
        <v>0</v>
      </c>
      <c r="AQ135" s="111" t="s">
        <v>7</v>
      </c>
      <c r="AV135" s="100">
        <f t="shared" si="146"/>
        <v>0</v>
      </c>
      <c r="AW135" s="100">
        <f t="shared" si="147"/>
        <v>0</v>
      </c>
      <c r="AX135" s="100">
        <f t="shared" si="148"/>
        <v>0</v>
      </c>
      <c r="AY135" s="110" t="s">
        <v>1700</v>
      </c>
      <c r="AZ135" s="110" t="s">
        <v>1730</v>
      </c>
      <c r="BA135" s="109" t="s">
        <v>1737</v>
      </c>
      <c r="BC135" s="100">
        <f t="shared" si="149"/>
        <v>0</v>
      </c>
      <c r="BD135" s="100">
        <f t="shared" si="150"/>
        <v>0</v>
      </c>
      <c r="BE135" s="100">
        <v>0</v>
      </c>
      <c r="BF135" s="100">
        <f>135</f>
        <v>135</v>
      </c>
      <c r="BH135" s="108">
        <f t="shared" si="151"/>
        <v>0</v>
      </c>
      <c r="BI135" s="108">
        <f t="shared" si="152"/>
        <v>0</v>
      </c>
      <c r="BJ135" s="108">
        <f t="shared" si="153"/>
        <v>0</v>
      </c>
    </row>
    <row r="136" spans="1:62" x14ac:dyDescent="0.2">
      <c r="A136" s="117" t="s">
        <v>105</v>
      </c>
      <c r="B136" s="117" t="s">
        <v>666</v>
      </c>
      <c r="C136" s="304" t="s">
        <v>1174</v>
      </c>
      <c r="D136" s="305"/>
      <c r="E136" s="305"/>
      <c r="F136" s="117" t="s">
        <v>1645</v>
      </c>
      <c r="G136" s="116">
        <v>32.493000000000002</v>
      </c>
      <c r="H136" s="159"/>
      <c r="I136" s="108">
        <f t="shared" si="132"/>
        <v>0</v>
      </c>
      <c r="J136" s="108">
        <f t="shared" si="133"/>
        <v>0</v>
      </c>
      <c r="K136" s="108">
        <f t="shared" si="134"/>
        <v>0</v>
      </c>
      <c r="L136" s="111" t="s">
        <v>1671</v>
      </c>
      <c r="Z136" s="100">
        <f t="shared" si="135"/>
        <v>0</v>
      </c>
      <c r="AB136" s="100">
        <f t="shared" si="136"/>
        <v>0</v>
      </c>
      <c r="AC136" s="100">
        <f t="shared" si="137"/>
        <v>0</v>
      </c>
      <c r="AD136" s="100">
        <f t="shared" si="138"/>
        <v>0</v>
      </c>
      <c r="AE136" s="100">
        <f t="shared" si="139"/>
        <v>0</v>
      </c>
      <c r="AF136" s="100">
        <f t="shared" si="140"/>
        <v>0</v>
      </c>
      <c r="AG136" s="100">
        <f t="shared" si="141"/>
        <v>0</v>
      </c>
      <c r="AH136" s="100">
        <f t="shared" si="142"/>
        <v>0</v>
      </c>
      <c r="AI136" s="109"/>
      <c r="AJ136" s="108">
        <f t="shared" si="143"/>
        <v>0</v>
      </c>
      <c r="AK136" s="108">
        <f t="shared" si="144"/>
        <v>0</v>
      </c>
      <c r="AL136" s="108">
        <f t="shared" si="145"/>
        <v>0</v>
      </c>
      <c r="AN136" s="100">
        <v>15</v>
      </c>
      <c r="AO136" s="100">
        <f>H136*0.0103628859403573</f>
        <v>0</v>
      </c>
      <c r="AP136" s="100">
        <f>H136*(1-0.0103628859403573)</f>
        <v>0</v>
      </c>
      <c r="AQ136" s="111" t="s">
        <v>7</v>
      </c>
      <c r="AV136" s="100">
        <f t="shared" si="146"/>
        <v>0</v>
      </c>
      <c r="AW136" s="100">
        <f t="shared" si="147"/>
        <v>0</v>
      </c>
      <c r="AX136" s="100">
        <f t="shared" si="148"/>
        <v>0</v>
      </c>
      <c r="AY136" s="110" t="s">
        <v>1700</v>
      </c>
      <c r="AZ136" s="110" t="s">
        <v>1730</v>
      </c>
      <c r="BA136" s="109" t="s">
        <v>1737</v>
      </c>
      <c r="BC136" s="100">
        <f t="shared" si="149"/>
        <v>0</v>
      </c>
      <c r="BD136" s="100">
        <f t="shared" si="150"/>
        <v>0</v>
      </c>
      <c r="BE136" s="100">
        <v>0</v>
      </c>
      <c r="BF136" s="100">
        <f>136</f>
        <v>136</v>
      </c>
      <c r="BH136" s="108">
        <f t="shared" si="151"/>
        <v>0</v>
      </c>
      <c r="BI136" s="108">
        <f t="shared" si="152"/>
        <v>0</v>
      </c>
      <c r="BJ136" s="108">
        <f t="shared" si="153"/>
        <v>0</v>
      </c>
    </row>
    <row r="137" spans="1:62" x14ac:dyDescent="0.2">
      <c r="A137" s="117" t="s">
        <v>106</v>
      </c>
      <c r="B137" s="117" t="s">
        <v>667</v>
      </c>
      <c r="C137" s="304" t="s">
        <v>2143</v>
      </c>
      <c r="D137" s="305"/>
      <c r="E137" s="305"/>
      <c r="F137" s="117" t="s">
        <v>1644</v>
      </c>
      <c r="G137" s="116">
        <v>1</v>
      </c>
      <c r="H137" s="159"/>
      <c r="I137" s="108">
        <f t="shared" si="132"/>
        <v>0</v>
      </c>
      <c r="J137" s="108">
        <f t="shared" si="133"/>
        <v>0</v>
      </c>
      <c r="K137" s="108">
        <f t="shared" si="134"/>
        <v>0</v>
      </c>
      <c r="L137" s="111" t="s">
        <v>1671</v>
      </c>
      <c r="Z137" s="100">
        <f t="shared" si="135"/>
        <v>0</v>
      </c>
      <c r="AB137" s="100">
        <f t="shared" si="136"/>
        <v>0</v>
      </c>
      <c r="AC137" s="100">
        <f t="shared" si="137"/>
        <v>0</v>
      </c>
      <c r="AD137" s="100">
        <f t="shared" si="138"/>
        <v>0</v>
      </c>
      <c r="AE137" s="100">
        <f t="shared" si="139"/>
        <v>0</v>
      </c>
      <c r="AF137" s="100">
        <f t="shared" si="140"/>
        <v>0</v>
      </c>
      <c r="AG137" s="100">
        <f t="shared" si="141"/>
        <v>0</v>
      </c>
      <c r="AH137" s="100">
        <f t="shared" si="142"/>
        <v>0</v>
      </c>
      <c r="AI137" s="109"/>
      <c r="AJ137" s="108">
        <f t="shared" si="143"/>
        <v>0</v>
      </c>
      <c r="AK137" s="108">
        <f t="shared" si="144"/>
        <v>0</v>
      </c>
      <c r="AL137" s="108">
        <f t="shared" si="145"/>
        <v>0</v>
      </c>
      <c r="AN137" s="100">
        <v>15</v>
      </c>
      <c r="AO137" s="100">
        <f>H137*0</f>
        <v>0</v>
      </c>
      <c r="AP137" s="100">
        <f>H137*(1-0)</f>
        <v>0</v>
      </c>
      <c r="AQ137" s="111" t="s">
        <v>7</v>
      </c>
      <c r="AV137" s="100">
        <f t="shared" si="146"/>
        <v>0</v>
      </c>
      <c r="AW137" s="100">
        <f t="shared" si="147"/>
        <v>0</v>
      </c>
      <c r="AX137" s="100">
        <f t="shared" si="148"/>
        <v>0</v>
      </c>
      <c r="AY137" s="110" t="s">
        <v>1700</v>
      </c>
      <c r="AZ137" s="110" t="s">
        <v>1730</v>
      </c>
      <c r="BA137" s="109" t="s">
        <v>1737</v>
      </c>
      <c r="BC137" s="100">
        <f t="shared" si="149"/>
        <v>0</v>
      </c>
      <c r="BD137" s="100">
        <f t="shared" si="150"/>
        <v>0</v>
      </c>
      <c r="BE137" s="100">
        <v>0</v>
      </c>
      <c r="BF137" s="100">
        <f>137</f>
        <v>137</v>
      </c>
      <c r="BH137" s="108">
        <f t="shared" si="151"/>
        <v>0</v>
      </c>
      <c r="BI137" s="108">
        <f t="shared" si="152"/>
        <v>0</v>
      </c>
      <c r="BJ137" s="108">
        <f t="shared" si="153"/>
        <v>0</v>
      </c>
    </row>
    <row r="138" spans="1:62" x14ac:dyDescent="0.2">
      <c r="A138" s="117" t="s">
        <v>107</v>
      </c>
      <c r="B138" s="117" t="s">
        <v>668</v>
      </c>
      <c r="C138" s="304" t="s">
        <v>1176</v>
      </c>
      <c r="D138" s="305"/>
      <c r="E138" s="305"/>
      <c r="F138" s="117" t="s">
        <v>1645</v>
      </c>
      <c r="G138" s="116">
        <v>1.56</v>
      </c>
      <c r="H138" s="159"/>
      <c r="I138" s="108">
        <f t="shared" si="132"/>
        <v>0</v>
      </c>
      <c r="J138" s="108">
        <f t="shared" si="133"/>
        <v>0</v>
      </c>
      <c r="K138" s="108">
        <f t="shared" si="134"/>
        <v>0</v>
      </c>
      <c r="L138" s="111" t="s">
        <v>1671</v>
      </c>
      <c r="Z138" s="100">
        <f t="shared" si="135"/>
        <v>0</v>
      </c>
      <c r="AB138" s="100">
        <f t="shared" si="136"/>
        <v>0</v>
      </c>
      <c r="AC138" s="100">
        <f t="shared" si="137"/>
        <v>0</v>
      </c>
      <c r="AD138" s="100">
        <f t="shared" si="138"/>
        <v>0</v>
      </c>
      <c r="AE138" s="100">
        <f t="shared" si="139"/>
        <v>0</v>
      </c>
      <c r="AF138" s="100">
        <f t="shared" si="140"/>
        <v>0</v>
      </c>
      <c r="AG138" s="100">
        <f t="shared" si="141"/>
        <v>0</v>
      </c>
      <c r="AH138" s="100">
        <f t="shared" si="142"/>
        <v>0</v>
      </c>
      <c r="AI138" s="109"/>
      <c r="AJ138" s="108">
        <f t="shared" si="143"/>
        <v>0</v>
      </c>
      <c r="AK138" s="108">
        <f t="shared" si="144"/>
        <v>0</v>
      </c>
      <c r="AL138" s="108">
        <f t="shared" si="145"/>
        <v>0</v>
      </c>
      <c r="AN138" s="100">
        <v>15</v>
      </c>
      <c r="AO138" s="100">
        <f>H138*0</f>
        <v>0</v>
      </c>
      <c r="AP138" s="100">
        <f>H138*(1-0)</f>
        <v>0</v>
      </c>
      <c r="AQ138" s="111" t="s">
        <v>7</v>
      </c>
      <c r="AV138" s="100">
        <f t="shared" si="146"/>
        <v>0</v>
      </c>
      <c r="AW138" s="100">
        <f t="shared" si="147"/>
        <v>0</v>
      </c>
      <c r="AX138" s="100">
        <f t="shared" si="148"/>
        <v>0</v>
      </c>
      <c r="AY138" s="110" t="s">
        <v>1700</v>
      </c>
      <c r="AZ138" s="110" t="s">
        <v>1730</v>
      </c>
      <c r="BA138" s="109" t="s">
        <v>1737</v>
      </c>
      <c r="BC138" s="100">
        <f t="shared" si="149"/>
        <v>0</v>
      </c>
      <c r="BD138" s="100">
        <f t="shared" si="150"/>
        <v>0</v>
      </c>
      <c r="BE138" s="100">
        <v>0</v>
      </c>
      <c r="BF138" s="100">
        <f>138</f>
        <v>138</v>
      </c>
      <c r="BH138" s="108">
        <f t="shared" si="151"/>
        <v>0</v>
      </c>
      <c r="BI138" s="108">
        <f t="shared" si="152"/>
        <v>0</v>
      </c>
      <c r="BJ138" s="108">
        <f t="shared" si="153"/>
        <v>0</v>
      </c>
    </row>
    <row r="139" spans="1:62" x14ac:dyDescent="0.2">
      <c r="A139" s="119"/>
      <c r="B139" s="120" t="s">
        <v>103</v>
      </c>
      <c r="C139" s="306" t="s">
        <v>1178</v>
      </c>
      <c r="D139" s="307"/>
      <c r="E139" s="307"/>
      <c r="F139" s="119" t="s">
        <v>6</v>
      </c>
      <c r="G139" s="119" t="s">
        <v>6</v>
      </c>
      <c r="H139" s="119" t="s">
        <v>6</v>
      </c>
      <c r="I139" s="118">
        <f>SUM(I140:I154)</f>
        <v>0</v>
      </c>
      <c r="J139" s="118">
        <f>SUM(J140:J154)</f>
        <v>0</v>
      </c>
      <c r="K139" s="118">
        <f>SUM(K140:K154)</f>
        <v>0</v>
      </c>
      <c r="L139" s="109"/>
      <c r="AI139" s="109"/>
      <c r="AS139" s="118">
        <f>SUM(AJ140:AJ154)</f>
        <v>0</v>
      </c>
      <c r="AT139" s="118">
        <f>SUM(AK140:AK154)</f>
        <v>0</v>
      </c>
      <c r="AU139" s="118">
        <f>SUM(AL140:AL154)</f>
        <v>0</v>
      </c>
    </row>
    <row r="140" spans="1:62" x14ac:dyDescent="0.2">
      <c r="A140" s="117" t="s">
        <v>108</v>
      </c>
      <c r="B140" s="117" t="s">
        <v>670</v>
      </c>
      <c r="C140" s="304" t="s">
        <v>1179</v>
      </c>
      <c r="D140" s="305"/>
      <c r="E140" s="305"/>
      <c r="F140" s="117" t="s">
        <v>1646</v>
      </c>
      <c r="G140" s="116">
        <v>1</v>
      </c>
      <c r="H140" s="159"/>
      <c r="I140" s="108">
        <f t="shared" ref="I140:I154" si="154">G140*AO140</f>
        <v>0</v>
      </c>
      <c r="J140" s="108">
        <f t="shared" ref="J140:J154" si="155">G140*AP140</f>
        <v>0</v>
      </c>
      <c r="K140" s="108">
        <f t="shared" ref="K140:K154" si="156">G140*H140</f>
        <v>0</v>
      </c>
      <c r="L140" s="111" t="s">
        <v>1671</v>
      </c>
      <c r="Z140" s="100">
        <f t="shared" ref="Z140:Z154" si="157">IF(AQ140="5",BJ140,0)</f>
        <v>0</v>
      </c>
      <c r="AB140" s="100">
        <f t="shared" ref="AB140:AB154" si="158">IF(AQ140="1",BH140,0)</f>
        <v>0</v>
      </c>
      <c r="AC140" s="100">
        <f t="shared" ref="AC140:AC154" si="159">IF(AQ140="1",BI140,0)</f>
        <v>0</v>
      </c>
      <c r="AD140" s="100">
        <f t="shared" ref="AD140:AD154" si="160">IF(AQ140="7",BH140,0)</f>
        <v>0</v>
      </c>
      <c r="AE140" s="100">
        <f t="shared" ref="AE140:AE154" si="161">IF(AQ140="7",BI140,0)</f>
        <v>0</v>
      </c>
      <c r="AF140" s="100">
        <f t="shared" ref="AF140:AF154" si="162">IF(AQ140="2",BH140,0)</f>
        <v>0</v>
      </c>
      <c r="AG140" s="100">
        <f t="shared" ref="AG140:AG154" si="163">IF(AQ140="2",BI140,0)</f>
        <v>0</v>
      </c>
      <c r="AH140" s="100">
        <f t="shared" ref="AH140:AH154" si="164">IF(AQ140="0",BJ140,0)</f>
        <v>0</v>
      </c>
      <c r="AI140" s="109"/>
      <c r="AJ140" s="108">
        <f t="shared" ref="AJ140:AJ154" si="165">IF(AN140=0,K140,0)</f>
        <v>0</v>
      </c>
      <c r="AK140" s="108">
        <f t="shared" ref="AK140:AK154" si="166">IF(AN140=15,K140,0)</f>
        <v>0</v>
      </c>
      <c r="AL140" s="108">
        <f t="shared" ref="AL140:AL154" si="167">IF(AN140=21,K140,0)</f>
        <v>0</v>
      </c>
      <c r="AN140" s="100">
        <v>15</v>
      </c>
      <c r="AO140" s="100">
        <f>H140*0.317346200241255</f>
        <v>0</v>
      </c>
      <c r="AP140" s="100">
        <f>H140*(1-0.317346200241255)</f>
        <v>0</v>
      </c>
      <c r="AQ140" s="111" t="s">
        <v>7</v>
      </c>
      <c r="AV140" s="100">
        <f t="shared" ref="AV140:AV154" si="168">AW140+AX140</f>
        <v>0</v>
      </c>
      <c r="AW140" s="100">
        <f t="shared" ref="AW140:AW154" si="169">G140*AO140</f>
        <v>0</v>
      </c>
      <c r="AX140" s="100">
        <f t="shared" ref="AX140:AX154" si="170">G140*AP140</f>
        <v>0</v>
      </c>
      <c r="AY140" s="110" t="s">
        <v>1701</v>
      </c>
      <c r="AZ140" s="110" t="s">
        <v>1730</v>
      </c>
      <c r="BA140" s="109" t="s">
        <v>1737</v>
      </c>
      <c r="BC140" s="100">
        <f t="shared" ref="BC140:BC154" si="171">AW140+AX140</f>
        <v>0</v>
      </c>
      <c r="BD140" s="100">
        <f t="shared" ref="BD140:BD154" si="172">H140/(100-BE140)*100</f>
        <v>0</v>
      </c>
      <c r="BE140" s="100">
        <v>0</v>
      </c>
      <c r="BF140" s="100">
        <f>140</f>
        <v>140</v>
      </c>
      <c r="BH140" s="108">
        <f t="shared" ref="BH140:BH154" si="173">G140*AO140</f>
        <v>0</v>
      </c>
      <c r="BI140" s="108">
        <f t="shared" ref="BI140:BI154" si="174">G140*AP140</f>
        <v>0</v>
      </c>
      <c r="BJ140" s="108">
        <f t="shared" ref="BJ140:BJ154" si="175">G140*H140</f>
        <v>0</v>
      </c>
    </row>
    <row r="141" spans="1:62" x14ac:dyDescent="0.2">
      <c r="A141" s="117" t="s">
        <v>109</v>
      </c>
      <c r="B141" s="117" t="s">
        <v>671</v>
      </c>
      <c r="C141" s="304" t="s">
        <v>1180</v>
      </c>
      <c r="D141" s="305"/>
      <c r="E141" s="305"/>
      <c r="F141" s="117" t="s">
        <v>1646</v>
      </c>
      <c r="G141" s="116">
        <v>1</v>
      </c>
      <c r="H141" s="159"/>
      <c r="I141" s="108">
        <f t="shared" si="154"/>
        <v>0</v>
      </c>
      <c r="J141" s="108">
        <f t="shared" si="155"/>
        <v>0</v>
      </c>
      <c r="K141" s="108">
        <f t="shared" si="156"/>
        <v>0</v>
      </c>
      <c r="L141" s="111" t="s">
        <v>1671</v>
      </c>
      <c r="Z141" s="100">
        <f t="shared" si="157"/>
        <v>0</v>
      </c>
      <c r="AB141" s="100">
        <f t="shared" si="158"/>
        <v>0</v>
      </c>
      <c r="AC141" s="100">
        <f t="shared" si="159"/>
        <v>0</v>
      </c>
      <c r="AD141" s="100">
        <f t="shared" si="160"/>
        <v>0</v>
      </c>
      <c r="AE141" s="100">
        <f t="shared" si="161"/>
        <v>0</v>
      </c>
      <c r="AF141" s="100">
        <f t="shared" si="162"/>
        <v>0</v>
      </c>
      <c r="AG141" s="100">
        <f t="shared" si="163"/>
        <v>0</v>
      </c>
      <c r="AH141" s="100">
        <f t="shared" si="164"/>
        <v>0</v>
      </c>
      <c r="AI141" s="109"/>
      <c r="AJ141" s="108">
        <f t="shared" si="165"/>
        <v>0</v>
      </c>
      <c r="AK141" s="108">
        <f t="shared" si="166"/>
        <v>0</v>
      </c>
      <c r="AL141" s="108">
        <f t="shared" si="167"/>
        <v>0</v>
      </c>
      <c r="AN141" s="100">
        <v>15</v>
      </c>
      <c r="AO141" s="100">
        <f>H141*0.0581320754716981</f>
        <v>0</v>
      </c>
      <c r="AP141" s="100">
        <f>H141*(1-0.0581320754716981)</f>
        <v>0</v>
      </c>
      <c r="AQ141" s="111" t="s">
        <v>7</v>
      </c>
      <c r="AV141" s="100">
        <f t="shared" si="168"/>
        <v>0</v>
      </c>
      <c r="AW141" s="100">
        <f t="shared" si="169"/>
        <v>0</v>
      </c>
      <c r="AX141" s="100">
        <f t="shared" si="170"/>
        <v>0</v>
      </c>
      <c r="AY141" s="110" t="s">
        <v>1701</v>
      </c>
      <c r="AZ141" s="110" t="s">
        <v>1730</v>
      </c>
      <c r="BA141" s="109" t="s">
        <v>1737</v>
      </c>
      <c r="BC141" s="100">
        <f t="shared" si="171"/>
        <v>0</v>
      </c>
      <c r="BD141" s="100">
        <f t="shared" si="172"/>
        <v>0</v>
      </c>
      <c r="BE141" s="100">
        <v>0</v>
      </c>
      <c r="BF141" s="100">
        <f>141</f>
        <v>141</v>
      </c>
      <c r="BH141" s="108">
        <f t="shared" si="173"/>
        <v>0</v>
      </c>
      <c r="BI141" s="108">
        <f t="shared" si="174"/>
        <v>0</v>
      </c>
      <c r="BJ141" s="108">
        <f t="shared" si="175"/>
        <v>0</v>
      </c>
    </row>
    <row r="142" spans="1:62" x14ac:dyDescent="0.2">
      <c r="A142" s="117" t="s">
        <v>110</v>
      </c>
      <c r="B142" s="117" t="s">
        <v>672</v>
      </c>
      <c r="C142" s="304" t="s">
        <v>1181</v>
      </c>
      <c r="D142" s="305"/>
      <c r="E142" s="305"/>
      <c r="F142" s="117" t="s">
        <v>1646</v>
      </c>
      <c r="G142" s="116">
        <v>1</v>
      </c>
      <c r="H142" s="159"/>
      <c r="I142" s="108">
        <f t="shared" si="154"/>
        <v>0</v>
      </c>
      <c r="J142" s="108">
        <f t="shared" si="155"/>
        <v>0</v>
      </c>
      <c r="K142" s="108">
        <f t="shared" si="156"/>
        <v>0</v>
      </c>
      <c r="L142" s="111" t="s">
        <v>1671</v>
      </c>
      <c r="Z142" s="100">
        <f t="shared" si="157"/>
        <v>0</v>
      </c>
      <c r="AB142" s="100">
        <f t="shared" si="158"/>
        <v>0</v>
      </c>
      <c r="AC142" s="100">
        <f t="shared" si="159"/>
        <v>0</v>
      </c>
      <c r="AD142" s="100">
        <f t="shared" si="160"/>
        <v>0</v>
      </c>
      <c r="AE142" s="100">
        <f t="shared" si="161"/>
        <v>0</v>
      </c>
      <c r="AF142" s="100">
        <f t="shared" si="162"/>
        <v>0</v>
      </c>
      <c r="AG142" s="100">
        <f t="shared" si="163"/>
        <v>0</v>
      </c>
      <c r="AH142" s="100">
        <f t="shared" si="164"/>
        <v>0</v>
      </c>
      <c r="AI142" s="109"/>
      <c r="AJ142" s="108">
        <f t="shared" si="165"/>
        <v>0</v>
      </c>
      <c r="AK142" s="108">
        <f t="shared" si="166"/>
        <v>0</v>
      </c>
      <c r="AL142" s="108">
        <f t="shared" si="167"/>
        <v>0</v>
      </c>
      <c r="AN142" s="100">
        <v>15</v>
      </c>
      <c r="AO142" s="100">
        <f>H142*0.266915384706202</f>
        <v>0</v>
      </c>
      <c r="AP142" s="100">
        <f>H142*(1-0.266915384706202)</f>
        <v>0</v>
      </c>
      <c r="AQ142" s="111" t="s">
        <v>7</v>
      </c>
      <c r="AV142" s="100">
        <f t="shared" si="168"/>
        <v>0</v>
      </c>
      <c r="AW142" s="100">
        <f t="shared" si="169"/>
        <v>0</v>
      </c>
      <c r="AX142" s="100">
        <f t="shared" si="170"/>
        <v>0</v>
      </c>
      <c r="AY142" s="110" t="s">
        <v>1701</v>
      </c>
      <c r="AZ142" s="110" t="s">
        <v>1730</v>
      </c>
      <c r="BA142" s="109" t="s">
        <v>1737</v>
      </c>
      <c r="BC142" s="100">
        <f t="shared" si="171"/>
        <v>0</v>
      </c>
      <c r="BD142" s="100">
        <f t="shared" si="172"/>
        <v>0</v>
      </c>
      <c r="BE142" s="100">
        <v>0</v>
      </c>
      <c r="BF142" s="100">
        <f>142</f>
        <v>142</v>
      </c>
      <c r="BH142" s="108">
        <f t="shared" si="173"/>
        <v>0</v>
      </c>
      <c r="BI142" s="108">
        <f t="shared" si="174"/>
        <v>0</v>
      </c>
      <c r="BJ142" s="108">
        <f t="shared" si="175"/>
        <v>0</v>
      </c>
    </row>
    <row r="143" spans="1:62" x14ac:dyDescent="0.2">
      <c r="A143" s="117" t="s">
        <v>111</v>
      </c>
      <c r="B143" s="117" t="s">
        <v>673</v>
      </c>
      <c r="C143" s="304" t="s">
        <v>1182</v>
      </c>
      <c r="D143" s="305"/>
      <c r="E143" s="305"/>
      <c r="F143" s="117" t="s">
        <v>1644</v>
      </c>
      <c r="G143" s="116">
        <v>8</v>
      </c>
      <c r="H143" s="159"/>
      <c r="I143" s="108">
        <f t="shared" si="154"/>
        <v>0</v>
      </c>
      <c r="J143" s="108">
        <f t="shared" si="155"/>
        <v>0</v>
      </c>
      <c r="K143" s="108">
        <f t="shared" si="156"/>
        <v>0</v>
      </c>
      <c r="L143" s="111" t="s">
        <v>1671</v>
      </c>
      <c r="Z143" s="100">
        <f t="shared" si="157"/>
        <v>0</v>
      </c>
      <c r="AB143" s="100">
        <f t="shared" si="158"/>
        <v>0</v>
      </c>
      <c r="AC143" s="100">
        <f t="shared" si="159"/>
        <v>0</v>
      </c>
      <c r="AD143" s="100">
        <f t="shared" si="160"/>
        <v>0</v>
      </c>
      <c r="AE143" s="100">
        <f t="shared" si="161"/>
        <v>0</v>
      </c>
      <c r="AF143" s="100">
        <f t="shared" si="162"/>
        <v>0</v>
      </c>
      <c r="AG143" s="100">
        <f t="shared" si="163"/>
        <v>0</v>
      </c>
      <c r="AH143" s="100">
        <f t="shared" si="164"/>
        <v>0</v>
      </c>
      <c r="AI143" s="109"/>
      <c r="AJ143" s="108">
        <f t="shared" si="165"/>
        <v>0</v>
      </c>
      <c r="AK143" s="108">
        <f t="shared" si="166"/>
        <v>0</v>
      </c>
      <c r="AL143" s="108">
        <f t="shared" si="167"/>
        <v>0</v>
      </c>
      <c r="AN143" s="100">
        <v>15</v>
      </c>
      <c r="AO143" s="100">
        <f>H143*0.0466942148760331</f>
        <v>0</v>
      </c>
      <c r="AP143" s="100">
        <f>H143*(1-0.0466942148760331)</f>
        <v>0</v>
      </c>
      <c r="AQ143" s="111" t="s">
        <v>7</v>
      </c>
      <c r="AV143" s="100">
        <f t="shared" si="168"/>
        <v>0</v>
      </c>
      <c r="AW143" s="100">
        <f t="shared" si="169"/>
        <v>0</v>
      </c>
      <c r="AX143" s="100">
        <f t="shared" si="170"/>
        <v>0</v>
      </c>
      <c r="AY143" s="110" t="s">
        <v>1701</v>
      </c>
      <c r="AZ143" s="110" t="s">
        <v>1730</v>
      </c>
      <c r="BA143" s="109" t="s">
        <v>1737</v>
      </c>
      <c r="BC143" s="100">
        <f t="shared" si="171"/>
        <v>0</v>
      </c>
      <c r="BD143" s="100">
        <f t="shared" si="172"/>
        <v>0</v>
      </c>
      <c r="BE143" s="100">
        <v>0</v>
      </c>
      <c r="BF143" s="100">
        <f>143</f>
        <v>143</v>
      </c>
      <c r="BH143" s="108">
        <f t="shared" si="173"/>
        <v>0</v>
      </c>
      <c r="BI143" s="108">
        <f t="shared" si="174"/>
        <v>0</v>
      </c>
      <c r="BJ143" s="108">
        <f t="shared" si="175"/>
        <v>0</v>
      </c>
    </row>
    <row r="144" spans="1:62" x14ac:dyDescent="0.2">
      <c r="A144" s="117" t="s">
        <v>112</v>
      </c>
      <c r="B144" s="117" t="s">
        <v>674</v>
      </c>
      <c r="C144" s="304" t="s">
        <v>2142</v>
      </c>
      <c r="D144" s="305"/>
      <c r="E144" s="305"/>
      <c r="F144" s="117" t="s">
        <v>1646</v>
      </c>
      <c r="G144" s="116">
        <v>2.25</v>
      </c>
      <c r="H144" s="159"/>
      <c r="I144" s="108">
        <f t="shared" si="154"/>
        <v>0</v>
      </c>
      <c r="J144" s="108">
        <f t="shared" si="155"/>
        <v>0</v>
      </c>
      <c r="K144" s="108">
        <f t="shared" si="156"/>
        <v>0</v>
      </c>
      <c r="L144" s="111" t="s">
        <v>1671</v>
      </c>
      <c r="Z144" s="100">
        <f t="shared" si="157"/>
        <v>0</v>
      </c>
      <c r="AB144" s="100">
        <f t="shared" si="158"/>
        <v>0</v>
      </c>
      <c r="AC144" s="100">
        <f t="shared" si="159"/>
        <v>0</v>
      </c>
      <c r="AD144" s="100">
        <f t="shared" si="160"/>
        <v>0</v>
      </c>
      <c r="AE144" s="100">
        <f t="shared" si="161"/>
        <v>0</v>
      </c>
      <c r="AF144" s="100">
        <f t="shared" si="162"/>
        <v>0</v>
      </c>
      <c r="AG144" s="100">
        <f t="shared" si="163"/>
        <v>0</v>
      </c>
      <c r="AH144" s="100">
        <f t="shared" si="164"/>
        <v>0</v>
      </c>
      <c r="AI144" s="109"/>
      <c r="AJ144" s="108">
        <f t="shared" si="165"/>
        <v>0</v>
      </c>
      <c r="AK144" s="108">
        <f t="shared" si="166"/>
        <v>0</v>
      </c>
      <c r="AL144" s="108">
        <f t="shared" si="167"/>
        <v>0</v>
      </c>
      <c r="AN144" s="100">
        <v>15</v>
      </c>
      <c r="AO144" s="100">
        <f>H144*0.0719704475330484</f>
        <v>0</v>
      </c>
      <c r="AP144" s="100">
        <f>H144*(1-0.0719704475330484)</f>
        <v>0</v>
      </c>
      <c r="AQ144" s="111" t="s">
        <v>7</v>
      </c>
      <c r="AV144" s="100">
        <f t="shared" si="168"/>
        <v>0</v>
      </c>
      <c r="AW144" s="100">
        <f t="shared" si="169"/>
        <v>0</v>
      </c>
      <c r="AX144" s="100">
        <f t="shared" si="170"/>
        <v>0</v>
      </c>
      <c r="AY144" s="110" t="s">
        <v>1701</v>
      </c>
      <c r="AZ144" s="110" t="s">
        <v>1730</v>
      </c>
      <c r="BA144" s="109" t="s">
        <v>1737</v>
      </c>
      <c r="BC144" s="100">
        <f t="shared" si="171"/>
        <v>0</v>
      </c>
      <c r="BD144" s="100">
        <f t="shared" si="172"/>
        <v>0</v>
      </c>
      <c r="BE144" s="100">
        <v>0</v>
      </c>
      <c r="BF144" s="100">
        <f>144</f>
        <v>144</v>
      </c>
      <c r="BH144" s="108">
        <f t="shared" si="173"/>
        <v>0</v>
      </c>
      <c r="BI144" s="108">
        <f t="shared" si="174"/>
        <v>0</v>
      </c>
      <c r="BJ144" s="108">
        <f t="shared" si="175"/>
        <v>0</v>
      </c>
    </row>
    <row r="145" spans="1:62" x14ac:dyDescent="0.2">
      <c r="A145" s="117" t="s">
        <v>113</v>
      </c>
      <c r="B145" s="117" t="s">
        <v>675</v>
      </c>
      <c r="C145" s="304" t="s">
        <v>2141</v>
      </c>
      <c r="D145" s="305"/>
      <c r="E145" s="305"/>
      <c r="F145" s="117" t="s">
        <v>1646</v>
      </c>
      <c r="G145" s="116">
        <v>2.25</v>
      </c>
      <c r="H145" s="159"/>
      <c r="I145" s="108">
        <f t="shared" si="154"/>
        <v>0</v>
      </c>
      <c r="J145" s="108">
        <f t="shared" si="155"/>
        <v>0</v>
      </c>
      <c r="K145" s="108">
        <f t="shared" si="156"/>
        <v>0</v>
      </c>
      <c r="L145" s="111" t="s">
        <v>1671</v>
      </c>
      <c r="Z145" s="100">
        <f t="shared" si="157"/>
        <v>0</v>
      </c>
      <c r="AB145" s="100">
        <f t="shared" si="158"/>
        <v>0</v>
      </c>
      <c r="AC145" s="100">
        <f t="shared" si="159"/>
        <v>0</v>
      </c>
      <c r="AD145" s="100">
        <f t="shared" si="160"/>
        <v>0</v>
      </c>
      <c r="AE145" s="100">
        <f t="shared" si="161"/>
        <v>0</v>
      </c>
      <c r="AF145" s="100">
        <f t="shared" si="162"/>
        <v>0</v>
      </c>
      <c r="AG145" s="100">
        <f t="shared" si="163"/>
        <v>0</v>
      </c>
      <c r="AH145" s="100">
        <f t="shared" si="164"/>
        <v>0</v>
      </c>
      <c r="AI145" s="109"/>
      <c r="AJ145" s="108">
        <f t="shared" si="165"/>
        <v>0</v>
      </c>
      <c r="AK145" s="108">
        <f t="shared" si="166"/>
        <v>0</v>
      </c>
      <c r="AL145" s="108">
        <f t="shared" si="167"/>
        <v>0</v>
      </c>
      <c r="AN145" s="100">
        <v>15</v>
      </c>
      <c r="AO145" s="100">
        <f>H145*0.0433762688731553</f>
        <v>0</v>
      </c>
      <c r="AP145" s="100">
        <f>H145*(1-0.0433762688731553)</f>
        <v>0</v>
      </c>
      <c r="AQ145" s="111" t="s">
        <v>7</v>
      </c>
      <c r="AV145" s="100">
        <f t="shared" si="168"/>
        <v>0</v>
      </c>
      <c r="AW145" s="100">
        <f t="shared" si="169"/>
        <v>0</v>
      </c>
      <c r="AX145" s="100">
        <f t="shared" si="170"/>
        <v>0</v>
      </c>
      <c r="AY145" s="110" t="s">
        <v>1701</v>
      </c>
      <c r="AZ145" s="110" t="s">
        <v>1730</v>
      </c>
      <c r="BA145" s="109" t="s">
        <v>1737</v>
      </c>
      <c r="BC145" s="100">
        <f t="shared" si="171"/>
        <v>0</v>
      </c>
      <c r="BD145" s="100">
        <f t="shared" si="172"/>
        <v>0</v>
      </c>
      <c r="BE145" s="100">
        <v>0</v>
      </c>
      <c r="BF145" s="100">
        <f>145</f>
        <v>145</v>
      </c>
      <c r="BH145" s="108">
        <f t="shared" si="173"/>
        <v>0</v>
      </c>
      <c r="BI145" s="108">
        <f t="shared" si="174"/>
        <v>0</v>
      </c>
      <c r="BJ145" s="108">
        <f t="shared" si="175"/>
        <v>0</v>
      </c>
    </row>
    <row r="146" spans="1:62" x14ac:dyDescent="0.2">
      <c r="A146" s="117" t="s">
        <v>114</v>
      </c>
      <c r="B146" s="117" t="s">
        <v>676</v>
      </c>
      <c r="C146" s="304" t="s">
        <v>1185</v>
      </c>
      <c r="D146" s="305"/>
      <c r="E146" s="305"/>
      <c r="F146" s="117" t="s">
        <v>1645</v>
      </c>
      <c r="G146" s="116">
        <v>268.387</v>
      </c>
      <c r="H146" s="159"/>
      <c r="I146" s="108">
        <f t="shared" si="154"/>
        <v>0</v>
      </c>
      <c r="J146" s="108">
        <f t="shared" si="155"/>
        <v>0</v>
      </c>
      <c r="K146" s="108">
        <f t="shared" si="156"/>
        <v>0</v>
      </c>
      <c r="L146" s="111" t="s">
        <v>1671</v>
      </c>
      <c r="Z146" s="100">
        <f t="shared" si="157"/>
        <v>0</v>
      </c>
      <c r="AB146" s="100">
        <f t="shared" si="158"/>
        <v>0</v>
      </c>
      <c r="AC146" s="100">
        <f t="shared" si="159"/>
        <v>0</v>
      </c>
      <c r="AD146" s="100">
        <f t="shared" si="160"/>
        <v>0</v>
      </c>
      <c r="AE146" s="100">
        <f t="shared" si="161"/>
        <v>0</v>
      </c>
      <c r="AF146" s="100">
        <f t="shared" si="162"/>
        <v>0</v>
      </c>
      <c r="AG146" s="100">
        <f t="shared" si="163"/>
        <v>0</v>
      </c>
      <c r="AH146" s="100">
        <f t="shared" si="164"/>
        <v>0</v>
      </c>
      <c r="AI146" s="109"/>
      <c r="AJ146" s="108">
        <f t="shared" si="165"/>
        <v>0</v>
      </c>
      <c r="AK146" s="108">
        <f t="shared" si="166"/>
        <v>0</v>
      </c>
      <c r="AL146" s="108">
        <f t="shared" si="167"/>
        <v>0</v>
      </c>
      <c r="AN146" s="100">
        <v>15</v>
      </c>
      <c r="AO146" s="100">
        <f t="shared" ref="AO146:AO154" si="176">H146*0</f>
        <v>0</v>
      </c>
      <c r="AP146" s="100">
        <f t="shared" ref="AP146:AP154" si="177">H146*(1-0)</f>
        <v>0</v>
      </c>
      <c r="AQ146" s="111" t="s">
        <v>7</v>
      </c>
      <c r="AV146" s="100">
        <f t="shared" si="168"/>
        <v>0</v>
      </c>
      <c r="AW146" s="100">
        <f t="shared" si="169"/>
        <v>0</v>
      </c>
      <c r="AX146" s="100">
        <f t="shared" si="170"/>
        <v>0</v>
      </c>
      <c r="AY146" s="110" t="s">
        <v>1701</v>
      </c>
      <c r="AZ146" s="110" t="s">
        <v>1730</v>
      </c>
      <c r="BA146" s="109" t="s">
        <v>1737</v>
      </c>
      <c r="BC146" s="100">
        <f t="shared" si="171"/>
        <v>0</v>
      </c>
      <c r="BD146" s="100">
        <f t="shared" si="172"/>
        <v>0</v>
      </c>
      <c r="BE146" s="100">
        <v>0</v>
      </c>
      <c r="BF146" s="100">
        <f>146</f>
        <v>146</v>
      </c>
      <c r="BH146" s="108">
        <f t="shared" si="173"/>
        <v>0</v>
      </c>
      <c r="BI146" s="108">
        <f t="shared" si="174"/>
        <v>0</v>
      </c>
      <c r="BJ146" s="108">
        <f t="shared" si="175"/>
        <v>0</v>
      </c>
    </row>
    <row r="147" spans="1:62" x14ac:dyDescent="0.2">
      <c r="A147" s="117" t="s">
        <v>115</v>
      </c>
      <c r="B147" s="117" t="s">
        <v>677</v>
      </c>
      <c r="C147" s="304" t="s">
        <v>1186</v>
      </c>
      <c r="D147" s="305"/>
      <c r="E147" s="305"/>
      <c r="F147" s="117" t="s">
        <v>1645</v>
      </c>
      <c r="G147" s="116">
        <v>11.925000000000001</v>
      </c>
      <c r="H147" s="159"/>
      <c r="I147" s="108">
        <f t="shared" si="154"/>
        <v>0</v>
      </c>
      <c r="J147" s="108">
        <f t="shared" si="155"/>
        <v>0</v>
      </c>
      <c r="K147" s="108">
        <f t="shared" si="156"/>
        <v>0</v>
      </c>
      <c r="L147" s="111" t="s">
        <v>1671</v>
      </c>
      <c r="Z147" s="100">
        <f t="shared" si="157"/>
        <v>0</v>
      </c>
      <c r="AB147" s="100">
        <f t="shared" si="158"/>
        <v>0</v>
      </c>
      <c r="AC147" s="100">
        <f t="shared" si="159"/>
        <v>0</v>
      </c>
      <c r="AD147" s="100">
        <f t="shared" si="160"/>
        <v>0</v>
      </c>
      <c r="AE147" s="100">
        <f t="shared" si="161"/>
        <v>0</v>
      </c>
      <c r="AF147" s="100">
        <f t="shared" si="162"/>
        <v>0</v>
      </c>
      <c r="AG147" s="100">
        <f t="shared" si="163"/>
        <v>0</v>
      </c>
      <c r="AH147" s="100">
        <f t="shared" si="164"/>
        <v>0</v>
      </c>
      <c r="AI147" s="109"/>
      <c r="AJ147" s="108">
        <f t="shared" si="165"/>
        <v>0</v>
      </c>
      <c r="AK147" s="108">
        <f t="shared" si="166"/>
        <v>0</v>
      </c>
      <c r="AL147" s="108">
        <f t="shared" si="167"/>
        <v>0</v>
      </c>
      <c r="AN147" s="100">
        <v>15</v>
      </c>
      <c r="AO147" s="100">
        <f t="shared" si="176"/>
        <v>0</v>
      </c>
      <c r="AP147" s="100">
        <f t="shared" si="177"/>
        <v>0</v>
      </c>
      <c r="AQ147" s="111" t="s">
        <v>7</v>
      </c>
      <c r="AV147" s="100">
        <f t="shared" si="168"/>
        <v>0</v>
      </c>
      <c r="AW147" s="100">
        <f t="shared" si="169"/>
        <v>0</v>
      </c>
      <c r="AX147" s="100">
        <f t="shared" si="170"/>
        <v>0</v>
      </c>
      <c r="AY147" s="110" t="s">
        <v>1701</v>
      </c>
      <c r="AZ147" s="110" t="s">
        <v>1730</v>
      </c>
      <c r="BA147" s="109" t="s">
        <v>1737</v>
      </c>
      <c r="BC147" s="100">
        <f t="shared" si="171"/>
        <v>0</v>
      </c>
      <c r="BD147" s="100">
        <f t="shared" si="172"/>
        <v>0</v>
      </c>
      <c r="BE147" s="100">
        <v>0</v>
      </c>
      <c r="BF147" s="100">
        <f>147</f>
        <v>147</v>
      </c>
      <c r="BH147" s="108">
        <f t="shared" si="173"/>
        <v>0</v>
      </c>
      <c r="BI147" s="108">
        <f t="shared" si="174"/>
        <v>0</v>
      </c>
      <c r="BJ147" s="108">
        <f t="shared" si="175"/>
        <v>0</v>
      </c>
    </row>
    <row r="148" spans="1:62" x14ac:dyDescent="0.2">
      <c r="A148" s="117" t="s">
        <v>116</v>
      </c>
      <c r="B148" s="117" t="s">
        <v>678</v>
      </c>
      <c r="C148" s="304" t="s">
        <v>1187</v>
      </c>
      <c r="D148" s="305"/>
      <c r="E148" s="305"/>
      <c r="F148" s="117" t="s">
        <v>1645</v>
      </c>
      <c r="G148" s="116">
        <v>19.77</v>
      </c>
      <c r="H148" s="159"/>
      <c r="I148" s="108">
        <f t="shared" si="154"/>
        <v>0</v>
      </c>
      <c r="J148" s="108">
        <f t="shared" si="155"/>
        <v>0</v>
      </c>
      <c r="K148" s="108">
        <f t="shared" si="156"/>
        <v>0</v>
      </c>
      <c r="L148" s="111" t="s">
        <v>1671</v>
      </c>
      <c r="Z148" s="100">
        <f t="shared" si="157"/>
        <v>0</v>
      </c>
      <c r="AB148" s="100">
        <f t="shared" si="158"/>
        <v>0</v>
      </c>
      <c r="AC148" s="100">
        <f t="shared" si="159"/>
        <v>0</v>
      </c>
      <c r="AD148" s="100">
        <f t="shared" si="160"/>
        <v>0</v>
      </c>
      <c r="AE148" s="100">
        <f t="shared" si="161"/>
        <v>0</v>
      </c>
      <c r="AF148" s="100">
        <f t="shared" si="162"/>
        <v>0</v>
      </c>
      <c r="AG148" s="100">
        <f t="shared" si="163"/>
        <v>0</v>
      </c>
      <c r="AH148" s="100">
        <f t="shared" si="164"/>
        <v>0</v>
      </c>
      <c r="AI148" s="109"/>
      <c r="AJ148" s="108">
        <f t="shared" si="165"/>
        <v>0</v>
      </c>
      <c r="AK148" s="108">
        <f t="shared" si="166"/>
        <v>0</v>
      </c>
      <c r="AL148" s="108">
        <f t="shared" si="167"/>
        <v>0</v>
      </c>
      <c r="AN148" s="100">
        <v>15</v>
      </c>
      <c r="AO148" s="100">
        <f t="shared" si="176"/>
        <v>0</v>
      </c>
      <c r="AP148" s="100">
        <f t="shared" si="177"/>
        <v>0</v>
      </c>
      <c r="AQ148" s="111" t="s">
        <v>7</v>
      </c>
      <c r="AV148" s="100">
        <f t="shared" si="168"/>
        <v>0</v>
      </c>
      <c r="AW148" s="100">
        <f t="shared" si="169"/>
        <v>0</v>
      </c>
      <c r="AX148" s="100">
        <f t="shared" si="170"/>
        <v>0</v>
      </c>
      <c r="AY148" s="110" t="s">
        <v>1701</v>
      </c>
      <c r="AZ148" s="110" t="s">
        <v>1730</v>
      </c>
      <c r="BA148" s="109" t="s">
        <v>1737</v>
      </c>
      <c r="BC148" s="100">
        <f t="shared" si="171"/>
        <v>0</v>
      </c>
      <c r="BD148" s="100">
        <f t="shared" si="172"/>
        <v>0</v>
      </c>
      <c r="BE148" s="100">
        <v>0</v>
      </c>
      <c r="BF148" s="100">
        <f>148</f>
        <v>148</v>
      </c>
      <c r="BH148" s="108">
        <f t="shared" si="173"/>
        <v>0</v>
      </c>
      <c r="BI148" s="108">
        <f t="shared" si="174"/>
        <v>0</v>
      </c>
      <c r="BJ148" s="108">
        <f t="shared" si="175"/>
        <v>0</v>
      </c>
    </row>
    <row r="149" spans="1:62" x14ac:dyDescent="0.2">
      <c r="A149" s="117" t="s">
        <v>117</v>
      </c>
      <c r="B149" s="117" t="s">
        <v>679</v>
      </c>
      <c r="C149" s="304" t="s">
        <v>1188</v>
      </c>
      <c r="D149" s="305"/>
      <c r="E149" s="305"/>
      <c r="F149" s="117" t="s">
        <v>1645</v>
      </c>
      <c r="G149" s="116">
        <v>10.137</v>
      </c>
      <c r="H149" s="159"/>
      <c r="I149" s="108">
        <f t="shared" si="154"/>
        <v>0</v>
      </c>
      <c r="J149" s="108">
        <f t="shared" si="155"/>
        <v>0</v>
      </c>
      <c r="K149" s="108">
        <f t="shared" si="156"/>
        <v>0</v>
      </c>
      <c r="L149" s="111" t="s">
        <v>1671</v>
      </c>
      <c r="Z149" s="100">
        <f t="shared" si="157"/>
        <v>0</v>
      </c>
      <c r="AB149" s="100">
        <f t="shared" si="158"/>
        <v>0</v>
      </c>
      <c r="AC149" s="100">
        <f t="shared" si="159"/>
        <v>0</v>
      </c>
      <c r="AD149" s="100">
        <f t="shared" si="160"/>
        <v>0</v>
      </c>
      <c r="AE149" s="100">
        <f t="shared" si="161"/>
        <v>0</v>
      </c>
      <c r="AF149" s="100">
        <f t="shared" si="162"/>
        <v>0</v>
      </c>
      <c r="AG149" s="100">
        <f t="shared" si="163"/>
        <v>0</v>
      </c>
      <c r="AH149" s="100">
        <f t="shared" si="164"/>
        <v>0</v>
      </c>
      <c r="AI149" s="109"/>
      <c r="AJ149" s="108">
        <f t="shared" si="165"/>
        <v>0</v>
      </c>
      <c r="AK149" s="108">
        <f t="shared" si="166"/>
        <v>0</v>
      </c>
      <c r="AL149" s="108">
        <f t="shared" si="167"/>
        <v>0</v>
      </c>
      <c r="AN149" s="100">
        <v>15</v>
      </c>
      <c r="AO149" s="100">
        <f t="shared" si="176"/>
        <v>0</v>
      </c>
      <c r="AP149" s="100">
        <f t="shared" si="177"/>
        <v>0</v>
      </c>
      <c r="AQ149" s="111" t="s">
        <v>7</v>
      </c>
      <c r="AV149" s="100">
        <f t="shared" si="168"/>
        <v>0</v>
      </c>
      <c r="AW149" s="100">
        <f t="shared" si="169"/>
        <v>0</v>
      </c>
      <c r="AX149" s="100">
        <f t="shared" si="170"/>
        <v>0</v>
      </c>
      <c r="AY149" s="110" t="s">
        <v>1701</v>
      </c>
      <c r="AZ149" s="110" t="s">
        <v>1730</v>
      </c>
      <c r="BA149" s="109" t="s">
        <v>1737</v>
      </c>
      <c r="BC149" s="100">
        <f t="shared" si="171"/>
        <v>0</v>
      </c>
      <c r="BD149" s="100">
        <f t="shared" si="172"/>
        <v>0</v>
      </c>
      <c r="BE149" s="100">
        <v>0</v>
      </c>
      <c r="BF149" s="100">
        <f>149</f>
        <v>149</v>
      </c>
      <c r="BH149" s="108">
        <f t="shared" si="173"/>
        <v>0</v>
      </c>
      <c r="BI149" s="108">
        <f t="shared" si="174"/>
        <v>0</v>
      </c>
      <c r="BJ149" s="108">
        <f t="shared" si="175"/>
        <v>0</v>
      </c>
    </row>
    <row r="150" spans="1:62" x14ac:dyDescent="0.2">
      <c r="A150" s="117" t="s">
        <v>118</v>
      </c>
      <c r="B150" s="117" t="s">
        <v>680</v>
      </c>
      <c r="C150" s="304" t="s">
        <v>1189</v>
      </c>
      <c r="D150" s="305"/>
      <c r="E150" s="305"/>
      <c r="F150" s="117" t="s">
        <v>1645</v>
      </c>
      <c r="G150" s="116">
        <v>479.11200000000002</v>
      </c>
      <c r="H150" s="159"/>
      <c r="I150" s="108">
        <f t="shared" si="154"/>
        <v>0</v>
      </c>
      <c r="J150" s="108">
        <f t="shared" si="155"/>
        <v>0</v>
      </c>
      <c r="K150" s="108">
        <f t="shared" si="156"/>
        <v>0</v>
      </c>
      <c r="L150" s="111" t="s">
        <v>1671</v>
      </c>
      <c r="Z150" s="100">
        <f t="shared" si="157"/>
        <v>0</v>
      </c>
      <c r="AB150" s="100">
        <f t="shared" si="158"/>
        <v>0</v>
      </c>
      <c r="AC150" s="100">
        <f t="shared" si="159"/>
        <v>0</v>
      </c>
      <c r="AD150" s="100">
        <f t="shared" si="160"/>
        <v>0</v>
      </c>
      <c r="AE150" s="100">
        <f t="shared" si="161"/>
        <v>0</v>
      </c>
      <c r="AF150" s="100">
        <f t="shared" si="162"/>
        <v>0</v>
      </c>
      <c r="AG150" s="100">
        <f t="shared" si="163"/>
        <v>0</v>
      </c>
      <c r="AH150" s="100">
        <f t="shared" si="164"/>
        <v>0</v>
      </c>
      <c r="AI150" s="109"/>
      <c r="AJ150" s="108">
        <f t="shared" si="165"/>
        <v>0</v>
      </c>
      <c r="AK150" s="108">
        <f t="shared" si="166"/>
        <v>0</v>
      </c>
      <c r="AL150" s="108">
        <f t="shared" si="167"/>
        <v>0</v>
      </c>
      <c r="AN150" s="100">
        <v>15</v>
      </c>
      <c r="AO150" s="100">
        <f t="shared" si="176"/>
        <v>0</v>
      </c>
      <c r="AP150" s="100">
        <f t="shared" si="177"/>
        <v>0</v>
      </c>
      <c r="AQ150" s="111" t="s">
        <v>7</v>
      </c>
      <c r="AV150" s="100">
        <f t="shared" si="168"/>
        <v>0</v>
      </c>
      <c r="AW150" s="100">
        <f t="shared" si="169"/>
        <v>0</v>
      </c>
      <c r="AX150" s="100">
        <f t="shared" si="170"/>
        <v>0</v>
      </c>
      <c r="AY150" s="110" t="s">
        <v>1701</v>
      </c>
      <c r="AZ150" s="110" t="s">
        <v>1730</v>
      </c>
      <c r="BA150" s="109" t="s">
        <v>1737</v>
      </c>
      <c r="BC150" s="100">
        <f t="shared" si="171"/>
        <v>0</v>
      </c>
      <c r="BD150" s="100">
        <f t="shared" si="172"/>
        <v>0</v>
      </c>
      <c r="BE150" s="100">
        <v>0</v>
      </c>
      <c r="BF150" s="100">
        <f>150</f>
        <v>150</v>
      </c>
      <c r="BH150" s="108">
        <f t="shared" si="173"/>
        <v>0</v>
      </c>
      <c r="BI150" s="108">
        <f t="shared" si="174"/>
        <v>0</v>
      </c>
      <c r="BJ150" s="108">
        <f t="shared" si="175"/>
        <v>0</v>
      </c>
    </row>
    <row r="151" spans="1:62" x14ac:dyDescent="0.2">
      <c r="A151" s="117" t="s">
        <v>119</v>
      </c>
      <c r="B151" s="117" t="s">
        <v>681</v>
      </c>
      <c r="C151" s="304" t="s">
        <v>1190</v>
      </c>
      <c r="D151" s="305"/>
      <c r="E151" s="305"/>
      <c r="F151" s="117" t="s">
        <v>1645</v>
      </c>
      <c r="G151" s="116">
        <v>479.11200000000002</v>
      </c>
      <c r="H151" s="159"/>
      <c r="I151" s="108">
        <f t="shared" si="154"/>
        <v>0</v>
      </c>
      <c r="J151" s="108">
        <f t="shared" si="155"/>
        <v>0</v>
      </c>
      <c r="K151" s="108">
        <f t="shared" si="156"/>
        <v>0</v>
      </c>
      <c r="L151" s="111" t="s">
        <v>1671</v>
      </c>
      <c r="Z151" s="100">
        <f t="shared" si="157"/>
        <v>0</v>
      </c>
      <c r="AB151" s="100">
        <f t="shared" si="158"/>
        <v>0</v>
      </c>
      <c r="AC151" s="100">
        <f t="shared" si="159"/>
        <v>0</v>
      </c>
      <c r="AD151" s="100">
        <f t="shared" si="160"/>
        <v>0</v>
      </c>
      <c r="AE151" s="100">
        <f t="shared" si="161"/>
        <v>0</v>
      </c>
      <c r="AF151" s="100">
        <f t="shared" si="162"/>
        <v>0</v>
      </c>
      <c r="AG151" s="100">
        <f t="shared" si="163"/>
        <v>0</v>
      </c>
      <c r="AH151" s="100">
        <f t="shared" si="164"/>
        <v>0</v>
      </c>
      <c r="AI151" s="109"/>
      <c r="AJ151" s="108">
        <f t="shared" si="165"/>
        <v>0</v>
      </c>
      <c r="AK151" s="108">
        <f t="shared" si="166"/>
        <v>0</v>
      </c>
      <c r="AL151" s="108">
        <f t="shared" si="167"/>
        <v>0</v>
      </c>
      <c r="AN151" s="100">
        <v>15</v>
      </c>
      <c r="AO151" s="100">
        <f t="shared" si="176"/>
        <v>0</v>
      </c>
      <c r="AP151" s="100">
        <f t="shared" si="177"/>
        <v>0</v>
      </c>
      <c r="AQ151" s="111" t="s">
        <v>7</v>
      </c>
      <c r="AV151" s="100">
        <f t="shared" si="168"/>
        <v>0</v>
      </c>
      <c r="AW151" s="100">
        <f t="shared" si="169"/>
        <v>0</v>
      </c>
      <c r="AX151" s="100">
        <f t="shared" si="170"/>
        <v>0</v>
      </c>
      <c r="AY151" s="110" t="s">
        <v>1701</v>
      </c>
      <c r="AZ151" s="110" t="s">
        <v>1730</v>
      </c>
      <c r="BA151" s="109" t="s">
        <v>1737</v>
      </c>
      <c r="BC151" s="100">
        <f t="shared" si="171"/>
        <v>0</v>
      </c>
      <c r="BD151" s="100">
        <f t="shared" si="172"/>
        <v>0</v>
      </c>
      <c r="BE151" s="100">
        <v>0</v>
      </c>
      <c r="BF151" s="100">
        <f>151</f>
        <v>151</v>
      </c>
      <c r="BH151" s="108">
        <f t="shared" si="173"/>
        <v>0</v>
      </c>
      <c r="BI151" s="108">
        <f t="shared" si="174"/>
        <v>0</v>
      </c>
      <c r="BJ151" s="108">
        <f t="shared" si="175"/>
        <v>0</v>
      </c>
    </row>
    <row r="152" spans="1:62" x14ac:dyDescent="0.2">
      <c r="A152" s="117" t="s">
        <v>120</v>
      </c>
      <c r="B152" s="117" t="s">
        <v>682</v>
      </c>
      <c r="C152" s="304" t="s">
        <v>1191</v>
      </c>
      <c r="D152" s="305"/>
      <c r="E152" s="305"/>
      <c r="F152" s="117" t="s">
        <v>1645</v>
      </c>
      <c r="G152" s="116">
        <v>108.25700000000001</v>
      </c>
      <c r="H152" s="159"/>
      <c r="I152" s="108">
        <f t="shared" si="154"/>
        <v>0</v>
      </c>
      <c r="J152" s="108">
        <f t="shared" si="155"/>
        <v>0</v>
      </c>
      <c r="K152" s="108">
        <f t="shared" si="156"/>
        <v>0</v>
      </c>
      <c r="L152" s="111" t="s">
        <v>1671</v>
      </c>
      <c r="Z152" s="100">
        <f t="shared" si="157"/>
        <v>0</v>
      </c>
      <c r="AB152" s="100">
        <f t="shared" si="158"/>
        <v>0</v>
      </c>
      <c r="AC152" s="100">
        <f t="shared" si="159"/>
        <v>0</v>
      </c>
      <c r="AD152" s="100">
        <f t="shared" si="160"/>
        <v>0</v>
      </c>
      <c r="AE152" s="100">
        <f t="shared" si="161"/>
        <v>0</v>
      </c>
      <c r="AF152" s="100">
        <f t="shared" si="162"/>
        <v>0</v>
      </c>
      <c r="AG152" s="100">
        <f t="shared" si="163"/>
        <v>0</v>
      </c>
      <c r="AH152" s="100">
        <f t="shared" si="164"/>
        <v>0</v>
      </c>
      <c r="AI152" s="109"/>
      <c r="AJ152" s="108">
        <f t="shared" si="165"/>
        <v>0</v>
      </c>
      <c r="AK152" s="108">
        <f t="shared" si="166"/>
        <v>0</v>
      </c>
      <c r="AL152" s="108">
        <f t="shared" si="167"/>
        <v>0</v>
      </c>
      <c r="AN152" s="100">
        <v>15</v>
      </c>
      <c r="AO152" s="100">
        <f t="shared" si="176"/>
        <v>0</v>
      </c>
      <c r="AP152" s="100">
        <f t="shared" si="177"/>
        <v>0</v>
      </c>
      <c r="AQ152" s="111" t="s">
        <v>7</v>
      </c>
      <c r="AV152" s="100">
        <f t="shared" si="168"/>
        <v>0</v>
      </c>
      <c r="AW152" s="100">
        <f t="shared" si="169"/>
        <v>0</v>
      </c>
      <c r="AX152" s="100">
        <f t="shared" si="170"/>
        <v>0</v>
      </c>
      <c r="AY152" s="110" t="s">
        <v>1701</v>
      </c>
      <c r="AZ152" s="110" t="s">
        <v>1730</v>
      </c>
      <c r="BA152" s="109" t="s">
        <v>1737</v>
      </c>
      <c r="BC152" s="100">
        <f t="shared" si="171"/>
        <v>0</v>
      </c>
      <c r="BD152" s="100">
        <f t="shared" si="172"/>
        <v>0</v>
      </c>
      <c r="BE152" s="100">
        <v>0</v>
      </c>
      <c r="BF152" s="100">
        <f>152</f>
        <v>152</v>
      </c>
      <c r="BH152" s="108">
        <f t="shared" si="173"/>
        <v>0</v>
      </c>
      <c r="BI152" s="108">
        <f t="shared" si="174"/>
        <v>0</v>
      </c>
      <c r="BJ152" s="108">
        <f t="shared" si="175"/>
        <v>0</v>
      </c>
    </row>
    <row r="153" spans="1:62" x14ac:dyDescent="0.2">
      <c r="A153" s="117" t="s">
        <v>121</v>
      </c>
      <c r="B153" s="117" t="s">
        <v>682</v>
      </c>
      <c r="C153" s="304" t="s">
        <v>1192</v>
      </c>
      <c r="D153" s="305"/>
      <c r="E153" s="305"/>
      <c r="F153" s="117" t="s">
        <v>1645</v>
      </c>
      <c r="G153" s="116">
        <v>67.39</v>
      </c>
      <c r="H153" s="159"/>
      <c r="I153" s="108">
        <f t="shared" si="154"/>
        <v>0</v>
      </c>
      <c r="J153" s="108">
        <f t="shared" si="155"/>
        <v>0</v>
      </c>
      <c r="K153" s="108">
        <f t="shared" si="156"/>
        <v>0</v>
      </c>
      <c r="L153" s="111" t="s">
        <v>1671</v>
      </c>
      <c r="Z153" s="100">
        <f t="shared" si="157"/>
        <v>0</v>
      </c>
      <c r="AB153" s="100">
        <f t="shared" si="158"/>
        <v>0</v>
      </c>
      <c r="AC153" s="100">
        <f t="shared" si="159"/>
        <v>0</v>
      </c>
      <c r="AD153" s="100">
        <f t="shared" si="160"/>
        <v>0</v>
      </c>
      <c r="AE153" s="100">
        <f t="shared" si="161"/>
        <v>0</v>
      </c>
      <c r="AF153" s="100">
        <f t="shared" si="162"/>
        <v>0</v>
      </c>
      <c r="AG153" s="100">
        <f t="shared" si="163"/>
        <v>0</v>
      </c>
      <c r="AH153" s="100">
        <f t="shared" si="164"/>
        <v>0</v>
      </c>
      <c r="AI153" s="109"/>
      <c r="AJ153" s="108">
        <f t="shared" si="165"/>
        <v>0</v>
      </c>
      <c r="AK153" s="108">
        <f t="shared" si="166"/>
        <v>0</v>
      </c>
      <c r="AL153" s="108">
        <f t="shared" si="167"/>
        <v>0</v>
      </c>
      <c r="AN153" s="100">
        <v>15</v>
      </c>
      <c r="AO153" s="100">
        <f t="shared" si="176"/>
        <v>0</v>
      </c>
      <c r="AP153" s="100">
        <f t="shared" si="177"/>
        <v>0</v>
      </c>
      <c r="AQ153" s="111" t="s">
        <v>7</v>
      </c>
      <c r="AV153" s="100">
        <f t="shared" si="168"/>
        <v>0</v>
      </c>
      <c r="AW153" s="100">
        <f t="shared" si="169"/>
        <v>0</v>
      </c>
      <c r="AX153" s="100">
        <f t="shared" si="170"/>
        <v>0</v>
      </c>
      <c r="AY153" s="110" t="s">
        <v>1701</v>
      </c>
      <c r="AZ153" s="110" t="s">
        <v>1730</v>
      </c>
      <c r="BA153" s="109" t="s">
        <v>1737</v>
      </c>
      <c r="BC153" s="100">
        <f t="shared" si="171"/>
        <v>0</v>
      </c>
      <c r="BD153" s="100">
        <f t="shared" si="172"/>
        <v>0</v>
      </c>
      <c r="BE153" s="100">
        <v>0</v>
      </c>
      <c r="BF153" s="100">
        <f>153</f>
        <v>153</v>
      </c>
      <c r="BH153" s="108">
        <f t="shared" si="173"/>
        <v>0</v>
      </c>
      <c r="BI153" s="108">
        <f t="shared" si="174"/>
        <v>0</v>
      </c>
      <c r="BJ153" s="108">
        <f t="shared" si="175"/>
        <v>0</v>
      </c>
    </row>
    <row r="154" spans="1:62" x14ac:dyDescent="0.2">
      <c r="A154" s="117" t="s">
        <v>122</v>
      </c>
      <c r="B154" s="117" t="s">
        <v>683</v>
      </c>
      <c r="C154" s="304" t="s">
        <v>1194</v>
      </c>
      <c r="D154" s="305"/>
      <c r="E154" s="305"/>
      <c r="F154" s="117" t="s">
        <v>1645</v>
      </c>
      <c r="G154" s="116">
        <v>19.77</v>
      </c>
      <c r="H154" s="159"/>
      <c r="I154" s="108">
        <f t="shared" si="154"/>
        <v>0</v>
      </c>
      <c r="J154" s="108">
        <f t="shared" si="155"/>
        <v>0</v>
      </c>
      <c r="K154" s="108">
        <f t="shared" si="156"/>
        <v>0</v>
      </c>
      <c r="L154" s="111" t="s">
        <v>1671</v>
      </c>
      <c r="Z154" s="100">
        <f t="shared" si="157"/>
        <v>0</v>
      </c>
      <c r="AB154" s="100">
        <f t="shared" si="158"/>
        <v>0</v>
      </c>
      <c r="AC154" s="100">
        <f t="shared" si="159"/>
        <v>0</v>
      </c>
      <c r="AD154" s="100">
        <f t="shared" si="160"/>
        <v>0</v>
      </c>
      <c r="AE154" s="100">
        <f t="shared" si="161"/>
        <v>0</v>
      </c>
      <c r="AF154" s="100">
        <f t="shared" si="162"/>
        <v>0</v>
      </c>
      <c r="AG154" s="100">
        <f t="shared" si="163"/>
        <v>0</v>
      </c>
      <c r="AH154" s="100">
        <f t="shared" si="164"/>
        <v>0</v>
      </c>
      <c r="AI154" s="109"/>
      <c r="AJ154" s="108">
        <f t="shared" si="165"/>
        <v>0</v>
      </c>
      <c r="AK154" s="108">
        <f t="shared" si="166"/>
        <v>0</v>
      </c>
      <c r="AL154" s="108">
        <f t="shared" si="167"/>
        <v>0</v>
      </c>
      <c r="AN154" s="100">
        <v>15</v>
      </c>
      <c r="AO154" s="100">
        <f t="shared" si="176"/>
        <v>0</v>
      </c>
      <c r="AP154" s="100">
        <f t="shared" si="177"/>
        <v>0</v>
      </c>
      <c r="AQ154" s="111" t="s">
        <v>7</v>
      </c>
      <c r="AV154" s="100">
        <f t="shared" si="168"/>
        <v>0</v>
      </c>
      <c r="AW154" s="100">
        <f t="shared" si="169"/>
        <v>0</v>
      </c>
      <c r="AX154" s="100">
        <f t="shared" si="170"/>
        <v>0</v>
      </c>
      <c r="AY154" s="110" t="s">
        <v>1701</v>
      </c>
      <c r="AZ154" s="110" t="s">
        <v>1730</v>
      </c>
      <c r="BA154" s="109" t="s">
        <v>1737</v>
      </c>
      <c r="BC154" s="100">
        <f t="shared" si="171"/>
        <v>0</v>
      </c>
      <c r="BD154" s="100">
        <f t="shared" si="172"/>
        <v>0</v>
      </c>
      <c r="BE154" s="100">
        <v>0</v>
      </c>
      <c r="BF154" s="100">
        <f>154</f>
        <v>154</v>
      </c>
      <c r="BH154" s="108">
        <f t="shared" si="173"/>
        <v>0</v>
      </c>
      <c r="BI154" s="108">
        <f t="shared" si="174"/>
        <v>0</v>
      </c>
      <c r="BJ154" s="108">
        <f t="shared" si="175"/>
        <v>0</v>
      </c>
    </row>
    <row r="155" spans="1:62" x14ac:dyDescent="0.2">
      <c r="A155" s="119"/>
      <c r="B155" s="120" t="s">
        <v>686</v>
      </c>
      <c r="C155" s="306" t="s">
        <v>1198</v>
      </c>
      <c r="D155" s="307"/>
      <c r="E155" s="307"/>
      <c r="F155" s="119" t="s">
        <v>6</v>
      </c>
      <c r="G155" s="119" t="s">
        <v>6</v>
      </c>
      <c r="H155" s="119" t="s">
        <v>6</v>
      </c>
      <c r="I155" s="118">
        <f>SUM(I156:I171)</f>
        <v>0</v>
      </c>
      <c r="J155" s="118">
        <f>SUM(J156:J171)</f>
        <v>0</v>
      </c>
      <c r="K155" s="118">
        <f>SUM(K156:K171)</f>
        <v>0</v>
      </c>
      <c r="L155" s="109"/>
      <c r="AI155" s="109"/>
      <c r="AS155" s="118">
        <f>SUM(AJ156:AJ171)</f>
        <v>0</v>
      </c>
      <c r="AT155" s="118">
        <f>SUM(AK156:AK171)</f>
        <v>0</v>
      </c>
      <c r="AU155" s="118">
        <f>SUM(AL156:AL171)</f>
        <v>0</v>
      </c>
    </row>
    <row r="156" spans="1:62" x14ac:dyDescent="0.2">
      <c r="A156" s="117" t="s">
        <v>123</v>
      </c>
      <c r="B156" s="117" t="s">
        <v>687</v>
      </c>
      <c r="C156" s="304" t="s">
        <v>1199</v>
      </c>
      <c r="D156" s="305"/>
      <c r="E156" s="305"/>
      <c r="F156" s="117" t="s">
        <v>1648</v>
      </c>
      <c r="G156" s="116">
        <v>24.497</v>
      </c>
      <c r="H156" s="159"/>
      <c r="I156" s="108">
        <f t="shared" ref="I156:I171" si="178">G156*AO156</f>
        <v>0</v>
      </c>
      <c r="J156" s="108">
        <f t="shared" ref="J156:J171" si="179">G156*AP156</f>
        <v>0</v>
      </c>
      <c r="K156" s="108">
        <f t="shared" ref="K156:K171" si="180">G156*H156</f>
        <v>0</v>
      </c>
      <c r="L156" s="111" t="s">
        <v>1671</v>
      </c>
      <c r="Z156" s="100">
        <f t="shared" ref="Z156:Z171" si="181">IF(AQ156="5",BJ156,0)</f>
        <v>0</v>
      </c>
      <c r="AB156" s="100">
        <f t="shared" ref="AB156:AB171" si="182">IF(AQ156="1",BH156,0)</f>
        <v>0</v>
      </c>
      <c r="AC156" s="100">
        <f t="shared" ref="AC156:AC171" si="183">IF(AQ156="1",BI156,0)</f>
        <v>0</v>
      </c>
      <c r="AD156" s="100">
        <f t="shared" ref="AD156:AD171" si="184">IF(AQ156="7",BH156,0)</f>
        <v>0</v>
      </c>
      <c r="AE156" s="100">
        <f t="shared" ref="AE156:AE171" si="185">IF(AQ156="7",BI156,0)</f>
        <v>0</v>
      </c>
      <c r="AF156" s="100">
        <f t="shared" ref="AF156:AF171" si="186">IF(AQ156="2",BH156,0)</f>
        <v>0</v>
      </c>
      <c r="AG156" s="100">
        <f t="shared" ref="AG156:AG171" si="187">IF(AQ156="2",BI156,0)</f>
        <v>0</v>
      </c>
      <c r="AH156" s="100">
        <f t="shared" ref="AH156:AH171" si="188">IF(AQ156="0",BJ156,0)</f>
        <v>0</v>
      </c>
      <c r="AI156" s="109"/>
      <c r="AJ156" s="108">
        <f t="shared" ref="AJ156:AJ171" si="189">IF(AN156=0,K156,0)</f>
        <v>0</v>
      </c>
      <c r="AK156" s="108">
        <f t="shared" ref="AK156:AK171" si="190">IF(AN156=15,K156,0)</f>
        <v>0</v>
      </c>
      <c r="AL156" s="108">
        <f t="shared" ref="AL156:AL171" si="191">IF(AN156=21,K156,0)</f>
        <v>0</v>
      </c>
      <c r="AN156" s="100">
        <v>15</v>
      </c>
      <c r="AO156" s="100">
        <f t="shared" ref="AO156:AO171" si="192">H156*0</f>
        <v>0</v>
      </c>
      <c r="AP156" s="100">
        <f t="shared" ref="AP156:AP171" si="193">H156*(1-0)</f>
        <v>0</v>
      </c>
      <c r="AQ156" s="111" t="s">
        <v>11</v>
      </c>
      <c r="AV156" s="100">
        <f t="shared" ref="AV156:AV171" si="194">AW156+AX156</f>
        <v>0</v>
      </c>
      <c r="AW156" s="100">
        <f t="shared" ref="AW156:AW171" si="195">G156*AO156</f>
        <v>0</v>
      </c>
      <c r="AX156" s="100">
        <f t="shared" ref="AX156:AX171" si="196">G156*AP156</f>
        <v>0</v>
      </c>
      <c r="AY156" s="110" t="s">
        <v>1703</v>
      </c>
      <c r="AZ156" s="110" t="s">
        <v>1730</v>
      </c>
      <c r="BA156" s="109" t="s">
        <v>1737</v>
      </c>
      <c r="BC156" s="100">
        <f t="shared" ref="BC156:BC171" si="197">AW156+AX156</f>
        <v>0</v>
      </c>
      <c r="BD156" s="100">
        <f t="shared" ref="BD156:BD171" si="198">H156/(100-BE156)*100</f>
        <v>0</v>
      </c>
      <c r="BE156" s="100">
        <v>0</v>
      </c>
      <c r="BF156" s="100">
        <f>156</f>
        <v>156</v>
      </c>
      <c r="BH156" s="108">
        <f t="shared" ref="BH156:BH171" si="199">G156*AO156</f>
        <v>0</v>
      </c>
      <c r="BI156" s="108">
        <f t="shared" ref="BI156:BI171" si="200">G156*AP156</f>
        <v>0</v>
      </c>
      <c r="BJ156" s="108">
        <f t="shared" ref="BJ156:BJ171" si="201">G156*H156</f>
        <v>0</v>
      </c>
    </row>
    <row r="157" spans="1:62" x14ac:dyDescent="0.2">
      <c r="A157" s="117" t="s">
        <v>124</v>
      </c>
      <c r="B157" s="117" t="s">
        <v>688</v>
      </c>
      <c r="C157" s="304" t="s">
        <v>1200</v>
      </c>
      <c r="D157" s="305"/>
      <c r="E157" s="305"/>
      <c r="F157" s="117" t="s">
        <v>1648</v>
      </c>
      <c r="G157" s="116">
        <v>14.698</v>
      </c>
      <c r="H157" s="159"/>
      <c r="I157" s="108">
        <f t="shared" si="178"/>
        <v>0</v>
      </c>
      <c r="J157" s="108">
        <f t="shared" si="179"/>
        <v>0</v>
      </c>
      <c r="K157" s="108">
        <f t="shared" si="180"/>
        <v>0</v>
      </c>
      <c r="L157" s="111" t="s">
        <v>1671</v>
      </c>
      <c r="Z157" s="100">
        <f t="shared" si="181"/>
        <v>0</v>
      </c>
      <c r="AB157" s="100">
        <f t="shared" si="182"/>
        <v>0</v>
      </c>
      <c r="AC157" s="100">
        <f t="shared" si="183"/>
        <v>0</v>
      </c>
      <c r="AD157" s="100">
        <f t="shared" si="184"/>
        <v>0</v>
      </c>
      <c r="AE157" s="100">
        <f t="shared" si="185"/>
        <v>0</v>
      </c>
      <c r="AF157" s="100">
        <f t="shared" si="186"/>
        <v>0</v>
      </c>
      <c r="AG157" s="100">
        <f t="shared" si="187"/>
        <v>0</v>
      </c>
      <c r="AH157" s="100">
        <f t="shared" si="188"/>
        <v>0</v>
      </c>
      <c r="AI157" s="109"/>
      <c r="AJ157" s="108">
        <f t="shared" si="189"/>
        <v>0</v>
      </c>
      <c r="AK157" s="108">
        <f t="shared" si="190"/>
        <v>0</v>
      </c>
      <c r="AL157" s="108">
        <f t="shared" si="191"/>
        <v>0</v>
      </c>
      <c r="AN157" s="100">
        <v>15</v>
      </c>
      <c r="AO157" s="100">
        <f t="shared" si="192"/>
        <v>0</v>
      </c>
      <c r="AP157" s="100">
        <f t="shared" si="193"/>
        <v>0</v>
      </c>
      <c r="AQ157" s="111" t="s">
        <v>11</v>
      </c>
      <c r="AV157" s="100">
        <f t="shared" si="194"/>
        <v>0</v>
      </c>
      <c r="AW157" s="100">
        <f t="shared" si="195"/>
        <v>0</v>
      </c>
      <c r="AX157" s="100">
        <f t="shared" si="196"/>
        <v>0</v>
      </c>
      <c r="AY157" s="110" t="s">
        <v>1703</v>
      </c>
      <c r="AZ157" s="110" t="s">
        <v>1730</v>
      </c>
      <c r="BA157" s="109" t="s">
        <v>1737</v>
      </c>
      <c r="BC157" s="100">
        <f t="shared" si="197"/>
        <v>0</v>
      </c>
      <c r="BD157" s="100">
        <f t="shared" si="198"/>
        <v>0</v>
      </c>
      <c r="BE157" s="100">
        <v>0</v>
      </c>
      <c r="BF157" s="100">
        <f>157</f>
        <v>157</v>
      </c>
      <c r="BH157" s="108">
        <f t="shared" si="199"/>
        <v>0</v>
      </c>
      <c r="BI157" s="108">
        <f t="shared" si="200"/>
        <v>0</v>
      </c>
      <c r="BJ157" s="108">
        <f t="shared" si="201"/>
        <v>0</v>
      </c>
    </row>
    <row r="158" spans="1:62" x14ac:dyDescent="0.2">
      <c r="A158" s="117" t="s">
        <v>125</v>
      </c>
      <c r="B158" s="117" t="s">
        <v>689</v>
      </c>
      <c r="C158" s="304" t="s">
        <v>1201</v>
      </c>
      <c r="D158" s="305"/>
      <c r="E158" s="305"/>
      <c r="F158" s="117" t="s">
        <v>1648</v>
      </c>
      <c r="G158" s="116">
        <v>73.489999999999995</v>
      </c>
      <c r="H158" s="159"/>
      <c r="I158" s="108">
        <f t="shared" si="178"/>
        <v>0</v>
      </c>
      <c r="J158" s="108">
        <f t="shared" si="179"/>
        <v>0</v>
      </c>
      <c r="K158" s="108">
        <f t="shared" si="180"/>
        <v>0</v>
      </c>
      <c r="L158" s="111" t="s">
        <v>1671</v>
      </c>
      <c r="Z158" s="100">
        <f t="shared" si="181"/>
        <v>0</v>
      </c>
      <c r="AB158" s="100">
        <f t="shared" si="182"/>
        <v>0</v>
      </c>
      <c r="AC158" s="100">
        <f t="shared" si="183"/>
        <v>0</v>
      </c>
      <c r="AD158" s="100">
        <f t="shared" si="184"/>
        <v>0</v>
      </c>
      <c r="AE158" s="100">
        <f t="shared" si="185"/>
        <v>0</v>
      </c>
      <c r="AF158" s="100">
        <f t="shared" si="186"/>
        <v>0</v>
      </c>
      <c r="AG158" s="100">
        <f t="shared" si="187"/>
        <v>0</v>
      </c>
      <c r="AH158" s="100">
        <f t="shared" si="188"/>
        <v>0</v>
      </c>
      <c r="AI158" s="109"/>
      <c r="AJ158" s="108">
        <f t="shared" si="189"/>
        <v>0</v>
      </c>
      <c r="AK158" s="108">
        <f t="shared" si="190"/>
        <v>0</v>
      </c>
      <c r="AL158" s="108">
        <f t="shared" si="191"/>
        <v>0</v>
      </c>
      <c r="AN158" s="100">
        <v>15</v>
      </c>
      <c r="AO158" s="100">
        <f t="shared" si="192"/>
        <v>0</v>
      </c>
      <c r="AP158" s="100">
        <f t="shared" si="193"/>
        <v>0</v>
      </c>
      <c r="AQ158" s="111" t="s">
        <v>11</v>
      </c>
      <c r="AV158" s="100">
        <f t="shared" si="194"/>
        <v>0</v>
      </c>
      <c r="AW158" s="100">
        <f t="shared" si="195"/>
        <v>0</v>
      </c>
      <c r="AX158" s="100">
        <f t="shared" si="196"/>
        <v>0</v>
      </c>
      <c r="AY158" s="110" t="s">
        <v>1703</v>
      </c>
      <c r="AZ158" s="110" t="s">
        <v>1730</v>
      </c>
      <c r="BA158" s="109" t="s">
        <v>1737</v>
      </c>
      <c r="BC158" s="100">
        <f t="shared" si="197"/>
        <v>0</v>
      </c>
      <c r="BD158" s="100">
        <f t="shared" si="198"/>
        <v>0</v>
      </c>
      <c r="BE158" s="100">
        <v>0</v>
      </c>
      <c r="BF158" s="100">
        <f>158</f>
        <v>158</v>
      </c>
      <c r="BH158" s="108">
        <f t="shared" si="199"/>
        <v>0</v>
      </c>
      <c r="BI158" s="108">
        <f t="shared" si="200"/>
        <v>0</v>
      </c>
      <c r="BJ158" s="108">
        <f t="shared" si="201"/>
        <v>0</v>
      </c>
    </row>
    <row r="159" spans="1:62" x14ac:dyDescent="0.2">
      <c r="A159" s="117" t="s">
        <v>126</v>
      </c>
      <c r="B159" s="117" t="s">
        <v>690</v>
      </c>
      <c r="C159" s="304" t="s">
        <v>1202</v>
      </c>
      <c r="D159" s="305"/>
      <c r="E159" s="305"/>
      <c r="F159" s="117" t="s">
        <v>1648</v>
      </c>
      <c r="G159" s="116">
        <v>661.41</v>
      </c>
      <c r="H159" s="159"/>
      <c r="I159" s="108">
        <f t="shared" si="178"/>
        <v>0</v>
      </c>
      <c r="J159" s="108">
        <f t="shared" si="179"/>
        <v>0</v>
      </c>
      <c r="K159" s="108">
        <f t="shared" si="180"/>
        <v>0</v>
      </c>
      <c r="L159" s="111" t="s">
        <v>1671</v>
      </c>
      <c r="Z159" s="100">
        <f t="shared" si="181"/>
        <v>0</v>
      </c>
      <c r="AB159" s="100">
        <f t="shared" si="182"/>
        <v>0</v>
      </c>
      <c r="AC159" s="100">
        <f t="shared" si="183"/>
        <v>0</v>
      </c>
      <c r="AD159" s="100">
        <f t="shared" si="184"/>
        <v>0</v>
      </c>
      <c r="AE159" s="100">
        <f t="shared" si="185"/>
        <v>0</v>
      </c>
      <c r="AF159" s="100">
        <f t="shared" si="186"/>
        <v>0</v>
      </c>
      <c r="AG159" s="100">
        <f t="shared" si="187"/>
        <v>0</v>
      </c>
      <c r="AH159" s="100">
        <f t="shared" si="188"/>
        <v>0</v>
      </c>
      <c r="AI159" s="109"/>
      <c r="AJ159" s="108">
        <f t="shared" si="189"/>
        <v>0</v>
      </c>
      <c r="AK159" s="108">
        <f t="shared" si="190"/>
        <v>0</v>
      </c>
      <c r="AL159" s="108">
        <f t="shared" si="191"/>
        <v>0</v>
      </c>
      <c r="AN159" s="100">
        <v>15</v>
      </c>
      <c r="AO159" s="100">
        <f t="shared" si="192"/>
        <v>0</v>
      </c>
      <c r="AP159" s="100">
        <f t="shared" si="193"/>
        <v>0</v>
      </c>
      <c r="AQ159" s="111" t="s">
        <v>11</v>
      </c>
      <c r="AV159" s="100">
        <f t="shared" si="194"/>
        <v>0</v>
      </c>
      <c r="AW159" s="100">
        <f t="shared" si="195"/>
        <v>0</v>
      </c>
      <c r="AX159" s="100">
        <f t="shared" si="196"/>
        <v>0</v>
      </c>
      <c r="AY159" s="110" t="s">
        <v>1703</v>
      </c>
      <c r="AZ159" s="110" t="s">
        <v>1730</v>
      </c>
      <c r="BA159" s="109" t="s">
        <v>1737</v>
      </c>
      <c r="BC159" s="100">
        <f t="shared" si="197"/>
        <v>0</v>
      </c>
      <c r="BD159" s="100">
        <f t="shared" si="198"/>
        <v>0</v>
      </c>
      <c r="BE159" s="100">
        <v>0</v>
      </c>
      <c r="BF159" s="100">
        <f>159</f>
        <v>159</v>
      </c>
      <c r="BH159" s="108">
        <f t="shared" si="199"/>
        <v>0</v>
      </c>
      <c r="BI159" s="108">
        <f t="shared" si="200"/>
        <v>0</v>
      </c>
      <c r="BJ159" s="108">
        <f t="shared" si="201"/>
        <v>0</v>
      </c>
    </row>
    <row r="160" spans="1:62" x14ac:dyDescent="0.2">
      <c r="A160" s="117" t="s">
        <v>127</v>
      </c>
      <c r="B160" s="117" t="s">
        <v>691</v>
      </c>
      <c r="C160" s="304" t="s">
        <v>1203</v>
      </c>
      <c r="D160" s="305"/>
      <c r="E160" s="305"/>
      <c r="F160" s="117" t="s">
        <v>1648</v>
      </c>
      <c r="G160" s="116">
        <v>73.489999999999995</v>
      </c>
      <c r="H160" s="159"/>
      <c r="I160" s="108">
        <f t="shared" si="178"/>
        <v>0</v>
      </c>
      <c r="J160" s="108">
        <f t="shared" si="179"/>
        <v>0</v>
      </c>
      <c r="K160" s="108">
        <f t="shared" si="180"/>
        <v>0</v>
      </c>
      <c r="L160" s="111" t="s">
        <v>1671</v>
      </c>
      <c r="Z160" s="100">
        <f t="shared" si="181"/>
        <v>0</v>
      </c>
      <c r="AB160" s="100">
        <f t="shared" si="182"/>
        <v>0</v>
      </c>
      <c r="AC160" s="100">
        <f t="shared" si="183"/>
        <v>0</v>
      </c>
      <c r="AD160" s="100">
        <f t="shared" si="184"/>
        <v>0</v>
      </c>
      <c r="AE160" s="100">
        <f t="shared" si="185"/>
        <v>0</v>
      </c>
      <c r="AF160" s="100">
        <f t="shared" si="186"/>
        <v>0</v>
      </c>
      <c r="AG160" s="100">
        <f t="shared" si="187"/>
        <v>0</v>
      </c>
      <c r="AH160" s="100">
        <f t="shared" si="188"/>
        <v>0</v>
      </c>
      <c r="AI160" s="109"/>
      <c r="AJ160" s="108">
        <f t="shared" si="189"/>
        <v>0</v>
      </c>
      <c r="AK160" s="108">
        <f t="shared" si="190"/>
        <v>0</v>
      </c>
      <c r="AL160" s="108">
        <f t="shared" si="191"/>
        <v>0</v>
      </c>
      <c r="AN160" s="100">
        <v>15</v>
      </c>
      <c r="AO160" s="100">
        <f t="shared" si="192"/>
        <v>0</v>
      </c>
      <c r="AP160" s="100">
        <f t="shared" si="193"/>
        <v>0</v>
      </c>
      <c r="AQ160" s="111" t="s">
        <v>11</v>
      </c>
      <c r="AV160" s="100">
        <f t="shared" si="194"/>
        <v>0</v>
      </c>
      <c r="AW160" s="100">
        <f t="shared" si="195"/>
        <v>0</v>
      </c>
      <c r="AX160" s="100">
        <f t="shared" si="196"/>
        <v>0</v>
      </c>
      <c r="AY160" s="110" t="s">
        <v>1703</v>
      </c>
      <c r="AZ160" s="110" t="s">
        <v>1730</v>
      </c>
      <c r="BA160" s="109" t="s">
        <v>1737</v>
      </c>
      <c r="BC160" s="100">
        <f t="shared" si="197"/>
        <v>0</v>
      </c>
      <c r="BD160" s="100">
        <f t="shared" si="198"/>
        <v>0</v>
      </c>
      <c r="BE160" s="100">
        <v>0</v>
      </c>
      <c r="BF160" s="100">
        <f>160</f>
        <v>160</v>
      </c>
      <c r="BH160" s="108">
        <f t="shared" si="199"/>
        <v>0</v>
      </c>
      <c r="BI160" s="108">
        <f t="shared" si="200"/>
        <v>0</v>
      </c>
      <c r="BJ160" s="108">
        <f t="shared" si="201"/>
        <v>0</v>
      </c>
    </row>
    <row r="161" spans="1:62" x14ac:dyDescent="0.2">
      <c r="A161" s="117" t="s">
        <v>128</v>
      </c>
      <c r="B161" s="117" t="s">
        <v>692</v>
      </c>
      <c r="C161" s="304" t="s">
        <v>1204</v>
      </c>
      <c r="D161" s="305"/>
      <c r="E161" s="305"/>
      <c r="F161" s="117" t="s">
        <v>1648</v>
      </c>
      <c r="G161" s="116">
        <v>293.95999999999998</v>
      </c>
      <c r="H161" s="159"/>
      <c r="I161" s="108">
        <f t="shared" si="178"/>
        <v>0</v>
      </c>
      <c r="J161" s="108">
        <f t="shared" si="179"/>
        <v>0</v>
      </c>
      <c r="K161" s="108">
        <f t="shared" si="180"/>
        <v>0</v>
      </c>
      <c r="L161" s="111" t="s">
        <v>1671</v>
      </c>
      <c r="Z161" s="100">
        <f t="shared" si="181"/>
        <v>0</v>
      </c>
      <c r="AB161" s="100">
        <f t="shared" si="182"/>
        <v>0</v>
      </c>
      <c r="AC161" s="100">
        <f t="shared" si="183"/>
        <v>0</v>
      </c>
      <c r="AD161" s="100">
        <f t="shared" si="184"/>
        <v>0</v>
      </c>
      <c r="AE161" s="100">
        <f t="shared" si="185"/>
        <v>0</v>
      </c>
      <c r="AF161" s="100">
        <f t="shared" si="186"/>
        <v>0</v>
      </c>
      <c r="AG161" s="100">
        <f t="shared" si="187"/>
        <v>0</v>
      </c>
      <c r="AH161" s="100">
        <f t="shared" si="188"/>
        <v>0</v>
      </c>
      <c r="AI161" s="109"/>
      <c r="AJ161" s="108">
        <f t="shared" si="189"/>
        <v>0</v>
      </c>
      <c r="AK161" s="108">
        <f t="shared" si="190"/>
        <v>0</v>
      </c>
      <c r="AL161" s="108">
        <f t="shared" si="191"/>
        <v>0</v>
      </c>
      <c r="AN161" s="100">
        <v>15</v>
      </c>
      <c r="AO161" s="100">
        <f t="shared" si="192"/>
        <v>0</v>
      </c>
      <c r="AP161" s="100">
        <f t="shared" si="193"/>
        <v>0</v>
      </c>
      <c r="AQ161" s="111" t="s">
        <v>11</v>
      </c>
      <c r="AV161" s="100">
        <f t="shared" si="194"/>
        <v>0</v>
      </c>
      <c r="AW161" s="100">
        <f t="shared" si="195"/>
        <v>0</v>
      </c>
      <c r="AX161" s="100">
        <f t="shared" si="196"/>
        <v>0</v>
      </c>
      <c r="AY161" s="110" t="s">
        <v>1703</v>
      </c>
      <c r="AZ161" s="110" t="s">
        <v>1730</v>
      </c>
      <c r="BA161" s="109" t="s">
        <v>1737</v>
      </c>
      <c r="BC161" s="100">
        <f t="shared" si="197"/>
        <v>0</v>
      </c>
      <c r="BD161" s="100">
        <f t="shared" si="198"/>
        <v>0</v>
      </c>
      <c r="BE161" s="100">
        <v>0</v>
      </c>
      <c r="BF161" s="100">
        <f>161</f>
        <v>161</v>
      </c>
      <c r="BH161" s="108">
        <f t="shared" si="199"/>
        <v>0</v>
      </c>
      <c r="BI161" s="108">
        <f t="shared" si="200"/>
        <v>0</v>
      </c>
      <c r="BJ161" s="108">
        <f t="shared" si="201"/>
        <v>0</v>
      </c>
    </row>
    <row r="162" spans="1:62" x14ac:dyDescent="0.2">
      <c r="A162" s="117" t="s">
        <v>129</v>
      </c>
      <c r="B162" s="117" t="s">
        <v>693</v>
      </c>
      <c r="C162" s="304" t="s">
        <v>1205</v>
      </c>
      <c r="D162" s="305"/>
      <c r="E162" s="305"/>
      <c r="F162" s="117" t="s">
        <v>1648</v>
      </c>
      <c r="G162" s="116">
        <v>73.489999999999995</v>
      </c>
      <c r="H162" s="159"/>
      <c r="I162" s="108">
        <f t="shared" si="178"/>
        <v>0</v>
      </c>
      <c r="J162" s="108">
        <f t="shared" si="179"/>
        <v>0</v>
      </c>
      <c r="K162" s="108">
        <f t="shared" si="180"/>
        <v>0</v>
      </c>
      <c r="L162" s="111" t="s">
        <v>1671</v>
      </c>
      <c r="Z162" s="100">
        <f t="shared" si="181"/>
        <v>0</v>
      </c>
      <c r="AB162" s="100">
        <f t="shared" si="182"/>
        <v>0</v>
      </c>
      <c r="AC162" s="100">
        <f t="shared" si="183"/>
        <v>0</v>
      </c>
      <c r="AD162" s="100">
        <f t="shared" si="184"/>
        <v>0</v>
      </c>
      <c r="AE162" s="100">
        <f t="shared" si="185"/>
        <v>0</v>
      </c>
      <c r="AF162" s="100">
        <f t="shared" si="186"/>
        <v>0</v>
      </c>
      <c r="AG162" s="100">
        <f t="shared" si="187"/>
        <v>0</v>
      </c>
      <c r="AH162" s="100">
        <f t="shared" si="188"/>
        <v>0</v>
      </c>
      <c r="AI162" s="109"/>
      <c r="AJ162" s="108">
        <f t="shared" si="189"/>
        <v>0</v>
      </c>
      <c r="AK162" s="108">
        <f t="shared" si="190"/>
        <v>0</v>
      </c>
      <c r="AL162" s="108">
        <f t="shared" si="191"/>
        <v>0</v>
      </c>
      <c r="AN162" s="100">
        <v>15</v>
      </c>
      <c r="AO162" s="100">
        <f t="shared" si="192"/>
        <v>0</v>
      </c>
      <c r="AP162" s="100">
        <f t="shared" si="193"/>
        <v>0</v>
      </c>
      <c r="AQ162" s="111" t="s">
        <v>11</v>
      </c>
      <c r="AV162" s="100">
        <f t="shared" si="194"/>
        <v>0</v>
      </c>
      <c r="AW162" s="100">
        <f t="shared" si="195"/>
        <v>0</v>
      </c>
      <c r="AX162" s="100">
        <f t="shared" si="196"/>
        <v>0</v>
      </c>
      <c r="AY162" s="110" t="s">
        <v>1703</v>
      </c>
      <c r="AZ162" s="110" t="s">
        <v>1730</v>
      </c>
      <c r="BA162" s="109" t="s">
        <v>1737</v>
      </c>
      <c r="BC162" s="100">
        <f t="shared" si="197"/>
        <v>0</v>
      </c>
      <c r="BD162" s="100">
        <f t="shared" si="198"/>
        <v>0</v>
      </c>
      <c r="BE162" s="100">
        <v>0</v>
      </c>
      <c r="BF162" s="100">
        <f>162</f>
        <v>162</v>
      </c>
      <c r="BH162" s="108">
        <f t="shared" si="199"/>
        <v>0</v>
      </c>
      <c r="BI162" s="108">
        <f t="shared" si="200"/>
        <v>0</v>
      </c>
      <c r="BJ162" s="108">
        <f t="shared" si="201"/>
        <v>0</v>
      </c>
    </row>
    <row r="163" spans="1:62" x14ac:dyDescent="0.2">
      <c r="A163" s="117" t="s">
        <v>130</v>
      </c>
      <c r="B163" s="117" t="s">
        <v>694</v>
      </c>
      <c r="C163" s="304" t="s">
        <v>1206</v>
      </c>
      <c r="D163" s="305"/>
      <c r="E163" s="305"/>
      <c r="F163" s="117" t="s">
        <v>1648</v>
      </c>
      <c r="G163" s="116">
        <v>73.489999999999995</v>
      </c>
      <c r="H163" s="159"/>
      <c r="I163" s="108">
        <f t="shared" si="178"/>
        <v>0</v>
      </c>
      <c r="J163" s="108">
        <f t="shared" si="179"/>
        <v>0</v>
      </c>
      <c r="K163" s="108">
        <f t="shared" si="180"/>
        <v>0</v>
      </c>
      <c r="L163" s="111" t="s">
        <v>1671</v>
      </c>
      <c r="Z163" s="100">
        <f t="shared" si="181"/>
        <v>0</v>
      </c>
      <c r="AB163" s="100">
        <f t="shared" si="182"/>
        <v>0</v>
      </c>
      <c r="AC163" s="100">
        <f t="shared" si="183"/>
        <v>0</v>
      </c>
      <c r="AD163" s="100">
        <f t="shared" si="184"/>
        <v>0</v>
      </c>
      <c r="AE163" s="100">
        <f t="shared" si="185"/>
        <v>0</v>
      </c>
      <c r="AF163" s="100">
        <f t="shared" si="186"/>
        <v>0</v>
      </c>
      <c r="AG163" s="100">
        <f t="shared" si="187"/>
        <v>0</v>
      </c>
      <c r="AH163" s="100">
        <f t="shared" si="188"/>
        <v>0</v>
      </c>
      <c r="AI163" s="109"/>
      <c r="AJ163" s="108">
        <f t="shared" si="189"/>
        <v>0</v>
      </c>
      <c r="AK163" s="108">
        <f t="shared" si="190"/>
        <v>0</v>
      </c>
      <c r="AL163" s="108">
        <f t="shared" si="191"/>
        <v>0</v>
      </c>
      <c r="AN163" s="100">
        <v>15</v>
      </c>
      <c r="AO163" s="100">
        <f t="shared" si="192"/>
        <v>0</v>
      </c>
      <c r="AP163" s="100">
        <f t="shared" si="193"/>
        <v>0</v>
      </c>
      <c r="AQ163" s="111" t="s">
        <v>11</v>
      </c>
      <c r="AV163" s="100">
        <f t="shared" si="194"/>
        <v>0</v>
      </c>
      <c r="AW163" s="100">
        <f t="shared" si="195"/>
        <v>0</v>
      </c>
      <c r="AX163" s="100">
        <f t="shared" si="196"/>
        <v>0</v>
      </c>
      <c r="AY163" s="110" t="s">
        <v>1703</v>
      </c>
      <c r="AZ163" s="110" t="s">
        <v>1730</v>
      </c>
      <c r="BA163" s="109" t="s">
        <v>1737</v>
      </c>
      <c r="BC163" s="100">
        <f t="shared" si="197"/>
        <v>0</v>
      </c>
      <c r="BD163" s="100">
        <f t="shared" si="198"/>
        <v>0</v>
      </c>
      <c r="BE163" s="100">
        <v>0</v>
      </c>
      <c r="BF163" s="100">
        <f>163</f>
        <v>163</v>
      </c>
      <c r="BH163" s="108">
        <f t="shared" si="199"/>
        <v>0</v>
      </c>
      <c r="BI163" s="108">
        <f t="shared" si="200"/>
        <v>0</v>
      </c>
      <c r="BJ163" s="108">
        <f t="shared" si="201"/>
        <v>0</v>
      </c>
    </row>
    <row r="164" spans="1:62" x14ac:dyDescent="0.2">
      <c r="A164" s="117" t="s">
        <v>131</v>
      </c>
      <c r="B164" s="117" t="s">
        <v>695</v>
      </c>
      <c r="C164" s="304" t="s">
        <v>1207</v>
      </c>
      <c r="D164" s="305"/>
      <c r="E164" s="305"/>
      <c r="F164" s="117" t="s">
        <v>1648</v>
      </c>
      <c r="G164" s="116">
        <v>3.3780000000000001</v>
      </c>
      <c r="H164" s="159"/>
      <c r="I164" s="108">
        <f t="shared" si="178"/>
        <v>0</v>
      </c>
      <c r="J164" s="108">
        <f t="shared" si="179"/>
        <v>0</v>
      </c>
      <c r="K164" s="108">
        <f t="shared" si="180"/>
        <v>0</v>
      </c>
      <c r="L164" s="111" t="s">
        <v>1671</v>
      </c>
      <c r="Z164" s="100">
        <f t="shared" si="181"/>
        <v>0</v>
      </c>
      <c r="AB164" s="100">
        <f t="shared" si="182"/>
        <v>0</v>
      </c>
      <c r="AC164" s="100">
        <f t="shared" si="183"/>
        <v>0</v>
      </c>
      <c r="AD164" s="100">
        <f t="shared" si="184"/>
        <v>0</v>
      </c>
      <c r="AE164" s="100">
        <f t="shared" si="185"/>
        <v>0</v>
      </c>
      <c r="AF164" s="100">
        <f t="shared" si="186"/>
        <v>0</v>
      </c>
      <c r="AG164" s="100">
        <f t="shared" si="187"/>
        <v>0</v>
      </c>
      <c r="AH164" s="100">
        <f t="shared" si="188"/>
        <v>0</v>
      </c>
      <c r="AI164" s="109"/>
      <c r="AJ164" s="108">
        <f t="shared" si="189"/>
        <v>0</v>
      </c>
      <c r="AK164" s="108">
        <f t="shared" si="190"/>
        <v>0</v>
      </c>
      <c r="AL164" s="108">
        <f t="shared" si="191"/>
        <v>0</v>
      </c>
      <c r="AN164" s="100">
        <v>15</v>
      </c>
      <c r="AO164" s="100">
        <f t="shared" si="192"/>
        <v>0</v>
      </c>
      <c r="AP164" s="100">
        <f t="shared" si="193"/>
        <v>0</v>
      </c>
      <c r="AQ164" s="111" t="s">
        <v>11</v>
      </c>
      <c r="AV164" s="100">
        <f t="shared" si="194"/>
        <v>0</v>
      </c>
      <c r="AW164" s="100">
        <f t="shared" si="195"/>
        <v>0</v>
      </c>
      <c r="AX164" s="100">
        <f t="shared" si="196"/>
        <v>0</v>
      </c>
      <c r="AY164" s="110" t="s">
        <v>1703</v>
      </c>
      <c r="AZ164" s="110" t="s">
        <v>1730</v>
      </c>
      <c r="BA164" s="109" t="s">
        <v>1737</v>
      </c>
      <c r="BC164" s="100">
        <f t="shared" si="197"/>
        <v>0</v>
      </c>
      <c r="BD164" s="100">
        <f t="shared" si="198"/>
        <v>0</v>
      </c>
      <c r="BE164" s="100">
        <v>0</v>
      </c>
      <c r="BF164" s="100">
        <f>164</f>
        <v>164</v>
      </c>
      <c r="BH164" s="108">
        <f t="shared" si="199"/>
        <v>0</v>
      </c>
      <c r="BI164" s="108">
        <f t="shared" si="200"/>
        <v>0</v>
      </c>
      <c r="BJ164" s="108">
        <f t="shared" si="201"/>
        <v>0</v>
      </c>
    </row>
    <row r="165" spans="1:62" x14ac:dyDescent="0.2">
      <c r="A165" s="117" t="s">
        <v>132</v>
      </c>
      <c r="B165" s="117" t="s">
        <v>696</v>
      </c>
      <c r="C165" s="304" t="s">
        <v>1208</v>
      </c>
      <c r="D165" s="305"/>
      <c r="E165" s="305"/>
      <c r="F165" s="117" t="s">
        <v>1648</v>
      </c>
      <c r="G165" s="116">
        <v>9.0440000000000005</v>
      </c>
      <c r="H165" s="159"/>
      <c r="I165" s="108">
        <f t="shared" si="178"/>
        <v>0</v>
      </c>
      <c r="J165" s="108">
        <f t="shared" si="179"/>
        <v>0</v>
      </c>
      <c r="K165" s="108">
        <f t="shared" si="180"/>
        <v>0</v>
      </c>
      <c r="L165" s="111" t="s">
        <v>1671</v>
      </c>
      <c r="Z165" s="100">
        <f t="shared" si="181"/>
        <v>0</v>
      </c>
      <c r="AB165" s="100">
        <f t="shared" si="182"/>
        <v>0</v>
      </c>
      <c r="AC165" s="100">
        <f t="shared" si="183"/>
        <v>0</v>
      </c>
      <c r="AD165" s="100">
        <f t="shared" si="184"/>
        <v>0</v>
      </c>
      <c r="AE165" s="100">
        <f t="shared" si="185"/>
        <v>0</v>
      </c>
      <c r="AF165" s="100">
        <f t="shared" si="186"/>
        <v>0</v>
      </c>
      <c r="AG165" s="100">
        <f t="shared" si="187"/>
        <v>0</v>
      </c>
      <c r="AH165" s="100">
        <f t="shared" si="188"/>
        <v>0</v>
      </c>
      <c r="AI165" s="109"/>
      <c r="AJ165" s="108">
        <f t="shared" si="189"/>
        <v>0</v>
      </c>
      <c r="AK165" s="108">
        <f t="shared" si="190"/>
        <v>0</v>
      </c>
      <c r="AL165" s="108">
        <f t="shared" si="191"/>
        <v>0</v>
      </c>
      <c r="AN165" s="100">
        <v>15</v>
      </c>
      <c r="AO165" s="100">
        <f t="shared" si="192"/>
        <v>0</v>
      </c>
      <c r="AP165" s="100">
        <f t="shared" si="193"/>
        <v>0</v>
      </c>
      <c r="AQ165" s="111" t="s">
        <v>11</v>
      </c>
      <c r="AV165" s="100">
        <f t="shared" si="194"/>
        <v>0</v>
      </c>
      <c r="AW165" s="100">
        <f t="shared" si="195"/>
        <v>0</v>
      </c>
      <c r="AX165" s="100">
        <f t="shared" si="196"/>
        <v>0</v>
      </c>
      <c r="AY165" s="110" t="s">
        <v>1703</v>
      </c>
      <c r="AZ165" s="110" t="s">
        <v>1730</v>
      </c>
      <c r="BA165" s="109" t="s">
        <v>1737</v>
      </c>
      <c r="BC165" s="100">
        <f t="shared" si="197"/>
        <v>0</v>
      </c>
      <c r="BD165" s="100">
        <f t="shared" si="198"/>
        <v>0</v>
      </c>
      <c r="BE165" s="100">
        <v>0</v>
      </c>
      <c r="BF165" s="100">
        <f>165</f>
        <v>165</v>
      </c>
      <c r="BH165" s="108">
        <f t="shared" si="199"/>
        <v>0</v>
      </c>
      <c r="BI165" s="108">
        <f t="shared" si="200"/>
        <v>0</v>
      </c>
      <c r="BJ165" s="108">
        <f t="shared" si="201"/>
        <v>0</v>
      </c>
    </row>
    <row r="166" spans="1:62" x14ac:dyDescent="0.2">
      <c r="A166" s="117" t="s">
        <v>133</v>
      </c>
      <c r="B166" s="117" t="s">
        <v>697</v>
      </c>
      <c r="C166" s="304" t="s">
        <v>1209</v>
      </c>
      <c r="D166" s="305"/>
      <c r="E166" s="305"/>
      <c r="F166" s="117" t="s">
        <v>1648</v>
      </c>
      <c r="G166" s="116">
        <v>30.001999999999999</v>
      </c>
      <c r="H166" s="159"/>
      <c r="I166" s="108">
        <f t="shared" si="178"/>
        <v>0</v>
      </c>
      <c r="J166" s="108">
        <f t="shared" si="179"/>
        <v>0</v>
      </c>
      <c r="K166" s="108">
        <f t="shared" si="180"/>
        <v>0</v>
      </c>
      <c r="L166" s="111" t="s">
        <v>1671</v>
      </c>
      <c r="Z166" s="100">
        <f t="shared" si="181"/>
        <v>0</v>
      </c>
      <c r="AB166" s="100">
        <f t="shared" si="182"/>
        <v>0</v>
      </c>
      <c r="AC166" s="100">
        <f t="shared" si="183"/>
        <v>0</v>
      </c>
      <c r="AD166" s="100">
        <f t="shared" si="184"/>
        <v>0</v>
      </c>
      <c r="AE166" s="100">
        <f t="shared" si="185"/>
        <v>0</v>
      </c>
      <c r="AF166" s="100">
        <f t="shared" si="186"/>
        <v>0</v>
      </c>
      <c r="AG166" s="100">
        <f t="shared" si="187"/>
        <v>0</v>
      </c>
      <c r="AH166" s="100">
        <f t="shared" si="188"/>
        <v>0</v>
      </c>
      <c r="AI166" s="109"/>
      <c r="AJ166" s="108">
        <f t="shared" si="189"/>
        <v>0</v>
      </c>
      <c r="AK166" s="108">
        <f t="shared" si="190"/>
        <v>0</v>
      </c>
      <c r="AL166" s="108">
        <f t="shared" si="191"/>
        <v>0</v>
      </c>
      <c r="AN166" s="100">
        <v>15</v>
      </c>
      <c r="AO166" s="100">
        <f t="shared" si="192"/>
        <v>0</v>
      </c>
      <c r="AP166" s="100">
        <f t="shared" si="193"/>
        <v>0</v>
      </c>
      <c r="AQ166" s="111" t="s">
        <v>11</v>
      </c>
      <c r="AV166" s="100">
        <f t="shared" si="194"/>
        <v>0</v>
      </c>
      <c r="AW166" s="100">
        <f t="shared" si="195"/>
        <v>0</v>
      </c>
      <c r="AX166" s="100">
        <f t="shared" si="196"/>
        <v>0</v>
      </c>
      <c r="AY166" s="110" t="s">
        <v>1703</v>
      </c>
      <c r="AZ166" s="110" t="s">
        <v>1730</v>
      </c>
      <c r="BA166" s="109" t="s">
        <v>1737</v>
      </c>
      <c r="BC166" s="100">
        <f t="shared" si="197"/>
        <v>0</v>
      </c>
      <c r="BD166" s="100">
        <f t="shared" si="198"/>
        <v>0</v>
      </c>
      <c r="BE166" s="100">
        <v>0</v>
      </c>
      <c r="BF166" s="100">
        <f>166</f>
        <v>166</v>
      </c>
      <c r="BH166" s="108">
        <f t="shared" si="199"/>
        <v>0</v>
      </c>
      <c r="BI166" s="108">
        <f t="shared" si="200"/>
        <v>0</v>
      </c>
      <c r="BJ166" s="108">
        <f t="shared" si="201"/>
        <v>0</v>
      </c>
    </row>
    <row r="167" spans="1:62" x14ac:dyDescent="0.2">
      <c r="A167" s="117" t="s">
        <v>134</v>
      </c>
      <c r="B167" s="117" t="s">
        <v>698</v>
      </c>
      <c r="C167" s="304" t="s">
        <v>1210</v>
      </c>
      <c r="D167" s="305"/>
      <c r="E167" s="305"/>
      <c r="F167" s="117" t="s">
        <v>1648</v>
      </c>
      <c r="G167" s="116">
        <v>18.013000000000002</v>
      </c>
      <c r="H167" s="159"/>
      <c r="I167" s="108">
        <f t="shared" si="178"/>
        <v>0</v>
      </c>
      <c r="J167" s="108">
        <f t="shared" si="179"/>
        <v>0</v>
      </c>
      <c r="K167" s="108">
        <f t="shared" si="180"/>
        <v>0</v>
      </c>
      <c r="L167" s="111" t="s">
        <v>1671</v>
      </c>
      <c r="Z167" s="100">
        <f t="shared" si="181"/>
        <v>0</v>
      </c>
      <c r="AB167" s="100">
        <f t="shared" si="182"/>
        <v>0</v>
      </c>
      <c r="AC167" s="100">
        <f t="shared" si="183"/>
        <v>0</v>
      </c>
      <c r="AD167" s="100">
        <f t="shared" si="184"/>
        <v>0</v>
      </c>
      <c r="AE167" s="100">
        <f t="shared" si="185"/>
        <v>0</v>
      </c>
      <c r="AF167" s="100">
        <f t="shared" si="186"/>
        <v>0</v>
      </c>
      <c r="AG167" s="100">
        <f t="shared" si="187"/>
        <v>0</v>
      </c>
      <c r="AH167" s="100">
        <f t="shared" si="188"/>
        <v>0</v>
      </c>
      <c r="AI167" s="109"/>
      <c r="AJ167" s="108">
        <f t="shared" si="189"/>
        <v>0</v>
      </c>
      <c r="AK167" s="108">
        <f t="shared" si="190"/>
        <v>0</v>
      </c>
      <c r="AL167" s="108">
        <f t="shared" si="191"/>
        <v>0</v>
      </c>
      <c r="AN167" s="100">
        <v>15</v>
      </c>
      <c r="AO167" s="100">
        <f t="shared" si="192"/>
        <v>0</v>
      </c>
      <c r="AP167" s="100">
        <f t="shared" si="193"/>
        <v>0</v>
      </c>
      <c r="AQ167" s="111" t="s">
        <v>11</v>
      </c>
      <c r="AV167" s="100">
        <f t="shared" si="194"/>
        <v>0</v>
      </c>
      <c r="AW167" s="100">
        <f t="shared" si="195"/>
        <v>0</v>
      </c>
      <c r="AX167" s="100">
        <f t="shared" si="196"/>
        <v>0</v>
      </c>
      <c r="AY167" s="110" t="s">
        <v>1703</v>
      </c>
      <c r="AZ167" s="110" t="s">
        <v>1730</v>
      </c>
      <c r="BA167" s="109" t="s">
        <v>1737</v>
      </c>
      <c r="BC167" s="100">
        <f t="shared" si="197"/>
        <v>0</v>
      </c>
      <c r="BD167" s="100">
        <f t="shared" si="198"/>
        <v>0</v>
      </c>
      <c r="BE167" s="100">
        <v>0</v>
      </c>
      <c r="BF167" s="100">
        <f>167</f>
        <v>167</v>
      </c>
      <c r="BH167" s="108">
        <f t="shared" si="199"/>
        <v>0</v>
      </c>
      <c r="BI167" s="108">
        <f t="shared" si="200"/>
        <v>0</v>
      </c>
      <c r="BJ167" s="108">
        <f t="shared" si="201"/>
        <v>0</v>
      </c>
    </row>
    <row r="168" spans="1:62" x14ac:dyDescent="0.2">
      <c r="A168" s="117" t="s">
        <v>135</v>
      </c>
      <c r="B168" s="117" t="s">
        <v>700</v>
      </c>
      <c r="C168" s="304" t="s">
        <v>1212</v>
      </c>
      <c r="D168" s="305"/>
      <c r="E168" s="305"/>
      <c r="F168" s="117" t="s">
        <v>1648</v>
      </c>
      <c r="G168" s="116">
        <v>0.222</v>
      </c>
      <c r="H168" s="159"/>
      <c r="I168" s="108">
        <f t="shared" si="178"/>
        <v>0</v>
      </c>
      <c r="J168" s="108">
        <f t="shared" si="179"/>
        <v>0</v>
      </c>
      <c r="K168" s="108">
        <f t="shared" si="180"/>
        <v>0</v>
      </c>
      <c r="L168" s="111" t="s">
        <v>1671</v>
      </c>
      <c r="Z168" s="100">
        <f t="shared" si="181"/>
        <v>0</v>
      </c>
      <c r="AB168" s="100">
        <f t="shared" si="182"/>
        <v>0</v>
      </c>
      <c r="AC168" s="100">
        <f t="shared" si="183"/>
        <v>0</v>
      </c>
      <c r="AD168" s="100">
        <f t="shared" si="184"/>
        <v>0</v>
      </c>
      <c r="AE168" s="100">
        <f t="shared" si="185"/>
        <v>0</v>
      </c>
      <c r="AF168" s="100">
        <f t="shared" si="186"/>
        <v>0</v>
      </c>
      <c r="AG168" s="100">
        <f t="shared" si="187"/>
        <v>0</v>
      </c>
      <c r="AH168" s="100">
        <f t="shared" si="188"/>
        <v>0</v>
      </c>
      <c r="AI168" s="109"/>
      <c r="AJ168" s="108">
        <f t="shared" si="189"/>
        <v>0</v>
      </c>
      <c r="AK168" s="108">
        <f t="shared" si="190"/>
        <v>0</v>
      </c>
      <c r="AL168" s="108">
        <f t="shared" si="191"/>
        <v>0</v>
      </c>
      <c r="AN168" s="100">
        <v>15</v>
      </c>
      <c r="AO168" s="100">
        <f t="shared" si="192"/>
        <v>0</v>
      </c>
      <c r="AP168" s="100">
        <f t="shared" si="193"/>
        <v>0</v>
      </c>
      <c r="AQ168" s="111" t="s">
        <v>11</v>
      </c>
      <c r="AV168" s="100">
        <f t="shared" si="194"/>
        <v>0</v>
      </c>
      <c r="AW168" s="100">
        <f t="shared" si="195"/>
        <v>0</v>
      </c>
      <c r="AX168" s="100">
        <f t="shared" si="196"/>
        <v>0</v>
      </c>
      <c r="AY168" s="110" t="s">
        <v>1703</v>
      </c>
      <c r="AZ168" s="110" t="s">
        <v>1730</v>
      </c>
      <c r="BA168" s="109" t="s">
        <v>1737</v>
      </c>
      <c r="BC168" s="100">
        <f t="shared" si="197"/>
        <v>0</v>
      </c>
      <c r="BD168" s="100">
        <f t="shared" si="198"/>
        <v>0</v>
      </c>
      <c r="BE168" s="100">
        <v>0</v>
      </c>
      <c r="BF168" s="100">
        <f>168</f>
        <v>168</v>
      </c>
      <c r="BH168" s="108">
        <f t="shared" si="199"/>
        <v>0</v>
      </c>
      <c r="BI168" s="108">
        <f t="shared" si="200"/>
        <v>0</v>
      </c>
      <c r="BJ168" s="108">
        <f t="shared" si="201"/>
        <v>0</v>
      </c>
    </row>
    <row r="169" spans="1:62" x14ac:dyDescent="0.2">
      <c r="A169" s="117" t="s">
        <v>136</v>
      </c>
      <c r="B169" s="117" t="s">
        <v>2140</v>
      </c>
      <c r="C169" s="304" t="s">
        <v>2139</v>
      </c>
      <c r="D169" s="305"/>
      <c r="E169" s="305"/>
      <c r="F169" s="117" t="s">
        <v>1648</v>
      </c>
      <c r="G169" s="116">
        <v>0.61399999999999999</v>
      </c>
      <c r="H169" s="159"/>
      <c r="I169" s="108">
        <f t="shared" si="178"/>
        <v>0</v>
      </c>
      <c r="J169" s="108">
        <f t="shared" si="179"/>
        <v>0</v>
      </c>
      <c r="K169" s="108">
        <f t="shared" si="180"/>
        <v>0</v>
      </c>
      <c r="L169" s="111" t="s">
        <v>1671</v>
      </c>
      <c r="Z169" s="100">
        <f t="shared" si="181"/>
        <v>0</v>
      </c>
      <c r="AB169" s="100">
        <f t="shared" si="182"/>
        <v>0</v>
      </c>
      <c r="AC169" s="100">
        <f t="shared" si="183"/>
        <v>0</v>
      </c>
      <c r="AD169" s="100">
        <f t="shared" si="184"/>
        <v>0</v>
      </c>
      <c r="AE169" s="100">
        <f t="shared" si="185"/>
        <v>0</v>
      </c>
      <c r="AF169" s="100">
        <f t="shared" si="186"/>
        <v>0</v>
      </c>
      <c r="AG169" s="100">
        <f t="shared" si="187"/>
        <v>0</v>
      </c>
      <c r="AH169" s="100">
        <f t="shared" si="188"/>
        <v>0</v>
      </c>
      <c r="AI169" s="109"/>
      <c r="AJ169" s="108">
        <f t="shared" si="189"/>
        <v>0</v>
      </c>
      <c r="AK169" s="108">
        <f t="shared" si="190"/>
        <v>0</v>
      </c>
      <c r="AL169" s="108">
        <f t="shared" si="191"/>
        <v>0</v>
      </c>
      <c r="AN169" s="100">
        <v>15</v>
      </c>
      <c r="AO169" s="100">
        <f t="shared" si="192"/>
        <v>0</v>
      </c>
      <c r="AP169" s="100">
        <f t="shared" si="193"/>
        <v>0</v>
      </c>
      <c r="AQ169" s="111" t="s">
        <v>11</v>
      </c>
      <c r="AV169" s="100">
        <f t="shared" si="194"/>
        <v>0</v>
      </c>
      <c r="AW169" s="100">
        <f t="shared" si="195"/>
        <v>0</v>
      </c>
      <c r="AX169" s="100">
        <f t="shared" si="196"/>
        <v>0</v>
      </c>
      <c r="AY169" s="110" t="s">
        <v>1703</v>
      </c>
      <c r="AZ169" s="110" t="s">
        <v>1730</v>
      </c>
      <c r="BA169" s="109" t="s">
        <v>1737</v>
      </c>
      <c r="BC169" s="100">
        <f t="shared" si="197"/>
        <v>0</v>
      </c>
      <c r="BD169" s="100">
        <f t="shared" si="198"/>
        <v>0</v>
      </c>
      <c r="BE169" s="100">
        <v>0</v>
      </c>
      <c r="BF169" s="100">
        <f>169</f>
        <v>169</v>
      </c>
      <c r="BH169" s="108">
        <f t="shared" si="199"/>
        <v>0</v>
      </c>
      <c r="BI169" s="108">
        <f t="shared" si="200"/>
        <v>0</v>
      </c>
      <c r="BJ169" s="108">
        <f t="shared" si="201"/>
        <v>0</v>
      </c>
    </row>
    <row r="170" spans="1:62" x14ac:dyDescent="0.2">
      <c r="A170" s="117" t="s">
        <v>137</v>
      </c>
      <c r="B170" s="117" t="s">
        <v>701</v>
      </c>
      <c r="C170" s="304" t="s">
        <v>1213</v>
      </c>
      <c r="D170" s="305"/>
      <c r="E170" s="305"/>
      <c r="F170" s="117" t="s">
        <v>1648</v>
      </c>
      <c r="G170" s="116">
        <v>4.5650000000000004</v>
      </c>
      <c r="H170" s="159"/>
      <c r="I170" s="108">
        <f t="shared" si="178"/>
        <v>0</v>
      </c>
      <c r="J170" s="108">
        <f t="shared" si="179"/>
        <v>0</v>
      </c>
      <c r="K170" s="108">
        <f t="shared" si="180"/>
        <v>0</v>
      </c>
      <c r="L170" s="111" t="s">
        <v>1671</v>
      </c>
      <c r="Z170" s="100">
        <f t="shared" si="181"/>
        <v>0</v>
      </c>
      <c r="AB170" s="100">
        <f t="shared" si="182"/>
        <v>0</v>
      </c>
      <c r="AC170" s="100">
        <f t="shared" si="183"/>
        <v>0</v>
      </c>
      <c r="AD170" s="100">
        <f t="shared" si="184"/>
        <v>0</v>
      </c>
      <c r="AE170" s="100">
        <f t="shared" si="185"/>
        <v>0</v>
      </c>
      <c r="AF170" s="100">
        <f t="shared" si="186"/>
        <v>0</v>
      </c>
      <c r="AG170" s="100">
        <f t="shared" si="187"/>
        <v>0</v>
      </c>
      <c r="AH170" s="100">
        <f t="shared" si="188"/>
        <v>0</v>
      </c>
      <c r="AI170" s="109"/>
      <c r="AJ170" s="108">
        <f t="shared" si="189"/>
        <v>0</v>
      </c>
      <c r="AK170" s="108">
        <f t="shared" si="190"/>
        <v>0</v>
      </c>
      <c r="AL170" s="108">
        <f t="shared" si="191"/>
        <v>0</v>
      </c>
      <c r="AN170" s="100">
        <v>15</v>
      </c>
      <c r="AO170" s="100">
        <f t="shared" si="192"/>
        <v>0</v>
      </c>
      <c r="AP170" s="100">
        <f t="shared" si="193"/>
        <v>0</v>
      </c>
      <c r="AQ170" s="111" t="s">
        <v>11</v>
      </c>
      <c r="AV170" s="100">
        <f t="shared" si="194"/>
        <v>0</v>
      </c>
      <c r="AW170" s="100">
        <f t="shared" si="195"/>
        <v>0</v>
      </c>
      <c r="AX170" s="100">
        <f t="shared" si="196"/>
        <v>0</v>
      </c>
      <c r="AY170" s="110" t="s">
        <v>1703</v>
      </c>
      <c r="AZ170" s="110" t="s">
        <v>1730</v>
      </c>
      <c r="BA170" s="109" t="s">
        <v>1737</v>
      </c>
      <c r="BC170" s="100">
        <f t="shared" si="197"/>
        <v>0</v>
      </c>
      <c r="BD170" s="100">
        <f t="shared" si="198"/>
        <v>0</v>
      </c>
      <c r="BE170" s="100">
        <v>0</v>
      </c>
      <c r="BF170" s="100">
        <f>170</f>
        <v>170</v>
      </c>
      <c r="BH170" s="108">
        <f t="shared" si="199"/>
        <v>0</v>
      </c>
      <c r="BI170" s="108">
        <f t="shared" si="200"/>
        <v>0</v>
      </c>
      <c r="BJ170" s="108">
        <f t="shared" si="201"/>
        <v>0</v>
      </c>
    </row>
    <row r="171" spans="1:62" x14ac:dyDescent="0.2">
      <c r="A171" s="117" t="s">
        <v>138</v>
      </c>
      <c r="B171" s="117" t="s">
        <v>702</v>
      </c>
      <c r="C171" s="304" t="s">
        <v>1214</v>
      </c>
      <c r="D171" s="305"/>
      <c r="E171" s="305"/>
      <c r="F171" s="117" t="s">
        <v>1648</v>
      </c>
      <c r="G171" s="116">
        <v>7.6520000000000001</v>
      </c>
      <c r="H171" s="159"/>
      <c r="I171" s="108">
        <f t="shared" si="178"/>
        <v>0</v>
      </c>
      <c r="J171" s="108">
        <f t="shared" si="179"/>
        <v>0</v>
      </c>
      <c r="K171" s="108">
        <f t="shared" si="180"/>
        <v>0</v>
      </c>
      <c r="L171" s="111" t="s">
        <v>1671</v>
      </c>
      <c r="Z171" s="100">
        <f t="shared" si="181"/>
        <v>0</v>
      </c>
      <c r="AB171" s="100">
        <f t="shared" si="182"/>
        <v>0</v>
      </c>
      <c r="AC171" s="100">
        <f t="shared" si="183"/>
        <v>0</v>
      </c>
      <c r="AD171" s="100">
        <f t="shared" si="184"/>
        <v>0</v>
      </c>
      <c r="AE171" s="100">
        <f t="shared" si="185"/>
        <v>0</v>
      </c>
      <c r="AF171" s="100">
        <f t="shared" si="186"/>
        <v>0</v>
      </c>
      <c r="AG171" s="100">
        <f t="shared" si="187"/>
        <v>0</v>
      </c>
      <c r="AH171" s="100">
        <f t="shared" si="188"/>
        <v>0</v>
      </c>
      <c r="AI171" s="109"/>
      <c r="AJ171" s="108">
        <f t="shared" si="189"/>
        <v>0</v>
      </c>
      <c r="AK171" s="108">
        <f t="shared" si="190"/>
        <v>0</v>
      </c>
      <c r="AL171" s="108">
        <f t="shared" si="191"/>
        <v>0</v>
      </c>
      <c r="AN171" s="100">
        <v>15</v>
      </c>
      <c r="AO171" s="100">
        <f t="shared" si="192"/>
        <v>0</v>
      </c>
      <c r="AP171" s="100">
        <f t="shared" si="193"/>
        <v>0</v>
      </c>
      <c r="AQ171" s="111" t="s">
        <v>11</v>
      </c>
      <c r="AV171" s="100">
        <f t="shared" si="194"/>
        <v>0</v>
      </c>
      <c r="AW171" s="100">
        <f t="shared" si="195"/>
        <v>0</v>
      </c>
      <c r="AX171" s="100">
        <f t="shared" si="196"/>
        <v>0</v>
      </c>
      <c r="AY171" s="110" t="s">
        <v>1703</v>
      </c>
      <c r="AZ171" s="110" t="s">
        <v>1730</v>
      </c>
      <c r="BA171" s="109" t="s">
        <v>1737</v>
      </c>
      <c r="BC171" s="100">
        <f t="shared" si="197"/>
        <v>0</v>
      </c>
      <c r="BD171" s="100">
        <f t="shared" si="198"/>
        <v>0</v>
      </c>
      <c r="BE171" s="100">
        <v>0</v>
      </c>
      <c r="BF171" s="100">
        <f>171</f>
        <v>171</v>
      </c>
      <c r="BH171" s="108">
        <f t="shared" si="199"/>
        <v>0</v>
      </c>
      <c r="BI171" s="108">
        <f t="shared" si="200"/>
        <v>0</v>
      </c>
      <c r="BJ171" s="108">
        <f t="shared" si="201"/>
        <v>0</v>
      </c>
    </row>
    <row r="172" spans="1:62" x14ac:dyDescent="0.2">
      <c r="A172" s="119"/>
      <c r="B172" s="120" t="s">
        <v>703</v>
      </c>
      <c r="C172" s="306" t="s">
        <v>1215</v>
      </c>
      <c r="D172" s="307"/>
      <c r="E172" s="307"/>
      <c r="F172" s="119" t="s">
        <v>6</v>
      </c>
      <c r="G172" s="119" t="s">
        <v>6</v>
      </c>
      <c r="H172" s="119" t="s">
        <v>6</v>
      </c>
      <c r="I172" s="118">
        <f>SUM(I173:I173)</f>
        <v>0</v>
      </c>
      <c r="J172" s="118">
        <f>SUM(J173:J173)</f>
        <v>0</v>
      </c>
      <c r="K172" s="118">
        <f>SUM(K173:K173)</f>
        <v>0</v>
      </c>
      <c r="L172" s="109"/>
      <c r="AI172" s="109"/>
      <c r="AS172" s="118">
        <f>SUM(AJ173:AJ173)</f>
        <v>0</v>
      </c>
      <c r="AT172" s="118">
        <f>SUM(AK173:AK173)</f>
        <v>0</v>
      </c>
      <c r="AU172" s="118">
        <f>SUM(AL173:AL173)</f>
        <v>0</v>
      </c>
    </row>
    <row r="173" spans="1:62" x14ac:dyDescent="0.2">
      <c r="A173" s="117" t="s">
        <v>139</v>
      </c>
      <c r="B173" s="117" t="s">
        <v>704</v>
      </c>
      <c r="C173" s="304" t="s">
        <v>1216</v>
      </c>
      <c r="D173" s="305"/>
      <c r="E173" s="305"/>
      <c r="F173" s="117" t="s">
        <v>1648</v>
      </c>
      <c r="G173" s="116">
        <v>153.08799999999999</v>
      </c>
      <c r="H173" s="159"/>
      <c r="I173" s="108">
        <f>G173*AO173</f>
        <v>0</v>
      </c>
      <c r="J173" s="108">
        <f>G173*AP173</f>
        <v>0</v>
      </c>
      <c r="K173" s="108">
        <f>G173*H173</f>
        <v>0</v>
      </c>
      <c r="L173" s="111" t="s">
        <v>1671</v>
      </c>
      <c r="Z173" s="100">
        <f>IF(AQ173="5",BJ173,0)</f>
        <v>0</v>
      </c>
      <c r="AB173" s="100">
        <f>IF(AQ173="1",BH173,0)</f>
        <v>0</v>
      </c>
      <c r="AC173" s="100">
        <f>IF(AQ173="1",BI173,0)</f>
        <v>0</v>
      </c>
      <c r="AD173" s="100">
        <f>IF(AQ173="7",BH173,0)</f>
        <v>0</v>
      </c>
      <c r="AE173" s="100">
        <f>IF(AQ173="7",BI173,0)</f>
        <v>0</v>
      </c>
      <c r="AF173" s="100">
        <f>IF(AQ173="2",BH173,0)</f>
        <v>0</v>
      </c>
      <c r="AG173" s="100">
        <f>IF(AQ173="2",BI173,0)</f>
        <v>0</v>
      </c>
      <c r="AH173" s="100">
        <f>IF(AQ173="0",BJ173,0)</f>
        <v>0</v>
      </c>
      <c r="AI173" s="109"/>
      <c r="AJ173" s="108">
        <f>IF(AN173=0,K173,0)</f>
        <v>0</v>
      </c>
      <c r="AK173" s="108">
        <f>IF(AN173=15,K173,0)</f>
        <v>0</v>
      </c>
      <c r="AL173" s="108">
        <f>IF(AN173=21,K173,0)</f>
        <v>0</v>
      </c>
      <c r="AN173" s="100">
        <v>15</v>
      </c>
      <c r="AO173" s="100">
        <f>H173*0</f>
        <v>0</v>
      </c>
      <c r="AP173" s="100">
        <f>H173*(1-0)</f>
        <v>0</v>
      </c>
      <c r="AQ173" s="111" t="s">
        <v>11</v>
      </c>
      <c r="AV173" s="100">
        <f>AW173+AX173</f>
        <v>0</v>
      </c>
      <c r="AW173" s="100">
        <f>G173*AO173</f>
        <v>0</v>
      </c>
      <c r="AX173" s="100">
        <f>G173*AP173</f>
        <v>0</v>
      </c>
      <c r="AY173" s="110" t="s">
        <v>1704</v>
      </c>
      <c r="AZ173" s="110" t="s">
        <v>1730</v>
      </c>
      <c r="BA173" s="109" t="s">
        <v>1737</v>
      </c>
      <c r="BC173" s="100">
        <f>AW173+AX173</f>
        <v>0</v>
      </c>
      <c r="BD173" s="100">
        <f>H173/(100-BE173)*100</f>
        <v>0</v>
      </c>
      <c r="BE173" s="100">
        <v>0</v>
      </c>
      <c r="BF173" s="100">
        <f>173</f>
        <v>173</v>
      </c>
      <c r="BH173" s="108">
        <f>G173*AO173</f>
        <v>0</v>
      </c>
      <c r="BI173" s="108">
        <f>G173*AP173</f>
        <v>0</v>
      </c>
      <c r="BJ173" s="108">
        <f>G173*H173</f>
        <v>0</v>
      </c>
    </row>
    <row r="174" spans="1:62" x14ac:dyDescent="0.2">
      <c r="A174" s="119"/>
      <c r="B174" s="120" t="s">
        <v>705</v>
      </c>
      <c r="C174" s="306" t="s">
        <v>1217</v>
      </c>
      <c r="D174" s="307"/>
      <c r="E174" s="307"/>
      <c r="F174" s="119" t="s">
        <v>6</v>
      </c>
      <c r="G174" s="119" t="s">
        <v>6</v>
      </c>
      <c r="H174" s="119" t="s">
        <v>6</v>
      </c>
      <c r="I174" s="118">
        <f>SUM(I175:I178)</f>
        <v>0</v>
      </c>
      <c r="J174" s="118">
        <f>SUM(J175:J178)</f>
        <v>0</v>
      </c>
      <c r="K174" s="118">
        <f>SUM(K175:K178)</f>
        <v>0</v>
      </c>
      <c r="L174" s="109"/>
      <c r="AI174" s="109"/>
      <c r="AS174" s="118">
        <f>SUM(AJ175:AJ178)</f>
        <v>0</v>
      </c>
      <c r="AT174" s="118">
        <f>SUM(AK175:AK178)</f>
        <v>0</v>
      </c>
      <c r="AU174" s="118">
        <f>SUM(AL175:AL178)</f>
        <v>0</v>
      </c>
    </row>
    <row r="175" spans="1:62" x14ac:dyDescent="0.2">
      <c r="A175" s="117" t="s">
        <v>140</v>
      </c>
      <c r="B175" s="117" t="s">
        <v>706</v>
      </c>
      <c r="C175" s="304" t="s">
        <v>1218</v>
      </c>
      <c r="D175" s="305"/>
      <c r="E175" s="305"/>
      <c r="F175" s="117" t="s">
        <v>1645</v>
      </c>
      <c r="G175" s="116">
        <v>344.89400000000001</v>
      </c>
      <c r="H175" s="159"/>
      <c r="I175" s="108">
        <f>G175*AO175</f>
        <v>0</v>
      </c>
      <c r="J175" s="108">
        <f>G175*AP175</f>
        <v>0</v>
      </c>
      <c r="K175" s="108">
        <f>G175*H175</f>
        <v>0</v>
      </c>
      <c r="L175" s="111" t="s">
        <v>1671</v>
      </c>
      <c r="Z175" s="100">
        <f>IF(AQ175="5",BJ175,0)</f>
        <v>0</v>
      </c>
      <c r="AB175" s="100">
        <f>IF(AQ175="1",BH175,0)</f>
        <v>0</v>
      </c>
      <c r="AC175" s="100">
        <f>IF(AQ175="1",BI175,0)</f>
        <v>0</v>
      </c>
      <c r="AD175" s="100">
        <f>IF(AQ175="7",BH175,0)</f>
        <v>0</v>
      </c>
      <c r="AE175" s="100">
        <f>IF(AQ175="7",BI175,0)</f>
        <v>0</v>
      </c>
      <c r="AF175" s="100">
        <f>IF(AQ175="2",BH175,0)</f>
        <v>0</v>
      </c>
      <c r="AG175" s="100">
        <f>IF(AQ175="2",BI175,0)</f>
        <v>0</v>
      </c>
      <c r="AH175" s="100">
        <f>IF(AQ175="0",BJ175,0)</f>
        <v>0</v>
      </c>
      <c r="AI175" s="109"/>
      <c r="AJ175" s="108">
        <f>IF(AN175=0,K175,0)</f>
        <v>0</v>
      </c>
      <c r="AK175" s="108">
        <f>IF(AN175=15,K175,0)</f>
        <v>0</v>
      </c>
      <c r="AL175" s="108">
        <f>IF(AN175=21,K175,0)</f>
        <v>0</v>
      </c>
      <c r="AN175" s="100">
        <v>15</v>
      </c>
      <c r="AO175" s="100">
        <f>H175*0</f>
        <v>0</v>
      </c>
      <c r="AP175" s="100">
        <f>H175*(1-0)</f>
        <v>0</v>
      </c>
      <c r="AQ175" s="111" t="s">
        <v>13</v>
      </c>
      <c r="AV175" s="100">
        <f>AW175+AX175</f>
        <v>0</v>
      </c>
      <c r="AW175" s="100">
        <f>G175*AO175</f>
        <v>0</v>
      </c>
      <c r="AX175" s="100">
        <f>G175*AP175</f>
        <v>0</v>
      </c>
      <c r="AY175" s="110" t="s">
        <v>1705</v>
      </c>
      <c r="AZ175" s="110" t="s">
        <v>1731</v>
      </c>
      <c r="BA175" s="109" t="s">
        <v>1737</v>
      </c>
      <c r="BC175" s="100">
        <f>AW175+AX175</f>
        <v>0</v>
      </c>
      <c r="BD175" s="100">
        <f>H175/(100-BE175)*100</f>
        <v>0</v>
      </c>
      <c r="BE175" s="100">
        <v>0</v>
      </c>
      <c r="BF175" s="100">
        <f>175</f>
        <v>175</v>
      </c>
      <c r="BH175" s="108">
        <f>G175*AO175</f>
        <v>0</v>
      </c>
      <c r="BI175" s="108">
        <f>G175*AP175</f>
        <v>0</v>
      </c>
      <c r="BJ175" s="108">
        <f>G175*H175</f>
        <v>0</v>
      </c>
    </row>
    <row r="176" spans="1:62" x14ac:dyDescent="0.2">
      <c r="A176" s="117" t="s">
        <v>141</v>
      </c>
      <c r="B176" s="117" t="s">
        <v>707</v>
      </c>
      <c r="C176" s="304" t="s">
        <v>1219</v>
      </c>
      <c r="D176" s="305"/>
      <c r="E176" s="305"/>
      <c r="F176" s="117" t="s">
        <v>1644</v>
      </c>
      <c r="G176" s="116">
        <v>6</v>
      </c>
      <c r="H176" s="159"/>
      <c r="I176" s="108">
        <f>G176*AO176</f>
        <v>0</v>
      </c>
      <c r="J176" s="108">
        <f>G176*AP176</f>
        <v>0</v>
      </c>
      <c r="K176" s="108">
        <f>G176*H176</f>
        <v>0</v>
      </c>
      <c r="L176" s="111" t="s">
        <v>1671</v>
      </c>
      <c r="Z176" s="100">
        <f>IF(AQ176="5",BJ176,0)</f>
        <v>0</v>
      </c>
      <c r="AB176" s="100">
        <f>IF(AQ176="1",BH176,0)</f>
        <v>0</v>
      </c>
      <c r="AC176" s="100">
        <f>IF(AQ176="1",BI176,0)</f>
        <v>0</v>
      </c>
      <c r="AD176" s="100">
        <f>IF(AQ176="7",BH176,0)</f>
        <v>0</v>
      </c>
      <c r="AE176" s="100">
        <f>IF(AQ176="7",BI176,0)</f>
        <v>0</v>
      </c>
      <c r="AF176" s="100">
        <f>IF(AQ176="2",BH176,0)</f>
        <v>0</v>
      </c>
      <c r="AG176" s="100">
        <f>IF(AQ176="2",BI176,0)</f>
        <v>0</v>
      </c>
      <c r="AH176" s="100">
        <f>IF(AQ176="0",BJ176,0)</f>
        <v>0</v>
      </c>
      <c r="AI176" s="109"/>
      <c r="AJ176" s="108">
        <f>IF(AN176=0,K176,0)</f>
        <v>0</v>
      </c>
      <c r="AK176" s="108">
        <f>IF(AN176=15,K176,0)</f>
        <v>0</v>
      </c>
      <c r="AL176" s="108">
        <f>IF(AN176=21,K176,0)</f>
        <v>0</v>
      </c>
      <c r="AN176" s="100">
        <v>15</v>
      </c>
      <c r="AO176" s="100">
        <f>H176*0.846349462365591</f>
        <v>0</v>
      </c>
      <c r="AP176" s="100">
        <f>H176*(1-0.846349462365591)</f>
        <v>0</v>
      </c>
      <c r="AQ176" s="111" t="s">
        <v>13</v>
      </c>
      <c r="AV176" s="100">
        <f>AW176+AX176</f>
        <v>0</v>
      </c>
      <c r="AW176" s="100">
        <f>G176*AO176</f>
        <v>0</v>
      </c>
      <c r="AX176" s="100">
        <f>G176*AP176</f>
        <v>0</v>
      </c>
      <c r="AY176" s="110" t="s">
        <v>1705</v>
      </c>
      <c r="AZ176" s="110" t="s">
        <v>1731</v>
      </c>
      <c r="BA176" s="109" t="s">
        <v>1737</v>
      </c>
      <c r="BC176" s="100">
        <f>AW176+AX176</f>
        <v>0</v>
      </c>
      <c r="BD176" s="100">
        <f>H176/(100-BE176)*100</f>
        <v>0</v>
      </c>
      <c r="BE176" s="100">
        <v>0</v>
      </c>
      <c r="BF176" s="100">
        <f>176</f>
        <v>176</v>
      </c>
      <c r="BH176" s="108">
        <f>G176*AO176</f>
        <v>0</v>
      </c>
      <c r="BI176" s="108">
        <f>G176*AP176</f>
        <v>0</v>
      </c>
      <c r="BJ176" s="108">
        <f>G176*H176</f>
        <v>0</v>
      </c>
    </row>
    <row r="177" spans="1:62" x14ac:dyDescent="0.2">
      <c r="A177" s="117" t="s">
        <v>142</v>
      </c>
      <c r="B177" s="117" t="s">
        <v>708</v>
      </c>
      <c r="C177" s="304" t="s">
        <v>1220</v>
      </c>
      <c r="D177" s="305"/>
      <c r="E177" s="305"/>
      <c r="F177" s="117" t="s">
        <v>1645</v>
      </c>
      <c r="G177" s="116">
        <v>345.786</v>
      </c>
      <c r="H177" s="159"/>
      <c r="I177" s="108">
        <f>G177*AO177</f>
        <v>0</v>
      </c>
      <c r="J177" s="108">
        <f>G177*AP177</f>
        <v>0</v>
      </c>
      <c r="K177" s="108">
        <f>G177*H177</f>
        <v>0</v>
      </c>
      <c r="L177" s="111" t="s">
        <v>1671</v>
      </c>
      <c r="Z177" s="100">
        <f>IF(AQ177="5",BJ177,0)</f>
        <v>0</v>
      </c>
      <c r="AB177" s="100">
        <f>IF(AQ177="1",BH177,0)</f>
        <v>0</v>
      </c>
      <c r="AC177" s="100">
        <f>IF(AQ177="1",BI177,0)</f>
        <v>0</v>
      </c>
      <c r="AD177" s="100">
        <f>IF(AQ177="7",BH177,0)</f>
        <v>0</v>
      </c>
      <c r="AE177" s="100">
        <f>IF(AQ177="7",BI177,0)</f>
        <v>0</v>
      </c>
      <c r="AF177" s="100">
        <f>IF(AQ177="2",BH177,0)</f>
        <v>0</v>
      </c>
      <c r="AG177" s="100">
        <f>IF(AQ177="2",BI177,0)</f>
        <v>0</v>
      </c>
      <c r="AH177" s="100">
        <f>IF(AQ177="0",BJ177,0)</f>
        <v>0</v>
      </c>
      <c r="AI177" s="109"/>
      <c r="AJ177" s="108">
        <f>IF(AN177=0,K177,0)</f>
        <v>0</v>
      </c>
      <c r="AK177" s="108">
        <f>IF(AN177=15,K177,0)</f>
        <v>0</v>
      </c>
      <c r="AL177" s="108">
        <f>IF(AN177=21,K177,0)</f>
        <v>0</v>
      </c>
      <c r="AN177" s="100">
        <v>15</v>
      </c>
      <c r="AO177" s="100">
        <f>H177*0.427372183898706</f>
        <v>0</v>
      </c>
      <c r="AP177" s="100">
        <f>H177*(1-0.427372183898706)</f>
        <v>0</v>
      </c>
      <c r="AQ177" s="111" t="s">
        <v>13</v>
      </c>
      <c r="AV177" s="100">
        <f>AW177+AX177</f>
        <v>0</v>
      </c>
      <c r="AW177" s="100">
        <f>G177*AO177</f>
        <v>0</v>
      </c>
      <c r="AX177" s="100">
        <f>G177*AP177</f>
        <v>0</v>
      </c>
      <c r="AY177" s="110" t="s">
        <v>1705</v>
      </c>
      <c r="AZ177" s="110" t="s">
        <v>1731</v>
      </c>
      <c r="BA177" s="109" t="s">
        <v>1737</v>
      </c>
      <c r="BC177" s="100">
        <f>AW177+AX177</f>
        <v>0</v>
      </c>
      <c r="BD177" s="100">
        <f>H177/(100-BE177)*100</f>
        <v>0</v>
      </c>
      <c r="BE177" s="100">
        <v>0</v>
      </c>
      <c r="BF177" s="100">
        <f>177</f>
        <v>177</v>
      </c>
      <c r="BH177" s="108">
        <f>G177*AO177</f>
        <v>0</v>
      </c>
      <c r="BI177" s="108">
        <f>G177*AP177</f>
        <v>0</v>
      </c>
      <c r="BJ177" s="108">
        <f>G177*H177</f>
        <v>0</v>
      </c>
    </row>
    <row r="178" spans="1:62" x14ac:dyDescent="0.2">
      <c r="A178" s="117" t="s">
        <v>143</v>
      </c>
      <c r="B178" s="117" t="s">
        <v>709</v>
      </c>
      <c r="C178" s="304" t="s">
        <v>1221</v>
      </c>
      <c r="D178" s="305"/>
      <c r="E178" s="305"/>
      <c r="F178" s="117" t="s">
        <v>1648</v>
      </c>
      <c r="G178" s="116">
        <v>4.24</v>
      </c>
      <c r="H178" s="159"/>
      <c r="I178" s="108">
        <f>G178*AO178</f>
        <v>0</v>
      </c>
      <c r="J178" s="108">
        <f>G178*AP178</f>
        <v>0</v>
      </c>
      <c r="K178" s="108">
        <f>G178*H178</f>
        <v>0</v>
      </c>
      <c r="L178" s="111" t="s">
        <v>1671</v>
      </c>
      <c r="Z178" s="100">
        <f>IF(AQ178="5",BJ178,0)</f>
        <v>0</v>
      </c>
      <c r="AB178" s="100">
        <f>IF(AQ178="1",BH178,0)</f>
        <v>0</v>
      </c>
      <c r="AC178" s="100">
        <f>IF(AQ178="1",BI178,0)</f>
        <v>0</v>
      </c>
      <c r="AD178" s="100">
        <f>IF(AQ178="7",BH178,0)</f>
        <v>0</v>
      </c>
      <c r="AE178" s="100">
        <f>IF(AQ178="7",BI178,0)</f>
        <v>0</v>
      </c>
      <c r="AF178" s="100">
        <f>IF(AQ178="2",BH178,0)</f>
        <v>0</v>
      </c>
      <c r="AG178" s="100">
        <f>IF(AQ178="2",BI178,0)</f>
        <v>0</v>
      </c>
      <c r="AH178" s="100">
        <f>IF(AQ178="0",BJ178,0)</f>
        <v>0</v>
      </c>
      <c r="AI178" s="109"/>
      <c r="AJ178" s="108">
        <f>IF(AN178=0,K178,0)</f>
        <v>0</v>
      </c>
      <c r="AK178" s="108">
        <f>IF(AN178=15,K178,0)</f>
        <v>0</v>
      </c>
      <c r="AL178" s="108">
        <f>IF(AN178=21,K178,0)</f>
        <v>0</v>
      </c>
      <c r="AN178" s="100">
        <v>15</v>
      </c>
      <c r="AO178" s="100">
        <f>H178*0</f>
        <v>0</v>
      </c>
      <c r="AP178" s="100">
        <f>H178*(1-0)</f>
        <v>0</v>
      </c>
      <c r="AQ178" s="111" t="s">
        <v>11</v>
      </c>
      <c r="AV178" s="100">
        <f>AW178+AX178</f>
        <v>0</v>
      </c>
      <c r="AW178" s="100">
        <f>G178*AO178</f>
        <v>0</v>
      </c>
      <c r="AX178" s="100">
        <f>G178*AP178</f>
        <v>0</v>
      </c>
      <c r="AY178" s="110" t="s">
        <v>1705</v>
      </c>
      <c r="AZ178" s="110" t="s">
        <v>1731</v>
      </c>
      <c r="BA178" s="109" t="s">
        <v>1737</v>
      </c>
      <c r="BC178" s="100">
        <f>AW178+AX178</f>
        <v>0</v>
      </c>
      <c r="BD178" s="100">
        <f>H178/(100-BE178)*100</f>
        <v>0</v>
      </c>
      <c r="BE178" s="100">
        <v>0</v>
      </c>
      <c r="BF178" s="100">
        <f>178</f>
        <v>178</v>
      </c>
      <c r="BH178" s="108">
        <f>G178*AO178</f>
        <v>0</v>
      </c>
      <c r="BI178" s="108">
        <f>G178*AP178</f>
        <v>0</v>
      </c>
      <c r="BJ178" s="108">
        <f>G178*H178</f>
        <v>0</v>
      </c>
    </row>
    <row r="179" spans="1:62" x14ac:dyDescent="0.2">
      <c r="A179" s="119"/>
      <c r="B179" s="120" t="s">
        <v>710</v>
      </c>
      <c r="C179" s="306" t="s">
        <v>1222</v>
      </c>
      <c r="D179" s="307"/>
      <c r="E179" s="307"/>
      <c r="F179" s="119" t="s">
        <v>6</v>
      </c>
      <c r="G179" s="119" t="s">
        <v>6</v>
      </c>
      <c r="H179" s="119" t="s">
        <v>6</v>
      </c>
      <c r="I179" s="118">
        <f>SUM(I180:I187)</f>
        <v>0</v>
      </c>
      <c r="J179" s="118">
        <f>SUM(J180:J187)</f>
        <v>0</v>
      </c>
      <c r="K179" s="118">
        <f>SUM(K180:K187)</f>
        <v>0</v>
      </c>
      <c r="L179" s="109"/>
      <c r="AI179" s="109"/>
      <c r="AS179" s="118">
        <f>SUM(AJ180:AJ187)</f>
        <v>0</v>
      </c>
      <c r="AT179" s="118">
        <f>SUM(AK180:AK187)</f>
        <v>0</v>
      </c>
      <c r="AU179" s="118">
        <f>SUM(AL180:AL187)</f>
        <v>0</v>
      </c>
    </row>
    <row r="180" spans="1:62" x14ac:dyDescent="0.2">
      <c r="A180" s="117" t="s">
        <v>144</v>
      </c>
      <c r="B180" s="117" t="s">
        <v>711</v>
      </c>
      <c r="C180" s="304" t="s">
        <v>1223</v>
      </c>
      <c r="D180" s="305"/>
      <c r="E180" s="305"/>
      <c r="F180" s="117" t="s">
        <v>1645</v>
      </c>
      <c r="G180" s="116">
        <v>302</v>
      </c>
      <c r="H180" s="159"/>
      <c r="I180" s="108">
        <f t="shared" ref="I180:I187" si="202">G180*AO180</f>
        <v>0</v>
      </c>
      <c r="J180" s="108">
        <f t="shared" ref="J180:J187" si="203">G180*AP180</f>
        <v>0</v>
      </c>
      <c r="K180" s="108">
        <f t="shared" ref="K180:K187" si="204">G180*H180</f>
        <v>0</v>
      </c>
      <c r="L180" s="111" t="s">
        <v>1671</v>
      </c>
      <c r="Z180" s="100">
        <f t="shared" ref="Z180:Z187" si="205">IF(AQ180="5",BJ180,0)</f>
        <v>0</v>
      </c>
      <c r="AB180" s="100">
        <f t="shared" ref="AB180:AB187" si="206">IF(AQ180="1",BH180,0)</f>
        <v>0</v>
      </c>
      <c r="AC180" s="100">
        <f t="shared" ref="AC180:AC187" si="207">IF(AQ180="1",BI180,0)</f>
        <v>0</v>
      </c>
      <c r="AD180" s="100">
        <f t="shared" ref="AD180:AD187" si="208">IF(AQ180="7",BH180,0)</f>
        <v>0</v>
      </c>
      <c r="AE180" s="100">
        <f t="shared" ref="AE180:AE187" si="209">IF(AQ180="7",BI180,0)</f>
        <v>0</v>
      </c>
      <c r="AF180" s="100">
        <f t="shared" ref="AF180:AF187" si="210">IF(AQ180="2",BH180,0)</f>
        <v>0</v>
      </c>
      <c r="AG180" s="100">
        <f t="shared" ref="AG180:AG187" si="211">IF(AQ180="2",BI180,0)</f>
        <v>0</v>
      </c>
      <c r="AH180" s="100">
        <f t="shared" ref="AH180:AH187" si="212">IF(AQ180="0",BJ180,0)</f>
        <v>0</v>
      </c>
      <c r="AI180" s="109"/>
      <c r="AJ180" s="108">
        <f t="shared" ref="AJ180:AJ187" si="213">IF(AN180=0,K180,0)</f>
        <v>0</v>
      </c>
      <c r="AK180" s="108">
        <f t="shared" ref="AK180:AK187" si="214">IF(AN180=15,K180,0)</f>
        <v>0</v>
      </c>
      <c r="AL180" s="108">
        <f t="shared" ref="AL180:AL187" si="215">IF(AN180=21,K180,0)</f>
        <v>0</v>
      </c>
      <c r="AN180" s="100">
        <v>15</v>
      </c>
      <c r="AO180" s="100">
        <f>H180*0</f>
        <v>0</v>
      </c>
      <c r="AP180" s="100">
        <f>H180*(1-0)</f>
        <v>0</v>
      </c>
      <c r="AQ180" s="111" t="s">
        <v>13</v>
      </c>
      <c r="AV180" s="100">
        <f t="shared" ref="AV180:AV187" si="216">AW180+AX180</f>
        <v>0</v>
      </c>
      <c r="AW180" s="100">
        <f t="shared" ref="AW180:AW187" si="217">G180*AO180</f>
        <v>0</v>
      </c>
      <c r="AX180" s="100">
        <f t="shared" ref="AX180:AX187" si="218">G180*AP180</f>
        <v>0</v>
      </c>
      <c r="AY180" s="110" t="s">
        <v>1706</v>
      </c>
      <c r="AZ180" s="110" t="s">
        <v>1731</v>
      </c>
      <c r="BA180" s="109" t="s">
        <v>1737</v>
      </c>
      <c r="BC180" s="100">
        <f t="shared" ref="BC180:BC187" si="219">AW180+AX180</f>
        <v>0</v>
      </c>
      <c r="BD180" s="100">
        <f t="shared" ref="BD180:BD187" si="220">H180/(100-BE180)*100</f>
        <v>0</v>
      </c>
      <c r="BE180" s="100">
        <v>0</v>
      </c>
      <c r="BF180" s="100">
        <f>180</f>
        <v>180</v>
      </c>
      <c r="BH180" s="108">
        <f t="shared" ref="BH180:BH187" si="221">G180*AO180</f>
        <v>0</v>
      </c>
      <c r="BI180" s="108">
        <f t="shared" ref="BI180:BI187" si="222">G180*AP180</f>
        <v>0</v>
      </c>
      <c r="BJ180" s="108">
        <f t="shared" ref="BJ180:BJ187" si="223">G180*H180</f>
        <v>0</v>
      </c>
    </row>
    <row r="181" spans="1:62" x14ac:dyDescent="0.2">
      <c r="A181" s="124" t="s">
        <v>145</v>
      </c>
      <c r="B181" s="124" t="s">
        <v>712</v>
      </c>
      <c r="C181" s="311" t="s">
        <v>1224</v>
      </c>
      <c r="D181" s="312"/>
      <c r="E181" s="312"/>
      <c r="F181" s="124" t="s">
        <v>1645</v>
      </c>
      <c r="G181" s="123">
        <v>332.2</v>
      </c>
      <c r="H181" s="160"/>
      <c r="I181" s="121">
        <f t="shared" si="202"/>
        <v>0</v>
      </c>
      <c r="J181" s="121">
        <f t="shared" si="203"/>
        <v>0</v>
      </c>
      <c r="K181" s="121">
        <f t="shared" si="204"/>
        <v>0</v>
      </c>
      <c r="L181" s="122" t="s">
        <v>1671</v>
      </c>
      <c r="Z181" s="100">
        <f t="shared" si="205"/>
        <v>0</v>
      </c>
      <c r="AB181" s="100">
        <f t="shared" si="206"/>
        <v>0</v>
      </c>
      <c r="AC181" s="100">
        <f t="shared" si="207"/>
        <v>0</v>
      </c>
      <c r="AD181" s="100">
        <f t="shared" si="208"/>
        <v>0</v>
      </c>
      <c r="AE181" s="100">
        <f t="shared" si="209"/>
        <v>0</v>
      </c>
      <c r="AF181" s="100">
        <f t="shared" si="210"/>
        <v>0</v>
      </c>
      <c r="AG181" s="100">
        <f t="shared" si="211"/>
        <v>0</v>
      </c>
      <c r="AH181" s="100">
        <f t="shared" si="212"/>
        <v>0</v>
      </c>
      <c r="AI181" s="109"/>
      <c r="AJ181" s="121">
        <f t="shared" si="213"/>
        <v>0</v>
      </c>
      <c r="AK181" s="121">
        <f t="shared" si="214"/>
        <v>0</v>
      </c>
      <c r="AL181" s="121">
        <f t="shared" si="215"/>
        <v>0</v>
      </c>
      <c r="AN181" s="100">
        <v>15</v>
      </c>
      <c r="AO181" s="100">
        <f>H181*1</f>
        <v>0</v>
      </c>
      <c r="AP181" s="100">
        <f>H181*(1-1)</f>
        <v>0</v>
      </c>
      <c r="AQ181" s="122" t="s">
        <v>13</v>
      </c>
      <c r="AV181" s="100">
        <f t="shared" si="216"/>
        <v>0</v>
      </c>
      <c r="AW181" s="100">
        <f t="shared" si="217"/>
        <v>0</v>
      </c>
      <c r="AX181" s="100">
        <f t="shared" si="218"/>
        <v>0</v>
      </c>
      <c r="AY181" s="110" t="s">
        <v>1706</v>
      </c>
      <c r="AZ181" s="110" t="s">
        <v>1731</v>
      </c>
      <c r="BA181" s="109" t="s">
        <v>1737</v>
      </c>
      <c r="BC181" s="100">
        <f t="shared" si="219"/>
        <v>0</v>
      </c>
      <c r="BD181" s="100">
        <f t="shared" si="220"/>
        <v>0</v>
      </c>
      <c r="BE181" s="100">
        <v>0</v>
      </c>
      <c r="BF181" s="100">
        <f>181</f>
        <v>181</v>
      </c>
      <c r="BH181" s="121">
        <f t="shared" si="221"/>
        <v>0</v>
      </c>
      <c r="BI181" s="121">
        <f t="shared" si="222"/>
        <v>0</v>
      </c>
      <c r="BJ181" s="121">
        <f t="shared" si="223"/>
        <v>0</v>
      </c>
    </row>
    <row r="182" spans="1:62" x14ac:dyDescent="0.2">
      <c r="A182" s="124" t="s">
        <v>146</v>
      </c>
      <c r="B182" s="124" t="s">
        <v>713</v>
      </c>
      <c r="C182" s="311" t="s">
        <v>1225</v>
      </c>
      <c r="D182" s="312"/>
      <c r="E182" s="312"/>
      <c r="F182" s="124" t="s">
        <v>1645</v>
      </c>
      <c r="G182" s="123">
        <v>332.2</v>
      </c>
      <c r="H182" s="160"/>
      <c r="I182" s="121">
        <f t="shared" si="202"/>
        <v>0</v>
      </c>
      <c r="J182" s="121">
        <f t="shared" si="203"/>
        <v>0</v>
      </c>
      <c r="K182" s="121">
        <f t="shared" si="204"/>
        <v>0</v>
      </c>
      <c r="L182" s="122" t="s">
        <v>1671</v>
      </c>
      <c r="Z182" s="100">
        <f t="shared" si="205"/>
        <v>0</v>
      </c>
      <c r="AB182" s="100">
        <f t="shared" si="206"/>
        <v>0</v>
      </c>
      <c r="AC182" s="100">
        <f t="shared" si="207"/>
        <v>0</v>
      </c>
      <c r="AD182" s="100">
        <f t="shared" si="208"/>
        <v>0</v>
      </c>
      <c r="AE182" s="100">
        <f t="shared" si="209"/>
        <v>0</v>
      </c>
      <c r="AF182" s="100">
        <f t="shared" si="210"/>
        <v>0</v>
      </c>
      <c r="AG182" s="100">
        <f t="shared" si="211"/>
        <v>0</v>
      </c>
      <c r="AH182" s="100">
        <f t="shared" si="212"/>
        <v>0</v>
      </c>
      <c r="AI182" s="109"/>
      <c r="AJ182" s="121">
        <f t="shared" si="213"/>
        <v>0</v>
      </c>
      <c r="AK182" s="121">
        <f t="shared" si="214"/>
        <v>0</v>
      </c>
      <c r="AL182" s="121">
        <f t="shared" si="215"/>
        <v>0</v>
      </c>
      <c r="AN182" s="100">
        <v>15</v>
      </c>
      <c r="AO182" s="100">
        <f>H182*1</f>
        <v>0</v>
      </c>
      <c r="AP182" s="100">
        <f>H182*(1-1)</f>
        <v>0</v>
      </c>
      <c r="AQ182" s="122" t="s">
        <v>13</v>
      </c>
      <c r="AV182" s="100">
        <f t="shared" si="216"/>
        <v>0</v>
      </c>
      <c r="AW182" s="100">
        <f t="shared" si="217"/>
        <v>0</v>
      </c>
      <c r="AX182" s="100">
        <f t="shared" si="218"/>
        <v>0</v>
      </c>
      <c r="AY182" s="110" t="s">
        <v>1706</v>
      </c>
      <c r="AZ182" s="110" t="s">
        <v>1731</v>
      </c>
      <c r="BA182" s="109" t="s">
        <v>1737</v>
      </c>
      <c r="BC182" s="100">
        <f t="shared" si="219"/>
        <v>0</v>
      </c>
      <c r="BD182" s="100">
        <f t="shared" si="220"/>
        <v>0</v>
      </c>
      <c r="BE182" s="100">
        <v>0</v>
      </c>
      <c r="BF182" s="100">
        <f>182</f>
        <v>182</v>
      </c>
      <c r="BH182" s="121">
        <f t="shared" si="221"/>
        <v>0</v>
      </c>
      <c r="BI182" s="121">
        <f t="shared" si="222"/>
        <v>0</v>
      </c>
      <c r="BJ182" s="121">
        <f t="shared" si="223"/>
        <v>0</v>
      </c>
    </row>
    <row r="183" spans="1:62" x14ac:dyDescent="0.2">
      <c r="A183" s="117" t="s">
        <v>147</v>
      </c>
      <c r="B183" s="117" t="s">
        <v>714</v>
      </c>
      <c r="C183" s="304" t="s">
        <v>1226</v>
      </c>
      <c r="D183" s="305"/>
      <c r="E183" s="305"/>
      <c r="F183" s="117" t="s">
        <v>1646</v>
      </c>
      <c r="G183" s="116">
        <v>62.5</v>
      </c>
      <c r="H183" s="159"/>
      <c r="I183" s="108">
        <f t="shared" si="202"/>
        <v>0</v>
      </c>
      <c r="J183" s="108">
        <f t="shared" si="203"/>
        <v>0</v>
      </c>
      <c r="K183" s="108">
        <f t="shared" si="204"/>
        <v>0</v>
      </c>
      <c r="L183" s="111" t="s">
        <v>1671</v>
      </c>
      <c r="Z183" s="100">
        <f t="shared" si="205"/>
        <v>0</v>
      </c>
      <c r="AB183" s="100">
        <f t="shared" si="206"/>
        <v>0</v>
      </c>
      <c r="AC183" s="100">
        <f t="shared" si="207"/>
        <v>0</v>
      </c>
      <c r="AD183" s="100">
        <f t="shared" si="208"/>
        <v>0</v>
      </c>
      <c r="AE183" s="100">
        <f t="shared" si="209"/>
        <v>0</v>
      </c>
      <c r="AF183" s="100">
        <f t="shared" si="210"/>
        <v>0</v>
      </c>
      <c r="AG183" s="100">
        <f t="shared" si="211"/>
        <v>0</v>
      </c>
      <c r="AH183" s="100">
        <f t="shared" si="212"/>
        <v>0</v>
      </c>
      <c r="AI183" s="109"/>
      <c r="AJ183" s="108">
        <f t="shared" si="213"/>
        <v>0</v>
      </c>
      <c r="AK183" s="108">
        <f t="shared" si="214"/>
        <v>0</v>
      </c>
      <c r="AL183" s="108">
        <f t="shared" si="215"/>
        <v>0</v>
      </c>
      <c r="AN183" s="100">
        <v>15</v>
      </c>
      <c r="AO183" s="100">
        <f>H183*0</f>
        <v>0</v>
      </c>
      <c r="AP183" s="100">
        <f>H183*(1-0)</f>
        <v>0</v>
      </c>
      <c r="AQ183" s="111" t="s">
        <v>13</v>
      </c>
      <c r="AV183" s="100">
        <f t="shared" si="216"/>
        <v>0</v>
      </c>
      <c r="AW183" s="100">
        <f t="shared" si="217"/>
        <v>0</v>
      </c>
      <c r="AX183" s="100">
        <f t="shared" si="218"/>
        <v>0</v>
      </c>
      <c r="AY183" s="110" t="s">
        <v>1706</v>
      </c>
      <c r="AZ183" s="110" t="s">
        <v>1731</v>
      </c>
      <c r="BA183" s="109" t="s">
        <v>1737</v>
      </c>
      <c r="BC183" s="100">
        <f t="shared" si="219"/>
        <v>0</v>
      </c>
      <c r="BD183" s="100">
        <f t="shared" si="220"/>
        <v>0</v>
      </c>
      <c r="BE183" s="100">
        <v>0</v>
      </c>
      <c r="BF183" s="100">
        <f>183</f>
        <v>183</v>
      </c>
      <c r="BH183" s="108">
        <f t="shared" si="221"/>
        <v>0</v>
      </c>
      <c r="BI183" s="108">
        <f t="shared" si="222"/>
        <v>0</v>
      </c>
      <c r="BJ183" s="108">
        <f t="shared" si="223"/>
        <v>0</v>
      </c>
    </row>
    <row r="184" spans="1:62" x14ac:dyDescent="0.2">
      <c r="A184" s="117" t="s">
        <v>148</v>
      </c>
      <c r="B184" s="117" t="s">
        <v>715</v>
      </c>
      <c r="C184" s="304" t="s">
        <v>1227</v>
      </c>
      <c r="D184" s="305"/>
      <c r="E184" s="305"/>
      <c r="F184" s="117" t="s">
        <v>1645</v>
      </c>
      <c r="G184" s="116">
        <v>302</v>
      </c>
      <c r="H184" s="159"/>
      <c r="I184" s="108">
        <f t="shared" si="202"/>
        <v>0</v>
      </c>
      <c r="J184" s="108">
        <f t="shared" si="203"/>
        <v>0</v>
      </c>
      <c r="K184" s="108">
        <f t="shared" si="204"/>
        <v>0</v>
      </c>
      <c r="L184" s="111" t="s">
        <v>1671</v>
      </c>
      <c r="Z184" s="100">
        <f t="shared" si="205"/>
        <v>0</v>
      </c>
      <c r="AB184" s="100">
        <f t="shared" si="206"/>
        <v>0</v>
      </c>
      <c r="AC184" s="100">
        <f t="shared" si="207"/>
        <v>0</v>
      </c>
      <c r="AD184" s="100">
        <f t="shared" si="208"/>
        <v>0</v>
      </c>
      <c r="AE184" s="100">
        <f t="shared" si="209"/>
        <v>0</v>
      </c>
      <c r="AF184" s="100">
        <f t="shared" si="210"/>
        <v>0</v>
      </c>
      <c r="AG184" s="100">
        <f t="shared" si="211"/>
        <v>0</v>
      </c>
      <c r="AH184" s="100">
        <f t="shared" si="212"/>
        <v>0</v>
      </c>
      <c r="AI184" s="109"/>
      <c r="AJ184" s="108">
        <f t="shared" si="213"/>
        <v>0</v>
      </c>
      <c r="AK184" s="108">
        <f t="shared" si="214"/>
        <v>0</v>
      </c>
      <c r="AL184" s="108">
        <f t="shared" si="215"/>
        <v>0</v>
      </c>
      <c r="AN184" s="100">
        <v>15</v>
      </c>
      <c r="AO184" s="100">
        <f>H184*0.155846501128668</f>
        <v>0</v>
      </c>
      <c r="AP184" s="100">
        <f>H184*(1-0.155846501128668)</f>
        <v>0</v>
      </c>
      <c r="AQ184" s="111" t="s">
        <v>13</v>
      </c>
      <c r="AV184" s="100">
        <f t="shared" si="216"/>
        <v>0</v>
      </c>
      <c r="AW184" s="100">
        <f t="shared" si="217"/>
        <v>0</v>
      </c>
      <c r="AX184" s="100">
        <f t="shared" si="218"/>
        <v>0</v>
      </c>
      <c r="AY184" s="110" t="s">
        <v>1706</v>
      </c>
      <c r="AZ184" s="110" t="s">
        <v>1731</v>
      </c>
      <c r="BA184" s="109" t="s">
        <v>1737</v>
      </c>
      <c r="BC184" s="100">
        <f t="shared" si="219"/>
        <v>0</v>
      </c>
      <c r="BD184" s="100">
        <f t="shared" si="220"/>
        <v>0</v>
      </c>
      <c r="BE184" s="100">
        <v>0</v>
      </c>
      <c r="BF184" s="100">
        <f>184</f>
        <v>184</v>
      </c>
      <c r="BH184" s="108">
        <f t="shared" si="221"/>
        <v>0</v>
      </c>
      <c r="BI184" s="108">
        <f t="shared" si="222"/>
        <v>0</v>
      </c>
      <c r="BJ184" s="108">
        <f t="shared" si="223"/>
        <v>0</v>
      </c>
    </row>
    <row r="185" spans="1:62" x14ac:dyDescent="0.2">
      <c r="A185" s="117" t="s">
        <v>149</v>
      </c>
      <c r="B185" s="117" t="s">
        <v>716</v>
      </c>
      <c r="C185" s="304" t="s">
        <v>1228</v>
      </c>
      <c r="D185" s="305"/>
      <c r="E185" s="305"/>
      <c r="F185" s="117" t="s">
        <v>1645</v>
      </c>
      <c r="G185" s="116">
        <v>302</v>
      </c>
      <c r="H185" s="159"/>
      <c r="I185" s="108">
        <f t="shared" si="202"/>
        <v>0</v>
      </c>
      <c r="J185" s="108">
        <f t="shared" si="203"/>
        <v>0</v>
      </c>
      <c r="K185" s="108">
        <f t="shared" si="204"/>
        <v>0</v>
      </c>
      <c r="L185" s="111" t="s">
        <v>1671</v>
      </c>
      <c r="Z185" s="100">
        <f t="shared" si="205"/>
        <v>0</v>
      </c>
      <c r="AB185" s="100">
        <f t="shared" si="206"/>
        <v>0</v>
      </c>
      <c r="AC185" s="100">
        <f t="shared" si="207"/>
        <v>0</v>
      </c>
      <c r="AD185" s="100">
        <f t="shared" si="208"/>
        <v>0</v>
      </c>
      <c r="AE185" s="100">
        <f t="shared" si="209"/>
        <v>0</v>
      </c>
      <c r="AF185" s="100">
        <f t="shared" si="210"/>
        <v>0</v>
      </c>
      <c r="AG185" s="100">
        <f t="shared" si="211"/>
        <v>0</v>
      </c>
      <c r="AH185" s="100">
        <f t="shared" si="212"/>
        <v>0</v>
      </c>
      <c r="AI185" s="109"/>
      <c r="AJ185" s="108">
        <f t="shared" si="213"/>
        <v>0</v>
      </c>
      <c r="AK185" s="108">
        <f t="shared" si="214"/>
        <v>0</v>
      </c>
      <c r="AL185" s="108">
        <f t="shared" si="215"/>
        <v>0</v>
      </c>
      <c r="AN185" s="100">
        <v>15</v>
      </c>
      <c r="AO185" s="100">
        <f>H185*0.160103092783505</f>
        <v>0</v>
      </c>
      <c r="AP185" s="100">
        <f>H185*(1-0.160103092783505)</f>
        <v>0</v>
      </c>
      <c r="AQ185" s="111" t="s">
        <v>13</v>
      </c>
      <c r="AV185" s="100">
        <f t="shared" si="216"/>
        <v>0</v>
      </c>
      <c r="AW185" s="100">
        <f t="shared" si="217"/>
        <v>0</v>
      </c>
      <c r="AX185" s="100">
        <f t="shared" si="218"/>
        <v>0</v>
      </c>
      <c r="AY185" s="110" t="s">
        <v>1706</v>
      </c>
      <c r="AZ185" s="110" t="s">
        <v>1731</v>
      </c>
      <c r="BA185" s="109" t="s">
        <v>1737</v>
      </c>
      <c r="BC185" s="100">
        <f t="shared" si="219"/>
        <v>0</v>
      </c>
      <c r="BD185" s="100">
        <f t="shared" si="220"/>
        <v>0</v>
      </c>
      <c r="BE185" s="100">
        <v>0</v>
      </c>
      <c r="BF185" s="100">
        <f>185</f>
        <v>185</v>
      </c>
      <c r="BH185" s="108">
        <f t="shared" si="221"/>
        <v>0</v>
      </c>
      <c r="BI185" s="108">
        <f t="shared" si="222"/>
        <v>0</v>
      </c>
      <c r="BJ185" s="108">
        <f t="shared" si="223"/>
        <v>0</v>
      </c>
    </row>
    <row r="186" spans="1:62" x14ac:dyDescent="0.2">
      <c r="A186" s="117" t="s">
        <v>150</v>
      </c>
      <c r="B186" s="117" t="s">
        <v>717</v>
      </c>
      <c r="C186" s="304" t="s">
        <v>1229</v>
      </c>
      <c r="D186" s="305"/>
      <c r="E186" s="305"/>
      <c r="F186" s="117" t="s">
        <v>1645</v>
      </c>
      <c r="G186" s="116">
        <v>345.786</v>
      </c>
      <c r="H186" s="159"/>
      <c r="I186" s="108">
        <f t="shared" si="202"/>
        <v>0</v>
      </c>
      <c r="J186" s="108">
        <f t="shared" si="203"/>
        <v>0</v>
      </c>
      <c r="K186" s="108">
        <f t="shared" si="204"/>
        <v>0</v>
      </c>
      <c r="L186" s="111" t="s">
        <v>1671</v>
      </c>
      <c r="Z186" s="100">
        <f t="shared" si="205"/>
        <v>0</v>
      </c>
      <c r="AB186" s="100">
        <f t="shared" si="206"/>
        <v>0</v>
      </c>
      <c r="AC186" s="100">
        <f t="shared" si="207"/>
        <v>0</v>
      </c>
      <c r="AD186" s="100">
        <f t="shared" si="208"/>
        <v>0</v>
      </c>
      <c r="AE186" s="100">
        <f t="shared" si="209"/>
        <v>0</v>
      </c>
      <c r="AF186" s="100">
        <f t="shared" si="210"/>
        <v>0</v>
      </c>
      <c r="AG186" s="100">
        <f t="shared" si="211"/>
        <v>0</v>
      </c>
      <c r="AH186" s="100">
        <f t="shared" si="212"/>
        <v>0</v>
      </c>
      <c r="AI186" s="109"/>
      <c r="AJ186" s="108">
        <f t="shared" si="213"/>
        <v>0</v>
      </c>
      <c r="AK186" s="108">
        <f t="shared" si="214"/>
        <v>0</v>
      </c>
      <c r="AL186" s="108">
        <f t="shared" si="215"/>
        <v>0</v>
      </c>
      <c r="AN186" s="100">
        <v>15</v>
      </c>
      <c r="AO186" s="100">
        <f>H186*0.421192101380328</f>
        <v>0</v>
      </c>
      <c r="AP186" s="100">
        <f>H186*(1-0.421192101380328)</f>
        <v>0</v>
      </c>
      <c r="AQ186" s="111" t="s">
        <v>13</v>
      </c>
      <c r="AV186" s="100">
        <f t="shared" si="216"/>
        <v>0</v>
      </c>
      <c r="AW186" s="100">
        <f t="shared" si="217"/>
        <v>0</v>
      </c>
      <c r="AX186" s="100">
        <f t="shared" si="218"/>
        <v>0</v>
      </c>
      <c r="AY186" s="110" t="s">
        <v>1706</v>
      </c>
      <c r="AZ186" s="110" t="s">
        <v>1731</v>
      </c>
      <c r="BA186" s="109" t="s">
        <v>1737</v>
      </c>
      <c r="BC186" s="100">
        <f t="shared" si="219"/>
        <v>0</v>
      </c>
      <c r="BD186" s="100">
        <f t="shared" si="220"/>
        <v>0</v>
      </c>
      <c r="BE186" s="100">
        <v>0</v>
      </c>
      <c r="BF186" s="100">
        <f>186</f>
        <v>186</v>
      </c>
      <c r="BH186" s="108">
        <f t="shared" si="221"/>
        <v>0</v>
      </c>
      <c r="BI186" s="108">
        <f t="shared" si="222"/>
        <v>0</v>
      </c>
      <c r="BJ186" s="108">
        <f t="shared" si="223"/>
        <v>0</v>
      </c>
    </row>
    <row r="187" spans="1:62" x14ac:dyDescent="0.2">
      <c r="A187" s="117" t="s">
        <v>151</v>
      </c>
      <c r="B187" s="117" t="s">
        <v>718</v>
      </c>
      <c r="C187" s="304" t="s">
        <v>1230</v>
      </c>
      <c r="D187" s="305"/>
      <c r="E187" s="305"/>
      <c r="F187" s="117" t="s">
        <v>1648</v>
      </c>
      <c r="G187" s="116">
        <v>1.4390000000000001</v>
      </c>
      <c r="H187" s="159"/>
      <c r="I187" s="108">
        <f t="shared" si="202"/>
        <v>0</v>
      </c>
      <c r="J187" s="108">
        <f t="shared" si="203"/>
        <v>0</v>
      </c>
      <c r="K187" s="108">
        <f t="shared" si="204"/>
        <v>0</v>
      </c>
      <c r="L187" s="111" t="s">
        <v>1671</v>
      </c>
      <c r="Z187" s="100">
        <f t="shared" si="205"/>
        <v>0</v>
      </c>
      <c r="AB187" s="100">
        <f t="shared" si="206"/>
        <v>0</v>
      </c>
      <c r="AC187" s="100">
        <f t="shared" si="207"/>
        <v>0</v>
      </c>
      <c r="AD187" s="100">
        <f t="shared" si="208"/>
        <v>0</v>
      </c>
      <c r="AE187" s="100">
        <f t="shared" si="209"/>
        <v>0</v>
      </c>
      <c r="AF187" s="100">
        <f t="shared" si="210"/>
        <v>0</v>
      </c>
      <c r="AG187" s="100">
        <f t="shared" si="211"/>
        <v>0</v>
      </c>
      <c r="AH187" s="100">
        <f t="shared" si="212"/>
        <v>0</v>
      </c>
      <c r="AI187" s="109"/>
      <c r="AJ187" s="108">
        <f t="shared" si="213"/>
        <v>0</v>
      </c>
      <c r="AK187" s="108">
        <f t="shared" si="214"/>
        <v>0</v>
      </c>
      <c r="AL187" s="108">
        <f t="shared" si="215"/>
        <v>0</v>
      </c>
      <c r="AN187" s="100">
        <v>15</v>
      </c>
      <c r="AO187" s="100">
        <f>H187*0</f>
        <v>0</v>
      </c>
      <c r="AP187" s="100">
        <f>H187*(1-0)</f>
        <v>0</v>
      </c>
      <c r="AQ187" s="111" t="s">
        <v>11</v>
      </c>
      <c r="AV187" s="100">
        <f t="shared" si="216"/>
        <v>0</v>
      </c>
      <c r="AW187" s="100">
        <f t="shared" si="217"/>
        <v>0</v>
      </c>
      <c r="AX187" s="100">
        <f t="shared" si="218"/>
        <v>0</v>
      </c>
      <c r="AY187" s="110" t="s">
        <v>1706</v>
      </c>
      <c r="AZ187" s="110" t="s">
        <v>1731</v>
      </c>
      <c r="BA187" s="109" t="s">
        <v>1737</v>
      </c>
      <c r="BC187" s="100">
        <f t="shared" si="219"/>
        <v>0</v>
      </c>
      <c r="BD187" s="100">
        <f t="shared" si="220"/>
        <v>0</v>
      </c>
      <c r="BE187" s="100">
        <v>0</v>
      </c>
      <c r="BF187" s="100">
        <f>187</f>
        <v>187</v>
      </c>
      <c r="BH187" s="108">
        <f t="shared" si="221"/>
        <v>0</v>
      </c>
      <c r="BI187" s="108">
        <f t="shared" si="222"/>
        <v>0</v>
      </c>
      <c r="BJ187" s="108">
        <f t="shared" si="223"/>
        <v>0</v>
      </c>
    </row>
    <row r="188" spans="1:62" x14ac:dyDescent="0.2">
      <c r="A188" s="119"/>
      <c r="B188" s="120" t="s">
        <v>719</v>
      </c>
      <c r="C188" s="306" t="s">
        <v>1231</v>
      </c>
      <c r="D188" s="307"/>
      <c r="E188" s="307"/>
      <c r="F188" s="119" t="s">
        <v>6</v>
      </c>
      <c r="G188" s="119" t="s">
        <v>6</v>
      </c>
      <c r="H188" s="119" t="s">
        <v>6</v>
      </c>
      <c r="I188" s="118">
        <f>SUM(I189:I213)</f>
        <v>0</v>
      </c>
      <c r="J188" s="118">
        <f>SUM(J189:J213)</f>
        <v>0</v>
      </c>
      <c r="K188" s="118">
        <f>SUM(K189:K213)</f>
        <v>0</v>
      </c>
      <c r="L188" s="109"/>
      <c r="AI188" s="109"/>
      <c r="AS188" s="118">
        <f>SUM(AJ189:AJ213)</f>
        <v>0</v>
      </c>
      <c r="AT188" s="118">
        <f>SUM(AK189:AK213)</f>
        <v>0</v>
      </c>
      <c r="AU188" s="118">
        <f>SUM(AL189:AL213)</f>
        <v>0</v>
      </c>
    </row>
    <row r="189" spans="1:62" x14ac:dyDescent="0.2">
      <c r="A189" s="117" t="s">
        <v>152</v>
      </c>
      <c r="B189" s="117" t="s">
        <v>720</v>
      </c>
      <c r="C189" s="304" t="s">
        <v>1232</v>
      </c>
      <c r="D189" s="305"/>
      <c r="E189" s="305"/>
      <c r="F189" s="117" t="s">
        <v>1646</v>
      </c>
      <c r="G189" s="116">
        <v>3.5</v>
      </c>
      <c r="H189" s="159"/>
      <c r="I189" s="108">
        <f t="shared" ref="I189:I213" si="224">G189*AO189</f>
        <v>0</v>
      </c>
      <c r="J189" s="108">
        <f t="shared" ref="J189:J213" si="225">G189*AP189</f>
        <v>0</v>
      </c>
      <c r="K189" s="108">
        <f t="shared" ref="K189:K213" si="226">G189*H189</f>
        <v>0</v>
      </c>
      <c r="L189" s="111"/>
      <c r="Z189" s="100">
        <f t="shared" ref="Z189:Z213" si="227">IF(AQ189="5",BJ189,0)</f>
        <v>0</v>
      </c>
      <c r="AB189" s="100">
        <f t="shared" ref="AB189:AB213" si="228">IF(AQ189="1",BH189,0)</f>
        <v>0</v>
      </c>
      <c r="AC189" s="100">
        <f t="shared" ref="AC189:AC213" si="229">IF(AQ189="1",BI189,0)</f>
        <v>0</v>
      </c>
      <c r="AD189" s="100">
        <f t="shared" ref="AD189:AD213" si="230">IF(AQ189="7",BH189,0)</f>
        <v>0</v>
      </c>
      <c r="AE189" s="100">
        <f t="shared" ref="AE189:AE213" si="231">IF(AQ189="7",BI189,0)</f>
        <v>0</v>
      </c>
      <c r="AF189" s="100">
        <f t="shared" ref="AF189:AF213" si="232">IF(AQ189="2",BH189,0)</f>
        <v>0</v>
      </c>
      <c r="AG189" s="100">
        <f t="shared" ref="AG189:AG213" si="233">IF(AQ189="2",BI189,0)</f>
        <v>0</v>
      </c>
      <c r="AH189" s="100">
        <f t="shared" ref="AH189:AH213" si="234">IF(AQ189="0",BJ189,0)</f>
        <v>0</v>
      </c>
      <c r="AI189" s="109"/>
      <c r="AJ189" s="108">
        <f t="shared" ref="AJ189:AJ213" si="235">IF(AN189=0,K189,0)</f>
        <v>0</v>
      </c>
      <c r="AK189" s="108">
        <f t="shared" ref="AK189:AK213" si="236">IF(AN189=15,K189,0)</f>
        <v>0</v>
      </c>
      <c r="AL189" s="108">
        <f t="shared" ref="AL189:AL213" si="237">IF(AN189=21,K189,0)</f>
        <v>0</v>
      </c>
      <c r="AN189" s="100">
        <v>15</v>
      </c>
      <c r="AO189" s="100">
        <f t="shared" ref="AO189:AO213" si="238">H189*0</f>
        <v>0</v>
      </c>
      <c r="AP189" s="100">
        <f t="shared" ref="AP189:AP213" si="239">H189*(1-0)</f>
        <v>0</v>
      </c>
      <c r="AQ189" s="111" t="s">
        <v>13</v>
      </c>
      <c r="AV189" s="100">
        <f t="shared" ref="AV189:AV213" si="240">AW189+AX189</f>
        <v>0</v>
      </c>
      <c r="AW189" s="100">
        <f t="shared" ref="AW189:AW213" si="241">G189*AO189</f>
        <v>0</v>
      </c>
      <c r="AX189" s="100">
        <f t="shared" ref="AX189:AX213" si="242">G189*AP189</f>
        <v>0</v>
      </c>
      <c r="AY189" s="110" t="s">
        <v>1707</v>
      </c>
      <c r="AZ189" s="110" t="s">
        <v>1732</v>
      </c>
      <c r="BA189" s="109" t="s">
        <v>1737</v>
      </c>
      <c r="BC189" s="100">
        <f t="shared" ref="BC189:BC213" si="243">AW189+AX189</f>
        <v>0</v>
      </c>
      <c r="BD189" s="100">
        <f t="shared" ref="BD189:BD213" si="244">H189/(100-BE189)*100</f>
        <v>0</v>
      </c>
      <c r="BE189" s="100">
        <v>0</v>
      </c>
      <c r="BF189" s="100">
        <f>189</f>
        <v>189</v>
      </c>
      <c r="BH189" s="108">
        <f t="shared" ref="BH189:BH213" si="245">G189*AO189</f>
        <v>0</v>
      </c>
      <c r="BI189" s="108">
        <f t="shared" ref="BI189:BI213" si="246">G189*AP189</f>
        <v>0</v>
      </c>
      <c r="BJ189" s="108">
        <f t="shared" ref="BJ189:BJ213" si="247">G189*H189</f>
        <v>0</v>
      </c>
    </row>
    <row r="190" spans="1:62" x14ac:dyDescent="0.2">
      <c r="A190" s="117" t="s">
        <v>153</v>
      </c>
      <c r="B190" s="117" t="s">
        <v>721</v>
      </c>
      <c r="C190" s="304" t="s">
        <v>1233</v>
      </c>
      <c r="D190" s="305"/>
      <c r="E190" s="305"/>
      <c r="F190" s="117" t="s">
        <v>1646</v>
      </c>
      <c r="G190" s="116">
        <v>3</v>
      </c>
      <c r="H190" s="159"/>
      <c r="I190" s="108">
        <f t="shared" si="224"/>
        <v>0</v>
      </c>
      <c r="J190" s="108">
        <f t="shared" si="225"/>
        <v>0</v>
      </c>
      <c r="K190" s="108">
        <f t="shared" si="226"/>
        <v>0</v>
      </c>
      <c r="L190" s="111"/>
      <c r="Z190" s="100">
        <f t="shared" si="227"/>
        <v>0</v>
      </c>
      <c r="AB190" s="100">
        <f t="shared" si="228"/>
        <v>0</v>
      </c>
      <c r="AC190" s="100">
        <f t="shared" si="229"/>
        <v>0</v>
      </c>
      <c r="AD190" s="100">
        <f t="shared" si="230"/>
        <v>0</v>
      </c>
      <c r="AE190" s="100">
        <f t="shared" si="231"/>
        <v>0</v>
      </c>
      <c r="AF190" s="100">
        <f t="shared" si="232"/>
        <v>0</v>
      </c>
      <c r="AG190" s="100">
        <f t="shared" si="233"/>
        <v>0</v>
      </c>
      <c r="AH190" s="100">
        <f t="shared" si="234"/>
        <v>0</v>
      </c>
      <c r="AI190" s="109"/>
      <c r="AJ190" s="108">
        <f t="shared" si="235"/>
        <v>0</v>
      </c>
      <c r="AK190" s="108">
        <f t="shared" si="236"/>
        <v>0</v>
      </c>
      <c r="AL190" s="108">
        <f t="shared" si="237"/>
        <v>0</v>
      </c>
      <c r="AN190" s="100">
        <v>15</v>
      </c>
      <c r="AO190" s="100">
        <f t="shared" si="238"/>
        <v>0</v>
      </c>
      <c r="AP190" s="100">
        <f t="shared" si="239"/>
        <v>0</v>
      </c>
      <c r="AQ190" s="111" t="s">
        <v>13</v>
      </c>
      <c r="AV190" s="100">
        <f t="shared" si="240"/>
        <v>0</v>
      </c>
      <c r="AW190" s="100">
        <f t="shared" si="241"/>
        <v>0</v>
      </c>
      <c r="AX190" s="100">
        <f t="shared" si="242"/>
        <v>0</v>
      </c>
      <c r="AY190" s="110" t="s">
        <v>1707</v>
      </c>
      <c r="AZ190" s="110" t="s">
        <v>1732</v>
      </c>
      <c r="BA190" s="109" t="s">
        <v>1737</v>
      </c>
      <c r="BC190" s="100">
        <f t="shared" si="243"/>
        <v>0</v>
      </c>
      <c r="BD190" s="100">
        <f t="shared" si="244"/>
        <v>0</v>
      </c>
      <c r="BE190" s="100">
        <v>0</v>
      </c>
      <c r="BF190" s="100">
        <f>190</f>
        <v>190</v>
      </c>
      <c r="BH190" s="108">
        <f t="shared" si="245"/>
        <v>0</v>
      </c>
      <c r="BI190" s="108">
        <f t="shared" si="246"/>
        <v>0</v>
      </c>
      <c r="BJ190" s="108">
        <f t="shared" si="247"/>
        <v>0</v>
      </c>
    </row>
    <row r="191" spans="1:62" x14ac:dyDescent="0.2">
      <c r="A191" s="117" t="s">
        <v>154</v>
      </c>
      <c r="B191" s="117" t="s">
        <v>722</v>
      </c>
      <c r="C191" s="304" t="s">
        <v>1234</v>
      </c>
      <c r="D191" s="305"/>
      <c r="E191" s="305"/>
      <c r="F191" s="117" t="s">
        <v>1646</v>
      </c>
      <c r="G191" s="116">
        <v>1.5</v>
      </c>
      <c r="H191" s="159"/>
      <c r="I191" s="108">
        <f t="shared" si="224"/>
        <v>0</v>
      </c>
      <c r="J191" s="108">
        <f t="shared" si="225"/>
        <v>0</v>
      </c>
      <c r="K191" s="108">
        <f t="shared" si="226"/>
        <v>0</v>
      </c>
      <c r="L191" s="111"/>
      <c r="Z191" s="100">
        <f t="shared" si="227"/>
        <v>0</v>
      </c>
      <c r="AB191" s="100">
        <f t="shared" si="228"/>
        <v>0</v>
      </c>
      <c r="AC191" s="100">
        <f t="shared" si="229"/>
        <v>0</v>
      </c>
      <c r="AD191" s="100">
        <f t="shared" si="230"/>
        <v>0</v>
      </c>
      <c r="AE191" s="100">
        <f t="shared" si="231"/>
        <v>0</v>
      </c>
      <c r="AF191" s="100">
        <f t="shared" si="232"/>
        <v>0</v>
      </c>
      <c r="AG191" s="100">
        <f t="shared" si="233"/>
        <v>0</v>
      </c>
      <c r="AH191" s="100">
        <f t="shared" si="234"/>
        <v>0</v>
      </c>
      <c r="AI191" s="109"/>
      <c r="AJ191" s="108">
        <f t="shared" si="235"/>
        <v>0</v>
      </c>
      <c r="AK191" s="108">
        <f t="shared" si="236"/>
        <v>0</v>
      </c>
      <c r="AL191" s="108">
        <f t="shared" si="237"/>
        <v>0</v>
      </c>
      <c r="AN191" s="100">
        <v>15</v>
      </c>
      <c r="AO191" s="100">
        <f t="shared" si="238"/>
        <v>0</v>
      </c>
      <c r="AP191" s="100">
        <f t="shared" si="239"/>
        <v>0</v>
      </c>
      <c r="AQ191" s="111" t="s">
        <v>13</v>
      </c>
      <c r="AV191" s="100">
        <f t="shared" si="240"/>
        <v>0</v>
      </c>
      <c r="AW191" s="100">
        <f t="shared" si="241"/>
        <v>0</v>
      </c>
      <c r="AX191" s="100">
        <f t="shared" si="242"/>
        <v>0</v>
      </c>
      <c r="AY191" s="110" t="s">
        <v>1707</v>
      </c>
      <c r="AZ191" s="110" t="s">
        <v>1732</v>
      </c>
      <c r="BA191" s="109" t="s">
        <v>1737</v>
      </c>
      <c r="BC191" s="100">
        <f t="shared" si="243"/>
        <v>0</v>
      </c>
      <c r="BD191" s="100">
        <f t="shared" si="244"/>
        <v>0</v>
      </c>
      <c r="BE191" s="100">
        <v>0</v>
      </c>
      <c r="BF191" s="100">
        <f>191</f>
        <v>191</v>
      </c>
      <c r="BH191" s="108">
        <f t="shared" si="245"/>
        <v>0</v>
      </c>
      <c r="BI191" s="108">
        <f t="shared" si="246"/>
        <v>0</v>
      </c>
      <c r="BJ191" s="108">
        <f t="shared" si="247"/>
        <v>0</v>
      </c>
    </row>
    <row r="192" spans="1:62" x14ac:dyDescent="0.2">
      <c r="A192" s="117" t="s">
        <v>155</v>
      </c>
      <c r="B192" s="117" t="s">
        <v>723</v>
      </c>
      <c r="C192" s="304" t="s">
        <v>1235</v>
      </c>
      <c r="D192" s="305"/>
      <c r="E192" s="305"/>
      <c r="F192" s="117" t="s">
        <v>1646</v>
      </c>
      <c r="G192" s="116">
        <v>3</v>
      </c>
      <c r="H192" s="159"/>
      <c r="I192" s="108">
        <f t="shared" si="224"/>
        <v>0</v>
      </c>
      <c r="J192" s="108">
        <f t="shared" si="225"/>
        <v>0</v>
      </c>
      <c r="K192" s="108">
        <f t="shared" si="226"/>
        <v>0</v>
      </c>
      <c r="L192" s="111"/>
      <c r="Z192" s="100">
        <f t="shared" si="227"/>
        <v>0</v>
      </c>
      <c r="AB192" s="100">
        <f t="shared" si="228"/>
        <v>0</v>
      </c>
      <c r="AC192" s="100">
        <f t="shared" si="229"/>
        <v>0</v>
      </c>
      <c r="AD192" s="100">
        <f t="shared" si="230"/>
        <v>0</v>
      </c>
      <c r="AE192" s="100">
        <f t="shared" si="231"/>
        <v>0</v>
      </c>
      <c r="AF192" s="100">
        <f t="shared" si="232"/>
        <v>0</v>
      </c>
      <c r="AG192" s="100">
        <f t="shared" si="233"/>
        <v>0</v>
      </c>
      <c r="AH192" s="100">
        <f t="shared" si="234"/>
        <v>0</v>
      </c>
      <c r="AI192" s="109"/>
      <c r="AJ192" s="108">
        <f t="shared" si="235"/>
        <v>0</v>
      </c>
      <c r="AK192" s="108">
        <f t="shared" si="236"/>
        <v>0</v>
      </c>
      <c r="AL192" s="108">
        <f t="shared" si="237"/>
        <v>0</v>
      </c>
      <c r="AN192" s="100">
        <v>15</v>
      </c>
      <c r="AO192" s="100">
        <f t="shared" si="238"/>
        <v>0</v>
      </c>
      <c r="AP192" s="100">
        <f t="shared" si="239"/>
        <v>0</v>
      </c>
      <c r="AQ192" s="111" t="s">
        <v>13</v>
      </c>
      <c r="AV192" s="100">
        <f t="shared" si="240"/>
        <v>0</v>
      </c>
      <c r="AW192" s="100">
        <f t="shared" si="241"/>
        <v>0</v>
      </c>
      <c r="AX192" s="100">
        <f t="shared" si="242"/>
        <v>0</v>
      </c>
      <c r="AY192" s="110" t="s">
        <v>1707</v>
      </c>
      <c r="AZ192" s="110" t="s">
        <v>1732</v>
      </c>
      <c r="BA192" s="109" t="s">
        <v>1737</v>
      </c>
      <c r="BC192" s="100">
        <f t="shared" si="243"/>
        <v>0</v>
      </c>
      <c r="BD192" s="100">
        <f t="shared" si="244"/>
        <v>0</v>
      </c>
      <c r="BE192" s="100">
        <v>0</v>
      </c>
      <c r="BF192" s="100">
        <f>192</f>
        <v>192</v>
      </c>
      <c r="BH192" s="108">
        <f t="shared" si="245"/>
        <v>0</v>
      </c>
      <c r="BI192" s="108">
        <f t="shared" si="246"/>
        <v>0</v>
      </c>
      <c r="BJ192" s="108">
        <f t="shared" si="247"/>
        <v>0</v>
      </c>
    </row>
    <row r="193" spans="1:62" x14ac:dyDescent="0.2">
      <c r="A193" s="117" t="s">
        <v>156</v>
      </c>
      <c r="B193" s="117" t="s">
        <v>724</v>
      </c>
      <c r="C193" s="304" t="s">
        <v>1236</v>
      </c>
      <c r="D193" s="305"/>
      <c r="E193" s="305"/>
      <c r="F193" s="117" t="s">
        <v>1646</v>
      </c>
      <c r="G193" s="116">
        <v>1</v>
      </c>
      <c r="H193" s="159"/>
      <c r="I193" s="108">
        <f t="shared" si="224"/>
        <v>0</v>
      </c>
      <c r="J193" s="108">
        <f t="shared" si="225"/>
        <v>0</v>
      </c>
      <c r="K193" s="108">
        <f t="shared" si="226"/>
        <v>0</v>
      </c>
      <c r="L193" s="111"/>
      <c r="Z193" s="100">
        <f t="shared" si="227"/>
        <v>0</v>
      </c>
      <c r="AB193" s="100">
        <f t="shared" si="228"/>
        <v>0</v>
      </c>
      <c r="AC193" s="100">
        <f t="shared" si="229"/>
        <v>0</v>
      </c>
      <c r="AD193" s="100">
        <f t="shared" si="230"/>
        <v>0</v>
      </c>
      <c r="AE193" s="100">
        <f t="shared" si="231"/>
        <v>0</v>
      </c>
      <c r="AF193" s="100">
        <f t="shared" si="232"/>
        <v>0</v>
      </c>
      <c r="AG193" s="100">
        <f t="shared" si="233"/>
        <v>0</v>
      </c>
      <c r="AH193" s="100">
        <f t="shared" si="234"/>
        <v>0</v>
      </c>
      <c r="AI193" s="109"/>
      <c r="AJ193" s="108">
        <f t="shared" si="235"/>
        <v>0</v>
      </c>
      <c r="AK193" s="108">
        <f t="shared" si="236"/>
        <v>0</v>
      </c>
      <c r="AL193" s="108">
        <f t="shared" si="237"/>
        <v>0</v>
      </c>
      <c r="AN193" s="100">
        <v>15</v>
      </c>
      <c r="AO193" s="100">
        <f t="shared" si="238"/>
        <v>0</v>
      </c>
      <c r="AP193" s="100">
        <f t="shared" si="239"/>
        <v>0</v>
      </c>
      <c r="AQ193" s="111" t="s">
        <v>13</v>
      </c>
      <c r="AV193" s="100">
        <f t="shared" si="240"/>
        <v>0</v>
      </c>
      <c r="AW193" s="100">
        <f t="shared" si="241"/>
        <v>0</v>
      </c>
      <c r="AX193" s="100">
        <f t="shared" si="242"/>
        <v>0</v>
      </c>
      <c r="AY193" s="110" t="s">
        <v>1707</v>
      </c>
      <c r="AZ193" s="110" t="s">
        <v>1732</v>
      </c>
      <c r="BA193" s="109" t="s">
        <v>1737</v>
      </c>
      <c r="BC193" s="100">
        <f t="shared" si="243"/>
        <v>0</v>
      </c>
      <c r="BD193" s="100">
        <f t="shared" si="244"/>
        <v>0</v>
      </c>
      <c r="BE193" s="100">
        <v>0</v>
      </c>
      <c r="BF193" s="100">
        <f>193</f>
        <v>193</v>
      </c>
      <c r="BH193" s="108">
        <f t="shared" si="245"/>
        <v>0</v>
      </c>
      <c r="BI193" s="108">
        <f t="shared" si="246"/>
        <v>0</v>
      </c>
      <c r="BJ193" s="108">
        <f t="shared" si="247"/>
        <v>0</v>
      </c>
    </row>
    <row r="194" spans="1:62" x14ac:dyDescent="0.2">
      <c r="A194" s="117" t="s">
        <v>157</v>
      </c>
      <c r="B194" s="117" t="s">
        <v>725</v>
      </c>
      <c r="C194" s="304" t="s">
        <v>1237</v>
      </c>
      <c r="D194" s="305"/>
      <c r="E194" s="305"/>
      <c r="F194" s="117" t="s">
        <v>1646</v>
      </c>
      <c r="G194" s="116">
        <v>25</v>
      </c>
      <c r="H194" s="159"/>
      <c r="I194" s="108">
        <f t="shared" si="224"/>
        <v>0</v>
      </c>
      <c r="J194" s="108">
        <f t="shared" si="225"/>
        <v>0</v>
      </c>
      <c r="K194" s="108">
        <f t="shared" si="226"/>
        <v>0</v>
      </c>
      <c r="L194" s="111"/>
      <c r="Z194" s="100">
        <f t="shared" si="227"/>
        <v>0</v>
      </c>
      <c r="AB194" s="100">
        <f t="shared" si="228"/>
        <v>0</v>
      </c>
      <c r="AC194" s="100">
        <f t="shared" si="229"/>
        <v>0</v>
      </c>
      <c r="AD194" s="100">
        <f t="shared" si="230"/>
        <v>0</v>
      </c>
      <c r="AE194" s="100">
        <f t="shared" si="231"/>
        <v>0</v>
      </c>
      <c r="AF194" s="100">
        <f t="shared" si="232"/>
        <v>0</v>
      </c>
      <c r="AG194" s="100">
        <f t="shared" si="233"/>
        <v>0</v>
      </c>
      <c r="AH194" s="100">
        <f t="shared" si="234"/>
        <v>0</v>
      </c>
      <c r="AI194" s="109"/>
      <c r="AJ194" s="108">
        <f t="shared" si="235"/>
        <v>0</v>
      </c>
      <c r="AK194" s="108">
        <f t="shared" si="236"/>
        <v>0</v>
      </c>
      <c r="AL194" s="108">
        <f t="shared" si="237"/>
        <v>0</v>
      </c>
      <c r="AN194" s="100">
        <v>15</v>
      </c>
      <c r="AO194" s="100">
        <f t="shared" si="238"/>
        <v>0</v>
      </c>
      <c r="AP194" s="100">
        <f t="shared" si="239"/>
        <v>0</v>
      </c>
      <c r="AQ194" s="111" t="s">
        <v>13</v>
      </c>
      <c r="AV194" s="100">
        <f t="shared" si="240"/>
        <v>0</v>
      </c>
      <c r="AW194" s="100">
        <f t="shared" si="241"/>
        <v>0</v>
      </c>
      <c r="AX194" s="100">
        <f t="shared" si="242"/>
        <v>0</v>
      </c>
      <c r="AY194" s="110" t="s">
        <v>1707</v>
      </c>
      <c r="AZ194" s="110" t="s">
        <v>1732</v>
      </c>
      <c r="BA194" s="109" t="s">
        <v>1737</v>
      </c>
      <c r="BC194" s="100">
        <f t="shared" si="243"/>
        <v>0</v>
      </c>
      <c r="BD194" s="100">
        <f t="shared" si="244"/>
        <v>0</v>
      </c>
      <c r="BE194" s="100">
        <v>0</v>
      </c>
      <c r="BF194" s="100">
        <f>194</f>
        <v>194</v>
      </c>
      <c r="BH194" s="108">
        <f t="shared" si="245"/>
        <v>0</v>
      </c>
      <c r="BI194" s="108">
        <f t="shared" si="246"/>
        <v>0</v>
      </c>
      <c r="BJ194" s="108">
        <f t="shared" si="247"/>
        <v>0</v>
      </c>
    </row>
    <row r="195" spans="1:62" x14ac:dyDescent="0.2">
      <c r="A195" s="117" t="s">
        <v>158</v>
      </c>
      <c r="B195" s="117" t="s">
        <v>726</v>
      </c>
      <c r="C195" s="304" t="s">
        <v>1238</v>
      </c>
      <c r="D195" s="305"/>
      <c r="E195" s="305"/>
      <c r="F195" s="117" t="s">
        <v>1644</v>
      </c>
      <c r="G195" s="116">
        <v>2</v>
      </c>
      <c r="H195" s="159"/>
      <c r="I195" s="108">
        <f t="shared" si="224"/>
        <v>0</v>
      </c>
      <c r="J195" s="108">
        <f t="shared" si="225"/>
        <v>0</v>
      </c>
      <c r="K195" s="108">
        <f t="shared" si="226"/>
        <v>0</v>
      </c>
      <c r="L195" s="111"/>
      <c r="Z195" s="100">
        <f t="shared" si="227"/>
        <v>0</v>
      </c>
      <c r="AB195" s="100">
        <f t="shared" si="228"/>
        <v>0</v>
      </c>
      <c r="AC195" s="100">
        <f t="shared" si="229"/>
        <v>0</v>
      </c>
      <c r="AD195" s="100">
        <f t="shared" si="230"/>
        <v>0</v>
      </c>
      <c r="AE195" s="100">
        <f t="shared" si="231"/>
        <v>0</v>
      </c>
      <c r="AF195" s="100">
        <f t="shared" si="232"/>
        <v>0</v>
      </c>
      <c r="AG195" s="100">
        <f t="shared" si="233"/>
        <v>0</v>
      </c>
      <c r="AH195" s="100">
        <f t="shared" si="234"/>
        <v>0</v>
      </c>
      <c r="AI195" s="109"/>
      <c r="AJ195" s="108">
        <f t="shared" si="235"/>
        <v>0</v>
      </c>
      <c r="AK195" s="108">
        <f t="shared" si="236"/>
        <v>0</v>
      </c>
      <c r="AL195" s="108">
        <f t="shared" si="237"/>
        <v>0</v>
      </c>
      <c r="AN195" s="100">
        <v>15</v>
      </c>
      <c r="AO195" s="100">
        <f t="shared" si="238"/>
        <v>0</v>
      </c>
      <c r="AP195" s="100">
        <f t="shared" si="239"/>
        <v>0</v>
      </c>
      <c r="AQ195" s="111" t="s">
        <v>13</v>
      </c>
      <c r="AV195" s="100">
        <f t="shared" si="240"/>
        <v>0</v>
      </c>
      <c r="AW195" s="100">
        <f t="shared" si="241"/>
        <v>0</v>
      </c>
      <c r="AX195" s="100">
        <f t="shared" si="242"/>
        <v>0</v>
      </c>
      <c r="AY195" s="110" t="s">
        <v>1707</v>
      </c>
      <c r="AZ195" s="110" t="s">
        <v>1732</v>
      </c>
      <c r="BA195" s="109" t="s">
        <v>1737</v>
      </c>
      <c r="BC195" s="100">
        <f t="shared" si="243"/>
        <v>0</v>
      </c>
      <c r="BD195" s="100">
        <f t="shared" si="244"/>
        <v>0</v>
      </c>
      <c r="BE195" s="100">
        <v>0</v>
      </c>
      <c r="BF195" s="100">
        <f>195</f>
        <v>195</v>
      </c>
      <c r="BH195" s="108">
        <f t="shared" si="245"/>
        <v>0</v>
      </c>
      <c r="BI195" s="108">
        <f t="shared" si="246"/>
        <v>0</v>
      </c>
      <c r="BJ195" s="108">
        <f t="shared" si="247"/>
        <v>0</v>
      </c>
    </row>
    <row r="196" spans="1:62" x14ac:dyDescent="0.2">
      <c r="A196" s="117" t="s">
        <v>159</v>
      </c>
      <c r="B196" s="117" t="s">
        <v>727</v>
      </c>
      <c r="C196" s="304" t="s">
        <v>1239</v>
      </c>
      <c r="D196" s="305"/>
      <c r="E196" s="305"/>
      <c r="F196" s="117" t="s">
        <v>1644</v>
      </c>
      <c r="G196" s="116">
        <v>1</v>
      </c>
      <c r="H196" s="159"/>
      <c r="I196" s="108">
        <f t="shared" si="224"/>
        <v>0</v>
      </c>
      <c r="J196" s="108">
        <f t="shared" si="225"/>
        <v>0</v>
      </c>
      <c r="K196" s="108">
        <f t="shared" si="226"/>
        <v>0</v>
      </c>
      <c r="L196" s="111"/>
      <c r="Z196" s="100">
        <f t="shared" si="227"/>
        <v>0</v>
      </c>
      <c r="AB196" s="100">
        <f t="shared" si="228"/>
        <v>0</v>
      </c>
      <c r="AC196" s="100">
        <f t="shared" si="229"/>
        <v>0</v>
      </c>
      <c r="AD196" s="100">
        <f t="shared" si="230"/>
        <v>0</v>
      </c>
      <c r="AE196" s="100">
        <f t="shared" si="231"/>
        <v>0</v>
      </c>
      <c r="AF196" s="100">
        <f t="shared" si="232"/>
        <v>0</v>
      </c>
      <c r="AG196" s="100">
        <f t="shared" si="233"/>
        <v>0</v>
      </c>
      <c r="AH196" s="100">
        <f t="shared" si="234"/>
        <v>0</v>
      </c>
      <c r="AI196" s="109"/>
      <c r="AJ196" s="108">
        <f t="shared" si="235"/>
        <v>0</v>
      </c>
      <c r="AK196" s="108">
        <f t="shared" si="236"/>
        <v>0</v>
      </c>
      <c r="AL196" s="108">
        <f t="shared" si="237"/>
        <v>0</v>
      </c>
      <c r="AN196" s="100">
        <v>15</v>
      </c>
      <c r="AO196" s="100">
        <f t="shared" si="238"/>
        <v>0</v>
      </c>
      <c r="AP196" s="100">
        <f t="shared" si="239"/>
        <v>0</v>
      </c>
      <c r="AQ196" s="111" t="s">
        <v>13</v>
      </c>
      <c r="AV196" s="100">
        <f t="shared" si="240"/>
        <v>0</v>
      </c>
      <c r="AW196" s="100">
        <f t="shared" si="241"/>
        <v>0</v>
      </c>
      <c r="AX196" s="100">
        <f t="shared" si="242"/>
        <v>0</v>
      </c>
      <c r="AY196" s="110" t="s">
        <v>1707</v>
      </c>
      <c r="AZ196" s="110" t="s">
        <v>1732</v>
      </c>
      <c r="BA196" s="109" t="s">
        <v>1737</v>
      </c>
      <c r="BC196" s="100">
        <f t="shared" si="243"/>
        <v>0</v>
      </c>
      <c r="BD196" s="100">
        <f t="shared" si="244"/>
        <v>0</v>
      </c>
      <c r="BE196" s="100">
        <v>0</v>
      </c>
      <c r="BF196" s="100">
        <f>196</f>
        <v>196</v>
      </c>
      <c r="BH196" s="108">
        <f t="shared" si="245"/>
        <v>0</v>
      </c>
      <c r="BI196" s="108">
        <f t="shared" si="246"/>
        <v>0</v>
      </c>
      <c r="BJ196" s="108">
        <f t="shared" si="247"/>
        <v>0</v>
      </c>
    </row>
    <row r="197" spans="1:62" x14ac:dyDescent="0.2">
      <c r="A197" s="117" t="s">
        <v>160</v>
      </c>
      <c r="B197" s="117" t="s">
        <v>728</v>
      </c>
      <c r="C197" s="304" t="s">
        <v>1240</v>
      </c>
      <c r="D197" s="305"/>
      <c r="E197" s="305"/>
      <c r="F197" s="117" t="s">
        <v>1644</v>
      </c>
      <c r="G197" s="116">
        <v>1</v>
      </c>
      <c r="H197" s="159"/>
      <c r="I197" s="108">
        <f t="shared" si="224"/>
        <v>0</v>
      </c>
      <c r="J197" s="108">
        <f t="shared" si="225"/>
        <v>0</v>
      </c>
      <c r="K197" s="108">
        <f t="shared" si="226"/>
        <v>0</v>
      </c>
      <c r="L197" s="111"/>
      <c r="Z197" s="100">
        <f t="shared" si="227"/>
        <v>0</v>
      </c>
      <c r="AB197" s="100">
        <f t="shared" si="228"/>
        <v>0</v>
      </c>
      <c r="AC197" s="100">
        <f t="shared" si="229"/>
        <v>0</v>
      </c>
      <c r="AD197" s="100">
        <f t="shared" si="230"/>
        <v>0</v>
      </c>
      <c r="AE197" s="100">
        <f t="shared" si="231"/>
        <v>0</v>
      </c>
      <c r="AF197" s="100">
        <f t="shared" si="232"/>
        <v>0</v>
      </c>
      <c r="AG197" s="100">
        <f t="shared" si="233"/>
        <v>0</v>
      </c>
      <c r="AH197" s="100">
        <f t="shared" si="234"/>
        <v>0</v>
      </c>
      <c r="AI197" s="109"/>
      <c r="AJ197" s="108">
        <f t="shared" si="235"/>
        <v>0</v>
      </c>
      <c r="AK197" s="108">
        <f t="shared" si="236"/>
        <v>0</v>
      </c>
      <c r="AL197" s="108">
        <f t="shared" si="237"/>
        <v>0</v>
      </c>
      <c r="AN197" s="100">
        <v>15</v>
      </c>
      <c r="AO197" s="100">
        <f t="shared" si="238"/>
        <v>0</v>
      </c>
      <c r="AP197" s="100">
        <f t="shared" si="239"/>
        <v>0</v>
      </c>
      <c r="AQ197" s="111" t="s">
        <v>13</v>
      </c>
      <c r="AV197" s="100">
        <f t="shared" si="240"/>
        <v>0</v>
      </c>
      <c r="AW197" s="100">
        <f t="shared" si="241"/>
        <v>0</v>
      </c>
      <c r="AX197" s="100">
        <f t="shared" si="242"/>
        <v>0</v>
      </c>
      <c r="AY197" s="110" t="s">
        <v>1707</v>
      </c>
      <c r="AZ197" s="110" t="s">
        <v>1732</v>
      </c>
      <c r="BA197" s="109" t="s">
        <v>1737</v>
      </c>
      <c r="BC197" s="100">
        <f t="shared" si="243"/>
        <v>0</v>
      </c>
      <c r="BD197" s="100">
        <f t="shared" si="244"/>
        <v>0</v>
      </c>
      <c r="BE197" s="100">
        <v>0</v>
      </c>
      <c r="BF197" s="100">
        <f>197</f>
        <v>197</v>
      </c>
      <c r="BH197" s="108">
        <f t="shared" si="245"/>
        <v>0</v>
      </c>
      <c r="BI197" s="108">
        <f t="shared" si="246"/>
        <v>0</v>
      </c>
      <c r="BJ197" s="108">
        <f t="shared" si="247"/>
        <v>0</v>
      </c>
    </row>
    <row r="198" spans="1:62" x14ac:dyDescent="0.2">
      <c r="A198" s="117" t="s">
        <v>161</v>
      </c>
      <c r="B198" s="117" t="s">
        <v>729</v>
      </c>
      <c r="C198" s="304" t="s">
        <v>1241</v>
      </c>
      <c r="D198" s="305"/>
      <c r="E198" s="305"/>
      <c r="F198" s="117" t="s">
        <v>1644</v>
      </c>
      <c r="G198" s="116">
        <v>1</v>
      </c>
      <c r="H198" s="159"/>
      <c r="I198" s="108">
        <f t="shared" si="224"/>
        <v>0</v>
      </c>
      <c r="J198" s="108">
        <f t="shared" si="225"/>
        <v>0</v>
      </c>
      <c r="K198" s="108">
        <f t="shared" si="226"/>
        <v>0</v>
      </c>
      <c r="L198" s="111"/>
      <c r="Z198" s="100">
        <f t="shared" si="227"/>
        <v>0</v>
      </c>
      <c r="AB198" s="100">
        <f t="shared" si="228"/>
        <v>0</v>
      </c>
      <c r="AC198" s="100">
        <f t="shared" si="229"/>
        <v>0</v>
      </c>
      <c r="AD198" s="100">
        <f t="shared" si="230"/>
        <v>0</v>
      </c>
      <c r="AE198" s="100">
        <f t="shared" si="231"/>
        <v>0</v>
      </c>
      <c r="AF198" s="100">
        <f t="shared" si="232"/>
        <v>0</v>
      </c>
      <c r="AG198" s="100">
        <f t="shared" si="233"/>
        <v>0</v>
      </c>
      <c r="AH198" s="100">
        <f t="shared" si="234"/>
        <v>0</v>
      </c>
      <c r="AI198" s="109"/>
      <c r="AJ198" s="108">
        <f t="shared" si="235"/>
        <v>0</v>
      </c>
      <c r="AK198" s="108">
        <f t="shared" si="236"/>
        <v>0</v>
      </c>
      <c r="AL198" s="108">
        <f t="shared" si="237"/>
        <v>0</v>
      </c>
      <c r="AN198" s="100">
        <v>15</v>
      </c>
      <c r="AO198" s="100">
        <f t="shared" si="238"/>
        <v>0</v>
      </c>
      <c r="AP198" s="100">
        <f t="shared" si="239"/>
        <v>0</v>
      </c>
      <c r="AQ198" s="111" t="s">
        <v>13</v>
      </c>
      <c r="AV198" s="100">
        <f t="shared" si="240"/>
        <v>0</v>
      </c>
      <c r="AW198" s="100">
        <f t="shared" si="241"/>
        <v>0</v>
      </c>
      <c r="AX198" s="100">
        <f t="shared" si="242"/>
        <v>0</v>
      </c>
      <c r="AY198" s="110" t="s">
        <v>1707</v>
      </c>
      <c r="AZ198" s="110" t="s">
        <v>1732</v>
      </c>
      <c r="BA198" s="109" t="s">
        <v>1737</v>
      </c>
      <c r="BC198" s="100">
        <f t="shared" si="243"/>
        <v>0</v>
      </c>
      <c r="BD198" s="100">
        <f t="shared" si="244"/>
        <v>0</v>
      </c>
      <c r="BE198" s="100">
        <v>0</v>
      </c>
      <c r="BF198" s="100">
        <f>198</f>
        <v>198</v>
      </c>
      <c r="BH198" s="108">
        <f t="shared" si="245"/>
        <v>0</v>
      </c>
      <c r="BI198" s="108">
        <f t="shared" si="246"/>
        <v>0</v>
      </c>
      <c r="BJ198" s="108">
        <f t="shared" si="247"/>
        <v>0</v>
      </c>
    </row>
    <row r="199" spans="1:62" x14ac:dyDescent="0.2">
      <c r="A199" s="117" t="s">
        <v>162</v>
      </c>
      <c r="B199" s="117" t="s">
        <v>730</v>
      </c>
      <c r="C199" s="304" t="s">
        <v>1242</v>
      </c>
      <c r="D199" s="305"/>
      <c r="E199" s="305"/>
      <c r="F199" s="117" t="s">
        <v>1644</v>
      </c>
      <c r="G199" s="116">
        <v>2</v>
      </c>
      <c r="H199" s="159"/>
      <c r="I199" s="108">
        <f t="shared" si="224"/>
        <v>0</v>
      </c>
      <c r="J199" s="108">
        <f t="shared" si="225"/>
        <v>0</v>
      </c>
      <c r="K199" s="108">
        <f t="shared" si="226"/>
        <v>0</v>
      </c>
      <c r="L199" s="111"/>
      <c r="Z199" s="100">
        <f t="shared" si="227"/>
        <v>0</v>
      </c>
      <c r="AB199" s="100">
        <f t="shared" si="228"/>
        <v>0</v>
      </c>
      <c r="AC199" s="100">
        <f t="shared" si="229"/>
        <v>0</v>
      </c>
      <c r="AD199" s="100">
        <f t="shared" si="230"/>
        <v>0</v>
      </c>
      <c r="AE199" s="100">
        <f t="shared" si="231"/>
        <v>0</v>
      </c>
      <c r="AF199" s="100">
        <f t="shared" si="232"/>
        <v>0</v>
      </c>
      <c r="AG199" s="100">
        <f t="shared" si="233"/>
        <v>0</v>
      </c>
      <c r="AH199" s="100">
        <f t="shared" si="234"/>
        <v>0</v>
      </c>
      <c r="AI199" s="109"/>
      <c r="AJ199" s="108">
        <f t="shared" si="235"/>
        <v>0</v>
      </c>
      <c r="AK199" s="108">
        <f t="shared" si="236"/>
        <v>0</v>
      </c>
      <c r="AL199" s="108">
        <f t="shared" si="237"/>
        <v>0</v>
      </c>
      <c r="AN199" s="100">
        <v>15</v>
      </c>
      <c r="AO199" s="100">
        <f t="shared" si="238"/>
        <v>0</v>
      </c>
      <c r="AP199" s="100">
        <f t="shared" si="239"/>
        <v>0</v>
      </c>
      <c r="AQ199" s="111" t="s">
        <v>13</v>
      </c>
      <c r="AV199" s="100">
        <f t="shared" si="240"/>
        <v>0</v>
      </c>
      <c r="AW199" s="100">
        <f t="shared" si="241"/>
        <v>0</v>
      </c>
      <c r="AX199" s="100">
        <f t="shared" si="242"/>
        <v>0</v>
      </c>
      <c r="AY199" s="110" t="s">
        <v>1707</v>
      </c>
      <c r="AZ199" s="110" t="s">
        <v>1732</v>
      </c>
      <c r="BA199" s="109" t="s">
        <v>1737</v>
      </c>
      <c r="BC199" s="100">
        <f t="shared" si="243"/>
        <v>0</v>
      </c>
      <c r="BD199" s="100">
        <f t="shared" si="244"/>
        <v>0</v>
      </c>
      <c r="BE199" s="100">
        <v>0</v>
      </c>
      <c r="BF199" s="100">
        <f>199</f>
        <v>199</v>
      </c>
      <c r="BH199" s="108">
        <f t="shared" si="245"/>
        <v>0</v>
      </c>
      <c r="BI199" s="108">
        <f t="shared" si="246"/>
        <v>0</v>
      </c>
      <c r="BJ199" s="108">
        <f t="shared" si="247"/>
        <v>0</v>
      </c>
    </row>
    <row r="200" spans="1:62" x14ac:dyDescent="0.2">
      <c r="A200" s="117" t="s">
        <v>163</v>
      </c>
      <c r="B200" s="117" t="s">
        <v>731</v>
      </c>
      <c r="C200" s="304" t="s">
        <v>1243</v>
      </c>
      <c r="D200" s="305"/>
      <c r="E200" s="305"/>
      <c r="F200" s="117" t="s">
        <v>1651</v>
      </c>
      <c r="G200" s="116">
        <v>1</v>
      </c>
      <c r="H200" s="159"/>
      <c r="I200" s="108">
        <f t="shared" si="224"/>
        <v>0</v>
      </c>
      <c r="J200" s="108">
        <f t="shared" si="225"/>
        <v>0</v>
      </c>
      <c r="K200" s="108">
        <f t="shared" si="226"/>
        <v>0</v>
      </c>
      <c r="L200" s="111"/>
      <c r="Z200" s="100">
        <f t="shared" si="227"/>
        <v>0</v>
      </c>
      <c r="AB200" s="100">
        <f t="shared" si="228"/>
        <v>0</v>
      </c>
      <c r="AC200" s="100">
        <f t="shared" si="229"/>
        <v>0</v>
      </c>
      <c r="AD200" s="100">
        <f t="shared" si="230"/>
        <v>0</v>
      </c>
      <c r="AE200" s="100">
        <f t="shared" si="231"/>
        <v>0</v>
      </c>
      <c r="AF200" s="100">
        <f t="shared" si="232"/>
        <v>0</v>
      </c>
      <c r="AG200" s="100">
        <f t="shared" si="233"/>
        <v>0</v>
      </c>
      <c r="AH200" s="100">
        <f t="shared" si="234"/>
        <v>0</v>
      </c>
      <c r="AI200" s="109"/>
      <c r="AJ200" s="108">
        <f t="shared" si="235"/>
        <v>0</v>
      </c>
      <c r="AK200" s="108">
        <f t="shared" si="236"/>
        <v>0</v>
      </c>
      <c r="AL200" s="108">
        <f t="shared" si="237"/>
        <v>0</v>
      </c>
      <c r="AN200" s="100">
        <v>15</v>
      </c>
      <c r="AO200" s="100">
        <f t="shared" si="238"/>
        <v>0</v>
      </c>
      <c r="AP200" s="100">
        <f t="shared" si="239"/>
        <v>0</v>
      </c>
      <c r="AQ200" s="111" t="s">
        <v>13</v>
      </c>
      <c r="AV200" s="100">
        <f t="shared" si="240"/>
        <v>0</v>
      </c>
      <c r="AW200" s="100">
        <f t="shared" si="241"/>
        <v>0</v>
      </c>
      <c r="AX200" s="100">
        <f t="shared" si="242"/>
        <v>0</v>
      </c>
      <c r="AY200" s="110" t="s">
        <v>1707</v>
      </c>
      <c r="AZ200" s="110" t="s">
        <v>1732</v>
      </c>
      <c r="BA200" s="109" t="s">
        <v>1737</v>
      </c>
      <c r="BC200" s="100">
        <f t="shared" si="243"/>
        <v>0</v>
      </c>
      <c r="BD200" s="100">
        <f t="shared" si="244"/>
        <v>0</v>
      </c>
      <c r="BE200" s="100">
        <v>0</v>
      </c>
      <c r="BF200" s="100">
        <f>200</f>
        <v>200</v>
      </c>
      <c r="BH200" s="108">
        <f t="shared" si="245"/>
        <v>0</v>
      </c>
      <c r="BI200" s="108">
        <f t="shared" si="246"/>
        <v>0</v>
      </c>
      <c r="BJ200" s="108">
        <f t="shared" si="247"/>
        <v>0</v>
      </c>
    </row>
    <row r="201" spans="1:62" x14ac:dyDescent="0.2">
      <c r="A201" s="117" t="s">
        <v>164</v>
      </c>
      <c r="B201" s="117" t="s">
        <v>732</v>
      </c>
      <c r="C201" s="304" t="s">
        <v>1244</v>
      </c>
      <c r="D201" s="305"/>
      <c r="E201" s="305"/>
      <c r="F201" s="117" t="s">
        <v>1651</v>
      </c>
      <c r="G201" s="116">
        <v>1</v>
      </c>
      <c r="H201" s="159"/>
      <c r="I201" s="108">
        <f t="shared" si="224"/>
        <v>0</v>
      </c>
      <c r="J201" s="108">
        <f t="shared" si="225"/>
        <v>0</v>
      </c>
      <c r="K201" s="108">
        <f t="shared" si="226"/>
        <v>0</v>
      </c>
      <c r="L201" s="111"/>
      <c r="Z201" s="100">
        <f t="shared" si="227"/>
        <v>0</v>
      </c>
      <c r="AB201" s="100">
        <f t="shared" si="228"/>
        <v>0</v>
      </c>
      <c r="AC201" s="100">
        <f t="shared" si="229"/>
        <v>0</v>
      </c>
      <c r="AD201" s="100">
        <f t="shared" si="230"/>
        <v>0</v>
      </c>
      <c r="AE201" s="100">
        <f t="shared" si="231"/>
        <v>0</v>
      </c>
      <c r="AF201" s="100">
        <f t="shared" si="232"/>
        <v>0</v>
      </c>
      <c r="AG201" s="100">
        <f t="shared" si="233"/>
        <v>0</v>
      </c>
      <c r="AH201" s="100">
        <f t="shared" si="234"/>
        <v>0</v>
      </c>
      <c r="AI201" s="109"/>
      <c r="AJ201" s="108">
        <f t="shared" si="235"/>
        <v>0</v>
      </c>
      <c r="AK201" s="108">
        <f t="shared" si="236"/>
        <v>0</v>
      </c>
      <c r="AL201" s="108">
        <f t="shared" si="237"/>
        <v>0</v>
      </c>
      <c r="AN201" s="100">
        <v>15</v>
      </c>
      <c r="AO201" s="100">
        <f t="shared" si="238"/>
        <v>0</v>
      </c>
      <c r="AP201" s="100">
        <f t="shared" si="239"/>
        <v>0</v>
      </c>
      <c r="AQ201" s="111" t="s">
        <v>13</v>
      </c>
      <c r="AV201" s="100">
        <f t="shared" si="240"/>
        <v>0</v>
      </c>
      <c r="AW201" s="100">
        <f t="shared" si="241"/>
        <v>0</v>
      </c>
      <c r="AX201" s="100">
        <f t="shared" si="242"/>
        <v>0</v>
      </c>
      <c r="AY201" s="110" t="s">
        <v>1707</v>
      </c>
      <c r="AZ201" s="110" t="s">
        <v>1732</v>
      </c>
      <c r="BA201" s="109" t="s">
        <v>1737</v>
      </c>
      <c r="BC201" s="100">
        <f t="shared" si="243"/>
        <v>0</v>
      </c>
      <c r="BD201" s="100">
        <f t="shared" si="244"/>
        <v>0</v>
      </c>
      <c r="BE201" s="100">
        <v>0</v>
      </c>
      <c r="BF201" s="100">
        <f>201</f>
        <v>201</v>
      </c>
      <c r="BH201" s="108">
        <f t="shared" si="245"/>
        <v>0</v>
      </c>
      <c r="BI201" s="108">
        <f t="shared" si="246"/>
        <v>0</v>
      </c>
      <c r="BJ201" s="108">
        <f t="shared" si="247"/>
        <v>0</v>
      </c>
    </row>
    <row r="202" spans="1:62" x14ac:dyDescent="0.2">
      <c r="A202" s="117" t="s">
        <v>165</v>
      </c>
      <c r="B202" s="117" t="s">
        <v>733</v>
      </c>
      <c r="C202" s="304" t="s">
        <v>1245</v>
      </c>
      <c r="D202" s="305"/>
      <c r="E202" s="305"/>
      <c r="F202" s="117" t="s">
        <v>1644</v>
      </c>
      <c r="G202" s="116">
        <v>1</v>
      </c>
      <c r="H202" s="159"/>
      <c r="I202" s="108">
        <f t="shared" si="224"/>
        <v>0</v>
      </c>
      <c r="J202" s="108">
        <f t="shared" si="225"/>
        <v>0</v>
      </c>
      <c r="K202" s="108">
        <f t="shared" si="226"/>
        <v>0</v>
      </c>
      <c r="L202" s="111"/>
      <c r="Z202" s="100">
        <f t="shared" si="227"/>
        <v>0</v>
      </c>
      <c r="AB202" s="100">
        <f t="shared" si="228"/>
        <v>0</v>
      </c>
      <c r="AC202" s="100">
        <f t="shared" si="229"/>
        <v>0</v>
      </c>
      <c r="AD202" s="100">
        <f t="shared" si="230"/>
        <v>0</v>
      </c>
      <c r="AE202" s="100">
        <f t="shared" si="231"/>
        <v>0</v>
      </c>
      <c r="AF202" s="100">
        <f t="shared" si="232"/>
        <v>0</v>
      </c>
      <c r="AG202" s="100">
        <f t="shared" si="233"/>
        <v>0</v>
      </c>
      <c r="AH202" s="100">
        <f t="shared" si="234"/>
        <v>0</v>
      </c>
      <c r="AI202" s="109"/>
      <c r="AJ202" s="108">
        <f t="shared" si="235"/>
        <v>0</v>
      </c>
      <c r="AK202" s="108">
        <f t="shared" si="236"/>
        <v>0</v>
      </c>
      <c r="AL202" s="108">
        <f t="shared" si="237"/>
        <v>0</v>
      </c>
      <c r="AN202" s="100">
        <v>15</v>
      </c>
      <c r="AO202" s="100">
        <f t="shared" si="238"/>
        <v>0</v>
      </c>
      <c r="AP202" s="100">
        <f t="shared" si="239"/>
        <v>0</v>
      </c>
      <c r="AQ202" s="111" t="s">
        <v>13</v>
      </c>
      <c r="AV202" s="100">
        <f t="shared" si="240"/>
        <v>0</v>
      </c>
      <c r="AW202" s="100">
        <f t="shared" si="241"/>
        <v>0</v>
      </c>
      <c r="AX202" s="100">
        <f t="shared" si="242"/>
        <v>0</v>
      </c>
      <c r="AY202" s="110" t="s">
        <v>1707</v>
      </c>
      <c r="AZ202" s="110" t="s">
        <v>1732</v>
      </c>
      <c r="BA202" s="109" t="s">
        <v>1737</v>
      </c>
      <c r="BC202" s="100">
        <f t="shared" si="243"/>
        <v>0</v>
      </c>
      <c r="BD202" s="100">
        <f t="shared" si="244"/>
        <v>0</v>
      </c>
      <c r="BE202" s="100">
        <v>0</v>
      </c>
      <c r="BF202" s="100">
        <f>202</f>
        <v>202</v>
      </c>
      <c r="BH202" s="108">
        <f t="shared" si="245"/>
        <v>0</v>
      </c>
      <c r="BI202" s="108">
        <f t="shared" si="246"/>
        <v>0</v>
      </c>
      <c r="BJ202" s="108">
        <f t="shared" si="247"/>
        <v>0</v>
      </c>
    </row>
    <row r="203" spans="1:62" x14ac:dyDescent="0.2">
      <c r="A203" s="117" t="s">
        <v>166</v>
      </c>
      <c r="B203" s="117" t="s">
        <v>2138</v>
      </c>
      <c r="C203" s="304" t="s">
        <v>2137</v>
      </c>
      <c r="D203" s="305"/>
      <c r="E203" s="305"/>
      <c r="F203" s="117" t="s">
        <v>1644</v>
      </c>
      <c r="G203" s="116">
        <v>1</v>
      </c>
      <c r="H203" s="159"/>
      <c r="I203" s="108">
        <f t="shared" si="224"/>
        <v>0</v>
      </c>
      <c r="J203" s="108">
        <f t="shared" si="225"/>
        <v>0</v>
      </c>
      <c r="K203" s="108">
        <f t="shared" si="226"/>
        <v>0</v>
      </c>
      <c r="L203" s="111"/>
      <c r="Z203" s="100">
        <f t="shared" si="227"/>
        <v>0</v>
      </c>
      <c r="AB203" s="100">
        <f t="shared" si="228"/>
        <v>0</v>
      </c>
      <c r="AC203" s="100">
        <f t="shared" si="229"/>
        <v>0</v>
      </c>
      <c r="AD203" s="100">
        <f t="shared" si="230"/>
        <v>0</v>
      </c>
      <c r="AE203" s="100">
        <f t="shared" si="231"/>
        <v>0</v>
      </c>
      <c r="AF203" s="100">
        <f t="shared" si="232"/>
        <v>0</v>
      </c>
      <c r="AG203" s="100">
        <f t="shared" si="233"/>
        <v>0</v>
      </c>
      <c r="AH203" s="100">
        <f t="shared" si="234"/>
        <v>0</v>
      </c>
      <c r="AI203" s="109"/>
      <c r="AJ203" s="108">
        <f t="shared" si="235"/>
        <v>0</v>
      </c>
      <c r="AK203" s="108">
        <f t="shared" si="236"/>
        <v>0</v>
      </c>
      <c r="AL203" s="108">
        <f t="shared" si="237"/>
        <v>0</v>
      </c>
      <c r="AN203" s="100">
        <v>15</v>
      </c>
      <c r="AO203" s="100">
        <f t="shared" si="238"/>
        <v>0</v>
      </c>
      <c r="AP203" s="100">
        <f t="shared" si="239"/>
        <v>0</v>
      </c>
      <c r="AQ203" s="111" t="s">
        <v>13</v>
      </c>
      <c r="AV203" s="100">
        <f t="shared" si="240"/>
        <v>0</v>
      </c>
      <c r="AW203" s="100">
        <f t="shared" si="241"/>
        <v>0</v>
      </c>
      <c r="AX203" s="100">
        <f t="shared" si="242"/>
        <v>0</v>
      </c>
      <c r="AY203" s="110" t="s">
        <v>1707</v>
      </c>
      <c r="AZ203" s="110" t="s">
        <v>1732</v>
      </c>
      <c r="BA203" s="109" t="s">
        <v>1737</v>
      </c>
      <c r="BC203" s="100">
        <f t="shared" si="243"/>
        <v>0</v>
      </c>
      <c r="BD203" s="100">
        <f t="shared" si="244"/>
        <v>0</v>
      </c>
      <c r="BE203" s="100">
        <v>0</v>
      </c>
      <c r="BF203" s="100">
        <f>203</f>
        <v>203</v>
      </c>
      <c r="BH203" s="108">
        <f t="shared" si="245"/>
        <v>0</v>
      </c>
      <c r="BI203" s="108">
        <f t="shared" si="246"/>
        <v>0</v>
      </c>
      <c r="BJ203" s="108">
        <f t="shared" si="247"/>
        <v>0</v>
      </c>
    </row>
    <row r="204" spans="1:62" x14ac:dyDescent="0.2">
      <c r="A204" s="117" t="s">
        <v>167</v>
      </c>
      <c r="B204" s="117" t="s">
        <v>734</v>
      </c>
      <c r="C204" s="304" t="s">
        <v>1246</v>
      </c>
      <c r="D204" s="305"/>
      <c r="E204" s="305"/>
      <c r="F204" s="117" t="s">
        <v>1644</v>
      </c>
      <c r="G204" s="116">
        <v>2</v>
      </c>
      <c r="H204" s="159"/>
      <c r="I204" s="108">
        <f t="shared" si="224"/>
        <v>0</v>
      </c>
      <c r="J204" s="108">
        <f t="shared" si="225"/>
        <v>0</v>
      </c>
      <c r="K204" s="108">
        <f t="shared" si="226"/>
        <v>0</v>
      </c>
      <c r="L204" s="111"/>
      <c r="Z204" s="100">
        <f t="shared" si="227"/>
        <v>0</v>
      </c>
      <c r="AB204" s="100">
        <f t="shared" si="228"/>
        <v>0</v>
      </c>
      <c r="AC204" s="100">
        <f t="shared" si="229"/>
        <v>0</v>
      </c>
      <c r="AD204" s="100">
        <f t="shared" si="230"/>
        <v>0</v>
      </c>
      <c r="AE204" s="100">
        <f t="shared" si="231"/>
        <v>0</v>
      </c>
      <c r="AF204" s="100">
        <f t="shared" si="232"/>
        <v>0</v>
      </c>
      <c r="AG204" s="100">
        <f t="shared" si="233"/>
        <v>0</v>
      </c>
      <c r="AH204" s="100">
        <f t="shared" si="234"/>
        <v>0</v>
      </c>
      <c r="AI204" s="109"/>
      <c r="AJ204" s="108">
        <f t="shared" si="235"/>
        <v>0</v>
      </c>
      <c r="AK204" s="108">
        <f t="shared" si="236"/>
        <v>0</v>
      </c>
      <c r="AL204" s="108">
        <f t="shared" si="237"/>
        <v>0</v>
      </c>
      <c r="AN204" s="100">
        <v>15</v>
      </c>
      <c r="AO204" s="100">
        <f t="shared" si="238"/>
        <v>0</v>
      </c>
      <c r="AP204" s="100">
        <f t="shared" si="239"/>
        <v>0</v>
      </c>
      <c r="AQ204" s="111" t="s">
        <v>13</v>
      </c>
      <c r="AV204" s="100">
        <f t="shared" si="240"/>
        <v>0</v>
      </c>
      <c r="AW204" s="100">
        <f t="shared" si="241"/>
        <v>0</v>
      </c>
      <c r="AX204" s="100">
        <f t="shared" si="242"/>
        <v>0</v>
      </c>
      <c r="AY204" s="110" t="s">
        <v>1707</v>
      </c>
      <c r="AZ204" s="110" t="s">
        <v>1732</v>
      </c>
      <c r="BA204" s="109" t="s">
        <v>1737</v>
      </c>
      <c r="BC204" s="100">
        <f t="shared" si="243"/>
        <v>0</v>
      </c>
      <c r="BD204" s="100">
        <f t="shared" si="244"/>
        <v>0</v>
      </c>
      <c r="BE204" s="100">
        <v>0</v>
      </c>
      <c r="BF204" s="100">
        <f>204</f>
        <v>204</v>
      </c>
      <c r="BH204" s="108">
        <f t="shared" si="245"/>
        <v>0</v>
      </c>
      <c r="BI204" s="108">
        <f t="shared" si="246"/>
        <v>0</v>
      </c>
      <c r="BJ204" s="108">
        <f t="shared" si="247"/>
        <v>0</v>
      </c>
    </row>
    <row r="205" spans="1:62" x14ac:dyDescent="0.2">
      <c r="A205" s="117" t="s">
        <v>168</v>
      </c>
      <c r="B205" s="117" t="s">
        <v>735</v>
      </c>
      <c r="C205" s="304" t="s">
        <v>1247</v>
      </c>
      <c r="D205" s="305"/>
      <c r="E205" s="305"/>
      <c r="F205" s="117" t="s">
        <v>1650</v>
      </c>
      <c r="G205" s="116">
        <v>30</v>
      </c>
      <c r="H205" s="159"/>
      <c r="I205" s="108">
        <f t="shared" si="224"/>
        <v>0</v>
      </c>
      <c r="J205" s="108">
        <f t="shared" si="225"/>
        <v>0</v>
      </c>
      <c r="K205" s="108">
        <f t="shared" si="226"/>
        <v>0</v>
      </c>
      <c r="L205" s="111"/>
      <c r="Z205" s="100">
        <f t="shared" si="227"/>
        <v>0</v>
      </c>
      <c r="AB205" s="100">
        <f t="shared" si="228"/>
        <v>0</v>
      </c>
      <c r="AC205" s="100">
        <f t="shared" si="229"/>
        <v>0</v>
      </c>
      <c r="AD205" s="100">
        <f t="shared" si="230"/>
        <v>0</v>
      </c>
      <c r="AE205" s="100">
        <f t="shared" si="231"/>
        <v>0</v>
      </c>
      <c r="AF205" s="100">
        <f t="shared" si="232"/>
        <v>0</v>
      </c>
      <c r="AG205" s="100">
        <f t="shared" si="233"/>
        <v>0</v>
      </c>
      <c r="AH205" s="100">
        <f t="shared" si="234"/>
        <v>0</v>
      </c>
      <c r="AI205" s="109"/>
      <c r="AJ205" s="108">
        <f t="shared" si="235"/>
        <v>0</v>
      </c>
      <c r="AK205" s="108">
        <f t="shared" si="236"/>
        <v>0</v>
      </c>
      <c r="AL205" s="108">
        <f t="shared" si="237"/>
        <v>0</v>
      </c>
      <c r="AN205" s="100">
        <v>15</v>
      </c>
      <c r="AO205" s="100">
        <f t="shared" si="238"/>
        <v>0</v>
      </c>
      <c r="AP205" s="100">
        <f t="shared" si="239"/>
        <v>0</v>
      </c>
      <c r="AQ205" s="111" t="s">
        <v>13</v>
      </c>
      <c r="AV205" s="100">
        <f t="shared" si="240"/>
        <v>0</v>
      </c>
      <c r="AW205" s="100">
        <f t="shared" si="241"/>
        <v>0</v>
      </c>
      <c r="AX205" s="100">
        <f t="shared" si="242"/>
        <v>0</v>
      </c>
      <c r="AY205" s="110" t="s">
        <v>1707</v>
      </c>
      <c r="AZ205" s="110" t="s">
        <v>1732</v>
      </c>
      <c r="BA205" s="109" t="s">
        <v>1737</v>
      </c>
      <c r="BC205" s="100">
        <f t="shared" si="243"/>
        <v>0</v>
      </c>
      <c r="BD205" s="100">
        <f t="shared" si="244"/>
        <v>0</v>
      </c>
      <c r="BE205" s="100">
        <v>0</v>
      </c>
      <c r="BF205" s="100">
        <f>205</f>
        <v>205</v>
      </c>
      <c r="BH205" s="108">
        <f t="shared" si="245"/>
        <v>0</v>
      </c>
      <c r="BI205" s="108">
        <f t="shared" si="246"/>
        <v>0</v>
      </c>
      <c r="BJ205" s="108">
        <f t="shared" si="247"/>
        <v>0</v>
      </c>
    </row>
    <row r="206" spans="1:62" x14ac:dyDescent="0.2">
      <c r="A206" s="117" t="s">
        <v>169</v>
      </c>
      <c r="B206" s="117" t="s">
        <v>736</v>
      </c>
      <c r="C206" s="304" t="s">
        <v>1248</v>
      </c>
      <c r="D206" s="305"/>
      <c r="E206" s="305"/>
      <c r="F206" s="117" t="s">
        <v>1646</v>
      </c>
      <c r="G206" s="116">
        <v>37</v>
      </c>
      <c r="H206" s="159"/>
      <c r="I206" s="108">
        <f t="shared" si="224"/>
        <v>0</v>
      </c>
      <c r="J206" s="108">
        <f t="shared" si="225"/>
        <v>0</v>
      </c>
      <c r="K206" s="108">
        <f t="shared" si="226"/>
        <v>0</v>
      </c>
      <c r="L206" s="111"/>
      <c r="Z206" s="100">
        <f t="shared" si="227"/>
        <v>0</v>
      </c>
      <c r="AB206" s="100">
        <f t="shared" si="228"/>
        <v>0</v>
      </c>
      <c r="AC206" s="100">
        <f t="shared" si="229"/>
        <v>0</v>
      </c>
      <c r="AD206" s="100">
        <f t="shared" si="230"/>
        <v>0</v>
      </c>
      <c r="AE206" s="100">
        <f t="shared" si="231"/>
        <v>0</v>
      </c>
      <c r="AF206" s="100">
        <f t="shared" si="232"/>
        <v>0</v>
      </c>
      <c r="AG206" s="100">
        <f t="shared" si="233"/>
        <v>0</v>
      </c>
      <c r="AH206" s="100">
        <f t="shared" si="234"/>
        <v>0</v>
      </c>
      <c r="AI206" s="109"/>
      <c r="AJ206" s="108">
        <f t="shared" si="235"/>
        <v>0</v>
      </c>
      <c r="AK206" s="108">
        <f t="shared" si="236"/>
        <v>0</v>
      </c>
      <c r="AL206" s="108">
        <f t="shared" si="237"/>
        <v>0</v>
      </c>
      <c r="AN206" s="100">
        <v>15</v>
      </c>
      <c r="AO206" s="100">
        <f t="shared" si="238"/>
        <v>0</v>
      </c>
      <c r="AP206" s="100">
        <f t="shared" si="239"/>
        <v>0</v>
      </c>
      <c r="AQ206" s="111" t="s">
        <v>13</v>
      </c>
      <c r="AV206" s="100">
        <f t="shared" si="240"/>
        <v>0</v>
      </c>
      <c r="AW206" s="100">
        <f t="shared" si="241"/>
        <v>0</v>
      </c>
      <c r="AX206" s="100">
        <f t="shared" si="242"/>
        <v>0</v>
      </c>
      <c r="AY206" s="110" t="s">
        <v>1707</v>
      </c>
      <c r="AZ206" s="110" t="s">
        <v>1732</v>
      </c>
      <c r="BA206" s="109" t="s">
        <v>1737</v>
      </c>
      <c r="BC206" s="100">
        <f t="shared" si="243"/>
        <v>0</v>
      </c>
      <c r="BD206" s="100">
        <f t="shared" si="244"/>
        <v>0</v>
      </c>
      <c r="BE206" s="100">
        <v>0</v>
      </c>
      <c r="BF206" s="100">
        <f>206</f>
        <v>206</v>
      </c>
      <c r="BH206" s="108">
        <f t="shared" si="245"/>
        <v>0</v>
      </c>
      <c r="BI206" s="108">
        <f t="shared" si="246"/>
        <v>0</v>
      </c>
      <c r="BJ206" s="108">
        <f t="shared" si="247"/>
        <v>0</v>
      </c>
    </row>
    <row r="207" spans="1:62" x14ac:dyDescent="0.2">
      <c r="A207" s="117" t="s">
        <v>170</v>
      </c>
      <c r="B207" s="117" t="s">
        <v>737</v>
      </c>
      <c r="C207" s="304" t="s">
        <v>1249</v>
      </c>
      <c r="D207" s="305"/>
      <c r="E207" s="305"/>
      <c r="F207" s="117" t="s">
        <v>1646</v>
      </c>
      <c r="G207" s="116">
        <v>37</v>
      </c>
      <c r="H207" s="159"/>
      <c r="I207" s="108">
        <f t="shared" si="224"/>
        <v>0</v>
      </c>
      <c r="J207" s="108">
        <f t="shared" si="225"/>
        <v>0</v>
      </c>
      <c r="K207" s="108">
        <f t="shared" si="226"/>
        <v>0</v>
      </c>
      <c r="L207" s="111"/>
      <c r="Z207" s="100">
        <f t="shared" si="227"/>
        <v>0</v>
      </c>
      <c r="AB207" s="100">
        <f t="shared" si="228"/>
        <v>0</v>
      </c>
      <c r="AC207" s="100">
        <f t="shared" si="229"/>
        <v>0</v>
      </c>
      <c r="AD207" s="100">
        <f t="shared" si="230"/>
        <v>0</v>
      </c>
      <c r="AE207" s="100">
        <f t="shared" si="231"/>
        <v>0</v>
      </c>
      <c r="AF207" s="100">
        <f t="shared" si="232"/>
        <v>0</v>
      </c>
      <c r="AG207" s="100">
        <f t="shared" si="233"/>
        <v>0</v>
      </c>
      <c r="AH207" s="100">
        <f t="shared" si="234"/>
        <v>0</v>
      </c>
      <c r="AI207" s="109"/>
      <c r="AJ207" s="108">
        <f t="shared" si="235"/>
        <v>0</v>
      </c>
      <c r="AK207" s="108">
        <f t="shared" si="236"/>
        <v>0</v>
      </c>
      <c r="AL207" s="108">
        <f t="shared" si="237"/>
        <v>0</v>
      </c>
      <c r="AN207" s="100">
        <v>15</v>
      </c>
      <c r="AO207" s="100">
        <f t="shared" si="238"/>
        <v>0</v>
      </c>
      <c r="AP207" s="100">
        <f t="shared" si="239"/>
        <v>0</v>
      </c>
      <c r="AQ207" s="111" t="s">
        <v>13</v>
      </c>
      <c r="AV207" s="100">
        <f t="shared" si="240"/>
        <v>0</v>
      </c>
      <c r="AW207" s="100">
        <f t="shared" si="241"/>
        <v>0</v>
      </c>
      <c r="AX207" s="100">
        <f t="shared" si="242"/>
        <v>0</v>
      </c>
      <c r="AY207" s="110" t="s">
        <v>1707</v>
      </c>
      <c r="AZ207" s="110" t="s">
        <v>1732</v>
      </c>
      <c r="BA207" s="109" t="s">
        <v>1737</v>
      </c>
      <c r="BC207" s="100">
        <f t="shared" si="243"/>
        <v>0</v>
      </c>
      <c r="BD207" s="100">
        <f t="shared" si="244"/>
        <v>0</v>
      </c>
      <c r="BE207" s="100">
        <v>0</v>
      </c>
      <c r="BF207" s="100">
        <f>207</f>
        <v>207</v>
      </c>
      <c r="BH207" s="108">
        <f t="shared" si="245"/>
        <v>0</v>
      </c>
      <c r="BI207" s="108">
        <f t="shared" si="246"/>
        <v>0</v>
      </c>
      <c r="BJ207" s="108">
        <f t="shared" si="247"/>
        <v>0</v>
      </c>
    </row>
    <row r="208" spans="1:62" x14ac:dyDescent="0.2">
      <c r="A208" s="117" t="s">
        <v>171</v>
      </c>
      <c r="B208" s="117" t="s">
        <v>738</v>
      </c>
      <c r="C208" s="304" t="s">
        <v>1250</v>
      </c>
      <c r="D208" s="305"/>
      <c r="E208" s="305"/>
      <c r="F208" s="117" t="s">
        <v>1646</v>
      </c>
      <c r="G208" s="116">
        <v>37</v>
      </c>
      <c r="H208" s="159"/>
      <c r="I208" s="108">
        <f t="shared" si="224"/>
        <v>0</v>
      </c>
      <c r="J208" s="108">
        <f t="shared" si="225"/>
        <v>0</v>
      </c>
      <c r="K208" s="108">
        <f t="shared" si="226"/>
        <v>0</v>
      </c>
      <c r="L208" s="111"/>
      <c r="Z208" s="100">
        <f t="shared" si="227"/>
        <v>0</v>
      </c>
      <c r="AB208" s="100">
        <f t="shared" si="228"/>
        <v>0</v>
      </c>
      <c r="AC208" s="100">
        <f t="shared" si="229"/>
        <v>0</v>
      </c>
      <c r="AD208" s="100">
        <f t="shared" si="230"/>
        <v>0</v>
      </c>
      <c r="AE208" s="100">
        <f t="shared" si="231"/>
        <v>0</v>
      </c>
      <c r="AF208" s="100">
        <f t="shared" si="232"/>
        <v>0</v>
      </c>
      <c r="AG208" s="100">
        <f t="shared" si="233"/>
        <v>0</v>
      </c>
      <c r="AH208" s="100">
        <f t="shared" si="234"/>
        <v>0</v>
      </c>
      <c r="AI208" s="109"/>
      <c r="AJ208" s="108">
        <f t="shared" si="235"/>
        <v>0</v>
      </c>
      <c r="AK208" s="108">
        <f t="shared" si="236"/>
        <v>0</v>
      </c>
      <c r="AL208" s="108">
        <f t="shared" si="237"/>
        <v>0</v>
      </c>
      <c r="AN208" s="100">
        <v>15</v>
      </c>
      <c r="AO208" s="100">
        <f t="shared" si="238"/>
        <v>0</v>
      </c>
      <c r="AP208" s="100">
        <f t="shared" si="239"/>
        <v>0</v>
      </c>
      <c r="AQ208" s="111" t="s">
        <v>13</v>
      </c>
      <c r="AV208" s="100">
        <f t="shared" si="240"/>
        <v>0</v>
      </c>
      <c r="AW208" s="100">
        <f t="shared" si="241"/>
        <v>0</v>
      </c>
      <c r="AX208" s="100">
        <f t="shared" si="242"/>
        <v>0</v>
      </c>
      <c r="AY208" s="110" t="s">
        <v>1707</v>
      </c>
      <c r="AZ208" s="110" t="s">
        <v>1732</v>
      </c>
      <c r="BA208" s="109" t="s">
        <v>1737</v>
      </c>
      <c r="BC208" s="100">
        <f t="shared" si="243"/>
        <v>0</v>
      </c>
      <c r="BD208" s="100">
        <f t="shared" si="244"/>
        <v>0</v>
      </c>
      <c r="BE208" s="100">
        <v>0</v>
      </c>
      <c r="BF208" s="100">
        <f>208</f>
        <v>208</v>
      </c>
      <c r="BH208" s="108">
        <f t="shared" si="245"/>
        <v>0</v>
      </c>
      <c r="BI208" s="108">
        <f t="shared" si="246"/>
        <v>0</v>
      </c>
      <c r="BJ208" s="108">
        <f t="shared" si="247"/>
        <v>0</v>
      </c>
    </row>
    <row r="209" spans="1:62" x14ac:dyDescent="0.2">
      <c r="A209" s="117" t="s">
        <v>172</v>
      </c>
      <c r="B209" s="117" t="s">
        <v>739</v>
      </c>
      <c r="C209" s="304" t="s">
        <v>1251</v>
      </c>
      <c r="D209" s="305"/>
      <c r="E209" s="305"/>
      <c r="F209" s="117" t="s">
        <v>1650</v>
      </c>
      <c r="G209" s="116">
        <v>10</v>
      </c>
      <c r="H209" s="159"/>
      <c r="I209" s="108">
        <f t="shared" si="224"/>
        <v>0</v>
      </c>
      <c r="J209" s="108">
        <f t="shared" si="225"/>
        <v>0</v>
      </c>
      <c r="K209" s="108">
        <f t="shared" si="226"/>
        <v>0</v>
      </c>
      <c r="L209" s="111"/>
      <c r="Z209" s="100">
        <f t="shared" si="227"/>
        <v>0</v>
      </c>
      <c r="AB209" s="100">
        <f t="shared" si="228"/>
        <v>0</v>
      </c>
      <c r="AC209" s="100">
        <f t="shared" si="229"/>
        <v>0</v>
      </c>
      <c r="AD209" s="100">
        <f t="shared" si="230"/>
        <v>0</v>
      </c>
      <c r="AE209" s="100">
        <f t="shared" si="231"/>
        <v>0</v>
      </c>
      <c r="AF209" s="100">
        <f t="shared" si="232"/>
        <v>0</v>
      </c>
      <c r="AG209" s="100">
        <f t="shared" si="233"/>
        <v>0</v>
      </c>
      <c r="AH209" s="100">
        <f t="shared" si="234"/>
        <v>0</v>
      </c>
      <c r="AI209" s="109"/>
      <c r="AJ209" s="108">
        <f t="shared" si="235"/>
        <v>0</v>
      </c>
      <c r="AK209" s="108">
        <f t="shared" si="236"/>
        <v>0</v>
      </c>
      <c r="AL209" s="108">
        <f t="shared" si="237"/>
        <v>0</v>
      </c>
      <c r="AN209" s="100">
        <v>15</v>
      </c>
      <c r="AO209" s="100">
        <f t="shared" si="238"/>
        <v>0</v>
      </c>
      <c r="AP209" s="100">
        <f t="shared" si="239"/>
        <v>0</v>
      </c>
      <c r="AQ209" s="111" t="s">
        <v>13</v>
      </c>
      <c r="AV209" s="100">
        <f t="shared" si="240"/>
        <v>0</v>
      </c>
      <c r="AW209" s="100">
        <f t="shared" si="241"/>
        <v>0</v>
      </c>
      <c r="AX209" s="100">
        <f t="shared" si="242"/>
        <v>0</v>
      </c>
      <c r="AY209" s="110" t="s">
        <v>1707</v>
      </c>
      <c r="AZ209" s="110" t="s">
        <v>1732</v>
      </c>
      <c r="BA209" s="109" t="s">
        <v>1737</v>
      </c>
      <c r="BC209" s="100">
        <f t="shared" si="243"/>
        <v>0</v>
      </c>
      <c r="BD209" s="100">
        <f t="shared" si="244"/>
        <v>0</v>
      </c>
      <c r="BE209" s="100">
        <v>0</v>
      </c>
      <c r="BF209" s="100">
        <f>209</f>
        <v>209</v>
      </c>
      <c r="BH209" s="108">
        <f t="shared" si="245"/>
        <v>0</v>
      </c>
      <c r="BI209" s="108">
        <f t="shared" si="246"/>
        <v>0</v>
      </c>
      <c r="BJ209" s="108">
        <f t="shared" si="247"/>
        <v>0</v>
      </c>
    </row>
    <row r="210" spans="1:62" x14ac:dyDescent="0.2">
      <c r="A210" s="117" t="s">
        <v>173</v>
      </c>
      <c r="B210" s="117" t="s">
        <v>740</v>
      </c>
      <c r="C210" s="304" t="s">
        <v>1252</v>
      </c>
      <c r="D210" s="305"/>
      <c r="E210" s="305"/>
      <c r="F210" s="117" t="s">
        <v>1644</v>
      </c>
      <c r="G210" s="116">
        <v>1</v>
      </c>
      <c r="H210" s="159"/>
      <c r="I210" s="108">
        <f t="shared" si="224"/>
        <v>0</v>
      </c>
      <c r="J210" s="108">
        <f t="shared" si="225"/>
        <v>0</v>
      </c>
      <c r="K210" s="108">
        <f t="shared" si="226"/>
        <v>0</v>
      </c>
      <c r="L210" s="111"/>
      <c r="Z210" s="100">
        <f t="shared" si="227"/>
        <v>0</v>
      </c>
      <c r="AB210" s="100">
        <f t="shared" si="228"/>
        <v>0</v>
      </c>
      <c r="AC210" s="100">
        <f t="shared" si="229"/>
        <v>0</v>
      </c>
      <c r="AD210" s="100">
        <f t="shared" si="230"/>
        <v>0</v>
      </c>
      <c r="AE210" s="100">
        <f t="shared" si="231"/>
        <v>0</v>
      </c>
      <c r="AF210" s="100">
        <f t="shared" si="232"/>
        <v>0</v>
      </c>
      <c r="AG210" s="100">
        <f t="shared" si="233"/>
        <v>0</v>
      </c>
      <c r="AH210" s="100">
        <f t="shared" si="234"/>
        <v>0</v>
      </c>
      <c r="AI210" s="109"/>
      <c r="AJ210" s="108">
        <f t="shared" si="235"/>
        <v>0</v>
      </c>
      <c r="AK210" s="108">
        <f t="shared" si="236"/>
        <v>0</v>
      </c>
      <c r="AL210" s="108">
        <f t="shared" si="237"/>
        <v>0</v>
      </c>
      <c r="AN210" s="100">
        <v>15</v>
      </c>
      <c r="AO210" s="100">
        <f t="shared" si="238"/>
        <v>0</v>
      </c>
      <c r="AP210" s="100">
        <f t="shared" si="239"/>
        <v>0</v>
      </c>
      <c r="AQ210" s="111" t="s">
        <v>13</v>
      </c>
      <c r="AV210" s="100">
        <f t="shared" si="240"/>
        <v>0</v>
      </c>
      <c r="AW210" s="100">
        <f t="shared" si="241"/>
        <v>0</v>
      </c>
      <c r="AX210" s="100">
        <f t="shared" si="242"/>
        <v>0</v>
      </c>
      <c r="AY210" s="110" t="s">
        <v>1707</v>
      </c>
      <c r="AZ210" s="110" t="s">
        <v>1732</v>
      </c>
      <c r="BA210" s="109" t="s">
        <v>1737</v>
      </c>
      <c r="BC210" s="100">
        <f t="shared" si="243"/>
        <v>0</v>
      </c>
      <c r="BD210" s="100">
        <f t="shared" si="244"/>
        <v>0</v>
      </c>
      <c r="BE210" s="100">
        <v>0</v>
      </c>
      <c r="BF210" s="100">
        <f>210</f>
        <v>210</v>
      </c>
      <c r="BH210" s="108">
        <f t="shared" si="245"/>
        <v>0</v>
      </c>
      <c r="BI210" s="108">
        <f t="shared" si="246"/>
        <v>0</v>
      </c>
      <c r="BJ210" s="108">
        <f t="shared" si="247"/>
        <v>0</v>
      </c>
    </row>
    <row r="211" spans="1:62" x14ac:dyDescent="0.2">
      <c r="A211" s="117" t="s">
        <v>174</v>
      </c>
      <c r="B211" s="117" t="s">
        <v>741</v>
      </c>
      <c r="C211" s="304" t="s">
        <v>1253</v>
      </c>
      <c r="D211" s="305"/>
      <c r="E211" s="305"/>
      <c r="F211" s="117" t="s">
        <v>1644</v>
      </c>
      <c r="G211" s="116">
        <v>1</v>
      </c>
      <c r="H211" s="159"/>
      <c r="I211" s="108">
        <f t="shared" si="224"/>
        <v>0</v>
      </c>
      <c r="J211" s="108">
        <f t="shared" si="225"/>
        <v>0</v>
      </c>
      <c r="K211" s="108">
        <f t="shared" si="226"/>
        <v>0</v>
      </c>
      <c r="L211" s="111"/>
      <c r="Z211" s="100">
        <f t="shared" si="227"/>
        <v>0</v>
      </c>
      <c r="AB211" s="100">
        <f t="shared" si="228"/>
        <v>0</v>
      </c>
      <c r="AC211" s="100">
        <f t="shared" si="229"/>
        <v>0</v>
      </c>
      <c r="AD211" s="100">
        <f t="shared" si="230"/>
        <v>0</v>
      </c>
      <c r="AE211" s="100">
        <f t="shared" si="231"/>
        <v>0</v>
      </c>
      <c r="AF211" s="100">
        <f t="shared" si="232"/>
        <v>0</v>
      </c>
      <c r="AG211" s="100">
        <f t="shared" si="233"/>
        <v>0</v>
      </c>
      <c r="AH211" s="100">
        <f t="shared" si="234"/>
        <v>0</v>
      </c>
      <c r="AI211" s="109"/>
      <c r="AJ211" s="108">
        <f t="shared" si="235"/>
        <v>0</v>
      </c>
      <c r="AK211" s="108">
        <f t="shared" si="236"/>
        <v>0</v>
      </c>
      <c r="AL211" s="108">
        <f t="shared" si="237"/>
        <v>0</v>
      </c>
      <c r="AN211" s="100">
        <v>15</v>
      </c>
      <c r="AO211" s="100">
        <f t="shared" si="238"/>
        <v>0</v>
      </c>
      <c r="AP211" s="100">
        <f t="shared" si="239"/>
        <v>0</v>
      </c>
      <c r="AQ211" s="111" t="s">
        <v>13</v>
      </c>
      <c r="AV211" s="100">
        <f t="shared" si="240"/>
        <v>0</v>
      </c>
      <c r="AW211" s="100">
        <f t="shared" si="241"/>
        <v>0</v>
      </c>
      <c r="AX211" s="100">
        <f t="shared" si="242"/>
        <v>0</v>
      </c>
      <c r="AY211" s="110" t="s">
        <v>1707</v>
      </c>
      <c r="AZ211" s="110" t="s">
        <v>1732</v>
      </c>
      <c r="BA211" s="109" t="s">
        <v>1737</v>
      </c>
      <c r="BC211" s="100">
        <f t="shared" si="243"/>
        <v>0</v>
      </c>
      <c r="BD211" s="100">
        <f t="shared" si="244"/>
        <v>0</v>
      </c>
      <c r="BE211" s="100">
        <v>0</v>
      </c>
      <c r="BF211" s="100">
        <f>211</f>
        <v>211</v>
      </c>
      <c r="BH211" s="108">
        <f t="shared" si="245"/>
        <v>0</v>
      </c>
      <c r="BI211" s="108">
        <f t="shared" si="246"/>
        <v>0</v>
      </c>
      <c r="BJ211" s="108">
        <f t="shared" si="247"/>
        <v>0</v>
      </c>
    </row>
    <row r="212" spans="1:62" x14ac:dyDescent="0.2">
      <c r="A212" s="117" t="s">
        <v>175</v>
      </c>
      <c r="B212" s="117" t="s">
        <v>742</v>
      </c>
      <c r="C212" s="304" t="s">
        <v>1254</v>
      </c>
      <c r="D212" s="305"/>
      <c r="E212" s="305"/>
      <c r="F212" s="117" t="s">
        <v>1644</v>
      </c>
      <c r="G212" s="116">
        <v>1</v>
      </c>
      <c r="H212" s="159"/>
      <c r="I212" s="108">
        <f t="shared" si="224"/>
        <v>0</v>
      </c>
      <c r="J212" s="108">
        <f t="shared" si="225"/>
        <v>0</v>
      </c>
      <c r="K212" s="108">
        <f t="shared" si="226"/>
        <v>0</v>
      </c>
      <c r="L212" s="111"/>
      <c r="Z212" s="100">
        <f t="shared" si="227"/>
        <v>0</v>
      </c>
      <c r="AB212" s="100">
        <f t="shared" si="228"/>
        <v>0</v>
      </c>
      <c r="AC212" s="100">
        <f t="shared" si="229"/>
        <v>0</v>
      </c>
      <c r="AD212" s="100">
        <f t="shared" si="230"/>
        <v>0</v>
      </c>
      <c r="AE212" s="100">
        <f t="shared" si="231"/>
        <v>0</v>
      </c>
      <c r="AF212" s="100">
        <f t="shared" si="232"/>
        <v>0</v>
      </c>
      <c r="AG212" s="100">
        <f t="shared" si="233"/>
        <v>0</v>
      </c>
      <c r="AH212" s="100">
        <f t="shared" si="234"/>
        <v>0</v>
      </c>
      <c r="AI212" s="109"/>
      <c r="AJ212" s="108">
        <f t="shared" si="235"/>
        <v>0</v>
      </c>
      <c r="AK212" s="108">
        <f t="shared" si="236"/>
        <v>0</v>
      </c>
      <c r="AL212" s="108">
        <f t="shared" si="237"/>
        <v>0</v>
      </c>
      <c r="AN212" s="100">
        <v>15</v>
      </c>
      <c r="AO212" s="100">
        <f t="shared" si="238"/>
        <v>0</v>
      </c>
      <c r="AP212" s="100">
        <f t="shared" si="239"/>
        <v>0</v>
      </c>
      <c r="AQ212" s="111" t="s">
        <v>13</v>
      </c>
      <c r="AV212" s="100">
        <f t="shared" si="240"/>
        <v>0</v>
      </c>
      <c r="AW212" s="100">
        <f t="shared" si="241"/>
        <v>0</v>
      </c>
      <c r="AX212" s="100">
        <f t="shared" si="242"/>
        <v>0</v>
      </c>
      <c r="AY212" s="110" t="s">
        <v>1707</v>
      </c>
      <c r="AZ212" s="110" t="s">
        <v>1732</v>
      </c>
      <c r="BA212" s="109" t="s">
        <v>1737</v>
      </c>
      <c r="BC212" s="100">
        <f t="shared" si="243"/>
        <v>0</v>
      </c>
      <c r="BD212" s="100">
        <f t="shared" si="244"/>
        <v>0</v>
      </c>
      <c r="BE212" s="100">
        <v>0</v>
      </c>
      <c r="BF212" s="100">
        <f>212</f>
        <v>212</v>
      </c>
      <c r="BH212" s="108">
        <f t="shared" si="245"/>
        <v>0</v>
      </c>
      <c r="BI212" s="108">
        <f t="shared" si="246"/>
        <v>0</v>
      </c>
      <c r="BJ212" s="108">
        <f t="shared" si="247"/>
        <v>0</v>
      </c>
    </row>
    <row r="213" spans="1:62" x14ac:dyDescent="0.2">
      <c r="A213" s="117" t="s">
        <v>176</v>
      </c>
      <c r="B213" s="117" t="s">
        <v>743</v>
      </c>
      <c r="C213" s="304" t="s">
        <v>1255</v>
      </c>
      <c r="D213" s="305"/>
      <c r="E213" s="305"/>
      <c r="F213" s="117" t="s">
        <v>1644</v>
      </c>
      <c r="G213" s="116">
        <v>1</v>
      </c>
      <c r="H213" s="159"/>
      <c r="I213" s="108">
        <f t="shared" si="224"/>
        <v>0</v>
      </c>
      <c r="J213" s="108">
        <f t="shared" si="225"/>
        <v>0</v>
      </c>
      <c r="K213" s="108">
        <f t="shared" si="226"/>
        <v>0</v>
      </c>
      <c r="L213" s="111"/>
      <c r="Z213" s="100">
        <f t="shared" si="227"/>
        <v>0</v>
      </c>
      <c r="AB213" s="100">
        <f t="shared" si="228"/>
        <v>0</v>
      </c>
      <c r="AC213" s="100">
        <f t="shared" si="229"/>
        <v>0</v>
      </c>
      <c r="AD213" s="100">
        <f t="shared" si="230"/>
        <v>0</v>
      </c>
      <c r="AE213" s="100">
        <f t="shared" si="231"/>
        <v>0</v>
      </c>
      <c r="AF213" s="100">
        <f t="shared" si="232"/>
        <v>0</v>
      </c>
      <c r="AG213" s="100">
        <f t="shared" si="233"/>
        <v>0</v>
      </c>
      <c r="AH213" s="100">
        <f t="shared" si="234"/>
        <v>0</v>
      </c>
      <c r="AI213" s="109"/>
      <c r="AJ213" s="108">
        <f t="shared" si="235"/>
        <v>0</v>
      </c>
      <c r="AK213" s="108">
        <f t="shared" si="236"/>
        <v>0</v>
      </c>
      <c r="AL213" s="108">
        <f t="shared" si="237"/>
        <v>0</v>
      </c>
      <c r="AN213" s="100">
        <v>15</v>
      </c>
      <c r="AO213" s="100">
        <f t="shared" si="238"/>
        <v>0</v>
      </c>
      <c r="AP213" s="100">
        <f t="shared" si="239"/>
        <v>0</v>
      </c>
      <c r="AQ213" s="111" t="s">
        <v>13</v>
      </c>
      <c r="AV213" s="100">
        <f t="shared" si="240"/>
        <v>0</v>
      </c>
      <c r="AW213" s="100">
        <f t="shared" si="241"/>
        <v>0</v>
      </c>
      <c r="AX213" s="100">
        <f t="shared" si="242"/>
        <v>0</v>
      </c>
      <c r="AY213" s="110" t="s">
        <v>1707</v>
      </c>
      <c r="AZ213" s="110" t="s">
        <v>1732</v>
      </c>
      <c r="BA213" s="109" t="s">
        <v>1737</v>
      </c>
      <c r="BC213" s="100">
        <f t="shared" si="243"/>
        <v>0</v>
      </c>
      <c r="BD213" s="100">
        <f t="shared" si="244"/>
        <v>0</v>
      </c>
      <c r="BE213" s="100">
        <v>0</v>
      </c>
      <c r="BF213" s="100">
        <f>213</f>
        <v>213</v>
      </c>
      <c r="BH213" s="108">
        <f t="shared" si="245"/>
        <v>0</v>
      </c>
      <c r="BI213" s="108">
        <f t="shared" si="246"/>
        <v>0</v>
      </c>
      <c r="BJ213" s="108">
        <f t="shared" si="247"/>
        <v>0</v>
      </c>
    </row>
    <row r="214" spans="1:62" x14ac:dyDescent="0.2">
      <c r="A214" s="119"/>
      <c r="B214" s="120" t="s">
        <v>744</v>
      </c>
      <c r="C214" s="306" t="s">
        <v>1256</v>
      </c>
      <c r="D214" s="307"/>
      <c r="E214" s="307"/>
      <c r="F214" s="119" t="s">
        <v>6</v>
      </c>
      <c r="G214" s="119" t="s">
        <v>6</v>
      </c>
      <c r="H214" s="119" t="s">
        <v>6</v>
      </c>
      <c r="I214" s="118">
        <f>SUM(I215:I229)</f>
        <v>0</v>
      </c>
      <c r="J214" s="118">
        <f>SUM(J215:J229)</f>
        <v>0</v>
      </c>
      <c r="K214" s="118">
        <f>SUM(K215:K229)</f>
        <v>0</v>
      </c>
      <c r="L214" s="109"/>
      <c r="AI214" s="109"/>
      <c r="AS214" s="118">
        <f>SUM(AJ215:AJ229)</f>
        <v>0</v>
      </c>
      <c r="AT214" s="118">
        <f>SUM(AK215:AK229)</f>
        <v>0</v>
      </c>
      <c r="AU214" s="118">
        <f>SUM(AL215:AL229)</f>
        <v>0</v>
      </c>
    </row>
    <row r="215" spans="1:62" x14ac:dyDescent="0.2">
      <c r="A215" s="117" t="s">
        <v>177</v>
      </c>
      <c r="B215" s="117" t="s">
        <v>2136</v>
      </c>
      <c r="C215" s="304" t="s">
        <v>1257</v>
      </c>
      <c r="D215" s="305"/>
      <c r="E215" s="305"/>
      <c r="F215" s="117" t="s">
        <v>1646</v>
      </c>
      <c r="G215" s="116">
        <v>1</v>
      </c>
      <c r="H215" s="159"/>
      <c r="I215" s="108">
        <f t="shared" ref="I215:I229" si="248">G215*AO215</f>
        <v>0</v>
      </c>
      <c r="J215" s="108">
        <f t="shared" ref="J215:J229" si="249">G215*AP215</f>
        <v>0</v>
      </c>
      <c r="K215" s="108">
        <f t="shared" ref="K215:K229" si="250">G215*H215</f>
        <v>0</v>
      </c>
      <c r="L215" s="111"/>
      <c r="Z215" s="100">
        <f t="shared" ref="Z215:Z229" si="251">IF(AQ215="5",BJ215,0)</f>
        <v>0</v>
      </c>
      <c r="AB215" s="100">
        <f t="shared" ref="AB215:AB229" si="252">IF(AQ215="1",BH215,0)</f>
        <v>0</v>
      </c>
      <c r="AC215" s="100">
        <f t="shared" ref="AC215:AC229" si="253">IF(AQ215="1",BI215,0)</f>
        <v>0</v>
      </c>
      <c r="AD215" s="100">
        <f t="shared" ref="AD215:AD229" si="254">IF(AQ215="7",BH215,0)</f>
        <v>0</v>
      </c>
      <c r="AE215" s="100">
        <f t="shared" ref="AE215:AE229" si="255">IF(AQ215="7",BI215,0)</f>
        <v>0</v>
      </c>
      <c r="AF215" s="100">
        <f t="shared" ref="AF215:AF229" si="256">IF(AQ215="2",BH215,0)</f>
        <v>0</v>
      </c>
      <c r="AG215" s="100">
        <f t="shared" ref="AG215:AG229" si="257">IF(AQ215="2",BI215,0)</f>
        <v>0</v>
      </c>
      <c r="AH215" s="100">
        <f t="shared" ref="AH215:AH229" si="258">IF(AQ215="0",BJ215,0)</f>
        <v>0</v>
      </c>
      <c r="AI215" s="109"/>
      <c r="AJ215" s="108">
        <f t="shared" ref="AJ215:AJ229" si="259">IF(AN215=0,K215,0)</f>
        <v>0</v>
      </c>
      <c r="AK215" s="108">
        <f t="shared" ref="AK215:AK229" si="260">IF(AN215=15,K215,0)</f>
        <v>0</v>
      </c>
      <c r="AL215" s="108">
        <f t="shared" ref="AL215:AL229" si="261">IF(AN215=21,K215,0)</f>
        <v>0</v>
      </c>
      <c r="AN215" s="100">
        <v>15</v>
      </c>
      <c r="AO215" s="100">
        <f t="shared" ref="AO215:AO229" si="262">H215*0</f>
        <v>0</v>
      </c>
      <c r="AP215" s="100">
        <f t="shared" ref="AP215:AP229" si="263">H215*(1-0)</f>
        <v>0</v>
      </c>
      <c r="AQ215" s="111" t="s">
        <v>13</v>
      </c>
      <c r="AV215" s="100">
        <f t="shared" ref="AV215:AV229" si="264">AW215+AX215</f>
        <v>0</v>
      </c>
      <c r="AW215" s="100">
        <f t="shared" ref="AW215:AW229" si="265">G215*AO215</f>
        <v>0</v>
      </c>
      <c r="AX215" s="100">
        <f t="shared" ref="AX215:AX229" si="266">G215*AP215</f>
        <v>0</v>
      </c>
      <c r="AY215" s="110" t="s">
        <v>1708</v>
      </c>
      <c r="AZ215" s="110" t="s">
        <v>1732</v>
      </c>
      <c r="BA215" s="109" t="s">
        <v>1737</v>
      </c>
      <c r="BC215" s="100">
        <f t="shared" ref="BC215:BC229" si="267">AW215+AX215</f>
        <v>0</v>
      </c>
      <c r="BD215" s="100">
        <f t="shared" ref="BD215:BD229" si="268">H215/(100-BE215)*100</f>
        <v>0</v>
      </c>
      <c r="BE215" s="100">
        <v>0</v>
      </c>
      <c r="BF215" s="100">
        <f>215</f>
        <v>215</v>
      </c>
      <c r="BH215" s="108">
        <f t="shared" ref="BH215:BH229" si="269">G215*AO215</f>
        <v>0</v>
      </c>
      <c r="BI215" s="108">
        <f t="shared" ref="BI215:BI229" si="270">G215*AP215</f>
        <v>0</v>
      </c>
      <c r="BJ215" s="108">
        <f t="shared" ref="BJ215:BJ229" si="271">G215*H215</f>
        <v>0</v>
      </c>
    </row>
    <row r="216" spans="1:62" x14ac:dyDescent="0.2">
      <c r="A216" s="117" t="s">
        <v>178</v>
      </c>
      <c r="B216" s="117" t="s">
        <v>2135</v>
      </c>
      <c r="C216" s="304" t="s">
        <v>1258</v>
      </c>
      <c r="D216" s="305"/>
      <c r="E216" s="305"/>
      <c r="F216" s="117" t="s">
        <v>1646</v>
      </c>
      <c r="G216" s="116">
        <v>1.5</v>
      </c>
      <c r="H216" s="159"/>
      <c r="I216" s="108">
        <f t="shared" si="248"/>
        <v>0</v>
      </c>
      <c r="J216" s="108">
        <f t="shared" si="249"/>
        <v>0</v>
      </c>
      <c r="K216" s="108">
        <f t="shared" si="250"/>
        <v>0</v>
      </c>
      <c r="L216" s="111"/>
      <c r="Z216" s="100">
        <f t="shared" si="251"/>
        <v>0</v>
      </c>
      <c r="AB216" s="100">
        <f t="shared" si="252"/>
        <v>0</v>
      </c>
      <c r="AC216" s="100">
        <f t="shared" si="253"/>
        <v>0</v>
      </c>
      <c r="AD216" s="100">
        <f t="shared" si="254"/>
        <v>0</v>
      </c>
      <c r="AE216" s="100">
        <f t="shared" si="255"/>
        <v>0</v>
      </c>
      <c r="AF216" s="100">
        <f t="shared" si="256"/>
        <v>0</v>
      </c>
      <c r="AG216" s="100">
        <f t="shared" si="257"/>
        <v>0</v>
      </c>
      <c r="AH216" s="100">
        <f t="shared" si="258"/>
        <v>0</v>
      </c>
      <c r="AI216" s="109"/>
      <c r="AJ216" s="108">
        <f t="shared" si="259"/>
        <v>0</v>
      </c>
      <c r="AK216" s="108">
        <f t="shared" si="260"/>
        <v>0</v>
      </c>
      <c r="AL216" s="108">
        <f t="shared" si="261"/>
        <v>0</v>
      </c>
      <c r="AN216" s="100">
        <v>15</v>
      </c>
      <c r="AO216" s="100">
        <f t="shared" si="262"/>
        <v>0</v>
      </c>
      <c r="AP216" s="100">
        <f t="shared" si="263"/>
        <v>0</v>
      </c>
      <c r="AQ216" s="111" t="s">
        <v>13</v>
      </c>
      <c r="AV216" s="100">
        <f t="shared" si="264"/>
        <v>0</v>
      </c>
      <c r="AW216" s="100">
        <f t="shared" si="265"/>
        <v>0</v>
      </c>
      <c r="AX216" s="100">
        <f t="shared" si="266"/>
        <v>0</v>
      </c>
      <c r="AY216" s="110" t="s">
        <v>1708</v>
      </c>
      <c r="AZ216" s="110" t="s">
        <v>1732</v>
      </c>
      <c r="BA216" s="109" t="s">
        <v>1737</v>
      </c>
      <c r="BC216" s="100">
        <f t="shared" si="267"/>
        <v>0</v>
      </c>
      <c r="BD216" s="100">
        <f t="shared" si="268"/>
        <v>0</v>
      </c>
      <c r="BE216" s="100">
        <v>0</v>
      </c>
      <c r="BF216" s="100">
        <f>216</f>
        <v>216</v>
      </c>
      <c r="BH216" s="108">
        <f t="shared" si="269"/>
        <v>0</v>
      </c>
      <c r="BI216" s="108">
        <f t="shared" si="270"/>
        <v>0</v>
      </c>
      <c r="BJ216" s="108">
        <f t="shared" si="271"/>
        <v>0</v>
      </c>
    </row>
    <row r="217" spans="1:62" x14ac:dyDescent="0.2">
      <c r="A217" s="117" t="s">
        <v>179</v>
      </c>
      <c r="B217" s="117" t="s">
        <v>2134</v>
      </c>
      <c r="C217" s="304" t="s">
        <v>2133</v>
      </c>
      <c r="D217" s="305"/>
      <c r="E217" s="305"/>
      <c r="F217" s="117" t="s">
        <v>1646</v>
      </c>
      <c r="G217" s="116">
        <v>2</v>
      </c>
      <c r="H217" s="159"/>
      <c r="I217" s="108">
        <f t="shared" si="248"/>
        <v>0</v>
      </c>
      <c r="J217" s="108">
        <f t="shared" si="249"/>
        <v>0</v>
      </c>
      <c r="K217" s="108">
        <f t="shared" si="250"/>
        <v>0</v>
      </c>
      <c r="L217" s="111"/>
      <c r="Z217" s="100">
        <f t="shared" si="251"/>
        <v>0</v>
      </c>
      <c r="AB217" s="100">
        <f t="shared" si="252"/>
        <v>0</v>
      </c>
      <c r="AC217" s="100">
        <f t="shared" si="253"/>
        <v>0</v>
      </c>
      <c r="AD217" s="100">
        <f t="shared" si="254"/>
        <v>0</v>
      </c>
      <c r="AE217" s="100">
        <f t="shared" si="255"/>
        <v>0</v>
      </c>
      <c r="AF217" s="100">
        <f t="shared" si="256"/>
        <v>0</v>
      </c>
      <c r="AG217" s="100">
        <f t="shared" si="257"/>
        <v>0</v>
      </c>
      <c r="AH217" s="100">
        <f t="shared" si="258"/>
        <v>0</v>
      </c>
      <c r="AI217" s="109"/>
      <c r="AJ217" s="108">
        <f t="shared" si="259"/>
        <v>0</v>
      </c>
      <c r="AK217" s="108">
        <f t="shared" si="260"/>
        <v>0</v>
      </c>
      <c r="AL217" s="108">
        <f t="shared" si="261"/>
        <v>0</v>
      </c>
      <c r="AN217" s="100">
        <v>15</v>
      </c>
      <c r="AO217" s="100">
        <f t="shared" si="262"/>
        <v>0</v>
      </c>
      <c r="AP217" s="100">
        <f t="shared" si="263"/>
        <v>0</v>
      </c>
      <c r="AQ217" s="111" t="s">
        <v>13</v>
      </c>
      <c r="AV217" s="100">
        <f t="shared" si="264"/>
        <v>0</v>
      </c>
      <c r="AW217" s="100">
        <f t="shared" si="265"/>
        <v>0</v>
      </c>
      <c r="AX217" s="100">
        <f t="shared" si="266"/>
        <v>0</v>
      </c>
      <c r="AY217" s="110" t="s">
        <v>1708</v>
      </c>
      <c r="AZ217" s="110" t="s">
        <v>1732</v>
      </c>
      <c r="BA217" s="109" t="s">
        <v>1737</v>
      </c>
      <c r="BC217" s="100">
        <f t="shared" si="267"/>
        <v>0</v>
      </c>
      <c r="BD217" s="100">
        <f t="shared" si="268"/>
        <v>0</v>
      </c>
      <c r="BE217" s="100">
        <v>0</v>
      </c>
      <c r="BF217" s="100">
        <f>217</f>
        <v>217</v>
      </c>
      <c r="BH217" s="108">
        <f t="shared" si="269"/>
        <v>0</v>
      </c>
      <c r="BI217" s="108">
        <f t="shared" si="270"/>
        <v>0</v>
      </c>
      <c r="BJ217" s="108">
        <f t="shared" si="271"/>
        <v>0</v>
      </c>
    </row>
    <row r="218" spans="1:62" x14ac:dyDescent="0.2">
      <c r="A218" s="117" t="s">
        <v>180</v>
      </c>
      <c r="B218" s="117" t="s">
        <v>2132</v>
      </c>
      <c r="C218" s="304" t="s">
        <v>1262</v>
      </c>
      <c r="D218" s="305"/>
      <c r="E218" s="305"/>
      <c r="F218" s="117" t="s">
        <v>1644</v>
      </c>
      <c r="G218" s="116">
        <v>1</v>
      </c>
      <c r="H218" s="159"/>
      <c r="I218" s="108">
        <f t="shared" si="248"/>
        <v>0</v>
      </c>
      <c r="J218" s="108">
        <f t="shared" si="249"/>
        <v>0</v>
      </c>
      <c r="K218" s="108">
        <f t="shared" si="250"/>
        <v>0</v>
      </c>
      <c r="L218" s="111"/>
      <c r="Z218" s="100">
        <f t="shared" si="251"/>
        <v>0</v>
      </c>
      <c r="AB218" s="100">
        <f t="shared" si="252"/>
        <v>0</v>
      </c>
      <c r="AC218" s="100">
        <f t="shared" si="253"/>
        <v>0</v>
      </c>
      <c r="AD218" s="100">
        <f t="shared" si="254"/>
        <v>0</v>
      </c>
      <c r="AE218" s="100">
        <f t="shared" si="255"/>
        <v>0</v>
      </c>
      <c r="AF218" s="100">
        <f t="shared" si="256"/>
        <v>0</v>
      </c>
      <c r="AG218" s="100">
        <f t="shared" si="257"/>
        <v>0</v>
      </c>
      <c r="AH218" s="100">
        <f t="shared" si="258"/>
        <v>0</v>
      </c>
      <c r="AI218" s="109"/>
      <c r="AJ218" s="108">
        <f t="shared" si="259"/>
        <v>0</v>
      </c>
      <c r="AK218" s="108">
        <f t="shared" si="260"/>
        <v>0</v>
      </c>
      <c r="AL218" s="108">
        <f t="shared" si="261"/>
        <v>0</v>
      </c>
      <c r="AN218" s="100">
        <v>15</v>
      </c>
      <c r="AO218" s="100">
        <f t="shared" si="262"/>
        <v>0</v>
      </c>
      <c r="AP218" s="100">
        <f t="shared" si="263"/>
        <v>0</v>
      </c>
      <c r="AQ218" s="111" t="s">
        <v>13</v>
      </c>
      <c r="AV218" s="100">
        <f t="shared" si="264"/>
        <v>0</v>
      </c>
      <c r="AW218" s="100">
        <f t="shared" si="265"/>
        <v>0</v>
      </c>
      <c r="AX218" s="100">
        <f t="shared" si="266"/>
        <v>0</v>
      </c>
      <c r="AY218" s="110" t="s">
        <v>1708</v>
      </c>
      <c r="AZ218" s="110" t="s">
        <v>1732</v>
      </c>
      <c r="BA218" s="109" t="s">
        <v>1737</v>
      </c>
      <c r="BC218" s="100">
        <f t="shared" si="267"/>
        <v>0</v>
      </c>
      <c r="BD218" s="100">
        <f t="shared" si="268"/>
        <v>0</v>
      </c>
      <c r="BE218" s="100">
        <v>0</v>
      </c>
      <c r="BF218" s="100">
        <f>218</f>
        <v>218</v>
      </c>
      <c r="BH218" s="108">
        <f t="shared" si="269"/>
        <v>0</v>
      </c>
      <c r="BI218" s="108">
        <f t="shared" si="270"/>
        <v>0</v>
      </c>
      <c r="BJ218" s="108">
        <f t="shared" si="271"/>
        <v>0</v>
      </c>
    </row>
    <row r="219" spans="1:62" x14ac:dyDescent="0.2">
      <c r="A219" s="117" t="s">
        <v>181</v>
      </c>
      <c r="B219" s="117" t="s">
        <v>2131</v>
      </c>
      <c r="C219" s="304" t="s">
        <v>1263</v>
      </c>
      <c r="D219" s="305"/>
      <c r="E219" s="305"/>
      <c r="F219" s="117" t="s">
        <v>1644</v>
      </c>
      <c r="G219" s="116">
        <v>2</v>
      </c>
      <c r="H219" s="159"/>
      <c r="I219" s="108">
        <f t="shared" si="248"/>
        <v>0</v>
      </c>
      <c r="J219" s="108">
        <f t="shared" si="249"/>
        <v>0</v>
      </c>
      <c r="K219" s="108">
        <f t="shared" si="250"/>
        <v>0</v>
      </c>
      <c r="L219" s="111"/>
      <c r="Z219" s="100">
        <f t="shared" si="251"/>
        <v>0</v>
      </c>
      <c r="AB219" s="100">
        <f t="shared" si="252"/>
        <v>0</v>
      </c>
      <c r="AC219" s="100">
        <f t="shared" si="253"/>
        <v>0</v>
      </c>
      <c r="AD219" s="100">
        <f t="shared" si="254"/>
        <v>0</v>
      </c>
      <c r="AE219" s="100">
        <f t="shared" si="255"/>
        <v>0</v>
      </c>
      <c r="AF219" s="100">
        <f t="shared" si="256"/>
        <v>0</v>
      </c>
      <c r="AG219" s="100">
        <f t="shared" si="257"/>
        <v>0</v>
      </c>
      <c r="AH219" s="100">
        <f t="shared" si="258"/>
        <v>0</v>
      </c>
      <c r="AI219" s="109"/>
      <c r="AJ219" s="108">
        <f t="shared" si="259"/>
        <v>0</v>
      </c>
      <c r="AK219" s="108">
        <f t="shared" si="260"/>
        <v>0</v>
      </c>
      <c r="AL219" s="108">
        <f t="shared" si="261"/>
        <v>0</v>
      </c>
      <c r="AN219" s="100">
        <v>15</v>
      </c>
      <c r="AO219" s="100">
        <f t="shared" si="262"/>
        <v>0</v>
      </c>
      <c r="AP219" s="100">
        <f t="shared" si="263"/>
        <v>0</v>
      </c>
      <c r="AQ219" s="111" t="s">
        <v>13</v>
      </c>
      <c r="AV219" s="100">
        <f t="shared" si="264"/>
        <v>0</v>
      </c>
      <c r="AW219" s="100">
        <f t="shared" si="265"/>
        <v>0</v>
      </c>
      <c r="AX219" s="100">
        <f t="shared" si="266"/>
        <v>0</v>
      </c>
      <c r="AY219" s="110" t="s">
        <v>1708</v>
      </c>
      <c r="AZ219" s="110" t="s">
        <v>1732</v>
      </c>
      <c r="BA219" s="109" t="s">
        <v>1737</v>
      </c>
      <c r="BC219" s="100">
        <f t="shared" si="267"/>
        <v>0</v>
      </c>
      <c r="BD219" s="100">
        <f t="shared" si="268"/>
        <v>0</v>
      </c>
      <c r="BE219" s="100">
        <v>0</v>
      </c>
      <c r="BF219" s="100">
        <f>219</f>
        <v>219</v>
      </c>
      <c r="BH219" s="108">
        <f t="shared" si="269"/>
        <v>0</v>
      </c>
      <c r="BI219" s="108">
        <f t="shared" si="270"/>
        <v>0</v>
      </c>
      <c r="BJ219" s="108">
        <f t="shared" si="271"/>
        <v>0</v>
      </c>
    </row>
    <row r="220" spans="1:62" x14ac:dyDescent="0.2">
      <c r="A220" s="117" t="s">
        <v>182</v>
      </c>
      <c r="B220" s="117" t="s">
        <v>2130</v>
      </c>
      <c r="C220" s="304" t="s">
        <v>1269</v>
      </c>
      <c r="D220" s="305"/>
      <c r="E220" s="305"/>
      <c r="F220" s="117" t="s">
        <v>1644</v>
      </c>
      <c r="G220" s="116">
        <v>1</v>
      </c>
      <c r="H220" s="159"/>
      <c r="I220" s="108">
        <f t="shared" si="248"/>
        <v>0</v>
      </c>
      <c r="J220" s="108">
        <f t="shared" si="249"/>
        <v>0</v>
      </c>
      <c r="K220" s="108">
        <f t="shared" si="250"/>
        <v>0</v>
      </c>
      <c r="L220" s="111"/>
      <c r="Z220" s="100">
        <f t="shared" si="251"/>
        <v>0</v>
      </c>
      <c r="AB220" s="100">
        <f t="shared" si="252"/>
        <v>0</v>
      </c>
      <c r="AC220" s="100">
        <f t="shared" si="253"/>
        <v>0</v>
      </c>
      <c r="AD220" s="100">
        <f t="shared" si="254"/>
        <v>0</v>
      </c>
      <c r="AE220" s="100">
        <f t="shared" si="255"/>
        <v>0</v>
      </c>
      <c r="AF220" s="100">
        <f t="shared" si="256"/>
        <v>0</v>
      </c>
      <c r="AG220" s="100">
        <f t="shared" si="257"/>
        <v>0</v>
      </c>
      <c r="AH220" s="100">
        <f t="shared" si="258"/>
        <v>0</v>
      </c>
      <c r="AI220" s="109"/>
      <c r="AJ220" s="108">
        <f t="shared" si="259"/>
        <v>0</v>
      </c>
      <c r="AK220" s="108">
        <f t="shared" si="260"/>
        <v>0</v>
      </c>
      <c r="AL220" s="108">
        <f t="shared" si="261"/>
        <v>0</v>
      </c>
      <c r="AN220" s="100">
        <v>15</v>
      </c>
      <c r="AO220" s="100">
        <f t="shared" si="262"/>
        <v>0</v>
      </c>
      <c r="AP220" s="100">
        <f t="shared" si="263"/>
        <v>0</v>
      </c>
      <c r="AQ220" s="111" t="s">
        <v>13</v>
      </c>
      <c r="AV220" s="100">
        <f t="shared" si="264"/>
        <v>0</v>
      </c>
      <c r="AW220" s="100">
        <f t="shared" si="265"/>
        <v>0</v>
      </c>
      <c r="AX220" s="100">
        <f t="shared" si="266"/>
        <v>0</v>
      </c>
      <c r="AY220" s="110" t="s">
        <v>1708</v>
      </c>
      <c r="AZ220" s="110" t="s">
        <v>1732</v>
      </c>
      <c r="BA220" s="109" t="s">
        <v>1737</v>
      </c>
      <c r="BC220" s="100">
        <f t="shared" si="267"/>
        <v>0</v>
      </c>
      <c r="BD220" s="100">
        <f t="shared" si="268"/>
        <v>0</v>
      </c>
      <c r="BE220" s="100">
        <v>0</v>
      </c>
      <c r="BF220" s="100">
        <f>220</f>
        <v>220</v>
      </c>
      <c r="BH220" s="108">
        <f t="shared" si="269"/>
        <v>0</v>
      </c>
      <c r="BI220" s="108">
        <f t="shared" si="270"/>
        <v>0</v>
      </c>
      <c r="BJ220" s="108">
        <f t="shared" si="271"/>
        <v>0</v>
      </c>
    </row>
    <row r="221" spans="1:62" x14ac:dyDescent="0.2">
      <c r="A221" s="117" t="s">
        <v>183</v>
      </c>
      <c r="B221" s="117" t="s">
        <v>2129</v>
      </c>
      <c r="C221" s="304" t="s">
        <v>1270</v>
      </c>
      <c r="D221" s="305"/>
      <c r="E221" s="305"/>
      <c r="F221" s="117" t="s">
        <v>1644</v>
      </c>
      <c r="G221" s="116">
        <v>1</v>
      </c>
      <c r="H221" s="159"/>
      <c r="I221" s="108">
        <f t="shared" si="248"/>
        <v>0</v>
      </c>
      <c r="J221" s="108">
        <f t="shared" si="249"/>
        <v>0</v>
      </c>
      <c r="K221" s="108">
        <f t="shared" si="250"/>
        <v>0</v>
      </c>
      <c r="L221" s="111"/>
      <c r="Z221" s="100">
        <f t="shared" si="251"/>
        <v>0</v>
      </c>
      <c r="AB221" s="100">
        <f t="shared" si="252"/>
        <v>0</v>
      </c>
      <c r="AC221" s="100">
        <f t="shared" si="253"/>
        <v>0</v>
      </c>
      <c r="AD221" s="100">
        <f t="shared" si="254"/>
        <v>0</v>
      </c>
      <c r="AE221" s="100">
        <f t="shared" si="255"/>
        <v>0</v>
      </c>
      <c r="AF221" s="100">
        <f t="shared" si="256"/>
        <v>0</v>
      </c>
      <c r="AG221" s="100">
        <f t="shared" si="257"/>
        <v>0</v>
      </c>
      <c r="AH221" s="100">
        <f t="shared" si="258"/>
        <v>0</v>
      </c>
      <c r="AI221" s="109"/>
      <c r="AJ221" s="108">
        <f t="shared" si="259"/>
        <v>0</v>
      </c>
      <c r="AK221" s="108">
        <f t="shared" si="260"/>
        <v>0</v>
      </c>
      <c r="AL221" s="108">
        <f t="shared" si="261"/>
        <v>0</v>
      </c>
      <c r="AN221" s="100">
        <v>15</v>
      </c>
      <c r="AO221" s="100">
        <f t="shared" si="262"/>
        <v>0</v>
      </c>
      <c r="AP221" s="100">
        <f t="shared" si="263"/>
        <v>0</v>
      </c>
      <c r="AQ221" s="111" t="s">
        <v>13</v>
      </c>
      <c r="AV221" s="100">
        <f t="shared" si="264"/>
        <v>0</v>
      </c>
      <c r="AW221" s="100">
        <f t="shared" si="265"/>
        <v>0</v>
      </c>
      <c r="AX221" s="100">
        <f t="shared" si="266"/>
        <v>0</v>
      </c>
      <c r="AY221" s="110" t="s">
        <v>1708</v>
      </c>
      <c r="AZ221" s="110" t="s">
        <v>1732</v>
      </c>
      <c r="BA221" s="109" t="s">
        <v>1737</v>
      </c>
      <c r="BC221" s="100">
        <f t="shared" si="267"/>
        <v>0</v>
      </c>
      <c r="BD221" s="100">
        <f t="shared" si="268"/>
        <v>0</v>
      </c>
      <c r="BE221" s="100">
        <v>0</v>
      </c>
      <c r="BF221" s="100">
        <f>221</f>
        <v>221</v>
      </c>
      <c r="BH221" s="108">
        <f t="shared" si="269"/>
        <v>0</v>
      </c>
      <c r="BI221" s="108">
        <f t="shared" si="270"/>
        <v>0</v>
      </c>
      <c r="BJ221" s="108">
        <f t="shared" si="271"/>
        <v>0</v>
      </c>
    </row>
    <row r="222" spans="1:62" x14ac:dyDescent="0.2">
      <c r="A222" s="117" t="s">
        <v>184</v>
      </c>
      <c r="B222" s="117" t="s">
        <v>2128</v>
      </c>
      <c r="C222" s="304" t="s">
        <v>1271</v>
      </c>
      <c r="D222" s="305"/>
      <c r="E222" s="305"/>
      <c r="F222" s="117" t="s">
        <v>1644</v>
      </c>
      <c r="G222" s="116">
        <v>1</v>
      </c>
      <c r="H222" s="159"/>
      <c r="I222" s="108">
        <f t="shared" si="248"/>
        <v>0</v>
      </c>
      <c r="J222" s="108">
        <f t="shared" si="249"/>
        <v>0</v>
      </c>
      <c r="K222" s="108">
        <f t="shared" si="250"/>
        <v>0</v>
      </c>
      <c r="L222" s="111"/>
      <c r="Z222" s="100">
        <f t="shared" si="251"/>
        <v>0</v>
      </c>
      <c r="AB222" s="100">
        <f t="shared" si="252"/>
        <v>0</v>
      </c>
      <c r="AC222" s="100">
        <f t="shared" si="253"/>
        <v>0</v>
      </c>
      <c r="AD222" s="100">
        <f t="shared" si="254"/>
        <v>0</v>
      </c>
      <c r="AE222" s="100">
        <f t="shared" si="255"/>
        <v>0</v>
      </c>
      <c r="AF222" s="100">
        <f t="shared" si="256"/>
        <v>0</v>
      </c>
      <c r="AG222" s="100">
        <f t="shared" si="257"/>
        <v>0</v>
      </c>
      <c r="AH222" s="100">
        <f t="shared" si="258"/>
        <v>0</v>
      </c>
      <c r="AI222" s="109"/>
      <c r="AJ222" s="108">
        <f t="shared" si="259"/>
        <v>0</v>
      </c>
      <c r="AK222" s="108">
        <f t="shared" si="260"/>
        <v>0</v>
      </c>
      <c r="AL222" s="108">
        <f t="shared" si="261"/>
        <v>0</v>
      </c>
      <c r="AN222" s="100">
        <v>15</v>
      </c>
      <c r="AO222" s="100">
        <f t="shared" si="262"/>
        <v>0</v>
      </c>
      <c r="AP222" s="100">
        <f t="shared" si="263"/>
        <v>0</v>
      </c>
      <c r="AQ222" s="111" t="s">
        <v>13</v>
      </c>
      <c r="AV222" s="100">
        <f t="shared" si="264"/>
        <v>0</v>
      </c>
      <c r="AW222" s="100">
        <f t="shared" si="265"/>
        <v>0</v>
      </c>
      <c r="AX222" s="100">
        <f t="shared" si="266"/>
        <v>0</v>
      </c>
      <c r="AY222" s="110" t="s">
        <v>1708</v>
      </c>
      <c r="AZ222" s="110" t="s">
        <v>1732</v>
      </c>
      <c r="BA222" s="109" t="s">
        <v>1737</v>
      </c>
      <c r="BC222" s="100">
        <f t="shared" si="267"/>
        <v>0</v>
      </c>
      <c r="BD222" s="100">
        <f t="shared" si="268"/>
        <v>0</v>
      </c>
      <c r="BE222" s="100">
        <v>0</v>
      </c>
      <c r="BF222" s="100">
        <f>222</f>
        <v>222</v>
      </c>
      <c r="BH222" s="108">
        <f t="shared" si="269"/>
        <v>0</v>
      </c>
      <c r="BI222" s="108">
        <f t="shared" si="270"/>
        <v>0</v>
      </c>
      <c r="BJ222" s="108">
        <f t="shared" si="271"/>
        <v>0</v>
      </c>
    </row>
    <row r="223" spans="1:62" x14ac:dyDescent="0.2">
      <c r="A223" s="117" t="s">
        <v>185</v>
      </c>
      <c r="B223" s="117" t="s">
        <v>2127</v>
      </c>
      <c r="C223" s="304" t="s">
        <v>1272</v>
      </c>
      <c r="D223" s="305"/>
      <c r="E223" s="305"/>
      <c r="F223" s="117" t="s">
        <v>1644</v>
      </c>
      <c r="G223" s="116">
        <v>1</v>
      </c>
      <c r="H223" s="159"/>
      <c r="I223" s="108">
        <f t="shared" si="248"/>
        <v>0</v>
      </c>
      <c r="J223" s="108">
        <f t="shared" si="249"/>
        <v>0</v>
      </c>
      <c r="K223" s="108">
        <f t="shared" si="250"/>
        <v>0</v>
      </c>
      <c r="L223" s="111"/>
      <c r="Z223" s="100">
        <f t="shared" si="251"/>
        <v>0</v>
      </c>
      <c r="AB223" s="100">
        <f t="shared" si="252"/>
        <v>0</v>
      </c>
      <c r="AC223" s="100">
        <f t="shared" si="253"/>
        <v>0</v>
      </c>
      <c r="AD223" s="100">
        <f t="shared" si="254"/>
        <v>0</v>
      </c>
      <c r="AE223" s="100">
        <f t="shared" si="255"/>
        <v>0</v>
      </c>
      <c r="AF223" s="100">
        <f t="shared" si="256"/>
        <v>0</v>
      </c>
      <c r="AG223" s="100">
        <f t="shared" si="257"/>
        <v>0</v>
      </c>
      <c r="AH223" s="100">
        <f t="shared" si="258"/>
        <v>0</v>
      </c>
      <c r="AI223" s="109"/>
      <c r="AJ223" s="108">
        <f t="shared" si="259"/>
        <v>0</v>
      </c>
      <c r="AK223" s="108">
        <f t="shared" si="260"/>
        <v>0</v>
      </c>
      <c r="AL223" s="108">
        <f t="shared" si="261"/>
        <v>0</v>
      </c>
      <c r="AN223" s="100">
        <v>15</v>
      </c>
      <c r="AO223" s="100">
        <f t="shared" si="262"/>
        <v>0</v>
      </c>
      <c r="AP223" s="100">
        <f t="shared" si="263"/>
        <v>0</v>
      </c>
      <c r="AQ223" s="111" t="s">
        <v>13</v>
      </c>
      <c r="AV223" s="100">
        <f t="shared" si="264"/>
        <v>0</v>
      </c>
      <c r="AW223" s="100">
        <f t="shared" si="265"/>
        <v>0</v>
      </c>
      <c r="AX223" s="100">
        <f t="shared" si="266"/>
        <v>0</v>
      </c>
      <c r="AY223" s="110" t="s">
        <v>1708</v>
      </c>
      <c r="AZ223" s="110" t="s">
        <v>1732</v>
      </c>
      <c r="BA223" s="109" t="s">
        <v>1737</v>
      </c>
      <c r="BC223" s="100">
        <f t="shared" si="267"/>
        <v>0</v>
      </c>
      <c r="BD223" s="100">
        <f t="shared" si="268"/>
        <v>0</v>
      </c>
      <c r="BE223" s="100">
        <v>0</v>
      </c>
      <c r="BF223" s="100">
        <f>223</f>
        <v>223</v>
      </c>
      <c r="BH223" s="108">
        <f t="shared" si="269"/>
        <v>0</v>
      </c>
      <c r="BI223" s="108">
        <f t="shared" si="270"/>
        <v>0</v>
      </c>
      <c r="BJ223" s="108">
        <f t="shared" si="271"/>
        <v>0</v>
      </c>
    </row>
    <row r="224" spans="1:62" x14ac:dyDescent="0.2">
      <c r="A224" s="117" t="s">
        <v>186</v>
      </c>
      <c r="B224" s="117" t="s">
        <v>2126</v>
      </c>
      <c r="C224" s="304" t="s">
        <v>1276</v>
      </c>
      <c r="D224" s="305"/>
      <c r="E224" s="305"/>
      <c r="F224" s="117" t="s">
        <v>1644</v>
      </c>
      <c r="G224" s="116">
        <v>1</v>
      </c>
      <c r="H224" s="159"/>
      <c r="I224" s="108">
        <f t="shared" si="248"/>
        <v>0</v>
      </c>
      <c r="J224" s="108">
        <f t="shared" si="249"/>
        <v>0</v>
      </c>
      <c r="K224" s="108">
        <f t="shared" si="250"/>
        <v>0</v>
      </c>
      <c r="L224" s="111"/>
      <c r="Z224" s="100">
        <f t="shared" si="251"/>
        <v>0</v>
      </c>
      <c r="AB224" s="100">
        <f t="shared" si="252"/>
        <v>0</v>
      </c>
      <c r="AC224" s="100">
        <f t="shared" si="253"/>
        <v>0</v>
      </c>
      <c r="AD224" s="100">
        <f t="shared" si="254"/>
        <v>0</v>
      </c>
      <c r="AE224" s="100">
        <f t="shared" si="255"/>
        <v>0</v>
      </c>
      <c r="AF224" s="100">
        <f t="shared" si="256"/>
        <v>0</v>
      </c>
      <c r="AG224" s="100">
        <f t="shared" si="257"/>
        <v>0</v>
      </c>
      <c r="AH224" s="100">
        <f t="shared" si="258"/>
        <v>0</v>
      </c>
      <c r="AI224" s="109"/>
      <c r="AJ224" s="108">
        <f t="shared" si="259"/>
        <v>0</v>
      </c>
      <c r="AK224" s="108">
        <f t="shared" si="260"/>
        <v>0</v>
      </c>
      <c r="AL224" s="108">
        <f t="shared" si="261"/>
        <v>0</v>
      </c>
      <c r="AN224" s="100">
        <v>15</v>
      </c>
      <c r="AO224" s="100">
        <f t="shared" si="262"/>
        <v>0</v>
      </c>
      <c r="AP224" s="100">
        <f t="shared" si="263"/>
        <v>0</v>
      </c>
      <c r="AQ224" s="111" t="s">
        <v>13</v>
      </c>
      <c r="AV224" s="100">
        <f t="shared" si="264"/>
        <v>0</v>
      </c>
      <c r="AW224" s="100">
        <f t="shared" si="265"/>
        <v>0</v>
      </c>
      <c r="AX224" s="100">
        <f t="shared" si="266"/>
        <v>0</v>
      </c>
      <c r="AY224" s="110" t="s">
        <v>1708</v>
      </c>
      <c r="AZ224" s="110" t="s">
        <v>1732</v>
      </c>
      <c r="BA224" s="109" t="s">
        <v>1737</v>
      </c>
      <c r="BC224" s="100">
        <f t="shared" si="267"/>
        <v>0</v>
      </c>
      <c r="BD224" s="100">
        <f t="shared" si="268"/>
        <v>0</v>
      </c>
      <c r="BE224" s="100">
        <v>0</v>
      </c>
      <c r="BF224" s="100">
        <f>224</f>
        <v>224</v>
      </c>
      <c r="BH224" s="108">
        <f t="shared" si="269"/>
        <v>0</v>
      </c>
      <c r="BI224" s="108">
        <f t="shared" si="270"/>
        <v>0</v>
      </c>
      <c r="BJ224" s="108">
        <f t="shared" si="271"/>
        <v>0</v>
      </c>
    </row>
    <row r="225" spans="1:62" x14ac:dyDescent="0.2">
      <c r="A225" s="117" t="s">
        <v>187</v>
      </c>
      <c r="B225" s="117" t="s">
        <v>2125</v>
      </c>
      <c r="C225" s="304" t="s">
        <v>1278</v>
      </c>
      <c r="D225" s="305"/>
      <c r="E225" s="305"/>
      <c r="F225" s="117" t="s">
        <v>1644</v>
      </c>
      <c r="G225" s="116">
        <v>2</v>
      </c>
      <c r="H225" s="159"/>
      <c r="I225" s="108">
        <f t="shared" si="248"/>
        <v>0</v>
      </c>
      <c r="J225" s="108">
        <f t="shared" si="249"/>
        <v>0</v>
      </c>
      <c r="K225" s="108">
        <f t="shared" si="250"/>
        <v>0</v>
      </c>
      <c r="L225" s="111"/>
      <c r="Z225" s="100">
        <f t="shared" si="251"/>
        <v>0</v>
      </c>
      <c r="AB225" s="100">
        <f t="shared" si="252"/>
        <v>0</v>
      </c>
      <c r="AC225" s="100">
        <f t="shared" si="253"/>
        <v>0</v>
      </c>
      <c r="AD225" s="100">
        <f t="shared" si="254"/>
        <v>0</v>
      </c>
      <c r="AE225" s="100">
        <f t="shared" si="255"/>
        <v>0</v>
      </c>
      <c r="AF225" s="100">
        <f t="shared" si="256"/>
        <v>0</v>
      </c>
      <c r="AG225" s="100">
        <f t="shared" si="257"/>
        <v>0</v>
      </c>
      <c r="AH225" s="100">
        <f t="shared" si="258"/>
        <v>0</v>
      </c>
      <c r="AI225" s="109"/>
      <c r="AJ225" s="108">
        <f t="shared" si="259"/>
        <v>0</v>
      </c>
      <c r="AK225" s="108">
        <f t="shared" si="260"/>
        <v>0</v>
      </c>
      <c r="AL225" s="108">
        <f t="shared" si="261"/>
        <v>0</v>
      </c>
      <c r="AN225" s="100">
        <v>15</v>
      </c>
      <c r="AO225" s="100">
        <f t="shared" si="262"/>
        <v>0</v>
      </c>
      <c r="AP225" s="100">
        <f t="shared" si="263"/>
        <v>0</v>
      </c>
      <c r="AQ225" s="111" t="s">
        <v>13</v>
      </c>
      <c r="AV225" s="100">
        <f t="shared" si="264"/>
        <v>0</v>
      </c>
      <c r="AW225" s="100">
        <f t="shared" si="265"/>
        <v>0</v>
      </c>
      <c r="AX225" s="100">
        <f t="shared" si="266"/>
        <v>0</v>
      </c>
      <c r="AY225" s="110" t="s">
        <v>1708</v>
      </c>
      <c r="AZ225" s="110" t="s">
        <v>1732</v>
      </c>
      <c r="BA225" s="109" t="s">
        <v>1737</v>
      </c>
      <c r="BC225" s="100">
        <f t="shared" si="267"/>
        <v>0</v>
      </c>
      <c r="BD225" s="100">
        <f t="shared" si="268"/>
        <v>0</v>
      </c>
      <c r="BE225" s="100">
        <v>0</v>
      </c>
      <c r="BF225" s="100">
        <f>225</f>
        <v>225</v>
      </c>
      <c r="BH225" s="108">
        <f t="shared" si="269"/>
        <v>0</v>
      </c>
      <c r="BI225" s="108">
        <f t="shared" si="270"/>
        <v>0</v>
      </c>
      <c r="BJ225" s="108">
        <f t="shared" si="271"/>
        <v>0</v>
      </c>
    </row>
    <row r="226" spans="1:62" x14ac:dyDescent="0.2">
      <c r="A226" s="117" t="s">
        <v>188</v>
      </c>
      <c r="B226" s="117" t="s">
        <v>2124</v>
      </c>
      <c r="C226" s="304" t="s">
        <v>2123</v>
      </c>
      <c r="D226" s="305"/>
      <c r="E226" s="305"/>
      <c r="F226" s="117" t="s">
        <v>1644</v>
      </c>
      <c r="G226" s="116">
        <v>2</v>
      </c>
      <c r="H226" s="159"/>
      <c r="I226" s="108">
        <f t="shared" si="248"/>
        <v>0</v>
      </c>
      <c r="J226" s="108">
        <f t="shared" si="249"/>
        <v>0</v>
      </c>
      <c r="K226" s="108">
        <f t="shared" si="250"/>
        <v>0</v>
      </c>
      <c r="L226" s="111"/>
      <c r="Z226" s="100">
        <f t="shared" si="251"/>
        <v>0</v>
      </c>
      <c r="AB226" s="100">
        <f t="shared" si="252"/>
        <v>0</v>
      </c>
      <c r="AC226" s="100">
        <f t="shared" si="253"/>
        <v>0</v>
      </c>
      <c r="AD226" s="100">
        <f t="shared" si="254"/>
        <v>0</v>
      </c>
      <c r="AE226" s="100">
        <f t="shared" si="255"/>
        <v>0</v>
      </c>
      <c r="AF226" s="100">
        <f t="shared" si="256"/>
        <v>0</v>
      </c>
      <c r="AG226" s="100">
        <f t="shared" si="257"/>
        <v>0</v>
      </c>
      <c r="AH226" s="100">
        <f t="shared" si="258"/>
        <v>0</v>
      </c>
      <c r="AI226" s="109"/>
      <c r="AJ226" s="108">
        <f t="shared" si="259"/>
        <v>0</v>
      </c>
      <c r="AK226" s="108">
        <f t="shared" si="260"/>
        <v>0</v>
      </c>
      <c r="AL226" s="108">
        <f t="shared" si="261"/>
        <v>0</v>
      </c>
      <c r="AN226" s="100">
        <v>15</v>
      </c>
      <c r="AO226" s="100">
        <f t="shared" si="262"/>
        <v>0</v>
      </c>
      <c r="AP226" s="100">
        <f t="shared" si="263"/>
        <v>0</v>
      </c>
      <c r="AQ226" s="111" t="s">
        <v>13</v>
      </c>
      <c r="AV226" s="100">
        <f t="shared" si="264"/>
        <v>0</v>
      </c>
      <c r="AW226" s="100">
        <f t="shared" si="265"/>
        <v>0</v>
      </c>
      <c r="AX226" s="100">
        <f t="shared" si="266"/>
        <v>0</v>
      </c>
      <c r="AY226" s="110" t="s">
        <v>1708</v>
      </c>
      <c r="AZ226" s="110" t="s">
        <v>1732</v>
      </c>
      <c r="BA226" s="109" t="s">
        <v>1737</v>
      </c>
      <c r="BC226" s="100">
        <f t="shared" si="267"/>
        <v>0</v>
      </c>
      <c r="BD226" s="100">
        <f t="shared" si="268"/>
        <v>0</v>
      </c>
      <c r="BE226" s="100">
        <v>0</v>
      </c>
      <c r="BF226" s="100">
        <f>226</f>
        <v>226</v>
      </c>
      <c r="BH226" s="108">
        <f t="shared" si="269"/>
        <v>0</v>
      </c>
      <c r="BI226" s="108">
        <f t="shared" si="270"/>
        <v>0</v>
      </c>
      <c r="BJ226" s="108">
        <f t="shared" si="271"/>
        <v>0</v>
      </c>
    </row>
    <row r="227" spans="1:62" x14ac:dyDescent="0.2">
      <c r="A227" s="117" t="s">
        <v>189</v>
      </c>
      <c r="B227" s="117" t="s">
        <v>2122</v>
      </c>
      <c r="C227" s="304" t="s">
        <v>1280</v>
      </c>
      <c r="D227" s="305"/>
      <c r="E227" s="305"/>
      <c r="F227" s="117" t="s">
        <v>1646</v>
      </c>
      <c r="G227" s="116">
        <v>10</v>
      </c>
      <c r="H227" s="159"/>
      <c r="I227" s="108">
        <f t="shared" si="248"/>
        <v>0</v>
      </c>
      <c r="J227" s="108">
        <f t="shared" si="249"/>
        <v>0</v>
      </c>
      <c r="K227" s="108">
        <f t="shared" si="250"/>
        <v>0</v>
      </c>
      <c r="L227" s="111"/>
      <c r="Z227" s="100">
        <f t="shared" si="251"/>
        <v>0</v>
      </c>
      <c r="AB227" s="100">
        <f t="shared" si="252"/>
        <v>0</v>
      </c>
      <c r="AC227" s="100">
        <f t="shared" si="253"/>
        <v>0</v>
      </c>
      <c r="AD227" s="100">
        <f t="shared" si="254"/>
        <v>0</v>
      </c>
      <c r="AE227" s="100">
        <f t="shared" si="255"/>
        <v>0</v>
      </c>
      <c r="AF227" s="100">
        <f t="shared" si="256"/>
        <v>0</v>
      </c>
      <c r="AG227" s="100">
        <f t="shared" si="257"/>
        <v>0</v>
      </c>
      <c r="AH227" s="100">
        <f t="shared" si="258"/>
        <v>0</v>
      </c>
      <c r="AI227" s="109"/>
      <c r="AJ227" s="108">
        <f t="shared" si="259"/>
        <v>0</v>
      </c>
      <c r="AK227" s="108">
        <f t="shared" si="260"/>
        <v>0</v>
      </c>
      <c r="AL227" s="108">
        <f t="shared" si="261"/>
        <v>0</v>
      </c>
      <c r="AN227" s="100">
        <v>15</v>
      </c>
      <c r="AO227" s="100">
        <f t="shared" si="262"/>
        <v>0</v>
      </c>
      <c r="AP227" s="100">
        <f t="shared" si="263"/>
        <v>0</v>
      </c>
      <c r="AQ227" s="111" t="s">
        <v>13</v>
      </c>
      <c r="AV227" s="100">
        <f t="shared" si="264"/>
        <v>0</v>
      </c>
      <c r="AW227" s="100">
        <f t="shared" si="265"/>
        <v>0</v>
      </c>
      <c r="AX227" s="100">
        <f t="shared" si="266"/>
        <v>0</v>
      </c>
      <c r="AY227" s="110" t="s">
        <v>1708</v>
      </c>
      <c r="AZ227" s="110" t="s">
        <v>1732</v>
      </c>
      <c r="BA227" s="109" t="s">
        <v>1737</v>
      </c>
      <c r="BC227" s="100">
        <f t="shared" si="267"/>
        <v>0</v>
      </c>
      <c r="BD227" s="100">
        <f t="shared" si="268"/>
        <v>0</v>
      </c>
      <c r="BE227" s="100">
        <v>0</v>
      </c>
      <c r="BF227" s="100">
        <f>227</f>
        <v>227</v>
      </c>
      <c r="BH227" s="108">
        <f t="shared" si="269"/>
        <v>0</v>
      </c>
      <c r="BI227" s="108">
        <f t="shared" si="270"/>
        <v>0</v>
      </c>
      <c r="BJ227" s="108">
        <f t="shared" si="271"/>
        <v>0</v>
      </c>
    </row>
    <row r="228" spans="1:62" x14ac:dyDescent="0.2">
      <c r="A228" s="117" t="s">
        <v>190</v>
      </c>
      <c r="B228" s="117" t="s">
        <v>2121</v>
      </c>
      <c r="C228" s="304" t="s">
        <v>1281</v>
      </c>
      <c r="D228" s="305"/>
      <c r="E228" s="305"/>
      <c r="F228" s="117" t="s">
        <v>1646</v>
      </c>
      <c r="G228" s="116">
        <v>4</v>
      </c>
      <c r="H228" s="159"/>
      <c r="I228" s="108">
        <f t="shared" si="248"/>
        <v>0</v>
      </c>
      <c r="J228" s="108">
        <f t="shared" si="249"/>
        <v>0</v>
      </c>
      <c r="K228" s="108">
        <f t="shared" si="250"/>
        <v>0</v>
      </c>
      <c r="L228" s="111"/>
      <c r="Z228" s="100">
        <f t="shared" si="251"/>
        <v>0</v>
      </c>
      <c r="AB228" s="100">
        <f t="shared" si="252"/>
        <v>0</v>
      </c>
      <c r="AC228" s="100">
        <f t="shared" si="253"/>
        <v>0</v>
      </c>
      <c r="AD228" s="100">
        <f t="shared" si="254"/>
        <v>0</v>
      </c>
      <c r="AE228" s="100">
        <f t="shared" si="255"/>
        <v>0</v>
      </c>
      <c r="AF228" s="100">
        <f t="shared" si="256"/>
        <v>0</v>
      </c>
      <c r="AG228" s="100">
        <f t="shared" si="257"/>
        <v>0</v>
      </c>
      <c r="AH228" s="100">
        <f t="shared" si="258"/>
        <v>0</v>
      </c>
      <c r="AI228" s="109"/>
      <c r="AJ228" s="108">
        <f t="shared" si="259"/>
        <v>0</v>
      </c>
      <c r="AK228" s="108">
        <f t="shared" si="260"/>
        <v>0</v>
      </c>
      <c r="AL228" s="108">
        <f t="shared" si="261"/>
        <v>0</v>
      </c>
      <c r="AN228" s="100">
        <v>15</v>
      </c>
      <c r="AO228" s="100">
        <f t="shared" si="262"/>
        <v>0</v>
      </c>
      <c r="AP228" s="100">
        <f t="shared" si="263"/>
        <v>0</v>
      </c>
      <c r="AQ228" s="111" t="s">
        <v>13</v>
      </c>
      <c r="AV228" s="100">
        <f t="shared" si="264"/>
        <v>0</v>
      </c>
      <c r="AW228" s="100">
        <f t="shared" si="265"/>
        <v>0</v>
      </c>
      <c r="AX228" s="100">
        <f t="shared" si="266"/>
        <v>0</v>
      </c>
      <c r="AY228" s="110" t="s">
        <v>1708</v>
      </c>
      <c r="AZ228" s="110" t="s">
        <v>1732</v>
      </c>
      <c r="BA228" s="109" t="s">
        <v>1737</v>
      </c>
      <c r="BC228" s="100">
        <f t="shared" si="267"/>
        <v>0</v>
      </c>
      <c r="BD228" s="100">
        <f t="shared" si="268"/>
        <v>0</v>
      </c>
      <c r="BE228" s="100">
        <v>0</v>
      </c>
      <c r="BF228" s="100">
        <f>228</f>
        <v>228</v>
      </c>
      <c r="BH228" s="108">
        <f t="shared" si="269"/>
        <v>0</v>
      </c>
      <c r="BI228" s="108">
        <f t="shared" si="270"/>
        <v>0</v>
      </c>
      <c r="BJ228" s="108">
        <f t="shared" si="271"/>
        <v>0</v>
      </c>
    </row>
    <row r="229" spans="1:62" x14ac:dyDescent="0.2">
      <c r="A229" s="117" t="s">
        <v>191</v>
      </c>
      <c r="B229" s="117" t="s">
        <v>2120</v>
      </c>
      <c r="C229" s="304" t="s">
        <v>1282</v>
      </c>
      <c r="D229" s="305"/>
      <c r="E229" s="305"/>
      <c r="F229" s="117" t="s">
        <v>1644</v>
      </c>
      <c r="G229" s="116">
        <v>1</v>
      </c>
      <c r="H229" s="159"/>
      <c r="I229" s="108">
        <f t="shared" si="248"/>
        <v>0</v>
      </c>
      <c r="J229" s="108">
        <f t="shared" si="249"/>
        <v>0</v>
      </c>
      <c r="K229" s="108">
        <f t="shared" si="250"/>
        <v>0</v>
      </c>
      <c r="L229" s="111"/>
      <c r="Z229" s="100">
        <f t="shared" si="251"/>
        <v>0</v>
      </c>
      <c r="AB229" s="100">
        <f t="shared" si="252"/>
        <v>0</v>
      </c>
      <c r="AC229" s="100">
        <f t="shared" si="253"/>
        <v>0</v>
      </c>
      <c r="AD229" s="100">
        <f t="shared" si="254"/>
        <v>0</v>
      </c>
      <c r="AE229" s="100">
        <f t="shared" si="255"/>
        <v>0</v>
      </c>
      <c r="AF229" s="100">
        <f t="shared" si="256"/>
        <v>0</v>
      </c>
      <c r="AG229" s="100">
        <f t="shared" si="257"/>
        <v>0</v>
      </c>
      <c r="AH229" s="100">
        <f t="shared" si="258"/>
        <v>0</v>
      </c>
      <c r="AI229" s="109"/>
      <c r="AJ229" s="108">
        <f t="shared" si="259"/>
        <v>0</v>
      </c>
      <c r="AK229" s="108">
        <f t="shared" si="260"/>
        <v>0</v>
      </c>
      <c r="AL229" s="108">
        <f t="shared" si="261"/>
        <v>0</v>
      </c>
      <c r="AN229" s="100">
        <v>15</v>
      </c>
      <c r="AO229" s="100">
        <f t="shared" si="262"/>
        <v>0</v>
      </c>
      <c r="AP229" s="100">
        <f t="shared" si="263"/>
        <v>0</v>
      </c>
      <c r="AQ229" s="111" t="s">
        <v>13</v>
      </c>
      <c r="AV229" s="100">
        <f t="shared" si="264"/>
        <v>0</v>
      </c>
      <c r="AW229" s="100">
        <f t="shared" si="265"/>
        <v>0</v>
      </c>
      <c r="AX229" s="100">
        <f t="shared" si="266"/>
        <v>0</v>
      </c>
      <c r="AY229" s="110" t="s">
        <v>1708</v>
      </c>
      <c r="AZ229" s="110" t="s">
        <v>1732</v>
      </c>
      <c r="BA229" s="109" t="s">
        <v>1737</v>
      </c>
      <c r="BC229" s="100">
        <f t="shared" si="267"/>
        <v>0</v>
      </c>
      <c r="BD229" s="100">
        <f t="shared" si="268"/>
        <v>0</v>
      </c>
      <c r="BE229" s="100">
        <v>0</v>
      </c>
      <c r="BF229" s="100">
        <f>229</f>
        <v>229</v>
      </c>
      <c r="BH229" s="108">
        <f t="shared" si="269"/>
        <v>0</v>
      </c>
      <c r="BI229" s="108">
        <f t="shared" si="270"/>
        <v>0</v>
      </c>
      <c r="BJ229" s="108">
        <f t="shared" si="271"/>
        <v>0</v>
      </c>
    </row>
    <row r="230" spans="1:62" x14ac:dyDescent="0.2">
      <c r="A230" s="119"/>
      <c r="B230" s="120" t="s">
        <v>771</v>
      </c>
      <c r="C230" s="306" t="s">
        <v>1283</v>
      </c>
      <c r="D230" s="307"/>
      <c r="E230" s="307"/>
      <c r="F230" s="119" t="s">
        <v>6</v>
      </c>
      <c r="G230" s="119" t="s">
        <v>6</v>
      </c>
      <c r="H230" s="119" t="s">
        <v>6</v>
      </c>
      <c r="I230" s="118">
        <f>SUM(I231:I305)</f>
        <v>0</v>
      </c>
      <c r="J230" s="118">
        <f>SUM(J231:J305)</f>
        <v>0</v>
      </c>
      <c r="K230" s="118">
        <f>SUM(K231:K305)</f>
        <v>0</v>
      </c>
      <c r="L230" s="109"/>
      <c r="AI230" s="109"/>
      <c r="AS230" s="118">
        <f>SUM(AJ231:AJ305)</f>
        <v>0</v>
      </c>
      <c r="AT230" s="118">
        <f>SUM(AK231:AK305)</f>
        <v>0</v>
      </c>
      <c r="AU230" s="118">
        <f>SUM(AL231:AL305)</f>
        <v>0</v>
      </c>
    </row>
    <row r="231" spans="1:62" x14ac:dyDescent="0.2">
      <c r="A231" s="117" t="s">
        <v>192</v>
      </c>
      <c r="B231" s="117" t="s">
        <v>2119</v>
      </c>
      <c r="C231" s="304" t="s">
        <v>1284</v>
      </c>
      <c r="D231" s="305"/>
      <c r="E231" s="305"/>
      <c r="F231" s="117" t="s">
        <v>1644</v>
      </c>
      <c r="G231" s="116">
        <v>1</v>
      </c>
      <c r="H231" s="159"/>
      <c r="I231" s="108">
        <f t="shared" ref="I231:I262" si="272">G231*AO231</f>
        <v>0</v>
      </c>
      <c r="J231" s="108">
        <f t="shared" ref="J231:J262" si="273">G231*AP231</f>
        <v>0</v>
      </c>
      <c r="K231" s="108">
        <f t="shared" ref="K231:K262" si="274">G231*H231</f>
        <v>0</v>
      </c>
      <c r="L231" s="111"/>
      <c r="Z231" s="100">
        <f t="shared" ref="Z231:Z262" si="275">IF(AQ231="5",BJ231,0)</f>
        <v>0</v>
      </c>
      <c r="AB231" s="100">
        <f t="shared" ref="AB231:AB262" si="276">IF(AQ231="1",BH231,0)</f>
        <v>0</v>
      </c>
      <c r="AC231" s="100">
        <f t="shared" ref="AC231:AC262" si="277">IF(AQ231="1",BI231,0)</f>
        <v>0</v>
      </c>
      <c r="AD231" s="100">
        <f t="shared" ref="AD231:AD262" si="278">IF(AQ231="7",BH231,0)</f>
        <v>0</v>
      </c>
      <c r="AE231" s="100">
        <f t="shared" ref="AE231:AE262" si="279">IF(AQ231="7",BI231,0)</f>
        <v>0</v>
      </c>
      <c r="AF231" s="100">
        <f t="shared" ref="AF231:AF262" si="280">IF(AQ231="2",BH231,0)</f>
        <v>0</v>
      </c>
      <c r="AG231" s="100">
        <f t="shared" ref="AG231:AG262" si="281">IF(AQ231="2",BI231,0)</f>
        <v>0</v>
      </c>
      <c r="AH231" s="100">
        <f t="shared" ref="AH231:AH262" si="282">IF(AQ231="0",BJ231,0)</f>
        <v>0</v>
      </c>
      <c r="AI231" s="109"/>
      <c r="AJ231" s="108">
        <f t="shared" ref="AJ231:AJ262" si="283">IF(AN231=0,K231,0)</f>
        <v>0</v>
      </c>
      <c r="AK231" s="108">
        <f t="shared" ref="AK231:AK262" si="284">IF(AN231=15,K231,0)</f>
        <v>0</v>
      </c>
      <c r="AL231" s="108">
        <f t="shared" ref="AL231:AL262" si="285">IF(AN231=21,K231,0)</f>
        <v>0</v>
      </c>
      <c r="AN231" s="100">
        <v>15</v>
      </c>
      <c r="AO231" s="100">
        <f t="shared" ref="AO231:AO262" si="286">H231*0</f>
        <v>0</v>
      </c>
      <c r="AP231" s="100">
        <f t="shared" ref="AP231:AP262" si="287">H231*(1-0)</f>
        <v>0</v>
      </c>
      <c r="AQ231" s="111" t="s">
        <v>13</v>
      </c>
      <c r="AV231" s="100">
        <f t="shared" ref="AV231:AV262" si="288">AW231+AX231</f>
        <v>0</v>
      </c>
      <c r="AW231" s="100">
        <f t="shared" ref="AW231:AW262" si="289">G231*AO231</f>
        <v>0</v>
      </c>
      <c r="AX231" s="100">
        <f t="shared" ref="AX231:AX262" si="290">G231*AP231</f>
        <v>0</v>
      </c>
      <c r="AY231" s="110" t="s">
        <v>1709</v>
      </c>
      <c r="AZ231" s="110" t="s">
        <v>1733</v>
      </c>
      <c r="BA231" s="109" t="s">
        <v>1737</v>
      </c>
      <c r="BC231" s="100">
        <f t="shared" ref="BC231:BC262" si="291">AW231+AX231</f>
        <v>0</v>
      </c>
      <c r="BD231" s="100">
        <f t="shared" ref="BD231:BD262" si="292">H231/(100-BE231)*100</f>
        <v>0</v>
      </c>
      <c r="BE231" s="100">
        <v>0</v>
      </c>
      <c r="BF231" s="100">
        <f>231</f>
        <v>231</v>
      </c>
      <c r="BH231" s="108">
        <f t="shared" ref="BH231:BH262" si="293">G231*AO231</f>
        <v>0</v>
      </c>
      <c r="BI231" s="108">
        <f t="shared" ref="BI231:BI262" si="294">G231*AP231</f>
        <v>0</v>
      </c>
      <c r="BJ231" s="108">
        <f t="shared" ref="BJ231:BJ262" si="295">G231*H231</f>
        <v>0</v>
      </c>
    </row>
    <row r="232" spans="1:62" x14ac:dyDescent="0.2">
      <c r="A232" s="117" t="s">
        <v>193</v>
      </c>
      <c r="B232" s="117" t="s">
        <v>2118</v>
      </c>
      <c r="C232" s="304" t="s">
        <v>1285</v>
      </c>
      <c r="D232" s="305"/>
      <c r="E232" s="305"/>
      <c r="F232" s="117" t="s">
        <v>1644</v>
      </c>
      <c r="G232" s="116">
        <v>1</v>
      </c>
      <c r="H232" s="159"/>
      <c r="I232" s="108">
        <f t="shared" si="272"/>
        <v>0</v>
      </c>
      <c r="J232" s="108">
        <f t="shared" si="273"/>
        <v>0</v>
      </c>
      <c r="K232" s="108">
        <f t="shared" si="274"/>
        <v>0</v>
      </c>
      <c r="L232" s="111"/>
      <c r="Z232" s="100">
        <f t="shared" si="275"/>
        <v>0</v>
      </c>
      <c r="AB232" s="100">
        <f t="shared" si="276"/>
        <v>0</v>
      </c>
      <c r="AC232" s="100">
        <f t="shared" si="277"/>
        <v>0</v>
      </c>
      <c r="AD232" s="100">
        <f t="shared" si="278"/>
        <v>0</v>
      </c>
      <c r="AE232" s="100">
        <f t="shared" si="279"/>
        <v>0</v>
      </c>
      <c r="AF232" s="100">
        <f t="shared" si="280"/>
        <v>0</v>
      </c>
      <c r="AG232" s="100">
        <f t="shared" si="281"/>
        <v>0</v>
      </c>
      <c r="AH232" s="100">
        <f t="shared" si="282"/>
        <v>0</v>
      </c>
      <c r="AI232" s="109"/>
      <c r="AJ232" s="108">
        <f t="shared" si="283"/>
        <v>0</v>
      </c>
      <c r="AK232" s="108">
        <f t="shared" si="284"/>
        <v>0</v>
      </c>
      <c r="AL232" s="108">
        <f t="shared" si="285"/>
        <v>0</v>
      </c>
      <c r="AN232" s="100">
        <v>15</v>
      </c>
      <c r="AO232" s="100">
        <f t="shared" si="286"/>
        <v>0</v>
      </c>
      <c r="AP232" s="100">
        <f t="shared" si="287"/>
        <v>0</v>
      </c>
      <c r="AQ232" s="111" t="s">
        <v>13</v>
      </c>
      <c r="AV232" s="100">
        <f t="shared" si="288"/>
        <v>0</v>
      </c>
      <c r="AW232" s="100">
        <f t="shared" si="289"/>
        <v>0</v>
      </c>
      <c r="AX232" s="100">
        <f t="shared" si="290"/>
        <v>0</v>
      </c>
      <c r="AY232" s="110" t="s">
        <v>1709</v>
      </c>
      <c r="AZ232" s="110" t="s">
        <v>1733</v>
      </c>
      <c r="BA232" s="109" t="s">
        <v>1737</v>
      </c>
      <c r="BC232" s="100">
        <f t="shared" si="291"/>
        <v>0</v>
      </c>
      <c r="BD232" s="100">
        <f t="shared" si="292"/>
        <v>0</v>
      </c>
      <c r="BE232" s="100">
        <v>0</v>
      </c>
      <c r="BF232" s="100">
        <f>232</f>
        <v>232</v>
      </c>
      <c r="BH232" s="108">
        <f t="shared" si="293"/>
        <v>0</v>
      </c>
      <c r="BI232" s="108">
        <f t="shared" si="294"/>
        <v>0</v>
      </c>
      <c r="BJ232" s="108">
        <f t="shared" si="295"/>
        <v>0</v>
      </c>
    </row>
    <row r="233" spans="1:62" x14ac:dyDescent="0.2">
      <c r="A233" s="117" t="s">
        <v>194</v>
      </c>
      <c r="B233" s="117" t="s">
        <v>2117</v>
      </c>
      <c r="C233" s="304" t="s">
        <v>1286</v>
      </c>
      <c r="D233" s="305"/>
      <c r="E233" s="305"/>
      <c r="F233" s="117" t="s">
        <v>1644</v>
      </c>
      <c r="G233" s="116">
        <v>2</v>
      </c>
      <c r="H233" s="159"/>
      <c r="I233" s="108">
        <f t="shared" si="272"/>
        <v>0</v>
      </c>
      <c r="J233" s="108">
        <f t="shared" si="273"/>
        <v>0</v>
      </c>
      <c r="K233" s="108">
        <f t="shared" si="274"/>
        <v>0</v>
      </c>
      <c r="L233" s="111"/>
      <c r="Z233" s="100">
        <f t="shared" si="275"/>
        <v>0</v>
      </c>
      <c r="AB233" s="100">
        <f t="shared" si="276"/>
        <v>0</v>
      </c>
      <c r="AC233" s="100">
        <f t="shared" si="277"/>
        <v>0</v>
      </c>
      <c r="AD233" s="100">
        <f t="shared" si="278"/>
        <v>0</v>
      </c>
      <c r="AE233" s="100">
        <f t="shared" si="279"/>
        <v>0</v>
      </c>
      <c r="AF233" s="100">
        <f t="shared" si="280"/>
        <v>0</v>
      </c>
      <c r="AG233" s="100">
        <f t="shared" si="281"/>
        <v>0</v>
      </c>
      <c r="AH233" s="100">
        <f t="shared" si="282"/>
        <v>0</v>
      </c>
      <c r="AI233" s="109"/>
      <c r="AJ233" s="108">
        <f t="shared" si="283"/>
        <v>0</v>
      </c>
      <c r="AK233" s="108">
        <f t="shared" si="284"/>
        <v>0</v>
      </c>
      <c r="AL233" s="108">
        <f t="shared" si="285"/>
        <v>0</v>
      </c>
      <c r="AN233" s="100">
        <v>15</v>
      </c>
      <c r="AO233" s="100">
        <f t="shared" si="286"/>
        <v>0</v>
      </c>
      <c r="AP233" s="100">
        <f t="shared" si="287"/>
        <v>0</v>
      </c>
      <c r="AQ233" s="111" t="s">
        <v>13</v>
      </c>
      <c r="AV233" s="100">
        <f t="shared" si="288"/>
        <v>0</v>
      </c>
      <c r="AW233" s="100">
        <f t="shared" si="289"/>
        <v>0</v>
      </c>
      <c r="AX233" s="100">
        <f t="shared" si="290"/>
        <v>0</v>
      </c>
      <c r="AY233" s="110" t="s">
        <v>1709</v>
      </c>
      <c r="AZ233" s="110" t="s">
        <v>1733</v>
      </c>
      <c r="BA233" s="109" t="s">
        <v>1737</v>
      </c>
      <c r="BC233" s="100">
        <f t="shared" si="291"/>
        <v>0</v>
      </c>
      <c r="BD233" s="100">
        <f t="shared" si="292"/>
        <v>0</v>
      </c>
      <c r="BE233" s="100">
        <v>0</v>
      </c>
      <c r="BF233" s="100">
        <f>233</f>
        <v>233</v>
      </c>
      <c r="BH233" s="108">
        <f t="shared" si="293"/>
        <v>0</v>
      </c>
      <c r="BI233" s="108">
        <f t="shared" si="294"/>
        <v>0</v>
      </c>
      <c r="BJ233" s="108">
        <f t="shared" si="295"/>
        <v>0</v>
      </c>
    </row>
    <row r="234" spans="1:62" x14ac:dyDescent="0.2">
      <c r="A234" s="117" t="s">
        <v>195</v>
      </c>
      <c r="B234" s="117" t="s">
        <v>2116</v>
      </c>
      <c r="C234" s="304" t="s">
        <v>1287</v>
      </c>
      <c r="D234" s="305"/>
      <c r="E234" s="305"/>
      <c r="F234" s="117" t="s">
        <v>1644</v>
      </c>
      <c r="G234" s="116">
        <v>1</v>
      </c>
      <c r="H234" s="159"/>
      <c r="I234" s="108">
        <f t="shared" si="272"/>
        <v>0</v>
      </c>
      <c r="J234" s="108">
        <f t="shared" si="273"/>
        <v>0</v>
      </c>
      <c r="K234" s="108">
        <f t="shared" si="274"/>
        <v>0</v>
      </c>
      <c r="L234" s="111"/>
      <c r="Z234" s="100">
        <f t="shared" si="275"/>
        <v>0</v>
      </c>
      <c r="AB234" s="100">
        <f t="shared" si="276"/>
        <v>0</v>
      </c>
      <c r="AC234" s="100">
        <f t="shared" si="277"/>
        <v>0</v>
      </c>
      <c r="AD234" s="100">
        <f t="shared" si="278"/>
        <v>0</v>
      </c>
      <c r="AE234" s="100">
        <f t="shared" si="279"/>
        <v>0</v>
      </c>
      <c r="AF234" s="100">
        <f t="shared" si="280"/>
        <v>0</v>
      </c>
      <c r="AG234" s="100">
        <f t="shared" si="281"/>
        <v>0</v>
      </c>
      <c r="AH234" s="100">
        <f t="shared" si="282"/>
        <v>0</v>
      </c>
      <c r="AI234" s="109"/>
      <c r="AJ234" s="108">
        <f t="shared" si="283"/>
        <v>0</v>
      </c>
      <c r="AK234" s="108">
        <f t="shared" si="284"/>
        <v>0</v>
      </c>
      <c r="AL234" s="108">
        <f t="shared" si="285"/>
        <v>0</v>
      </c>
      <c r="AN234" s="100">
        <v>15</v>
      </c>
      <c r="AO234" s="100">
        <f t="shared" si="286"/>
        <v>0</v>
      </c>
      <c r="AP234" s="100">
        <f t="shared" si="287"/>
        <v>0</v>
      </c>
      <c r="AQ234" s="111" t="s">
        <v>13</v>
      </c>
      <c r="AV234" s="100">
        <f t="shared" si="288"/>
        <v>0</v>
      </c>
      <c r="AW234" s="100">
        <f t="shared" si="289"/>
        <v>0</v>
      </c>
      <c r="AX234" s="100">
        <f t="shared" si="290"/>
        <v>0</v>
      </c>
      <c r="AY234" s="110" t="s">
        <v>1709</v>
      </c>
      <c r="AZ234" s="110" t="s">
        <v>1733</v>
      </c>
      <c r="BA234" s="109" t="s">
        <v>1737</v>
      </c>
      <c r="BC234" s="100">
        <f t="shared" si="291"/>
        <v>0</v>
      </c>
      <c r="BD234" s="100">
        <f t="shared" si="292"/>
        <v>0</v>
      </c>
      <c r="BE234" s="100">
        <v>0</v>
      </c>
      <c r="BF234" s="100">
        <f>234</f>
        <v>234</v>
      </c>
      <c r="BH234" s="108">
        <f t="shared" si="293"/>
        <v>0</v>
      </c>
      <c r="BI234" s="108">
        <f t="shared" si="294"/>
        <v>0</v>
      </c>
      <c r="BJ234" s="108">
        <f t="shared" si="295"/>
        <v>0</v>
      </c>
    </row>
    <row r="235" spans="1:62" x14ac:dyDescent="0.2">
      <c r="A235" s="117" t="s">
        <v>196</v>
      </c>
      <c r="B235" s="117" t="s">
        <v>2115</v>
      </c>
      <c r="C235" s="304" t="s">
        <v>1288</v>
      </c>
      <c r="D235" s="305"/>
      <c r="E235" s="305"/>
      <c r="F235" s="117" t="s">
        <v>1644</v>
      </c>
      <c r="G235" s="116">
        <v>1</v>
      </c>
      <c r="H235" s="159"/>
      <c r="I235" s="108">
        <f t="shared" si="272"/>
        <v>0</v>
      </c>
      <c r="J235" s="108">
        <f t="shared" si="273"/>
        <v>0</v>
      </c>
      <c r="K235" s="108">
        <f t="shared" si="274"/>
        <v>0</v>
      </c>
      <c r="L235" s="111"/>
      <c r="Z235" s="100">
        <f t="shared" si="275"/>
        <v>0</v>
      </c>
      <c r="AB235" s="100">
        <f t="shared" si="276"/>
        <v>0</v>
      </c>
      <c r="AC235" s="100">
        <f t="shared" si="277"/>
        <v>0</v>
      </c>
      <c r="AD235" s="100">
        <f t="shared" si="278"/>
        <v>0</v>
      </c>
      <c r="AE235" s="100">
        <f t="shared" si="279"/>
        <v>0</v>
      </c>
      <c r="AF235" s="100">
        <f t="shared" si="280"/>
        <v>0</v>
      </c>
      <c r="AG235" s="100">
        <f t="shared" si="281"/>
        <v>0</v>
      </c>
      <c r="AH235" s="100">
        <f t="shared" si="282"/>
        <v>0</v>
      </c>
      <c r="AI235" s="109"/>
      <c r="AJ235" s="108">
        <f t="shared" si="283"/>
        <v>0</v>
      </c>
      <c r="AK235" s="108">
        <f t="shared" si="284"/>
        <v>0</v>
      </c>
      <c r="AL235" s="108">
        <f t="shared" si="285"/>
        <v>0</v>
      </c>
      <c r="AN235" s="100">
        <v>15</v>
      </c>
      <c r="AO235" s="100">
        <f t="shared" si="286"/>
        <v>0</v>
      </c>
      <c r="AP235" s="100">
        <f t="shared" si="287"/>
        <v>0</v>
      </c>
      <c r="AQ235" s="111" t="s">
        <v>13</v>
      </c>
      <c r="AV235" s="100">
        <f t="shared" si="288"/>
        <v>0</v>
      </c>
      <c r="AW235" s="100">
        <f t="shared" si="289"/>
        <v>0</v>
      </c>
      <c r="AX235" s="100">
        <f t="shared" si="290"/>
        <v>0</v>
      </c>
      <c r="AY235" s="110" t="s">
        <v>1709</v>
      </c>
      <c r="AZ235" s="110" t="s">
        <v>1733</v>
      </c>
      <c r="BA235" s="109" t="s">
        <v>1737</v>
      </c>
      <c r="BC235" s="100">
        <f t="shared" si="291"/>
        <v>0</v>
      </c>
      <c r="BD235" s="100">
        <f t="shared" si="292"/>
        <v>0</v>
      </c>
      <c r="BE235" s="100">
        <v>0</v>
      </c>
      <c r="BF235" s="100">
        <f>235</f>
        <v>235</v>
      </c>
      <c r="BH235" s="108">
        <f t="shared" si="293"/>
        <v>0</v>
      </c>
      <c r="BI235" s="108">
        <f t="shared" si="294"/>
        <v>0</v>
      </c>
      <c r="BJ235" s="108">
        <f t="shared" si="295"/>
        <v>0</v>
      </c>
    </row>
    <row r="236" spans="1:62" x14ac:dyDescent="0.2">
      <c r="A236" s="117" t="s">
        <v>197</v>
      </c>
      <c r="B236" s="117" t="s">
        <v>2114</v>
      </c>
      <c r="C236" s="304" t="s">
        <v>1289</v>
      </c>
      <c r="D236" s="305"/>
      <c r="E236" s="305"/>
      <c r="F236" s="117" t="s">
        <v>1644</v>
      </c>
      <c r="G236" s="116">
        <v>3</v>
      </c>
      <c r="H236" s="159"/>
      <c r="I236" s="108">
        <f t="shared" si="272"/>
        <v>0</v>
      </c>
      <c r="J236" s="108">
        <f t="shared" si="273"/>
        <v>0</v>
      </c>
      <c r="K236" s="108">
        <f t="shared" si="274"/>
        <v>0</v>
      </c>
      <c r="L236" s="111"/>
      <c r="Z236" s="100">
        <f t="shared" si="275"/>
        <v>0</v>
      </c>
      <c r="AB236" s="100">
        <f t="shared" si="276"/>
        <v>0</v>
      </c>
      <c r="AC236" s="100">
        <f t="shared" si="277"/>
        <v>0</v>
      </c>
      <c r="AD236" s="100">
        <f t="shared" si="278"/>
        <v>0</v>
      </c>
      <c r="AE236" s="100">
        <f t="shared" si="279"/>
        <v>0</v>
      </c>
      <c r="AF236" s="100">
        <f t="shared" si="280"/>
        <v>0</v>
      </c>
      <c r="AG236" s="100">
        <f t="shared" si="281"/>
        <v>0</v>
      </c>
      <c r="AH236" s="100">
        <f t="shared" si="282"/>
        <v>0</v>
      </c>
      <c r="AI236" s="109"/>
      <c r="AJ236" s="108">
        <f t="shared" si="283"/>
        <v>0</v>
      </c>
      <c r="AK236" s="108">
        <f t="shared" si="284"/>
        <v>0</v>
      </c>
      <c r="AL236" s="108">
        <f t="shared" si="285"/>
        <v>0</v>
      </c>
      <c r="AN236" s="100">
        <v>15</v>
      </c>
      <c r="AO236" s="100">
        <f t="shared" si="286"/>
        <v>0</v>
      </c>
      <c r="AP236" s="100">
        <f t="shared" si="287"/>
        <v>0</v>
      </c>
      <c r="AQ236" s="111" t="s">
        <v>13</v>
      </c>
      <c r="AV236" s="100">
        <f t="shared" si="288"/>
        <v>0</v>
      </c>
      <c r="AW236" s="100">
        <f t="shared" si="289"/>
        <v>0</v>
      </c>
      <c r="AX236" s="100">
        <f t="shared" si="290"/>
        <v>0</v>
      </c>
      <c r="AY236" s="110" t="s">
        <v>1709</v>
      </c>
      <c r="AZ236" s="110" t="s">
        <v>1733</v>
      </c>
      <c r="BA236" s="109" t="s">
        <v>1737</v>
      </c>
      <c r="BC236" s="100">
        <f t="shared" si="291"/>
        <v>0</v>
      </c>
      <c r="BD236" s="100">
        <f t="shared" si="292"/>
        <v>0</v>
      </c>
      <c r="BE236" s="100">
        <v>0</v>
      </c>
      <c r="BF236" s="100">
        <f>236</f>
        <v>236</v>
      </c>
      <c r="BH236" s="108">
        <f t="shared" si="293"/>
        <v>0</v>
      </c>
      <c r="BI236" s="108">
        <f t="shared" si="294"/>
        <v>0</v>
      </c>
      <c r="BJ236" s="108">
        <f t="shared" si="295"/>
        <v>0</v>
      </c>
    </row>
    <row r="237" spans="1:62" x14ac:dyDescent="0.2">
      <c r="A237" s="117" t="s">
        <v>198</v>
      </c>
      <c r="B237" s="117" t="s">
        <v>2113</v>
      </c>
      <c r="C237" s="304" t="s">
        <v>1290</v>
      </c>
      <c r="D237" s="305"/>
      <c r="E237" s="305"/>
      <c r="F237" s="117" t="s">
        <v>1644</v>
      </c>
      <c r="G237" s="116">
        <v>2</v>
      </c>
      <c r="H237" s="159"/>
      <c r="I237" s="108">
        <f t="shared" si="272"/>
        <v>0</v>
      </c>
      <c r="J237" s="108">
        <f t="shared" si="273"/>
        <v>0</v>
      </c>
      <c r="K237" s="108">
        <f t="shared" si="274"/>
        <v>0</v>
      </c>
      <c r="L237" s="111"/>
      <c r="Z237" s="100">
        <f t="shared" si="275"/>
        <v>0</v>
      </c>
      <c r="AB237" s="100">
        <f t="shared" si="276"/>
        <v>0</v>
      </c>
      <c r="AC237" s="100">
        <f t="shared" si="277"/>
        <v>0</v>
      </c>
      <c r="AD237" s="100">
        <f t="shared" si="278"/>
        <v>0</v>
      </c>
      <c r="AE237" s="100">
        <f t="shared" si="279"/>
        <v>0</v>
      </c>
      <c r="AF237" s="100">
        <f t="shared" si="280"/>
        <v>0</v>
      </c>
      <c r="AG237" s="100">
        <f t="shared" si="281"/>
        <v>0</v>
      </c>
      <c r="AH237" s="100">
        <f t="shared" si="282"/>
        <v>0</v>
      </c>
      <c r="AI237" s="109"/>
      <c r="AJ237" s="108">
        <f t="shared" si="283"/>
        <v>0</v>
      </c>
      <c r="AK237" s="108">
        <f t="shared" si="284"/>
        <v>0</v>
      </c>
      <c r="AL237" s="108">
        <f t="shared" si="285"/>
        <v>0</v>
      </c>
      <c r="AN237" s="100">
        <v>15</v>
      </c>
      <c r="AO237" s="100">
        <f t="shared" si="286"/>
        <v>0</v>
      </c>
      <c r="AP237" s="100">
        <f t="shared" si="287"/>
        <v>0</v>
      </c>
      <c r="AQ237" s="111" t="s">
        <v>13</v>
      </c>
      <c r="AV237" s="100">
        <f t="shared" si="288"/>
        <v>0</v>
      </c>
      <c r="AW237" s="100">
        <f t="shared" si="289"/>
        <v>0</v>
      </c>
      <c r="AX237" s="100">
        <f t="shared" si="290"/>
        <v>0</v>
      </c>
      <c r="AY237" s="110" t="s">
        <v>1709</v>
      </c>
      <c r="AZ237" s="110" t="s">
        <v>1733</v>
      </c>
      <c r="BA237" s="109" t="s">
        <v>1737</v>
      </c>
      <c r="BC237" s="100">
        <f t="shared" si="291"/>
        <v>0</v>
      </c>
      <c r="BD237" s="100">
        <f t="shared" si="292"/>
        <v>0</v>
      </c>
      <c r="BE237" s="100">
        <v>0</v>
      </c>
      <c r="BF237" s="100">
        <f>237</f>
        <v>237</v>
      </c>
      <c r="BH237" s="108">
        <f t="shared" si="293"/>
        <v>0</v>
      </c>
      <c r="BI237" s="108">
        <f t="shared" si="294"/>
        <v>0</v>
      </c>
      <c r="BJ237" s="108">
        <f t="shared" si="295"/>
        <v>0</v>
      </c>
    </row>
    <row r="238" spans="1:62" x14ac:dyDescent="0.2">
      <c r="A238" s="117" t="s">
        <v>199</v>
      </c>
      <c r="B238" s="117" t="s">
        <v>2112</v>
      </c>
      <c r="C238" s="304" t="s">
        <v>1291</v>
      </c>
      <c r="D238" s="305"/>
      <c r="E238" s="305"/>
      <c r="F238" s="117" t="s">
        <v>1644</v>
      </c>
      <c r="G238" s="116">
        <v>2</v>
      </c>
      <c r="H238" s="159"/>
      <c r="I238" s="108">
        <f t="shared" si="272"/>
        <v>0</v>
      </c>
      <c r="J238" s="108">
        <f t="shared" si="273"/>
        <v>0</v>
      </c>
      <c r="K238" s="108">
        <f t="shared" si="274"/>
        <v>0</v>
      </c>
      <c r="L238" s="111"/>
      <c r="Z238" s="100">
        <f t="shared" si="275"/>
        <v>0</v>
      </c>
      <c r="AB238" s="100">
        <f t="shared" si="276"/>
        <v>0</v>
      </c>
      <c r="AC238" s="100">
        <f t="shared" si="277"/>
        <v>0</v>
      </c>
      <c r="AD238" s="100">
        <f t="shared" si="278"/>
        <v>0</v>
      </c>
      <c r="AE238" s="100">
        <f t="shared" si="279"/>
        <v>0</v>
      </c>
      <c r="AF238" s="100">
        <f t="shared" si="280"/>
        <v>0</v>
      </c>
      <c r="AG238" s="100">
        <f t="shared" si="281"/>
        <v>0</v>
      </c>
      <c r="AH238" s="100">
        <f t="shared" si="282"/>
        <v>0</v>
      </c>
      <c r="AI238" s="109"/>
      <c r="AJ238" s="108">
        <f t="shared" si="283"/>
        <v>0</v>
      </c>
      <c r="AK238" s="108">
        <f t="shared" si="284"/>
        <v>0</v>
      </c>
      <c r="AL238" s="108">
        <f t="shared" si="285"/>
        <v>0</v>
      </c>
      <c r="AN238" s="100">
        <v>15</v>
      </c>
      <c r="AO238" s="100">
        <f t="shared" si="286"/>
        <v>0</v>
      </c>
      <c r="AP238" s="100">
        <f t="shared" si="287"/>
        <v>0</v>
      </c>
      <c r="AQ238" s="111" t="s">
        <v>13</v>
      </c>
      <c r="AV238" s="100">
        <f t="shared" si="288"/>
        <v>0</v>
      </c>
      <c r="AW238" s="100">
        <f t="shared" si="289"/>
        <v>0</v>
      </c>
      <c r="AX238" s="100">
        <f t="shared" si="290"/>
        <v>0</v>
      </c>
      <c r="AY238" s="110" t="s">
        <v>1709</v>
      </c>
      <c r="AZ238" s="110" t="s">
        <v>1733</v>
      </c>
      <c r="BA238" s="109" t="s">
        <v>1737</v>
      </c>
      <c r="BC238" s="100">
        <f t="shared" si="291"/>
        <v>0</v>
      </c>
      <c r="BD238" s="100">
        <f t="shared" si="292"/>
        <v>0</v>
      </c>
      <c r="BE238" s="100">
        <v>0</v>
      </c>
      <c r="BF238" s="100">
        <f>238</f>
        <v>238</v>
      </c>
      <c r="BH238" s="108">
        <f t="shared" si="293"/>
        <v>0</v>
      </c>
      <c r="BI238" s="108">
        <f t="shared" si="294"/>
        <v>0</v>
      </c>
      <c r="BJ238" s="108">
        <f t="shared" si="295"/>
        <v>0</v>
      </c>
    </row>
    <row r="239" spans="1:62" x14ac:dyDescent="0.2">
      <c r="A239" s="117" t="s">
        <v>200</v>
      </c>
      <c r="B239" s="117" t="s">
        <v>2111</v>
      </c>
      <c r="C239" s="304" t="s">
        <v>1292</v>
      </c>
      <c r="D239" s="305"/>
      <c r="E239" s="305"/>
      <c r="F239" s="117" t="s">
        <v>1644</v>
      </c>
      <c r="G239" s="116">
        <v>1</v>
      </c>
      <c r="H239" s="159"/>
      <c r="I239" s="108">
        <f t="shared" si="272"/>
        <v>0</v>
      </c>
      <c r="J239" s="108">
        <f t="shared" si="273"/>
        <v>0</v>
      </c>
      <c r="K239" s="108">
        <f t="shared" si="274"/>
        <v>0</v>
      </c>
      <c r="L239" s="111"/>
      <c r="Z239" s="100">
        <f t="shared" si="275"/>
        <v>0</v>
      </c>
      <c r="AB239" s="100">
        <f t="shared" si="276"/>
        <v>0</v>
      </c>
      <c r="AC239" s="100">
        <f t="shared" si="277"/>
        <v>0</v>
      </c>
      <c r="AD239" s="100">
        <f t="shared" si="278"/>
        <v>0</v>
      </c>
      <c r="AE239" s="100">
        <f t="shared" si="279"/>
        <v>0</v>
      </c>
      <c r="AF239" s="100">
        <f t="shared" si="280"/>
        <v>0</v>
      </c>
      <c r="AG239" s="100">
        <f t="shared" si="281"/>
        <v>0</v>
      </c>
      <c r="AH239" s="100">
        <f t="shared" si="282"/>
        <v>0</v>
      </c>
      <c r="AI239" s="109"/>
      <c r="AJ239" s="108">
        <f t="shared" si="283"/>
        <v>0</v>
      </c>
      <c r="AK239" s="108">
        <f t="shared" si="284"/>
        <v>0</v>
      </c>
      <c r="AL239" s="108">
        <f t="shared" si="285"/>
        <v>0</v>
      </c>
      <c r="AN239" s="100">
        <v>15</v>
      </c>
      <c r="AO239" s="100">
        <f t="shared" si="286"/>
        <v>0</v>
      </c>
      <c r="AP239" s="100">
        <f t="shared" si="287"/>
        <v>0</v>
      </c>
      <c r="AQ239" s="111" t="s">
        <v>13</v>
      </c>
      <c r="AV239" s="100">
        <f t="shared" si="288"/>
        <v>0</v>
      </c>
      <c r="AW239" s="100">
        <f t="shared" si="289"/>
        <v>0</v>
      </c>
      <c r="AX239" s="100">
        <f t="shared" si="290"/>
        <v>0</v>
      </c>
      <c r="AY239" s="110" t="s">
        <v>1709</v>
      </c>
      <c r="AZ239" s="110" t="s">
        <v>1733</v>
      </c>
      <c r="BA239" s="109" t="s">
        <v>1737</v>
      </c>
      <c r="BC239" s="100">
        <f t="shared" si="291"/>
        <v>0</v>
      </c>
      <c r="BD239" s="100">
        <f t="shared" si="292"/>
        <v>0</v>
      </c>
      <c r="BE239" s="100">
        <v>0</v>
      </c>
      <c r="BF239" s="100">
        <f>239</f>
        <v>239</v>
      </c>
      <c r="BH239" s="108">
        <f t="shared" si="293"/>
        <v>0</v>
      </c>
      <c r="BI239" s="108">
        <f t="shared" si="294"/>
        <v>0</v>
      </c>
      <c r="BJ239" s="108">
        <f t="shared" si="295"/>
        <v>0</v>
      </c>
    </row>
    <row r="240" spans="1:62" x14ac:dyDescent="0.2">
      <c r="A240" s="117" t="s">
        <v>201</v>
      </c>
      <c r="B240" s="117" t="s">
        <v>2110</v>
      </c>
      <c r="C240" s="304" t="s">
        <v>1293</v>
      </c>
      <c r="D240" s="305"/>
      <c r="E240" s="305"/>
      <c r="F240" s="117" t="s">
        <v>1644</v>
      </c>
      <c r="G240" s="116">
        <v>1</v>
      </c>
      <c r="H240" s="159"/>
      <c r="I240" s="108">
        <f t="shared" si="272"/>
        <v>0</v>
      </c>
      <c r="J240" s="108">
        <f t="shared" si="273"/>
        <v>0</v>
      </c>
      <c r="K240" s="108">
        <f t="shared" si="274"/>
        <v>0</v>
      </c>
      <c r="L240" s="111"/>
      <c r="Z240" s="100">
        <f t="shared" si="275"/>
        <v>0</v>
      </c>
      <c r="AB240" s="100">
        <f t="shared" si="276"/>
        <v>0</v>
      </c>
      <c r="AC240" s="100">
        <f t="shared" si="277"/>
        <v>0</v>
      </c>
      <c r="AD240" s="100">
        <f t="shared" si="278"/>
        <v>0</v>
      </c>
      <c r="AE240" s="100">
        <f t="shared" si="279"/>
        <v>0</v>
      </c>
      <c r="AF240" s="100">
        <f t="shared" si="280"/>
        <v>0</v>
      </c>
      <c r="AG240" s="100">
        <f t="shared" si="281"/>
        <v>0</v>
      </c>
      <c r="AH240" s="100">
        <f t="shared" si="282"/>
        <v>0</v>
      </c>
      <c r="AI240" s="109"/>
      <c r="AJ240" s="108">
        <f t="shared" si="283"/>
        <v>0</v>
      </c>
      <c r="AK240" s="108">
        <f t="shared" si="284"/>
        <v>0</v>
      </c>
      <c r="AL240" s="108">
        <f t="shared" si="285"/>
        <v>0</v>
      </c>
      <c r="AN240" s="100">
        <v>15</v>
      </c>
      <c r="AO240" s="100">
        <f t="shared" si="286"/>
        <v>0</v>
      </c>
      <c r="AP240" s="100">
        <f t="shared" si="287"/>
        <v>0</v>
      </c>
      <c r="AQ240" s="111" t="s">
        <v>13</v>
      </c>
      <c r="AV240" s="100">
        <f t="shared" si="288"/>
        <v>0</v>
      </c>
      <c r="AW240" s="100">
        <f t="shared" si="289"/>
        <v>0</v>
      </c>
      <c r="AX240" s="100">
        <f t="shared" si="290"/>
        <v>0</v>
      </c>
      <c r="AY240" s="110" t="s">
        <v>1709</v>
      </c>
      <c r="AZ240" s="110" t="s">
        <v>1733</v>
      </c>
      <c r="BA240" s="109" t="s">
        <v>1737</v>
      </c>
      <c r="BC240" s="100">
        <f t="shared" si="291"/>
        <v>0</v>
      </c>
      <c r="BD240" s="100">
        <f t="shared" si="292"/>
        <v>0</v>
      </c>
      <c r="BE240" s="100">
        <v>0</v>
      </c>
      <c r="BF240" s="100">
        <f>240</f>
        <v>240</v>
      </c>
      <c r="BH240" s="108">
        <f t="shared" si="293"/>
        <v>0</v>
      </c>
      <c r="BI240" s="108">
        <f t="shared" si="294"/>
        <v>0</v>
      </c>
      <c r="BJ240" s="108">
        <f t="shared" si="295"/>
        <v>0</v>
      </c>
    </row>
    <row r="241" spans="1:62" x14ac:dyDescent="0.2">
      <c r="A241" s="117" t="s">
        <v>202</v>
      </c>
      <c r="B241" s="117" t="s">
        <v>2109</v>
      </c>
      <c r="C241" s="304" t="s">
        <v>1294</v>
      </c>
      <c r="D241" s="305"/>
      <c r="E241" s="305"/>
      <c r="F241" s="117" t="s">
        <v>1644</v>
      </c>
      <c r="G241" s="116">
        <v>1</v>
      </c>
      <c r="H241" s="159"/>
      <c r="I241" s="108">
        <f t="shared" si="272"/>
        <v>0</v>
      </c>
      <c r="J241" s="108">
        <f t="shared" si="273"/>
        <v>0</v>
      </c>
      <c r="K241" s="108">
        <f t="shared" si="274"/>
        <v>0</v>
      </c>
      <c r="L241" s="111"/>
      <c r="Z241" s="100">
        <f t="shared" si="275"/>
        <v>0</v>
      </c>
      <c r="AB241" s="100">
        <f t="shared" si="276"/>
        <v>0</v>
      </c>
      <c r="AC241" s="100">
        <f t="shared" si="277"/>
        <v>0</v>
      </c>
      <c r="AD241" s="100">
        <f t="shared" si="278"/>
        <v>0</v>
      </c>
      <c r="AE241" s="100">
        <f t="shared" si="279"/>
        <v>0</v>
      </c>
      <c r="AF241" s="100">
        <f t="shared" si="280"/>
        <v>0</v>
      </c>
      <c r="AG241" s="100">
        <f t="shared" si="281"/>
        <v>0</v>
      </c>
      <c r="AH241" s="100">
        <f t="shared" si="282"/>
        <v>0</v>
      </c>
      <c r="AI241" s="109"/>
      <c r="AJ241" s="108">
        <f t="shared" si="283"/>
        <v>0</v>
      </c>
      <c r="AK241" s="108">
        <f t="shared" si="284"/>
        <v>0</v>
      </c>
      <c r="AL241" s="108">
        <f t="shared" si="285"/>
        <v>0</v>
      </c>
      <c r="AN241" s="100">
        <v>15</v>
      </c>
      <c r="AO241" s="100">
        <f t="shared" si="286"/>
        <v>0</v>
      </c>
      <c r="AP241" s="100">
        <f t="shared" si="287"/>
        <v>0</v>
      </c>
      <c r="AQ241" s="111" t="s">
        <v>13</v>
      </c>
      <c r="AV241" s="100">
        <f t="shared" si="288"/>
        <v>0</v>
      </c>
      <c r="AW241" s="100">
        <f t="shared" si="289"/>
        <v>0</v>
      </c>
      <c r="AX241" s="100">
        <f t="shared" si="290"/>
        <v>0</v>
      </c>
      <c r="AY241" s="110" t="s">
        <v>1709</v>
      </c>
      <c r="AZ241" s="110" t="s">
        <v>1733</v>
      </c>
      <c r="BA241" s="109" t="s">
        <v>1737</v>
      </c>
      <c r="BC241" s="100">
        <f t="shared" si="291"/>
        <v>0</v>
      </c>
      <c r="BD241" s="100">
        <f t="shared" si="292"/>
        <v>0</v>
      </c>
      <c r="BE241" s="100">
        <v>0</v>
      </c>
      <c r="BF241" s="100">
        <f>241</f>
        <v>241</v>
      </c>
      <c r="BH241" s="108">
        <f t="shared" si="293"/>
        <v>0</v>
      </c>
      <c r="BI241" s="108">
        <f t="shared" si="294"/>
        <v>0</v>
      </c>
      <c r="BJ241" s="108">
        <f t="shared" si="295"/>
        <v>0</v>
      </c>
    </row>
    <row r="242" spans="1:62" x14ac:dyDescent="0.2">
      <c r="A242" s="117" t="s">
        <v>203</v>
      </c>
      <c r="B242" s="117" t="s">
        <v>2108</v>
      </c>
      <c r="C242" s="304" t="s">
        <v>1295</v>
      </c>
      <c r="D242" s="305"/>
      <c r="E242" s="305"/>
      <c r="F242" s="117" t="s">
        <v>1644</v>
      </c>
      <c r="G242" s="116">
        <v>1</v>
      </c>
      <c r="H242" s="159"/>
      <c r="I242" s="108">
        <f t="shared" si="272"/>
        <v>0</v>
      </c>
      <c r="J242" s="108">
        <f t="shared" si="273"/>
        <v>0</v>
      </c>
      <c r="K242" s="108">
        <f t="shared" si="274"/>
        <v>0</v>
      </c>
      <c r="L242" s="111"/>
      <c r="Z242" s="100">
        <f t="shared" si="275"/>
        <v>0</v>
      </c>
      <c r="AB242" s="100">
        <f t="shared" si="276"/>
        <v>0</v>
      </c>
      <c r="AC242" s="100">
        <f t="shared" si="277"/>
        <v>0</v>
      </c>
      <c r="AD242" s="100">
        <f t="shared" si="278"/>
        <v>0</v>
      </c>
      <c r="AE242" s="100">
        <f t="shared" si="279"/>
        <v>0</v>
      </c>
      <c r="AF242" s="100">
        <f t="shared" si="280"/>
        <v>0</v>
      </c>
      <c r="AG242" s="100">
        <f t="shared" si="281"/>
        <v>0</v>
      </c>
      <c r="AH242" s="100">
        <f t="shared" si="282"/>
        <v>0</v>
      </c>
      <c r="AI242" s="109"/>
      <c r="AJ242" s="108">
        <f t="shared" si="283"/>
        <v>0</v>
      </c>
      <c r="AK242" s="108">
        <f t="shared" si="284"/>
        <v>0</v>
      </c>
      <c r="AL242" s="108">
        <f t="shared" si="285"/>
        <v>0</v>
      </c>
      <c r="AN242" s="100">
        <v>15</v>
      </c>
      <c r="AO242" s="100">
        <f t="shared" si="286"/>
        <v>0</v>
      </c>
      <c r="AP242" s="100">
        <f t="shared" si="287"/>
        <v>0</v>
      </c>
      <c r="AQ242" s="111" t="s">
        <v>13</v>
      </c>
      <c r="AV242" s="100">
        <f t="shared" si="288"/>
        <v>0</v>
      </c>
      <c r="AW242" s="100">
        <f t="shared" si="289"/>
        <v>0</v>
      </c>
      <c r="AX242" s="100">
        <f t="shared" si="290"/>
        <v>0</v>
      </c>
      <c r="AY242" s="110" t="s">
        <v>1709</v>
      </c>
      <c r="AZ242" s="110" t="s">
        <v>1733</v>
      </c>
      <c r="BA242" s="109" t="s">
        <v>1737</v>
      </c>
      <c r="BC242" s="100">
        <f t="shared" si="291"/>
        <v>0</v>
      </c>
      <c r="BD242" s="100">
        <f t="shared" si="292"/>
        <v>0</v>
      </c>
      <c r="BE242" s="100">
        <v>0</v>
      </c>
      <c r="BF242" s="100">
        <f>242</f>
        <v>242</v>
      </c>
      <c r="BH242" s="108">
        <f t="shared" si="293"/>
        <v>0</v>
      </c>
      <c r="BI242" s="108">
        <f t="shared" si="294"/>
        <v>0</v>
      </c>
      <c r="BJ242" s="108">
        <f t="shared" si="295"/>
        <v>0</v>
      </c>
    </row>
    <row r="243" spans="1:62" x14ac:dyDescent="0.2">
      <c r="A243" s="117" t="s">
        <v>204</v>
      </c>
      <c r="B243" s="117" t="s">
        <v>2107</v>
      </c>
      <c r="C243" s="304" t="s">
        <v>1296</v>
      </c>
      <c r="D243" s="305"/>
      <c r="E243" s="305"/>
      <c r="F243" s="117" t="s">
        <v>1644</v>
      </c>
      <c r="G243" s="116">
        <v>2</v>
      </c>
      <c r="H243" s="159"/>
      <c r="I243" s="108">
        <f t="shared" si="272"/>
        <v>0</v>
      </c>
      <c r="J243" s="108">
        <f t="shared" si="273"/>
        <v>0</v>
      </c>
      <c r="K243" s="108">
        <f t="shared" si="274"/>
        <v>0</v>
      </c>
      <c r="L243" s="111"/>
      <c r="Z243" s="100">
        <f t="shared" si="275"/>
        <v>0</v>
      </c>
      <c r="AB243" s="100">
        <f t="shared" si="276"/>
        <v>0</v>
      </c>
      <c r="AC243" s="100">
        <f t="shared" si="277"/>
        <v>0</v>
      </c>
      <c r="AD243" s="100">
        <f t="shared" si="278"/>
        <v>0</v>
      </c>
      <c r="AE243" s="100">
        <f t="shared" si="279"/>
        <v>0</v>
      </c>
      <c r="AF243" s="100">
        <f t="shared" si="280"/>
        <v>0</v>
      </c>
      <c r="AG243" s="100">
        <f t="shared" si="281"/>
        <v>0</v>
      </c>
      <c r="AH243" s="100">
        <f t="shared" si="282"/>
        <v>0</v>
      </c>
      <c r="AI243" s="109"/>
      <c r="AJ243" s="108">
        <f t="shared" si="283"/>
        <v>0</v>
      </c>
      <c r="AK243" s="108">
        <f t="shared" si="284"/>
        <v>0</v>
      </c>
      <c r="AL243" s="108">
        <f t="shared" si="285"/>
        <v>0</v>
      </c>
      <c r="AN243" s="100">
        <v>15</v>
      </c>
      <c r="AO243" s="100">
        <f t="shared" si="286"/>
        <v>0</v>
      </c>
      <c r="AP243" s="100">
        <f t="shared" si="287"/>
        <v>0</v>
      </c>
      <c r="AQ243" s="111" t="s">
        <v>13</v>
      </c>
      <c r="AV243" s="100">
        <f t="shared" si="288"/>
        <v>0</v>
      </c>
      <c r="AW243" s="100">
        <f t="shared" si="289"/>
        <v>0</v>
      </c>
      <c r="AX243" s="100">
        <f t="shared" si="290"/>
        <v>0</v>
      </c>
      <c r="AY243" s="110" t="s">
        <v>1709</v>
      </c>
      <c r="AZ243" s="110" t="s">
        <v>1733</v>
      </c>
      <c r="BA243" s="109" t="s">
        <v>1737</v>
      </c>
      <c r="BC243" s="100">
        <f t="shared" si="291"/>
        <v>0</v>
      </c>
      <c r="BD243" s="100">
        <f t="shared" si="292"/>
        <v>0</v>
      </c>
      <c r="BE243" s="100">
        <v>0</v>
      </c>
      <c r="BF243" s="100">
        <f>243</f>
        <v>243</v>
      </c>
      <c r="BH243" s="108">
        <f t="shared" si="293"/>
        <v>0</v>
      </c>
      <c r="BI243" s="108">
        <f t="shared" si="294"/>
        <v>0</v>
      </c>
      <c r="BJ243" s="108">
        <f t="shared" si="295"/>
        <v>0</v>
      </c>
    </row>
    <row r="244" spans="1:62" x14ac:dyDescent="0.2">
      <c r="A244" s="117" t="s">
        <v>205</v>
      </c>
      <c r="B244" s="117" t="s">
        <v>2106</v>
      </c>
      <c r="C244" s="304" t="s">
        <v>1297</v>
      </c>
      <c r="D244" s="305"/>
      <c r="E244" s="305"/>
      <c r="F244" s="117" t="s">
        <v>1644</v>
      </c>
      <c r="G244" s="116">
        <v>2</v>
      </c>
      <c r="H244" s="159"/>
      <c r="I244" s="108">
        <f t="shared" si="272"/>
        <v>0</v>
      </c>
      <c r="J244" s="108">
        <f t="shared" si="273"/>
        <v>0</v>
      </c>
      <c r="K244" s="108">
        <f t="shared" si="274"/>
        <v>0</v>
      </c>
      <c r="L244" s="111"/>
      <c r="Z244" s="100">
        <f t="shared" si="275"/>
        <v>0</v>
      </c>
      <c r="AB244" s="100">
        <f t="shared" si="276"/>
        <v>0</v>
      </c>
      <c r="AC244" s="100">
        <f t="shared" si="277"/>
        <v>0</v>
      </c>
      <c r="AD244" s="100">
        <f t="shared" si="278"/>
        <v>0</v>
      </c>
      <c r="AE244" s="100">
        <f t="shared" si="279"/>
        <v>0</v>
      </c>
      <c r="AF244" s="100">
        <f t="shared" si="280"/>
        <v>0</v>
      </c>
      <c r="AG244" s="100">
        <f t="shared" si="281"/>
        <v>0</v>
      </c>
      <c r="AH244" s="100">
        <f t="shared" si="282"/>
        <v>0</v>
      </c>
      <c r="AI244" s="109"/>
      <c r="AJ244" s="108">
        <f t="shared" si="283"/>
        <v>0</v>
      </c>
      <c r="AK244" s="108">
        <f t="shared" si="284"/>
        <v>0</v>
      </c>
      <c r="AL244" s="108">
        <f t="shared" si="285"/>
        <v>0</v>
      </c>
      <c r="AN244" s="100">
        <v>15</v>
      </c>
      <c r="AO244" s="100">
        <f t="shared" si="286"/>
        <v>0</v>
      </c>
      <c r="AP244" s="100">
        <f t="shared" si="287"/>
        <v>0</v>
      </c>
      <c r="AQ244" s="111" t="s">
        <v>13</v>
      </c>
      <c r="AV244" s="100">
        <f t="shared" si="288"/>
        <v>0</v>
      </c>
      <c r="AW244" s="100">
        <f t="shared" si="289"/>
        <v>0</v>
      </c>
      <c r="AX244" s="100">
        <f t="shared" si="290"/>
        <v>0</v>
      </c>
      <c r="AY244" s="110" t="s">
        <v>1709</v>
      </c>
      <c r="AZ244" s="110" t="s">
        <v>1733</v>
      </c>
      <c r="BA244" s="109" t="s">
        <v>1737</v>
      </c>
      <c r="BC244" s="100">
        <f t="shared" si="291"/>
        <v>0</v>
      </c>
      <c r="BD244" s="100">
        <f t="shared" si="292"/>
        <v>0</v>
      </c>
      <c r="BE244" s="100">
        <v>0</v>
      </c>
      <c r="BF244" s="100">
        <f>244</f>
        <v>244</v>
      </c>
      <c r="BH244" s="108">
        <f t="shared" si="293"/>
        <v>0</v>
      </c>
      <c r="BI244" s="108">
        <f t="shared" si="294"/>
        <v>0</v>
      </c>
      <c r="BJ244" s="108">
        <f t="shared" si="295"/>
        <v>0</v>
      </c>
    </row>
    <row r="245" spans="1:62" x14ac:dyDescent="0.2">
      <c r="A245" s="117" t="s">
        <v>206</v>
      </c>
      <c r="B245" s="117" t="s">
        <v>2105</v>
      </c>
      <c r="C245" s="304" t="s">
        <v>1298</v>
      </c>
      <c r="D245" s="305"/>
      <c r="E245" s="305"/>
      <c r="F245" s="117" t="s">
        <v>1644</v>
      </c>
      <c r="G245" s="116">
        <v>1</v>
      </c>
      <c r="H245" s="159"/>
      <c r="I245" s="108">
        <f t="shared" si="272"/>
        <v>0</v>
      </c>
      <c r="J245" s="108">
        <f t="shared" si="273"/>
        <v>0</v>
      </c>
      <c r="K245" s="108">
        <f t="shared" si="274"/>
        <v>0</v>
      </c>
      <c r="L245" s="111"/>
      <c r="Z245" s="100">
        <f t="shared" si="275"/>
        <v>0</v>
      </c>
      <c r="AB245" s="100">
        <f t="shared" si="276"/>
        <v>0</v>
      </c>
      <c r="AC245" s="100">
        <f t="shared" si="277"/>
        <v>0</v>
      </c>
      <c r="AD245" s="100">
        <f t="shared" si="278"/>
        <v>0</v>
      </c>
      <c r="AE245" s="100">
        <f t="shared" si="279"/>
        <v>0</v>
      </c>
      <c r="AF245" s="100">
        <f t="shared" si="280"/>
        <v>0</v>
      </c>
      <c r="AG245" s="100">
        <f t="shared" si="281"/>
        <v>0</v>
      </c>
      <c r="AH245" s="100">
        <f t="shared" si="282"/>
        <v>0</v>
      </c>
      <c r="AI245" s="109"/>
      <c r="AJ245" s="108">
        <f t="shared" si="283"/>
        <v>0</v>
      </c>
      <c r="AK245" s="108">
        <f t="shared" si="284"/>
        <v>0</v>
      </c>
      <c r="AL245" s="108">
        <f t="shared" si="285"/>
        <v>0</v>
      </c>
      <c r="AN245" s="100">
        <v>15</v>
      </c>
      <c r="AO245" s="100">
        <f t="shared" si="286"/>
        <v>0</v>
      </c>
      <c r="AP245" s="100">
        <f t="shared" si="287"/>
        <v>0</v>
      </c>
      <c r="AQ245" s="111" t="s">
        <v>13</v>
      </c>
      <c r="AV245" s="100">
        <f t="shared" si="288"/>
        <v>0</v>
      </c>
      <c r="AW245" s="100">
        <f t="shared" si="289"/>
        <v>0</v>
      </c>
      <c r="AX245" s="100">
        <f t="shared" si="290"/>
        <v>0</v>
      </c>
      <c r="AY245" s="110" t="s">
        <v>1709</v>
      </c>
      <c r="AZ245" s="110" t="s">
        <v>1733</v>
      </c>
      <c r="BA245" s="109" t="s">
        <v>1737</v>
      </c>
      <c r="BC245" s="100">
        <f t="shared" si="291"/>
        <v>0</v>
      </c>
      <c r="BD245" s="100">
        <f t="shared" si="292"/>
        <v>0</v>
      </c>
      <c r="BE245" s="100">
        <v>0</v>
      </c>
      <c r="BF245" s="100">
        <f>245</f>
        <v>245</v>
      </c>
      <c r="BH245" s="108">
        <f t="shared" si="293"/>
        <v>0</v>
      </c>
      <c r="BI245" s="108">
        <f t="shared" si="294"/>
        <v>0</v>
      </c>
      <c r="BJ245" s="108">
        <f t="shared" si="295"/>
        <v>0</v>
      </c>
    </row>
    <row r="246" spans="1:62" x14ac:dyDescent="0.2">
      <c r="A246" s="117" t="s">
        <v>207</v>
      </c>
      <c r="B246" s="117" t="s">
        <v>2104</v>
      </c>
      <c r="C246" s="304" t="s">
        <v>1299</v>
      </c>
      <c r="D246" s="305"/>
      <c r="E246" s="305"/>
      <c r="F246" s="117" t="s">
        <v>1646</v>
      </c>
      <c r="G246" s="116">
        <v>10</v>
      </c>
      <c r="H246" s="159"/>
      <c r="I246" s="108">
        <f t="shared" si="272"/>
        <v>0</v>
      </c>
      <c r="J246" s="108">
        <f t="shared" si="273"/>
        <v>0</v>
      </c>
      <c r="K246" s="108">
        <f t="shared" si="274"/>
        <v>0</v>
      </c>
      <c r="L246" s="111"/>
      <c r="Z246" s="100">
        <f t="shared" si="275"/>
        <v>0</v>
      </c>
      <c r="AB246" s="100">
        <f t="shared" si="276"/>
        <v>0</v>
      </c>
      <c r="AC246" s="100">
        <f t="shared" si="277"/>
        <v>0</v>
      </c>
      <c r="AD246" s="100">
        <f t="shared" si="278"/>
        <v>0</v>
      </c>
      <c r="AE246" s="100">
        <f t="shared" si="279"/>
        <v>0</v>
      </c>
      <c r="AF246" s="100">
        <f t="shared" si="280"/>
        <v>0</v>
      </c>
      <c r="AG246" s="100">
        <f t="shared" si="281"/>
        <v>0</v>
      </c>
      <c r="AH246" s="100">
        <f t="shared" si="282"/>
        <v>0</v>
      </c>
      <c r="AI246" s="109"/>
      <c r="AJ246" s="108">
        <f t="shared" si="283"/>
        <v>0</v>
      </c>
      <c r="AK246" s="108">
        <f t="shared" si="284"/>
        <v>0</v>
      </c>
      <c r="AL246" s="108">
        <f t="shared" si="285"/>
        <v>0</v>
      </c>
      <c r="AN246" s="100">
        <v>15</v>
      </c>
      <c r="AO246" s="100">
        <f t="shared" si="286"/>
        <v>0</v>
      </c>
      <c r="AP246" s="100">
        <f t="shared" si="287"/>
        <v>0</v>
      </c>
      <c r="AQ246" s="111" t="s">
        <v>13</v>
      </c>
      <c r="AV246" s="100">
        <f t="shared" si="288"/>
        <v>0</v>
      </c>
      <c r="AW246" s="100">
        <f t="shared" si="289"/>
        <v>0</v>
      </c>
      <c r="AX246" s="100">
        <f t="shared" si="290"/>
        <v>0</v>
      </c>
      <c r="AY246" s="110" t="s">
        <v>1709</v>
      </c>
      <c r="AZ246" s="110" t="s">
        <v>1733</v>
      </c>
      <c r="BA246" s="109" t="s">
        <v>1737</v>
      </c>
      <c r="BC246" s="100">
        <f t="shared" si="291"/>
        <v>0</v>
      </c>
      <c r="BD246" s="100">
        <f t="shared" si="292"/>
        <v>0</v>
      </c>
      <c r="BE246" s="100">
        <v>0</v>
      </c>
      <c r="BF246" s="100">
        <f>246</f>
        <v>246</v>
      </c>
      <c r="BH246" s="108">
        <f t="shared" si="293"/>
        <v>0</v>
      </c>
      <c r="BI246" s="108">
        <f t="shared" si="294"/>
        <v>0</v>
      </c>
      <c r="BJ246" s="108">
        <f t="shared" si="295"/>
        <v>0</v>
      </c>
    </row>
    <row r="247" spans="1:62" x14ac:dyDescent="0.2">
      <c r="A247" s="117" t="s">
        <v>208</v>
      </c>
      <c r="B247" s="117" t="s">
        <v>2103</v>
      </c>
      <c r="C247" s="304" t="s">
        <v>1300</v>
      </c>
      <c r="D247" s="305"/>
      <c r="E247" s="305"/>
      <c r="F247" s="117" t="s">
        <v>1646</v>
      </c>
      <c r="G247" s="116">
        <v>15</v>
      </c>
      <c r="H247" s="159"/>
      <c r="I247" s="108">
        <f t="shared" si="272"/>
        <v>0</v>
      </c>
      <c r="J247" s="108">
        <f t="shared" si="273"/>
        <v>0</v>
      </c>
      <c r="K247" s="108">
        <f t="shared" si="274"/>
        <v>0</v>
      </c>
      <c r="L247" s="111"/>
      <c r="Z247" s="100">
        <f t="shared" si="275"/>
        <v>0</v>
      </c>
      <c r="AB247" s="100">
        <f t="shared" si="276"/>
        <v>0</v>
      </c>
      <c r="AC247" s="100">
        <f t="shared" si="277"/>
        <v>0</v>
      </c>
      <c r="AD247" s="100">
        <f t="shared" si="278"/>
        <v>0</v>
      </c>
      <c r="AE247" s="100">
        <f t="shared" si="279"/>
        <v>0</v>
      </c>
      <c r="AF247" s="100">
        <f t="shared" si="280"/>
        <v>0</v>
      </c>
      <c r="AG247" s="100">
        <f t="shared" si="281"/>
        <v>0</v>
      </c>
      <c r="AH247" s="100">
        <f t="shared" si="282"/>
        <v>0</v>
      </c>
      <c r="AI247" s="109"/>
      <c r="AJ247" s="108">
        <f t="shared" si="283"/>
        <v>0</v>
      </c>
      <c r="AK247" s="108">
        <f t="shared" si="284"/>
        <v>0</v>
      </c>
      <c r="AL247" s="108">
        <f t="shared" si="285"/>
        <v>0</v>
      </c>
      <c r="AN247" s="100">
        <v>15</v>
      </c>
      <c r="AO247" s="100">
        <f t="shared" si="286"/>
        <v>0</v>
      </c>
      <c r="AP247" s="100">
        <f t="shared" si="287"/>
        <v>0</v>
      </c>
      <c r="AQ247" s="111" t="s">
        <v>13</v>
      </c>
      <c r="AV247" s="100">
        <f t="shared" si="288"/>
        <v>0</v>
      </c>
      <c r="AW247" s="100">
        <f t="shared" si="289"/>
        <v>0</v>
      </c>
      <c r="AX247" s="100">
        <f t="shared" si="290"/>
        <v>0</v>
      </c>
      <c r="AY247" s="110" t="s">
        <v>1709</v>
      </c>
      <c r="AZ247" s="110" t="s">
        <v>1733</v>
      </c>
      <c r="BA247" s="109" t="s">
        <v>1737</v>
      </c>
      <c r="BC247" s="100">
        <f t="shared" si="291"/>
        <v>0</v>
      </c>
      <c r="BD247" s="100">
        <f t="shared" si="292"/>
        <v>0</v>
      </c>
      <c r="BE247" s="100">
        <v>0</v>
      </c>
      <c r="BF247" s="100">
        <f>247</f>
        <v>247</v>
      </c>
      <c r="BH247" s="108">
        <f t="shared" si="293"/>
        <v>0</v>
      </c>
      <c r="BI247" s="108">
        <f t="shared" si="294"/>
        <v>0</v>
      </c>
      <c r="BJ247" s="108">
        <f t="shared" si="295"/>
        <v>0</v>
      </c>
    </row>
    <row r="248" spans="1:62" x14ac:dyDescent="0.2">
      <c r="A248" s="117" t="s">
        <v>209</v>
      </c>
      <c r="B248" s="117" t="s">
        <v>2102</v>
      </c>
      <c r="C248" s="304" t="s">
        <v>1301</v>
      </c>
      <c r="D248" s="305"/>
      <c r="E248" s="305"/>
      <c r="F248" s="117" t="s">
        <v>1646</v>
      </c>
      <c r="G248" s="116">
        <v>10</v>
      </c>
      <c r="H248" s="159"/>
      <c r="I248" s="108">
        <f t="shared" si="272"/>
        <v>0</v>
      </c>
      <c r="J248" s="108">
        <f t="shared" si="273"/>
        <v>0</v>
      </c>
      <c r="K248" s="108">
        <f t="shared" si="274"/>
        <v>0</v>
      </c>
      <c r="L248" s="111"/>
      <c r="Z248" s="100">
        <f t="shared" si="275"/>
        <v>0</v>
      </c>
      <c r="AB248" s="100">
        <f t="shared" si="276"/>
        <v>0</v>
      </c>
      <c r="AC248" s="100">
        <f t="shared" si="277"/>
        <v>0</v>
      </c>
      <c r="AD248" s="100">
        <f t="shared" si="278"/>
        <v>0</v>
      </c>
      <c r="AE248" s="100">
        <f t="shared" si="279"/>
        <v>0</v>
      </c>
      <c r="AF248" s="100">
        <f t="shared" si="280"/>
        <v>0</v>
      </c>
      <c r="AG248" s="100">
        <f t="shared" si="281"/>
        <v>0</v>
      </c>
      <c r="AH248" s="100">
        <f t="shared" si="282"/>
        <v>0</v>
      </c>
      <c r="AI248" s="109"/>
      <c r="AJ248" s="108">
        <f t="shared" si="283"/>
        <v>0</v>
      </c>
      <c r="AK248" s="108">
        <f t="shared" si="284"/>
        <v>0</v>
      </c>
      <c r="AL248" s="108">
        <f t="shared" si="285"/>
        <v>0</v>
      </c>
      <c r="AN248" s="100">
        <v>15</v>
      </c>
      <c r="AO248" s="100">
        <f t="shared" si="286"/>
        <v>0</v>
      </c>
      <c r="AP248" s="100">
        <f t="shared" si="287"/>
        <v>0</v>
      </c>
      <c r="AQ248" s="111" t="s">
        <v>13</v>
      </c>
      <c r="AV248" s="100">
        <f t="shared" si="288"/>
        <v>0</v>
      </c>
      <c r="AW248" s="100">
        <f t="shared" si="289"/>
        <v>0</v>
      </c>
      <c r="AX248" s="100">
        <f t="shared" si="290"/>
        <v>0</v>
      </c>
      <c r="AY248" s="110" t="s">
        <v>1709</v>
      </c>
      <c r="AZ248" s="110" t="s">
        <v>1733</v>
      </c>
      <c r="BA248" s="109" t="s">
        <v>1737</v>
      </c>
      <c r="BC248" s="100">
        <f t="shared" si="291"/>
        <v>0</v>
      </c>
      <c r="BD248" s="100">
        <f t="shared" si="292"/>
        <v>0</v>
      </c>
      <c r="BE248" s="100">
        <v>0</v>
      </c>
      <c r="BF248" s="100">
        <f>248</f>
        <v>248</v>
      </c>
      <c r="BH248" s="108">
        <f t="shared" si="293"/>
        <v>0</v>
      </c>
      <c r="BI248" s="108">
        <f t="shared" si="294"/>
        <v>0</v>
      </c>
      <c r="BJ248" s="108">
        <f t="shared" si="295"/>
        <v>0</v>
      </c>
    </row>
    <row r="249" spans="1:62" x14ac:dyDescent="0.2">
      <c r="A249" s="117" t="s">
        <v>210</v>
      </c>
      <c r="B249" s="117" t="s">
        <v>2101</v>
      </c>
      <c r="C249" s="304" t="s">
        <v>1302</v>
      </c>
      <c r="D249" s="305"/>
      <c r="E249" s="305"/>
      <c r="F249" s="117" t="s">
        <v>1644</v>
      </c>
      <c r="G249" s="116">
        <v>1</v>
      </c>
      <c r="H249" s="159"/>
      <c r="I249" s="108">
        <f t="shared" si="272"/>
        <v>0</v>
      </c>
      <c r="J249" s="108">
        <f t="shared" si="273"/>
        <v>0</v>
      </c>
      <c r="K249" s="108">
        <f t="shared" si="274"/>
        <v>0</v>
      </c>
      <c r="L249" s="111"/>
      <c r="Z249" s="100">
        <f t="shared" si="275"/>
        <v>0</v>
      </c>
      <c r="AB249" s="100">
        <f t="shared" si="276"/>
        <v>0</v>
      </c>
      <c r="AC249" s="100">
        <f t="shared" si="277"/>
        <v>0</v>
      </c>
      <c r="AD249" s="100">
        <f t="shared" si="278"/>
        <v>0</v>
      </c>
      <c r="AE249" s="100">
        <f t="shared" si="279"/>
        <v>0</v>
      </c>
      <c r="AF249" s="100">
        <f t="shared" si="280"/>
        <v>0</v>
      </c>
      <c r="AG249" s="100">
        <f t="shared" si="281"/>
        <v>0</v>
      </c>
      <c r="AH249" s="100">
        <f t="shared" si="282"/>
        <v>0</v>
      </c>
      <c r="AI249" s="109"/>
      <c r="AJ249" s="108">
        <f t="shared" si="283"/>
        <v>0</v>
      </c>
      <c r="AK249" s="108">
        <f t="shared" si="284"/>
        <v>0</v>
      </c>
      <c r="AL249" s="108">
        <f t="shared" si="285"/>
        <v>0</v>
      </c>
      <c r="AN249" s="100">
        <v>15</v>
      </c>
      <c r="AO249" s="100">
        <f t="shared" si="286"/>
        <v>0</v>
      </c>
      <c r="AP249" s="100">
        <f t="shared" si="287"/>
        <v>0</v>
      </c>
      <c r="AQ249" s="111" t="s">
        <v>13</v>
      </c>
      <c r="AV249" s="100">
        <f t="shared" si="288"/>
        <v>0</v>
      </c>
      <c r="AW249" s="100">
        <f t="shared" si="289"/>
        <v>0</v>
      </c>
      <c r="AX249" s="100">
        <f t="shared" si="290"/>
        <v>0</v>
      </c>
      <c r="AY249" s="110" t="s">
        <v>1709</v>
      </c>
      <c r="AZ249" s="110" t="s">
        <v>1733</v>
      </c>
      <c r="BA249" s="109" t="s">
        <v>1737</v>
      </c>
      <c r="BC249" s="100">
        <f t="shared" si="291"/>
        <v>0</v>
      </c>
      <c r="BD249" s="100">
        <f t="shared" si="292"/>
        <v>0</v>
      </c>
      <c r="BE249" s="100">
        <v>0</v>
      </c>
      <c r="BF249" s="100">
        <f>249</f>
        <v>249</v>
      </c>
      <c r="BH249" s="108">
        <f t="shared" si="293"/>
        <v>0</v>
      </c>
      <c r="BI249" s="108">
        <f t="shared" si="294"/>
        <v>0</v>
      </c>
      <c r="BJ249" s="108">
        <f t="shared" si="295"/>
        <v>0</v>
      </c>
    </row>
    <row r="250" spans="1:62" x14ac:dyDescent="0.2">
      <c r="A250" s="117" t="s">
        <v>211</v>
      </c>
      <c r="B250" s="117" t="s">
        <v>2100</v>
      </c>
      <c r="C250" s="304" t="s">
        <v>1303</v>
      </c>
      <c r="D250" s="305"/>
      <c r="E250" s="305"/>
      <c r="F250" s="117" t="s">
        <v>1644</v>
      </c>
      <c r="G250" s="116">
        <v>1</v>
      </c>
      <c r="H250" s="159"/>
      <c r="I250" s="108">
        <f t="shared" si="272"/>
        <v>0</v>
      </c>
      <c r="J250" s="108">
        <f t="shared" si="273"/>
        <v>0</v>
      </c>
      <c r="K250" s="108">
        <f t="shared" si="274"/>
        <v>0</v>
      </c>
      <c r="L250" s="111"/>
      <c r="Z250" s="100">
        <f t="shared" si="275"/>
        <v>0</v>
      </c>
      <c r="AB250" s="100">
        <f t="shared" si="276"/>
        <v>0</v>
      </c>
      <c r="AC250" s="100">
        <f t="shared" si="277"/>
        <v>0</v>
      </c>
      <c r="AD250" s="100">
        <f t="shared" si="278"/>
        <v>0</v>
      </c>
      <c r="AE250" s="100">
        <f t="shared" si="279"/>
        <v>0</v>
      </c>
      <c r="AF250" s="100">
        <f t="shared" si="280"/>
        <v>0</v>
      </c>
      <c r="AG250" s="100">
        <f t="shared" si="281"/>
        <v>0</v>
      </c>
      <c r="AH250" s="100">
        <f t="shared" si="282"/>
        <v>0</v>
      </c>
      <c r="AI250" s="109"/>
      <c r="AJ250" s="108">
        <f t="shared" si="283"/>
        <v>0</v>
      </c>
      <c r="AK250" s="108">
        <f t="shared" si="284"/>
        <v>0</v>
      </c>
      <c r="AL250" s="108">
        <f t="shared" si="285"/>
        <v>0</v>
      </c>
      <c r="AN250" s="100">
        <v>15</v>
      </c>
      <c r="AO250" s="100">
        <f t="shared" si="286"/>
        <v>0</v>
      </c>
      <c r="AP250" s="100">
        <f t="shared" si="287"/>
        <v>0</v>
      </c>
      <c r="AQ250" s="111" t="s">
        <v>13</v>
      </c>
      <c r="AV250" s="100">
        <f t="shared" si="288"/>
        <v>0</v>
      </c>
      <c r="AW250" s="100">
        <f t="shared" si="289"/>
        <v>0</v>
      </c>
      <c r="AX250" s="100">
        <f t="shared" si="290"/>
        <v>0</v>
      </c>
      <c r="AY250" s="110" t="s">
        <v>1709</v>
      </c>
      <c r="AZ250" s="110" t="s">
        <v>1733</v>
      </c>
      <c r="BA250" s="109" t="s">
        <v>1737</v>
      </c>
      <c r="BC250" s="100">
        <f t="shared" si="291"/>
        <v>0</v>
      </c>
      <c r="BD250" s="100">
        <f t="shared" si="292"/>
        <v>0</v>
      </c>
      <c r="BE250" s="100">
        <v>0</v>
      </c>
      <c r="BF250" s="100">
        <f>250</f>
        <v>250</v>
      </c>
      <c r="BH250" s="108">
        <f t="shared" si="293"/>
        <v>0</v>
      </c>
      <c r="BI250" s="108">
        <f t="shared" si="294"/>
        <v>0</v>
      </c>
      <c r="BJ250" s="108">
        <f t="shared" si="295"/>
        <v>0</v>
      </c>
    </row>
    <row r="251" spans="1:62" x14ac:dyDescent="0.2">
      <c r="A251" s="117" t="s">
        <v>212</v>
      </c>
      <c r="B251" s="117" t="s">
        <v>2099</v>
      </c>
      <c r="C251" s="304" t="s">
        <v>1304</v>
      </c>
      <c r="D251" s="305"/>
      <c r="E251" s="305"/>
      <c r="F251" s="117" t="s">
        <v>1644</v>
      </c>
      <c r="G251" s="116">
        <v>1</v>
      </c>
      <c r="H251" s="159"/>
      <c r="I251" s="108">
        <f t="shared" si="272"/>
        <v>0</v>
      </c>
      <c r="J251" s="108">
        <f t="shared" si="273"/>
        <v>0</v>
      </c>
      <c r="K251" s="108">
        <f t="shared" si="274"/>
        <v>0</v>
      </c>
      <c r="L251" s="111"/>
      <c r="Z251" s="100">
        <f t="shared" si="275"/>
        <v>0</v>
      </c>
      <c r="AB251" s="100">
        <f t="shared" si="276"/>
        <v>0</v>
      </c>
      <c r="AC251" s="100">
        <f t="shared" si="277"/>
        <v>0</v>
      </c>
      <c r="AD251" s="100">
        <f t="shared" si="278"/>
        <v>0</v>
      </c>
      <c r="AE251" s="100">
        <f t="shared" si="279"/>
        <v>0</v>
      </c>
      <c r="AF251" s="100">
        <f t="shared" si="280"/>
        <v>0</v>
      </c>
      <c r="AG251" s="100">
        <f t="shared" si="281"/>
        <v>0</v>
      </c>
      <c r="AH251" s="100">
        <f t="shared" si="282"/>
        <v>0</v>
      </c>
      <c r="AI251" s="109"/>
      <c r="AJ251" s="108">
        <f t="shared" si="283"/>
        <v>0</v>
      </c>
      <c r="AK251" s="108">
        <f t="shared" si="284"/>
        <v>0</v>
      </c>
      <c r="AL251" s="108">
        <f t="shared" si="285"/>
        <v>0</v>
      </c>
      <c r="AN251" s="100">
        <v>15</v>
      </c>
      <c r="AO251" s="100">
        <f t="shared" si="286"/>
        <v>0</v>
      </c>
      <c r="AP251" s="100">
        <f t="shared" si="287"/>
        <v>0</v>
      </c>
      <c r="AQ251" s="111" t="s">
        <v>13</v>
      </c>
      <c r="AV251" s="100">
        <f t="shared" si="288"/>
        <v>0</v>
      </c>
      <c r="AW251" s="100">
        <f t="shared" si="289"/>
        <v>0</v>
      </c>
      <c r="AX251" s="100">
        <f t="shared" si="290"/>
        <v>0</v>
      </c>
      <c r="AY251" s="110" t="s">
        <v>1709</v>
      </c>
      <c r="AZ251" s="110" t="s">
        <v>1733</v>
      </c>
      <c r="BA251" s="109" t="s">
        <v>1737</v>
      </c>
      <c r="BC251" s="100">
        <f t="shared" si="291"/>
        <v>0</v>
      </c>
      <c r="BD251" s="100">
        <f t="shared" si="292"/>
        <v>0</v>
      </c>
      <c r="BE251" s="100">
        <v>0</v>
      </c>
      <c r="BF251" s="100">
        <f>251</f>
        <v>251</v>
      </c>
      <c r="BH251" s="108">
        <f t="shared" si="293"/>
        <v>0</v>
      </c>
      <c r="BI251" s="108">
        <f t="shared" si="294"/>
        <v>0</v>
      </c>
      <c r="BJ251" s="108">
        <f t="shared" si="295"/>
        <v>0</v>
      </c>
    </row>
    <row r="252" spans="1:62" x14ac:dyDescent="0.2">
      <c r="A252" s="117" t="s">
        <v>213</v>
      </c>
      <c r="B252" s="117" t="s">
        <v>2098</v>
      </c>
      <c r="C252" s="304" t="s">
        <v>1305</v>
      </c>
      <c r="D252" s="305"/>
      <c r="E252" s="305"/>
      <c r="F252" s="117" t="s">
        <v>1644</v>
      </c>
      <c r="G252" s="116">
        <v>1</v>
      </c>
      <c r="H252" s="159"/>
      <c r="I252" s="108">
        <f t="shared" si="272"/>
        <v>0</v>
      </c>
      <c r="J252" s="108">
        <f t="shared" si="273"/>
        <v>0</v>
      </c>
      <c r="K252" s="108">
        <f t="shared" si="274"/>
        <v>0</v>
      </c>
      <c r="L252" s="111"/>
      <c r="Z252" s="100">
        <f t="shared" si="275"/>
        <v>0</v>
      </c>
      <c r="AB252" s="100">
        <f t="shared" si="276"/>
        <v>0</v>
      </c>
      <c r="AC252" s="100">
        <f t="shared" si="277"/>
        <v>0</v>
      </c>
      <c r="AD252" s="100">
        <f t="shared" si="278"/>
        <v>0</v>
      </c>
      <c r="AE252" s="100">
        <f t="shared" si="279"/>
        <v>0</v>
      </c>
      <c r="AF252" s="100">
        <f t="shared" si="280"/>
        <v>0</v>
      </c>
      <c r="AG252" s="100">
        <f t="shared" si="281"/>
        <v>0</v>
      </c>
      <c r="AH252" s="100">
        <f t="shared" si="282"/>
        <v>0</v>
      </c>
      <c r="AI252" s="109"/>
      <c r="AJ252" s="108">
        <f t="shared" si="283"/>
        <v>0</v>
      </c>
      <c r="AK252" s="108">
        <f t="shared" si="284"/>
        <v>0</v>
      </c>
      <c r="AL252" s="108">
        <f t="shared" si="285"/>
        <v>0</v>
      </c>
      <c r="AN252" s="100">
        <v>15</v>
      </c>
      <c r="AO252" s="100">
        <f t="shared" si="286"/>
        <v>0</v>
      </c>
      <c r="AP252" s="100">
        <f t="shared" si="287"/>
        <v>0</v>
      </c>
      <c r="AQ252" s="111" t="s">
        <v>13</v>
      </c>
      <c r="AV252" s="100">
        <f t="shared" si="288"/>
        <v>0</v>
      </c>
      <c r="AW252" s="100">
        <f t="shared" si="289"/>
        <v>0</v>
      </c>
      <c r="AX252" s="100">
        <f t="shared" si="290"/>
        <v>0</v>
      </c>
      <c r="AY252" s="110" t="s">
        <v>1709</v>
      </c>
      <c r="AZ252" s="110" t="s">
        <v>1733</v>
      </c>
      <c r="BA252" s="109" t="s">
        <v>1737</v>
      </c>
      <c r="BC252" s="100">
        <f t="shared" si="291"/>
        <v>0</v>
      </c>
      <c r="BD252" s="100">
        <f t="shared" si="292"/>
        <v>0</v>
      </c>
      <c r="BE252" s="100">
        <v>0</v>
      </c>
      <c r="BF252" s="100">
        <f>252</f>
        <v>252</v>
      </c>
      <c r="BH252" s="108">
        <f t="shared" si="293"/>
        <v>0</v>
      </c>
      <c r="BI252" s="108">
        <f t="shared" si="294"/>
        <v>0</v>
      </c>
      <c r="BJ252" s="108">
        <f t="shared" si="295"/>
        <v>0</v>
      </c>
    </row>
    <row r="253" spans="1:62" x14ac:dyDescent="0.2">
      <c r="A253" s="117" t="s">
        <v>214</v>
      </c>
      <c r="B253" s="117" t="s">
        <v>2097</v>
      </c>
      <c r="C253" s="304" t="s">
        <v>1306</v>
      </c>
      <c r="D253" s="305"/>
      <c r="E253" s="305"/>
      <c r="F253" s="117" t="s">
        <v>1646</v>
      </c>
      <c r="G253" s="116">
        <v>15</v>
      </c>
      <c r="H253" s="159"/>
      <c r="I253" s="108">
        <f t="shared" si="272"/>
        <v>0</v>
      </c>
      <c r="J253" s="108">
        <f t="shared" si="273"/>
        <v>0</v>
      </c>
      <c r="K253" s="108">
        <f t="shared" si="274"/>
        <v>0</v>
      </c>
      <c r="L253" s="111"/>
      <c r="Z253" s="100">
        <f t="shared" si="275"/>
        <v>0</v>
      </c>
      <c r="AB253" s="100">
        <f t="shared" si="276"/>
        <v>0</v>
      </c>
      <c r="AC253" s="100">
        <f t="shared" si="277"/>
        <v>0</v>
      </c>
      <c r="AD253" s="100">
        <f t="shared" si="278"/>
        <v>0</v>
      </c>
      <c r="AE253" s="100">
        <f t="shared" si="279"/>
        <v>0</v>
      </c>
      <c r="AF253" s="100">
        <f t="shared" si="280"/>
        <v>0</v>
      </c>
      <c r="AG253" s="100">
        <f t="shared" si="281"/>
        <v>0</v>
      </c>
      <c r="AH253" s="100">
        <f t="shared" si="282"/>
        <v>0</v>
      </c>
      <c r="AI253" s="109"/>
      <c r="AJ253" s="108">
        <f t="shared" si="283"/>
        <v>0</v>
      </c>
      <c r="AK253" s="108">
        <f t="shared" si="284"/>
        <v>0</v>
      </c>
      <c r="AL253" s="108">
        <f t="shared" si="285"/>
        <v>0</v>
      </c>
      <c r="AN253" s="100">
        <v>15</v>
      </c>
      <c r="AO253" s="100">
        <f t="shared" si="286"/>
        <v>0</v>
      </c>
      <c r="AP253" s="100">
        <f t="shared" si="287"/>
        <v>0</v>
      </c>
      <c r="AQ253" s="111" t="s">
        <v>13</v>
      </c>
      <c r="AV253" s="100">
        <f t="shared" si="288"/>
        <v>0</v>
      </c>
      <c r="AW253" s="100">
        <f t="shared" si="289"/>
        <v>0</v>
      </c>
      <c r="AX253" s="100">
        <f t="shared" si="290"/>
        <v>0</v>
      </c>
      <c r="AY253" s="110" t="s">
        <v>1709</v>
      </c>
      <c r="AZ253" s="110" t="s">
        <v>1733</v>
      </c>
      <c r="BA253" s="109" t="s">
        <v>1737</v>
      </c>
      <c r="BC253" s="100">
        <f t="shared" si="291"/>
        <v>0</v>
      </c>
      <c r="BD253" s="100">
        <f t="shared" si="292"/>
        <v>0</v>
      </c>
      <c r="BE253" s="100">
        <v>0</v>
      </c>
      <c r="BF253" s="100">
        <f>253</f>
        <v>253</v>
      </c>
      <c r="BH253" s="108">
        <f t="shared" si="293"/>
        <v>0</v>
      </c>
      <c r="BI253" s="108">
        <f t="shared" si="294"/>
        <v>0</v>
      </c>
      <c r="BJ253" s="108">
        <f t="shared" si="295"/>
        <v>0</v>
      </c>
    </row>
    <row r="254" spans="1:62" x14ac:dyDescent="0.2">
      <c r="A254" s="117" t="s">
        <v>215</v>
      </c>
      <c r="B254" s="117" t="s">
        <v>2096</v>
      </c>
      <c r="C254" s="304" t="s">
        <v>1286</v>
      </c>
      <c r="D254" s="305"/>
      <c r="E254" s="305"/>
      <c r="F254" s="117" t="s">
        <v>1644</v>
      </c>
      <c r="G254" s="116">
        <v>2</v>
      </c>
      <c r="H254" s="159"/>
      <c r="I254" s="108">
        <f t="shared" si="272"/>
        <v>0</v>
      </c>
      <c r="J254" s="108">
        <f t="shared" si="273"/>
        <v>0</v>
      </c>
      <c r="K254" s="108">
        <f t="shared" si="274"/>
        <v>0</v>
      </c>
      <c r="L254" s="111"/>
      <c r="Z254" s="100">
        <f t="shared" si="275"/>
        <v>0</v>
      </c>
      <c r="AB254" s="100">
        <f t="shared" si="276"/>
        <v>0</v>
      </c>
      <c r="AC254" s="100">
        <f t="shared" si="277"/>
        <v>0</v>
      </c>
      <c r="AD254" s="100">
        <f t="shared" si="278"/>
        <v>0</v>
      </c>
      <c r="AE254" s="100">
        <f t="shared" si="279"/>
        <v>0</v>
      </c>
      <c r="AF254" s="100">
        <f t="shared" si="280"/>
        <v>0</v>
      </c>
      <c r="AG254" s="100">
        <f t="shared" si="281"/>
        <v>0</v>
      </c>
      <c r="AH254" s="100">
        <f t="shared" si="282"/>
        <v>0</v>
      </c>
      <c r="AI254" s="109"/>
      <c r="AJ254" s="108">
        <f t="shared" si="283"/>
        <v>0</v>
      </c>
      <c r="AK254" s="108">
        <f t="shared" si="284"/>
        <v>0</v>
      </c>
      <c r="AL254" s="108">
        <f t="shared" si="285"/>
        <v>0</v>
      </c>
      <c r="AN254" s="100">
        <v>15</v>
      </c>
      <c r="AO254" s="100">
        <f t="shared" si="286"/>
        <v>0</v>
      </c>
      <c r="AP254" s="100">
        <f t="shared" si="287"/>
        <v>0</v>
      </c>
      <c r="AQ254" s="111" t="s">
        <v>13</v>
      </c>
      <c r="AV254" s="100">
        <f t="shared" si="288"/>
        <v>0</v>
      </c>
      <c r="AW254" s="100">
        <f t="shared" si="289"/>
        <v>0</v>
      </c>
      <c r="AX254" s="100">
        <f t="shared" si="290"/>
        <v>0</v>
      </c>
      <c r="AY254" s="110" t="s">
        <v>1709</v>
      </c>
      <c r="AZ254" s="110" t="s">
        <v>1733</v>
      </c>
      <c r="BA254" s="109" t="s">
        <v>1737</v>
      </c>
      <c r="BC254" s="100">
        <f t="shared" si="291"/>
        <v>0</v>
      </c>
      <c r="BD254" s="100">
        <f t="shared" si="292"/>
        <v>0</v>
      </c>
      <c r="BE254" s="100">
        <v>0</v>
      </c>
      <c r="BF254" s="100">
        <f>254</f>
        <v>254</v>
      </c>
      <c r="BH254" s="108">
        <f t="shared" si="293"/>
        <v>0</v>
      </c>
      <c r="BI254" s="108">
        <f t="shared" si="294"/>
        <v>0</v>
      </c>
      <c r="BJ254" s="108">
        <f t="shared" si="295"/>
        <v>0</v>
      </c>
    </row>
    <row r="255" spans="1:62" x14ac:dyDescent="0.2">
      <c r="A255" s="117" t="s">
        <v>216</v>
      </c>
      <c r="B255" s="117" t="s">
        <v>2095</v>
      </c>
      <c r="C255" s="304" t="s">
        <v>1307</v>
      </c>
      <c r="D255" s="305"/>
      <c r="E255" s="305"/>
      <c r="F255" s="117" t="s">
        <v>1644</v>
      </c>
      <c r="G255" s="116">
        <v>1</v>
      </c>
      <c r="H255" s="159"/>
      <c r="I255" s="108">
        <f t="shared" si="272"/>
        <v>0</v>
      </c>
      <c r="J255" s="108">
        <f t="shared" si="273"/>
        <v>0</v>
      </c>
      <c r="K255" s="108">
        <f t="shared" si="274"/>
        <v>0</v>
      </c>
      <c r="L255" s="111"/>
      <c r="Z255" s="100">
        <f t="shared" si="275"/>
        <v>0</v>
      </c>
      <c r="AB255" s="100">
        <f t="shared" si="276"/>
        <v>0</v>
      </c>
      <c r="AC255" s="100">
        <f t="shared" si="277"/>
        <v>0</v>
      </c>
      <c r="AD255" s="100">
        <f t="shared" si="278"/>
        <v>0</v>
      </c>
      <c r="AE255" s="100">
        <f t="shared" si="279"/>
        <v>0</v>
      </c>
      <c r="AF255" s="100">
        <f t="shared" si="280"/>
        <v>0</v>
      </c>
      <c r="AG255" s="100">
        <f t="shared" si="281"/>
        <v>0</v>
      </c>
      <c r="AH255" s="100">
        <f t="shared" si="282"/>
        <v>0</v>
      </c>
      <c r="AI255" s="109"/>
      <c r="AJ255" s="108">
        <f t="shared" si="283"/>
        <v>0</v>
      </c>
      <c r="AK255" s="108">
        <f t="shared" si="284"/>
        <v>0</v>
      </c>
      <c r="AL255" s="108">
        <f t="shared" si="285"/>
        <v>0</v>
      </c>
      <c r="AN255" s="100">
        <v>15</v>
      </c>
      <c r="AO255" s="100">
        <f t="shared" si="286"/>
        <v>0</v>
      </c>
      <c r="AP255" s="100">
        <f t="shared" si="287"/>
        <v>0</v>
      </c>
      <c r="AQ255" s="111" t="s">
        <v>13</v>
      </c>
      <c r="AV255" s="100">
        <f t="shared" si="288"/>
        <v>0</v>
      </c>
      <c r="AW255" s="100">
        <f t="shared" si="289"/>
        <v>0</v>
      </c>
      <c r="AX255" s="100">
        <f t="shared" si="290"/>
        <v>0</v>
      </c>
      <c r="AY255" s="110" t="s">
        <v>1709</v>
      </c>
      <c r="AZ255" s="110" t="s">
        <v>1733</v>
      </c>
      <c r="BA255" s="109" t="s">
        <v>1737</v>
      </c>
      <c r="BC255" s="100">
        <f t="shared" si="291"/>
        <v>0</v>
      </c>
      <c r="BD255" s="100">
        <f t="shared" si="292"/>
        <v>0</v>
      </c>
      <c r="BE255" s="100">
        <v>0</v>
      </c>
      <c r="BF255" s="100">
        <f>255</f>
        <v>255</v>
      </c>
      <c r="BH255" s="108">
        <f t="shared" si="293"/>
        <v>0</v>
      </c>
      <c r="BI255" s="108">
        <f t="shared" si="294"/>
        <v>0</v>
      </c>
      <c r="BJ255" s="108">
        <f t="shared" si="295"/>
        <v>0</v>
      </c>
    </row>
    <row r="256" spans="1:62" x14ac:dyDescent="0.2">
      <c r="A256" s="117" t="s">
        <v>217</v>
      </c>
      <c r="B256" s="117" t="s">
        <v>2094</v>
      </c>
      <c r="C256" s="304" t="s">
        <v>1308</v>
      </c>
      <c r="D256" s="305"/>
      <c r="E256" s="305"/>
      <c r="F256" s="117" t="s">
        <v>1644</v>
      </c>
      <c r="G256" s="116">
        <v>1</v>
      </c>
      <c r="H256" s="159"/>
      <c r="I256" s="108">
        <f t="shared" si="272"/>
        <v>0</v>
      </c>
      <c r="J256" s="108">
        <f t="shared" si="273"/>
        <v>0</v>
      </c>
      <c r="K256" s="108">
        <f t="shared" si="274"/>
        <v>0</v>
      </c>
      <c r="L256" s="111"/>
      <c r="Z256" s="100">
        <f t="shared" si="275"/>
        <v>0</v>
      </c>
      <c r="AB256" s="100">
        <f t="shared" si="276"/>
        <v>0</v>
      </c>
      <c r="AC256" s="100">
        <f t="shared" si="277"/>
        <v>0</v>
      </c>
      <c r="AD256" s="100">
        <f t="shared" si="278"/>
        <v>0</v>
      </c>
      <c r="AE256" s="100">
        <f t="shared" si="279"/>
        <v>0</v>
      </c>
      <c r="AF256" s="100">
        <f t="shared" si="280"/>
        <v>0</v>
      </c>
      <c r="AG256" s="100">
        <f t="shared" si="281"/>
        <v>0</v>
      </c>
      <c r="AH256" s="100">
        <f t="shared" si="282"/>
        <v>0</v>
      </c>
      <c r="AI256" s="109"/>
      <c r="AJ256" s="108">
        <f t="shared" si="283"/>
        <v>0</v>
      </c>
      <c r="AK256" s="108">
        <f t="shared" si="284"/>
        <v>0</v>
      </c>
      <c r="AL256" s="108">
        <f t="shared" si="285"/>
        <v>0</v>
      </c>
      <c r="AN256" s="100">
        <v>15</v>
      </c>
      <c r="AO256" s="100">
        <f t="shared" si="286"/>
        <v>0</v>
      </c>
      <c r="AP256" s="100">
        <f t="shared" si="287"/>
        <v>0</v>
      </c>
      <c r="AQ256" s="111" t="s">
        <v>13</v>
      </c>
      <c r="AV256" s="100">
        <f t="shared" si="288"/>
        <v>0</v>
      </c>
      <c r="AW256" s="100">
        <f t="shared" si="289"/>
        <v>0</v>
      </c>
      <c r="AX256" s="100">
        <f t="shared" si="290"/>
        <v>0</v>
      </c>
      <c r="AY256" s="110" t="s">
        <v>1709</v>
      </c>
      <c r="AZ256" s="110" t="s">
        <v>1733</v>
      </c>
      <c r="BA256" s="109" t="s">
        <v>1737</v>
      </c>
      <c r="BC256" s="100">
        <f t="shared" si="291"/>
        <v>0</v>
      </c>
      <c r="BD256" s="100">
        <f t="shared" si="292"/>
        <v>0</v>
      </c>
      <c r="BE256" s="100">
        <v>0</v>
      </c>
      <c r="BF256" s="100">
        <f>256</f>
        <v>256</v>
      </c>
      <c r="BH256" s="108">
        <f t="shared" si="293"/>
        <v>0</v>
      </c>
      <c r="BI256" s="108">
        <f t="shared" si="294"/>
        <v>0</v>
      </c>
      <c r="BJ256" s="108">
        <f t="shared" si="295"/>
        <v>0</v>
      </c>
    </row>
    <row r="257" spans="1:62" x14ac:dyDescent="0.2">
      <c r="A257" s="117" t="s">
        <v>218</v>
      </c>
      <c r="B257" s="117" t="s">
        <v>2093</v>
      </c>
      <c r="C257" s="304" t="s">
        <v>1309</v>
      </c>
      <c r="D257" s="305"/>
      <c r="E257" s="305"/>
      <c r="F257" s="117" t="s">
        <v>1644</v>
      </c>
      <c r="G257" s="116">
        <v>1</v>
      </c>
      <c r="H257" s="159"/>
      <c r="I257" s="108">
        <f t="shared" si="272"/>
        <v>0</v>
      </c>
      <c r="J257" s="108">
        <f t="shared" si="273"/>
        <v>0</v>
      </c>
      <c r="K257" s="108">
        <f t="shared" si="274"/>
        <v>0</v>
      </c>
      <c r="L257" s="111"/>
      <c r="Z257" s="100">
        <f t="shared" si="275"/>
        <v>0</v>
      </c>
      <c r="AB257" s="100">
        <f t="shared" si="276"/>
        <v>0</v>
      </c>
      <c r="AC257" s="100">
        <f t="shared" si="277"/>
        <v>0</v>
      </c>
      <c r="AD257" s="100">
        <f t="shared" si="278"/>
        <v>0</v>
      </c>
      <c r="AE257" s="100">
        <f t="shared" si="279"/>
        <v>0</v>
      </c>
      <c r="AF257" s="100">
        <f t="shared" si="280"/>
        <v>0</v>
      </c>
      <c r="AG257" s="100">
        <f t="shared" si="281"/>
        <v>0</v>
      </c>
      <c r="AH257" s="100">
        <f t="shared" si="282"/>
        <v>0</v>
      </c>
      <c r="AI257" s="109"/>
      <c r="AJ257" s="108">
        <f t="shared" si="283"/>
        <v>0</v>
      </c>
      <c r="AK257" s="108">
        <f t="shared" si="284"/>
        <v>0</v>
      </c>
      <c r="AL257" s="108">
        <f t="shared" si="285"/>
        <v>0</v>
      </c>
      <c r="AN257" s="100">
        <v>15</v>
      </c>
      <c r="AO257" s="100">
        <f t="shared" si="286"/>
        <v>0</v>
      </c>
      <c r="AP257" s="100">
        <f t="shared" si="287"/>
        <v>0</v>
      </c>
      <c r="AQ257" s="111" t="s">
        <v>13</v>
      </c>
      <c r="AV257" s="100">
        <f t="shared" si="288"/>
        <v>0</v>
      </c>
      <c r="AW257" s="100">
        <f t="shared" si="289"/>
        <v>0</v>
      </c>
      <c r="AX257" s="100">
        <f t="shared" si="290"/>
        <v>0</v>
      </c>
      <c r="AY257" s="110" t="s">
        <v>1709</v>
      </c>
      <c r="AZ257" s="110" t="s">
        <v>1733</v>
      </c>
      <c r="BA257" s="109" t="s">
        <v>1737</v>
      </c>
      <c r="BC257" s="100">
        <f t="shared" si="291"/>
        <v>0</v>
      </c>
      <c r="BD257" s="100">
        <f t="shared" si="292"/>
        <v>0</v>
      </c>
      <c r="BE257" s="100">
        <v>0</v>
      </c>
      <c r="BF257" s="100">
        <f>257</f>
        <v>257</v>
      </c>
      <c r="BH257" s="108">
        <f t="shared" si="293"/>
        <v>0</v>
      </c>
      <c r="BI257" s="108">
        <f t="shared" si="294"/>
        <v>0</v>
      </c>
      <c r="BJ257" s="108">
        <f t="shared" si="295"/>
        <v>0</v>
      </c>
    </row>
    <row r="258" spans="1:62" x14ac:dyDescent="0.2">
      <c r="A258" s="117" t="s">
        <v>219</v>
      </c>
      <c r="B258" s="117" t="s">
        <v>2092</v>
      </c>
      <c r="C258" s="304" t="s">
        <v>1310</v>
      </c>
      <c r="D258" s="305"/>
      <c r="E258" s="305"/>
      <c r="F258" s="117" t="s">
        <v>1644</v>
      </c>
      <c r="G258" s="116">
        <v>1</v>
      </c>
      <c r="H258" s="159"/>
      <c r="I258" s="108">
        <f t="shared" si="272"/>
        <v>0</v>
      </c>
      <c r="J258" s="108">
        <f t="shared" si="273"/>
        <v>0</v>
      </c>
      <c r="K258" s="108">
        <f t="shared" si="274"/>
        <v>0</v>
      </c>
      <c r="L258" s="111"/>
      <c r="Z258" s="100">
        <f t="shared" si="275"/>
        <v>0</v>
      </c>
      <c r="AB258" s="100">
        <f t="shared" si="276"/>
        <v>0</v>
      </c>
      <c r="AC258" s="100">
        <f t="shared" si="277"/>
        <v>0</v>
      </c>
      <c r="AD258" s="100">
        <f t="shared" si="278"/>
        <v>0</v>
      </c>
      <c r="AE258" s="100">
        <f t="shared" si="279"/>
        <v>0</v>
      </c>
      <c r="AF258" s="100">
        <f t="shared" si="280"/>
        <v>0</v>
      </c>
      <c r="AG258" s="100">
        <f t="shared" si="281"/>
        <v>0</v>
      </c>
      <c r="AH258" s="100">
        <f t="shared" si="282"/>
        <v>0</v>
      </c>
      <c r="AI258" s="109"/>
      <c r="AJ258" s="108">
        <f t="shared" si="283"/>
        <v>0</v>
      </c>
      <c r="AK258" s="108">
        <f t="shared" si="284"/>
        <v>0</v>
      </c>
      <c r="AL258" s="108">
        <f t="shared" si="285"/>
        <v>0</v>
      </c>
      <c r="AN258" s="100">
        <v>15</v>
      </c>
      <c r="AO258" s="100">
        <f t="shared" si="286"/>
        <v>0</v>
      </c>
      <c r="AP258" s="100">
        <f t="shared" si="287"/>
        <v>0</v>
      </c>
      <c r="AQ258" s="111" t="s">
        <v>13</v>
      </c>
      <c r="AV258" s="100">
        <f t="shared" si="288"/>
        <v>0</v>
      </c>
      <c r="AW258" s="100">
        <f t="shared" si="289"/>
        <v>0</v>
      </c>
      <c r="AX258" s="100">
        <f t="shared" si="290"/>
        <v>0</v>
      </c>
      <c r="AY258" s="110" t="s">
        <v>1709</v>
      </c>
      <c r="AZ258" s="110" t="s">
        <v>1733</v>
      </c>
      <c r="BA258" s="109" t="s">
        <v>1737</v>
      </c>
      <c r="BC258" s="100">
        <f t="shared" si="291"/>
        <v>0</v>
      </c>
      <c r="BD258" s="100">
        <f t="shared" si="292"/>
        <v>0</v>
      </c>
      <c r="BE258" s="100">
        <v>0</v>
      </c>
      <c r="BF258" s="100">
        <f>258</f>
        <v>258</v>
      </c>
      <c r="BH258" s="108">
        <f t="shared" si="293"/>
        <v>0</v>
      </c>
      <c r="BI258" s="108">
        <f t="shared" si="294"/>
        <v>0</v>
      </c>
      <c r="BJ258" s="108">
        <f t="shared" si="295"/>
        <v>0</v>
      </c>
    </row>
    <row r="259" spans="1:62" x14ac:dyDescent="0.2">
      <c r="A259" s="117" t="s">
        <v>220</v>
      </c>
      <c r="B259" s="117" t="s">
        <v>2091</v>
      </c>
      <c r="C259" s="304" t="s">
        <v>1311</v>
      </c>
      <c r="D259" s="305"/>
      <c r="E259" s="305"/>
      <c r="F259" s="117" t="s">
        <v>1644</v>
      </c>
      <c r="G259" s="116">
        <v>1</v>
      </c>
      <c r="H259" s="159"/>
      <c r="I259" s="108">
        <f t="shared" si="272"/>
        <v>0</v>
      </c>
      <c r="J259" s="108">
        <f t="shared" si="273"/>
        <v>0</v>
      </c>
      <c r="K259" s="108">
        <f t="shared" si="274"/>
        <v>0</v>
      </c>
      <c r="L259" s="111"/>
      <c r="Z259" s="100">
        <f t="shared" si="275"/>
        <v>0</v>
      </c>
      <c r="AB259" s="100">
        <f t="shared" si="276"/>
        <v>0</v>
      </c>
      <c r="AC259" s="100">
        <f t="shared" si="277"/>
        <v>0</v>
      </c>
      <c r="AD259" s="100">
        <f t="shared" si="278"/>
        <v>0</v>
      </c>
      <c r="AE259" s="100">
        <f t="shared" si="279"/>
        <v>0</v>
      </c>
      <c r="AF259" s="100">
        <f t="shared" si="280"/>
        <v>0</v>
      </c>
      <c r="AG259" s="100">
        <f t="shared" si="281"/>
        <v>0</v>
      </c>
      <c r="AH259" s="100">
        <f t="shared" si="282"/>
        <v>0</v>
      </c>
      <c r="AI259" s="109"/>
      <c r="AJ259" s="108">
        <f t="shared" si="283"/>
        <v>0</v>
      </c>
      <c r="AK259" s="108">
        <f t="shared" si="284"/>
        <v>0</v>
      </c>
      <c r="AL259" s="108">
        <f t="shared" si="285"/>
        <v>0</v>
      </c>
      <c r="AN259" s="100">
        <v>15</v>
      </c>
      <c r="AO259" s="100">
        <f t="shared" si="286"/>
        <v>0</v>
      </c>
      <c r="AP259" s="100">
        <f t="shared" si="287"/>
        <v>0</v>
      </c>
      <c r="AQ259" s="111" t="s">
        <v>13</v>
      </c>
      <c r="AV259" s="100">
        <f t="shared" si="288"/>
        <v>0</v>
      </c>
      <c r="AW259" s="100">
        <f t="shared" si="289"/>
        <v>0</v>
      </c>
      <c r="AX259" s="100">
        <f t="shared" si="290"/>
        <v>0</v>
      </c>
      <c r="AY259" s="110" t="s">
        <v>1709</v>
      </c>
      <c r="AZ259" s="110" t="s">
        <v>1733</v>
      </c>
      <c r="BA259" s="109" t="s">
        <v>1737</v>
      </c>
      <c r="BC259" s="100">
        <f t="shared" si="291"/>
        <v>0</v>
      </c>
      <c r="BD259" s="100">
        <f t="shared" si="292"/>
        <v>0</v>
      </c>
      <c r="BE259" s="100">
        <v>0</v>
      </c>
      <c r="BF259" s="100">
        <f>259</f>
        <v>259</v>
      </c>
      <c r="BH259" s="108">
        <f t="shared" si="293"/>
        <v>0</v>
      </c>
      <c r="BI259" s="108">
        <f t="shared" si="294"/>
        <v>0</v>
      </c>
      <c r="BJ259" s="108">
        <f t="shared" si="295"/>
        <v>0</v>
      </c>
    </row>
    <row r="260" spans="1:62" x14ac:dyDescent="0.2">
      <c r="A260" s="117" t="s">
        <v>221</v>
      </c>
      <c r="B260" s="117" t="s">
        <v>2090</v>
      </c>
      <c r="C260" s="304" t="s">
        <v>1312</v>
      </c>
      <c r="D260" s="305"/>
      <c r="E260" s="305"/>
      <c r="F260" s="117" t="s">
        <v>1644</v>
      </c>
      <c r="G260" s="116">
        <v>2</v>
      </c>
      <c r="H260" s="159"/>
      <c r="I260" s="108">
        <f t="shared" si="272"/>
        <v>0</v>
      </c>
      <c r="J260" s="108">
        <f t="shared" si="273"/>
        <v>0</v>
      </c>
      <c r="K260" s="108">
        <f t="shared" si="274"/>
        <v>0</v>
      </c>
      <c r="L260" s="111"/>
      <c r="Z260" s="100">
        <f t="shared" si="275"/>
        <v>0</v>
      </c>
      <c r="AB260" s="100">
        <f t="shared" si="276"/>
        <v>0</v>
      </c>
      <c r="AC260" s="100">
        <f t="shared" si="277"/>
        <v>0</v>
      </c>
      <c r="AD260" s="100">
        <f t="shared" si="278"/>
        <v>0</v>
      </c>
      <c r="AE260" s="100">
        <f t="shared" si="279"/>
        <v>0</v>
      </c>
      <c r="AF260" s="100">
        <f t="shared" si="280"/>
        <v>0</v>
      </c>
      <c r="AG260" s="100">
        <f t="shared" si="281"/>
        <v>0</v>
      </c>
      <c r="AH260" s="100">
        <f t="shared" si="282"/>
        <v>0</v>
      </c>
      <c r="AI260" s="109"/>
      <c r="AJ260" s="108">
        <f t="shared" si="283"/>
        <v>0</v>
      </c>
      <c r="AK260" s="108">
        <f t="shared" si="284"/>
        <v>0</v>
      </c>
      <c r="AL260" s="108">
        <f t="shared" si="285"/>
        <v>0</v>
      </c>
      <c r="AN260" s="100">
        <v>15</v>
      </c>
      <c r="AO260" s="100">
        <f t="shared" si="286"/>
        <v>0</v>
      </c>
      <c r="AP260" s="100">
        <f t="shared" si="287"/>
        <v>0</v>
      </c>
      <c r="AQ260" s="111" t="s">
        <v>13</v>
      </c>
      <c r="AV260" s="100">
        <f t="shared" si="288"/>
        <v>0</v>
      </c>
      <c r="AW260" s="100">
        <f t="shared" si="289"/>
        <v>0</v>
      </c>
      <c r="AX260" s="100">
        <f t="shared" si="290"/>
        <v>0</v>
      </c>
      <c r="AY260" s="110" t="s">
        <v>1709</v>
      </c>
      <c r="AZ260" s="110" t="s">
        <v>1733</v>
      </c>
      <c r="BA260" s="109" t="s">
        <v>1737</v>
      </c>
      <c r="BC260" s="100">
        <f t="shared" si="291"/>
        <v>0</v>
      </c>
      <c r="BD260" s="100">
        <f t="shared" si="292"/>
        <v>0</v>
      </c>
      <c r="BE260" s="100">
        <v>0</v>
      </c>
      <c r="BF260" s="100">
        <f>260</f>
        <v>260</v>
      </c>
      <c r="BH260" s="108">
        <f t="shared" si="293"/>
        <v>0</v>
      </c>
      <c r="BI260" s="108">
        <f t="shared" si="294"/>
        <v>0</v>
      </c>
      <c r="BJ260" s="108">
        <f t="shared" si="295"/>
        <v>0</v>
      </c>
    </row>
    <row r="261" spans="1:62" x14ac:dyDescent="0.2">
      <c r="A261" s="117" t="s">
        <v>222</v>
      </c>
      <c r="B261" s="117" t="s">
        <v>2089</v>
      </c>
      <c r="C261" s="304" t="s">
        <v>1313</v>
      </c>
      <c r="D261" s="305"/>
      <c r="E261" s="305"/>
      <c r="F261" s="117" t="s">
        <v>1644</v>
      </c>
      <c r="G261" s="116">
        <v>2</v>
      </c>
      <c r="H261" s="159"/>
      <c r="I261" s="108">
        <f t="shared" si="272"/>
        <v>0</v>
      </c>
      <c r="J261" s="108">
        <f t="shared" si="273"/>
        <v>0</v>
      </c>
      <c r="K261" s="108">
        <f t="shared" si="274"/>
        <v>0</v>
      </c>
      <c r="L261" s="111"/>
      <c r="Z261" s="100">
        <f t="shared" si="275"/>
        <v>0</v>
      </c>
      <c r="AB261" s="100">
        <f t="shared" si="276"/>
        <v>0</v>
      </c>
      <c r="AC261" s="100">
        <f t="shared" si="277"/>
        <v>0</v>
      </c>
      <c r="AD261" s="100">
        <f t="shared" si="278"/>
        <v>0</v>
      </c>
      <c r="AE261" s="100">
        <f t="shared" si="279"/>
        <v>0</v>
      </c>
      <c r="AF261" s="100">
        <f t="shared" si="280"/>
        <v>0</v>
      </c>
      <c r="AG261" s="100">
        <f t="shared" si="281"/>
        <v>0</v>
      </c>
      <c r="AH261" s="100">
        <f t="shared" si="282"/>
        <v>0</v>
      </c>
      <c r="AI261" s="109"/>
      <c r="AJ261" s="108">
        <f t="shared" si="283"/>
        <v>0</v>
      </c>
      <c r="AK261" s="108">
        <f t="shared" si="284"/>
        <v>0</v>
      </c>
      <c r="AL261" s="108">
        <f t="shared" si="285"/>
        <v>0</v>
      </c>
      <c r="AN261" s="100">
        <v>15</v>
      </c>
      <c r="AO261" s="100">
        <f t="shared" si="286"/>
        <v>0</v>
      </c>
      <c r="AP261" s="100">
        <f t="shared" si="287"/>
        <v>0</v>
      </c>
      <c r="AQ261" s="111" t="s">
        <v>13</v>
      </c>
      <c r="AV261" s="100">
        <f t="shared" si="288"/>
        <v>0</v>
      </c>
      <c r="AW261" s="100">
        <f t="shared" si="289"/>
        <v>0</v>
      </c>
      <c r="AX261" s="100">
        <f t="shared" si="290"/>
        <v>0</v>
      </c>
      <c r="AY261" s="110" t="s">
        <v>1709</v>
      </c>
      <c r="AZ261" s="110" t="s">
        <v>1733</v>
      </c>
      <c r="BA261" s="109" t="s">
        <v>1737</v>
      </c>
      <c r="BC261" s="100">
        <f t="shared" si="291"/>
        <v>0</v>
      </c>
      <c r="BD261" s="100">
        <f t="shared" si="292"/>
        <v>0</v>
      </c>
      <c r="BE261" s="100">
        <v>0</v>
      </c>
      <c r="BF261" s="100">
        <f>261</f>
        <v>261</v>
      </c>
      <c r="BH261" s="108">
        <f t="shared" si="293"/>
        <v>0</v>
      </c>
      <c r="BI261" s="108">
        <f t="shared" si="294"/>
        <v>0</v>
      </c>
      <c r="BJ261" s="108">
        <f t="shared" si="295"/>
        <v>0</v>
      </c>
    </row>
    <row r="262" spans="1:62" x14ac:dyDescent="0.2">
      <c r="A262" s="117" t="s">
        <v>223</v>
      </c>
      <c r="B262" s="117" t="s">
        <v>2088</v>
      </c>
      <c r="C262" s="304" t="s">
        <v>1314</v>
      </c>
      <c r="D262" s="305"/>
      <c r="E262" s="305"/>
      <c r="F262" s="117" t="s">
        <v>1644</v>
      </c>
      <c r="G262" s="116">
        <v>1</v>
      </c>
      <c r="H262" s="159"/>
      <c r="I262" s="108">
        <f t="shared" si="272"/>
        <v>0</v>
      </c>
      <c r="J262" s="108">
        <f t="shared" si="273"/>
        <v>0</v>
      </c>
      <c r="K262" s="108">
        <f t="shared" si="274"/>
        <v>0</v>
      </c>
      <c r="L262" s="111"/>
      <c r="Z262" s="100">
        <f t="shared" si="275"/>
        <v>0</v>
      </c>
      <c r="AB262" s="100">
        <f t="shared" si="276"/>
        <v>0</v>
      </c>
      <c r="AC262" s="100">
        <f t="shared" si="277"/>
        <v>0</v>
      </c>
      <c r="AD262" s="100">
        <f t="shared" si="278"/>
        <v>0</v>
      </c>
      <c r="AE262" s="100">
        <f t="shared" si="279"/>
        <v>0</v>
      </c>
      <c r="AF262" s="100">
        <f t="shared" si="280"/>
        <v>0</v>
      </c>
      <c r="AG262" s="100">
        <f t="shared" si="281"/>
        <v>0</v>
      </c>
      <c r="AH262" s="100">
        <f t="shared" si="282"/>
        <v>0</v>
      </c>
      <c r="AI262" s="109"/>
      <c r="AJ262" s="108">
        <f t="shared" si="283"/>
        <v>0</v>
      </c>
      <c r="AK262" s="108">
        <f t="shared" si="284"/>
        <v>0</v>
      </c>
      <c r="AL262" s="108">
        <f t="shared" si="285"/>
        <v>0</v>
      </c>
      <c r="AN262" s="100">
        <v>15</v>
      </c>
      <c r="AO262" s="100">
        <f t="shared" si="286"/>
        <v>0</v>
      </c>
      <c r="AP262" s="100">
        <f t="shared" si="287"/>
        <v>0</v>
      </c>
      <c r="AQ262" s="111" t="s">
        <v>13</v>
      </c>
      <c r="AV262" s="100">
        <f t="shared" si="288"/>
        <v>0</v>
      </c>
      <c r="AW262" s="100">
        <f t="shared" si="289"/>
        <v>0</v>
      </c>
      <c r="AX262" s="100">
        <f t="shared" si="290"/>
        <v>0</v>
      </c>
      <c r="AY262" s="110" t="s">
        <v>1709</v>
      </c>
      <c r="AZ262" s="110" t="s">
        <v>1733</v>
      </c>
      <c r="BA262" s="109" t="s">
        <v>1737</v>
      </c>
      <c r="BC262" s="100">
        <f t="shared" si="291"/>
        <v>0</v>
      </c>
      <c r="BD262" s="100">
        <f t="shared" si="292"/>
        <v>0</v>
      </c>
      <c r="BE262" s="100">
        <v>0</v>
      </c>
      <c r="BF262" s="100">
        <f>262</f>
        <v>262</v>
      </c>
      <c r="BH262" s="108">
        <f t="shared" si="293"/>
        <v>0</v>
      </c>
      <c r="BI262" s="108">
        <f t="shared" si="294"/>
        <v>0</v>
      </c>
      <c r="BJ262" s="108">
        <f t="shared" si="295"/>
        <v>0</v>
      </c>
    </row>
    <row r="263" spans="1:62" x14ac:dyDescent="0.2">
      <c r="A263" s="117" t="s">
        <v>224</v>
      </c>
      <c r="B263" s="117" t="s">
        <v>2087</v>
      </c>
      <c r="C263" s="304" t="s">
        <v>1315</v>
      </c>
      <c r="D263" s="305"/>
      <c r="E263" s="305"/>
      <c r="F263" s="117" t="s">
        <v>1644</v>
      </c>
      <c r="G263" s="116">
        <v>1</v>
      </c>
      <c r="H263" s="159"/>
      <c r="I263" s="108">
        <f t="shared" ref="I263:I294" si="296">G263*AO263</f>
        <v>0</v>
      </c>
      <c r="J263" s="108">
        <f t="shared" ref="J263:J294" si="297">G263*AP263</f>
        <v>0</v>
      </c>
      <c r="K263" s="108">
        <f t="shared" ref="K263:K294" si="298">G263*H263</f>
        <v>0</v>
      </c>
      <c r="L263" s="111"/>
      <c r="Z263" s="100">
        <f t="shared" ref="Z263:Z294" si="299">IF(AQ263="5",BJ263,0)</f>
        <v>0</v>
      </c>
      <c r="AB263" s="100">
        <f t="shared" ref="AB263:AB294" si="300">IF(AQ263="1",BH263,0)</f>
        <v>0</v>
      </c>
      <c r="AC263" s="100">
        <f t="shared" ref="AC263:AC294" si="301">IF(AQ263="1",BI263,0)</f>
        <v>0</v>
      </c>
      <c r="AD263" s="100">
        <f t="shared" ref="AD263:AD294" si="302">IF(AQ263="7",BH263,0)</f>
        <v>0</v>
      </c>
      <c r="AE263" s="100">
        <f t="shared" ref="AE263:AE294" si="303">IF(AQ263="7",BI263,0)</f>
        <v>0</v>
      </c>
      <c r="AF263" s="100">
        <f t="shared" ref="AF263:AF294" si="304">IF(AQ263="2",BH263,0)</f>
        <v>0</v>
      </c>
      <c r="AG263" s="100">
        <f t="shared" ref="AG263:AG294" si="305">IF(AQ263="2",BI263,0)</f>
        <v>0</v>
      </c>
      <c r="AH263" s="100">
        <f t="shared" ref="AH263:AH294" si="306">IF(AQ263="0",BJ263,0)</f>
        <v>0</v>
      </c>
      <c r="AI263" s="109"/>
      <c r="AJ263" s="108">
        <f t="shared" ref="AJ263:AJ294" si="307">IF(AN263=0,K263,0)</f>
        <v>0</v>
      </c>
      <c r="AK263" s="108">
        <f t="shared" ref="AK263:AK294" si="308">IF(AN263=15,K263,0)</f>
        <v>0</v>
      </c>
      <c r="AL263" s="108">
        <f t="shared" ref="AL263:AL294" si="309">IF(AN263=21,K263,0)</f>
        <v>0</v>
      </c>
      <c r="AN263" s="100">
        <v>15</v>
      </c>
      <c r="AO263" s="100">
        <f t="shared" ref="AO263:AO294" si="310">H263*0</f>
        <v>0</v>
      </c>
      <c r="AP263" s="100">
        <f t="shared" ref="AP263:AP294" si="311">H263*(1-0)</f>
        <v>0</v>
      </c>
      <c r="AQ263" s="111" t="s">
        <v>13</v>
      </c>
      <c r="AV263" s="100">
        <f t="shared" ref="AV263:AV294" si="312">AW263+AX263</f>
        <v>0</v>
      </c>
      <c r="AW263" s="100">
        <f t="shared" ref="AW263:AW294" si="313">G263*AO263</f>
        <v>0</v>
      </c>
      <c r="AX263" s="100">
        <f t="shared" ref="AX263:AX294" si="314">G263*AP263</f>
        <v>0</v>
      </c>
      <c r="AY263" s="110" t="s">
        <v>1709</v>
      </c>
      <c r="AZ263" s="110" t="s">
        <v>1733</v>
      </c>
      <c r="BA263" s="109" t="s">
        <v>1737</v>
      </c>
      <c r="BC263" s="100">
        <f t="shared" ref="BC263:BC294" si="315">AW263+AX263</f>
        <v>0</v>
      </c>
      <c r="BD263" s="100">
        <f t="shared" ref="BD263:BD294" si="316">H263/(100-BE263)*100</f>
        <v>0</v>
      </c>
      <c r="BE263" s="100">
        <v>0</v>
      </c>
      <c r="BF263" s="100">
        <f>263</f>
        <v>263</v>
      </c>
      <c r="BH263" s="108">
        <f t="shared" ref="BH263:BH294" si="317">G263*AO263</f>
        <v>0</v>
      </c>
      <c r="BI263" s="108">
        <f t="shared" ref="BI263:BI294" si="318">G263*AP263</f>
        <v>0</v>
      </c>
      <c r="BJ263" s="108">
        <f t="shared" ref="BJ263:BJ294" si="319">G263*H263</f>
        <v>0</v>
      </c>
    </row>
    <row r="264" spans="1:62" x14ac:dyDescent="0.2">
      <c r="A264" s="117" t="s">
        <v>225</v>
      </c>
      <c r="B264" s="117" t="s">
        <v>2086</v>
      </c>
      <c r="C264" s="304" t="s">
        <v>1316</v>
      </c>
      <c r="D264" s="305"/>
      <c r="E264" s="305"/>
      <c r="F264" s="117" t="s">
        <v>1644</v>
      </c>
      <c r="G264" s="116">
        <v>2</v>
      </c>
      <c r="H264" s="159"/>
      <c r="I264" s="108">
        <f t="shared" si="296"/>
        <v>0</v>
      </c>
      <c r="J264" s="108">
        <f t="shared" si="297"/>
        <v>0</v>
      </c>
      <c r="K264" s="108">
        <f t="shared" si="298"/>
        <v>0</v>
      </c>
      <c r="L264" s="111"/>
      <c r="Z264" s="100">
        <f t="shared" si="299"/>
        <v>0</v>
      </c>
      <c r="AB264" s="100">
        <f t="shared" si="300"/>
        <v>0</v>
      </c>
      <c r="AC264" s="100">
        <f t="shared" si="301"/>
        <v>0</v>
      </c>
      <c r="AD264" s="100">
        <f t="shared" si="302"/>
        <v>0</v>
      </c>
      <c r="AE264" s="100">
        <f t="shared" si="303"/>
        <v>0</v>
      </c>
      <c r="AF264" s="100">
        <f t="shared" si="304"/>
        <v>0</v>
      </c>
      <c r="AG264" s="100">
        <f t="shared" si="305"/>
        <v>0</v>
      </c>
      <c r="AH264" s="100">
        <f t="shared" si="306"/>
        <v>0</v>
      </c>
      <c r="AI264" s="109"/>
      <c r="AJ264" s="108">
        <f t="shared" si="307"/>
        <v>0</v>
      </c>
      <c r="AK264" s="108">
        <f t="shared" si="308"/>
        <v>0</v>
      </c>
      <c r="AL264" s="108">
        <f t="shared" si="309"/>
        <v>0</v>
      </c>
      <c r="AN264" s="100">
        <v>15</v>
      </c>
      <c r="AO264" s="100">
        <f t="shared" si="310"/>
        <v>0</v>
      </c>
      <c r="AP264" s="100">
        <f t="shared" si="311"/>
        <v>0</v>
      </c>
      <c r="AQ264" s="111" t="s">
        <v>13</v>
      </c>
      <c r="AV264" s="100">
        <f t="shared" si="312"/>
        <v>0</v>
      </c>
      <c r="AW264" s="100">
        <f t="shared" si="313"/>
        <v>0</v>
      </c>
      <c r="AX264" s="100">
        <f t="shared" si="314"/>
        <v>0</v>
      </c>
      <c r="AY264" s="110" t="s">
        <v>1709</v>
      </c>
      <c r="AZ264" s="110" t="s">
        <v>1733</v>
      </c>
      <c r="BA264" s="109" t="s">
        <v>1737</v>
      </c>
      <c r="BC264" s="100">
        <f t="shared" si="315"/>
        <v>0</v>
      </c>
      <c r="BD264" s="100">
        <f t="shared" si="316"/>
        <v>0</v>
      </c>
      <c r="BE264" s="100">
        <v>0</v>
      </c>
      <c r="BF264" s="100">
        <f>264</f>
        <v>264</v>
      </c>
      <c r="BH264" s="108">
        <f t="shared" si="317"/>
        <v>0</v>
      </c>
      <c r="BI264" s="108">
        <f t="shared" si="318"/>
        <v>0</v>
      </c>
      <c r="BJ264" s="108">
        <f t="shared" si="319"/>
        <v>0</v>
      </c>
    </row>
    <row r="265" spans="1:62" x14ac:dyDescent="0.2">
      <c r="A265" s="117" t="s">
        <v>226</v>
      </c>
      <c r="B265" s="117" t="s">
        <v>2085</v>
      </c>
      <c r="C265" s="304" t="s">
        <v>1317</v>
      </c>
      <c r="D265" s="305"/>
      <c r="E265" s="305"/>
      <c r="F265" s="117" t="s">
        <v>1644</v>
      </c>
      <c r="G265" s="116">
        <v>1</v>
      </c>
      <c r="H265" s="159"/>
      <c r="I265" s="108">
        <f t="shared" si="296"/>
        <v>0</v>
      </c>
      <c r="J265" s="108">
        <f t="shared" si="297"/>
        <v>0</v>
      </c>
      <c r="K265" s="108">
        <f t="shared" si="298"/>
        <v>0</v>
      </c>
      <c r="L265" s="111"/>
      <c r="Z265" s="100">
        <f t="shared" si="299"/>
        <v>0</v>
      </c>
      <c r="AB265" s="100">
        <f t="shared" si="300"/>
        <v>0</v>
      </c>
      <c r="AC265" s="100">
        <f t="shared" si="301"/>
        <v>0</v>
      </c>
      <c r="AD265" s="100">
        <f t="shared" si="302"/>
        <v>0</v>
      </c>
      <c r="AE265" s="100">
        <f t="shared" si="303"/>
        <v>0</v>
      </c>
      <c r="AF265" s="100">
        <f t="shared" si="304"/>
        <v>0</v>
      </c>
      <c r="AG265" s="100">
        <f t="shared" si="305"/>
        <v>0</v>
      </c>
      <c r="AH265" s="100">
        <f t="shared" si="306"/>
        <v>0</v>
      </c>
      <c r="AI265" s="109"/>
      <c r="AJ265" s="108">
        <f t="shared" si="307"/>
        <v>0</v>
      </c>
      <c r="AK265" s="108">
        <f t="shared" si="308"/>
        <v>0</v>
      </c>
      <c r="AL265" s="108">
        <f t="shared" si="309"/>
        <v>0</v>
      </c>
      <c r="AN265" s="100">
        <v>15</v>
      </c>
      <c r="AO265" s="100">
        <f t="shared" si="310"/>
        <v>0</v>
      </c>
      <c r="AP265" s="100">
        <f t="shared" si="311"/>
        <v>0</v>
      </c>
      <c r="AQ265" s="111" t="s">
        <v>13</v>
      </c>
      <c r="AV265" s="100">
        <f t="shared" si="312"/>
        <v>0</v>
      </c>
      <c r="AW265" s="100">
        <f t="shared" si="313"/>
        <v>0</v>
      </c>
      <c r="AX265" s="100">
        <f t="shared" si="314"/>
        <v>0</v>
      </c>
      <c r="AY265" s="110" t="s">
        <v>1709</v>
      </c>
      <c r="AZ265" s="110" t="s">
        <v>1733</v>
      </c>
      <c r="BA265" s="109" t="s">
        <v>1737</v>
      </c>
      <c r="BC265" s="100">
        <f t="shared" si="315"/>
        <v>0</v>
      </c>
      <c r="BD265" s="100">
        <f t="shared" si="316"/>
        <v>0</v>
      </c>
      <c r="BE265" s="100">
        <v>0</v>
      </c>
      <c r="BF265" s="100">
        <f>265</f>
        <v>265</v>
      </c>
      <c r="BH265" s="108">
        <f t="shared" si="317"/>
        <v>0</v>
      </c>
      <c r="BI265" s="108">
        <f t="shared" si="318"/>
        <v>0</v>
      </c>
      <c r="BJ265" s="108">
        <f t="shared" si="319"/>
        <v>0</v>
      </c>
    </row>
    <row r="266" spans="1:62" x14ac:dyDescent="0.2">
      <c r="A266" s="117" t="s">
        <v>227</v>
      </c>
      <c r="B266" s="117" t="s">
        <v>2084</v>
      </c>
      <c r="C266" s="304" t="s">
        <v>1318</v>
      </c>
      <c r="D266" s="305"/>
      <c r="E266" s="305"/>
      <c r="F266" s="117" t="s">
        <v>1644</v>
      </c>
      <c r="G266" s="116">
        <v>2</v>
      </c>
      <c r="H266" s="159"/>
      <c r="I266" s="108">
        <f t="shared" si="296"/>
        <v>0</v>
      </c>
      <c r="J266" s="108">
        <f t="shared" si="297"/>
        <v>0</v>
      </c>
      <c r="K266" s="108">
        <f t="shared" si="298"/>
        <v>0</v>
      </c>
      <c r="L266" s="111"/>
      <c r="Z266" s="100">
        <f t="shared" si="299"/>
        <v>0</v>
      </c>
      <c r="AB266" s="100">
        <f t="shared" si="300"/>
        <v>0</v>
      </c>
      <c r="AC266" s="100">
        <f t="shared" si="301"/>
        <v>0</v>
      </c>
      <c r="AD266" s="100">
        <f t="shared" si="302"/>
        <v>0</v>
      </c>
      <c r="AE266" s="100">
        <f t="shared" si="303"/>
        <v>0</v>
      </c>
      <c r="AF266" s="100">
        <f t="shared" si="304"/>
        <v>0</v>
      </c>
      <c r="AG266" s="100">
        <f t="shared" si="305"/>
        <v>0</v>
      </c>
      <c r="AH266" s="100">
        <f t="shared" si="306"/>
        <v>0</v>
      </c>
      <c r="AI266" s="109"/>
      <c r="AJ266" s="108">
        <f t="shared" si="307"/>
        <v>0</v>
      </c>
      <c r="AK266" s="108">
        <f t="shared" si="308"/>
        <v>0</v>
      </c>
      <c r="AL266" s="108">
        <f t="shared" si="309"/>
        <v>0</v>
      </c>
      <c r="AN266" s="100">
        <v>15</v>
      </c>
      <c r="AO266" s="100">
        <f t="shared" si="310"/>
        <v>0</v>
      </c>
      <c r="AP266" s="100">
        <f t="shared" si="311"/>
        <v>0</v>
      </c>
      <c r="AQ266" s="111" t="s">
        <v>13</v>
      </c>
      <c r="AV266" s="100">
        <f t="shared" si="312"/>
        <v>0</v>
      </c>
      <c r="AW266" s="100">
        <f t="shared" si="313"/>
        <v>0</v>
      </c>
      <c r="AX266" s="100">
        <f t="shared" si="314"/>
        <v>0</v>
      </c>
      <c r="AY266" s="110" t="s">
        <v>1709</v>
      </c>
      <c r="AZ266" s="110" t="s">
        <v>1733</v>
      </c>
      <c r="BA266" s="109" t="s">
        <v>1737</v>
      </c>
      <c r="BC266" s="100">
        <f t="shared" si="315"/>
        <v>0</v>
      </c>
      <c r="BD266" s="100">
        <f t="shared" si="316"/>
        <v>0</v>
      </c>
      <c r="BE266" s="100">
        <v>0</v>
      </c>
      <c r="BF266" s="100">
        <f>266</f>
        <v>266</v>
      </c>
      <c r="BH266" s="108">
        <f t="shared" si="317"/>
        <v>0</v>
      </c>
      <c r="BI266" s="108">
        <f t="shared" si="318"/>
        <v>0</v>
      </c>
      <c r="BJ266" s="108">
        <f t="shared" si="319"/>
        <v>0</v>
      </c>
    </row>
    <row r="267" spans="1:62" x14ac:dyDescent="0.2">
      <c r="A267" s="117" t="s">
        <v>228</v>
      </c>
      <c r="B267" s="117" t="s">
        <v>2083</v>
      </c>
      <c r="C267" s="304" t="s">
        <v>1319</v>
      </c>
      <c r="D267" s="305"/>
      <c r="E267" s="305"/>
      <c r="F267" s="117" t="s">
        <v>1644</v>
      </c>
      <c r="G267" s="116">
        <v>6</v>
      </c>
      <c r="H267" s="159"/>
      <c r="I267" s="108">
        <f t="shared" si="296"/>
        <v>0</v>
      </c>
      <c r="J267" s="108">
        <f t="shared" si="297"/>
        <v>0</v>
      </c>
      <c r="K267" s="108">
        <f t="shared" si="298"/>
        <v>0</v>
      </c>
      <c r="L267" s="111"/>
      <c r="Z267" s="100">
        <f t="shared" si="299"/>
        <v>0</v>
      </c>
      <c r="AB267" s="100">
        <f t="shared" si="300"/>
        <v>0</v>
      </c>
      <c r="AC267" s="100">
        <f t="shared" si="301"/>
        <v>0</v>
      </c>
      <c r="AD267" s="100">
        <f t="shared" si="302"/>
        <v>0</v>
      </c>
      <c r="AE267" s="100">
        <f t="shared" si="303"/>
        <v>0</v>
      </c>
      <c r="AF267" s="100">
        <f t="shared" si="304"/>
        <v>0</v>
      </c>
      <c r="AG267" s="100">
        <f t="shared" si="305"/>
        <v>0</v>
      </c>
      <c r="AH267" s="100">
        <f t="shared" si="306"/>
        <v>0</v>
      </c>
      <c r="AI267" s="109"/>
      <c r="AJ267" s="108">
        <f t="shared" si="307"/>
        <v>0</v>
      </c>
      <c r="AK267" s="108">
        <f t="shared" si="308"/>
        <v>0</v>
      </c>
      <c r="AL267" s="108">
        <f t="shared" si="309"/>
        <v>0</v>
      </c>
      <c r="AN267" s="100">
        <v>15</v>
      </c>
      <c r="AO267" s="100">
        <f t="shared" si="310"/>
        <v>0</v>
      </c>
      <c r="AP267" s="100">
        <f t="shared" si="311"/>
        <v>0</v>
      </c>
      <c r="AQ267" s="111" t="s">
        <v>13</v>
      </c>
      <c r="AV267" s="100">
        <f t="shared" si="312"/>
        <v>0</v>
      </c>
      <c r="AW267" s="100">
        <f t="shared" si="313"/>
        <v>0</v>
      </c>
      <c r="AX267" s="100">
        <f t="shared" si="314"/>
        <v>0</v>
      </c>
      <c r="AY267" s="110" t="s">
        <v>1709</v>
      </c>
      <c r="AZ267" s="110" t="s">
        <v>1733</v>
      </c>
      <c r="BA267" s="109" t="s">
        <v>1737</v>
      </c>
      <c r="BC267" s="100">
        <f t="shared" si="315"/>
        <v>0</v>
      </c>
      <c r="BD267" s="100">
        <f t="shared" si="316"/>
        <v>0</v>
      </c>
      <c r="BE267" s="100">
        <v>0</v>
      </c>
      <c r="BF267" s="100">
        <f>267</f>
        <v>267</v>
      </c>
      <c r="BH267" s="108">
        <f t="shared" si="317"/>
        <v>0</v>
      </c>
      <c r="BI267" s="108">
        <f t="shared" si="318"/>
        <v>0</v>
      </c>
      <c r="BJ267" s="108">
        <f t="shared" si="319"/>
        <v>0</v>
      </c>
    </row>
    <row r="268" spans="1:62" x14ac:dyDescent="0.2">
      <c r="A268" s="117" t="s">
        <v>229</v>
      </c>
      <c r="B268" s="117" t="s">
        <v>2082</v>
      </c>
      <c r="C268" s="304" t="s">
        <v>1320</v>
      </c>
      <c r="D268" s="305"/>
      <c r="E268" s="305"/>
      <c r="F268" s="117" t="s">
        <v>1644</v>
      </c>
      <c r="G268" s="116">
        <v>14</v>
      </c>
      <c r="H268" s="159"/>
      <c r="I268" s="108">
        <f t="shared" si="296"/>
        <v>0</v>
      </c>
      <c r="J268" s="108">
        <f t="shared" si="297"/>
        <v>0</v>
      </c>
      <c r="K268" s="108">
        <f t="shared" si="298"/>
        <v>0</v>
      </c>
      <c r="L268" s="111"/>
      <c r="Z268" s="100">
        <f t="shared" si="299"/>
        <v>0</v>
      </c>
      <c r="AB268" s="100">
        <f t="shared" si="300"/>
        <v>0</v>
      </c>
      <c r="AC268" s="100">
        <f t="shared" si="301"/>
        <v>0</v>
      </c>
      <c r="AD268" s="100">
        <f t="shared" si="302"/>
        <v>0</v>
      </c>
      <c r="AE268" s="100">
        <f t="shared" si="303"/>
        <v>0</v>
      </c>
      <c r="AF268" s="100">
        <f t="shared" si="304"/>
        <v>0</v>
      </c>
      <c r="AG268" s="100">
        <f t="shared" si="305"/>
        <v>0</v>
      </c>
      <c r="AH268" s="100">
        <f t="shared" si="306"/>
        <v>0</v>
      </c>
      <c r="AI268" s="109"/>
      <c r="AJ268" s="108">
        <f t="shared" si="307"/>
        <v>0</v>
      </c>
      <c r="AK268" s="108">
        <f t="shared" si="308"/>
        <v>0</v>
      </c>
      <c r="AL268" s="108">
        <f t="shared" si="309"/>
        <v>0</v>
      </c>
      <c r="AN268" s="100">
        <v>15</v>
      </c>
      <c r="AO268" s="100">
        <f t="shared" si="310"/>
        <v>0</v>
      </c>
      <c r="AP268" s="100">
        <f t="shared" si="311"/>
        <v>0</v>
      </c>
      <c r="AQ268" s="111" t="s">
        <v>13</v>
      </c>
      <c r="AV268" s="100">
        <f t="shared" si="312"/>
        <v>0</v>
      </c>
      <c r="AW268" s="100">
        <f t="shared" si="313"/>
        <v>0</v>
      </c>
      <c r="AX268" s="100">
        <f t="shared" si="314"/>
        <v>0</v>
      </c>
      <c r="AY268" s="110" t="s">
        <v>1709</v>
      </c>
      <c r="AZ268" s="110" t="s">
        <v>1733</v>
      </c>
      <c r="BA268" s="109" t="s">
        <v>1737</v>
      </c>
      <c r="BC268" s="100">
        <f t="shared" si="315"/>
        <v>0</v>
      </c>
      <c r="BD268" s="100">
        <f t="shared" si="316"/>
        <v>0</v>
      </c>
      <c r="BE268" s="100">
        <v>0</v>
      </c>
      <c r="BF268" s="100">
        <f>268</f>
        <v>268</v>
      </c>
      <c r="BH268" s="108">
        <f t="shared" si="317"/>
        <v>0</v>
      </c>
      <c r="BI268" s="108">
        <f t="shared" si="318"/>
        <v>0</v>
      </c>
      <c r="BJ268" s="108">
        <f t="shared" si="319"/>
        <v>0</v>
      </c>
    </row>
    <row r="269" spans="1:62" x14ac:dyDescent="0.2">
      <c r="A269" s="117" t="s">
        <v>230</v>
      </c>
      <c r="B269" s="117" t="s">
        <v>2081</v>
      </c>
      <c r="C269" s="304" t="s">
        <v>1321</v>
      </c>
      <c r="D269" s="305"/>
      <c r="E269" s="305"/>
      <c r="F269" s="117" t="s">
        <v>1644</v>
      </c>
      <c r="G269" s="116">
        <v>1</v>
      </c>
      <c r="H269" s="159"/>
      <c r="I269" s="108">
        <f t="shared" si="296"/>
        <v>0</v>
      </c>
      <c r="J269" s="108">
        <f t="shared" si="297"/>
        <v>0</v>
      </c>
      <c r="K269" s="108">
        <f t="shared" si="298"/>
        <v>0</v>
      </c>
      <c r="L269" s="111"/>
      <c r="Z269" s="100">
        <f t="shared" si="299"/>
        <v>0</v>
      </c>
      <c r="AB269" s="100">
        <f t="shared" si="300"/>
        <v>0</v>
      </c>
      <c r="AC269" s="100">
        <f t="shared" si="301"/>
        <v>0</v>
      </c>
      <c r="AD269" s="100">
        <f t="shared" si="302"/>
        <v>0</v>
      </c>
      <c r="AE269" s="100">
        <f t="shared" si="303"/>
        <v>0</v>
      </c>
      <c r="AF269" s="100">
        <f t="shared" si="304"/>
        <v>0</v>
      </c>
      <c r="AG269" s="100">
        <f t="shared" si="305"/>
        <v>0</v>
      </c>
      <c r="AH269" s="100">
        <f t="shared" si="306"/>
        <v>0</v>
      </c>
      <c r="AI269" s="109"/>
      <c r="AJ269" s="108">
        <f t="shared" si="307"/>
        <v>0</v>
      </c>
      <c r="AK269" s="108">
        <f t="shared" si="308"/>
        <v>0</v>
      </c>
      <c r="AL269" s="108">
        <f t="shared" si="309"/>
        <v>0</v>
      </c>
      <c r="AN269" s="100">
        <v>15</v>
      </c>
      <c r="AO269" s="100">
        <f t="shared" si="310"/>
        <v>0</v>
      </c>
      <c r="AP269" s="100">
        <f t="shared" si="311"/>
        <v>0</v>
      </c>
      <c r="AQ269" s="111" t="s">
        <v>13</v>
      </c>
      <c r="AV269" s="100">
        <f t="shared" si="312"/>
        <v>0</v>
      </c>
      <c r="AW269" s="100">
        <f t="shared" si="313"/>
        <v>0</v>
      </c>
      <c r="AX269" s="100">
        <f t="shared" si="314"/>
        <v>0</v>
      </c>
      <c r="AY269" s="110" t="s">
        <v>1709</v>
      </c>
      <c r="AZ269" s="110" t="s">
        <v>1733</v>
      </c>
      <c r="BA269" s="109" t="s">
        <v>1737</v>
      </c>
      <c r="BC269" s="100">
        <f t="shared" si="315"/>
        <v>0</v>
      </c>
      <c r="BD269" s="100">
        <f t="shared" si="316"/>
        <v>0</v>
      </c>
      <c r="BE269" s="100">
        <v>0</v>
      </c>
      <c r="BF269" s="100">
        <f>269</f>
        <v>269</v>
      </c>
      <c r="BH269" s="108">
        <f t="shared" si="317"/>
        <v>0</v>
      </c>
      <c r="BI269" s="108">
        <f t="shared" si="318"/>
        <v>0</v>
      </c>
      <c r="BJ269" s="108">
        <f t="shared" si="319"/>
        <v>0</v>
      </c>
    </row>
    <row r="270" spans="1:62" x14ac:dyDescent="0.2">
      <c r="A270" s="117" t="s">
        <v>231</v>
      </c>
      <c r="B270" s="117" t="s">
        <v>2080</v>
      </c>
      <c r="C270" s="304" t="s">
        <v>1322</v>
      </c>
      <c r="D270" s="305"/>
      <c r="E270" s="305"/>
      <c r="F270" s="117" t="s">
        <v>1644</v>
      </c>
      <c r="G270" s="116">
        <v>2</v>
      </c>
      <c r="H270" s="159"/>
      <c r="I270" s="108">
        <f t="shared" si="296"/>
        <v>0</v>
      </c>
      <c r="J270" s="108">
        <f t="shared" si="297"/>
        <v>0</v>
      </c>
      <c r="K270" s="108">
        <f t="shared" si="298"/>
        <v>0</v>
      </c>
      <c r="L270" s="111"/>
      <c r="Z270" s="100">
        <f t="shared" si="299"/>
        <v>0</v>
      </c>
      <c r="AB270" s="100">
        <f t="shared" si="300"/>
        <v>0</v>
      </c>
      <c r="AC270" s="100">
        <f t="shared" si="301"/>
        <v>0</v>
      </c>
      <c r="AD270" s="100">
        <f t="shared" si="302"/>
        <v>0</v>
      </c>
      <c r="AE270" s="100">
        <f t="shared" si="303"/>
        <v>0</v>
      </c>
      <c r="AF270" s="100">
        <f t="shared" si="304"/>
        <v>0</v>
      </c>
      <c r="AG270" s="100">
        <f t="shared" si="305"/>
        <v>0</v>
      </c>
      <c r="AH270" s="100">
        <f t="shared" si="306"/>
        <v>0</v>
      </c>
      <c r="AI270" s="109"/>
      <c r="AJ270" s="108">
        <f t="shared" si="307"/>
        <v>0</v>
      </c>
      <c r="AK270" s="108">
        <f t="shared" si="308"/>
        <v>0</v>
      </c>
      <c r="AL270" s="108">
        <f t="shared" si="309"/>
        <v>0</v>
      </c>
      <c r="AN270" s="100">
        <v>15</v>
      </c>
      <c r="AO270" s="100">
        <f t="shared" si="310"/>
        <v>0</v>
      </c>
      <c r="AP270" s="100">
        <f t="shared" si="311"/>
        <v>0</v>
      </c>
      <c r="AQ270" s="111" t="s">
        <v>13</v>
      </c>
      <c r="AV270" s="100">
        <f t="shared" si="312"/>
        <v>0</v>
      </c>
      <c r="AW270" s="100">
        <f t="shared" si="313"/>
        <v>0</v>
      </c>
      <c r="AX270" s="100">
        <f t="shared" si="314"/>
        <v>0</v>
      </c>
      <c r="AY270" s="110" t="s">
        <v>1709</v>
      </c>
      <c r="AZ270" s="110" t="s">
        <v>1733</v>
      </c>
      <c r="BA270" s="109" t="s">
        <v>1737</v>
      </c>
      <c r="BC270" s="100">
        <f t="shared" si="315"/>
        <v>0</v>
      </c>
      <c r="BD270" s="100">
        <f t="shared" si="316"/>
        <v>0</v>
      </c>
      <c r="BE270" s="100">
        <v>0</v>
      </c>
      <c r="BF270" s="100">
        <f>270</f>
        <v>270</v>
      </c>
      <c r="BH270" s="108">
        <f t="shared" si="317"/>
        <v>0</v>
      </c>
      <c r="BI270" s="108">
        <f t="shared" si="318"/>
        <v>0</v>
      </c>
      <c r="BJ270" s="108">
        <f t="shared" si="319"/>
        <v>0</v>
      </c>
    </row>
    <row r="271" spans="1:62" x14ac:dyDescent="0.2">
      <c r="A271" s="117" t="s">
        <v>232</v>
      </c>
      <c r="B271" s="117" t="s">
        <v>2079</v>
      </c>
      <c r="C271" s="304" t="s">
        <v>1323</v>
      </c>
      <c r="D271" s="305"/>
      <c r="E271" s="305"/>
      <c r="F271" s="117" t="s">
        <v>1644</v>
      </c>
      <c r="G271" s="116">
        <v>1</v>
      </c>
      <c r="H271" s="159"/>
      <c r="I271" s="108">
        <f t="shared" si="296"/>
        <v>0</v>
      </c>
      <c r="J271" s="108">
        <f t="shared" si="297"/>
        <v>0</v>
      </c>
      <c r="K271" s="108">
        <f t="shared" si="298"/>
        <v>0</v>
      </c>
      <c r="L271" s="111"/>
      <c r="Z271" s="100">
        <f t="shared" si="299"/>
        <v>0</v>
      </c>
      <c r="AB271" s="100">
        <f t="shared" si="300"/>
        <v>0</v>
      </c>
      <c r="AC271" s="100">
        <f t="shared" si="301"/>
        <v>0</v>
      </c>
      <c r="AD271" s="100">
        <f t="shared" si="302"/>
        <v>0</v>
      </c>
      <c r="AE271" s="100">
        <f t="shared" si="303"/>
        <v>0</v>
      </c>
      <c r="AF271" s="100">
        <f t="shared" si="304"/>
        <v>0</v>
      </c>
      <c r="AG271" s="100">
        <f t="shared" si="305"/>
        <v>0</v>
      </c>
      <c r="AH271" s="100">
        <f t="shared" si="306"/>
        <v>0</v>
      </c>
      <c r="AI271" s="109"/>
      <c r="AJ271" s="108">
        <f t="shared" si="307"/>
        <v>0</v>
      </c>
      <c r="AK271" s="108">
        <f t="shared" si="308"/>
        <v>0</v>
      </c>
      <c r="AL271" s="108">
        <f t="shared" si="309"/>
        <v>0</v>
      </c>
      <c r="AN271" s="100">
        <v>15</v>
      </c>
      <c r="AO271" s="100">
        <f t="shared" si="310"/>
        <v>0</v>
      </c>
      <c r="AP271" s="100">
        <f t="shared" si="311"/>
        <v>0</v>
      </c>
      <c r="AQ271" s="111" t="s">
        <v>13</v>
      </c>
      <c r="AV271" s="100">
        <f t="shared" si="312"/>
        <v>0</v>
      </c>
      <c r="AW271" s="100">
        <f t="shared" si="313"/>
        <v>0</v>
      </c>
      <c r="AX271" s="100">
        <f t="shared" si="314"/>
        <v>0</v>
      </c>
      <c r="AY271" s="110" t="s">
        <v>1709</v>
      </c>
      <c r="AZ271" s="110" t="s">
        <v>1733</v>
      </c>
      <c r="BA271" s="109" t="s">
        <v>1737</v>
      </c>
      <c r="BC271" s="100">
        <f t="shared" si="315"/>
        <v>0</v>
      </c>
      <c r="BD271" s="100">
        <f t="shared" si="316"/>
        <v>0</v>
      </c>
      <c r="BE271" s="100">
        <v>0</v>
      </c>
      <c r="BF271" s="100">
        <f>271</f>
        <v>271</v>
      </c>
      <c r="BH271" s="108">
        <f t="shared" si="317"/>
        <v>0</v>
      </c>
      <c r="BI271" s="108">
        <f t="shared" si="318"/>
        <v>0</v>
      </c>
      <c r="BJ271" s="108">
        <f t="shared" si="319"/>
        <v>0</v>
      </c>
    </row>
    <row r="272" spans="1:62" x14ac:dyDescent="0.2">
      <c r="A272" s="117" t="s">
        <v>233</v>
      </c>
      <c r="B272" s="117" t="s">
        <v>2078</v>
      </c>
      <c r="C272" s="304" t="s">
        <v>1324</v>
      </c>
      <c r="D272" s="305"/>
      <c r="E272" s="305"/>
      <c r="F272" s="117" t="s">
        <v>1644</v>
      </c>
      <c r="G272" s="116">
        <v>2</v>
      </c>
      <c r="H272" s="159"/>
      <c r="I272" s="108">
        <f t="shared" si="296"/>
        <v>0</v>
      </c>
      <c r="J272" s="108">
        <f t="shared" si="297"/>
        <v>0</v>
      </c>
      <c r="K272" s="108">
        <f t="shared" si="298"/>
        <v>0</v>
      </c>
      <c r="L272" s="111"/>
      <c r="Z272" s="100">
        <f t="shared" si="299"/>
        <v>0</v>
      </c>
      <c r="AB272" s="100">
        <f t="shared" si="300"/>
        <v>0</v>
      </c>
      <c r="AC272" s="100">
        <f t="shared" si="301"/>
        <v>0</v>
      </c>
      <c r="AD272" s="100">
        <f t="shared" si="302"/>
        <v>0</v>
      </c>
      <c r="AE272" s="100">
        <f t="shared" si="303"/>
        <v>0</v>
      </c>
      <c r="AF272" s="100">
        <f t="shared" si="304"/>
        <v>0</v>
      </c>
      <c r="AG272" s="100">
        <f t="shared" si="305"/>
        <v>0</v>
      </c>
      <c r="AH272" s="100">
        <f t="shared" si="306"/>
        <v>0</v>
      </c>
      <c r="AI272" s="109"/>
      <c r="AJ272" s="108">
        <f t="shared" si="307"/>
        <v>0</v>
      </c>
      <c r="AK272" s="108">
        <f t="shared" si="308"/>
        <v>0</v>
      </c>
      <c r="AL272" s="108">
        <f t="shared" si="309"/>
        <v>0</v>
      </c>
      <c r="AN272" s="100">
        <v>15</v>
      </c>
      <c r="AO272" s="100">
        <f t="shared" si="310"/>
        <v>0</v>
      </c>
      <c r="AP272" s="100">
        <f t="shared" si="311"/>
        <v>0</v>
      </c>
      <c r="AQ272" s="111" t="s">
        <v>13</v>
      </c>
      <c r="AV272" s="100">
        <f t="shared" si="312"/>
        <v>0</v>
      </c>
      <c r="AW272" s="100">
        <f t="shared" si="313"/>
        <v>0</v>
      </c>
      <c r="AX272" s="100">
        <f t="shared" si="314"/>
        <v>0</v>
      </c>
      <c r="AY272" s="110" t="s">
        <v>1709</v>
      </c>
      <c r="AZ272" s="110" t="s">
        <v>1733</v>
      </c>
      <c r="BA272" s="109" t="s">
        <v>1737</v>
      </c>
      <c r="BC272" s="100">
        <f t="shared" si="315"/>
        <v>0</v>
      </c>
      <c r="BD272" s="100">
        <f t="shared" si="316"/>
        <v>0</v>
      </c>
      <c r="BE272" s="100">
        <v>0</v>
      </c>
      <c r="BF272" s="100">
        <f>272</f>
        <v>272</v>
      </c>
      <c r="BH272" s="108">
        <f t="shared" si="317"/>
        <v>0</v>
      </c>
      <c r="BI272" s="108">
        <f t="shared" si="318"/>
        <v>0</v>
      </c>
      <c r="BJ272" s="108">
        <f t="shared" si="319"/>
        <v>0</v>
      </c>
    </row>
    <row r="273" spans="1:62" x14ac:dyDescent="0.2">
      <c r="A273" s="117" t="s">
        <v>234</v>
      </c>
      <c r="B273" s="117" t="s">
        <v>2077</v>
      </c>
      <c r="C273" s="304" t="s">
        <v>1325</v>
      </c>
      <c r="D273" s="305"/>
      <c r="E273" s="305"/>
      <c r="F273" s="117" t="s">
        <v>1644</v>
      </c>
      <c r="G273" s="116">
        <v>1</v>
      </c>
      <c r="H273" s="159"/>
      <c r="I273" s="108">
        <f t="shared" si="296"/>
        <v>0</v>
      </c>
      <c r="J273" s="108">
        <f t="shared" si="297"/>
        <v>0</v>
      </c>
      <c r="K273" s="108">
        <f t="shared" si="298"/>
        <v>0</v>
      </c>
      <c r="L273" s="111"/>
      <c r="Z273" s="100">
        <f t="shared" si="299"/>
        <v>0</v>
      </c>
      <c r="AB273" s="100">
        <f t="shared" si="300"/>
        <v>0</v>
      </c>
      <c r="AC273" s="100">
        <f t="shared" si="301"/>
        <v>0</v>
      </c>
      <c r="AD273" s="100">
        <f t="shared" si="302"/>
        <v>0</v>
      </c>
      <c r="AE273" s="100">
        <f t="shared" si="303"/>
        <v>0</v>
      </c>
      <c r="AF273" s="100">
        <f t="shared" si="304"/>
        <v>0</v>
      </c>
      <c r="AG273" s="100">
        <f t="shared" si="305"/>
        <v>0</v>
      </c>
      <c r="AH273" s="100">
        <f t="shared" si="306"/>
        <v>0</v>
      </c>
      <c r="AI273" s="109"/>
      <c r="AJ273" s="108">
        <f t="shared" si="307"/>
        <v>0</v>
      </c>
      <c r="AK273" s="108">
        <f t="shared" si="308"/>
        <v>0</v>
      </c>
      <c r="AL273" s="108">
        <f t="shared" si="309"/>
        <v>0</v>
      </c>
      <c r="AN273" s="100">
        <v>15</v>
      </c>
      <c r="AO273" s="100">
        <f t="shared" si="310"/>
        <v>0</v>
      </c>
      <c r="AP273" s="100">
        <f t="shared" si="311"/>
        <v>0</v>
      </c>
      <c r="AQ273" s="111" t="s">
        <v>13</v>
      </c>
      <c r="AV273" s="100">
        <f t="shared" si="312"/>
        <v>0</v>
      </c>
      <c r="AW273" s="100">
        <f t="shared" si="313"/>
        <v>0</v>
      </c>
      <c r="AX273" s="100">
        <f t="shared" si="314"/>
        <v>0</v>
      </c>
      <c r="AY273" s="110" t="s">
        <v>1709</v>
      </c>
      <c r="AZ273" s="110" t="s">
        <v>1733</v>
      </c>
      <c r="BA273" s="109" t="s">
        <v>1737</v>
      </c>
      <c r="BC273" s="100">
        <f t="shared" si="315"/>
        <v>0</v>
      </c>
      <c r="BD273" s="100">
        <f t="shared" si="316"/>
        <v>0</v>
      </c>
      <c r="BE273" s="100">
        <v>0</v>
      </c>
      <c r="BF273" s="100">
        <f>273</f>
        <v>273</v>
      </c>
      <c r="BH273" s="108">
        <f t="shared" si="317"/>
        <v>0</v>
      </c>
      <c r="BI273" s="108">
        <f t="shared" si="318"/>
        <v>0</v>
      </c>
      <c r="BJ273" s="108">
        <f t="shared" si="319"/>
        <v>0</v>
      </c>
    </row>
    <row r="274" spans="1:62" x14ac:dyDescent="0.2">
      <c r="A274" s="117" t="s">
        <v>235</v>
      </c>
      <c r="B274" s="117" t="s">
        <v>2076</v>
      </c>
      <c r="C274" s="304" t="s">
        <v>1297</v>
      </c>
      <c r="D274" s="305"/>
      <c r="E274" s="305"/>
      <c r="F274" s="117" t="s">
        <v>1644</v>
      </c>
      <c r="G274" s="116">
        <v>8</v>
      </c>
      <c r="H274" s="159"/>
      <c r="I274" s="108">
        <f t="shared" si="296"/>
        <v>0</v>
      </c>
      <c r="J274" s="108">
        <f t="shared" si="297"/>
        <v>0</v>
      </c>
      <c r="K274" s="108">
        <f t="shared" si="298"/>
        <v>0</v>
      </c>
      <c r="L274" s="111"/>
      <c r="Z274" s="100">
        <f t="shared" si="299"/>
        <v>0</v>
      </c>
      <c r="AB274" s="100">
        <f t="shared" si="300"/>
        <v>0</v>
      </c>
      <c r="AC274" s="100">
        <f t="shared" si="301"/>
        <v>0</v>
      </c>
      <c r="AD274" s="100">
        <f t="shared" si="302"/>
        <v>0</v>
      </c>
      <c r="AE274" s="100">
        <f t="shared" si="303"/>
        <v>0</v>
      </c>
      <c r="AF274" s="100">
        <f t="shared" si="304"/>
        <v>0</v>
      </c>
      <c r="AG274" s="100">
        <f t="shared" si="305"/>
        <v>0</v>
      </c>
      <c r="AH274" s="100">
        <f t="shared" si="306"/>
        <v>0</v>
      </c>
      <c r="AI274" s="109"/>
      <c r="AJ274" s="108">
        <f t="shared" si="307"/>
        <v>0</v>
      </c>
      <c r="AK274" s="108">
        <f t="shared" si="308"/>
        <v>0</v>
      </c>
      <c r="AL274" s="108">
        <f t="shared" si="309"/>
        <v>0</v>
      </c>
      <c r="AN274" s="100">
        <v>15</v>
      </c>
      <c r="AO274" s="100">
        <f t="shared" si="310"/>
        <v>0</v>
      </c>
      <c r="AP274" s="100">
        <f t="shared" si="311"/>
        <v>0</v>
      </c>
      <c r="AQ274" s="111" t="s">
        <v>13</v>
      </c>
      <c r="AV274" s="100">
        <f t="shared" si="312"/>
        <v>0</v>
      </c>
      <c r="AW274" s="100">
        <f t="shared" si="313"/>
        <v>0</v>
      </c>
      <c r="AX274" s="100">
        <f t="shared" si="314"/>
        <v>0</v>
      </c>
      <c r="AY274" s="110" t="s">
        <v>1709</v>
      </c>
      <c r="AZ274" s="110" t="s">
        <v>1733</v>
      </c>
      <c r="BA274" s="109" t="s">
        <v>1737</v>
      </c>
      <c r="BC274" s="100">
        <f t="shared" si="315"/>
        <v>0</v>
      </c>
      <c r="BD274" s="100">
        <f t="shared" si="316"/>
        <v>0</v>
      </c>
      <c r="BE274" s="100">
        <v>0</v>
      </c>
      <c r="BF274" s="100">
        <f>274</f>
        <v>274</v>
      </c>
      <c r="BH274" s="108">
        <f t="shared" si="317"/>
        <v>0</v>
      </c>
      <c r="BI274" s="108">
        <f t="shared" si="318"/>
        <v>0</v>
      </c>
      <c r="BJ274" s="108">
        <f t="shared" si="319"/>
        <v>0</v>
      </c>
    </row>
    <row r="275" spans="1:62" x14ac:dyDescent="0.2">
      <c r="A275" s="117" t="s">
        <v>236</v>
      </c>
      <c r="B275" s="117" t="s">
        <v>2075</v>
      </c>
      <c r="C275" s="304" t="s">
        <v>1326</v>
      </c>
      <c r="D275" s="305"/>
      <c r="E275" s="305"/>
      <c r="F275" s="117" t="s">
        <v>1644</v>
      </c>
      <c r="G275" s="116">
        <v>8</v>
      </c>
      <c r="H275" s="159"/>
      <c r="I275" s="108">
        <f t="shared" si="296"/>
        <v>0</v>
      </c>
      <c r="J275" s="108">
        <f t="shared" si="297"/>
        <v>0</v>
      </c>
      <c r="K275" s="108">
        <f t="shared" si="298"/>
        <v>0</v>
      </c>
      <c r="L275" s="111"/>
      <c r="Z275" s="100">
        <f t="shared" si="299"/>
        <v>0</v>
      </c>
      <c r="AB275" s="100">
        <f t="shared" si="300"/>
        <v>0</v>
      </c>
      <c r="AC275" s="100">
        <f t="shared" si="301"/>
        <v>0</v>
      </c>
      <c r="AD275" s="100">
        <f t="shared" si="302"/>
        <v>0</v>
      </c>
      <c r="AE275" s="100">
        <f t="shared" si="303"/>
        <v>0</v>
      </c>
      <c r="AF275" s="100">
        <f t="shared" si="304"/>
        <v>0</v>
      </c>
      <c r="AG275" s="100">
        <f t="shared" si="305"/>
        <v>0</v>
      </c>
      <c r="AH275" s="100">
        <f t="shared" si="306"/>
        <v>0</v>
      </c>
      <c r="AI275" s="109"/>
      <c r="AJ275" s="108">
        <f t="shared" si="307"/>
        <v>0</v>
      </c>
      <c r="AK275" s="108">
        <f t="shared" si="308"/>
        <v>0</v>
      </c>
      <c r="AL275" s="108">
        <f t="shared" si="309"/>
        <v>0</v>
      </c>
      <c r="AN275" s="100">
        <v>15</v>
      </c>
      <c r="AO275" s="100">
        <f t="shared" si="310"/>
        <v>0</v>
      </c>
      <c r="AP275" s="100">
        <f t="shared" si="311"/>
        <v>0</v>
      </c>
      <c r="AQ275" s="111" t="s">
        <v>13</v>
      </c>
      <c r="AV275" s="100">
        <f t="shared" si="312"/>
        <v>0</v>
      </c>
      <c r="AW275" s="100">
        <f t="shared" si="313"/>
        <v>0</v>
      </c>
      <c r="AX275" s="100">
        <f t="shared" si="314"/>
        <v>0</v>
      </c>
      <c r="AY275" s="110" t="s">
        <v>1709</v>
      </c>
      <c r="AZ275" s="110" t="s">
        <v>1733</v>
      </c>
      <c r="BA275" s="109" t="s">
        <v>1737</v>
      </c>
      <c r="BC275" s="100">
        <f t="shared" si="315"/>
        <v>0</v>
      </c>
      <c r="BD275" s="100">
        <f t="shared" si="316"/>
        <v>0</v>
      </c>
      <c r="BE275" s="100">
        <v>0</v>
      </c>
      <c r="BF275" s="100">
        <f>275</f>
        <v>275</v>
      </c>
      <c r="BH275" s="108">
        <f t="shared" si="317"/>
        <v>0</v>
      </c>
      <c r="BI275" s="108">
        <f t="shared" si="318"/>
        <v>0</v>
      </c>
      <c r="BJ275" s="108">
        <f t="shared" si="319"/>
        <v>0</v>
      </c>
    </row>
    <row r="276" spans="1:62" x14ac:dyDescent="0.2">
      <c r="A276" s="117" t="s">
        <v>237</v>
      </c>
      <c r="B276" s="117" t="s">
        <v>2074</v>
      </c>
      <c r="C276" s="304" t="s">
        <v>1327</v>
      </c>
      <c r="D276" s="305"/>
      <c r="E276" s="305"/>
      <c r="F276" s="117" t="s">
        <v>1644</v>
      </c>
      <c r="G276" s="116">
        <v>6</v>
      </c>
      <c r="H276" s="159"/>
      <c r="I276" s="108">
        <f t="shared" si="296"/>
        <v>0</v>
      </c>
      <c r="J276" s="108">
        <f t="shared" si="297"/>
        <v>0</v>
      </c>
      <c r="K276" s="108">
        <f t="shared" si="298"/>
        <v>0</v>
      </c>
      <c r="L276" s="111"/>
      <c r="Z276" s="100">
        <f t="shared" si="299"/>
        <v>0</v>
      </c>
      <c r="AB276" s="100">
        <f t="shared" si="300"/>
        <v>0</v>
      </c>
      <c r="AC276" s="100">
        <f t="shared" si="301"/>
        <v>0</v>
      </c>
      <c r="AD276" s="100">
        <f t="shared" si="302"/>
        <v>0</v>
      </c>
      <c r="AE276" s="100">
        <f t="shared" si="303"/>
        <v>0</v>
      </c>
      <c r="AF276" s="100">
        <f t="shared" si="304"/>
        <v>0</v>
      </c>
      <c r="AG276" s="100">
        <f t="shared" si="305"/>
        <v>0</v>
      </c>
      <c r="AH276" s="100">
        <f t="shared" si="306"/>
        <v>0</v>
      </c>
      <c r="AI276" s="109"/>
      <c r="AJ276" s="108">
        <f t="shared" si="307"/>
        <v>0</v>
      </c>
      <c r="AK276" s="108">
        <f t="shared" si="308"/>
        <v>0</v>
      </c>
      <c r="AL276" s="108">
        <f t="shared" si="309"/>
        <v>0</v>
      </c>
      <c r="AN276" s="100">
        <v>15</v>
      </c>
      <c r="AO276" s="100">
        <f t="shared" si="310"/>
        <v>0</v>
      </c>
      <c r="AP276" s="100">
        <f t="shared" si="311"/>
        <v>0</v>
      </c>
      <c r="AQ276" s="111" t="s">
        <v>13</v>
      </c>
      <c r="AV276" s="100">
        <f t="shared" si="312"/>
        <v>0</v>
      </c>
      <c r="AW276" s="100">
        <f t="shared" si="313"/>
        <v>0</v>
      </c>
      <c r="AX276" s="100">
        <f t="shared" si="314"/>
        <v>0</v>
      </c>
      <c r="AY276" s="110" t="s">
        <v>1709</v>
      </c>
      <c r="AZ276" s="110" t="s">
        <v>1733</v>
      </c>
      <c r="BA276" s="109" t="s">
        <v>1737</v>
      </c>
      <c r="BC276" s="100">
        <f t="shared" si="315"/>
        <v>0</v>
      </c>
      <c r="BD276" s="100">
        <f t="shared" si="316"/>
        <v>0</v>
      </c>
      <c r="BE276" s="100">
        <v>0</v>
      </c>
      <c r="BF276" s="100">
        <f>276</f>
        <v>276</v>
      </c>
      <c r="BH276" s="108">
        <f t="shared" si="317"/>
        <v>0</v>
      </c>
      <c r="BI276" s="108">
        <f t="shared" si="318"/>
        <v>0</v>
      </c>
      <c r="BJ276" s="108">
        <f t="shared" si="319"/>
        <v>0</v>
      </c>
    </row>
    <row r="277" spans="1:62" x14ac:dyDescent="0.2">
      <c r="A277" s="117" t="s">
        <v>238</v>
      </c>
      <c r="B277" s="117" t="s">
        <v>2073</v>
      </c>
      <c r="C277" s="304" t="s">
        <v>1294</v>
      </c>
      <c r="D277" s="305"/>
      <c r="E277" s="305"/>
      <c r="F277" s="117" t="s">
        <v>1644</v>
      </c>
      <c r="G277" s="116">
        <v>2</v>
      </c>
      <c r="H277" s="159"/>
      <c r="I277" s="108">
        <f t="shared" si="296"/>
        <v>0</v>
      </c>
      <c r="J277" s="108">
        <f t="shared" si="297"/>
        <v>0</v>
      </c>
      <c r="K277" s="108">
        <f t="shared" si="298"/>
        <v>0</v>
      </c>
      <c r="L277" s="111"/>
      <c r="Z277" s="100">
        <f t="shared" si="299"/>
        <v>0</v>
      </c>
      <c r="AB277" s="100">
        <f t="shared" si="300"/>
        <v>0</v>
      </c>
      <c r="AC277" s="100">
        <f t="shared" si="301"/>
        <v>0</v>
      </c>
      <c r="AD277" s="100">
        <f t="shared" si="302"/>
        <v>0</v>
      </c>
      <c r="AE277" s="100">
        <f t="shared" si="303"/>
        <v>0</v>
      </c>
      <c r="AF277" s="100">
        <f t="shared" si="304"/>
        <v>0</v>
      </c>
      <c r="AG277" s="100">
        <f t="shared" si="305"/>
        <v>0</v>
      </c>
      <c r="AH277" s="100">
        <f t="shared" si="306"/>
        <v>0</v>
      </c>
      <c r="AI277" s="109"/>
      <c r="AJ277" s="108">
        <f t="shared" si="307"/>
        <v>0</v>
      </c>
      <c r="AK277" s="108">
        <f t="shared" si="308"/>
        <v>0</v>
      </c>
      <c r="AL277" s="108">
        <f t="shared" si="309"/>
        <v>0</v>
      </c>
      <c r="AN277" s="100">
        <v>15</v>
      </c>
      <c r="AO277" s="100">
        <f t="shared" si="310"/>
        <v>0</v>
      </c>
      <c r="AP277" s="100">
        <f t="shared" si="311"/>
        <v>0</v>
      </c>
      <c r="AQ277" s="111" t="s">
        <v>13</v>
      </c>
      <c r="AV277" s="100">
        <f t="shared" si="312"/>
        <v>0</v>
      </c>
      <c r="AW277" s="100">
        <f t="shared" si="313"/>
        <v>0</v>
      </c>
      <c r="AX277" s="100">
        <f t="shared" si="314"/>
        <v>0</v>
      </c>
      <c r="AY277" s="110" t="s">
        <v>1709</v>
      </c>
      <c r="AZ277" s="110" t="s">
        <v>1733</v>
      </c>
      <c r="BA277" s="109" t="s">
        <v>1737</v>
      </c>
      <c r="BC277" s="100">
        <f t="shared" si="315"/>
        <v>0</v>
      </c>
      <c r="BD277" s="100">
        <f t="shared" si="316"/>
        <v>0</v>
      </c>
      <c r="BE277" s="100">
        <v>0</v>
      </c>
      <c r="BF277" s="100">
        <f>277</f>
        <v>277</v>
      </c>
      <c r="BH277" s="108">
        <f t="shared" si="317"/>
        <v>0</v>
      </c>
      <c r="BI277" s="108">
        <f t="shared" si="318"/>
        <v>0</v>
      </c>
      <c r="BJ277" s="108">
        <f t="shared" si="319"/>
        <v>0</v>
      </c>
    </row>
    <row r="278" spans="1:62" x14ac:dyDescent="0.2">
      <c r="A278" s="117" t="s">
        <v>239</v>
      </c>
      <c r="B278" s="117" t="s">
        <v>2072</v>
      </c>
      <c r="C278" s="304" t="s">
        <v>1295</v>
      </c>
      <c r="D278" s="305"/>
      <c r="E278" s="305"/>
      <c r="F278" s="117" t="s">
        <v>1644</v>
      </c>
      <c r="G278" s="116">
        <v>2</v>
      </c>
      <c r="H278" s="159"/>
      <c r="I278" s="108">
        <f t="shared" si="296"/>
        <v>0</v>
      </c>
      <c r="J278" s="108">
        <f t="shared" si="297"/>
        <v>0</v>
      </c>
      <c r="K278" s="108">
        <f t="shared" si="298"/>
        <v>0</v>
      </c>
      <c r="L278" s="111"/>
      <c r="Z278" s="100">
        <f t="shared" si="299"/>
        <v>0</v>
      </c>
      <c r="AB278" s="100">
        <f t="shared" si="300"/>
        <v>0</v>
      </c>
      <c r="AC278" s="100">
        <f t="shared" si="301"/>
        <v>0</v>
      </c>
      <c r="AD278" s="100">
        <f t="shared" si="302"/>
        <v>0</v>
      </c>
      <c r="AE278" s="100">
        <f t="shared" si="303"/>
        <v>0</v>
      </c>
      <c r="AF278" s="100">
        <f t="shared" si="304"/>
        <v>0</v>
      </c>
      <c r="AG278" s="100">
        <f t="shared" si="305"/>
        <v>0</v>
      </c>
      <c r="AH278" s="100">
        <f t="shared" si="306"/>
        <v>0</v>
      </c>
      <c r="AI278" s="109"/>
      <c r="AJ278" s="108">
        <f t="shared" si="307"/>
        <v>0</v>
      </c>
      <c r="AK278" s="108">
        <f t="shared" si="308"/>
        <v>0</v>
      </c>
      <c r="AL278" s="108">
        <f t="shared" si="309"/>
        <v>0</v>
      </c>
      <c r="AN278" s="100">
        <v>15</v>
      </c>
      <c r="AO278" s="100">
        <f t="shared" si="310"/>
        <v>0</v>
      </c>
      <c r="AP278" s="100">
        <f t="shared" si="311"/>
        <v>0</v>
      </c>
      <c r="AQ278" s="111" t="s">
        <v>13</v>
      </c>
      <c r="AV278" s="100">
        <f t="shared" si="312"/>
        <v>0</v>
      </c>
      <c r="AW278" s="100">
        <f t="shared" si="313"/>
        <v>0</v>
      </c>
      <c r="AX278" s="100">
        <f t="shared" si="314"/>
        <v>0</v>
      </c>
      <c r="AY278" s="110" t="s">
        <v>1709</v>
      </c>
      <c r="AZ278" s="110" t="s">
        <v>1733</v>
      </c>
      <c r="BA278" s="109" t="s">
        <v>1737</v>
      </c>
      <c r="BC278" s="100">
        <f t="shared" si="315"/>
        <v>0</v>
      </c>
      <c r="BD278" s="100">
        <f t="shared" si="316"/>
        <v>0</v>
      </c>
      <c r="BE278" s="100">
        <v>0</v>
      </c>
      <c r="BF278" s="100">
        <f>278</f>
        <v>278</v>
      </c>
      <c r="BH278" s="108">
        <f t="shared" si="317"/>
        <v>0</v>
      </c>
      <c r="BI278" s="108">
        <f t="shared" si="318"/>
        <v>0</v>
      </c>
      <c r="BJ278" s="108">
        <f t="shared" si="319"/>
        <v>0</v>
      </c>
    </row>
    <row r="279" spans="1:62" x14ac:dyDescent="0.2">
      <c r="A279" s="117" t="s">
        <v>240</v>
      </c>
      <c r="B279" s="117" t="s">
        <v>2071</v>
      </c>
      <c r="C279" s="304" t="s">
        <v>1328</v>
      </c>
      <c r="D279" s="305"/>
      <c r="E279" s="305"/>
      <c r="F279" s="117" t="s">
        <v>1644</v>
      </c>
      <c r="G279" s="116">
        <v>22</v>
      </c>
      <c r="H279" s="159"/>
      <c r="I279" s="108">
        <f t="shared" si="296"/>
        <v>0</v>
      </c>
      <c r="J279" s="108">
        <f t="shared" si="297"/>
        <v>0</v>
      </c>
      <c r="K279" s="108">
        <f t="shared" si="298"/>
        <v>0</v>
      </c>
      <c r="L279" s="111"/>
      <c r="Z279" s="100">
        <f t="shared" si="299"/>
        <v>0</v>
      </c>
      <c r="AB279" s="100">
        <f t="shared" si="300"/>
        <v>0</v>
      </c>
      <c r="AC279" s="100">
        <f t="shared" si="301"/>
        <v>0</v>
      </c>
      <c r="AD279" s="100">
        <f t="shared" si="302"/>
        <v>0</v>
      </c>
      <c r="AE279" s="100">
        <f t="shared" si="303"/>
        <v>0</v>
      </c>
      <c r="AF279" s="100">
        <f t="shared" si="304"/>
        <v>0</v>
      </c>
      <c r="AG279" s="100">
        <f t="shared" si="305"/>
        <v>0</v>
      </c>
      <c r="AH279" s="100">
        <f t="shared" si="306"/>
        <v>0</v>
      </c>
      <c r="AI279" s="109"/>
      <c r="AJ279" s="108">
        <f t="shared" si="307"/>
        <v>0</v>
      </c>
      <c r="AK279" s="108">
        <f t="shared" si="308"/>
        <v>0</v>
      </c>
      <c r="AL279" s="108">
        <f t="shared" si="309"/>
        <v>0</v>
      </c>
      <c r="AN279" s="100">
        <v>15</v>
      </c>
      <c r="AO279" s="100">
        <f t="shared" si="310"/>
        <v>0</v>
      </c>
      <c r="AP279" s="100">
        <f t="shared" si="311"/>
        <v>0</v>
      </c>
      <c r="AQ279" s="111" t="s">
        <v>13</v>
      </c>
      <c r="AV279" s="100">
        <f t="shared" si="312"/>
        <v>0</v>
      </c>
      <c r="AW279" s="100">
        <f t="shared" si="313"/>
        <v>0</v>
      </c>
      <c r="AX279" s="100">
        <f t="shared" si="314"/>
        <v>0</v>
      </c>
      <c r="AY279" s="110" t="s">
        <v>1709</v>
      </c>
      <c r="AZ279" s="110" t="s">
        <v>1733</v>
      </c>
      <c r="BA279" s="109" t="s">
        <v>1737</v>
      </c>
      <c r="BC279" s="100">
        <f t="shared" si="315"/>
        <v>0</v>
      </c>
      <c r="BD279" s="100">
        <f t="shared" si="316"/>
        <v>0</v>
      </c>
      <c r="BE279" s="100">
        <v>0</v>
      </c>
      <c r="BF279" s="100">
        <f>279</f>
        <v>279</v>
      </c>
      <c r="BH279" s="108">
        <f t="shared" si="317"/>
        <v>0</v>
      </c>
      <c r="BI279" s="108">
        <f t="shared" si="318"/>
        <v>0</v>
      </c>
      <c r="BJ279" s="108">
        <f t="shared" si="319"/>
        <v>0</v>
      </c>
    </row>
    <row r="280" spans="1:62" x14ac:dyDescent="0.2">
      <c r="A280" s="117" t="s">
        <v>241</v>
      </c>
      <c r="B280" s="117" t="s">
        <v>2070</v>
      </c>
      <c r="C280" s="304" t="s">
        <v>1329</v>
      </c>
      <c r="D280" s="305"/>
      <c r="E280" s="305"/>
      <c r="F280" s="117" t="s">
        <v>1644</v>
      </c>
      <c r="G280" s="116">
        <v>1</v>
      </c>
      <c r="H280" s="159"/>
      <c r="I280" s="108">
        <f t="shared" si="296"/>
        <v>0</v>
      </c>
      <c r="J280" s="108">
        <f t="shared" si="297"/>
        <v>0</v>
      </c>
      <c r="K280" s="108">
        <f t="shared" si="298"/>
        <v>0</v>
      </c>
      <c r="L280" s="111"/>
      <c r="Z280" s="100">
        <f t="shared" si="299"/>
        <v>0</v>
      </c>
      <c r="AB280" s="100">
        <f t="shared" si="300"/>
        <v>0</v>
      </c>
      <c r="AC280" s="100">
        <f t="shared" si="301"/>
        <v>0</v>
      </c>
      <c r="AD280" s="100">
        <f t="shared" si="302"/>
        <v>0</v>
      </c>
      <c r="AE280" s="100">
        <f t="shared" si="303"/>
        <v>0</v>
      </c>
      <c r="AF280" s="100">
        <f t="shared" si="304"/>
        <v>0</v>
      </c>
      <c r="AG280" s="100">
        <f t="shared" si="305"/>
        <v>0</v>
      </c>
      <c r="AH280" s="100">
        <f t="shared" si="306"/>
        <v>0</v>
      </c>
      <c r="AI280" s="109"/>
      <c r="AJ280" s="108">
        <f t="shared" si="307"/>
        <v>0</v>
      </c>
      <c r="AK280" s="108">
        <f t="shared" si="308"/>
        <v>0</v>
      </c>
      <c r="AL280" s="108">
        <f t="shared" si="309"/>
        <v>0</v>
      </c>
      <c r="AN280" s="100">
        <v>15</v>
      </c>
      <c r="AO280" s="100">
        <f t="shared" si="310"/>
        <v>0</v>
      </c>
      <c r="AP280" s="100">
        <f t="shared" si="311"/>
        <v>0</v>
      </c>
      <c r="AQ280" s="111" t="s">
        <v>13</v>
      </c>
      <c r="AV280" s="100">
        <f t="shared" si="312"/>
        <v>0</v>
      </c>
      <c r="AW280" s="100">
        <f t="shared" si="313"/>
        <v>0</v>
      </c>
      <c r="AX280" s="100">
        <f t="shared" si="314"/>
        <v>0</v>
      </c>
      <c r="AY280" s="110" t="s">
        <v>1709</v>
      </c>
      <c r="AZ280" s="110" t="s">
        <v>1733</v>
      </c>
      <c r="BA280" s="109" t="s">
        <v>1737</v>
      </c>
      <c r="BC280" s="100">
        <f t="shared" si="315"/>
        <v>0</v>
      </c>
      <c r="BD280" s="100">
        <f t="shared" si="316"/>
        <v>0</v>
      </c>
      <c r="BE280" s="100">
        <v>0</v>
      </c>
      <c r="BF280" s="100">
        <f>280</f>
        <v>280</v>
      </c>
      <c r="BH280" s="108">
        <f t="shared" si="317"/>
        <v>0</v>
      </c>
      <c r="BI280" s="108">
        <f t="shared" si="318"/>
        <v>0</v>
      </c>
      <c r="BJ280" s="108">
        <f t="shared" si="319"/>
        <v>0</v>
      </c>
    </row>
    <row r="281" spans="1:62" x14ac:dyDescent="0.2">
      <c r="A281" s="117" t="s">
        <v>242</v>
      </c>
      <c r="B281" s="117" t="s">
        <v>2069</v>
      </c>
      <c r="C281" s="304" t="s">
        <v>1330</v>
      </c>
      <c r="D281" s="305"/>
      <c r="E281" s="305"/>
      <c r="F281" s="117" t="s">
        <v>1646</v>
      </c>
      <c r="G281" s="116">
        <v>60</v>
      </c>
      <c r="H281" s="159"/>
      <c r="I281" s="108">
        <f t="shared" si="296"/>
        <v>0</v>
      </c>
      <c r="J281" s="108">
        <f t="shared" si="297"/>
        <v>0</v>
      </c>
      <c r="K281" s="108">
        <f t="shared" si="298"/>
        <v>0</v>
      </c>
      <c r="L281" s="111"/>
      <c r="Z281" s="100">
        <f t="shared" si="299"/>
        <v>0</v>
      </c>
      <c r="AB281" s="100">
        <f t="shared" si="300"/>
        <v>0</v>
      </c>
      <c r="AC281" s="100">
        <f t="shared" si="301"/>
        <v>0</v>
      </c>
      <c r="AD281" s="100">
        <f t="shared" si="302"/>
        <v>0</v>
      </c>
      <c r="AE281" s="100">
        <f t="shared" si="303"/>
        <v>0</v>
      </c>
      <c r="AF281" s="100">
        <f t="shared" si="304"/>
        <v>0</v>
      </c>
      <c r="AG281" s="100">
        <f t="shared" si="305"/>
        <v>0</v>
      </c>
      <c r="AH281" s="100">
        <f t="shared" si="306"/>
        <v>0</v>
      </c>
      <c r="AI281" s="109"/>
      <c r="AJ281" s="108">
        <f t="shared" si="307"/>
        <v>0</v>
      </c>
      <c r="AK281" s="108">
        <f t="shared" si="308"/>
        <v>0</v>
      </c>
      <c r="AL281" s="108">
        <f t="shared" si="309"/>
        <v>0</v>
      </c>
      <c r="AN281" s="100">
        <v>15</v>
      </c>
      <c r="AO281" s="100">
        <f t="shared" si="310"/>
        <v>0</v>
      </c>
      <c r="AP281" s="100">
        <f t="shared" si="311"/>
        <v>0</v>
      </c>
      <c r="AQ281" s="111" t="s">
        <v>13</v>
      </c>
      <c r="AV281" s="100">
        <f t="shared" si="312"/>
        <v>0</v>
      </c>
      <c r="AW281" s="100">
        <f t="shared" si="313"/>
        <v>0</v>
      </c>
      <c r="AX281" s="100">
        <f t="shared" si="314"/>
        <v>0</v>
      </c>
      <c r="AY281" s="110" t="s">
        <v>1709</v>
      </c>
      <c r="AZ281" s="110" t="s">
        <v>1733</v>
      </c>
      <c r="BA281" s="109" t="s">
        <v>1737</v>
      </c>
      <c r="BC281" s="100">
        <f t="shared" si="315"/>
        <v>0</v>
      </c>
      <c r="BD281" s="100">
        <f t="shared" si="316"/>
        <v>0</v>
      </c>
      <c r="BE281" s="100">
        <v>0</v>
      </c>
      <c r="BF281" s="100">
        <f>281</f>
        <v>281</v>
      </c>
      <c r="BH281" s="108">
        <f t="shared" si="317"/>
        <v>0</v>
      </c>
      <c r="BI281" s="108">
        <f t="shared" si="318"/>
        <v>0</v>
      </c>
      <c r="BJ281" s="108">
        <f t="shared" si="319"/>
        <v>0</v>
      </c>
    </row>
    <row r="282" spans="1:62" x14ac:dyDescent="0.2">
      <c r="A282" s="117" t="s">
        <v>243</v>
      </c>
      <c r="B282" s="117" t="s">
        <v>2068</v>
      </c>
      <c r="C282" s="304" t="s">
        <v>1331</v>
      </c>
      <c r="D282" s="305"/>
      <c r="E282" s="305"/>
      <c r="F282" s="117" t="s">
        <v>1646</v>
      </c>
      <c r="G282" s="116">
        <v>24</v>
      </c>
      <c r="H282" s="159"/>
      <c r="I282" s="108">
        <f t="shared" si="296"/>
        <v>0</v>
      </c>
      <c r="J282" s="108">
        <f t="shared" si="297"/>
        <v>0</v>
      </c>
      <c r="K282" s="108">
        <f t="shared" si="298"/>
        <v>0</v>
      </c>
      <c r="L282" s="111"/>
      <c r="Z282" s="100">
        <f t="shared" si="299"/>
        <v>0</v>
      </c>
      <c r="AB282" s="100">
        <f t="shared" si="300"/>
        <v>0</v>
      </c>
      <c r="AC282" s="100">
        <f t="shared" si="301"/>
        <v>0</v>
      </c>
      <c r="AD282" s="100">
        <f t="shared" si="302"/>
        <v>0</v>
      </c>
      <c r="AE282" s="100">
        <f t="shared" si="303"/>
        <v>0</v>
      </c>
      <c r="AF282" s="100">
        <f t="shared" si="304"/>
        <v>0</v>
      </c>
      <c r="AG282" s="100">
        <f t="shared" si="305"/>
        <v>0</v>
      </c>
      <c r="AH282" s="100">
        <f t="shared" si="306"/>
        <v>0</v>
      </c>
      <c r="AI282" s="109"/>
      <c r="AJ282" s="108">
        <f t="shared" si="307"/>
        <v>0</v>
      </c>
      <c r="AK282" s="108">
        <f t="shared" si="308"/>
        <v>0</v>
      </c>
      <c r="AL282" s="108">
        <f t="shared" si="309"/>
        <v>0</v>
      </c>
      <c r="AN282" s="100">
        <v>15</v>
      </c>
      <c r="AO282" s="100">
        <f t="shared" si="310"/>
        <v>0</v>
      </c>
      <c r="AP282" s="100">
        <f t="shared" si="311"/>
        <v>0</v>
      </c>
      <c r="AQ282" s="111" t="s">
        <v>13</v>
      </c>
      <c r="AV282" s="100">
        <f t="shared" si="312"/>
        <v>0</v>
      </c>
      <c r="AW282" s="100">
        <f t="shared" si="313"/>
        <v>0</v>
      </c>
      <c r="AX282" s="100">
        <f t="shared" si="314"/>
        <v>0</v>
      </c>
      <c r="AY282" s="110" t="s">
        <v>1709</v>
      </c>
      <c r="AZ282" s="110" t="s">
        <v>1733</v>
      </c>
      <c r="BA282" s="109" t="s">
        <v>1737</v>
      </c>
      <c r="BC282" s="100">
        <f t="shared" si="315"/>
        <v>0</v>
      </c>
      <c r="BD282" s="100">
        <f t="shared" si="316"/>
        <v>0</v>
      </c>
      <c r="BE282" s="100">
        <v>0</v>
      </c>
      <c r="BF282" s="100">
        <f>282</f>
        <v>282</v>
      </c>
      <c r="BH282" s="108">
        <f t="shared" si="317"/>
        <v>0</v>
      </c>
      <c r="BI282" s="108">
        <f t="shared" si="318"/>
        <v>0</v>
      </c>
      <c r="BJ282" s="108">
        <f t="shared" si="319"/>
        <v>0</v>
      </c>
    </row>
    <row r="283" spans="1:62" x14ac:dyDescent="0.2">
      <c r="A283" s="117" t="s">
        <v>244</v>
      </c>
      <c r="B283" s="117" t="s">
        <v>2067</v>
      </c>
      <c r="C283" s="304" t="s">
        <v>1332</v>
      </c>
      <c r="D283" s="305"/>
      <c r="E283" s="305"/>
      <c r="F283" s="117" t="s">
        <v>1646</v>
      </c>
      <c r="G283" s="116">
        <v>4</v>
      </c>
      <c r="H283" s="159"/>
      <c r="I283" s="108">
        <f t="shared" si="296"/>
        <v>0</v>
      </c>
      <c r="J283" s="108">
        <f t="shared" si="297"/>
        <v>0</v>
      </c>
      <c r="K283" s="108">
        <f t="shared" si="298"/>
        <v>0</v>
      </c>
      <c r="L283" s="111"/>
      <c r="Z283" s="100">
        <f t="shared" si="299"/>
        <v>0</v>
      </c>
      <c r="AB283" s="100">
        <f t="shared" si="300"/>
        <v>0</v>
      </c>
      <c r="AC283" s="100">
        <f t="shared" si="301"/>
        <v>0</v>
      </c>
      <c r="AD283" s="100">
        <f t="shared" si="302"/>
        <v>0</v>
      </c>
      <c r="AE283" s="100">
        <f t="shared" si="303"/>
        <v>0</v>
      </c>
      <c r="AF283" s="100">
        <f t="shared" si="304"/>
        <v>0</v>
      </c>
      <c r="AG283" s="100">
        <f t="shared" si="305"/>
        <v>0</v>
      </c>
      <c r="AH283" s="100">
        <f t="shared" si="306"/>
        <v>0</v>
      </c>
      <c r="AI283" s="109"/>
      <c r="AJ283" s="108">
        <f t="shared" si="307"/>
        <v>0</v>
      </c>
      <c r="AK283" s="108">
        <f t="shared" si="308"/>
        <v>0</v>
      </c>
      <c r="AL283" s="108">
        <f t="shared" si="309"/>
        <v>0</v>
      </c>
      <c r="AN283" s="100">
        <v>15</v>
      </c>
      <c r="AO283" s="100">
        <f t="shared" si="310"/>
        <v>0</v>
      </c>
      <c r="AP283" s="100">
        <f t="shared" si="311"/>
        <v>0</v>
      </c>
      <c r="AQ283" s="111" t="s">
        <v>13</v>
      </c>
      <c r="AV283" s="100">
        <f t="shared" si="312"/>
        <v>0</v>
      </c>
      <c r="AW283" s="100">
        <f t="shared" si="313"/>
        <v>0</v>
      </c>
      <c r="AX283" s="100">
        <f t="shared" si="314"/>
        <v>0</v>
      </c>
      <c r="AY283" s="110" t="s">
        <v>1709</v>
      </c>
      <c r="AZ283" s="110" t="s">
        <v>1733</v>
      </c>
      <c r="BA283" s="109" t="s">
        <v>1737</v>
      </c>
      <c r="BC283" s="100">
        <f t="shared" si="315"/>
        <v>0</v>
      </c>
      <c r="BD283" s="100">
        <f t="shared" si="316"/>
        <v>0</v>
      </c>
      <c r="BE283" s="100">
        <v>0</v>
      </c>
      <c r="BF283" s="100">
        <f>283</f>
        <v>283</v>
      </c>
      <c r="BH283" s="108">
        <f t="shared" si="317"/>
        <v>0</v>
      </c>
      <c r="BI283" s="108">
        <f t="shared" si="318"/>
        <v>0</v>
      </c>
      <c r="BJ283" s="108">
        <f t="shared" si="319"/>
        <v>0</v>
      </c>
    </row>
    <row r="284" spans="1:62" x14ac:dyDescent="0.2">
      <c r="A284" s="117" t="s">
        <v>245</v>
      </c>
      <c r="B284" s="117" t="s">
        <v>2066</v>
      </c>
      <c r="C284" s="304" t="s">
        <v>1333</v>
      </c>
      <c r="D284" s="305"/>
      <c r="E284" s="305"/>
      <c r="F284" s="117" t="s">
        <v>1646</v>
      </c>
      <c r="G284" s="116">
        <v>60</v>
      </c>
      <c r="H284" s="159"/>
      <c r="I284" s="108">
        <f t="shared" si="296"/>
        <v>0</v>
      </c>
      <c r="J284" s="108">
        <f t="shared" si="297"/>
        <v>0</v>
      </c>
      <c r="K284" s="108">
        <f t="shared" si="298"/>
        <v>0</v>
      </c>
      <c r="L284" s="111"/>
      <c r="Z284" s="100">
        <f t="shared" si="299"/>
        <v>0</v>
      </c>
      <c r="AB284" s="100">
        <f t="shared" si="300"/>
        <v>0</v>
      </c>
      <c r="AC284" s="100">
        <f t="shared" si="301"/>
        <v>0</v>
      </c>
      <c r="AD284" s="100">
        <f t="shared" si="302"/>
        <v>0</v>
      </c>
      <c r="AE284" s="100">
        <f t="shared" si="303"/>
        <v>0</v>
      </c>
      <c r="AF284" s="100">
        <f t="shared" si="304"/>
        <v>0</v>
      </c>
      <c r="AG284" s="100">
        <f t="shared" si="305"/>
        <v>0</v>
      </c>
      <c r="AH284" s="100">
        <f t="shared" si="306"/>
        <v>0</v>
      </c>
      <c r="AI284" s="109"/>
      <c r="AJ284" s="108">
        <f t="shared" si="307"/>
        <v>0</v>
      </c>
      <c r="AK284" s="108">
        <f t="shared" si="308"/>
        <v>0</v>
      </c>
      <c r="AL284" s="108">
        <f t="shared" si="309"/>
        <v>0</v>
      </c>
      <c r="AN284" s="100">
        <v>15</v>
      </c>
      <c r="AO284" s="100">
        <f t="shared" si="310"/>
        <v>0</v>
      </c>
      <c r="AP284" s="100">
        <f t="shared" si="311"/>
        <v>0</v>
      </c>
      <c r="AQ284" s="111" t="s">
        <v>13</v>
      </c>
      <c r="AV284" s="100">
        <f t="shared" si="312"/>
        <v>0</v>
      </c>
      <c r="AW284" s="100">
        <f t="shared" si="313"/>
        <v>0</v>
      </c>
      <c r="AX284" s="100">
        <f t="shared" si="314"/>
        <v>0</v>
      </c>
      <c r="AY284" s="110" t="s">
        <v>1709</v>
      </c>
      <c r="AZ284" s="110" t="s">
        <v>1733</v>
      </c>
      <c r="BA284" s="109" t="s">
        <v>1737</v>
      </c>
      <c r="BC284" s="100">
        <f t="shared" si="315"/>
        <v>0</v>
      </c>
      <c r="BD284" s="100">
        <f t="shared" si="316"/>
        <v>0</v>
      </c>
      <c r="BE284" s="100">
        <v>0</v>
      </c>
      <c r="BF284" s="100">
        <f>284</f>
        <v>284</v>
      </c>
      <c r="BH284" s="108">
        <f t="shared" si="317"/>
        <v>0</v>
      </c>
      <c r="BI284" s="108">
        <f t="shared" si="318"/>
        <v>0</v>
      </c>
      <c r="BJ284" s="108">
        <f t="shared" si="319"/>
        <v>0</v>
      </c>
    </row>
    <row r="285" spans="1:62" x14ac:dyDescent="0.2">
      <c r="A285" s="117" t="s">
        <v>246</v>
      </c>
      <c r="B285" s="117" t="s">
        <v>2065</v>
      </c>
      <c r="C285" s="304" t="s">
        <v>1334</v>
      </c>
      <c r="D285" s="305"/>
      <c r="E285" s="305"/>
      <c r="F285" s="117" t="s">
        <v>1646</v>
      </c>
      <c r="G285" s="116">
        <v>24</v>
      </c>
      <c r="H285" s="159"/>
      <c r="I285" s="108">
        <f t="shared" si="296"/>
        <v>0</v>
      </c>
      <c r="J285" s="108">
        <f t="shared" si="297"/>
        <v>0</v>
      </c>
      <c r="K285" s="108">
        <f t="shared" si="298"/>
        <v>0</v>
      </c>
      <c r="L285" s="111"/>
      <c r="Z285" s="100">
        <f t="shared" si="299"/>
        <v>0</v>
      </c>
      <c r="AB285" s="100">
        <f t="shared" si="300"/>
        <v>0</v>
      </c>
      <c r="AC285" s="100">
        <f t="shared" si="301"/>
        <v>0</v>
      </c>
      <c r="AD285" s="100">
        <f t="shared" si="302"/>
        <v>0</v>
      </c>
      <c r="AE285" s="100">
        <f t="shared" si="303"/>
        <v>0</v>
      </c>
      <c r="AF285" s="100">
        <f t="shared" si="304"/>
        <v>0</v>
      </c>
      <c r="AG285" s="100">
        <f t="shared" si="305"/>
        <v>0</v>
      </c>
      <c r="AH285" s="100">
        <f t="shared" si="306"/>
        <v>0</v>
      </c>
      <c r="AI285" s="109"/>
      <c r="AJ285" s="108">
        <f t="shared" si="307"/>
        <v>0</v>
      </c>
      <c r="AK285" s="108">
        <f t="shared" si="308"/>
        <v>0</v>
      </c>
      <c r="AL285" s="108">
        <f t="shared" si="309"/>
        <v>0</v>
      </c>
      <c r="AN285" s="100">
        <v>15</v>
      </c>
      <c r="AO285" s="100">
        <f t="shared" si="310"/>
        <v>0</v>
      </c>
      <c r="AP285" s="100">
        <f t="shared" si="311"/>
        <v>0</v>
      </c>
      <c r="AQ285" s="111" t="s">
        <v>13</v>
      </c>
      <c r="AV285" s="100">
        <f t="shared" si="312"/>
        <v>0</v>
      </c>
      <c r="AW285" s="100">
        <f t="shared" si="313"/>
        <v>0</v>
      </c>
      <c r="AX285" s="100">
        <f t="shared" si="314"/>
        <v>0</v>
      </c>
      <c r="AY285" s="110" t="s">
        <v>1709</v>
      </c>
      <c r="AZ285" s="110" t="s">
        <v>1733</v>
      </c>
      <c r="BA285" s="109" t="s">
        <v>1737</v>
      </c>
      <c r="BC285" s="100">
        <f t="shared" si="315"/>
        <v>0</v>
      </c>
      <c r="BD285" s="100">
        <f t="shared" si="316"/>
        <v>0</v>
      </c>
      <c r="BE285" s="100">
        <v>0</v>
      </c>
      <c r="BF285" s="100">
        <f>285</f>
        <v>285</v>
      </c>
      <c r="BH285" s="108">
        <f t="shared" si="317"/>
        <v>0</v>
      </c>
      <c r="BI285" s="108">
        <f t="shared" si="318"/>
        <v>0</v>
      </c>
      <c r="BJ285" s="108">
        <f t="shared" si="319"/>
        <v>0</v>
      </c>
    </row>
    <row r="286" spans="1:62" x14ac:dyDescent="0.2">
      <c r="A286" s="117" t="s">
        <v>247</v>
      </c>
      <c r="B286" s="117" t="s">
        <v>2064</v>
      </c>
      <c r="C286" s="304" t="s">
        <v>1335</v>
      </c>
      <c r="D286" s="305"/>
      <c r="E286" s="305"/>
      <c r="F286" s="117" t="s">
        <v>1645</v>
      </c>
      <c r="G286" s="116">
        <v>0.7</v>
      </c>
      <c r="H286" s="159"/>
      <c r="I286" s="108">
        <f t="shared" si="296"/>
        <v>0</v>
      </c>
      <c r="J286" s="108">
        <f t="shared" si="297"/>
        <v>0</v>
      </c>
      <c r="K286" s="108">
        <f t="shared" si="298"/>
        <v>0</v>
      </c>
      <c r="L286" s="111"/>
      <c r="Z286" s="100">
        <f t="shared" si="299"/>
        <v>0</v>
      </c>
      <c r="AB286" s="100">
        <f t="shared" si="300"/>
        <v>0</v>
      </c>
      <c r="AC286" s="100">
        <f t="shared" si="301"/>
        <v>0</v>
      </c>
      <c r="AD286" s="100">
        <f t="shared" si="302"/>
        <v>0</v>
      </c>
      <c r="AE286" s="100">
        <f t="shared" si="303"/>
        <v>0</v>
      </c>
      <c r="AF286" s="100">
        <f t="shared" si="304"/>
        <v>0</v>
      </c>
      <c r="AG286" s="100">
        <f t="shared" si="305"/>
        <v>0</v>
      </c>
      <c r="AH286" s="100">
        <f t="shared" si="306"/>
        <v>0</v>
      </c>
      <c r="AI286" s="109"/>
      <c r="AJ286" s="108">
        <f t="shared" si="307"/>
        <v>0</v>
      </c>
      <c r="AK286" s="108">
        <f t="shared" si="308"/>
        <v>0</v>
      </c>
      <c r="AL286" s="108">
        <f t="shared" si="309"/>
        <v>0</v>
      </c>
      <c r="AN286" s="100">
        <v>15</v>
      </c>
      <c r="AO286" s="100">
        <f t="shared" si="310"/>
        <v>0</v>
      </c>
      <c r="AP286" s="100">
        <f t="shared" si="311"/>
        <v>0</v>
      </c>
      <c r="AQ286" s="111" t="s">
        <v>13</v>
      </c>
      <c r="AV286" s="100">
        <f t="shared" si="312"/>
        <v>0</v>
      </c>
      <c r="AW286" s="100">
        <f t="shared" si="313"/>
        <v>0</v>
      </c>
      <c r="AX286" s="100">
        <f t="shared" si="314"/>
        <v>0</v>
      </c>
      <c r="AY286" s="110" t="s">
        <v>1709</v>
      </c>
      <c r="AZ286" s="110" t="s">
        <v>1733</v>
      </c>
      <c r="BA286" s="109" t="s">
        <v>1737</v>
      </c>
      <c r="BC286" s="100">
        <f t="shared" si="315"/>
        <v>0</v>
      </c>
      <c r="BD286" s="100">
        <f t="shared" si="316"/>
        <v>0</v>
      </c>
      <c r="BE286" s="100">
        <v>0</v>
      </c>
      <c r="BF286" s="100">
        <f>286</f>
        <v>286</v>
      </c>
      <c r="BH286" s="108">
        <f t="shared" si="317"/>
        <v>0</v>
      </c>
      <c r="BI286" s="108">
        <f t="shared" si="318"/>
        <v>0</v>
      </c>
      <c r="BJ286" s="108">
        <f t="shared" si="319"/>
        <v>0</v>
      </c>
    </row>
    <row r="287" spans="1:62" x14ac:dyDescent="0.2">
      <c r="A287" s="117" t="s">
        <v>248</v>
      </c>
      <c r="B287" s="117" t="s">
        <v>2063</v>
      </c>
      <c r="C287" s="304" t="s">
        <v>1336</v>
      </c>
      <c r="D287" s="305"/>
      <c r="E287" s="305"/>
      <c r="F287" s="117" t="s">
        <v>1644</v>
      </c>
      <c r="G287" s="116">
        <v>1</v>
      </c>
      <c r="H287" s="159"/>
      <c r="I287" s="108">
        <f t="shared" si="296"/>
        <v>0</v>
      </c>
      <c r="J287" s="108">
        <f t="shared" si="297"/>
        <v>0</v>
      </c>
      <c r="K287" s="108">
        <f t="shared" si="298"/>
        <v>0</v>
      </c>
      <c r="L287" s="111"/>
      <c r="Z287" s="100">
        <f t="shared" si="299"/>
        <v>0</v>
      </c>
      <c r="AB287" s="100">
        <f t="shared" si="300"/>
        <v>0</v>
      </c>
      <c r="AC287" s="100">
        <f t="shared" si="301"/>
        <v>0</v>
      </c>
      <c r="AD287" s="100">
        <f t="shared" si="302"/>
        <v>0</v>
      </c>
      <c r="AE287" s="100">
        <f t="shared" si="303"/>
        <v>0</v>
      </c>
      <c r="AF287" s="100">
        <f t="shared" si="304"/>
        <v>0</v>
      </c>
      <c r="AG287" s="100">
        <f t="shared" si="305"/>
        <v>0</v>
      </c>
      <c r="AH287" s="100">
        <f t="shared" si="306"/>
        <v>0</v>
      </c>
      <c r="AI287" s="109"/>
      <c r="AJ287" s="108">
        <f t="shared" si="307"/>
        <v>0</v>
      </c>
      <c r="AK287" s="108">
        <f t="shared" si="308"/>
        <v>0</v>
      </c>
      <c r="AL287" s="108">
        <f t="shared" si="309"/>
        <v>0</v>
      </c>
      <c r="AN287" s="100">
        <v>15</v>
      </c>
      <c r="AO287" s="100">
        <f t="shared" si="310"/>
        <v>0</v>
      </c>
      <c r="AP287" s="100">
        <f t="shared" si="311"/>
        <v>0</v>
      </c>
      <c r="AQ287" s="111" t="s">
        <v>13</v>
      </c>
      <c r="AV287" s="100">
        <f t="shared" si="312"/>
        <v>0</v>
      </c>
      <c r="AW287" s="100">
        <f t="shared" si="313"/>
        <v>0</v>
      </c>
      <c r="AX287" s="100">
        <f t="shared" si="314"/>
        <v>0</v>
      </c>
      <c r="AY287" s="110" t="s">
        <v>1709</v>
      </c>
      <c r="AZ287" s="110" t="s">
        <v>1733</v>
      </c>
      <c r="BA287" s="109" t="s">
        <v>1737</v>
      </c>
      <c r="BC287" s="100">
        <f t="shared" si="315"/>
        <v>0</v>
      </c>
      <c r="BD287" s="100">
        <f t="shared" si="316"/>
        <v>0</v>
      </c>
      <c r="BE287" s="100">
        <v>0</v>
      </c>
      <c r="BF287" s="100">
        <f>287</f>
        <v>287</v>
      </c>
      <c r="BH287" s="108">
        <f t="shared" si="317"/>
        <v>0</v>
      </c>
      <c r="BI287" s="108">
        <f t="shared" si="318"/>
        <v>0</v>
      </c>
      <c r="BJ287" s="108">
        <f t="shared" si="319"/>
        <v>0</v>
      </c>
    </row>
    <row r="288" spans="1:62" x14ac:dyDescent="0.2">
      <c r="A288" s="117" t="s">
        <v>249</v>
      </c>
      <c r="B288" s="117" t="s">
        <v>2062</v>
      </c>
      <c r="C288" s="304" t="s">
        <v>1337</v>
      </c>
      <c r="D288" s="305"/>
      <c r="E288" s="305"/>
      <c r="F288" s="117" t="s">
        <v>2061</v>
      </c>
      <c r="G288" s="116">
        <v>1</v>
      </c>
      <c r="H288" s="159"/>
      <c r="I288" s="108">
        <f t="shared" si="296"/>
        <v>0</v>
      </c>
      <c r="J288" s="108">
        <f t="shared" si="297"/>
        <v>0</v>
      </c>
      <c r="K288" s="108">
        <f t="shared" si="298"/>
        <v>0</v>
      </c>
      <c r="L288" s="111"/>
      <c r="Z288" s="100">
        <f t="shared" si="299"/>
        <v>0</v>
      </c>
      <c r="AB288" s="100">
        <f t="shared" si="300"/>
        <v>0</v>
      </c>
      <c r="AC288" s="100">
        <f t="shared" si="301"/>
        <v>0</v>
      </c>
      <c r="AD288" s="100">
        <f t="shared" si="302"/>
        <v>0</v>
      </c>
      <c r="AE288" s="100">
        <f t="shared" si="303"/>
        <v>0</v>
      </c>
      <c r="AF288" s="100">
        <f t="shared" si="304"/>
        <v>0</v>
      </c>
      <c r="AG288" s="100">
        <f t="shared" si="305"/>
        <v>0</v>
      </c>
      <c r="AH288" s="100">
        <f t="shared" si="306"/>
        <v>0</v>
      </c>
      <c r="AI288" s="109"/>
      <c r="AJ288" s="108">
        <f t="shared" si="307"/>
        <v>0</v>
      </c>
      <c r="AK288" s="108">
        <f t="shared" si="308"/>
        <v>0</v>
      </c>
      <c r="AL288" s="108">
        <f t="shared" si="309"/>
        <v>0</v>
      </c>
      <c r="AN288" s="100">
        <v>15</v>
      </c>
      <c r="AO288" s="100">
        <f t="shared" si="310"/>
        <v>0</v>
      </c>
      <c r="AP288" s="100">
        <f t="shared" si="311"/>
        <v>0</v>
      </c>
      <c r="AQ288" s="111" t="s">
        <v>13</v>
      </c>
      <c r="AV288" s="100">
        <f t="shared" si="312"/>
        <v>0</v>
      </c>
      <c r="AW288" s="100">
        <f t="shared" si="313"/>
        <v>0</v>
      </c>
      <c r="AX288" s="100">
        <f t="shared" si="314"/>
        <v>0</v>
      </c>
      <c r="AY288" s="110" t="s">
        <v>1709</v>
      </c>
      <c r="AZ288" s="110" t="s">
        <v>1733</v>
      </c>
      <c r="BA288" s="109" t="s">
        <v>1737</v>
      </c>
      <c r="BC288" s="100">
        <f t="shared" si="315"/>
        <v>0</v>
      </c>
      <c r="BD288" s="100">
        <f t="shared" si="316"/>
        <v>0</v>
      </c>
      <c r="BE288" s="100">
        <v>0</v>
      </c>
      <c r="BF288" s="100">
        <f>288</f>
        <v>288</v>
      </c>
      <c r="BH288" s="108">
        <f t="shared" si="317"/>
        <v>0</v>
      </c>
      <c r="BI288" s="108">
        <f t="shared" si="318"/>
        <v>0</v>
      </c>
      <c r="BJ288" s="108">
        <f t="shared" si="319"/>
        <v>0</v>
      </c>
    </row>
    <row r="289" spans="1:62" x14ac:dyDescent="0.2">
      <c r="A289" s="117" t="s">
        <v>250</v>
      </c>
      <c r="B289" s="117" t="s">
        <v>2060</v>
      </c>
      <c r="C289" s="304" t="s">
        <v>1338</v>
      </c>
      <c r="D289" s="305"/>
      <c r="E289" s="305"/>
      <c r="F289" s="117" t="s">
        <v>1644</v>
      </c>
      <c r="G289" s="116">
        <v>1</v>
      </c>
      <c r="H289" s="159"/>
      <c r="I289" s="108">
        <f t="shared" si="296"/>
        <v>0</v>
      </c>
      <c r="J289" s="108">
        <f t="shared" si="297"/>
        <v>0</v>
      </c>
      <c r="K289" s="108">
        <f t="shared" si="298"/>
        <v>0</v>
      </c>
      <c r="L289" s="111"/>
      <c r="Z289" s="100">
        <f t="shared" si="299"/>
        <v>0</v>
      </c>
      <c r="AB289" s="100">
        <f t="shared" si="300"/>
        <v>0</v>
      </c>
      <c r="AC289" s="100">
        <f t="shared" si="301"/>
        <v>0</v>
      </c>
      <c r="AD289" s="100">
        <f t="shared" si="302"/>
        <v>0</v>
      </c>
      <c r="AE289" s="100">
        <f t="shared" si="303"/>
        <v>0</v>
      </c>
      <c r="AF289" s="100">
        <f t="shared" si="304"/>
        <v>0</v>
      </c>
      <c r="AG289" s="100">
        <f t="shared" si="305"/>
        <v>0</v>
      </c>
      <c r="AH289" s="100">
        <f t="shared" si="306"/>
        <v>0</v>
      </c>
      <c r="AI289" s="109"/>
      <c r="AJ289" s="108">
        <f t="shared" si="307"/>
        <v>0</v>
      </c>
      <c r="AK289" s="108">
        <f t="shared" si="308"/>
        <v>0</v>
      </c>
      <c r="AL289" s="108">
        <f t="shared" si="309"/>
        <v>0</v>
      </c>
      <c r="AN289" s="100">
        <v>15</v>
      </c>
      <c r="AO289" s="100">
        <f t="shared" si="310"/>
        <v>0</v>
      </c>
      <c r="AP289" s="100">
        <f t="shared" si="311"/>
        <v>0</v>
      </c>
      <c r="AQ289" s="111" t="s">
        <v>13</v>
      </c>
      <c r="AV289" s="100">
        <f t="shared" si="312"/>
        <v>0</v>
      </c>
      <c r="AW289" s="100">
        <f t="shared" si="313"/>
        <v>0</v>
      </c>
      <c r="AX289" s="100">
        <f t="shared" si="314"/>
        <v>0</v>
      </c>
      <c r="AY289" s="110" t="s">
        <v>1709</v>
      </c>
      <c r="AZ289" s="110" t="s">
        <v>1733</v>
      </c>
      <c r="BA289" s="109" t="s">
        <v>1737</v>
      </c>
      <c r="BC289" s="100">
        <f t="shared" si="315"/>
        <v>0</v>
      </c>
      <c r="BD289" s="100">
        <f t="shared" si="316"/>
        <v>0</v>
      </c>
      <c r="BE289" s="100">
        <v>0</v>
      </c>
      <c r="BF289" s="100">
        <f>289</f>
        <v>289</v>
      </c>
      <c r="BH289" s="108">
        <f t="shared" si="317"/>
        <v>0</v>
      </c>
      <c r="BI289" s="108">
        <f t="shared" si="318"/>
        <v>0</v>
      </c>
      <c r="BJ289" s="108">
        <f t="shared" si="319"/>
        <v>0</v>
      </c>
    </row>
    <row r="290" spans="1:62" x14ac:dyDescent="0.2">
      <c r="A290" s="117" t="s">
        <v>251</v>
      </c>
      <c r="B290" s="117" t="s">
        <v>2059</v>
      </c>
      <c r="C290" s="304" t="s">
        <v>1339</v>
      </c>
      <c r="D290" s="305"/>
      <c r="E290" s="305"/>
      <c r="F290" s="117" t="s">
        <v>1644</v>
      </c>
      <c r="G290" s="116">
        <v>1</v>
      </c>
      <c r="H290" s="159"/>
      <c r="I290" s="108">
        <f t="shared" si="296"/>
        <v>0</v>
      </c>
      <c r="J290" s="108">
        <f t="shared" si="297"/>
        <v>0</v>
      </c>
      <c r="K290" s="108">
        <f t="shared" si="298"/>
        <v>0</v>
      </c>
      <c r="L290" s="111"/>
      <c r="Z290" s="100">
        <f t="shared" si="299"/>
        <v>0</v>
      </c>
      <c r="AB290" s="100">
        <f t="shared" si="300"/>
        <v>0</v>
      </c>
      <c r="AC290" s="100">
        <f t="shared" si="301"/>
        <v>0</v>
      </c>
      <c r="AD290" s="100">
        <f t="shared" si="302"/>
        <v>0</v>
      </c>
      <c r="AE290" s="100">
        <f t="shared" si="303"/>
        <v>0</v>
      </c>
      <c r="AF290" s="100">
        <f t="shared" si="304"/>
        <v>0</v>
      </c>
      <c r="AG290" s="100">
        <f t="shared" si="305"/>
        <v>0</v>
      </c>
      <c r="AH290" s="100">
        <f t="shared" si="306"/>
        <v>0</v>
      </c>
      <c r="AI290" s="109"/>
      <c r="AJ290" s="108">
        <f t="shared" si="307"/>
        <v>0</v>
      </c>
      <c r="AK290" s="108">
        <f t="shared" si="308"/>
        <v>0</v>
      </c>
      <c r="AL290" s="108">
        <f t="shared" si="309"/>
        <v>0</v>
      </c>
      <c r="AN290" s="100">
        <v>15</v>
      </c>
      <c r="AO290" s="100">
        <f t="shared" si="310"/>
        <v>0</v>
      </c>
      <c r="AP290" s="100">
        <f t="shared" si="311"/>
        <v>0</v>
      </c>
      <c r="AQ290" s="111" t="s">
        <v>13</v>
      </c>
      <c r="AV290" s="100">
        <f t="shared" si="312"/>
        <v>0</v>
      </c>
      <c r="AW290" s="100">
        <f t="shared" si="313"/>
        <v>0</v>
      </c>
      <c r="AX290" s="100">
        <f t="shared" si="314"/>
        <v>0</v>
      </c>
      <c r="AY290" s="110" t="s">
        <v>1709</v>
      </c>
      <c r="AZ290" s="110" t="s">
        <v>1733</v>
      </c>
      <c r="BA290" s="109" t="s">
        <v>1737</v>
      </c>
      <c r="BC290" s="100">
        <f t="shared" si="315"/>
        <v>0</v>
      </c>
      <c r="BD290" s="100">
        <f t="shared" si="316"/>
        <v>0</v>
      </c>
      <c r="BE290" s="100">
        <v>0</v>
      </c>
      <c r="BF290" s="100">
        <f>290</f>
        <v>290</v>
      </c>
      <c r="BH290" s="108">
        <f t="shared" si="317"/>
        <v>0</v>
      </c>
      <c r="BI290" s="108">
        <f t="shared" si="318"/>
        <v>0</v>
      </c>
      <c r="BJ290" s="108">
        <f t="shared" si="319"/>
        <v>0</v>
      </c>
    </row>
    <row r="291" spans="1:62" x14ac:dyDescent="0.2">
      <c r="A291" s="117" t="s">
        <v>252</v>
      </c>
      <c r="B291" s="117" t="s">
        <v>2058</v>
      </c>
      <c r="C291" s="304" t="s">
        <v>1341</v>
      </c>
      <c r="D291" s="305"/>
      <c r="E291" s="305"/>
      <c r="F291" s="117" t="s">
        <v>1644</v>
      </c>
      <c r="G291" s="116">
        <v>1</v>
      </c>
      <c r="H291" s="159"/>
      <c r="I291" s="108">
        <f t="shared" si="296"/>
        <v>0</v>
      </c>
      <c r="J291" s="108">
        <f t="shared" si="297"/>
        <v>0</v>
      </c>
      <c r="K291" s="108">
        <f t="shared" si="298"/>
        <v>0</v>
      </c>
      <c r="L291" s="111"/>
      <c r="Z291" s="100">
        <f t="shared" si="299"/>
        <v>0</v>
      </c>
      <c r="AB291" s="100">
        <f t="shared" si="300"/>
        <v>0</v>
      </c>
      <c r="AC291" s="100">
        <f t="shared" si="301"/>
        <v>0</v>
      </c>
      <c r="AD291" s="100">
        <f t="shared" si="302"/>
        <v>0</v>
      </c>
      <c r="AE291" s="100">
        <f t="shared" si="303"/>
        <v>0</v>
      </c>
      <c r="AF291" s="100">
        <f t="shared" si="304"/>
        <v>0</v>
      </c>
      <c r="AG291" s="100">
        <f t="shared" si="305"/>
        <v>0</v>
      </c>
      <c r="AH291" s="100">
        <f t="shared" si="306"/>
        <v>0</v>
      </c>
      <c r="AI291" s="109"/>
      <c r="AJ291" s="108">
        <f t="shared" si="307"/>
        <v>0</v>
      </c>
      <c r="AK291" s="108">
        <f t="shared" si="308"/>
        <v>0</v>
      </c>
      <c r="AL291" s="108">
        <f t="shared" si="309"/>
        <v>0</v>
      </c>
      <c r="AN291" s="100">
        <v>15</v>
      </c>
      <c r="AO291" s="100">
        <f t="shared" si="310"/>
        <v>0</v>
      </c>
      <c r="AP291" s="100">
        <f t="shared" si="311"/>
        <v>0</v>
      </c>
      <c r="AQ291" s="111" t="s">
        <v>13</v>
      </c>
      <c r="AV291" s="100">
        <f t="shared" si="312"/>
        <v>0</v>
      </c>
      <c r="AW291" s="100">
        <f t="shared" si="313"/>
        <v>0</v>
      </c>
      <c r="AX291" s="100">
        <f t="shared" si="314"/>
        <v>0</v>
      </c>
      <c r="AY291" s="110" t="s">
        <v>1709</v>
      </c>
      <c r="AZ291" s="110" t="s">
        <v>1733</v>
      </c>
      <c r="BA291" s="109" t="s">
        <v>1737</v>
      </c>
      <c r="BC291" s="100">
        <f t="shared" si="315"/>
        <v>0</v>
      </c>
      <c r="BD291" s="100">
        <f t="shared" si="316"/>
        <v>0</v>
      </c>
      <c r="BE291" s="100">
        <v>0</v>
      </c>
      <c r="BF291" s="100">
        <f>291</f>
        <v>291</v>
      </c>
      <c r="BH291" s="108">
        <f t="shared" si="317"/>
        <v>0</v>
      </c>
      <c r="BI291" s="108">
        <f t="shared" si="318"/>
        <v>0</v>
      </c>
      <c r="BJ291" s="108">
        <f t="shared" si="319"/>
        <v>0</v>
      </c>
    </row>
    <row r="292" spans="1:62" x14ac:dyDescent="0.2">
      <c r="A292" s="117" t="s">
        <v>253</v>
      </c>
      <c r="B292" s="117" t="s">
        <v>2057</v>
      </c>
      <c r="C292" s="304" t="s">
        <v>1342</v>
      </c>
      <c r="D292" s="305"/>
      <c r="E292" s="305"/>
      <c r="F292" s="117" t="s">
        <v>1646</v>
      </c>
      <c r="G292" s="116">
        <v>5</v>
      </c>
      <c r="H292" s="159"/>
      <c r="I292" s="108">
        <f t="shared" si="296"/>
        <v>0</v>
      </c>
      <c r="J292" s="108">
        <f t="shared" si="297"/>
        <v>0</v>
      </c>
      <c r="K292" s="108">
        <f t="shared" si="298"/>
        <v>0</v>
      </c>
      <c r="L292" s="111"/>
      <c r="Z292" s="100">
        <f t="shared" si="299"/>
        <v>0</v>
      </c>
      <c r="AB292" s="100">
        <f t="shared" si="300"/>
        <v>0</v>
      </c>
      <c r="AC292" s="100">
        <f t="shared" si="301"/>
        <v>0</v>
      </c>
      <c r="AD292" s="100">
        <f t="shared" si="302"/>
        <v>0</v>
      </c>
      <c r="AE292" s="100">
        <f t="shared" si="303"/>
        <v>0</v>
      </c>
      <c r="AF292" s="100">
        <f t="shared" si="304"/>
        <v>0</v>
      </c>
      <c r="AG292" s="100">
        <f t="shared" si="305"/>
        <v>0</v>
      </c>
      <c r="AH292" s="100">
        <f t="shared" si="306"/>
        <v>0</v>
      </c>
      <c r="AI292" s="109"/>
      <c r="AJ292" s="108">
        <f t="shared" si="307"/>
        <v>0</v>
      </c>
      <c r="AK292" s="108">
        <f t="shared" si="308"/>
        <v>0</v>
      </c>
      <c r="AL292" s="108">
        <f t="shared" si="309"/>
        <v>0</v>
      </c>
      <c r="AN292" s="100">
        <v>15</v>
      </c>
      <c r="AO292" s="100">
        <f t="shared" si="310"/>
        <v>0</v>
      </c>
      <c r="AP292" s="100">
        <f t="shared" si="311"/>
        <v>0</v>
      </c>
      <c r="AQ292" s="111" t="s">
        <v>13</v>
      </c>
      <c r="AV292" s="100">
        <f t="shared" si="312"/>
        <v>0</v>
      </c>
      <c r="AW292" s="100">
        <f t="shared" si="313"/>
        <v>0</v>
      </c>
      <c r="AX292" s="100">
        <f t="shared" si="314"/>
        <v>0</v>
      </c>
      <c r="AY292" s="110" t="s">
        <v>1709</v>
      </c>
      <c r="AZ292" s="110" t="s">
        <v>1733</v>
      </c>
      <c r="BA292" s="109" t="s">
        <v>1737</v>
      </c>
      <c r="BC292" s="100">
        <f t="shared" si="315"/>
        <v>0</v>
      </c>
      <c r="BD292" s="100">
        <f t="shared" si="316"/>
        <v>0</v>
      </c>
      <c r="BE292" s="100">
        <v>0</v>
      </c>
      <c r="BF292" s="100">
        <f>292</f>
        <v>292</v>
      </c>
      <c r="BH292" s="108">
        <f t="shared" si="317"/>
        <v>0</v>
      </c>
      <c r="BI292" s="108">
        <f t="shared" si="318"/>
        <v>0</v>
      </c>
      <c r="BJ292" s="108">
        <f t="shared" si="319"/>
        <v>0</v>
      </c>
    </row>
    <row r="293" spans="1:62" x14ac:dyDescent="0.2">
      <c r="A293" s="117" t="s">
        <v>254</v>
      </c>
      <c r="B293" s="117" t="s">
        <v>2056</v>
      </c>
      <c r="C293" s="304" t="s">
        <v>1343</v>
      </c>
      <c r="D293" s="305"/>
      <c r="E293" s="305"/>
      <c r="F293" s="117" t="s">
        <v>1646</v>
      </c>
      <c r="G293" s="116">
        <v>9</v>
      </c>
      <c r="H293" s="159"/>
      <c r="I293" s="108">
        <f t="shared" si="296"/>
        <v>0</v>
      </c>
      <c r="J293" s="108">
        <f t="shared" si="297"/>
        <v>0</v>
      </c>
      <c r="K293" s="108">
        <f t="shared" si="298"/>
        <v>0</v>
      </c>
      <c r="L293" s="111"/>
      <c r="Z293" s="100">
        <f t="shared" si="299"/>
        <v>0</v>
      </c>
      <c r="AB293" s="100">
        <f t="shared" si="300"/>
        <v>0</v>
      </c>
      <c r="AC293" s="100">
        <f t="shared" si="301"/>
        <v>0</v>
      </c>
      <c r="AD293" s="100">
        <f t="shared" si="302"/>
        <v>0</v>
      </c>
      <c r="AE293" s="100">
        <f t="shared" si="303"/>
        <v>0</v>
      </c>
      <c r="AF293" s="100">
        <f t="shared" si="304"/>
        <v>0</v>
      </c>
      <c r="AG293" s="100">
        <f t="shared" si="305"/>
        <v>0</v>
      </c>
      <c r="AH293" s="100">
        <f t="shared" si="306"/>
        <v>0</v>
      </c>
      <c r="AI293" s="109"/>
      <c r="AJ293" s="108">
        <f t="shared" si="307"/>
        <v>0</v>
      </c>
      <c r="AK293" s="108">
        <f t="shared" si="308"/>
        <v>0</v>
      </c>
      <c r="AL293" s="108">
        <f t="shared" si="309"/>
        <v>0</v>
      </c>
      <c r="AN293" s="100">
        <v>15</v>
      </c>
      <c r="AO293" s="100">
        <f t="shared" si="310"/>
        <v>0</v>
      </c>
      <c r="AP293" s="100">
        <f t="shared" si="311"/>
        <v>0</v>
      </c>
      <c r="AQ293" s="111" t="s">
        <v>13</v>
      </c>
      <c r="AV293" s="100">
        <f t="shared" si="312"/>
        <v>0</v>
      </c>
      <c r="AW293" s="100">
        <f t="shared" si="313"/>
        <v>0</v>
      </c>
      <c r="AX293" s="100">
        <f t="shared" si="314"/>
        <v>0</v>
      </c>
      <c r="AY293" s="110" t="s">
        <v>1709</v>
      </c>
      <c r="AZ293" s="110" t="s">
        <v>1733</v>
      </c>
      <c r="BA293" s="109" t="s">
        <v>1737</v>
      </c>
      <c r="BC293" s="100">
        <f t="shared" si="315"/>
        <v>0</v>
      </c>
      <c r="BD293" s="100">
        <f t="shared" si="316"/>
        <v>0</v>
      </c>
      <c r="BE293" s="100">
        <v>0</v>
      </c>
      <c r="BF293" s="100">
        <f>293</f>
        <v>293</v>
      </c>
      <c r="BH293" s="108">
        <f t="shared" si="317"/>
        <v>0</v>
      </c>
      <c r="BI293" s="108">
        <f t="shared" si="318"/>
        <v>0</v>
      </c>
      <c r="BJ293" s="108">
        <f t="shared" si="319"/>
        <v>0</v>
      </c>
    </row>
    <row r="294" spans="1:62" x14ac:dyDescent="0.2">
      <c r="A294" s="117" t="s">
        <v>255</v>
      </c>
      <c r="B294" s="117" t="s">
        <v>2055</v>
      </c>
      <c r="C294" s="304" t="s">
        <v>1344</v>
      </c>
      <c r="D294" s="305"/>
      <c r="E294" s="305"/>
      <c r="F294" s="117" t="s">
        <v>1646</v>
      </c>
      <c r="G294" s="116">
        <v>20</v>
      </c>
      <c r="H294" s="159"/>
      <c r="I294" s="108">
        <f t="shared" si="296"/>
        <v>0</v>
      </c>
      <c r="J294" s="108">
        <f t="shared" si="297"/>
        <v>0</v>
      </c>
      <c r="K294" s="108">
        <f t="shared" si="298"/>
        <v>0</v>
      </c>
      <c r="L294" s="111"/>
      <c r="Z294" s="100">
        <f t="shared" si="299"/>
        <v>0</v>
      </c>
      <c r="AB294" s="100">
        <f t="shared" si="300"/>
        <v>0</v>
      </c>
      <c r="AC294" s="100">
        <f t="shared" si="301"/>
        <v>0</v>
      </c>
      <c r="AD294" s="100">
        <f t="shared" si="302"/>
        <v>0</v>
      </c>
      <c r="AE294" s="100">
        <f t="shared" si="303"/>
        <v>0</v>
      </c>
      <c r="AF294" s="100">
        <f t="shared" si="304"/>
        <v>0</v>
      </c>
      <c r="AG294" s="100">
        <f t="shared" si="305"/>
        <v>0</v>
      </c>
      <c r="AH294" s="100">
        <f t="shared" si="306"/>
        <v>0</v>
      </c>
      <c r="AI294" s="109"/>
      <c r="AJ294" s="108">
        <f t="shared" si="307"/>
        <v>0</v>
      </c>
      <c r="AK294" s="108">
        <f t="shared" si="308"/>
        <v>0</v>
      </c>
      <c r="AL294" s="108">
        <f t="shared" si="309"/>
        <v>0</v>
      </c>
      <c r="AN294" s="100">
        <v>15</v>
      </c>
      <c r="AO294" s="100">
        <f t="shared" si="310"/>
        <v>0</v>
      </c>
      <c r="AP294" s="100">
        <f t="shared" si="311"/>
        <v>0</v>
      </c>
      <c r="AQ294" s="111" t="s">
        <v>13</v>
      </c>
      <c r="AV294" s="100">
        <f t="shared" si="312"/>
        <v>0</v>
      </c>
      <c r="AW294" s="100">
        <f t="shared" si="313"/>
        <v>0</v>
      </c>
      <c r="AX294" s="100">
        <f t="shared" si="314"/>
        <v>0</v>
      </c>
      <c r="AY294" s="110" t="s">
        <v>1709</v>
      </c>
      <c r="AZ294" s="110" t="s">
        <v>1733</v>
      </c>
      <c r="BA294" s="109" t="s">
        <v>1737</v>
      </c>
      <c r="BC294" s="100">
        <f t="shared" si="315"/>
        <v>0</v>
      </c>
      <c r="BD294" s="100">
        <f t="shared" si="316"/>
        <v>0</v>
      </c>
      <c r="BE294" s="100">
        <v>0</v>
      </c>
      <c r="BF294" s="100">
        <f>294</f>
        <v>294</v>
      </c>
      <c r="BH294" s="108">
        <f t="shared" si="317"/>
        <v>0</v>
      </c>
      <c r="BI294" s="108">
        <f t="shared" si="318"/>
        <v>0</v>
      </c>
      <c r="BJ294" s="108">
        <f t="shared" si="319"/>
        <v>0</v>
      </c>
    </row>
    <row r="295" spans="1:62" x14ac:dyDescent="0.2">
      <c r="A295" s="117" t="s">
        <v>256</v>
      </c>
      <c r="B295" s="117" t="s">
        <v>2054</v>
      </c>
      <c r="C295" s="304" t="s">
        <v>1345</v>
      </c>
      <c r="D295" s="305"/>
      <c r="E295" s="305"/>
      <c r="F295" s="117" t="s">
        <v>1646</v>
      </c>
      <c r="G295" s="116">
        <v>20</v>
      </c>
      <c r="H295" s="159"/>
      <c r="I295" s="108">
        <f t="shared" ref="I295:I305" si="320">G295*AO295</f>
        <v>0</v>
      </c>
      <c r="J295" s="108">
        <f t="shared" ref="J295:J305" si="321">G295*AP295</f>
        <v>0</v>
      </c>
      <c r="K295" s="108">
        <f t="shared" ref="K295:K305" si="322">G295*H295</f>
        <v>0</v>
      </c>
      <c r="L295" s="111"/>
      <c r="Z295" s="100">
        <f t="shared" ref="Z295:Z305" si="323">IF(AQ295="5",BJ295,0)</f>
        <v>0</v>
      </c>
      <c r="AB295" s="100">
        <f t="shared" ref="AB295:AB305" si="324">IF(AQ295="1",BH295,0)</f>
        <v>0</v>
      </c>
      <c r="AC295" s="100">
        <f t="shared" ref="AC295:AC305" si="325">IF(AQ295="1",BI295,0)</f>
        <v>0</v>
      </c>
      <c r="AD295" s="100">
        <f t="shared" ref="AD295:AD305" si="326">IF(AQ295="7",BH295,0)</f>
        <v>0</v>
      </c>
      <c r="AE295" s="100">
        <f t="shared" ref="AE295:AE305" si="327">IF(AQ295="7",BI295,0)</f>
        <v>0</v>
      </c>
      <c r="AF295" s="100">
        <f t="shared" ref="AF295:AF305" si="328">IF(AQ295="2",BH295,0)</f>
        <v>0</v>
      </c>
      <c r="AG295" s="100">
        <f t="shared" ref="AG295:AG305" si="329">IF(AQ295="2",BI295,0)</f>
        <v>0</v>
      </c>
      <c r="AH295" s="100">
        <f t="shared" ref="AH295:AH305" si="330">IF(AQ295="0",BJ295,0)</f>
        <v>0</v>
      </c>
      <c r="AI295" s="109"/>
      <c r="AJ295" s="108">
        <f t="shared" ref="AJ295:AJ305" si="331">IF(AN295=0,K295,0)</f>
        <v>0</v>
      </c>
      <c r="AK295" s="108">
        <f t="shared" ref="AK295:AK305" si="332">IF(AN295=15,K295,0)</f>
        <v>0</v>
      </c>
      <c r="AL295" s="108">
        <f t="shared" ref="AL295:AL305" si="333">IF(AN295=21,K295,0)</f>
        <v>0</v>
      </c>
      <c r="AN295" s="100">
        <v>15</v>
      </c>
      <c r="AO295" s="100">
        <f t="shared" ref="AO295:AO305" si="334">H295*0</f>
        <v>0</v>
      </c>
      <c r="AP295" s="100">
        <f t="shared" ref="AP295:AP305" si="335">H295*(1-0)</f>
        <v>0</v>
      </c>
      <c r="AQ295" s="111" t="s">
        <v>13</v>
      </c>
      <c r="AV295" s="100">
        <f t="shared" ref="AV295:AV305" si="336">AW295+AX295</f>
        <v>0</v>
      </c>
      <c r="AW295" s="100">
        <f t="shared" ref="AW295:AW305" si="337">G295*AO295</f>
        <v>0</v>
      </c>
      <c r="AX295" s="100">
        <f t="shared" ref="AX295:AX305" si="338">G295*AP295</f>
        <v>0</v>
      </c>
      <c r="AY295" s="110" t="s">
        <v>1709</v>
      </c>
      <c r="AZ295" s="110" t="s">
        <v>1733</v>
      </c>
      <c r="BA295" s="109" t="s">
        <v>1737</v>
      </c>
      <c r="BC295" s="100">
        <f t="shared" ref="BC295:BC305" si="339">AW295+AX295</f>
        <v>0</v>
      </c>
      <c r="BD295" s="100">
        <f t="shared" ref="BD295:BD305" si="340">H295/(100-BE295)*100</f>
        <v>0</v>
      </c>
      <c r="BE295" s="100">
        <v>0</v>
      </c>
      <c r="BF295" s="100">
        <f>295</f>
        <v>295</v>
      </c>
      <c r="BH295" s="108">
        <f t="shared" ref="BH295:BH305" si="341">G295*AO295</f>
        <v>0</v>
      </c>
      <c r="BI295" s="108">
        <f t="shared" ref="BI295:BI305" si="342">G295*AP295</f>
        <v>0</v>
      </c>
      <c r="BJ295" s="108">
        <f t="shared" ref="BJ295:BJ305" si="343">G295*H295</f>
        <v>0</v>
      </c>
    </row>
    <row r="296" spans="1:62" x14ac:dyDescent="0.2">
      <c r="A296" s="117" t="s">
        <v>257</v>
      </c>
      <c r="B296" s="117" t="s">
        <v>2053</v>
      </c>
      <c r="C296" s="304" t="s">
        <v>1346</v>
      </c>
      <c r="D296" s="305"/>
      <c r="E296" s="305"/>
      <c r="F296" s="117" t="s">
        <v>1644</v>
      </c>
      <c r="G296" s="116">
        <v>1</v>
      </c>
      <c r="H296" s="159"/>
      <c r="I296" s="108">
        <f t="shared" si="320"/>
        <v>0</v>
      </c>
      <c r="J296" s="108">
        <f t="shared" si="321"/>
        <v>0</v>
      </c>
      <c r="K296" s="108">
        <f t="shared" si="322"/>
        <v>0</v>
      </c>
      <c r="L296" s="111"/>
      <c r="Z296" s="100">
        <f t="shared" si="323"/>
        <v>0</v>
      </c>
      <c r="AB296" s="100">
        <f t="shared" si="324"/>
        <v>0</v>
      </c>
      <c r="AC296" s="100">
        <f t="shared" si="325"/>
        <v>0</v>
      </c>
      <c r="AD296" s="100">
        <f t="shared" si="326"/>
        <v>0</v>
      </c>
      <c r="AE296" s="100">
        <f t="shared" si="327"/>
        <v>0</v>
      </c>
      <c r="AF296" s="100">
        <f t="shared" si="328"/>
        <v>0</v>
      </c>
      <c r="AG296" s="100">
        <f t="shared" si="329"/>
        <v>0</v>
      </c>
      <c r="AH296" s="100">
        <f t="shared" si="330"/>
        <v>0</v>
      </c>
      <c r="AI296" s="109"/>
      <c r="AJ296" s="108">
        <f t="shared" si="331"/>
        <v>0</v>
      </c>
      <c r="AK296" s="108">
        <f t="shared" si="332"/>
        <v>0</v>
      </c>
      <c r="AL296" s="108">
        <f t="shared" si="333"/>
        <v>0</v>
      </c>
      <c r="AN296" s="100">
        <v>15</v>
      </c>
      <c r="AO296" s="100">
        <f t="shared" si="334"/>
        <v>0</v>
      </c>
      <c r="AP296" s="100">
        <f t="shared" si="335"/>
        <v>0</v>
      </c>
      <c r="AQ296" s="111" t="s">
        <v>13</v>
      </c>
      <c r="AV296" s="100">
        <f t="shared" si="336"/>
        <v>0</v>
      </c>
      <c r="AW296" s="100">
        <f t="shared" si="337"/>
        <v>0</v>
      </c>
      <c r="AX296" s="100">
        <f t="shared" si="338"/>
        <v>0</v>
      </c>
      <c r="AY296" s="110" t="s">
        <v>1709</v>
      </c>
      <c r="AZ296" s="110" t="s">
        <v>1733</v>
      </c>
      <c r="BA296" s="109" t="s">
        <v>1737</v>
      </c>
      <c r="BC296" s="100">
        <f t="shared" si="339"/>
        <v>0</v>
      </c>
      <c r="BD296" s="100">
        <f t="shared" si="340"/>
        <v>0</v>
      </c>
      <c r="BE296" s="100">
        <v>0</v>
      </c>
      <c r="BF296" s="100">
        <f>296</f>
        <v>296</v>
      </c>
      <c r="BH296" s="108">
        <f t="shared" si="341"/>
        <v>0</v>
      </c>
      <c r="BI296" s="108">
        <f t="shared" si="342"/>
        <v>0</v>
      </c>
      <c r="BJ296" s="108">
        <f t="shared" si="343"/>
        <v>0</v>
      </c>
    </row>
    <row r="297" spans="1:62" x14ac:dyDescent="0.2">
      <c r="A297" s="117" t="s">
        <v>258</v>
      </c>
      <c r="B297" s="117" t="s">
        <v>2052</v>
      </c>
      <c r="C297" s="304" t="s">
        <v>1253</v>
      </c>
      <c r="D297" s="305"/>
      <c r="E297" s="305"/>
      <c r="F297" s="117" t="s">
        <v>1644</v>
      </c>
      <c r="G297" s="116">
        <v>1</v>
      </c>
      <c r="H297" s="159"/>
      <c r="I297" s="108">
        <f t="shared" si="320"/>
        <v>0</v>
      </c>
      <c r="J297" s="108">
        <f t="shared" si="321"/>
        <v>0</v>
      </c>
      <c r="K297" s="108">
        <f t="shared" si="322"/>
        <v>0</v>
      </c>
      <c r="L297" s="111"/>
      <c r="Z297" s="100">
        <f t="shared" si="323"/>
        <v>0</v>
      </c>
      <c r="AB297" s="100">
        <f t="shared" si="324"/>
        <v>0</v>
      </c>
      <c r="AC297" s="100">
        <f t="shared" si="325"/>
        <v>0</v>
      </c>
      <c r="AD297" s="100">
        <f t="shared" si="326"/>
        <v>0</v>
      </c>
      <c r="AE297" s="100">
        <f t="shared" si="327"/>
        <v>0</v>
      </c>
      <c r="AF297" s="100">
        <f t="shared" si="328"/>
        <v>0</v>
      </c>
      <c r="AG297" s="100">
        <f t="shared" si="329"/>
        <v>0</v>
      </c>
      <c r="AH297" s="100">
        <f t="shared" si="330"/>
        <v>0</v>
      </c>
      <c r="AI297" s="109"/>
      <c r="AJ297" s="108">
        <f t="shared" si="331"/>
        <v>0</v>
      </c>
      <c r="AK297" s="108">
        <f t="shared" si="332"/>
        <v>0</v>
      </c>
      <c r="AL297" s="108">
        <f t="shared" si="333"/>
        <v>0</v>
      </c>
      <c r="AN297" s="100">
        <v>15</v>
      </c>
      <c r="AO297" s="100">
        <f t="shared" si="334"/>
        <v>0</v>
      </c>
      <c r="AP297" s="100">
        <f t="shared" si="335"/>
        <v>0</v>
      </c>
      <c r="AQ297" s="111" t="s">
        <v>13</v>
      </c>
      <c r="AV297" s="100">
        <f t="shared" si="336"/>
        <v>0</v>
      </c>
      <c r="AW297" s="100">
        <f t="shared" si="337"/>
        <v>0</v>
      </c>
      <c r="AX297" s="100">
        <f t="shared" si="338"/>
        <v>0</v>
      </c>
      <c r="AY297" s="110" t="s">
        <v>1709</v>
      </c>
      <c r="AZ297" s="110" t="s">
        <v>1733</v>
      </c>
      <c r="BA297" s="109" t="s">
        <v>1737</v>
      </c>
      <c r="BC297" s="100">
        <f t="shared" si="339"/>
        <v>0</v>
      </c>
      <c r="BD297" s="100">
        <f t="shared" si="340"/>
        <v>0</v>
      </c>
      <c r="BE297" s="100">
        <v>0</v>
      </c>
      <c r="BF297" s="100">
        <f>297</f>
        <v>297</v>
      </c>
      <c r="BH297" s="108">
        <f t="shared" si="341"/>
        <v>0</v>
      </c>
      <c r="BI297" s="108">
        <f t="shared" si="342"/>
        <v>0</v>
      </c>
      <c r="BJ297" s="108">
        <f t="shared" si="343"/>
        <v>0</v>
      </c>
    </row>
    <row r="298" spans="1:62" x14ac:dyDescent="0.2">
      <c r="A298" s="117" t="s">
        <v>259</v>
      </c>
      <c r="B298" s="117" t="s">
        <v>2051</v>
      </c>
      <c r="C298" s="304" t="s">
        <v>1347</v>
      </c>
      <c r="D298" s="305"/>
      <c r="E298" s="305"/>
      <c r="F298" s="117" t="s">
        <v>1646</v>
      </c>
      <c r="G298" s="116">
        <v>103</v>
      </c>
      <c r="H298" s="159"/>
      <c r="I298" s="108">
        <f t="shared" si="320"/>
        <v>0</v>
      </c>
      <c r="J298" s="108">
        <f t="shared" si="321"/>
        <v>0</v>
      </c>
      <c r="K298" s="108">
        <f t="shared" si="322"/>
        <v>0</v>
      </c>
      <c r="L298" s="111"/>
      <c r="Z298" s="100">
        <f t="shared" si="323"/>
        <v>0</v>
      </c>
      <c r="AB298" s="100">
        <f t="shared" si="324"/>
        <v>0</v>
      </c>
      <c r="AC298" s="100">
        <f t="shared" si="325"/>
        <v>0</v>
      </c>
      <c r="AD298" s="100">
        <f t="shared" si="326"/>
        <v>0</v>
      </c>
      <c r="AE298" s="100">
        <f t="shared" si="327"/>
        <v>0</v>
      </c>
      <c r="AF298" s="100">
        <f t="shared" si="328"/>
        <v>0</v>
      </c>
      <c r="AG298" s="100">
        <f t="shared" si="329"/>
        <v>0</v>
      </c>
      <c r="AH298" s="100">
        <f t="shared" si="330"/>
        <v>0</v>
      </c>
      <c r="AI298" s="109"/>
      <c r="AJ298" s="108">
        <f t="shared" si="331"/>
        <v>0</v>
      </c>
      <c r="AK298" s="108">
        <f t="shared" si="332"/>
        <v>0</v>
      </c>
      <c r="AL298" s="108">
        <f t="shared" si="333"/>
        <v>0</v>
      </c>
      <c r="AN298" s="100">
        <v>15</v>
      </c>
      <c r="AO298" s="100">
        <f t="shared" si="334"/>
        <v>0</v>
      </c>
      <c r="AP298" s="100">
        <f t="shared" si="335"/>
        <v>0</v>
      </c>
      <c r="AQ298" s="111" t="s">
        <v>13</v>
      </c>
      <c r="AV298" s="100">
        <f t="shared" si="336"/>
        <v>0</v>
      </c>
      <c r="AW298" s="100">
        <f t="shared" si="337"/>
        <v>0</v>
      </c>
      <c r="AX298" s="100">
        <f t="shared" si="338"/>
        <v>0</v>
      </c>
      <c r="AY298" s="110" t="s">
        <v>1709</v>
      </c>
      <c r="AZ298" s="110" t="s">
        <v>1733</v>
      </c>
      <c r="BA298" s="109" t="s">
        <v>1737</v>
      </c>
      <c r="BC298" s="100">
        <f t="shared" si="339"/>
        <v>0</v>
      </c>
      <c r="BD298" s="100">
        <f t="shared" si="340"/>
        <v>0</v>
      </c>
      <c r="BE298" s="100">
        <v>0</v>
      </c>
      <c r="BF298" s="100">
        <f>298</f>
        <v>298</v>
      </c>
      <c r="BH298" s="108">
        <f t="shared" si="341"/>
        <v>0</v>
      </c>
      <c r="BI298" s="108">
        <f t="shared" si="342"/>
        <v>0</v>
      </c>
      <c r="BJ298" s="108">
        <f t="shared" si="343"/>
        <v>0</v>
      </c>
    </row>
    <row r="299" spans="1:62" x14ac:dyDescent="0.2">
      <c r="A299" s="117" t="s">
        <v>260</v>
      </c>
      <c r="B299" s="117" t="s">
        <v>2050</v>
      </c>
      <c r="C299" s="304" t="s">
        <v>1348</v>
      </c>
      <c r="D299" s="305"/>
      <c r="E299" s="305"/>
      <c r="F299" s="117" t="s">
        <v>1644</v>
      </c>
      <c r="G299" s="116">
        <v>1</v>
      </c>
      <c r="H299" s="159"/>
      <c r="I299" s="108">
        <f t="shared" si="320"/>
        <v>0</v>
      </c>
      <c r="J299" s="108">
        <f t="shared" si="321"/>
        <v>0</v>
      </c>
      <c r="K299" s="108">
        <f t="shared" si="322"/>
        <v>0</v>
      </c>
      <c r="L299" s="111"/>
      <c r="Z299" s="100">
        <f t="shared" si="323"/>
        <v>0</v>
      </c>
      <c r="AB299" s="100">
        <f t="shared" si="324"/>
        <v>0</v>
      </c>
      <c r="AC299" s="100">
        <f t="shared" si="325"/>
        <v>0</v>
      </c>
      <c r="AD299" s="100">
        <f t="shared" si="326"/>
        <v>0</v>
      </c>
      <c r="AE299" s="100">
        <f t="shared" si="327"/>
        <v>0</v>
      </c>
      <c r="AF299" s="100">
        <f t="shared" si="328"/>
        <v>0</v>
      </c>
      <c r="AG299" s="100">
        <f t="shared" si="329"/>
        <v>0</v>
      </c>
      <c r="AH299" s="100">
        <f t="shared" si="330"/>
        <v>0</v>
      </c>
      <c r="AI299" s="109"/>
      <c r="AJ299" s="108">
        <f t="shared" si="331"/>
        <v>0</v>
      </c>
      <c r="AK299" s="108">
        <f t="shared" si="332"/>
        <v>0</v>
      </c>
      <c r="AL299" s="108">
        <f t="shared" si="333"/>
        <v>0</v>
      </c>
      <c r="AN299" s="100">
        <v>15</v>
      </c>
      <c r="AO299" s="100">
        <f t="shared" si="334"/>
        <v>0</v>
      </c>
      <c r="AP299" s="100">
        <f t="shared" si="335"/>
        <v>0</v>
      </c>
      <c r="AQ299" s="111" t="s">
        <v>13</v>
      </c>
      <c r="AV299" s="100">
        <f t="shared" si="336"/>
        <v>0</v>
      </c>
      <c r="AW299" s="100">
        <f t="shared" si="337"/>
        <v>0</v>
      </c>
      <c r="AX299" s="100">
        <f t="shared" si="338"/>
        <v>0</v>
      </c>
      <c r="AY299" s="110" t="s">
        <v>1709</v>
      </c>
      <c r="AZ299" s="110" t="s">
        <v>1733</v>
      </c>
      <c r="BA299" s="109" t="s">
        <v>1737</v>
      </c>
      <c r="BC299" s="100">
        <f t="shared" si="339"/>
        <v>0</v>
      </c>
      <c r="BD299" s="100">
        <f t="shared" si="340"/>
        <v>0</v>
      </c>
      <c r="BE299" s="100">
        <v>0</v>
      </c>
      <c r="BF299" s="100">
        <f>299</f>
        <v>299</v>
      </c>
      <c r="BH299" s="108">
        <f t="shared" si="341"/>
        <v>0</v>
      </c>
      <c r="BI299" s="108">
        <f t="shared" si="342"/>
        <v>0</v>
      </c>
      <c r="BJ299" s="108">
        <f t="shared" si="343"/>
        <v>0</v>
      </c>
    </row>
    <row r="300" spans="1:62" x14ac:dyDescent="0.2">
      <c r="A300" s="117" t="s">
        <v>261</v>
      </c>
      <c r="B300" s="117" t="s">
        <v>2049</v>
      </c>
      <c r="C300" s="304" t="s">
        <v>1349</v>
      </c>
      <c r="D300" s="305"/>
      <c r="E300" s="305"/>
      <c r="F300" s="117" t="s">
        <v>1644</v>
      </c>
      <c r="G300" s="116">
        <v>2</v>
      </c>
      <c r="H300" s="159"/>
      <c r="I300" s="108">
        <f t="shared" si="320"/>
        <v>0</v>
      </c>
      <c r="J300" s="108">
        <f t="shared" si="321"/>
        <v>0</v>
      </c>
      <c r="K300" s="108">
        <f t="shared" si="322"/>
        <v>0</v>
      </c>
      <c r="L300" s="111"/>
      <c r="Z300" s="100">
        <f t="shared" si="323"/>
        <v>0</v>
      </c>
      <c r="AB300" s="100">
        <f t="shared" si="324"/>
        <v>0</v>
      </c>
      <c r="AC300" s="100">
        <f t="shared" si="325"/>
        <v>0</v>
      </c>
      <c r="AD300" s="100">
        <f t="shared" si="326"/>
        <v>0</v>
      </c>
      <c r="AE300" s="100">
        <f t="shared" si="327"/>
        <v>0</v>
      </c>
      <c r="AF300" s="100">
        <f t="shared" si="328"/>
        <v>0</v>
      </c>
      <c r="AG300" s="100">
        <f t="shared" si="329"/>
        <v>0</v>
      </c>
      <c r="AH300" s="100">
        <f t="shared" si="330"/>
        <v>0</v>
      </c>
      <c r="AI300" s="109"/>
      <c r="AJ300" s="108">
        <f t="shared" si="331"/>
        <v>0</v>
      </c>
      <c r="AK300" s="108">
        <f t="shared" si="332"/>
        <v>0</v>
      </c>
      <c r="AL300" s="108">
        <f t="shared" si="333"/>
        <v>0</v>
      </c>
      <c r="AN300" s="100">
        <v>15</v>
      </c>
      <c r="AO300" s="100">
        <f t="shared" si="334"/>
        <v>0</v>
      </c>
      <c r="AP300" s="100">
        <f t="shared" si="335"/>
        <v>0</v>
      </c>
      <c r="AQ300" s="111" t="s">
        <v>13</v>
      </c>
      <c r="AV300" s="100">
        <f t="shared" si="336"/>
        <v>0</v>
      </c>
      <c r="AW300" s="100">
        <f t="shared" si="337"/>
        <v>0</v>
      </c>
      <c r="AX300" s="100">
        <f t="shared" si="338"/>
        <v>0</v>
      </c>
      <c r="AY300" s="110" t="s">
        <v>1709</v>
      </c>
      <c r="AZ300" s="110" t="s">
        <v>1733</v>
      </c>
      <c r="BA300" s="109" t="s">
        <v>1737</v>
      </c>
      <c r="BC300" s="100">
        <f t="shared" si="339"/>
        <v>0</v>
      </c>
      <c r="BD300" s="100">
        <f t="shared" si="340"/>
        <v>0</v>
      </c>
      <c r="BE300" s="100">
        <v>0</v>
      </c>
      <c r="BF300" s="100">
        <f>300</f>
        <v>300</v>
      </c>
      <c r="BH300" s="108">
        <f t="shared" si="341"/>
        <v>0</v>
      </c>
      <c r="BI300" s="108">
        <f t="shared" si="342"/>
        <v>0</v>
      </c>
      <c r="BJ300" s="108">
        <f t="shared" si="343"/>
        <v>0</v>
      </c>
    </row>
    <row r="301" spans="1:62" x14ac:dyDescent="0.2">
      <c r="A301" s="117" t="s">
        <v>262</v>
      </c>
      <c r="B301" s="117" t="s">
        <v>2048</v>
      </c>
      <c r="C301" s="304" t="s">
        <v>1350</v>
      </c>
      <c r="D301" s="305"/>
      <c r="E301" s="305"/>
      <c r="F301" s="117" t="s">
        <v>1644</v>
      </c>
      <c r="G301" s="116">
        <v>1</v>
      </c>
      <c r="H301" s="159"/>
      <c r="I301" s="108">
        <f t="shared" si="320"/>
        <v>0</v>
      </c>
      <c r="J301" s="108">
        <f t="shared" si="321"/>
        <v>0</v>
      </c>
      <c r="K301" s="108">
        <f t="shared" si="322"/>
        <v>0</v>
      </c>
      <c r="L301" s="111"/>
      <c r="Z301" s="100">
        <f t="shared" si="323"/>
        <v>0</v>
      </c>
      <c r="AB301" s="100">
        <f t="shared" si="324"/>
        <v>0</v>
      </c>
      <c r="AC301" s="100">
        <f t="shared" si="325"/>
        <v>0</v>
      </c>
      <c r="AD301" s="100">
        <f t="shared" si="326"/>
        <v>0</v>
      </c>
      <c r="AE301" s="100">
        <f t="shared" si="327"/>
        <v>0</v>
      </c>
      <c r="AF301" s="100">
        <f t="shared" si="328"/>
        <v>0</v>
      </c>
      <c r="AG301" s="100">
        <f t="shared" si="329"/>
        <v>0</v>
      </c>
      <c r="AH301" s="100">
        <f t="shared" si="330"/>
        <v>0</v>
      </c>
      <c r="AI301" s="109"/>
      <c r="AJ301" s="108">
        <f t="shared" si="331"/>
        <v>0</v>
      </c>
      <c r="AK301" s="108">
        <f t="shared" si="332"/>
        <v>0</v>
      </c>
      <c r="AL301" s="108">
        <f t="shared" si="333"/>
        <v>0</v>
      </c>
      <c r="AN301" s="100">
        <v>15</v>
      </c>
      <c r="AO301" s="100">
        <f t="shared" si="334"/>
        <v>0</v>
      </c>
      <c r="AP301" s="100">
        <f t="shared" si="335"/>
        <v>0</v>
      </c>
      <c r="AQ301" s="111" t="s">
        <v>13</v>
      </c>
      <c r="AV301" s="100">
        <f t="shared" si="336"/>
        <v>0</v>
      </c>
      <c r="AW301" s="100">
        <f t="shared" si="337"/>
        <v>0</v>
      </c>
      <c r="AX301" s="100">
        <f t="shared" si="338"/>
        <v>0</v>
      </c>
      <c r="AY301" s="110" t="s">
        <v>1709</v>
      </c>
      <c r="AZ301" s="110" t="s">
        <v>1733</v>
      </c>
      <c r="BA301" s="109" t="s">
        <v>1737</v>
      </c>
      <c r="BC301" s="100">
        <f t="shared" si="339"/>
        <v>0</v>
      </c>
      <c r="BD301" s="100">
        <f t="shared" si="340"/>
        <v>0</v>
      </c>
      <c r="BE301" s="100">
        <v>0</v>
      </c>
      <c r="BF301" s="100">
        <f>301</f>
        <v>301</v>
      </c>
      <c r="BH301" s="108">
        <f t="shared" si="341"/>
        <v>0</v>
      </c>
      <c r="BI301" s="108">
        <f t="shared" si="342"/>
        <v>0</v>
      </c>
      <c r="BJ301" s="108">
        <f t="shared" si="343"/>
        <v>0</v>
      </c>
    </row>
    <row r="302" spans="1:62" x14ac:dyDescent="0.2">
      <c r="A302" s="117" t="s">
        <v>263</v>
      </c>
      <c r="B302" s="117" t="s">
        <v>2047</v>
      </c>
      <c r="C302" s="304" t="s">
        <v>1351</v>
      </c>
      <c r="D302" s="305"/>
      <c r="E302" s="305"/>
      <c r="F302" s="117" t="s">
        <v>1644</v>
      </c>
      <c r="G302" s="116">
        <v>1</v>
      </c>
      <c r="H302" s="159"/>
      <c r="I302" s="108">
        <f t="shared" si="320"/>
        <v>0</v>
      </c>
      <c r="J302" s="108">
        <f t="shared" si="321"/>
        <v>0</v>
      </c>
      <c r="K302" s="108">
        <f t="shared" si="322"/>
        <v>0</v>
      </c>
      <c r="L302" s="111"/>
      <c r="Z302" s="100">
        <f t="shared" si="323"/>
        <v>0</v>
      </c>
      <c r="AB302" s="100">
        <f t="shared" si="324"/>
        <v>0</v>
      </c>
      <c r="AC302" s="100">
        <f t="shared" si="325"/>
        <v>0</v>
      </c>
      <c r="AD302" s="100">
        <f t="shared" si="326"/>
        <v>0</v>
      </c>
      <c r="AE302" s="100">
        <f t="shared" si="327"/>
        <v>0</v>
      </c>
      <c r="AF302" s="100">
        <f t="shared" si="328"/>
        <v>0</v>
      </c>
      <c r="AG302" s="100">
        <f t="shared" si="329"/>
        <v>0</v>
      </c>
      <c r="AH302" s="100">
        <f t="shared" si="330"/>
        <v>0</v>
      </c>
      <c r="AI302" s="109"/>
      <c r="AJ302" s="108">
        <f t="shared" si="331"/>
        <v>0</v>
      </c>
      <c r="AK302" s="108">
        <f t="shared" si="332"/>
        <v>0</v>
      </c>
      <c r="AL302" s="108">
        <f t="shared" si="333"/>
        <v>0</v>
      </c>
      <c r="AN302" s="100">
        <v>15</v>
      </c>
      <c r="AO302" s="100">
        <f t="shared" si="334"/>
        <v>0</v>
      </c>
      <c r="AP302" s="100">
        <f t="shared" si="335"/>
        <v>0</v>
      </c>
      <c r="AQ302" s="111" t="s">
        <v>13</v>
      </c>
      <c r="AV302" s="100">
        <f t="shared" si="336"/>
        <v>0</v>
      </c>
      <c r="AW302" s="100">
        <f t="shared" si="337"/>
        <v>0</v>
      </c>
      <c r="AX302" s="100">
        <f t="shared" si="338"/>
        <v>0</v>
      </c>
      <c r="AY302" s="110" t="s">
        <v>1709</v>
      </c>
      <c r="AZ302" s="110" t="s">
        <v>1733</v>
      </c>
      <c r="BA302" s="109" t="s">
        <v>1737</v>
      </c>
      <c r="BC302" s="100">
        <f t="shared" si="339"/>
        <v>0</v>
      </c>
      <c r="BD302" s="100">
        <f t="shared" si="340"/>
        <v>0</v>
      </c>
      <c r="BE302" s="100">
        <v>0</v>
      </c>
      <c r="BF302" s="100">
        <f>302</f>
        <v>302</v>
      </c>
      <c r="BH302" s="108">
        <f t="shared" si="341"/>
        <v>0</v>
      </c>
      <c r="BI302" s="108">
        <f t="shared" si="342"/>
        <v>0</v>
      </c>
      <c r="BJ302" s="108">
        <f t="shared" si="343"/>
        <v>0</v>
      </c>
    </row>
    <row r="303" spans="1:62" x14ac:dyDescent="0.2">
      <c r="A303" s="117" t="s">
        <v>264</v>
      </c>
      <c r="B303" s="117" t="s">
        <v>2046</v>
      </c>
      <c r="C303" s="304" t="s">
        <v>1352</v>
      </c>
      <c r="D303" s="305"/>
      <c r="E303" s="305"/>
      <c r="F303" s="117" t="s">
        <v>1644</v>
      </c>
      <c r="G303" s="116">
        <v>16</v>
      </c>
      <c r="H303" s="159"/>
      <c r="I303" s="108">
        <f t="shared" si="320"/>
        <v>0</v>
      </c>
      <c r="J303" s="108">
        <f t="shared" si="321"/>
        <v>0</v>
      </c>
      <c r="K303" s="108">
        <f t="shared" si="322"/>
        <v>0</v>
      </c>
      <c r="L303" s="111"/>
      <c r="Z303" s="100">
        <f t="shared" si="323"/>
        <v>0</v>
      </c>
      <c r="AB303" s="100">
        <f t="shared" si="324"/>
        <v>0</v>
      </c>
      <c r="AC303" s="100">
        <f t="shared" si="325"/>
        <v>0</v>
      </c>
      <c r="AD303" s="100">
        <f t="shared" si="326"/>
        <v>0</v>
      </c>
      <c r="AE303" s="100">
        <f t="shared" si="327"/>
        <v>0</v>
      </c>
      <c r="AF303" s="100">
        <f t="shared" si="328"/>
        <v>0</v>
      </c>
      <c r="AG303" s="100">
        <f t="shared" si="329"/>
        <v>0</v>
      </c>
      <c r="AH303" s="100">
        <f t="shared" si="330"/>
        <v>0</v>
      </c>
      <c r="AI303" s="109"/>
      <c r="AJ303" s="108">
        <f t="shared" si="331"/>
        <v>0</v>
      </c>
      <c r="AK303" s="108">
        <f t="shared" si="332"/>
        <v>0</v>
      </c>
      <c r="AL303" s="108">
        <f t="shared" si="333"/>
        <v>0</v>
      </c>
      <c r="AN303" s="100">
        <v>15</v>
      </c>
      <c r="AO303" s="100">
        <f t="shared" si="334"/>
        <v>0</v>
      </c>
      <c r="AP303" s="100">
        <f t="shared" si="335"/>
        <v>0</v>
      </c>
      <c r="AQ303" s="111" t="s">
        <v>13</v>
      </c>
      <c r="AV303" s="100">
        <f t="shared" si="336"/>
        <v>0</v>
      </c>
      <c r="AW303" s="100">
        <f t="shared" si="337"/>
        <v>0</v>
      </c>
      <c r="AX303" s="100">
        <f t="shared" si="338"/>
        <v>0</v>
      </c>
      <c r="AY303" s="110" t="s">
        <v>1709</v>
      </c>
      <c r="AZ303" s="110" t="s">
        <v>1733</v>
      </c>
      <c r="BA303" s="109" t="s">
        <v>1737</v>
      </c>
      <c r="BC303" s="100">
        <f t="shared" si="339"/>
        <v>0</v>
      </c>
      <c r="BD303" s="100">
        <f t="shared" si="340"/>
        <v>0</v>
      </c>
      <c r="BE303" s="100">
        <v>0</v>
      </c>
      <c r="BF303" s="100">
        <f>303</f>
        <v>303</v>
      </c>
      <c r="BH303" s="108">
        <f t="shared" si="341"/>
        <v>0</v>
      </c>
      <c r="BI303" s="108">
        <f t="shared" si="342"/>
        <v>0</v>
      </c>
      <c r="BJ303" s="108">
        <f t="shared" si="343"/>
        <v>0</v>
      </c>
    </row>
    <row r="304" spans="1:62" x14ac:dyDescent="0.2">
      <c r="A304" s="117" t="s">
        <v>265</v>
      </c>
      <c r="B304" s="117" t="s">
        <v>2045</v>
      </c>
      <c r="C304" s="304" t="s">
        <v>1353</v>
      </c>
      <c r="D304" s="305"/>
      <c r="E304" s="305"/>
      <c r="F304" s="117" t="s">
        <v>1644</v>
      </c>
      <c r="G304" s="116">
        <v>1</v>
      </c>
      <c r="H304" s="159"/>
      <c r="I304" s="108">
        <f t="shared" si="320"/>
        <v>0</v>
      </c>
      <c r="J304" s="108">
        <f t="shared" si="321"/>
        <v>0</v>
      </c>
      <c r="K304" s="108">
        <f t="shared" si="322"/>
        <v>0</v>
      </c>
      <c r="L304" s="111"/>
      <c r="Z304" s="100">
        <f t="shared" si="323"/>
        <v>0</v>
      </c>
      <c r="AB304" s="100">
        <f t="shared" si="324"/>
        <v>0</v>
      </c>
      <c r="AC304" s="100">
        <f t="shared" si="325"/>
        <v>0</v>
      </c>
      <c r="AD304" s="100">
        <f t="shared" si="326"/>
        <v>0</v>
      </c>
      <c r="AE304" s="100">
        <f t="shared" si="327"/>
        <v>0</v>
      </c>
      <c r="AF304" s="100">
        <f t="shared" si="328"/>
        <v>0</v>
      </c>
      <c r="AG304" s="100">
        <f t="shared" si="329"/>
        <v>0</v>
      </c>
      <c r="AH304" s="100">
        <f t="shared" si="330"/>
        <v>0</v>
      </c>
      <c r="AI304" s="109"/>
      <c r="AJ304" s="108">
        <f t="shared" si="331"/>
        <v>0</v>
      </c>
      <c r="AK304" s="108">
        <f t="shared" si="332"/>
        <v>0</v>
      </c>
      <c r="AL304" s="108">
        <f t="shared" si="333"/>
        <v>0</v>
      </c>
      <c r="AN304" s="100">
        <v>15</v>
      </c>
      <c r="AO304" s="100">
        <f t="shared" si="334"/>
        <v>0</v>
      </c>
      <c r="AP304" s="100">
        <f t="shared" si="335"/>
        <v>0</v>
      </c>
      <c r="AQ304" s="111" t="s">
        <v>13</v>
      </c>
      <c r="AV304" s="100">
        <f t="shared" si="336"/>
        <v>0</v>
      </c>
      <c r="AW304" s="100">
        <f t="shared" si="337"/>
        <v>0</v>
      </c>
      <c r="AX304" s="100">
        <f t="shared" si="338"/>
        <v>0</v>
      </c>
      <c r="AY304" s="110" t="s">
        <v>1709</v>
      </c>
      <c r="AZ304" s="110" t="s">
        <v>1733</v>
      </c>
      <c r="BA304" s="109" t="s">
        <v>1737</v>
      </c>
      <c r="BC304" s="100">
        <f t="shared" si="339"/>
        <v>0</v>
      </c>
      <c r="BD304" s="100">
        <f t="shared" si="340"/>
        <v>0</v>
      </c>
      <c r="BE304" s="100">
        <v>0</v>
      </c>
      <c r="BF304" s="100">
        <f>304</f>
        <v>304</v>
      </c>
      <c r="BH304" s="108">
        <f t="shared" si="341"/>
        <v>0</v>
      </c>
      <c r="BI304" s="108">
        <f t="shared" si="342"/>
        <v>0</v>
      </c>
      <c r="BJ304" s="108">
        <f t="shared" si="343"/>
        <v>0</v>
      </c>
    </row>
    <row r="305" spans="1:62" x14ac:dyDescent="0.2">
      <c r="A305" s="117" t="s">
        <v>266</v>
      </c>
      <c r="B305" s="117" t="s">
        <v>2044</v>
      </c>
      <c r="C305" s="304" t="s">
        <v>1354</v>
      </c>
      <c r="D305" s="305"/>
      <c r="E305" s="305"/>
      <c r="F305" s="117" t="s">
        <v>1644</v>
      </c>
      <c r="G305" s="116">
        <v>1</v>
      </c>
      <c r="H305" s="159"/>
      <c r="I305" s="108">
        <f t="shared" si="320"/>
        <v>0</v>
      </c>
      <c r="J305" s="108">
        <f t="shared" si="321"/>
        <v>0</v>
      </c>
      <c r="K305" s="108">
        <f t="shared" si="322"/>
        <v>0</v>
      </c>
      <c r="L305" s="111"/>
      <c r="Z305" s="100">
        <f t="shared" si="323"/>
        <v>0</v>
      </c>
      <c r="AB305" s="100">
        <f t="shared" si="324"/>
        <v>0</v>
      </c>
      <c r="AC305" s="100">
        <f t="shared" si="325"/>
        <v>0</v>
      </c>
      <c r="AD305" s="100">
        <f t="shared" si="326"/>
        <v>0</v>
      </c>
      <c r="AE305" s="100">
        <f t="shared" si="327"/>
        <v>0</v>
      </c>
      <c r="AF305" s="100">
        <f t="shared" si="328"/>
        <v>0</v>
      </c>
      <c r="AG305" s="100">
        <f t="shared" si="329"/>
        <v>0</v>
      </c>
      <c r="AH305" s="100">
        <f t="shared" si="330"/>
        <v>0</v>
      </c>
      <c r="AI305" s="109"/>
      <c r="AJ305" s="108">
        <f t="shared" si="331"/>
        <v>0</v>
      </c>
      <c r="AK305" s="108">
        <f t="shared" si="332"/>
        <v>0</v>
      </c>
      <c r="AL305" s="108">
        <f t="shared" si="333"/>
        <v>0</v>
      </c>
      <c r="AN305" s="100">
        <v>15</v>
      </c>
      <c r="AO305" s="100">
        <f t="shared" si="334"/>
        <v>0</v>
      </c>
      <c r="AP305" s="100">
        <f t="shared" si="335"/>
        <v>0</v>
      </c>
      <c r="AQ305" s="111" t="s">
        <v>13</v>
      </c>
      <c r="AV305" s="100">
        <f t="shared" si="336"/>
        <v>0</v>
      </c>
      <c r="AW305" s="100">
        <f t="shared" si="337"/>
        <v>0</v>
      </c>
      <c r="AX305" s="100">
        <f t="shared" si="338"/>
        <v>0</v>
      </c>
      <c r="AY305" s="110" t="s">
        <v>1709</v>
      </c>
      <c r="AZ305" s="110" t="s">
        <v>1733</v>
      </c>
      <c r="BA305" s="109" t="s">
        <v>1737</v>
      </c>
      <c r="BC305" s="100">
        <f t="shared" si="339"/>
        <v>0</v>
      </c>
      <c r="BD305" s="100">
        <f t="shared" si="340"/>
        <v>0</v>
      </c>
      <c r="BE305" s="100">
        <v>0</v>
      </c>
      <c r="BF305" s="100">
        <f>305</f>
        <v>305</v>
      </c>
      <c r="BH305" s="108">
        <f t="shared" si="341"/>
        <v>0</v>
      </c>
      <c r="BI305" s="108">
        <f t="shared" si="342"/>
        <v>0</v>
      </c>
      <c r="BJ305" s="108">
        <f t="shared" si="343"/>
        <v>0</v>
      </c>
    </row>
    <row r="306" spans="1:62" x14ac:dyDescent="0.2">
      <c r="A306" s="119"/>
      <c r="B306" s="120" t="s">
        <v>772</v>
      </c>
      <c r="C306" s="306" t="s">
        <v>1355</v>
      </c>
      <c r="D306" s="307"/>
      <c r="E306" s="307"/>
      <c r="F306" s="119" t="s">
        <v>6</v>
      </c>
      <c r="G306" s="119" t="s">
        <v>6</v>
      </c>
      <c r="H306" s="119" t="s">
        <v>6</v>
      </c>
      <c r="I306" s="118">
        <f>SUM(I307:I329)</f>
        <v>0</v>
      </c>
      <c r="J306" s="118">
        <f>SUM(J307:J329)</f>
        <v>0</v>
      </c>
      <c r="K306" s="118">
        <f>SUM(K307:K329)</f>
        <v>0</v>
      </c>
      <c r="L306" s="109"/>
      <c r="AI306" s="109"/>
      <c r="AS306" s="118">
        <f>SUM(AJ307:AJ329)</f>
        <v>0</v>
      </c>
      <c r="AT306" s="118">
        <f>SUM(AK307:AK329)</f>
        <v>0</v>
      </c>
      <c r="AU306" s="118">
        <f>SUM(AL307:AL329)</f>
        <v>0</v>
      </c>
    </row>
    <row r="307" spans="1:62" x14ac:dyDescent="0.2">
      <c r="A307" s="117" t="s">
        <v>267</v>
      </c>
      <c r="B307" s="117" t="s">
        <v>2043</v>
      </c>
      <c r="C307" s="304" t="s">
        <v>1356</v>
      </c>
      <c r="D307" s="305"/>
      <c r="E307" s="305"/>
      <c r="F307" s="117" t="s">
        <v>1644</v>
      </c>
      <c r="G307" s="116">
        <v>1</v>
      </c>
      <c r="H307" s="159"/>
      <c r="I307" s="108">
        <f t="shared" ref="I307:I329" si="344">G307*AO307</f>
        <v>0</v>
      </c>
      <c r="J307" s="108">
        <f t="shared" ref="J307:J329" si="345">G307*AP307</f>
        <v>0</v>
      </c>
      <c r="K307" s="108">
        <f t="shared" ref="K307:K329" si="346">G307*H307</f>
        <v>0</v>
      </c>
      <c r="L307" s="111"/>
      <c r="Z307" s="100">
        <f t="shared" ref="Z307:Z329" si="347">IF(AQ307="5",BJ307,0)</f>
        <v>0</v>
      </c>
      <c r="AB307" s="100">
        <f t="shared" ref="AB307:AB329" si="348">IF(AQ307="1",BH307,0)</f>
        <v>0</v>
      </c>
      <c r="AC307" s="100">
        <f t="shared" ref="AC307:AC329" si="349">IF(AQ307="1",BI307,0)</f>
        <v>0</v>
      </c>
      <c r="AD307" s="100">
        <f t="shared" ref="AD307:AD329" si="350">IF(AQ307="7",BH307,0)</f>
        <v>0</v>
      </c>
      <c r="AE307" s="100">
        <f t="shared" ref="AE307:AE329" si="351">IF(AQ307="7",BI307,0)</f>
        <v>0</v>
      </c>
      <c r="AF307" s="100">
        <f t="shared" ref="AF307:AF329" si="352">IF(AQ307="2",BH307,0)</f>
        <v>0</v>
      </c>
      <c r="AG307" s="100">
        <f t="shared" ref="AG307:AG329" si="353">IF(AQ307="2",BI307,0)</f>
        <v>0</v>
      </c>
      <c r="AH307" s="100">
        <f t="shared" ref="AH307:AH329" si="354">IF(AQ307="0",BJ307,0)</f>
        <v>0</v>
      </c>
      <c r="AI307" s="109"/>
      <c r="AJ307" s="108">
        <f t="shared" ref="AJ307:AJ329" si="355">IF(AN307=0,K307,0)</f>
        <v>0</v>
      </c>
      <c r="AK307" s="108">
        <f t="shared" ref="AK307:AK329" si="356">IF(AN307=15,K307,0)</f>
        <v>0</v>
      </c>
      <c r="AL307" s="108">
        <f t="shared" ref="AL307:AL329" si="357">IF(AN307=21,K307,0)</f>
        <v>0</v>
      </c>
      <c r="AN307" s="100">
        <v>15</v>
      </c>
      <c r="AO307" s="100">
        <f t="shared" ref="AO307:AO329" si="358">H307*0</f>
        <v>0</v>
      </c>
      <c r="AP307" s="100">
        <f t="shared" ref="AP307:AP329" si="359">H307*(1-0)</f>
        <v>0</v>
      </c>
      <c r="AQ307" s="111" t="s">
        <v>13</v>
      </c>
      <c r="AV307" s="100">
        <f t="shared" ref="AV307:AV329" si="360">AW307+AX307</f>
        <v>0</v>
      </c>
      <c r="AW307" s="100">
        <f t="shared" ref="AW307:AW329" si="361">G307*AO307</f>
        <v>0</v>
      </c>
      <c r="AX307" s="100">
        <f t="shared" ref="AX307:AX329" si="362">G307*AP307</f>
        <v>0</v>
      </c>
      <c r="AY307" s="110" t="s">
        <v>1710</v>
      </c>
      <c r="AZ307" s="110" t="s">
        <v>1733</v>
      </c>
      <c r="BA307" s="109" t="s">
        <v>1737</v>
      </c>
      <c r="BC307" s="100">
        <f t="shared" ref="BC307:BC329" si="363">AW307+AX307</f>
        <v>0</v>
      </c>
      <c r="BD307" s="100">
        <f t="shared" ref="BD307:BD329" si="364">H307/(100-BE307)*100</f>
        <v>0</v>
      </c>
      <c r="BE307" s="100">
        <v>0</v>
      </c>
      <c r="BF307" s="100">
        <f>307</f>
        <v>307</v>
      </c>
      <c r="BH307" s="108">
        <f t="shared" ref="BH307:BH329" si="365">G307*AO307</f>
        <v>0</v>
      </c>
      <c r="BI307" s="108">
        <f t="shared" ref="BI307:BI329" si="366">G307*AP307</f>
        <v>0</v>
      </c>
      <c r="BJ307" s="108">
        <f t="shared" ref="BJ307:BJ329" si="367">G307*H307</f>
        <v>0</v>
      </c>
    </row>
    <row r="308" spans="1:62" x14ac:dyDescent="0.2">
      <c r="A308" s="117" t="s">
        <v>268</v>
      </c>
      <c r="B308" s="117" t="s">
        <v>2042</v>
      </c>
      <c r="C308" s="304" t="s">
        <v>1357</v>
      </c>
      <c r="D308" s="305"/>
      <c r="E308" s="305"/>
      <c r="F308" s="117" t="s">
        <v>1644</v>
      </c>
      <c r="G308" s="116">
        <v>1</v>
      </c>
      <c r="H308" s="159"/>
      <c r="I308" s="108">
        <f t="shared" si="344"/>
        <v>0</v>
      </c>
      <c r="J308" s="108">
        <f t="shared" si="345"/>
        <v>0</v>
      </c>
      <c r="K308" s="108">
        <f t="shared" si="346"/>
        <v>0</v>
      </c>
      <c r="L308" s="111"/>
      <c r="Z308" s="100">
        <f t="shared" si="347"/>
        <v>0</v>
      </c>
      <c r="AB308" s="100">
        <f t="shared" si="348"/>
        <v>0</v>
      </c>
      <c r="AC308" s="100">
        <f t="shared" si="349"/>
        <v>0</v>
      </c>
      <c r="AD308" s="100">
        <f t="shared" si="350"/>
        <v>0</v>
      </c>
      <c r="AE308" s="100">
        <f t="shared" si="351"/>
        <v>0</v>
      </c>
      <c r="AF308" s="100">
        <f t="shared" si="352"/>
        <v>0</v>
      </c>
      <c r="AG308" s="100">
        <f t="shared" si="353"/>
        <v>0</v>
      </c>
      <c r="AH308" s="100">
        <f t="shared" si="354"/>
        <v>0</v>
      </c>
      <c r="AI308" s="109"/>
      <c r="AJ308" s="108">
        <f t="shared" si="355"/>
        <v>0</v>
      </c>
      <c r="AK308" s="108">
        <f t="shared" si="356"/>
        <v>0</v>
      </c>
      <c r="AL308" s="108">
        <f t="shared" si="357"/>
        <v>0</v>
      </c>
      <c r="AN308" s="100">
        <v>15</v>
      </c>
      <c r="AO308" s="100">
        <f t="shared" si="358"/>
        <v>0</v>
      </c>
      <c r="AP308" s="100">
        <f t="shared" si="359"/>
        <v>0</v>
      </c>
      <c r="AQ308" s="111" t="s">
        <v>13</v>
      </c>
      <c r="AV308" s="100">
        <f t="shared" si="360"/>
        <v>0</v>
      </c>
      <c r="AW308" s="100">
        <f t="shared" si="361"/>
        <v>0</v>
      </c>
      <c r="AX308" s="100">
        <f t="shared" si="362"/>
        <v>0</v>
      </c>
      <c r="AY308" s="110" t="s">
        <v>1710</v>
      </c>
      <c r="AZ308" s="110" t="s">
        <v>1733</v>
      </c>
      <c r="BA308" s="109" t="s">
        <v>1737</v>
      </c>
      <c r="BC308" s="100">
        <f t="shared" si="363"/>
        <v>0</v>
      </c>
      <c r="BD308" s="100">
        <f t="shared" si="364"/>
        <v>0</v>
      </c>
      <c r="BE308" s="100">
        <v>0</v>
      </c>
      <c r="BF308" s="100">
        <f>308</f>
        <v>308</v>
      </c>
      <c r="BH308" s="108">
        <f t="shared" si="365"/>
        <v>0</v>
      </c>
      <c r="BI308" s="108">
        <f t="shared" si="366"/>
        <v>0</v>
      </c>
      <c r="BJ308" s="108">
        <f t="shared" si="367"/>
        <v>0</v>
      </c>
    </row>
    <row r="309" spans="1:62" x14ac:dyDescent="0.2">
      <c r="A309" s="117" t="s">
        <v>269</v>
      </c>
      <c r="B309" s="117" t="s">
        <v>2041</v>
      </c>
      <c r="C309" s="304" t="s">
        <v>1358</v>
      </c>
      <c r="D309" s="305"/>
      <c r="E309" s="305"/>
      <c r="F309" s="117" t="s">
        <v>1644</v>
      </c>
      <c r="G309" s="116">
        <v>1</v>
      </c>
      <c r="H309" s="159"/>
      <c r="I309" s="108">
        <f t="shared" si="344"/>
        <v>0</v>
      </c>
      <c r="J309" s="108">
        <f t="shared" si="345"/>
        <v>0</v>
      </c>
      <c r="K309" s="108">
        <f t="shared" si="346"/>
        <v>0</v>
      </c>
      <c r="L309" s="111"/>
      <c r="Z309" s="100">
        <f t="shared" si="347"/>
        <v>0</v>
      </c>
      <c r="AB309" s="100">
        <f t="shared" si="348"/>
        <v>0</v>
      </c>
      <c r="AC309" s="100">
        <f t="shared" si="349"/>
        <v>0</v>
      </c>
      <c r="AD309" s="100">
        <f t="shared" si="350"/>
        <v>0</v>
      </c>
      <c r="AE309" s="100">
        <f t="shared" si="351"/>
        <v>0</v>
      </c>
      <c r="AF309" s="100">
        <f t="shared" si="352"/>
        <v>0</v>
      </c>
      <c r="AG309" s="100">
        <f t="shared" si="353"/>
        <v>0</v>
      </c>
      <c r="AH309" s="100">
        <f t="shared" si="354"/>
        <v>0</v>
      </c>
      <c r="AI309" s="109"/>
      <c r="AJ309" s="108">
        <f t="shared" si="355"/>
        <v>0</v>
      </c>
      <c r="AK309" s="108">
        <f t="shared" si="356"/>
        <v>0</v>
      </c>
      <c r="AL309" s="108">
        <f t="shared" si="357"/>
        <v>0</v>
      </c>
      <c r="AN309" s="100">
        <v>15</v>
      </c>
      <c r="AO309" s="100">
        <f t="shared" si="358"/>
        <v>0</v>
      </c>
      <c r="AP309" s="100">
        <f t="shared" si="359"/>
        <v>0</v>
      </c>
      <c r="AQ309" s="111" t="s">
        <v>13</v>
      </c>
      <c r="AV309" s="100">
        <f t="shared" si="360"/>
        <v>0</v>
      </c>
      <c r="AW309" s="100">
        <f t="shared" si="361"/>
        <v>0</v>
      </c>
      <c r="AX309" s="100">
        <f t="shared" si="362"/>
        <v>0</v>
      </c>
      <c r="AY309" s="110" t="s">
        <v>1710</v>
      </c>
      <c r="AZ309" s="110" t="s">
        <v>1733</v>
      </c>
      <c r="BA309" s="109" t="s">
        <v>1737</v>
      </c>
      <c r="BC309" s="100">
        <f t="shared" si="363"/>
        <v>0</v>
      </c>
      <c r="BD309" s="100">
        <f t="shared" si="364"/>
        <v>0</v>
      </c>
      <c r="BE309" s="100">
        <v>0</v>
      </c>
      <c r="BF309" s="100">
        <f>309</f>
        <v>309</v>
      </c>
      <c r="BH309" s="108">
        <f t="shared" si="365"/>
        <v>0</v>
      </c>
      <c r="BI309" s="108">
        <f t="shared" si="366"/>
        <v>0</v>
      </c>
      <c r="BJ309" s="108">
        <f t="shared" si="367"/>
        <v>0</v>
      </c>
    </row>
    <row r="310" spans="1:62" x14ac:dyDescent="0.2">
      <c r="A310" s="117" t="s">
        <v>270</v>
      </c>
      <c r="B310" s="117" t="s">
        <v>2040</v>
      </c>
      <c r="C310" s="304" t="s">
        <v>1359</v>
      </c>
      <c r="D310" s="305"/>
      <c r="E310" s="305"/>
      <c r="F310" s="117" t="s">
        <v>1644</v>
      </c>
      <c r="G310" s="116">
        <v>1</v>
      </c>
      <c r="H310" s="159"/>
      <c r="I310" s="108">
        <f t="shared" si="344"/>
        <v>0</v>
      </c>
      <c r="J310" s="108">
        <f t="shared" si="345"/>
        <v>0</v>
      </c>
      <c r="K310" s="108">
        <f t="shared" si="346"/>
        <v>0</v>
      </c>
      <c r="L310" s="111"/>
      <c r="Z310" s="100">
        <f t="shared" si="347"/>
        <v>0</v>
      </c>
      <c r="AB310" s="100">
        <f t="shared" si="348"/>
        <v>0</v>
      </c>
      <c r="AC310" s="100">
        <f t="shared" si="349"/>
        <v>0</v>
      </c>
      <c r="AD310" s="100">
        <f t="shared" si="350"/>
        <v>0</v>
      </c>
      <c r="AE310" s="100">
        <f t="shared" si="351"/>
        <v>0</v>
      </c>
      <c r="AF310" s="100">
        <f t="shared" si="352"/>
        <v>0</v>
      </c>
      <c r="AG310" s="100">
        <f t="shared" si="353"/>
        <v>0</v>
      </c>
      <c r="AH310" s="100">
        <f t="shared" si="354"/>
        <v>0</v>
      </c>
      <c r="AI310" s="109"/>
      <c r="AJ310" s="108">
        <f t="shared" si="355"/>
        <v>0</v>
      </c>
      <c r="AK310" s="108">
        <f t="shared" si="356"/>
        <v>0</v>
      </c>
      <c r="AL310" s="108">
        <f t="shared" si="357"/>
        <v>0</v>
      </c>
      <c r="AN310" s="100">
        <v>15</v>
      </c>
      <c r="AO310" s="100">
        <f t="shared" si="358"/>
        <v>0</v>
      </c>
      <c r="AP310" s="100">
        <f t="shared" si="359"/>
        <v>0</v>
      </c>
      <c r="AQ310" s="111" t="s">
        <v>13</v>
      </c>
      <c r="AV310" s="100">
        <f t="shared" si="360"/>
        <v>0</v>
      </c>
      <c r="AW310" s="100">
        <f t="shared" si="361"/>
        <v>0</v>
      </c>
      <c r="AX310" s="100">
        <f t="shared" si="362"/>
        <v>0</v>
      </c>
      <c r="AY310" s="110" t="s">
        <v>1710</v>
      </c>
      <c r="AZ310" s="110" t="s">
        <v>1733</v>
      </c>
      <c r="BA310" s="109" t="s">
        <v>1737</v>
      </c>
      <c r="BC310" s="100">
        <f t="shared" si="363"/>
        <v>0</v>
      </c>
      <c r="BD310" s="100">
        <f t="shared" si="364"/>
        <v>0</v>
      </c>
      <c r="BE310" s="100">
        <v>0</v>
      </c>
      <c r="BF310" s="100">
        <f>310</f>
        <v>310</v>
      </c>
      <c r="BH310" s="108">
        <f t="shared" si="365"/>
        <v>0</v>
      </c>
      <c r="BI310" s="108">
        <f t="shared" si="366"/>
        <v>0</v>
      </c>
      <c r="BJ310" s="108">
        <f t="shared" si="367"/>
        <v>0</v>
      </c>
    </row>
    <row r="311" spans="1:62" x14ac:dyDescent="0.2">
      <c r="A311" s="117" t="s">
        <v>271</v>
      </c>
      <c r="B311" s="117" t="s">
        <v>2039</v>
      </c>
      <c r="C311" s="304" t="s">
        <v>1360</v>
      </c>
      <c r="D311" s="305"/>
      <c r="E311" s="305"/>
      <c r="F311" s="117" t="s">
        <v>1644</v>
      </c>
      <c r="G311" s="116">
        <v>1</v>
      </c>
      <c r="H311" s="159"/>
      <c r="I311" s="108">
        <f t="shared" si="344"/>
        <v>0</v>
      </c>
      <c r="J311" s="108">
        <f t="shared" si="345"/>
        <v>0</v>
      </c>
      <c r="K311" s="108">
        <f t="shared" si="346"/>
        <v>0</v>
      </c>
      <c r="L311" s="111"/>
      <c r="Z311" s="100">
        <f t="shared" si="347"/>
        <v>0</v>
      </c>
      <c r="AB311" s="100">
        <f t="shared" si="348"/>
        <v>0</v>
      </c>
      <c r="AC311" s="100">
        <f t="shared" si="349"/>
        <v>0</v>
      </c>
      <c r="AD311" s="100">
        <f t="shared" si="350"/>
        <v>0</v>
      </c>
      <c r="AE311" s="100">
        <f t="shared" si="351"/>
        <v>0</v>
      </c>
      <c r="AF311" s="100">
        <f t="shared" si="352"/>
        <v>0</v>
      </c>
      <c r="AG311" s="100">
        <f t="shared" si="353"/>
        <v>0</v>
      </c>
      <c r="AH311" s="100">
        <f t="shared" si="354"/>
        <v>0</v>
      </c>
      <c r="AI311" s="109"/>
      <c r="AJ311" s="108">
        <f t="shared" si="355"/>
        <v>0</v>
      </c>
      <c r="AK311" s="108">
        <f t="shared" si="356"/>
        <v>0</v>
      </c>
      <c r="AL311" s="108">
        <f t="shared" si="357"/>
        <v>0</v>
      </c>
      <c r="AN311" s="100">
        <v>15</v>
      </c>
      <c r="AO311" s="100">
        <f t="shared" si="358"/>
        <v>0</v>
      </c>
      <c r="AP311" s="100">
        <f t="shared" si="359"/>
        <v>0</v>
      </c>
      <c r="AQ311" s="111" t="s">
        <v>13</v>
      </c>
      <c r="AV311" s="100">
        <f t="shared" si="360"/>
        <v>0</v>
      </c>
      <c r="AW311" s="100">
        <f t="shared" si="361"/>
        <v>0</v>
      </c>
      <c r="AX311" s="100">
        <f t="shared" si="362"/>
        <v>0</v>
      </c>
      <c r="AY311" s="110" t="s">
        <v>1710</v>
      </c>
      <c r="AZ311" s="110" t="s">
        <v>1733</v>
      </c>
      <c r="BA311" s="109" t="s">
        <v>1737</v>
      </c>
      <c r="BC311" s="100">
        <f t="shared" si="363"/>
        <v>0</v>
      </c>
      <c r="BD311" s="100">
        <f t="shared" si="364"/>
        <v>0</v>
      </c>
      <c r="BE311" s="100">
        <v>0</v>
      </c>
      <c r="BF311" s="100">
        <f>311</f>
        <v>311</v>
      </c>
      <c r="BH311" s="108">
        <f t="shared" si="365"/>
        <v>0</v>
      </c>
      <c r="BI311" s="108">
        <f t="shared" si="366"/>
        <v>0</v>
      </c>
      <c r="BJ311" s="108">
        <f t="shared" si="367"/>
        <v>0</v>
      </c>
    </row>
    <row r="312" spans="1:62" x14ac:dyDescent="0.2">
      <c r="A312" s="117" t="s">
        <v>272</v>
      </c>
      <c r="B312" s="117" t="s">
        <v>2038</v>
      </c>
      <c r="C312" s="304" t="s">
        <v>1361</v>
      </c>
      <c r="D312" s="305"/>
      <c r="E312" s="305"/>
      <c r="F312" s="117" t="s">
        <v>1644</v>
      </c>
      <c r="G312" s="116">
        <v>1</v>
      </c>
      <c r="H312" s="159"/>
      <c r="I312" s="108">
        <f t="shared" si="344"/>
        <v>0</v>
      </c>
      <c r="J312" s="108">
        <f t="shared" si="345"/>
        <v>0</v>
      </c>
      <c r="K312" s="108">
        <f t="shared" si="346"/>
        <v>0</v>
      </c>
      <c r="L312" s="111"/>
      <c r="Z312" s="100">
        <f t="shared" si="347"/>
        <v>0</v>
      </c>
      <c r="AB312" s="100">
        <f t="shared" si="348"/>
        <v>0</v>
      </c>
      <c r="AC312" s="100">
        <f t="shared" si="349"/>
        <v>0</v>
      </c>
      <c r="AD312" s="100">
        <f t="shared" si="350"/>
        <v>0</v>
      </c>
      <c r="AE312" s="100">
        <f t="shared" si="351"/>
        <v>0</v>
      </c>
      <c r="AF312" s="100">
        <f t="shared" si="352"/>
        <v>0</v>
      </c>
      <c r="AG312" s="100">
        <f t="shared" si="353"/>
        <v>0</v>
      </c>
      <c r="AH312" s="100">
        <f t="shared" si="354"/>
        <v>0</v>
      </c>
      <c r="AI312" s="109"/>
      <c r="AJ312" s="108">
        <f t="shared" si="355"/>
        <v>0</v>
      </c>
      <c r="AK312" s="108">
        <f t="shared" si="356"/>
        <v>0</v>
      </c>
      <c r="AL312" s="108">
        <f t="shared" si="357"/>
        <v>0</v>
      </c>
      <c r="AN312" s="100">
        <v>15</v>
      </c>
      <c r="AO312" s="100">
        <f t="shared" si="358"/>
        <v>0</v>
      </c>
      <c r="AP312" s="100">
        <f t="shared" si="359"/>
        <v>0</v>
      </c>
      <c r="AQ312" s="111" t="s">
        <v>13</v>
      </c>
      <c r="AV312" s="100">
        <f t="shared" si="360"/>
        <v>0</v>
      </c>
      <c r="AW312" s="100">
        <f t="shared" si="361"/>
        <v>0</v>
      </c>
      <c r="AX312" s="100">
        <f t="shared" si="362"/>
        <v>0</v>
      </c>
      <c r="AY312" s="110" t="s">
        <v>1710</v>
      </c>
      <c r="AZ312" s="110" t="s">
        <v>1733</v>
      </c>
      <c r="BA312" s="109" t="s">
        <v>1737</v>
      </c>
      <c r="BC312" s="100">
        <f t="shared" si="363"/>
        <v>0</v>
      </c>
      <c r="BD312" s="100">
        <f t="shared" si="364"/>
        <v>0</v>
      </c>
      <c r="BE312" s="100">
        <v>0</v>
      </c>
      <c r="BF312" s="100">
        <f>312</f>
        <v>312</v>
      </c>
      <c r="BH312" s="108">
        <f t="shared" si="365"/>
        <v>0</v>
      </c>
      <c r="BI312" s="108">
        <f t="shared" si="366"/>
        <v>0</v>
      </c>
      <c r="BJ312" s="108">
        <f t="shared" si="367"/>
        <v>0</v>
      </c>
    </row>
    <row r="313" spans="1:62" x14ac:dyDescent="0.2">
      <c r="A313" s="117" t="s">
        <v>273</v>
      </c>
      <c r="B313" s="117" t="s">
        <v>2037</v>
      </c>
      <c r="C313" s="304" t="s">
        <v>1362</v>
      </c>
      <c r="D313" s="305"/>
      <c r="E313" s="305"/>
      <c r="F313" s="117" t="s">
        <v>1644</v>
      </c>
      <c r="G313" s="116">
        <v>1</v>
      </c>
      <c r="H313" s="159"/>
      <c r="I313" s="108">
        <f t="shared" si="344"/>
        <v>0</v>
      </c>
      <c r="J313" s="108">
        <f t="shared" si="345"/>
        <v>0</v>
      </c>
      <c r="K313" s="108">
        <f t="shared" si="346"/>
        <v>0</v>
      </c>
      <c r="L313" s="111"/>
      <c r="Z313" s="100">
        <f t="shared" si="347"/>
        <v>0</v>
      </c>
      <c r="AB313" s="100">
        <f t="shared" si="348"/>
        <v>0</v>
      </c>
      <c r="AC313" s="100">
        <f t="shared" si="349"/>
        <v>0</v>
      </c>
      <c r="AD313" s="100">
        <f t="shared" si="350"/>
        <v>0</v>
      </c>
      <c r="AE313" s="100">
        <f t="shared" si="351"/>
        <v>0</v>
      </c>
      <c r="AF313" s="100">
        <f t="shared" si="352"/>
        <v>0</v>
      </c>
      <c r="AG313" s="100">
        <f t="shared" si="353"/>
        <v>0</v>
      </c>
      <c r="AH313" s="100">
        <f t="shared" si="354"/>
        <v>0</v>
      </c>
      <c r="AI313" s="109"/>
      <c r="AJ313" s="108">
        <f t="shared" si="355"/>
        <v>0</v>
      </c>
      <c r="AK313" s="108">
        <f t="shared" si="356"/>
        <v>0</v>
      </c>
      <c r="AL313" s="108">
        <f t="shared" si="357"/>
        <v>0</v>
      </c>
      <c r="AN313" s="100">
        <v>15</v>
      </c>
      <c r="AO313" s="100">
        <f t="shared" si="358"/>
        <v>0</v>
      </c>
      <c r="AP313" s="100">
        <f t="shared" si="359"/>
        <v>0</v>
      </c>
      <c r="AQ313" s="111" t="s">
        <v>13</v>
      </c>
      <c r="AV313" s="100">
        <f t="shared" si="360"/>
        <v>0</v>
      </c>
      <c r="AW313" s="100">
        <f t="shared" si="361"/>
        <v>0</v>
      </c>
      <c r="AX313" s="100">
        <f t="shared" si="362"/>
        <v>0</v>
      </c>
      <c r="AY313" s="110" t="s">
        <v>1710</v>
      </c>
      <c r="AZ313" s="110" t="s">
        <v>1733</v>
      </c>
      <c r="BA313" s="109" t="s">
        <v>1737</v>
      </c>
      <c r="BC313" s="100">
        <f t="shared" si="363"/>
        <v>0</v>
      </c>
      <c r="BD313" s="100">
        <f t="shared" si="364"/>
        <v>0</v>
      </c>
      <c r="BE313" s="100">
        <v>0</v>
      </c>
      <c r="BF313" s="100">
        <f>313</f>
        <v>313</v>
      </c>
      <c r="BH313" s="108">
        <f t="shared" si="365"/>
        <v>0</v>
      </c>
      <c r="BI313" s="108">
        <f t="shared" si="366"/>
        <v>0</v>
      </c>
      <c r="BJ313" s="108">
        <f t="shared" si="367"/>
        <v>0</v>
      </c>
    </row>
    <row r="314" spans="1:62" x14ac:dyDescent="0.2">
      <c r="A314" s="117" t="s">
        <v>274</v>
      </c>
      <c r="B314" s="117" t="s">
        <v>2036</v>
      </c>
      <c r="C314" s="304" t="s">
        <v>1363</v>
      </c>
      <c r="D314" s="305"/>
      <c r="E314" s="305"/>
      <c r="F314" s="117" t="s">
        <v>1644</v>
      </c>
      <c r="G314" s="116">
        <v>1</v>
      </c>
      <c r="H314" s="159"/>
      <c r="I314" s="108">
        <f t="shared" si="344"/>
        <v>0</v>
      </c>
      <c r="J314" s="108">
        <f t="shared" si="345"/>
        <v>0</v>
      </c>
      <c r="K314" s="108">
        <f t="shared" si="346"/>
        <v>0</v>
      </c>
      <c r="L314" s="111"/>
      <c r="Z314" s="100">
        <f t="shared" si="347"/>
        <v>0</v>
      </c>
      <c r="AB314" s="100">
        <f t="shared" si="348"/>
        <v>0</v>
      </c>
      <c r="AC314" s="100">
        <f t="shared" si="349"/>
        <v>0</v>
      </c>
      <c r="AD314" s="100">
        <f t="shared" si="350"/>
        <v>0</v>
      </c>
      <c r="AE314" s="100">
        <f t="shared" si="351"/>
        <v>0</v>
      </c>
      <c r="AF314" s="100">
        <f t="shared" si="352"/>
        <v>0</v>
      </c>
      <c r="AG314" s="100">
        <f t="shared" si="353"/>
        <v>0</v>
      </c>
      <c r="AH314" s="100">
        <f t="shared" si="354"/>
        <v>0</v>
      </c>
      <c r="AI314" s="109"/>
      <c r="AJ314" s="108">
        <f t="shared" si="355"/>
        <v>0</v>
      </c>
      <c r="AK314" s="108">
        <f t="shared" si="356"/>
        <v>0</v>
      </c>
      <c r="AL314" s="108">
        <f t="shared" si="357"/>
        <v>0</v>
      </c>
      <c r="AN314" s="100">
        <v>15</v>
      </c>
      <c r="AO314" s="100">
        <f t="shared" si="358"/>
        <v>0</v>
      </c>
      <c r="AP314" s="100">
        <f t="shared" si="359"/>
        <v>0</v>
      </c>
      <c r="AQ314" s="111" t="s">
        <v>13</v>
      </c>
      <c r="AV314" s="100">
        <f t="shared" si="360"/>
        <v>0</v>
      </c>
      <c r="AW314" s="100">
        <f t="shared" si="361"/>
        <v>0</v>
      </c>
      <c r="AX314" s="100">
        <f t="shared" si="362"/>
        <v>0</v>
      </c>
      <c r="AY314" s="110" t="s">
        <v>1710</v>
      </c>
      <c r="AZ314" s="110" t="s">
        <v>1733</v>
      </c>
      <c r="BA314" s="109" t="s">
        <v>1737</v>
      </c>
      <c r="BC314" s="100">
        <f t="shared" si="363"/>
        <v>0</v>
      </c>
      <c r="BD314" s="100">
        <f t="shared" si="364"/>
        <v>0</v>
      </c>
      <c r="BE314" s="100">
        <v>0</v>
      </c>
      <c r="BF314" s="100">
        <f>314</f>
        <v>314</v>
      </c>
      <c r="BH314" s="108">
        <f t="shared" si="365"/>
        <v>0</v>
      </c>
      <c r="BI314" s="108">
        <f t="shared" si="366"/>
        <v>0</v>
      </c>
      <c r="BJ314" s="108">
        <f t="shared" si="367"/>
        <v>0</v>
      </c>
    </row>
    <row r="315" spans="1:62" x14ac:dyDescent="0.2">
      <c r="A315" s="117" t="s">
        <v>275</v>
      </c>
      <c r="B315" s="117" t="s">
        <v>2035</v>
      </c>
      <c r="C315" s="304" t="s">
        <v>1364</v>
      </c>
      <c r="D315" s="305"/>
      <c r="E315" s="305"/>
      <c r="F315" s="117" t="s">
        <v>1644</v>
      </c>
      <c r="G315" s="116">
        <v>2</v>
      </c>
      <c r="H315" s="159"/>
      <c r="I315" s="108">
        <f t="shared" si="344"/>
        <v>0</v>
      </c>
      <c r="J315" s="108">
        <f t="shared" si="345"/>
        <v>0</v>
      </c>
      <c r="K315" s="108">
        <f t="shared" si="346"/>
        <v>0</v>
      </c>
      <c r="L315" s="111"/>
      <c r="Z315" s="100">
        <f t="shared" si="347"/>
        <v>0</v>
      </c>
      <c r="AB315" s="100">
        <f t="shared" si="348"/>
        <v>0</v>
      </c>
      <c r="AC315" s="100">
        <f t="shared" si="349"/>
        <v>0</v>
      </c>
      <c r="AD315" s="100">
        <f t="shared" si="350"/>
        <v>0</v>
      </c>
      <c r="AE315" s="100">
        <f t="shared" si="351"/>
        <v>0</v>
      </c>
      <c r="AF315" s="100">
        <f t="shared" si="352"/>
        <v>0</v>
      </c>
      <c r="AG315" s="100">
        <f t="shared" si="353"/>
        <v>0</v>
      </c>
      <c r="AH315" s="100">
        <f t="shared" si="354"/>
        <v>0</v>
      </c>
      <c r="AI315" s="109"/>
      <c r="AJ315" s="108">
        <f t="shared" si="355"/>
        <v>0</v>
      </c>
      <c r="AK315" s="108">
        <f t="shared" si="356"/>
        <v>0</v>
      </c>
      <c r="AL315" s="108">
        <f t="shared" si="357"/>
        <v>0</v>
      </c>
      <c r="AN315" s="100">
        <v>15</v>
      </c>
      <c r="AO315" s="100">
        <f t="shared" si="358"/>
        <v>0</v>
      </c>
      <c r="AP315" s="100">
        <f t="shared" si="359"/>
        <v>0</v>
      </c>
      <c r="AQ315" s="111" t="s">
        <v>13</v>
      </c>
      <c r="AV315" s="100">
        <f t="shared" si="360"/>
        <v>0</v>
      </c>
      <c r="AW315" s="100">
        <f t="shared" si="361"/>
        <v>0</v>
      </c>
      <c r="AX315" s="100">
        <f t="shared" si="362"/>
        <v>0</v>
      </c>
      <c r="AY315" s="110" t="s">
        <v>1710</v>
      </c>
      <c r="AZ315" s="110" t="s">
        <v>1733</v>
      </c>
      <c r="BA315" s="109" t="s">
        <v>1737</v>
      </c>
      <c r="BC315" s="100">
        <f t="shared" si="363"/>
        <v>0</v>
      </c>
      <c r="BD315" s="100">
        <f t="shared" si="364"/>
        <v>0</v>
      </c>
      <c r="BE315" s="100">
        <v>0</v>
      </c>
      <c r="BF315" s="100">
        <f>315</f>
        <v>315</v>
      </c>
      <c r="BH315" s="108">
        <f t="shared" si="365"/>
        <v>0</v>
      </c>
      <c r="BI315" s="108">
        <f t="shared" si="366"/>
        <v>0</v>
      </c>
      <c r="BJ315" s="108">
        <f t="shared" si="367"/>
        <v>0</v>
      </c>
    </row>
    <row r="316" spans="1:62" x14ac:dyDescent="0.2">
      <c r="A316" s="117" t="s">
        <v>276</v>
      </c>
      <c r="B316" s="117" t="s">
        <v>2034</v>
      </c>
      <c r="C316" s="304" t="s">
        <v>1365</v>
      </c>
      <c r="D316" s="305"/>
      <c r="E316" s="305"/>
      <c r="F316" s="117" t="s">
        <v>1644</v>
      </c>
      <c r="G316" s="116">
        <v>1</v>
      </c>
      <c r="H316" s="159"/>
      <c r="I316" s="108">
        <f t="shared" si="344"/>
        <v>0</v>
      </c>
      <c r="J316" s="108">
        <f t="shared" si="345"/>
        <v>0</v>
      </c>
      <c r="K316" s="108">
        <f t="shared" si="346"/>
        <v>0</v>
      </c>
      <c r="L316" s="111"/>
      <c r="Z316" s="100">
        <f t="shared" si="347"/>
        <v>0</v>
      </c>
      <c r="AB316" s="100">
        <f t="shared" si="348"/>
        <v>0</v>
      </c>
      <c r="AC316" s="100">
        <f t="shared" si="349"/>
        <v>0</v>
      </c>
      <c r="AD316" s="100">
        <f t="shared" si="350"/>
        <v>0</v>
      </c>
      <c r="AE316" s="100">
        <f t="shared" si="351"/>
        <v>0</v>
      </c>
      <c r="AF316" s="100">
        <f t="shared" si="352"/>
        <v>0</v>
      </c>
      <c r="AG316" s="100">
        <f t="shared" si="353"/>
        <v>0</v>
      </c>
      <c r="AH316" s="100">
        <f t="shared" si="354"/>
        <v>0</v>
      </c>
      <c r="AI316" s="109"/>
      <c r="AJ316" s="108">
        <f t="shared" si="355"/>
        <v>0</v>
      </c>
      <c r="AK316" s="108">
        <f t="shared" si="356"/>
        <v>0</v>
      </c>
      <c r="AL316" s="108">
        <f t="shared" si="357"/>
        <v>0</v>
      </c>
      <c r="AN316" s="100">
        <v>15</v>
      </c>
      <c r="AO316" s="100">
        <f t="shared" si="358"/>
        <v>0</v>
      </c>
      <c r="AP316" s="100">
        <f t="shared" si="359"/>
        <v>0</v>
      </c>
      <c r="AQ316" s="111" t="s">
        <v>13</v>
      </c>
      <c r="AV316" s="100">
        <f t="shared" si="360"/>
        <v>0</v>
      </c>
      <c r="AW316" s="100">
        <f t="shared" si="361"/>
        <v>0</v>
      </c>
      <c r="AX316" s="100">
        <f t="shared" si="362"/>
        <v>0</v>
      </c>
      <c r="AY316" s="110" t="s">
        <v>1710</v>
      </c>
      <c r="AZ316" s="110" t="s">
        <v>1733</v>
      </c>
      <c r="BA316" s="109" t="s">
        <v>1737</v>
      </c>
      <c r="BC316" s="100">
        <f t="shared" si="363"/>
        <v>0</v>
      </c>
      <c r="BD316" s="100">
        <f t="shared" si="364"/>
        <v>0</v>
      </c>
      <c r="BE316" s="100">
        <v>0</v>
      </c>
      <c r="BF316" s="100">
        <f>316</f>
        <v>316</v>
      </c>
      <c r="BH316" s="108">
        <f t="shared" si="365"/>
        <v>0</v>
      </c>
      <c r="BI316" s="108">
        <f t="shared" si="366"/>
        <v>0</v>
      </c>
      <c r="BJ316" s="108">
        <f t="shared" si="367"/>
        <v>0</v>
      </c>
    </row>
    <row r="317" spans="1:62" x14ac:dyDescent="0.2">
      <c r="A317" s="117" t="s">
        <v>277</v>
      </c>
      <c r="B317" s="117" t="s">
        <v>2033</v>
      </c>
      <c r="C317" s="304" t="s">
        <v>1366</v>
      </c>
      <c r="D317" s="305"/>
      <c r="E317" s="305"/>
      <c r="F317" s="117" t="s">
        <v>1644</v>
      </c>
      <c r="G317" s="116">
        <v>1</v>
      </c>
      <c r="H317" s="159"/>
      <c r="I317" s="108">
        <f t="shared" si="344"/>
        <v>0</v>
      </c>
      <c r="J317" s="108">
        <f t="shared" si="345"/>
        <v>0</v>
      </c>
      <c r="K317" s="108">
        <f t="shared" si="346"/>
        <v>0</v>
      </c>
      <c r="L317" s="111"/>
      <c r="Z317" s="100">
        <f t="shared" si="347"/>
        <v>0</v>
      </c>
      <c r="AB317" s="100">
        <f t="shared" si="348"/>
        <v>0</v>
      </c>
      <c r="AC317" s="100">
        <f t="shared" si="349"/>
        <v>0</v>
      </c>
      <c r="AD317" s="100">
        <f t="shared" si="350"/>
        <v>0</v>
      </c>
      <c r="AE317" s="100">
        <f t="shared" si="351"/>
        <v>0</v>
      </c>
      <c r="AF317" s="100">
        <f t="shared" si="352"/>
        <v>0</v>
      </c>
      <c r="AG317" s="100">
        <f t="shared" si="353"/>
        <v>0</v>
      </c>
      <c r="AH317" s="100">
        <f t="shared" si="354"/>
        <v>0</v>
      </c>
      <c r="AI317" s="109"/>
      <c r="AJ317" s="108">
        <f t="shared" si="355"/>
        <v>0</v>
      </c>
      <c r="AK317" s="108">
        <f t="shared" si="356"/>
        <v>0</v>
      </c>
      <c r="AL317" s="108">
        <f t="shared" si="357"/>
        <v>0</v>
      </c>
      <c r="AN317" s="100">
        <v>15</v>
      </c>
      <c r="AO317" s="100">
        <f t="shared" si="358"/>
        <v>0</v>
      </c>
      <c r="AP317" s="100">
        <f t="shared" si="359"/>
        <v>0</v>
      </c>
      <c r="AQ317" s="111" t="s">
        <v>13</v>
      </c>
      <c r="AV317" s="100">
        <f t="shared" si="360"/>
        <v>0</v>
      </c>
      <c r="AW317" s="100">
        <f t="shared" si="361"/>
        <v>0</v>
      </c>
      <c r="AX317" s="100">
        <f t="shared" si="362"/>
        <v>0</v>
      </c>
      <c r="AY317" s="110" t="s">
        <v>1710</v>
      </c>
      <c r="AZ317" s="110" t="s">
        <v>1733</v>
      </c>
      <c r="BA317" s="109" t="s">
        <v>1737</v>
      </c>
      <c r="BC317" s="100">
        <f t="shared" si="363"/>
        <v>0</v>
      </c>
      <c r="BD317" s="100">
        <f t="shared" si="364"/>
        <v>0</v>
      </c>
      <c r="BE317" s="100">
        <v>0</v>
      </c>
      <c r="BF317" s="100">
        <f>317</f>
        <v>317</v>
      </c>
      <c r="BH317" s="108">
        <f t="shared" si="365"/>
        <v>0</v>
      </c>
      <c r="BI317" s="108">
        <f t="shared" si="366"/>
        <v>0</v>
      </c>
      <c r="BJ317" s="108">
        <f t="shared" si="367"/>
        <v>0</v>
      </c>
    </row>
    <row r="318" spans="1:62" x14ac:dyDescent="0.2">
      <c r="A318" s="117" t="s">
        <v>278</v>
      </c>
      <c r="B318" s="117" t="s">
        <v>2032</v>
      </c>
      <c r="C318" s="304" t="s">
        <v>1367</v>
      </c>
      <c r="D318" s="305"/>
      <c r="E318" s="305"/>
      <c r="F318" s="117" t="s">
        <v>1644</v>
      </c>
      <c r="G318" s="116">
        <v>1</v>
      </c>
      <c r="H318" s="159"/>
      <c r="I318" s="108">
        <f t="shared" si="344"/>
        <v>0</v>
      </c>
      <c r="J318" s="108">
        <f t="shared" si="345"/>
        <v>0</v>
      </c>
      <c r="K318" s="108">
        <f t="shared" si="346"/>
        <v>0</v>
      </c>
      <c r="L318" s="111"/>
      <c r="Z318" s="100">
        <f t="shared" si="347"/>
        <v>0</v>
      </c>
      <c r="AB318" s="100">
        <f t="shared" si="348"/>
        <v>0</v>
      </c>
      <c r="AC318" s="100">
        <f t="shared" si="349"/>
        <v>0</v>
      </c>
      <c r="AD318" s="100">
        <f t="shared" si="350"/>
        <v>0</v>
      </c>
      <c r="AE318" s="100">
        <f t="shared" si="351"/>
        <v>0</v>
      </c>
      <c r="AF318" s="100">
        <f t="shared" si="352"/>
        <v>0</v>
      </c>
      <c r="AG318" s="100">
        <f t="shared" si="353"/>
        <v>0</v>
      </c>
      <c r="AH318" s="100">
        <f t="shared" si="354"/>
        <v>0</v>
      </c>
      <c r="AI318" s="109"/>
      <c r="AJ318" s="108">
        <f t="shared" si="355"/>
        <v>0</v>
      </c>
      <c r="AK318" s="108">
        <f t="shared" si="356"/>
        <v>0</v>
      </c>
      <c r="AL318" s="108">
        <f t="shared" si="357"/>
        <v>0</v>
      </c>
      <c r="AN318" s="100">
        <v>15</v>
      </c>
      <c r="AO318" s="100">
        <f t="shared" si="358"/>
        <v>0</v>
      </c>
      <c r="AP318" s="100">
        <f t="shared" si="359"/>
        <v>0</v>
      </c>
      <c r="AQ318" s="111" t="s">
        <v>13</v>
      </c>
      <c r="AV318" s="100">
        <f t="shared" si="360"/>
        <v>0</v>
      </c>
      <c r="AW318" s="100">
        <f t="shared" si="361"/>
        <v>0</v>
      </c>
      <c r="AX318" s="100">
        <f t="shared" si="362"/>
        <v>0</v>
      </c>
      <c r="AY318" s="110" t="s">
        <v>1710</v>
      </c>
      <c r="AZ318" s="110" t="s">
        <v>1733</v>
      </c>
      <c r="BA318" s="109" t="s">
        <v>1737</v>
      </c>
      <c r="BC318" s="100">
        <f t="shared" si="363"/>
        <v>0</v>
      </c>
      <c r="BD318" s="100">
        <f t="shared" si="364"/>
        <v>0</v>
      </c>
      <c r="BE318" s="100">
        <v>0</v>
      </c>
      <c r="BF318" s="100">
        <f>318</f>
        <v>318</v>
      </c>
      <c r="BH318" s="108">
        <f t="shared" si="365"/>
        <v>0</v>
      </c>
      <c r="BI318" s="108">
        <f t="shared" si="366"/>
        <v>0</v>
      </c>
      <c r="BJ318" s="108">
        <f t="shared" si="367"/>
        <v>0</v>
      </c>
    </row>
    <row r="319" spans="1:62" x14ac:dyDescent="0.2">
      <c r="A319" s="117" t="s">
        <v>279</v>
      </c>
      <c r="B319" s="117" t="s">
        <v>2031</v>
      </c>
      <c r="C319" s="304" t="s">
        <v>1368</v>
      </c>
      <c r="D319" s="305"/>
      <c r="E319" s="305"/>
      <c r="F319" s="117" t="s">
        <v>1644</v>
      </c>
      <c r="G319" s="116">
        <v>5</v>
      </c>
      <c r="H319" s="159"/>
      <c r="I319" s="108">
        <f t="shared" si="344"/>
        <v>0</v>
      </c>
      <c r="J319" s="108">
        <f t="shared" si="345"/>
        <v>0</v>
      </c>
      <c r="K319" s="108">
        <f t="shared" si="346"/>
        <v>0</v>
      </c>
      <c r="L319" s="111"/>
      <c r="Z319" s="100">
        <f t="shared" si="347"/>
        <v>0</v>
      </c>
      <c r="AB319" s="100">
        <f t="shared" si="348"/>
        <v>0</v>
      </c>
      <c r="AC319" s="100">
        <f t="shared" si="349"/>
        <v>0</v>
      </c>
      <c r="AD319" s="100">
        <f t="shared" si="350"/>
        <v>0</v>
      </c>
      <c r="AE319" s="100">
        <f t="shared" si="351"/>
        <v>0</v>
      </c>
      <c r="AF319" s="100">
        <f t="shared" si="352"/>
        <v>0</v>
      </c>
      <c r="AG319" s="100">
        <f t="shared" si="353"/>
        <v>0</v>
      </c>
      <c r="AH319" s="100">
        <f t="shared" si="354"/>
        <v>0</v>
      </c>
      <c r="AI319" s="109"/>
      <c r="AJ319" s="108">
        <f t="shared" si="355"/>
        <v>0</v>
      </c>
      <c r="AK319" s="108">
        <f t="shared" si="356"/>
        <v>0</v>
      </c>
      <c r="AL319" s="108">
        <f t="shared" si="357"/>
        <v>0</v>
      </c>
      <c r="AN319" s="100">
        <v>15</v>
      </c>
      <c r="AO319" s="100">
        <f t="shared" si="358"/>
        <v>0</v>
      </c>
      <c r="AP319" s="100">
        <f t="shared" si="359"/>
        <v>0</v>
      </c>
      <c r="AQ319" s="111" t="s">
        <v>13</v>
      </c>
      <c r="AV319" s="100">
        <f t="shared" si="360"/>
        <v>0</v>
      </c>
      <c r="AW319" s="100">
        <f t="shared" si="361"/>
        <v>0</v>
      </c>
      <c r="AX319" s="100">
        <f t="shared" si="362"/>
        <v>0</v>
      </c>
      <c r="AY319" s="110" t="s">
        <v>1710</v>
      </c>
      <c r="AZ319" s="110" t="s">
        <v>1733</v>
      </c>
      <c r="BA319" s="109" t="s">
        <v>1737</v>
      </c>
      <c r="BC319" s="100">
        <f t="shared" si="363"/>
        <v>0</v>
      </c>
      <c r="BD319" s="100">
        <f t="shared" si="364"/>
        <v>0</v>
      </c>
      <c r="BE319" s="100">
        <v>0</v>
      </c>
      <c r="BF319" s="100">
        <f>319</f>
        <v>319</v>
      </c>
      <c r="BH319" s="108">
        <f t="shared" si="365"/>
        <v>0</v>
      </c>
      <c r="BI319" s="108">
        <f t="shared" si="366"/>
        <v>0</v>
      </c>
      <c r="BJ319" s="108">
        <f t="shared" si="367"/>
        <v>0</v>
      </c>
    </row>
    <row r="320" spans="1:62" x14ac:dyDescent="0.2">
      <c r="A320" s="117" t="s">
        <v>280</v>
      </c>
      <c r="B320" s="117" t="s">
        <v>2030</v>
      </c>
      <c r="C320" s="304" t="s">
        <v>1369</v>
      </c>
      <c r="D320" s="305"/>
      <c r="E320" s="305"/>
      <c r="F320" s="117" t="s">
        <v>1644</v>
      </c>
      <c r="G320" s="116">
        <v>2</v>
      </c>
      <c r="H320" s="159"/>
      <c r="I320" s="108">
        <f t="shared" si="344"/>
        <v>0</v>
      </c>
      <c r="J320" s="108">
        <f t="shared" si="345"/>
        <v>0</v>
      </c>
      <c r="K320" s="108">
        <f t="shared" si="346"/>
        <v>0</v>
      </c>
      <c r="L320" s="111"/>
      <c r="Z320" s="100">
        <f t="shared" si="347"/>
        <v>0</v>
      </c>
      <c r="AB320" s="100">
        <f t="shared" si="348"/>
        <v>0</v>
      </c>
      <c r="AC320" s="100">
        <f t="shared" si="349"/>
        <v>0</v>
      </c>
      <c r="AD320" s="100">
        <f t="shared" si="350"/>
        <v>0</v>
      </c>
      <c r="AE320" s="100">
        <f t="shared" si="351"/>
        <v>0</v>
      </c>
      <c r="AF320" s="100">
        <f t="shared" si="352"/>
        <v>0</v>
      </c>
      <c r="AG320" s="100">
        <f t="shared" si="353"/>
        <v>0</v>
      </c>
      <c r="AH320" s="100">
        <f t="shared" si="354"/>
        <v>0</v>
      </c>
      <c r="AI320" s="109"/>
      <c r="AJ320" s="108">
        <f t="shared" si="355"/>
        <v>0</v>
      </c>
      <c r="AK320" s="108">
        <f t="shared" si="356"/>
        <v>0</v>
      </c>
      <c r="AL320" s="108">
        <f t="shared" si="357"/>
        <v>0</v>
      </c>
      <c r="AN320" s="100">
        <v>15</v>
      </c>
      <c r="AO320" s="100">
        <f t="shared" si="358"/>
        <v>0</v>
      </c>
      <c r="AP320" s="100">
        <f t="shared" si="359"/>
        <v>0</v>
      </c>
      <c r="AQ320" s="111" t="s">
        <v>13</v>
      </c>
      <c r="AV320" s="100">
        <f t="shared" si="360"/>
        <v>0</v>
      </c>
      <c r="AW320" s="100">
        <f t="shared" si="361"/>
        <v>0</v>
      </c>
      <c r="AX320" s="100">
        <f t="shared" si="362"/>
        <v>0</v>
      </c>
      <c r="AY320" s="110" t="s">
        <v>1710</v>
      </c>
      <c r="AZ320" s="110" t="s">
        <v>1733</v>
      </c>
      <c r="BA320" s="109" t="s">
        <v>1737</v>
      </c>
      <c r="BC320" s="100">
        <f t="shared" si="363"/>
        <v>0</v>
      </c>
      <c r="BD320" s="100">
        <f t="shared" si="364"/>
        <v>0</v>
      </c>
      <c r="BE320" s="100">
        <v>0</v>
      </c>
      <c r="BF320" s="100">
        <f>320</f>
        <v>320</v>
      </c>
      <c r="BH320" s="108">
        <f t="shared" si="365"/>
        <v>0</v>
      </c>
      <c r="BI320" s="108">
        <f t="shared" si="366"/>
        <v>0</v>
      </c>
      <c r="BJ320" s="108">
        <f t="shared" si="367"/>
        <v>0</v>
      </c>
    </row>
    <row r="321" spans="1:62" x14ac:dyDescent="0.2">
      <c r="A321" s="117" t="s">
        <v>281</v>
      </c>
      <c r="B321" s="117" t="s">
        <v>2029</v>
      </c>
      <c r="C321" s="304" t="s">
        <v>1326</v>
      </c>
      <c r="D321" s="305"/>
      <c r="E321" s="305"/>
      <c r="F321" s="117" t="s">
        <v>1644</v>
      </c>
      <c r="G321" s="116">
        <v>1</v>
      </c>
      <c r="H321" s="159"/>
      <c r="I321" s="108">
        <f t="shared" si="344"/>
        <v>0</v>
      </c>
      <c r="J321" s="108">
        <f t="shared" si="345"/>
        <v>0</v>
      </c>
      <c r="K321" s="108">
        <f t="shared" si="346"/>
        <v>0</v>
      </c>
      <c r="L321" s="111"/>
      <c r="Z321" s="100">
        <f t="shared" si="347"/>
        <v>0</v>
      </c>
      <c r="AB321" s="100">
        <f t="shared" si="348"/>
        <v>0</v>
      </c>
      <c r="AC321" s="100">
        <f t="shared" si="349"/>
        <v>0</v>
      </c>
      <c r="AD321" s="100">
        <f t="shared" si="350"/>
        <v>0</v>
      </c>
      <c r="AE321" s="100">
        <f t="shared" si="351"/>
        <v>0</v>
      </c>
      <c r="AF321" s="100">
        <f t="shared" si="352"/>
        <v>0</v>
      </c>
      <c r="AG321" s="100">
        <f t="shared" si="353"/>
        <v>0</v>
      </c>
      <c r="AH321" s="100">
        <f t="shared" si="354"/>
        <v>0</v>
      </c>
      <c r="AI321" s="109"/>
      <c r="AJ321" s="108">
        <f t="shared" si="355"/>
        <v>0</v>
      </c>
      <c r="AK321" s="108">
        <f t="shared" si="356"/>
        <v>0</v>
      </c>
      <c r="AL321" s="108">
        <f t="shared" si="357"/>
        <v>0</v>
      </c>
      <c r="AN321" s="100">
        <v>15</v>
      </c>
      <c r="AO321" s="100">
        <f t="shared" si="358"/>
        <v>0</v>
      </c>
      <c r="AP321" s="100">
        <f t="shared" si="359"/>
        <v>0</v>
      </c>
      <c r="AQ321" s="111" t="s">
        <v>13</v>
      </c>
      <c r="AV321" s="100">
        <f t="shared" si="360"/>
        <v>0</v>
      </c>
      <c r="AW321" s="100">
        <f t="shared" si="361"/>
        <v>0</v>
      </c>
      <c r="AX321" s="100">
        <f t="shared" si="362"/>
        <v>0</v>
      </c>
      <c r="AY321" s="110" t="s">
        <v>1710</v>
      </c>
      <c r="AZ321" s="110" t="s">
        <v>1733</v>
      </c>
      <c r="BA321" s="109" t="s">
        <v>1737</v>
      </c>
      <c r="BC321" s="100">
        <f t="shared" si="363"/>
        <v>0</v>
      </c>
      <c r="BD321" s="100">
        <f t="shared" si="364"/>
        <v>0</v>
      </c>
      <c r="BE321" s="100">
        <v>0</v>
      </c>
      <c r="BF321" s="100">
        <f>321</f>
        <v>321</v>
      </c>
      <c r="BH321" s="108">
        <f t="shared" si="365"/>
        <v>0</v>
      </c>
      <c r="BI321" s="108">
        <f t="shared" si="366"/>
        <v>0</v>
      </c>
      <c r="BJ321" s="108">
        <f t="shared" si="367"/>
        <v>0</v>
      </c>
    </row>
    <row r="322" spans="1:62" x14ac:dyDescent="0.2">
      <c r="A322" s="117" t="s">
        <v>282</v>
      </c>
      <c r="B322" s="117" t="s">
        <v>2028</v>
      </c>
      <c r="C322" s="304" t="s">
        <v>1327</v>
      </c>
      <c r="D322" s="305"/>
      <c r="E322" s="305"/>
      <c r="F322" s="117" t="s">
        <v>1644</v>
      </c>
      <c r="G322" s="116">
        <v>1</v>
      </c>
      <c r="H322" s="159"/>
      <c r="I322" s="108">
        <f t="shared" si="344"/>
        <v>0</v>
      </c>
      <c r="J322" s="108">
        <f t="shared" si="345"/>
        <v>0</v>
      </c>
      <c r="K322" s="108">
        <f t="shared" si="346"/>
        <v>0</v>
      </c>
      <c r="L322" s="111"/>
      <c r="Z322" s="100">
        <f t="shared" si="347"/>
        <v>0</v>
      </c>
      <c r="AB322" s="100">
        <f t="shared" si="348"/>
        <v>0</v>
      </c>
      <c r="AC322" s="100">
        <f t="shared" si="349"/>
        <v>0</v>
      </c>
      <c r="AD322" s="100">
        <f t="shared" si="350"/>
        <v>0</v>
      </c>
      <c r="AE322" s="100">
        <f t="shared" si="351"/>
        <v>0</v>
      </c>
      <c r="AF322" s="100">
        <f t="shared" si="352"/>
        <v>0</v>
      </c>
      <c r="AG322" s="100">
        <f t="shared" si="353"/>
        <v>0</v>
      </c>
      <c r="AH322" s="100">
        <f t="shared" si="354"/>
        <v>0</v>
      </c>
      <c r="AI322" s="109"/>
      <c r="AJ322" s="108">
        <f t="shared" si="355"/>
        <v>0</v>
      </c>
      <c r="AK322" s="108">
        <f t="shared" si="356"/>
        <v>0</v>
      </c>
      <c r="AL322" s="108">
        <f t="shared" si="357"/>
        <v>0</v>
      </c>
      <c r="AN322" s="100">
        <v>15</v>
      </c>
      <c r="AO322" s="100">
        <f t="shared" si="358"/>
        <v>0</v>
      </c>
      <c r="AP322" s="100">
        <f t="shared" si="359"/>
        <v>0</v>
      </c>
      <c r="AQ322" s="111" t="s">
        <v>13</v>
      </c>
      <c r="AV322" s="100">
        <f t="shared" si="360"/>
        <v>0</v>
      </c>
      <c r="AW322" s="100">
        <f t="shared" si="361"/>
        <v>0</v>
      </c>
      <c r="AX322" s="100">
        <f t="shared" si="362"/>
        <v>0</v>
      </c>
      <c r="AY322" s="110" t="s">
        <v>1710</v>
      </c>
      <c r="AZ322" s="110" t="s">
        <v>1733</v>
      </c>
      <c r="BA322" s="109" t="s">
        <v>1737</v>
      </c>
      <c r="BC322" s="100">
        <f t="shared" si="363"/>
        <v>0</v>
      </c>
      <c r="BD322" s="100">
        <f t="shared" si="364"/>
        <v>0</v>
      </c>
      <c r="BE322" s="100">
        <v>0</v>
      </c>
      <c r="BF322" s="100">
        <f>322</f>
        <v>322</v>
      </c>
      <c r="BH322" s="108">
        <f t="shared" si="365"/>
        <v>0</v>
      </c>
      <c r="BI322" s="108">
        <f t="shared" si="366"/>
        <v>0</v>
      </c>
      <c r="BJ322" s="108">
        <f t="shared" si="367"/>
        <v>0</v>
      </c>
    </row>
    <row r="323" spans="1:62" x14ac:dyDescent="0.2">
      <c r="A323" s="117" t="s">
        <v>283</v>
      </c>
      <c r="B323" s="117" t="s">
        <v>2027</v>
      </c>
      <c r="C323" s="304" t="s">
        <v>1372</v>
      </c>
      <c r="D323" s="305"/>
      <c r="E323" s="305"/>
      <c r="F323" s="117" t="s">
        <v>1646</v>
      </c>
      <c r="G323" s="116">
        <v>14</v>
      </c>
      <c r="H323" s="159"/>
      <c r="I323" s="108">
        <f t="shared" si="344"/>
        <v>0</v>
      </c>
      <c r="J323" s="108">
        <f t="shared" si="345"/>
        <v>0</v>
      </c>
      <c r="K323" s="108">
        <f t="shared" si="346"/>
        <v>0</v>
      </c>
      <c r="L323" s="111"/>
      <c r="Z323" s="100">
        <f t="shared" si="347"/>
        <v>0</v>
      </c>
      <c r="AB323" s="100">
        <f t="shared" si="348"/>
        <v>0</v>
      </c>
      <c r="AC323" s="100">
        <f t="shared" si="349"/>
        <v>0</v>
      </c>
      <c r="AD323" s="100">
        <f t="shared" si="350"/>
        <v>0</v>
      </c>
      <c r="AE323" s="100">
        <f t="shared" si="351"/>
        <v>0</v>
      </c>
      <c r="AF323" s="100">
        <f t="shared" si="352"/>
        <v>0</v>
      </c>
      <c r="AG323" s="100">
        <f t="shared" si="353"/>
        <v>0</v>
      </c>
      <c r="AH323" s="100">
        <f t="shared" si="354"/>
        <v>0</v>
      </c>
      <c r="AI323" s="109"/>
      <c r="AJ323" s="108">
        <f t="shared" si="355"/>
        <v>0</v>
      </c>
      <c r="AK323" s="108">
        <f t="shared" si="356"/>
        <v>0</v>
      </c>
      <c r="AL323" s="108">
        <f t="shared" si="357"/>
        <v>0</v>
      </c>
      <c r="AN323" s="100">
        <v>15</v>
      </c>
      <c r="AO323" s="100">
        <f t="shared" si="358"/>
        <v>0</v>
      </c>
      <c r="AP323" s="100">
        <f t="shared" si="359"/>
        <v>0</v>
      </c>
      <c r="AQ323" s="111" t="s">
        <v>13</v>
      </c>
      <c r="AV323" s="100">
        <f t="shared" si="360"/>
        <v>0</v>
      </c>
      <c r="AW323" s="100">
        <f t="shared" si="361"/>
        <v>0</v>
      </c>
      <c r="AX323" s="100">
        <f t="shared" si="362"/>
        <v>0</v>
      </c>
      <c r="AY323" s="110" t="s">
        <v>1710</v>
      </c>
      <c r="AZ323" s="110" t="s">
        <v>1733</v>
      </c>
      <c r="BA323" s="109" t="s">
        <v>1737</v>
      </c>
      <c r="BC323" s="100">
        <f t="shared" si="363"/>
        <v>0</v>
      </c>
      <c r="BD323" s="100">
        <f t="shared" si="364"/>
        <v>0</v>
      </c>
      <c r="BE323" s="100">
        <v>0</v>
      </c>
      <c r="BF323" s="100">
        <f>323</f>
        <v>323</v>
      </c>
      <c r="BH323" s="108">
        <f t="shared" si="365"/>
        <v>0</v>
      </c>
      <c r="BI323" s="108">
        <f t="shared" si="366"/>
        <v>0</v>
      </c>
      <c r="BJ323" s="108">
        <f t="shared" si="367"/>
        <v>0</v>
      </c>
    </row>
    <row r="324" spans="1:62" x14ac:dyDescent="0.2">
      <c r="A324" s="117" t="s">
        <v>284</v>
      </c>
      <c r="B324" s="117" t="s">
        <v>2026</v>
      </c>
      <c r="C324" s="304" t="s">
        <v>1373</v>
      </c>
      <c r="D324" s="305"/>
      <c r="E324" s="305"/>
      <c r="F324" s="117" t="s">
        <v>1646</v>
      </c>
      <c r="G324" s="116">
        <v>8</v>
      </c>
      <c r="H324" s="159"/>
      <c r="I324" s="108">
        <f t="shared" si="344"/>
        <v>0</v>
      </c>
      <c r="J324" s="108">
        <f t="shared" si="345"/>
        <v>0</v>
      </c>
      <c r="K324" s="108">
        <f t="shared" si="346"/>
        <v>0</v>
      </c>
      <c r="L324" s="111"/>
      <c r="Z324" s="100">
        <f t="shared" si="347"/>
        <v>0</v>
      </c>
      <c r="AB324" s="100">
        <f t="shared" si="348"/>
        <v>0</v>
      </c>
      <c r="AC324" s="100">
        <f t="shared" si="349"/>
        <v>0</v>
      </c>
      <c r="AD324" s="100">
        <f t="shared" si="350"/>
        <v>0</v>
      </c>
      <c r="AE324" s="100">
        <f t="shared" si="351"/>
        <v>0</v>
      </c>
      <c r="AF324" s="100">
        <f t="shared" si="352"/>
        <v>0</v>
      </c>
      <c r="AG324" s="100">
        <f t="shared" si="353"/>
        <v>0</v>
      </c>
      <c r="AH324" s="100">
        <f t="shared" si="354"/>
        <v>0</v>
      </c>
      <c r="AI324" s="109"/>
      <c r="AJ324" s="108">
        <f t="shared" si="355"/>
        <v>0</v>
      </c>
      <c r="AK324" s="108">
        <f t="shared" si="356"/>
        <v>0</v>
      </c>
      <c r="AL324" s="108">
        <f t="shared" si="357"/>
        <v>0</v>
      </c>
      <c r="AN324" s="100">
        <v>15</v>
      </c>
      <c r="AO324" s="100">
        <f t="shared" si="358"/>
        <v>0</v>
      </c>
      <c r="AP324" s="100">
        <f t="shared" si="359"/>
        <v>0</v>
      </c>
      <c r="AQ324" s="111" t="s">
        <v>13</v>
      </c>
      <c r="AV324" s="100">
        <f t="shared" si="360"/>
        <v>0</v>
      </c>
      <c r="AW324" s="100">
        <f t="shared" si="361"/>
        <v>0</v>
      </c>
      <c r="AX324" s="100">
        <f t="shared" si="362"/>
        <v>0</v>
      </c>
      <c r="AY324" s="110" t="s">
        <v>1710</v>
      </c>
      <c r="AZ324" s="110" t="s">
        <v>1733</v>
      </c>
      <c r="BA324" s="109" t="s">
        <v>1737</v>
      </c>
      <c r="BC324" s="100">
        <f t="shared" si="363"/>
        <v>0</v>
      </c>
      <c r="BD324" s="100">
        <f t="shared" si="364"/>
        <v>0</v>
      </c>
      <c r="BE324" s="100">
        <v>0</v>
      </c>
      <c r="BF324" s="100">
        <f>324</f>
        <v>324</v>
      </c>
      <c r="BH324" s="108">
        <f t="shared" si="365"/>
        <v>0</v>
      </c>
      <c r="BI324" s="108">
        <f t="shared" si="366"/>
        <v>0</v>
      </c>
      <c r="BJ324" s="108">
        <f t="shared" si="367"/>
        <v>0</v>
      </c>
    </row>
    <row r="325" spans="1:62" x14ac:dyDescent="0.2">
      <c r="A325" s="117" t="s">
        <v>285</v>
      </c>
      <c r="B325" s="117" t="s">
        <v>2025</v>
      </c>
      <c r="C325" s="304" t="s">
        <v>1374</v>
      </c>
      <c r="D325" s="305"/>
      <c r="E325" s="305"/>
      <c r="F325" s="117" t="s">
        <v>1646</v>
      </c>
      <c r="G325" s="116">
        <v>6</v>
      </c>
      <c r="H325" s="159"/>
      <c r="I325" s="108">
        <f t="shared" si="344"/>
        <v>0</v>
      </c>
      <c r="J325" s="108">
        <f t="shared" si="345"/>
        <v>0</v>
      </c>
      <c r="K325" s="108">
        <f t="shared" si="346"/>
        <v>0</v>
      </c>
      <c r="L325" s="111"/>
      <c r="Z325" s="100">
        <f t="shared" si="347"/>
        <v>0</v>
      </c>
      <c r="AB325" s="100">
        <f t="shared" si="348"/>
        <v>0</v>
      </c>
      <c r="AC325" s="100">
        <f t="shared" si="349"/>
        <v>0</v>
      </c>
      <c r="AD325" s="100">
        <f t="shared" si="350"/>
        <v>0</v>
      </c>
      <c r="AE325" s="100">
        <f t="shared" si="351"/>
        <v>0</v>
      </c>
      <c r="AF325" s="100">
        <f t="shared" si="352"/>
        <v>0</v>
      </c>
      <c r="AG325" s="100">
        <f t="shared" si="353"/>
        <v>0</v>
      </c>
      <c r="AH325" s="100">
        <f t="shared" si="354"/>
        <v>0</v>
      </c>
      <c r="AI325" s="109"/>
      <c r="AJ325" s="108">
        <f t="shared" si="355"/>
        <v>0</v>
      </c>
      <c r="AK325" s="108">
        <f t="shared" si="356"/>
        <v>0</v>
      </c>
      <c r="AL325" s="108">
        <f t="shared" si="357"/>
        <v>0</v>
      </c>
      <c r="AN325" s="100">
        <v>15</v>
      </c>
      <c r="AO325" s="100">
        <f t="shared" si="358"/>
        <v>0</v>
      </c>
      <c r="AP325" s="100">
        <f t="shared" si="359"/>
        <v>0</v>
      </c>
      <c r="AQ325" s="111" t="s">
        <v>13</v>
      </c>
      <c r="AV325" s="100">
        <f t="shared" si="360"/>
        <v>0</v>
      </c>
      <c r="AW325" s="100">
        <f t="shared" si="361"/>
        <v>0</v>
      </c>
      <c r="AX325" s="100">
        <f t="shared" si="362"/>
        <v>0</v>
      </c>
      <c r="AY325" s="110" t="s">
        <v>1710</v>
      </c>
      <c r="AZ325" s="110" t="s">
        <v>1733</v>
      </c>
      <c r="BA325" s="109" t="s">
        <v>1737</v>
      </c>
      <c r="BC325" s="100">
        <f t="shared" si="363"/>
        <v>0</v>
      </c>
      <c r="BD325" s="100">
        <f t="shared" si="364"/>
        <v>0</v>
      </c>
      <c r="BE325" s="100">
        <v>0</v>
      </c>
      <c r="BF325" s="100">
        <f>325</f>
        <v>325</v>
      </c>
      <c r="BH325" s="108">
        <f t="shared" si="365"/>
        <v>0</v>
      </c>
      <c r="BI325" s="108">
        <f t="shared" si="366"/>
        <v>0</v>
      </c>
      <c r="BJ325" s="108">
        <f t="shared" si="367"/>
        <v>0</v>
      </c>
    </row>
    <row r="326" spans="1:62" x14ac:dyDescent="0.2">
      <c r="A326" s="117" t="s">
        <v>286</v>
      </c>
      <c r="B326" s="117" t="s">
        <v>2024</v>
      </c>
      <c r="C326" s="304" t="s">
        <v>1375</v>
      </c>
      <c r="D326" s="305"/>
      <c r="E326" s="305"/>
      <c r="F326" s="117" t="s">
        <v>1646</v>
      </c>
      <c r="G326" s="116">
        <v>6</v>
      </c>
      <c r="H326" s="159"/>
      <c r="I326" s="108">
        <f t="shared" si="344"/>
        <v>0</v>
      </c>
      <c r="J326" s="108">
        <f t="shared" si="345"/>
        <v>0</v>
      </c>
      <c r="K326" s="108">
        <f t="shared" si="346"/>
        <v>0</v>
      </c>
      <c r="L326" s="111"/>
      <c r="Z326" s="100">
        <f t="shared" si="347"/>
        <v>0</v>
      </c>
      <c r="AB326" s="100">
        <f t="shared" si="348"/>
        <v>0</v>
      </c>
      <c r="AC326" s="100">
        <f t="shared" si="349"/>
        <v>0</v>
      </c>
      <c r="AD326" s="100">
        <f t="shared" si="350"/>
        <v>0</v>
      </c>
      <c r="AE326" s="100">
        <f t="shared" si="351"/>
        <v>0</v>
      </c>
      <c r="AF326" s="100">
        <f t="shared" si="352"/>
        <v>0</v>
      </c>
      <c r="AG326" s="100">
        <f t="shared" si="353"/>
        <v>0</v>
      </c>
      <c r="AH326" s="100">
        <f t="shared" si="354"/>
        <v>0</v>
      </c>
      <c r="AI326" s="109"/>
      <c r="AJ326" s="108">
        <f t="shared" si="355"/>
        <v>0</v>
      </c>
      <c r="AK326" s="108">
        <f t="shared" si="356"/>
        <v>0</v>
      </c>
      <c r="AL326" s="108">
        <f t="shared" si="357"/>
        <v>0</v>
      </c>
      <c r="AN326" s="100">
        <v>15</v>
      </c>
      <c r="AO326" s="100">
        <f t="shared" si="358"/>
        <v>0</v>
      </c>
      <c r="AP326" s="100">
        <f t="shared" si="359"/>
        <v>0</v>
      </c>
      <c r="AQ326" s="111" t="s">
        <v>13</v>
      </c>
      <c r="AV326" s="100">
        <f t="shared" si="360"/>
        <v>0</v>
      </c>
      <c r="AW326" s="100">
        <f t="shared" si="361"/>
        <v>0</v>
      </c>
      <c r="AX326" s="100">
        <f t="shared" si="362"/>
        <v>0</v>
      </c>
      <c r="AY326" s="110" t="s">
        <v>1710</v>
      </c>
      <c r="AZ326" s="110" t="s">
        <v>1733</v>
      </c>
      <c r="BA326" s="109" t="s">
        <v>1737</v>
      </c>
      <c r="BC326" s="100">
        <f t="shared" si="363"/>
        <v>0</v>
      </c>
      <c r="BD326" s="100">
        <f t="shared" si="364"/>
        <v>0</v>
      </c>
      <c r="BE326" s="100">
        <v>0</v>
      </c>
      <c r="BF326" s="100">
        <f>326</f>
        <v>326</v>
      </c>
      <c r="BH326" s="108">
        <f t="shared" si="365"/>
        <v>0</v>
      </c>
      <c r="BI326" s="108">
        <f t="shared" si="366"/>
        <v>0</v>
      </c>
      <c r="BJ326" s="108">
        <f t="shared" si="367"/>
        <v>0</v>
      </c>
    </row>
    <row r="327" spans="1:62" x14ac:dyDescent="0.2">
      <c r="A327" s="117" t="s">
        <v>287</v>
      </c>
      <c r="B327" s="117" t="s">
        <v>2023</v>
      </c>
      <c r="C327" s="304" t="s">
        <v>1376</v>
      </c>
      <c r="D327" s="305"/>
      <c r="E327" s="305"/>
      <c r="F327" s="117" t="s">
        <v>1646</v>
      </c>
      <c r="G327" s="116">
        <v>8</v>
      </c>
      <c r="H327" s="159"/>
      <c r="I327" s="108">
        <f t="shared" si="344"/>
        <v>0</v>
      </c>
      <c r="J327" s="108">
        <f t="shared" si="345"/>
        <v>0</v>
      </c>
      <c r="K327" s="108">
        <f t="shared" si="346"/>
        <v>0</v>
      </c>
      <c r="L327" s="111"/>
      <c r="Z327" s="100">
        <f t="shared" si="347"/>
        <v>0</v>
      </c>
      <c r="AB327" s="100">
        <f t="shared" si="348"/>
        <v>0</v>
      </c>
      <c r="AC327" s="100">
        <f t="shared" si="349"/>
        <v>0</v>
      </c>
      <c r="AD327" s="100">
        <f t="shared" si="350"/>
        <v>0</v>
      </c>
      <c r="AE327" s="100">
        <f t="shared" si="351"/>
        <v>0</v>
      </c>
      <c r="AF327" s="100">
        <f t="shared" si="352"/>
        <v>0</v>
      </c>
      <c r="AG327" s="100">
        <f t="shared" si="353"/>
        <v>0</v>
      </c>
      <c r="AH327" s="100">
        <f t="shared" si="354"/>
        <v>0</v>
      </c>
      <c r="AI327" s="109"/>
      <c r="AJ327" s="108">
        <f t="shared" si="355"/>
        <v>0</v>
      </c>
      <c r="AK327" s="108">
        <f t="shared" si="356"/>
        <v>0</v>
      </c>
      <c r="AL327" s="108">
        <f t="shared" si="357"/>
        <v>0</v>
      </c>
      <c r="AN327" s="100">
        <v>15</v>
      </c>
      <c r="AO327" s="100">
        <f t="shared" si="358"/>
        <v>0</v>
      </c>
      <c r="AP327" s="100">
        <f t="shared" si="359"/>
        <v>0</v>
      </c>
      <c r="AQ327" s="111" t="s">
        <v>13</v>
      </c>
      <c r="AV327" s="100">
        <f t="shared" si="360"/>
        <v>0</v>
      </c>
      <c r="AW327" s="100">
        <f t="shared" si="361"/>
        <v>0</v>
      </c>
      <c r="AX327" s="100">
        <f t="shared" si="362"/>
        <v>0</v>
      </c>
      <c r="AY327" s="110" t="s">
        <v>1710</v>
      </c>
      <c r="AZ327" s="110" t="s">
        <v>1733</v>
      </c>
      <c r="BA327" s="109" t="s">
        <v>1737</v>
      </c>
      <c r="BC327" s="100">
        <f t="shared" si="363"/>
        <v>0</v>
      </c>
      <c r="BD327" s="100">
        <f t="shared" si="364"/>
        <v>0</v>
      </c>
      <c r="BE327" s="100">
        <v>0</v>
      </c>
      <c r="BF327" s="100">
        <f>327</f>
        <v>327</v>
      </c>
      <c r="BH327" s="108">
        <f t="shared" si="365"/>
        <v>0</v>
      </c>
      <c r="BI327" s="108">
        <f t="shared" si="366"/>
        <v>0</v>
      </c>
      <c r="BJ327" s="108">
        <f t="shared" si="367"/>
        <v>0</v>
      </c>
    </row>
    <row r="328" spans="1:62" x14ac:dyDescent="0.2">
      <c r="A328" s="117" t="s">
        <v>288</v>
      </c>
      <c r="B328" s="117" t="s">
        <v>2022</v>
      </c>
      <c r="C328" s="304" t="s">
        <v>1377</v>
      </c>
      <c r="D328" s="305"/>
      <c r="E328" s="305"/>
      <c r="F328" s="117" t="s">
        <v>1646</v>
      </c>
      <c r="G328" s="116">
        <v>20</v>
      </c>
      <c r="H328" s="159"/>
      <c r="I328" s="108">
        <f t="shared" si="344"/>
        <v>0</v>
      </c>
      <c r="J328" s="108">
        <f t="shared" si="345"/>
        <v>0</v>
      </c>
      <c r="K328" s="108">
        <f t="shared" si="346"/>
        <v>0</v>
      </c>
      <c r="L328" s="111"/>
      <c r="Z328" s="100">
        <f t="shared" si="347"/>
        <v>0</v>
      </c>
      <c r="AB328" s="100">
        <f t="shared" si="348"/>
        <v>0</v>
      </c>
      <c r="AC328" s="100">
        <f t="shared" si="349"/>
        <v>0</v>
      </c>
      <c r="AD328" s="100">
        <f t="shared" si="350"/>
        <v>0</v>
      </c>
      <c r="AE328" s="100">
        <f t="shared" si="351"/>
        <v>0</v>
      </c>
      <c r="AF328" s="100">
        <f t="shared" si="352"/>
        <v>0</v>
      </c>
      <c r="AG328" s="100">
        <f t="shared" si="353"/>
        <v>0</v>
      </c>
      <c r="AH328" s="100">
        <f t="shared" si="354"/>
        <v>0</v>
      </c>
      <c r="AI328" s="109"/>
      <c r="AJ328" s="108">
        <f t="shared" si="355"/>
        <v>0</v>
      </c>
      <c r="AK328" s="108">
        <f t="shared" si="356"/>
        <v>0</v>
      </c>
      <c r="AL328" s="108">
        <f t="shared" si="357"/>
        <v>0</v>
      </c>
      <c r="AN328" s="100">
        <v>15</v>
      </c>
      <c r="AO328" s="100">
        <f t="shared" si="358"/>
        <v>0</v>
      </c>
      <c r="AP328" s="100">
        <f t="shared" si="359"/>
        <v>0</v>
      </c>
      <c r="AQ328" s="111" t="s">
        <v>13</v>
      </c>
      <c r="AV328" s="100">
        <f t="shared" si="360"/>
        <v>0</v>
      </c>
      <c r="AW328" s="100">
        <f t="shared" si="361"/>
        <v>0</v>
      </c>
      <c r="AX328" s="100">
        <f t="shared" si="362"/>
        <v>0</v>
      </c>
      <c r="AY328" s="110" t="s">
        <v>1710</v>
      </c>
      <c r="AZ328" s="110" t="s">
        <v>1733</v>
      </c>
      <c r="BA328" s="109" t="s">
        <v>1737</v>
      </c>
      <c r="BC328" s="100">
        <f t="shared" si="363"/>
        <v>0</v>
      </c>
      <c r="BD328" s="100">
        <f t="shared" si="364"/>
        <v>0</v>
      </c>
      <c r="BE328" s="100">
        <v>0</v>
      </c>
      <c r="BF328" s="100">
        <f>328</f>
        <v>328</v>
      </c>
      <c r="BH328" s="108">
        <f t="shared" si="365"/>
        <v>0</v>
      </c>
      <c r="BI328" s="108">
        <f t="shared" si="366"/>
        <v>0</v>
      </c>
      <c r="BJ328" s="108">
        <f t="shared" si="367"/>
        <v>0</v>
      </c>
    </row>
    <row r="329" spans="1:62" x14ac:dyDescent="0.2">
      <c r="A329" s="117" t="s">
        <v>289</v>
      </c>
      <c r="B329" s="117" t="s">
        <v>2021</v>
      </c>
      <c r="C329" s="304" t="s">
        <v>1378</v>
      </c>
      <c r="D329" s="305"/>
      <c r="E329" s="305"/>
      <c r="F329" s="117" t="s">
        <v>1646</v>
      </c>
      <c r="G329" s="116">
        <v>6</v>
      </c>
      <c r="H329" s="159"/>
      <c r="I329" s="108">
        <f t="shared" si="344"/>
        <v>0</v>
      </c>
      <c r="J329" s="108">
        <f t="shared" si="345"/>
        <v>0</v>
      </c>
      <c r="K329" s="108">
        <f t="shared" si="346"/>
        <v>0</v>
      </c>
      <c r="L329" s="111"/>
      <c r="Z329" s="100">
        <f t="shared" si="347"/>
        <v>0</v>
      </c>
      <c r="AB329" s="100">
        <f t="shared" si="348"/>
        <v>0</v>
      </c>
      <c r="AC329" s="100">
        <f t="shared" si="349"/>
        <v>0</v>
      </c>
      <c r="AD329" s="100">
        <f t="shared" si="350"/>
        <v>0</v>
      </c>
      <c r="AE329" s="100">
        <f t="shared" si="351"/>
        <v>0</v>
      </c>
      <c r="AF329" s="100">
        <f t="shared" si="352"/>
        <v>0</v>
      </c>
      <c r="AG329" s="100">
        <f t="shared" si="353"/>
        <v>0</v>
      </c>
      <c r="AH329" s="100">
        <f t="shared" si="354"/>
        <v>0</v>
      </c>
      <c r="AI329" s="109"/>
      <c r="AJ329" s="108">
        <f t="shared" si="355"/>
        <v>0</v>
      </c>
      <c r="AK329" s="108">
        <f t="shared" si="356"/>
        <v>0</v>
      </c>
      <c r="AL329" s="108">
        <f t="shared" si="357"/>
        <v>0</v>
      </c>
      <c r="AN329" s="100">
        <v>15</v>
      </c>
      <c r="AO329" s="100">
        <f t="shared" si="358"/>
        <v>0</v>
      </c>
      <c r="AP329" s="100">
        <f t="shared" si="359"/>
        <v>0</v>
      </c>
      <c r="AQ329" s="111" t="s">
        <v>13</v>
      </c>
      <c r="AV329" s="100">
        <f t="shared" si="360"/>
        <v>0</v>
      </c>
      <c r="AW329" s="100">
        <f t="shared" si="361"/>
        <v>0</v>
      </c>
      <c r="AX329" s="100">
        <f t="shared" si="362"/>
        <v>0</v>
      </c>
      <c r="AY329" s="110" t="s">
        <v>1710</v>
      </c>
      <c r="AZ329" s="110" t="s">
        <v>1733</v>
      </c>
      <c r="BA329" s="109" t="s">
        <v>1737</v>
      </c>
      <c r="BC329" s="100">
        <f t="shared" si="363"/>
        <v>0</v>
      </c>
      <c r="BD329" s="100">
        <f t="shared" si="364"/>
        <v>0</v>
      </c>
      <c r="BE329" s="100">
        <v>0</v>
      </c>
      <c r="BF329" s="100">
        <f>329</f>
        <v>329</v>
      </c>
      <c r="BH329" s="108">
        <f t="shared" si="365"/>
        <v>0</v>
      </c>
      <c r="BI329" s="108">
        <f t="shared" si="366"/>
        <v>0</v>
      </c>
      <c r="BJ329" s="108">
        <f t="shared" si="367"/>
        <v>0</v>
      </c>
    </row>
    <row r="330" spans="1:62" x14ac:dyDescent="0.2">
      <c r="A330" s="119"/>
      <c r="B330" s="120" t="s">
        <v>798</v>
      </c>
      <c r="C330" s="306" t="s">
        <v>1379</v>
      </c>
      <c r="D330" s="307"/>
      <c r="E330" s="307"/>
      <c r="F330" s="119" t="s">
        <v>6</v>
      </c>
      <c r="G330" s="119" t="s">
        <v>6</v>
      </c>
      <c r="H330" s="119" t="s">
        <v>6</v>
      </c>
      <c r="I330" s="118">
        <f>SUM(I331:I353)</f>
        <v>0</v>
      </c>
      <c r="J330" s="118">
        <f>SUM(J331:J353)</f>
        <v>0</v>
      </c>
      <c r="K330" s="118">
        <f>SUM(K331:K353)</f>
        <v>0</v>
      </c>
      <c r="L330" s="109"/>
      <c r="AI330" s="109"/>
      <c r="AS330" s="118">
        <f>SUM(AJ331:AJ353)</f>
        <v>0</v>
      </c>
      <c r="AT330" s="118">
        <f>SUM(AK331:AK353)</f>
        <v>0</v>
      </c>
      <c r="AU330" s="118">
        <f>SUM(AL331:AL353)</f>
        <v>0</v>
      </c>
    </row>
    <row r="331" spans="1:62" x14ac:dyDescent="0.2">
      <c r="A331" s="117" t="s">
        <v>290</v>
      </c>
      <c r="B331" s="117" t="s">
        <v>2020</v>
      </c>
      <c r="C331" s="304" t="s">
        <v>1380</v>
      </c>
      <c r="D331" s="305"/>
      <c r="E331" s="305"/>
      <c r="F331" s="117" t="s">
        <v>1646</v>
      </c>
      <c r="G331" s="116">
        <v>1.5</v>
      </c>
      <c r="H331" s="159"/>
      <c r="I331" s="108">
        <f t="shared" ref="I331:I353" si="368">G331*AO331</f>
        <v>0</v>
      </c>
      <c r="J331" s="108">
        <f t="shared" ref="J331:J353" si="369">G331*AP331</f>
        <v>0</v>
      </c>
      <c r="K331" s="108">
        <f t="shared" ref="K331:K353" si="370">G331*H331</f>
        <v>0</v>
      </c>
      <c r="L331" s="111"/>
      <c r="Z331" s="100">
        <f t="shared" ref="Z331:Z353" si="371">IF(AQ331="5",BJ331,0)</f>
        <v>0</v>
      </c>
      <c r="AB331" s="100">
        <f t="shared" ref="AB331:AB353" si="372">IF(AQ331="1",BH331,0)</f>
        <v>0</v>
      </c>
      <c r="AC331" s="100">
        <f t="shared" ref="AC331:AC353" si="373">IF(AQ331="1",BI331,0)</f>
        <v>0</v>
      </c>
      <c r="AD331" s="100">
        <f t="shared" ref="AD331:AD353" si="374">IF(AQ331="7",BH331,0)</f>
        <v>0</v>
      </c>
      <c r="AE331" s="100">
        <f t="shared" ref="AE331:AE353" si="375">IF(AQ331="7",BI331,0)</f>
        <v>0</v>
      </c>
      <c r="AF331" s="100">
        <f t="shared" ref="AF331:AF353" si="376">IF(AQ331="2",BH331,0)</f>
        <v>0</v>
      </c>
      <c r="AG331" s="100">
        <f t="shared" ref="AG331:AG353" si="377">IF(AQ331="2",BI331,0)</f>
        <v>0</v>
      </c>
      <c r="AH331" s="100">
        <f t="shared" ref="AH331:AH353" si="378">IF(AQ331="0",BJ331,0)</f>
        <v>0</v>
      </c>
      <c r="AI331" s="109"/>
      <c r="AJ331" s="108">
        <f t="shared" ref="AJ331:AJ353" si="379">IF(AN331=0,K331,0)</f>
        <v>0</v>
      </c>
      <c r="AK331" s="108">
        <f t="shared" ref="AK331:AK353" si="380">IF(AN331=15,K331,0)</f>
        <v>0</v>
      </c>
      <c r="AL331" s="108">
        <f t="shared" ref="AL331:AL353" si="381">IF(AN331=21,K331,0)</f>
        <v>0</v>
      </c>
      <c r="AN331" s="100">
        <v>15</v>
      </c>
      <c r="AO331" s="100">
        <f t="shared" ref="AO331:AO353" si="382">H331*0</f>
        <v>0</v>
      </c>
      <c r="AP331" s="100">
        <f t="shared" ref="AP331:AP353" si="383">H331*(1-0)</f>
        <v>0</v>
      </c>
      <c r="AQ331" s="111" t="s">
        <v>13</v>
      </c>
      <c r="AV331" s="100">
        <f t="shared" ref="AV331:AV353" si="384">AW331+AX331</f>
        <v>0</v>
      </c>
      <c r="AW331" s="100">
        <f t="shared" ref="AW331:AW353" si="385">G331*AO331</f>
        <v>0</v>
      </c>
      <c r="AX331" s="100">
        <f t="shared" ref="AX331:AX353" si="386">G331*AP331</f>
        <v>0</v>
      </c>
      <c r="AY331" s="110" t="s">
        <v>1711</v>
      </c>
      <c r="AZ331" s="110" t="s">
        <v>1733</v>
      </c>
      <c r="BA331" s="109" t="s">
        <v>1737</v>
      </c>
      <c r="BC331" s="100">
        <f t="shared" ref="BC331:BC353" si="387">AW331+AX331</f>
        <v>0</v>
      </c>
      <c r="BD331" s="100">
        <f t="shared" ref="BD331:BD353" si="388">H331/(100-BE331)*100</f>
        <v>0</v>
      </c>
      <c r="BE331" s="100">
        <v>0</v>
      </c>
      <c r="BF331" s="100">
        <f>331</f>
        <v>331</v>
      </c>
      <c r="BH331" s="108">
        <f t="shared" ref="BH331:BH353" si="389">G331*AO331</f>
        <v>0</v>
      </c>
      <c r="BI331" s="108">
        <f t="shared" ref="BI331:BI353" si="390">G331*AP331</f>
        <v>0</v>
      </c>
      <c r="BJ331" s="108">
        <f t="shared" ref="BJ331:BJ353" si="391">G331*H331</f>
        <v>0</v>
      </c>
    </row>
    <row r="332" spans="1:62" x14ac:dyDescent="0.2">
      <c r="A332" s="117" t="s">
        <v>291</v>
      </c>
      <c r="B332" s="117" t="s">
        <v>2019</v>
      </c>
      <c r="C332" s="304" t="s">
        <v>1381</v>
      </c>
      <c r="D332" s="305"/>
      <c r="E332" s="305"/>
      <c r="F332" s="117" t="s">
        <v>1644</v>
      </c>
      <c r="G332" s="116">
        <v>1</v>
      </c>
      <c r="H332" s="159"/>
      <c r="I332" s="108">
        <f t="shared" si="368"/>
        <v>0</v>
      </c>
      <c r="J332" s="108">
        <f t="shared" si="369"/>
        <v>0</v>
      </c>
      <c r="K332" s="108">
        <f t="shared" si="370"/>
        <v>0</v>
      </c>
      <c r="L332" s="111"/>
      <c r="Z332" s="100">
        <f t="shared" si="371"/>
        <v>0</v>
      </c>
      <c r="AB332" s="100">
        <f t="shared" si="372"/>
        <v>0</v>
      </c>
      <c r="AC332" s="100">
        <f t="shared" si="373"/>
        <v>0</v>
      </c>
      <c r="AD332" s="100">
        <f t="shared" si="374"/>
        <v>0</v>
      </c>
      <c r="AE332" s="100">
        <f t="shared" si="375"/>
        <v>0</v>
      </c>
      <c r="AF332" s="100">
        <f t="shared" si="376"/>
        <v>0</v>
      </c>
      <c r="AG332" s="100">
        <f t="shared" si="377"/>
        <v>0</v>
      </c>
      <c r="AH332" s="100">
        <f t="shared" si="378"/>
        <v>0</v>
      </c>
      <c r="AI332" s="109"/>
      <c r="AJ332" s="108">
        <f t="shared" si="379"/>
        <v>0</v>
      </c>
      <c r="AK332" s="108">
        <f t="shared" si="380"/>
        <v>0</v>
      </c>
      <c r="AL332" s="108">
        <f t="shared" si="381"/>
        <v>0</v>
      </c>
      <c r="AN332" s="100">
        <v>15</v>
      </c>
      <c r="AO332" s="100">
        <f t="shared" si="382"/>
        <v>0</v>
      </c>
      <c r="AP332" s="100">
        <f t="shared" si="383"/>
        <v>0</v>
      </c>
      <c r="AQ332" s="111" t="s">
        <v>13</v>
      </c>
      <c r="AV332" s="100">
        <f t="shared" si="384"/>
        <v>0</v>
      </c>
      <c r="AW332" s="100">
        <f t="shared" si="385"/>
        <v>0</v>
      </c>
      <c r="AX332" s="100">
        <f t="shared" si="386"/>
        <v>0</v>
      </c>
      <c r="AY332" s="110" t="s">
        <v>1711</v>
      </c>
      <c r="AZ332" s="110" t="s">
        <v>1733</v>
      </c>
      <c r="BA332" s="109" t="s">
        <v>1737</v>
      </c>
      <c r="BC332" s="100">
        <f t="shared" si="387"/>
        <v>0</v>
      </c>
      <c r="BD332" s="100">
        <f t="shared" si="388"/>
        <v>0</v>
      </c>
      <c r="BE332" s="100">
        <v>0</v>
      </c>
      <c r="BF332" s="100">
        <f>332</f>
        <v>332</v>
      </c>
      <c r="BH332" s="108">
        <f t="shared" si="389"/>
        <v>0</v>
      </c>
      <c r="BI332" s="108">
        <f t="shared" si="390"/>
        <v>0</v>
      </c>
      <c r="BJ332" s="108">
        <f t="shared" si="391"/>
        <v>0</v>
      </c>
    </row>
    <row r="333" spans="1:62" x14ac:dyDescent="0.2">
      <c r="A333" s="117" t="s">
        <v>292</v>
      </c>
      <c r="B333" s="117" t="s">
        <v>2018</v>
      </c>
      <c r="C333" s="304" t="s">
        <v>1382</v>
      </c>
      <c r="D333" s="305"/>
      <c r="E333" s="305"/>
      <c r="F333" s="117" t="s">
        <v>1644</v>
      </c>
      <c r="G333" s="116">
        <v>1</v>
      </c>
      <c r="H333" s="159"/>
      <c r="I333" s="108">
        <f t="shared" si="368"/>
        <v>0</v>
      </c>
      <c r="J333" s="108">
        <f t="shared" si="369"/>
        <v>0</v>
      </c>
      <c r="K333" s="108">
        <f t="shared" si="370"/>
        <v>0</v>
      </c>
      <c r="L333" s="111"/>
      <c r="Z333" s="100">
        <f t="shared" si="371"/>
        <v>0</v>
      </c>
      <c r="AB333" s="100">
        <f t="shared" si="372"/>
        <v>0</v>
      </c>
      <c r="AC333" s="100">
        <f t="shared" si="373"/>
        <v>0</v>
      </c>
      <c r="AD333" s="100">
        <f t="shared" si="374"/>
        <v>0</v>
      </c>
      <c r="AE333" s="100">
        <f t="shared" si="375"/>
        <v>0</v>
      </c>
      <c r="AF333" s="100">
        <f t="shared" si="376"/>
        <v>0</v>
      </c>
      <c r="AG333" s="100">
        <f t="shared" si="377"/>
        <v>0</v>
      </c>
      <c r="AH333" s="100">
        <f t="shared" si="378"/>
        <v>0</v>
      </c>
      <c r="AI333" s="109"/>
      <c r="AJ333" s="108">
        <f t="shared" si="379"/>
        <v>0</v>
      </c>
      <c r="AK333" s="108">
        <f t="shared" si="380"/>
        <v>0</v>
      </c>
      <c r="AL333" s="108">
        <f t="shared" si="381"/>
        <v>0</v>
      </c>
      <c r="AN333" s="100">
        <v>15</v>
      </c>
      <c r="AO333" s="100">
        <f t="shared" si="382"/>
        <v>0</v>
      </c>
      <c r="AP333" s="100">
        <f t="shared" si="383"/>
        <v>0</v>
      </c>
      <c r="AQ333" s="111" t="s">
        <v>13</v>
      </c>
      <c r="AV333" s="100">
        <f t="shared" si="384"/>
        <v>0</v>
      </c>
      <c r="AW333" s="100">
        <f t="shared" si="385"/>
        <v>0</v>
      </c>
      <c r="AX333" s="100">
        <f t="shared" si="386"/>
        <v>0</v>
      </c>
      <c r="AY333" s="110" t="s">
        <v>1711</v>
      </c>
      <c r="AZ333" s="110" t="s">
        <v>1733</v>
      </c>
      <c r="BA333" s="109" t="s">
        <v>1737</v>
      </c>
      <c r="BC333" s="100">
        <f t="shared" si="387"/>
        <v>0</v>
      </c>
      <c r="BD333" s="100">
        <f t="shared" si="388"/>
        <v>0</v>
      </c>
      <c r="BE333" s="100">
        <v>0</v>
      </c>
      <c r="BF333" s="100">
        <f>333</f>
        <v>333</v>
      </c>
      <c r="BH333" s="108">
        <f t="shared" si="389"/>
        <v>0</v>
      </c>
      <c r="BI333" s="108">
        <f t="shared" si="390"/>
        <v>0</v>
      </c>
      <c r="BJ333" s="108">
        <f t="shared" si="391"/>
        <v>0</v>
      </c>
    </row>
    <row r="334" spans="1:62" x14ac:dyDescent="0.2">
      <c r="A334" s="117" t="s">
        <v>293</v>
      </c>
      <c r="B334" s="117" t="s">
        <v>2017</v>
      </c>
      <c r="C334" s="304" t="s">
        <v>1383</v>
      </c>
      <c r="D334" s="305"/>
      <c r="E334" s="305"/>
      <c r="F334" s="117" t="s">
        <v>1644</v>
      </c>
      <c r="G334" s="116">
        <v>1</v>
      </c>
      <c r="H334" s="159"/>
      <c r="I334" s="108">
        <f t="shared" si="368"/>
        <v>0</v>
      </c>
      <c r="J334" s="108">
        <f t="shared" si="369"/>
        <v>0</v>
      </c>
      <c r="K334" s="108">
        <f t="shared" si="370"/>
        <v>0</v>
      </c>
      <c r="L334" s="111"/>
      <c r="Z334" s="100">
        <f t="shared" si="371"/>
        <v>0</v>
      </c>
      <c r="AB334" s="100">
        <f t="shared" si="372"/>
        <v>0</v>
      </c>
      <c r="AC334" s="100">
        <f t="shared" si="373"/>
        <v>0</v>
      </c>
      <c r="AD334" s="100">
        <f t="shared" si="374"/>
        <v>0</v>
      </c>
      <c r="AE334" s="100">
        <f t="shared" si="375"/>
        <v>0</v>
      </c>
      <c r="AF334" s="100">
        <f t="shared" si="376"/>
        <v>0</v>
      </c>
      <c r="AG334" s="100">
        <f t="shared" si="377"/>
        <v>0</v>
      </c>
      <c r="AH334" s="100">
        <f t="shared" si="378"/>
        <v>0</v>
      </c>
      <c r="AI334" s="109"/>
      <c r="AJ334" s="108">
        <f t="shared" si="379"/>
        <v>0</v>
      </c>
      <c r="AK334" s="108">
        <f t="shared" si="380"/>
        <v>0</v>
      </c>
      <c r="AL334" s="108">
        <f t="shared" si="381"/>
        <v>0</v>
      </c>
      <c r="AN334" s="100">
        <v>15</v>
      </c>
      <c r="AO334" s="100">
        <f t="shared" si="382"/>
        <v>0</v>
      </c>
      <c r="AP334" s="100">
        <f t="shared" si="383"/>
        <v>0</v>
      </c>
      <c r="AQ334" s="111" t="s">
        <v>13</v>
      </c>
      <c r="AV334" s="100">
        <f t="shared" si="384"/>
        <v>0</v>
      </c>
      <c r="AW334" s="100">
        <f t="shared" si="385"/>
        <v>0</v>
      </c>
      <c r="AX334" s="100">
        <f t="shared" si="386"/>
        <v>0</v>
      </c>
      <c r="AY334" s="110" t="s">
        <v>1711</v>
      </c>
      <c r="AZ334" s="110" t="s">
        <v>1733</v>
      </c>
      <c r="BA334" s="109" t="s">
        <v>1737</v>
      </c>
      <c r="BC334" s="100">
        <f t="shared" si="387"/>
        <v>0</v>
      </c>
      <c r="BD334" s="100">
        <f t="shared" si="388"/>
        <v>0</v>
      </c>
      <c r="BE334" s="100">
        <v>0</v>
      </c>
      <c r="BF334" s="100">
        <f>334</f>
        <v>334</v>
      </c>
      <c r="BH334" s="108">
        <f t="shared" si="389"/>
        <v>0</v>
      </c>
      <c r="BI334" s="108">
        <f t="shared" si="390"/>
        <v>0</v>
      </c>
      <c r="BJ334" s="108">
        <f t="shared" si="391"/>
        <v>0</v>
      </c>
    </row>
    <row r="335" spans="1:62" x14ac:dyDescent="0.2">
      <c r="A335" s="117" t="s">
        <v>294</v>
      </c>
      <c r="B335" s="117" t="s">
        <v>2016</v>
      </c>
      <c r="C335" s="304" t="s">
        <v>1384</v>
      </c>
      <c r="D335" s="305"/>
      <c r="E335" s="305"/>
      <c r="F335" s="117" t="s">
        <v>1644</v>
      </c>
      <c r="G335" s="116">
        <v>1</v>
      </c>
      <c r="H335" s="159"/>
      <c r="I335" s="108">
        <f t="shared" si="368"/>
        <v>0</v>
      </c>
      <c r="J335" s="108">
        <f t="shared" si="369"/>
        <v>0</v>
      </c>
      <c r="K335" s="108">
        <f t="shared" si="370"/>
        <v>0</v>
      </c>
      <c r="L335" s="111"/>
      <c r="Z335" s="100">
        <f t="shared" si="371"/>
        <v>0</v>
      </c>
      <c r="AB335" s="100">
        <f t="shared" si="372"/>
        <v>0</v>
      </c>
      <c r="AC335" s="100">
        <f t="shared" si="373"/>
        <v>0</v>
      </c>
      <c r="AD335" s="100">
        <f t="shared" si="374"/>
        <v>0</v>
      </c>
      <c r="AE335" s="100">
        <f t="shared" si="375"/>
        <v>0</v>
      </c>
      <c r="AF335" s="100">
        <f t="shared" si="376"/>
        <v>0</v>
      </c>
      <c r="AG335" s="100">
        <f t="shared" si="377"/>
        <v>0</v>
      </c>
      <c r="AH335" s="100">
        <f t="shared" si="378"/>
        <v>0</v>
      </c>
      <c r="AI335" s="109"/>
      <c r="AJ335" s="108">
        <f t="shared" si="379"/>
        <v>0</v>
      </c>
      <c r="AK335" s="108">
        <f t="shared" si="380"/>
        <v>0</v>
      </c>
      <c r="AL335" s="108">
        <f t="shared" si="381"/>
        <v>0</v>
      </c>
      <c r="AN335" s="100">
        <v>15</v>
      </c>
      <c r="AO335" s="100">
        <f t="shared" si="382"/>
        <v>0</v>
      </c>
      <c r="AP335" s="100">
        <f t="shared" si="383"/>
        <v>0</v>
      </c>
      <c r="AQ335" s="111" t="s">
        <v>13</v>
      </c>
      <c r="AV335" s="100">
        <f t="shared" si="384"/>
        <v>0</v>
      </c>
      <c r="AW335" s="100">
        <f t="shared" si="385"/>
        <v>0</v>
      </c>
      <c r="AX335" s="100">
        <f t="shared" si="386"/>
        <v>0</v>
      </c>
      <c r="AY335" s="110" t="s">
        <v>1711</v>
      </c>
      <c r="AZ335" s="110" t="s">
        <v>1733</v>
      </c>
      <c r="BA335" s="109" t="s">
        <v>1737</v>
      </c>
      <c r="BC335" s="100">
        <f t="shared" si="387"/>
        <v>0</v>
      </c>
      <c r="BD335" s="100">
        <f t="shared" si="388"/>
        <v>0</v>
      </c>
      <c r="BE335" s="100">
        <v>0</v>
      </c>
      <c r="BF335" s="100">
        <f>335</f>
        <v>335</v>
      </c>
      <c r="BH335" s="108">
        <f t="shared" si="389"/>
        <v>0</v>
      </c>
      <c r="BI335" s="108">
        <f t="shared" si="390"/>
        <v>0</v>
      </c>
      <c r="BJ335" s="108">
        <f t="shared" si="391"/>
        <v>0</v>
      </c>
    </row>
    <row r="336" spans="1:62" x14ac:dyDescent="0.2">
      <c r="A336" s="117" t="s">
        <v>295</v>
      </c>
      <c r="B336" s="117" t="s">
        <v>2015</v>
      </c>
      <c r="C336" s="304" t="s">
        <v>1385</v>
      </c>
      <c r="D336" s="305"/>
      <c r="E336" s="305"/>
      <c r="F336" s="117" t="s">
        <v>1646</v>
      </c>
      <c r="G336" s="116">
        <v>9</v>
      </c>
      <c r="H336" s="159"/>
      <c r="I336" s="108">
        <f t="shared" si="368"/>
        <v>0</v>
      </c>
      <c r="J336" s="108">
        <f t="shared" si="369"/>
        <v>0</v>
      </c>
      <c r="K336" s="108">
        <f t="shared" si="370"/>
        <v>0</v>
      </c>
      <c r="L336" s="111"/>
      <c r="Z336" s="100">
        <f t="shared" si="371"/>
        <v>0</v>
      </c>
      <c r="AB336" s="100">
        <f t="shared" si="372"/>
        <v>0</v>
      </c>
      <c r="AC336" s="100">
        <f t="shared" si="373"/>
        <v>0</v>
      </c>
      <c r="AD336" s="100">
        <f t="shared" si="374"/>
        <v>0</v>
      </c>
      <c r="AE336" s="100">
        <f t="shared" si="375"/>
        <v>0</v>
      </c>
      <c r="AF336" s="100">
        <f t="shared" si="376"/>
        <v>0</v>
      </c>
      <c r="AG336" s="100">
        <f t="shared" si="377"/>
        <v>0</v>
      </c>
      <c r="AH336" s="100">
        <f t="shared" si="378"/>
        <v>0</v>
      </c>
      <c r="AI336" s="109"/>
      <c r="AJ336" s="108">
        <f t="shared" si="379"/>
        <v>0</v>
      </c>
      <c r="AK336" s="108">
        <f t="shared" si="380"/>
        <v>0</v>
      </c>
      <c r="AL336" s="108">
        <f t="shared" si="381"/>
        <v>0</v>
      </c>
      <c r="AN336" s="100">
        <v>15</v>
      </c>
      <c r="AO336" s="100">
        <f t="shared" si="382"/>
        <v>0</v>
      </c>
      <c r="AP336" s="100">
        <f t="shared" si="383"/>
        <v>0</v>
      </c>
      <c r="AQ336" s="111" t="s">
        <v>13</v>
      </c>
      <c r="AV336" s="100">
        <f t="shared" si="384"/>
        <v>0</v>
      </c>
      <c r="AW336" s="100">
        <f t="shared" si="385"/>
        <v>0</v>
      </c>
      <c r="AX336" s="100">
        <f t="shared" si="386"/>
        <v>0</v>
      </c>
      <c r="AY336" s="110" t="s">
        <v>1711</v>
      </c>
      <c r="AZ336" s="110" t="s">
        <v>1733</v>
      </c>
      <c r="BA336" s="109" t="s">
        <v>1737</v>
      </c>
      <c r="BC336" s="100">
        <f t="shared" si="387"/>
        <v>0</v>
      </c>
      <c r="BD336" s="100">
        <f t="shared" si="388"/>
        <v>0</v>
      </c>
      <c r="BE336" s="100">
        <v>0</v>
      </c>
      <c r="BF336" s="100">
        <f>336</f>
        <v>336</v>
      </c>
      <c r="BH336" s="108">
        <f t="shared" si="389"/>
        <v>0</v>
      </c>
      <c r="BI336" s="108">
        <f t="shared" si="390"/>
        <v>0</v>
      </c>
      <c r="BJ336" s="108">
        <f t="shared" si="391"/>
        <v>0</v>
      </c>
    </row>
    <row r="337" spans="1:62" x14ac:dyDescent="0.2">
      <c r="A337" s="117" t="s">
        <v>296</v>
      </c>
      <c r="B337" s="117" t="s">
        <v>2014</v>
      </c>
      <c r="C337" s="304" t="s">
        <v>1386</v>
      </c>
      <c r="D337" s="305"/>
      <c r="E337" s="305"/>
      <c r="F337" s="117" t="s">
        <v>1644</v>
      </c>
      <c r="G337" s="116">
        <v>1</v>
      </c>
      <c r="H337" s="159"/>
      <c r="I337" s="108">
        <f t="shared" si="368"/>
        <v>0</v>
      </c>
      <c r="J337" s="108">
        <f t="shared" si="369"/>
        <v>0</v>
      </c>
      <c r="K337" s="108">
        <f t="shared" si="370"/>
        <v>0</v>
      </c>
      <c r="L337" s="111"/>
      <c r="Z337" s="100">
        <f t="shared" si="371"/>
        <v>0</v>
      </c>
      <c r="AB337" s="100">
        <f t="shared" si="372"/>
        <v>0</v>
      </c>
      <c r="AC337" s="100">
        <f t="shared" si="373"/>
        <v>0</v>
      </c>
      <c r="AD337" s="100">
        <f t="shared" si="374"/>
        <v>0</v>
      </c>
      <c r="AE337" s="100">
        <f t="shared" si="375"/>
        <v>0</v>
      </c>
      <c r="AF337" s="100">
        <f t="shared" si="376"/>
        <v>0</v>
      </c>
      <c r="AG337" s="100">
        <f t="shared" si="377"/>
        <v>0</v>
      </c>
      <c r="AH337" s="100">
        <f t="shared" si="378"/>
        <v>0</v>
      </c>
      <c r="AI337" s="109"/>
      <c r="AJ337" s="108">
        <f t="shared" si="379"/>
        <v>0</v>
      </c>
      <c r="AK337" s="108">
        <f t="shared" si="380"/>
        <v>0</v>
      </c>
      <c r="AL337" s="108">
        <f t="shared" si="381"/>
        <v>0</v>
      </c>
      <c r="AN337" s="100">
        <v>15</v>
      </c>
      <c r="AO337" s="100">
        <f t="shared" si="382"/>
        <v>0</v>
      </c>
      <c r="AP337" s="100">
        <f t="shared" si="383"/>
        <v>0</v>
      </c>
      <c r="AQ337" s="111" t="s">
        <v>13</v>
      </c>
      <c r="AV337" s="100">
        <f t="shared" si="384"/>
        <v>0</v>
      </c>
      <c r="AW337" s="100">
        <f t="shared" si="385"/>
        <v>0</v>
      </c>
      <c r="AX337" s="100">
        <f t="shared" si="386"/>
        <v>0</v>
      </c>
      <c r="AY337" s="110" t="s">
        <v>1711</v>
      </c>
      <c r="AZ337" s="110" t="s">
        <v>1733</v>
      </c>
      <c r="BA337" s="109" t="s">
        <v>1737</v>
      </c>
      <c r="BC337" s="100">
        <f t="shared" si="387"/>
        <v>0</v>
      </c>
      <c r="BD337" s="100">
        <f t="shared" si="388"/>
        <v>0</v>
      </c>
      <c r="BE337" s="100">
        <v>0</v>
      </c>
      <c r="BF337" s="100">
        <f>337</f>
        <v>337</v>
      </c>
      <c r="BH337" s="108">
        <f t="shared" si="389"/>
        <v>0</v>
      </c>
      <c r="BI337" s="108">
        <f t="shared" si="390"/>
        <v>0</v>
      </c>
      <c r="BJ337" s="108">
        <f t="shared" si="391"/>
        <v>0</v>
      </c>
    </row>
    <row r="338" spans="1:62" x14ac:dyDescent="0.2">
      <c r="A338" s="117" t="s">
        <v>297</v>
      </c>
      <c r="B338" s="117" t="s">
        <v>2013</v>
      </c>
      <c r="C338" s="304" t="s">
        <v>1387</v>
      </c>
      <c r="D338" s="305"/>
      <c r="E338" s="305"/>
      <c r="F338" s="117" t="s">
        <v>1644</v>
      </c>
      <c r="G338" s="116">
        <v>1</v>
      </c>
      <c r="H338" s="159"/>
      <c r="I338" s="108">
        <f t="shared" si="368"/>
        <v>0</v>
      </c>
      <c r="J338" s="108">
        <f t="shared" si="369"/>
        <v>0</v>
      </c>
      <c r="K338" s="108">
        <f t="shared" si="370"/>
        <v>0</v>
      </c>
      <c r="L338" s="111"/>
      <c r="Z338" s="100">
        <f t="shared" si="371"/>
        <v>0</v>
      </c>
      <c r="AB338" s="100">
        <f t="shared" si="372"/>
        <v>0</v>
      </c>
      <c r="AC338" s="100">
        <f t="shared" si="373"/>
        <v>0</v>
      </c>
      <c r="AD338" s="100">
        <f t="shared" si="374"/>
        <v>0</v>
      </c>
      <c r="AE338" s="100">
        <f t="shared" si="375"/>
        <v>0</v>
      </c>
      <c r="AF338" s="100">
        <f t="shared" si="376"/>
        <v>0</v>
      </c>
      <c r="AG338" s="100">
        <f t="shared" si="377"/>
        <v>0</v>
      </c>
      <c r="AH338" s="100">
        <f t="shared" si="378"/>
        <v>0</v>
      </c>
      <c r="AI338" s="109"/>
      <c r="AJ338" s="108">
        <f t="shared" si="379"/>
        <v>0</v>
      </c>
      <c r="AK338" s="108">
        <f t="shared" si="380"/>
        <v>0</v>
      </c>
      <c r="AL338" s="108">
        <f t="shared" si="381"/>
        <v>0</v>
      </c>
      <c r="AN338" s="100">
        <v>15</v>
      </c>
      <c r="AO338" s="100">
        <f t="shared" si="382"/>
        <v>0</v>
      </c>
      <c r="AP338" s="100">
        <f t="shared" si="383"/>
        <v>0</v>
      </c>
      <c r="AQ338" s="111" t="s">
        <v>13</v>
      </c>
      <c r="AV338" s="100">
        <f t="shared" si="384"/>
        <v>0</v>
      </c>
      <c r="AW338" s="100">
        <f t="shared" si="385"/>
        <v>0</v>
      </c>
      <c r="AX338" s="100">
        <f t="shared" si="386"/>
        <v>0</v>
      </c>
      <c r="AY338" s="110" t="s">
        <v>1711</v>
      </c>
      <c r="AZ338" s="110" t="s">
        <v>1733</v>
      </c>
      <c r="BA338" s="109" t="s">
        <v>1737</v>
      </c>
      <c r="BC338" s="100">
        <f t="shared" si="387"/>
        <v>0</v>
      </c>
      <c r="BD338" s="100">
        <f t="shared" si="388"/>
        <v>0</v>
      </c>
      <c r="BE338" s="100">
        <v>0</v>
      </c>
      <c r="BF338" s="100">
        <f>338</f>
        <v>338</v>
      </c>
      <c r="BH338" s="108">
        <f t="shared" si="389"/>
        <v>0</v>
      </c>
      <c r="BI338" s="108">
        <f t="shared" si="390"/>
        <v>0</v>
      </c>
      <c r="BJ338" s="108">
        <f t="shared" si="391"/>
        <v>0</v>
      </c>
    </row>
    <row r="339" spans="1:62" x14ac:dyDescent="0.2">
      <c r="A339" s="117" t="s">
        <v>298</v>
      </c>
      <c r="B339" s="117" t="s">
        <v>2012</v>
      </c>
      <c r="C339" s="304" t="s">
        <v>1388</v>
      </c>
      <c r="D339" s="305"/>
      <c r="E339" s="305"/>
      <c r="F339" s="117" t="s">
        <v>1644</v>
      </c>
      <c r="G339" s="116">
        <v>1</v>
      </c>
      <c r="H339" s="159"/>
      <c r="I339" s="108">
        <f t="shared" si="368"/>
        <v>0</v>
      </c>
      <c r="J339" s="108">
        <f t="shared" si="369"/>
        <v>0</v>
      </c>
      <c r="K339" s="108">
        <f t="shared" si="370"/>
        <v>0</v>
      </c>
      <c r="L339" s="111"/>
      <c r="Z339" s="100">
        <f t="shared" si="371"/>
        <v>0</v>
      </c>
      <c r="AB339" s="100">
        <f t="shared" si="372"/>
        <v>0</v>
      </c>
      <c r="AC339" s="100">
        <f t="shared" si="373"/>
        <v>0</v>
      </c>
      <c r="AD339" s="100">
        <f t="shared" si="374"/>
        <v>0</v>
      </c>
      <c r="AE339" s="100">
        <f t="shared" si="375"/>
        <v>0</v>
      </c>
      <c r="AF339" s="100">
        <f t="shared" si="376"/>
        <v>0</v>
      </c>
      <c r="AG339" s="100">
        <f t="shared" si="377"/>
        <v>0</v>
      </c>
      <c r="AH339" s="100">
        <f t="shared" si="378"/>
        <v>0</v>
      </c>
      <c r="AI339" s="109"/>
      <c r="AJ339" s="108">
        <f t="shared" si="379"/>
        <v>0</v>
      </c>
      <c r="AK339" s="108">
        <f t="shared" si="380"/>
        <v>0</v>
      </c>
      <c r="AL339" s="108">
        <f t="shared" si="381"/>
        <v>0</v>
      </c>
      <c r="AN339" s="100">
        <v>15</v>
      </c>
      <c r="AO339" s="100">
        <f t="shared" si="382"/>
        <v>0</v>
      </c>
      <c r="AP339" s="100">
        <f t="shared" si="383"/>
        <v>0</v>
      </c>
      <c r="AQ339" s="111" t="s">
        <v>13</v>
      </c>
      <c r="AV339" s="100">
        <f t="shared" si="384"/>
        <v>0</v>
      </c>
      <c r="AW339" s="100">
        <f t="shared" si="385"/>
        <v>0</v>
      </c>
      <c r="AX339" s="100">
        <f t="shared" si="386"/>
        <v>0</v>
      </c>
      <c r="AY339" s="110" t="s">
        <v>1711</v>
      </c>
      <c r="AZ339" s="110" t="s">
        <v>1733</v>
      </c>
      <c r="BA339" s="109" t="s">
        <v>1737</v>
      </c>
      <c r="BC339" s="100">
        <f t="shared" si="387"/>
        <v>0</v>
      </c>
      <c r="BD339" s="100">
        <f t="shared" si="388"/>
        <v>0</v>
      </c>
      <c r="BE339" s="100">
        <v>0</v>
      </c>
      <c r="BF339" s="100">
        <f>339</f>
        <v>339</v>
      </c>
      <c r="BH339" s="108">
        <f t="shared" si="389"/>
        <v>0</v>
      </c>
      <c r="BI339" s="108">
        <f t="shared" si="390"/>
        <v>0</v>
      </c>
      <c r="BJ339" s="108">
        <f t="shared" si="391"/>
        <v>0</v>
      </c>
    </row>
    <row r="340" spans="1:62" x14ac:dyDescent="0.2">
      <c r="A340" s="117" t="s">
        <v>299</v>
      </c>
      <c r="B340" s="117" t="s">
        <v>2011</v>
      </c>
      <c r="C340" s="304" t="s">
        <v>1389</v>
      </c>
      <c r="D340" s="305"/>
      <c r="E340" s="305"/>
      <c r="F340" s="117" t="s">
        <v>1644</v>
      </c>
      <c r="G340" s="116">
        <v>1</v>
      </c>
      <c r="H340" s="159"/>
      <c r="I340" s="108">
        <f t="shared" si="368"/>
        <v>0</v>
      </c>
      <c r="J340" s="108">
        <f t="shared" si="369"/>
        <v>0</v>
      </c>
      <c r="K340" s="108">
        <f t="shared" si="370"/>
        <v>0</v>
      </c>
      <c r="L340" s="111"/>
      <c r="Z340" s="100">
        <f t="shared" si="371"/>
        <v>0</v>
      </c>
      <c r="AB340" s="100">
        <f t="shared" si="372"/>
        <v>0</v>
      </c>
      <c r="AC340" s="100">
        <f t="shared" si="373"/>
        <v>0</v>
      </c>
      <c r="AD340" s="100">
        <f t="shared" si="374"/>
        <v>0</v>
      </c>
      <c r="AE340" s="100">
        <f t="shared" si="375"/>
        <v>0</v>
      </c>
      <c r="AF340" s="100">
        <f t="shared" si="376"/>
        <v>0</v>
      </c>
      <c r="AG340" s="100">
        <f t="shared" si="377"/>
        <v>0</v>
      </c>
      <c r="AH340" s="100">
        <f t="shared" si="378"/>
        <v>0</v>
      </c>
      <c r="AI340" s="109"/>
      <c r="AJ340" s="108">
        <f t="shared" si="379"/>
        <v>0</v>
      </c>
      <c r="AK340" s="108">
        <f t="shared" si="380"/>
        <v>0</v>
      </c>
      <c r="AL340" s="108">
        <f t="shared" si="381"/>
        <v>0</v>
      </c>
      <c r="AN340" s="100">
        <v>15</v>
      </c>
      <c r="AO340" s="100">
        <f t="shared" si="382"/>
        <v>0</v>
      </c>
      <c r="AP340" s="100">
        <f t="shared" si="383"/>
        <v>0</v>
      </c>
      <c r="AQ340" s="111" t="s">
        <v>13</v>
      </c>
      <c r="AV340" s="100">
        <f t="shared" si="384"/>
        <v>0</v>
      </c>
      <c r="AW340" s="100">
        <f t="shared" si="385"/>
        <v>0</v>
      </c>
      <c r="AX340" s="100">
        <f t="shared" si="386"/>
        <v>0</v>
      </c>
      <c r="AY340" s="110" t="s">
        <v>1711</v>
      </c>
      <c r="AZ340" s="110" t="s">
        <v>1733</v>
      </c>
      <c r="BA340" s="109" t="s">
        <v>1737</v>
      </c>
      <c r="BC340" s="100">
        <f t="shared" si="387"/>
        <v>0</v>
      </c>
      <c r="BD340" s="100">
        <f t="shared" si="388"/>
        <v>0</v>
      </c>
      <c r="BE340" s="100">
        <v>0</v>
      </c>
      <c r="BF340" s="100">
        <f>340</f>
        <v>340</v>
      </c>
      <c r="BH340" s="108">
        <f t="shared" si="389"/>
        <v>0</v>
      </c>
      <c r="BI340" s="108">
        <f t="shared" si="390"/>
        <v>0</v>
      </c>
      <c r="BJ340" s="108">
        <f t="shared" si="391"/>
        <v>0</v>
      </c>
    </row>
    <row r="341" spans="1:62" x14ac:dyDescent="0.2">
      <c r="A341" s="117" t="s">
        <v>300</v>
      </c>
      <c r="B341" s="117" t="s">
        <v>2010</v>
      </c>
      <c r="C341" s="304" t="s">
        <v>1380</v>
      </c>
      <c r="D341" s="305"/>
      <c r="E341" s="305"/>
      <c r="F341" s="117" t="s">
        <v>1646</v>
      </c>
      <c r="G341" s="116">
        <v>1.5</v>
      </c>
      <c r="H341" s="159"/>
      <c r="I341" s="108">
        <f t="shared" si="368"/>
        <v>0</v>
      </c>
      <c r="J341" s="108">
        <f t="shared" si="369"/>
        <v>0</v>
      </c>
      <c r="K341" s="108">
        <f t="shared" si="370"/>
        <v>0</v>
      </c>
      <c r="L341" s="111"/>
      <c r="Z341" s="100">
        <f t="shared" si="371"/>
        <v>0</v>
      </c>
      <c r="AB341" s="100">
        <f t="shared" si="372"/>
        <v>0</v>
      </c>
      <c r="AC341" s="100">
        <f t="shared" si="373"/>
        <v>0</v>
      </c>
      <c r="AD341" s="100">
        <f t="shared" si="374"/>
        <v>0</v>
      </c>
      <c r="AE341" s="100">
        <f t="shared" si="375"/>
        <v>0</v>
      </c>
      <c r="AF341" s="100">
        <f t="shared" si="376"/>
        <v>0</v>
      </c>
      <c r="AG341" s="100">
        <f t="shared" si="377"/>
        <v>0</v>
      </c>
      <c r="AH341" s="100">
        <f t="shared" si="378"/>
        <v>0</v>
      </c>
      <c r="AI341" s="109"/>
      <c r="AJ341" s="108">
        <f t="shared" si="379"/>
        <v>0</v>
      </c>
      <c r="AK341" s="108">
        <f t="shared" si="380"/>
        <v>0</v>
      </c>
      <c r="AL341" s="108">
        <f t="shared" si="381"/>
        <v>0</v>
      </c>
      <c r="AN341" s="100">
        <v>15</v>
      </c>
      <c r="AO341" s="100">
        <f t="shared" si="382"/>
        <v>0</v>
      </c>
      <c r="AP341" s="100">
        <f t="shared" si="383"/>
        <v>0</v>
      </c>
      <c r="AQ341" s="111" t="s">
        <v>13</v>
      </c>
      <c r="AV341" s="100">
        <f t="shared" si="384"/>
        <v>0</v>
      </c>
      <c r="AW341" s="100">
        <f t="shared" si="385"/>
        <v>0</v>
      </c>
      <c r="AX341" s="100">
        <f t="shared" si="386"/>
        <v>0</v>
      </c>
      <c r="AY341" s="110" t="s">
        <v>1711</v>
      </c>
      <c r="AZ341" s="110" t="s">
        <v>1733</v>
      </c>
      <c r="BA341" s="109" t="s">
        <v>1737</v>
      </c>
      <c r="BC341" s="100">
        <f t="shared" si="387"/>
        <v>0</v>
      </c>
      <c r="BD341" s="100">
        <f t="shared" si="388"/>
        <v>0</v>
      </c>
      <c r="BE341" s="100">
        <v>0</v>
      </c>
      <c r="BF341" s="100">
        <f>341</f>
        <v>341</v>
      </c>
      <c r="BH341" s="108">
        <f t="shared" si="389"/>
        <v>0</v>
      </c>
      <c r="BI341" s="108">
        <f t="shared" si="390"/>
        <v>0</v>
      </c>
      <c r="BJ341" s="108">
        <f t="shared" si="391"/>
        <v>0</v>
      </c>
    </row>
    <row r="342" spans="1:62" x14ac:dyDescent="0.2">
      <c r="A342" s="117" t="s">
        <v>301</v>
      </c>
      <c r="B342" s="117" t="s">
        <v>2009</v>
      </c>
      <c r="C342" s="304" t="s">
        <v>1390</v>
      </c>
      <c r="D342" s="305"/>
      <c r="E342" s="305"/>
      <c r="F342" s="117" t="s">
        <v>1644</v>
      </c>
      <c r="G342" s="116">
        <v>1</v>
      </c>
      <c r="H342" s="159"/>
      <c r="I342" s="108">
        <f t="shared" si="368"/>
        <v>0</v>
      </c>
      <c r="J342" s="108">
        <f t="shared" si="369"/>
        <v>0</v>
      </c>
      <c r="K342" s="108">
        <f t="shared" si="370"/>
        <v>0</v>
      </c>
      <c r="L342" s="111"/>
      <c r="Z342" s="100">
        <f t="shared" si="371"/>
        <v>0</v>
      </c>
      <c r="AB342" s="100">
        <f t="shared" si="372"/>
        <v>0</v>
      </c>
      <c r="AC342" s="100">
        <f t="shared" si="373"/>
        <v>0</v>
      </c>
      <c r="AD342" s="100">
        <f t="shared" si="374"/>
        <v>0</v>
      </c>
      <c r="AE342" s="100">
        <f t="shared" si="375"/>
        <v>0</v>
      </c>
      <c r="AF342" s="100">
        <f t="shared" si="376"/>
        <v>0</v>
      </c>
      <c r="AG342" s="100">
        <f t="shared" si="377"/>
        <v>0</v>
      </c>
      <c r="AH342" s="100">
        <f t="shared" si="378"/>
        <v>0</v>
      </c>
      <c r="AI342" s="109"/>
      <c r="AJ342" s="108">
        <f t="shared" si="379"/>
        <v>0</v>
      </c>
      <c r="AK342" s="108">
        <f t="shared" si="380"/>
        <v>0</v>
      </c>
      <c r="AL342" s="108">
        <f t="shared" si="381"/>
        <v>0</v>
      </c>
      <c r="AN342" s="100">
        <v>15</v>
      </c>
      <c r="AO342" s="100">
        <f t="shared" si="382"/>
        <v>0</v>
      </c>
      <c r="AP342" s="100">
        <f t="shared" si="383"/>
        <v>0</v>
      </c>
      <c r="AQ342" s="111" t="s">
        <v>13</v>
      </c>
      <c r="AV342" s="100">
        <f t="shared" si="384"/>
        <v>0</v>
      </c>
      <c r="AW342" s="100">
        <f t="shared" si="385"/>
        <v>0</v>
      </c>
      <c r="AX342" s="100">
        <f t="shared" si="386"/>
        <v>0</v>
      </c>
      <c r="AY342" s="110" t="s">
        <v>1711</v>
      </c>
      <c r="AZ342" s="110" t="s">
        <v>1733</v>
      </c>
      <c r="BA342" s="109" t="s">
        <v>1737</v>
      </c>
      <c r="BC342" s="100">
        <f t="shared" si="387"/>
        <v>0</v>
      </c>
      <c r="BD342" s="100">
        <f t="shared" si="388"/>
        <v>0</v>
      </c>
      <c r="BE342" s="100">
        <v>0</v>
      </c>
      <c r="BF342" s="100">
        <f>342</f>
        <v>342</v>
      </c>
      <c r="BH342" s="108">
        <f t="shared" si="389"/>
        <v>0</v>
      </c>
      <c r="BI342" s="108">
        <f t="shared" si="390"/>
        <v>0</v>
      </c>
      <c r="BJ342" s="108">
        <f t="shared" si="391"/>
        <v>0</v>
      </c>
    </row>
    <row r="343" spans="1:62" x14ac:dyDescent="0.2">
      <c r="A343" s="117" t="s">
        <v>302</v>
      </c>
      <c r="B343" s="117" t="s">
        <v>2008</v>
      </c>
      <c r="C343" s="304" t="s">
        <v>1391</v>
      </c>
      <c r="D343" s="305"/>
      <c r="E343" s="305"/>
      <c r="F343" s="117" t="s">
        <v>1644</v>
      </c>
      <c r="G343" s="116">
        <v>3</v>
      </c>
      <c r="H343" s="159"/>
      <c r="I343" s="108">
        <f t="shared" si="368"/>
        <v>0</v>
      </c>
      <c r="J343" s="108">
        <f t="shared" si="369"/>
        <v>0</v>
      </c>
      <c r="K343" s="108">
        <f t="shared" si="370"/>
        <v>0</v>
      </c>
      <c r="L343" s="111"/>
      <c r="Z343" s="100">
        <f t="shared" si="371"/>
        <v>0</v>
      </c>
      <c r="AB343" s="100">
        <f t="shared" si="372"/>
        <v>0</v>
      </c>
      <c r="AC343" s="100">
        <f t="shared" si="373"/>
        <v>0</v>
      </c>
      <c r="AD343" s="100">
        <f t="shared" si="374"/>
        <v>0</v>
      </c>
      <c r="AE343" s="100">
        <f t="shared" si="375"/>
        <v>0</v>
      </c>
      <c r="AF343" s="100">
        <f t="shared" si="376"/>
        <v>0</v>
      </c>
      <c r="AG343" s="100">
        <f t="shared" si="377"/>
        <v>0</v>
      </c>
      <c r="AH343" s="100">
        <f t="shared" si="378"/>
        <v>0</v>
      </c>
      <c r="AI343" s="109"/>
      <c r="AJ343" s="108">
        <f t="shared" si="379"/>
        <v>0</v>
      </c>
      <c r="AK343" s="108">
        <f t="shared" si="380"/>
        <v>0</v>
      </c>
      <c r="AL343" s="108">
        <f t="shared" si="381"/>
        <v>0</v>
      </c>
      <c r="AN343" s="100">
        <v>15</v>
      </c>
      <c r="AO343" s="100">
        <f t="shared" si="382"/>
        <v>0</v>
      </c>
      <c r="AP343" s="100">
        <f t="shared" si="383"/>
        <v>0</v>
      </c>
      <c r="AQ343" s="111" t="s">
        <v>13</v>
      </c>
      <c r="AV343" s="100">
        <f t="shared" si="384"/>
        <v>0</v>
      </c>
      <c r="AW343" s="100">
        <f t="shared" si="385"/>
        <v>0</v>
      </c>
      <c r="AX343" s="100">
        <f t="shared" si="386"/>
        <v>0</v>
      </c>
      <c r="AY343" s="110" t="s">
        <v>1711</v>
      </c>
      <c r="AZ343" s="110" t="s">
        <v>1733</v>
      </c>
      <c r="BA343" s="109" t="s">
        <v>1737</v>
      </c>
      <c r="BC343" s="100">
        <f t="shared" si="387"/>
        <v>0</v>
      </c>
      <c r="BD343" s="100">
        <f t="shared" si="388"/>
        <v>0</v>
      </c>
      <c r="BE343" s="100">
        <v>0</v>
      </c>
      <c r="BF343" s="100">
        <f>343</f>
        <v>343</v>
      </c>
      <c r="BH343" s="108">
        <f t="shared" si="389"/>
        <v>0</v>
      </c>
      <c r="BI343" s="108">
        <f t="shared" si="390"/>
        <v>0</v>
      </c>
      <c r="BJ343" s="108">
        <f t="shared" si="391"/>
        <v>0</v>
      </c>
    </row>
    <row r="344" spans="1:62" x14ac:dyDescent="0.2">
      <c r="A344" s="117" t="s">
        <v>303</v>
      </c>
      <c r="B344" s="117" t="s">
        <v>2007</v>
      </c>
      <c r="C344" s="304" t="s">
        <v>1388</v>
      </c>
      <c r="D344" s="305"/>
      <c r="E344" s="305"/>
      <c r="F344" s="117" t="s">
        <v>1644</v>
      </c>
      <c r="G344" s="116">
        <v>1</v>
      </c>
      <c r="H344" s="159"/>
      <c r="I344" s="108">
        <f t="shared" si="368"/>
        <v>0</v>
      </c>
      <c r="J344" s="108">
        <f t="shared" si="369"/>
        <v>0</v>
      </c>
      <c r="K344" s="108">
        <f t="shared" si="370"/>
        <v>0</v>
      </c>
      <c r="L344" s="111"/>
      <c r="Z344" s="100">
        <f t="shared" si="371"/>
        <v>0</v>
      </c>
      <c r="AB344" s="100">
        <f t="shared" si="372"/>
        <v>0</v>
      </c>
      <c r="AC344" s="100">
        <f t="shared" si="373"/>
        <v>0</v>
      </c>
      <c r="AD344" s="100">
        <f t="shared" si="374"/>
        <v>0</v>
      </c>
      <c r="AE344" s="100">
        <f t="shared" si="375"/>
        <v>0</v>
      </c>
      <c r="AF344" s="100">
        <f t="shared" si="376"/>
        <v>0</v>
      </c>
      <c r="AG344" s="100">
        <f t="shared" si="377"/>
        <v>0</v>
      </c>
      <c r="AH344" s="100">
        <f t="shared" si="378"/>
        <v>0</v>
      </c>
      <c r="AI344" s="109"/>
      <c r="AJ344" s="108">
        <f t="shared" si="379"/>
        <v>0</v>
      </c>
      <c r="AK344" s="108">
        <f t="shared" si="380"/>
        <v>0</v>
      </c>
      <c r="AL344" s="108">
        <f t="shared" si="381"/>
        <v>0</v>
      </c>
      <c r="AN344" s="100">
        <v>15</v>
      </c>
      <c r="AO344" s="100">
        <f t="shared" si="382"/>
        <v>0</v>
      </c>
      <c r="AP344" s="100">
        <f t="shared" si="383"/>
        <v>0</v>
      </c>
      <c r="AQ344" s="111" t="s">
        <v>13</v>
      </c>
      <c r="AV344" s="100">
        <f t="shared" si="384"/>
        <v>0</v>
      </c>
      <c r="AW344" s="100">
        <f t="shared" si="385"/>
        <v>0</v>
      </c>
      <c r="AX344" s="100">
        <f t="shared" si="386"/>
        <v>0</v>
      </c>
      <c r="AY344" s="110" t="s">
        <v>1711</v>
      </c>
      <c r="AZ344" s="110" t="s">
        <v>1733</v>
      </c>
      <c r="BA344" s="109" t="s">
        <v>1737</v>
      </c>
      <c r="BC344" s="100">
        <f t="shared" si="387"/>
        <v>0</v>
      </c>
      <c r="BD344" s="100">
        <f t="shared" si="388"/>
        <v>0</v>
      </c>
      <c r="BE344" s="100">
        <v>0</v>
      </c>
      <c r="BF344" s="100">
        <f>344</f>
        <v>344</v>
      </c>
      <c r="BH344" s="108">
        <f t="shared" si="389"/>
        <v>0</v>
      </c>
      <c r="BI344" s="108">
        <f t="shared" si="390"/>
        <v>0</v>
      </c>
      <c r="BJ344" s="108">
        <f t="shared" si="391"/>
        <v>0</v>
      </c>
    </row>
    <row r="345" spans="1:62" x14ac:dyDescent="0.2">
      <c r="A345" s="117" t="s">
        <v>304</v>
      </c>
      <c r="B345" s="117" t="s">
        <v>2006</v>
      </c>
      <c r="C345" s="304" t="s">
        <v>1383</v>
      </c>
      <c r="D345" s="305"/>
      <c r="E345" s="305"/>
      <c r="F345" s="117" t="s">
        <v>1644</v>
      </c>
      <c r="G345" s="116">
        <v>1</v>
      </c>
      <c r="H345" s="159"/>
      <c r="I345" s="108">
        <f t="shared" si="368"/>
        <v>0</v>
      </c>
      <c r="J345" s="108">
        <f t="shared" si="369"/>
        <v>0</v>
      </c>
      <c r="K345" s="108">
        <f t="shared" si="370"/>
        <v>0</v>
      </c>
      <c r="L345" s="111"/>
      <c r="Z345" s="100">
        <f t="shared" si="371"/>
        <v>0</v>
      </c>
      <c r="AB345" s="100">
        <f t="shared" si="372"/>
        <v>0</v>
      </c>
      <c r="AC345" s="100">
        <f t="shared" si="373"/>
        <v>0</v>
      </c>
      <c r="AD345" s="100">
        <f t="shared" si="374"/>
        <v>0</v>
      </c>
      <c r="AE345" s="100">
        <f t="shared" si="375"/>
        <v>0</v>
      </c>
      <c r="AF345" s="100">
        <f t="shared" si="376"/>
        <v>0</v>
      </c>
      <c r="AG345" s="100">
        <f t="shared" si="377"/>
        <v>0</v>
      </c>
      <c r="AH345" s="100">
        <f t="shared" si="378"/>
        <v>0</v>
      </c>
      <c r="AI345" s="109"/>
      <c r="AJ345" s="108">
        <f t="shared" si="379"/>
        <v>0</v>
      </c>
      <c r="AK345" s="108">
        <f t="shared" si="380"/>
        <v>0</v>
      </c>
      <c r="AL345" s="108">
        <f t="shared" si="381"/>
        <v>0</v>
      </c>
      <c r="AN345" s="100">
        <v>15</v>
      </c>
      <c r="AO345" s="100">
        <f t="shared" si="382"/>
        <v>0</v>
      </c>
      <c r="AP345" s="100">
        <f t="shared" si="383"/>
        <v>0</v>
      </c>
      <c r="AQ345" s="111" t="s">
        <v>13</v>
      </c>
      <c r="AV345" s="100">
        <f t="shared" si="384"/>
        <v>0</v>
      </c>
      <c r="AW345" s="100">
        <f t="shared" si="385"/>
        <v>0</v>
      </c>
      <c r="AX345" s="100">
        <f t="shared" si="386"/>
        <v>0</v>
      </c>
      <c r="AY345" s="110" t="s">
        <v>1711</v>
      </c>
      <c r="AZ345" s="110" t="s">
        <v>1733</v>
      </c>
      <c r="BA345" s="109" t="s">
        <v>1737</v>
      </c>
      <c r="BC345" s="100">
        <f t="shared" si="387"/>
        <v>0</v>
      </c>
      <c r="BD345" s="100">
        <f t="shared" si="388"/>
        <v>0</v>
      </c>
      <c r="BE345" s="100">
        <v>0</v>
      </c>
      <c r="BF345" s="100">
        <f>345</f>
        <v>345</v>
      </c>
      <c r="BH345" s="108">
        <f t="shared" si="389"/>
        <v>0</v>
      </c>
      <c r="BI345" s="108">
        <f t="shared" si="390"/>
        <v>0</v>
      </c>
      <c r="BJ345" s="108">
        <f t="shared" si="391"/>
        <v>0</v>
      </c>
    </row>
    <row r="346" spans="1:62" x14ac:dyDescent="0.2">
      <c r="A346" s="117" t="s">
        <v>305</v>
      </c>
      <c r="B346" s="117" t="s">
        <v>2005</v>
      </c>
      <c r="C346" s="304" t="s">
        <v>1385</v>
      </c>
      <c r="D346" s="305"/>
      <c r="E346" s="305"/>
      <c r="F346" s="117" t="s">
        <v>1646</v>
      </c>
      <c r="G346" s="116">
        <v>9</v>
      </c>
      <c r="H346" s="159"/>
      <c r="I346" s="108">
        <f t="shared" si="368"/>
        <v>0</v>
      </c>
      <c r="J346" s="108">
        <f t="shared" si="369"/>
        <v>0</v>
      </c>
      <c r="K346" s="108">
        <f t="shared" si="370"/>
        <v>0</v>
      </c>
      <c r="L346" s="111"/>
      <c r="Z346" s="100">
        <f t="shared" si="371"/>
        <v>0</v>
      </c>
      <c r="AB346" s="100">
        <f t="shared" si="372"/>
        <v>0</v>
      </c>
      <c r="AC346" s="100">
        <f t="shared" si="373"/>
        <v>0</v>
      </c>
      <c r="AD346" s="100">
        <f t="shared" si="374"/>
        <v>0</v>
      </c>
      <c r="AE346" s="100">
        <f t="shared" si="375"/>
        <v>0</v>
      </c>
      <c r="AF346" s="100">
        <f t="shared" si="376"/>
        <v>0</v>
      </c>
      <c r="AG346" s="100">
        <f t="shared" si="377"/>
        <v>0</v>
      </c>
      <c r="AH346" s="100">
        <f t="shared" si="378"/>
        <v>0</v>
      </c>
      <c r="AI346" s="109"/>
      <c r="AJ346" s="108">
        <f t="shared" si="379"/>
        <v>0</v>
      </c>
      <c r="AK346" s="108">
        <f t="shared" si="380"/>
        <v>0</v>
      </c>
      <c r="AL346" s="108">
        <f t="shared" si="381"/>
        <v>0</v>
      </c>
      <c r="AN346" s="100">
        <v>15</v>
      </c>
      <c r="AO346" s="100">
        <f t="shared" si="382"/>
        <v>0</v>
      </c>
      <c r="AP346" s="100">
        <f t="shared" si="383"/>
        <v>0</v>
      </c>
      <c r="AQ346" s="111" t="s">
        <v>13</v>
      </c>
      <c r="AV346" s="100">
        <f t="shared" si="384"/>
        <v>0</v>
      </c>
      <c r="AW346" s="100">
        <f t="shared" si="385"/>
        <v>0</v>
      </c>
      <c r="AX346" s="100">
        <f t="shared" si="386"/>
        <v>0</v>
      </c>
      <c r="AY346" s="110" t="s">
        <v>1711</v>
      </c>
      <c r="AZ346" s="110" t="s">
        <v>1733</v>
      </c>
      <c r="BA346" s="109" t="s">
        <v>1737</v>
      </c>
      <c r="BC346" s="100">
        <f t="shared" si="387"/>
        <v>0</v>
      </c>
      <c r="BD346" s="100">
        <f t="shared" si="388"/>
        <v>0</v>
      </c>
      <c r="BE346" s="100">
        <v>0</v>
      </c>
      <c r="BF346" s="100">
        <f>346</f>
        <v>346</v>
      </c>
      <c r="BH346" s="108">
        <f t="shared" si="389"/>
        <v>0</v>
      </c>
      <c r="BI346" s="108">
        <f t="shared" si="390"/>
        <v>0</v>
      </c>
      <c r="BJ346" s="108">
        <f t="shared" si="391"/>
        <v>0</v>
      </c>
    </row>
    <row r="347" spans="1:62" x14ac:dyDescent="0.2">
      <c r="A347" s="117" t="s">
        <v>306</v>
      </c>
      <c r="B347" s="117" t="s">
        <v>2004</v>
      </c>
      <c r="C347" s="304" t="s">
        <v>1386</v>
      </c>
      <c r="D347" s="305"/>
      <c r="E347" s="305"/>
      <c r="F347" s="117" t="s">
        <v>1644</v>
      </c>
      <c r="G347" s="116">
        <v>1</v>
      </c>
      <c r="H347" s="159"/>
      <c r="I347" s="108">
        <f t="shared" si="368"/>
        <v>0</v>
      </c>
      <c r="J347" s="108">
        <f t="shared" si="369"/>
        <v>0</v>
      </c>
      <c r="K347" s="108">
        <f t="shared" si="370"/>
        <v>0</v>
      </c>
      <c r="L347" s="111"/>
      <c r="Z347" s="100">
        <f t="shared" si="371"/>
        <v>0</v>
      </c>
      <c r="AB347" s="100">
        <f t="shared" si="372"/>
        <v>0</v>
      </c>
      <c r="AC347" s="100">
        <f t="shared" si="373"/>
        <v>0</v>
      </c>
      <c r="AD347" s="100">
        <f t="shared" si="374"/>
        <v>0</v>
      </c>
      <c r="AE347" s="100">
        <f t="shared" si="375"/>
        <v>0</v>
      </c>
      <c r="AF347" s="100">
        <f t="shared" si="376"/>
        <v>0</v>
      </c>
      <c r="AG347" s="100">
        <f t="shared" si="377"/>
        <v>0</v>
      </c>
      <c r="AH347" s="100">
        <f t="shared" si="378"/>
        <v>0</v>
      </c>
      <c r="AI347" s="109"/>
      <c r="AJ347" s="108">
        <f t="shared" si="379"/>
        <v>0</v>
      </c>
      <c r="AK347" s="108">
        <f t="shared" si="380"/>
        <v>0</v>
      </c>
      <c r="AL347" s="108">
        <f t="shared" si="381"/>
        <v>0</v>
      </c>
      <c r="AN347" s="100">
        <v>15</v>
      </c>
      <c r="AO347" s="100">
        <f t="shared" si="382"/>
        <v>0</v>
      </c>
      <c r="AP347" s="100">
        <f t="shared" si="383"/>
        <v>0</v>
      </c>
      <c r="AQ347" s="111" t="s">
        <v>13</v>
      </c>
      <c r="AV347" s="100">
        <f t="shared" si="384"/>
        <v>0</v>
      </c>
      <c r="AW347" s="100">
        <f t="shared" si="385"/>
        <v>0</v>
      </c>
      <c r="AX347" s="100">
        <f t="shared" si="386"/>
        <v>0</v>
      </c>
      <c r="AY347" s="110" t="s">
        <v>1711</v>
      </c>
      <c r="AZ347" s="110" t="s">
        <v>1733</v>
      </c>
      <c r="BA347" s="109" t="s">
        <v>1737</v>
      </c>
      <c r="BC347" s="100">
        <f t="shared" si="387"/>
        <v>0</v>
      </c>
      <c r="BD347" s="100">
        <f t="shared" si="388"/>
        <v>0</v>
      </c>
      <c r="BE347" s="100">
        <v>0</v>
      </c>
      <c r="BF347" s="100">
        <f>347</f>
        <v>347</v>
      </c>
      <c r="BH347" s="108">
        <f t="shared" si="389"/>
        <v>0</v>
      </c>
      <c r="BI347" s="108">
        <f t="shared" si="390"/>
        <v>0</v>
      </c>
      <c r="BJ347" s="108">
        <f t="shared" si="391"/>
        <v>0</v>
      </c>
    </row>
    <row r="348" spans="1:62" x14ac:dyDescent="0.2">
      <c r="A348" s="117" t="s">
        <v>307</v>
      </c>
      <c r="B348" s="117" t="s">
        <v>2003</v>
      </c>
      <c r="C348" s="304" t="s">
        <v>1387</v>
      </c>
      <c r="D348" s="305"/>
      <c r="E348" s="305"/>
      <c r="F348" s="117" t="s">
        <v>1644</v>
      </c>
      <c r="G348" s="116">
        <v>1</v>
      </c>
      <c r="H348" s="159"/>
      <c r="I348" s="108">
        <f t="shared" si="368"/>
        <v>0</v>
      </c>
      <c r="J348" s="108">
        <f t="shared" si="369"/>
        <v>0</v>
      </c>
      <c r="K348" s="108">
        <f t="shared" si="370"/>
        <v>0</v>
      </c>
      <c r="L348" s="111"/>
      <c r="Z348" s="100">
        <f t="shared" si="371"/>
        <v>0</v>
      </c>
      <c r="AB348" s="100">
        <f t="shared" si="372"/>
        <v>0</v>
      </c>
      <c r="AC348" s="100">
        <f t="shared" si="373"/>
        <v>0</v>
      </c>
      <c r="AD348" s="100">
        <f t="shared" si="374"/>
        <v>0</v>
      </c>
      <c r="AE348" s="100">
        <f t="shared" si="375"/>
        <v>0</v>
      </c>
      <c r="AF348" s="100">
        <f t="shared" si="376"/>
        <v>0</v>
      </c>
      <c r="AG348" s="100">
        <f t="shared" si="377"/>
        <v>0</v>
      </c>
      <c r="AH348" s="100">
        <f t="shared" si="378"/>
        <v>0</v>
      </c>
      <c r="AI348" s="109"/>
      <c r="AJ348" s="108">
        <f t="shared" si="379"/>
        <v>0</v>
      </c>
      <c r="AK348" s="108">
        <f t="shared" si="380"/>
        <v>0</v>
      </c>
      <c r="AL348" s="108">
        <f t="shared" si="381"/>
        <v>0</v>
      </c>
      <c r="AN348" s="100">
        <v>15</v>
      </c>
      <c r="AO348" s="100">
        <f t="shared" si="382"/>
        <v>0</v>
      </c>
      <c r="AP348" s="100">
        <f t="shared" si="383"/>
        <v>0</v>
      </c>
      <c r="AQ348" s="111" t="s">
        <v>13</v>
      </c>
      <c r="AV348" s="100">
        <f t="shared" si="384"/>
        <v>0</v>
      </c>
      <c r="AW348" s="100">
        <f t="shared" si="385"/>
        <v>0</v>
      </c>
      <c r="AX348" s="100">
        <f t="shared" si="386"/>
        <v>0</v>
      </c>
      <c r="AY348" s="110" t="s">
        <v>1711</v>
      </c>
      <c r="AZ348" s="110" t="s">
        <v>1733</v>
      </c>
      <c r="BA348" s="109" t="s">
        <v>1737</v>
      </c>
      <c r="BC348" s="100">
        <f t="shared" si="387"/>
        <v>0</v>
      </c>
      <c r="BD348" s="100">
        <f t="shared" si="388"/>
        <v>0</v>
      </c>
      <c r="BE348" s="100">
        <v>0</v>
      </c>
      <c r="BF348" s="100">
        <f>348</f>
        <v>348</v>
      </c>
      <c r="BH348" s="108">
        <f t="shared" si="389"/>
        <v>0</v>
      </c>
      <c r="BI348" s="108">
        <f t="shared" si="390"/>
        <v>0</v>
      </c>
      <c r="BJ348" s="108">
        <f t="shared" si="391"/>
        <v>0</v>
      </c>
    </row>
    <row r="349" spans="1:62" x14ac:dyDescent="0.2">
      <c r="A349" s="117" t="s">
        <v>308</v>
      </c>
      <c r="B349" s="117" t="s">
        <v>2002</v>
      </c>
      <c r="C349" s="304" t="s">
        <v>1388</v>
      </c>
      <c r="D349" s="305"/>
      <c r="E349" s="305"/>
      <c r="F349" s="117" t="s">
        <v>1644</v>
      </c>
      <c r="G349" s="116">
        <v>1</v>
      </c>
      <c r="H349" s="159"/>
      <c r="I349" s="108">
        <f t="shared" si="368"/>
        <v>0</v>
      </c>
      <c r="J349" s="108">
        <f t="shared" si="369"/>
        <v>0</v>
      </c>
      <c r="K349" s="108">
        <f t="shared" si="370"/>
        <v>0</v>
      </c>
      <c r="L349" s="111"/>
      <c r="Z349" s="100">
        <f t="shared" si="371"/>
        <v>0</v>
      </c>
      <c r="AB349" s="100">
        <f t="shared" si="372"/>
        <v>0</v>
      </c>
      <c r="AC349" s="100">
        <f t="shared" si="373"/>
        <v>0</v>
      </c>
      <c r="AD349" s="100">
        <f t="shared" si="374"/>
        <v>0</v>
      </c>
      <c r="AE349" s="100">
        <f t="shared" si="375"/>
        <v>0</v>
      </c>
      <c r="AF349" s="100">
        <f t="shared" si="376"/>
        <v>0</v>
      </c>
      <c r="AG349" s="100">
        <f t="shared" si="377"/>
        <v>0</v>
      </c>
      <c r="AH349" s="100">
        <f t="shared" si="378"/>
        <v>0</v>
      </c>
      <c r="AI349" s="109"/>
      <c r="AJ349" s="108">
        <f t="shared" si="379"/>
        <v>0</v>
      </c>
      <c r="AK349" s="108">
        <f t="shared" si="380"/>
        <v>0</v>
      </c>
      <c r="AL349" s="108">
        <f t="shared" si="381"/>
        <v>0</v>
      </c>
      <c r="AN349" s="100">
        <v>15</v>
      </c>
      <c r="AO349" s="100">
        <f t="shared" si="382"/>
        <v>0</v>
      </c>
      <c r="AP349" s="100">
        <f t="shared" si="383"/>
        <v>0</v>
      </c>
      <c r="AQ349" s="111" t="s">
        <v>13</v>
      </c>
      <c r="AV349" s="100">
        <f t="shared" si="384"/>
        <v>0</v>
      </c>
      <c r="AW349" s="100">
        <f t="shared" si="385"/>
        <v>0</v>
      </c>
      <c r="AX349" s="100">
        <f t="shared" si="386"/>
        <v>0</v>
      </c>
      <c r="AY349" s="110" t="s">
        <v>1711</v>
      </c>
      <c r="AZ349" s="110" t="s">
        <v>1733</v>
      </c>
      <c r="BA349" s="109" t="s">
        <v>1737</v>
      </c>
      <c r="BC349" s="100">
        <f t="shared" si="387"/>
        <v>0</v>
      </c>
      <c r="BD349" s="100">
        <f t="shared" si="388"/>
        <v>0</v>
      </c>
      <c r="BE349" s="100">
        <v>0</v>
      </c>
      <c r="BF349" s="100">
        <f>349</f>
        <v>349</v>
      </c>
      <c r="BH349" s="108">
        <f t="shared" si="389"/>
        <v>0</v>
      </c>
      <c r="BI349" s="108">
        <f t="shared" si="390"/>
        <v>0</v>
      </c>
      <c r="BJ349" s="108">
        <f t="shared" si="391"/>
        <v>0</v>
      </c>
    </row>
    <row r="350" spans="1:62" x14ac:dyDescent="0.2">
      <c r="A350" s="117" t="s">
        <v>309</v>
      </c>
      <c r="B350" s="117" t="s">
        <v>2001</v>
      </c>
      <c r="C350" s="304" t="s">
        <v>1389</v>
      </c>
      <c r="D350" s="305"/>
      <c r="E350" s="305"/>
      <c r="F350" s="117" t="s">
        <v>1644</v>
      </c>
      <c r="G350" s="116">
        <v>1</v>
      </c>
      <c r="H350" s="159"/>
      <c r="I350" s="108">
        <f t="shared" si="368"/>
        <v>0</v>
      </c>
      <c r="J350" s="108">
        <f t="shared" si="369"/>
        <v>0</v>
      </c>
      <c r="K350" s="108">
        <f t="shared" si="370"/>
        <v>0</v>
      </c>
      <c r="L350" s="111"/>
      <c r="Z350" s="100">
        <f t="shared" si="371"/>
        <v>0</v>
      </c>
      <c r="AB350" s="100">
        <f t="shared" si="372"/>
        <v>0</v>
      </c>
      <c r="AC350" s="100">
        <f t="shared" si="373"/>
        <v>0</v>
      </c>
      <c r="AD350" s="100">
        <f t="shared" si="374"/>
        <v>0</v>
      </c>
      <c r="AE350" s="100">
        <f t="shared" si="375"/>
        <v>0</v>
      </c>
      <c r="AF350" s="100">
        <f t="shared" si="376"/>
        <v>0</v>
      </c>
      <c r="AG350" s="100">
        <f t="shared" si="377"/>
        <v>0</v>
      </c>
      <c r="AH350" s="100">
        <f t="shared" si="378"/>
        <v>0</v>
      </c>
      <c r="AI350" s="109"/>
      <c r="AJ350" s="108">
        <f t="shared" si="379"/>
        <v>0</v>
      </c>
      <c r="AK350" s="108">
        <f t="shared" si="380"/>
        <v>0</v>
      </c>
      <c r="AL350" s="108">
        <f t="shared" si="381"/>
        <v>0</v>
      </c>
      <c r="AN350" s="100">
        <v>15</v>
      </c>
      <c r="AO350" s="100">
        <f t="shared" si="382"/>
        <v>0</v>
      </c>
      <c r="AP350" s="100">
        <f t="shared" si="383"/>
        <v>0</v>
      </c>
      <c r="AQ350" s="111" t="s">
        <v>13</v>
      </c>
      <c r="AV350" s="100">
        <f t="shared" si="384"/>
        <v>0</v>
      </c>
      <c r="AW350" s="100">
        <f t="shared" si="385"/>
        <v>0</v>
      </c>
      <c r="AX350" s="100">
        <f t="shared" si="386"/>
        <v>0</v>
      </c>
      <c r="AY350" s="110" t="s">
        <v>1711</v>
      </c>
      <c r="AZ350" s="110" t="s">
        <v>1733</v>
      </c>
      <c r="BA350" s="109" t="s">
        <v>1737</v>
      </c>
      <c r="BC350" s="100">
        <f t="shared" si="387"/>
        <v>0</v>
      </c>
      <c r="BD350" s="100">
        <f t="shared" si="388"/>
        <v>0</v>
      </c>
      <c r="BE350" s="100">
        <v>0</v>
      </c>
      <c r="BF350" s="100">
        <f>350</f>
        <v>350</v>
      </c>
      <c r="BH350" s="108">
        <f t="shared" si="389"/>
        <v>0</v>
      </c>
      <c r="BI350" s="108">
        <f t="shared" si="390"/>
        <v>0</v>
      </c>
      <c r="BJ350" s="108">
        <f t="shared" si="391"/>
        <v>0</v>
      </c>
    </row>
    <row r="351" spans="1:62" x14ac:dyDescent="0.2">
      <c r="A351" s="117" t="s">
        <v>310</v>
      </c>
      <c r="B351" s="117" t="s">
        <v>2000</v>
      </c>
      <c r="C351" s="304" t="s">
        <v>1392</v>
      </c>
      <c r="D351" s="305"/>
      <c r="E351" s="305"/>
      <c r="F351" s="117" t="s">
        <v>1644</v>
      </c>
      <c r="G351" s="116">
        <v>2</v>
      </c>
      <c r="H351" s="159"/>
      <c r="I351" s="108">
        <f t="shared" si="368"/>
        <v>0</v>
      </c>
      <c r="J351" s="108">
        <f t="shared" si="369"/>
        <v>0</v>
      </c>
      <c r="K351" s="108">
        <f t="shared" si="370"/>
        <v>0</v>
      </c>
      <c r="L351" s="111"/>
      <c r="Z351" s="100">
        <f t="shared" si="371"/>
        <v>0</v>
      </c>
      <c r="AB351" s="100">
        <f t="shared" si="372"/>
        <v>0</v>
      </c>
      <c r="AC351" s="100">
        <f t="shared" si="373"/>
        <v>0</v>
      </c>
      <c r="AD351" s="100">
        <f t="shared" si="374"/>
        <v>0</v>
      </c>
      <c r="AE351" s="100">
        <f t="shared" si="375"/>
        <v>0</v>
      </c>
      <c r="AF351" s="100">
        <f t="shared" si="376"/>
        <v>0</v>
      </c>
      <c r="AG351" s="100">
        <f t="shared" si="377"/>
        <v>0</v>
      </c>
      <c r="AH351" s="100">
        <f t="shared" si="378"/>
        <v>0</v>
      </c>
      <c r="AI351" s="109"/>
      <c r="AJ351" s="108">
        <f t="shared" si="379"/>
        <v>0</v>
      </c>
      <c r="AK351" s="108">
        <f t="shared" si="380"/>
        <v>0</v>
      </c>
      <c r="AL351" s="108">
        <f t="shared" si="381"/>
        <v>0</v>
      </c>
      <c r="AN351" s="100">
        <v>15</v>
      </c>
      <c r="AO351" s="100">
        <f t="shared" si="382"/>
        <v>0</v>
      </c>
      <c r="AP351" s="100">
        <f t="shared" si="383"/>
        <v>0</v>
      </c>
      <c r="AQ351" s="111" t="s">
        <v>13</v>
      </c>
      <c r="AV351" s="100">
        <f t="shared" si="384"/>
        <v>0</v>
      </c>
      <c r="AW351" s="100">
        <f t="shared" si="385"/>
        <v>0</v>
      </c>
      <c r="AX351" s="100">
        <f t="shared" si="386"/>
        <v>0</v>
      </c>
      <c r="AY351" s="110" t="s">
        <v>1711</v>
      </c>
      <c r="AZ351" s="110" t="s">
        <v>1733</v>
      </c>
      <c r="BA351" s="109" t="s">
        <v>1737</v>
      </c>
      <c r="BC351" s="100">
        <f t="shared" si="387"/>
        <v>0</v>
      </c>
      <c r="BD351" s="100">
        <f t="shared" si="388"/>
        <v>0</v>
      </c>
      <c r="BE351" s="100">
        <v>0</v>
      </c>
      <c r="BF351" s="100">
        <f>351</f>
        <v>351</v>
      </c>
      <c r="BH351" s="108">
        <f t="shared" si="389"/>
        <v>0</v>
      </c>
      <c r="BI351" s="108">
        <f t="shared" si="390"/>
        <v>0</v>
      </c>
      <c r="BJ351" s="108">
        <f t="shared" si="391"/>
        <v>0</v>
      </c>
    </row>
    <row r="352" spans="1:62" x14ac:dyDescent="0.2">
      <c r="A352" s="117" t="s">
        <v>311</v>
      </c>
      <c r="B352" s="117" t="s">
        <v>1999</v>
      </c>
      <c r="C352" s="304" t="s">
        <v>1393</v>
      </c>
      <c r="D352" s="305"/>
      <c r="E352" s="305"/>
      <c r="F352" s="117" t="s">
        <v>1644</v>
      </c>
      <c r="G352" s="116">
        <v>1</v>
      </c>
      <c r="H352" s="159"/>
      <c r="I352" s="108">
        <f t="shared" si="368"/>
        <v>0</v>
      </c>
      <c r="J352" s="108">
        <f t="shared" si="369"/>
        <v>0</v>
      </c>
      <c r="K352" s="108">
        <f t="shared" si="370"/>
        <v>0</v>
      </c>
      <c r="L352" s="111"/>
      <c r="Z352" s="100">
        <f t="shared" si="371"/>
        <v>0</v>
      </c>
      <c r="AB352" s="100">
        <f t="shared" si="372"/>
        <v>0</v>
      </c>
      <c r="AC352" s="100">
        <f t="shared" si="373"/>
        <v>0</v>
      </c>
      <c r="AD352" s="100">
        <f t="shared" si="374"/>
        <v>0</v>
      </c>
      <c r="AE352" s="100">
        <f t="shared" si="375"/>
        <v>0</v>
      </c>
      <c r="AF352" s="100">
        <f t="shared" si="376"/>
        <v>0</v>
      </c>
      <c r="AG352" s="100">
        <f t="shared" si="377"/>
        <v>0</v>
      </c>
      <c r="AH352" s="100">
        <f t="shared" si="378"/>
        <v>0</v>
      </c>
      <c r="AI352" s="109"/>
      <c r="AJ352" s="108">
        <f t="shared" si="379"/>
        <v>0</v>
      </c>
      <c r="AK352" s="108">
        <f t="shared" si="380"/>
        <v>0</v>
      </c>
      <c r="AL352" s="108">
        <f t="shared" si="381"/>
        <v>0</v>
      </c>
      <c r="AN352" s="100">
        <v>15</v>
      </c>
      <c r="AO352" s="100">
        <f t="shared" si="382"/>
        <v>0</v>
      </c>
      <c r="AP352" s="100">
        <f t="shared" si="383"/>
        <v>0</v>
      </c>
      <c r="AQ352" s="111" t="s">
        <v>13</v>
      </c>
      <c r="AV352" s="100">
        <f t="shared" si="384"/>
        <v>0</v>
      </c>
      <c r="AW352" s="100">
        <f t="shared" si="385"/>
        <v>0</v>
      </c>
      <c r="AX352" s="100">
        <f t="shared" si="386"/>
        <v>0</v>
      </c>
      <c r="AY352" s="110" t="s">
        <v>1711</v>
      </c>
      <c r="AZ352" s="110" t="s">
        <v>1733</v>
      </c>
      <c r="BA352" s="109" t="s">
        <v>1737</v>
      </c>
      <c r="BC352" s="100">
        <f t="shared" si="387"/>
        <v>0</v>
      </c>
      <c r="BD352" s="100">
        <f t="shared" si="388"/>
        <v>0</v>
      </c>
      <c r="BE352" s="100">
        <v>0</v>
      </c>
      <c r="BF352" s="100">
        <f>352</f>
        <v>352</v>
      </c>
      <c r="BH352" s="108">
        <f t="shared" si="389"/>
        <v>0</v>
      </c>
      <c r="BI352" s="108">
        <f t="shared" si="390"/>
        <v>0</v>
      </c>
      <c r="BJ352" s="108">
        <f t="shared" si="391"/>
        <v>0</v>
      </c>
    </row>
    <row r="353" spans="1:62" x14ac:dyDescent="0.2">
      <c r="A353" s="117" t="s">
        <v>312</v>
      </c>
      <c r="B353" s="117" t="s">
        <v>1998</v>
      </c>
      <c r="C353" s="304" t="s">
        <v>1394</v>
      </c>
      <c r="D353" s="305"/>
      <c r="E353" s="305"/>
      <c r="F353" s="117" t="s">
        <v>1644</v>
      </c>
      <c r="G353" s="116">
        <v>1</v>
      </c>
      <c r="H353" s="159"/>
      <c r="I353" s="108">
        <f t="shared" si="368"/>
        <v>0</v>
      </c>
      <c r="J353" s="108">
        <f t="shared" si="369"/>
        <v>0</v>
      </c>
      <c r="K353" s="108">
        <f t="shared" si="370"/>
        <v>0</v>
      </c>
      <c r="L353" s="111"/>
      <c r="Z353" s="100">
        <f t="shared" si="371"/>
        <v>0</v>
      </c>
      <c r="AB353" s="100">
        <f t="shared" si="372"/>
        <v>0</v>
      </c>
      <c r="AC353" s="100">
        <f t="shared" si="373"/>
        <v>0</v>
      </c>
      <c r="AD353" s="100">
        <f t="shared" si="374"/>
        <v>0</v>
      </c>
      <c r="AE353" s="100">
        <f t="shared" si="375"/>
        <v>0</v>
      </c>
      <c r="AF353" s="100">
        <f t="shared" si="376"/>
        <v>0</v>
      </c>
      <c r="AG353" s="100">
        <f t="shared" si="377"/>
        <v>0</v>
      </c>
      <c r="AH353" s="100">
        <f t="shared" si="378"/>
        <v>0</v>
      </c>
      <c r="AI353" s="109"/>
      <c r="AJ353" s="108">
        <f t="shared" si="379"/>
        <v>0</v>
      </c>
      <c r="AK353" s="108">
        <f t="shared" si="380"/>
        <v>0</v>
      </c>
      <c r="AL353" s="108">
        <f t="shared" si="381"/>
        <v>0</v>
      </c>
      <c r="AN353" s="100">
        <v>15</v>
      </c>
      <c r="AO353" s="100">
        <f t="shared" si="382"/>
        <v>0</v>
      </c>
      <c r="AP353" s="100">
        <f t="shared" si="383"/>
        <v>0</v>
      </c>
      <c r="AQ353" s="111" t="s">
        <v>13</v>
      </c>
      <c r="AV353" s="100">
        <f t="shared" si="384"/>
        <v>0</v>
      </c>
      <c r="AW353" s="100">
        <f t="shared" si="385"/>
        <v>0</v>
      </c>
      <c r="AX353" s="100">
        <f t="shared" si="386"/>
        <v>0</v>
      </c>
      <c r="AY353" s="110" t="s">
        <v>1711</v>
      </c>
      <c r="AZ353" s="110" t="s">
        <v>1733</v>
      </c>
      <c r="BA353" s="109" t="s">
        <v>1737</v>
      </c>
      <c r="BC353" s="100">
        <f t="shared" si="387"/>
        <v>0</v>
      </c>
      <c r="BD353" s="100">
        <f t="shared" si="388"/>
        <v>0</v>
      </c>
      <c r="BE353" s="100">
        <v>0</v>
      </c>
      <c r="BF353" s="100">
        <f>353</f>
        <v>353</v>
      </c>
      <c r="BH353" s="108">
        <f t="shared" si="389"/>
        <v>0</v>
      </c>
      <c r="BI353" s="108">
        <f t="shared" si="390"/>
        <v>0</v>
      </c>
      <c r="BJ353" s="108">
        <f t="shared" si="391"/>
        <v>0</v>
      </c>
    </row>
    <row r="354" spans="1:62" x14ac:dyDescent="0.2">
      <c r="A354" s="119"/>
      <c r="B354" s="120" t="s">
        <v>822</v>
      </c>
      <c r="C354" s="306" t="s">
        <v>1395</v>
      </c>
      <c r="D354" s="307"/>
      <c r="E354" s="307"/>
      <c r="F354" s="119" t="s">
        <v>6</v>
      </c>
      <c r="G354" s="119" t="s">
        <v>6</v>
      </c>
      <c r="H354" s="119" t="s">
        <v>6</v>
      </c>
      <c r="I354" s="118">
        <f>SUM(I355:I382)</f>
        <v>0</v>
      </c>
      <c r="J354" s="118">
        <f>SUM(J355:J382)</f>
        <v>0</v>
      </c>
      <c r="K354" s="118">
        <f>SUM(K355:K382)</f>
        <v>0</v>
      </c>
      <c r="L354" s="109"/>
      <c r="AI354" s="109"/>
      <c r="AS354" s="118">
        <f>SUM(AJ355:AJ382)</f>
        <v>0</v>
      </c>
      <c r="AT354" s="118">
        <f>SUM(AK355:AK382)</f>
        <v>0</v>
      </c>
      <c r="AU354" s="118">
        <f>SUM(AL355:AL382)</f>
        <v>0</v>
      </c>
    </row>
    <row r="355" spans="1:62" x14ac:dyDescent="0.2">
      <c r="A355" s="117" t="s">
        <v>313</v>
      </c>
      <c r="B355" s="117" t="s">
        <v>117</v>
      </c>
      <c r="C355" s="304" t="s">
        <v>1396</v>
      </c>
      <c r="D355" s="305"/>
      <c r="E355" s="305"/>
      <c r="F355" s="117" t="s">
        <v>1652</v>
      </c>
      <c r="G355" s="116">
        <v>1</v>
      </c>
      <c r="H355" s="159"/>
      <c r="I355" s="108">
        <f t="shared" ref="I355:I382" si="392">G355*AO355</f>
        <v>0</v>
      </c>
      <c r="J355" s="108">
        <f t="shared" ref="J355:J382" si="393">G355*AP355</f>
        <v>0</v>
      </c>
      <c r="K355" s="108">
        <f t="shared" ref="K355:K382" si="394">G355*H355</f>
        <v>0</v>
      </c>
      <c r="L355" s="111"/>
      <c r="Z355" s="100">
        <f t="shared" ref="Z355:Z382" si="395">IF(AQ355="5",BJ355,0)</f>
        <v>0</v>
      </c>
      <c r="AB355" s="100">
        <f t="shared" ref="AB355:AB382" si="396">IF(AQ355="1",BH355,0)</f>
        <v>0</v>
      </c>
      <c r="AC355" s="100">
        <f t="shared" ref="AC355:AC382" si="397">IF(AQ355="1",BI355,0)</f>
        <v>0</v>
      </c>
      <c r="AD355" s="100">
        <f t="shared" ref="AD355:AD382" si="398">IF(AQ355="7",BH355,0)</f>
        <v>0</v>
      </c>
      <c r="AE355" s="100">
        <f t="shared" ref="AE355:AE382" si="399">IF(AQ355="7",BI355,0)</f>
        <v>0</v>
      </c>
      <c r="AF355" s="100">
        <f t="shared" ref="AF355:AF382" si="400">IF(AQ355="2",BH355,0)</f>
        <v>0</v>
      </c>
      <c r="AG355" s="100">
        <f t="shared" ref="AG355:AG382" si="401">IF(AQ355="2",BI355,0)</f>
        <v>0</v>
      </c>
      <c r="AH355" s="100">
        <f t="shared" ref="AH355:AH382" si="402">IF(AQ355="0",BJ355,0)</f>
        <v>0</v>
      </c>
      <c r="AI355" s="109"/>
      <c r="AJ355" s="108">
        <f t="shared" ref="AJ355:AJ382" si="403">IF(AN355=0,K355,0)</f>
        <v>0</v>
      </c>
      <c r="AK355" s="108">
        <f t="shared" ref="AK355:AK382" si="404">IF(AN355=15,K355,0)</f>
        <v>0</v>
      </c>
      <c r="AL355" s="108">
        <f t="shared" ref="AL355:AL382" si="405">IF(AN355=21,K355,0)</f>
        <v>0</v>
      </c>
      <c r="AN355" s="100">
        <v>15</v>
      </c>
      <c r="AO355" s="100">
        <f t="shared" ref="AO355:AO382" si="406">H355*0</f>
        <v>0</v>
      </c>
      <c r="AP355" s="100">
        <f t="shared" ref="AP355:AP382" si="407">H355*(1-0)</f>
        <v>0</v>
      </c>
      <c r="AQ355" s="111" t="s">
        <v>13</v>
      </c>
      <c r="AV355" s="100">
        <f t="shared" ref="AV355:AV382" si="408">AW355+AX355</f>
        <v>0</v>
      </c>
      <c r="AW355" s="100">
        <f t="shared" ref="AW355:AW382" si="409">G355*AO355</f>
        <v>0</v>
      </c>
      <c r="AX355" s="100">
        <f t="shared" ref="AX355:AX382" si="410">G355*AP355</f>
        <v>0</v>
      </c>
      <c r="AY355" s="110" t="s">
        <v>1712</v>
      </c>
      <c r="AZ355" s="110" t="s">
        <v>1733</v>
      </c>
      <c r="BA355" s="109" t="s">
        <v>1737</v>
      </c>
      <c r="BC355" s="100">
        <f t="shared" ref="BC355:BC382" si="411">AW355+AX355</f>
        <v>0</v>
      </c>
      <c r="BD355" s="100">
        <f t="shared" ref="BD355:BD382" si="412">H355/(100-BE355)*100</f>
        <v>0</v>
      </c>
      <c r="BE355" s="100">
        <v>0</v>
      </c>
      <c r="BF355" s="100">
        <f>355</f>
        <v>355</v>
      </c>
      <c r="BH355" s="108">
        <f t="shared" ref="BH355:BH382" si="413">G355*AO355</f>
        <v>0</v>
      </c>
      <c r="BI355" s="108">
        <f t="shared" ref="BI355:BI382" si="414">G355*AP355</f>
        <v>0</v>
      </c>
      <c r="BJ355" s="108">
        <f t="shared" ref="BJ355:BJ382" si="415">G355*H355</f>
        <v>0</v>
      </c>
    </row>
    <row r="356" spans="1:62" x14ac:dyDescent="0.2">
      <c r="A356" s="117" t="s">
        <v>314</v>
      </c>
      <c r="B356" s="117" t="s">
        <v>118</v>
      </c>
      <c r="C356" s="304" t="s">
        <v>1397</v>
      </c>
      <c r="D356" s="305"/>
      <c r="E356" s="305"/>
      <c r="F356" s="117" t="s">
        <v>1652</v>
      </c>
      <c r="G356" s="116">
        <v>1</v>
      </c>
      <c r="H356" s="159"/>
      <c r="I356" s="108">
        <f t="shared" si="392"/>
        <v>0</v>
      </c>
      <c r="J356" s="108">
        <f t="shared" si="393"/>
        <v>0</v>
      </c>
      <c r="K356" s="108">
        <f t="shared" si="394"/>
        <v>0</v>
      </c>
      <c r="L356" s="111"/>
      <c r="Z356" s="100">
        <f t="shared" si="395"/>
        <v>0</v>
      </c>
      <c r="AB356" s="100">
        <f t="shared" si="396"/>
        <v>0</v>
      </c>
      <c r="AC356" s="100">
        <f t="shared" si="397"/>
        <v>0</v>
      </c>
      <c r="AD356" s="100">
        <f t="shared" si="398"/>
        <v>0</v>
      </c>
      <c r="AE356" s="100">
        <f t="shared" si="399"/>
        <v>0</v>
      </c>
      <c r="AF356" s="100">
        <f t="shared" si="400"/>
        <v>0</v>
      </c>
      <c r="AG356" s="100">
        <f t="shared" si="401"/>
        <v>0</v>
      </c>
      <c r="AH356" s="100">
        <f t="shared" si="402"/>
        <v>0</v>
      </c>
      <c r="AI356" s="109"/>
      <c r="AJ356" s="108">
        <f t="shared" si="403"/>
        <v>0</v>
      </c>
      <c r="AK356" s="108">
        <f t="shared" si="404"/>
        <v>0</v>
      </c>
      <c r="AL356" s="108">
        <f t="shared" si="405"/>
        <v>0</v>
      </c>
      <c r="AN356" s="100">
        <v>15</v>
      </c>
      <c r="AO356" s="100">
        <f t="shared" si="406"/>
        <v>0</v>
      </c>
      <c r="AP356" s="100">
        <f t="shared" si="407"/>
        <v>0</v>
      </c>
      <c r="AQ356" s="111" t="s">
        <v>13</v>
      </c>
      <c r="AV356" s="100">
        <f t="shared" si="408"/>
        <v>0</v>
      </c>
      <c r="AW356" s="100">
        <f t="shared" si="409"/>
        <v>0</v>
      </c>
      <c r="AX356" s="100">
        <f t="shared" si="410"/>
        <v>0</v>
      </c>
      <c r="AY356" s="110" t="s">
        <v>1712</v>
      </c>
      <c r="AZ356" s="110" t="s">
        <v>1733</v>
      </c>
      <c r="BA356" s="109" t="s">
        <v>1737</v>
      </c>
      <c r="BC356" s="100">
        <f t="shared" si="411"/>
        <v>0</v>
      </c>
      <c r="BD356" s="100">
        <f t="shared" si="412"/>
        <v>0</v>
      </c>
      <c r="BE356" s="100">
        <v>0</v>
      </c>
      <c r="BF356" s="100">
        <f>356</f>
        <v>356</v>
      </c>
      <c r="BH356" s="108">
        <f t="shared" si="413"/>
        <v>0</v>
      </c>
      <c r="BI356" s="108">
        <f t="shared" si="414"/>
        <v>0</v>
      </c>
      <c r="BJ356" s="108">
        <f t="shared" si="415"/>
        <v>0</v>
      </c>
    </row>
    <row r="357" spans="1:62" x14ac:dyDescent="0.2">
      <c r="A357" s="117" t="s">
        <v>315</v>
      </c>
      <c r="B357" s="117" t="s">
        <v>119</v>
      </c>
      <c r="C357" s="304" t="s">
        <v>1398</v>
      </c>
      <c r="D357" s="305"/>
      <c r="E357" s="305"/>
      <c r="F357" s="117" t="s">
        <v>1652</v>
      </c>
      <c r="G357" s="116">
        <v>1</v>
      </c>
      <c r="H357" s="159"/>
      <c r="I357" s="108">
        <f t="shared" si="392"/>
        <v>0</v>
      </c>
      <c r="J357" s="108">
        <f t="shared" si="393"/>
        <v>0</v>
      </c>
      <c r="K357" s="108">
        <f t="shared" si="394"/>
        <v>0</v>
      </c>
      <c r="L357" s="111"/>
      <c r="Z357" s="100">
        <f t="shared" si="395"/>
        <v>0</v>
      </c>
      <c r="AB357" s="100">
        <f t="shared" si="396"/>
        <v>0</v>
      </c>
      <c r="AC357" s="100">
        <f t="shared" si="397"/>
        <v>0</v>
      </c>
      <c r="AD357" s="100">
        <f t="shared" si="398"/>
        <v>0</v>
      </c>
      <c r="AE357" s="100">
        <f t="shared" si="399"/>
        <v>0</v>
      </c>
      <c r="AF357" s="100">
        <f t="shared" si="400"/>
        <v>0</v>
      </c>
      <c r="AG357" s="100">
        <f t="shared" si="401"/>
        <v>0</v>
      </c>
      <c r="AH357" s="100">
        <f t="shared" si="402"/>
        <v>0</v>
      </c>
      <c r="AI357" s="109"/>
      <c r="AJ357" s="108">
        <f t="shared" si="403"/>
        <v>0</v>
      </c>
      <c r="AK357" s="108">
        <f t="shared" si="404"/>
        <v>0</v>
      </c>
      <c r="AL357" s="108">
        <f t="shared" si="405"/>
        <v>0</v>
      </c>
      <c r="AN357" s="100">
        <v>15</v>
      </c>
      <c r="AO357" s="100">
        <f t="shared" si="406"/>
        <v>0</v>
      </c>
      <c r="AP357" s="100">
        <f t="shared" si="407"/>
        <v>0</v>
      </c>
      <c r="AQ357" s="111" t="s">
        <v>13</v>
      </c>
      <c r="AV357" s="100">
        <f t="shared" si="408"/>
        <v>0</v>
      </c>
      <c r="AW357" s="100">
        <f t="shared" si="409"/>
        <v>0</v>
      </c>
      <c r="AX357" s="100">
        <f t="shared" si="410"/>
        <v>0</v>
      </c>
      <c r="AY357" s="110" t="s">
        <v>1712</v>
      </c>
      <c r="AZ357" s="110" t="s">
        <v>1733</v>
      </c>
      <c r="BA357" s="109" t="s">
        <v>1737</v>
      </c>
      <c r="BC357" s="100">
        <f t="shared" si="411"/>
        <v>0</v>
      </c>
      <c r="BD357" s="100">
        <f t="shared" si="412"/>
        <v>0</v>
      </c>
      <c r="BE357" s="100">
        <v>0</v>
      </c>
      <c r="BF357" s="100">
        <f>357</f>
        <v>357</v>
      </c>
      <c r="BH357" s="108">
        <f t="shared" si="413"/>
        <v>0</v>
      </c>
      <c r="BI357" s="108">
        <f t="shared" si="414"/>
        <v>0</v>
      </c>
      <c r="BJ357" s="108">
        <f t="shared" si="415"/>
        <v>0</v>
      </c>
    </row>
    <row r="358" spans="1:62" x14ac:dyDescent="0.2">
      <c r="A358" s="117" t="s">
        <v>316</v>
      </c>
      <c r="B358" s="117" t="s">
        <v>120</v>
      </c>
      <c r="C358" s="304" t="s">
        <v>1399</v>
      </c>
      <c r="D358" s="305"/>
      <c r="E358" s="305"/>
      <c r="F358" s="117" t="s">
        <v>1652</v>
      </c>
      <c r="G358" s="116">
        <v>1</v>
      </c>
      <c r="H358" s="159"/>
      <c r="I358" s="108">
        <f t="shared" si="392"/>
        <v>0</v>
      </c>
      <c r="J358" s="108">
        <f t="shared" si="393"/>
        <v>0</v>
      </c>
      <c r="K358" s="108">
        <f t="shared" si="394"/>
        <v>0</v>
      </c>
      <c r="L358" s="111"/>
      <c r="Z358" s="100">
        <f t="shared" si="395"/>
        <v>0</v>
      </c>
      <c r="AB358" s="100">
        <f t="shared" si="396"/>
        <v>0</v>
      </c>
      <c r="AC358" s="100">
        <f t="shared" si="397"/>
        <v>0</v>
      </c>
      <c r="AD358" s="100">
        <f t="shared" si="398"/>
        <v>0</v>
      </c>
      <c r="AE358" s="100">
        <f t="shared" si="399"/>
        <v>0</v>
      </c>
      <c r="AF358" s="100">
        <f t="shared" si="400"/>
        <v>0</v>
      </c>
      <c r="AG358" s="100">
        <f t="shared" si="401"/>
        <v>0</v>
      </c>
      <c r="AH358" s="100">
        <f t="shared" si="402"/>
        <v>0</v>
      </c>
      <c r="AI358" s="109"/>
      <c r="AJ358" s="108">
        <f t="shared" si="403"/>
        <v>0</v>
      </c>
      <c r="AK358" s="108">
        <f t="shared" si="404"/>
        <v>0</v>
      </c>
      <c r="AL358" s="108">
        <f t="shared" si="405"/>
        <v>0</v>
      </c>
      <c r="AN358" s="100">
        <v>15</v>
      </c>
      <c r="AO358" s="100">
        <f t="shared" si="406"/>
        <v>0</v>
      </c>
      <c r="AP358" s="100">
        <f t="shared" si="407"/>
        <v>0</v>
      </c>
      <c r="AQ358" s="111" t="s">
        <v>13</v>
      </c>
      <c r="AV358" s="100">
        <f t="shared" si="408"/>
        <v>0</v>
      </c>
      <c r="AW358" s="100">
        <f t="shared" si="409"/>
        <v>0</v>
      </c>
      <c r="AX358" s="100">
        <f t="shared" si="410"/>
        <v>0</v>
      </c>
      <c r="AY358" s="110" t="s">
        <v>1712</v>
      </c>
      <c r="AZ358" s="110" t="s">
        <v>1733</v>
      </c>
      <c r="BA358" s="109" t="s">
        <v>1737</v>
      </c>
      <c r="BC358" s="100">
        <f t="shared" si="411"/>
        <v>0</v>
      </c>
      <c r="BD358" s="100">
        <f t="shared" si="412"/>
        <v>0</v>
      </c>
      <c r="BE358" s="100">
        <v>0</v>
      </c>
      <c r="BF358" s="100">
        <f>358</f>
        <v>358</v>
      </c>
      <c r="BH358" s="108">
        <f t="shared" si="413"/>
        <v>0</v>
      </c>
      <c r="BI358" s="108">
        <f t="shared" si="414"/>
        <v>0</v>
      </c>
      <c r="BJ358" s="108">
        <f t="shared" si="415"/>
        <v>0</v>
      </c>
    </row>
    <row r="359" spans="1:62" x14ac:dyDescent="0.2">
      <c r="A359" s="117" t="s">
        <v>317</v>
      </c>
      <c r="B359" s="117" t="s">
        <v>121</v>
      </c>
      <c r="C359" s="304" t="s">
        <v>1400</v>
      </c>
      <c r="D359" s="305"/>
      <c r="E359" s="305"/>
      <c r="F359" s="117" t="s">
        <v>1652</v>
      </c>
      <c r="G359" s="116">
        <v>1</v>
      </c>
      <c r="H359" s="159"/>
      <c r="I359" s="108">
        <f t="shared" si="392"/>
        <v>0</v>
      </c>
      <c r="J359" s="108">
        <f t="shared" si="393"/>
        <v>0</v>
      </c>
      <c r="K359" s="108">
        <f t="shared" si="394"/>
        <v>0</v>
      </c>
      <c r="L359" s="111"/>
      <c r="Z359" s="100">
        <f t="shared" si="395"/>
        <v>0</v>
      </c>
      <c r="AB359" s="100">
        <f t="shared" si="396"/>
        <v>0</v>
      </c>
      <c r="AC359" s="100">
        <f t="shared" si="397"/>
        <v>0</v>
      </c>
      <c r="AD359" s="100">
        <f t="shared" si="398"/>
        <v>0</v>
      </c>
      <c r="AE359" s="100">
        <f t="shared" si="399"/>
        <v>0</v>
      </c>
      <c r="AF359" s="100">
        <f t="shared" si="400"/>
        <v>0</v>
      </c>
      <c r="AG359" s="100">
        <f t="shared" si="401"/>
        <v>0</v>
      </c>
      <c r="AH359" s="100">
        <f t="shared" si="402"/>
        <v>0</v>
      </c>
      <c r="AI359" s="109"/>
      <c r="AJ359" s="108">
        <f t="shared" si="403"/>
        <v>0</v>
      </c>
      <c r="AK359" s="108">
        <f t="shared" si="404"/>
        <v>0</v>
      </c>
      <c r="AL359" s="108">
        <f t="shared" si="405"/>
        <v>0</v>
      </c>
      <c r="AN359" s="100">
        <v>15</v>
      </c>
      <c r="AO359" s="100">
        <f t="shared" si="406"/>
        <v>0</v>
      </c>
      <c r="AP359" s="100">
        <f t="shared" si="407"/>
        <v>0</v>
      </c>
      <c r="AQ359" s="111" t="s">
        <v>13</v>
      </c>
      <c r="AV359" s="100">
        <f t="shared" si="408"/>
        <v>0</v>
      </c>
      <c r="AW359" s="100">
        <f t="shared" si="409"/>
        <v>0</v>
      </c>
      <c r="AX359" s="100">
        <f t="shared" si="410"/>
        <v>0</v>
      </c>
      <c r="AY359" s="110" t="s">
        <v>1712</v>
      </c>
      <c r="AZ359" s="110" t="s">
        <v>1733</v>
      </c>
      <c r="BA359" s="109" t="s">
        <v>1737</v>
      </c>
      <c r="BC359" s="100">
        <f t="shared" si="411"/>
        <v>0</v>
      </c>
      <c r="BD359" s="100">
        <f t="shared" si="412"/>
        <v>0</v>
      </c>
      <c r="BE359" s="100">
        <v>0</v>
      </c>
      <c r="BF359" s="100">
        <f>359</f>
        <v>359</v>
      </c>
      <c r="BH359" s="108">
        <f t="shared" si="413"/>
        <v>0</v>
      </c>
      <c r="BI359" s="108">
        <f t="shared" si="414"/>
        <v>0</v>
      </c>
      <c r="BJ359" s="108">
        <f t="shared" si="415"/>
        <v>0</v>
      </c>
    </row>
    <row r="360" spans="1:62" x14ac:dyDescent="0.2">
      <c r="A360" s="117" t="s">
        <v>318</v>
      </c>
      <c r="B360" s="117" t="s">
        <v>122</v>
      </c>
      <c r="C360" s="304" t="s">
        <v>1401</v>
      </c>
      <c r="D360" s="305"/>
      <c r="E360" s="305"/>
      <c r="F360" s="117" t="s">
        <v>1652</v>
      </c>
      <c r="G360" s="116">
        <v>1</v>
      </c>
      <c r="H360" s="159"/>
      <c r="I360" s="108">
        <f t="shared" si="392"/>
        <v>0</v>
      </c>
      <c r="J360" s="108">
        <f t="shared" si="393"/>
        <v>0</v>
      </c>
      <c r="K360" s="108">
        <f t="shared" si="394"/>
        <v>0</v>
      </c>
      <c r="L360" s="111"/>
      <c r="Z360" s="100">
        <f t="shared" si="395"/>
        <v>0</v>
      </c>
      <c r="AB360" s="100">
        <f t="shared" si="396"/>
        <v>0</v>
      </c>
      <c r="AC360" s="100">
        <f t="shared" si="397"/>
        <v>0</v>
      </c>
      <c r="AD360" s="100">
        <f t="shared" si="398"/>
        <v>0</v>
      </c>
      <c r="AE360" s="100">
        <f t="shared" si="399"/>
        <v>0</v>
      </c>
      <c r="AF360" s="100">
        <f t="shared" si="400"/>
        <v>0</v>
      </c>
      <c r="AG360" s="100">
        <f t="shared" si="401"/>
        <v>0</v>
      </c>
      <c r="AH360" s="100">
        <f t="shared" si="402"/>
        <v>0</v>
      </c>
      <c r="AI360" s="109"/>
      <c r="AJ360" s="108">
        <f t="shared" si="403"/>
        <v>0</v>
      </c>
      <c r="AK360" s="108">
        <f t="shared" si="404"/>
        <v>0</v>
      </c>
      <c r="AL360" s="108">
        <f t="shared" si="405"/>
        <v>0</v>
      </c>
      <c r="AN360" s="100">
        <v>15</v>
      </c>
      <c r="AO360" s="100">
        <f t="shared" si="406"/>
        <v>0</v>
      </c>
      <c r="AP360" s="100">
        <f t="shared" si="407"/>
        <v>0</v>
      </c>
      <c r="AQ360" s="111" t="s">
        <v>13</v>
      </c>
      <c r="AV360" s="100">
        <f t="shared" si="408"/>
        <v>0</v>
      </c>
      <c r="AW360" s="100">
        <f t="shared" si="409"/>
        <v>0</v>
      </c>
      <c r="AX360" s="100">
        <f t="shared" si="410"/>
        <v>0</v>
      </c>
      <c r="AY360" s="110" t="s">
        <v>1712</v>
      </c>
      <c r="AZ360" s="110" t="s">
        <v>1733</v>
      </c>
      <c r="BA360" s="109" t="s">
        <v>1737</v>
      </c>
      <c r="BC360" s="100">
        <f t="shared" si="411"/>
        <v>0</v>
      </c>
      <c r="BD360" s="100">
        <f t="shared" si="412"/>
        <v>0</v>
      </c>
      <c r="BE360" s="100">
        <v>0</v>
      </c>
      <c r="BF360" s="100">
        <f>360</f>
        <v>360</v>
      </c>
      <c r="BH360" s="108">
        <f t="shared" si="413"/>
        <v>0</v>
      </c>
      <c r="BI360" s="108">
        <f t="shared" si="414"/>
        <v>0</v>
      </c>
      <c r="BJ360" s="108">
        <f t="shared" si="415"/>
        <v>0</v>
      </c>
    </row>
    <row r="361" spans="1:62" x14ac:dyDescent="0.2">
      <c r="A361" s="117" t="s">
        <v>319</v>
      </c>
      <c r="B361" s="117" t="s">
        <v>123</v>
      </c>
      <c r="C361" s="304" t="s">
        <v>1402</v>
      </c>
      <c r="D361" s="305"/>
      <c r="E361" s="305"/>
      <c r="F361" s="117" t="s">
        <v>1652</v>
      </c>
      <c r="G361" s="116">
        <v>1</v>
      </c>
      <c r="H361" s="159"/>
      <c r="I361" s="108">
        <f t="shared" si="392"/>
        <v>0</v>
      </c>
      <c r="J361" s="108">
        <f t="shared" si="393"/>
        <v>0</v>
      </c>
      <c r="K361" s="108">
        <f t="shared" si="394"/>
        <v>0</v>
      </c>
      <c r="L361" s="111"/>
      <c r="Z361" s="100">
        <f t="shared" si="395"/>
        <v>0</v>
      </c>
      <c r="AB361" s="100">
        <f t="shared" si="396"/>
        <v>0</v>
      </c>
      <c r="AC361" s="100">
        <f t="shared" si="397"/>
        <v>0</v>
      </c>
      <c r="AD361" s="100">
        <f t="shared" si="398"/>
        <v>0</v>
      </c>
      <c r="AE361" s="100">
        <f t="shared" si="399"/>
        <v>0</v>
      </c>
      <c r="AF361" s="100">
        <f t="shared" si="400"/>
        <v>0</v>
      </c>
      <c r="AG361" s="100">
        <f t="shared" si="401"/>
        <v>0</v>
      </c>
      <c r="AH361" s="100">
        <f t="shared" si="402"/>
        <v>0</v>
      </c>
      <c r="AI361" s="109"/>
      <c r="AJ361" s="108">
        <f t="shared" si="403"/>
        <v>0</v>
      </c>
      <c r="AK361" s="108">
        <f t="shared" si="404"/>
        <v>0</v>
      </c>
      <c r="AL361" s="108">
        <f t="shared" si="405"/>
        <v>0</v>
      </c>
      <c r="AN361" s="100">
        <v>15</v>
      </c>
      <c r="AO361" s="100">
        <f t="shared" si="406"/>
        <v>0</v>
      </c>
      <c r="AP361" s="100">
        <f t="shared" si="407"/>
        <v>0</v>
      </c>
      <c r="AQ361" s="111" t="s">
        <v>13</v>
      </c>
      <c r="AV361" s="100">
        <f t="shared" si="408"/>
        <v>0</v>
      </c>
      <c r="AW361" s="100">
        <f t="shared" si="409"/>
        <v>0</v>
      </c>
      <c r="AX361" s="100">
        <f t="shared" si="410"/>
        <v>0</v>
      </c>
      <c r="AY361" s="110" t="s">
        <v>1712</v>
      </c>
      <c r="AZ361" s="110" t="s">
        <v>1733</v>
      </c>
      <c r="BA361" s="109" t="s">
        <v>1737</v>
      </c>
      <c r="BC361" s="100">
        <f t="shared" si="411"/>
        <v>0</v>
      </c>
      <c r="BD361" s="100">
        <f t="shared" si="412"/>
        <v>0</v>
      </c>
      <c r="BE361" s="100">
        <v>0</v>
      </c>
      <c r="BF361" s="100">
        <f>361</f>
        <v>361</v>
      </c>
      <c r="BH361" s="108">
        <f t="shared" si="413"/>
        <v>0</v>
      </c>
      <c r="BI361" s="108">
        <f t="shared" si="414"/>
        <v>0</v>
      </c>
      <c r="BJ361" s="108">
        <f t="shared" si="415"/>
        <v>0</v>
      </c>
    </row>
    <row r="362" spans="1:62" x14ac:dyDescent="0.2">
      <c r="A362" s="117" t="s">
        <v>320</v>
      </c>
      <c r="B362" s="117" t="s">
        <v>124</v>
      </c>
      <c r="C362" s="304" t="s">
        <v>1403</v>
      </c>
      <c r="D362" s="305"/>
      <c r="E362" s="305"/>
      <c r="F362" s="117" t="s">
        <v>1652</v>
      </c>
      <c r="G362" s="116">
        <v>1</v>
      </c>
      <c r="H362" s="159"/>
      <c r="I362" s="108">
        <f t="shared" si="392"/>
        <v>0</v>
      </c>
      <c r="J362" s="108">
        <f t="shared" si="393"/>
        <v>0</v>
      </c>
      <c r="K362" s="108">
        <f t="shared" si="394"/>
        <v>0</v>
      </c>
      <c r="L362" s="111"/>
      <c r="Z362" s="100">
        <f t="shared" si="395"/>
        <v>0</v>
      </c>
      <c r="AB362" s="100">
        <f t="shared" si="396"/>
        <v>0</v>
      </c>
      <c r="AC362" s="100">
        <f t="shared" si="397"/>
        <v>0</v>
      </c>
      <c r="AD362" s="100">
        <f t="shared" si="398"/>
        <v>0</v>
      </c>
      <c r="AE362" s="100">
        <f t="shared" si="399"/>
        <v>0</v>
      </c>
      <c r="AF362" s="100">
        <f t="shared" si="400"/>
        <v>0</v>
      </c>
      <c r="AG362" s="100">
        <f t="shared" si="401"/>
        <v>0</v>
      </c>
      <c r="AH362" s="100">
        <f t="shared" si="402"/>
        <v>0</v>
      </c>
      <c r="AI362" s="109"/>
      <c r="AJ362" s="108">
        <f t="shared" si="403"/>
        <v>0</v>
      </c>
      <c r="AK362" s="108">
        <f t="shared" si="404"/>
        <v>0</v>
      </c>
      <c r="AL362" s="108">
        <f t="shared" si="405"/>
        <v>0</v>
      </c>
      <c r="AN362" s="100">
        <v>15</v>
      </c>
      <c r="AO362" s="100">
        <f t="shared" si="406"/>
        <v>0</v>
      </c>
      <c r="AP362" s="100">
        <f t="shared" si="407"/>
        <v>0</v>
      </c>
      <c r="AQ362" s="111" t="s">
        <v>13</v>
      </c>
      <c r="AV362" s="100">
        <f t="shared" si="408"/>
        <v>0</v>
      </c>
      <c r="AW362" s="100">
        <f t="shared" si="409"/>
        <v>0</v>
      </c>
      <c r="AX362" s="100">
        <f t="shared" si="410"/>
        <v>0</v>
      </c>
      <c r="AY362" s="110" t="s">
        <v>1712</v>
      </c>
      <c r="AZ362" s="110" t="s">
        <v>1733</v>
      </c>
      <c r="BA362" s="109" t="s">
        <v>1737</v>
      </c>
      <c r="BC362" s="100">
        <f t="shared" si="411"/>
        <v>0</v>
      </c>
      <c r="BD362" s="100">
        <f t="shared" si="412"/>
        <v>0</v>
      </c>
      <c r="BE362" s="100">
        <v>0</v>
      </c>
      <c r="BF362" s="100">
        <f>362</f>
        <v>362</v>
      </c>
      <c r="BH362" s="108">
        <f t="shared" si="413"/>
        <v>0</v>
      </c>
      <c r="BI362" s="108">
        <f t="shared" si="414"/>
        <v>0</v>
      </c>
      <c r="BJ362" s="108">
        <f t="shared" si="415"/>
        <v>0</v>
      </c>
    </row>
    <row r="363" spans="1:62" x14ac:dyDescent="0.2">
      <c r="A363" s="117" t="s">
        <v>321</v>
      </c>
      <c r="B363" s="117" t="s">
        <v>125</v>
      </c>
      <c r="C363" s="304" t="s">
        <v>1404</v>
      </c>
      <c r="D363" s="305"/>
      <c r="E363" s="305"/>
      <c r="F363" s="117" t="s">
        <v>1646</v>
      </c>
      <c r="G363" s="116">
        <v>450</v>
      </c>
      <c r="H363" s="159"/>
      <c r="I363" s="108">
        <f t="shared" si="392"/>
        <v>0</v>
      </c>
      <c r="J363" s="108">
        <f t="shared" si="393"/>
        <v>0</v>
      </c>
      <c r="K363" s="108">
        <f t="shared" si="394"/>
        <v>0</v>
      </c>
      <c r="L363" s="111"/>
      <c r="Z363" s="100">
        <f t="shared" si="395"/>
        <v>0</v>
      </c>
      <c r="AB363" s="100">
        <f t="shared" si="396"/>
        <v>0</v>
      </c>
      <c r="AC363" s="100">
        <f t="shared" si="397"/>
        <v>0</v>
      </c>
      <c r="AD363" s="100">
        <f t="shared" si="398"/>
        <v>0</v>
      </c>
      <c r="AE363" s="100">
        <f t="shared" si="399"/>
        <v>0</v>
      </c>
      <c r="AF363" s="100">
        <f t="shared" si="400"/>
        <v>0</v>
      </c>
      <c r="AG363" s="100">
        <f t="shared" si="401"/>
        <v>0</v>
      </c>
      <c r="AH363" s="100">
        <f t="shared" si="402"/>
        <v>0</v>
      </c>
      <c r="AI363" s="109"/>
      <c r="AJ363" s="108">
        <f t="shared" si="403"/>
        <v>0</v>
      </c>
      <c r="AK363" s="108">
        <f t="shared" si="404"/>
        <v>0</v>
      </c>
      <c r="AL363" s="108">
        <f t="shared" si="405"/>
        <v>0</v>
      </c>
      <c r="AN363" s="100">
        <v>15</v>
      </c>
      <c r="AO363" s="100">
        <f t="shared" si="406"/>
        <v>0</v>
      </c>
      <c r="AP363" s="100">
        <f t="shared" si="407"/>
        <v>0</v>
      </c>
      <c r="AQ363" s="111" t="s">
        <v>13</v>
      </c>
      <c r="AV363" s="100">
        <f t="shared" si="408"/>
        <v>0</v>
      </c>
      <c r="AW363" s="100">
        <f t="shared" si="409"/>
        <v>0</v>
      </c>
      <c r="AX363" s="100">
        <f t="shared" si="410"/>
        <v>0</v>
      </c>
      <c r="AY363" s="110" t="s">
        <v>1712</v>
      </c>
      <c r="AZ363" s="110" t="s">
        <v>1733</v>
      </c>
      <c r="BA363" s="109" t="s">
        <v>1737</v>
      </c>
      <c r="BC363" s="100">
        <f t="shared" si="411"/>
        <v>0</v>
      </c>
      <c r="BD363" s="100">
        <f t="shared" si="412"/>
        <v>0</v>
      </c>
      <c r="BE363" s="100">
        <v>0</v>
      </c>
      <c r="BF363" s="100">
        <f>363</f>
        <v>363</v>
      </c>
      <c r="BH363" s="108">
        <f t="shared" si="413"/>
        <v>0</v>
      </c>
      <c r="BI363" s="108">
        <f t="shared" si="414"/>
        <v>0</v>
      </c>
      <c r="BJ363" s="108">
        <f t="shared" si="415"/>
        <v>0</v>
      </c>
    </row>
    <row r="364" spans="1:62" x14ac:dyDescent="0.2">
      <c r="A364" s="117" t="s">
        <v>322</v>
      </c>
      <c r="B364" s="117" t="s">
        <v>823</v>
      </c>
      <c r="C364" s="304" t="s">
        <v>1405</v>
      </c>
      <c r="D364" s="305"/>
      <c r="E364" s="305"/>
      <c r="F364" s="117" t="s">
        <v>1646</v>
      </c>
      <c r="G364" s="116">
        <v>180</v>
      </c>
      <c r="H364" s="159"/>
      <c r="I364" s="108">
        <f t="shared" si="392"/>
        <v>0</v>
      </c>
      <c r="J364" s="108">
        <f t="shared" si="393"/>
        <v>0</v>
      </c>
      <c r="K364" s="108">
        <f t="shared" si="394"/>
        <v>0</v>
      </c>
      <c r="L364" s="111"/>
      <c r="Z364" s="100">
        <f t="shared" si="395"/>
        <v>0</v>
      </c>
      <c r="AB364" s="100">
        <f t="shared" si="396"/>
        <v>0</v>
      </c>
      <c r="AC364" s="100">
        <f t="shared" si="397"/>
        <v>0</v>
      </c>
      <c r="AD364" s="100">
        <f t="shared" si="398"/>
        <v>0</v>
      </c>
      <c r="AE364" s="100">
        <f t="shared" si="399"/>
        <v>0</v>
      </c>
      <c r="AF364" s="100">
        <f t="shared" si="400"/>
        <v>0</v>
      </c>
      <c r="AG364" s="100">
        <f t="shared" si="401"/>
        <v>0</v>
      </c>
      <c r="AH364" s="100">
        <f t="shared" si="402"/>
        <v>0</v>
      </c>
      <c r="AI364" s="109"/>
      <c r="AJ364" s="108">
        <f t="shared" si="403"/>
        <v>0</v>
      </c>
      <c r="AK364" s="108">
        <f t="shared" si="404"/>
        <v>0</v>
      </c>
      <c r="AL364" s="108">
        <f t="shared" si="405"/>
        <v>0</v>
      </c>
      <c r="AN364" s="100">
        <v>15</v>
      </c>
      <c r="AO364" s="100">
        <f t="shared" si="406"/>
        <v>0</v>
      </c>
      <c r="AP364" s="100">
        <f t="shared" si="407"/>
        <v>0</v>
      </c>
      <c r="AQ364" s="111" t="s">
        <v>13</v>
      </c>
      <c r="AV364" s="100">
        <f t="shared" si="408"/>
        <v>0</v>
      </c>
      <c r="AW364" s="100">
        <f t="shared" si="409"/>
        <v>0</v>
      </c>
      <c r="AX364" s="100">
        <f t="shared" si="410"/>
        <v>0</v>
      </c>
      <c r="AY364" s="110" t="s">
        <v>1712</v>
      </c>
      <c r="AZ364" s="110" t="s">
        <v>1733</v>
      </c>
      <c r="BA364" s="109" t="s">
        <v>1737</v>
      </c>
      <c r="BC364" s="100">
        <f t="shared" si="411"/>
        <v>0</v>
      </c>
      <c r="BD364" s="100">
        <f t="shared" si="412"/>
        <v>0</v>
      </c>
      <c r="BE364" s="100">
        <v>0</v>
      </c>
      <c r="BF364" s="100">
        <f>364</f>
        <v>364</v>
      </c>
      <c r="BH364" s="108">
        <f t="shared" si="413"/>
        <v>0</v>
      </c>
      <c r="BI364" s="108">
        <f t="shared" si="414"/>
        <v>0</v>
      </c>
      <c r="BJ364" s="108">
        <f t="shared" si="415"/>
        <v>0</v>
      </c>
    </row>
    <row r="365" spans="1:62" x14ac:dyDescent="0.2">
      <c r="A365" s="117" t="s">
        <v>323</v>
      </c>
      <c r="B365" s="117" t="s">
        <v>824</v>
      </c>
      <c r="C365" s="304" t="s">
        <v>1406</v>
      </c>
      <c r="D365" s="305"/>
      <c r="E365" s="305"/>
      <c r="F365" s="117" t="s">
        <v>1652</v>
      </c>
      <c r="G365" s="116">
        <v>3</v>
      </c>
      <c r="H365" s="159"/>
      <c r="I365" s="108">
        <f t="shared" si="392"/>
        <v>0</v>
      </c>
      <c r="J365" s="108">
        <f t="shared" si="393"/>
        <v>0</v>
      </c>
      <c r="K365" s="108">
        <f t="shared" si="394"/>
        <v>0</v>
      </c>
      <c r="L365" s="111"/>
      <c r="Z365" s="100">
        <f t="shared" si="395"/>
        <v>0</v>
      </c>
      <c r="AB365" s="100">
        <f t="shared" si="396"/>
        <v>0</v>
      </c>
      <c r="AC365" s="100">
        <f t="shared" si="397"/>
        <v>0</v>
      </c>
      <c r="AD365" s="100">
        <f t="shared" si="398"/>
        <v>0</v>
      </c>
      <c r="AE365" s="100">
        <f t="shared" si="399"/>
        <v>0</v>
      </c>
      <c r="AF365" s="100">
        <f t="shared" si="400"/>
        <v>0</v>
      </c>
      <c r="AG365" s="100">
        <f t="shared" si="401"/>
        <v>0</v>
      </c>
      <c r="AH365" s="100">
        <f t="shared" si="402"/>
        <v>0</v>
      </c>
      <c r="AI365" s="109"/>
      <c r="AJ365" s="108">
        <f t="shared" si="403"/>
        <v>0</v>
      </c>
      <c r="AK365" s="108">
        <f t="shared" si="404"/>
        <v>0</v>
      </c>
      <c r="AL365" s="108">
        <f t="shared" si="405"/>
        <v>0</v>
      </c>
      <c r="AN365" s="100">
        <v>15</v>
      </c>
      <c r="AO365" s="100">
        <f t="shared" si="406"/>
        <v>0</v>
      </c>
      <c r="AP365" s="100">
        <f t="shared" si="407"/>
        <v>0</v>
      </c>
      <c r="AQ365" s="111" t="s">
        <v>13</v>
      </c>
      <c r="AV365" s="100">
        <f t="shared" si="408"/>
        <v>0</v>
      </c>
      <c r="AW365" s="100">
        <f t="shared" si="409"/>
        <v>0</v>
      </c>
      <c r="AX365" s="100">
        <f t="shared" si="410"/>
        <v>0</v>
      </c>
      <c r="AY365" s="110" t="s">
        <v>1712</v>
      </c>
      <c r="AZ365" s="110" t="s">
        <v>1733</v>
      </c>
      <c r="BA365" s="109" t="s">
        <v>1737</v>
      </c>
      <c r="BC365" s="100">
        <f t="shared" si="411"/>
        <v>0</v>
      </c>
      <c r="BD365" s="100">
        <f t="shared" si="412"/>
        <v>0</v>
      </c>
      <c r="BE365" s="100">
        <v>0</v>
      </c>
      <c r="BF365" s="100">
        <f>365</f>
        <v>365</v>
      </c>
      <c r="BH365" s="108">
        <f t="shared" si="413"/>
        <v>0</v>
      </c>
      <c r="BI365" s="108">
        <f t="shared" si="414"/>
        <v>0</v>
      </c>
      <c r="BJ365" s="108">
        <f t="shared" si="415"/>
        <v>0</v>
      </c>
    </row>
    <row r="366" spans="1:62" x14ac:dyDescent="0.2">
      <c r="A366" s="117" t="s">
        <v>324</v>
      </c>
      <c r="B366" s="117" t="s">
        <v>825</v>
      </c>
      <c r="C366" s="304" t="s">
        <v>1407</v>
      </c>
      <c r="D366" s="305"/>
      <c r="E366" s="305"/>
      <c r="F366" s="117" t="s">
        <v>1644</v>
      </c>
      <c r="G366" s="116">
        <v>3</v>
      </c>
      <c r="H366" s="159"/>
      <c r="I366" s="108">
        <f t="shared" si="392"/>
        <v>0</v>
      </c>
      <c r="J366" s="108">
        <f t="shared" si="393"/>
        <v>0</v>
      </c>
      <c r="K366" s="108">
        <f t="shared" si="394"/>
        <v>0</v>
      </c>
      <c r="L366" s="111"/>
      <c r="Z366" s="100">
        <f t="shared" si="395"/>
        <v>0</v>
      </c>
      <c r="AB366" s="100">
        <f t="shared" si="396"/>
        <v>0</v>
      </c>
      <c r="AC366" s="100">
        <f t="shared" si="397"/>
        <v>0</v>
      </c>
      <c r="AD366" s="100">
        <f t="shared" si="398"/>
        <v>0</v>
      </c>
      <c r="AE366" s="100">
        <f t="shared" si="399"/>
        <v>0</v>
      </c>
      <c r="AF366" s="100">
        <f t="shared" si="400"/>
        <v>0</v>
      </c>
      <c r="AG366" s="100">
        <f t="shared" si="401"/>
        <v>0</v>
      </c>
      <c r="AH366" s="100">
        <f t="shared" si="402"/>
        <v>0</v>
      </c>
      <c r="AI366" s="109"/>
      <c r="AJ366" s="108">
        <f t="shared" si="403"/>
        <v>0</v>
      </c>
      <c r="AK366" s="108">
        <f t="shared" si="404"/>
        <v>0</v>
      </c>
      <c r="AL366" s="108">
        <f t="shared" si="405"/>
        <v>0</v>
      </c>
      <c r="AN366" s="100">
        <v>15</v>
      </c>
      <c r="AO366" s="100">
        <f t="shared" si="406"/>
        <v>0</v>
      </c>
      <c r="AP366" s="100">
        <f t="shared" si="407"/>
        <v>0</v>
      </c>
      <c r="AQ366" s="111" t="s">
        <v>13</v>
      </c>
      <c r="AV366" s="100">
        <f t="shared" si="408"/>
        <v>0</v>
      </c>
      <c r="AW366" s="100">
        <f t="shared" si="409"/>
        <v>0</v>
      </c>
      <c r="AX366" s="100">
        <f t="shared" si="410"/>
        <v>0</v>
      </c>
      <c r="AY366" s="110" t="s">
        <v>1712</v>
      </c>
      <c r="AZ366" s="110" t="s">
        <v>1733</v>
      </c>
      <c r="BA366" s="109" t="s">
        <v>1737</v>
      </c>
      <c r="BC366" s="100">
        <f t="shared" si="411"/>
        <v>0</v>
      </c>
      <c r="BD366" s="100">
        <f t="shared" si="412"/>
        <v>0</v>
      </c>
      <c r="BE366" s="100">
        <v>0</v>
      </c>
      <c r="BF366" s="100">
        <f>366</f>
        <v>366</v>
      </c>
      <c r="BH366" s="108">
        <f t="shared" si="413"/>
        <v>0</v>
      </c>
      <c r="BI366" s="108">
        <f t="shared" si="414"/>
        <v>0</v>
      </c>
      <c r="BJ366" s="108">
        <f t="shared" si="415"/>
        <v>0</v>
      </c>
    </row>
    <row r="367" spans="1:62" x14ac:dyDescent="0.2">
      <c r="A367" s="117" t="s">
        <v>325</v>
      </c>
      <c r="B367" s="117" t="s">
        <v>826</v>
      </c>
      <c r="C367" s="304" t="s">
        <v>1408</v>
      </c>
      <c r="D367" s="305"/>
      <c r="E367" s="305"/>
      <c r="F367" s="117" t="s">
        <v>1644</v>
      </c>
      <c r="G367" s="116">
        <v>3</v>
      </c>
      <c r="H367" s="159"/>
      <c r="I367" s="108">
        <f t="shared" si="392"/>
        <v>0</v>
      </c>
      <c r="J367" s="108">
        <f t="shared" si="393"/>
        <v>0</v>
      </c>
      <c r="K367" s="108">
        <f t="shared" si="394"/>
        <v>0</v>
      </c>
      <c r="L367" s="111"/>
      <c r="Z367" s="100">
        <f t="shared" si="395"/>
        <v>0</v>
      </c>
      <c r="AB367" s="100">
        <f t="shared" si="396"/>
        <v>0</v>
      </c>
      <c r="AC367" s="100">
        <f t="shared" si="397"/>
        <v>0</v>
      </c>
      <c r="AD367" s="100">
        <f t="shared" si="398"/>
        <v>0</v>
      </c>
      <c r="AE367" s="100">
        <f t="shared" si="399"/>
        <v>0</v>
      </c>
      <c r="AF367" s="100">
        <f t="shared" si="400"/>
        <v>0</v>
      </c>
      <c r="AG367" s="100">
        <f t="shared" si="401"/>
        <v>0</v>
      </c>
      <c r="AH367" s="100">
        <f t="shared" si="402"/>
        <v>0</v>
      </c>
      <c r="AI367" s="109"/>
      <c r="AJ367" s="108">
        <f t="shared" si="403"/>
        <v>0</v>
      </c>
      <c r="AK367" s="108">
        <f t="shared" si="404"/>
        <v>0</v>
      </c>
      <c r="AL367" s="108">
        <f t="shared" si="405"/>
        <v>0</v>
      </c>
      <c r="AN367" s="100">
        <v>15</v>
      </c>
      <c r="AO367" s="100">
        <f t="shared" si="406"/>
        <v>0</v>
      </c>
      <c r="AP367" s="100">
        <f t="shared" si="407"/>
        <v>0</v>
      </c>
      <c r="AQ367" s="111" t="s">
        <v>13</v>
      </c>
      <c r="AV367" s="100">
        <f t="shared" si="408"/>
        <v>0</v>
      </c>
      <c r="AW367" s="100">
        <f t="shared" si="409"/>
        <v>0</v>
      </c>
      <c r="AX367" s="100">
        <f t="shared" si="410"/>
        <v>0</v>
      </c>
      <c r="AY367" s="110" t="s">
        <v>1712</v>
      </c>
      <c r="AZ367" s="110" t="s">
        <v>1733</v>
      </c>
      <c r="BA367" s="109" t="s">
        <v>1737</v>
      </c>
      <c r="BC367" s="100">
        <f t="shared" si="411"/>
        <v>0</v>
      </c>
      <c r="BD367" s="100">
        <f t="shared" si="412"/>
        <v>0</v>
      </c>
      <c r="BE367" s="100">
        <v>0</v>
      </c>
      <c r="BF367" s="100">
        <f>367</f>
        <v>367</v>
      </c>
      <c r="BH367" s="108">
        <f t="shared" si="413"/>
        <v>0</v>
      </c>
      <c r="BI367" s="108">
        <f t="shared" si="414"/>
        <v>0</v>
      </c>
      <c r="BJ367" s="108">
        <f t="shared" si="415"/>
        <v>0</v>
      </c>
    </row>
    <row r="368" spans="1:62" x14ac:dyDescent="0.2">
      <c r="A368" s="117" t="s">
        <v>326</v>
      </c>
      <c r="B368" s="117" t="s">
        <v>827</v>
      </c>
      <c r="C368" s="304" t="s">
        <v>1409</v>
      </c>
      <c r="D368" s="305"/>
      <c r="E368" s="305"/>
      <c r="F368" s="117" t="s">
        <v>1644</v>
      </c>
      <c r="G368" s="116">
        <v>3</v>
      </c>
      <c r="H368" s="159"/>
      <c r="I368" s="108">
        <f t="shared" si="392"/>
        <v>0</v>
      </c>
      <c r="J368" s="108">
        <f t="shared" si="393"/>
        <v>0</v>
      </c>
      <c r="K368" s="108">
        <f t="shared" si="394"/>
        <v>0</v>
      </c>
      <c r="L368" s="111"/>
      <c r="Z368" s="100">
        <f t="shared" si="395"/>
        <v>0</v>
      </c>
      <c r="AB368" s="100">
        <f t="shared" si="396"/>
        <v>0</v>
      </c>
      <c r="AC368" s="100">
        <f t="shared" si="397"/>
        <v>0</v>
      </c>
      <c r="AD368" s="100">
        <f t="shared" si="398"/>
        <v>0</v>
      </c>
      <c r="AE368" s="100">
        <f t="shared" si="399"/>
        <v>0</v>
      </c>
      <c r="AF368" s="100">
        <f t="shared" si="400"/>
        <v>0</v>
      </c>
      <c r="AG368" s="100">
        <f t="shared" si="401"/>
        <v>0</v>
      </c>
      <c r="AH368" s="100">
        <f t="shared" si="402"/>
        <v>0</v>
      </c>
      <c r="AI368" s="109"/>
      <c r="AJ368" s="108">
        <f t="shared" si="403"/>
        <v>0</v>
      </c>
      <c r="AK368" s="108">
        <f t="shared" si="404"/>
        <v>0</v>
      </c>
      <c r="AL368" s="108">
        <f t="shared" si="405"/>
        <v>0</v>
      </c>
      <c r="AN368" s="100">
        <v>15</v>
      </c>
      <c r="AO368" s="100">
        <f t="shared" si="406"/>
        <v>0</v>
      </c>
      <c r="AP368" s="100">
        <f t="shared" si="407"/>
        <v>0</v>
      </c>
      <c r="AQ368" s="111" t="s">
        <v>13</v>
      </c>
      <c r="AV368" s="100">
        <f t="shared" si="408"/>
        <v>0</v>
      </c>
      <c r="AW368" s="100">
        <f t="shared" si="409"/>
        <v>0</v>
      </c>
      <c r="AX368" s="100">
        <f t="shared" si="410"/>
        <v>0</v>
      </c>
      <c r="AY368" s="110" t="s">
        <v>1712</v>
      </c>
      <c r="AZ368" s="110" t="s">
        <v>1733</v>
      </c>
      <c r="BA368" s="109" t="s">
        <v>1737</v>
      </c>
      <c r="BC368" s="100">
        <f t="shared" si="411"/>
        <v>0</v>
      </c>
      <c r="BD368" s="100">
        <f t="shared" si="412"/>
        <v>0</v>
      </c>
      <c r="BE368" s="100">
        <v>0</v>
      </c>
      <c r="BF368" s="100">
        <f>368</f>
        <v>368</v>
      </c>
      <c r="BH368" s="108">
        <f t="shared" si="413"/>
        <v>0</v>
      </c>
      <c r="BI368" s="108">
        <f t="shared" si="414"/>
        <v>0</v>
      </c>
      <c r="BJ368" s="108">
        <f t="shared" si="415"/>
        <v>0</v>
      </c>
    </row>
    <row r="369" spans="1:62" x14ac:dyDescent="0.2">
      <c r="A369" s="117" t="s">
        <v>327</v>
      </c>
      <c r="B369" s="117" t="s">
        <v>828</v>
      </c>
      <c r="C369" s="304" t="s">
        <v>1410</v>
      </c>
      <c r="D369" s="305"/>
      <c r="E369" s="305"/>
      <c r="F369" s="117" t="s">
        <v>1652</v>
      </c>
      <c r="G369" s="116">
        <v>3</v>
      </c>
      <c r="H369" s="159"/>
      <c r="I369" s="108">
        <f t="shared" si="392"/>
        <v>0</v>
      </c>
      <c r="J369" s="108">
        <f t="shared" si="393"/>
        <v>0</v>
      </c>
      <c r="K369" s="108">
        <f t="shared" si="394"/>
        <v>0</v>
      </c>
      <c r="L369" s="111"/>
      <c r="Z369" s="100">
        <f t="shared" si="395"/>
        <v>0</v>
      </c>
      <c r="AB369" s="100">
        <f t="shared" si="396"/>
        <v>0</v>
      </c>
      <c r="AC369" s="100">
        <f t="shared" si="397"/>
        <v>0</v>
      </c>
      <c r="AD369" s="100">
        <f t="shared" si="398"/>
        <v>0</v>
      </c>
      <c r="AE369" s="100">
        <f t="shared" si="399"/>
        <v>0</v>
      </c>
      <c r="AF369" s="100">
        <f t="shared" si="400"/>
        <v>0</v>
      </c>
      <c r="AG369" s="100">
        <f t="shared" si="401"/>
        <v>0</v>
      </c>
      <c r="AH369" s="100">
        <f t="shared" si="402"/>
        <v>0</v>
      </c>
      <c r="AI369" s="109"/>
      <c r="AJ369" s="108">
        <f t="shared" si="403"/>
        <v>0</v>
      </c>
      <c r="AK369" s="108">
        <f t="shared" si="404"/>
        <v>0</v>
      </c>
      <c r="AL369" s="108">
        <f t="shared" si="405"/>
        <v>0</v>
      </c>
      <c r="AN369" s="100">
        <v>15</v>
      </c>
      <c r="AO369" s="100">
        <f t="shared" si="406"/>
        <v>0</v>
      </c>
      <c r="AP369" s="100">
        <f t="shared" si="407"/>
        <v>0</v>
      </c>
      <c r="AQ369" s="111" t="s">
        <v>13</v>
      </c>
      <c r="AV369" s="100">
        <f t="shared" si="408"/>
        <v>0</v>
      </c>
      <c r="AW369" s="100">
        <f t="shared" si="409"/>
        <v>0</v>
      </c>
      <c r="AX369" s="100">
        <f t="shared" si="410"/>
        <v>0</v>
      </c>
      <c r="AY369" s="110" t="s">
        <v>1712</v>
      </c>
      <c r="AZ369" s="110" t="s">
        <v>1733</v>
      </c>
      <c r="BA369" s="109" t="s">
        <v>1737</v>
      </c>
      <c r="BC369" s="100">
        <f t="shared" si="411"/>
        <v>0</v>
      </c>
      <c r="BD369" s="100">
        <f t="shared" si="412"/>
        <v>0</v>
      </c>
      <c r="BE369" s="100">
        <v>0</v>
      </c>
      <c r="BF369" s="100">
        <f>369</f>
        <v>369</v>
      </c>
      <c r="BH369" s="108">
        <f t="shared" si="413"/>
        <v>0</v>
      </c>
      <c r="BI369" s="108">
        <f t="shared" si="414"/>
        <v>0</v>
      </c>
      <c r="BJ369" s="108">
        <f t="shared" si="415"/>
        <v>0</v>
      </c>
    </row>
    <row r="370" spans="1:62" x14ac:dyDescent="0.2">
      <c r="A370" s="117" t="s">
        <v>328</v>
      </c>
      <c r="B370" s="117" t="s">
        <v>829</v>
      </c>
      <c r="C370" s="304" t="s">
        <v>1411</v>
      </c>
      <c r="D370" s="305"/>
      <c r="E370" s="305"/>
      <c r="F370" s="117" t="s">
        <v>1652</v>
      </c>
      <c r="G370" s="116">
        <v>3</v>
      </c>
      <c r="H370" s="159"/>
      <c r="I370" s="108">
        <f t="shared" si="392"/>
        <v>0</v>
      </c>
      <c r="J370" s="108">
        <f t="shared" si="393"/>
        <v>0</v>
      </c>
      <c r="K370" s="108">
        <f t="shared" si="394"/>
        <v>0</v>
      </c>
      <c r="L370" s="111"/>
      <c r="Z370" s="100">
        <f t="shared" si="395"/>
        <v>0</v>
      </c>
      <c r="AB370" s="100">
        <f t="shared" si="396"/>
        <v>0</v>
      </c>
      <c r="AC370" s="100">
        <f t="shared" si="397"/>
        <v>0</v>
      </c>
      <c r="AD370" s="100">
        <f t="shared" si="398"/>
        <v>0</v>
      </c>
      <c r="AE370" s="100">
        <f t="shared" si="399"/>
        <v>0</v>
      </c>
      <c r="AF370" s="100">
        <f t="shared" si="400"/>
        <v>0</v>
      </c>
      <c r="AG370" s="100">
        <f t="shared" si="401"/>
        <v>0</v>
      </c>
      <c r="AH370" s="100">
        <f t="shared" si="402"/>
        <v>0</v>
      </c>
      <c r="AI370" s="109"/>
      <c r="AJ370" s="108">
        <f t="shared" si="403"/>
        <v>0</v>
      </c>
      <c r="AK370" s="108">
        <f t="shared" si="404"/>
        <v>0</v>
      </c>
      <c r="AL370" s="108">
        <f t="shared" si="405"/>
        <v>0</v>
      </c>
      <c r="AN370" s="100">
        <v>15</v>
      </c>
      <c r="AO370" s="100">
        <f t="shared" si="406"/>
        <v>0</v>
      </c>
      <c r="AP370" s="100">
        <f t="shared" si="407"/>
        <v>0</v>
      </c>
      <c r="AQ370" s="111" t="s">
        <v>13</v>
      </c>
      <c r="AV370" s="100">
        <f t="shared" si="408"/>
        <v>0</v>
      </c>
      <c r="AW370" s="100">
        <f t="shared" si="409"/>
        <v>0</v>
      </c>
      <c r="AX370" s="100">
        <f t="shared" si="410"/>
        <v>0</v>
      </c>
      <c r="AY370" s="110" t="s">
        <v>1712</v>
      </c>
      <c r="AZ370" s="110" t="s">
        <v>1733</v>
      </c>
      <c r="BA370" s="109" t="s">
        <v>1737</v>
      </c>
      <c r="BC370" s="100">
        <f t="shared" si="411"/>
        <v>0</v>
      </c>
      <c r="BD370" s="100">
        <f t="shared" si="412"/>
        <v>0</v>
      </c>
      <c r="BE370" s="100">
        <v>0</v>
      </c>
      <c r="BF370" s="100">
        <f>370</f>
        <v>370</v>
      </c>
      <c r="BH370" s="108">
        <f t="shared" si="413"/>
        <v>0</v>
      </c>
      <c r="BI370" s="108">
        <f t="shared" si="414"/>
        <v>0</v>
      </c>
      <c r="BJ370" s="108">
        <f t="shared" si="415"/>
        <v>0</v>
      </c>
    </row>
    <row r="371" spans="1:62" x14ac:dyDescent="0.2">
      <c r="A371" s="117" t="s">
        <v>329</v>
      </c>
      <c r="B371" s="117" t="s">
        <v>830</v>
      </c>
      <c r="C371" s="304" t="s">
        <v>1412</v>
      </c>
      <c r="D371" s="305"/>
      <c r="E371" s="305"/>
      <c r="F371" s="117" t="s">
        <v>1647</v>
      </c>
      <c r="G371" s="116">
        <v>7</v>
      </c>
      <c r="H371" s="159"/>
      <c r="I371" s="108">
        <f t="shared" si="392"/>
        <v>0</v>
      </c>
      <c r="J371" s="108">
        <f t="shared" si="393"/>
        <v>0</v>
      </c>
      <c r="K371" s="108">
        <f t="shared" si="394"/>
        <v>0</v>
      </c>
      <c r="L371" s="111"/>
      <c r="Z371" s="100">
        <f t="shared" si="395"/>
        <v>0</v>
      </c>
      <c r="AB371" s="100">
        <f t="shared" si="396"/>
        <v>0</v>
      </c>
      <c r="AC371" s="100">
        <f t="shared" si="397"/>
        <v>0</v>
      </c>
      <c r="AD371" s="100">
        <f t="shared" si="398"/>
        <v>0</v>
      </c>
      <c r="AE371" s="100">
        <f t="shared" si="399"/>
        <v>0</v>
      </c>
      <c r="AF371" s="100">
        <f t="shared" si="400"/>
        <v>0</v>
      </c>
      <c r="AG371" s="100">
        <f t="shared" si="401"/>
        <v>0</v>
      </c>
      <c r="AH371" s="100">
        <f t="shared" si="402"/>
        <v>0</v>
      </c>
      <c r="AI371" s="109"/>
      <c r="AJ371" s="108">
        <f t="shared" si="403"/>
        <v>0</v>
      </c>
      <c r="AK371" s="108">
        <f t="shared" si="404"/>
        <v>0</v>
      </c>
      <c r="AL371" s="108">
        <f t="shared" si="405"/>
        <v>0</v>
      </c>
      <c r="AN371" s="100">
        <v>15</v>
      </c>
      <c r="AO371" s="100">
        <f t="shared" si="406"/>
        <v>0</v>
      </c>
      <c r="AP371" s="100">
        <f t="shared" si="407"/>
        <v>0</v>
      </c>
      <c r="AQ371" s="111" t="s">
        <v>13</v>
      </c>
      <c r="AV371" s="100">
        <f t="shared" si="408"/>
        <v>0</v>
      </c>
      <c r="AW371" s="100">
        <f t="shared" si="409"/>
        <v>0</v>
      </c>
      <c r="AX371" s="100">
        <f t="shared" si="410"/>
        <v>0</v>
      </c>
      <c r="AY371" s="110" t="s">
        <v>1712</v>
      </c>
      <c r="AZ371" s="110" t="s">
        <v>1733</v>
      </c>
      <c r="BA371" s="109" t="s">
        <v>1737</v>
      </c>
      <c r="BC371" s="100">
        <f t="shared" si="411"/>
        <v>0</v>
      </c>
      <c r="BD371" s="100">
        <f t="shared" si="412"/>
        <v>0</v>
      </c>
      <c r="BE371" s="100">
        <v>0</v>
      </c>
      <c r="BF371" s="100">
        <f>371</f>
        <v>371</v>
      </c>
      <c r="BH371" s="108">
        <f t="shared" si="413"/>
        <v>0</v>
      </c>
      <c r="BI371" s="108">
        <f t="shared" si="414"/>
        <v>0</v>
      </c>
      <c r="BJ371" s="108">
        <f t="shared" si="415"/>
        <v>0</v>
      </c>
    </row>
    <row r="372" spans="1:62" x14ac:dyDescent="0.2">
      <c r="A372" s="117" t="s">
        <v>330</v>
      </c>
      <c r="B372" s="117" t="s">
        <v>831</v>
      </c>
      <c r="C372" s="304" t="s">
        <v>1413</v>
      </c>
      <c r="D372" s="305"/>
      <c r="E372" s="305"/>
      <c r="F372" s="117" t="s">
        <v>1652</v>
      </c>
      <c r="G372" s="116">
        <v>1</v>
      </c>
      <c r="H372" s="159"/>
      <c r="I372" s="108">
        <f t="shared" si="392"/>
        <v>0</v>
      </c>
      <c r="J372" s="108">
        <f t="shared" si="393"/>
        <v>0</v>
      </c>
      <c r="K372" s="108">
        <f t="shared" si="394"/>
        <v>0</v>
      </c>
      <c r="L372" s="111"/>
      <c r="Z372" s="100">
        <f t="shared" si="395"/>
        <v>0</v>
      </c>
      <c r="AB372" s="100">
        <f t="shared" si="396"/>
        <v>0</v>
      </c>
      <c r="AC372" s="100">
        <f t="shared" si="397"/>
        <v>0</v>
      </c>
      <c r="AD372" s="100">
        <f t="shared" si="398"/>
        <v>0</v>
      </c>
      <c r="AE372" s="100">
        <f t="shared" si="399"/>
        <v>0</v>
      </c>
      <c r="AF372" s="100">
        <f t="shared" si="400"/>
        <v>0</v>
      </c>
      <c r="AG372" s="100">
        <f t="shared" si="401"/>
        <v>0</v>
      </c>
      <c r="AH372" s="100">
        <f t="shared" si="402"/>
        <v>0</v>
      </c>
      <c r="AI372" s="109"/>
      <c r="AJ372" s="108">
        <f t="shared" si="403"/>
        <v>0</v>
      </c>
      <c r="AK372" s="108">
        <f t="shared" si="404"/>
        <v>0</v>
      </c>
      <c r="AL372" s="108">
        <f t="shared" si="405"/>
        <v>0</v>
      </c>
      <c r="AN372" s="100">
        <v>15</v>
      </c>
      <c r="AO372" s="100">
        <f t="shared" si="406"/>
        <v>0</v>
      </c>
      <c r="AP372" s="100">
        <f t="shared" si="407"/>
        <v>0</v>
      </c>
      <c r="AQ372" s="111" t="s">
        <v>13</v>
      </c>
      <c r="AV372" s="100">
        <f t="shared" si="408"/>
        <v>0</v>
      </c>
      <c r="AW372" s="100">
        <f t="shared" si="409"/>
        <v>0</v>
      </c>
      <c r="AX372" s="100">
        <f t="shared" si="410"/>
        <v>0</v>
      </c>
      <c r="AY372" s="110" t="s">
        <v>1712</v>
      </c>
      <c r="AZ372" s="110" t="s">
        <v>1733</v>
      </c>
      <c r="BA372" s="109" t="s">
        <v>1737</v>
      </c>
      <c r="BC372" s="100">
        <f t="shared" si="411"/>
        <v>0</v>
      </c>
      <c r="BD372" s="100">
        <f t="shared" si="412"/>
        <v>0</v>
      </c>
      <c r="BE372" s="100">
        <v>0</v>
      </c>
      <c r="BF372" s="100">
        <f>372</f>
        <v>372</v>
      </c>
      <c r="BH372" s="108">
        <f t="shared" si="413"/>
        <v>0</v>
      </c>
      <c r="BI372" s="108">
        <f t="shared" si="414"/>
        <v>0</v>
      </c>
      <c r="BJ372" s="108">
        <f t="shared" si="415"/>
        <v>0</v>
      </c>
    </row>
    <row r="373" spans="1:62" x14ac:dyDescent="0.2">
      <c r="A373" s="117" t="s">
        <v>331</v>
      </c>
      <c r="B373" s="117" t="s">
        <v>832</v>
      </c>
      <c r="C373" s="304" t="s">
        <v>1414</v>
      </c>
      <c r="D373" s="305"/>
      <c r="E373" s="305"/>
      <c r="F373" s="117" t="s">
        <v>1652</v>
      </c>
      <c r="G373" s="116">
        <v>1</v>
      </c>
      <c r="H373" s="159"/>
      <c r="I373" s="108">
        <f t="shared" si="392"/>
        <v>0</v>
      </c>
      <c r="J373" s="108">
        <f t="shared" si="393"/>
        <v>0</v>
      </c>
      <c r="K373" s="108">
        <f t="shared" si="394"/>
        <v>0</v>
      </c>
      <c r="L373" s="111"/>
      <c r="Z373" s="100">
        <f t="shared" si="395"/>
        <v>0</v>
      </c>
      <c r="AB373" s="100">
        <f t="shared" si="396"/>
        <v>0</v>
      </c>
      <c r="AC373" s="100">
        <f t="shared" si="397"/>
        <v>0</v>
      </c>
      <c r="AD373" s="100">
        <f t="shared" si="398"/>
        <v>0</v>
      </c>
      <c r="AE373" s="100">
        <f t="shared" si="399"/>
        <v>0</v>
      </c>
      <c r="AF373" s="100">
        <f t="shared" si="400"/>
        <v>0</v>
      </c>
      <c r="AG373" s="100">
        <f t="shared" si="401"/>
        <v>0</v>
      </c>
      <c r="AH373" s="100">
        <f t="shared" si="402"/>
        <v>0</v>
      </c>
      <c r="AI373" s="109"/>
      <c r="AJ373" s="108">
        <f t="shared" si="403"/>
        <v>0</v>
      </c>
      <c r="AK373" s="108">
        <f t="shared" si="404"/>
        <v>0</v>
      </c>
      <c r="AL373" s="108">
        <f t="shared" si="405"/>
        <v>0</v>
      </c>
      <c r="AN373" s="100">
        <v>15</v>
      </c>
      <c r="AO373" s="100">
        <f t="shared" si="406"/>
        <v>0</v>
      </c>
      <c r="AP373" s="100">
        <f t="shared" si="407"/>
        <v>0</v>
      </c>
      <c r="AQ373" s="111" t="s">
        <v>13</v>
      </c>
      <c r="AV373" s="100">
        <f t="shared" si="408"/>
        <v>0</v>
      </c>
      <c r="AW373" s="100">
        <f t="shared" si="409"/>
        <v>0</v>
      </c>
      <c r="AX373" s="100">
        <f t="shared" si="410"/>
        <v>0</v>
      </c>
      <c r="AY373" s="110" t="s">
        <v>1712</v>
      </c>
      <c r="AZ373" s="110" t="s">
        <v>1733</v>
      </c>
      <c r="BA373" s="109" t="s">
        <v>1737</v>
      </c>
      <c r="BC373" s="100">
        <f t="shared" si="411"/>
        <v>0</v>
      </c>
      <c r="BD373" s="100">
        <f t="shared" si="412"/>
        <v>0</v>
      </c>
      <c r="BE373" s="100">
        <v>0</v>
      </c>
      <c r="BF373" s="100">
        <f>373</f>
        <v>373</v>
      </c>
      <c r="BH373" s="108">
        <f t="shared" si="413"/>
        <v>0</v>
      </c>
      <c r="BI373" s="108">
        <f t="shared" si="414"/>
        <v>0</v>
      </c>
      <c r="BJ373" s="108">
        <f t="shared" si="415"/>
        <v>0</v>
      </c>
    </row>
    <row r="374" spans="1:62" x14ac:dyDescent="0.2">
      <c r="A374" s="117" t="s">
        <v>332</v>
      </c>
      <c r="B374" s="117" t="s">
        <v>833</v>
      </c>
      <c r="C374" s="304" t="s">
        <v>1415</v>
      </c>
      <c r="D374" s="305"/>
      <c r="E374" s="305"/>
      <c r="F374" s="117" t="s">
        <v>1652</v>
      </c>
      <c r="G374" s="116">
        <v>1</v>
      </c>
      <c r="H374" s="159"/>
      <c r="I374" s="108">
        <f t="shared" si="392"/>
        <v>0</v>
      </c>
      <c r="J374" s="108">
        <f t="shared" si="393"/>
        <v>0</v>
      </c>
      <c r="K374" s="108">
        <f t="shared" si="394"/>
        <v>0</v>
      </c>
      <c r="L374" s="111"/>
      <c r="Z374" s="100">
        <f t="shared" si="395"/>
        <v>0</v>
      </c>
      <c r="AB374" s="100">
        <f t="shared" si="396"/>
        <v>0</v>
      </c>
      <c r="AC374" s="100">
        <f t="shared" si="397"/>
        <v>0</v>
      </c>
      <c r="AD374" s="100">
        <f t="shared" si="398"/>
        <v>0</v>
      </c>
      <c r="AE374" s="100">
        <f t="shared" si="399"/>
        <v>0</v>
      </c>
      <c r="AF374" s="100">
        <f t="shared" si="400"/>
        <v>0</v>
      </c>
      <c r="AG374" s="100">
        <f t="shared" si="401"/>
        <v>0</v>
      </c>
      <c r="AH374" s="100">
        <f t="shared" si="402"/>
        <v>0</v>
      </c>
      <c r="AI374" s="109"/>
      <c r="AJ374" s="108">
        <f t="shared" si="403"/>
        <v>0</v>
      </c>
      <c r="AK374" s="108">
        <f t="shared" si="404"/>
        <v>0</v>
      </c>
      <c r="AL374" s="108">
        <f t="shared" si="405"/>
        <v>0</v>
      </c>
      <c r="AN374" s="100">
        <v>15</v>
      </c>
      <c r="AO374" s="100">
        <f t="shared" si="406"/>
        <v>0</v>
      </c>
      <c r="AP374" s="100">
        <f t="shared" si="407"/>
        <v>0</v>
      </c>
      <c r="AQ374" s="111" t="s">
        <v>13</v>
      </c>
      <c r="AV374" s="100">
        <f t="shared" si="408"/>
        <v>0</v>
      </c>
      <c r="AW374" s="100">
        <f t="shared" si="409"/>
        <v>0</v>
      </c>
      <c r="AX374" s="100">
        <f t="shared" si="410"/>
        <v>0</v>
      </c>
      <c r="AY374" s="110" t="s">
        <v>1712</v>
      </c>
      <c r="AZ374" s="110" t="s">
        <v>1733</v>
      </c>
      <c r="BA374" s="109" t="s">
        <v>1737</v>
      </c>
      <c r="BC374" s="100">
        <f t="shared" si="411"/>
        <v>0</v>
      </c>
      <c r="BD374" s="100">
        <f t="shared" si="412"/>
        <v>0</v>
      </c>
      <c r="BE374" s="100">
        <v>0</v>
      </c>
      <c r="BF374" s="100">
        <f>374</f>
        <v>374</v>
      </c>
      <c r="BH374" s="108">
        <f t="shared" si="413"/>
        <v>0</v>
      </c>
      <c r="BI374" s="108">
        <f t="shared" si="414"/>
        <v>0</v>
      </c>
      <c r="BJ374" s="108">
        <f t="shared" si="415"/>
        <v>0</v>
      </c>
    </row>
    <row r="375" spans="1:62" x14ac:dyDescent="0.2">
      <c r="A375" s="117" t="s">
        <v>333</v>
      </c>
      <c r="B375" s="117" t="s">
        <v>834</v>
      </c>
      <c r="C375" s="304" t="s">
        <v>1416</v>
      </c>
      <c r="D375" s="305"/>
      <c r="E375" s="305"/>
      <c r="F375" s="117" t="s">
        <v>1652</v>
      </c>
      <c r="G375" s="116">
        <v>6</v>
      </c>
      <c r="H375" s="159"/>
      <c r="I375" s="108">
        <f t="shared" si="392"/>
        <v>0</v>
      </c>
      <c r="J375" s="108">
        <f t="shared" si="393"/>
        <v>0</v>
      </c>
      <c r="K375" s="108">
        <f t="shared" si="394"/>
        <v>0</v>
      </c>
      <c r="L375" s="111"/>
      <c r="Z375" s="100">
        <f t="shared" si="395"/>
        <v>0</v>
      </c>
      <c r="AB375" s="100">
        <f t="shared" si="396"/>
        <v>0</v>
      </c>
      <c r="AC375" s="100">
        <f t="shared" si="397"/>
        <v>0</v>
      </c>
      <c r="AD375" s="100">
        <f t="shared" si="398"/>
        <v>0</v>
      </c>
      <c r="AE375" s="100">
        <f t="shared" si="399"/>
        <v>0</v>
      </c>
      <c r="AF375" s="100">
        <f t="shared" si="400"/>
        <v>0</v>
      </c>
      <c r="AG375" s="100">
        <f t="shared" si="401"/>
        <v>0</v>
      </c>
      <c r="AH375" s="100">
        <f t="shared" si="402"/>
        <v>0</v>
      </c>
      <c r="AI375" s="109"/>
      <c r="AJ375" s="108">
        <f t="shared" si="403"/>
        <v>0</v>
      </c>
      <c r="AK375" s="108">
        <f t="shared" si="404"/>
        <v>0</v>
      </c>
      <c r="AL375" s="108">
        <f t="shared" si="405"/>
        <v>0</v>
      </c>
      <c r="AN375" s="100">
        <v>15</v>
      </c>
      <c r="AO375" s="100">
        <f t="shared" si="406"/>
        <v>0</v>
      </c>
      <c r="AP375" s="100">
        <f t="shared" si="407"/>
        <v>0</v>
      </c>
      <c r="AQ375" s="111" t="s">
        <v>13</v>
      </c>
      <c r="AV375" s="100">
        <f t="shared" si="408"/>
        <v>0</v>
      </c>
      <c r="AW375" s="100">
        <f t="shared" si="409"/>
        <v>0</v>
      </c>
      <c r="AX375" s="100">
        <f t="shared" si="410"/>
        <v>0</v>
      </c>
      <c r="AY375" s="110" t="s">
        <v>1712</v>
      </c>
      <c r="AZ375" s="110" t="s">
        <v>1733</v>
      </c>
      <c r="BA375" s="109" t="s">
        <v>1737</v>
      </c>
      <c r="BC375" s="100">
        <f t="shared" si="411"/>
        <v>0</v>
      </c>
      <c r="BD375" s="100">
        <f t="shared" si="412"/>
        <v>0</v>
      </c>
      <c r="BE375" s="100">
        <v>0</v>
      </c>
      <c r="BF375" s="100">
        <f>375</f>
        <v>375</v>
      </c>
      <c r="BH375" s="108">
        <f t="shared" si="413"/>
        <v>0</v>
      </c>
      <c r="BI375" s="108">
        <f t="shared" si="414"/>
        <v>0</v>
      </c>
      <c r="BJ375" s="108">
        <f t="shared" si="415"/>
        <v>0</v>
      </c>
    </row>
    <row r="376" spans="1:62" x14ac:dyDescent="0.2">
      <c r="A376" s="117" t="s">
        <v>334</v>
      </c>
      <c r="B376" s="117" t="s">
        <v>835</v>
      </c>
      <c r="C376" s="304" t="s">
        <v>1417</v>
      </c>
      <c r="D376" s="305"/>
      <c r="E376" s="305"/>
      <c r="F376" s="117" t="s">
        <v>1653</v>
      </c>
      <c r="G376" s="116">
        <v>6</v>
      </c>
      <c r="H376" s="159"/>
      <c r="I376" s="108">
        <f t="shared" si="392"/>
        <v>0</v>
      </c>
      <c r="J376" s="108">
        <f t="shared" si="393"/>
        <v>0</v>
      </c>
      <c r="K376" s="108">
        <f t="shared" si="394"/>
        <v>0</v>
      </c>
      <c r="L376" s="111"/>
      <c r="Z376" s="100">
        <f t="shared" si="395"/>
        <v>0</v>
      </c>
      <c r="AB376" s="100">
        <f t="shared" si="396"/>
        <v>0</v>
      </c>
      <c r="AC376" s="100">
        <f t="shared" si="397"/>
        <v>0</v>
      </c>
      <c r="AD376" s="100">
        <f t="shared" si="398"/>
        <v>0</v>
      </c>
      <c r="AE376" s="100">
        <f t="shared" si="399"/>
        <v>0</v>
      </c>
      <c r="AF376" s="100">
        <f t="shared" si="400"/>
        <v>0</v>
      </c>
      <c r="AG376" s="100">
        <f t="shared" si="401"/>
        <v>0</v>
      </c>
      <c r="AH376" s="100">
        <f t="shared" si="402"/>
        <v>0</v>
      </c>
      <c r="AI376" s="109"/>
      <c r="AJ376" s="108">
        <f t="shared" si="403"/>
        <v>0</v>
      </c>
      <c r="AK376" s="108">
        <f t="shared" si="404"/>
        <v>0</v>
      </c>
      <c r="AL376" s="108">
        <f t="shared" si="405"/>
        <v>0</v>
      </c>
      <c r="AN376" s="100">
        <v>15</v>
      </c>
      <c r="AO376" s="100">
        <f t="shared" si="406"/>
        <v>0</v>
      </c>
      <c r="AP376" s="100">
        <f t="shared" si="407"/>
        <v>0</v>
      </c>
      <c r="AQ376" s="111" t="s">
        <v>13</v>
      </c>
      <c r="AV376" s="100">
        <f t="shared" si="408"/>
        <v>0</v>
      </c>
      <c r="AW376" s="100">
        <f t="shared" si="409"/>
        <v>0</v>
      </c>
      <c r="AX376" s="100">
        <f t="shared" si="410"/>
        <v>0</v>
      </c>
      <c r="AY376" s="110" t="s">
        <v>1712</v>
      </c>
      <c r="AZ376" s="110" t="s">
        <v>1733</v>
      </c>
      <c r="BA376" s="109" t="s">
        <v>1737</v>
      </c>
      <c r="BC376" s="100">
        <f t="shared" si="411"/>
        <v>0</v>
      </c>
      <c r="BD376" s="100">
        <f t="shared" si="412"/>
        <v>0</v>
      </c>
      <c r="BE376" s="100">
        <v>0</v>
      </c>
      <c r="BF376" s="100">
        <f>376</f>
        <v>376</v>
      </c>
      <c r="BH376" s="108">
        <f t="shared" si="413"/>
        <v>0</v>
      </c>
      <c r="BI376" s="108">
        <f t="shared" si="414"/>
        <v>0</v>
      </c>
      <c r="BJ376" s="108">
        <f t="shared" si="415"/>
        <v>0</v>
      </c>
    </row>
    <row r="377" spans="1:62" x14ac:dyDescent="0.2">
      <c r="A377" s="117" t="s">
        <v>335</v>
      </c>
      <c r="B377" s="117" t="s">
        <v>836</v>
      </c>
      <c r="C377" s="304" t="s">
        <v>1418</v>
      </c>
      <c r="D377" s="305"/>
      <c r="E377" s="305"/>
      <c r="F377" s="117" t="s">
        <v>1997</v>
      </c>
      <c r="G377" s="116">
        <v>1</v>
      </c>
      <c r="H377" s="159"/>
      <c r="I377" s="108">
        <f t="shared" si="392"/>
        <v>0</v>
      </c>
      <c r="J377" s="108">
        <f t="shared" si="393"/>
        <v>0</v>
      </c>
      <c r="K377" s="108">
        <f t="shared" si="394"/>
        <v>0</v>
      </c>
      <c r="L377" s="111"/>
      <c r="Z377" s="100">
        <f t="shared" si="395"/>
        <v>0</v>
      </c>
      <c r="AB377" s="100">
        <f t="shared" si="396"/>
        <v>0</v>
      </c>
      <c r="AC377" s="100">
        <f t="shared" si="397"/>
        <v>0</v>
      </c>
      <c r="AD377" s="100">
        <f t="shared" si="398"/>
        <v>0</v>
      </c>
      <c r="AE377" s="100">
        <f t="shared" si="399"/>
        <v>0</v>
      </c>
      <c r="AF377" s="100">
        <f t="shared" si="400"/>
        <v>0</v>
      </c>
      <c r="AG377" s="100">
        <f t="shared" si="401"/>
        <v>0</v>
      </c>
      <c r="AH377" s="100">
        <f t="shared" si="402"/>
        <v>0</v>
      </c>
      <c r="AI377" s="109"/>
      <c r="AJ377" s="108">
        <f t="shared" si="403"/>
        <v>0</v>
      </c>
      <c r="AK377" s="108">
        <f t="shared" si="404"/>
        <v>0</v>
      </c>
      <c r="AL377" s="108">
        <f t="shared" si="405"/>
        <v>0</v>
      </c>
      <c r="AN377" s="100">
        <v>15</v>
      </c>
      <c r="AO377" s="100">
        <f t="shared" si="406"/>
        <v>0</v>
      </c>
      <c r="AP377" s="100">
        <f t="shared" si="407"/>
        <v>0</v>
      </c>
      <c r="AQ377" s="111" t="s">
        <v>13</v>
      </c>
      <c r="AV377" s="100">
        <f t="shared" si="408"/>
        <v>0</v>
      </c>
      <c r="AW377" s="100">
        <f t="shared" si="409"/>
        <v>0</v>
      </c>
      <c r="AX377" s="100">
        <f t="shared" si="410"/>
        <v>0</v>
      </c>
      <c r="AY377" s="110" t="s">
        <v>1712</v>
      </c>
      <c r="AZ377" s="110" t="s">
        <v>1733</v>
      </c>
      <c r="BA377" s="109" t="s">
        <v>1737</v>
      </c>
      <c r="BC377" s="100">
        <f t="shared" si="411"/>
        <v>0</v>
      </c>
      <c r="BD377" s="100">
        <f t="shared" si="412"/>
        <v>0</v>
      </c>
      <c r="BE377" s="100">
        <v>0</v>
      </c>
      <c r="BF377" s="100">
        <f>377</f>
        <v>377</v>
      </c>
      <c r="BH377" s="108">
        <f t="shared" si="413"/>
        <v>0</v>
      </c>
      <c r="BI377" s="108">
        <f t="shared" si="414"/>
        <v>0</v>
      </c>
      <c r="BJ377" s="108">
        <f t="shared" si="415"/>
        <v>0</v>
      </c>
    </row>
    <row r="378" spans="1:62" x14ac:dyDescent="0.2">
      <c r="A378" s="117" t="s">
        <v>336</v>
      </c>
      <c r="B378" s="117" t="s">
        <v>837</v>
      </c>
      <c r="C378" s="304" t="s">
        <v>1419</v>
      </c>
      <c r="D378" s="305"/>
      <c r="E378" s="305"/>
      <c r="F378" s="117" t="s">
        <v>1652</v>
      </c>
      <c r="G378" s="116">
        <v>1</v>
      </c>
      <c r="H378" s="159"/>
      <c r="I378" s="108">
        <f t="shared" si="392"/>
        <v>0</v>
      </c>
      <c r="J378" s="108">
        <f t="shared" si="393"/>
        <v>0</v>
      </c>
      <c r="K378" s="108">
        <f t="shared" si="394"/>
        <v>0</v>
      </c>
      <c r="L378" s="111"/>
      <c r="Z378" s="100">
        <f t="shared" si="395"/>
        <v>0</v>
      </c>
      <c r="AB378" s="100">
        <f t="shared" si="396"/>
        <v>0</v>
      </c>
      <c r="AC378" s="100">
        <f t="shared" si="397"/>
        <v>0</v>
      </c>
      <c r="AD378" s="100">
        <f t="shared" si="398"/>
        <v>0</v>
      </c>
      <c r="AE378" s="100">
        <f t="shared" si="399"/>
        <v>0</v>
      </c>
      <c r="AF378" s="100">
        <f t="shared" si="400"/>
        <v>0</v>
      </c>
      <c r="AG378" s="100">
        <f t="shared" si="401"/>
        <v>0</v>
      </c>
      <c r="AH378" s="100">
        <f t="shared" si="402"/>
        <v>0</v>
      </c>
      <c r="AI378" s="109"/>
      <c r="AJ378" s="108">
        <f t="shared" si="403"/>
        <v>0</v>
      </c>
      <c r="AK378" s="108">
        <f t="shared" si="404"/>
        <v>0</v>
      </c>
      <c r="AL378" s="108">
        <f t="shared" si="405"/>
        <v>0</v>
      </c>
      <c r="AN378" s="100">
        <v>15</v>
      </c>
      <c r="AO378" s="100">
        <f t="shared" si="406"/>
        <v>0</v>
      </c>
      <c r="AP378" s="100">
        <f t="shared" si="407"/>
        <v>0</v>
      </c>
      <c r="AQ378" s="111" t="s">
        <v>13</v>
      </c>
      <c r="AV378" s="100">
        <f t="shared" si="408"/>
        <v>0</v>
      </c>
      <c r="AW378" s="100">
        <f t="shared" si="409"/>
        <v>0</v>
      </c>
      <c r="AX378" s="100">
        <f t="shared" si="410"/>
        <v>0</v>
      </c>
      <c r="AY378" s="110" t="s">
        <v>1712</v>
      </c>
      <c r="AZ378" s="110" t="s">
        <v>1733</v>
      </c>
      <c r="BA378" s="109" t="s">
        <v>1737</v>
      </c>
      <c r="BC378" s="100">
        <f t="shared" si="411"/>
        <v>0</v>
      </c>
      <c r="BD378" s="100">
        <f t="shared" si="412"/>
        <v>0</v>
      </c>
      <c r="BE378" s="100">
        <v>0</v>
      </c>
      <c r="BF378" s="100">
        <f>378</f>
        <v>378</v>
      </c>
      <c r="BH378" s="108">
        <f t="shared" si="413"/>
        <v>0</v>
      </c>
      <c r="BI378" s="108">
        <f t="shared" si="414"/>
        <v>0</v>
      </c>
      <c r="BJ378" s="108">
        <f t="shared" si="415"/>
        <v>0</v>
      </c>
    </row>
    <row r="379" spans="1:62" x14ac:dyDescent="0.2">
      <c r="A379" s="117" t="s">
        <v>337</v>
      </c>
      <c r="B379" s="117" t="s">
        <v>838</v>
      </c>
      <c r="C379" s="304" t="s">
        <v>1420</v>
      </c>
      <c r="D379" s="305"/>
      <c r="E379" s="305"/>
      <c r="F379" s="117" t="s">
        <v>1652</v>
      </c>
      <c r="G379" s="116">
        <v>1</v>
      </c>
      <c r="H379" s="159"/>
      <c r="I379" s="108">
        <f t="shared" si="392"/>
        <v>0</v>
      </c>
      <c r="J379" s="108">
        <f t="shared" si="393"/>
        <v>0</v>
      </c>
      <c r="K379" s="108">
        <f t="shared" si="394"/>
        <v>0</v>
      </c>
      <c r="L379" s="111"/>
      <c r="Z379" s="100">
        <f t="shared" si="395"/>
        <v>0</v>
      </c>
      <c r="AB379" s="100">
        <f t="shared" si="396"/>
        <v>0</v>
      </c>
      <c r="AC379" s="100">
        <f t="shared" si="397"/>
        <v>0</v>
      </c>
      <c r="AD379" s="100">
        <f t="shared" si="398"/>
        <v>0</v>
      </c>
      <c r="AE379" s="100">
        <f t="shared" si="399"/>
        <v>0</v>
      </c>
      <c r="AF379" s="100">
        <f t="shared" si="400"/>
        <v>0</v>
      </c>
      <c r="AG379" s="100">
        <f t="shared" si="401"/>
        <v>0</v>
      </c>
      <c r="AH379" s="100">
        <f t="shared" si="402"/>
        <v>0</v>
      </c>
      <c r="AI379" s="109"/>
      <c r="AJ379" s="108">
        <f t="shared" si="403"/>
        <v>0</v>
      </c>
      <c r="AK379" s="108">
        <f t="shared" si="404"/>
        <v>0</v>
      </c>
      <c r="AL379" s="108">
        <f t="shared" si="405"/>
        <v>0</v>
      </c>
      <c r="AN379" s="100">
        <v>15</v>
      </c>
      <c r="AO379" s="100">
        <f t="shared" si="406"/>
        <v>0</v>
      </c>
      <c r="AP379" s="100">
        <f t="shared" si="407"/>
        <v>0</v>
      </c>
      <c r="AQ379" s="111" t="s">
        <v>13</v>
      </c>
      <c r="AV379" s="100">
        <f t="shared" si="408"/>
        <v>0</v>
      </c>
      <c r="AW379" s="100">
        <f t="shared" si="409"/>
        <v>0</v>
      </c>
      <c r="AX379" s="100">
        <f t="shared" si="410"/>
        <v>0</v>
      </c>
      <c r="AY379" s="110" t="s">
        <v>1712</v>
      </c>
      <c r="AZ379" s="110" t="s">
        <v>1733</v>
      </c>
      <c r="BA379" s="109" t="s">
        <v>1737</v>
      </c>
      <c r="BC379" s="100">
        <f t="shared" si="411"/>
        <v>0</v>
      </c>
      <c r="BD379" s="100">
        <f t="shared" si="412"/>
        <v>0</v>
      </c>
      <c r="BE379" s="100">
        <v>0</v>
      </c>
      <c r="BF379" s="100">
        <f>379</f>
        <v>379</v>
      </c>
      <c r="BH379" s="108">
        <f t="shared" si="413"/>
        <v>0</v>
      </c>
      <c r="BI379" s="108">
        <f t="shared" si="414"/>
        <v>0</v>
      </c>
      <c r="BJ379" s="108">
        <f t="shared" si="415"/>
        <v>0</v>
      </c>
    </row>
    <row r="380" spans="1:62" x14ac:dyDescent="0.2">
      <c r="A380" s="117" t="s">
        <v>338</v>
      </c>
      <c r="B380" s="117" t="s">
        <v>839</v>
      </c>
      <c r="C380" s="304" t="s">
        <v>1421</v>
      </c>
      <c r="D380" s="305"/>
      <c r="E380" s="305"/>
      <c r="F380" s="117" t="s">
        <v>1652</v>
      </c>
      <c r="G380" s="116">
        <v>1</v>
      </c>
      <c r="H380" s="159"/>
      <c r="I380" s="108">
        <f t="shared" si="392"/>
        <v>0</v>
      </c>
      <c r="J380" s="108">
        <f t="shared" si="393"/>
        <v>0</v>
      </c>
      <c r="K380" s="108">
        <f t="shared" si="394"/>
        <v>0</v>
      </c>
      <c r="L380" s="111"/>
      <c r="Z380" s="100">
        <f t="shared" si="395"/>
        <v>0</v>
      </c>
      <c r="AB380" s="100">
        <f t="shared" si="396"/>
        <v>0</v>
      </c>
      <c r="AC380" s="100">
        <f t="shared" si="397"/>
        <v>0</v>
      </c>
      <c r="AD380" s="100">
        <f t="shared" si="398"/>
        <v>0</v>
      </c>
      <c r="AE380" s="100">
        <f t="shared" si="399"/>
        <v>0</v>
      </c>
      <c r="AF380" s="100">
        <f t="shared" si="400"/>
        <v>0</v>
      </c>
      <c r="AG380" s="100">
        <f t="shared" si="401"/>
        <v>0</v>
      </c>
      <c r="AH380" s="100">
        <f t="shared" si="402"/>
        <v>0</v>
      </c>
      <c r="AI380" s="109"/>
      <c r="AJ380" s="108">
        <f t="shared" si="403"/>
        <v>0</v>
      </c>
      <c r="AK380" s="108">
        <f t="shared" si="404"/>
        <v>0</v>
      </c>
      <c r="AL380" s="108">
        <f t="shared" si="405"/>
        <v>0</v>
      </c>
      <c r="AN380" s="100">
        <v>15</v>
      </c>
      <c r="AO380" s="100">
        <f t="shared" si="406"/>
        <v>0</v>
      </c>
      <c r="AP380" s="100">
        <f t="shared" si="407"/>
        <v>0</v>
      </c>
      <c r="AQ380" s="111" t="s">
        <v>13</v>
      </c>
      <c r="AV380" s="100">
        <f t="shared" si="408"/>
        <v>0</v>
      </c>
      <c r="AW380" s="100">
        <f t="shared" si="409"/>
        <v>0</v>
      </c>
      <c r="AX380" s="100">
        <f t="shared" si="410"/>
        <v>0</v>
      </c>
      <c r="AY380" s="110" t="s">
        <v>1712</v>
      </c>
      <c r="AZ380" s="110" t="s">
        <v>1733</v>
      </c>
      <c r="BA380" s="109" t="s">
        <v>1737</v>
      </c>
      <c r="BC380" s="100">
        <f t="shared" si="411"/>
        <v>0</v>
      </c>
      <c r="BD380" s="100">
        <f t="shared" si="412"/>
        <v>0</v>
      </c>
      <c r="BE380" s="100">
        <v>0</v>
      </c>
      <c r="BF380" s="100">
        <f>380</f>
        <v>380</v>
      </c>
      <c r="BH380" s="108">
        <f t="shared" si="413"/>
        <v>0</v>
      </c>
      <c r="BI380" s="108">
        <f t="shared" si="414"/>
        <v>0</v>
      </c>
      <c r="BJ380" s="108">
        <f t="shared" si="415"/>
        <v>0</v>
      </c>
    </row>
    <row r="381" spans="1:62" x14ac:dyDescent="0.2">
      <c r="A381" s="117" t="s">
        <v>339</v>
      </c>
      <c r="B381" s="117" t="s">
        <v>840</v>
      </c>
      <c r="C381" s="304" t="s">
        <v>1422</v>
      </c>
      <c r="D381" s="305"/>
      <c r="E381" s="305"/>
      <c r="F381" s="117" t="s">
        <v>1652</v>
      </c>
      <c r="G381" s="116">
        <v>1</v>
      </c>
      <c r="H381" s="159"/>
      <c r="I381" s="108">
        <f t="shared" si="392"/>
        <v>0</v>
      </c>
      <c r="J381" s="108">
        <f t="shared" si="393"/>
        <v>0</v>
      </c>
      <c r="K381" s="108">
        <f t="shared" si="394"/>
        <v>0</v>
      </c>
      <c r="L381" s="111"/>
      <c r="Z381" s="100">
        <f t="shared" si="395"/>
        <v>0</v>
      </c>
      <c r="AB381" s="100">
        <f t="shared" si="396"/>
        <v>0</v>
      </c>
      <c r="AC381" s="100">
        <f t="shared" si="397"/>
        <v>0</v>
      </c>
      <c r="AD381" s="100">
        <f t="shared" si="398"/>
        <v>0</v>
      </c>
      <c r="AE381" s="100">
        <f t="shared" si="399"/>
        <v>0</v>
      </c>
      <c r="AF381" s="100">
        <f t="shared" si="400"/>
        <v>0</v>
      </c>
      <c r="AG381" s="100">
        <f t="shared" si="401"/>
        <v>0</v>
      </c>
      <c r="AH381" s="100">
        <f t="shared" si="402"/>
        <v>0</v>
      </c>
      <c r="AI381" s="109"/>
      <c r="AJ381" s="108">
        <f t="shared" si="403"/>
        <v>0</v>
      </c>
      <c r="AK381" s="108">
        <f t="shared" si="404"/>
        <v>0</v>
      </c>
      <c r="AL381" s="108">
        <f t="shared" si="405"/>
        <v>0</v>
      </c>
      <c r="AN381" s="100">
        <v>15</v>
      </c>
      <c r="AO381" s="100">
        <f t="shared" si="406"/>
        <v>0</v>
      </c>
      <c r="AP381" s="100">
        <f t="shared" si="407"/>
        <v>0</v>
      </c>
      <c r="AQ381" s="111" t="s">
        <v>13</v>
      </c>
      <c r="AV381" s="100">
        <f t="shared" si="408"/>
        <v>0</v>
      </c>
      <c r="AW381" s="100">
        <f t="shared" si="409"/>
        <v>0</v>
      </c>
      <c r="AX381" s="100">
        <f t="shared" si="410"/>
        <v>0</v>
      </c>
      <c r="AY381" s="110" t="s">
        <v>1712</v>
      </c>
      <c r="AZ381" s="110" t="s">
        <v>1733</v>
      </c>
      <c r="BA381" s="109" t="s">
        <v>1737</v>
      </c>
      <c r="BC381" s="100">
        <f t="shared" si="411"/>
        <v>0</v>
      </c>
      <c r="BD381" s="100">
        <f t="shared" si="412"/>
        <v>0</v>
      </c>
      <c r="BE381" s="100">
        <v>0</v>
      </c>
      <c r="BF381" s="100">
        <f>381</f>
        <v>381</v>
      </c>
      <c r="BH381" s="108">
        <f t="shared" si="413"/>
        <v>0</v>
      </c>
      <c r="BI381" s="108">
        <f t="shared" si="414"/>
        <v>0</v>
      </c>
      <c r="BJ381" s="108">
        <f t="shared" si="415"/>
        <v>0</v>
      </c>
    </row>
    <row r="382" spans="1:62" x14ac:dyDescent="0.2">
      <c r="A382" s="117" t="s">
        <v>340</v>
      </c>
      <c r="B382" s="117" t="s">
        <v>841</v>
      </c>
      <c r="C382" s="304" t="s">
        <v>1423</v>
      </c>
      <c r="D382" s="305"/>
      <c r="E382" s="305"/>
      <c r="F382" s="117" t="s">
        <v>1652</v>
      </c>
      <c r="G382" s="116">
        <v>1</v>
      </c>
      <c r="H382" s="159"/>
      <c r="I382" s="108">
        <f t="shared" si="392"/>
        <v>0</v>
      </c>
      <c r="J382" s="108">
        <f t="shared" si="393"/>
        <v>0</v>
      </c>
      <c r="K382" s="108">
        <f t="shared" si="394"/>
        <v>0</v>
      </c>
      <c r="L382" s="111"/>
      <c r="Z382" s="100">
        <f t="shared" si="395"/>
        <v>0</v>
      </c>
      <c r="AB382" s="100">
        <f t="shared" si="396"/>
        <v>0</v>
      </c>
      <c r="AC382" s="100">
        <f t="shared" si="397"/>
        <v>0</v>
      </c>
      <c r="AD382" s="100">
        <f t="shared" si="398"/>
        <v>0</v>
      </c>
      <c r="AE382" s="100">
        <f t="shared" si="399"/>
        <v>0</v>
      </c>
      <c r="AF382" s="100">
        <f t="shared" si="400"/>
        <v>0</v>
      </c>
      <c r="AG382" s="100">
        <f t="shared" si="401"/>
        <v>0</v>
      </c>
      <c r="AH382" s="100">
        <f t="shared" si="402"/>
        <v>0</v>
      </c>
      <c r="AI382" s="109"/>
      <c r="AJ382" s="108">
        <f t="shared" si="403"/>
        <v>0</v>
      </c>
      <c r="AK382" s="108">
        <f t="shared" si="404"/>
        <v>0</v>
      </c>
      <c r="AL382" s="108">
        <f t="shared" si="405"/>
        <v>0</v>
      </c>
      <c r="AN382" s="100">
        <v>15</v>
      </c>
      <c r="AO382" s="100">
        <f t="shared" si="406"/>
        <v>0</v>
      </c>
      <c r="AP382" s="100">
        <f t="shared" si="407"/>
        <v>0</v>
      </c>
      <c r="AQ382" s="111" t="s">
        <v>13</v>
      </c>
      <c r="AV382" s="100">
        <f t="shared" si="408"/>
        <v>0</v>
      </c>
      <c r="AW382" s="100">
        <f t="shared" si="409"/>
        <v>0</v>
      </c>
      <c r="AX382" s="100">
        <f t="shared" si="410"/>
        <v>0</v>
      </c>
      <c r="AY382" s="110" t="s">
        <v>1712</v>
      </c>
      <c r="AZ382" s="110" t="s">
        <v>1733</v>
      </c>
      <c r="BA382" s="109" t="s">
        <v>1737</v>
      </c>
      <c r="BC382" s="100">
        <f t="shared" si="411"/>
        <v>0</v>
      </c>
      <c r="BD382" s="100">
        <f t="shared" si="412"/>
        <v>0</v>
      </c>
      <c r="BE382" s="100">
        <v>0</v>
      </c>
      <c r="BF382" s="100">
        <f>382</f>
        <v>382</v>
      </c>
      <c r="BH382" s="108">
        <f t="shared" si="413"/>
        <v>0</v>
      </c>
      <c r="BI382" s="108">
        <f t="shared" si="414"/>
        <v>0</v>
      </c>
      <c r="BJ382" s="108">
        <f t="shared" si="415"/>
        <v>0</v>
      </c>
    </row>
    <row r="383" spans="1:62" x14ac:dyDescent="0.2">
      <c r="A383" s="119"/>
      <c r="B383" s="120" t="s">
        <v>842</v>
      </c>
      <c r="C383" s="306" t="s">
        <v>1424</v>
      </c>
      <c r="D383" s="307"/>
      <c r="E383" s="307"/>
      <c r="F383" s="119" t="s">
        <v>6</v>
      </c>
      <c r="G383" s="119" t="s">
        <v>6</v>
      </c>
      <c r="H383" s="119" t="s">
        <v>6</v>
      </c>
      <c r="I383" s="118">
        <f>SUM(I384:I420)</f>
        <v>0</v>
      </c>
      <c r="J383" s="118">
        <f>SUM(J384:J420)</f>
        <v>0</v>
      </c>
      <c r="K383" s="118">
        <f>SUM(K384:K420)</f>
        <v>0</v>
      </c>
      <c r="L383" s="109"/>
      <c r="AI383" s="109"/>
      <c r="AS383" s="118">
        <f>SUM(AJ384:AJ420)</f>
        <v>0</v>
      </c>
      <c r="AT383" s="118">
        <f>SUM(AK384:AK420)</f>
        <v>0</v>
      </c>
      <c r="AU383" s="118">
        <f>SUM(AL384:AL420)</f>
        <v>0</v>
      </c>
    </row>
    <row r="384" spans="1:62" x14ac:dyDescent="0.2">
      <c r="A384" s="117" t="s">
        <v>341</v>
      </c>
      <c r="B384" s="117" t="s">
        <v>127</v>
      </c>
      <c r="C384" s="304" t="s">
        <v>1425</v>
      </c>
      <c r="D384" s="305"/>
      <c r="E384" s="305"/>
      <c r="F384" s="117" t="s">
        <v>1644</v>
      </c>
      <c r="G384" s="116">
        <v>6</v>
      </c>
      <c r="H384" s="159"/>
      <c r="I384" s="108">
        <f t="shared" ref="I384:I420" si="416">G384*AO384</f>
        <v>0</v>
      </c>
      <c r="J384" s="108">
        <f t="shared" ref="J384:J420" si="417">G384*AP384</f>
        <v>0</v>
      </c>
      <c r="K384" s="108">
        <f t="shared" ref="K384:K420" si="418">G384*H384</f>
        <v>0</v>
      </c>
      <c r="L384" s="111"/>
      <c r="Z384" s="100">
        <f t="shared" ref="Z384:Z420" si="419">IF(AQ384="5",BJ384,0)</f>
        <v>0</v>
      </c>
      <c r="AB384" s="100">
        <f t="shared" ref="AB384:AB420" si="420">IF(AQ384="1",BH384,0)</f>
        <v>0</v>
      </c>
      <c r="AC384" s="100">
        <f t="shared" ref="AC384:AC420" si="421">IF(AQ384="1",BI384,0)</f>
        <v>0</v>
      </c>
      <c r="AD384" s="100">
        <f t="shared" ref="AD384:AD420" si="422">IF(AQ384="7",BH384,0)</f>
        <v>0</v>
      </c>
      <c r="AE384" s="100">
        <f t="shared" ref="AE384:AE420" si="423">IF(AQ384="7",BI384,0)</f>
        <v>0</v>
      </c>
      <c r="AF384" s="100">
        <f t="shared" ref="AF384:AF420" si="424">IF(AQ384="2",BH384,0)</f>
        <v>0</v>
      </c>
      <c r="AG384" s="100">
        <f t="shared" ref="AG384:AG420" si="425">IF(AQ384="2",BI384,0)</f>
        <v>0</v>
      </c>
      <c r="AH384" s="100">
        <f t="shared" ref="AH384:AH420" si="426">IF(AQ384="0",BJ384,0)</f>
        <v>0</v>
      </c>
      <c r="AI384" s="109"/>
      <c r="AJ384" s="108">
        <f t="shared" ref="AJ384:AJ420" si="427">IF(AN384=0,K384,0)</f>
        <v>0</v>
      </c>
      <c r="AK384" s="108">
        <f t="shared" ref="AK384:AK420" si="428">IF(AN384=15,K384,0)</f>
        <v>0</v>
      </c>
      <c r="AL384" s="108">
        <f t="shared" ref="AL384:AL420" si="429">IF(AN384=21,K384,0)</f>
        <v>0</v>
      </c>
      <c r="AN384" s="100">
        <v>15</v>
      </c>
      <c r="AO384" s="100">
        <f t="shared" ref="AO384:AO420" si="430">H384*0</f>
        <v>0</v>
      </c>
      <c r="AP384" s="100">
        <f t="shared" ref="AP384:AP420" si="431">H384*(1-0)</f>
        <v>0</v>
      </c>
      <c r="AQ384" s="111" t="s">
        <v>13</v>
      </c>
      <c r="AV384" s="100">
        <f t="shared" ref="AV384:AV420" si="432">AW384+AX384</f>
        <v>0</v>
      </c>
      <c r="AW384" s="100">
        <f t="shared" ref="AW384:AW420" si="433">G384*AO384</f>
        <v>0</v>
      </c>
      <c r="AX384" s="100">
        <f t="shared" ref="AX384:AX420" si="434">G384*AP384</f>
        <v>0</v>
      </c>
      <c r="AY384" s="110" t="s">
        <v>1713</v>
      </c>
      <c r="AZ384" s="110" t="s">
        <v>1733</v>
      </c>
      <c r="BA384" s="109" t="s">
        <v>1737</v>
      </c>
      <c r="BC384" s="100">
        <f t="shared" ref="BC384:BC420" si="435">AW384+AX384</f>
        <v>0</v>
      </c>
      <c r="BD384" s="100">
        <f t="shared" ref="BD384:BD420" si="436">H384/(100-BE384)*100</f>
        <v>0</v>
      </c>
      <c r="BE384" s="100">
        <v>0</v>
      </c>
      <c r="BF384" s="100">
        <f>384</f>
        <v>384</v>
      </c>
      <c r="BH384" s="108">
        <f t="shared" ref="BH384:BH420" si="437">G384*AO384</f>
        <v>0</v>
      </c>
      <c r="BI384" s="108">
        <f t="shared" ref="BI384:BI420" si="438">G384*AP384</f>
        <v>0</v>
      </c>
      <c r="BJ384" s="108">
        <f t="shared" ref="BJ384:BJ420" si="439">G384*H384</f>
        <v>0</v>
      </c>
    </row>
    <row r="385" spans="1:62" x14ac:dyDescent="0.2">
      <c r="A385" s="117" t="s">
        <v>342</v>
      </c>
      <c r="B385" s="117" t="s">
        <v>128</v>
      </c>
      <c r="C385" s="304" t="s">
        <v>1426</v>
      </c>
      <c r="D385" s="305"/>
      <c r="E385" s="305"/>
      <c r="F385" s="117" t="s">
        <v>1646</v>
      </c>
      <c r="G385" s="116">
        <v>65</v>
      </c>
      <c r="H385" s="159"/>
      <c r="I385" s="108">
        <f t="shared" si="416"/>
        <v>0</v>
      </c>
      <c r="J385" s="108">
        <f t="shared" si="417"/>
        <v>0</v>
      </c>
      <c r="K385" s="108">
        <f t="shared" si="418"/>
        <v>0</v>
      </c>
      <c r="L385" s="111"/>
      <c r="Z385" s="100">
        <f t="shared" si="419"/>
        <v>0</v>
      </c>
      <c r="AB385" s="100">
        <f t="shared" si="420"/>
        <v>0</v>
      </c>
      <c r="AC385" s="100">
        <f t="shared" si="421"/>
        <v>0</v>
      </c>
      <c r="AD385" s="100">
        <f t="shared" si="422"/>
        <v>0</v>
      </c>
      <c r="AE385" s="100">
        <f t="shared" si="423"/>
        <v>0</v>
      </c>
      <c r="AF385" s="100">
        <f t="shared" si="424"/>
        <v>0</v>
      </c>
      <c r="AG385" s="100">
        <f t="shared" si="425"/>
        <v>0</v>
      </c>
      <c r="AH385" s="100">
        <f t="shared" si="426"/>
        <v>0</v>
      </c>
      <c r="AI385" s="109"/>
      <c r="AJ385" s="108">
        <f t="shared" si="427"/>
        <v>0</v>
      </c>
      <c r="AK385" s="108">
        <f t="shared" si="428"/>
        <v>0</v>
      </c>
      <c r="AL385" s="108">
        <f t="shared" si="429"/>
        <v>0</v>
      </c>
      <c r="AN385" s="100">
        <v>15</v>
      </c>
      <c r="AO385" s="100">
        <f t="shared" si="430"/>
        <v>0</v>
      </c>
      <c r="AP385" s="100">
        <f t="shared" si="431"/>
        <v>0</v>
      </c>
      <c r="AQ385" s="111" t="s">
        <v>13</v>
      </c>
      <c r="AV385" s="100">
        <f t="shared" si="432"/>
        <v>0</v>
      </c>
      <c r="AW385" s="100">
        <f t="shared" si="433"/>
        <v>0</v>
      </c>
      <c r="AX385" s="100">
        <f t="shared" si="434"/>
        <v>0</v>
      </c>
      <c r="AY385" s="110" t="s">
        <v>1713</v>
      </c>
      <c r="AZ385" s="110" t="s">
        <v>1733</v>
      </c>
      <c r="BA385" s="109" t="s">
        <v>1737</v>
      </c>
      <c r="BC385" s="100">
        <f t="shared" si="435"/>
        <v>0</v>
      </c>
      <c r="BD385" s="100">
        <f t="shared" si="436"/>
        <v>0</v>
      </c>
      <c r="BE385" s="100">
        <v>0</v>
      </c>
      <c r="BF385" s="100">
        <f>385</f>
        <v>385</v>
      </c>
      <c r="BH385" s="108">
        <f t="shared" si="437"/>
        <v>0</v>
      </c>
      <c r="BI385" s="108">
        <f t="shared" si="438"/>
        <v>0</v>
      </c>
      <c r="BJ385" s="108">
        <f t="shared" si="439"/>
        <v>0</v>
      </c>
    </row>
    <row r="386" spans="1:62" x14ac:dyDescent="0.2">
      <c r="A386" s="117" t="s">
        <v>343</v>
      </c>
      <c r="B386" s="117" t="s">
        <v>129</v>
      </c>
      <c r="C386" s="304" t="s">
        <v>1427</v>
      </c>
      <c r="D386" s="305"/>
      <c r="E386" s="305"/>
      <c r="F386" s="117" t="s">
        <v>1644</v>
      </c>
      <c r="G386" s="116">
        <v>6</v>
      </c>
      <c r="H386" s="159"/>
      <c r="I386" s="108">
        <f t="shared" si="416"/>
        <v>0</v>
      </c>
      <c r="J386" s="108">
        <f t="shared" si="417"/>
        <v>0</v>
      </c>
      <c r="K386" s="108">
        <f t="shared" si="418"/>
        <v>0</v>
      </c>
      <c r="L386" s="111"/>
      <c r="Z386" s="100">
        <f t="shared" si="419"/>
        <v>0</v>
      </c>
      <c r="AB386" s="100">
        <f t="shared" si="420"/>
        <v>0</v>
      </c>
      <c r="AC386" s="100">
        <f t="shared" si="421"/>
        <v>0</v>
      </c>
      <c r="AD386" s="100">
        <f t="shared" si="422"/>
        <v>0</v>
      </c>
      <c r="AE386" s="100">
        <f t="shared" si="423"/>
        <v>0</v>
      </c>
      <c r="AF386" s="100">
        <f t="shared" si="424"/>
        <v>0</v>
      </c>
      <c r="AG386" s="100">
        <f t="shared" si="425"/>
        <v>0</v>
      </c>
      <c r="AH386" s="100">
        <f t="shared" si="426"/>
        <v>0</v>
      </c>
      <c r="AI386" s="109"/>
      <c r="AJ386" s="108">
        <f t="shared" si="427"/>
        <v>0</v>
      </c>
      <c r="AK386" s="108">
        <f t="shared" si="428"/>
        <v>0</v>
      </c>
      <c r="AL386" s="108">
        <f t="shared" si="429"/>
        <v>0</v>
      </c>
      <c r="AN386" s="100">
        <v>15</v>
      </c>
      <c r="AO386" s="100">
        <f t="shared" si="430"/>
        <v>0</v>
      </c>
      <c r="AP386" s="100">
        <f t="shared" si="431"/>
        <v>0</v>
      </c>
      <c r="AQ386" s="111" t="s">
        <v>13</v>
      </c>
      <c r="AV386" s="100">
        <f t="shared" si="432"/>
        <v>0</v>
      </c>
      <c r="AW386" s="100">
        <f t="shared" si="433"/>
        <v>0</v>
      </c>
      <c r="AX386" s="100">
        <f t="shared" si="434"/>
        <v>0</v>
      </c>
      <c r="AY386" s="110" t="s">
        <v>1713</v>
      </c>
      <c r="AZ386" s="110" t="s">
        <v>1733</v>
      </c>
      <c r="BA386" s="109" t="s">
        <v>1737</v>
      </c>
      <c r="BC386" s="100">
        <f t="shared" si="435"/>
        <v>0</v>
      </c>
      <c r="BD386" s="100">
        <f t="shared" si="436"/>
        <v>0</v>
      </c>
      <c r="BE386" s="100">
        <v>0</v>
      </c>
      <c r="BF386" s="100">
        <f>386</f>
        <v>386</v>
      </c>
      <c r="BH386" s="108">
        <f t="shared" si="437"/>
        <v>0</v>
      </c>
      <c r="BI386" s="108">
        <f t="shared" si="438"/>
        <v>0</v>
      </c>
      <c r="BJ386" s="108">
        <f t="shared" si="439"/>
        <v>0</v>
      </c>
    </row>
    <row r="387" spans="1:62" x14ac:dyDescent="0.2">
      <c r="A387" s="117" t="s">
        <v>344</v>
      </c>
      <c r="B387" s="117" t="s">
        <v>130</v>
      </c>
      <c r="C387" s="304" t="s">
        <v>1430</v>
      </c>
      <c r="D387" s="305"/>
      <c r="E387" s="305"/>
      <c r="F387" s="117" t="s">
        <v>1644</v>
      </c>
      <c r="G387" s="116">
        <v>1</v>
      </c>
      <c r="H387" s="159"/>
      <c r="I387" s="108">
        <f t="shared" si="416"/>
        <v>0</v>
      </c>
      <c r="J387" s="108">
        <f t="shared" si="417"/>
        <v>0</v>
      </c>
      <c r="K387" s="108">
        <f t="shared" si="418"/>
        <v>0</v>
      </c>
      <c r="L387" s="111"/>
      <c r="Z387" s="100">
        <f t="shared" si="419"/>
        <v>0</v>
      </c>
      <c r="AB387" s="100">
        <f t="shared" si="420"/>
        <v>0</v>
      </c>
      <c r="AC387" s="100">
        <f t="shared" si="421"/>
        <v>0</v>
      </c>
      <c r="AD387" s="100">
        <f t="shared" si="422"/>
        <v>0</v>
      </c>
      <c r="AE387" s="100">
        <f t="shared" si="423"/>
        <v>0</v>
      </c>
      <c r="AF387" s="100">
        <f t="shared" si="424"/>
        <v>0</v>
      </c>
      <c r="AG387" s="100">
        <f t="shared" si="425"/>
        <v>0</v>
      </c>
      <c r="AH387" s="100">
        <f t="shared" si="426"/>
        <v>0</v>
      </c>
      <c r="AI387" s="109"/>
      <c r="AJ387" s="108">
        <f t="shared" si="427"/>
        <v>0</v>
      </c>
      <c r="AK387" s="108">
        <f t="shared" si="428"/>
        <v>0</v>
      </c>
      <c r="AL387" s="108">
        <f t="shared" si="429"/>
        <v>0</v>
      </c>
      <c r="AN387" s="100">
        <v>15</v>
      </c>
      <c r="AO387" s="100">
        <f t="shared" si="430"/>
        <v>0</v>
      </c>
      <c r="AP387" s="100">
        <f t="shared" si="431"/>
        <v>0</v>
      </c>
      <c r="AQ387" s="111" t="s">
        <v>13</v>
      </c>
      <c r="AV387" s="100">
        <f t="shared" si="432"/>
        <v>0</v>
      </c>
      <c r="AW387" s="100">
        <f t="shared" si="433"/>
        <v>0</v>
      </c>
      <c r="AX387" s="100">
        <f t="shared" si="434"/>
        <v>0</v>
      </c>
      <c r="AY387" s="110" t="s">
        <v>1713</v>
      </c>
      <c r="AZ387" s="110" t="s">
        <v>1733</v>
      </c>
      <c r="BA387" s="109" t="s">
        <v>1737</v>
      </c>
      <c r="BC387" s="100">
        <f t="shared" si="435"/>
        <v>0</v>
      </c>
      <c r="BD387" s="100">
        <f t="shared" si="436"/>
        <v>0</v>
      </c>
      <c r="BE387" s="100">
        <v>0</v>
      </c>
      <c r="BF387" s="100">
        <f>387</f>
        <v>387</v>
      </c>
      <c r="BH387" s="108">
        <f t="shared" si="437"/>
        <v>0</v>
      </c>
      <c r="BI387" s="108">
        <f t="shared" si="438"/>
        <v>0</v>
      </c>
      <c r="BJ387" s="108">
        <f t="shared" si="439"/>
        <v>0</v>
      </c>
    </row>
    <row r="388" spans="1:62" x14ac:dyDescent="0.2">
      <c r="A388" s="117" t="s">
        <v>345</v>
      </c>
      <c r="B388" s="117" t="s">
        <v>131</v>
      </c>
      <c r="C388" s="304" t="s">
        <v>1431</v>
      </c>
      <c r="D388" s="305"/>
      <c r="E388" s="305"/>
      <c r="F388" s="117" t="s">
        <v>1646</v>
      </c>
      <c r="G388" s="116">
        <v>135</v>
      </c>
      <c r="H388" s="159"/>
      <c r="I388" s="108">
        <f t="shared" si="416"/>
        <v>0</v>
      </c>
      <c r="J388" s="108">
        <f t="shared" si="417"/>
        <v>0</v>
      </c>
      <c r="K388" s="108">
        <f t="shared" si="418"/>
        <v>0</v>
      </c>
      <c r="L388" s="111"/>
      <c r="Z388" s="100">
        <f t="shared" si="419"/>
        <v>0</v>
      </c>
      <c r="AB388" s="100">
        <f t="shared" si="420"/>
        <v>0</v>
      </c>
      <c r="AC388" s="100">
        <f t="shared" si="421"/>
        <v>0</v>
      </c>
      <c r="AD388" s="100">
        <f t="shared" si="422"/>
        <v>0</v>
      </c>
      <c r="AE388" s="100">
        <f t="shared" si="423"/>
        <v>0</v>
      </c>
      <c r="AF388" s="100">
        <f t="shared" si="424"/>
        <v>0</v>
      </c>
      <c r="AG388" s="100">
        <f t="shared" si="425"/>
        <v>0</v>
      </c>
      <c r="AH388" s="100">
        <f t="shared" si="426"/>
        <v>0</v>
      </c>
      <c r="AI388" s="109"/>
      <c r="AJ388" s="108">
        <f t="shared" si="427"/>
        <v>0</v>
      </c>
      <c r="AK388" s="108">
        <f t="shared" si="428"/>
        <v>0</v>
      </c>
      <c r="AL388" s="108">
        <f t="shared" si="429"/>
        <v>0</v>
      </c>
      <c r="AN388" s="100">
        <v>15</v>
      </c>
      <c r="AO388" s="100">
        <f t="shared" si="430"/>
        <v>0</v>
      </c>
      <c r="AP388" s="100">
        <f t="shared" si="431"/>
        <v>0</v>
      </c>
      <c r="AQ388" s="111" t="s">
        <v>13</v>
      </c>
      <c r="AV388" s="100">
        <f t="shared" si="432"/>
        <v>0</v>
      </c>
      <c r="AW388" s="100">
        <f t="shared" si="433"/>
        <v>0</v>
      </c>
      <c r="AX388" s="100">
        <f t="shared" si="434"/>
        <v>0</v>
      </c>
      <c r="AY388" s="110" t="s">
        <v>1713</v>
      </c>
      <c r="AZ388" s="110" t="s">
        <v>1733</v>
      </c>
      <c r="BA388" s="109" t="s">
        <v>1737</v>
      </c>
      <c r="BC388" s="100">
        <f t="shared" si="435"/>
        <v>0</v>
      </c>
      <c r="BD388" s="100">
        <f t="shared" si="436"/>
        <v>0</v>
      </c>
      <c r="BE388" s="100">
        <v>0</v>
      </c>
      <c r="BF388" s="100">
        <f>388</f>
        <v>388</v>
      </c>
      <c r="BH388" s="108">
        <f t="shared" si="437"/>
        <v>0</v>
      </c>
      <c r="BI388" s="108">
        <f t="shared" si="438"/>
        <v>0</v>
      </c>
      <c r="BJ388" s="108">
        <f t="shared" si="439"/>
        <v>0</v>
      </c>
    </row>
    <row r="389" spans="1:62" x14ac:dyDescent="0.2">
      <c r="A389" s="117" t="s">
        <v>346</v>
      </c>
      <c r="B389" s="117" t="s">
        <v>132</v>
      </c>
      <c r="C389" s="304" t="s">
        <v>1432</v>
      </c>
      <c r="D389" s="305"/>
      <c r="E389" s="305"/>
      <c r="F389" s="117" t="s">
        <v>1644</v>
      </c>
      <c r="G389" s="116">
        <v>6</v>
      </c>
      <c r="H389" s="159"/>
      <c r="I389" s="108">
        <f t="shared" si="416"/>
        <v>0</v>
      </c>
      <c r="J389" s="108">
        <f t="shared" si="417"/>
        <v>0</v>
      </c>
      <c r="K389" s="108">
        <f t="shared" si="418"/>
        <v>0</v>
      </c>
      <c r="L389" s="111"/>
      <c r="Z389" s="100">
        <f t="shared" si="419"/>
        <v>0</v>
      </c>
      <c r="AB389" s="100">
        <f t="shared" si="420"/>
        <v>0</v>
      </c>
      <c r="AC389" s="100">
        <f t="shared" si="421"/>
        <v>0</v>
      </c>
      <c r="AD389" s="100">
        <f t="shared" si="422"/>
        <v>0</v>
      </c>
      <c r="AE389" s="100">
        <f t="shared" si="423"/>
        <v>0</v>
      </c>
      <c r="AF389" s="100">
        <f t="shared" si="424"/>
        <v>0</v>
      </c>
      <c r="AG389" s="100">
        <f t="shared" si="425"/>
        <v>0</v>
      </c>
      <c r="AH389" s="100">
        <f t="shared" si="426"/>
        <v>0</v>
      </c>
      <c r="AI389" s="109"/>
      <c r="AJ389" s="108">
        <f t="shared" si="427"/>
        <v>0</v>
      </c>
      <c r="AK389" s="108">
        <f t="shared" si="428"/>
        <v>0</v>
      </c>
      <c r="AL389" s="108">
        <f t="shared" si="429"/>
        <v>0</v>
      </c>
      <c r="AN389" s="100">
        <v>15</v>
      </c>
      <c r="AO389" s="100">
        <f t="shared" si="430"/>
        <v>0</v>
      </c>
      <c r="AP389" s="100">
        <f t="shared" si="431"/>
        <v>0</v>
      </c>
      <c r="AQ389" s="111" t="s">
        <v>13</v>
      </c>
      <c r="AV389" s="100">
        <f t="shared" si="432"/>
        <v>0</v>
      </c>
      <c r="AW389" s="100">
        <f t="shared" si="433"/>
        <v>0</v>
      </c>
      <c r="AX389" s="100">
        <f t="shared" si="434"/>
        <v>0</v>
      </c>
      <c r="AY389" s="110" t="s">
        <v>1713</v>
      </c>
      <c r="AZ389" s="110" t="s">
        <v>1733</v>
      </c>
      <c r="BA389" s="109" t="s">
        <v>1737</v>
      </c>
      <c r="BC389" s="100">
        <f t="shared" si="435"/>
        <v>0</v>
      </c>
      <c r="BD389" s="100">
        <f t="shared" si="436"/>
        <v>0</v>
      </c>
      <c r="BE389" s="100">
        <v>0</v>
      </c>
      <c r="BF389" s="100">
        <f>389</f>
        <v>389</v>
      </c>
      <c r="BH389" s="108">
        <f t="shared" si="437"/>
        <v>0</v>
      </c>
      <c r="BI389" s="108">
        <f t="shared" si="438"/>
        <v>0</v>
      </c>
      <c r="BJ389" s="108">
        <f t="shared" si="439"/>
        <v>0</v>
      </c>
    </row>
    <row r="390" spans="1:62" x14ac:dyDescent="0.2">
      <c r="A390" s="117" t="s">
        <v>347</v>
      </c>
      <c r="B390" s="117" t="s">
        <v>133</v>
      </c>
      <c r="C390" s="304" t="s">
        <v>1996</v>
      </c>
      <c r="D390" s="305"/>
      <c r="E390" s="305"/>
      <c r="F390" s="117" t="s">
        <v>1644</v>
      </c>
      <c r="G390" s="116">
        <v>4</v>
      </c>
      <c r="H390" s="159"/>
      <c r="I390" s="108">
        <f t="shared" si="416"/>
        <v>0</v>
      </c>
      <c r="J390" s="108">
        <f t="shared" si="417"/>
        <v>0</v>
      </c>
      <c r="K390" s="108">
        <f t="shared" si="418"/>
        <v>0</v>
      </c>
      <c r="L390" s="111"/>
      <c r="Z390" s="100">
        <f t="shared" si="419"/>
        <v>0</v>
      </c>
      <c r="AB390" s="100">
        <f t="shared" si="420"/>
        <v>0</v>
      </c>
      <c r="AC390" s="100">
        <f t="shared" si="421"/>
        <v>0</v>
      </c>
      <c r="AD390" s="100">
        <f t="shared" si="422"/>
        <v>0</v>
      </c>
      <c r="AE390" s="100">
        <f t="shared" si="423"/>
        <v>0</v>
      </c>
      <c r="AF390" s="100">
        <f t="shared" si="424"/>
        <v>0</v>
      </c>
      <c r="AG390" s="100">
        <f t="shared" si="425"/>
        <v>0</v>
      </c>
      <c r="AH390" s="100">
        <f t="shared" si="426"/>
        <v>0</v>
      </c>
      <c r="AI390" s="109"/>
      <c r="AJ390" s="108">
        <f t="shared" si="427"/>
        <v>0</v>
      </c>
      <c r="AK390" s="108">
        <f t="shared" si="428"/>
        <v>0</v>
      </c>
      <c r="AL390" s="108">
        <f t="shared" si="429"/>
        <v>0</v>
      </c>
      <c r="AN390" s="100">
        <v>15</v>
      </c>
      <c r="AO390" s="100">
        <f t="shared" si="430"/>
        <v>0</v>
      </c>
      <c r="AP390" s="100">
        <f t="shared" si="431"/>
        <v>0</v>
      </c>
      <c r="AQ390" s="111" t="s">
        <v>13</v>
      </c>
      <c r="AV390" s="100">
        <f t="shared" si="432"/>
        <v>0</v>
      </c>
      <c r="AW390" s="100">
        <f t="shared" si="433"/>
        <v>0</v>
      </c>
      <c r="AX390" s="100">
        <f t="shared" si="434"/>
        <v>0</v>
      </c>
      <c r="AY390" s="110" t="s">
        <v>1713</v>
      </c>
      <c r="AZ390" s="110" t="s">
        <v>1733</v>
      </c>
      <c r="BA390" s="109" t="s">
        <v>1737</v>
      </c>
      <c r="BC390" s="100">
        <f t="shared" si="435"/>
        <v>0</v>
      </c>
      <c r="BD390" s="100">
        <f t="shared" si="436"/>
        <v>0</v>
      </c>
      <c r="BE390" s="100">
        <v>0</v>
      </c>
      <c r="BF390" s="100">
        <f>390</f>
        <v>390</v>
      </c>
      <c r="BH390" s="108">
        <f t="shared" si="437"/>
        <v>0</v>
      </c>
      <c r="BI390" s="108">
        <f t="shared" si="438"/>
        <v>0</v>
      </c>
      <c r="BJ390" s="108">
        <f t="shared" si="439"/>
        <v>0</v>
      </c>
    </row>
    <row r="391" spans="1:62" x14ac:dyDescent="0.2">
      <c r="A391" s="117" t="s">
        <v>348</v>
      </c>
      <c r="B391" s="117" t="s">
        <v>134</v>
      </c>
      <c r="C391" s="304" t="s">
        <v>1995</v>
      </c>
      <c r="D391" s="305"/>
      <c r="E391" s="305"/>
      <c r="F391" s="117" t="s">
        <v>1644</v>
      </c>
      <c r="G391" s="116">
        <v>4</v>
      </c>
      <c r="H391" s="159"/>
      <c r="I391" s="108">
        <f t="shared" si="416"/>
        <v>0</v>
      </c>
      <c r="J391" s="108">
        <f t="shared" si="417"/>
        <v>0</v>
      </c>
      <c r="K391" s="108">
        <f t="shared" si="418"/>
        <v>0</v>
      </c>
      <c r="L391" s="111"/>
      <c r="Z391" s="100">
        <f t="shared" si="419"/>
        <v>0</v>
      </c>
      <c r="AB391" s="100">
        <f t="shared" si="420"/>
        <v>0</v>
      </c>
      <c r="AC391" s="100">
        <f t="shared" si="421"/>
        <v>0</v>
      </c>
      <c r="AD391" s="100">
        <f t="shared" si="422"/>
        <v>0</v>
      </c>
      <c r="AE391" s="100">
        <f t="shared" si="423"/>
        <v>0</v>
      </c>
      <c r="AF391" s="100">
        <f t="shared" si="424"/>
        <v>0</v>
      </c>
      <c r="AG391" s="100">
        <f t="shared" si="425"/>
        <v>0</v>
      </c>
      <c r="AH391" s="100">
        <f t="shared" si="426"/>
        <v>0</v>
      </c>
      <c r="AI391" s="109"/>
      <c r="AJ391" s="108">
        <f t="shared" si="427"/>
        <v>0</v>
      </c>
      <c r="AK391" s="108">
        <f t="shared" si="428"/>
        <v>0</v>
      </c>
      <c r="AL391" s="108">
        <f t="shared" si="429"/>
        <v>0</v>
      </c>
      <c r="AN391" s="100">
        <v>15</v>
      </c>
      <c r="AO391" s="100">
        <f t="shared" si="430"/>
        <v>0</v>
      </c>
      <c r="AP391" s="100">
        <f t="shared" si="431"/>
        <v>0</v>
      </c>
      <c r="AQ391" s="111" t="s">
        <v>13</v>
      </c>
      <c r="AV391" s="100">
        <f t="shared" si="432"/>
        <v>0</v>
      </c>
      <c r="AW391" s="100">
        <f t="shared" si="433"/>
        <v>0</v>
      </c>
      <c r="AX391" s="100">
        <f t="shared" si="434"/>
        <v>0</v>
      </c>
      <c r="AY391" s="110" t="s">
        <v>1713</v>
      </c>
      <c r="AZ391" s="110" t="s">
        <v>1733</v>
      </c>
      <c r="BA391" s="109" t="s">
        <v>1737</v>
      </c>
      <c r="BC391" s="100">
        <f t="shared" si="435"/>
        <v>0</v>
      </c>
      <c r="BD391" s="100">
        <f t="shared" si="436"/>
        <v>0</v>
      </c>
      <c r="BE391" s="100">
        <v>0</v>
      </c>
      <c r="BF391" s="100">
        <f>391</f>
        <v>391</v>
      </c>
      <c r="BH391" s="108">
        <f t="shared" si="437"/>
        <v>0</v>
      </c>
      <c r="BI391" s="108">
        <f t="shared" si="438"/>
        <v>0</v>
      </c>
      <c r="BJ391" s="108">
        <f t="shared" si="439"/>
        <v>0</v>
      </c>
    </row>
    <row r="392" spans="1:62" x14ac:dyDescent="0.2">
      <c r="A392" s="117" t="s">
        <v>349</v>
      </c>
      <c r="B392" s="117" t="s">
        <v>135</v>
      </c>
      <c r="C392" s="304" t="s">
        <v>1433</v>
      </c>
      <c r="D392" s="305"/>
      <c r="E392" s="305"/>
      <c r="F392" s="117" t="s">
        <v>1646</v>
      </c>
      <c r="G392" s="116">
        <v>135</v>
      </c>
      <c r="H392" s="159"/>
      <c r="I392" s="108">
        <f t="shared" si="416"/>
        <v>0</v>
      </c>
      <c r="J392" s="108">
        <f t="shared" si="417"/>
        <v>0</v>
      </c>
      <c r="K392" s="108">
        <f t="shared" si="418"/>
        <v>0</v>
      </c>
      <c r="L392" s="111"/>
      <c r="Z392" s="100">
        <f t="shared" si="419"/>
        <v>0</v>
      </c>
      <c r="AB392" s="100">
        <f t="shared" si="420"/>
        <v>0</v>
      </c>
      <c r="AC392" s="100">
        <f t="shared" si="421"/>
        <v>0</v>
      </c>
      <c r="AD392" s="100">
        <f t="shared" si="422"/>
        <v>0</v>
      </c>
      <c r="AE392" s="100">
        <f t="shared" si="423"/>
        <v>0</v>
      </c>
      <c r="AF392" s="100">
        <f t="shared" si="424"/>
        <v>0</v>
      </c>
      <c r="AG392" s="100">
        <f t="shared" si="425"/>
        <v>0</v>
      </c>
      <c r="AH392" s="100">
        <f t="shared" si="426"/>
        <v>0</v>
      </c>
      <c r="AI392" s="109"/>
      <c r="AJ392" s="108">
        <f t="shared" si="427"/>
        <v>0</v>
      </c>
      <c r="AK392" s="108">
        <f t="shared" si="428"/>
        <v>0</v>
      </c>
      <c r="AL392" s="108">
        <f t="shared" si="429"/>
        <v>0</v>
      </c>
      <c r="AN392" s="100">
        <v>15</v>
      </c>
      <c r="AO392" s="100">
        <f t="shared" si="430"/>
        <v>0</v>
      </c>
      <c r="AP392" s="100">
        <f t="shared" si="431"/>
        <v>0</v>
      </c>
      <c r="AQ392" s="111" t="s">
        <v>13</v>
      </c>
      <c r="AV392" s="100">
        <f t="shared" si="432"/>
        <v>0</v>
      </c>
      <c r="AW392" s="100">
        <f t="shared" si="433"/>
        <v>0</v>
      </c>
      <c r="AX392" s="100">
        <f t="shared" si="434"/>
        <v>0</v>
      </c>
      <c r="AY392" s="110" t="s">
        <v>1713</v>
      </c>
      <c r="AZ392" s="110" t="s">
        <v>1733</v>
      </c>
      <c r="BA392" s="109" t="s">
        <v>1737</v>
      </c>
      <c r="BC392" s="100">
        <f t="shared" si="435"/>
        <v>0</v>
      </c>
      <c r="BD392" s="100">
        <f t="shared" si="436"/>
        <v>0</v>
      </c>
      <c r="BE392" s="100">
        <v>0</v>
      </c>
      <c r="BF392" s="100">
        <f>392</f>
        <v>392</v>
      </c>
      <c r="BH392" s="108">
        <f t="shared" si="437"/>
        <v>0</v>
      </c>
      <c r="BI392" s="108">
        <f t="shared" si="438"/>
        <v>0</v>
      </c>
      <c r="BJ392" s="108">
        <f t="shared" si="439"/>
        <v>0</v>
      </c>
    </row>
    <row r="393" spans="1:62" x14ac:dyDescent="0.2">
      <c r="A393" s="117" t="s">
        <v>350</v>
      </c>
      <c r="B393" s="117" t="s">
        <v>843</v>
      </c>
      <c r="C393" s="304" t="s">
        <v>1434</v>
      </c>
      <c r="D393" s="305"/>
      <c r="E393" s="305"/>
      <c r="F393" s="117" t="s">
        <v>1646</v>
      </c>
      <c r="G393" s="116">
        <v>135</v>
      </c>
      <c r="H393" s="159"/>
      <c r="I393" s="108">
        <f t="shared" si="416"/>
        <v>0</v>
      </c>
      <c r="J393" s="108">
        <f t="shared" si="417"/>
        <v>0</v>
      </c>
      <c r="K393" s="108">
        <f t="shared" si="418"/>
        <v>0</v>
      </c>
      <c r="L393" s="111"/>
      <c r="Z393" s="100">
        <f t="shared" si="419"/>
        <v>0</v>
      </c>
      <c r="AB393" s="100">
        <f t="shared" si="420"/>
        <v>0</v>
      </c>
      <c r="AC393" s="100">
        <f t="shared" si="421"/>
        <v>0</v>
      </c>
      <c r="AD393" s="100">
        <f t="shared" si="422"/>
        <v>0</v>
      </c>
      <c r="AE393" s="100">
        <f t="shared" si="423"/>
        <v>0</v>
      </c>
      <c r="AF393" s="100">
        <f t="shared" si="424"/>
        <v>0</v>
      </c>
      <c r="AG393" s="100">
        <f t="shared" si="425"/>
        <v>0</v>
      </c>
      <c r="AH393" s="100">
        <f t="shared" si="426"/>
        <v>0</v>
      </c>
      <c r="AI393" s="109"/>
      <c r="AJ393" s="108">
        <f t="shared" si="427"/>
        <v>0</v>
      </c>
      <c r="AK393" s="108">
        <f t="shared" si="428"/>
        <v>0</v>
      </c>
      <c r="AL393" s="108">
        <f t="shared" si="429"/>
        <v>0</v>
      </c>
      <c r="AN393" s="100">
        <v>15</v>
      </c>
      <c r="AO393" s="100">
        <f t="shared" si="430"/>
        <v>0</v>
      </c>
      <c r="AP393" s="100">
        <f t="shared" si="431"/>
        <v>0</v>
      </c>
      <c r="AQ393" s="111" t="s">
        <v>13</v>
      </c>
      <c r="AV393" s="100">
        <f t="shared" si="432"/>
        <v>0</v>
      </c>
      <c r="AW393" s="100">
        <f t="shared" si="433"/>
        <v>0</v>
      </c>
      <c r="AX393" s="100">
        <f t="shared" si="434"/>
        <v>0</v>
      </c>
      <c r="AY393" s="110" t="s">
        <v>1713</v>
      </c>
      <c r="AZ393" s="110" t="s">
        <v>1733</v>
      </c>
      <c r="BA393" s="109" t="s">
        <v>1737</v>
      </c>
      <c r="BC393" s="100">
        <f t="shared" si="435"/>
        <v>0</v>
      </c>
      <c r="BD393" s="100">
        <f t="shared" si="436"/>
        <v>0</v>
      </c>
      <c r="BE393" s="100">
        <v>0</v>
      </c>
      <c r="BF393" s="100">
        <f>393</f>
        <v>393</v>
      </c>
      <c r="BH393" s="108">
        <f t="shared" si="437"/>
        <v>0</v>
      </c>
      <c r="BI393" s="108">
        <f t="shared" si="438"/>
        <v>0</v>
      </c>
      <c r="BJ393" s="108">
        <f t="shared" si="439"/>
        <v>0</v>
      </c>
    </row>
    <row r="394" spans="1:62" x14ac:dyDescent="0.2">
      <c r="A394" s="117" t="s">
        <v>351</v>
      </c>
      <c r="B394" s="117" t="s">
        <v>844</v>
      </c>
      <c r="C394" s="304" t="s">
        <v>1435</v>
      </c>
      <c r="D394" s="305"/>
      <c r="E394" s="305"/>
      <c r="F394" s="117" t="s">
        <v>1652</v>
      </c>
      <c r="G394" s="116">
        <v>1</v>
      </c>
      <c r="H394" s="159"/>
      <c r="I394" s="108">
        <f t="shared" si="416"/>
        <v>0</v>
      </c>
      <c r="J394" s="108">
        <f t="shared" si="417"/>
        <v>0</v>
      </c>
      <c r="K394" s="108">
        <f t="shared" si="418"/>
        <v>0</v>
      </c>
      <c r="L394" s="111"/>
      <c r="Z394" s="100">
        <f t="shared" si="419"/>
        <v>0</v>
      </c>
      <c r="AB394" s="100">
        <f t="shared" si="420"/>
        <v>0</v>
      </c>
      <c r="AC394" s="100">
        <f t="shared" si="421"/>
        <v>0</v>
      </c>
      <c r="AD394" s="100">
        <f t="shared" si="422"/>
        <v>0</v>
      </c>
      <c r="AE394" s="100">
        <f t="shared" si="423"/>
        <v>0</v>
      </c>
      <c r="AF394" s="100">
        <f t="shared" si="424"/>
        <v>0</v>
      </c>
      <c r="AG394" s="100">
        <f t="shared" si="425"/>
        <v>0</v>
      </c>
      <c r="AH394" s="100">
        <f t="shared" si="426"/>
        <v>0</v>
      </c>
      <c r="AI394" s="109"/>
      <c r="AJ394" s="108">
        <f t="shared" si="427"/>
        <v>0</v>
      </c>
      <c r="AK394" s="108">
        <f t="shared" si="428"/>
        <v>0</v>
      </c>
      <c r="AL394" s="108">
        <f t="shared" si="429"/>
        <v>0</v>
      </c>
      <c r="AN394" s="100">
        <v>15</v>
      </c>
      <c r="AO394" s="100">
        <f t="shared" si="430"/>
        <v>0</v>
      </c>
      <c r="AP394" s="100">
        <f t="shared" si="431"/>
        <v>0</v>
      </c>
      <c r="AQ394" s="111" t="s">
        <v>13</v>
      </c>
      <c r="AV394" s="100">
        <f t="shared" si="432"/>
        <v>0</v>
      </c>
      <c r="AW394" s="100">
        <f t="shared" si="433"/>
        <v>0</v>
      </c>
      <c r="AX394" s="100">
        <f t="shared" si="434"/>
        <v>0</v>
      </c>
      <c r="AY394" s="110" t="s">
        <v>1713</v>
      </c>
      <c r="AZ394" s="110" t="s">
        <v>1733</v>
      </c>
      <c r="BA394" s="109" t="s">
        <v>1737</v>
      </c>
      <c r="BC394" s="100">
        <f t="shared" si="435"/>
        <v>0</v>
      </c>
      <c r="BD394" s="100">
        <f t="shared" si="436"/>
        <v>0</v>
      </c>
      <c r="BE394" s="100">
        <v>0</v>
      </c>
      <c r="BF394" s="100">
        <f>394</f>
        <v>394</v>
      </c>
      <c r="BH394" s="108">
        <f t="shared" si="437"/>
        <v>0</v>
      </c>
      <c r="BI394" s="108">
        <f t="shared" si="438"/>
        <v>0</v>
      </c>
      <c r="BJ394" s="108">
        <f t="shared" si="439"/>
        <v>0</v>
      </c>
    </row>
    <row r="395" spans="1:62" x14ac:dyDescent="0.2">
      <c r="A395" s="117" t="s">
        <v>352</v>
      </c>
      <c r="B395" s="117" t="s">
        <v>845</v>
      </c>
      <c r="C395" s="304" t="s">
        <v>1436</v>
      </c>
      <c r="D395" s="305"/>
      <c r="E395" s="305"/>
      <c r="F395" s="117" t="s">
        <v>1652</v>
      </c>
      <c r="G395" s="116">
        <v>1</v>
      </c>
      <c r="H395" s="159"/>
      <c r="I395" s="108">
        <f t="shared" si="416"/>
        <v>0</v>
      </c>
      <c r="J395" s="108">
        <f t="shared" si="417"/>
        <v>0</v>
      </c>
      <c r="K395" s="108">
        <f t="shared" si="418"/>
        <v>0</v>
      </c>
      <c r="L395" s="111"/>
      <c r="Z395" s="100">
        <f t="shared" si="419"/>
        <v>0</v>
      </c>
      <c r="AB395" s="100">
        <f t="shared" si="420"/>
        <v>0</v>
      </c>
      <c r="AC395" s="100">
        <f t="shared" si="421"/>
        <v>0</v>
      </c>
      <c r="AD395" s="100">
        <f t="shared" si="422"/>
        <v>0</v>
      </c>
      <c r="AE395" s="100">
        <f t="shared" si="423"/>
        <v>0</v>
      </c>
      <c r="AF395" s="100">
        <f t="shared" si="424"/>
        <v>0</v>
      </c>
      <c r="AG395" s="100">
        <f t="shared" si="425"/>
        <v>0</v>
      </c>
      <c r="AH395" s="100">
        <f t="shared" si="426"/>
        <v>0</v>
      </c>
      <c r="AI395" s="109"/>
      <c r="AJ395" s="108">
        <f t="shared" si="427"/>
        <v>0</v>
      </c>
      <c r="AK395" s="108">
        <f t="shared" si="428"/>
        <v>0</v>
      </c>
      <c r="AL395" s="108">
        <f t="shared" si="429"/>
        <v>0</v>
      </c>
      <c r="AN395" s="100">
        <v>15</v>
      </c>
      <c r="AO395" s="100">
        <f t="shared" si="430"/>
        <v>0</v>
      </c>
      <c r="AP395" s="100">
        <f t="shared" si="431"/>
        <v>0</v>
      </c>
      <c r="AQ395" s="111" t="s">
        <v>13</v>
      </c>
      <c r="AV395" s="100">
        <f t="shared" si="432"/>
        <v>0</v>
      </c>
      <c r="AW395" s="100">
        <f t="shared" si="433"/>
        <v>0</v>
      </c>
      <c r="AX395" s="100">
        <f t="shared" si="434"/>
        <v>0</v>
      </c>
      <c r="AY395" s="110" t="s">
        <v>1713</v>
      </c>
      <c r="AZ395" s="110" t="s">
        <v>1733</v>
      </c>
      <c r="BA395" s="109" t="s">
        <v>1737</v>
      </c>
      <c r="BC395" s="100">
        <f t="shared" si="435"/>
        <v>0</v>
      </c>
      <c r="BD395" s="100">
        <f t="shared" si="436"/>
        <v>0</v>
      </c>
      <c r="BE395" s="100">
        <v>0</v>
      </c>
      <c r="BF395" s="100">
        <f>395</f>
        <v>395</v>
      </c>
      <c r="BH395" s="108">
        <f t="shared" si="437"/>
        <v>0</v>
      </c>
      <c r="BI395" s="108">
        <f t="shared" si="438"/>
        <v>0</v>
      </c>
      <c r="BJ395" s="108">
        <f t="shared" si="439"/>
        <v>0</v>
      </c>
    </row>
    <row r="396" spans="1:62" x14ac:dyDescent="0.2">
      <c r="A396" s="117" t="s">
        <v>353</v>
      </c>
      <c r="B396" s="117" t="s">
        <v>846</v>
      </c>
      <c r="C396" s="304" t="s">
        <v>1437</v>
      </c>
      <c r="D396" s="305"/>
      <c r="E396" s="305"/>
      <c r="F396" s="117" t="s">
        <v>1654</v>
      </c>
      <c r="G396" s="116">
        <v>410</v>
      </c>
      <c r="H396" s="159"/>
      <c r="I396" s="108">
        <f t="shared" si="416"/>
        <v>0</v>
      </c>
      <c r="J396" s="108">
        <f t="shared" si="417"/>
        <v>0</v>
      </c>
      <c r="K396" s="108">
        <f t="shared" si="418"/>
        <v>0</v>
      </c>
      <c r="L396" s="111"/>
      <c r="Z396" s="100">
        <f t="shared" si="419"/>
        <v>0</v>
      </c>
      <c r="AB396" s="100">
        <f t="shared" si="420"/>
        <v>0</v>
      </c>
      <c r="AC396" s="100">
        <f t="shared" si="421"/>
        <v>0</v>
      </c>
      <c r="AD396" s="100">
        <f t="shared" si="422"/>
        <v>0</v>
      </c>
      <c r="AE396" s="100">
        <f t="shared" si="423"/>
        <v>0</v>
      </c>
      <c r="AF396" s="100">
        <f t="shared" si="424"/>
        <v>0</v>
      </c>
      <c r="AG396" s="100">
        <f t="shared" si="425"/>
        <v>0</v>
      </c>
      <c r="AH396" s="100">
        <f t="shared" si="426"/>
        <v>0</v>
      </c>
      <c r="AI396" s="109"/>
      <c r="AJ396" s="108">
        <f t="shared" si="427"/>
        <v>0</v>
      </c>
      <c r="AK396" s="108">
        <f t="shared" si="428"/>
        <v>0</v>
      </c>
      <c r="AL396" s="108">
        <f t="shared" si="429"/>
        <v>0</v>
      </c>
      <c r="AN396" s="100">
        <v>15</v>
      </c>
      <c r="AO396" s="100">
        <f t="shared" si="430"/>
        <v>0</v>
      </c>
      <c r="AP396" s="100">
        <f t="shared" si="431"/>
        <v>0</v>
      </c>
      <c r="AQ396" s="111" t="s">
        <v>13</v>
      </c>
      <c r="AV396" s="100">
        <f t="shared" si="432"/>
        <v>0</v>
      </c>
      <c r="AW396" s="100">
        <f t="shared" si="433"/>
        <v>0</v>
      </c>
      <c r="AX396" s="100">
        <f t="shared" si="434"/>
        <v>0</v>
      </c>
      <c r="AY396" s="110" t="s">
        <v>1713</v>
      </c>
      <c r="AZ396" s="110" t="s">
        <v>1733</v>
      </c>
      <c r="BA396" s="109" t="s">
        <v>1737</v>
      </c>
      <c r="BC396" s="100">
        <f t="shared" si="435"/>
        <v>0</v>
      </c>
      <c r="BD396" s="100">
        <f t="shared" si="436"/>
        <v>0</v>
      </c>
      <c r="BE396" s="100">
        <v>0</v>
      </c>
      <c r="BF396" s="100">
        <f>396</f>
        <v>396</v>
      </c>
      <c r="BH396" s="108">
        <f t="shared" si="437"/>
        <v>0</v>
      </c>
      <c r="BI396" s="108">
        <f t="shared" si="438"/>
        <v>0</v>
      </c>
      <c r="BJ396" s="108">
        <f t="shared" si="439"/>
        <v>0</v>
      </c>
    </row>
    <row r="397" spans="1:62" x14ac:dyDescent="0.2">
      <c r="A397" s="117" t="s">
        <v>354</v>
      </c>
      <c r="B397" s="117" t="s">
        <v>847</v>
      </c>
      <c r="C397" s="304" t="s">
        <v>1438</v>
      </c>
      <c r="D397" s="305"/>
      <c r="E397" s="305"/>
      <c r="F397" s="117" t="s">
        <v>1652</v>
      </c>
      <c r="G397" s="116">
        <v>1</v>
      </c>
      <c r="H397" s="159"/>
      <c r="I397" s="108">
        <f t="shared" si="416"/>
        <v>0</v>
      </c>
      <c r="J397" s="108">
        <f t="shared" si="417"/>
        <v>0</v>
      </c>
      <c r="K397" s="108">
        <f t="shared" si="418"/>
        <v>0</v>
      </c>
      <c r="L397" s="111"/>
      <c r="Z397" s="100">
        <f t="shared" si="419"/>
        <v>0</v>
      </c>
      <c r="AB397" s="100">
        <f t="shared" si="420"/>
        <v>0</v>
      </c>
      <c r="AC397" s="100">
        <f t="shared" si="421"/>
        <v>0</v>
      </c>
      <c r="AD397" s="100">
        <f t="shared" si="422"/>
        <v>0</v>
      </c>
      <c r="AE397" s="100">
        <f t="shared" si="423"/>
        <v>0</v>
      </c>
      <c r="AF397" s="100">
        <f t="shared" si="424"/>
        <v>0</v>
      </c>
      <c r="AG397" s="100">
        <f t="shared" si="425"/>
        <v>0</v>
      </c>
      <c r="AH397" s="100">
        <f t="shared" si="426"/>
        <v>0</v>
      </c>
      <c r="AI397" s="109"/>
      <c r="AJ397" s="108">
        <f t="shared" si="427"/>
        <v>0</v>
      </c>
      <c r="AK397" s="108">
        <f t="shared" si="428"/>
        <v>0</v>
      </c>
      <c r="AL397" s="108">
        <f t="shared" si="429"/>
        <v>0</v>
      </c>
      <c r="AN397" s="100">
        <v>15</v>
      </c>
      <c r="AO397" s="100">
        <f t="shared" si="430"/>
        <v>0</v>
      </c>
      <c r="AP397" s="100">
        <f t="shared" si="431"/>
        <v>0</v>
      </c>
      <c r="AQ397" s="111" t="s">
        <v>13</v>
      </c>
      <c r="AV397" s="100">
        <f t="shared" si="432"/>
        <v>0</v>
      </c>
      <c r="AW397" s="100">
        <f t="shared" si="433"/>
        <v>0</v>
      </c>
      <c r="AX397" s="100">
        <f t="shared" si="434"/>
        <v>0</v>
      </c>
      <c r="AY397" s="110" t="s">
        <v>1713</v>
      </c>
      <c r="AZ397" s="110" t="s">
        <v>1733</v>
      </c>
      <c r="BA397" s="109" t="s">
        <v>1737</v>
      </c>
      <c r="BC397" s="100">
        <f t="shared" si="435"/>
        <v>0</v>
      </c>
      <c r="BD397" s="100">
        <f t="shared" si="436"/>
        <v>0</v>
      </c>
      <c r="BE397" s="100">
        <v>0</v>
      </c>
      <c r="BF397" s="100">
        <f>397</f>
        <v>397</v>
      </c>
      <c r="BH397" s="108">
        <f t="shared" si="437"/>
        <v>0</v>
      </c>
      <c r="BI397" s="108">
        <f t="shared" si="438"/>
        <v>0</v>
      </c>
      <c r="BJ397" s="108">
        <f t="shared" si="439"/>
        <v>0</v>
      </c>
    </row>
    <row r="398" spans="1:62" x14ac:dyDescent="0.2">
      <c r="A398" s="117" t="s">
        <v>355</v>
      </c>
      <c r="B398" s="117" t="s">
        <v>848</v>
      </c>
      <c r="C398" s="304" t="s">
        <v>1439</v>
      </c>
      <c r="D398" s="305"/>
      <c r="E398" s="305"/>
      <c r="F398" s="117" t="s">
        <v>1652</v>
      </c>
      <c r="G398" s="116">
        <v>1</v>
      </c>
      <c r="H398" s="159"/>
      <c r="I398" s="108">
        <f t="shared" si="416"/>
        <v>0</v>
      </c>
      <c r="J398" s="108">
        <f t="shared" si="417"/>
        <v>0</v>
      </c>
      <c r="K398" s="108">
        <f t="shared" si="418"/>
        <v>0</v>
      </c>
      <c r="L398" s="111"/>
      <c r="Z398" s="100">
        <f t="shared" si="419"/>
        <v>0</v>
      </c>
      <c r="AB398" s="100">
        <f t="shared" si="420"/>
        <v>0</v>
      </c>
      <c r="AC398" s="100">
        <f t="shared" si="421"/>
        <v>0</v>
      </c>
      <c r="AD398" s="100">
        <f t="shared" si="422"/>
        <v>0</v>
      </c>
      <c r="AE398" s="100">
        <f t="shared" si="423"/>
        <v>0</v>
      </c>
      <c r="AF398" s="100">
        <f t="shared" si="424"/>
        <v>0</v>
      </c>
      <c r="AG398" s="100">
        <f t="shared" si="425"/>
        <v>0</v>
      </c>
      <c r="AH398" s="100">
        <f t="shared" si="426"/>
        <v>0</v>
      </c>
      <c r="AI398" s="109"/>
      <c r="AJ398" s="108">
        <f t="shared" si="427"/>
        <v>0</v>
      </c>
      <c r="AK398" s="108">
        <f t="shared" si="428"/>
        <v>0</v>
      </c>
      <c r="AL398" s="108">
        <f t="shared" si="429"/>
        <v>0</v>
      </c>
      <c r="AN398" s="100">
        <v>15</v>
      </c>
      <c r="AO398" s="100">
        <f t="shared" si="430"/>
        <v>0</v>
      </c>
      <c r="AP398" s="100">
        <f t="shared" si="431"/>
        <v>0</v>
      </c>
      <c r="AQ398" s="111" t="s">
        <v>13</v>
      </c>
      <c r="AV398" s="100">
        <f t="shared" si="432"/>
        <v>0</v>
      </c>
      <c r="AW398" s="100">
        <f t="shared" si="433"/>
        <v>0</v>
      </c>
      <c r="AX398" s="100">
        <f t="shared" si="434"/>
        <v>0</v>
      </c>
      <c r="AY398" s="110" t="s">
        <v>1713</v>
      </c>
      <c r="AZ398" s="110" t="s">
        <v>1733</v>
      </c>
      <c r="BA398" s="109" t="s">
        <v>1737</v>
      </c>
      <c r="BC398" s="100">
        <f t="shared" si="435"/>
        <v>0</v>
      </c>
      <c r="BD398" s="100">
        <f t="shared" si="436"/>
        <v>0</v>
      </c>
      <c r="BE398" s="100">
        <v>0</v>
      </c>
      <c r="BF398" s="100">
        <f>398</f>
        <v>398</v>
      </c>
      <c r="BH398" s="108">
        <f t="shared" si="437"/>
        <v>0</v>
      </c>
      <c r="BI398" s="108">
        <f t="shared" si="438"/>
        <v>0</v>
      </c>
      <c r="BJ398" s="108">
        <f t="shared" si="439"/>
        <v>0</v>
      </c>
    </row>
    <row r="399" spans="1:62" x14ac:dyDescent="0.2">
      <c r="A399" s="117" t="s">
        <v>356</v>
      </c>
      <c r="B399" s="117" t="s">
        <v>849</v>
      </c>
      <c r="C399" s="304" t="s">
        <v>1440</v>
      </c>
      <c r="D399" s="305"/>
      <c r="E399" s="305"/>
      <c r="F399" s="117" t="s">
        <v>1652</v>
      </c>
      <c r="G399" s="116">
        <v>1</v>
      </c>
      <c r="H399" s="159"/>
      <c r="I399" s="108">
        <f t="shared" si="416"/>
        <v>0</v>
      </c>
      <c r="J399" s="108">
        <f t="shared" si="417"/>
        <v>0</v>
      </c>
      <c r="K399" s="108">
        <f t="shared" si="418"/>
        <v>0</v>
      </c>
      <c r="L399" s="111"/>
      <c r="Z399" s="100">
        <f t="shared" si="419"/>
        <v>0</v>
      </c>
      <c r="AB399" s="100">
        <f t="shared" si="420"/>
        <v>0</v>
      </c>
      <c r="AC399" s="100">
        <f t="shared" si="421"/>
        <v>0</v>
      </c>
      <c r="AD399" s="100">
        <f t="shared" si="422"/>
        <v>0</v>
      </c>
      <c r="AE399" s="100">
        <f t="shared" si="423"/>
        <v>0</v>
      </c>
      <c r="AF399" s="100">
        <f t="shared" si="424"/>
        <v>0</v>
      </c>
      <c r="AG399" s="100">
        <f t="shared" si="425"/>
        <v>0</v>
      </c>
      <c r="AH399" s="100">
        <f t="shared" si="426"/>
        <v>0</v>
      </c>
      <c r="AI399" s="109"/>
      <c r="AJ399" s="108">
        <f t="shared" si="427"/>
        <v>0</v>
      </c>
      <c r="AK399" s="108">
        <f t="shared" si="428"/>
        <v>0</v>
      </c>
      <c r="AL399" s="108">
        <f t="shared" si="429"/>
        <v>0</v>
      </c>
      <c r="AN399" s="100">
        <v>15</v>
      </c>
      <c r="AO399" s="100">
        <f t="shared" si="430"/>
        <v>0</v>
      </c>
      <c r="AP399" s="100">
        <f t="shared" si="431"/>
        <v>0</v>
      </c>
      <c r="AQ399" s="111" t="s">
        <v>13</v>
      </c>
      <c r="AV399" s="100">
        <f t="shared" si="432"/>
        <v>0</v>
      </c>
      <c r="AW399" s="100">
        <f t="shared" si="433"/>
        <v>0</v>
      </c>
      <c r="AX399" s="100">
        <f t="shared" si="434"/>
        <v>0</v>
      </c>
      <c r="AY399" s="110" t="s">
        <v>1713</v>
      </c>
      <c r="AZ399" s="110" t="s">
        <v>1733</v>
      </c>
      <c r="BA399" s="109" t="s">
        <v>1737</v>
      </c>
      <c r="BC399" s="100">
        <f t="shared" si="435"/>
        <v>0</v>
      </c>
      <c r="BD399" s="100">
        <f t="shared" si="436"/>
        <v>0</v>
      </c>
      <c r="BE399" s="100">
        <v>0</v>
      </c>
      <c r="BF399" s="100">
        <f>399</f>
        <v>399</v>
      </c>
      <c r="BH399" s="108">
        <f t="shared" si="437"/>
        <v>0</v>
      </c>
      <c r="BI399" s="108">
        <f t="shared" si="438"/>
        <v>0</v>
      </c>
      <c r="BJ399" s="108">
        <f t="shared" si="439"/>
        <v>0</v>
      </c>
    </row>
    <row r="400" spans="1:62" x14ac:dyDescent="0.2">
      <c r="A400" s="117" t="s">
        <v>357</v>
      </c>
      <c r="B400" s="117" t="s">
        <v>850</v>
      </c>
      <c r="C400" s="304" t="s">
        <v>1441</v>
      </c>
      <c r="D400" s="305"/>
      <c r="E400" s="305"/>
      <c r="F400" s="117" t="s">
        <v>1652</v>
      </c>
      <c r="G400" s="116">
        <v>1</v>
      </c>
      <c r="H400" s="159"/>
      <c r="I400" s="108">
        <f t="shared" si="416"/>
        <v>0</v>
      </c>
      <c r="J400" s="108">
        <f t="shared" si="417"/>
        <v>0</v>
      </c>
      <c r="K400" s="108">
        <f t="shared" si="418"/>
        <v>0</v>
      </c>
      <c r="L400" s="111"/>
      <c r="Z400" s="100">
        <f t="shared" si="419"/>
        <v>0</v>
      </c>
      <c r="AB400" s="100">
        <f t="shared" si="420"/>
        <v>0</v>
      </c>
      <c r="AC400" s="100">
        <f t="shared" si="421"/>
        <v>0</v>
      </c>
      <c r="AD400" s="100">
        <f t="shared" si="422"/>
        <v>0</v>
      </c>
      <c r="AE400" s="100">
        <f t="shared" si="423"/>
        <v>0</v>
      </c>
      <c r="AF400" s="100">
        <f t="shared" si="424"/>
        <v>0</v>
      </c>
      <c r="AG400" s="100">
        <f t="shared" si="425"/>
        <v>0</v>
      </c>
      <c r="AH400" s="100">
        <f t="shared" si="426"/>
        <v>0</v>
      </c>
      <c r="AI400" s="109"/>
      <c r="AJ400" s="108">
        <f t="shared" si="427"/>
        <v>0</v>
      </c>
      <c r="AK400" s="108">
        <f t="shared" si="428"/>
        <v>0</v>
      </c>
      <c r="AL400" s="108">
        <f t="shared" si="429"/>
        <v>0</v>
      </c>
      <c r="AN400" s="100">
        <v>15</v>
      </c>
      <c r="AO400" s="100">
        <f t="shared" si="430"/>
        <v>0</v>
      </c>
      <c r="AP400" s="100">
        <f t="shared" si="431"/>
        <v>0</v>
      </c>
      <c r="AQ400" s="111" t="s">
        <v>13</v>
      </c>
      <c r="AV400" s="100">
        <f t="shared" si="432"/>
        <v>0</v>
      </c>
      <c r="AW400" s="100">
        <f t="shared" si="433"/>
        <v>0</v>
      </c>
      <c r="AX400" s="100">
        <f t="shared" si="434"/>
        <v>0</v>
      </c>
      <c r="AY400" s="110" t="s">
        <v>1713</v>
      </c>
      <c r="AZ400" s="110" t="s">
        <v>1733</v>
      </c>
      <c r="BA400" s="109" t="s">
        <v>1737</v>
      </c>
      <c r="BC400" s="100">
        <f t="shared" si="435"/>
        <v>0</v>
      </c>
      <c r="BD400" s="100">
        <f t="shared" si="436"/>
        <v>0</v>
      </c>
      <c r="BE400" s="100">
        <v>0</v>
      </c>
      <c r="BF400" s="100">
        <f>400</f>
        <v>400</v>
      </c>
      <c r="BH400" s="108">
        <f t="shared" si="437"/>
        <v>0</v>
      </c>
      <c r="BI400" s="108">
        <f t="shared" si="438"/>
        <v>0</v>
      </c>
      <c r="BJ400" s="108">
        <f t="shared" si="439"/>
        <v>0</v>
      </c>
    </row>
    <row r="401" spans="1:62" x14ac:dyDescent="0.2">
      <c r="A401" s="117" t="s">
        <v>358</v>
      </c>
      <c r="B401" s="117" t="s">
        <v>851</v>
      </c>
      <c r="C401" s="304" t="s">
        <v>1442</v>
      </c>
      <c r="D401" s="305"/>
      <c r="E401" s="305"/>
      <c r="F401" s="117" t="s">
        <v>1652</v>
      </c>
      <c r="G401" s="116">
        <v>1</v>
      </c>
      <c r="H401" s="159"/>
      <c r="I401" s="108">
        <f t="shared" si="416"/>
        <v>0</v>
      </c>
      <c r="J401" s="108">
        <f t="shared" si="417"/>
        <v>0</v>
      </c>
      <c r="K401" s="108">
        <f t="shared" si="418"/>
        <v>0</v>
      </c>
      <c r="L401" s="111"/>
      <c r="Z401" s="100">
        <f t="shared" si="419"/>
        <v>0</v>
      </c>
      <c r="AB401" s="100">
        <f t="shared" si="420"/>
        <v>0</v>
      </c>
      <c r="AC401" s="100">
        <f t="shared" si="421"/>
        <v>0</v>
      </c>
      <c r="AD401" s="100">
        <f t="shared" si="422"/>
        <v>0</v>
      </c>
      <c r="AE401" s="100">
        <f t="shared" si="423"/>
        <v>0</v>
      </c>
      <c r="AF401" s="100">
        <f t="shared" si="424"/>
        <v>0</v>
      </c>
      <c r="AG401" s="100">
        <f t="shared" si="425"/>
        <v>0</v>
      </c>
      <c r="AH401" s="100">
        <f t="shared" si="426"/>
        <v>0</v>
      </c>
      <c r="AI401" s="109"/>
      <c r="AJ401" s="108">
        <f t="shared" si="427"/>
        <v>0</v>
      </c>
      <c r="AK401" s="108">
        <f t="shared" si="428"/>
        <v>0</v>
      </c>
      <c r="AL401" s="108">
        <f t="shared" si="429"/>
        <v>0</v>
      </c>
      <c r="AN401" s="100">
        <v>15</v>
      </c>
      <c r="AO401" s="100">
        <f t="shared" si="430"/>
        <v>0</v>
      </c>
      <c r="AP401" s="100">
        <f t="shared" si="431"/>
        <v>0</v>
      </c>
      <c r="AQ401" s="111" t="s">
        <v>13</v>
      </c>
      <c r="AV401" s="100">
        <f t="shared" si="432"/>
        <v>0</v>
      </c>
      <c r="AW401" s="100">
        <f t="shared" si="433"/>
        <v>0</v>
      </c>
      <c r="AX401" s="100">
        <f t="shared" si="434"/>
        <v>0</v>
      </c>
      <c r="AY401" s="110" t="s">
        <v>1713</v>
      </c>
      <c r="AZ401" s="110" t="s">
        <v>1733</v>
      </c>
      <c r="BA401" s="109" t="s">
        <v>1737</v>
      </c>
      <c r="BC401" s="100">
        <f t="shared" si="435"/>
        <v>0</v>
      </c>
      <c r="BD401" s="100">
        <f t="shared" si="436"/>
        <v>0</v>
      </c>
      <c r="BE401" s="100">
        <v>0</v>
      </c>
      <c r="BF401" s="100">
        <f>401</f>
        <v>401</v>
      </c>
      <c r="BH401" s="108">
        <f t="shared" si="437"/>
        <v>0</v>
      </c>
      <c r="BI401" s="108">
        <f t="shared" si="438"/>
        <v>0</v>
      </c>
      <c r="BJ401" s="108">
        <f t="shared" si="439"/>
        <v>0</v>
      </c>
    </row>
    <row r="402" spans="1:62" x14ac:dyDescent="0.2">
      <c r="A402" s="117" t="s">
        <v>359</v>
      </c>
      <c r="B402" s="117" t="s">
        <v>852</v>
      </c>
      <c r="C402" s="304" t="s">
        <v>1443</v>
      </c>
      <c r="D402" s="305"/>
      <c r="E402" s="305"/>
      <c r="F402" s="117" t="s">
        <v>1645</v>
      </c>
      <c r="G402" s="116">
        <v>25</v>
      </c>
      <c r="H402" s="159"/>
      <c r="I402" s="108">
        <f t="shared" si="416"/>
        <v>0</v>
      </c>
      <c r="J402" s="108">
        <f t="shared" si="417"/>
        <v>0</v>
      </c>
      <c r="K402" s="108">
        <f t="shared" si="418"/>
        <v>0</v>
      </c>
      <c r="L402" s="111"/>
      <c r="Z402" s="100">
        <f t="shared" si="419"/>
        <v>0</v>
      </c>
      <c r="AB402" s="100">
        <f t="shared" si="420"/>
        <v>0</v>
      </c>
      <c r="AC402" s="100">
        <f t="shared" si="421"/>
        <v>0</v>
      </c>
      <c r="AD402" s="100">
        <f t="shared" si="422"/>
        <v>0</v>
      </c>
      <c r="AE402" s="100">
        <f t="shared" si="423"/>
        <v>0</v>
      </c>
      <c r="AF402" s="100">
        <f t="shared" si="424"/>
        <v>0</v>
      </c>
      <c r="AG402" s="100">
        <f t="shared" si="425"/>
        <v>0</v>
      </c>
      <c r="AH402" s="100">
        <f t="shared" si="426"/>
        <v>0</v>
      </c>
      <c r="AI402" s="109"/>
      <c r="AJ402" s="108">
        <f t="shared" si="427"/>
        <v>0</v>
      </c>
      <c r="AK402" s="108">
        <f t="shared" si="428"/>
        <v>0</v>
      </c>
      <c r="AL402" s="108">
        <f t="shared" si="429"/>
        <v>0</v>
      </c>
      <c r="AN402" s="100">
        <v>15</v>
      </c>
      <c r="AO402" s="100">
        <f t="shared" si="430"/>
        <v>0</v>
      </c>
      <c r="AP402" s="100">
        <f t="shared" si="431"/>
        <v>0</v>
      </c>
      <c r="AQ402" s="111" t="s">
        <v>13</v>
      </c>
      <c r="AV402" s="100">
        <f t="shared" si="432"/>
        <v>0</v>
      </c>
      <c r="AW402" s="100">
        <f t="shared" si="433"/>
        <v>0</v>
      </c>
      <c r="AX402" s="100">
        <f t="shared" si="434"/>
        <v>0</v>
      </c>
      <c r="AY402" s="110" t="s">
        <v>1713</v>
      </c>
      <c r="AZ402" s="110" t="s">
        <v>1733</v>
      </c>
      <c r="BA402" s="109" t="s">
        <v>1737</v>
      </c>
      <c r="BC402" s="100">
        <f t="shared" si="435"/>
        <v>0</v>
      </c>
      <c r="BD402" s="100">
        <f t="shared" si="436"/>
        <v>0</v>
      </c>
      <c r="BE402" s="100">
        <v>0</v>
      </c>
      <c r="BF402" s="100">
        <f>402</f>
        <v>402</v>
      </c>
      <c r="BH402" s="108">
        <f t="shared" si="437"/>
        <v>0</v>
      </c>
      <c r="BI402" s="108">
        <f t="shared" si="438"/>
        <v>0</v>
      </c>
      <c r="BJ402" s="108">
        <f t="shared" si="439"/>
        <v>0</v>
      </c>
    </row>
    <row r="403" spans="1:62" x14ac:dyDescent="0.2">
      <c r="A403" s="117" t="s">
        <v>360</v>
      </c>
      <c r="B403" s="117" t="s">
        <v>853</v>
      </c>
      <c r="C403" s="304" t="s">
        <v>1994</v>
      </c>
      <c r="D403" s="305"/>
      <c r="E403" s="305"/>
      <c r="F403" s="117" t="s">
        <v>1645</v>
      </c>
      <c r="G403" s="116">
        <v>1</v>
      </c>
      <c r="H403" s="159"/>
      <c r="I403" s="108">
        <f t="shared" si="416"/>
        <v>0</v>
      </c>
      <c r="J403" s="108">
        <f t="shared" si="417"/>
        <v>0</v>
      </c>
      <c r="K403" s="108">
        <f t="shared" si="418"/>
        <v>0</v>
      </c>
      <c r="L403" s="111"/>
      <c r="Z403" s="100">
        <f t="shared" si="419"/>
        <v>0</v>
      </c>
      <c r="AB403" s="100">
        <f t="shared" si="420"/>
        <v>0</v>
      </c>
      <c r="AC403" s="100">
        <f t="shared" si="421"/>
        <v>0</v>
      </c>
      <c r="AD403" s="100">
        <f t="shared" si="422"/>
        <v>0</v>
      </c>
      <c r="AE403" s="100">
        <f t="shared" si="423"/>
        <v>0</v>
      </c>
      <c r="AF403" s="100">
        <f t="shared" si="424"/>
        <v>0</v>
      </c>
      <c r="AG403" s="100">
        <f t="shared" si="425"/>
        <v>0</v>
      </c>
      <c r="AH403" s="100">
        <f t="shared" si="426"/>
        <v>0</v>
      </c>
      <c r="AI403" s="109"/>
      <c r="AJ403" s="108">
        <f t="shared" si="427"/>
        <v>0</v>
      </c>
      <c r="AK403" s="108">
        <f t="shared" si="428"/>
        <v>0</v>
      </c>
      <c r="AL403" s="108">
        <f t="shared" si="429"/>
        <v>0</v>
      </c>
      <c r="AN403" s="100">
        <v>15</v>
      </c>
      <c r="AO403" s="100">
        <f t="shared" si="430"/>
        <v>0</v>
      </c>
      <c r="AP403" s="100">
        <f t="shared" si="431"/>
        <v>0</v>
      </c>
      <c r="AQ403" s="111" t="s">
        <v>13</v>
      </c>
      <c r="AV403" s="100">
        <f t="shared" si="432"/>
        <v>0</v>
      </c>
      <c r="AW403" s="100">
        <f t="shared" si="433"/>
        <v>0</v>
      </c>
      <c r="AX403" s="100">
        <f t="shared" si="434"/>
        <v>0</v>
      </c>
      <c r="AY403" s="110" t="s">
        <v>1713</v>
      </c>
      <c r="AZ403" s="110" t="s">
        <v>1733</v>
      </c>
      <c r="BA403" s="109" t="s">
        <v>1737</v>
      </c>
      <c r="BC403" s="100">
        <f t="shared" si="435"/>
        <v>0</v>
      </c>
      <c r="BD403" s="100">
        <f t="shared" si="436"/>
        <v>0</v>
      </c>
      <c r="BE403" s="100">
        <v>0</v>
      </c>
      <c r="BF403" s="100">
        <f>403</f>
        <v>403</v>
      </c>
      <c r="BH403" s="108">
        <f t="shared" si="437"/>
        <v>0</v>
      </c>
      <c r="BI403" s="108">
        <f t="shared" si="438"/>
        <v>0</v>
      </c>
      <c r="BJ403" s="108">
        <f t="shared" si="439"/>
        <v>0</v>
      </c>
    </row>
    <row r="404" spans="1:62" x14ac:dyDescent="0.2">
      <c r="A404" s="117" t="s">
        <v>361</v>
      </c>
      <c r="B404" s="117" t="s">
        <v>854</v>
      </c>
      <c r="C404" s="304" t="s">
        <v>1444</v>
      </c>
      <c r="D404" s="305"/>
      <c r="E404" s="305"/>
      <c r="F404" s="117" t="s">
        <v>1647</v>
      </c>
      <c r="G404" s="116">
        <v>28</v>
      </c>
      <c r="H404" s="159"/>
      <c r="I404" s="108">
        <f t="shared" si="416"/>
        <v>0</v>
      </c>
      <c r="J404" s="108">
        <f t="shared" si="417"/>
        <v>0</v>
      </c>
      <c r="K404" s="108">
        <f t="shared" si="418"/>
        <v>0</v>
      </c>
      <c r="L404" s="111"/>
      <c r="Z404" s="100">
        <f t="shared" si="419"/>
        <v>0</v>
      </c>
      <c r="AB404" s="100">
        <f t="shared" si="420"/>
        <v>0</v>
      </c>
      <c r="AC404" s="100">
        <f t="shared" si="421"/>
        <v>0</v>
      </c>
      <c r="AD404" s="100">
        <f t="shared" si="422"/>
        <v>0</v>
      </c>
      <c r="AE404" s="100">
        <f t="shared" si="423"/>
        <v>0</v>
      </c>
      <c r="AF404" s="100">
        <f t="shared" si="424"/>
        <v>0</v>
      </c>
      <c r="AG404" s="100">
        <f t="shared" si="425"/>
        <v>0</v>
      </c>
      <c r="AH404" s="100">
        <f t="shared" si="426"/>
        <v>0</v>
      </c>
      <c r="AI404" s="109"/>
      <c r="AJ404" s="108">
        <f t="shared" si="427"/>
        <v>0</v>
      </c>
      <c r="AK404" s="108">
        <f t="shared" si="428"/>
        <v>0</v>
      </c>
      <c r="AL404" s="108">
        <f t="shared" si="429"/>
        <v>0</v>
      </c>
      <c r="AN404" s="100">
        <v>15</v>
      </c>
      <c r="AO404" s="100">
        <f t="shared" si="430"/>
        <v>0</v>
      </c>
      <c r="AP404" s="100">
        <f t="shared" si="431"/>
        <v>0</v>
      </c>
      <c r="AQ404" s="111" t="s">
        <v>13</v>
      </c>
      <c r="AV404" s="100">
        <f t="shared" si="432"/>
        <v>0</v>
      </c>
      <c r="AW404" s="100">
        <f t="shared" si="433"/>
        <v>0</v>
      </c>
      <c r="AX404" s="100">
        <f t="shared" si="434"/>
        <v>0</v>
      </c>
      <c r="AY404" s="110" t="s">
        <v>1713</v>
      </c>
      <c r="AZ404" s="110" t="s">
        <v>1733</v>
      </c>
      <c r="BA404" s="109" t="s">
        <v>1737</v>
      </c>
      <c r="BC404" s="100">
        <f t="shared" si="435"/>
        <v>0</v>
      </c>
      <c r="BD404" s="100">
        <f t="shared" si="436"/>
        <v>0</v>
      </c>
      <c r="BE404" s="100">
        <v>0</v>
      </c>
      <c r="BF404" s="100">
        <f>404</f>
        <v>404</v>
      </c>
      <c r="BH404" s="108">
        <f t="shared" si="437"/>
        <v>0</v>
      </c>
      <c r="BI404" s="108">
        <f t="shared" si="438"/>
        <v>0</v>
      </c>
      <c r="BJ404" s="108">
        <f t="shared" si="439"/>
        <v>0</v>
      </c>
    </row>
    <row r="405" spans="1:62" x14ac:dyDescent="0.2">
      <c r="A405" s="117" t="s">
        <v>362</v>
      </c>
      <c r="B405" s="117" t="s">
        <v>855</v>
      </c>
      <c r="C405" s="304" t="s">
        <v>1445</v>
      </c>
      <c r="D405" s="305"/>
      <c r="E405" s="305"/>
      <c r="F405" s="117" t="s">
        <v>1647</v>
      </c>
      <c r="G405" s="116">
        <v>1</v>
      </c>
      <c r="H405" s="159"/>
      <c r="I405" s="108">
        <f t="shared" si="416"/>
        <v>0</v>
      </c>
      <c r="J405" s="108">
        <f t="shared" si="417"/>
        <v>0</v>
      </c>
      <c r="K405" s="108">
        <f t="shared" si="418"/>
        <v>0</v>
      </c>
      <c r="L405" s="111"/>
      <c r="Z405" s="100">
        <f t="shared" si="419"/>
        <v>0</v>
      </c>
      <c r="AB405" s="100">
        <f t="shared" si="420"/>
        <v>0</v>
      </c>
      <c r="AC405" s="100">
        <f t="shared" si="421"/>
        <v>0</v>
      </c>
      <c r="AD405" s="100">
        <f t="shared" si="422"/>
        <v>0</v>
      </c>
      <c r="AE405" s="100">
        <f t="shared" si="423"/>
        <v>0</v>
      </c>
      <c r="AF405" s="100">
        <f t="shared" si="424"/>
        <v>0</v>
      </c>
      <c r="AG405" s="100">
        <f t="shared" si="425"/>
        <v>0</v>
      </c>
      <c r="AH405" s="100">
        <f t="shared" si="426"/>
        <v>0</v>
      </c>
      <c r="AI405" s="109"/>
      <c r="AJ405" s="108">
        <f t="shared" si="427"/>
        <v>0</v>
      </c>
      <c r="AK405" s="108">
        <f t="shared" si="428"/>
        <v>0</v>
      </c>
      <c r="AL405" s="108">
        <f t="shared" si="429"/>
        <v>0</v>
      </c>
      <c r="AN405" s="100">
        <v>15</v>
      </c>
      <c r="AO405" s="100">
        <f t="shared" si="430"/>
        <v>0</v>
      </c>
      <c r="AP405" s="100">
        <f t="shared" si="431"/>
        <v>0</v>
      </c>
      <c r="AQ405" s="111" t="s">
        <v>13</v>
      </c>
      <c r="AV405" s="100">
        <f t="shared" si="432"/>
        <v>0</v>
      </c>
      <c r="AW405" s="100">
        <f t="shared" si="433"/>
        <v>0</v>
      </c>
      <c r="AX405" s="100">
        <f t="shared" si="434"/>
        <v>0</v>
      </c>
      <c r="AY405" s="110" t="s">
        <v>1713</v>
      </c>
      <c r="AZ405" s="110" t="s">
        <v>1733</v>
      </c>
      <c r="BA405" s="109" t="s">
        <v>1737</v>
      </c>
      <c r="BC405" s="100">
        <f t="shared" si="435"/>
        <v>0</v>
      </c>
      <c r="BD405" s="100">
        <f t="shared" si="436"/>
        <v>0</v>
      </c>
      <c r="BE405" s="100">
        <v>0</v>
      </c>
      <c r="BF405" s="100">
        <f>405</f>
        <v>405</v>
      </c>
      <c r="BH405" s="108">
        <f t="shared" si="437"/>
        <v>0</v>
      </c>
      <c r="BI405" s="108">
        <f t="shared" si="438"/>
        <v>0</v>
      </c>
      <c r="BJ405" s="108">
        <f t="shared" si="439"/>
        <v>0</v>
      </c>
    </row>
    <row r="406" spans="1:62" x14ac:dyDescent="0.2">
      <c r="A406" s="117" t="s">
        <v>363</v>
      </c>
      <c r="B406" s="117" t="s">
        <v>856</v>
      </c>
      <c r="C406" s="304" t="s">
        <v>1446</v>
      </c>
      <c r="D406" s="305"/>
      <c r="E406" s="305"/>
      <c r="F406" s="117" t="s">
        <v>1647</v>
      </c>
      <c r="G406" s="116">
        <v>29</v>
      </c>
      <c r="H406" s="159"/>
      <c r="I406" s="108">
        <f t="shared" si="416"/>
        <v>0</v>
      </c>
      <c r="J406" s="108">
        <f t="shared" si="417"/>
        <v>0</v>
      </c>
      <c r="K406" s="108">
        <f t="shared" si="418"/>
        <v>0</v>
      </c>
      <c r="L406" s="111"/>
      <c r="Z406" s="100">
        <f t="shared" si="419"/>
        <v>0</v>
      </c>
      <c r="AB406" s="100">
        <f t="shared" si="420"/>
        <v>0</v>
      </c>
      <c r="AC406" s="100">
        <f t="shared" si="421"/>
        <v>0</v>
      </c>
      <c r="AD406" s="100">
        <f t="shared" si="422"/>
        <v>0</v>
      </c>
      <c r="AE406" s="100">
        <f t="shared" si="423"/>
        <v>0</v>
      </c>
      <c r="AF406" s="100">
        <f t="shared" si="424"/>
        <v>0</v>
      </c>
      <c r="AG406" s="100">
        <f t="shared" si="425"/>
        <v>0</v>
      </c>
      <c r="AH406" s="100">
        <f t="shared" si="426"/>
        <v>0</v>
      </c>
      <c r="AI406" s="109"/>
      <c r="AJ406" s="108">
        <f t="shared" si="427"/>
        <v>0</v>
      </c>
      <c r="AK406" s="108">
        <f t="shared" si="428"/>
        <v>0</v>
      </c>
      <c r="AL406" s="108">
        <f t="shared" si="429"/>
        <v>0</v>
      </c>
      <c r="AN406" s="100">
        <v>15</v>
      </c>
      <c r="AO406" s="100">
        <f t="shared" si="430"/>
        <v>0</v>
      </c>
      <c r="AP406" s="100">
        <f t="shared" si="431"/>
        <v>0</v>
      </c>
      <c r="AQ406" s="111" t="s">
        <v>13</v>
      </c>
      <c r="AV406" s="100">
        <f t="shared" si="432"/>
        <v>0</v>
      </c>
      <c r="AW406" s="100">
        <f t="shared" si="433"/>
        <v>0</v>
      </c>
      <c r="AX406" s="100">
        <f t="shared" si="434"/>
        <v>0</v>
      </c>
      <c r="AY406" s="110" t="s">
        <v>1713</v>
      </c>
      <c r="AZ406" s="110" t="s">
        <v>1733</v>
      </c>
      <c r="BA406" s="109" t="s">
        <v>1737</v>
      </c>
      <c r="BC406" s="100">
        <f t="shared" si="435"/>
        <v>0</v>
      </c>
      <c r="BD406" s="100">
        <f t="shared" si="436"/>
        <v>0</v>
      </c>
      <c r="BE406" s="100">
        <v>0</v>
      </c>
      <c r="BF406" s="100">
        <f>406</f>
        <v>406</v>
      </c>
      <c r="BH406" s="108">
        <f t="shared" si="437"/>
        <v>0</v>
      </c>
      <c r="BI406" s="108">
        <f t="shared" si="438"/>
        <v>0</v>
      </c>
      <c r="BJ406" s="108">
        <f t="shared" si="439"/>
        <v>0</v>
      </c>
    </row>
    <row r="407" spans="1:62" x14ac:dyDescent="0.2">
      <c r="A407" s="117" t="s">
        <v>364</v>
      </c>
      <c r="B407" s="117" t="s">
        <v>857</v>
      </c>
      <c r="C407" s="304" t="s">
        <v>1447</v>
      </c>
      <c r="D407" s="305"/>
      <c r="E407" s="305"/>
      <c r="F407" s="117" t="s">
        <v>1647</v>
      </c>
      <c r="G407" s="116">
        <v>29</v>
      </c>
      <c r="H407" s="159"/>
      <c r="I407" s="108">
        <f t="shared" si="416"/>
        <v>0</v>
      </c>
      <c r="J407" s="108">
        <f t="shared" si="417"/>
        <v>0</v>
      </c>
      <c r="K407" s="108">
        <f t="shared" si="418"/>
        <v>0</v>
      </c>
      <c r="L407" s="111"/>
      <c r="Z407" s="100">
        <f t="shared" si="419"/>
        <v>0</v>
      </c>
      <c r="AB407" s="100">
        <f t="shared" si="420"/>
        <v>0</v>
      </c>
      <c r="AC407" s="100">
        <f t="shared" si="421"/>
        <v>0</v>
      </c>
      <c r="AD407" s="100">
        <f t="shared" si="422"/>
        <v>0</v>
      </c>
      <c r="AE407" s="100">
        <f t="shared" si="423"/>
        <v>0</v>
      </c>
      <c r="AF407" s="100">
        <f t="shared" si="424"/>
        <v>0</v>
      </c>
      <c r="AG407" s="100">
        <f t="shared" si="425"/>
        <v>0</v>
      </c>
      <c r="AH407" s="100">
        <f t="shared" si="426"/>
        <v>0</v>
      </c>
      <c r="AI407" s="109"/>
      <c r="AJ407" s="108">
        <f t="shared" si="427"/>
        <v>0</v>
      </c>
      <c r="AK407" s="108">
        <f t="shared" si="428"/>
        <v>0</v>
      </c>
      <c r="AL407" s="108">
        <f t="shared" si="429"/>
        <v>0</v>
      </c>
      <c r="AN407" s="100">
        <v>15</v>
      </c>
      <c r="AO407" s="100">
        <f t="shared" si="430"/>
        <v>0</v>
      </c>
      <c r="AP407" s="100">
        <f t="shared" si="431"/>
        <v>0</v>
      </c>
      <c r="AQ407" s="111" t="s">
        <v>13</v>
      </c>
      <c r="AV407" s="100">
        <f t="shared" si="432"/>
        <v>0</v>
      </c>
      <c r="AW407" s="100">
        <f t="shared" si="433"/>
        <v>0</v>
      </c>
      <c r="AX407" s="100">
        <f t="shared" si="434"/>
        <v>0</v>
      </c>
      <c r="AY407" s="110" t="s">
        <v>1713</v>
      </c>
      <c r="AZ407" s="110" t="s">
        <v>1733</v>
      </c>
      <c r="BA407" s="109" t="s">
        <v>1737</v>
      </c>
      <c r="BC407" s="100">
        <f t="shared" si="435"/>
        <v>0</v>
      </c>
      <c r="BD407" s="100">
        <f t="shared" si="436"/>
        <v>0</v>
      </c>
      <c r="BE407" s="100">
        <v>0</v>
      </c>
      <c r="BF407" s="100">
        <f>407</f>
        <v>407</v>
      </c>
      <c r="BH407" s="108">
        <f t="shared" si="437"/>
        <v>0</v>
      </c>
      <c r="BI407" s="108">
        <f t="shared" si="438"/>
        <v>0</v>
      </c>
      <c r="BJ407" s="108">
        <f t="shared" si="439"/>
        <v>0</v>
      </c>
    </row>
    <row r="408" spans="1:62" x14ac:dyDescent="0.2">
      <c r="A408" s="117" t="s">
        <v>365</v>
      </c>
      <c r="B408" s="117" t="s">
        <v>858</v>
      </c>
      <c r="C408" s="304" t="s">
        <v>1448</v>
      </c>
      <c r="D408" s="305"/>
      <c r="E408" s="305"/>
      <c r="F408" s="117" t="s">
        <v>1647</v>
      </c>
      <c r="G408" s="116">
        <v>6</v>
      </c>
      <c r="H408" s="159"/>
      <c r="I408" s="108">
        <f t="shared" si="416"/>
        <v>0</v>
      </c>
      <c r="J408" s="108">
        <f t="shared" si="417"/>
        <v>0</v>
      </c>
      <c r="K408" s="108">
        <f t="shared" si="418"/>
        <v>0</v>
      </c>
      <c r="L408" s="111"/>
      <c r="Z408" s="100">
        <f t="shared" si="419"/>
        <v>0</v>
      </c>
      <c r="AB408" s="100">
        <f t="shared" si="420"/>
        <v>0</v>
      </c>
      <c r="AC408" s="100">
        <f t="shared" si="421"/>
        <v>0</v>
      </c>
      <c r="AD408" s="100">
        <f t="shared" si="422"/>
        <v>0</v>
      </c>
      <c r="AE408" s="100">
        <f t="shared" si="423"/>
        <v>0</v>
      </c>
      <c r="AF408" s="100">
        <f t="shared" si="424"/>
        <v>0</v>
      </c>
      <c r="AG408" s="100">
        <f t="shared" si="425"/>
        <v>0</v>
      </c>
      <c r="AH408" s="100">
        <f t="shared" si="426"/>
        <v>0</v>
      </c>
      <c r="AI408" s="109"/>
      <c r="AJ408" s="108">
        <f t="shared" si="427"/>
        <v>0</v>
      </c>
      <c r="AK408" s="108">
        <f t="shared" si="428"/>
        <v>0</v>
      </c>
      <c r="AL408" s="108">
        <f t="shared" si="429"/>
        <v>0</v>
      </c>
      <c r="AN408" s="100">
        <v>15</v>
      </c>
      <c r="AO408" s="100">
        <f t="shared" si="430"/>
        <v>0</v>
      </c>
      <c r="AP408" s="100">
        <f t="shared" si="431"/>
        <v>0</v>
      </c>
      <c r="AQ408" s="111" t="s">
        <v>13</v>
      </c>
      <c r="AV408" s="100">
        <f t="shared" si="432"/>
        <v>0</v>
      </c>
      <c r="AW408" s="100">
        <f t="shared" si="433"/>
        <v>0</v>
      </c>
      <c r="AX408" s="100">
        <f t="shared" si="434"/>
        <v>0</v>
      </c>
      <c r="AY408" s="110" t="s">
        <v>1713</v>
      </c>
      <c r="AZ408" s="110" t="s">
        <v>1733</v>
      </c>
      <c r="BA408" s="109" t="s">
        <v>1737</v>
      </c>
      <c r="BC408" s="100">
        <f t="shared" si="435"/>
        <v>0</v>
      </c>
      <c r="BD408" s="100">
        <f t="shared" si="436"/>
        <v>0</v>
      </c>
      <c r="BE408" s="100">
        <v>0</v>
      </c>
      <c r="BF408" s="100">
        <f>408</f>
        <v>408</v>
      </c>
      <c r="BH408" s="108">
        <f t="shared" si="437"/>
        <v>0</v>
      </c>
      <c r="BI408" s="108">
        <f t="shared" si="438"/>
        <v>0</v>
      </c>
      <c r="BJ408" s="108">
        <f t="shared" si="439"/>
        <v>0</v>
      </c>
    </row>
    <row r="409" spans="1:62" x14ac:dyDescent="0.2">
      <c r="A409" s="117" t="s">
        <v>366</v>
      </c>
      <c r="B409" s="117" t="s">
        <v>859</v>
      </c>
      <c r="C409" s="304" t="s">
        <v>1449</v>
      </c>
      <c r="D409" s="305"/>
      <c r="E409" s="305"/>
      <c r="F409" s="117" t="s">
        <v>1647</v>
      </c>
      <c r="G409" s="116">
        <v>9</v>
      </c>
      <c r="H409" s="159"/>
      <c r="I409" s="108">
        <f t="shared" si="416"/>
        <v>0</v>
      </c>
      <c r="J409" s="108">
        <f t="shared" si="417"/>
        <v>0</v>
      </c>
      <c r="K409" s="108">
        <f t="shared" si="418"/>
        <v>0</v>
      </c>
      <c r="L409" s="111"/>
      <c r="Z409" s="100">
        <f t="shared" si="419"/>
        <v>0</v>
      </c>
      <c r="AB409" s="100">
        <f t="shared" si="420"/>
        <v>0</v>
      </c>
      <c r="AC409" s="100">
        <f t="shared" si="421"/>
        <v>0</v>
      </c>
      <c r="AD409" s="100">
        <f t="shared" si="422"/>
        <v>0</v>
      </c>
      <c r="AE409" s="100">
        <f t="shared" si="423"/>
        <v>0</v>
      </c>
      <c r="AF409" s="100">
        <f t="shared" si="424"/>
        <v>0</v>
      </c>
      <c r="AG409" s="100">
        <f t="shared" si="425"/>
        <v>0</v>
      </c>
      <c r="AH409" s="100">
        <f t="shared" si="426"/>
        <v>0</v>
      </c>
      <c r="AI409" s="109"/>
      <c r="AJ409" s="108">
        <f t="shared" si="427"/>
        <v>0</v>
      </c>
      <c r="AK409" s="108">
        <f t="shared" si="428"/>
        <v>0</v>
      </c>
      <c r="AL409" s="108">
        <f t="shared" si="429"/>
        <v>0</v>
      </c>
      <c r="AN409" s="100">
        <v>15</v>
      </c>
      <c r="AO409" s="100">
        <f t="shared" si="430"/>
        <v>0</v>
      </c>
      <c r="AP409" s="100">
        <f t="shared" si="431"/>
        <v>0</v>
      </c>
      <c r="AQ409" s="111" t="s">
        <v>13</v>
      </c>
      <c r="AV409" s="100">
        <f t="shared" si="432"/>
        <v>0</v>
      </c>
      <c r="AW409" s="100">
        <f t="shared" si="433"/>
        <v>0</v>
      </c>
      <c r="AX409" s="100">
        <f t="shared" si="434"/>
        <v>0</v>
      </c>
      <c r="AY409" s="110" t="s">
        <v>1713</v>
      </c>
      <c r="AZ409" s="110" t="s">
        <v>1733</v>
      </c>
      <c r="BA409" s="109" t="s">
        <v>1737</v>
      </c>
      <c r="BC409" s="100">
        <f t="shared" si="435"/>
        <v>0</v>
      </c>
      <c r="BD409" s="100">
        <f t="shared" si="436"/>
        <v>0</v>
      </c>
      <c r="BE409" s="100">
        <v>0</v>
      </c>
      <c r="BF409" s="100">
        <f>409</f>
        <v>409</v>
      </c>
      <c r="BH409" s="108">
        <f t="shared" si="437"/>
        <v>0</v>
      </c>
      <c r="BI409" s="108">
        <f t="shared" si="438"/>
        <v>0</v>
      </c>
      <c r="BJ409" s="108">
        <f t="shared" si="439"/>
        <v>0</v>
      </c>
    </row>
    <row r="410" spans="1:62" x14ac:dyDescent="0.2">
      <c r="A410" s="117" t="s">
        <v>367</v>
      </c>
      <c r="B410" s="117" t="s">
        <v>860</v>
      </c>
      <c r="C410" s="304" t="s">
        <v>1450</v>
      </c>
      <c r="D410" s="305"/>
      <c r="E410" s="305"/>
      <c r="F410" s="117" t="s">
        <v>1647</v>
      </c>
      <c r="G410" s="116">
        <v>6</v>
      </c>
      <c r="H410" s="159"/>
      <c r="I410" s="108">
        <f t="shared" si="416"/>
        <v>0</v>
      </c>
      <c r="J410" s="108">
        <f t="shared" si="417"/>
        <v>0</v>
      </c>
      <c r="K410" s="108">
        <f t="shared" si="418"/>
        <v>0</v>
      </c>
      <c r="L410" s="111"/>
      <c r="Z410" s="100">
        <f t="shared" si="419"/>
        <v>0</v>
      </c>
      <c r="AB410" s="100">
        <f t="shared" si="420"/>
        <v>0</v>
      </c>
      <c r="AC410" s="100">
        <f t="shared" si="421"/>
        <v>0</v>
      </c>
      <c r="AD410" s="100">
        <f t="shared" si="422"/>
        <v>0</v>
      </c>
      <c r="AE410" s="100">
        <f t="shared" si="423"/>
        <v>0</v>
      </c>
      <c r="AF410" s="100">
        <f t="shared" si="424"/>
        <v>0</v>
      </c>
      <c r="AG410" s="100">
        <f t="shared" si="425"/>
        <v>0</v>
      </c>
      <c r="AH410" s="100">
        <f t="shared" si="426"/>
        <v>0</v>
      </c>
      <c r="AI410" s="109"/>
      <c r="AJ410" s="108">
        <f t="shared" si="427"/>
        <v>0</v>
      </c>
      <c r="AK410" s="108">
        <f t="shared" si="428"/>
        <v>0</v>
      </c>
      <c r="AL410" s="108">
        <f t="shared" si="429"/>
        <v>0</v>
      </c>
      <c r="AN410" s="100">
        <v>15</v>
      </c>
      <c r="AO410" s="100">
        <f t="shared" si="430"/>
        <v>0</v>
      </c>
      <c r="AP410" s="100">
        <f t="shared" si="431"/>
        <v>0</v>
      </c>
      <c r="AQ410" s="111" t="s">
        <v>13</v>
      </c>
      <c r="AV410" s="100">
        <f t="shared" si="432"/>
        <v>0</v>
      </c>
      <c r="AW410" s="100">
        <f t="shared" si="433"/>
        <v>0</v>
      </c>
      <c r="AX410" s="100">
        <f t="shared" si="434"/>
        <v>0</v>
      </c>
      <c r="AY410" s="110" t="s">
        <v>1713</v>
      </c>
      <c r="AZ410" s="110" t="s">
        <v>1733</v>
      </c>
      <c r="BA410" s="109" t="s">
        <v>1737</v>
      </c>
      <c r="BC410" s="100">
        <f t="shared" si="435"/>
        <v>0</v>
      </c>
      <c r="BD410" s="100">
        <f t="shared" si="436"/>
        <v>0</v>
      </c>
      <c r="BE410" s="100">
        <v>0</v>
      </c>
      <c r="BF410" s="100">
        <f>410</f>
        <v>410</v>
      </c>
      <c r="BH410" s="108">
        <f t="shared" si="437"/>
        <v>0</v>
      </c>
      <c r="BI410" s="108">
        <f t="shared" si="438"/>
        <v>0</v>
      </c>
      <c r="BJ410" s="108">
        <f t="shared" si="439"/>
        <v>0</v>
      </c>
    </row>
    <row r="411" spans="1:62" x14ac:dyDescent="0.2">
      <c r="A411" s="117" t="s">
        <v>368</v>
      </c>
      <c r="B411" s="117" t="s">
        <v>861</v>
      </c>
      <c r="C411" s="304" t="s">
        <v>1451</v>
      </c>
      <c r="D411" s="305"/>
      <c r="E411" s="305"/>
      <c r="F411" s="117" t="s">
        <v>1647</v>
      </c>
      <c r="G411" s="116">
        <v>29</v>
      </c>
      <c r="H411" s="159"/>
      <c r="I411" s="108">
        <f t="shared" si="416"/>
        <v>0</v>
      </c>
      <c r="J411" s="108">
        <f t="shared" si="417"/>
        <v>0</v>
      </c>
      <c r="K411" s="108">
        <f t="shared" si="418"/>
        <v>0</v>
      </c>
      <c r="L411" s="111"/>
      <c r="Z411" s="100">
        <f t="shared" si="419"/>
        <v>0</v>
      </c>
      <c r="AB411" s="100">
        <f t="shared" si="420"/>
        <v>0</v>
      </c>
      <c r="AC411" s="100">
        <f t="shared" si="421"/>
        <v>0</v>
      </c>
      <c r="AD411" s="100">
        <f t="shared" si="422"/>
        <v>0</v>
      </c>
      <c r="AE411" s="100">
        <f t="shared" si="423"/>
        <v>0</v>
      </c>
      <c r="AF411" s="100">
        <f t="shared" si="424"/>
        <v>0</v>
      </c>
      <c r="AG411" s="100">
        <f t="shared" si="425"/>
        <v>0</v>
      </c>
      <c r="AH411" s="100">
        <f t="shared" si="426"/>
        <v>0</v>
      </c>
      <c r="AI411" s="109"/>
      <c r="AJ411" s="108">
        <f t="shared" si="427"/>
        <v>0</v>
      </c>
      <c r="AK411" s="108">
        <f t="shared" si="428"/>
        <v>0</v>
      </c>
      <c r="AL411" s="108">
        <f t="shared" si="429"/>
        <v>0</v>
      </c>
      <c r="AN411" s="100">
        <v>15</v>
      </c>
      <c r="AO411" s="100">
        <f t="shared" si="430"/>
        <v>0</v>
      </c>
      <c r="AP411" s="100">
        <f t="shared" si="431"/>
        <v>0</v>
      </c>
      <c r="AQ411" s="111" t="s">
        <v>13</v>
      </c>
      <c r="AV411" s="100">
        <f t="shared" si="432"/>
        <v>0</v>
      </c>
      <c r="AW411" s="100">
        <f t="shared" si="433"/>
        <v>0</v>
      </c>
      <c r="AX411" s="100">
        <f t="shared" si="434"/>
        <v>0</v>
      </c>
      <c r="AY411" s="110" t="s">
        <v>1713</v>
      </c>
      <c r="AZ411" s="110" t="s">
        <v>1733</v>
      </c>
      <c r="BA411" s="109" t="s">
        <v>1737</v>
      </c>
      <c r="BC411" s="100">
        <f t="shared" si="435"/>
        <v>0</v>
      </c>
      <c r="BD411" s="100">
        <f t="shared" si="436"/>
        <v>0</v>
      </c>
      <c r="BE411" s="100">
        <v>0</v>
      </c>
      <c r="BF411" s="100">
        <f>411</f>
        <v>411</v>
      </c>
      <c r="BH411" s="108">
        <f t="shared" si="437"/>
        <v>0</v>
      </c>
      <c r="BI411" s="108">
        <f t="shared" si="438"/>
        <v>0</v>
      </c>
      <c r="BJ411" s="108">
        <f t="shared" si="439"/>
        <v>0</v>
      </c>
    </row>
    <row r="412" spans="1:62" x14ac:dyDescent="0.2">
      <c r="A412" s="117" t="s">
        <v>369</v>
      </c>
      <c r="B412" s="117" t="s">
        <v>862</v>
      </c>
      <c r="C412" s="304" t="s">
        <v>1452</v>
      </c>
      <c r="D412" s="305"/>
      <c r="E412" s="305"/>
      <c r="F412" s="117" t="s">
        <v>1644</v>
      </c>
      <c r="G412" s="116">
        <v>1</v>
      </c>
      <c r="H412" s="159"/>
      <c r="I412" s="108">
        <f t="shared" si="416"/>
        <v>0</v>
      </c>
      <c r="J412" s="108">
        <f t="shared" si="417"/>
        <v>0</v>
      </c>
      <c r="K412" s="108">
        <f t="shared" si="418"/>
        <v>0</v>
      </c>
      <c r="L412" s="111"/>
      <c r="Z412" s="100">
        <f t="shared" si="419"/>
        <v>0</v>
      </c>
      <c r="AB412" s="100">
        <f t="shared" si="420"/>
        <v>0</v>
      </c>
      <c r="AC412" s="100">
        <f t="shared" si="421"/>
        <v>0</v>
      </c>
      <c r="AD412" s="100">
        <f t="shared" si="422"/>
        <v>0</v>
      </c>
      <c r="AE412" s="100">
        <f t="shared" si="423"/>
        <v>0</v>
      </c>
      <c r="AF412" s="100">
        <f t="shared" si="424"/>
        <v>0</v>
      </c>
      <c r="AG412" s="100">
        <f t="shared" si="425"/>
        <v>0</v>
      </c>
      <c r="AH412" s="100">
        <f t="shared" si="426"/>
        <v>0</v>
      </c>
      <c r="AI412" s="109"/>
      <c r="AJ412" s="108">
        <f t="shared" si="427"/>
        <v>0</v>
      </c>
      <c r="AK412" s="108">
        <f t="shared" si="428"/>
        <v>0</v>
      </c>
      <c r="AL412" s="108">
        <f t="shared" si="429"/>
        <v>0</v>
      </c>
      <c r="AN412" s="100">
        <v>15</v>
      </c>
      <c r="AO412" s="100">
        <f t="shared" si="430"/>
        <v>0</v>
      </c>
      <c r="AP412" s="100">
        <f t="shared" si="431"/>
        <v>0</v>
      </c>
      <c r="AQ412" s="111" t="s">
        <v>13</v>
      </c>
      <c r="AV412" s="100">
        <f t="shared" si="432"/>
        <v>0</v>
      </c>
      <c r="AW412" s="100">
        <f t="shared" si="433"/>
        <v>0</v>
      </c>
      <c r="AX412" s="100">
        <f t="shared" si="434"/>
        <v>0</v>
      </c>
      <c r="AY412" s="110" t="s">
        <v>1713</v>
      </c>
      <c r="AZ412" s="110" t="s">
        <v>1733</v>
      </c>
      <c r="BA412" s="109" t="s">
        <v>1737</v>
      </c>
      <c r="BC412" s="100">
        <f t="shared" si="435"/>
        <v>0</v>
      </c>
      <c r="BD412" s="100">
        <f t="shared" si="436"/>
        <v>0</v>
      </c>
      <c r="BE412" s="100">
        <v>0</v>
      </c>
      <c r="BF412" s="100">
        <f>412</f>
        <v>412</v>
      </c>
      <c r="BH412" s="108">
        <f t="shared" si="437"/>
        <v>0</v>
      </c>
      <c r="BI412" s="108">
        <f t="shared" si="438"/>
        <v>0</v>
      </c>
      <c r="BJ412" s="108">
        <f t="shared" si="439"/>
        <v>0</v>
      </c>
    </row>
    <row r="413" spans="1:62" x14ac:dyDescent="0.2">
      <c r="A413" s="117" t="s">
        <v>370</v>
      </c>
      <c r="B413" s="117" t="s">
        <v>863</v>
      </c>
      <c r="C413" s="304" t="s">
        <v>1453</v>
      </c>
      <c r="D413" s="305"/>
      <c r="E413" s="305"/>
      <c r="F413" s="117" t="s">
        <v>1645</v>
      </c>
      <c r="G413" s="116">
        <v>25</v>
      </c>
      <c r="H413" s="159"/>
      <c r="I413" s="108">
        <f t="shared" si="416"/>
        <v>0</v>
      </c>
      <c r="J413" s="108">
        <f t="shared" si="417"/>
        <v>0</v>
      </c>
      <c r="K413" s="108">
        <f t="shared" si="418"/>
        <v>0</v>
      </c>
      <c r="L413" s="111"/>
      <c r="Z413" s="100">
        <f t="shared" si="419"/>
        <v>0</v>
      </c>
      <c r="AB413" s="100">
        <f t="shared" si="420"/>
        <v>0</v>
      </c>
      <c r="AC413" s="100">
        <f t="shared" si="421"/>
        <v>0</v>
      </c>
      <c r="AD413" s="100">
        <f t="shared" si="422"/>
        <v>0</v>
      </c>
      <c r="AE413" s="100">
        <f t="shared" si="423"/>
        <v>0</v>
      </c>
      <c r="AF413" s="100">
        <f t="shared" si="424"/>
        <v>0</v>
      </c>
      <c r="AG413" s="100">
        <f t="shared" si="425"/>
        <v>0</v>
      </c>
      <c r="AH413" s="100">
        <f t="shared" si="426"/>
        <v>0</v>
      </c>
      <c r="AI413" s="109"/>
      <c r="AJ413" s="108">
        <f t="shared" si="427"/>
        <v>0</v>
      </c>
      <c r="AK413" s="108">
        <f t="shared" si="428"/>
        <v>0</v>
      </c>
      <c r="AL413" s="108">
        <f t="shared" si="429"/>
        <v>0</v>
      </c>
      <c r="AN413" s="100">
        <v>15</v>
      </c>
      <c r="AO413" s="100">
        <f t="shared" si="430"/>
        <v>0</v>
      </c>
      <c r="AP413" s="100">
        <f t="shared" si="431"/>
        <v>0</v>
      </c>
      <c r="AQ413" s="111" t="s">
        <v>13</v>
      </c>
      <c r="AV413" s="100">
        <f t="shared" si="432"/>
        <v>0</v>
      </c>
      <c r="AW413" s="100">
        <f t="shared" si="433"/>
        <v>0</v>
      </c>
      <c r="AX413" s="100">
        <f t="shared" si="434"/>
        <v>0</v>
      </c>
      <c r="AY413" s="110" t="s">
        <v>1713</v>
      </c>
      <c r="AZ413" s="110" t="s">
        <v>1733</v>
      </c>
      <c r="BA413" s="109" t="s">
        <v>1737</v>
      </c>
      <c r="BC413" s="100">
        <f t="shared" si="435"/>
        <v>0</v>
      </c>
      <c r="BD413" s="100">
        <f t="shared" si="436"/>
        <v>0</v>
      </c>
      <c r="BE413" s="100">
        <v>0</v>
      </c>
      <c r="BF413" s="100">
        <f>413</f>
        <v>413</v>
      </c>
      <c r="BH413" s="108">
        <f t="shared" si="437"/>
        <v>0</v>
      </c>
      <c r="BI413" s="108">
        <f t="shared" si="438"/>
        <v>0</v>
      </c>
      <c r="BJ413" s="108">
        <f t="shared" si="439"/>
        <v>0</v>
      </c>
    </row>
    <row r="414" spans="1:62" x14ac:dyDescent="0.2">
      <c r="A414" s="117" t="s">
        <v>371</v>
      </c>
      <c r="B414" s="117" t="s">
        <v>864</v>
      </c>
      <c r="C414" s="304" t="s">
        <v>1993</v>
      </c>
      <c r="D414" s="305"/>
      <c r="E414" s="305"/>
      <c r="F414" s="117" t="s">
        <v>1645</v>
      </c>
      <c r="G414" s="116">
        <v>1</v>
      </c>
      <c r="H414" s="159"/>
      <c r="I414" s="108">
        <f t="shared" si="416"/>
        <v>0</v>
      </c>
      <c r="J414" s="108">
        <f t="shared" si="417"/>
        <v>0</v>
      </c>
      <c r="K414" s="108">
        <f t="shared" si="418"/>
        <v>0</v>
      </c>
      <c r="L414" s="111"/>
      <c r="Z414" s="100">
        <f t="shared" si="419"/>
        <v>0</v>
      </c>
      <c r="AB414" s="100">
        <f t="shared" si="420"/>
        <v>0</v>
      </c>
      <c r="AC414" s="100">
        <f t="shared" si="421"/>
        <v>0</v>
      </c>
      <c r="AD414" s="100">
        <f t="shared" si="422"/>
        <v>0</v>
      </c>
      <c r="AE414" s="100">
        <f t="shared" si="423"/>
        <v>0</v>
      </c>
      <c r="AF414" s="100">
        <f t="shared" si="424"/>
        <v>0</v>
      </c>
      <c r="AG414" s="100">
        <f t="shared" si="425"/>
        <v>0</v>
      </c>
      <c r="AH414" s="100">
        <f t="shared" si="426"/>
        <v>0</v>
      </c>
      <c r="AI414" s="109"/>
      <c r="AJ414" s="108">
        <f t="shared" si="427"/>
        <v>0</v>
      </c>
      <c r="AK414" s="108">
        <f t="shared" si="428"/>
        <v>0</v>
      </c>
      <c r="AL414" s="108">
        <f t="shared" si="429"/>
        <v>0</v>
      </c>
      <c r="AN414" s="100">
        <v>15</v>
      </c>
      <c r="AO414" s="100">
        <f t="shared" si="430"/>
        <v>0</v>
      </c>
      <c r="AP414" s="100">
        <f t="shared" si="431"/>
        <v>0</v>
      </c>
      <c r="AQ414" s="111" t="s">
        <v>13</v>
      </c>
      <c r="AV414" s="100">
        <f t="shared" si="432"/>
        <v>0</v>
      </c>
      <c r="AW414" s="100">
        <f t="shared" si="433"/>
        <v>0</v>
      </c>
      <c r="AX414" s="100">
        <f t="shared" si="434"/>
        <v>0</v>
      </c>
      <c r="AY414" s="110" t="s">
        <v>1713</v>
      </c>
      <c r="AZ414" s="110" t="s">
        <v>1733</v>
      </c>
      <c r="BA414" s="109" t="s">
        <v>1737</v>
      </c>
      <c r="BC414" s="100">
        <f t="shared" si="435"/>
        <v>0</v>
      </c>
      <c r="BD414" s="100">
        <f t="shared" si="436"/>
        <v>0</v>
      </c>
      <c r="BE414" s="100">
        <v>0</v>
      </c>
      <c r="BF414" s="100">
        <f>414</f>
        <v>414</v>
      </c>
      <c r="BH414" s="108">
        <f t="shared" si="437"/>
        <v>0</v>
      </c>
      <c r="BI414" s="108">
        <f t="shared" si="438"/>
        <v>0</v>
      </c>
      <c r="BJ414" s="108">
        <f t="shared" si="439"/>
        <v>0</v>
      </c>
    </row>
    <row r="415" spans="1:62" x14ac:dyDescent="0.2">
      <c r="A415" s="117" t="s">
        <v>372</v>
      </c>
      <c r="B415" s="117" t="s">
        <v>865</v>
      </c>
      <c r="C415" s="304" t="s">
        <v>1454</v>
      </c>
      <c r="D415" s="305"/>
      <c r="E415" s="305"/>
      <c r="F415" s="117" t="s">
        <v>1652</v>
      </c>
      <c r="G415" s="116">
        <v>1</v>
      </c>
      <c r="H415" s="159"/>
      <c r="I415" s="108">
        <f t="shared" si="416"/>
        <v>0</v>
      </c>
      <c r="J415" s="108">
        <f t="shared" si="417"/>
        <v>0</v>
      </c>
      <c r="K415" s="108">
        <f t="shared" si="418"/>
        <v>0</v>
      </c>
      <c r="L415" s="111"/>
      <c r="Z415" s="100">
        <f t="shared" si="419"/>
        <v>0</v>
      </c>
      <c r="AB415" s="100">
        <f t="shared" si="420"/>
        <v>0</v>
      </c>
      <c r="AC415" s="100">
        <f t="shared" si="421"/>
        <v>0</v>
      </c>
      <c r="AD415" s="100">
        <f t="shared" si="422"/>
        <v>0</v>
      </c>
      <c r="AE415" s="100">
        <f t="shared" si="423"/>
        <v>0</v>
      </c>
      <c r="AF415" s="100">
        <f t="shared" si="424"/>
        <v>0</v>
      </c>
      <c r="AG415" s="100">
        <f t="shared" si="425"/>
        <v>0</v>
      </c>
      <c r="AH415" s="100">
        <f t="shared" si="426"/>
        <v>0</v>
      </c>
      <c r="AI415" s="109"/>
      <c r="AJ415" s="108">
        <f t="shared" si="427"/>
        <v>0</v>
      </c>
      <c r="AK415" s="108">
        <f t="shared" si="428"/>
        <v>0</v>
      </c>
      <c r="AL415" s="108">
        <f t="shared" si="429"/>
        <v>0</v>
      </c>
      <c r="AN415" s="100">
        <v>15</v>
      </c>
      <c r="AO415" s="100">
        <f t="shared" si="430"/>
        <v>0</v>
      </c>
      <c r="AP415" s="100">
        <f t="shared" si="431"/>
        <v>0</v>
      </c>
      <c r="AQ415" s="111" t="s">
        <v>13</v>
      </c>
      <c r="AV415" s="100">
        <f t="shared" si="432"/>
        <v>0</v>
      </c>
      <c r="AW415" s="100">
        <f t="shared" si="433"/>
        <v>0</v>
      </c>
      <c r="AX415" s="100">
        <f t="shared" si="434"/>
        <v>0</v>
      </c>
      <c r="AY415" s="110" t="s">
        <v>1713</v>
      </c>
      <c r="AZ415" s="110" t="s">
        <v>1733</v>
      </c>
      <c r="BA415" s="109" t="s">
        <v>1737</v>
      </c>
      <c r="BC415" s="100">
        <f t="shared" si="435"/>
        <v>0</v>
      </c>
      <c r="BD415" s="100">
        <f t="shared" si="436"/>
        <v>0</v>
      </c>
      <c r="BE415" s="100">
        <v>0</v>
      </c>
      <c r="BF415" s="100">
        <f>415</f>
        <v>415</v>
      </c>
      <c r="BH415" s="108">
        <f t="shared" si="437"/>
        <v>0</v>
      </c>
      <c r="BI415" s="108">
        <f t="shared" si="438"/>
        <v>0</v>
      </c>
      <c r="BJ415" s="108">
        <f t="shared" si="439"/>
        <v>0</v>
      </c>
    </row>
    <row r="416" spans="1:62" x14ac:dyDescent="0.2">
      <c r="A416" s="117" t="s">
        <v>373</v>
      </c>
      <c r="B416" s="117" t="s">
        <v>866</v>
      </c>
      <c r="C416" s="304" t="s">
        <v>1455</v>
      </c>
      <c r="D416" s="305"/>
      <c r="E416" s="305"/>
      <c r="F416" s="117" t="s">
        <v>1652</v>
      </c>
      <c r="G416" s="116">
        <v>1</v>
      </c>
      <c r="H416" s="159"/>
      <c r="I416" s="108">
        <f t="shared" si="416"/>
        <v>0</v>
      </c>
      <c r="J416" s="108">
        <f t="shared" si="417"/>
        <v>0</v>
      </c>
      <c r="K416" s="108">
        <f t="shared" si="418"/>
        <v>0</v>
      </c>
      <c r="L416" s="111"/>
      <c r="Z416" s="100">
        <f t="shared" si="419"/>
        <v>0</v>
      </c>
      <c r="AB416" s="100">
        <f t="shared" si="420"/>
        <v>0</v>
      </c>
      <c r="AC416" s="100">
        <f t="shared" si="421"/>
        <v>0</v>
      </c>
      <c r="AD416" s="100">
        <f t="shared" si="422"/>
        <v>0</v>
      </c>
      <c r="AE416" s="100">
        <f t="shared" si="423"/>
        <v>0</v>
      </c>
      <c r="AF416" s="100">
        <f t="shared" si="424"/>
        <v>0</v>
      </c>
      <c r="AG416" s="100">
        <f t="shared" si="425"/>
        <v>0</v>
      </c>
      <c r="AH416" s="100">
        <f t="shared" si="426"/>
        <v>0</v>
      </c>
      <c r="AI416" s="109"/>
      <c r="AJ416" s="108">
        <f t="shared" si="427"/>
        <v>0</v>
      </c>
      <c r="AK416" s="108">
        <f t="shared" si="428"/>
        <v>0</v>
      </c>
      <c r="AL416" s="108">
        <f t="shared" si="429"/>
        <v>0</v>
      </c>
      <c r="AN416" s="100">
        <v>15</v>
      </c>
      <c r="AO416" s="100">
        <f t="shared" si="430"/>
        <v>0</v>
      </c>
      <c r="AP416" s="100">
        <f t="shared" si="431"/>
        <v>0</v>
      </c>
      <c r="AQ416" s="111" t="s">
        <v>13</v>
      </c>
      <c r="AV416" s="100">
        <f t="shared" si="432"/>
        <v>0</v>
      </c>
      <c r="AW416" s="100">
        <f t="shared" si="433"/>
        <v>0</v>
      </c>
      <c r="AX416" s="100">
        <f t="shared" si="434"/>
        <v>0</v>
      </c>
      <c r="AY416" s="110" t="s">
        <v>1713</v>
      </c>
      <c r="AZ416" s="110" t="s">
        <v>1733</v>
      </c>
      <c r="BA416" s="109" t="s">
        <v>1737</v>
      </c>
      <c r="BC416" s="100">
        <f t="shared" si="435"/>
        <v>0</v>
      </c>
      <c r="BD416" s="100">
        <f t="shared" si="436"/>
        <v>0</v>
      </c>
      <c r="BE416" s="100">
        <v>0</v>
      </c>
      <c r="BF416" s="100">
        <f>416</f>
        <v>416</v>
      </c>
      <c r="BH416" s="108">
        <f t="shared" si="437"/>
        <v>0</v>
      </c>
      <c r="BI416" s="108">
        <f t="shared" si="438"/>
        <v>0</v>
      </c>
      <c r="BJ416" s="108">
        <f t="shared" si="439"/>
        <v>0</v>
      </c>
    </row>
    <row r="417" spans="1:62" x14ac:dyDescent="0.2">
      <c r="A417" s="117" t="s">
        <v>374</v>
      </c>
      <c r="B417" s="117" t="s">
        <v>867</v>
      </c>
      <c r="C417" s="304" t="s">
        <v>1456</v>
      </c>
      <c r="D417" s="305"/>
      <c r="E417" s="305"/>
      <c r="F417" s="117" t="s">
        <v>1652</v>
      </c>
      <c r="G417" s="116">
        <v>1</v>
      </c>
      <c r="H417" s="159"/>
      <c r="I417" s="108">
        <f t="shared" si="416"/>
        <v>0</v>
      </c>
      <c r="J417" s="108">
        <f t="shared" si="417"/>
        <v>0</v>
      </c>
      <c r="K417" s="108">
        <f t="shared" si="418"/>
        <v>0</v>
      </c>
      <c r="L417" s="111"/>
      <c r="Z417" s="100">
        <f t="shared" si="419"/>
        <v>0</v>
      </c>
      <c r="AB417" s="100">
        <f t="shared" si="420"/>
        <v>0</v>
      </c>
      <c r="AC417" s="100">
        <f t="shared" si="421"/>
        <v>0</v>
      </c>
      <c r="AD417" s="100">
        <f t="shared" si="422"/>
        <v>0</v>
      </c>
      <c r="AE417" s="100">
        <f t="shared" si="423"/>
        <v>0</v>
      </c>
      <c r="AF417" s="100">
        <f t="shared" si="424"/>
        <v>0</v>
      </c>
      <c r="AG417" s="100">
        <f t="shared" si="425"/>
        <v>0</v>
      </c>
      <c r="AH417" s="100">
        <f t="shared" si="426"/>
        <v>0</v>
      </c>
      <c r="AI417" s="109"/>
      <c r="AJ417" s="108">
        <f t="shared" si="427"/>
        <v>0</v>
      </c>
      <c r="AK417" s="108">
        <f t="shared" si="428"/>
        <v>0</v>
      </c>
      <c r="AL417" s="108">
        <f t="shared" si="429"/>
        <v>0</v>
      </c>
      <c r="AN417" s="100">
        <v>15</v>
      </c>
      <c r="AO417" s="100">
        <f t="shared" si="430"/>
        <v>0</v>
      </c>
      <c r="AP417" s="100">
        <f t="shared" si="431"/>
        <v>0</v>
      </c>
      <c r="AQ417" s="111" t="s">
        <v>13</v>
      </c>
      <c r="AV417" s="100">
        <f t="shared" si="432"/>
        <v>0</v>
      </c>
      <c r="AW417" s="100">
        <f t="shared" si="433"/>
        <v>0</v>
      </c>
      <c r="AX417" s="100">
        <f t="shared" si="434"/>
        <v>0</v>
      </c>
      <c r="AY417" s="110" t="s">
        <v>1713</v>
      </c>
      <c r="AZ417" s="110" t="s">
        <v>1733</v>
      </c>
      <c r="BA417" s="109" t="s">
        <v>1737</v>
      </c>
      <c r="BC417" s="100">
        <f t="shared" si="435"/>
        <v>0</v>
      </c>
      <c r="BD417" s="100">
        <f t="shared" si="436"/>
        <v>0</v>
      </c>
      <c r="BE417" s="100">
        <v>0</v>
      </c>
      <c r="BF417" s="100">
        <f>417</f>
        <v>417</v>
      </c>
      <c r="BH417" s="108">
        <f t="shared" si="437"/>
        <v>0</v>
      </c>
      <c r="BI417" s="108">
        <f t="shared" si="438"/>
        <v>0</v>
      </c>
      <c r="BJ417" s="108">
        <f t="shared" si="439"/>
        <v>0</v>
      </c>
    </row>
    <row r="418" spans="1:62" x14ac:dyDescent="0.2">
      <c r="A418" s="117" t="s">
        <v>375</v>
      </c>
      <c r="B418" s="117" t="s">
        <v>868</v>
      </c>
      <c r="C418" s="304" t="s">
        <v>1420</v>
      </c>
      <c r="D418" s="305"/>
      <c r="E418" s="305"/>
      <c r="F418" s="117" t="s">
        <v>1652</v>
      </c>
      <c r="G418" s="116">
        <v>1</v>
      </c>
      <c r="H418" s="159"/>
      <c r="I418" s="108">
        <f t="shared" si="416"/>
        <v>0</v>
      </c>
      <c r="J418" s="108">
        <f t="shared" si="417"/>
        <v>0</v>
      </c>
      <c r="K418" s="108">
        <f t="shared" si="418"/>
        <v>0</v>
      </c>
      <c r="L418" s="111"/>
      <c r="Z418" s="100">
        <f t="shared" si="419"/>
        <v>0</v>
      </c>
      <c r="AB418" s="100">
        <f t="shared" si="420"/>
        <v>0</v>
      </c>
      <c r="AC418" s="100">
        <f t="shared" si="421"/>
        <v>0</v>
      </c>
      <c r="AD418" s="100">
        <f t="shared" si="422"/>
        <v>0</v>
      </c>
      <c r="AE418" s="100">
        <f t="shared" si="423"/>
        <v>0</v>
      </c>
      <c r="AF418" s="100">
        <f t="shared" si="424"/>
        <v>0</v>
      </c>
      <c r="AG418" s="100">
        <f t="shared" si="425"/>
        <v>0</v>
      </c>
      <c r="AH418" s="100">
        <f t="shared" si="426"/>
        <v>0</v>
      </c>
      <c r="AI418" s="109"/>
      <c r="AJ418" s="108">
        <f t="shared" si="427"/>
        <v>0</v>
      </c>
      <c r="AK418" s="108">
        <f t="shared" si="428"/>
        <v>0</v>
      </c>
      <c r="AL418" s="108">
        <f t="shared" si="429"/>
        <v>0</v>
      </c>
      <c r="AN418" s="100">
        <v>15</v>
      </c>
      <c r="AO418" s="100">
        <f t="shared" si="430"/>
        <v>0</v>
      </c>
      <c r="AP418" s="100">
        <f t="shared" si="431"/>
        <v>0</v>
      </c>
      <c r="AQ418" s="111" t="s">
        <v>13</v>
      </c>
      <c r="AV418" s="100">
        <f t="shared" si="432"/>
        <v>0</v>
      </c>
      <c r="AW418" s="100">
        <f t="shared" si="433"/>
        <v>0</v>
      </c>
      <c r="AX418" s="100">
        <f t="shared" si="434"/>
        <v>0</v>
      </c>
      <c r="AY418" s="110" t="s">
        <v>1713</v>
      </c>
      <c r="AZ418" s="110" t="s">
        <v>1733</v>
      </c>
      <c r="BA418" s="109" t="s">
        <v>1737</v>
      </c>
      <c r="BC418" s="100">
        <f t="shared" si="435"/>
        <v>0</v>
      </c>
      <c r="BD418" s="100">
        <f t="shared" si="436"/>
        <v>0</v>
      </c>
      <c r="BE418" s="100">
        <v>0</v>
      </c>
      <c r="BF418" s="100">
        <f>418</f>
        <v>418</v>
      </c>
      <c r="BH418" s="108">
        <f t="shared" si="437"/>
        <v>0</v>
      </c>
      <c r="BI418" s="108">
        <f t="shared" si="438"/>
        <v>0</v>
      </c>
      <c r="BJ418" s="108">
        <f t="shared" si="439"/>
        <v>0</v>
      </c>
    </row>
    <row r="419" spans="1:62" x14ac:dyDescent="0.2">
      <c r="A419" s="117" t="s">
        <v>376</v>
      </c>
      <c r="B419" s="117" t="s">
        <v>1992</v>
      </c>
      <c r="C419" s="304" t="s">
        <v>1421</v>
      </c>
      <c r="D419" s="305"/>
      <c r="E419" s="305"/>
      <c r="F419" s="117" t="s">
        <v>1652</v>
      </c>
      <c r="G419" s="116">
        <v>1</v>
      </c>
      <c r="H419" s="159"/>
      <c r="I419" s="108">
        <f t="shared" si="416"/>
        <v>0</v>
      </c>
      <c r="J419" s="108">
        <f t="shared" si="417"/>
        <v>0</v>
      </c>
      <c r="K419" s="108">
        <f t="shared" si="418"/>
        <v>0</v>
      </c>
      <c r="L419" s="111"/>
      <c r="Z419" s="100">
        <f t="shared" si="419"/>
        <v>0</v>
      </c>
      <c r="AB419" s="100">
        <f t="shared" si="420"/>
        <v>0</v>
      </c>
      <c r="AC419" s="100">
        <f t="shared" si="421"/>
        <v>0</v>
      </c>
      <c r="AD419" s="100">
        <f t="shared" si="422"/>
        <v>0</v>
      </c>
      <c r="AE419" s="100">
        <f t="shared" si="423"/>
        <v>0</v>
      </c>
      <c r="AF419" s="100">
        <f t="shared" si="424"/>
        <v>0</v>
      </c>
      <c r="AG419" s="100">
        <f t="shared" si="425"/>
        <v>0</v>
      </c>
      <c r="AH419" s="100">
        <f t="shared" si="426"/>
        <v>0</v>
      </c>
      <c r="AI419" s="109"/>
      <c r="AJ419" s="108">
        <f t="shared" si="427"/>
        <v>0</v>
      </c>
      <c r="AK419" s="108">
        <f t="shared" si="428"/>
        <v>0</v>
      </c>
      <c r="AL419" s="108">
        <f t="shared" si="429"/>
        <v>0</v>
      </c>
      <c r="AN419" s="100">
        <v>15</v>
      </c>
      <c r="AO419" s="100">
        <f t="shared" si="430"/>
        <v>0</v>
      </c>
      <c r="AP419" s="100">
        <f t="shared" si="431"/>
        <v>0</v>
      </c>
      <c r="AQ419" s="111" t="s">
        <v>13</v>
      </c>
      <c r="AV419" s="100">
        <f t="shared" si="432"/>
        <v>0</v>
      </c>
      <c r="AW419" s="100">
        <f t="shared" si="433"/>
        <v>0</v>
      </c>
      <c r="AX419" s="100">
        <f t="shared" si="434"/>
        <v>0</v>
      </c>
      <c r="AY419" s="110" t="s">
        <v>1713</v>
      </c>
      <c r="AZ419" s="110" t="s">
        <v>1733</v>
      </c>
      <c r="BA419" s="109" t="s">
        <v>1737</v>
      </c>
      <c r="BC419" s="100">
        <f t="shared" si="435"/>
        <v>0</v>
      </c>
      <c r="BD419" s="100">
        <f t="shared" si="436"/>
        <v>0</v>
      </c>
      <c r="BE419" s="100">
        <v>0</v>
      </c>
      <c r="BF419" s="100">
        <f>419</f>
        <v>419</v>
      </c>
      <c r="BH419" s="108">
        <f t="shared" si="437"/>
        <v>0</v>
      </c>
      <c r="BI419" s="108">
        <f t="shared" si="438"/>
        <v>0</v>
      </c>
      <c r="BJ419" s="108">
        <f t="shared" si="439"/>
        <v>0</v>
      </c>
    </row>
    <row r="420" spans="1:62" x14ac:dyDescent="0.2">
      <c r="A420" s="117" t="s">
        <v>377</v>
      </c>
      <c r="B420" s="117" t="s">
        <v>1991</v>
      </c>
      <c r="C420" s="304" t="s">
        <v>1457</v>
      </c>
      <c r="D420" s="305"/>
      <c r="E420" s="305"/>
      <c r="F420" s="117" t="s">
        <v>1652</v>
      </c>
      <c r="G420" s="116">
        <v>1</v>
      </c>
      <c r="H420" s="159"/>
      <c r="I420" s="108">
        <f t="shared" si="416"/>
        <v>0</v>
      </c>
      <c r="J420" s="108">
        <f t="shared" si="417"/>
        <v>0</v>
      </c>
      <c r="K420" s="108">
        <f t="shared" si="418"/>
        <v>0</v>
      </c>
      <c r="L420" s="111"/>
      <c r="Z420" s="100">
        <f t="shared" si="419"/>
        <v>0</v>
      </c>
      <c r="AB420" s="100">
        <f t="shared" si="420"/>
        <v>0</v>
      </c>
      <c r="AC420" s="100">
        <f t="shared" si="421"/>
        <v>0</v>
      </c>
      <c r="AD420" s="100">
        <f t="shared" si="422"/>
        <v>0</v>
      </c>
      <c r="AE420" s="100">
        <f t="shared" si="423"/>
        <v>0</v>
      </c>
      <c r="AF420" s="100">
        <f t="shared" si="424"/>
        <v>0</v>
      </c>
      <c r="AG420" s="100">
        <f t="shared" si="425"/>
        <v>0</v>
      </c>
      <c r="AH420" s="100">
        <f t="shared" si="426"/>
        <v>0</v>
      </c>
      <c r="AI420" s="109"/>
      <c r="AJ420" s="108">
        <f t="shared" si="427"/>
        <v>0</v>
      </c>
      <c r="AK420" s="108">
        <f t="shared" si="428"/>
        <v>0</v>
      </c>
      <c r="AL420" s="108">
        <f t="shared" si="429"/>
        <v>0</v>
      </c>
      <c r="AN420" s="100">
        <v>15</v>
      </c>
      <c r="AO420" s="100">
        <f t="shared" si="430"/>
        <v>0</v>
      </c>
      <c r="AP420" s="100">
        <f t="shared" si="431"/>
        <v>0</v>
      </c>
      <c r="AQ420" s="111" t="s">
        <v>13</v>
      </c>
      <c r="AV420" s="100">
        <f t="shared" si="432"/>
        <v>0</v>
      </c>
      <c r="AW420" s="100">
        <f t="shared" si="433"/>
        <v>0</v>
      </c>
      <c r="AX420" s="100">
        <f t="shared" si="434"/>
        <v>0</v>
      </c>
      <c r="AY420" s="110" t="s">
        <v>1713</v>
      </c>
      <c r="AZ420" s="110" t="s">
        <v>1733</v>
      </c>
      <c r="BA420" s="109" t="s">
        <v>1737</v>
      </c>
      <c r="BC420" s="100">
        <f t="shared" si="435"/>
        <v>0</v>
      </c>
      <c r="BD420" s="100">
        <f t="shared" si="436"/>
        <v>0</v>
      </c>
      <c r="BE420" s="100">
        <v>0</v>
      </c>
      <c r="BF420" s="100">
        <f>420</f>
        <v>420</v>
      </c>
      <c r="BH420" s="108">
        <f t="shared" si="437"/>
        <v>0</v>
      </c>
      <c r="BI420" s="108">
        <f t="shared" si="438"/>
        <v>0</v>
      </c>
      <c r="BJ420" s="108">
        <f t="shared" si="439"/>
        <v>0</v>
      </c>
    </row>
    <row r="421" spans="1:62" x14ac:dyDescent="0.2">
      <c r="A421" s="119"/>
      <c r="B421" s="120" t="s">
        <v>869</v>
      </c>
      <c r="C421" s="306" t="s">
        <v>1458</v>
      </c>
      <c r="D421" s="307"/>
      <c r="E421" s="307"/>
      <c r="F421" s="119" t="s">
        <v>6</v>
      </c>
      <c r="G421" s="119" t="s">
        <v>6</v>
      </c>
      <c r="H421" s="119" t="s">
        <v>6</v>
      </c>
      <c r="I421" s="118">
        <f>SUM(I422:I433)</f>
        <v>0</v>
      </c>
      <c r="J421" s="118">
        <f>SUM(J422:J433)</f>
        <v>0</v>
      </c>
      <c r="K421" s="118">
        <f>SUM(K422:K433)</f>
        <v>0</v>
      </c>
      <c r="L421" s="109"/>
      <c r="AI421" s="109"/>
      <c r="AS421" s="118">
        <f>SUM(AJ422:AJ433)</f>
        <v>0</v>
      </c>
      <c r="AT421" s="118">
        <f>SUM(AK422:AK433)</f>
        <v>0</v>
      </c>
      <c r="AU421" s="118">
        <f>SUM(AL422:AL433)</f>
        <v>0</v>
      </c>
    </row>
    <row r="422" spans="1:62" x14ac:dyDescent="0.2">
      <c r="A422" s="117" t="s">
        <v>378</v>
      </c>
      <c r="B422" s="117" t="s">
        <v>870</v>
      </c>
      <c r="C422" s="304" t="s">
        <v>1459</v>
      </c>
      <c r="D422" s="305"/>
      <c r="E422" s="305"/>
      <c r="F422" s="117" t="s">
        <v>1644</v>
      </c>
      <c r="G422" s="116">
        <v>3</v>
      </c>
      <c r="H422" s="159"/>
      <c r="I422" s="108">
        <f t="shared" ref="I422:I433" si="440">G422*AO422</f>
        <v>0</v>
      </c>
      <c r="J422" s="108">
        <f t="shared" ref="J422:J433" si="441">G422*AP422</f>
        <v>0</v>
      </c>
      <c r="K422" s="108">
        <f t="shared" ref="K422:K433" si="442">G422*H422</f>
        <v>0</v>
      </c>
      <c r="L422" s="111" t="s">
        <v>1671</v>
      </c>
      <c r="Z422" s="100">
        <f t="shared" ref="Z422:Z433" si="443">IF(AQ422="5",BJ422,0)</f>
        <v>0</v>
      </c>
      <c r="AB422" s="100">
        <f t="shared" ref="AB422:AB433" si="444">IF(AQ422="1",BH422,0)</f>
        <v>0</v>
      </c>
      <c r="AC422" s="100">
        <f t="shared" ref="AC422:AC433" si="445">IF(AQ422="1",BI422,0)</f>
        <v>0</v>
      </c>
      <c r="AD422" s="100">
        <f t="shared" ref="AD422:AD433" si="446">IF(AQ422="7",BH422,0)</f>
        <v>0</v>
      </c>
      <c r="AE422" s="100">
        <f t="shared" ref="AE422:AE433" si="447">IF(AQ422="7",BI422,0)</f>
        <v>0</v>
      </c>
      <c r="AF422" s="100">
        <f t="shared" ref="AF422:AF433" si="448">IF(AQ422="2",BH422,0)</f>
        <v>0</v>
      </c>
      <c r="AG422" s="100">
        <f t="shared" ref="AG422:AG433" si="449">IF(AQ422="2",BI422,0)</f>
        <v>0</v>
      </c>
      <c r="AH422" s="100">
        <f t="shared" ref="AH422:AH433" si="450">IF(AQ422="0",BJ422,0)</f>
        <v>0</v>
      </c>
      <c r="AI422" s="109"/>
      <c r="AJ422" s="108">
        <f t="shared" ref="AJ422:AJ433" si="451">IF(AN422=0,K422,0)</f>
        <v>0</v>
      </c>
      <c r="AK422" s="108">
        <f t="shared" ref="AK422:AK433" si="452">IF(AN422=15,K422,0)</f>
        <v>0</v>
      </c>
      <c r="AL422" s="108">
        <f t="shared" ref="AL422:AL433" si="453">IF(AN422=21,K422,0)</f>
        <v>0</v>
      </c>
      <c r="AN422" s="100">
        <v>15</v>
      </c>
      <c r="AO422" s="100">
        <f>H422*0.0692044609665427</f>
        <v>0</v>
      </c>
      <c r="AP422" s="100">
        <f>H422*(1-0.0692044609665427)</f>
        <v>0</v>
      </c>
      <c r="AQ422" s="111" t="s">
        <v>13</v>
      </c>
      <c r="AV422" s="100">
        <f t="shared" ref="AV422:AV433" si="454">AW422+AX422</f>
        <v>0</v>
      </c>
      <c r="AW422" s="100">
        <f t="shared" ref="AW422:AW433" si="455">G422*AO422</f>
        <v>0</v>
      </c>
      <c r="AX422" s="100">
        <f t="shared" ref="AX422:AX433" si="456">G422*AP422</f>
        <v>0</v>
      </c>
      <c r="AY422" s="110" t="s">
        <v>1714</v>
      </c>
      <c r="AZ422" s="110" t="s">
        <v>1734</v>
      </c>
      <c r="BA422" s="109" t="s">
        <v>1737</v>
      </c>
      <c r="BC422" s="100">
        <f t="shared" ref="BC422:BC433" si="457">AW422+AX422</f>
        <v>0</v>
      </c>
      <c r="BD422" s="100">
        <f t="shared" ref="BD422:BD433" si="458">H422/(100-BE422)*100</f>
        <v>0</v>
      </c>
      <c r="BE422" s="100">
        <v>0</v>
      </c>
      <c r="BF422" s="100">
        <f>422</f>
        <v>422</v>
      </c>
      <c r="BH422" s="108">
        <f t="shared" ref="BH422:BH433" si="459">G422*AO422</f>
        <v>0</v>
      </c>
      <c r="BI422" s="108">
        <f t="shared" ref="BI422:BI433" si="460">G422*AP422</f>
        <v>0</v>
      </c>
      <c r="BJ422" s="108">
        <f t="shared" ref="BJ422:BJ433" si="461">G422*H422</f>
        <v>0</v>
      </c>
    </row>
    <row r="423" spans="1:62" x14ac:dyDescent="0.2">
      <c r="A423" s="117" t="s">
        <v>379</v>
      </c>
      <c r="B423" s="117" t="s">
        <v>871</v>
      </c>
      <c r="C423" s="304" t="s">
        <v>1460</v>
      </c>
      <c r="D423" s="305"/>
      <c r="E423" s="305"/>
      <c r="F423" s="117" t="s">
        <v>1645</v>
      </c>
      <c r="G423" s="116">
        <v>302</v>
      </c>
      <c r="H423" s="159"/>
      <c r="I423" s="108">
        <f t="shared" si="440"/>
        <v>0</v>
      </c>
      <c r="J423" s="108">
        <f t="shared" si="441"/>
        <v>0</v>
      </c>
      <c r="K423" s="108">
        <f t="shared" si="442"/>
        <v>0</v>
      </c>
      <c r="L423" s="111" t="s">
        <v>1671</v>
      </c>
      <c r="Z423" s="100">
        <f t="shared" si="443"/>
        <v>0</v>
      </c>
      <c r="AB423" s="100">
        <f t="shared" si="444"/>
        <v>0</v>
      </c>
      <c r="AC423" s="100">
        <f t="shared" si="445"/>
        <v>0</v>
      </c>
      <c r="AD423" s="100">
        <f t="shared" si="446"/>
        <v>0</v>
      </c>
      <c r="AE423" s="100">
        <f t="shared" si="447"/>
        <v>0</v>
      </c>
      <c r="AF423" s="100">
        <f t="shared" si="448"/>
        <v>0</v>
      </c>
      <c r="AG423" s="100">
        <f t="shared" si="449"/>
        <v>0</v>
      </c>
      <c r="AH423" s="100">
        <f t="shared" si="450"/>
        <v>0</v>
      </c>
      <c r="AI423" s="109"/>
      <c r="AJ423" s="108">
        <f t="shared" si="451"/>
        <v>0</v>
      </c>
      <c r="AK423" s="108">
        <f t="shared" si="452"/>
        <v>0</v>
      </c>
      <c r="AL423" s="108">
        <f t="shared" si="453"/>
        <v>0</v>
      </c>
      <c r="AN423" s="100">
        <v>15</v>
      </c>
      <c r="AO423" s="100">
        <f>H423*0.493473684210526</f>
        <v>0</v>
      </c>
      <c r="AP423" s="100">
        <f>H423*(1-0.493473684210526)</f>
        <v>0</v>
      </c>
      <c r="AQ423" s="111" t="s">
        <v>13</v>
      </c>
      <c r="AV423" s="100">
        <f t="shared" si="454"/>
        <v>0</v>
      </c>
      <c r="AW423" s="100">
        <f t="shared" si="455"/>
        <v>0</v>
      </c>
      <c r="AX423" s="100">
        <f t="shared" si="456"/>
        <v>0</v>
      </c>
      <c r="AY423" s="110" t="s">
        <v>1714</v>
      </c>
      <c r="AZ423" s="110" t="s">
        <v>1734</v>
      </c>
      <c r="BA423" s="109" t="s">
        <v>1737</v>
      </c>
      <c r="BC423" s="100">
        <f t="shared" si="457"/>
        <v>0</v>
      </c>
      <c r="BD423" s="100">
        <f t="shared" si="458"/>
        <v>0</v>
      </c>
      <c r="BE423" s="100">
        <v>0</v>
      </c>
      <c r="BF423" s="100">
        <f>423</f>
        <v>423</v>
      </c>
      <c r="BH423" s="108">
        <f t="shared" si="459"/>
        <v>0</v>
      </c>
      <c r="BI423" s="108">
        <f t="shared" si="460"/>
        <v>0</v>
      </c>
      <c r="BJ423" s="108">
        <f t="shared" si="461"/>
        <v>0</v>
      </c>
    </row>
    <row r="424" spans="1:62" x14ac:dyDescent="0.2">
      <c r="A424" s="117" t="s">
        <v>380</v>
      </c>
      <c r="B424" s="117" t="s">
        <v>872</v>
      </c>
      <c r="C424" s="304" t="s">
        <v>1461</v>
      </c>
      <c r="D424" s="305"/>
      <c r="E424" s="305"/>
      <c r="F424" s="117" t="s">
        <v>1645</v>
      </c>
      <c r="G424" s="116">
        <v>345.786</v>
      </c>
      <c r="H424" s="159"/>
      <c r="I424" s="108">
        <f t="shared" si="440"/>
        <v>0</v>
      </c>
      <c r="J424" s="108">
        <f t="shared" si="441"/>
        <v>0</v>
      </c>
      <c r="K424" s="108">
        <f t="shared" si="442"/>
        <v>0</v>
      </c>
      <c r="L424" s="111" t="s">
        <v>1671</v>
      </c>
      <c r="Z424" s="100">
        <f t="shared" si="443"/>
        <v>0</v>
      </c>
      <c r="AB424" s="100">
        <f t="shared" si="444"/>
        <v>0</v>
      </c>
      <c r="AC424" s="100">
        <f t="shared" si="445"/>
        <v>0</v>
      </c>
      <c r="AD424" s="100">
        <f t="shared" si="446"/>
        <v>0</v>
      </c>
      <c r="AE424" s="100">
        <f t="shared" si="447"/>
        <v>0</v>
      </c>
      <c r="AF424" s="100">
        <f t="shared" si="448"/>
        <v>0</v>
      </c>
      <c r="AG424" s="100">
        <f t="shared" si="449"/>
        <v>0</v>
      </c>
      <c r="AH424" s="100">
        <f t="shared" si="450"/>
        <v>0</v>
      </c>
      <c r="AI424" s="109"/>
      <c r="AJ424" s="108">
        <f t="shared" si="451"/>
        <v>0</v>
      </c>
      <c r="AK424" s="108">
        <f t="shared" si="452"/>
        <v>0</v>
      </c>
      <c r="AL424" s="108">
        <f t="shared" si="453"/>
        <v>0</v>
      </c>
      <c r="AN424" s="100">
        <v>15</v>
      </c>
      <c r="AO424" s="100">
        <f>H424*0.493506493506494</f>
        <v>0</v>
      </c>
      <c r="AP424" s="100">
        <f>H424*(1-0.493506493506494)</f>
        <v>0</v>
      </c>
      <c r="AQ424" s="111" t="s">
        <v>13</v>
      </c>
      <c r="AV424" s="100">
        <f t="shared" si="454"/>
        <v>0</v>
      </c>
      <c r="AW424" s="100">
        <f t="shared" si="455"/>
        <v>0</v>
      </c>
      <c r="AX424" s="100">
        <f t="shared" si="456"/>
        <v>0</v>
      </c>
      <c r="AY424" s="110" t="s">
        <v>1714</v>
      </c>
      <c r="AZ424" s="110" t="s">
        <v>1734</v>
      </c>
      <c r="BA424" s="109" t="s">
        <v>1737</v>
      </c>
      <c r="BC424" s="100">
        <f t="shared" si="457"/>
        <v>0</v>
      </c>
      <c r="BD424" s="100">
        <f t="shared" si="458"/>
        <v>0</v>
      </c>
      <c r="BE424" s="100">
        <v>0</v>
      </c>
      <c r="BF424" s="100">
        <f>424</f>
        <v>424</v>
      </c>
      <c r="BH424" s="108">
        <f t="shared" si="459"/>
        <v>0</v>
      </c>
      <c r="BI424" s="108">
        <f t="shared" si="460"/>
        <v>0</v>
      </c>
      <c r="BJ424" s="108">
        <f t="shared" si="461"/>
        <v>0</v>
      </c>
    </row>
    <row r="425" spans="1:62" x14ac:dyDescent="0.2">
      <c r="A425" s="117" t="s">
        <v>381</v>
      </c>
      <c r="B425" s="117" t="s">
        <v>873</v>
      </c>
      <c r="C425" s="304" t="s">
        <v>1462</v>
      </c>
      <c r="D425" s="305"/>
      <c r="E425" s="305"/>
      <c r="F425" s="117" t="s">
        <v>1645</v>
      </c>
      <c r="G425" s="116">
        <v>345.786</v>
      </c>
      <c r="H425" s="159"/>
      <c r="I425" s="108">
        <f t="shared" si="440"/>
        <v>0</v>
      </c>
      <c r="J425" s="108">
        <f t="shared" si="441"/>
        <v>0</v>
      </c>
      <c r="K425" s="108">
        <f t="shared" si="442"/>
        <v>0</v>
      </c>
      <c r="L425" s="111" t="s">
        <v>1671</v>
      </c>
      <c r="Z425" s="100">
        <f t="shared" si="443"/>
        <v>0</v>
      </c>
      <c r="AB425" s="100">
        <f t="shared" si="444"/>
        <v>0</v>
      </c>
      <c r="AC425" s="100">
        <f t="shared" si="445"/>
        <v>0</v>
      </c>
      <c r="AD425" s="100">
        <f t="shared" si="446"/>
        <v>0</v>
      </c>
      <c r="AE425" s="100">
        <f t="shared" si="447"/>
        <v>0</v>
      </c>
      <c r="AF425" s="100">
        <f t="shared" si="448"/>
        <v>0</v>
      </c>
      <c r="AG425" s="100">
        <f t="shared" si="449"/>
        <v>0</v>
      </c>
      <c r="AH425" s="100">
        <f t="shared" si="450"/>
        <v>0</v>
      </c>
      <c r="AI425" s="109"/>
      <c r="AJ425" s="108">
        <f t="shared" si="451"/>
        <v>0</v>
      </c>
      <c r="AK425" s="108">
        <f t="shared" si="452"/>
        <v>0</v>
      </c>
      <c r="AL425" s="108">
        <f t="shared" si="453"/>
        <v>0</v>
      </c>
      <c r="AN425" s="100">
        <v>15</v>
      </c>
      <c r="AO425" s="100">
        <f>H425*0.493489101019164</f>
        <v>0</v>
      </c>
      <c r="AP425" s="100">
        <f>H425*(1-0.493489101019164)</f>
        <v>0</v>
      </c>
      <c r="AQ425" s="111" t="s">
        <v>13</v>
      </c>
      <c r="AV425" s="100">
        <f t="shared" si="454"/>
        <v>0</v>
      </c>
      <c r="AW425" s="100">
        <f t="shared" si="455"/>
        <v>0</v>
      </c>
      <c r="AX425" s="100">
        <f t="shared" si="456"/>
        <v>0</v>
      </c>
      <c r="AY425" s="110" t="s">
        <v>1714</v>
      </c>
      <c r="AZ425" s="110" t="s">
        <v>1734</v>
      </c>
      <c r="BA425" s="109" t="s">
        <v>1737</v>
      </c>
      <c r="BC425" s="100">
        <f t="shared" si="457"/>
        <v>0</v>
      </c>
      <c r="BD425" s="100">
        <f t="shared" si="458"/>
        <v>0</v>
      </c>
      <c r="BE425" s="100">
        <v>0</v>
      </c>
      <c r="BF425" s="100">
        <f>425</f>
        <v>425</v>
      </c>
      <c r="BH425" s="108">
        <f t="shared" si="459"/>
        <v>0</v>
      </c>
      <c r="BI425" s="108">
        <f t="shared" si="460"/>
        <v>0</v>
      </c>
      <c r="BJ425" s="108">
        <f t="shared" si="461"/>
        <v>0</v>
      </c>
    </row>
    <row r="426" spans="1:62" x14ac:dyDescent="0.2">
      <c r="A426" s="117" t="s">
        <v>382</v>
      </c>
      <c r="B426" s="117" t="s">
        <v>874</v>
      </c>
      <c r="C426" s="304" t="s">
        <v>1463</v>
      </c>
      <c r="D426" s="305"/>
      <c r="E426" s="305"/>
      <c r="F426" s="117" t="s">
        <v>1645</v>
      </c>
      <c r="G426" s="116">
        <v>345.786</v>
      </c>
      <c r="H426" s="159"/>
      <c r="I426" s="108">
        <f t="shared" si="440"/>
        <v>0</v>
      </c>
      <c r="J426" s="108">
        <f t="shared" si="441"/>
        <v>0</v>
      </c>
      <c r="K426" s="108">
        <f t="shared" si="442"/>
        <v>0</v>
      </c>
      <c r="L426" s="111" t="s">
        <v>1671</v>
      </c>
      <c r="Z426" s="100">
        <f t="shared" si="443"/>
        <v>0</v>
      </c>
      <c r="AB426" s="100">
        <f t="shared" si="444"/>
        <v>0</v>
      </c>
      <c r="AC426" s="100">
        <f t="shared" si="445"/>
        <v>0</v>
      </c>
      <c r="AD426" s="100">
        <f t="shared" si="446"/>
        <v>0</v>
      </c>
      <c r="AE426" s="100">
        <f t="shared" si="447"/>
        <v>0</v>
      </c>
      <c r="AF426" s="100">
        <f t="shared" si="448"/>
        <v>0</v>
      </c>
      <c r="AG426" s="100">
        <f t="shared" si="449"/>
        <v>0</v>
      </c>
      <c r="AH426" s="100">
        <f t="shared" si="450"/>
        <v>0</v>
      </c>
      <c r="AI426" s="109"/>
      <c r="AJ426" s="108">
        <f t="shared" si="451"/>
        <v>0</v>
      </c>
      <c r="AK426" s="108">
        <f t="shared" si="452"/>
        <v>0</v>
      </c>
      <c r="AL426" s="108">
        <f t="shared" si="453"/>
        <v>0</v>
      </c>
      <c r="AN426" s="100">
        <v>15</v>
      </c>
      <c r="AO426" s="100">
        <f>H426*0</f>
        <v>0</v>
      </c>
      <c r="AP426" s="100">
        <f>H426*(1-0)</f>
        <v>0</v>
      </c>
      <c r="AQ426" s="111" t="s">
        <v>13</v>
      </c>
      <c r="AV426" s="100">
        <f t="shared" si="454"/>
        <v>0</v>
      </c>
      <c r="AW426" s="100">
        <f t="shared" si="455"/>
        <v>0</v>
      </c>
      <c r="AX426" s="100">
        <f t="shared" si="456"/>
        <v>0</v>
      </c>
      <c r="AY426" s="110" t="s">
        <v>1714</v>
      </c>
      <c r="AZ426" s="110" t="s">
        <v>1734</v>
      </c>
      <c r="BA426" s="109" t="s">
        <v>1737</v>
      </c>
      <c r="BC426" s="100">
        <f t="shared" si="457"/>
        <v>0</v>
      </c>
      <c r="BD426" s="100">
        <f t="shared" si="458"/>
        <v>0</v>
      </c>
      <c r="BE426" s="100">
        <v>0</v>
      </c>
      <c r="BF426" s="100">
        <f>426</f>
        <v>426</v>
      </c>
      <c r="BH426" s="108">
        <f t="shared" si="459"/>
        <v>0</v>
      </c>
      <c r="BI426" s="108">
        <f t="shared" si="460"/>
        <v>0</v>
      </c>
      <c r="BJ426" s="108">
        <f t="shared" si="461"/>
        <v>0</v>
      </c>
    </row>
    <row r="427" spans="1:62" x14ac:dyDescent="0.2">
      <c r="A427" s="124" t="s">
        <v>383</v>
      </c>
      <c r="B427" s="124" t="s">
        <v>875</v>
      </c>
      <c r="C427" s="311" t="s">
        <v>1464</v>
      </c>
      <c r="D427" s="312"/>
      <c r="E427" s="312"/>
      <c r="F427" s="124" t="s">
        <v>1645</v>
      </c>
      <c r="G427" s="123">
        <v>363.07499999999999</v>
      </c>
      <c r="H427" s="160"/>
      <c r="I427" s="121">
        <f t="shared" si="440"/>
        <v>0</v>
      </c>
      <c r="J427" s="121">
        <f t="shared" si="441"/>
        <v>0</v>
      </c>
      <c r="K427" s="121">
        <f t="shared" si="442"/>
        <v>0</v>
      </c>
      <c r="L427" s="122" t="s">
        <v>1671</v>
      </c>
      <c r="Z427" s="100">
        <f t="shared" si="443"/>
        <v>0</v>
      </c>
      <c r="AB427" s="100">
        <f t="shared" si="444"/>
        <v>0</v>
      </c>
      <c r="AC427" s="100">
        <f t="shared" si="445"/>
        <v>0</v>
      </c>
      <c r="AD427" s="100">
        <f t="shared" si="446"/>
        <v>0</v>
      </c>
      <c r="AE427" s="100">
        <f t="shared" si="447"/>
        <v>0</v>
      </c>
      <c r="AF427" s="100">
        <f t="shared" si="448"/>
        <v>0</v>
      </c>
      <c r="AG427" s="100">
        <f t="shared" si="449"/>
        <v>0</v>
      </c>
      <c r="AH427" s="100">
        <f t="shared" si="450"/>
        <v>0</v>
      </c>
      <c r="AI427" s="109"/>
      <c r="AJ427" s="121">
        <f t="shared" si="451"/>
        <v>0</v>
      </c>
      <c r="AK427" s="121">
        <f t="shared" si="452"/>
        <v>0</v>
      </c>
      <c r="AL427" s="121">
        <f t="shared" si="453"/>
        <v>0</v>
      </c>
      <c r="AN427" s="100">
        <v>15</v>
      </c>
      <c r="AO427" s="100">
        <f>H427*1</f>
        <v>0</v>
      </c>
      <c r="AP427" s="100">
        <f>H427*(1-1)</f>
        <v>0</v>
      </c>
      <c r="AQ427" s="122" t="s">
        <v>13</v>
      </c>
      <c r="AV427" s="100">
        <f t="shared" si="454"/>
        <v>0</v>
      </c>
      <c r="AW427" s="100">
        <f t="shared" si="455"/>
        <v>0</v>
      </c>
      <c r="AX427" s="100">
        <f t="shared" si="456"/>
        <v>0</v>
      </c>
      <c r="AY427" s="110" t="s">
        <v>1714</v>
      </c>
      <c r="AZ427" s="110" t="s">
        <v>1734</v>
      </c>
      <c r="BA427" s="109" t="s">
        <v>1737</v>
      </c>
      <c r="BC427" s="100">
        <f t="shared" si="457"/>
        <v>0</v>
      </c>
      <c r="BD427" s="100">
        <f t="shared" si="458"/>
        <v>0</v>
      </c>
      <c r="BE427" s="100">
        <v>0</v>
      </c>
      <c r="BF427" s="100">
        <f>427</f>
        <v>427</v>
      </c>
      <c r="BH427" s="121">
        <f t="shared" si="459"/>
        <v>0</v>
      </c>
      <c r="BI427" s="121">
        <f t="shared" si="460"/>
        <v>0</v>
      </c>
      <c r="BJ427" s="121">
        <f t="shared" si="461"/>
        <v>0</v>
      </c>
    </row>
    <row r="428" spans="1:62" x14ac:dyDescent="0.2">
      <c r="A428" s="117" t="s">
        <v>384</v>
      </c>
      <c r="B428" s="117" t="s">
        <v>876</v>
      </c>
      <c r="C428" s="304" t="s">
        <v>1465</v>
      </c>
      <c r="D428" s="305"/>
      <c r="E428" s="305"/>
      <c r="F428" s="117" t="s">
        <v>1645</v>
      </c>
      <c r="G428" s="116">
        <v>344.89400000000001</v>
      </c>
      <c r="H428" s="159"/>
      <c r="I428" s="108">
        <f t="shared" si="440"/>
        <v>0</v>
      </c>
      <c r="J428" s="108">
        <f t="shared" si="441"/>
        <v>0</v>
      </c>
      <c r="K428" s="108">
        <f t="shared" si="442"/>
        <v>0</v>
      </c>
      <c r="L428" s="111" t="s">
        <v>1671</v>
      </c>
      <c r="Z428" s="100">
        <f t="shared" si="443"/>
        <v>0</v>
      </c>
      <c r="AB428" s="100">
        <f t="shared" si="444"/>
        <v>0</v>
      </c>
      <c r="AC428" s="100">
        <f t="shared" si="445"/>
        <v>0</v>
      </c>
      <c r="AD428" s="100">
        <f t="shared" si="446"/>
        <v>0</v>
      </c>
      <c r="AE428" s="100">
        <f t="shared" si="447"/>
        <v>0</v>
      </c>
      <c r="AF428" s="100">
        <f t="shared" si="448"/>
        <v>0</v>
      </c>
      <c r="AG428" s="100">
        <f t="shared" si="449"/>
        <v>0</v>
      </c>
      <c r="AH428" s="100">
        <f t="shared" si="450"/>
        <v>0</v>
      </c>
      <c r="AI428" s="109"/>
      <c r="AJ428" s="108">
        <f t="shared" si="451"/>
        <v>0</v>
      </c>
      <c r="AK428" s="108">
        <f t="shared" si="452"/>
        <v>0</v>
      </c>
      <c r="AL428" s="108">
        <f t="shared" si="453"/>
        <v>0</v>
      </c>
      <c r="AN428" s="100">
        <v>15</v>
      </c>
      <c r="AO428" s="100">
        <f>H428*0</f>
        <v>0</v>
      </c>
      <c r="AP428" s="100">
        <f>H428*(1-0)</f>
        <v>0</v>
      </c>
      <c r="AQ428" s="111" t="s">
        <v>13</v>
      </c>
      <c r="AV428" s="100">
        <f t="shared" si="454"/>
        <v>0</v>
      </c>
      <c r="AW428" s="100">
        <f t="shared" si="455"/>
        <v>0</v>
      </c>
      <c r="AX428" s="100">
        <f t="shared" si="456"/>
        <v>0</v>
      </c>
      <c r="AY428" s="110" t="s">
        <v>1714</v>
      </c>
      <c r="AZ428" s="110" t="s">
        <v>1734</v>
      </c>
      <c r="BA428" s="109" t="s">
        <v>1737</v>
      </c>
      <c r="BC428" s="100">
        <f t="shared" si="457"/>
        <v>0</v>
      </c>
      <c r="BD428" s="100">
        <f t="shared" si="458"/>
        <v>0</v>
      </c>
      <c r="BE428" s="100">
        <v>0</v>
      </c>
      <c r="BF428" s="100">
        <f>428</f>
        <v>428</v>
      </c>
      <c r="BH428" s="108">
        <f t="shared" si="459"/>
        <v>0</v>
      </c>
      <c r="BI428" s="108">
        <f t="shared" si="460"/>
        <v>0</v>
      </c>
      <c r="BJ428" s="108">
        <f t="shared" si="461"/>
        <v>0</v>
      </c>
    </row>
    <row r="429" spans="1:62" x14ac:dyDescent="0.2">
      <c r="A429" s="117" t="s">
        <v>385</v>
      </c>
      <c r="B429" s="117" t="s">
        <v>877</v>
      </c>
      <c r="C429" s="304" t="s">
        <v>1466</v>
      </c>
      <c r="D429" s="305"/>
      <c r="E429" s="305"/>
      <c r="F429" s="117" t="s">
        <v>1647</v>
      </c>
      <c r="G429" s="116">
        <v>7.6070000000000002</v>
      </c>
      <c r="H429" s="159"/>
      <c r="I429" s="108">
        <f t="shared" si="440"/>
        <v>0</v>
      </c>
      <c r="J429" s="108">
        <f t="shared" si="441"/>
        <v>0</v>
      </c>
      <c r="K429" s="108">
        <f t="shared" si="442"/>
        <v>0</v>
      </c>
      <c r="L429" s="111" t="s">
        <v>1671</v>
      </c>
      <c r="Z429" s="100">
        <f t="shared" si="443"/>
        <v>0</v>
      </c>
      <c r="AB429" s="100">
        <f t="shared" si="444"/>
        <v>0</v>
      </c>
      <c r="AC429" s="100">
        <f t="shared" si="445"/>
        <v>0</v>
      </c>
      <c r="AD429" s="100">
        <f t="shared" si="446"/>
        <v>0</v>
      </c>
      <c r="AE429" s="100">
        <f t="shared" si="447"/>
        <v>0</v>
      </c>
      <c r="AF429" s="100">
        <f t="shared" si="448"/>
        <v>0</v>
      </c>
      <c r="AG429" s="100">
        <f t="shared" si="449"/>
        <v>0</v>
      </c>
      <c r="AH429" s="100">
        <f t="shared" si="450"/>
        <v>0</v>
      </c>
      <c r="AI429" s="109"/>
      <c r="AJ429" s="108">
        <f t="shared" si="451"/>
        <v>0</v>
      </c>
      <c r="AK429" s="108">
        <f t="shared" si="452"/>
        <v>0</v>
      </c>
      <c r="AL429" s="108">
        <f t="shared" si="453"/>
        <v>0</v>
      </c>
      <c r="AN429" s="100">
        <v>15</v>
      </c>
      <c r="AO429" s="100">
        <f>H429*1.00000009788375</f>
        <v>0</v>
      </c>
      <c r="AP429" s="100">
        <f>H429*(1-1.00000009788375)</f>
        <v>0</v>
      </c>
      <c r="AQ429" s="111" t="s">
        <v>13</v>
      </c>
      <c r="AV429" s="100">
        <f t="shared" si="454"/>
        <v>0</v>
      </c>
      <c r="AW429" s="100">
        <f t="shared" si="455"/>
        <v>0</v>
      </c>
      <c r="AX429" s="100">
        <f t="shared" si="456"/>
        <v>0</v>
      </c>
      <c r="AY429" s="110" t="s">
        <v>1714</v>
      </c>
      <c r="AZ429" s="110" t="s">
        <v>1734</v>
      </c>
      <c r="BA429" s="109" t="s">
        <v>1737</v>
      </c>
      <c r="BC429" s="100">
        <f t="shared" si="457"/>
        <v>0</v>
      </c>
      <c r="BD429" s="100">
        <f t="shared" si="458"/>
        <v>0</v>
      </c>
      <c r="BE429" s="100">
        <v>0</v>
      </c>
      <c r="BF429" s="100">
        <f>429</f>
        <v>429</v>
      </c>
      <c r="BH429" s="108">
        <f t="shared" si="459"/>
        <v>0</v>
      </c>
      <c r="BI429" s="108">
        <f t="shared" si="460"/>
        <v>0</v>
      </c>
      <c r="BJ429" s="108">
        <f t="shared" si="461"/>
        <v>0</v>
      </c>
    </row>
    <row r="430" spans="1:62" x14ac:dyDescent="0.2">
      <c r="A430" s="117" t="s">
        <v>386</v>
      </c>
      <c r="B430" s="117" t="s">
        <v>878</v>
      </c>
      <c r="C430" s="304" t="s">
        <v>1467</v>
      </c>
      <c r="D430" s="305"/>
      <c r="E430" s="305"/>
      <c r="F430" s="117" t="s">
        <v>1645</v>
      </c>
      <c r="G430" s="116">
        <v>54.9</v>
      </c>
      <c r="H430" s="159"/>
      <c r="I430" s="108">
        <f t="shared" si="440"/>
        <v>0</v>
      </c>
      <c r="J430" s="108">
        <f t="shared" si="441"/>
        <v>0</v>
      </c>
      <c r="K430" s="108">
        <f t="shared" si="442"/>
        <v>0</v>
      </c>
      <c r="L430" s="111" t="s">
        <v>1671</v>
      </c>
      <c r="Z430" s="100">
        <f t="shared" si="443"/>
        <v>0</v>
      </c>
      <c r="AB430" s="100">
        <f t="shared" si="444"/>
        <v>0</v>
      </c>
      <c r="AC430" s="100">
        <f t="shared" si="445"/>
        <v>0</v>
      </c>
      <c r="AD430" s="100">
        <f t="shared" si="446"/>
        <v>0</v>
      </c>
      <c r="AE430" s="100">
        <f t="shared" si="447"/>
        <v>0</v>
      </c>
      <c r="AF430" s="100">
        <f t="shared" si="448"/>
        <v>0</v>
      </c>
      <c r="AG430" s="100">
        <f t="shared" si="449"/>
        <v>0</v>
      </c>
      <c r="AH430" s="100">
        <f t="shared" si="450"/>
        <v>0</v>
      </c>
      <c r="AI430" s="109"/>
      <c r="AJ430" s="108">
        <f t="shared" si="451"/>
        <v>0</v>
      </c>
      <c r="AK430" s="108">
        <f t="shared" si="452"/>
        <v>0</v>
      </c>
      <c r="AL430" s="108">
        <f t="shared" si="453"/>
        <v>0</v>
      </c>
      <c r="AN430" s="100">
        <v>15</v>
      </c>
      <c r="AO430" s="100">
        <f>H430*0.650037878787879</f>
        <v>0</v>
      </c>
      <c r="AP430" s="100">
        <f>H430*(1-0.650037878787879)</f>
        <v>0</v>
      </c>
      <c r="AQ430" s="111" t="s">
        <v>13</v>
      </c>
      <c r="AV430" s="100">
        <f t="shared" si="454"/>
        <v>0</v>
      </c>
      <c r="AW430" s="100">
        <f t="shared" si="455"/>
        <v>0</v>
      </c>
      <c r="AX430" s="100">
        <f t="shared" si="456"/>
        <v>0</v>
      </c>
      <c r="AY430" s="110" t="s">
        <v>1714</v>
      </c>
      <c r="AZ430" s="110" t="s">
        <v>1734</v>
      </c>
      <c r="BA430" s="109" t="s">
        <v>1737</v>
      </c>
      <c r="BC430" s="100">
        <f t="shared" si="457"/>
        <v>0</v>
      </c>
      <c r="BD430" s="100">
        <f t="shared" si="458"/>
        <v>0</v>
      </c>
      <c r="BE430" s="100">
        <v>0</v>
      </c>
      <c r="BF430" s="100">
        <f>430</f>
        <v>430</v>
      </c>
      <c r="BH430" s="108">
        <f t="shared" si="459"/>
        <v>0</v>
      </c>
      <c r="BI430" s="108">
        <f t="shared" si="460"/>
        <v>0</v>
      </c>
      <c r="BJ430" s="108">
        <f t="shared" si="461"/>
        <v>0</v>
      </c>
    </row>
    <row r="431" spans="1:62" x14ac:dyDescent="0.2">
      <c r="A431" s="117" t="s">
        <v>387</v>
      </c>
      <c r="B431" s="117" t="s">
        <v>879</v>
      </c>
      <c r="C431" s="304" t="s">
        <v>1468</v>
      </c>
      <c r="D431" s="305"/>
      <c r="E431" s="305"/>
      <c r="F431" s="117" t="s">
        <v>1645</v>
      </c>
      <c r="G431" s="116">
        <v>54.9</v>
      </c>
      <c r="H431" s="159"/>
      <c r="I431" s="108">
        <f t="shared" si="440"/>
        <v>0</v>
      </c>
      <c r="J431" s="108">
        <f t="shared" si="441"/>
        <v>0</v>
      </c>
      <c r="K431" s="108">
        <f t="shared" si="442"/>
        <v>0</v>
      </c>
      <c r="L431" s="111" t="s">
        <v>1671</v>
      </c>
      <c r="Z431" s="100">
        <f t="shared" si="443"/>
        <v>0</v>
      </c>
      <c r="AB431" s="100">
        <f t="shared" si="444"/>
        <v>0</v>
      </c>
      <c r="AC431" s="100">
        <f t="shared" si="445"/>
        <v>0</v>
      </c>
      <c r="AD431" s="100">
        <f t="shared" si="446"/>
        <v>0</v>
      </c>
      <c r="AE431" s="100">
        <f t="shared" si="447"/>
        <v>0</v>
      </c>
      <c r="AF431" s="100">
        <f t="shared" si="448"/>
        <v>0</v>
      </c>
      <c r="AG431" s="100">
        <f t="shared" si="449"/>
        <v>0</v>
      </c>
      <c r="AH431" s="100">
        <f t="shared" si="450"/>
        <v>0</v>
      </c>
      <c r="AI431" s="109"/>
      <c r="AJ431" s="108">
        <f t="shared" si="451"/>
        <v>0</v>
      </c>
      <c r="AK431" s="108">
        <f t="shared" si="452"/>
        <v>0</v>
      </c>
      <c r="AL431" s="108">
        <f t="shared" si="453"/>
        <v>0</v>
      </c>
      <c r="AN431" s="100">
        <v>15</v>
      </c>
      <c r="AO431" s="100">
        <f>H431*0.0505464480874317</f>
        <v>0</v>
      </c>
      <c r="AP431" s="100">
        <f>H431*(1-0.0505464480874317)</f>
        <v>0</v>
      </c>
      <c r="AQ431" s="111" t="s">
        <v>13</v>
      </c>
      <c r="AV431" s="100">
        <f t="shared" si="454"/>
        <v>0</v>
      </c>
      <c r="AW431" s="100">
        <f t="shared" si="455"/>
        <v>0</v>
      </c>
      <c r="AX431" s="100">
        <f t="shared" si="456"/>
        <v>0</v>
      </c>
      <c r="AY431" s="110" t="s">
        <v>1714</v>
      </c>
      <c r="AZ431" s="110" t="s">
        <v>1734</v>
      </c>
      <c r="BA431" s="109" t="s">
        <v>1737</v>
      </c>
      <c r="BC431" s="100">
        <f t="shared" si="457"/>
        <v>0</v>
      </c>
      <c r="BD431" s="100">
        <f t="shared" si="458"/>
        <v>0</v>
      </c>
      <c r="BE431" s="100">
        <v>0</v>
      </c>
      <c r="BF431" s="100">
        <f>431</f>
        <v>431</v>
      </c>
      <c r="BH431" s="108">
        <f t="shared" si="459"/>
        <v>0</v>
      </c>
      <c r="BI431" s="108">
        <f t="shared" si="460"/>
        <v>0</v>
      </c>
      <c r="BJ431" s="108">
        <f t="shared" si="461"/>
        <v>0</v>
      </c>
    </row>
    <row r="432" spans="1:62" x14ac:dyDescent="0.2">
      <c r="A432" s="117" t="s">
        <v>388</v>
      </c>
      <c r="B432" s="117" t="s">
        <v>880</v>
      </c>
      <c r="C432" s="304" t="s">
        <v>1469</v>
      </c>
      <c r="D432" s="305"/>
      <c r="E432" s="305"/>
      <c r="F432" s="117" t="s">
        <v>1647</v>
      </c>
      <c r="G432" s="116">
        <v>1.0429999999999999</v>
      </c>
      <c r="H432" s="159"/>
      <c r="I432" s="108">
        <f t="shared" si="440"/>
        <v>0</v>
      </c>
      <c r="J432" s="108">
        <f t="shared" si="441"/>
        <v>0</v>
      </c>
      <c r="K432" s="108">
        <f t="shared" si="442"/>
        <v>0</v>
      </c>
      <c r="L432" s="111" t="s">
        <v>1671</v>
      </c>
      <c r="Z432" s="100">
        <f t="shared" si="443"/>
        <v>0</v>
      </c>
      <c r="AB432" s="100">
        <f t="shared" si="444"/>
        <v>0</v>
      </c>
      <c r="AC432" s="100">
        <f t="shared" si="445"/>
        <v>0</v>
      </c>
      <c r="AD432" s="100">
        <f t="shared" si="446"/>
        <v>0</v>
      </c>
      <c r="AE432" s="100">
        <f t="shared" si="447"/>
        <v>0</v>
      </c>
      <c r="AF432" s="100">
        <f t="shared" si="448"/>
        <v>0</v>
      </c>
      <c r="AG432" s="100">
        <f t="shared" si="449"/>
        <v>0</v>
      </c>
      <c r="AH432" s="100">
        <f t="shared" si="450"/>
        <v>0</v>
      </c>
      <c r="AI432" s="109"/>
      <c r="AJ432" s="108">
        <f t="shared" si="451"/>
        <v>0</v>
      </c>
      <c r="AK432" s="108">
        <f t="shared" si="452"/>
        <v>0</v>
      </c>
      <c r="AL432" s="108">
        <f t="shared" si="453"/>
        <v>0</v>
      </c>
      <c r="AN432" s="100">
        <v>15</v>
      </c>
      <c r="AO432" s="100">
        <f>H432*1.00000541682466</f>
        <v>0</v>
      </c>
      <c r="AP432" s="100">
        <f>H432*(1-1.00000541682466)</f>
        <v>0</v>
      </c>
      <c r="AQ432" s="111" t="s">
        <v>13</v>
      </c>
      <c r="AV432" s="100">
        <f t="shared" si="454"/>
        <v>0</v>
      </c>
      <c r="AW432" s="100">
        <f t="shared" si="455"/>
        <v>0</v>
      </c>
      <c r="AX432" s="100">
        <f t="shared" si="456"/>
        <v>0</v>
      </c>
      <c r="AY432" s="110" t="s">
        <v>1714</v>
      </c>
      <c r="AZ432" s="110" t="s">
        <v>1734</v>
      </c>
      <c r="BA432" s="109" t="s">
        <v>1737</v>
      </c>
      <c r="BC432" s="100">
        <f t="shared" si="457"/>
        <v>0</v>
      </c>
      <c r="BD432" s="100">
        <f t="shared" si="458"/>
        <v>0</v>
      </c>
      <c r="BE432" s="100">
        <v>0</v>
      </c>
      <c r="BF432" s="100">
        <f>432</f>
        <v>432</v>
      </c>
      <c r="BH432" s="108">
        <f t="shared" si="459"/>
        <v>0</v>
      </c>
      <c r="BI432" s="108">
        <f t="shared" si="460"/>
        <v>0</v>
      </c>
      <c r="BJ432" s="108">
        <f t="shared" si="461"/>
        <v>0</v>
      </c>
    </row>
    <row r="433" spans="1:62" x14ac:dyDescent="0.2">
      <c r="A433" s="117" t="s">
        <v>389</v>
      </c>
      <c r="B433" s="117" t="s">
        <v>881</v>
      </c>
      <c r="C433" s="304" t="s">
        <v>1470</v>
      </c>
      <c r="D433" s="305"/>
      <c r="E433" s="305"/>
      <c r="F433" s="117" t="s">
        <v>1648</v>
      </c>
      <c r="G433" s="116">
        <v>31.597999999999999</v>
      </c>
      <c r="H433" s="159"/>
      <c r="I433" s="108">
        <f t="shared" si="440"/>
        <v>0</v>
      </c>
      <c r="J433" s="108">
        <f t="shared" si="441"/>
        <v>0</v>
      </c>
      <c r="K433" s="108">
        <f t="shared" si="442"/>
        <v>0</v>
      </c>
      <c r="L433" s="111" t="s">
        <v>1671</v>
      </c>
      <c r="Z433" s="100">
        <f t="shared" si="443"/>
        <v>0</v>
      </c>
      <c r="AB433" s="100">
        <f t="shared" si="444"/>
        <v>0</v>
      </c>
      <c r="AC433" s="100">
        <f t="shared" si="445"/>
        <v>0</v>
      </c>
      <c r="AD433" s="100">
        <f t="shared" si="446"/>
        <v>0</v>
      </c>
      <c r="AE433" s="100">
        <f t="shared" si="447"/>
        <v>0</v>
      </c>
      <c r="AF433" s="100">
        <f t="shared" si="448"/>
        <v>0</v>
      </c>
      <c r="AG433" s="100">
        <f t="shared" si="449"/>
        <v>0</v>
      </c>
      <c r="AH433" s="100">
        <f t="shared" si="450"/>
        <v>0</v>
      </c>
      <c r="AI433" s="109"/>
      <c r="AJ433" s="108">
        <f t="shared" si="451"/>
        <v>0</v>
      </c>
      <c r="AK433" s="108">
        <f t="shared" si="452"/>
        <v>0</v>
      </c>
      <c r="AL433" s="108">
        <f t="shared" si="453"/>
        <v>0</v>
      </c>
      <c r="AN433" s="100">
        <v>15</v>
      </c>
      <c r="AO433" s="100">
        <f>H433*0</f>
        <v>0</v>
      </c>
      <c r="AP433" s="100">
        <f>H433*(1-0)</f>
        <v>0</v>
      </c>
      <c r="AQ433" s="111" t="s">
        <v>11</v>
      </c>
      <c r="AV433" s="100">
        <f t="shared" si="454"/>
        <v>0</v>
      </c>
      <c r="AW433" s="100">
        <f t="shared" si="455"/>
        <v>0</v>
      </c>
      <c r="AX433" s="100">
        <f t="shared" si="456"/>
        <v>0</v>
      </c>
      <c r="AY433" s="110" t="s">
        <v>1714</v>
      </c>
      <c r="AZ433" s="110" t="s">
        <v>1734</v>
      </c>
      <c r="BA433" s="109" t="s">
        <v>1737</v>
      </c>
      <c r="BC433" s="100">
        <f t="shared" si="457"/>
        <v>0</v>
      </c>
      <c r="BD433" s="100">
        <f t="shared" si="458"/>
        <v>0</v>
      </c>
      <c r="BE433" s="100">
        <v>0</v>
      </c>
      <c r="BF433" s="100">
        <f>433</f>
        <v>433</v>
      </c>
      <c r="BH433" s="108">
        <f t="shared" si="459"/>
        <v>0</v>
      </c>
      <c r="BI433" s="108">
        <f t="shared" si="460"/>
        <v>0</v>
      </c>
      <c r="BJ433" s="108">
        <f t="shared" si="461"/>
        <v>0</v>
      </c>
    </row>
    <row r="434" spans="1:62" x14ac:dyDescent="0.2">
      <c r="A434" s="119"/>
      <c r="B434" s="120" t="s">
        <v>882</v>
      </c>
      <c r="C434" s="306" t="s">
        <v>1471</v>
      </c>
      <c r="D434" s="307"/>
      <c r="E434" s="307"/>
      <c r="F434" s="119" t="s">
        <v>6</v>
      </c>
      <c r="G434" s="119" t="s">
        <v>6</v>
      </c>
      <c r="H434" s="119" t="s">
        <v>6</v>
      </c>
      <c r="I434" s="118">
        <f>SUM(I435:I454)</f>
        <v>0</v>
      </c>
      <c r="J434" s="118">
        <f>SUM(J435:J454)</f>
        <v>0</v>
      </c>
      <c r="K434" s="118">
        <f>SUM(K435:K454)</f>
        <v>0</v>
      </c>
      <c r="L434" s="109"/>
      <c r="AI434" s="109"/>
      <c r="AS434" s="118">
        <f>SUM(AJ435:AJ454)</f>
        <v>0</v>
      </c>
      <c r="AT434" s="118">
        <f>SUM(AK435:AK454)</f>
        <v>0</v>
      </c>
      <c r="AU434" s="118">
        <f>SUM(AL435:AL454)</f>
        <v>0</v>
      </c>
    </row>
    <row r="435" spans="1:62" x14ac:dyDescent="0.2">
      <c r="A435" s="117" t="s">
        <v>390</v>
      </c>
      <c r="B435" s="117" t="s">
        <v>883</v>
      </c>
      <c r="C435" s="304" t="s">
        <v>1472</v>
      </c>
      <c r="D435" s="305"/>
      <c r="E435" s="305"/>
      <c r="F435" s="117" t="s">
        <v>1645</v>
      </c>
      <c r="G435" s="116">
        <v>344.89400000000001</v>
      </c>
      <c r="H435" s="159"/>
      <c r="I435" s="108">
        <f t="shared" ref="I435:I454" si="462">G435*AO435</f>
        <v>0</v>
      </c>
      <c r="J435" s="108">
        <f t="shared" ref="J435:J454" si="463">G435*AP435</f>
        <v>0</v>
      </c>
      <c r="K435" s="108">
        <f t="shared" ref="K435:K454" si="464">G435*H435</f>
        <v>0</v>
      </c>
      <c r="L435" s="111" t="s">
        <v>1671</v>
      </c>
      <c r="Z435" s="100">
        <f t="shared" ref="Z435:Z454" si="465">IF(AQ435="5",BJ435,0)</f>
        <v>0</v>
      </c>
      <c r="AB435" s="100">
        <f t="shared" ref="AB435:AB454" si="466">IF(AQ435="1",BH435,0)</f>
        <v>0</v>
      </c>
      <c r="AC435" s="100">
        <f t="shared" ref="AC435:AC454" si="467">IF(AQ435="1",BI435,0)</f>
        <v>0</v>
      </c>
      <c r="AD435" s="100">
        <f t="shared" ref="AD435:AD454" si="468">IF(AQ435="7",BH435,0)</f>
        <v>0</v>
      </c>
      <c r="AE435" s="100">
        <f t="shared" ref="AE435:AE454" si="469">IF(AQ435="7",BI435,0)</f>
        <v>0</v>
      </c>
      <c r="AF435" s="100">
        <f t="shared" ref="AF435:AF454" si="470">IF(AQ435="2",BH435,0)</f>
        <v>0</v>
      </c>
      <c r="AG435" s="100">
        <f t="shared" ref="AG435:AG454" si="471">IF(AQ435="2",BI435,0)</f>
        <v>0</v>
      </c>
      <c r="AH435" s="100">
        <f t="shared" ref="AH435:AH454" si="472">IF(AQ435="0",BJ435,0)</f>
        <v>0</v>
      </c>
      <c r="AI435" s="109"/>
      <c r="AJ435" s="108">
        <f t="shared" ref="AJ435:AJ454" si="473">IF(AN435=0,K435,0)</f>
        <v>0</v>
      </c>
      <c r="AK435" s="108">
        <f t="shared" ref="AK435:AK454" si="474">IF(AN435=15,K435,0)</f>
        <v>0</v>
      </c>
      <c r="AL435" s="108">
        <f t="shared" ref="AL435:AL454" si="475">IF(AN435=21,K435,0)</f>
        <v>0</v>
      </c>
      <c r="AN435" s="100">
        <v>15</v>
      </c>
      <c r="AO435" s="100">
        <f>H435*0</f>
        <v>0</v>
      </c>
      <c r="AP435" s="100">
        <f>H435*(1-0)</f>
        <v>0</v>
      </c>
      <c r="AQ435" s="111" t="s">
        <v>13</v>
      </c>
      <c r="AV435" s="100">
        <f t="shared" ref="AV435:AV454" si="476">AW435+AX435</f>
        <v>0</v>
      </c>
      <c r="AW435" s="100">
        <f t="shared" ref="AW435:AW454" si="477">G435*AO435</f>
        <v>0</v>
      </c>
      <c r="AX435" s="100">
        <f t="shared" ref="AX435:AX454" si="478">G435*AP435</f>
        <v>0</v>
      </c>
      <c r="AY435" s="110" t="s">
        <v>1715</v>
      </c>
      <c r="AZ435" s="110" t="s">
        <v>1734</v>
      </c>
      <c r="BA435" s="109" t="s">
        <v>1737</v>
      </c>
      <c r="BC435" s="100">
        <f t="shared" ref="BC435:BC454" si="479">AW435+AX435</f>
        <v>0</v>
      </c>
      <c r="BD435" s="100">
        <f t="shared" ref="BD435:BD454" si="480">H435/(100-BE435)*100</f>
        <v>0</v>
      </c>
      <c r="BE435" s="100">
        <v>0</v>
      </c>
      <c r="BF435" s="100">
        <f>435</f>
        <v>435</v>
      </c>
      <c r="BH435" s="108">
        <f t="shared" ref="BH435:BH454" si="481">G435*AO435</f>
        <v>0</v>
      </c>
      <c r="BI435" s="108">
        <f t="shared" ref="BI435:BI454" si="482">G435*AP435</f>
        <v>0</v>
      </c>
      <c r="BJ435" s="108">
        <f t="shared" ref="BJ435:BJ454" si="483">G435*H435</f>
        <v>0</v>
      </c>
    </row>
    <row r="436" spans="1:62" x14ac:dyDescent="0.2">
      <c r="A436" s="117" t="s">
        <v>391</v>
      </c>
      <c r="B436" s="117" t="s">
        <v>884</v>
      </c>
      <c r="C436" s="304" t="s">
        <v>1473</v>
      </c>
      <c r="D436" s="305"/>
      <c r="E436" s="305"/>
      <c r="F436" s="117" t="s">
        <v>1646</v>
      </c>
      <c r="G436" s="116">
        <v>106</v>
      </c>
      <c r="H436" s="159"/>
      <c r="I436" s="108">
        <f t="shared" si="462"/>
        <v>0</v>
      </c>
      <c r="J436" s="108">
        <f t="shared" si="463"/>
        <v>0</v>
      </c>
      <c r="K436" s="108">
        <f t="shared" si="464"/>
        <v>0</v>
      </c>
      <c r="L436" s="111" t="s">
        <v>1671</v>
      </c>
      <c r="Z436" s="100">
        <f t="shared" si="465"/>
        <v>0</v>
      </c>
      <c r="AB436" s="100">
        <f t="shared" si="466"/>
        <v>0</v>
      </c>
      <c r="AC436" s="100">
        <f t="shared" si="467"/>
        <v>0</v>
      </c>
      <c r="AD436" s="100">
        <f t="shared" si="468"/>
        <v>0</v>
      </c>
      <c r="AE436" s="100">
        <f t="shared" si="469"/>
        <v>0</v>
      </c>
      <c r="AF436" s="100">
        <f t="shared" si="470"/>
        <v>0</v>
      </c>
      <c r="AG436" s="100">
        <f t="shared" si="471"/>
        <v>0</v>
      </c>
      <c r="AH436" s="100">
        <f t="shared" si="472"/>
        <v>0</v>
      </c>
      <c r="AI436" s="109"/>
      <c r="AJ436" s="108">
        <f t="shared" si="473"/>
        <v>0</v>
      </c>
      <c r="AK436" s="108">
        <f t="shared" si="474"/>
        <v>0</v>
      </c>
      <c r="AL436" s="108">
        <f t="shared" si="475"/>
        <v>0</v>
      </c>
      <c r="AN436" s="100">
        <v>15</v>
      </c>
      <c r="AO436" s="100">
        <f>H436*0</f>
        <v>0</v>
      </c>
      <c r="AP436" s="100">
        <f>H436*(1-0)</f>
        <v>0</v>
      </c>
      <c r="AQ436" s="111" t="s">
        <v>13</v>
      </c>
      <c r="AV436" s="100">
        <f t="shared" si="476"/>
        <v>0</v>
      </c>
      <c r="AW436" s="100">
        <f t="shared" si="477"/>
        <v>0</v>
      </c>
      <c r="AX436" s="100">
        <f t="shared" si="478"/>
        <v>0</v>
      </c>
      <c r="AY436" s="110" t="s">
        <v>1715</v>
      </c>
      <c r="AZ436" s="110" t="s">
        <v>1734</v>
      </c>
      <c r="BA436" s="109" t="s">
        <v>1737</v>
      </c>
      <c r="BC436" s="100">
        <f t="shared" si="479"/>
        <v>0</v>
      </c>
      <c r="BD436" s="100">
        <f t="shared" si="480"/>
        <v>0</v>
      </c>
      <c r="BE436" s="100">
        <v>0</v>
      </c>
      <c r="BF436" s="100">
        <f>436</f>
        <v>436</v>
      </c>
      <c r="BH436" s="108">
        <f t="shared" si="481"/>
        <v>0</v>
      </c>
      <c r="BI436" s="108">
        <f t="shared" si="482"/>
        <v>0</v>
      </c>
      <c r="BJ436" s="108">
        <f t="shared" si="483"/>
        <v>0</v>
      </c>
    </row>
    <row r="437" spans="1:62" x14ac:dyDescent="0.2">
      <c r="A437" s="117" t="s">
        <v>392</v>
      </c>
      <c r="B437" s="117" t="s">
        <v>885</v>
      </c>
      <c r="C437" s="304" t="s">
        <v>1474</v>
      </c>
      <c r="D437" s="305"/>
      <c r="E437" s="305"/>
      <c r="F437" s="117" t="s">
        <v>1645</v>
      </c>
      <c r="G437" s="116">
        <v>1.952</v>
      </c>
      <c r="H437" s="159"/>
      <c r="I437" s="108">
        <f t="shared" si="462"/>
        <v>0</v>
      </c>
      <c r="J437" s="108">
        <f t="shared" si="463"/>
        <v>0</v>
      </c>
      <c r="K437" s="108">
        <f t="shared" si="464"/>
        <v>0</v>
      </c>
      <c r="L437" s="111" t="s">
        <v>1671</v>
      </c>
      <c r="Z437" s="100">
        <f t="shared" si="465"/>
        <v>0</v>
      </c>
      <c r="AB437" s="100">
        <f t="shared" si="466"/>
        <v>0</v>
      </c>
      <c r="AC437" s="100">
        <f t="shared" si="467"/>
        <v>0</v>
      </c>
      <c r="AD437" s="100">
        <f t="shared" si="468"/>
        <v>0</v>
      </c>
      <c r="AE437" s="100">
        <f t="shared" si="469"/>
        <v>0</v>
      </c>
      <c r="AF437" s="100">
        <f t="shared" si="470"/>
        <v>0</v>
      </c>
      <c r="AG437" s="100">
        <f t="shared" si="471"/>
        <v>0</v>
      </c>
      <c r="AH437" s="100">
        <f t="shared" si="472"/>
        <v>0</v>
      </c>
      <c r="AI437" s="109"/>
      <c r="AJ437" s="108">
        <f t="shared" si="473"/>
        <v>0</v>
      </c>
      <c r="AK437" s="108">
        <f t="shared" si="474"/>
        <v>0</v>
      </c>
      <c r="AL437" s="108">
        <f t="shared" si="475"/>
        <v>0</v>
      </c>
      <c r="AN437" s="100">
        <v>15</v>
      </c>
      <c r="AO437" s="100">
        <f>H437*0</f>
        <v>0</v>
      </c>
      <c r="AP437" s="100">
        <f>H437*(1-0)</f>
        <v>0</v>
      </c>
      <c r="AQ437" s="111" t="s">
        <v>13</v>
      </c>
      <c r="AV437" s="100">
        <f t="shared" si="476"/>
        <v>0</v>
      </c>
      <c r="AW437" s="100">
        <f t="shared" si="477"/>
        <v>0</v>
      </c>
      <c r="AX437" s="100">
        <f t="shared" si="478"/>
        <v>0</v>
      </c>
      <c r="AY437" s="110" t="s">
        <v>1715</v>
      </c>
      <c r="AZ437" s="110" t="s">
        <v>1734</v>
      </c>
      <c r="BA437" s="109" t="s">
        <v>1737</v>
      </c>
      <c r="BC437" s="100">
        <f t="shared" si="479"/>
        <v>0</v>
      </c>
      <c r="BD437" s="100">
        <f t="shared" si="480"/>
        <v>0</v>
      </c>
      <c r="BE437" s="100">
        <v>0</v>
      </c>
      <c r="BF437" s="100">
        <f>437</f>
        <v>437</v>
      </c>
      <c r="BH437" s="108">
        <f t="shared" si="481"/>
        <v>0</v>
      </c>
      <c r="BI437" s="108">
        <f t="shared" si="482"/>
        <v>0</v>
      </c>
      <c r="BJ437" s="108">
        <f t="shared" si="483"/>
        <v>0</v>
      </c>
    </row>
    <row r="438" spans="1:62" x14ac:dyDescent="0.2">
      <c r="A438" s="117" t="s">
        <v>393</v>
      </c>
      <c r="B438" s="117" t="s">
        <v>886</v>
      </c>
      <c r="C438" s="304" t="s">
        <v>1475</v>
      </c>
      <c r="D438" s="305"/>
      <c r="E438" s="305"/>
      <c r="F438" s="117" t="s">
        <v>1646</v>
      </c>
      <c r="G438" s="116">
        <v>62.5</v>
      </c>
      <c r="H438" s="159"/>
      <c r="I438" s="108">
        <f t="shared" si="462"/>
        <v>0</v>
      </c>
      <c r="J438" s="108">
        <f t="shared" si="463"/>
        <v>0</v>
      </c>
      <c r="K438" s="108">
        <f t="shared" si="464"/>
        <v>0</v>
      </c>
      <c r="L438" s="111" t="s">
        <v>1671</v>
      </c>
      <c r="Z438" s="100">
        <f t="shared" si="465"/>
        <v>0</v>
      </c>
      <c r="AB438" s="100">
        <f t="shared" si="466"/>
        <v>0</v>
      </c>
      <c r="AC438" s="100">
        <f t="shared" si="467"/>
        <v>0</v>
      </c>
      <c r="AD438" s="100">
        <f t="shared" si="468"/>
        <v>0</v>
      </c>
      <c r="AE438" s="100">
        <f t="shared" si="469"/>
        <v>0</v>
      </c>
      <c r="AF438" s="100">
        <f t="shared" si="470"/>
        <v>0</v>
      </c>
      <c r="AG438" s="100">
        <f t="shared" si="471"/>
        <v>0</v>
      </c>
      <c r="AH438" s="100">
        <f t="shared" si="472"/>
        <v>0</v>
      </c>
      <c r="AI438" s="109"/>
      <c r="AJ438" s="108">
        <f t="shared" si="473"/>
        <v>0</v>
      </c>
      <c r="AK438" s="108">
        <f t="shared" si="474"/>
        <v>0</v>
      </c>
      <c r="AL438" s="108">
        <f t="shared" si="475"/>
        <v>0</v>
      </c>
      <c r="AN438" s="100">
        <v>15</v>
      </c>
      <c r="AO438" s="100">
        <f>H438*0</f>
        <v>0</v>
      </c>
      <c r="AP438" s="100">
        <f>H438*(1-0)</f>
        <v>0</v>
      </c>
      <c r="AQ438" s="111" t="s">
        <v>13</v>
      </c>
      <c r="AV438" s="100">
        <f t="shared" si="476"/>
        <v>0</v>
      </c>
      <c r="AW438" s="100">
        <f t="shared" si="477"/>
        <v>0</v>
      </c>
      <c r="AX438" s="100">
        <f t="shared" si="478"/>
        <v>0</v>
      </c>
      <c r="AY438" s="110" t="s">
        <v>1715</v>
      </c>
      <c r="AZ438" s="110" t="s">
        <v>1734</v>
      </c>
      <c r="BA438" s="109" t="s">
        <v>1737</v>
      </c>
      <c r="BC438" s="100">
        <f t="shared" si="479"/>
        <v>0</v>
      </c>
      <c r="BD438" s="100">
        <f t="shared" si="480"/>
        <v>0</v>
      </c>
      <c r="BE438" s="100">
        <v>0</v>
      </c>
      <c r="BF438" s="100">
        <f>438</f>
        <v>438</v>
      </c>
      <c r="BH438" s="108">
        <f t="shared" si="481"/>
        <v>0</v>
      </c>
      <c r="BI438" s="108">
        <f t="shared" si="482"/>
        <v>0</v>
      </c>
      <c r="BJ438" s="108">
        <f t="shared" si="483"/>
        <v>0</v>
      </c>
    </row>
    <row r="439" spans="1:62" x14ac:dyDescent="0.2">
      <c r="A439" s="117" t="s">
        <v>394</v>
      </c>
      <c r="B439" s="117" t="s">
        <v>887</v>
      </c>
      <c r="C439" s="304" t="s">
        <v>1476</v>
      </c>
      <c r="D439" s="305"/>
      <c r="E439" s="305"/>
      <c r="F439" s="117" t="s">
        <v>1644</v>
      </c>
      <c r="G439" s="116">
        <v>4</v>
      </c>
      <c r="H439" s="162"/>
      <c r="I439" s="108">
        <f t="shared" si="462"/>
        <v>0</v>
      </c>
      <c r="J439" s="108">
        <f t="shared" si="463"/>
        <v>0</v>
      </c>
      <c r="K439" s="108">
        <f t="shared" si="464"/>
        <v>0</v>
      </c>
      <c r="L439" s="111" t="s">
        <v>1671</v>
      </c>
      <c r="Z439" s="100">
        <f t="shared" si="465"/>
        <v>0</v>
      </c>
      <c r="AB439" s="100">
        <f t="shared" si="466"/>
        <v>0</v>
      </c>
      <c r="AC439" s="100">
        <f t="shared" si="467"/>
        <v>0</v>
      </c>
      <c r="AD439" s="100">
        <f t="shared" si="468"/>
        <v>0</v>
      </c>
      <c r="AE439" s="100">
        <f t="shared" si="469"/>
        <v>0</v>
      </c>
      <c r="AF439" s="100">
        <f t="shared" si="470"/>
        <v>0</v>
      </c>
      <c r="AG439" s="100">
        <f t="shared" si="471"/>
        <v>0</v>
      </c>
      <c r="AH439" s="100">
        <f t="shared" si="472"/>
        <v>0</v>
      </c>
      <c r="AI439" s="109"/>
      <c r="AJ439" s="108">
        <f t="shared" si="473"/>
        <v>0</v>
      </c>
      <c r="AK439" s="108">
        <f t="shared" si="474"/>
        <v>0</v>
      </c>
      <c r="AL439" s="108">
        <f t="shared" si="475"/>
        <v>0</v>
      </c>
      <c r="AN439" s="100">
        <v>15</v>
      </c>
      <c r="AO439" s="100">
        <f>H439*0</f>
        <v>0</v>
      </c>
      <c r="AP439" s="100">
        <f>H439*(1-0)</f>
        <v>0</v>
      </c>
      <c r="AQ439" s="111" t="s">
        <v>13</v>
      </c>
      <c r="AV439" s="100">
        <f t="shared" si="476"/>
        <v>0</v>
      </c>
      <c r="AW439" s="100">
        <f t="shared" si="477"/>
        <v>0</v>
      </c>
      <c r="AX439" s="100">
        <f t="shared" si="478"/>
        <v>0</v>
      </c>
      <c r="AY439" s="110" t="s">
        <v>1715</v>
      </c>
      <c r="AZ439" s="110" t="s">
        <v>1734</v>
      </c>
      <c r="BA439" s="109" t="s">
        <v>1737</v>
      </c>
      <c r="BC439" s="100">
        <f t="shared" si="479"/>
        <v>0</v>
      </c>
      <c r="BD439" s="100">
        <f t="shared" si="480"/>
        <v>0</v>
      </c>
      <c r="BE439" s="100">
        <v>0</v>
      </c>
      <c r="BF439" s="100">
        <f>439</f>
        <v>439</v>
      </c>
      <c r="BH439" s="108">
        <f t="shared" si="481"/>
        <v>0</v>
      </c>
      <c r="BI439" s="108">
        <f t="shared" si="482"/>
        <v>0</v>
      </c>
      <c r="BJ439" s="108">
        <f t="shared" si="483"/>
        <v>0</v>
      </c>
    </row>
    <row r="440" spans="1:62" x14ac:dyDescent="0.2">
      <c r="A440" s="117" t="s">
        <v>395</v>
      </c>
      <c r="B440" s="117" t="s">
        <v>888</v>
      </c>
      <c r="C440" s="304" t="s">
        <v>1477</v>
      </c>
      <c r="D440" s="305"/>
      <c r="E440" s="305"/>
      <c r="F440" s="117" t="s">
        <v>1644</v>
      </c>
      <c r="G440" s="116">
        <v>1</v>
      </c>
      <c r="H440" s="159"/>
      <c r="I440" s="108">
        <f t="shared" si="462"/>
        <v>0</v>
      </c>
      <c r="J440" s="108">
        <f t="shared" si="463"/>
        <v>0</v>
      </c>
      <c r="K440" s="108">
        <f t="shared" si="464"/>
        <v>0</v>
      </c>
      <c r="L440" s="111" t="s">
        <v>1671</v>
      </c>
      <c r="Z440" s="100">
        <f t="shared" si="465"/>
        <v>0</v>
      </c>
      <c r="AB440" s="100">
        <f t="shared" si="466"/>
        <v>0</v>
      </c>
      <c r="AC440" s="100">
        <f t="shared" si="467"/>
        <v>0</v>
      </c>
      <c r="AD440" s="100">
        <f t="shared" si="468"/>
        <v>0</v>
      </c>
      <c r="AE440" s="100">
        <f t="shared" si="469"/>
        <v>0</v>
      </c>
      <c r="AF440" s="100">
        <f t="shared" si="470"/>
        <v>0</v>
      </c>
      <c r="AG440" s="100">
        <f t="shared" si="471"/>
        <v>0</v>
      </c>
      <c r="AH440" s="100">
        <f t="shared" si="472"/>
        <v>0</v>
      </c>
      <c r="AI440" s="109"/>
      <c r="AJ440" s="108">
        <f t="shared" si="473"/>
        <v>0</v>
      </c>
      <c r="AK440" s="108">
        <f t="shared" si="474"/>
        <v>0</v>
      </c>
      <c r="AL440" s="108">
        <f t="shared" si="475"/>
        <v>0</v>
      </c>
      <c r="AN440" s="100">
        <v>15</v>
      </c>
      <c r="AO440" s="100">
        <f>H440*0.270879136690647</f>
        <v>0</v>
      </c>
      <c r="AP440" s="100">
        <f>H440*(1-0.270879136690647)</f>
        <v>0</v>
      </c>
      <c r="AQ440" s="111" t="s">
        <v>13</v>
      </c>
      <c r="AV440" s="100">
        <f t="shared" si="476"/>
        <v>0</v>
      </c>
      <c r="AW440" s="100">
        <f t="shared" si="477"/>
        <v>0</v>
      </c>
      <c r="AX440" s="100">
        <f t="shared" si="478"/>
        <v>0</v>
      </c>
      <c r="AY440" s="110" t="s">
        <v>1715</v>
      </c>
      <c r="AZ440" s="110" t="s">
        <v>1734</v>
      </c>
      <c r="BA440" s="109" t="s">
        <v>1737</v>
      </c>
      <c r="BC440" s="100">
        <f t="shared" si="479"/>
        <v>0</v>
      </c>
      <c r="BD440" s="100">
        <f t="shared" si="480"/>
        <v>0</v>
      </c>
      <c r="BE440" s="100">
        <v>0</v>
      </c>
      <c r="BF440" s="100">
        <f>440</f>
        <v>440</v>
      </c>
      <c r="BH440" s="108">
        <f t="shared" si="481"/>
        <v>0</v>
      </c>
      <c r="BI440" s="108">
        <f t="shared" si="482"/>
        <v>0</v>
      </c>
      <c r="BJ440" s="108">
        <f t="shared" si="483"/>
        <v>0</v>
      </c>
    </row>
    <row r="441" spans="1:62" x14ac:dyDescent="0.2">
      <c r="A441" s="117" t="s">
        <v>396</v>
      </c>
      <c r="B441" s="117" t="s">
        <v>889</v>
      </c>
      <c r="C441" s="304" t="s">
        <v>1478</v>
      </c>
      <c r="D441" s="305"/>
      <c r="E441" s="305"/>
      <c r="F441" s="117" t="s">
        <v>1646</v>
      </c>
      <c r="G441" s="116">
        <v>47</v>
      </c>
      <c r="H441" s="159"/>
      <c r="I441" s="108">
        <f t="shared" si="462"/>
        <v>0</v>
      </c>
      <c r="J441" s="108">
        <f t="shared" si="463"/>
        <v>0</v>
      </c>
      <c r="K441" s="108">
        <f t="shared" si="464"/>
        <v>0</v>
      </c>
      <c r="L441" s="111" t="s">
        <v>1671</v>
      </c>
      <c r="Z441" s="100">
        <f t="shared" si="465"/>
        <v>0</v>
      </c>
      <c r="AB441" s="100">
        <f t="shared" si="466"/>
        <v>0</v>
      </c>
      <c r="AC441" s="100">
        <f t="shared" si="467"/>
        <v>0</v>
      </c>
      <c r="AD441" s="100">
        <f t="shared" si="468"/>
        <v>0</v>
      </c>
      <c r="AE441" s="100">
        <f t="shared" si="469"/>
        <v>0</v>
      </c>
      <c r="AF441" s="100">
        <f t="shared" si="470"/>
        <v>0</v>
      </c>
      <c r="AG441" s="100">
        <f t="shared" si="471"/>
        <v>0</v>
      </c>
      <c r="AH441" s="100">
        <f t="shared" si="472"/>
        <v>0</v>
      </c>
      <c r="AI441" s="109"/>
      <c r="AJ441" s="108">
        <f t="shared" si="473"/>
        <v>0</v>
      </c>
      <c r="AK441" s="108">
        <f t="shared" si="474"/>
        <v>0</v>
      </c>
      <c r="AL441" s="108">
        <f t="shared" si="475"/>
        <v>0</v>
      </c>
      <c r="AN441" s="100">
        <v>15</v>
      </c>
      <c r="AO441" s="100">
        <f>H441*0.281701361941195</f>
        <v>0</v>
      </c>
      <c r="AP441" s="100">
        <f>H441*(1-0.281701361941195)</f>
        <v>0</v>
      </c>
      <c r="AQ441" s="111" t="s">
        <v>13</v>
      </c>
      <c r="AV441" s="100">
        <f t="shared" si="476"/>
        <v>0</v>
      </c>
      <c r="AW441" s="100">
        <f t="shared" si="477"/>
        <v>0</v>
      </c>
      <c r="AX441" s="100">
        <f t="shared" si="478"/>
        <v>0</v>
      </c>
      <c r="AY441" s="110" t="s">
        <v>1715</v>
      </c>
      <c r="AZ441" s="110" t="s">
        <v>1734</v>
      </c>
      <c r="BA441" s="109" t="s">
        <v>1737</v>
      </c>
      <c r="BC441" s="100">
        <f t="shared" si="479"/>
        <v>0</v>
      </c>
      <c r="BD441" s="100">
        <f t="shared" si="480"/>
        <v>0</v>
      </c>
      <c r="BE441" s="100">
        <v>0</v>
      </c>
      <c r="BF441" s="100">
        <f>441</f>
        <v>441</v>
      </c>
      <c r="BH441" s="108">
        <f t="shared" si="481"/>
        <v>0</v>
      </c>
      <c r="BI441" s="108">
        <f t="shared" si="482"/>
        <v>0</v>
      </c>
      <c r="BJ441" s="108">
        <f t="shared" si="483"/>
        <v>0</v>
      </c>
    </row>
    <row r="442" spans="1:62" x14ac:dyDescent="0.2">
      <c r="A442" s="117" t="s">
        <v>397</v>
      </c>
      <c r="B442" s="117" t="s">
        <v>890</v>
      </c>
      <c r="C442" s="304" t="s">
        <v>1479</v>
      </c>
      <c r="D442" s="305"/>
      <c r="E442" s="305"/>
      <c r="F442" s="117" t="s">
        <v>1646</v>
      </c>
      <c r="G442" s="116">
        <v>18</v>
      </c>
      <c r="H442" s="159"/>
      <c r="I442" s="108">
        <f t="shared" si="462"/>
        <v>0</v>
      </c>
      <c r="J442" s="108">
        <f t="shared" si="463"/>
        <v>0</v>
      </c>
      <c r="K442" s="108">
        <f t="shared" si="464"/>
        <v>0</v>
      </c>
      <c r="L442" s="111" t="s">
        <v>1671</v>
      </c>
      <c r="Z442" s="100">
        <f t="shared" si="465"/>
        <v>0</v>
      </c>
      <c r="AB442" s="100">
        <f t="shared" si="466"/>
        <v>0</v>
      </c>
      <c r="AC442" s="100">
        <f t="shared" si="467"/>
        <v>0</v>
      </c>
      <c r="AD442" s="100">
        <f t="shared" si="468"/>
        <v>0</v>
      </c>
      <c r="AE442" s="100">
        <f t="shared" si="469"/>
        <v>0</v>
      </c>
      <c r="AF442" s="100">
        <f t="shared" si="470"/>
        <v>0</v>
      </c>
      <c r="AG442" s="100">
        <f t="shared" si="471"/>
        <v>0</v>
      </c>
      <c r="AH442" s="100">
        <f t="shared" si="472"/>
        <v>0</v>
      </c>
      <c r="AI442" s="109"/>
      <c r="AJ442" s="108">
        <f t="shared" si="473"/>
        <v>0</v>
      </c>
      <c r="AK442" s="108">
        <f t="shared" si="474"/>
        <v>0</v>
      </c>
      <c r="AL442" s="108">
        <f t="shared" si="475"/>
        <v>0</v>
      </c>
      <c r="AN442" s="100">
        <v>15</v>
      </c>
      <c r="AO442" s="100">
        <f>H442*0.31016318537859</f>
        <v>0</v>
      </c>
      <c r="AP442" s="100">
        <f>H442*(1-0.31016318537859)</f>
        <v>0</v>
      </c>
      <c r="AQ442" s="111" t="s">
        <v>13</v>
      </c>
      <c r="AV442" s="100">
        <f t="shared" si="476"/>
        <v>0</v>
      </c>
      <c r="AW442" s="100">
        <f t="shared" si="477"/>
        <v>0</v>
      </c>
      <c r="AX442" s="100">
        <f t="shared" si="478"/>
        <v>0</v>
      </c>
      <c r="AY442" s="110" t="s">
        <v>1715</v>
      </c>
      <c r="AZ442" s="110" t="s">
        <v>1734</v>
      </c>
      <c r="BA442" s="109" t="s">
        <v>1737</v>
      </c>
      <c r="BC442" s="100">
        <f t="shared" si="479"/>
        <v>0</v>
      </c>
      <c r="BD442" s="100">
        <f t="shared" si="480"/>
        <v>0</v>
      </c>
      <c r="BE442" s="100">
        <v>0</v>
      </c>
      <c r="BF442" s="100">
        <f>442</f>
        <v>442</v>
      </c>
      <c r="BH442" s="108">
        <f t="shared" si="481"/>
        <v>0</v>
      </c>
      <c r="BI442" s="108">
        <f t="shared" si="482"/>
        <v>0</v>
      </c>
      <c r="BJ442" s="108">
        <f t="shared" si="483"/>
        <v>0</v>
      </c>
    </row>
    <row r="443" spans="1:62" x14ac:dyDescent="0.2">
      <c r="A443" s="117" t="s">
        <v>398</v>
      </c>
      <c r="B443" s="117" t="s">
        <v>891</v>
      </c>
      <c r="C443" s="304" t="s">
        <v>1480</v>
      </c>
      <c r="D443" s="305"/>
      <c r="E443" s="305"/>
      <c r="F443" s="117" t="s">
        <v>1646</v>
      </c>
      <c r="G443" s="116">
        <v>65.004999999999995</v>
      </c>
      <c r="H443" s="159"/>
      <c r="I443" s="108">
        <f t="shared" si="462"/>
        <v>0</v>
      </c>
      <c r="J443" s="108">
        <f t="shared" si="463"/>
        <v>0</v>
      </c>
      <c r="K443" s="108">
        <f t="shared" si="464"/>
        <v>0</v>
      </c>
      <c r="L443" s="111" t="s">
        <v>1671</v>
      </c>
      <c r="Z443" s="100">
        <f t="shared" si="465"/>
        <v>0</v>
      </c>
      <c r="AB443" s="100">
        <f t="shared" si="466"/>
        <v>0</v>
      </c>
      <c r="AC443" s="100">
        <f t="shared" si="467"/>
        <v>0</v>
      </c>
      <c r="AD443" s="100">
        <f t="shared" si="468"/>
        <v>0</v>
      </c>
      <c r="AE443" s="100">
        <f t="shared" si="469"/>
        <v>0</v>
      </c>
      <c r="AF443" s="100">
        <f t="shared" si="470"/>
        <v>0</v>
      </c>
      <c r="AG443" s="100">
        <f t="shared" si="471"/>
        <v>0</v>
      </c>
      <c r="AH443" s="100">
        <f t="shared" si="472"/>
        <v>0</v>
      </c>
      <c r="AI443" s="109"/>
      <c r="AJ443" s="108">
        <f t="shared" si="473"/>
        <v>0</v>
      </c>
      <c r="AK443" s="108">
        <f t="shared" si="474"/>
        <v>0</v>
      </c>
      <c r="AL443" s="108">
        <f t="shared" si="475"/>
        <v>0</v>
      </c>
      <c r="AN443" s="100">
        <v>15</v>
      </c>
      <c r="AO443" s="100">
        <f>H443*0</f>
        <v>0</v>
      </c>
      <c r="AP443" s="100">
        <f>H443*(1-0)</f>
        <v>0</v>
      </c>
      <c r="AQ443" s="111" t="s">
        <v>13</v>
      </c>
      <c r="AV443" s="100">
        <f t="shared" si="476"/>
        <v>0</v>
      </c>
      <c r="AW443" s="100">
        <f t="shared" si="477"/>
        <v>0</v>
      </c>
      <c r="AX443" s="100">
        <f t="shared" si="478"/>
        <v>0</v>
      </c>
      <c r="AY443" s="110" t="s">
        <v>1715</v>
      </c>
      <c r="AZ443" s="110" t="s">
        <v>1734</v>
      </c>
      <c r="BA443" s="109" t="s">
        <v>1737</v>
      </c>
      <c r="BC443" s="100">
        <f t="shared" si="479"/>
        <v>0</v>
      </c>
      <c r="BD443" s="100">
        <f t="shared" si="480"/>
        <v>0</v>
      </c>
      <c r="BE443" s="100">
        <v>0</v>
      </c>
      <c r="BF443" s="100">
        <f>443</f>
        <v>443</v>
      </c>
      <c r="BH443" s="108">
        <f t="shared" si="481"/>
        <v>0</v>
      </c>
      <c r="BI443" s="108">
        <f t="shared" si="482"/>
        <v>0</v>
      </c>
      <c r="BJ443" s="108">
        <f t="shared" si="483"/>
        <v>0</v>
      </c>
    </row>
    <row r="444" spans="1:62" x14ac:dyDescent="0.2">
      <c r="A444" s="117" t="s">
        <v>399</v>
      </c>
      <c r="B444" s="117" t="s">
        <v>892</v>
      </c>
      <c r="C444" s="304" t="s">
        <v>1481</v>
      </c>
      <c r="D444" s="305"/>
      <c r="E444" s="305"/>
      <c r="F444" s="117" t="s">
        <v>1646</v>
      </c>
      <c r="G444" s="116">
        <v>31</v>
      </c>
      <c r="H444" s="159"/>
      <c r="I444" s="108">
        <f t="shared" si="462"/>
        <v>0</v>
      </c>
      <c r="J444" s="108">
        <f t="shared" si="463"/>
        <v>0</v>
      </c>
      <c r="K444" s="108">
        <f t="shared" si="464"/>
        <v>0</v>
      </c>
      <c r="L444" s="111" t="s">
        <v>1671</v>
      </c>
      <c r="Z444" s="100">
        <f t="shared" si="465"/>
        <v>0</v>
      </c>
      <c r="AB444" s="100">
        <f t="shared" si="466"/>
        <v>0</v>
      </c>
      <c r="AC444" s="100">
        <f t="shared" si="467"/>
        <v>0</v>
      </c>
      <c r="AD444" s="100">
        <f t="shared" si="468"/>
        <v>0</v>
      </c>
      <c r="AE444" s="100">
        <f t="shared" si="469"/>
        <v>0</v>
      </c>
      <c r="AF444" s="100">
        <f t="shared" si="470"/>
        <v>0</v>
      </c>
      <c r="AG444" s="100">
        <f t="shared" si="471"/>
        <v>0</v>
      </c>
      <c r="AH444" s="100">
        <f t="shared" si="472"/>
        <v>0</v>
      </c>
      <c r="AI444" s="109"/>
      <c r="AJ444" s="108">
        <f t="shared" si="473"/>
        <v>0</v>
      </c>
      <c r="AK444" s="108">
        <f t="shared" si="474"/>
        <v>0</v>
      </c>
      <c r="AL444" s="108">
        <f t="shared" si="475"/>
        <v>0</v>
      </c>
      <c r="AN444" s="100">
        <v>15</v>
      </c>
      <c r="AO444" s="100">
        <f>H444*0</f>
        <v>0</v>
      </c>
      <c r="AP444" s="100">
        <f>H444*(1-0)</f>
        <v>0</v>
      </c>
      <c r="AQ444" s="111" t="s">
        <v>13</v>
      </c>
      <c r="AV444" s="100">
        <f t="shared" si="476"/>
        <v>0</v>
      </c>
      <c r="AW444" s="100">
        <f t="shared" si="477"/>
        <v>0</v>
      </c>
      <c r="AX444" s="100">
        <f t="shared" si="478"/>
        <v>0</v>
      </c>
      <c r="AY444" s="110" t="s">
        <v>1715</v>
      </c>
      <c r="AZ444" s="110" t="s">
        <v>1734</v>
      </c>
      <c r="BA444" s="109" t="s">
        <v>1737</v>
      </c>
      <c r="BC444" s="100">
        <f t="shared" si="479"/>
        <v>0</v>
      </c>
      <c r="BD444" s="100">
        <f t="shared" si="480"/>
        <v>0</v>
      </c>
      <c r="BE444" s="100">
        <v>0</v>
      </c>
      <c r="BF444" s="100">
        <f>444</f>
        <v>444</v>
      </c>
      <c r="BH444" s="108">
        <f t="shared" si="481"/>
        <v>0</v>
      </c>
      <c r="BI444" s="108">
        <f t="shared" si="482"/>
        <v>0</v>
      </c>
      <c r="BJ444" s="108">
        <f t="shared" si="483"/>
        <v>0</v>
      </c>
    </row>
    <row r="445" spans="1:62" x14ac:dyDescent="0.2">
      <c r="A445" s="117" t="s">
        <v>400</v>
      </c>
      <c r="B445" s="117" t="s">
        <v>893</v>
      </c>
      <c r="C445" s="304" t="s">
        <v>1482</v>
      </c>
      <c r="D445" s="305"/>
      <c r="E445" s="305"/>
      <c r="F445" s="117" t="s">
        <v>1646</v>
      </c>
      <c r="G445" s="116">
        <v>62.5</v>
      </c>
      <c r="H445" s="159"/>
      <c r="I445" s="108">
        <f t="shared" si="462"/>
        <v>0</v>
      </c>
      <c r="J445" s="108">
        <f t="shared" si="463"/>
        <v>0</v>
      </c>
      <c r="K445" s="108">
        <f t="shared" si="464"/>
        <v>0</v>
      </c>
      <c r="L445" s="111" t="s">
        <v>1671</v>
      </c>
      <c r="Z445" s="100">
        <f t="shared" si="465"/>
        <v>0</v>
      </c>
      <c r="AB445" s="100">
        <f t="shared" si="466"/>
        <v>0</v>
      </c>
      <c r="AC445" s="100">
        <f t="shared" si="467"/>
        <v>0</v>
      </c>
      <c r="AD445" s="100">
        <f t="shared" si="468"/>
        <v>0</v>
      </c>
      <c r="AE445" s="100">
        <f t="shared" si="469"/>
        <v>0</v>
      </c>
      <c r="AF445" s="100">
        <f t="shared" si="470"/>
        <v>0</v>
      </c>
      <c r="AG445" s="100">
        <f t="shared" si="471"/>
        <v>0</v>
      </c>
      <c r="AH445" s="100">
        <f t="shared" si="472"/>
        <v>0</v>
      </c>
      <c r="AI445" s="109"/>
      <c r="AJ445" s="108">
        <f t="shared" si="473"/>
        <v>0</v>
      </c>
      <c r="AK445" s="108">
        <f t="shared" si="474"/>
        <v>0</v>
      </c>
      <c r="AL445" s="108">
        <f t="shared" si="475"/>
        <v>0</v>
      </c>
      <c r="AN445" s="100">
        <v>15</v>
      </c>
      <c r="AO445" s="100">
        <f>H445*0.603371428571429</f>
        <v>0</v>
      </c>
      <c r="AP445" s="100">
        <f>H445*(1-0.603371428571429)</f>
        <v>0</v>
      </c>
      <c r="AQ445" s="111" t="s">
        <v>13</v>
      </c>
      <c r="AV445" s="100">
        <f t="shared" si="476"/>
        <v>0</v>
      </c>
      <c r="AW445" s="100">
        <f t="shared" si="477"/>
        <v>0</v>
      </c>
      <c r="AX445" s="100">
        <f t="shared" si="478"/>
        <v>0</v>
      </c>
      <c r="AY445" s="110" t="s">
        <v>1715</v>
      </c>
      <c r="AZ445" s="110" t="s">
        <v>1734</v>
      </c>
      <c r="BA445" s="109" t="s">
        <v>1737</v>
      </c>
      <c r="BC445" s="100">
        <f t="shared" si="479"/>
        <v>0</v>
      </c>
      <c r="BD445" s="100">
        <f t="shared" si="480"/>
        <v>0</v>
      </c>
      <c r="BE445" s="100">
        <v>0</v>
      </c>
      <c r="BF445" s="100">
        <f>445</f>
        <v>445</v>
      </c>
      <c r="BH445" s="108">
        <f t="shared" si="481"/>
        <v>0</v>
      </c>
      <c r="BI445" s="108">
        <f t="shared" si="482"/>
        <v>0</v>
      </c>
      <c r="BJ445" s="108">
        <f t="shared" si="483"/>
        <v>0</v>
      </c>
    </row>
    <row r="446" spans="1:62" x14ac:dyDescent="0.2">
      <c r="A446" s="117" t="s">
        <v>401</v>
      </c>
      <c r="B446" s="117" t="s">
        <v>894</v>
      </c>
      <c r="C446" s="304" t="s">
        <v>1483</v>
      </c>
      <c r="D446" s="305"/>
      <c r="E446" s="305"/>
      <c r="F446" s="117" t="s">
        <v>1644</v>
      </c>
      <c r="G446" s="116">
        <v>4</v>
      </c>
      <c r="H446" s="159"/>
      <c r="I446" s="108">
        <f t="shared" si="462"/>
        <v>0</v>
      </c>
      <c r="J446" s="108">
        <f t="shared" si="463"/>
        <v>0</v>
      </c>
      <c r="K446" s="108">
        <f t="shared" si="464"/>
        <v>0</v>
      </c>
      <c r="L446" s="111" t="s">
        <v>1671</v>
      </c>
      <c r="Z446" s="100">
        <f t="shared" si="465"/>
        <v>0</v>
      </c>
      <c r="AB446" s="100">
        <f t="shared" si="466"/>
        <v>0</v>
      </c>
      <c r="AC446" s="100">
        <f t="shared" si="467"/>
        <v>0</v>
      </c>
      <c r="AD446" s="100">
        <f t="shared" si="468"/>
        <v>0</v>
      </c>
      <c r="AE446" s="100">
        <f t="shared" si="469"/>
        <v>0</v>
      </c>
      <c r="AF446" s="100">
        <f t="shared" si="470"/>
        <v>0</v>
      </c>
      <c r="AG446" s="100">
        <f t="shared" si="471"/>
        <v>0</v>
      </c>
      <c r="AH446" s="100">
        <f t="shared" si="472"/>
        <v>0</v>
      </c>
      <c r="AI446" s="109"/>
      <c r="AJ446" s="108">
        <f t="shared" si="473"/>
        <v>0</v>
      </c>
      <c r="AK446" s="108">
        <f t="shared" si="474"/>
        <v>0</v>
      </c>
      <c r="AL446" s="108">
        <f t="shared" si="475"/>
        <v>0</v>
      </c>
      <c r="AN446" s="100">
        <v>15</v>
      </c>
      <c r="AO446" s="100">
        <f>H446*0.568224852071006</f>
        <v>0</v>
      </c>
      <c r="AP446" s="100">
        <f>H446*(1-0.568224852071006)</f>
        <v>0</v>
      </c>
      <c r="AQ446" s="111" t="s">
        <v>13</v>
      </c>
      <c r="AV446" s="100">
        <f t="shared" si="476"/>
        <v>0</v>
      </c>
      <c r="AW446" s="100">
        <f t="shared" si="477"/>
        <v>0</v>
      </c>
      <c r="AX446" s="100">
        <f t="shared" si="478"/>
        <v>0</v>
      </c>
      <c r="AY446" s="110" t="s">
        <v>1715</v>
      </c>
      <c r="AZ446" s="110" t="s">
        <v>1734</v>
      </c>
      <c r="BA446" s="109" t="s">
        <v>1737</v>
      </c>
      <c r="BC446" s="100">
        <f t="shared" si="479"/>
        <v>0</v>
      </c>
      <c r="BD446" s="100">
        <f t="shared" si="480"/>
        <v>0</v>
      </c>
      <c r="BE446" s="100">
        <v>0</v>
      </c>
      <c r="BF446" s="100">
        <f>446</f>
        <v>446</v>
      </c>
      <c r="BH446" s="108">
        <f t="shared" si="481"/>
        <v>0</v>
      </c>
      <c r="BI446" s="108">
        <f t="shared" si="482"/>
        <v>0</v>
      </c>
      <c r="BJ446" s="108">
        <f t="shared" si="483"/>
        <v>0</v>
      </c>
    </row>
    <row r="447" spans="1:62" x14ac:dyDescent="0.2">
      <c r="A447" s="117" t="s">
        <v>402</v>
      </c>
      <c r="B447" s="117" t="s">
        <v>895</v>
      </c>
      <c r="C447" s="304" t="s">
        <v>1484</v>
      </c>
      <c r="D447" s="305"/>
      <c r="E447" s="305"/>
      <c r="F447" s="117" t="s">
        <v>1646</v>
      </c>
      <c r="G447" s="116">
        <v>31</v>
      </c>
      <c r="H447" s="159"/>
      <c r="I447" s="108">
        <f t="shared" si="462"/>
        <v>0</v>
      </c>
      <c r="J447" s="108">
        <f t="shared" si="463"/>
        <v>0</v>
      </c>
      <c r="K447" s="108">
        <f t="shared" si="464"/>
        <v>0</v>
      </c>
      <c r="L447" s="111" t="s">
        <v>1671</v>
      </c>
      <c r="Z447" s="100">
        <f t="shared" si="465"/>
        <v>0</v>
      </c>
      <c r="AB447" s="100">
        <f t="shared" si="466"/>
        <v>0</v>
      </c>
      <c r="AC447" s="100">
        <f t="shared" si="467"/>
        <v>0</v>
      </c>
      <c r="AD447" s="100">
        <f t="shared" si="468"/>
        <v>0</v>
      </c>
      <c r="AE447" s="100">
        <f t="shared" si="469"/>
        <v>0</v>
      </c>
      <c r="AF447" s="100">
        <f t="shared" si="470"/>
        <v>0</v>
      </c>
      <c r="AG447" s="100">
        <f t="shared" si="471"/>
        <v>0</v>
      </c>
      <c r="AH447" s="100">
        <f t="shared" si="472"/>
        <v>0</v>
      </c>
      <c r="AI447" s="109"/>
      <c r="AJ447" s="108">
        <f t="shared" si="473"/>
        <v>0</v>
      </c>
      <c r="AK447" s="108">
        <f t="shared" si="474"/>
        <v>0</v>
      </c>
      <c r="AL447" s="108">
        <f t="shared" si="475"/>
        <v>0</v>
      </c>
      <c r="AN447" s="100">
        <v>15</v>
      </c>
      <c r="AO447" s="100">
        <f>H447*0.772046783625731</f>
        <v>0</v>
      </c>
      <c r="AP447" s="100">
        <f>H447*(1-0.772046783625731)</f>
        <v>0</v>
      </c>
      <c r="AQ447" s="111" t="s">
        <v>13</v>
      </c>
      <c r="AV447" s="100">
        <f t="shared" si="476"/>
        <v>0</v>
      </c>
      <c r="AW447" s="100">
        <f t="shared" si="477"/>
        <v>0</v>
      </c>
      <c r="AX447" s="100">
        <f t="shared" si="478"/>
        <v>0</v>
      </c>
      <c r="AY447" s="110" t="s">
        <v>1715</v>
      </c>
      <c r="AZ447" s="110" t="s">
        <v>1734</v>
      </c>
      <c r="BA447" s="109" t="s">
        <v>1737</v>
      </c>
      <c r="BC447" s="100">
        <f t="shared" si="479"/>
        <v>0</v>
      </c>
      <c r="BD447" s="100">
        <f t="shared" si="480"/>
        <v>0</v>
      </c>
      <c r="BE447" s="100">
        <v>0</v>
      </c>
      <c r="BF447" s="100">
        <f>447</f>
        <v>447</v>
      </c>
      <c r="BH447" s="108">
        <f t="shared" si="481"/>
        <v>0</v>
      </c>
      <c r="BI447" s="108">
        <f t="shared" si="482"/>
        <v>0</v>
      </c>
      <c r="BJ447" s="108">
        <f t="shared" si="483"/>
        <v>0</v>
      </c>
    </row>
    <row r="448" spans="1:62" x14ac:dyDescent="0.2">
      <c r="A448" s="117" t="s">
        <v>403</v>
      </c>
      <c r="B448" s="117" t="s">
        <v>896</v>
      </c>
      <c r="C448" s="304" t="s">
        <v>1990</v>
      </c>
      <c r="D448" s="305"/>
      <c r="E448" s="305"/>
      <c r="F448" s="117" t="s">
        <v>1646</v>
      </c>
      <c r="G448" s="116">
        <v>106</v>
      </c>
      <c r="H448" s="159"/>
      <c r="I448" s="108">
        <f t="shared" si="462"/>
        <v>0</v>
      </c>
      <c r="J448" s="108">
        <f t="shared" si="463"/>
        <v>0</v>
      </c>
      <c r="K448" s="108">
        <f t="shared" si="464"/>
        <v>0</v>
      </c>
      <c r="L448" s="111" t="s">
        <v>1671</v>
      </c>
      <c r="Z448" s="100">
        <f t="shared" si="465"/>
        <v>0</v>
      </c>
      <c r="AB448" s="100">
        <f t="shared" si="466"/>
        <v>0</v>
      </c>
      <c r="AC448" s="100">
        <f t="shared" si="467"/>
        <v>0</v>
      </c>
      <c r="AD448" s="100">
        <f t="shared" si="468"/>
        <v>0</v>
      </c>
      <c r="AE448" s="100">
        <f t="shared" si="469"/>
        <v>0</v>
      </c>
      <c r="AF448" s="100">
        <f t="shared" si="470"/>
        <v>0</v>
      </c>
      <c r="AG448" s="100">
        <f t="shared" si="471"/>
        <v>0</v>
      </c>
      <c r="AH448" s="100">
        <f t="shared" si="472"/>
        <v>0</v>
      </c>
      <c r="AI448" s="109"/>
      <c r="AJ448" s="108">
        <f t="shared" si="473"/>
        <v>0</v>
      </c>
      <c r="AK448" s="108">
        <f t="shared" si="474"/>
        <v>0</v>
      </c>
      <c r="AL448" s="108">
        <f t="shared" si="475"/>
        <v>0</v>
      </c>
      <c r="AN448" s="100">
        <v>15</v>
      </c>
      <c r="AO448" s="100">
        <f>H448*0.816326164874552</f>
        <v>0</v>
      </c>
      <c r="AP448" s="100">
        <f>H448*(1-0.816326164874552)</f>
        <v>0</v>
      </c>
      <c r="AQ448" s="111" t="s">
        <v>13</v>
      </c>
      <c r="AV448" s="100">
        <f t="shared" si="476"/>
        <v>0</v>
      </c>
      <c r="AW448" s="100">
        <f t="shared" si="477"/>
        <v>0</v>
      </c>
      <c r="AX448" s="100">
        <f t="shared" si="478"/>
        <v>0</v>
      </c>
      <c r="AY448" s="110" t="s">
        <v>1715</v>
      </c>
      <c r="AZ448" s="110" t="s">
        <v>1734</v>
      </c>
      <c r="BA448" s="109" t="s">
        <v>1737</v>
      </c>
      <c r="BC448" s="100">
        <f t="shared" si="479"/>
        <v>0</v>
      </c>
      <c r="BD448" s="100">
        <f t="shared" si="480"/>
        <v>0</v>
      </c>
      <c r="BE448" s="100">
        <v>0</v>
      </c>
      <c r="BF448" s="100">
        <f>448</f>
        <v>448</v>
      </c>
      <c r="BH448" s="108">
        <f t="shared" si="481"/>
        <v>0</v>
      </c>
      <c r="BI448" s="108">
        <f t="shared" si="482"/>
        <v>0</v>
      </c>
      <c r="BJ448" s="108">
        <f t="shared" si="483"/>
        <v>0</v>
      </c>
    </row>
    <row r="449" spans="1:62" x14ac:dyDescent="0.2">
      <c r="A449" s="117" t="s">
        <v>404</v>
      </c>
      <c r="B449" s="117" t="s">
        <v>897</v>
      </c>
      <c r="C449" s="304" t="s">
        <v>1989</v>
      </c>
      <c r="D449" s="305"/>
      <c r="E449" s="305"/>
      <c r="F449" s="117" t="s">
        <v>1646</v>
      </c>
      <c r="G449" s="116">
        <v>6.2</v>
      </c>
      <c r="H449" s="159"/>
      <c r="I449" s="108">
        <f t="shared" si="462"/>
        <v>0</v>
      </c>
      <c r="J449" s="108">
        <f t="shared" si="463"/>
        <v>0</v>
      </c>
      <c r="K449" s="108">
        <f t="shared" si="464"/>
        <v>0</v>
      </c>
      <c r="L449" s="111" t="s">
        <v>1671</v>
      </c>
      <c r="Z449" s="100">
        <f t="shared" si="465"/>
        <v>0</v>
      </c>
      <c r="AB449" s="100">
        <f t="shared" si="466"/>
        <v>0</v>
      </c>
      <c r="AC449" s="100">
        <f t="shared" si="467"/>
        <v>0</v>
      </c>
      <c r="AD449" s="100">
        <f t="shared" si="468"/>
        <v>0</v>
      </c>
      <c r="AE449" s="100">
        <f t="shared" si="469"/>
        <v>0</v>
      </c>
      <c r="AF449" s="100">
        <f t="shared" si="470"/>
        <v>0</v>
      </c>
      <c r="AG449" s="100">
        <f t="shared" si="471"/>
        <v>0</v>
      </c>
      <c r="AH449" s="100">
        <f t="shared" si="472"/>
        <v>0</v>
      </c>
      <c r="AI449" s="109"/>
      <c r="AJ449" s="108">
        <f t="shared" si="473"/>
        <v>0</v>
      </c>
      <c r="AK449" s="108">
        <f t="shared" si="474"/>
        <v>0</v>
      </c>
      <c r="AL449" s="108">
        <f t="shared" si="475"/>
        <v>0</v>
      </c>
      <c r="AN449" s="100">
        <v>15</v>
      </c>
      <c r="AO449" s="100">
        <f>H449*0.816325503355705</f>
        <v>0</v>
      </c>
      <c r="AP449" s="100">
        <f>H449*(1-0.816325503355705)</f>
        <v>0</v>
      </c>
      <c r="AQ449" s="111" t="s">
        <v>13</v>
      </c>
      <c r="AV449" s="100">
        <f t="shared" si="476"/>
        <v>0</v>
      </c>
      <c r="AW449" s="100">
        <f t="shared" si="477"/>
        <v>0</v>
      </c>
      <c r="AX449" s="100">
        <f t="shared" si="478"/>
        <v>0</v>
      </c>
      <c r="AY449" s="110" t="s">
        <v>1715</v>
      </c>
      <c r="AZ449" s="110" t="s">
        <v>1734</v>
      </c>
      <c r="BA449" s="109" t="s">
        <v>1737</v>
      </c>
      <c r="BC449" s="100">
        <f t="shared" si="479"/>
        <v>0</v>
      </c>
      <c r="BD449" s="100">
        <f t="shared" si="480"/>
        <v>0</v>
      </c>
      <c r="BE449" s="100">
        <v>0</v>
      </c>
      <c r="BF449" s="100">
        <f>449</f>
        <v>449</v>
      </c>
      <c r="BH449" s="108">
        <f t="shared" si="481"/>
        <v>0</v>
      </c>
      <c r="BI449" s="108">
        <f t="shared" si="482"/>
        <v>0</v>
      </c>
      <c r="BJ449" s="108">
        <f t="shared" si="483"/>
        <v>0</v>
      </c>
    </row>
    <row r="450" spans="1:62" x14ac:dyDescent="0.2">
      <c r="A450" s="117" t="s">
        <v>405</v>
      </c>
      <c r="B450" s="117" t="s">
        <v>898</v>
      </c>
      <c r="C450" s="304" t="s">
        <v>1487</v>
      </c>
      <c r="D450" s="305"/>
      <c r="E450" s="305"/>
      <c r="F450" s="117" t="s">
        <v>1646</v>
      </c>
      <c r="G450" s="116">
        <v>3.2</v>
      </c>
      <c r="H450" s="159"/>
      <c r="I450" s="108">
        <f t="shared" si="462"/>
        <v>0</v>
      </c>
      <c r="J450" s="108">
        <f t="shared" si="463"/>
        <v>0</v>
      </c>
      <c r="K450" s="108">
        <f t="shared" si="464"/>
        <v>0</v>
      </c>
      <c r="L450" s="111" t="s">
        <v>1671</v>
      </c>
      <c r="Z450" s="100">
        <f t="shared" si="465"/>
        <v>0</v>
      </c>
      <c r="AB450" s="100">
        <f t="shared" si="466"/>
        <v>0</v>
      </c>
      <c r="AC450" s="100">
        <f t="shared" si="467"/>
        <v>0</v>
      </c>
      <c r="AD450" s="100">
        <f t="shared" si="468"/>
        <v>0</v>
      </c>
      <c r="AE450" s="100">
        <f t="shared" si="469"/>
        <v>0</v>
      </c>
      <c r="AF450" s="100">
        <f t="shared" si="470"/>
        <v>0</v>
      </c>
      <c r="AG450" s="100">
        <f t="shared" si="471"/>
        <v>0</v>
      </c>
      <c r="AH450" s="100">
        <f t="shared" si="472"/>
        <v>0</v>
      </c>
      <c r="AI450" s="109"/>
      <c r="AJ450" s="108">
        <f t="shared" si="473"/>
        <v>0</v>
      </c>
      <c r="AK450" s="108">
        <f t="shared" si="474"/>
        <v>0</v>
      </c>
      <c r="AL450" s="108">
        <f t="shared" si="475"/>
        <v>0</v>
      </c>
      <c r="AN450" s="100">
        <v>15</v>
      </c>
      <c r="AO450" s="100">
        <f>H450*0.816330128205128</f>
        <v>0</v>
      </c>
      <c r="AP450" s="100">
        <f>H450*(1-0.816330128205128)</f>
        <v>0</v>
      </c>
      <c r="AQ450" s="111" t="s">
        <v>13</v>
      </c>
      <c r="AV450" s="100">
        <f t="shared" si="476"/>
        <v>0</v>
      </c>
      <c r="AW450" s="100">
        <f t="shared" si="477"/>
        <v>0</v>
      </c>
      <c r="AX450" s="100">
        <f t="shared" si="478"/>
        <v>0</v>
      </c>
      <c r="AY450" s="110" t="s">
        <v>1715</v>
      </c>
      <c r="AZ450" s="110" t="s">
        <v>1734</v>
      </c>
      <c r="BA450" s="109" t="s">
        <v>1737</v>
      </c>
      <c r="BC450" s="100">
        <f t="shared" si="479"/>
        <v>0</v>
      </c>
      <c r="BD450" s="100">
        <f t="shared" si="480"/>
        <v>0</v>
      </c>
      <c r="BE450" s="100">
        <v>0</v>
      </c>
      <c r="BF450" s="100">
        <f>450</f>
        <v>450</v>
      </c>
      <c r="BH450" s="108">
        <f t="shared" si="481"/>
        <v>0</v>
      </c>
      <c r="BI450" s="108">
        <f t="shared" si="482"/>
        <v>0</v>
      </c>
      <c r="BJ450" s="108">
        <f t="shared" si="483"/>
        <v>0</v>
      </c>
    </row>
    <row r="451" spans="1:62" x14ac:dyDescent="0.2">
      <c r="A451" s="117" t="s">
        <v>406</v>
      </c>
      <c r="B451" s="117" t="s">
        <v>899</v>
      </c>
      <c r="C451" s="304" t="s">
        <v>1988</v>
      </c>
      <c r="D451" s="305"/>
      <c r="E451" s="305"/>
      <c r="F451" s="117" t="s">
        <v>1646</v>
      </c>
      <c r="G451" s="116">
        <v>31.18</v>
      </c>
      <c r="H451" s="159"/>
      <c r="I451" s="108">
        <f t="shared" si="462"/>
        <v>0</v>
      </c>
      <c r="J451" s="108">
        <f t="shared" si="463"/>
        <v>0</v>
      </c>
      <c r="K451" s="108">
        <f t="shared" si="464"/>
        <v>0</v>
      </c>
      <c r="L451" s="111" t="s">
        <v>1671</v>
      </c>
      <c r="Z451" s="100">
        <f t="shared" si="465"/>
        <v>0</v>
      </c>
      <c r="AB451" s="100">
        <f t="shared" si="466"/>
        <v>0</v>
      </c>
      <c r="AC451" s="100">
        <f t="shared" si="467"/>
        <v>0</v>
      </c>
      <c r="AD451" s="100">
        <f t="shared" si="468"/>
        <v>0</v>
      </c>
      <c r="AE451" s="100">
        <f t="shared" si="469"/>
        <v>0</v>
      </c>
      <c r="AF451" s="100">
        <f t="shared" si="470"/>
        <v>0</v>
      </c>
      <c r="AG451" s="100">
        <f t="shared" si="471"/>
        <v>0</v>
      </c>
      <c r="AH451" s="100">
        <f t="shared" si="472"/>
        <v>0</v>
      </c>
      <c r="AI451" s="109"/>
      <c r="AJ451" s="108">
        <f t="shared" si="473"/>
        <v>0</v>
      </c>
      <c r="AK451" s="108">
        <f t="shared" si="474"/>
        <v>0</v>
      </c>
      <c r="AL451" s="108">
        <f t="shared" si="475"/>
        <v>0</v>
      </c>
      <c r="AN451" s="100">
        <v>15</v>
      </c>
      <c r="AO451" s="100">
        <f>H451*0.857614814814815</f>
        <v>0</v>
      </c>
      <c r="AP451" s="100">
        <f>H451*(1-0.857614814814815)</f>
        <v>0</v>
      </c>
      <c r="AQ451" s="111" t="s">
        <v>13</v>
      </c>
      <c r="AV451" s="100">
        <f t="shared" si="476"/>
        <v>0</v>
      </c>
      <c r="AW451" s="100">
        <f t="shared" si="477"/>
        <v>0</v>
      </c>
      <c r="AX451" s="100">
        <f t="shared" si="478"/>
        <v>0</v>
      </c>
      <c r="AY451" s="110" t="s">
        <v>1715</v>
      </c>
      <c r="AZ451" s="110" t="s">
        <v>1734</v>
      </c>
      <c r="BA451" s="109" t="s">
        <v>1737</v>
      </c>
      <c r="BC451" s="100">
        <f t="shared" si="479"/>
        <v>0</v>
      </c>
      <c r="BD451" s="100">
        <f t="shared" si="480"/>
        <v>0</v>
      </c>
      <c r="BE451" s="100">
        <v>0</v>
      </c>
      <c r="BF451" s="100">
        <f>451</f>
        <v>451</v>
      </c>
      <c r="BH451" s="108">
        <f t="shared" si="481"/>
        <v>0</v>
      </c>
      <c r="BI451" s="108">
        <f t="shared" si="482"/>
        <v>0</v>
      </c>
      <c r="BJ451" s="108">
        <f t="shared" si="483"/>
        <v>0</v>
      </c>
    </row>
    <row r="452" spans="1:62" x14ac:dyDescent="0.2">
      <c r="A452" s="117" t="s">
        <v>407</v>
      </c>
      <c r="B452" s="117" t="s">
        <v>900</v>
      </c>
      <c r="C452" s="304" t="s">
        <v>1489</v>
      </c>
      <c r="D452" s="305"/>
      <c r="E452" s="305"/>
      <c r="F452" s="117" t="s">
        <v>1646</v>
      </c>
      <c r="G452" s="116">
        <v>31.18</v>
      </c>
      <c r="H452" s="159"/>
      <c r="I452" s="108">
        <f t="shared" si="462"/>
        <v>0</v>
      </c>
      <c r="J452" s="108">
        <f t="shared" si="463"/>
        <v>0</v>
      </c>
      <c r="K452" s="108">
        <f t="shared" si="464"/>
        <v>0</v>
      </c>
      <c r="L452" s="111" t="s">
        <v>1671</v>
      </c>
      <c r="Z452" s="100">
        <f t="shared" si="465"/>
        <v>0</v>
      </c>
      <c r="AB452" s="100">
        <f t="shared" si="466"/>
        <v>0</v>
      </c>
      <c r="AC452" s="100">
        <f t="shared" si="467"/>
        <v>0</v>
      </c>
      <c r="AD452" s="100">
        <f t="shared" si="468"/>
        <v>0</v>
      </c>
      <c r="AE452" s="100">
        <f t="shared" si="469"/>
        <v>0</v>
      </c>
      <c r="AF452" s="100">
        <f t="shared" si="470"/>
        <v>0</v>
      </c>
      <c r="AG452" s="100">
        <f t="shared" si="471"/>
        <v>0</v>
      </c>
      <c r="AH452" s="100">
        <f t="shared" si="472"/>
        <v>0</v>
      </c>
      <c r="AI452" s="109"/>
      <c r="AJ452" s="108">
        <f t="shared" si="473"/>
        <v>0</v>
      </c>
      <c r="AK452" s="108">
        <f t="shared" si="474"/>
        <v>0</v>
      </c>
      <c r="AL452" s="108">
        <f t="shared" si="475"/>
        <v>0</v>
      </c>
      <c r="AN452" s="100">
        <v>15</v>
      </c>
      <c r="AO452" s="100">
        <f>H452*0.417402597402597</f>
        <v>0</v>
      </c>
      <c r="AP452" s="100">
        <f>H452*(1-0.417402597402597)</f>
        <v>0</v>
      </c>
      <c r="AQ452" s="111" t="s">
        <v>13</v>
      </c>
      <c r="AV452" s="100">
        <f t="shared" si="476"/>
        <v>0</v>
      </c>
      <c r="AW452" s="100">
        <f t="shared" si="477"/>
        <v>0</v>
      </c>
      <c r="AX452" s="100">
        <f t="shared" si="478"/>
        <v>0</v>
      </c>
      <c r="AY452" s="110" t="s">
        <v>1715</v>
      </c>
      <c r="AZ452" s="110" t="s">
        <v>1734</v>
      </c>
      <c r="BA452" s="109" t="s">
        <v>1737</v>
      </c>
      <c r="BC452" s="100">
        <f t="shared" si="479"/>
        <v>0</v>
      </c>
      <c r="BD452" s="100">
        <f t="shared" si="480"/>
        <v>0</v>
      </c>
      <c r="BE452" s="100">
        <v>0</v>
      </c>
      <c r="BF452" s="100">
        <f>452</f>
        <v>452</v>
      </c>
      <c r="BH452" s="108">
        <f t="shared" si="481"/>
        <v>0</v>
      </c>
      <c r="BI452" s="108">
        <f t="shared" si="482"/>
        <v>0</v>
      </c>
      <c r="BJ452" s="108">
        <f t="shared" si="483"/>
        <v>0</v>
      </c>
    </row>
    <row r="453" spans="1:62" x14ac:dyDescent="0.2">
      <c r="A453" s="117" t="s">
        <v>408</v>
      </c>
      <c r="B453" s="117" t="s">
        <v>901</v>
      </c>
      <c r="C453" s="304" t="s">
        <v>1490</v>
      </c>
      <c r="D453" s="305"/>
      <c r="E453" s="305"/>
      <c r="F453" s="117" t="s">
        <v>1646</v>
      </c>
      <c r="G453" s="116">
        <v>62.5</v>
      </c>
      <c r="H453" s="159"/>
      <c r="I453" s="108">
        <f t="shared" si="462"/>
        <v>0</v>
      </c>
      <c r="J453" s="108">
        <f t="shared" si="463"/>
        <v>0</v>
      </c>
      <c r="K453" s="108">
        <f t="shared" si="464"/>
        <v>0</v>
      </c>
      <c r="L453" s="111" t="s">
        <v>1671</v>
      </c>
      <c r="Z453" s="100">
        <f t="shared" si="465"/>
        <v>0</v>
      </c>
      <c r="AB453" s="100">
        <f t="shared" si="466"/>
        <v>0</v>
      </c>
      <c r="AC453" s="100">
        <f t="shared" si="467"/>
        <v>0</v>
      </c>
      <c r="AD453" s="100">
        <f t="shared" si="468"/>
        <v>0</v>
      </c>
      <c r="AE453" s="100">
        <f t="shared" si="469"/>
        <v>0</v>
      </c>
      <c r="AF453" s="100">
        <f t="shared" si="470"/>
        <v>0</v>
      </c>
      <c r="AG453" s="100">
        <f t="shared" si="471"/>
        <v>0</v>
      </c>
      <c r="AH453" s="100">
        <f t="shared" si="472"/>
        <v>0</v>
      </c>
      <c r="AI453" s="109"/>
      <c r="AJ453" s="108">
        <f t="shared" si="473"/>
        <v>0</v>
      </c>
      <c r="AK453" s="108">
        <f t="shared" si="474"/>
        <v>0</v>
      </c>
      <c r="AL453" s="108">
        <f t="shared" si="475"/>
        <v>0</v>
      </c>
      <c r="AN453" s="100">
        <v>15</v>
      </c>
      <c r="AO453" s="100">
        <f>H453*0.41738255033557</f>
        <v>0</v>
      </c>
      <c r="AP453" s="100">
        <f>H453*(1-0.41738255033557)</f>
        <v>0</v>
      </c>
      <c r="AQ453" s="111" t="s">
        <v>13</v>
      </c>
      <c r="AV453" s="100">
        <f t="shared" si="476"/>
        <v>0</v>
      </c>
      <c r="AW453" s="100">
        <f t="shared" si="477"/>
        <v>0</v>
      </c>
      <c r="AX453" s="100">
        <f t="shared" si="478"/>
        <v>0</v>
      </c>
      <c r="AY453" s="110" t="s">
        <v>1715</v>
      </c>
      <c r="AZ453" s="110" t="s">
        <v>1734</v>
      </c>
      <c r="BA453" s="109" t="s">
        <v>1737</v>
      </c>
      <c r="BC453" s="100">
        <f t="shared" si="479"/>
        <v>0</v>
      </c>
      <c r="BD453" s="100">
        <f t="shared" si="480"/>
        <v>0</v>
      </c>
      <c r="BE453" s="100">
        <v>0</v>
      </c>
      <c r="BF453" s="100">
        <f>453</f>
        <v>453</v>
      </c>
      <c r="BH453" s="108">
        <f t="shared" si="481"/>
        <v>0</v>
      </c>
      <c r="BI453" s="108">
        <f t="shared" si="482"/>
        <v>0</v>
      </c>
      <c r="BJ453" s="108">
        <f t="shared" si="483"/>
        <v>0</v>
      </c>
    </row>
    <row r="454" spans="1:62" x14ac:dyDescent="0.2">
      <c r="A454" s="117" t="s">
        <v>409</v>
      </c>
      <c r="B454" s="117" t="s">
        <v>902</v>
      </c>
      <c r="C454" s="304" t="s">
        <v>1491</v>
      </c>
      <c r="D454" s="305"/>
      <c r="E454" s="305"/>
      <c r="F454" s="117" t="s">
        <v>1648</v>
      </c>
      <c r="G454" s="116">
        <v>4.7439999999999998</v>
      </c>
      <c r="H454" s="159"/>
      <c r="I454" s="108">
        <f t="shared" si="462"/>
        <v>0</v>
      </c>
      <c r="J454" s="108">
        <f t="shared" si="463"/>
        <v>0</v>
      </c>
      <c r="K454" s="108">
        <f t="shared" si="464"/>
        <v>0</v>
      </c>
      <c r="L454" s="111" t="s">
        <v>1671</v>
      </c>
      <c r="Z454" s="100">
        <f t="shared" si="465"/>
        <v>0</v>
      </c>
      <c r="AB454" s="100">
        <f t="shared" si="466"/>
        <v>0</v>
      </c>
      <c r="AC454" s="100">
        <f t="shared" si="467"/>
        <v>0</v>
      </c>
      <c r="AD454" s="100">
        <f t="shared" si="468"/>
        <v>0</v>
      </c>
      <c r="AE454" s="100">
        <f t="shared" si="469"/>
        <v>0</v>
      </c>
      <c r="AF454" s="100">
        <f t="shared" si="470"/>
        <v>0</v>
      </c>
      <c r="AG454" s="100">
        <f t="shared" si="471"/>
        <v>0</v>
      </c>
      <c r="AH454" s="100">
        <f t="shared" si="472"/>
        <v>0</v>
      </c>
      <c r="AI454" s="109"/>
      <c r="AJ454" s="108">
        <f t="shared" si="473"/>
        <v>0</v>
      </c>
      <c r="AK454" s="108">
        <f t="shared" si="474"/>
        <v>0</v>
      </c>
      <c r="AL454" s="108">
        <f t="shared" si="475"/>
        <v>0</v>
      </c>
      <c r="AN454" s="100">
        <v>15</v>
      </c>
      <c r="AO454" s="100">
        <f>H454*0</f>
        <v>0</v>
      </c>
      <c r="AP454" s="100">
        <f>H454*(1-0)</f>
        <v>0</v>
      </c>
      <c r="AQ454" s="111" t="s">
        <v>11</v>
      </c>
      <c r="AV454" s="100">
        <f t="shared" si="476"/>
        <v>0</v>
      </c>
      <c r="AW454" s="100">
        <f t="shared" si="477"/>
        <v>0</v>
      </c>
      <c r="AX454" s="100">
        <f t="shared" si="478"/>
        <v>0</v>
      </c>
      <c r="AY454" s="110" t="s">
        <v>1715</v>
      </c>
      <c r="AZ454" s="110" t="s">
        <v>1734</v>
      </c>
      <c r="BA454" s="109" t="s">
        <v>1737</v>
      </c>
      <c r="BC454" s="100">
        <f t="shared" si="479"/>
        <v>0</v>
      </c>
      <c r="BD454" s="100">
        <f t="shared" si="480"/>
        <v>0</v>
      </c>
      <c r="BE454" s="100">
        <v>0</v>
      </c>
      <c r="BF454" s="100">
        <f>454</f>
        <v>454</v>
      </c>
      <c r="BH454" s="108">
        <f t="shared" si="481"/>
        <v>0</v>
      </c>
      <c r="BI454" s="108">
        <f t="shared" si="482"/>
        <v>0</v>
      </c>
      <c r="BJ454" s="108">
        <f t="shared" si="483"/>
        <v>0</v>
      </c>
    </row>
    <row r="455" spans="1:62" x14ac:dyDescent="0.2">
      <c r="A455" s="119"/>
      <c r="B455" s="120" t="s">
        <v>903</v>
      </c>
      <c r="C455" s="306" t="s">
        <v>1492</v>
      </c>
      <c r="D455" s="307"/>
      <c r="E455" s="307"/>
      <c r="F455" s="119" t="s">
        <v>6</v>
      </c>
      <c r="G455" s="119" t="s">
        <v>6</v>
      </c>
      <c r="H455" s="119" t="s">
        <v>6</v>
      </c>
      <c r="I455" s="118">
        <f>SUM(I456:I458)</f>
        <v>0</v>
      </c>
      <c r="J455" s="118">
        <f>SUM(J456:J458)</f>
        <v>0</v>
      </c>
      <c r="K455" s="118">
        <f>SUM(K456:K458)</f>
        <v>0</v>
      </c>
      <c r="L455" s="109"/>
      <c r="AI455" s="109"/>
      <c r="AS455" s="118">
        <f>SUM(AJ456:AJ458)</f>
        <v>0</v>
      </c>
      <c r="AT455" s="118">
        <f>SUM(AK456:AK458)</f>
        <v>0</v>
      </c>
      <c r="AU455" s="118">
        <f>SUM(AL456:AL458)</f>
        <v>0</v>
      </c>
    </row>
    <row r="456" spans="1:62" x14ac:dyDescent="0.2">
      <c r="A456" s="117" t="s">
        <v>410</v>
      </c>
      <c r="B456" s="117" t="s">
        <v>904</v>
      </c>
      <c r="C456" s="304" t="s">
        <v>1493</v>
      </c>
      <c r="D456" s="305"/>
      <c r="E456" s="305"/>
      <c r="F456" s="117" t="s">
        <v>1644</v>
      </c>
      <c r="G456" s="116">
        <v>1</v>
      </c>
      <c r="H456" s="159"/>
      <c r="I456" s="108">
        <f>G456*AO456</f>
        <v>0</v>
      </c>
      <c r="J456" s="108">
        <f>G456*AP456</f>
        <v>0</v>
      </c>
      <c r="K456" s="108">
        <f>G456*H456</f>
        <v>0</v>
      </c>
      <c r="L456" s="111" t="s">
        <v>1671</v>
      </c>
      <c r="Z456" s="100">
        <f>IF(AQ456="5",BJ456,0)</f>
        <v>0</v>
      </c>
      <c r="AB456" s="100">
        <f>IF(AQ456="1",BH456,0)</f>
        <v>0</v>
      </c>
      <c r="AC456" s="100">
        <f>IF(AQ456="1",BI456,0)</f>
        <v>0</v>
      </c>
      <c r="AD456" s="100">
        <f>IF(AQ456="7",BH456,0)</f>
        <v>0</v>
      </c>
      <c r="AE456" s="100">
        <f>IF(AQ456="7",BI456,0)</f>
        <v>0</v>
      </c>
      <c r="AF456" s="100">
        <f>IF(AQ456="2",BH456,0)</f>
        <v>0</v>
      </c>
      <c r="AG456" s="100">
        <f>IF(AQ456="2",BI456,0)</f>
        <v>0</v>
      </c>
      <c r="AH456" s="100">
        <f>IF(AQ456="0",BJ456,0)</f>
        <v>0</v>
      </c>
      <c r="AI456" s="109"/>
      <c r="AJ456" s="108">
        <f>IF(AN456=0,K456,0)</f>
        <v>0</v>
      </c>
      <c r="AK456" s="108">
        <f>IF(AN456=15,K456,0)</f>
        <v>0</v>
      </c>
      <c r="AL456" s="108">
        <f>IF(AN456=21,K456,0)</f>
        <v>0</v>
      </c>
      <c r="AN456" s="100">
        <v>15</v>
      </c>
      <c r="AO456" s="100">
        <f>H456*0.007425</f>
        <v>0</v>
      </c>
      <c r="AP456" s="100">
        <f>H456*(1-0.007425)</f>
        <v>0</v>
      </c>
      <c r="AQ456" s="111" t="s">
        <v>13</v>
      </c>
      <c r="AV456" s="100">
        <f>AW456+AX456</f>
        <v>0</v>
      </c>
      <c r="AW456" s="100">
        <f>G456*AO456</f>
        <v>0</v>
      </c>
      <c r="AX456" s="100">
        <f>G456*AP456</f>
        <v>0</v>
      </c>
      <c r="AY456" s="110" t="s">
        <v>1716</v>
      </c>
      <c r="AZ456" s="110" t="s">
        <v>1734</v>
      </c>
      <c r="BA456" s="109" t="s">
        <v>1737</v>
      </c>
      <c r="BC456" s="100">
        <f>AW456+AX456</f>
        <v>0</v>
      </c>
      <c r="BD456" s="100">
        <f>H456/(100-BE456)*100</f>
        <v>0</v>
      </c>
      <c r="BE456" s="100">
        <v>0</v>
      </c>
      <c r="BF456" s="100">
        <f>456</f>
        <v>456</v>
      </c>
      <c r="BH456" s="108">
        <f>G456*AO456</f>
        <v>0</v>
      </c>
      <c r="BI456" s="108">
        <f>G456*AP456</f>
        <v>0</v>
      </c>
      <c r="BJ456" s="108">
        <f>G456*H456</f>
        <v>0</v>
      </c>
    </row>
    <row r="457" spans="1:62" x14ac:dyDescent="0.2">
      <c r="A457" s="117" t="s">
        <v>411</v>
      </c>
      <c r="B457" s="117" t="s">
        <v>905</v>
      </c>
      <c r="C457" s="304" t="s">
        <v>1987</v>
      </c>
      <c r="D457" s="305"/>
      <c r="E457" s="305"/>
      <c r="F457" s="117" t="s">
        <v>1644</v>
      </c>
      <c r="G457" s="116">
        <v>1</v>
      </c>
      <c r="H457" s="159"/>
      <c r="I457" s="108">
        <f>G457*AO457</f>
        <v>0</v>
      </c>
      <c r="J457" s="108">
        <f>G457*AP457</f>
        <v>0</v>
      </c>
      <c r="K457" s="108">
        <f>G457*H457</f>
        <v>0</v>
      </c>
      <c r="L457" s="111" t="s">
        <v>1671</v>
      </c>
      <c r="Z457" s="100">
        <f>IF(AQ457="5",BJ457,0)</f>
        <v>0</v>
      </c>
      <c r="AB457" s="100">
        <f>IF(AQ457="1",BH457,0)</f>
        <v>0</v>
      </c>
      <c r="AC457" s="100">
        <f>IF(AQ457="1",BI457,0)</f>
        <v>0</v>
      </c>
      <c r="AD457" s="100">
        <f>IF(AQ457="7",BH457,0)</f>
        <v>0</v>
      </c>
      <c r="AE457" s="100">
        <f>IF(AQ457="7",BI457,0)</f>
        <v>0</v>
      </c>
      <c r="AF457" s="100">
        <f>IF(AQ457="2",BH457,0)</f>
        <v>0</v>
      </c>
      <c r="AG457" s="100">
        <f>IF(AQ457="2",BI457,0)</f>
        <v>0</v>
      </c>
      <c r="AH457" s="100">
        <f>IF(AQ457="0",BJ457,0)</f>
        <v>0</v>
      </c>
      <c r="AI457" s="109"/>
      <c r="AJ457" s="108">
        <f>IF(AN457=0,K457,0)</f>
        <v>0</v>
      </c>
      <c r="AK457" s="108">
        <f>IF(AN457=15,K457,0)</f>
        <v>0</v>
      </c>
      <c r="AL457" s="108">
        <f>IF(AN457=21,K457,0)</f>
        <v>0</v>
      </c>
      <c r="AN457" s="100">
        <v>15</v>
      </c>
      <c r="AO457" s="100">
        <f>H457*0.0040695652173913</f>
        <v>0</v>
      </c>
      <c r="AP457" s="100">
        <f>H457*(1-0.0040695652173913)</f>
        <v>0</v>
      </c>
      <c r="AQ457" s="111" t="s">
        <v>13</v>
      </c>
      <c r="AV457" s="100">
        <f>AW457+AX457</f>
        <v>0</v>
      </c>
      <c r="AW457" s="100">
        <f>G457*AO457</f>
        <v>0</v>
      </c>
      <c r="AX457" s="100">
        <f>G457*AP457</f>
        <v>0</v>
      </c>
      <c r="AY457" s="110" t="s">
        <v>1716</v>
      </c>
      <c r="AZ457" s="110" t="s">
        <v>1734</v>
      </c>
      <c r="BA457" s="109" t="s">
        <v>1737</v>
      </c>
      <c r="BC457" s="100">
        <f>AW457+AX457</f>
        <v>0</v>
      </c>
      <c r="BD457" s="100">
        <f>H457/(100-BE457)*100</f>
        <v>0</v>
      </c>
      <c r="BE457" s="100">
        <v>0</v>
      </c>
      <c r="BF457" s="100">
        <f>457</f>
        <v>457</v>
      </c>
      <c r="BH457" s="108">
        <f>G457*AO457</f>
        <v>0</v>
      </c>
      <c r="BI457" s="108">
        <f>G457*AP457</f>
        <v>0</v>
      </c>
      <c r="BJ457" s="108">
        <f>G457*H457</f>
        <v>0</v>
      </c>
    </row>
    <row r="458" spans="1:62" x14ac:dyDescent="0.2">
      <c r="A458" s="117" t="s">
        <v>412</v>
      </c>
      <c r="B458" s="117" t="s">
        <v>906</v>
      </c>
      <c r="C458" s="304" t="s">
        <v>1495</v>
      </c>
      <c r="D458" s="305"/>
      <c r="E458" s="305"/>
      <c r="F458" s="117" t="s">
        <v>1648</v>
      </c>
      <c r="G458" s="116">
        <v>4.7E-2</v>
      </c>
      <c r="H458" s="159"/>
      <c r="I458" s="108">
        <f>G458*AO458</f>
        <v>0</v>
      </c>
      <c r="J458" s="108">
        <f>G458*AP458</f>
        <v>0</v>
      </c>
      <c r="K458" s="108">
        <f>G458*H458</f>
        <v>0</v>
      </c>
      <c r="L458" s="111" t="s">
        <v>1671</v>
      </c>
      <c r="Z458" s="100">
        <f>IF(AQ458="5",BJ458,0)</f>
        <v>0</v>
      </c>
      <c r="AB458" s="100">
        <f>IF(AQ458="1",BH458,0)</f>
        <v>0</v>
      </c>
      <c r="AC458" s="100">
        <f>IF(AQ458="1",BI458,0)</f>
        <v>0</v>
      </c>
      <c r="AD458" s="100">
        <f>IF(AQ458="7",BH458,0)</f>
        <v>0</v>
      </c>
      <c r="AE458" s="100">
        <f>IF(AQ458="7",BI458,0)</f>
        <v>0</v>
      </c>
      <c r="AF458" s="100">
        <f>IF(AQ458="2",BH458,0)</f>
        <v>0</v>
      </c>
      <c r="AG458" s="100">
        <f>IF(AQ458="2",BI458,0)</f>
        <v>0</v>
      </c>
      <c r="AH458" s="100">
        <f>IF(AQ458="0",BJ458,0)</f>
        <v>0</v>
      </c>
      <c r="AI458" s="109"/>
      <c r="AJ458" s="108">
        <f>IF(AN458=0,K458,0)</f>
        <v>0</v>
      </c>
      <c r="AK458" s="108">
        <f>IF(AN458=15,K458,0)</f>
        <v>0</v>
      </c>
      <c r="AL458" s="108">
        <f>IF(AN458=21,K458,0)</f>
        <v>0</v>
      </c>
      <c r="AN458" s="100">
        <v>15</v>
      </c>
      <c r="AO458" s="100">
        <f>H458*0</f>
        <v>0</v>
      </c>
      <c r="AP458" s="100">
        <f>H458*(1-0)</f>
        <v>0</v>
      </c>
      <c r="AQ458" s="111" t="s">
        <v>11</v>
      </c>
      <c r="AV458" s="100">
        <f>AW458+AX458</f>
        <v>0</v>
      </c>
      <c r="AW458" s="100">
        <f>G458*AO458</f>
        <v>0</v>
      </c>
      <c r="AX458" s="100">
        <f>G458*AP458</f>
        <v>0</v>
      </c>
      <c r="AY458" s="110" t="s">
        <v>1716</v>
      </c>
      <c r="AZ458" s="110" t="s">
        <v>1734</v>
      </c>
      <c r="BA458" s="109" t="s">
        <v>1737</v>
      </c>
      <c r="BC458" s="100">
        <f>AW458+AX458</f>
        <v>0</v>
      </c>
      <c r="BD458" s="100">
        <f>H458/(100-BE458)*100</f>
        <v>0</v>
      </c>
      <c r="BE458" s="100">
        <v>0</v>
      </c>
      <c r="BF458" s="100">
        <f>458</f>
        <v>458</v>
      </c>
      <c r="BH458" s="108">
        <f>G458*AO458</f>
        <v>0</v>
      </c>
      <c r="BI458" s="108">
        <f>G458*AP458</f>
        <v>0</v>
      </c>
      <c r="BJ458" s="108">
        <f>G458*H458</f>
        <v>0</v>
      </c>
    </row>
    <row r="459" spans="1:62" x14ac:dyDescent="0.2">
      <c r="A459" s="119"/>
      <c r="B459" s="120" t="s">
        <v>907</v>
      </c>
      <c r="C459" s="306" t="s">
        <v>1496</v>
      </c>
      <c r="D459" s="307"/>
      <c r="E459" s="307"/>
      <c r="F459" s="119" t="s">
        <v>6</v>
      </c>
      <c r="G459" s="119" t="s">
        <v>6</v>
      </c>
      <c r="H459" s="119" t="s">
        <v>6</v>
      </c>
      <c r="I459" s="118">
        <f>SUM(I460:I470)</f>
        <v>0</v>
      </c>
      <c r="J459" s="118">
        <f>SUM(J460:J470)</f>
        <v>0</v>
      </c>
      <c r="K459" s="118">
        <f>SUM(K460:K470)</f>
        <v>0</v>
      </c>
      <c r="L459" s="109"/>
      <c r="AI459" s="109"/>
      <c r="AS459" s="118">
        <f>SUM(AJ460:AJ470)</f>
        <v>0</v>
      </c>
      <c r="AT459" s="118">
        <f>SUM(AK460:AK470)</f>
        <v>0</v>
      </c>
      <c r="AU459" s="118">
        <f>SUM(AL460:AL470)</f>
        <v>0</v>
      </c>
    </row>
    <row r="460" spans="1:62" x14ac:dyDescent="0.2">
      <c r="A460" s="117" t="s">
        <v>413</v>
      </c>
      <c r="B460" s="117" t="s">
        <v>908</v>
      </c>
      <c r="C460" s="304" t="s">
        <v>1497</v>
      </c>
      <c r="D460" s="305"/>
      <c r="E460" s="305"/>
      <c r="F460" s="117" t="s">
        <v>1644</v>
      </c>
      <c r="G460" s="116">
        <v>1</v>
      </c>
      <c r="H460" s="159"/>
      <c r="I460" s="108">
        <f t="shared" ref="I460:I470" si="484">G460*AO460</f>
        <v>0</v>
      </c>
      <c r="J460" s="108">
        <f t="shared" ref="J460:J470" si="485">G460*AP460</f>
        <v>0</v>
      </c>
      <c r="K460" s="108">
        <f t="shared" ref="K460:K470" si="486">G460*H460</f>
        <v>0</v>
      </c>
      <c r="L460" s="111" t="s">
        <v>1671</v>
      </c>
      <c r="Z460" s="100">
        <f t="shared" ref="Z460:Z470" si="487">IF(AQ460="5",BJ460,0)</f>
        <v>0</v>
      </c>
      <c r="AB460" s="100">
        <f t="shared" ref="AB460:AB470" si="488">IF(AQ460="1",BH460,0)</f>
        <v>0</v>
      </c>
      <c r="AC460" s="100">
        <f t="shared" ref="AC460:AC470" si="489">IF(AQ460="1",BI460,0)</f>
        <v>0</v>
      </c>
      <c r="AD460" s="100">
        <f t="shared" ref="AD460:AD470" si="490">IF(AQ460="7",BH460,0)</f>
        <v>0</v>
      </c>
      <c r="AE460" s="100">
        <f t="shared" ref="AE460:AE470" si="491">IF(AQ460="7",BI460,0)</f>
        <v>0</v>
      </c>
      <c r="AF460" s="100">
        <f t="shared" ref="AF460:AF470" si="492">IF(AQ460="2",BH460,0)</f>
        <v>0</v>
      </c>
      <c r="AG460" s="100">
        <f t="shared" ref="AG460:AG470" si="493">IF(AQ460="2",BI460,0)</f>
        <v>0</v>
      </c>
      <c r="AH460" s="100">
        <f t="shared" ref="AH460:AH470" si="494">IF(AQ460="0",BJ460,0)</f>
        <v>0</v>
      </c>
      <c r="AI460" s="109"/>
      <c r="AJ460" s="108">
        <f t="shared" ref="AJ460:AJ470" si="495">IF(AN460=0,K460,0)</f>
        <v>0</v>
      </c>
      <c r="AK460" s="108">
        <f t="shared" ref="AK460:AK470" si="496">IF(AN460=15,K460,0)</f>
        <v>0</v>
      </c>
      <c r="AL460" s="108">
        <f t="shared" ref="AL460:AL470" si="497">IF(AN460=21,K460,0)</f>
        <v>0</v>
      </c>
      <c r="AN460" s="100">
        <v>15</v>
      </c>
      <c r="AO460" s="100">
        <f>H460*0.0305007936507936</f>
        <v>0</v>
      </c>
      <c r="AP460" s="100">
        <f>H460*(1-0.0305007936507936)</f>
        <v>0</v>
      </c>
      <c r="AQ460" s="111" t="s">
        <v>13</v>
      </c>
      <c r="AV460" s="100">
        <f t="shared" ref="AV460:AV470" si="498">AW460+AX460</f>
        <v>0</v>
      </c>
      <c r="AW460" s="100">
        <f t="shared" ref="AW460:AW470" si="499">G460*AO460</f>
        <v>0</v>
      </c>
      <c r="AX460" s="100">
        <f t="shared" ref="AX460:AX470" si="500">G460*AP460</f>
        <v>0</v>
      </c>
      <c r="AY460" s="110" t="s">
        <v>1717</v>
      </c>
      <c r="AZ460" s="110" t="s">
        <v>1734</v>
      </c>
      <c r="BA460" s="109" t="s">
        <v>1737</v>
      </c>
      <c r="BC460" s="100">
        <f t="shared" ref="BC460:BC470" si="501">AW460+AX460</f>
        <v>0</v>
      </c>
      <c r="BD460" s="100">
        <f t="shared" ref="BD460:BD470" si="502">H460/(100-BE460)*100</f>
        <v>0</v>
      </c>
      <c r="BE460" s="100">
        <v>0</v>
      </c>
      <c r="BF460" s="100">
        <f>460</f>
        <v>460</v>
      </c>
      <c r="BH460" s="108">
        <f t="shared" ref="BH460:BH470" si="503">G460*AO460</f>
        <v>0</v>
      </c>
      <c r="BI460" s="108">
        <f t="shared" ref="BI460:BI470" si="504">G460*AP460</f>
        <v>0</v>
      </c>
      <c r="BJ460" s="108">
        <f t="shared" ref="BJ460:BJ470" si="505">G460*H460</f>
        <v>0</v>
      </c>
    </row>
    <row r="461" spans="1:62" x14ac:dyDescent="0.2">
      <c r="A461" s="117" t="s">
        <v>414</v>
      </c>
      <c r="B461" s="117" t="s">
        <v>909</v>
      </c>
      <c r="C461" s="304" t="s">
        <v>1498</v>
      </c>
      <c r="D461" s="305"/>
      <c r="E461" s="305"/>
      <c r="F461" s="117" t="s">
        <v>1644</v>
      </c>
      <c r="G461" s="116">
        <v>1</v>
      </c>
      <c r="H461" s="159"/>
      <c r="I461" s="108">
        <f t="shared" si="484"/>
        <v>0</v>
      </c>
      <c r="J461" s="108">
        <f t="shared" si="485"/>
        <v>0</v>
      </c>
      <c r="K461" s="108">
        <f t="shared" si="486"/>
        <v>0</v>
      </c>
      <c r="L461" s="111" t="s">
        <v>1671</v>
      </c>
      <c r="Z461" s="100">
        <f t="shared" si="487"/>
        <v>0</v>
      </c>
      <c r="AB461" s="100">
        <f t="shared" si="488"/>
        <v>0</v>
      </c>
      <c r="AC461" s="100">
        <f t="shared" si="489"/>
        <v>0</v>
      </c>
      <c r="AD461" s="100">
        <f t="shared" si="490"/>
        <v>0</v>
      </c>
      <c r="AE461" s="100">
        <f t="shared" si="491"/>
        <v>0</v>
      </c>
      <c r="AF461" s="100">
        <f t="shared" si="492"/>
        <v>0</v>
      </c>
      <c r="AG461" s="100">
        <f t="shared" si="493"/>
        <v>0</v>
      </c>
      <c r="AH461" s="100">
        <f t="shared" si="494"/>
        <v>0</v>
      </c>
      <c r="AI461" s="109"/>
      <c r="AJ461" s="108">
        <f t="shared" si="495"/>
        <v>0</v>
      </c>
      <c r="AK461" s="108">
        <f t="shared" si="496"/>
        <v>0</v>
      </c>
      <c r="AL461" s="108">
        <f t="shared" si="497"/>
        <v>0</v>
      </c>
      <c r="AN461" s="100">
        <v>15</v>
      </c>
      <c r="AO461" s="100">
        <f>H461*0</f>
        <v>0</v>
      </c>
      <c r="AP461" s="100">
        <f>H461*(1-0)</f>
        <v>0</v>
      </c>
      <c r="AQ461" s="111" t="s">
        <v>13</v>
      </c>
      <c r="AV461" s="100">
        <f t="shared" si="498"/>
        <v>0</v>
      </c>
      <c r="AW461" s="100">
        <f t="shared" si="499"/>
        <v>0</v>
      </c>
      <c r="AX461" s="100">
        <f t="shared" si="500"/>
        <v>0</v>
      </c>
      <c r="AY461" s="110" t="s">
        <v>1717</v>
      </c>
      <c r="AZ461" s="110" t="s">
        <v>1734</v>
      </c>
      <c r="BA461" s="109" t="s">
        <v>1737</v>
      </c>
      <c r="BC461" s="100">
        <f t="shared" si="501"/>
        <v>0</v>
      </c>
      <c r="BD461" s="100">
        <f t="shared" si="502"/>
        <v>0</v>
      </c>
      <c r="BE461" s="100">
        <v>0</v>
      </c>
      <c r="BF461" s="100">
        <f>461</f>
        <v>461</v>
      </c>
      <c r="BH461" s="108">
        <f t="shared" si="503"/>
        <v>0</v>
      </c>
      <c r="BI461" s="108">
        <f t="shared" si="504"/>
        <v>0</v>
      </c>
      <c r="BJ461" s="108">
        <f t="shared" si="505"/>
        <v>0</v>
      </c>
    </row>
    <row r="462" spans="1:62" x14ac:dyDescent="0.2">
      <c r="A462" s="117" t="s">
        <v>415</v>
      </c>
      <c r="B462" s="117" t="s">
        <v>910</v>
      </c>
      <c r="C462" s="304" t="s">
        <v>1499</v>
      </c>
      <c r="D462" s="305"/>
      <c r="E462" s="305"/>
      <c r="F462" s="117" t="s">
        <v>1644</v>
      </c>
      <c r="G462" s="116">
        <v>10</v>
      </c>
      <c r="H462" s="159"/>
      <c r="I462" s="108">
        <f t="shared" si="484"/>
        <v>0</v>
      </c>
      <c r="J462" s="108">
        <f t="shared" si="485"/>
        <v>0</v>
      </c>
      <c r="K462" s="108">
        <f t="shared" si="486"/>
        <v>0</v>
      </c>
      <c r="L462" s="111" t="s">
        <v>1671</v>
      </c>
      <c r="Z462" s="100">
        <f t="shared" si="487"/>
        <v>0</v>
      </c>
      <c r="AB462" s="100">
        <f t="shared" si="488"/>
        <v>0</v>
      </c>
      <c r="AC462" s="100">
        <f t="shared" si="489"/>
        <v>0</v>
      </c>
      <c r="AD462" s="100">
        <f t="shared" si="490"/>
        <v>0</v>
      </c>
      <c r="AE462" s="100">
        <f t="shared" si="491"/>
        <v>0</v>
      </c>
      <c r="AF462" s="100">
        <f t="shared" si="492"/>
        <v>0</v>
      </c>
      <c r="AG462" s="100">
        <f t="shared" si="493"/>
        <v>0</v>
      </c>
      <c r="AH462" s="100">
        <f t="shared" si="494"/>
        <v>0</v>
      </c>
      <c r="AI462" s="109"/>
      <c r="AJ462" s="108">
        <f t="shared" si="495"/>
        <v>0</v>
      </c>
      <c r="AK462" s="108">
        <f t="shared" si="496"/>
        <v>0</v>
      </c>
      <c r="AL462" s="108">
        <f t="shared" si="497"/>
        <v>0</v>
      </c>
      <c r="AN462" s="100">
        <v>15</v>
      </c>
      <c r="AO462" s="100">
        <f>H462*0</f>
        <v>0</v>
      </c>
      <c r="AP462" s="100">
        <f>H462*(1-0)</f>
        <v>0</v>
      </c>
      <c r="AQ462" s="111" t="s">
        <v>13</v>
      </c>
      <c r="AV462" s="100">
        <f t="shared" si="498"/>
        <v>0</v>
      </c>
      <c r="AW462" s="100">
        <f t="shared" si="499"/>
        <v>0</v>
      </c>
      <c r="AX462" s="100">
        <f t="shared" si="500"/>
        <v>0</v>
      </c>
      <c r="AY462" s="110" t="s">
        <v>1717</v>
      </c>
      <c r="AZ462" s="110" t="s">
        <v>1734</v>
      </c>
      <c r="BA462" s="109" t="s">
        <v>1737</v>
      </c>
      <c r="BC462" s="100">
        <f t="shared" si="501"/>
        <v>0</v>
      </c>
      <c r="BD462" s="100">
        <f t="shared" si="502"/>
        <v>0</v>
      </c>
      <c r="BE462" s="100">
        <v>0</v>
      </c>
      <c r="BF462" s="100">
        <f>462</f>
        <v>462</v>
      </c>
      <c r="BH462" s="108">
        <f t="shared" si="503"/>
        <v>0</v>
      </c>
      <c r="BI462" s="108">
        <f t="shared" si="504"/>
        <v>0</v>
      </c>
      <c r="BJ462" s="108">
        <f t="shared" si="505"/>
        <v>0</v>
      </c>
    </row>
    <row r="463" spans="1:62" x14ac:dyDescent="0.2">
      <c r="A463" s="117" t="s">
        <v>416</v>
      </c>
      <c r="B463" s="117" t="s">
        <v>913</v>
      </c>
      <c r="C463" s="304" t="s">
        <v>1502</v>
      </c>
      <c r="D463" s="305"/>
      <c r="E463" s="305"/>
      <c r="F463" s="117" t="s">
        <v>1644</v>
      </c>
      <c r="G463" s="116">
        <v>2</v>
      </c>
      <c r="H463" s="159"/>
      <c r="I463" s="108">
        <f t="shared" si="484"/>
        <v>0</v>
      </c>
      <c r="J463" s="108">
        <f t="shared" si="485"/>
        <v>0</v>
      </c>
      <c r="K463" s="108">
        <f t="shared" si="486"/>
        <v>0</v>
      </c>
      <c r="L463" s="111" t="s">
        <v>1671</v>
      </c>
      <c r="Z463" s="100">
        <f t="shared" si="487"/>
        <v>0</v>
      </c>
      <c r="AB463" s="100">
        <f t="shared" si="488"/>
        <v>0</v>
      </c>
      <c r="AC463" s="100">
        <f t="shared" si="489"/>
        <v>0</v>
      </c>
      <c r="AD463" s="100">
        <f t="shared" si="490"/>
        <v>0</v>
      </c>
      <c r="AE463" s="100">
        <f t="shared" si="491"/>
        <v>0</v>
      </c>
      <c r="AF463" s="100">
        <f t="shared" si="492"/>
        <v>0</v>
      </c>
      <c r="AG463" s="100">
        <f t="shared" si="493"/>
        <v>0</v>
      </c>
      <c r="AH463" s="100">
        <f t="shared" si="494"/>
        <v>0</v>
      </c>
      <c r="AI463" s="109"/>
      <c r="AJ463" s="108">
        <f t="shared" si="495"/>
        <v>0</v>
      </c>
      <c r="AK463" s="108">
        <f t="shared" si="496"/>
        <v>0</v>
      </c>
      <c r="AL463" s="108">
        <f t="shared" si="497"/>
        <v>0</v>
      </c>
      <c r="AN463" s="100">
        <v>15</v>
      </c>
      <c r="AO463" s="100">
        <f>H463*0</f>
        <v>0</v>
      </c>
      <c r="AP463" s="100">
        <f>H463*(1-0)</f>
        <v>0</v>
      </c>
      <c r="AQ463" s="111" t="s">
        <v>13</v>
      </c>
      <c r="AV463" s="100">
        <f t="shared" si="498"/>
        <v>0</v>
      </c>
      <c r="AW463" s="100">
        <f t="shared" si="499"/>
        <v>0</v>
      </c>
      <c r="AX463" s="100">
        <f t="shared" si="500"/>
        <v>0</v>
      </c>
      <c r="AY463" s="110" t="s">
        <v>1717</v>
      </c>
      <c r="AZ463" s="110" t="s">
        <v>1734</v>
      </c>
      <c r="BA463" s="109" t="s">
        <v>1737</v>
      </c>
      <c r="BC463" s="100">
        <f t="shared" si="501"/>
        <v>0</v>
      </c>
      <c r="BD463" s="100">
        <f t="shared" si="502"/>
        <v>0</v>
      </c>
      <c r="BE463" s="100">
        <v>0</v>
      </c>
      <c r="BF463" s="100">
        <f>463</f>
        <v>463</v>
      </c>
      <c r="BH463" s="108">
        <f t="shared" si="503"/>
        <v>0</v>
      </c>
      <c r="BI463" s="108">
        <f t="shared" si="504"/>
        <v>0</v>
      </c>
      <c r="BJ463" s="108">
        <f t="shared" si="505"/>
        <v>0</v>
      </c>
    </row>
    <row r="464" spans="1:62" x14ac:dyDescent="0.2">
      <c r="A464" s="117" t="s">
        <v>417</v>
      </c>
      <c r="B464" s="117" t="s">
        <v>914</v>
      </c>
      <c r="C464" s="304" t="s">
        <v>1503</v>
      </c>
      <c r="D464" s="305"/>
      <c r="E464" s="305"/>
      <c r="F464" s="117" t="s">
        <v>1644</v>
      </c>
      <c r="G464" s="116">
        <v>2</v>
      </c>
      <c r="H464" s="159"/>
      <c r="I464" s="108">
        <f t="shared" si="484"/>
        <v>0</v>
      </c>
      <c r="J464" s="108">
        <f t="shared" si="485"/>
        <v>0</v>
      </c>
      <c r="K464" s="108">
        <f t="shared" si="486"/>
        <v>0</v>
      </c>
      <c r="L464" s="111" t="s">
        <v>1671</v>
      </c>
      <c r="Z464" s="100">
        <f t="shared" si="487"/>
        <v>0</v>
      </c>
      <c r="AB464" s="100">
        <f t="shared" si="488"/>
        <v>0</v>
      </c>
      <c r="AC464" s="100">
        <f t="shared" si="489"/>
        <v>0</v>
      </c>
      <c r="AD464" s="100">
        <f t="shared" si="490"/>
        <v>0</v>
      </c>
      <c r="AE464" s="100">
        <f t="shared" si="491"/>
        <v>0</v>
      </c>
      <c r="AF464" s="100">
        <f t="shared" si="492"/>
        <v>0</v>
      </c>
      <c r="AG464" s="100">
        <f t="shared" si="493"/>
        <v>0</v>
      </c>
      <c r="AH464" s="100">
        <f t="shared" si="494"/>
        <v>0</v>
      </c>
      <c r="AI464" s="109"/>
      <c r="AJ464" s="108">
        <f t="shared" si="495"/>
        <v>0</v>
      </c>
      <c r="AK464" s="108">
        <f t="shared" si="496"/>
        <v>0</v>
      </c>
      <c r="AL464" s="108">
        <f t="shared" si="497"/>
        <v>0</v>
      </c>
      <c r="AN464" s="100">
        <v>15</v>
      </c>
      <c r="AO464" s="100">
        <f>H464*0</f>
        <v>0</v>
      </c>
      <c r="AP464" s="100">
        <f>H464*(1-0)</f>
        <v>0</v>
      </c>
      <c r="AQ464" s="111" t="s">
        <v>13</v>
      </c>
      <c r="AV464" s="100">
        <f t="shared" si="498"/>
        <v>0</v>
      </c>
      <c r="AW464" s="100">
        <f t="shared" si="499"/>
        <v>0</v>
      </c>
      <c r="AX464" s="100">
        <f t="shared" si="500"/>
        <v>0</v>
      </c>
      <c r="AY464" s="110" t="s">
        <v>1717</v>
      </c>
      <c r="AZ464" s="110" t="s">
        <v>1734</v>
      </c>
      <c r="BA464" s="109" t="s">
        <v>1737</v>
      </c>
      <c r="BC464" s="100">
        <f t="shared" si="501"/>
        <v>0</v>
      </c>
      <c r="BD464" s="100">
        <f t="shared" si="502"/>
        <v>0</v>
      </c>
      <c r="BE464" s="100">
        <v>0</v>
      </c>
      <c r="BF464" s="100">
        <f>464</f>
        <v>464</v>
      </c>
      <c r="BH464" s="108">
        <f t="shared" si="503"/>
        <v>0</v>
      </c>
      <c r="BI464" s="108">
        <f t="shared" si="504"/>
        <v>0</v>
      </c>
      <c r="BJ464" s="108">
        <f t="shared" si="505"/>
        <v>0</v>
      </c>
    </row>
    <row r="465" spans="1:62" x14ac:dyDescent="0.2">
      <c r="A465" s="117" t="s">
        <v>418</v>
      </c>
      <c r="B465" s="117" t="s">
        <v>916</v>
      </c>
      <c r="C465" s="304" t="s">
        <v>1505</v>
      </c>
      <c r="D465" s="305"/>
      <c r="E465" s="305"/>
      <c r="F465" s="117" t="s">
        <v>1644</v>
      </c>
      <c r="G465" s="116">
        <v>1</v>
      </c>
      <c r="H465" s="159"/>
      <c r="I465" s="108">
        <f t="shared" si="484"/>
        <v>0</v>
      </c>
      <c r="J465" s="108">
        <f t="shared" si="485"/>
        <v>0</v>
      </c>
      <c r="K465" s="108">
        <f t="shared" si="486"/>
        <v>0</v>
      </c>
      <c r="L465" s="111" t="s">
        <v>1671</v>
      </c>
      <c r="Z465" s="100">
        <f t="shared" si="487"/>
        <v>0</v>
      </c>
      <c r="AB465" s="100">
        <f t="shared" si="488"/>
        <v>0</v>
      </c>
      <c r="AC465" s="100">
        <f t="shared" si="489"/>
        <v>0</v>
      </c>
      <c r="AD465" s="100">
        <f t="shared" si="490"/>
        <v>0</v>
      </c>
      <c r="AE465" s="100">
        <f t="shared" si="491"/>
        <v>0</v>
      </c>
      <c r="AF465" s="100">
        <f t="shared" si="492"/>
        <v>0</v>
      </c>
      <c r="AG465" s="100">
        <f t="shared" si="493"/>
        <v>0</v>
      </c>
      <c r="AH465" s="100">
        <f t="shared" si="494"/>
        <v>0</v>
      </c>
      <c r="AI465" s="109"/>
      <c r="AJ465" s="108">
        <f t="shared" si="495"/>
        <v>0</v>
      </c>
      <c r="AK465" s="108">
        <f t="shared" si="496"/>
        <v>0</v>
      </c>
      <c r="AL465" s="108">
        <f t="shared" si="497"/>
        <v>0</v>
      </c>
      <c r="AN465" s="100">
        <v>15</v>
      </c>
      <c r="AO465" s="100">
        <f>H465*0.0282374100719424</f>
        <v>0</v>
      </c>
      <c r="AP465" s="100">
        <f>H465*(1-0.0282374100719424)</f>
        <v>0</v>
      </c>
      <c r="AQ465" s="111" t="s">
        <v>13</v>
      </c>
      <c r="AV465" s="100">
        <f t="shared" si="498"/>
        <v>0</v>
      </c>
      <c r="AW465" s="100">
        <f t="shared" si="499"/>
        <v>0</v>
      </c>
      <c r="AX465" s="100">
        <f t="shared" si="500"/>
        <v>0</v>
      </c>
      <c r="AY465" s="110" t="s">
        <v>1717</v>
      </c>
      <c r="AZ465" s="110" t="s">
        <v>1734</v>
      </c>
      <c r="BA465" s="109" t="s">
        <v>1737</v>
      </c>
      <c r="BC465" s="100">
        <f t="shared" si="501"/>
        <v>0</v>
      </c>
      <c r="BD465" s="100">
        <f t="shared" si="502"/>
        <v>0</v>
      </c>
      <c r="BE465" s="100">
        <v>0</v>
      </c>
      <c r="BF465" s="100">
        <f>465</f>
        <v>465</v>
      </c>
      <c r="BH465" s="108">
        <f t="shared" si="503"/>
        <v>0</v>
      </c>
      <c r="BI465" s="108">
        <f t="shared" si="504"/>
        <v>0</v>
      </c>
      <c r="BJ465" s="108">
        <f t="shared" si="505"/>
        <v>0</v>
      </c>
    </row>
    <row r="466" spans="1:62" x14ac:dyDescent="0.2">
      <c r="A466" s="117" t="s">
        <v>419</v>
      </c>
      <c r="B466" s="117" t="s">
        <v>918</v>
      </c>
      <c r="C466" s="304" t="s">
        <v>1986</v>
      </c>
      <c r="D466" s="305"/>
      <c r="E466" s="305"/>
      <c r="F466" s="117" t="s">
        <v>1644</v>
      </c>
      <c r="G466" s="116">
        <v>2</v>
      </c>
      <c r="H466" s="159"/>
      <c r="I466" s="108">
        <f t="shared" si="484"/>
        <v>0</v>
      </c>
      <c r="J466" s="108">
        <f t="shared" si="485"/>
        <v>0</v>
      </c>
      <c r="K466" s="108">
        <f t="shared" si="486"/>
        <v>0</v>
      </c>
      <c r="L466" s="111" t="s">
        <v>1671</v>
      </c>
      <c r="Z466" s="100">
        <f t="shared" si="487"/>
        <v>0</v>
      </c>
      <c r="AB466" s="100">
        <f t="shared" si="488"/>
        <v>0</v>
      </c>
      <c r="AC466" s="100">
        <f t="shared" si="489"/>
        <v>0</v>
      </c>
      <c r="AD466" s="100">
        <f t="shared" si="490"/>
        <v>0</v>
      </c>
      <c r="AE466" s="100">
        <f t="shared" si="491"/>
        <v>0</v>
      </c>
      <c r="AF466" s="100">
        <f t="shared" si="492"/>
        <v>0</v>
      </c>
      <c r="AG466" s="100">
        <f t="shared" si="493"/>
        <v>0</v>
      </c>
      <c r="AH466" s="100">
        <f t="shared" si="494"/>
        <v>0</v>
      </c>
      <c r="AI466" s="109"/>
      <c r="AJ466" s="108">
        <f t="shared" si="495"/>
        <v>0</v>
      </c>
      <c r="AK466" s="108">
        <f t="shared" si="496"/>
        <v>0</v>
      </c>
      <c r="AL466" s="108">
        <f t="shared" si="497"/>
        <v>0</v>
      </c>
      <c r="AN466" s="100">
        <v>15</v>
      </c>
      <c r="AO466" s="100">
        <f>H466*0.719816666666667</f>
        <v>0</v>
      </c>
      <c r="AP466" s="100">
        <f>H466*(1-0.719816666666667)</f>
        <v>0</v>
      </c>
      <c r="AQ466" s="111" t="s">
        <v>13</v>
      </c>
      <c r="AV466" s="100">
        <f t="shared" si="498"/>
        <v>0</v>
      </c>
      <c r="AW466" s="100">
        <f t="shared" si="499"/>
        <v>0</v>
      </c>
      <c r="AX466" s="100">
        <f t="shared" si="500"/>
        <v>0</v>
      </c>
      <c r="AY466" s="110" t="s">
        <v>1717</v>
      </c>
      <c r="AZ466" s="110" t="s">
        <v>1734</v>
      </c>
      <c r="BA466" s="109" t="s">
        <v>1737</v>
      </c>
      <c r="BC466" s="100">
        <f t="shared" si="501"/>
        <v>0</v>
      </c>
      <c r="BD466" s="100">
        <f t="shared" si="502"/>
        <v>0</v>
      </c>
      <c r="BE466" s="100">
        <v>0</v>
      </c>
      <c r="BF466" s="100">
        <f>466</f>
        <v>466</v>
      </c>
      <c r="BH466" s="108">
        <f t="shared" si="503"/>
        <v>0</v>
      </c>
      <c r="BI466" s="108">
        <f t="shared" si="504"/>
        <v>0</v>
      </c>
      <c r="BJ466" s="108">
        <f t="shared" si="505"/>
        <v>0</v>
      </c>
    </row>
    <row r="467" spans="1:62" x14ac:dyDescent="0.2">
      <c r="A467" s="117" t="s">
        <v>420</v>
      </c>
      <c r="B467" s="117" t="s">
        <v>919</v>
      </c>
      <c r="C467" s="304" t="s">
        <v>1508</v>
      </c>
      <c r="D467" s="305"/>
      <c r="E467" s="305"/>
      <c r="F467" s="117" t="s">
        <v>1644</v>
      </c>
      <c r="G467" s="116">
        <v>2</v>
      </c>
      <c r="H467" s="159"/>
      <c r="I467" s="108">
        <f t="shared" si="484"/>
        <v>0</v>
      </c>
      <c r="J467" s="108">
        <f t="shared" si="485"/>
        <v>0</v>
      </c>
      <c r="K467" s="108">
        <f t="shared" si="486"/>
        <v>0</v>
      </c>
      <c r="L467" s="111" t="s">
        <v>1671</v>
      </c>
      <c r="Z467" s="100">
        <f t="shared" si="487"/>
        <v>0</v>
      </c>
      <c r="AB467" s="100">
        <f t="shared" si="488"/>
        <v>0</v>
      </c>
      <c r="AC467" s="100">
        <f t="shared" si="489"/>
        <v>0</v>
      </c>
      <c r="AD467" s="100">
        <f t="shared" si="490"/>
        <v>0</v>
      </c>
      <c r="AE467" s="100">
        <f t="shared" si="491"/>
        <v>0</v>
      </c>
      <c r="AF467" s="100">
        <f t="shared" si="492"/>
        <v>0</v>
      </c>
      <c r="AG467" s="100">
        <f t="shared" si="493"/>
        <v>0</v>
      </c>
      <c r="AH467" s="100">
        <f t="shared" si="494"/>
        <v>0</v>
      </c>
      <c r="AI467" s="109"/>
      <c r="AJ467" s="108">
        <f t="shared" si="495"/>
        <v>0</v>
      </c>
      <c r="AK467" s="108">
        <f t="shared" si="496"/>
        <v>0</v>
      </c>
      <c r="AL467" s="108">
        <f t="shared" si="497"/>
        <v>0</v>
      </c>
      <c r="AN467" s="100">
        <v>15</v>
      </c>
      <c r="AO467" s="100">
        <f>H467*0.71976</f>
        <v>0</v>
      </c>
      <c r="AP467" s="100">
        <f>H467*(1-0.71976)</f>
        <v>0</v>
      </c>
      <c r="AQ467" s="111" t="s">
        <v>13</v>
      </c>
      <c r="AV467" s="100">
        <f t="shared" si="498"/>
        <v>0</v>
      </c>
      <c r="AW467" s="100">
        <f t="shared" si="499"/>
        <v>0</v>
      </c>
      <c r="AX467" s="100">
        <f t="shared" si="500"/>
        <v>0</v>
      </c>
      <c r="AY467" s="110" t="s">
        <v>1717</v>
      </c>
      <c r="AZ467" s="110" t="s">
        <v>1734</v>
      </c>
      <c r="BA467" s="109" t="s">
        <v>1737</v>
      </c>
      <c r="BC467" s="100">
        <f t="shared" si="501"/>
        <v>0</v>
      </c>
      <c r="BD467" s="100">
        <f t="shared" si="502"/>
        <v>0</v>
      </c>
      <c r="BE467" s="100">
        <v>0</v>
      </c>
      <c r="BF467" s="100">
        <f>467</f>
        <v>467</v>
      </c>
      <c r="BH467" s="108">
        <f t="shared" si="503"/>
        <v>0</v>
      </c>
      <c r="BI467" s="108">
        <f t="shared" si="504"/>
        <v>0</v>
      </c>
      <c r="BJ467" s="108">
        <f t="shared" si="505"/>
        <v>0</v>
      </c>
    </row>
    <row r="468" spans="1:62" x14ac:dyDescent="0.2">
      <c r="A468" s="117" t="s">
        <v>421</v>
      </c>
      <c r="B468" s="117" t="s">
        <v>917</v>
      </c>
      <c r="C468" s="304" t="s">
        <v>1506</v>
      </c>
      <c r="D468" s="305"/>
      <c r="E468" s="305"/>
      <c r="F468" s="117" t="s">
        <v>1644</v>
      </c>
      <c r="G468" s="116">
        <v>1</v>
      </c>
      <c r="H468" s="159"/>
      <c r="I468" s="108">
        <f t="shared" si="484"/>
        <v>0</v>
      </c>
      <c r="J468" s="108">
        <f t="shared" si="485"/>
        <v>0</v>
      </c>
      <c r="K468" s="108">
        <f t="shared" si="486"/>
        <v>0</v>
      </c>
      <c r="L468" s="111" t="s">
        <v>1671</v>
      </c>
      <c r="Z468" s="100">
        <f t="shared" si="487"/>
        <v>0</v>
      </c>
      <c r="AB468" s="100">
        <f t="shared" si="488"/>
        <v>0</v>
      </c>
      <c r="AC468" s="100">
        <f t="shared" si="489"/>
        <v>0</v>
      </c>
      <c r="AD468" s="100">
        <f t="shared" si="490"/>
        <v>0</v>
      </c>
      <c r="AE468" s="100">
        <f t="shared" si="491"/>
        <v>0</v>
      </c>
      <c r="AF468" s="100">
        <f t="shared" si="492"/>
        <v>0</v>
      </c>
      <c r="AG468" s="100">
        <f t="shared" si="493"/>
        <v>0</v>
      </c>
      <c r="AH468" s="100">
        <f t="shared" si="494"/>
        <v>0</v>
      </c>
      <c r="AI468" s="109"/>
      <c r="AJ468" s="108">
        <f t="shared" si="495"/>
        <v>0</v>
      </c>
      <c r="AK468" s="108">
        <f t="shared" si="496"/>
        <v>0</v>
      </c>
      <c r="AL468" s="108">
        <f t="shared" si="497"/>
        <v>0</v>
      </c>
      <c r="AN468" s="100">
        <v>15</v>
      </c>
      <c r="AO468" s="100">
        <f>H468*0.781246328125</f>
        <v>0</v>
      </c>
      <c r="AP468" s="100">
        <f>H468*(1-0.781246328125)</f>
        <v>0</v>
      </c>
      <c r="AQ468" s="111" t="s">
        <v>13</v>
      </c>
      <c r="AV468" s="100">
        <f t="shared" si="498"/>
        <v>0</v>
      </c>
      <c r="AW468" s="100">
        <f t="shared" si="499"/>
        <v>0</v>
      </c>
      <c r="AX468" s="100">
        <f t="shared" si="500"/>
        <v>0</v>
      </c>
      <c r="AY468" s="110" t="s">
        <v>1717</v>
      </c>
      <c r="AZ468" s="110" t="s">
        <v>1734</v>
      </c>
      <c r="BA468" s="109" t="s">
        <v>1737</v>
      </c>
      <c r="BC468" s="100">
        <f t="shared" si="501"/>
        <v>0</v>
      </c>
      <c r="BD468" s="100">
        <f t="shared" si="502"/>
        <v>0</v>
      </c>
      <c r="BE468" s="100">
        <v>0</v>
      </c>
      <c r="BF468" s="100">
        <f>468</f>
        <v>468</v>
      </c>
      <c r="BH468" s="108">
        <f t="shared" si="503"/>
        <v>0</v>
      </c>
      <c r="BI468" s="108">
        <f t="shared" si="504"/>
        <v>0</v>
      </c>
      <c r="BJ468" s="108">
        <f t="shared" si="505"/>
        <v>0</v>
      </c>
    </row>
    <row r="469" spans="1:62" x14ac:dyDescent="0.2">
      <c r="A469" s="117" t="s">
        <v>422</v>
      </c>
      <c r="B469" s="117" t="s">
        <v>920</v>
      </c>
      <c r="C469" s="304" t="s">
        <v>1509</v>
      </c>
      <c r="D469" s="305"/>
      <c r="E469" s="305"/>
      <c r="F469" s="117" t="s">
        <v>1644</v>
      </c>
      <c r="G469" s="116">
        <v>2</v>
      </c>
      <c r="H469" s="159"/>
      <c r="I469" s="108">
        <f t="shared" si="484"/>
        <v>0</v>
      </c>
      <c r="J469" s="108">
        <f t="shared" si="485"/>
        <v>0</v>
      </c>
      <c r="K469" s="108">
        <f t="shared" si="486"/>
        <v>0</v>
      </c>
      <c r="L469" s="111" t="s">
        <v>1671</v>
      </c>
      <c r="Z469" s="100">
        <f t="shared" si="487"/>
        <v>0</v>
      </c>
      <c r="AB469" s="100">
        <f t="shared" si="488"/>
        <v>0</v>
      </c>
      <c r="AC469" s="100">
        <f t="shared" si="489"/>
        <v>0</v>
      </c>
      <c r="AD469" s="100">
        <f t="shared" si="490"/>
        <v>0</v>
      </c>
      <c r="AE469" s="100">
        <f t="shared" si="491"/>
        <v>0</v>
      </c>
      <c r="AF469" s="100">
        <f t="shared" si="492"/>
        <v>0</v>
      </c>
      <c r="AG469" s="100">
        <f t="shared" si="493"/>
        <v>0</v>
      </c>
      <c r="AH469" s="100">
        <f t="shared" si="494"/>
        <v>0</v>
      </c>
      <c r="AI469" s="109"/>
      <c r="AJ469" s="108">
        <f t="shared" si="495"/>
        <v>0</v>
      </c>
      <c r="AK469" s="108">
        <f t="shared" si="496"/>
        <v>0</v>
      </c>
      <c r="AL469" s="108">
        <f t="shared" si="497"/>
        <v>0</v>
      </c>
      <c r="AN469" s="100">
        <v>15</v>
      </c>
      <c r="AO469" s="100">
        <f>H469*0</f>
        <v>0</v>
      </c>
      <c r="AP469" s="100">
        <f>H469*(1-0)</f>
        <v>0</v>
      </c>
      <c r="AQ469" s="111" t="s">
        <v>13</v>
      </c>
      <c r="AV469" s="100">
        <f t="shared" si="498"/>
        <v>0</v>
      </c>
      <c r="AW469" s="100">
        <f t="shared" si="499"/>
        <v>0</v>
      </c>
      <c r="AX469" s="100">
        <f t="shared" si="500"/>
        <v>0</v>
      </c>
      <c r="AY469" s="110" t="s">
        <v>1717</v>
      </c>
      <c r="AZ469" s="110" t="s">
        <v>1734</v>
      </c>
      <c r="BA469" s="109" t="s">
        <v>1737</v>
      </c>
      <c r="BC469" s="100">
        <f t="shared" si="501"/>
        <v>0</v>
      </c>
      <c r="BD469" s="100">
        <f t="shared" si="502"/>
        <v>0</v>
      </c>
      <c r="BE469" s="100">
        <v>0</v>
      </c>
      <c r="BF469" s="100">
        <f>469</f>
        <v>469</v>
      </c>
      <c r="BH469" s="108">
        <f t="shared" si="503"/>
        <v>0</v>
      </c>
      <c r="BI469" s="108">
        <f t="shared" si="504"/>
        <v>0</v>
      </c>
      <c r="BJ469" s="108">
        <f t="shared" si="505"/>
        <v>0</v>
      </c>
    </row>
    <row r="470" spans="1:62" x14ac:dyDescent="0.2">
      <c r="A470" s="117" t="s">
        <v>423</v>
      </c>
      <c r="B470" s="117" t="s">
        <v>921</v>
      </c>
      <c r="C470" s="304" t="s">
        <v>1510</v>
      </c>
      <c r="D470" s="305"/>
      <c r="E470" s="305"/>
      <c r="F470" s="117" t="s">
        <v>1648</v>
      </c>
      <c r="G470" s="116">
        <v>0.72099999999999997</v>
      </c>
      <c r="H470" s="159"/>
      <c r="I470" s="108">
        <f t="shared" si="484"/>
        <v>0</v>
      </c>
      <c r="J470" s="108">
        <f t="shared" si="485"/>
        <v>0</v>
      </c>
      <c r="K470" s="108">
        <f t="shared" si="486"/>
        <v>0</v>
      </c>
      <c r="L470" s="111" t="s">
        <v>1671</v>
      </c>
      <c r="Z470" s="100">
        <f t="shared" si="487"/>
        <v>0</v>
      </c>
      <c r="AB470" s="100">
        <f t="shared" si="488"/>
        <v>0</v>
      </c>
      <c r="AC470" s="100">
        <f t="shared" si="489"/>
        <v>0</v>
      </c>
      <c r="AD470" s="100">
        <f t="shared" si="490"/>
        <v>0</v>
      </c>
      <c r="AE470" s="100">
        <f t="shared" si="491"/>
        <v>0</v>
      </c>
      <c r="AF470" s="100">
        <f t="shared" si="492"/>
        <v>0</v>
      </c>
      <c r="AG470" s="100">
        <f t="shared" si="493"/>
        <v>0</v>
      </c>
      <c r="AH470" s="100">
        <f t="shared" si="494"/>
        <v>0</v>
      </c>
      <c r="AI470" s="109"/>
      <c r="AJ470" s="108">
        <f t="shared" si="495"/>
        <v>0</v>
      </c>
      <c r="AK470" s="108">
        <f t="shared" si="496"/>
        <v>0</v>
      </c>
      <c r="AL470" s="108">
        <f t="shared" si="497"/>
        <v>0</v>
      </c>
      <c r="AN470" s="100">
        <v>15</v>
      </c>
      <c r="AO470" s="100">
        <f>H470*0</f>
        <v>0</v>
      </c>
      <c r="AP470" s="100">
        <f>H470*(1-0)</f>
        <v>0</v>
      </c>
      <c r="AQ470" s="111" t="s">
        <v>11</v>
      </c>
      <c r="AV470" s="100">
        <f t="shared" si="498"/>
        <v>0</v>
      </c>
      <c r="AW470" s="100">
        <f t="shared" si="499"/>
        <v>0</v>
      </c>
      <c r="AX470" s="100">
        <f t="shared" si="500"/>
        <v>0</v>
      </c>
      <c r="AY470" s="110" t="s">
        <v>1717</v>
      </c>
      <c r="AZ470" s="110" t="s">
        <v>1734</v>
      </c>
      <c r="BA470" s="109" t="s">
        <v>1737</v>
      </c>
      <c r="BC470" s="100">
        <f t="shared" si="501"/>
        <v>0</v>
      </c>
      <c r="BD470" s="100">
        <f t="shared" si="502"/>
        <v>0</v>
      </c>
      <c r="BE470" s="100">
        <v>0</v>
      </c>
      <c r="BF470" s="100">
        <f>470</f>
        <v>470</v>
      </c>
      <c r="BH470" s="108">
        <f t="shared" si="503"/>
        <v>0</v>
      </c>
      <c r="BI470" s="108">
        <f t="shared" si="504"/>
        <v>0</v>
      </c>
      <c r="BJ470" s="108">
        <f t="shared" si="505"/>
        <v>0</v>
      </c>
    </row>
    <row r="471" spans="1:62" x14ac:dyDescent="0.2">
      <c r="A471" s="119"/>
      <c r="B471" s="120" t="s">
        <v>922</v>
      </c>
      <c r="C471" s="306" t="s">
        <v>1511</v>
      </c>
      <c r="D471" s="307"/>
      <c r="E471" s="307"/>
      <c r="F471" s="119" t="s">
        <v>6</v>
      </c>
      <c r="G471" s="119" t="s">
        <v>6</v>
      </c>
      <c r="H471" s="119" t="s">
        <v>6</v>
      </c>
      <c r="I471" s="118">
        <f>SUM(I472:I478)</f>
        <v>0</v>
      </c>
      <c r="J471" s="118">
        <f>SUM(J472:J478)</f>
        <v>0</v>
      </c>
      <c r="K471" s="118">
        <f>SUM(K472:K478)</f>
        <v>0</v>
      </c>
      <c r="L471" s="109"/>
      <c r="AI471" s="109"/>
      <c r="AS471" s="118">
        <f>SUM(AJ472:AJ478)</f>
        <v>0</v>
      </c>
      <c r="AT471" s="118">
        <f>SUM(AK472:AK478)</f>
        <v>0</v>
      </c>
      <c r="AU471" s="118">
        <f>SUM(AL472:AL478)</f>
        <v>0</v>
      </c>
    </row>
    <row r="472" spans="1:62" x14ac:dyDescent="0.2">
      <c r="A472" s="117" t="s">
        <v>424</v>
      </c>
      <c r="B472" s="117" t="s">
        <v>923</v>
      </c>
      <c r="C472" s="304" t="s">
        <v>1512</v>
      </c>
      <c r="D472" s="305"/>
      <c r="E472" s="305"/>
      <c r="F472" s="117" t="s">
        <v>1645</v>
      </c>
      <c r="G472" s="116">
        <v>8.9760000000000009</v>
      </c>
      <c r="H472" s="159"/>
      <c r="I472" s="108">
        <f t="shared" ref="I472:I478" si="506">G472*AO472</f>
        <v>0</v>
      </c>
      <c r="J472" s="108">
        <f t="shared" ref="J472:J478" si="507">G472*AP472</f>
        <v>0</v>
      </c>
      <c r="K472" s="108">
        <f t="shared" ref="K472:K478" si="508">G472*H472</f>
        <v>0</v>
      </c>
      <c r="L472" s="111" t="s">
        <v>1671</v>
      </c>
      <c r="Z472" s="100">
        <f t="shared" ref="Z472:Z478" si="509">IF(AQ472="5",BJ472,0)</f>
        <v>0</v>
      </c>
      <c r="AB472" s="100">
        <f t="shared" ref="AB472:AB478" si="510">IF(AQ472="1",BH472,0)</f>
        <v>0</v>
      </c>
      <c r="AC472" s="100">
        <f t="shared" ref="AC472:AC478" si="511">IF(AQ472="1",BI472,0)</f>
        <v>0</v>
      </c>
      <c r="AD472" s="100">
        <f t="shared" ref="AD472:AD478" si="512">IF(AQ472="7",BH472,0)</f>
        <v>0</v>
      </c>
      <c r="AE472" s="100">
        <f t="shared" ref="AE472:AE478" si="513">IF(AQ472="7",BI472,0)</f>
        <v>0</v>
      </c>
      <c r="AF472" s="100">
        <f t="shared" ref="AF472:AF478" si="514">IF(AQ472="2",BH472,0)</f>
        <v>0</v>
      </c>
      <c r="AG472" s="100">
        <f t="shared" ref="AG472:AG478" si="515">IF(AQ472="2",BI472,0)</f>
        <v>0</v>
      </c>
      <c r="AH472" s="100">
        <f t="shared" ref="AH472:AH478" si="516">IF(AQ472="0",BJ472,0)</f>
        <v>0</v>
      </c>
      <c r="AI472" s="109"/>
      <c r="AJ472" s="108">
        <f t="shared" ref="AJ472:AJ478" si="517">IF(AN472=0,K472,0)</f>
        <v>0</v>
      </c>
      <c r="AK472" s="108">
        <f t="shared" ref="AK472:AK478" si="518">IF(AN472=15,K472,0)</f>
        <v>0</v>
      </c>
      <c r="AL472" s="108">
        <f t="shared" ref="AL472:AL478" si="519">IF(AN472=21,K472,0)</f>
        <v>0</v>
      </c>
      <c r="AN472" s="100">
        <v>15</v>
      </c>
      <c r="AO472" s="100">
        <f>H472*0</f>
        <v>0</v>
      </c>
      <c r="AP472" s="100">
        <f>H472*(1-0)</f>
        <v>0</v>
      </c>
      <c r="AQ472" s="111" t="s">
        <v>13</v>
      </c>
      <c r="AV472" s="100">
        <f t="shared" ref="AV472:AV478" si="520">AW472+AX472</f>
        <v>0</v>
      </c>
      <c r="AW472" s="100">
        <f t="shared" ref="AW472:AW478" si="521">G472*AO472</f>
        <v>0</v>
      </c>
      <c r="AX472" s="100">
        <f t="shared" ref="AX472:AX478" si="522">G472*AP472</f>
        <v>0</v>
      </c>
      <c r="AY472" s="110" t="s">
        <v>1718</v>
      </c>
      <c r="AZ472" s="110" t="s">
        <v>1735</v>
      </c>
      <c r="BA472" s="109" t="s">
        <v>1737</v>
      </c>
      <c r="BC472" s="100">
        <f t="shared" ref="BC472:BC478" si="523">AW472+AX472</f>
        <v>0</v>
      </c>
      <c r="BD472" s="100">
        <f t="shared" ref="BD472:BD478" si="524">H472/(100-BE472)*100</f>
        <v>0</v>
      </c>
      <c r="BE472" s="100">
        <v>0</v>
      </c>
      <c r="BF472" s="100">
        <f>472</f>
        <v>472</v>
      </c>
      <c r="BH472" s="108">
        <f t="shared" ref="BH472:BH478" si="525">G472*AO472</f>
        <v>0</v>
      </c>
      <c r="BI472" s="108">
        <f t="shared" ref="BI472:BI478" si="526">G472*AP472</f>
        <v>0</v>
      </c>
      <c r="BJ472" s="108">
        <f t="shared" ref="BJ472:BJ478" si="527">G472*H472</f>
        <v>0</v>
      </c>
    </row>
    <row r="473" spans="1:62" x14ac:dyDescent="0.2">
      <c r="A473" s="117" t="s">
        <v>425</v>
      </c>
      <c r="B473" s="117" t="s">
        <v>924</v>
      </c>
      <c r="C473" s="304" t="s">
        <v>1513</v>
      </c>
      <c r="D473" s="305"/>
      <c r="E473" s="305"/>
      <c r="F473" s="117" t="s">
        <v>1645</v>
      </c>
      <c r="G473" s="116">
        <v>8.9760000000000009</v>
      </c>
      <c r="H473" s="159"/>
      <c r="I473" s="108">
        <f t="shared" si="506"/>
        <v>0</v>
      </c>
      <c r="J473" s="108">
        <f t="shared" si="507"/>
        <v>0</v>
      </c>
      <c r="K473" s="108">
        <f t="shared" si="508"/>
        <v>0</v>
      </c>
      <c r="L473" s="111" t="s">
        <v>1671</v>
      </c>
      <c r="Z473" s="100">
        <f t="shared" si="509"/>
        <v>0</v>
      </c>
      <c r="AB473" s="100">
        <f t="shared" si="510"/>
        <v>0</v>
      </c>
      <c r="AC473" s="100">
        <f t="shared" si="511"/>
        <v>0</v>
      </c>
      <c r="AD473" s="100">
        <f t="shared" si="512"/>
        <v>0</v>
      </c>
      <c r="AE473" s="100">
        <f t="shared" si="513"/>
        <v>0</v>
      </c>
      <c r="AF473" s="100">
        <f t="shared" si="514"/>
        <v>0</v>
      </c>
      <c r="AG473" s="100">
        <f t="shared" si="515"/>
        <v>0</v>
      </c>
      <c r="AH473" s="100">
        <f t="shared" si="516"/>
        <v>0</v>
      </c>
      <c r="AI473" s="109"/>
      <c r="AJ473" s="108">
        <f t="shared" si="517"/>
        <v>0</v>
      </c>
      <c r="AK473" s="108">
        <f t="shared" si="518"/>
        <v>0</v>
      </c>
      <c r="AL473" s="108">
        <f t="shared" si="519"/>
        <v>0</v>
      </c>
      <c r="AN473" s="100">
        <v>15</v>
      </c>
      <c r="AO473" s="100">
        <f>H473*0.476933856502242</f>
        <v>0</v>
      </c>
      <c r="AP473" s="100">
        <f>H473*(1-0.476933856502242)</f>
        <v>0</v>
      </c>
      <c r="AQ473" s="111" t="s">
        <v>13</v>
      </c>
      <c r="AV473" s="100">
        <f t="shared" si="520"/>
        <v>0</v>
      </c>
      <c r="AW473" s="100">
        <f t="shared" si="521"/>
        <v>0</v>
      </c>
      <c r="AX473" s="100">
        <f t="shared" si="522"/>
        <v>0</v>
      </c>
      <c r="AY473" s="110" t="s">
        <v>1718</v>
      </c>
      <c r="AZ473" s="110" t="s">
        <v>1735</v>
      </c>
      <c r="BA473" s="109" t="s">
        <v>1737</v>
      </c>
      <c r="BC473" s="100">
        <f t="shared" si="523"/>
        <v>0</v>
      </c>
      <c r="BD473" s="100">
        <f t="shared" si="524"/>
        <v>0</v>
      </c>
      <c r="BE473" s="100">
        <v>0</v>
      </c>
      <c r="BF473" s="100">
        <f>473</f>
        <v>473</v>
      </c>
      <c r="BH473" s="108">
        <f t="shared" si="525"/>
        <v>0</v>
      </c>
      <c r="BI473" s="108">
        <f t="shared" si="526"/>
        <v>0</v>
      </c>
      <c r="BJ473" s="108">
        <f t="shared" si="527"/>
        <v>0</v>
      </c>
    </row>
    <row r="474" spans="1:62" x14ac:dyDescent="0.2">
      <c r="A474" s="117" t="s">
        <v>426</v>
      </c>
      <c r="B474" s="117" t="s">
        <v>925</v>
      </c>
      <c r="C474" s="304" t="s">
        <v>1514</v>
      </c>
      <c r="D474" s="305"/>
      <c r="E474" s="305"/>
      <c r="F474" s="117" t="s">
        <v>1645</v>
      </c>
      <c r="G474" s="116">
        <v>8.9760000000000009</v>
      </c>
      <c r="H474" s="159"/>
      <c r="I474" s="108">
        <f t="shared" si="506"/>
        <v>0</v>
      </c>
      <c r="J474" s="108">
        <f t="shared" si="507"/>
        <v>0</v>
      </c>
      <c r="K474" s="108">
        <f t="shared" si="508"/>
        <v>0</v>
      </c>
      <c r="L474" s="111" t="s">
        <v>1671</v>
      </c>
      <c r="Z474" s="100">
        <f t="shared" si="509"/>
        <v>0</v>
      </c>
      <c r="AB474" s="100">
        <f t="shared" si="510"/>
        <v>0</v>
      </c>
      <c r="AC474" s="100">
        <f t="shared" si="511"/>
        <v>0</v>
      </c>
      <c r="AD474" s="100">
        <f t="shared" si="512"/>
        <v>0</v>
      </c>
      <c r="AE474" s="100">
        <f t="shared" si="513"/>
        <v>0</v>
      </c>
      <c r="AF474" s="100">
        <f t="shared" si="514"/>
        <v>0</v>
      </c>
      <c r="AG474" s="100">
        <f t="shared" si="515"/>
        <v>0</v>
      </c>
      <c r="AH474" s="100">
        <f t="shared" si="516"/>
        <v>0</v>
      </c>
      <c r="AI474" s="109"/>
      <c r="AJ474" s="108">
        <f t="shared" si="517"/>
        <v>0</v>
      </c>
      <c r="AK474" s="108">
        <f t="shared" si="518"/>
        <v>0</v>
      </c>
      <c r="AL474" s="108">
        <f t="shared" si="519"/>
        <v>0</v>
      </c>
      <c r="AN474" s="100">
        <v>15</v>
      </c>
      <c r="AO474" s="100">
        <f>H474*0</f>
        <v>0</v>
      </c>
      <c r="AP474" s="100">
        <f>H474*(1-0)</f>
        <v>0</v>
      </c>
      <c r="AQ474" s="111" t="s">
        <v>13</v>
      </c>
      <c r="AV474" s="100">
        <f t="shared" si="520"/>
        <v>0</v>
      </c>
      <c r="AW474" s="100">
        <f t="shared" si="521"/>
        <v>0</v>
      </c>
      <c r="AX474" s="100">
        <f t="shared" si="522"/>
        <v>0</v>
      </c>
      <c r="AY474" s="110" t="s">
        <v>1718</v>
      </c>
      <c r="AZ474" s="110" t="s">
        <v>1735</v>
      </c>
      <c r="BA474" s="109" t="s">
        <v>1737</v>
      </c>
      <c r="BC474" s="100">
        <f t="shared" si="523"/>
        <v>0</v>
      </c>
      <c r="BD474" s="100">
        <f t="shared" si="524"/>
        <v>0</v>
      </c>
      <c r="BE474" s="100">
        <v>0</v>
      </c>
      <c r="BF474" s="100">
        <f>474</f>
        <v>474</v>
      </c>
      <c r="BH474" s="108">
        <f t="shared" si="525"/>
        <v>0</v>
      </c>
      <c r="BI474" s="108">
        <f t="shared" si="526"/>
        <v>0</v>
      </c>
      <c r="BJ474" s="108">
        <f t="shared" si="527"/>
        <v>0</v>
      </c>
    </row>
    <row r="475" spans="1:62" x14ac:dyDescent="0.2">
      <c r="A475" s="124" t="s">
        <v>427</v>
      </c>
      <c r="B475" s="124" t="s">
        <v>926</v>
      </c>
      <c r="C475" s="311" t="s">
        <v>1515</v>
      </c>
      <c r="D475" s="312"/>
      <c r="E475" s="312"/>
      <c r="F475" s="124" t="s">
        <v>1645</v>
      </c>
      <c r="G475" s="123">
        <v>9.4250000000000007</v>
      </c>
      <c r="H475" s="160"/>
      <c r="I475" s="121">
        <f t="shared" si="506"/>
        <v>0</v>
      </c>
      <c r="J475" s="121">
        <f t="shared" si="507"/>
        <v>0</v>
      </c>
      <c r="K475" s="121">
        <f t="shared" si="508"/>
        <v>0</v>
      </c>
      <c r="L475" s="122" t="s">
        <v>1671</v>
      </c>
      <c r="Z475" s="100">
        <f t="shared" si="509"/>
        <v>0</v>
      </c>
      <c r="AB475" s="100">
        <f t="shared" si="510"/>
        <v>0</v>
      </c>
      <c r="AC475" s="100">
        <f t="shared" si="511"/>
        <v>0</v>
      </c>
      <c r="AD475" s="100">
        <f t="shared" si="512"/>
        <v>0</v>
      </c>
      <c r="AE475" s="100">
        <f t="shared" si="513"/>
        <v>0</v>
      </c>
      <c r="AF475" s="100">
        <f t="shared" si="514"/>
        <v>0</v>
      </c>
      <c r="AG475" s="100">
        <f t="shared" si="515"/>
        <v>0</v>
      </c>
      <c r="AH475" s="100">
        <f t="shared" si="516"/>
        <v>0</v>
      </c>
      <c r="AI475" s="109"/>
      <c r="AJ475" s="121">
        <f t="shared" si="517"/>
        <v>0</v>
      </c>
      <c r="AK475" s="121">
        <f t="shared" si="518"/>
        <v>0</v>
      </c>
      <c r="AL475" s="121">
        <f t="shared" si="519"/>
        <v>0</v>
      </c>
      <c r="AN475" s="100">
        <v>15</v>
      </c>
      <c r="AO475" s="100">
        <f>H475*1</f>
        <v>0</v>
      </c>
      <c r="AP475" s="100">
        <f>H475*(1-1)</f>
        <v>0</v>
      </c>
      <c r="AQ475" s="122" t="s">
        <v>13</v>
      </c>
      <c r="AV475" s="100">
        <f t="shared" si="520"/>
        <v>0</v>
      </c>
      <c r="AW475" s="100">
        <f t="shared" si="521"/>
        <v>0</v>
      </c>
      <c r="AX475" s="100">
        <f t="shared" si="522"/>
        <v>0</v>
      </c>
      <c r="AY475" s="110" t="s">
        <v>1718</v>
      </c>
      <c r="AZ475" s="110" t="s">
        <v>1735</v>
      </c>
      <c r="BA475" s="109" t="s">
        <v>1737</v>
      </c>
      <c r="BC475" s="100">
        <f t="shared" si="523"/>
        <v>0</v>
      </c>
      <c r="BD475" s="100">
        <f t="shared" si="524"/>
        <v>0</v>
      </c>
      <c r="BE475" s="100">
        <v>0</v>
      </c>
      <c r="BF475" s="100">
        <f>475</f>
        <v>475</v>
      </c>
      <c r="BH475" s="121">
        <f t="shared" si="525"/>
        <v>0</v>
      </c>
      <c r="BI475" s="121">
        <f t="shared" si="526"/>
        <v>0</v>
      </c>
      <c r="BJ475" s="121">
        <f t="shared" si="527"/>
        <v>0</v>
      </c>
    </row>
    <row r="476" spans="1:62" x14ac:dyDescent="0.2">
      <c r="A476" s="117" t="s">
        <v>428</v>
      </c>
      <c r="B476" s="117" t="s">
        <v>927</v>
      </c>
      <c r="C476" s="304" t="s">
        <v>1516</v>
      </c>
      <c r="D476" s="305"/>
      <c r="E476" s="305"/>
      <c r="F476" s="117" t="s">
        <v>1646</v>
      </c>
      <c r="G476" s="116">
        <v>16.670000000000002</v>
      </c>
      <c r="H476" s="159"/>
      <c r="I476" s="108">
        <f t="shared" si="506"/>
        <v>0</v>
      </c>
      <c r="J476" s="108">
        <f t="shared" si="507"/>
        <v>0</v>
      </c>
      <c r="K476" s="108">
        <f t="shared" si="508"/>
        <v>0</v>
      </c>
      <c r="L476" s="111" t="s">
        <v>1671</v>
      </c>
      <c r="Z476" s="100">
        <f t="shared" si="509"/>
        <v>0</v>
      </c>
      <c r="AB476" s="100">
        <f t="shared" si="510"/>
        <v>0</v>
      </c>
      <c r="AC476" s="100">
        <f t="shared" si="511"/>
        <v>0</v>
      </c>
      <c r="AD476" s="100">
        <f t="shared" si="512"/>
        <v>0</v>
      </c>
      <c r="AE476" s="100">
        <f t="shared" si="513"/>
        <v>0</v>
      </c>
      <c r="AF476" s="100">
        <f t="shared" si="514"/>
        <v>0</v>
      </c>
      <c r="AG476" s="100">
        <f t="shared" si="515"/>
        <v>0</v>
      </c>
      <c r="AH476" s="100">
        <f t="shared" si="516"/>
        <v>0</v>
      </c>
      <c r="AI476" s="109"/>
      <c r="AJ476" s="108">
        <f t="shared" si="517"/>
        <v>0</v>
      </c>
      <c r="AK476" s="108">
        <f t="shared" si="518"/>
        <v>0</v>
      </c>
      <c r="AL476" s="108">
        <f t="shared" si="519"/>
        <v>0</v>
      </c>
      <c r="AN476" s="100">
        <v>15</v>
      </c>
      <c r="AO476" s="100">
        <f>H476*0.0774900137854458</f>
        <v>0</v>
      </c>
      <c r="AP476" s="100">
        <f>H476*(1-0.0774900137854458)</f>
        <v>0</v>
      </c>
      <c r="AQ476" s="111" t="s">
        <v>13</v>
      </c>
      <c r="AV476" s="100">
        <f t="shared" si="520"/>
        <v>0</v>
      </c>
      <c r="AW476" s="100">
        <f t="shared" si="521"/>
        <v>0</v>
      </c>
      <c r="AX476" s="100">
        <f t="shared" si="522"/>
        <v>0</v>
      </c>
      <c r="AY476" s="110" t="s">
        <v>1718</v>
      </c>
      <c r="AZ476" s="110" t="s">
        <v>1735</v>
      </c>
      <c r="BA476" s="109" t="s">
        <v>1737</v>
      </c>
      <c r="BC476" s="100">
        <f t="shared" si="523"/>
        <v>0</v>
      </c>
      <c r="BD476" s="100">
        <f t="shared" si="524"/>
        <v>0</v>
      </c>
      <c r="BE476" s="100">
        <v>0</v>
      </c>
      <c r="BF476" s="100">
        <f>476</f>
        <v>476</v>
      </c>
      <c r="BH476" s="108">
        <f t="shared" si="525"/>
        <v>0</v>
      </c>
      <c r="BI476" s="108">
        <f t="shared" si="526"/>
        <v>0</v>
      </c>
      <c r="BJ476" s="108">
        <f t="shared" si="527"/>
        <v>0</v>
      </c>
    </row>
    <row r="477" spans="1:62" x14ac:dyDescent="0.2">
      <c r="A477" s="124" t="s">
        <v>429</v>
      </c>
      <c r="B477" s="124" t="s">
        <v>928</v>
      </c>
      <c r="C477" s="311" t="s">
        <v>1517</v>
      </c>
      <c r="D477" s="312"/>
      <c r="E477" s="312"/>
      <c r="F477" s="124" t="s">
        <v>1645</v>
      </c>
      <c r="G477" s="123">
        <v>2.0840000000000001</v>
      </c>
      <c r="H477" s="160"/>
      <c r="I477" s="121">
        <f t="shared" si="506"/>
        <v>0</v>
      </c>
      <c r="J477" s="121">
        <f t="shared" si="507"/>
        <v>0</v>
      </c>
      <c r="K477" s="121">
        <f t="shared" si="508"/>
        <v>0</v>
      </c>
      <c r="L477" s="122" t="s">
        <v>1671</v>
      </c>
      <c r="Z477" s="100">
        <f t="shared" si="509"/>
        <v>0</v>
      </c>
      <c r="AB477" s="100">
        <f t="shared" si="510"/>
        <v>0</v>
      </c>
      <c r="AC477" s="100">
        <f t="shared" si="511"/>
        <v>0</v>
      </c>
      <c r="AD477" s="100">
        <f t="shared" si="512"/>
        <v>0</v>
      </c>
      <c r="AE477" s="100">
        <f t="shared" si="513"/>
        <v>0</v>
      </c>
      <c r="AF477" s="100">
        <f t="shared" si="514"/>
        <v>0</v>
      </c>
      <c r="AG477" s="100">
        <f t="shared" si="515"/>
        <v>0</v>
      </c>
      <c r="AH477" s="100">
        <f t="shared" si="516"/>
        <v>0</v>
      </c>
      <c r="AI477" s="109"/>
      <c r="AJ477" s="121">
        <f t="shared" si="517"/>
        <v>0</v>
      </c>
      <c r="AK477" s="121">
        <f t="shared" si="518"/>
        <v>0</v>
      </c>
      <c r="AL477" s="121">
        <f t="shared" si="519"/>
        <v>0</v>
      </c>
      <c r="AN477" s="100">
        <v>15</v>
      </c>
      <c r="AO477" s="100">
        <f>H477*1</f>
        <v>0</v>
      </c>
      <c r="AP477" s="100">
        <f>H477*(1-1)</f>
        <v>0</v>
      </c>
      <c r="AQ477" s="122" t="s">
        <v>13</v>
      </c>
      <c r="AV477" s="100">
        <f t="shared" si="520"/>
        <v>0</v>
      </c>
      <c r="AW477" s="100">
        <f t="shared" si="521"/>
        <v>0</v>
      </c>
      <c r="AX477" s="100">
        <f t="shared" si="522"/>
        <v>0</v>
      </c>
      <c r="AY477" s="110" t="s">
        <v>1718</v>
      </c>
      <c r="AZ477" s="110" t="s">
        <v>1735</v>
      </c>
      <c r="BA477" s="109" t="s">
        <v>1737</v>
      </c>
      <c r="BC477" s="100">
        <f t="shared" si="523"/>
        <v>0</v>
      </c>
      <c r="BD477" s="100">
        <f t="shared" si="524"/>
        <v>0</v>
      </c>
      <c r="BE477" s="100">
        <v>0</v>
      </c>
      <c r="BF477" s="100">
        <f>477</f>
        <v>477</v>
      </c>
      <c r="BH477" s="121">
        <f t="shared" si="525"/>
        <v>0</v>
      </c>
      <c r="BI477" s="121">
        <f t="shared" si="526"/>
        <v>0</v>
      </c>
      <c r="BJ477" s="121">
        <f t="shared" si="527"/>
        <v>0</v>
      </c>
    </row>
    <row r="478" spans="1:62" x14ac:dyDescent="0.2">
      <c r="A478" s="117" t="s">
        <v>430</v>
      </c>
      <c r="B478" s="117" t="s">
        <v>929</v>
      </c>
      <c r="C478" s="304" t="s">
        <v>1518</v>
      </c>
      <c r="D478" s="305"/>
      <c r="E478" s="305"/>
      <c r="F478" s="117" t="s">
        <v>1648</v>
      </c>
      <c r="G478" s="116">
        <v>0.27300000000000002</v>
      </c>
      <c r="H478" s="159"/>
      <c r="I478" s="108">
        <f t="shared" si="506"/>
        <v>0</v>
      </c>
      <c r="J478" s="108">
        <f t="shared" si="507"/>
        <v>0</v>
      </c>
      <c r="K478" s="108">
        <f t="shared" si="508"/>
        <v>0</v>
      </c>
      <c r="L478" s="111" t="s">
        <v>1671</v>
      </c>
      <c r="Z478" s="100">
        <f t="shared" si="509"/>
        <v>0</v>
      </c>
      <c r="AB478" s="100">
        <f t="shared" si="510"/>
        <v>0</v>
      </c>
      <c r="AC478" s="100">
        <f t="shared" si="511"/>
        <v>0</v>
      </c>
      <c r="AD478" s="100">
        <f t="shared" si="512"/>
        <v>0</v>
      </c>
      <c r="AE478" s="100">
        <f t="shared" si="513"/>
        <v>0</v>
      </c>
      <c r="AF478" s="100">
        <f t="shared" si="514"/>
        <v>0</v>
      </c>
      <c r="AG478" s="100">
        <f t="shared" si="515"/>
        <v>0</v>
      </c>
      <c r="AH478" s="100">
        <f t="shared" si="516"/>
        <v>0</v>
      </c>
      <c r="AI478" s="109"/>
      <c r="AJ478" s="108">
        <f t="shared" si="517"/>
        <v>0</v>
      </c>
      <c r="AK478" s="108">
        <f t="shared" si="518"/>
        <v>0</v>
      </c>
      <c r="AL478" s="108">
        <f t="shared" si="519"/>
        <v>0</v>
      </c>
      <c r="AN478" s="100">
        <v>15</v>
      </c>
      <c r="AO478" s="100">
        <f>H478*0</f>
        <v>0</v>
      </c>
      <c r="AP478" s="100">
        <f>H478*(1-0)</f>
        <v>0</v>
      </c>
      <c r="AQ478" s="111" t="s">
        <v>11</v>
      </c>
      <c r="AV478" s="100">
        <f t="shared" si="520"/>
        <v>0</v>
      </c>
      <c r="AW478" s="100">
        <f t="shared" si="521"/>
        <v>0</v>
      </c>
      <c r="AX478" s="100">
        <f t="shared" si="522"/>
        <v>0</v>
      </c>
      <c r="AY478" s="110" t="s">
        <v>1718</v>
      </c>
      <c r="AZ478" s="110" t="s">
        <v>1735</v>
      </c>
      <c r="BA478" s="109" t="s">
        <v>1737</v>
      </c>
      <c r="BC478" s="100">
        <f t="shared" si="523"/>
        <v>0</v>
      </c>
      <c r="BD478" s="100">
        <f t="shared" si="524"/>
        <v>0</v>
      </c>
      <c r="BE478" s="100">
        <v>0</v>
      </c>
      <c r="BF478" s="100">
        <f>478</f>
        <v>478</v>
      </c>
      <c r="BH478" s="108">
        <f t="shared" si="525"/>
        <v>0</v>
      </c>
      <c r="BI478" s="108">
        <f t="shared" si="526"/>
        <v>0</v>
      </c>
      <c r="BJ478" s="108">
        <f t="shared" si="527"/>
        <v>0</v>
      </c>
    </row>
    <row r="479" spans="1:62" x14ac:dyDescent="0.2">
      <c r="A479" s="119"/>
      <c r="B479" s="120" t="s">
        <v>930</v>
      </c>
      <c r="C479" s="306" t="s">
        <v>1519</v>
      </c>
      <c r="D479" s="307"/>
      <c r="E479" s="307"/>
      <c r="F479" s="119" t="s">
        <v>6</v>
      </c>
      <c r="G479" s="119" t="s">
        <v>6</v>
      </c>
      <c r="H479" s="119" t="s">
        <v>6</v>
      </c>
      <c r="I479" s="118">
        <f>SUM(I480:I484)</f>
        <v>0</v>
      </c>
      <c r="J479" s="118">
        <f>SUM(J480:J484)</f>
        <v>0</v>
      </c>
      <c r="K479" s="118">
        <f>SUM(K480:K484)</f>
        <v>0</v>
      </c>
      <c r="L479" s="109"/>
      <c r="AI479" s="109"/>
      <c r="AS479" s="118">
        <f>SUM(AJ480:AJ484)</f>
        <v>0</v>
      </c>
      <c r="AT479" s="118">
        <f>SUM(AK480:AK484)</f>
        <v>0</v>
      </c>
      <c r="AU479" s="118">
        <f>SUM(AL480:AL484)</f>
        <v>0</v>
      </c>
    </row>
    <row r="480" spans="1:62" x14ac:dyDescent="0.2">
      <c r="A480" s="117" t="s">
        <v>431</v>
      </c>
      <c r="B480" s="117" t="s">
        <v>931</v>
      </c>
      <c r="C480" s="304" t="s">
        <v>1520</v>
      </c>
      <c r="D480" s="305"/>
      <c r="E480" s="305"/>
      <c r="F480" s="117" t="s">
        <v>1645</v>
      </c>
      <c r="G480" s="116">
        <v>839.04499999999996</v>
      </c>
      <c r="H480" s="159"/>
      <c r="I480" s="108">
        <f>G480*AO480</f>
        <v>0</v>
      </c>
      <c r="J480" s="108">
        <f>G480*AP480</f>
        <v>0</v>
      </c>
      <c r="K480" s="108">
        <f>G480*H480</f>
        <v>0</v>
      </c>
      <c r="L480" s="111" t="s">
        <v>1671</v>
      </c>
      <c r="Z480" s="100">
        <f>IF(AQ480="5",BJ480,0)</f>
        <v>0</v>
      </c>
      <c r="AB480" s="100">
        <f>IF(AQ480="1",BH480,0)</f>
        <v>0</v>
      </c>
      <c r="AC480" s="100">
        <f>IF(AQ480="1",BI480,0)</f>
        <v>0</v>
      </c>
      <c r="AD480" s="100">
        <f>IF(AQ480="7",BH480,0)</f>
        <v>0</v>
      </c>
      <c r="AE480" s="100">
        <f>IF(AQ480="7",BI480,0)</f>
        <v>0</v>
      </c>
      <c r="AF480" s="100">
        <f>IF(AQ480="2",BH480,0)</f>
        <v>0</v>
      </c>
      <c r="AG480" s="100">
        <f>IF(AQ480="2",BI480,0)</f>
        <v>0</v>
      </c>
      <c r="AH480" s="100">
        <f>IF(AQ480="0",BJ480,0)</f>
        <v>0</v>
      </c>
      <c r="AI480" s="109"/>
      <c r="AJ480" s="108">
        <f>IF(AN480=0,K480,0)</f>
        <v>0</v>
      </c>
      <c r="AK480" s="108">
        <f>IF(AN480=15,K480,0)</f>
        <v>0</v>
      </c>
      <c r="AL480" s="108">
        <f>IF(AN480=21,K480,0)</f>
        <v>0</v>
      </c>
      <c r="AN480" s="100">
        <v>15</v>
      </c>
      <c r="AO480" s="100">
        <f>H480*0</f>
        <v>0</v>
      </c>
      <c r="AP480" s="100">
        <f>H480*(1-0)</f>
        <v>0</v>
      </c>
      <c r="AQ480" s="111" t="s">
        <v>13</v>
      </c>
      <c r="AV480" s="100">
        <f>AW480+AX480</f>
        <v>0</v>
      </c>
      <c r="AW480" s="100">
        <f>G480*AO480</f>
        <v>0</v>
      </c>
      <c r="AX480" s="100">
        <f>G480*AP480</f>
        <v>0</v>
      </c>
      <c r="AY480" s="110" t="s">
        <v>1719</v>
      </c>
      <c r="AZ480" s="110" t="s">
        <v>1736</v>
      </c>
      <c r="BA480" s="109" t="s">
        <v>1737</v>
      </c>
      <c r="BC480" s="100">
        <f>AW480+AX480</f>
        <v>0</v>
      </c>
      <c r="BD480" s="100">
        <f>H480/(100-BE480)*100</f>
        <v>0</v>
      </c>
      <c r="BE480" s="100">
        <v>0</v>
      </c>
      <c r="BF480" s="100">
        <f>480</f>
        <v>480</v>
      </c>
      <c r="BH480" s="108">
        <f>G480*AO480</f>
        <v>0</v>
      </c>
      <c r="BI480" s="108">
        <f>G480*AP480</f>
        <v>0</v>
      </c>
      <c r="BJ480" s="108">
        <f>G480*H480</f>
        <v>0</v>
      </c>
    </row>
    <row r="481" spans="1:62" x14ac:dyDescent="0.2">
      <c r="A481" s="117" t="s">
        <v>432</v>
      </c>
      <c r="B481" s="117" t="s">
        <v>932</v>
      </c>
      <c r="C481" s="304" t="s">
        <v>1521</v>
      </c>
      <c r="D481" s="305"/>
      <c r="E481" s="305"/>
      <c r="F481" s="117" t="s">
        <v>1645</v>
      </c>
      <c r="G481" s="116">
        <v>433.59699999999998</v>
      </c>
      <c r="H481" s="159"/>
      <c r="I481" s="108">
        <f>G481*AO481</f>
        <v>0</v>
      </c>
      <c r="J481" s="108">
        <f>G481*AP481</f>
        <v>0</v>
      </c>
      <c r="K481" s="108">
        <f>G481*H481</f>
        <v>0</v>
      </c>
      <c r="L481" s="111" t="s">
        <v>1671</v>
      </c>
      <c r="Z481" s="100">
        <f>IF(AQ481="5",BJ481,0)</f>
        <v>0</v>
      </c>
      <c r="AB481" s="100">
        <f>IF(AQ481="1",BH481,0)</f>
        <v>0</v>
      </c>
      <c r="AC481" s="100">
        <f>IF(AQ481="1",BI481,0)</f>
        <v>0</v>
      </c>
      <c r="AD481" s="100">
        <f>IF(AQ481="7",BH481,0)</f>
        <v>0</v>
      </c>
      <c r="AE481" s="100">
        <f>IF(AQ481="7",BI481,0)</f>
        <v>0</v>
      </c>
      <c r="AF481" s="100">
        <f>IF(AQ481="2",BH481,0)</f>
        <v>0</v>
      </c>
      <c r="AG481" s="100">
        <f>IF(AQ481="2",BI481,0)</f>
        <v>0</v>
      </c>
      <c r="AH481" s="100">
        <f>IF(AQ481="0",BJ481,0)</f>
        <v>0</v>
      </c>
      <c r="AI481" s="109"/>
      <c r="AJ481" s="108">
        <f>IF(AN481=0,K481,0)</f>
        <v>0</v>
      </c>
      <c r="AK481" s="108">
        <f>IF(AN481=15,K481,0)</f>
        <v>0</v>
      </c>
      <c r="AL481" s="108">
        <f>IF(AN481=21,K481,0)</f>
        <v>0</v>
      </c>
      <c r="AN481" s="100">
        <v>15</v>
      </c>
      <c r="AO481" s="100">
        <f>H481*0.59082191311659</f>
        <v>0</v>
      </c>
      <c r="AP481" s="100">
        <f>H481*(1-0.59082191311659)</f>
        <v>0</v>
      </c>
      <c r="AQ481" s="111" t="s">
        <v>13</v>
      </c>
      <c r="AV481" s="100">
        <f>AW481+AX481</f>
        <v>0</v>
      </c>
      <c r="AW481" s="100">
        <f>G481*AO481</f>
        <v>0</v>
      </c>
      <c r="AX481" s="100">
        <f>G481*AP481</f>
        <v>0</v>
      </c>
      <c r="AY481" s="110" t="s">
        <v>1719</v>
      </c>
      <c r="AZ481" s="110" t="s">
        <v>1736</v>
      </c>
      <c r="BA481" s="109" t="s">
        <v>1737</v>
      </c>
      <c r="BC481" s="100">
        <f>AW481+AX481</f>
        <v>0</v>
      </c>
      <c r="BD481" s="100">
        <f>H481/(100-BE481)*100</f>
        <v>0</v>
      </c>
      <c r="BE481" s="100">
        <v>0</v>
      </c>
      <c r="BF481" s="100">
        <f>481</f>
        <v>481</v>
      </c>
      <c r="BH481" s="108">
        <f>G481*AO481</f>
        <v>0</v>
      </c>
      <c r="BI481" s="108">
        <f>G481*AP481</f>
        <v>0</v>
      </c>
      <c r="BJ481" s="108">
        <f>G481*H481</f>
        <v>0</v>
      </c>
    </row>
    <row r="482" spans="1:62" x14ac:dyDescent="0.2">
      <c r="A482" s="117" t="s">
        <v>433</v>
      </c>
      <c r="B482" s="117" t="s">
        <v>933</v>
      </c>
      <c r="C482" s="304" t="s">
        <v>1522</v>
      </c>
      <c r="D482" s="305"/>
      <c r="E482" s="305"/>
      <c r="F482" s="117" t="s">
        <v>1645</v>
      </c>
      <c r="G482" s="116">
        <v>839.04499999999996</v>
      </c>
      <c r="H482" s="159"/>
      <c r="I482" s="108">
        <f>G482*AO482</f>
        <v>0</v>
      </c>
      <c r="J482" s="108">
        <f>G482*AP482</f>
        <v>0</v>
      </c>
      <c r="K482" s="108">
        <f>G482*H482</f>
        <v>0</v>
      </c>
      <c r="L482" s="111" t="s">
        <v>1671</v>
      </c>
      <c r="Z482" s="100">
        <f>IF(AQ482="5",BJ482,0)</f>
        <v>0</v>
      </c>
      <c r="AB482" s="100">
        <f>IF(AQ482="1",BH482,0)</f>
        <v>0</v>
      </c>
      <c r="AC482" s="100">
        <f>IF(AQ482="1",BI482,0)</f>
        <v>0</v>
      </c>
      <c r="AD482" s="100">
        <f>IF(AQ482="7",BH482,0)</f>
        <v>0</v>
      </c>
      <c r="AE482" s="100">
        <f>IF(AQ482="7",BI482,0)</f>
        <v>0</v>
      </c>
      <c r="AF482" s="100">
        <f>IF(AQ482="2",BH482,0)</f>
        <v>0</v>
      </c>
      <c r="AG482" s="100">
        <f>IF(AQ482="2",BI482,0)</f>
        <v>0</v>
      </c>
      <c r="AH482" s="100">
        <f>IF(AQ482="0",BJ482,0)</f>
        <v>0</v>
      </c>
      <c r="AI482" s="109"/>
      <c r="AJ482" s="108">
        <f>IF(AN482=0,K482,0)</f>
        <v>0</v>
      </c>
      <c r="AK482" s="108">
        <f>IF(AN482=15,K482,0)</f>
        <v>0</v>
      </c>
      <c r="AL482" s="108">
        <f>IF(AN482=21,K482,0)</f>
        <v>0</v>
      </c>
      <c r="AN482" s="100">
        <v>15</v>
      </c>
      <c r="AO482" s="100">
        <f>H482*0.400704191720299</f>
        <v>0</v>
      </c>
      <c r="AP482" s="100">
        <f>H482*(1-0.400704191720299)</f>
        <v>0</v>
      </c>
      <c r="AQ482" s="111" t="s">
        <v>13</v>
      </c>
      <c r="AV482" s="100">
        <f>AW482+AX482</f>
        <v>0</v>
      </c>
      <c r="AW482" s="100">
        <f>G482*AO482</f>
        <v>0</v>
      </c>
      <c r="AX482" s="100">
        <f>G482*AP482</f>
        <v>0</v>
      </c>
      <c r="AY482" s="110" t="s">
        <v>1719</v>
      </c>
      <c r="AZ482" s="110" t="s">
        <v>1736</v>
      </c>
      <c r="BA482" s="109" t="s">
        <v>1737</v>
      </c>
      <c r="BC482" s="100">
        <f>AW482+AX482</f>
        <v>0</v>
      </c>
      <c r="BD482" s="100">
        <f>H482/(100-BE482)*100</f>
        <v>0</v>
      </c>
      <c r="BE482" s="100">
        <v>0</v>
      </c>
      <c r="BF482" s="100">
        <f>482</f>
        <v>482</v>
      </c>
      <c r="BH482" s="108">
        <f>G482*AO482</f>
        <v>0</v>
      </c>
      <c r="BI482" s="108">
        <f>G482*AP482</f>
        <v>0</v>
      </c>
      <c r="BJ482" s="108">
        <f>G482*H482</f>
        <v>0</v>
      </c>
    </row>
    <row r="483" spans="1:62" x14ac:dyDescent="0.2">
      <c r="A483" s="117" t="s">
        <v>434</v>
      </c>
      <c r="B483" s="117" t="s">
        <v>934</v>
      </c>
      <c r="C483" s="304" t="s">
        <v>1523</v>
      </c>
      <c r="D483" s="305"/>
      <c r="E483" s="305"/>
      <c r="F483" s="117" t="s">
        <v>1645</v>
      </c>
      <c r="G483" s="116">
        <v>241.65700000000001</v>
      </c>
      <c r="H483" s="159"/>
      <c r="I483" s="108">
        <f>G483*AO483</f>
        <v>0</v>
      </c>
      <c r="J483" s="108">
        <f>G483*AP483</f>
        <v>0</v>
      </c>
      <c r="K483" s="108">
        <f>G483*H483</f>
        <v>0</v>
      </c>
      <c r="L483" s="111" t="s">
        <v>1671</v>
      </c>
      <c r="Z483" s="100">
        <f>IF(AQ483="5",BJ483,0)</f>
        <v>0</v>
      </c>
      <c r="AB483" s="100">
        <f>IF(AQ483="1",BH483,0)</f>
        <v>0</v>
      </c>
      <c r="AC483" s="100">
        <f>IF(AQ483="1",BI483,0)</f>
        <v>0</v>
      </c>
      <c r="AD483" s="100">
        <f>IF(AQ483="7",BH483,0)</f>
        <v>0</v>
      </c>
      <c r="AE483" s="100">
        <f>IF(AQ483="7",BI483,0)</f>
        <v>0</v>
      </c>
      <c r="AF483" s="100">
        <f>IF(AQ483="2",BH483,0)</f>
        <v>0</v>
      </c>
      <c r="AG483" s="100">
        <f>IF(AQ483="2",BI483,0)</f>
        <v>0</v>
      </c>
      <c r="AH483" s="100">
        <f>IF(AQ483="0",BJ483,0)</f>
        <v>0</v>
      </c>
      <c r="AI483" s="109"/>
      <c r="AJ483" s="108">
        <f>IF(AN483=0,K483,0)</f>
        <v>0</v>
      </c>
      <c r="AK483" s="108">
        <f>IF(AN483=15,K483,0)</f>
        <v>0</v>
      </c>
      <c r="AL483" s="108">
        <f>IF(AN483=21,K483,0)</f>
        <v>0</v>
      </c>
      <c r="AN483" s="100">
        <v>15</v>
      </c>
      <c r="AO483" s="100">
        <f>H483*0.122818181818182</f>
        <v>0</v>
      </c>
      <c r="AP483" s="100">
        <f>H483*(1-0.122818181818182)</f>
        <v>0</v>
      </c>
      <c r="AQ483" s="111" t="s">
        <v>13</v>
      </c>
      <c r="AV483" s="100">
        <f>AW483+AX483</f>
        <v>0</v>
      </c>
      <c r="AW483" s="100">
        <f>G483*AO483</f>
        <v>0</v>
      </c>
      <c r="AX483" s="100">
        <f>G483*AP483</f>
        <v>0</v>
      </c>
      <c r="AY483" s="110" t="s">
        <v>1719</v>
      </c>
      <c r="AZ483" s="110" t="s">
        <v>1736</v>
      </c>
      <c r="BA483" s="109" t="s">
        <v>1737</v>
      </c>
      <c r="BC483" s="100">
        <f>AW483+AX483</f>
        <v>0</v>
      </c>
      <c r="BD483" s="100">
        <f>H483/(100-BE483)*100</f>
        <v>0</v>
      </c>
      <c r="BE483" s="100">
        <v>0</v>
      </c>
      <c r="BF483" s="100">
        <f>483</f>
        <v>483</v>
      </c>
      <c r="BH483" s="108">
        <f>G483*AO483</f>
        <v>0</v>
      </c>
      <c r="BI483" s="108">
        <f>G483*AP483</f>
        <v>0</v>
      </c>
      <c r="BJ483" s="108">
        <f>G483*H483</f>
        <v>0</v>
      </c>
    </row>
    <row r="484" spans="1:62" x14ac:dyDescent="0.2">
      <c r="A484" s="117" t="s">
        <v>435</v>
      </c>
      <c r="B484" s="117" t="s">
        <v>935</v>
      </c>
      <c r="C484" s="304" t="s">
        <v>1524</v>
      </c>
      <c r="D484" s="305"/>
      <c r="E484" s="305"/>
      <c r="F484" s="117" t="s">
        <v>1645</v>
      </c>
      <c r="G484" s="116">
        <v>597.38800000000003</v>
      </c>
      <c r="H484" s="159"/>
      <c r="I484" s="108">
        <f>G484*AO484</f>
        <v>0</v>
      </c>
      <c r="J484" s="108">
        <f>G484*AP484</f>
        <v>0</v>
      </c>
      <c r="K484" s="108">
        <f>G484*H484</f>
        <v>0</v>
      </c>
      <c r="L484" s="111" t="s">
        <v>1671</v>
      </c>
      <c r="Z484" s="100">
        <f>IF(AQ484="5",BJ484,0)</f>
        <v>0</v>
      </c>
      <c r="AB484" s="100">
        <f>IF(AQ484="1",BH484,0)</f>
        <v>0</v>
      </c>
      <c r="AC484" s="100">
        <f>IF(AQ484="1",BI484,0)</f>
        <v>0</v>
      </c>
      <c r="AD484" s="100">
        <f>IF(AQ484="7",BH484,0)</f>
        <v>0</v>
      </c>
      <c r="AE484" s="100">
        <f>IF(AQ484="7",BI484,0)</f>
        <v>0</v>
      </c>
      <c r="AF484" s="100">
        <f>IF(AQ484="2",BH484,0)</f>
        <v>0</v>
      </c>
      <c r="AG484" s="100">
        <f>IF(AQ484="2",BI484,0)</f>
        <v>0</v>
      </c>
      <c r="AH484" s="100">
        <f>IF(AQ484="0",BJ484,0)</f>
        <v>0</v>
      </c>
      <c r="AI484" s="109"/>
      <c r="AJ484" s="108">
        <f>IF(AN484=0,K484,0)</f>
        <v>0</v>
      </c>
      <c r="AK484" s="108">
        <f>IF(AN484=15,K484,0)</f>
        <v>0</v>
      </c>
      <c r="AL484" s="108">
        <f>IF(AN484=21,K484,0)</f>
        <v>0</v>
      </c>
      <c r="AN484" s="100">
        <v>15</v>
      </c>
      <c r="AO484" s="100">
        <f>H484*0.0909911572676622</f>
        <v>0</v>
      </c>
      <c r="AP484" s="100">
        <f>H484*(1-0.0909911572676622)</f>
        <v>0</v>
      </c>
      <c r="AQ484" s="111" t="s">
        <v>13</v>
      </c>
      <c r="AV484" s="100">
        <f>AW484+AX484</f>
        <v>0</v>
      </c>
      <c r="AW484" s="100">
        <f>G484*AO484</f>
        <v>0</v>
      </c>
      <c r="AX484" s="100">
        <f>G484*AP484</f>
        <v>0</v>
      </c>
      <c r="AY484" s="110" t="s">
        <v>1719</v>
      </c>
      <c r="AZ484" s="110" t="s">
        <v>1736</v>
      </c>
      <c r="BA484" s="109" t="s">
        <v>1737</v>
      </c>
      <c r="BC484" s="100">
        <f>AW484+AX484</f>
        <v>0</v>
      </c>
      <c r="BD484" s="100">
        <f>H484/(100-BE484)*100</f>
        <v>0</v>
      </c>
      <c r="BE484" s="100">
        <v>0</v>
      </c>
      <c r="BF484" s="100">
        <f>484</f>
        <v>484</v>
      </c>
      <c r="BH484" s="108">
        <f>G484*AO484</f>
        <v>0</v>
      </c>
      <c r="BI484" s="108">
        <f>G484*AP484</f>
        <v>0</v>
      </c>
      <c r="BJ484" s="108">
        <f>G484*H484</f>
        <v>0</v>
      </c>
    </row>
    <row r="485" spans="1:62" x14ac:dyDescent="0.2">
      <c r="A485" s="119"/>
      <c r="B485" s="120" t="s">
        <v>936</v>
      </c>
      <c r="C485" s="306" t="s">
        <v>1525</v>
      </c>
      <c r="D485" s="307"/>
      <c r="E485" s="307"/>
      <c r="F485" s="119" t="s">
        <v>6</v>
      </c>
      <c r="G485" s="119" t="s">
        <v>6</v>
      </c>
      <c r="H485" s="119" t="s">
        <v>6</v>
      </c>
      <c r="I485" s="118">
        <f>SUM(I486:I514)</f>
        <v>0</v>
      </c>
      <c r="J485" s="118">
        <f>SUM(J486:J514)</f>
        <v>0</v>
      </c>
      <c r="K485" s="118">
        <f>SUM(K486:K514)</f>
        <v>0</v>
      </c>
      <c r="L485" s="109"/>
      <c r="AI485" s="109"/>
      <c r="AS485" s="118">
        <f>SUM(AJ486:AJ514)</f>
        <v>0</v>
      </c>
      <c r="AT485" s="118">
        <f>SUM(AK486:AK514)</f>
        <v>0</v>
      </c>
      <c r="AU485" s="118">
        <f>SUM(AL486:AL514)</f>
        <v>0</v>
      </c>
    </row>
    <row r="486" spans="1:62" x14ac:dyDescent="0.2">
      <c r="A486" s="117" t="s">
        <v>436</v>
      </c>
      <c r="B486" s="117" t="s">
        <v>937</v>
      </c>
      <c r="C486" s="304" t="s">
        <v>1526</v>
      </c>
      <c r="D486" s="305"/>
      <c r="E486" s="305"/>
      <c r="F486" s="117" t="s">
        <v>1644</v>
      </c>
      <c r="G486" s="116">
        <v>2</v>
      </c>
      <c r="H486" s="159"/>
      <c r="I486" s="108">
        <f t="shared" ref="I486:I514" si="528">G486*AO486</f>
        <v>0</v>
      </c>
      <c r="J486" s="108">
        <f t="shared" ref="J486:J514" si="529">G486*AP486</f>
        <v>0</v>
      </c>
      <c r="K486" s="108">
        <f t="shared" ref="K486:K514" si="530">G486*H486</f>
        <v>0</v>
      </c>
      <c r="L486" s="111" t="s">
        <v>1671</v>
      </c>
      <c r="Z486" s="100">
        <f t="shared" ref="Z486:Z514" si="531">IF(AQ486="5",BJ486,0)</f>
        <v>0</v>
      </c>
      <c r="AB486" s="100">
        <f t="shared" ref="AB486:AB514" si="532">IF(AQ486="1",BH486,0)</f>
        <v>0</v>
      </c>
      <c r="AC486" s="100">
        <f t="shared" ref="AC486:AC514" si="533">IF(AQ486="1",BI486,0)</f>
        <v>0</v>
      </c>
      <c r="AD486" s="100">
        <f t="shared" ref="AD486:AD514" si="534">IF(AQ486="7",BH486,0)</f>
        <v>0</v>
      </c>
      <c r="AE486" s="100">
        <f t="shared" ref="AE486:AE514" si="535">IF(AQ486="7",BI486,0)</f>
        <v>0</v>
      </c>
      <c r="AF486" s="100">
        <f t="shared" ref="AF486:AF514" si="536">IF(AQ486="2",BH486,0)</f>
        <v>0</v>
      </c>
      <c r="AG486" s="100">
        <f t="shared" ref="AG486:AG514" si="537">IF(AQ486="2",BI486,0)</f>
        <v>0</v>
      </c>
      <c r="AH486" s="100">
        <f t="shared" ref="AH486:AH514" si="538">IF(AQ486="0",BJ486,0)</f>
        <v>0</v>
      </c>
      <c r="AI486" s="109"/>
      <c r="AJ486" s="108">
        <f t="shared" ref="AJ486:AJ514" si="539">IF(AN486=0,K486,0)</f>
        <v>0</v>
      </c>
      <c r="AK486" s="108">
        <f t="shared" ref="AK486:AK514" si="540">IF(AN486=15,K486,0)</f>
        <v>0</v>
      </c>
      <c r="AL486" s="108">
        <f t="shared" ref="AL486:AL514" si="541">IF(AN486=21,K486,0)</f>
        <v>0</v>
      </c>
      <c r="AN486" s="100">
        <v>15</v>
      </c>
      <c r="AO486" s="100">
        <f t="shared" ref="AO486:AO514" si="542">H486*0</f>
        <v>0</v>
      </c>
      <c r="AP486" s="100">
        <f t="shared" ref="AP486:AP514" si="543">H486*(1-0)</f>
        <v>0</v>
      </c>
      <c r="AQ486" s="111" t="s">
        <v>8</v>
      </c>
      <c r="AV486" s="100">
        <f t="shared" ref="AV486:AV514" si="544">AW486+AX486</f>
        <v>0</v>
      </c>
      <c r="AW486" s="100">
        <f t="shared" ref="AW486:AW514" si="545">G486*AO486</f>
        <v>0</v>
      </c>
      <c r="AX486" s="100">
        <f t="shared" ref="AX486:AX514" si="546">G486*AP486</f>
        <v>0</v>
      </c>
      <c r="AY486" s="110" t="s">
        <v>1720</v>
      </c>
      <c r="AZ486" s="110" t="s">
        <v>1730</v>
      </c>
      <c r="BA486" s="109" t="s">
        <v>1737</v>
      </c>
      <c r="BC486" s="100">
        <f t="shared" ref="BC486:BC514" si="547">AW486+AX486</f>
        <v>0</v>
      </c>
      <c r="BD486" s="100">
        <f t="shared" ref="BD486:BD514" si="548">H486/(100-BE486)*100</f>
        <v>0</v>
      </c>
      <c r="BE486" s="100">
        <v>0</v>
      </c>
      <c r="BF486" s="100">
        <f>486</f>
        <v>486</v>
      </c>
      <c r="BH486" s="108">
        <f t="shared" ref="BH486:BH514" si="549">G486*AO486</f>
        <v>0</v>
      </c>
      <c r="BI486" s="108">
        <f t="shared" ref="BI486:BI514" si="550">G486*AP486</f>
        <v>0</v>
      </c>
      <c r="BJ486" s="108">
        <f t="shared" ref="BJ486:BJ514" si="551">G486*H486</f>
        <v>0</v>
      </c>
    </row>
    <row r="487" spans="1:62" x14ac:dyDescent="0.2">
      <c r="A487" s="117" t="s">
        <v>437</v>
      </c>
      <c r="B487" s="117" t="s">
        <v>939</v>
      </c>
      <c r="C487" s="304" t="s">
        <v>1528</v>
      </c>
      <c r="D487" s="305"/>
      <c r="E487" s="305"/>
      <c r="F487" s="117" t="s">
        <v>1644</v>
      </c>
      <c r="G487" s="116">
        <v>1</v>
      </c>
      <c r="H487" s="159"/>
      <c r="I487" s="108">
        <f t="shared" si="528"/>
        <v>0</v>
      </c>
      <c r="J487" s="108">
        <f t="shared" si="529"/>
        <v>0</v>
      </c>
      <c r="K487" s="108">
        <f t="shared" si="530"/>
        <v>0</v>
      </c>
      <c r="L487" s="111" t="s">
        <v>1671</v>
      </c>
      <c r="Z487" s="100">
        <f t="shared" si="531"/>
        <v>0</v>
      </c>
      <c r="AB487" s="100">
        <f t="shared" si="532"/>
        <v>0</v>
      </c>
      <c r="AC487" s="100">
        <f t="shared" si="533"/>
        <v>0</v>
      </c>
      <c r="AD487" s="100">
        <f t="shared" si="534"/>
        <v>0</v>
      </c>
      <c r="AE487" s="100">
        <f t="shared" si="535"/>
        <v>0</v>
      </c>
      <c r="AF487" s="100">
        <f t="shared" si="536"/>
        <v>0</v>
      </c>
      <c r="AG487" s="100">
        <f t="shared" si="537"/>
        <v>0</v>
      </c>
      <c r="AH487" s="100">
        <f t="shared" si="538"/>
        <v>0</v>
      </c>
      <c r="AI487" s="109"/>
      <c r="AJ487" s="108">
        <f t="shared" si="539"/>
        <v>0</v>
      </c>
      <c r="AK487" s="108">
        <f t="shared" si="540"/>
        <v>0</v>
      </c>
      <c r="AL487" s="108">
        <f t="shared" si="541"/>
        <v>0</v>
      </c>
      <c r="AN487" s="100">
        <v>15</v>
      </c>
      <c r="AO487" s="100">
        <f t="shared" si="542"/>
        <v>0</v>
      </c>
      <c r="AP487" s="100">
        <f t="shared" si="543"/>
        <v>0</v>
      </c>
      <c r="AQ487" s="111" t="s">
        <v>8</v>
      </c>
      <c r="AV487" s="100">
        <f t="shared" si="544"/>
        <v>0</v>
      </c>
      <c r="AW487" s="100">
        <f t="shared" si="545"/>
        <v>0</v>
      </c>
      <c r="AX487" s="100">
        <f t="shared" si="546"/>
        <v>0</v>
      </c>
      <c r="AY487" s="110" t="s">
        <v>1720</v>
      </c>
      <c r="AZ487" s="110" t="s">
        <v>1730</v>
      </c>
      <c r="BA487" s="109" t="s">
        <v>1737</v>
      </c>
      <c r="BC487" s="100">
        <f t="shared" si="547"/>
        <v>0</v>
      </c>
      <c r="BD487" s="100">
        <f t="shared" si="548"/>
        <v>0</v>
      </c>
      <c r="BE487" s="100">
        <v>0</v>
      </c>
      <c r="BF487" s="100">
        <f>487</f>
        <v>487</v>
      </c>
      <c r="BH487" s="108">
        <f t="shared" si="549"/>
        <v>0</v>
      </c>
      <c r="BI487" s="108">
        <f t="shared" si="550"/>
        <v>0</v>
      </c>
      <c r="BJ487" s="108">
        <f t="shared" si="551"/>
        <v>0</v>
      </c>
    </row>
    <row r="488" spans="1:62" x14ac:dyDescent="0.2">
      <c r="A488" s="117" t="s">
        <v>438</v>
      </c>
      <c r="B488" s="117" t="s">
        <v>940</v>
      </c>
      <c r="C488" s="304" t="s">
        <v>1529</v>
      </c>
      <c r="D488" s="305"/>
      <c r="E488" s="305"/>
      <c r="F488" s="117" t="s">
        <v>1644</v>
      </c>
      <c r="G488" s="116">
        <v>1</v>
      </c>
      <c r="H488" s="159"/>
      <c r="I488" s="108">
        <f t="shared" si="528"/>
        <v>0</v>
      </c>
      <c r="J488" s="108">
        <f t="shared" si="529"/>
        <v>0</v>
      </c>
      <c r="K488" s="108">
        <f t="shared" si="530"/>
        <v>0</v>
      </c>
      <c r="L488" s="111" t="s">
        <v>1671</v>
      </c>
      <c r="Z488" s="100">
        <f t="shared" si="531"/>
        <v>0</v>
      </c>
      <c r="AB488" s="100">
        <f t="shared" si="532"/>
        <v>0</v>
      </c>
      <c r="AC488" s="100">
        <f t="shared" si="533"/>
        <v>0</v>
      </c>
      <c r="AD488" s="100">
        <f t="shared" si="534"/>
        <v>0</v>
      </c>
      <c r="AE488" s="100">
        <f t="shared" si="535"/>
        <v>0</v>
      </c>
      <c r="AF488" s="100">
        <f t="shared" si="536"/>
        <v>0</v>
      </c>
      <c r="AG488" s="100">
        <f t="shared" si="537"/>
        <v>0</v>
      </c>
      <c r="AH488" s="100">
        <f t="shared" si="538"/>
        <v>0</v>
      </c>
      <c r="AI488" s="109"/>
      <c r="AJ488" s="108">
        <f t="shared" si="539"/>
        <v>0</v>
      </c>
      <c r="AK488" s="108">
        <f t="shared" si="540"/>
        <v>0</v>
      </c>
      <c r="AL488" s="108">
        <f t="shared" si="541"/>
        <v>0</v>
      </c>
      <c r="AN488" s="100">
        <v>15</v>
      </c>
      <c r="AO488" s="100">
        <f t="shared" si="542"/>
        <v>0</v>
      </c>
      <c r="AP488" s="100">
        <f t="shared" si="543"/>
        <v>0</v>
      </c>
      <c r="AQ488" s="111" t="s">
        <v>8</v>
      </c>
      <c r="AV488" s="100">
        <f t="shared" si="544"/>
        <v>0</v>
      </c>
      <c r="AW488" s="100">
        <f t="shared" si="545"/>
        <v>0</v>
      </c>
      <c r="AX488" s="100">
        <f t="shared" si="546"/>
        <v>0</v>
      </c>
      <c r="AY488" s="110" t="s">
        <v>1720</v>
      </c>
      <c r="AZ488" s="110" t="s">
        <v>1730</v>
      </c>
      <c r="BA488" s="109" t="s">
        <v>1737</v>
      </c>
      <c r="BC488" s="100">
        <f t="shared" si="547"/>
        <v>0</v>
      </c>
      <c r="BD488" s="100">
        <f t="shared" si="548"/>
        <v>0</v>
      </c>
      <c r="BE488" s="100">
        <v>0</v>
      </c>
      <c r="BF488" s="100">
        <f>488</f>
        <v>488</v>
      </c>
      <c r="BH488" s="108">
        <f t="shared" si="549"/>
        <v>0</v>
      </c>
      <c r="BI488" s="108">
        <f t="shared" si="550"/>
        <v>0</v>
      </c>
      <c r="BJ488" s="108">
        <f t="shared" si="551"/>
        <v>0</v>
      </c>
    </row>
    <row r="489" spans="1:62" x14ac:dyDescent="0.2">
      <c r="A489" s="117" t="s">
        <v>439</v>
      </c>
      <c r="B489" s="117" t="s">
        <v>941</v>
      </c>
      <c r="C489" s="304" t="s">
        <v>1530</v>
      </c>
      <c r="D489" s="305"/>
      <c r="E489" s="305"/>
      <c r="F489" s="117" t="s">
        <v>1644</v>
      </c>
      <c r="G489" s="116">
        <v>1</v>
      </c>
      <c r="H489" s="159"/>
      <c r="I489" s="108">
        <f t="shared" si="528"/>
        <v>0</v>
      </c>
      <c r="J489" s="108">
        <f t="shared" si="529"/>
        <v>0</v>
      </c>
      <c r="K489" s="108">
        <f t="shared" si="530"/>
        <v>0</v>
      </c>
      <c r="L489" s="111" t="s">
        <v>1671</v>
      </c>
      <c r="Z489" s="100">
        <f t="shared" si="531"/>
        <v>0</v>
      </c>
      <c r="AB489" s="100">
        <f t="shared" si="532"/>
        <v>0</v>
      </c>
      <c r="AC489" s="100">
        <f t="shared" si="533"/>
        <v>0</v>
      </c>
      <c r="AD489" s="100">
        <f t="shared" si="534"/>
        <v>0</v>
      </c>
      <c r="AE489" s="100">
        <f t="shared" si="535"/>
        <v>0</v>
      </c>
      <c r="AF489" s="100">
        <f t="shared" si="536"/>
        <v>0</v>
      </c>
      <c r="AG489" s="100">
        <f t="shared" si="537"/>
        <v>0</v>
      </c>
      <c r="AH489" s="100">
        <f t="shared" si="538"/>
        <v>0</v>
      </c>
      <c r="AI489" s="109"/>
      <c r="AJ489" s="108">
        <f t="shared" si="539"/>
        <v>0</v>
      </c>
      <c r="AK489" s="108">
        <f t="shared" si="540"/>
        <v>0</v>
      </c>
      <c r="AL489" s="108">
        <f t="shared" si="541"/>
        <v>0</v>
      </c>
      <c r="AN489" s="100">
        <v>15</v>
      </c>
      <c r="AO489" s="100">
        <f t="shared" si="542"/>
        <v>0</v>
      </c>
      <c r="AP489" s="100">
        <f t="shared" si="543"/>
        <v>0</v>
      </c>
      <c r="AQ489" s="111" t="s">
        <v>8</v>
      </c>
      <c r="AV489" s="100">
        <f t="shared" si="544"/>
        <v>0</v>
      </c>
      <c r="AW489" s="100">
        <f t="shared" si="545"/>
        <v>0</v>
      </c>
      <c r="AX489" s="100">
        <f t="shared" si="546"/>
        <v>0</v>
      </c>
      <c r="AY489" s="110" t="s">
        <v>1720</v>
      </c>
      <c r="AZ489" s="110" t="s">
        <v>1730</v>
      </c>
      <c r="BA489" s="109" t="s">
        <v>1737</v>
      </c>
      <c r="BC489" s="100">
        <f t="shared" si="547"/>
        <v>0</v>
      </c>
      <c r="BD489" s="100">
        <f t="shared" si="548"/>
        <v>0</v>
      </c>
      <c r="BE489" s="100">
        <v>0</v>
      </c>
      <c r="BF489" s="100">
        <f>489</f>
        <v>489</v>
      </c>
      <c r="BH489" s="108">
        <f t="shared" si="549"/>
        <v>0</v>
      </c>
      <c r="BI489" s="108">
        <f t="shared" si="550"/>
        <v>0</v>
      </c>
      <c r="BJ489" s="108">
        <f t="shared" si="551"/>
        <v>0</v>
      </c>
    </row>
    <row r="490" spans="1:62" x14ac:dyDescent="0.2">
      <c r="A490" s="117" t="s">
        <v>440</v>
      </c>
      <c r="B490" s="117" t="s">
        <v>1985</v>
      </c>
      <c r="C490" s="304" t="s">
        <v>1531</v>
      </c>
      <c r="D490" s="305"/>
      <c r="E490" s="305"/>
      <c r="F490" s="117" t="s">
        <v>1644</v>
      </c>
      <c r="G490" s="116">
        <v>1</v>
      </c>
      <c r="H490" s="159"/>
      <c r="I490" s="108">
        <f t="shared" si="528"/>
        <v>0</v>
      </c>
      <c r="J490" s="108">
        <f t="shared" si="529"/>
        <v>0</v>
      </c>
      <c r="K490" s="108">
        <f t="shared" si="530"/>
        <v>0</v>
      </c>
      <c r="L490" s="111"/>
      <c r="Z490" s="100">
        <f t="shared" si="531"/>
        <v>0</v>
      </c>
      <c r="AB490" s="100">
        <f t="shared" si="532"/>
        <v>0</v>
      </c>
      <c r="AC490" s="100">
        <f t="shared" si="533"/>
        <v>0</v>
      </c>
      <c r="AD490" s="100">
        <f t="shared" si="534"/>
        <v>0</v>
      </c>
      <c r="AE490" s="100">
        <f t="shared" si="535"/>
        <v>0</v>
      </c>
      <c r="AF490" s="100">
        <f t="shared" si="536"/>
        <v>0</v>
      </c>
      <c r="AG490" s="100">
        <f t="shared" si="537"/>
        <v>0</v>
      </c>
      <c r="AH490" s="100">
        <f t="shared" si="538"/>
        <v>0</v>
      </c>
      <c r="AI490" s="109"/>
      <c r="AJ490" s="108">
        <f t="shared" si="539"/>
        <v>0</v>
      </c>
      <c r="AK490" s="108">
        <f t="shared" si="540"/>
        <v>0</v>
      </c>
      <c r="AL490" s="108">
        <f t="shared" si="541"/>
        <v>0</v>
      </c>
      <c r="AN490" s="100">
        <v>15</v>
      </c>
      <c r="AO490" s="100">
        <f t="shared" si="542"/>
        <v>0</v>
      </c>
      <c r="AP490" s="100">
        <f t="shared" si="543"/>
        <v>0</v>
      </c>
      <c r="AQ490" s="111" t="s">
        <v>7</v>
      </c>
      <c r="AV490" s="100">
        <f t="shared" si="544"/>
        <v>0</v>
      </c>
      <c r="AW490" s="100">
        <f t="shared" si="545"/>
        <v>0</v>
      </c>
      <c r="AX490" s="100">
        <f t="shared" si="546"/>
        <v>0</v>
      </c>
      <c r="AY490" s="110" t="s">
        <v>1720</v>
      </c>
      <c r="AZ490" s="110" t="s">
        <v>1730</v>
      </c>
      <c r="BA490" s="109" t="s">
        <v>1737</v>
      </c>
      <c r="BC490" s="100">
        <f t="shared" si="547"/>
        <v>0</v>
      </c>
      <c r="BD490" s="100">
        <f t="shared" si="548"/>
        <v>0</v>
      </c>
      <c r="BE490" s="100">
        <v>0</v>
      </c>
      <c r="BF490" s="100">
        <f>490</f>
        <v>490</v>
      </c>
      <c r="BH490" s="108">
        <f t="shared" si="549"/>
        <v>0</v>
      </c>
      <c r="BI490" s="108">
        <f t="shared" si="550"/>
        <v>0</v>
      </c>
      <c r="BJ490" s="108">
        <f t="shared" si="551"/>
        <v>0</v>
      </c>
    </row>
    <row r="491" spans="1:62" x14ac:dyDescent="0.2">
      <c r="A491" s="117" t="s">
        <v>441</v>
      </c>
      <c r="B491" s="117" t="s">
        <v>1984</v>
      </c>
      <c r="C491" s="304" t="s">
        <v>1532</v>
      </c>
      <c r="D491" s="305"/>
      <c r="E491" s="305"/>
      <c r="F491" s="117" t="s">
        <v>1646</v>
      </c>
      <c r="G491" s="116">
        <v>60</v>
      </c>
      <c r="H491" s="159"/>
      <c r="I491" s="108">
        <f t="shared" si="528"/>
        <v>0</v>
      </c>
      <c r="J491" s="108">
        <f t="shared" si="529"/>
        <v>0</v>
      </c>
      <c r="K491" s="108">
        <f t="shared" si="530"/>
        <v>0</v>
      </c>
      <c r="L491" s="111"/>
      <c r="Z491" s="100">
        <f t="shared" si="531"/>
        <v>0</v>
      </c>
      <c r="AB491" s="100">
        <f t="shared" si="532"/>
        <v>0</v>
      </c>
      <c r="AC491" s="100">
        <f t="shared" si="533"/>
        <v>0</v>
      </c>
      <c r="AD491" s="100">
        <f t="shared" si="534"/>
        <v>0</v>
      </c>
      <c r="AE491" s="100">
        <f t="shared" si="535"/>
        <v>0</v>
      </c>
      <c r="AF491" s="100">
        <f t="shared" si="536"/>
        <v>0</v>
      </c>
      <c r="AG491" s="100">
        <f t="shared" si="537"/>
        <v>0</v>
      </c>
      <c r="AH491" s="100">
        <f t="shared" si="538"/>
        <v>0</v>
      </c>
      <c r="AI491" s="109"/>
      <c r="AJ491" s="108">
        <f t="shared" si="539"/>
        <v>0</v>
      </c>
      <c r="AK491" s="108">
        <f t="shared" si="540"/>
        <v>0</v>
      </c>
      <c r="AL491" s="108">
        <f t="shared" si="541"/>
        <v>0</v>
      </c>
      <c r="AN491" s="100">
        <v>15</v>
      </c>
      <c r="AO491" s="100">
        <f t="shared" si="542"/>
        <v>0</v>
      </c>
      <c r="AP491" s="100">
        <f t="shared" si="543"/>
        <v>0</v>
      </c>
      <c r="AQ491" s="111" t="s">
        <v>7</v>
      </c>
      <c r="AV491" s="100">
        <f t="shared" si="544"/>
        <v>0</v>
      </c>
      <c r="AW491" s="100">
        <f t="shared" si="545"/>
        <v>0</v>
      </c>
      <c r="AX491" s="100">
        <f t="shared" si="546"/>
        <v>0</v>
      </c>
      <c r="AY491" s="110" t="s">
        <v>1720</v>
      </c>
      <c r="AZ491" s="110" t="s">
        <v>1730</v>
      </c>
      <c r="BA491" s="109" t="s">
        <v>1737</v>
      </c>
      <c r="BC491" s="100">
        <f t="shared" si="547"/>
        <v>0</v>
      </c>
      <c r="BD491" s="100">
        <f t="shared" si="548"/>
        <v>0</v>
      </c>
      <c r="BE491" s="100">
        <v>0</v>
      </c>
      <c r="BF491" s="100">
        <f>491</f>
        <v>491</v>
      </c>
      <c r="BH491" s="108">
        <f t="shared" si="549"/>
        <v>0</v>
      </c>
      <c r="BI491" s="108">
        <f t="shared" si="550"/>
        <v>0</v>
      </c>
      <c r="BJ491" s="108">
        <f t="shared" si="551"/>
        <v>0</v>
      </c>
    </row>
    <row r="492" spans="1:62" x14ac:dyDescent="0.2">
      <c r="A492" s="117" t="s">
        <v>442</v>
      </c>
      <c r="B492" s="117" t="s">
        <v>1983</v>
      </c>
      <c r="C492" s="304" t="s">
        <v>1533</v>
      </c>
      <c r="D492" s="305"/>
      <c r="E492" s="305"/>
      <c r="F492" s="117" t="s">
        <v>1646</v>
      </c>
      <c r="G492" s="116">
        <v>30</v>
      </c>
      <c r="H492" s="159"/>
      <c r="I492" s="108">
        <f t="shared" si="528"/>
        <v>0</v>
      </c>
      <c r="J492" s="108">
        <f t="shared" si="529"/>
        <v>0</v>
      </c>
      <c r="K492" s="108">
        <f t="shared" si="530"/>
        <v>0</v>
      </c>
      <c r="L492" s="111"/>
      <c r="Z492" s="100">
        <f t="shared" si="531"/>
        <v>0</v>
      </c>
      <c r="AB492" s="100">
        <f t="shared" si="532"/>
        <v>0</v>
      </c>
      <c r="AC492" s="100">
        <f t="shared" si="533"/>
        <v>0</v>
      </c>
      <c r="AD492" s="100">
        <f t="shared" si="534"/>
        <v>0</v>
      </c>
      <c r="AE492" s="100">
        <f t="shared" si="535"/>
        <v>0</v>
      </c>
      <c r="AF492" s="100">
        <f t="shared" si="536"/>
        <v>0</v>
      </c>
      <c r="AG492" s="100">
        <f t="shared" si="537"/>
        <v>0</v>
      </c>
      <c r="AH492" s="100">
        <f t="shared" si="538"/>
        <v>0</v>
      </c>
      <c r="AI492" s="109"/>
      <c r="AJ492" s="108">
        <f t="shared" si="539"/>
        <v>0</v>
      </c>
      <c r="AK492" s="108">
        <f t="shared" si="540"/>
        <v>0</v>
      </c>
      <c r="AL492" s="108">
        <f t="shared" si="541"/>
        <v>0</v>
      </c>
      <c r="AN492" s="100">
        <v>15</v>
      </c>
      <c r="AO492" s="100">
        <f t="shared" si="542"/>
        <v>0</v>
      </c>
      <c r="AP492" s="100">
        <f t="shared" si="543"/>
        <v>0</v>
      </c>
      <c r="AQ492" s="111" t="s">
        <v>7</v>
      </c>
      <c r="AV492" s="100">
        <f t="shared" si="544"/>
        <v>0</v>
      </c>
      <c r="AW492" s="100">
        <f t="shared" si="545"/>
        <v>0</v>
      </c>
      <c r="AX492" s="100">
        <f t="shared" si="546"/>
        <v>0</v>
      </c>
      <c r="AY492" s="110" t="s">
        <v>1720</v>
      </c>
      <c r="AZ492" s="110" t="s">
        <v>1730</v>
      </c>
      <c r="BA492" s="109" t="s">
        <v>1737</v>
      </c>
      <c r="BC492" s="100">
        <f t="shared" si="547"/>
        <v>0</v>
      </c>
      <c r="BD492" s="100">
        <f t="shared" si="548"/>
        <v>0</v>
      </c>
      <c r="BE492" s="100">
        <v>0</v>
      </c>
      <c r="BF492" s="100">
        <f>492</f>
        <v>492</v>
      </c>
      <c r="BH492" s="108">
        <f t="shared" si="549"/>
        <v>0</v>
      </c>
      <c r="BI492" s="108">
        <f t="shared" si="550"/>
        <v>0</v>
      </c>
      <c r="BJ492" s="108">
        <f t="shared" si="551"/>
        <v>0</v>
      </c>
    </row>
    <row r="493" spans="1:62" x14ac:dyDescent="0.2">
      <c r="A493" s="117" t="s">
        <v>443</v>
      </c>
      <c r="B493" s="117" t="s">
        <v>1982</v>
      </c>
      <c r="C493" s="304" t="s">
        <v>1534</v>
      </c>
      <c r="D493" s="305"/>
      <c r="E493" s="305"/>
      <c r="F493" s="117" t="s">
        <v>1644</v>
      </c>
      <c r="G493" s="116">
        <v>5</v>
      </c>
      <c r="H493" s="159"/>
      <c r="I493" s="108">
        <f t="shared" si="528"/>
        <v>0</v>
      </c>
      <c r="J493" s="108">
        <f t="shared" si="529"/>
        <v>0</v>
      </c>
      <c r="K493" s="108">
        <f t="shared" si="530"/>
        <v>0</v>
      </c>
      <c r="L493" s="111"/>
      <c r="Z493" s="100">
        <f t="shared" si="531"/>
        <v>0</v>
      </c>
      <c r="AB493" s="100">
        <f t="shared" si="532"/>
        <v>0</v>
      </c>
      <c r="AC493" s="100">
        <f t="shared" si="533"/>
        <v>0</v>
      </c>
      <c r="AD493" s="100">
        <f t="shared" si="534"/>
        <v>0</v>
      </c>
      <c r="AE493" s="100">
        <f t="shared" si="535"/>
        <v>0</v>
      </c>
      <c r="AF493" s="100">
        <f t="shared" si="536"/>
        <v>0</v>
      </c>
      <c r="AG493" s="100">
        <f t="shared" si="537"/>
        <v>0</v>
      </c>
      <c r="AH493" s="100">
        <f t="shared" si="538"/>
        <v>0</v>
      </c>
      <c r="AI493" s="109"/>
      <c r="AJ493" s="108">
        <f t="shared" si="539"/>
        <v>0</v>
      </c>
      <c r="AK493" s="108">
        <f t="shared" si="540"/>
        <v>0</v>
      </c>
      <c r="AL493" s="108">
        <f t="shared" si="541"/>
        <v>0</v>
      </c>
      <c r="AN493" s="100">
        <v>15</v>
      </c>
      <c r="AO493" s="100">
        <f t="shared" si="542"/>
        <v>0</v>
      </c>
      <c r="AP493" s="100">
        <f t="shared" si="543"/>
        <v>0</v>
      </c>
      <c r="AQ493" s="111" t="s">
        <v>7</v>
      </c>
      <c r="AV493" s="100">
        <f t="shared" si="544"/>
        <v>0</v>
      </c>
      <c r="AW493" s="100">
        <f t="shared" si="545"/>
        <v>0</v>
      </c>
      <c r="AX493" s="100">
        <f t="shared" si="546"/>
        <v>0</v>
      </c>
      <c r="AY493" s="110" t="s">
        <v>1720</v>
      </c>
      <c r="AZ493" s="110" t="s">
        <v>1730</v>
      </c>
      <c r="BA493" s="109" t="s">
        <v>1737</v>
      </c>
      <c r="BC493" s="100">
        <f t="shared" si="547"/>
        <v>0</v>
      </c>
      <c r="BD493" s="100">
        <f t="shared" si="548"/>
        <v>0</v>
      </c>
      <c r="BE493" s="100">
        <v>0</v>
      </c>
      <c r="BF493" s="100">
        <f>493</f>
        <v>493</v>
      </c>
      <c r="BH493" s="108">
        <f t="shared" si="549"/>
        <v>0</v>
      </c>
      <c r="BI493" s="108">
        <f t="shared" si="550"/>
        <v>0</v>
      </c>
      <c r="BJ493" s="108">
        <f t="shared" si="551"/>
        <v>0</v>
      </c>
    </row>
    <row r="494" spans="1:62" x14ac:dyDescent="0.2">
      <c r="A494" s="117" t="s">
        <v>444</v>
      </c>
      <c r="B494" s="117" t="s">
        <v>1981</v>
      </c>
      <c r="C494" s="304" t="s">
        <v>1535</v>
      </c>
      <c r="D494" s="305"/>
      <c r="E494" s="305"/>
      <c r="F494" s="117" t="s">
        <v>1644</v>
      </c>
      <c r="G494" s="116">
        <v>3</v>
      </c>
      <c r="H494" s="159"/>
      <c r="I494" s="108">
        <f t="shared" si="528"/>
        <v>0</v>
      </c>
      <c r="J494" s="108">
        <f t="shared" si="529"/>
        <v>0</v>
      </c>
      <c r="K494" s="108">
        <f t="shared" si="530"/>
        <v>0</v>
      </c>
      <c r="L494" s="111"/>
      <c r="Z494" s="100">
        <f t="shared" si="531"/>
        <v>0</v>
      </c>
      <c r="AB494" s="100">
        <f t="shared" si="532"/>
        <v>0</v>
      </c>
      <c r="AC494" s="100">
        <f t="shared" si="533"/>
        <v>0</v>
      </c>
      <c r="AD494" s="100">
        <f t="shared" si="534"/>
        <v>0</v>
      </c>
      <c r="AE494" s="100">
        <f t="shared" si="535"/>
        <v>0</v>
      </c>
      <c r="AF494" s="100">
        <f t="shared" si="536"/>
        <v>0</v>
      </c>
      <c r="AG494" s="100">
        <f t="shared" si="537"/>
        <v>0</v>
      </c>
      <c r="AH494" s="100">
        <f t="shared" si="538"/>
        <v>0</v>
      </c>
      <c r="AI494" s="109"/>
      <c r="AJ494" s="108">
        <f t="shared" si="539"/>
        <v>0</v>
      </c>
      <c r="AK494" s="108">
        <f t="shared" si="540"/>
        <v>0</v>
      </c>
      <c r="AL494" s="108">
        <f t="shared" si="541"/>
        <v>0</v>
      </c>
      <c r="AN494" s="100">
        <v>15</v>
      </c>
      <c r="AO494" s="100">
        <f t="shared" si="542"/>
        <v>0</v>
      </c>
      <c r="AP494" s="100">
        <f t="shared" si="543"/>
        <v>0</v>
      </c>
      <c r="AQ494" s="111" t="s">
        <v>7</v>
      </c>
      <c r="AV494" s="100">
        <f t="shared" si="544"/>
        <v>0</v>
      </c>
      <c r="AW494" s="100">
        <f t="shared" si="545"/>
        <v>0</v>
      </c>
      <c r="AX494" s="100">
        <f t="shared" si="546"/>
        <v>0</v>
      </c>
      <c r="AY494" s="110" t="s">
        <v>1720</v>
      </c>
      <c r="AZ494" s="110" t="s">
        <v>1730</v>
      </c>
      <c r="BA494" s="109" t="s">
        <v>1737</v>
      </c>
      <c r="BC494" s="100">
        <f t="shared" si="547"/>
        <v>0</v>
      </c>
      <c r="BD494" s="100">
        <f t="shared" si="548"/>
        <v>0</v>
      </c>
      <c r="BE494" s="100">
        <v>0</v>
      </c>
      <c r="BF494" s="100">
        <f>494</f>
        <v>494</v>
      </c>
      <c r="BH494" s="108">
        <f t="shared" si="549"/>
        <v>0</v>
      </c>
      <c r="BI494" s="108">
        <f t="shared" si="550"/>
        <v>0</v>
      </c>
      <c r="BJ494" s="108">
        <f t="shared" si="551"/>
        <v>0</v>
      </c>
    </row>
    <row r="495" spans="1:62" x14ac:dyDescent="0.2">
      <c r="A495" s="117" t="s">
        <v>445</v>
      </c>
      <c r="B495" s="117" t="s">
        <v>1980</v>
      </c>
      <c r="C495" s="304" t="s">
        <v>1536</v>
      </c>
      <c r="D495" s="305"/>
      <c r="E495" s="305"/>
      <c r="F495" s="117" t="s">
        <v>1644</v>
      </c>
      <c r="G495" s="116">
        <v>24</v>
      </c>
      <c r="H495" s="159"/>
      <c r="I495" s="108">
        <f t="shared" si="528"/>
        <v>0</v>
      </c>
      <c r="J495" s="108">
        <f t="shared" si="529"/>
        <v>0</v>
      </c>
      <c r="K495" s="108">
        <f t="shared" si="530"/>
        <v>0</v>
      </c>
      <c r="L495" s="111"/>
      <c r="Z495" s="100">
        <f t="shared" si="531"/>
        <v>0</v>
      </c>
      <c r="AB495" s="100">
        <f t="shared" si="532"/>
        <v>0</v>
      </c>
      <c r="AC495" s="100">
        <f t="shared" si="533"/>
        <v>0</v>
      </c>
      <c r="AD495" s="100">
        <f t="shared" si="534"/>
        <v>0</v>
      </c>
      <c r="AE495" s="100">
        <f t="shared" si="535"/>
        <v>0</v>
      </c>
      <c r="AF495" s="100">
        <f t="shared" si="536"/>
        <v>0</v>
      </c>
      <c r="AG495" s="100">
        <f t="shared" si="537"/>
        <v>0</v>
      </c>
      <c r="AH495" s="100">
        <f t="shared" si="538"/>
        <v>0</v>
      </c>
      <c r="AI495" s="109"/>
      <c r="AJ495" s="108">
        <f t="shared" si="539"/>
        <v>0</v>
      </c>
      <c r="AK495" s="108">
        <f t="shared" si="540"/>
        <v>0</v>
      </c>
      <c r="AL495" s="108">
        <f t="shared" si="541"/>
        <v>0</v>
      </c>
      <c r="AN495" s="100">
        <v>15</v>
      </c>
      <c r="AO495" s="100">
        <f t="shared" si="542"/>
        <v>0</v>
      </c>
      <c r="AP495" s="100">
        <f t="shared" si="543"/>
        <v>0</v>
      </c>
      <c r="AQ495" s="111" t="s">
        <v>7</v>
      </c>
      <c r="AV495" s="100">
        <f t="shared" si="544"/>
        <v>0</v>
      </c>
      <c r="AW495" s="100">
        <f t="shared" si="545"/>
        <v>0</v>
      </c>
      <c r="AX495" s="100">
        <f t="shared" si="546"/>
        <v>0</v>
      </c>
      <c r="AY495" s="110" t="s">
        <v>1720</v>
      </c>
      <c r="AZ495" s="110" t="s">
        <v>1730</v>
      </c>
      <c r="BA495" s="109" t="s">
        <v>1737</v>
      </c>
      <c r="BC495" s="100">
        <f t="shared" si="547"/>
        <v>0</v>
      </c>
      <c r="BD495" s="100">
        <f t="shared" si="548"/>
        <v>0</v>
      </c>
      <c r="BE495" s="100">
        <v>0</v>
      </c>
      <c r="BF495" s="100">
        <f>495</f>
        <v>495</v>
      </c>
      <c r="BH495" s="108">
        <f t="shared" si="549"/>
        <v>0</v>
      </c>
      <c r="BI495" s="108">
        <f t="shared" si="550"/>
        <v>0</v>
      </c>
      <c r="BJ495" s="108">
        <f t="shared" si="551"/>
        <v>0</v>
      </c>
    </row>
    <row r="496" spans="1:62" x14ac:dyDescent="0.2">
      <c r="A496" s="117" t="s">
        <v>446</v>
      </c>
      <c r="B496" s="117" t="s">
        <v>1979</v>
      </c>
      <c r="C496" s="304" t="s">
        <v>1537</v>
      </c>
      <c r="D496" s="305"/>
      <c r="E496" s="305"/>
      <c r="F496" s="117" t="s">
        <v>1644</v>
      </c>
      <c r="G496" s="116">
        <v>1</v>
      </c>
      <c r="H496" s="159"/>
      <c r="I496" s="108">
        <f t="shared" si="528"/>
        <v>0</v>
      </c>
      <c r="J496" s="108">
        <f t="shared" si="529"/>
        <v>0</v>
      </c>
      <c r="K496" s="108">
        <f t="shared" si="530"/>
        <v>0</v>
      </c>
      <c r="L496" s="111"/>
      <c r="Z496" s="100">
        <f t="shared" si="531"/>
        <v>0</v>
      </c>
      <c r="AB496" s="100">
        <f t="shared" si="532"/>
        <v>0</v>
      </c>
      <c r="AC496" s="100">
        <f t="shared" si="533"/>
        <v>0</v>
      </c>
      <c r="AD496" s="100">
        <f t="shared" si="534"/>
        <v>0</v>
      </c>
      <c r="AE496" s="100">
        <f t="shared" si="535"/>
        <v>0</v>
      </c>
      <c r="AF496" s="100">
        <f t="shared" si="536"/>
        <v>0</v>
      </c>
      <c r="AG496" s="100">
        <f t="shared" si="537"/>
        <v>0</v>
      </c>
      <c r="AH496" s="100">
        <f t="shared" si="538"/>
        <v>0</v>
      </c>
      <c r="AI496" s="109"/>
      <c r="AJ496" s="108">
        <f t="shared" si="539"/>
        <v>0</v>
      </c>
      <c r="AK496" s="108">
        <f t="shared" si="540"/>
        <v>0</v>
      </c>
      <c r="AL496" s="108">
        <f t="shared" si="541"/>
        <v>0</v>
      </c>
      <c r="AN496" s="100">
        <v>15</v>
      </c>
      <c r="AO496" s="100">
        <f t="shared" si="542"/>
        <v>0</v>
      </c>
      <c r="AP496" s="100">
        <f t="shared" si="543"/>
        <v>0</v>
      </c>
      <c r="AQ496" s="111" t="s">
        <v>7</v>
      </c>
      <c r="AV496" s="100">
        <f t="shared" si="544"/>
        <v>0</v>
      </c>
      <c r="AW496" s="100">
        <f t="shared" si="545"/>
        <v>0</v>
      </c>
      <c r="AX496" s="100">
        <f t="shared" si="546"/>
        <v>0</v>
      </c>
      <c r="AY496" s="110" t="s">
        <v>1720</v>
      </c>
      <c r="AZ496" s="110" t="s">
        <v>1730</v>
      </c>
      <c r="BA496" s="109" t="s">
        <v>1737</v>
      </c>
      <c r="BC496" s="100">
        <f t="shared" si="547"/>
        <v>0</v>
      </c>
      <c r="BD496" s="100">
        <f t="shared" si="548"/>
        <v>0</v>
      </c>
      <c r="BE496" s="100">
        <v>0</v>
      </c>
      <c r="BF496" s="100">
        <f>496</f>
        <v>496</v>
      </c>
      <c r="BH496" s="108">
        <f t="shared" si="549"/>
        <v>0</v>
      </c>
      <c r="BI496" s="108">
        <f t="shared" si="550"/>
        <v>0</v>
      </c>
      <c r="BJ496" s="108">
        <f t="shared" si="551"/>
        <v>0</v>
      </c>
    </row>
    <row r="497" spans="1:62" x14ac:dyDescent="0.2">
      <c r="A497" s="117" t="s">
        <v>447</v>
      </c>
      <c r="B497" s="117" t="s">
        <v>1978</v>
      </c>
      <c r="C497" s="304" t="s">
        <v>1538</v>
      </c>
      <c r="D497" s="305"/>
      <c r="E497" s="305"/>
      <c r="F497" s="117" t="s">
        <v>1646</v>
      </c>
      <c r="G497" s="116">
        <v>10</v>
      </c>
      <c r="H497" s="159"/>
      <c r="I497" s="108">
        <f t="shared" si="528"/>
        <v>0</v>
      </c>
      <c r="J497" s="108">
        <f t="shared" si="529"/>
        <v>0</v>
      </c>
      <c r="K497" s="108">
        <f t="shared" si="530"/>
        <v>0</v>
      </c>
      <c r="L497" s="111"/>
      <c r="Z497" s="100">
        <f t="shared" si="531"/>
        <v>0</v>
      </c>
      <c r="AB497" s="100">
        <f t="shared" si="532"/>
        <v>0</v>
      </c>
      <c r="AC497" s="100">
        <f t="shared" si="533"/>
        <v>0</v>
      </c>
      <c r="AD497" s="100">
        <f t="shared" si="534"/>
        <v>0</v>
      </c>
      <c r="AE497" s="100">
        <f t="shared" si="535"/>
        <v>0</v>
      </c>
      <c r="AF497" s="100">
        <f t="shared" si="536"/>
        <v>0</v>
      </c>
      <c r="AG497" s="100">
        <f t="shared" si="537"/>
        <v>0</v>
      </c>
      <c r="AH497" s="100">
        <f t="shared" si="538"/>
        <v>0</v>
      </c>
      <c r="AI497" s="109"/>
      <c r="AJ497" s="108">
        <f t="shared" si="539"/>
        <v>0</v>
      </c>
      <c r="AK497" s="108">
        <f t="shared" si="540"/>
        <v>0</v>
      </c>
      <c r="AL497" s="108">
        <f t="shared" si="541"/>
        <v>0</v>
      </c>
      <c r="AN497" s="100">
        <v>15</v>
      </c>
      <c r="AO497" s="100">
        <f t="shared" si="542"/>
        <v>0</v>
      </c>
      <c r="AP497" s="100">
        <f t="shared" si="543"/>
        <v>0</v>
      </c>
      <c r="AQ497" s="111" t="s">
        <v>7</v>
      </c>
      <c r="AV497" s="100">
        <f t="shared" si="544"/>
        <v>0</v>
      </c>
      <c r="AW497" s="100">
        <f t="shared" si="545"/>
        <v>0</v>
      </c>
      <c r="AX497" s="100">
        <f t="shared" si="546"/>
        <v>0</v>
      </c>
      <c r="AY497" s="110" t="s">
        <v>1720</v>
      </c>
      <c r="AZ497" s="110" t="s">
        <v>1730</v>
      </c>
      <c r="BA497" s="109" t="s">
        <v>1737</v>
      </c>
      <c r="BC497" s="100">
        <f t="shared" si="547"/>
        <v>0</v>
      </c>
      <c r="BD497" s="100">
        <f t="shared" si="548"/>
        <v>0</v>
      </c>
      <c r="BE497" s="100">
        <v>0</v>
      </c>
      <c r="BF497" s="100">
        <f>497</f>
        <v>497</v>
      </c>
      <c r="BH497" s="108">
        <f t="shared" si="549"/>
        <v>0</v>
      </c>
      <c r="BI497" s="108">
        <f t="shared" si="550"/>
        <v>0</v>
      </c>
      <c r="BJ497" s="108">
        <f t="shared" si="551"/>
        <v>0</v>
      </c>
    </row>
    <row r="498" spans="1:62" x14ac:dyDescent="0.2">
      <c r="A498" s="117" t="s">
        <v>448</v>
      </c>
      <c r="B498" s="117" t="s">
        <v>1977</v>
      </c>
      <c r="C498" s="304" t="s">
        <v>1539</v>
      </c>
      <c r="D498" s="305"/>
      <c r="E498" s="305"/>
      <c r="F498" s="117" t="s">
        <v>1646</v>
      </c>
      <c r="G498" s="116">
        <v>30</v>
      </c>
      <c r="H498" s="159"/>
      <c r="I498" s="108">
        <f t="shared" si="528"/>
        <v>0</v>
      </c>
      <c r="J498" s="108">
        <f t="shared" si="529"/>
        <v>0</v>
      </c>
      <c r="K498" s="108">
        <f t="shared" si="530"/>
        <v>0</v>
      </c>
      <c r="L498" s="111"/>
      <c r="Z498" s="100">
        <f t="shared" si="531"/>
        <v>0</v>
      </c>
      <c r="AB498" s="100">
        <f t="shared" si="532"/>
        <v>0</v>
      </c>
      <c r="AC498" s="100">
        <f t="shared" si="533"/>
        <v>0</v>
      </c>
      <c r="AD498" s="100">
        <f t="shared" si="534"/>
        <v>0</v>
      </c>
      <c r="AE498" s="100">
        <f t="shared" si="535"/>
        <v>0</v>
      </c>
      <c r="AF498" s="100">
        <f t="shared" si="536"/>
        <v>0</v>
      </c>
      <c r="AG498" s="100">
        <f t="shared" si="537"/>
        <v>0</v>
      </c>
      <c r="AH498" s="100">
        <f t="shared" si="538"/>
        <v>0</v>
      </c>
      <c r="AI498" s="109"/>
      <c r="AJ498" s="108">
        <f t="shared" si="539"/>
        <v>0</v>
      </c>
      <c r="AK498" s="108">
        <f t="shared" si="540"/>
        <v>0</v>
      </c>
      <c r="AL498" s="108">
        <f t="shared" si="541"/>
        <v>0</v>
      </c>
      <c r="AN498" s="100">
        <v>15</v>
      </c>
      <c r="AO498" s="100">
        <f t="shared" si="542"/>
        <v>0</v>
      </c>
      <c r="AP498" s="100">
        <f t="shared" si="543"/>
        <v>0</v>
      </c>
      <c r="AQ498" s="111" t="s">
        <v>7</v>
      </c>
      <c r="AV498" s="100">
        <f t="shared" si="544"/>
        <v>0</v>
      </c>
      <c r="AW498" s="100">
        <f t="shared" si="545"/>
        <v>0</v>
      </c>
      <c r="AX498" s="100">
        <f t="shared" si="546"/>
        <v>0</v>
      </c>
      <c r="AY498" s="110" t="s">
        <v>1720</v>
      </c>
      <c r="AZ498" s="110" t="s">
        <v>1730</v>
      </c>
      <c r="BA498" s="109" t="s">
        <v>1737</v>
      </c>
      <c r="BC498" s="100">
        <f t="shared" si="547"/>
        <v>0</v>
      </c>
      <c r="BD498" s="100">
        <f t="shared" si="548"/>
        <v>0</v>
      </c>
      <c r="BE498" s="100">
        <v>0</v>
      </c>
      <c r="BF498" s="100">
        <f>498</f>
        <v>498</v>
      </c>
      <c r="BH498" s="108">
        <f t="shared" si="549"/>
        <v>0</v>
      </c>
      <c r="BI498" s="108">
        <f t="shared" si="550"/>
        <v>0</v>
      </c>
      <c r="BJ498" s="108">
        <f t="shared" si="551"/>
        <v>0</v>
      </c>
    </row>
    <row r="499" spans="1:62" x14ac:dyDescent="0.2">
      <c r="A499" s="117" t="s">
        <v>449</v>
      </c>
      <c r="B499" s="117" t="s">
        <v>1976</v>
      </c>
      <c r="C499" s="304" t="s">
        <v>1540</v>
      </c>
      <c r="D499" s="305"/>
      <c r="E499" s="305"/>
      <c r="F499" s="117" t="s">
        <v>1646</v>
      </c>
      <c r="G499" s="116">
        <v>40</v>
      </c>
      <c r="H499" s="159"/>
      <c r="I499" s="108">
        <f t="shared" si="528"/>
        <v>0</v>
      </c>
      <c r="J499" s="108">
        <f t="shared" si="529"/>
        <v>0</v>
      </c>
      <c r="K499" s="108">
        <f t="shared" si="530"/>
        <v>0</v>
      </c>
      <c r="L499" s="111"/>
      <c r="Z499" s="100">
        <f t="shared" si="531"/>
        <v>0</v>
      </c>
      <c r="AB499" s="100">
        <f t="shared" si="532"/>
        <v>0</v>
      </c>
      <c r="AC499" s="100">
        <f t="shared" si="533"/>
        <v>0</v>
      </c>
      <c r="AD499" s="100">
        <f t="shared" si="534"/>
        <v>0</v>
      </c>
      <c r="AE499" s="100">
        <f t="shared" si="535"/>
        <v>0</v>
      </c>
      <c r="AF499" s="100">
        <f t="shared" si="536"/>
        <v>0</v>
      </c>
      <c r="AG499" s="100">
        <f t="shared" si="537"/>
        <v>0</v>
      </c>
      <c r="AH499" s="100">
        <f t="shared" si="538"/>
        <v>0</v>
      </c>
      <c r="AI499" s="109"/>
      <c r="AJ499" s="108">
        <f t="shared" si="539"/>
        <v>0</v>
      </c>
      <c r="AK499" s="108">
        <f t="shared" si="540"/>
        <v>0</v>
      </c>
      <c r="AL499" s="108">
        <f t="shared" si="541"/>
        <v>0</v>
      </c>
      <c r="AN499" s="100">
        <v>15</v>
      </c>
      <c r="AO499" s="100">
        <f t="shared" si="542"/>
        <v>0</v>
      </c>
      <c r="AP499" s="100">
        <f t="shared" si="543"/>
        <v>0</v>
      </c>
      <c r="AQ499" s="111" t="s">
        <v>7</v>
      </c>
      <c r="AV499" s="100">
        <f t="shared" si="544"/>
        <v>0</v>
      </c>
      <c r="AW499" s="100">
        <f t="shared" si="545"/>
        <v>0</v>
      </c>
      <c r="AX499" s="100">
        <f t="shared" si="546"/>
        <v>0</v>
      </c>
      <c r="AY499" s="110" t="s">
        <v>1720</v>
      </c>
      <c r="AZ499" s="110" t="s">
        <v>1730</v>
      </c>
      <c r="BA499" s="109" t="s">
        <v>1737</v>
      </c>
      <c r="BC499" s="100">
        <f t="shared" si="547"/>
        <v>0</v>
      </c>
      <c r="BD499" s="100">
        <f t="shared" si="548"/>
        <v>0</v>
      </c>
      <c r="BE499" s="100">
        <v>0</v>
      </c>
      <c r="BF499" s="100">
        <f>499</f>
        <v>499</v>
      </c>
      <c r="BH499" s="108">
        <f t="shared" si="549"/>
        <v>0</v>
      </c>
      <c r="BI499" s="108">
        <f t="shared" si="550"/>
        <v>0</v>
      </c>
      <c r="BJ499" s="108">
        <f t="shared" si="551"/>
        <v>0</v>
      </c>
    </row>
    <row r="500" spans="1:62" x14ac:dyDescent="0.2">
      <c r="A500" s="117" t="s">
        <v>450</v>
      </c>
      <c r="B500" s="117" t="s">
        <v>1975</v>
      </c>
      <c r="C500" s="304" t="s">
        <v>1541</v>
      </c>
      <c r="D500" s="305"/>
      <c r="E500" s="305"/>
      <c r="F500" s="117" t="s">
        <v>1646</v>
      </c>
      <c r="G500" s="116">
        <v>40</v>
      </c>
      <c r="H500" s="159"/>
      <c r="I500" s="108">
        <f t="shared" si="528"/>
        <v>0</v>
      </c>
      <c r="J500" s="108">
        <f t="shared" si="529"/>
        <v>0</v>
      </c>
      <c r="K500" s="108">
        <f t="shared" si="530"/>
        <v>0</v>
      </c>
      <c r="L500" s="111"/>
      <c r="Z500" s="100">
        <f t="shared" si="531"/>
        <v>0</v>
      </c>
      <c r="AB500" s="100">
        <f t="shared" si="532"/>
        <v>0</v>
      </c>
      <c r="AC500" s="100">
        <f t="shared" si="533"/>
        <v>0</v>
      </c>
      <c r="AD500" s="100">
        <f t="shared" si="534"/>
        <v>0</v>
      </c>
      <c r="AE500" s="100">
        <f t="shared" si="535"/>
        <v>0</v>
      </c>
      <c r="AF500" s="100">
        <f t="shared" si="536"/>
        <v>0</v>
      </c>
      <c r="AG500" s="100">
        <f t="shared" si="537"/>
        <v>0</v>
      </c>
      <c r="AH500" s="100">
        <f t="shared" si="538"/>
        <v>0</v>
      </c>
      <c r="AI500" s="109"/>
      <c r="AJ500" s="108">
        <f t="shared" si="539"/>
        <v>0</v>
      </c>
      <c r="AK500" s="108">
        <f t="shared" si="540"/>
        <v>0</v>
      </c>
      <c r="AL500" s="108">
        <f t="shared" si="541"/>
        <v>0</v>
      </c>
      <c r="AN500" s="100">
        <v>15</v>
      </c>
      <c r="AO500" s="100">
        <f t="shared" si="542"/>
        <v>0</v>
      </c>
      <c r="AP500" s="100">
        <f t="shared" si="543"/>
        <v>0</v>
      </c>
      <c r="AQ500" s="111" t="s">
        <v>7</v>
      </c>
      <c r="AV500" s="100">
        <f t="shared" si="544"/>
        <v>0</v>
      </c>
      <c r="AW500" s="100">
        <f t="shared" si="545"/>
        <v>0</v>
      </c>
      <c r="AX500" s="100">
        <f t="shared" si="546"/>
        <v>0</v>
      </c>
      <c r="AY500" s="110" t="s">
        <v>1720</v>
      </c>
      <c r="AZ500" s="110" t="s">
        <v>1730</v>
      </c>
      <c r="BA500" s="109" t="s">
        <v>1737</v>
      </c>
      <c r="BC500" s="100">
        <f t="shared" si="547"/>
        <v>0</v>
      </c>
      <c r="BD500" s="100">
        <f t="shared" si="548"/>
        <v>0</v>
      </c>
      <c r="BE500" s="100">
        <v>0</v>
      </c>
      <c r="BF500" s="100">
        <f>500</f>
        <v>500</v>
      </c>
      <c r="BH500" s="108">
        <f t="shared" si="549"/>
        <v>0</v>
      </c>
      <c r="BI500" s="108">
        <f t="shared" si="550"/>
        <v>0</v>
      </c>
      <c r="BJ500" s="108">
        <f t="shared" si="551"/>
        <v>0</v>
      </c>
    </row>
    <row r="501" spans="1:62" x14ac:dyDescent="0.2">
      <c r="A501" s="117" t="s">
        <v>451</v>
      </c>
      <c r="B501" s="117" t="s">
        <v>1974</v>
      </c>
      <c r="C501" s="304" t="s">
        <v>1542</v>
      </c>
      <c r="D501" s="305"/>
      <c r="E501" s="305"/>
      <c r="F501" s="117" t="s">
        <v>1646</v>
      </c>
      <c r="G501" s="116">
        <v>30</v>
      </c>
      <c r="H501" s="159"/>
      <c r="I501" s="108">
        <f t="shared" si="528"/>
        <v>0</v>
      </c>
      <c r="J501" s="108">
        <f t="shared" si="529"/>
        <v>0</v>
      </c>
      <c r="K501" s="108">
        <f t="shared" si="530"/>
        <v>0</v>
      </c>
      <c r="L501" s="111"/>
      <c r="Z501" s="100">
        <f t="shared" si="531"/>
        <v>0</v>
      </c>
      <c r="AB501" s="100">
        <f t="shared" si="532"/>
        <v>0</v>
      </c>
      <c r="AC501" s="100">
        <f t="shared" si="533"/>
        <v>0</v>
      </c>
      <c r="AD501" s="100">
        <f t="shared" si="534"/>
        <v>0</v>
      </c>
      <c r="AE501" s="100">
        <f t="shared" si="535"/>
        <v>0</v>
      </c>
      <c r="AF501" s="100">
        <f t="shared" si="536"/>
        <v>0</v>
      </c>
      <c r="AG501" s="100">
        <f t="shared" si="537"/>
        <v>0</v>
      </c>
      <c r="AH501" s="100">
        <f t="shared" si="538"/>
        <v>0</v>
      </c>
      <c r="AI501" s="109"/>
      <c r="AJ501" s="108">
        <f t="shared" si="539"/>
        <v>0</v>
      </c>
      <c r="AK501" s="108">
        <f t="shared" si="540"/>
        <v>0</v>
      </c>
      <c r="AL501" s="108">
        <f t="shared" si="541"/>
        <v>0</v>
      </c>
      <c r="AN501" s="100">
        <v>15</v>
      </c>
      <c r="AO501" s="100">
        <f t="shared" si="542"/>
        <v>0</v>
      </c>
      <c r="AP501" s="100">
        <f t="shared" si="543"/>
        <v>0</v>
      </c>
      <c r="AQ501" s="111" t="s">
        <v>7</v>
      </c>
      <c r="AV501" s="100">
        <f t="shared" si="544"/>
        <v>0</v>
      </c>
      <c r="AW501" s="100">
        <f t="shared" si="545"/>
        <v>0</v>
      </c>
      <c r="AX501" s="100">
        <f t="shared" si="546"/>
        <v>0</v>
      </c>
      <c r="AY501" s="110" t="s">
        <v>1720</v>
      </c>
      <c r="AZ501" s="110" t="s">
        <v>1730</v>
      </c>
      <c r="BA501" s="109" t="s">
        <v>1737</v>
      </c>
      <c r="BC501" s="100">
        <f t="shared" si="547"/>
        <v>0</v>
      </c>
      <c r="BD501" s="100">
        <f t="shared" si="548"/>
        <v>0</v>
      </c>
      <c r="BE501" s="100">
        <v>0</v>
      </c>
      <c r="BF501" s="100">
        <f>501</f>
        <v>501</v>
      </c>
      <c r="BH501" s="108">
        <f t="shared" si="549"/>
        <v>0</v>
      </c>
      <c r="BI501" s="108">
        <f t="shared" si="550"/>
        <v>0</v>
      </c>
      <c r="BJ501" s="108">
        <f t="shared" si="551"/>
        <v>0</v>
      </c>
    </row>
    <row r="502" spans="1:62" x14ac:dyDescent="0.2">
      <c r="A502" s="117" t="s">
        <v>452</v>
      </c>
      <c r="B502" s="117" t="s">
        <v>1973</v>
      </c>
      <c r="C502" s="304" t="s">
        <v>1543</v>
      </c>
      <c r="D502" s="305"/>
      <c r="E502" s="305"/>
      <c r="F502" s="117" t="s">
        <v>1644</v>
      </c>
      <c r="G502" s="116">
        <v>1</v>
      </c>
      <c r="H502" s="159"/>
      <c r="I502" s="108">
        <f t="shared" si="528"/>
        <v>0</v>
      </c>
      <c r="J502" s="108">
        <f t="shared" si="529"/>
        <v>0</v>
      </c>
      <c r="K502" s="108">
        <f t="shared" si="530"/>
        <v>0</v>
      </c>
      <c r="L502" s="111"/>
      <c r="Z502" s="100">
        <f t="shared" si="531"/>
        <v>0</v>
      </c>
      <c r="AB502" s="100">
        <f t="shared" si="532"/>
        <v>0</v>
      </c>
      <c r="AC502" s="100">
        <f t="shared" si="533"/>
        <v>0</v>
      </c>
      <c r="AD502" s="100">
        <f t="shared" si="534"/>
        <v>0</v>
      </c>
      <c r="AE502" s="100">
        <f t="shared" si="535"/>
        <v>0</v>
      </c>
      <c r="AF502" s="100">
        <f t="shared" si="536"/>
        <v>0</v>
      </c>
      <c r="AG502" s="100">
        <f t="shared" si="537"/>
        <v>0</v>
      </c>
      <c r="AH502" s="100">
        <f t="shared" si="538"/>
        <v>0</v>
      </c>
      <c r="AI502" s="109"/>
      <c r="AJ502" s="108">
        <f t="shared" si="539"/>
        <v>0</v>
      </c>
      <c r="AK502" s="108">
        <f t="shared" si="540"/>
        <v>0</v>
      </c>
      <c r="AL502" s="108">
        <f t="shared" si="541"/>
        <v>0</v>
      </c>
      <c r="AN502" s="100">
        <v>15</v>
      </c>
      <c r="AO502" s="100">
        <f t="shared" si="542"/>
        <v>0</v>
      </c>
      <c r="AP502" s="100">
        <f t="shared" si="543"/>
        <v>0</v>
      </c>
      <c r="AQ502" s="111" t="s">
        <v>7</v>
      </c>
      <c r="AV502" s="100">
        <f t="shared" si="544"/>
        <v>0</v>
      </c>
      <c r="AW502" s="100">
        <f t="shared" si="545"/>
        <v>0</v>
      </c>
      <c r="AX502" s="100">
        <f t="shared" si="546"/>
        <v>0</v>
      </c>
      <c r="AY502" s="110" t="s">
        <v>1720</v>
      </c>
      <c r="AZ502" s="110" t="s">
        <v>1730</v>
      </c>
      <c r="BA502" s="109" t="s">
        <v>1737</v>
      </c>
      <c r="BC502" s="100">
        <f t="shared" si="547"/>
        <v>0</v>
      </c>
      <c r="BD502" s="100">
        <f t="shared" si="548"/>
        <v>0</v>
      </c>
      <c r="BE502" s="100">
        <v>0</v>
      </c>
      <c r="BF502" s="100">
        <f>502</f>
        <v>502</v>
      </c>
      <c r="BH502" s="108">
        <f t="shared" si="549"/>
        <v>0</v>
      </c>
      <c r="BI502" s="108">
        <f t="shared" si="550"/>
        <v>0</v>
      </c>
      <c r="BJ502" s="108">
        <f t="shared" si="551"/>
        <v>0</v>
      </c>
    </row>
    <row r="503" spans="1:62" x14ac:dyDescent="0.2">
      <c r="A503" s="117" t="s">
        <v>453</v>
      </c>
      <c r="B503" s="117" t="s">
        <v>1972</v>
      </c>
      <c r="C503" s="304" t="s">
        <v>1544</v>
      </c>
      <c r="D503" s="305"/>
      <c r="E503" s="305"/>
      <c r="F503" s="117" t="s">
        <v>1644</v>
      </c>
      <c r="G503" s="116">
        <v>4</v>
      </c>
      <c r="H503" s="159"/>
      <c r="I503" s="108">
        <f t="shared" si="528"/>
        <v>0</v>
      </c>
      <c r="J503" s="108">
        <f t="shared" si="529"/>
        <v>0</v>
      </c>
      <c r="K503" s="108">
        <f t="shared" si="530"/>
        <v>0</v>
      </c>
      <c r="L503" s="111"/>
      <c r="Z503" s="100">
        <f t="shared" si="531"/>
        <v>0</v>
      </c>
      <c r="AB503" s="100">
        <f t="shared" si="532"/>
        <v>0</v>
      </c>
      <c r="AC503" s="100">
        <f t="shared" si="533"/>
        <v>0</v>
      </c>
      <c r="AD503" s="100">
        <f t="shared" si="534"/>
        <v>0</v>
      </c>
      <c r="AE503" s="100">
        <f t="shared" si="535"/>
        <v>0</v>
      </c>
      <c r="AF503" s="100">
        <f t="shared" si="536"/>
        <v>0</v>
      </c>
      <c r="AG503" s="100">
        <f t="shared" si="537"/>
        <v>0</v>
      </c>
      <c r="AH503" s="100">
        <f t="shared" si="538"/>
        <v>0</v>
      </c>
      <c r="AI503" s="109"/>
      <c r="AJ503" s="108">
        <f t="shared" si="539"/>
        <v>0</v>
      </c>
      <c r="AK503" s="108">
        <f t="shared" si="540"/>
        <v>0</v>
      </c>
      <c r="AL503" s="108">
        <f t="shared" si="541"/>
        <v>0</v>
      </c>
      <c r="AN503" s="100">
        <v>15</v>
      </c>
      <c r="AO503" s="100">
        <f t="shared" si="542"/>
        <v>0</v>
      </c>
      <c r="AP503" s="100">
        <f t="shared" si="543"/>
        <v>0</v>
      </c>
      <c r="AQ503" s="111" t="s">
        <v>7</v>
      </c>
      <c r="AV503" s="100">
        <f t="shared" si="544"/>
        <v>0</v>
      </c>
      <c r="AW503" s="100">
        <f t="shared" si="545"/>
        <v>0</v>
      </c>
      <c r="AX503" s="100">
        <f t="shared" si="546"/>
        <v>0</v>
      </c>
      <c r="AY503" s="110" t="s">
        <v>1720</v>
      </c>
      <c r="AZ503" s="110" t="s">
        <v>1730</v>
      </c>
      <c r="BA503" s="109" t="s">
        <v>1737</v>
      </c>
      <c r="BC503" s="100">
        <f t="shared" si="547"/>
        <v>0</v>
      </c>
      <c r="BD503" s="100">
        <f t="shared" si="548"/>
        <v>0</v>
      </c>
      <c r="BE503" s="100">
        <v>0</v>
      </c>
      <c r="BF503" s="100">
        <f>503</f>
        <v>503</v>
      </c>
      <c r="BH503" s="108">
        <f t="shared" si="549"/>
        <v>0</v>
      </c>
      <c r="BI503" s="108">
        <f t="shared" si="550"/>
        <v>0</v>
      </c>
      <c r="BJ503" s="108">
        <f t="shared" si="551"/>
        <v>0</v>
      </c>
    </row>
    <row r="504" spans="1:62" x14ac:dyDescent="0.2">
      <c r="A504" s="117" t="s">
        <v>454</v>
      </c>
      <c r="B504" s="117" t="s">
        <v>1971</v>
      </c>
      <c r="C504" s="304" t="s">
        <v>1545</v>
      </c>
      <c r="D504" s="305"/>
      <c r="E504" s="305"/>
      <c r="F504" s="117" t="s">
        <v>1646</v>
      </c>
      <c r="G504" s="116">
        <v>120</v>
      </c>
      <c r="H504" s="159"/>
      <c r="I504" s="108">
        <f t="shared" si="528"/>
        <v>0</v>
      </c>
      <c r="J504" s="108">
        <f t="shared" si="529"/>
        <v>0</v>
      </c>
      <c r="K504" s="108">
        <f t="shared" si="530"/>
        <v>0</v>
      </c>
      <c r="L504" s="111"/>
      <c r="Z504" s="100">
        <f t="shared" si="531"/>
        <v>0</v>
      </c>
      <c r="AB504" s="100">
        <f t="shared" si="532"/>
        <v>0</v>
      </c>
      <c r="AC504" s="100">
        <f t="shared" si="533"/>
        <v>0</v>
      </c>
      <c r="AD504" s="100">
        <f t="shared" si="534"/>
        <v>0</v>
      </c>
      <c r="AE504" s="100">
        <f t="shared" si="535"/>
        <v>0</v>
      </c>
      <c r="AF504" s="100">
        <f t="shared" si="536"/>
        <v>0</v>
      </c>
      <c r="AG504" s="100">
        <f t="shared" si="537"/>
        <v>0</v>
      </c>
      <c r="AH504" s="100">
        <f t="shared" si="538"/>
        <v>0</v>
      </c>
      <c r="AI504" s="109"/>
      <c r="AJ504" s="108">
        <f t="shared" si="539"/>
        <v>0</v>
      </c>
      <c r="AK504" s="108">
        <f t="shared" si="540"/>
        <v>0</v>
      </c>
      <c r="AL504" s="108">
        <f t="shared" si="541"/>
        <v>0</v>
      </c>
      <c r="AN504" s="100">
        <v>15</v>
      </c>
      <c r="AO504" s="100">
        <f t="shared" si="542"/>
        <v>0</v>
      </c>
      <c r="AP504" s="100">
        <f t="shared" si="543"/>
        <v>0</v>
      </c>
      <c r="AQ504" s="111" t="s">
        <v>7</v>
      </c>
      <c r="AV504" s="100">
        <f t="shared" si="544"/>
        <v>0</v>
      </c>
      <c r="AW504" s="100">
        <f t="shared" si="545"/>
        <v>0</v>
      </c>
      <c r="AX504" s="100">
        <f t="shared" si="546"/>
        <v>0</v>
      </c>
      <c r="AY504" s="110" t="s">
        <v>1720</v>
      </c>
      <c r="AZ504" s="110" t="s">
        <v>1730</v>
      </c>
      <c r="BA504" s="109" t="s">
        <v>1737</v>
      </c>
      <c r="BC504" s="100">
        <f t="shared" si="547"/>
        <v>0</v>
      </c>
      <c r="BD504" s="100">
        <f t="shared" si="548"/>
        <v>0</v>
      </c>
      <c r="BE504" s="100">
        <v>0</v>
      </c>
      <c r="BF504" s="100">
        <f>504</f>
        <v>504</v>
      </c>
      <c r="BH504" s="108">
        <f t="shared" si="549"/>
        <v>0</v>
      </c>
      <c r="BI504" s="108">
        <f t="shared" si="550"/>
        <v>0</v>
      </c>
      <c r="BJ504" s="108">
        <f t="shared" si="551"/>
        <v>0</v>
      </c>
    </row>
    <row r="505" spans="1:62" x14ac:dyDescent="0.2">
      <c r="A505" s="117" t="s">
        <v>455</v>
      </c>
      <c r="B505" s="117" t="s">
        <v>1970</v>
      </c>
      <c r="C505" s="304" t="s">
        <v>1546</v>
      </c>
      <c r="D505" s="305"/>
      <c r="E505" s="305"/>
      <c r="F505" s="117" t="s">
        <v>1646</v>
      </c>
      <c r="G505" s="116">
        <v>30</v>
      </c>
      <c r="H505" s="159"/>
      <c r="I505" s="108">
        <f t="shared" si="528"/>
        <v>0</v>
      </c>
      <c r="J505" s="108">
        <f t="shared" si="529"/>
        <v>0</v>
      </c>
      <c r="K505" s="108">
        <f t="shared" si="530"/>
        <v>0</v>
      </c>
      <c r="L505" s="111"/>
      <c r="Z505" s="100">
        <f t="shared" si="531"/>
        <v>0</v>
      </c>
      <c r="AB505" s="100">
        <f t="shared" si="532"/>
        <v>0</v>
      </c>
      <c r="AC505" s="100">
        <f t="shared" si="533"/>
        <v>0</v>
      </c>
      <c r="AD505" s="100">
        <f t="shared" si="534"/>
        <v>0</v>
      </c>
      <c r="AE505" s="100">
        <f t="shared" si="535"/>
        <v>0</v>
      </c>
      <c r="AF505" s="100">
        <f t="shared" si="536"/>
        <v>0</v>
      </c>
      <c r="AG505" s="100">
        <f t="shared" si="537"/>
        <v>0</v>
      </c>
      <c r="AH505" s="100">
        <f t="shared" si="538"/>
        <v>0</v>
      </c>
      <c r="AI505" s="109"/>
      <c r="AJ505" s="108">
        <f t="shared" si="539"/>
        <v>0</v>
      </c>
      <c r="AK505" s="108">
        <f t="shared" si="540"/>
        <v>0</v>
      </c>
      <c r="AL505" s="108">
        <f t="shared" si="541"/>
        <v>0</v>
      </c>
      <c r="AN505" s="100">
        <v>15</v>
      </c>
      <c r="AO505" s="100">
        <f t="shared" si="542"/>
        <v>0</v>
      </c>
      <c r="AP505" s="100">
        <f t="shared" si="543"/>
        <v>0</v>
      </c>
      <c r="AQ505" s="111" t="s">
        <v>7</v>
      </c>
      <c r="AV505" s="100">
        <f t="shared" si="544"/>
        <v>0</v>
      </c>
      <c r="AW505" s="100">
        <f t="shared" si="545"/>
        <v>0</v>
      </c>
      <c r="AX505" s="100">
        <f t="shared" si="546"/>
        <v>0</v>
      </c>
      <c r="AY505" s="110" t="s">
        <v>1720</v>
      </c>
      <c r="AZ505" s="110" t="s">
        <v>1730</v>
      </c>
      <c r="BA505" s="109" t="s">
        <v>1737</v>
      </c>
      <c r="BC505" s="100">
        <f t="shared" si="547"/>
        <v>0</v>
      </c>
      <c r="BD505" s="100">
        <f t="shared" si="548"/>
        <v>0</v>
      </c>
      <c r="BE505" s="100">
        <v>0</v>
      </c>
      <c r="BF505" s="100">
        <f>505</f>
        <v>505</v>
      </c>
      <c r="BH505" s="108">
        <f t="shared" si="549"/>
        <v>0</v>
      </c>
      <c r="BI505" s="108">
        <f t="shared" si="550"/>
        <v>0</v>
      </c>
      <c r="BJ505" s="108">
        <f t="shared" si="551"/>
        <v>0</v>
      </c>
    </row>
    <row r="506" spans="1:62" x14ac:dyDescent="0.2">
      <c r="A506" s="117" t="s">
        <v>456</v>
      </c>
      <c r="B506" s="117" t="s">
        <v>1969</v>
      </c>
      <c r="C506" s="304" t="s">
        <v>1547</v>
      </c>
      <c r="D506" s="305"/>
      <c r="E506" s="305"/>
      <c r="F506" s="117" t="s">
        <v>1646</v>
      </c>
      <c r="G506" s="116">
        <v>100</v>
      </c>
      <c r="H506" s="159"/>
      <c r="I506" s="108">
        <f t="shared" si="528"/>
        <v>0</v>
      </c>
      <c r="J506" s="108">
        <f t="shared" si="529"/>
        <v>0</v>
      </c>
      <c r="K506" s="108">
        <f t="shared" si="530"/>
        <v>0</v>
      </c>
      <c r="L506" s="111"/>
      <c r="Z506" s="100">
        <f t="shared" si="531"/>
        <v>0</v>
      </c>
      <c r="AB506" s="100">
        <f t="shared" si="532"/>
        <v>0</v>
      </c>
      <c r="AC506" s="100">
        <f t="shared" si="533"/>
        <v>0</v>
      </c>
      <c r="AD506" s="100">
        <f t="shared" si="534"/>
        <v>0</v>
      </c>
      <c r="AE506" s="100">
        <f t="shared" si="535"/>
        <v>0</v>
      </c>
      <c r="AF506" s="100">
        <f t="shared" si="536"/>
        <v>0</v>
      </c>
      <c r="AG506" s="100">
        <f t="shared" si="537"/>
        <v>0</v>
      </c>
      <c r="AH506" s="100">
        <f t="shared" si="538"/>
        <v>0</v>
      </c>
      <c r="AI506" s="109"/>
      <c r="AJ506" s="108">
        <f t="shared" si="539"/>
        <v>0</v>
      </c>
      <c r="AK506" s="108">
        <f t="shared" si="540"/>
        <v>0</v>
      </c>
      <c r="AL506" s="108">
        <f t="shared" si="541"/>
        <v>0</v>
      </c>
      <c r="AN506" s="100">
        <v>15</v>
      </c>
      <c r="AO506" s="100">
        <f t="shared" si="542"/>
        <v>0</v>
      </c>
      <c r="AP506" s="100">
        <f t="shared" si="543"/>
        <v>0</v>
      </c>
      <c r="AQ506" s="111" t="s">
        <v>7</v>
      </c>
      <c r="AV506" s="100">
        <f t="shared" si="544"/>
        <v>0</v>
      </c>
      <c r="AW506" s="100">
        <f t="shared" si="545"/>
        <v>0</v>
      </c>
      <c r="AX506" s="100">
        <f t="shared" si="546"/>
        <v>0</v>
      </c>
      <c r="AY506" s="110" t="s">
        <v>1720</v>
      </c>
      <c r="AZ506" s="110" t="s">
        <v>1730</v>
      </c>
      <c r="BA506" s="109" t="s">
        <v>1737</v>
      </c>
      <c r="BC506" s="100">
        <f t="shared" si="547"/>
        <v>0</v>
      </c>
      <c r="BD506" s="100">
        <f t="shared" si="548"/>
        <v>0</v>
      </c>
      <c r="BE506" s="100">
        <v>0</v>
      </c>
      <c r="BF506" s="100">
        <f>506</f>
        <v>506</v>
      </c>
      <c r="BH506" s="108">
        <f t="shared" si="549"/>
        <v>0</v>
      </c>
      <c r="BI506" s="108">
        <f t="shared" si="550"/>
        <v>0</v>
      </c>
      <c r="BJ506" s="108">
        <f t="shared" si="551"/>
        <v>0</v>
      </c>
    </row>
    <row r="507" spans="1:62" x14ac:dyDescent="0.2">
      <c r="A507" s="117" t="s">
        <v>457</v>
      </c>
      <c r="B507" s="117" t="s">
        <v>1968</v>
      </c>
      <c r="C507" s="304" t="s">
        <v>1548</v>
      </c>
      <c r="D507" s="305"/>
      <c r="E507" s="305"/>
      <c r="F507" s="117" t="s">
        <v>1644</v>
      </c>
      <c r="G507" s="116">
        <v>4</v>
      </c>
      <c r="H507" s="159"/>
      <c r="I507" s="108">
        <f t="shared" si="528"/>
        <v>0</v>
      </c>
      <c r="J507" s="108">
        <f t="shared" si="529"/>
        <v>0</v>
      </c>
      <c r="K507" s="108">
        <f t="shared" si="530"/>
        <v>0</v>
      </c>
      <c r="L507" s="111"/>
      <c r="Z507" s="100">
        <f t="shared" si="531"/>
        <v>0</v>
      </c>
      <c r="AB507" s="100">
        <f t="shared" si="532"/>
        <v>0</v>
      </c>
      <c r="AC507" s="100">
        <f t="shared" si="533"/>
        <v>0</v>
      </c>
      <c r="AD507" s="100">
        <f t="shared" si="534"/>
        <v>0</v>
      </c>
      <c r="AE507" s="100">
        <f t="shared" si="535"/>
        <v>0</v>
      </c>
      <c r="AF507" s="100">
        <f t="shared" si="536"/>
        <v>0</v>
      </c>
      <c r="AG507" s="100">
        <f t="shared" si="537"/>
        <v>0</v>
      </c>
      <c r="AH507" s="100">
        <f t="shared" si="538"/>
        <v>0</v>
      </c>
      <c r="AI507" s="109"/>
      <c r="AJ507" s="108">
        <f t="shared" si="539"/>
        <v>0</v>
      </c>
      <c r="AK507" s="108">
        <f t="shared" si="540"/>
        <v>0</v>
      </c>
      <c r="AL507" s="108">
        <f t="shared" si="541"/>
        <v>0</v>
      </c>
      <c r="AN507" s="100">
        <v>15</v>
      </c>
      <c r="AO507" s="100">
        <f t="shared" si="542"/>
        <v>0</v>
      </c>
      <c r="AP507" s="100">
        <f t="shared" si="543"/>
        <v>0</v>
      </c>
      <c r="AQ507" s="111" t="s">
        <v>7</v>
      </c>
      <c r="AV507" s="100">
        <f t="shared" si="544"/>
        <v>0</v>
      </c>
      <c r="AW507" s="100">
        <f t="shared" si="545"/>
        <v>0</v>
      </c>
      <c r="AX507" s="100">
        <f t="shared" si="546"/>
        <v>0</v>
      </c>
      <c r="AY507" s="110" t="s">
        <v>1720</v>
      </c>
      <c r="AZ507" s="110" t="s">
        <v>1730</v>
      </c>
      <c r="BA507" s="109" t="s">
        <v>1737</v>
      </c>
      <c r="BC507" s="100">
        <f t="shared" si="547"/>
        <v>0</v>
      </c>
      <c r="BD507" s="100">
        <f t="shared" si="548"/>
        <v>0</v>
      </c>
      <c r="BE507" s="100">
        <v>0</v>
      </c>
      <c r="BF507" s="100">
        <f>507</f>
        <v>507</v>
      </c>
      <c r="BH507" s="108">
        <f t="shared" si="549"/>
        <v>0</v>
      </c>
      <c r="BI507" s="108">
        <f t="shared" si="550"/>
        <v>0</v>
      </c>
      <c r="BJ507" s="108">
        <f t="shared" si="551"/>
        <v>0</v>
      </c>
    </row>
    <row r="508" spans="1:62" x14ac:dyDescent="0.2">
      <c r="A508" s="117" t="s">
        <v>458</v>
      </c>
      <c r="B508" s="117" t="s">
        <v>1967</v>
      </c>
      <c r="C508" s="304" t="s">
        <v>1549</v>
      </c>
      <c r="D508" s="305"/>
      <c r="E508" s="305"/>
      <c r="F508" s="117" t="s">
        <v>1644</v>
      </c>
      <c r="G508" s="116">
        <v>5</v>
      </c>
      <c r="H508" s="159"/>
      <c r="I508" s="108">
        <f t="shared" si="528"/>
        <v>0</v>
      </c>
      <c r="J508" s="108">
        <f t="shared" si="529"/>
        <v>0</v>
      </c>
      <c r="K508" s="108">
        <f t="shared" si="530"/>
        <v>0</v>
      </c>
      <c r="L508" s="111"/>
      <c r="Z508" s="100">
        <f t="shared" si="531"/>
        <v>0</v>
      </c>
      <c r="AB508" s="100">
        <f t="shared" si="532"/>
        <v>0</v>
      </c>
      <c r="AC508" s="100">
        <f t="shared" si="533"/>
        <v>0</v>
      </c>
      <c r="AD508" s="100">
        <f t="shared" si="534"/>
        <v>0</v>
      </c>
      <c r="AE508" s="100">
        <f t="shared" si="535"/>
        <v>0</v>
      </c>
      <c r="AF508" s="100">
        <f t="shared" si="536"/>
        <v>0</v>
      </c>
      <c r="AG508" s="100">
        <f t="shared" si="537"/>
        <v>0</v>
      </c>
      <c r="AH508" s="100">
        <f t="shared" si="538"/>
        <v>0</v>
      </c>
      <c r="AI508" s="109"/>
      <c r="AJ508" s="108">
        <f t="shared" si="539"/>
        <v>0</v>
      </c>
      <c r="AK508" s="108">
        <f t="shared" si="540"/>
        <v>0</v>
      </c>
      <c r="AL508" s="108">
        <f t="shared" si="541"/>
        <v>0</v>
      </c>
      <c r="AN508" s="100">
        <v>15</v>
      </c>
      <c r="AO508" s="100">
        <f t="shared" si="542"/>
        <v>0</v>
      </c>
      <c r="AP508" s="100">
        <f t="shared" si="543"/>
        <v>0</v>
      </c>
      <c r="AQ508" s="111" t="s">
        <v>7</v>
      </c>
      <c r="AV508" s="100">
        <f t="shared" si="544"/>
        <v>0</v>
      </c>
      <c r="AW508" s="100">
        <f t="shared" si="545"/>
        <v>0</v>
      </c>
      <c r="AX508" s="100">
        <f t="shared" si="546"/>
        <v>0</v>
      </c>
      <c r="AY508" s="110" t="s">
        <v>1720</v>
      </c>
      <c r="AZ508" s="110" t="s">
        <v>1730</v>
      </c>
      <c r="BA508" s="109" t="s">
        <v>1737</v>
      </c>
      <c r="BC508" s="100">
        <f t="shared" si="547"/>
        <v>0</v>
      </c>
      <c r="BD508" s="100">
        <f t="shared" si="548"/>
        <v>0</v>
      </c>
      <c r="BE508" s="100">
        <v>0</v>
      </c>
      <c r="BF508" s="100">
        <f>508</f>
        <v>508</v>
      </c>
      <c r="BH508" s="108">
        <f t="shared" si="549"/>
        <v>0</v>
      </c>
      <c r="BI508" s="108">
        <f t="shared" si="550"/>
        <v>0</v>
      </c>
      <c r="BJ508" s="108">
        <f t="shared" si="551"/>
        <v>0</v>
      </c>
    </row>
    <row r="509" spans="1:62" x14ac:dyDescent="0.2">
      <c r="A509" s="117" t="s">
        <v>459</v>
      </c>
      <c r="B509" s="117" t="s">
        <v>1966</v>
      </c>
      <c r="C509" s="304" t="s">
        <v>1550</v>
      </c>
      <c r="D509" s="305"/>
      <c r="E509" s="305"/>
      <c r="F509" s="117" t="s">
        <v>1646</v>
      </c>
      <c r="G509" s="116">
        <v>80</v>
      </c>
      <c r="H509" s="159"/>
      <c r="I509" s="108">
        <f t="shared" si="528"/>
        <v>0</v>
      </c>
      <c r="J509" s="108">
        <f t="shared" si="529"/>
        <v>0</v>
      </c>
      <c r="K509" s="108">
        <f t="shared" si="530"/>
        <v>0</v>
      </c>
      <c r="L509" s="111"/>
      <c r="Z509" s="100">
        <f t="shared" si="531"/>
        <v>0</v>
      </c>
      <c r="AB509" s="100">
        <f t="shared" si="532"/>
        <v>0</v>
      </c>
      <c r="AC509" s="100">
        <f t="shared" si="533"/>
        <v>0</v>
      </c>
      <c r="AD509" s="100">
        <f t="shared" si="534"/>
        <v>0</v>
      </c>
      <c r="AE509" s="100">
        <f t="shared" si="535"/>
        <v>0</v>
      </c>
      <c r="AF509" s="100">
        <f t="shared" si="536"/>
        <v>0</v>
      </c>
      <c r="AG509" s="100">
        <f t="shared" si="537"/>
        <v>0</v>
      </c>
      <c r="AH509" s="100">
        <f t="shared" si="538"/>
        <v>0</v>
      </c>
      <c r="AI509" s="109"/>
      <c r="AJ509" s="108">
        <f t="shared" si="539"/>
        <v>0</v>
      </c>
      <c r="AK509" s="108">
        <f t="shared" si="540"/>
        <v>0</v>
      </c>
      <c r="AL509" s="108">
        <f t="shared" si="541"/>
        <v>0</v>
      </c>
      <c r="AN509" s="100">
        <v>15</v>
      </c>
      <c r="AO509" s="100">
        <f t="shared" si="542"/>
        <v>0</v>
      </c>
      <c r="AP509" s="100">
        <f t="shared" si="543"/>
        <v>0</v>
      </c>
      <c r="AQ509" s="111" t="s">
        <v>7</v>
      </c>
      <c r="AV509" s="100">
        <f t="shared" si="544"/>
        <v>0</v>
      </c>
      <c r="AW509" s="100">
        <f t="shared" si="545"/>
        <v>0</v>
      </c>
      <c r="AX509" s="100">
        <f t="shared" si="546"/>
        <v>0</v>
      </c>
      <c r="AY509" s="110" t="s">
        <v>1720</v>
      </c>
      <c r="AZ509" s="110" t="s">
        <v>1730</v>
      </c>
      <c r="BA509" s="109" t="s">
        <v>1737</v>
      </c>
      <c r="BC509" s="100">
        <f t="shared" si="547"/>
        <v>0</v>
      </c>
      <c r="BD509" s="100">
        <f t="shared" si="548"/>
        <v>0</v>
      </c>
      <c r="BE509" s="100">
        <v>0</v>
      </c>
      <c r="BF509" s="100">
        <f>509</f>
        <v>509</v>
      </c>
      <c r="BH509" s="108">
        <f t="shared" si="549"/>
        <v>0</v>
      </c>
      <c r="BI509" s="108">
        <f t="shared" si="550"/>
        <v>0</v>
      </c>
      <c r="BJ509" s="108">
        <f t="shared" si="551"/>
        <v>0</v>
      </c>
    </row>
    <row r="510" spans="1:62" x14ac:dyDescent="0.2">
      <c r="A510" s="117" t="s">
        <v>460</v>
      </c>
      <c r="B510" s="117" t="s">
        <v>1966</v>
      </c>
      <c r="C510" s="304" t="s">
        <v>1551</v>
      </c>
      <c r="D510" s="305"/>
      <c r="E510" s="305"/>
      <c r="F510" s="117" t="s">
        <v>1644</v>
      </c>
      <c r="G510" s="116">
        <v>1</v>
      </c>
      <c r="H510" s="159"/>
      <c r="I510" s="108">
        <f t="shared" si="528"/>
        <v>0</v>
      </c>
      <c r="J510" s="108">
        <f t="shared" si="529"/>
        <v>0</v>
      </c>
      <c r="K510" s="108">
        <f t="shared" si="530"/>
        <v>0</v>
      </c>
      <c r="L510" s="111"/>
      <c r="Z510" s="100">
        <f t="shared" si="531"/>
        <v>0</v>
      </c>
      <c r="AB510" s="100">
        <f t="shared" si="532"/>
        <v>0</v>
      </c>
      <c r="AC510" s="100">
        <f t="shared" si="533"/>
        <v>0</v>
      </c>
      <c r="AD510" s="100">
        <f t="shared" si="534"/>
        <v>0</v>
      </c>
      <c r="AE510" s="100">
        <f t="shared" si="535"/>
        <v>0</v>
      </c>
      <c r="AF510" s="100">
        <f t="shared" si="536"/>
        <v>0</v>
      </c>
      <c r="AG510" s="100">
        <f t="shared" si="537"/>
        <v>0</v>
      </c>
      <c r="AH510" s="100">
        <f t="shared" si="538"/>
        <v>0</v>
      </c>
      <c r="AI510" s="109"/>
      <c r="AJ510" s="108">
        <f t="shared" si="539"/>
        <v>0</v>
      </c>
      <c r="AK510" s="108">
        <f t="shared" si="540"/>
        <v>0</v>
      </c>
      <c r="AL510" s="108">
        <f t="shared" si="541"/>
        <v>0</v>
      </c>
      <c r="AN510" s="100">
        <v>15</v>
      </c>
      <c r="AO510" s="100">
        <f t="shared" si="542"/>
        <v>0</v>
      </c>
      <c r="AP510" s="100">
        <f t="shared" si="543"/>
        <v>0</v>
      </c>
      <c r="AQ510" s="111" t="s">
        <v>7</v>
      </c>
      <c r="AV510" s="100">
        <f t="shared" si="544"/>
        <v>0</v>
      </c>
      <c r="AW510" s="100">
        <f t="shared" si="545"/>
        <v>0</v>
      </c>
      <c r="AX510" s="100">
        <f t="shared" si="546"/>
        <v>0</v>
      </c>
      <c r="AY510" s="110" t="s">
        <v>1720</v>
      </c>
      <c r="AZ510" s="110" t="s">
        <v>1730</v>
      </c>
      <c r="BA510" s="109" t="s">
        <v>1737</v>
      </c>
      <c r="BC510" s="100">
        <f t="shared" si="547"/>
        <v>0</v>
      </c>
      <c r="BD510" s="100">
        <f t="shared" si="548"/>
        <v>0</v>
      </c>
      <c r="BE510" s="100">
        <v>0</v>
      </c>
      <c r="BF510" s="100">
        <f>510</f>
        <v>510</v>
      </c>
      <c r="BH510" s="108">
        <f t="shared" si="549"/>
        <v>0</v>
      </c>
      <c r="BI510" s="108">
        <f t="shared" si="550"/>
        <v>0</v>
      </c>
      <c r="BJ510" s="108">
        <f t="shared" si="551"/>
        <v>0</v>
      </c>
    </row>
    <row r="511" spans="1:62" x14ac:dyDescent="0.2">
      <c r="A511" s="117" t="s">
        <v>461</v>
      </c>
      <c r="B511" s="117" t="s">
        <v>1965</v>
      </c>
      <c r="C511" s="304" t="s">
        <v>1552</v>
      </c>
      <c r="D511" s="305"/>
      <c r="E511" s="305"/>
      <c r="F511" s="117" t="s">
        <v>1644</v>
      </c>
      <c r="G511" s="116">
        <v>1</v>
      </c>
      <c r="H511" s="159"/>
      <c r="I511" s="108">
        <f t="shared" si="528"/>
        <v>0</v>
      </c>
      <c r="J511" s="108">
        <f t="shared" si="529"/>
        <v>0</v>
      </c>
      <c r="K511" s="108">
        <f t="shared" si="530"/>
        <v>0</v>
      </c>
      <c r="L511" s="111"/>
      <c r="Z511" s="100">
        <f t="shared" si="531"/>
        <v>0</v>
      </c>
      <c r="AB511" s="100">
        <f t="shared" si="532"/>
        <v>0</v>
      </c>
      <c r="AC511" s="100">
        <f t="shared" si="533"/>
        <v>0</v>
      </c>
      <c r="AD511" s="100">
        <f t="shared" si="534"/>
        <v>0</v>
      </c>
      <c r="AE511" s="100">
        <f t="shared" si="535"/>
        <v>0</v>
      </c>
      <c r="AF511" s="100">
        <f t="shared" si="536"/>
        <v>0</v>
      </c>
      <c r="AG511" s="100">
        <f t="shared" si="537"/>
        <v>0</v>
      </c>
      <c r="AH511" s="100">
        <f t="shared" si="538"/>
        <v>0</v>
      </c>
      <c r="AI511" s="109"/>
      <c r="AJ511" s="108">
        <f t="shared" si="539"/>
        <v>0</v>
      </c>
      <c r="AK511" s="108">
        <f t="shared" si="540"/>
        <v>0</v>
      </c>
      <c r="AL511" s="108">
        <f t="shared" si="541"/>
        <v>0</v>
      </c>
      <c r="AN511" s="100">
        <v>15</v>
      </c>
      <c r="AO511" s="100">
        <f t="shared" si="542"/>
        <v>0</v>
      </c>
      <c r="AP511" s="100">
        <f t="shared" si="543"/>
        <v>0</v>
      </c>
      <c r="AQ511" s="111" t="s">
        <v>7</v>
      </c>
      <c r="AV511" s="100">
        <f t="shared" si="544"/>
        <v>0</v>
      </c>
      <c r="AW511" s="100">
        <f t="shared" si="545"/>
        <v>0</v>
      </c>
      <c r="AX511" s="100">
        <f t="shared" si="546"/>
        <v>0</v>
      </c>
      <c r="AY511" s="110" t="s">
        <v>1720</v>
      </c>
      <c r="AZ511" s="110" t="s">
        <v>1730</v>
      </c>
      <c r="BA511" s="109" t="s">
        <v>1737</v>
      </c>
      <c r="BC511" s="100">
        <f t="shared" si="547"/>
        <v>0</v>
      </c>
      <c r="BD511" s="100">
        <f t="shared" si="548"/>
        <v>0</v>
      </c>
      <c r="BE511" s="100">
        <v>0</v>
      </c>
      <c r="BF511" s="100">
        <f>511</f>
        <v>511</v>
      </c>
      <c r="BH511" s="108">
        <f t="shared" si="549"/>
        <v>0</v>
      </c>
      <c r="BI511" s="108">
        <f t="shared" si="550"/>
        <v>0</v>
      </c>
      <c r="BJ511" s="108">
        <f t="shared" si="551"/>
        <v>0</v>
      </c>
    </row>
    <row r="512" spans="1:62" x14ac:dyDescent="0.2">
      <c r="A512" s="117" t="s">
        <v>462</v>
      </c>
      <c r="B512" s="117" t="s">
        <v>1964</v>
      </c>
      <c r="C512" s="304" t="s">
        <v>1553</v>
      </c>
      <c r="D512" s="305"/>
      <c r="E512" s="305"/>
      <c r="F512" s="117" t="s">
        <v>1644</v>
      </c>
      <c r="G512" s="116">
        <v>1</v>
      </c>
      <c r="H512" s="159"/>
      <c r="I512" s="108">
        <f t="shared" si="528"/>
        <v>0</v>
      </c>
      <c r="J512" s="108">
        <f t="shared" si="529"/>
        <v>0</v>
      </c>
      <c r="K512" s="108">
        <f t="shared" si="530"/>
        <v>0</v>
      </c>
      <c r="L512" s="111"/>
      <c r="Z512" s="100">
        <f t="shared" si="531"/>
        <v>0</v>
      </c>
      <c r="AB512" s="100">
        <f t="shared" si="532"/>
        <v>0</v>
      </c>
      <c r="AC512" s="100">
        <f t="shared" si="533"/>
        <v>0</v>
      </c>
      <c r="AD512" s="100">
        <f t="shared" si="534"/>
        <v>0</v>
      </c>
      <c r="AE512" s="100">
        <f t="shared" si="535"/>
        <v>0</v>
      </c>
      <c r="AF512" s="100">
        <f t="shared" si="536"/>
        <v>0</v>
      </c>
      <c r="AG512" s="100">
        <f t="shared" si="537"/>
        <v>0</v>
      </c>
      <c r="AH512" s="100">
        <f t="shared" si="538"/>
        <v>0</v>
      </c>
      <c r="AI512" s="109"/>
      <c r="AJ512" s="108">
        <f t="shared" si="539"/>
        <v>0</v>
      </c>
      <c r="AK512" s="108">
        <f t="shared" si="540"/>
        <v>0</v>
      </c>
      <c r="AL512" s="108">
        <f t="shared" si="541"/>
        <v>0</v>
      </c>
      <c r="AN512" s="100">
        <v>15</v>
      </c>
      <c r="AO512" s="100">
        <f t="shared" si="542"/>
        <v>0</v>
      </c>
      <c r="AP512" s="100">
        <f t="shared" si="543"/>
        <v>0</v>
      </c>
      <c r="AQ512" s="111" t="s">
        <v>7</v>
      </c>
      <c r="AV512" s="100">
        <f t="shared" si="544"/>
        <v>0</v>
      </c>
      <c r="AW512" s="100">
        <f t="shared" si="545"/>
        <v>0</v>
      </c>
      <c r="AX512" s="100">
        <f t="shared" si="546"/>
        <v>0</v>
      </c>
      <c r="AY512" s="110" t="s">
        <v>1720</v>
      </c>
      <c r="AZ512" s="110" t="s">
        <v>1730</v>
      </c>
      <c r="BA512" s="109" t="s">
        <v>1737</v>
      </c>
      <c r="BC512" s="100">
        <f t="shared" si="547"/>
        <v>0</v>
      </c>
      <c r="BD512" s="100">
        <f t="shared" si="548"/>
        <v>0</v>
      </c>
      <c r="BE512" s="100">
        <v>0</v>
      </c>
      <c r="BF512" s="100">
        <f>512</f>
        <v>512</v>
      </c>
      <c r="BH512" s="108">
        <f t="shared" si="549"/>
        <v>0</v>
      </c>
      <c r="BI512" s="108">
        <f t="shared" si="550"/>
        <v>0</v>
      </c>
      <c r="BJ512" s="108">
        <f t="shared" si="551"/>
        <v>0</v>
      </c>
    </row>
    <row r="513" spans="1:62" x14ac:dyDescent="0.2">
      <c r="A513" s="117" t="s">
        <v>463</v>
      </c>
      <c r="B513" s="117" t="s">
        <v>1963</v>
      </c>
      <c r="C513" s="304" t="s">
        <v>1554</v>
      </c>
      <c r="D513" s="305"/>
      <c r="E513" s="305"/>
      <c r="F513" s="117" t="s">
        <v>1644</v>
      </c>
      <c r="G513" s="116">
        <v>1</v>
      </c>
      <c r="H513" s="159"/>
      <c r="I513" s="108">
        <f t="shared" si="528"/>
        <v>0</v>
      </c>
      <c r="J513" s="108">
        <f t="shared" si="529"/>
        <v>0</v>
      </c>
      <c r="K513" s="108">
        <f t="shared" si="530"/>
        <v>0</v>
      </c>
      <c r="L513" s="111"/>
      <c r="Z513" s="100">
        <f t="shared" si="531"/>
        <v>0</v>
      </c>
      <c r="AB513" s="100">
        <f t="shared" si="532"/>
        <v>0</v>
      </c>
      <c r="AC513" s="100">
        <f t="shared" si="533"/>
        <v>0</v>
      </c>
      <c r="AD513" s="100">
        <f t="shared" si="534"/>
        <v>0</v>
      </c>
      <c r="AE513" s="100">
        <f t="shared" si="535"/>
        <v>0</v>
      </c>
      <c r="AF513" s="100">
        <f t="shared" si="536"/>
        <v>0</v>
      </c>
      <c r="AG513" s="100">
        <f t="shared" si="537"/>
        <v>0</v>
      </c>
      <c r="AH513" s="100">
        <f t="shared" si="538"/>
        <v>0</v>
      </c>
      <c r="AI513" s="109"/>
      <c r="AJ513" s="108">
        <f t="shared" si="539"/>
        <v>0</v>
      </c>
      <c r="AK513" s="108">
        <f t="shared" si="540"/>
        <v>0</v>
      </c>
      <c r="AL513" s="108">
        <f t="shared" si="541"/>
        <v>0</v>
      </c>
      <c r="AN513" s="100">
        <v>15</v>
      </c>
      <c r="AO513" s="100">
        <f t="shared" si="542"/>
        <v>0</v>
      </c>
      <c r="AP513" s="100">
        <f t="shared" si="543"/>
        <v>0</v>
      </c>
      <c r="AQ513" s="111" t="s">
        <v>7</v>
      </c>
      <c r="AV513" s="100">
        <f t="shared" si="544"/>
        <v>0</v>
      </c>
      <c r="AW513" s="100">
        <f t="shared" si="545"/>
        <v>0</v>
      </c>
      <c r="AX513" s="100">
        <f t="shared" si="546"/>
        <v>0</v>
      </c>
      <c r="AY513" s="110" t="s">
        <v>1720</v>
      </c>
      <c r="AZ513" s="110" t="s">
        <v>1730</v>
      </c>
      <c r="BA513" s="109" t="s">
        <v>1737</v>
      </c>
      <c r="BC513" s="100">
        <f t="shared" si="547"/>
        <v>0</v>
      </c>
      <c r="BD513" s="100">
        <f t="shared" si="548"/>
        <v>0</v>
      </c>
      <c r="BE513" s="100">
        <v>0</v>
      </c>
      <c r="BF513" s="100">
        <f>513</f>
        <v>513</v>
      </c>
      <c r="BH513" s="108">
        <f t="shared" si="549"/>
        <v>0</v>
      </c>
      <c r="BI513" s="108">
        <f t="shared" si="550"/>
        <v>0</v>
      </c>
      <c r="BJ513" s="108">
        <f t="shared" si="551"/>
        <v>0</v>
      </c>
    </row>
    <row r="514" spans="1:62" x14ac:dyDescent="0.2">
      <c r="A514" s="117" t="s">
        <v>464</v>
      </c>
      <c r="B514" s="117" t="s">
        <v>1962</v>
      </c>
      <c r="C514" s="304" t="s">
        <v>1555</v>
      </c>
      <c r="D514" s="305"/>
      <c r="E514" s="305"/>
      <c r="F514" s="117" t="s">
        <v>1644</v>
      </c>
      <c r="G514" s="116">
        <v>1</v>
      </c>
      <c r="H514" s="159"/>
      <c r="I514" s="108">
        <f t="shared" si="528"/>
        <v>0</v>
      </c>
      <c r="J514" s="108">
        <f t="shared" si="529"/>
        <v>0</v>
      </c>
      <c r="K514" s="108">
        <f t="shared" si="530"/>
        <v>0</v>
      </c>
      <c r="L514" s="111"/>
      <c r="Z514" s="100">
        <f t="shared" si="531"/>
        <v>0</v>
      </c>
      <c r="AB514" s="100">
        <f t="shared" si="532"/>
        <v>0</v>
      </c>
      <c r="AC514" s="100">
        <f t="shared" si="533"/>
        <v>0</v>
      </c>
      <c r="AD514" s="100">
        <f t="shared" si="534"/>
        <v>0</v>
      </c>
      <c r="AE514" s="100">
        <f t="shared" si="535"/>
        <v>0</v>
      </c>
      <c r="AF514" s="100">
        <f t="shared" si="536"/>
        <v>0</v>
      </c>
      <c r="AG514" s="100">
        <f t="shared" si="537"/>
        <v>0</v>
      </c>
      <c r="AH514" s="100">
        <f t="shared" si="538"/>
        <v>0</v>
      </c>
      <c r="AI514" s="109"/>
      <c r="AJ514" s="108">
        <f t="shared" si="539"/>
        <v>0</v>
      </c>
      <c r="AK514" s="108">
        <f t="shared" si="540"/>
        <v>0</v>
      </c>
      <c r="AL514" s="108">
        <f t="shared" si="541"/>
        <v>0</v>
      </c>
      <c r="AN514" s="100">
        <v>15</v>
      </c>
      <c r="AO514" s="100">
        <f t="shared" si="542"/>
        <v>0</v>
      </c>
      <c r="AP514" s="100">
        <f t="shared" si="543"/>
        <v>0</v>
      </c>
      <c r="AQ514" s="111" t="s">
        <v>7</v>
      </c>
      <c r="AV514" s="100">
        <f t="shared" si="544"/>
        <v>0</v>
      </c>
      <c r="AW514" s="100">
        <f t="shared" si="545"/>
        <v>0</v>
      </c>
      <c r="AX514" s="100">
        <f t="shared" si="546"/>
        <v>0</v>
      </c>
      <c r="AY514" s="110" t="s">
        <v>1720</v>
      </c>
      <c r="AZ514" s="110" t="s">
        <v>1730</v>
      </c>
      <c r="BA514" s="109" t="s">
        <v>1737</v>
      </c>
      <c r="BC514" s="100">
        <f t="shared" si="547"/>
        <v>0</v>
      </c>
      <c r="BD514" s="100">
        <f t="shared" si="548"/>
        <v>0</v>
      </c>
      <c r="BE514" s="100">
        <v>0</v>
      </c>
      <c r="BF514" s="100">
        <f>514</f>
        <v>514</v>
      </c>
      <c r="BH514" s="108">
        <f t="shared" si="549"/>
        <v>0</v>
      </c>
      <c r="BI514" s="108">
        <f t="shared" si="550"/>
        <v>0</v>
      </c>
      <c r="BJ514" s="108">
        <f t="shared" si="551"/>
        <v>0</v>
      </c>
    </row>
    <row r="515" spans="1:62" x14ac:dyDescent="0.2">
      <c r="A515" s="119"/>
      <c r="B515" s="120" t="s">
        <v>967</v>
      </c>
      <c r="C515" s="306" t="s">
        <v>1556</v>
      </c>
      <c r="D515" s="307"/>
      <c r="E515" s="307"/>
      <c r="F515" s="119" t="s">
        <v>6</v>
      </c>
      <c r="G515" s="119" t="s">
        <v>6</v>
      </c>
      <c r="H515" s="119" t="s">
        <v>6</v>
      </c>
      <c r="I515" s="118">
        <f>SUM(I516:I517)</f>
        <v>0</v>
      </c>
      <c r="J515" s="118">
        <f>SUM(J516:J517)</f>
        <v>0</v>
      </c>
      <c r="K515" s="118">
        <f>SUM(K516:K517)</f>
        <v>0</v>
      </c>
      <c r="L515" s="109"/>
      <c r="AI515" s="109"/>
      <c r="AS515" s="118">
        <f>SUM(AJ516:AJ517)</f>
        <v>0</v>
      </c>
      <c r="AT515" s="118">
        <f>SUM(AK516:AK517)</f>
        <v>0</v>
      </c>
      <c r="AU515" s="118">
        <f>SUM(AL516:AL517)</f>
        <v>0</v>
      </c>
    </row>
    <row r="516" spans="1:62" x14ac:dyDescent="0.2">
      <c r="A516" s="117" t="s">
        <v>465</v>
      </c>
      <c r="B516" s="117" t="s">
        <v>968</v>
      </c>
      <c r="C516" s="304" t="s">
        <v>1557</v>
      </c>
      <c r="D516" s="305"/>
      <c r="E516" s="305"/>
      <c r="F516" s="117" t="s">
        <v>1644</v>
      </c>
      <c r="G516" s="116">
        <v>1</v>
      </c>
      <c r="H516" s="159"/>
      <c r="I516" s="108">
        <f>G516*AO516</f>
        <v>0</v>
      </c>
      <c r="J516" s="108">
        <f>G516*AP516</f>
        <v>0</v>
      </c>
      <c r="K516" s="108">
        <f>G516*H516</f>
        <v>0</v>
      </c>
      <c r="L516" s="111" t="s">
        <v>1671</v>
      </c>
      <c r="Z516" s="100">
        <f>IF(AQ516="5",BJ516,0)</f>
        <v>0</v>
      </c>
      <c r="AB516" s="100">
        <f>IF(AQ516="1",BH516,0)</f>
        <v>0</v>
      </c>
      <c r="AC516" s="100">
        <f>IF(AQ516="1",BI516,0)</f>
        <v>0</v>
      </c>
      <c r="AD516" s="100">
        <f>IF(AQ516="7",BH516,0)</f>
        <v>0</v>
      </c>
      <c r="AE516" s="100">
        <f>IF(AQ516="7",BI516,0)</f>
        <v>0</v>
      </c>
      <c r="AF516" s="100">
        <f>IF(AQ516="2",BH516,0)</f>
        <v>0</v>
      </c>
      <c r="AG516" s="100">
        <f>IF(AQ516="2",BI516,0)</f>
        <v>0</v>
      </c>
      <c r="AH516" s="100">
        <f>IF(AQ516="0",BJ516,0)</f>
        <v>0</v>
      </c>
      <c r="AI516" s="109"/>
      <c r="AJ516" s="108">
        <f>IF(AN516=0,K516,0)</f>
        <v>0</v>
      </c>
      <c r="AK516" s="108">
        <f>IF(AN516=15,K516,0)</f>
        <v>0</v>
      </c>
      <c r="AL516" s="108">
        <f>IF(AN516=21,K516,0)</f>
        <v>0</v>
      </c>
      <c r="AN516" s="100">
        <v>15</v>
      </c>
      <c r="AO516" s="100">
        <f>H516*0</f>
        <v>0</v>
      </c>
      <c r="AP516" s="100">
        <f>H516*(1-0)</f>
        <v>0</v>
      </c>
      <c r="AQ516" s="111" t="s">
        <v>8</v>
      </c>
      <c r="AV516" s="100">
        <f>AW516+AX516</f>
        <v>0</v>
      </c>
      <c r="AW516" s="100">
        <f>G516*AO516</f>
        <v>0</v>
      </c>
      <c r="AX516" s="100">
        <f>G516*AP516</f>
        <v>0</v>
      </c>
      <c r="AY516" s="110" t="s">
        <v>1721</v>
      </c>
      <c r="AZ516" s="110" t="s">
        <v>1730</v>
      </c>
      <c r="BA516" s="109" t="s">
        <v>1737</v>
      </c>
      <c r="BC516" s="100">
        <f>AW516+AX516</f>
        <v>0</v>
      </c>
      <c r="BD516" s="100">
        <f>H516/(100-BE516)*100</f>
        <v>0</v>
      </c>
      <c r="BE516" s="100">
        <v>0</v>
      </c>
      <c r="BF516" s="100">
        <f>516</f>
        <v>516</v>
      </c>
      <c r="BH516" s="108">
        <f>G516*AO516</f>
        <v>0</v>
      </c>
      <c r="BI516" s="108">
        <f>G516*AP516</f>
        <v>0</v>
      </c>
      <c r="BJ516" s="108">
        <f>G516*H516</f>
        <v>0</v>
      </c>
    </row>
    <row r="517" spans="1:62" x14ac:dyDescent="0.2">
      <c r="A517" s="117" t="s">
        <v>466</v>
      </c>
      <c r="B517" s="117" t="s">
        <v>969</v>
      </c>
      <c r="C517" s="304" t="s">
        <v>1558</v>
      </c>
      <c r="D517" s="305"/>
      <c r="E517" s="305"/>
      <c r="F517" s="117" t="s">
        <v>1644</v>
      </c>
      <c r="G517" s="116">
        <v>1</v>
      </c>
      <c r="H517" s="159"/>
      <c r="I517" s="108">
        <f>G517*AO517</f>
        <v>0</v>
      </c>
      <c r="J517" s="108">
        <f>G517*AP517</f>
        <v>0</v>
      </c>
      <c r="K517" s="108">
        <f>G517*H517</f>
        <v>0</v>
      </c>
      <c r="L517" s="111" t="s">
        <v>1671</v>
      </c>
      <c r="Z517" s="100">
        <f>IF(AQ517="5",BJ517,0)</f>
        <v>0</v>
      </c>
      <c r="AB517" s="100">
        <f>IF(AQ517="1",BH517,0)</f>
        <v>0</v>
      </c>
      <c r="AC517" s="100">
        <f>IF(AQ517="1",BI517,0)</f>
        <v>0</v>
      </c>
      <c r="AD517" s="100">
        <f>IF(AQ517="7",BH517,0)</f>
        <v>0</v>
      </c>
      <c r="AE517" s="100">
        <f>IF(AQ517="7",BI517,0)</f>
        <v>0</v>
      </c>
      <c r="AF517" s="100">
        <f>IF(AQ517="2",BH517,0)</f>
        <v>0</v>
      </c>
      <c r="AG517" s="100">
        <f>IF(AQ517="2",BI517,0)</f>
        <v>0</v>
      </c>
      <c r="AH517" s="100">
        <f>IF(AQ517="0",BJ517,0)</f>
        <v>0</v>
      </c>
      <c r="AI517" s="109"/>
      <c r="AJ517" s="108">
        <f>IF(AN517=0,K517,0)</f>
        <v>0</v>
      </c>
      <c r="AK517" s="108">
        <f>IF(AN517=15,K517,0)</f>
        <v>0</v>
      </c>
      <c r="AL517" s="108">
        <f>IF(AN517=21,K517,0)</f>
        <v>0</v>
      </c>
      <c r="AN517" s="100">
        <v>15</v>
      </c>
      <c r="AO517" s="100">
        <f>H517*0</f>
        <v>0</v>
      </c>
      <c r="AP517" s="100">
        <f>H517*(1-0)</f>
        <v>0</v>
      </c>
      <c r="AQ517" s="111" t="s">
        <v>8</v>
      </c>
      <c r="AV517" s="100">
        <f>AW517+AX517</f>
        <v>0</v>
      </c>
      <c r="AW517" s="100">
        <f>G517*AO517</f>
        <v>0</v>
      </c>
      <c r="AX517" s="100">
        <f>G517*AP517</f>
        <v>0</v>
      </c>
      <c r="AY517" s="110" t="s">
        <v>1721</v>
      </c>
      <c r="AZ517" s="110" t="s">
        <v>1730</v>
      </c>
      <c r="BA517" s="109" t="s">
        <v>1737</v>
      </c>
      <c r="BC517" s="100">
        <f>AW517+AX517</f>
        <v>0</v>
      </c>
      <c r="BD517" s="100">
        <f>H517/(100-BE517)*100</f>
        <v>0</v>
      </c>
      <c r="BE517" s="100">
        <v>0</v>
      </c>
      <c r="BF517" s="100">
        <f>517</f>
        <v>517</v>
      </c>
      <c r="BH517" s="108">
        <f>G517*AO517</f>
        <v>0</v>
      </c>
      <c r="BI517" s="108">
        <f>G517*AP517</f>
        <v>0</v>
      </c>
      <c r="BJ517" s="108">
        <f>G517*H517</f>
        <v>0</v>
      </c>
    </row>
    <row r="518" spans="1:62" x14ac:dyDescent="0.2">
      <c r="A518" s="119"/>
      <c r="B518" s="120" t="s">
        <v>970</v>
      </c>
      <c r="C518" s="306" t="s">
        <v>1559</v>
      </c>
      <c r="D518" s="307"/>
      <c r="E518" s="307"/>
      <c r="F518" s="119" t="s">
        <v>6</v>
      </c>
      <c r="G518" s="119" t="s">
        <v>6</v>
      </c>
      <c r="H518" s="119" t="s">
        <v>6</v>
      </c>
      <c r="I518" s="118">
        <f>SUM(I519:I592)</f>
        <v>0</v>
      </c>
      <c r="J518" s="118">
        <f>SUM(J519:J592)</f>
        <v>0</v>
      </c>
      <c r="K518" s="118">
        <f>SUM(K519:K592)</f>
        <v>0</v>
      </c>
      <c r="L518" s="109"/>
      <c r="AI518" s="109"/>
      <c r="AS518" s="118">
        <f>SUM(AJ519:AJ592)</f>
        <v>0</v>
      </c>
      <c r="AT518" s="118">
        <f>SUM(AK519:AK592)</f>
        <v>0</v>
      </c>
      <c r="AU518" s="118">
        <f>SUM(AL519:AL592)</f>
        <v>0</v>
      </c>
    </row>
    <row r="519" spans="1:62" x14ac:dyDescent="0.2">
      <c r="A519" s="117" t="s">
        <v>467</v>
      </c>
      <c r="B519" s="117" t="s">
        <v>1961</v>
      </c>
      <c r="C519" s="304" t="s">
        <v>1560</v>
      </c>
      <c r="D519" s="305"/>
      <c r="E519" s="305"/>
      <c r="F519" s="117" t="s">
        <v>1644</v>
      </c>
      <c r="G519" s="116">
        <v>1</v>
      </c>
      <c r="H519" s="159"/>
      <c r="I519" s="108">
        <f t="shared" ref="I519:I550" si="552">G519*AO519</f>
        <v>0</v>
      </c>
      <c r="J519" s="108">
        <f t="shared" ref="J519:J550" si="553">G519*AP519</f>
        <v>0</v>
      </c>
      <c r="K519" s="108">
        <f t="shared" ref="K519:K550" si="554">G519*H519</f>
        <v>0</v>
      </c>
      <c r="L519" s="111"/>
      <c r="Z519" s="100">
        <f t="shared" ref="Z519:Z550" si="555">IF(AQ519="5",BJ519,0)</f>
        <v>0</v>
      </c>
      <c r="AB519" s="100">
        <f t="shared" ref="AB519:AB550" si="556">IF(AQ519="1",BH519,0)</f>
        <v>0</v>
      </c>
      <c r="AC519" s="100">
        <f t="shared" ref="AC519:AC550" si="557">IF(AQ519="1",BI519,0)</f>
        <v>0</v>
      </c>
      <c r="AD519" s="100">
        <f t="shared" ref="AD519:AD550" si="558">IF(AQ519="7",BH519,0)</f>
        <v>0</v>
      </c>
      <c r="AE519" s="100">
        <f t="shared" ref="AE519:AE550" si="559">IF(AQ519="7",BI519,0)</f>
        <v>0</v>
      </c>
      <c r="AF519" s="100">
        <f t="shared" ref="AF519:AF550" si="560">IF(AQ519="2",BH519,0)</f>
        <v>0</v>
      </c>
      <c r="AG519" s="100">
        <f t="shared" ref="AG519:AG550" si="561">IF(AQ519="2",BI519,0)</f>
        <v>0</v>
      </c>
      <c r="AH519" s="100">
        <f t="shared" ref="AH519:AH550" si="562">IF(AQ519="0",BJ519,0)</f>
        <v>0</v>
      </c>
      <c r="AI519" s="109"/>
      <c r="AJ519" s="108">
        <f t="shared" ref="AJ519:AJ550" si="563">IF(AN519=0,K519,0)</f>
        <v>0</v>
      </c>
      <c r="AK519" s="108">
        <f t="shared" ref="AK519:AK550" si="564">IF(AN519=15,K519,0)</f>
        <v>0</v>
      </c>
      <c r="AL519" s="108">
        <f t="shared" ref="AL519:AL550" si="565">IF(AN519=21,K519,0)</f>
        <v>0</v>
      </c>
      <c r="AN519" s="100">
        <v>15</v>
      </c>
      <c r="AO519" s="100">
        <f t="shared" ref="AO519:AO550" si="566">H519*0</f>
        <v>0</v>
      </c>
      <c r="AP519" s="100">
        <f t="shared" ref="AP519:AP550" si="567">H519*(1-0)</f>
        <v>0</v>
      </c>
      <c r="AQ519" s="111" t="s">
        <v>7</v>
      </c>
      <c r="AV519" s="100">
        <f t="shared" ref="AV519:AV550" si="568">AW519+AX519</f>
        <v>0</v>
      </c>
      <c r="AW519" s="100">
        <f t="shared" ref="AW519:AW550" si="569">G519*AO519</f>
        <v>0</v>
      </c>
      <c r="AX519" s="100">
        <f t="shared" ref="AX519:AX550" si="570">G519*AP519</f>
        <v>0</v>
      </c>
      <c r="AY519" s="110" t="s">
        <v>1722</v>
      </c>
      <c r="AZ519" s="110" t="s">
        <v>1730</v>
      </c>
      <c r="BA519" s="109" t="s">
        <v>1737</v>
      </c>
      <c r="BC519" s="100">
        <f t="shared" ref="BC519:BC550" si="571">AW519+AX519</f>
        <v>0</v>
      </c>
      <c r="BD519" s="100">
        <f t="shared" ref="BD519:BD550" si="572">H519/(100-BE519)*100</f>
        <v>0</v>
      </c>
      <c r="BE519" s="100">
        <v>0</v>
      </c>
      <c r="BF519" s="100">
        <f>519</f>
        <v>519</v>
      </c>
      <c r="BH519" s="108">
        <f t="shared" ref="BH519:BH550" si="573">G519*AO519</f>
        <v>0</v>
      </c>
      <c r="BI519" s="108">
        <f t="shared" ref="BI519:BI550" si="574">G519*AP519</f>
        <v>0</v>
      </c>
      <c r="BJ519" s="108">
        <f t="shared" ref="BJ519:BJ550" si="575">G519*H519</f>
        <v>0</v>
      </c>
    </row>
    <row r="520" spans="1:62" x14ac:dyDescent="0.2">
      <c r="A520" s="117" t="s">
        <v>468</v>
      </c>
      <c r="B520" s="117" t="s">
        <v>1960</v>
      </c>
      <c r="C520" s="304" t="s">
        <v>1561</v>
      </c>
      <c r="D520" s="305"/>
      <c r="E520" s="305"/>
      <c r="F520" s="117" t="s">
        <v>1644</v>
      </c>
      <c r="G520" s="116">
        <v>1</v>
      </c>
      <c r="H520" s="159"/>
      <c r="I520" s="108">
        <f t="shared" si="552"/>
        <v>0</v>
      </c>
      <c r="J520" s="108">
        <f t="shared" si="553"/>
        <v>0</v>
      </c>
      <c r="K520" s="108">
        <f t="shared" si="554"/>
        <v>0</v>
      </c>
      <c r="L520" s="111"/>
      <c r="Z520" s="100">
        <f t="shared" si="555"/>
        <v>0</v>
      </c>
      <c r="AB520" s="100">
        <f t="shared" si="556"/>
        <v>0</v>
      </c>
      <c r="AC520" s="100">
        <f t="shared" si="557"/>
        <v>0</v>
      </c>
      <c r="AD520" s="100">
        <f t="shared" si="558"/>
        <v>0</v>
      </c>
      <c r="AE520" s="100">
        <f t="shared" si="559"/>
        <v>0</v>
      </c>
      <c r="AF520" s="100">
        <f t="shared" si="560"/>
        <v>0</v>
      </c>
      <c r="AG520" s="100">
        <f t="shared" si="561"/>
        <v>0</v>
      </c>
      <c r="AH520" s="100">
        <f t="shared" si="562"/>
        <v>0</v>
      </c>
      <c r="AI520" s="109"/>
      <c r="AJ520" s="108">
        <f t="shared" si="563"/>
        <v>0</v>
      </c>
      <c r="AK520" s="108">
        <f t="shared" si="564"/>
        <v>0</v>
      </c>
      <c r="AL520" s="108">
        <f t="shared" si="565"/>
        <v>0</v>
      </c>
      <c r="AN520" s="100">
        <v>15</v>
      </c>
      <c r="AO520" s="100">
        <f t="shared" si="566"/>
        <v>0</v>
      </c>
      <c r="AP520" s="100">
        <f t="shared" si="567"/>
        <v>0</v>
      </c>
      <c r="AQ520" s="111" t="s">
        <v>7</v>
      </c>
      <c r="AV520" s="100">
        <f t="shared" si="568"/>
        <v>0</v>
      </c>
      <c r="AW520" s="100">
        <f t="shared" si="569"/>
        <v>0</v>
      </c>
      <c r="AX520" s="100">
        <f t="shared" si="570"/>
        <v>0</v>
      </c>
      <c r="AY520" s="110" t="s">
        <v>1722</v>
      </c>
      <c r="AZ520" s="110" t="s">
        <v>1730</v>
      </c>
      <c r="BA520" s="109" t="s">
        <v>1737</v>
      </c>
      <c r="BC520" s="100">
        <f t="shared" si="571"/>
        <v>0</v>
      </c>
      <c r="BD520" s="100">
        <f t="shared" si="572"/>
        <v>0</v>
      </c>
      <c r="BE520" s="100">
        <v>0</v>
      </c>
      <c r="BF520" s="100">
        <f>520</f>
        <v>520</v>
      </c>
      <c r="BH520" s="108">
        <f t="shared" si="573"/>
        <v>0</v>
      </c>
      <c r="BI520" s="108">
        <f t="shared" si="574"/>
        <v>0</v>
      </c>
      <c r="BJ520" s="108">
        <f t="shared" si="575"/>
        <v>0</v>
      </c>
    </row>
    <row r="521" spans="1:62" x14ac:dyDescent="0.2">
      <c r="A521" s="117" t="s">
        <v>469</v>
      </c>
      <c r="B521" s="117" t="s">
        <v>973</v>
      </c>
      <c r="C521" s="304" t="s">
        <v>1562</v>
      </c>
      <c r="D521" s="305"/>
      <c r="E521" s="305"/>
      <c r="F521" s="117" t="s">
        <v>1644</v>
      </c>
      <c r="G521" s="116">
        <v>1</v>
      </c>
      <c r="H521" s="159"/>
      <c r="I521" s="108">
        <f t="shared" si="552"/>
        <v>0</v>
      </c>
      <c r="J521" s="108">
        <f t="shared" si="553"/>
        <v>0</v>
      </c>
      <c r="K521" s="108">
        <f t="shared" si="554"/>
        <v>0</v>
      </c>
      <c r="L521" s="111"/>
      <c r="Z521" s="100">
        <f t="shared" si="555"/>
        <v>0</v>
      </c>
      <c r="AB521" s="100">
        <f t="shared" si="556"/>
        <v>0</v>
      </c>
      <c r="AC521" s="100">
        <f t="shared" si="557"/>
        <v>0</v>
      </c>
      <c r="AD521" s="100">
        <f t="shared" si="558"/>
        <v>0</v>
      </c>
      <c r="AE521" s="100">
        <f t="shared" si="559"/>
        <v>0</v>
      </c>
      <c r="AF521" s="100">
        <f t="shared" si="560"/>
        <v>0</v>
      </c>
      <c r="AG521" s="100">
        <f t="shared" si="561"/>
        <v>0</v>
      </c>
      <c r="AH521" s="100">
        <f t="shared" si="562"/>
        <v>0</v>
      </c>
      <c r="AI521" s="109"/>
      <c r="AJ521" s="108">
        <f t="shared" si="563"/>
        <v>0</v>
      </c>
      <c r="AK521" s="108">
        <f t="shared" si="564"/>
        <v>0</v>
      </c>
      <c r="AL521" s="108">
        <f t="shared" si="565"/>
        <v>0</v>
      </c>
      <c r="AN521" s="100">
        <v>15</v>
      </c>
      <c r="AO521" s="100">
        <f t="shared" si="566"/>
        <v>0</v>
      </c>
      <c r="AP521" s="100">
        <f t="shared" si="567"/>
        <v>0</v>
      </c>
      <c r="AQ521" s="111" t="s">
        <v>7</v>
      </c>
      <c r="AV521" s="100">
        <f t="shared" si="568"/>
        <v>0</v>
      </c>
      <c r="AW521" s="100">
        <f t="shared" si="569"/>
        <v>0</v>
      </c>
      <c r="AX521" s="100">
        <f t="shared" si="570"/>
        <v>0</v>
      </c>
      <c r="AY521" s="110" t="s">
        <v>1722</v>
      </c>
      <c r="AZ521" s="110" t="s">
        <v>1730</v>
      </c>
      <c r="BA521" s="109" t="s">
        <v>1737</v>
      </c>
      <c r="BC521" s="100">
        <f t="shared" si="571"/>
        <v>0</v>
      </c>
      <c r="BD521" s="100">
        <f t="shared" si="572"/>
        <v>0</v>
      </c>
      <c r="BE521" s="100">
        <v>0</v>
      </c>
      <c r="BF521" s="100">
        <f>521</f>
        <v>521</v>
      </c>
      <c r="BH521" s="108">
        <f t="shared" si="573"/>
        <v>0</v>
      </c>
      <c r="BI521" s="108">
        <f t="shared" si="574"/>
        <v>0</v>
      </c>
      <c r="BJ521" s="108">
        <f t="shared" si="575"/>
        <v>0</v>
      </c>
    </row>
    <row r="522" spans="1:62" x14ac:dyDescent="0.2">
      <c r="A522" s="117" t="s">
        <v>470</v>
      </c>
      <c r="B522" s="117" t="s">
        <v>974</v>
      </c>
      <c r="C522" s="304" t="s">
        <v>1563</v>
      </c>
      <c r="D522" s="305"/>
      <c r="E522" s="305"/>
      <c r="F522" s="117" t="s">
        <v>1644</v>
      </c>
      <c r="G522" s="116">
        <v>1</v>
      </c>
      <c r="H522" s="159"/>
      <c r="I522" s="108">
        <f t="shared" si="552"/>
        <v>0</v>
      </c>
      <c r="J522" s="108">
        <f t="shared" si="553"/>
        <v>0</v>
      </c>
      <c r="K522" s="108">
        <f t="shared" si="554"/>
        <v>0</v>
      </c>
      <c r="L522" s="111"/>
      <c r="Z522" s="100">
        <f t="shared" si="555"/>
        <v>0</v>
      </c>
      <c r="AB522" s="100">
        <f t="shared" si="556"/>
        <v>0</v>
      </c>
      <c r="AC522" s="100">
        <f t="shared" si="557"/>
        <v>0</v>
      </c>
      <c r="AD522" s="100">
        <f t="shared" si="558"/>
        <v>0</v>
      </c>
      <c r="AE522" s="100">
        <f t="shared" si="559"/>
        <v>0</v>
      </c>
      <c r="AF522" s="100">
        <f t="shared" si="560"/>
        <v>0</v>
      </c>
      <c r="AG522" s="100">
        <f t="shared" si="561"/>
        <v>0</v>
      </c>
      <c r="AH522" s="100">
        <f t="shared" si="562"/>
        <v>0</v>
      </c>
      <c r="AI522" s="109"/>
      <c r="AJ522" s="108">
        <f t="shared" si="563"/>
        <v>0</v>
      </c>
      <c r="AK522" s="108">
        <f t="shared" si="564"/>
        <v>0</v>
      </c>
      <c r="AL522" s="108">
        <f t="shared" si="565"/>
        <v>0</v>
      </c>
      <c r="AN522" s="100">
        <v>15</v>
      </c>
      <c r="AO522" s="100">
        <f t="shared" si="566"/>
        <v>0</v>
      </c>
      <c r="AP522" s="100">
        <f t="shared" si="567"/>
        <v>0</v>
      </c>
      <c r="AQ522" s="111" t="s">
        <v>7</v>
      </c>
      <c r="AV522" s="100">
        <f t="shared" si="568"/>
        <v>0</v>
      </c>
      <c r="AW522" s="100">
        <f t="shared" si="569"/>
        <v>0</v>
      </c>
      <c r="AX522" s="100">
        <f t="shared" si="570"/>
        <v>0</v>
      </c>
      <c r="AY522" s="110" t="s">
        <v>1722</v>
      </c>
      <c r="AZ522" s="110" t="s">
        <v>1730</v>
      </c>
      <c r="BA522" s="109" t="s">
        <v>1737</v>
      </c>
      <c r="BC522" s="100">
        <f t="shared" si="571"/>
        <v>0</v>
      </c>
      <c r="BD522" s="100">
        <f t="shared" si="572"/>
        <v>0</v>
      </c>
      <c r="BE522" s="100">
        <v>0</v>
      </c>
      <c r="BF522" s="100">
        <f>522</f>
        <v>522</v>
      </c>
      <c r="BH522" s="108">
        <f t="shared" si="573"/>
        <v>0</v>
      </c>
      <c r="BI522" s="108">
        <f t="shared" si="574"/>
        <v>0</v>
      </c>
      <c r="BJ522" s="108">
        <f t="shared" si="575"/>
        <v>0</v>
      </c>
    </row>
    <row r="523" spans="1:62" x14ac:dyDescent="0.2">
      <c r="A523" s="117" t="s">
        <v>471</v>
      </c>
      <c r="B523" s="117" t="s">
        <v>975</v>
      </c>
      <c r="C523" s="304" t="s">
        <v>1564</v>
      </c>
      <c r="D523" s="305"/>
      <c r="E523" s="305"/>
      <c r="F523" s="117" t="s">
        <v>1644</v>
      </c>
      <c r="G523" s="116">
        <v>1</v>
      </c>
      <c r="H523" s="159"/>
      <c r="I523" s="108">
        <f t="shared" si="552"/>
        <v>0</v>
      </c>
      <c r="J523" s="108">
        <f t="shared" si="553"/>
        <v>0</v>
      </c>
      <c r="K523" s="108">
        <f t="shared" si="554"/>
        <v>0</v>
      </c>
      <c r="L523" s="111"/>
      <c r="Z523" s="100">
        <f t="shared" si="555"/>
        <v>0</v>
      </c>
      <c r="AB523" s="100">
        <f t="shared" si="556"/>
        <v>0</v>
      </c>
      <c r="AC523" s="100">
        <f t="shared" si="557"/>
        <v>0</v>
      </c>
      <c r="AD523" s="100">
        <f t="shared" si="558"/>
        <v>0</v>
      </c>
      <c r="AE523" s="100">
        <f t="shared" si="559"/>
        <v>0</v>
      </c>
      <c r="AF523" s="100">
        <f t="shared" si="560"/>
        <v>0</v>
      </c>
      <c r="AG523" s="100">
        <f t="shared" si="561"/>
        <v>0</v>
      </c>
      <c r="AH523" s="100">
        <f t="shared" si="562"/>
        <v>0</v>
      </c>
      <c r="AI523" s="109"/>
      <c r="AJ523" s="108">
        <f t="shared" si="563"/>
        <v>0</v>
      </c>
      <c r="AK523" s="108">
        <f t="shared" si="564"/>
        <v>0</v>
      </c>
      <c r="AL523" s="108">
        <f t="shared" si="565"/>
        <v>0</v>
      </c>
      <c r="AN523" s="100">
        <v>15</v>
      </c>
      <c r="AO523" s="100">
        <f t="shared" si="566"/>
        <v>0</v>
      </c>
      <c r="AP523" s="100">
        <f t="shared" si="567"/>
        <v>0</v>
      </c>
      <c r="AQ523" s="111" t="s">
        <v>7</v>
      </c>
      <c r="AV523" s="100">
        <f t="shared" si="568"/>
        <v>0</v>
      </c>
      <c r="AW523" s="100">
        <f t="shared" si="569"/>
        <v>0</v>
      </c>
      <c r="AX523" s="100">
        <f t="shared" si="570"/>
        <v>0</v>
      </c>
      <c r="AY523" s="110" t="s">
        <v>1722</v>
      </c>
      <c r="AZ523" s="110" t="s">
        <v>1730</v>
      </c>
      <c r="BA523" s="109" t="s">
        <v>1737</v>
      </c>
      <c r="BC523" s="100">
        <f t="shared" si="571"/>
        <v>0</v>
      </c>
      <c r="BD523" s="100">
        <f t="shared" si="572"/>
        <v>0</v>
      </c>
      <c r="BE523" s="100">
        <v>0</v>
      </c>
      <c r="BF523" s="100">
        <f>523</f>
        <v>523</v>
      </c>
      <c r="BH523" s="108">
        <f t="shared" si="573"/>
        <v>0</v>
      </c>
      <c r="BI523" s="108">
        <f t="shared" si="574"/>
        <v>0</v>
      </c>
      <c r="BJ523" s="108">
        <f t="shared" si="575"/>
        <v>0</v>
      </c>
    </row>
    <row r="524" spans="1:62" x14ac:dyDescent="0.2">
      <c r="A524" s="117" t="s">
        <v>472</v>
      </c>
      <c r="B524" s="117" t="s">
        <v>976</v>
      </c>
      <c r="C524" s="304" t="s">
        <v>1565</v>
      </c>
      <c r="D524" s="305"/>
      <c r="E524" s="305"/>
      <c r="F524" s="117" t="s">
        <v>1644</v>
      </c>
      <c r="G524" s="116">
        <v>2</v>
      </c>
      <c r="H524" s="159"/>
      <c r="I524" s="108">
        <f t="shared" si="552"/>
        <v>0</v>
      </c>
      <c r="J524" s="108">
        <f t="shared" si="553"/>
        <v>0</v>
      </c>
      <c r="K524" s="108">
        <f t="shared" si="554"/>
        <v>0</v>
      </c>
      <c r="L524" s="111"/>
      <c r="Z524" s="100">
        <f t="shared" si="555"/>
        <v>0</v>
      </c>
      <c r="AB524" s="100">
        <f t="shared" si="556"/>
        <v>0</v>
      </c>
      <c r="AC524" s="100">
        <f t="shared" si="557"/>
        <v>0</v>
      </c>
      <c r="AD524" s="100">
        <f t="shared" si="558"/>
        <v>0</v>
      </c>
      <c r="AE524" s="100">
        <f t="shared" si="559"/>
        <v>0</v>
      </c>
      <c r="AF524" s="100">
        <f t="shared" si="560"/>
        <v>0</v>
      </c>
      <c r="AG524" s="100">
        <f t="shared" si="561"/>
        <v>0</v>
      </c>
      <c r="AH524" s="100">
        <f t="shared" si="562"/>
        <v>0</v>
      </c>
      <c r="AI524" s="109"/>
      <c r="AJ524" s="108">
        <f t="shared" si="563"/>
        <v>0</v>
      </c>
      <c r="AK524" s="108">
        <f t="shared" si="564"/>
        <v>0</v>
      </c>
      <c r="AL524" s="108">
        <f t="shared" si="565"/>
        <v>0</v>
      </c>
      <c r="AN524" s="100">
        <v>15</v>
      </c>
      <c r="AO524" s="100">
        <f t="shared" si="566"/>
        <v>0</v>
      </c>
      <c r="AP524" s="100">
        <f t="shared" si="567"/>
        <v>0</v>
      </c>
      <c r="AQ524" s="111" t="s">
        <v>7</v>
      </c>
      <c r="AV524" s="100">
        <f t="shared" si="568"/>
        <v>0</v>
      </c>
      <c r="AW524" s="100">
        <f t="shared" si="569"/>
        <v>0</v>
      </c>
      <c r="AX524" s="100">
        <f t="shared" si="570"/>
        <v>0</v>
      </c>
      <c r="AY524" s="110" t="s">
        <v>1722</v>
      </c>
      <c r="AZ524" s="110" t="s">
        <v>1730</v>
      </c>
      <c r="BA524" s="109" t="s">
        <v>1737</v>
      </c>
      <c r="BC524" s="100">
        <f t="shared" si="571"/>
        <v>0</v>
      </c>
      <c r="BD524" s="100">
        <f t="shared" si="572"/>
        <v>0</v>
      </c>
      <c r="BE524" s="100">
        <v>0</v>
      </c>
      <c r="BF524" s="100">
        <f>524</f>
        <v>524</v>
      </c>
      <c r="BH524" s="108">
        <f t="shared" si="573"/>
        <v>0</v>
      </c>
      <c r="BI524" s="108">
        <f t="shared" si="574"/>
        <v>0</v>
      </c>
      <c r="BJ524" s="108">
        <f t="shared" si="575"/>
        <v>0</v>
      </c>
    </row>
    <row r="525" spans="1:62" x14ac:dyDescent="0.2">
      <c r="A525" s="117" t="s">
        <v>473</v>
      </c>
      <c r="B525" s="117" t="s">
        <v>977</v>
      </c>
      <c r="C525" s="304" t="s">
        <v>1566</v>
      </c>
      <c r="D525" s="305"/>
      <c r="E525" s="305"/>
      <c r="F525" s="117" t="s">
        <v>1644</v>
      </c>
      <c r="G525" s="116">
        <v>1</v>
      </c>
      <c r="H525" s="159"/>
      <c r="I525" s="108">
        <f t="shared" si="552"/>
        <v>0</v>
      </c>
      <c r="J525" s="108">
        <f t="shared" si="553"/>
        <v>0</v>
      </c>
      <c r="K525" s="108">
        <f t="shared" si="554"/>
        <v>0</v>
      </c>
      <c r="L525" s="111"/>
      <c r="Z525" s="100">
        <f t="shared" si="555"/>
        <v>0</v>
      </c>
      <c r="AB525" s="100">
        <f t="shared" si="556"/>
        <v>0</v>
      </c>
      <c r="AC525" s="100">
        <f t="shared" si="557"/>
        <v>0</v>
      </c>
      <c r="AD525" s="100">
        <f t="shared" si="558"/>
        <v>0</v>
      </c>
      <c r="AE525" s="100">
        <f t="shared" si="559"/>
        <v>0</v>
      </c>
      <c r="AF525" s="100">
        <f t="shared" si="560"/>
        <v>0</v>
      </c>
      <c r="AG525" s="100">
        <f t="shared" si="561"/>
        <v>0</v>
      </c>
      <c r="AH525" s="100">
        <f t="shared" si="562"/>
        <v>0</v>
      </c>
      <c r="AI525" s="109"/>
      <c r="AJ525" s="108">
        <f t="shared" si="563"/>
        <v>0</v>
      </c>
      <c r="AK525" s="108">
        <f t="shared" si="564"/>
        <v>0</v>
      </c>
      <c r="AL525" s="108">
        <f t="shared" si="565"/>
        <v>0</v>
      </c>
      <c r="AN525" s="100">
        <v>15</v>
      </c>
      <c r="AO525" s="100">
        <f t="shared" si="566"/>
        <v>0</v>
      </c>
      <c r="AP525" s="100">
        <f t="shared" si="567"/>
        <v>0</v>
      </c>
      <c r="AQ525" s="111" t="s">
        <v>7</v>
      </c>
      <c r="AV525" s="100">
        <f t="shared" si="568"/>
        <v>0</v>
      </c>
      <c r="AW525" s="100">
        <f t="shared" si="569"/>
        <v>0</v>
      </c>
      <c r="AX525" s="100">
        <f t="shared" si="570"/>
        <v>0</v>
      </c>
      <c r="AY525" s="110" t="s">
        <v>1722</v>
      </c>
      <c r="AZ525" s="110" t="s">
        <v>1730</v>
      </c>
      <c r="BA525" s="109" t="s">
        <v>1737</v>
      </c>
      <c r="BC525" s="100">
        <f t="shared" si="571"/>
        <v>0</v>
      </c>
      <c r="BD525" s="100">
        <f t="shared" si="572"/>
        <v>0</v>
      </c>
      <c r="BE525" s="100">
        <v>0</v>
      </c>
      <c r="BF525" s="100">
        <f>525</f>
        <v>525</v>
      </c>
      <c r="BH525" s="108">
        <f t="shared" si="573"/>
        <v>0</v>
      </c>
      <c r="BI525" s="108">
        <f t="shared" si="574"/>
        <v>0</v>
      </c>
      <c r="BJ525" s="108">
        <f t="shared" si="575"/>
        <v>0</v>
      </c>
    </row>
    <row r="526" spans="1:62" x14ac:dyDescent="0.2">
      <c r="A526" s="117" t="s">
        <v>474</v>
      </c>
      <c r="B526" s="117" t="s">
        <v>978</v>
      </c>
      <c r="C526" s="304" t="s">
        <v>1567</v>
      </c>
      <c r="D526" s="305"/>
      <c r="E526" s="305"/>
      <c r="F526" s="117" t="s">
        <v>1644</v>
      </c>
      <c r="G526" s="116">
        <v>1</v>
      </c>
      <c r="H526" s="159"/>
      <c r="I526" s="108">
        <f t="shared" si="552"/>
        <v>0</v>
      </c>
      <c r="J526" s="108">
        <f t="shared" si="553"/>
        <v>0</v>
      </c>
      <c r="K526" s="108">
        <f t="shared" si="554"/>
        <v>0</v>
      </c>
      <c r="L526" s="111"/>
      <c r="Z526" s="100">
        <f t="shared" si="555"/>
        <v>0</v>
      </c>
      <c r="AB526" s="100">
        <f t="shared" si="556"/>
        <v>0</v>
      </c>
      <c r="AC526" s="100">
        <f t="shared" si="557"/>
        <v>0</v>
      </c>
      <c r="AD526" s="100">
        <f t="shared" si="558"/>
        <v>0</v>
      </c>
      <c r="AE526" s="100">
        <f t="shared" si="559"/>
        <v>0</v>
      </c>
      <c r="AF526" s="100">
        <f t="shared" si="560"/>
        <v>0</v>
      </c>
      <c r="AG526" s="100">
        <f t="shared" si="561"/>
        <v>0</v>
      </c>
      <c r="AH526" s="100">
        <f t="shared" si="562"/>
        <v>0</v>
      </c>
      <c r="AI526" s="109"/>
      <c r="AJ526" s="108">
        <f t="shared" si="563"/>
        <v>0</v>
      </c>
      <c r="AK526" s="108">
        <f t="shared" si="564"/>
        <v>0</v>
      </c>
      <c r="AL526" s="108">
        <f t="shared" si="565"/>
        <v>0</v>
      </c>
      <c r="AN526" s="100">
        <v>15</v>
      </c>
      <c r="AO526" s="100">
        <f t="shared" si="566"/>
        <v>0</v>
      </c>
      <c r="AP526" s="100">
        <f t="shared" si="567"/>
        <v>0</v>
      </c>
      <c r="AQ526" s="111" t="s">
        <v>7</v>
      </c>
      <c r="AV526" s="100">
        <f t="shared" si="568"/>
        <v>0</v>
      </c>
      <c r="AW526" s="100">
        <f t="shared" si="569"/>
        <v>0</v>
      </c>
      <c r="AX526" s="100">
        <f t="shared" si="570"/>
        <v>0</v>
      </c>
      <c r="AY526" s="110" t="s">
        <v>1722</v>
      </c>
      <c r="AZ526" s="110" t="s">
        <v>1730</v>
      </c>
      <c r="BA526" s="109" t="s">
        <v>1737</v>
      </c>
      <c r="BC526" s="100">
        <f t="shared" si="571"/>
        <v>0</v>
      </c>
      <c r="BD526" s="100">
        <f t="shared" si="572"/>
        <v>0</v>
      </c>
      <c r="BE526" s="100">
        <v>0</v>
      </c>
      <c r="BF526" s="100">
        <f>526</f>
        <v>526</v>
      </c>
      <c r="BH526" s="108">
        <f t="shared" si="573"/>
        <v>0</v>
      </c>
      <c r="BI526" s="108">
        <f t="shared" si="574"/>
        <v>0</v>
      </c>
      <c r="BJ526" s="108">
        <f t="shared" si="575"/>
        <v>0</v>
      </c>
    </row>
    <row r="527" spans="1:62" x14ac:dyDescent="0.2">
      <c r="A527" s="117" t="s">
        <v>475</v>
      </c>
      <c r="B527" s="117" t="s">
        <v>979</v>
      </c>
      <c r="C527" s="304" t="s">
        <v>1568</v>
      </c>
      <c r="D527" s="305"/>
      <c r="E527" s="305"/>
      <c r="F527" s="117" t="s">
        <v>1644</v>
      </c>
      <c r="G527" s="116">
        <v>1</v>
      </c>
      <c r="H527" s="159"/>
      <c r="I527" s="108">
        <f t="shared" si="552"/>
        <v>0</v>
      </c>
      <c r="J527" s="108">
        <f t="shared" si="553"/>
        <v>0</v>
      </c>
      <c r="K527" s="108">
        <f t="shared" si="554"/>
        <v>0</v>
      </c>
      <c r="L527" s="111"/>
      <c r="Z527" s="100">
        <f t="shared" si="555"/>
        <v>0</v>
      </c>
      <c r="AB527" s="100">
        <f t="shared" si="556"/>
        <v>0</v>
      </c>
      <c r="AC527" s="100">
        <f t="shared" si="557"/>
        <v>0</v>
      </c>
      <c r="AD527" s="100">
        <f t="shared" si="558"/>
        <v>0</v>
      </c>
      <c r="AE527" s="100">
        <f t="shared" si="559"/>
        <v>0</v>
      </c>
      <c r="AF527" s="100">
        <f t="shared" si="560"/>
        <v>0</v>
      </c>
      <c r="AG527" s="100">
        <f t="shared" si="561"/>
        <v>0</v>
      </c>
      <c r="AH527" s="100">
        <f t="shared" si="562"/>
        <v>0</v>
      </c>
      <c r="AI527" s="109"/>
      <c r="AJ527" s="108">
        <f t="shared" si="563"/>
        <v>0</v>
      </c>
      <c r="AK527" s="108">
        <f t="shared" si="564"/>
        <v>0</v>
      </c>
      <c r="AL527" s="108">
        <f t="shared" si="565"/>
        <v>0</v>
      </c>
      <c r="AN527" s="100">
        <v>15</v>
      </c>
      <c r="AO527" s="100">
        <f t="shared" si="566"/>
        <v>0</v>
      </c>
      <c r="AP527" s="100">
        <f t="shared" si="567"/>
        <v>0</v>
      </c>
      <c r="AQ527" s="111" t="s">
        <v>7</v>
      </c>
      <c r="AV527" s="100">
        <f t="shared" si="568"/>
        <v>0</v>
      </c>
      <c r="AW527" s="100">
        <f t="shared" si="569"/>
        <v>0</v>
      </c>
      <c r="AX527" s="100">
        <f t="shared" si="570"/>
        <v>0</v>
      </c>
      <c r="AY527" s="110" t="s">
        <v>1722</v>
      </c>
      <c r="AZ527" s="110" t="s">
        <v>1730</v>
      </c>
      <c r="BA527" s="109" t="s">
        <v>1737</v>
      </c>
      <c r="BC527" s="100">
        <f t="shared" si="571"/>
        <v>0</v>
      </c>
      <c r="BD527" s="100">
        <f t="shared" si="572"/>
        <v>0</v>
      </c>
      <c r="BE527" s="100">
        <v>0</v>
      </c>
      <c r="BF527" s="100">
        <f>527</f>
        <v>527</v>
      </c>
      <c r="BH527" s="108">
        <f t="shared" si="573"/>
        <v>0</v>
      </c>
      <c r="BI527" s="108">
        <f t="shared" si="574"/>
        <v>0</v>
      </c>
      <c r="BJ527" s="108">
        <f t="shared" si="575"/>
        <v>0</v>
      </c>
    </row>
    <row r="528" spans="1:62" x14ac:dyDescent="0.2">
      <c r="A528" s="117" t="s">
        <v>476</v>
      </c>
      <c r="B528" s="117" t="s">
        <v>1959</v>
      </c>
      <c r="C528" s="304" t="s">
        <v>1569</v>
      </c>
      <c r="D528" s="305"/>
      <c r="E528" s="305"/>
      <c r="F528" s="117" t="s">
        <v>1644</v>
      </c>
      <c r="G528" s="116">
        <v>1</v>
      </c>
      <c r="H528" s="159"/>
      <c r="I528" s="108">
        <f t="shared" si="552"/>
        <v>0</v>
      </c>
      <c r="J528" s="108">
        <f t="shared" si="553"/>
        <v>0</v>
      </c>
      <c r="K528" s="108">
        <f t="shared" si="554"/>
        <v>0</v>
      </c>
      <c r="L528" s="111"/>
      <c r="Z528" s="100">
        <f t="shared" si="555"/>
        <v>0</v>
      </c>
      <c r="AB528" s="100">
        <f t="shared" si="556"/>
        <v>0</v>
      </c>
      <c r="AC528" s="100">
        <f t="shared" si="557"/>
        <v>0</v>
      </c>
      <c r="AD528" s="100">
        <f t="shared" si="558"/>
        <v>0</v>
      </c>
      <c r="AE528" s="100">
        <f t="shared" si="559"/>
        <v>0</v>
      </c>
      <c r="AF528" s="100">
        <f t="shared" si="560"/>
        <v>0</v>
      </c>
      <c r="AG528" s="100">
        <f t="shared" si="561"/>
        <v>0</v>
      </c>
      <c r="AH528" s="100">
        <f t="shared" si="562"/>
        <v>0</v>
      </c>
      <c r="AI528" s="109"/>
      <c r="AJ528" s="108">
        <f t="shared" si="563"/>
        <v>0</v>
      </c>
      <c r="AK528" s="108">
        <f t="shared" si="564"/>
        <v>0</v>
      </c>
      <c r="AL528" s="108">
        <f t="shared" si="565"/>
        <v>0</v>
      </c>
      <c r="AN528" s="100">
        <v>15</v>
      </c>
      <c r="AO528" s="100">
        <f t="shared" si="566"/>
        <v>0</v>
      </c>
      <c r="AP528" s="100">
        <f t="shared" si="567"/>
        <v>0</v>
      </c>
      <c r="AQ528" s="111" t="s">
        <v>7</v>
      </c>
      <c r="AV528" s="100">
        <f t="shared" si="568"/>
        <v>0</v>
      </c>
      <c r="AW528" s="100">
        <f t="shared" si="569"/>
        <v>0</v>
      </c>
      <c r="AX528" s="100">
        <f t="shared" si="570"/>
        <v>0</v>
      </c>
      <c r="AY528" s="110" t="s">
        <v>1722</v>
      </c>
      <c r="AZ528" s="110" t="s">
        <v>1730</v>
      </c>
      <c r="BA528" s="109" t="s">
        <v>1737</v>
      </c>
      <c r="BC528" s="100">
        <f t="shared" si="571"/>
        <v>0</v>
      </c>
      <c r="BD528" s="100">
        <f t="shared" si="572"/>
        <v>0</v>
      </c>
      <c r="BE528" s="100">
        <v>0</v>
      </c>
      <c r="BF528" s="100">
        <f>528</f>
        <v>528</v>
      </c>
      <c r="BH528" s="108">
        <f t="shared" si="573"/>
        <v>0</v>
      </c>
      <c r="BI528" s="108">
        <f t="shared" si="574"/>
        <v>0</v>
      </c>
      <c r="BJ528" s="108">
        <f t="shared" si="575"/>
        <v>0</v>
      </c>
    </row>
    <row r="529" spans="1:62" x14ac:dyDescent="0.2">
      <c r="A529" s="117" t="s">
        <v>477</v>
      </c>
      <c r="B529" s="117" t="s">
        <v>1958</v>
      </c>
      <c r="C529" s="304" t="s">
        <v>1570</v>
      </c>
      <c r="D529" s="305"/>
      <c r="E529" s="305"/>
      <c r="F529" s="117" t="s">
        <v>1644</v>
      </c>
      <c r="G529" s="116">
        <v>1</v>
      </c>
      <c r="H529" s="159"/>
      <c r="I529" s="108">
        <f t="shared" si="552"/>
        <v>0</v>
      </c>
      <c r="J529" s="108">
        <f t="shared" si="553"/>
        <v>0</v>
      </c>
      <c r="K529" s="108">
        <f t="shared" si="554"/>
        <v>0</v>
      </c>
      <c r="L529" s="111"/>
      <c r="Z529" s="100">
        <f t="shared" si="555"/>
        <v>0</v>
      </c>
      <c r="AB529" s="100">
        <f t="shared" si="556"/>
        <v>0</v>
      </c>
      <c r="AC529" s="100">
        <f t="shared" si="557"/>
        <v>0</v>
      </c>
      <c r="AD529" s="100">
        <f t="shared" si="558"/>
        <v>0</v>
      </c>
      <c r="AE529" s="100">
        <f t="shared" si="559"/>
        <v>0</v>
      </c>
      <c r="AF529" s="100">
        <f t="shared" si="560"/>
        <v>0</v>
      </c>
      <c r="AG529" s="100">
        <f t="shared" si="561"/>
        <v>0</v>
      </c>
      <c r="AH529" s="100">
        <f t="shared" si="562"/>
        <v>0</v>
      </c>
      <c r="AI529" s="109"/>
      <c r="AJ529" s="108">
        <f t="shared" si="563"/>
        <v>0</v>
      </c>
      <c r="AK529" s="108">
        <f t="shared" si="564"/>
        <v>0</v>
      </c>
      <c r="AL529" s="108">
        <f t="shared" si="565"/>
        <v>0</v>
      </c>
      <c r="AN529" s="100">
        <v>15</v>
      </c>
      <c r="AO529" s="100">
        <f t="shared" si="566"/>
        <v>0</v>
      </c>
      <c r="AP529" s="100">
        <f t="shared" si="567"/>
        <v>0</v>
      </c>
      <c r="AQ529" s="111" t="s">
        <v>7</v>
      </c>
      <c r="AV529" s="100">
        <f t="shared" si="568"/>
        <v>0</v>
      </c>
      <c r="AW529" s="100">
        <f t="shared" si="569"/>
        <v>0</v>
      </c>
      <c r="AX529" s="100">
        <f t="shared" si="570"/>
        <v>0</v>
      </c>
      <c r="AY529" s="110" t="s">
        <v>1722</v>
      </c>
      <c r="AZ529" s="110" t="s">
        <v>1730</v>
      </c>
      <c r="BA529" s="109" t="s">
        <v>1737</v>
      </c>
      <c r="BC529" s="100">
        <f t="shared" si="571"/>
        <v>0</v>
      </c>
      <c r="BD529" s="100">
        <f t="shared" si="572"/>
        <v>0</v>
      </c>
      <c r="BE529" s="100">
        <v>0</v>
      </c>
      <c r="BF529" s="100">
        <f>529</f>
        <v>529</v>
      </c>
      <c r="BH529" s="108">
        <f t="shared" si="573"/>
        <v>0</v>
      </c>
      <c r="BI529" s="108">
        <f t="shared" si="574"/>
        <v>0</v>
      </c>
      <c r="BJ529" s="108">
        <f t="shared" si="575"/>
        <v>0</v>
      </c>
    </row>
    <row r="530" spans="1:62" x14ac:dyDescent="0.2">
      <c r="A530" s="117" t="s">
        <v>478</v>
      </c>
      <c r="B530" s="117" t="s">
        <v>1957</v>
      </c>
      <c r="C530" s="304" t="s">
        <v>1571</v>
      </c>
      <c r="D530" s="305"/>
      <c r="E530" s="305"/>
      <c r="F530" s="117" t="s">
        <v>1644</v>
      </c>
      <c r="G530" s="116">
        <v>1</v>
      </c>
      <c r="H530" s="159"/>
      <c r="I530" s="108">
        <f t="shared" si="552"/>
        <v>0</v>
      </c>
      <c r="J530" s="108">
        <f t="shared" si="553"/>
        <v>0</v>
      </c>
      <c r="K530" s="108">
        <f t="shared" si="554"/>
        <v>0</v>
      </c>
      <c r="L530" s="111"/>
      <c r="Z530" s="100">
        <f t="shared" si="555"/>
        <v>0</v>
      </c>
      <c r="AB530" s="100">
        <f t="shared" si="556"/>
        <v>0</v>
      </c>
      <c r="AC530" s="100">
        <f t="shared" si="557"/>
        <v>0</v>
      </c>
      <c r="AD530" s="100">
        <f t="shared" si="558"/>
        <v>0</v>
      </c>
      <c r="AE530" s="100">
        <f t="shared" si="559"/>
        <v>0</v>
      </c>
      <c r="AF530" s="100">
        <f t="shared" si="560"/>
        <v>0</v>
      </c>
      <c r="AG530" s="100">
        <f t="shared" si="561"/>
        <v>0</v>
      </c>
      <c r="AH530" s="100">
        <f t="shared" si="562"/>
        <v>0</v>
      </c>
      <c r="AI530" s="109"/>
      <c r="AJ530" s="108">
        <f t="shared" si="563"/>
        <v>0</v>
      </c>
      <c r="AK530" s="108">
        <f t="shared" si="564"/>
        <v>0</v>
      </c>
      <c r="AL530" s="108">
        <f t="shared" si="565"/>
        <v>0</v>
      </c>
      <c r="AN530" s="100">
        <v>15</v>
      </c>
      <c r="AO530" s="100">
        <f t="shared" si="566"/>
        <v>0</v>
      </c>
      <c r="AP530" s="100">
        <f t="shared" si="567"/>
        <v>0</v>
      </c>
      <c r="AQ530" s="111" t="s">
        <v>7</v>
      </c>
      <c r="AV530" s="100">
        <f t="shared" si="568"/>
        <v>0</v>
      </c>
      <c r="AW530" s="100">
        <f t="shared" si="569"/>
        <v>0</v>
      </c>
      <c r="AX530" s="100">
        <f t="shared" si="570"/>
        <v>0</v>
      </c>
      <c r="AY530" s="110" t="s">
        <v>1722</v>
      </c>
      <c r="AZ530" s="110" t="s">
        <v>1730</v>
      </c>
      <c r="BA530" s="109" t="s">
        <v>1737</v>
      </c>
      <c r="BC530" s="100">
        <f t="shared" si="571"/>
        <v>0</v>
      </c>
      <c r="BD530" s="100">
        <f t="shared" si="572"/>
        <v>0</v>
      </c>
      <c r="BE530" s="100">
        <v>0</v>
      </c>
      <c r="BF530" s="100">
        <f>530</f>
        <v>530</v>
      </c>
      <c r="BH530" s="108">
        <f t="shared" si="573"/>
        <v>0</v>
      </c>
      <c r="BI530" s="108">
        <f t="shared" si="574"/>
        <v>0</v>
      </c>
      <c r="BJ530" s="108">
        <f t="shared" si="575"/>
        <v>0</v>
      </c>
    </row>
    <row r="531" spans="1:62" x14ac:dyDescent="0.2">
      <c r="A531" s="117" t="s">
        <v>479</v>
      </c>
      <c r="B531" s="117" t="s">
        <v>1956</v>
      </c>
      <c r="C531" s="304" t="s">
        <v>1572</v>
      </c>
      <c r="D531" s="305"/>
      <c r="E531" s="305"/>
      <c r="F531" s="117" t="s">
        <v>1644</v>
      </c>
      <c r="G531" s="116">
        <v>1</v>
      </c>
      <c r="H531" s="159"/>
      <c r="I531" s="108">
        <f t="shared" si="552"/>
        <v>0</v>
      </c>
      <c r="J531" s="108">
        <f t="shared" si="553"/>
        <v>0</v>
      </c>
      <c r="K531" s="108">
        <f t="shared" si="554"/>
        <v>0</v>
      </c>
      <c r="L531" s="111"/>
      <c r="Z531" s="100">
        <f t="shared" si="555"/>
        <v>0</v>
      </c>
      <c r="AB531" s="100">
        <f t="shared" si="556"/>
        <v>0</v>
      </c>
      <c r="AC531" s="100">
        <f t="shared" si="557"/>
        <v>0</v>
      </c>
      <c r="AD531" s="100">
        <f t="shared" si="558"/>
        <v>0</v>
      </c>
      <c r="AE531" s="100">
        <f t="shared" si="559"/>
        <v>0</v>
      </c>
      <c r="AF531" s="100">
        <f t="shared" si="560"/>
        <v>0</v>
      </c>
      <c r="AG531" s="100">
        <f t="shared" si="561"/>
        <v>0</v>
      </c>
      <c r="AH531" s="100">
        <f t="shared" si="562"/>
        <v>0</v>
      </c>
      <c r="AI531" s="109"/>
      <c r="AJ531" s="108">
        <f t="shared" si="563"/>
        <v>0</v>
      </c>
      <c r="AK531" s="108">
        <f t="shared" si="564"/>
        <v>0</v>
      </c>
      <c r="AL531" s="108">
        <f t="shared" si="565"/>
        <v>0</v>
      </c>
      <c r="AN531" s="100">
        <v>15</v>
      </c>
      <c r="AO531" s="100">
        <f t="shared" si="566"/>
        <v>0</v>
      </c>
      <c r="AP531" s="100">
        <f t="shared" si="567"/>
        <v>0</v>
      </c>
      <c r="AQ531" s="111" t="s">
        <v>7</v>
      </c>
      <c r="AV531" s="100">
        <f t="shared" si="568"/>
        <v>0</v>
      </c>
      <c r="AW531" s="100">
        <f t="shared" si="569"/>
        <v>0</v>
      </c>
      <c r="AX531" s="100">
        <f t="shared" si="570"/>
        <v>0</v>
      </c>
      <c r="AY531" s="110" t="s">
        <v>1722</v>
      </c>
      <c r="AZ531" s="110" t="s">
        <v>1730</v>
      </c>
      <c r="BA531" s="109" t="s">
        <v>1737</v>
      </c>
      <c r="BC531" s="100">
        <f t="shared" si="571"/>
        <v>0</v>
      </c>
      <c r="BD531" s="100">
        <f t="shared" si="572"/>
        <v>0</v>
      </c>
      <c r="BE531" s="100">
        <v>0</v>
      </c>
      <c r="BF531" s="100">
        <f>531</f>
        <v>531</v>
      </c>
      <c r="BH531" s="108">
        <f t="shared" si="573"/>
        <v>0</v>
      </c>
      <c r="BI531" s="108">
        <f t="shared" si="574"/>
        <v>0</v>
      </c>
      <c r="BJ531" s="108">
        <f t="shared" si="575"/>
        <v>0</v>
      </c>
    </row>
    <row r="532" spans="1:62" x14ac:dyDescent="0.2">
      <c r="A532" s="117" t="s">
        <v>480</v>
      </c>
      <c r="B532" s="117" t="s">
        <v>1955</v>
      </c>
      <c r="C532" s="304" t="s">
        <v>1573</v>
      </c>
      <c r="D532" s="305"/>
      <c r="E532" s="305"/>
      <c r="F532" s="117" t="s">
        <v>1644</v>
      </c>
      <c r="G532" s="116">
        <v>1</v>
      </c>
      <c r="H532" s="159"/>
      <c r="I532" s="108">
        <f t="shared" si="552"/>
        <v>0</v>
      </c>
      <c r="J532" s="108">
        <f t="shared" si="553"/>
        <v>0</v>
      </c>
      <c r="K532" s="108">
        <f t="shared" si="554"/>
        <v>0</v>
      </c>
      <c r="L532" s="111"/>
      <c r="Z532" s="100">
        <f t="shared" si="555"/>
        <v>0</v>
      </c>
      <c r="AB532" s="100">
        <f t="shared" si="556"/>
        <v>0</v>
      </c>
      <c r="AC532" s="100">
        <f t="shared" si="557"/>
        <v>0</v>
      </c>
      <c r="AD532" s="100">
        <f t="shared" si="558"/>
        <v>0</v>
      </c>
      <c r="AE532" s="100">
        <f t="shared" si="559"/>
        <v>0</v>
      </c>
      <c r="AF532" s="100">
        <f t="shared" si="560"/>
        <v>0</v>
      </c>
      <c r="AG532" s="100">
        <f t="shared" si="561"/>
        <v>0</v>
      </c>
      <c r="AH532" s="100">
        <f t="shared" si="562"/>
        <v>0</v>
      </c>
      <c r="AI532" s="109"/>
      <c r="AJ532" s="108">
        <f t="shared" si="563"/>
        <v>0</v>
      </c>
      <c r="AK532" s="108">
        <f t="shared" si="564"/>
        <v>0</v>
      </c>
      <c r="AL532" s="108">
        <f t="shared" si="565"/>
        <v>0</v>
      </c>
      <c r="AN532" s="100">
        <v>15</v>
      </c>
      <c r="AO532" s="100">
        <f t="shared" si="566"/>
        <v>0</v>
      </c>
      <c r="AP532" s="100">
        <f t="shared" si="567"/>
        <v>0</v>
      </c>
      <c r="AQ532" s="111" t="s">
        <v>7</v>
      </c>
      <c r="AV532" s="100">
        <f t="shared" si="568"/>
        <v>0</v>
      </c>
      <c r="AW532" s="100">
        <f t="shared" si="569"/>
        <v>0</v>
      </c>
      <c r="AX532" s="100">
        <f t="shared" si="570"/>
        <v>0</v>
      </c>
      <c r="AY532" s="110" t="s">
        <v>1722</v>
      </c>
      <c r="AZ532" s="110" t="s">
        <v>1730</v>
      </c>
      <c r="BA532" s="109" t="s">
        <v>1737</v>
      </c>
      <c r="BC532" s="100">
        <f t="shared" si="571"/>
        <v>0</v>
      </c>
      <c r="BD532" s="100">
        <f t="shared" si="572"/>
        <v>0</v>
      </c>
      <c r="BE532" s="100">
        <v>0</v>
      </c>
      <c r="BF532" s="100">
        <f>532</f>
        <v>532</v>
      </c>
      <c r="BH532" s="108">
        <f t="shared" si="573"/>
        <v>0</v>
      </c>
      <c r="BI532" s="108">
        <f t="shared" si="574"/>
        <v>0</v>
      </c>
      <c r="BJ532" s="108">
        <f t="shared" si="575"/>
        <v>0</v>
      </c>
    </row>
    <row r="533" spans="1:62" x14ac:dyDescent="0.2">
      <c r="A533" s="117" t="s">
        <v>481</v>
      </c>
      <c r="B533" s="117" t="s">
        <v>1954</v>
      </c>
      <c r="C533" s="304" t="s">
        <v>1574</v>
      </c>
      <c r="D533" s="305"/>
      <c r="E533" s="305"/>
      <c r="F533" s="117" t="s">
        <v>1644</v>
      </c>
      <c r="G533" s="116">
        <v>1</v>
      </c>
      <c r="H533" s="159"/>
      <c r="I533" s="108">
        <f t="shared" si="552"/>
        <v>0</v>
      </c>
      <c r="J533" s="108">
        <f t="shared" si="553"/>
        <v>0</v>
      </c>
      <c r="K533" s="108">
        <f t="shared" si="554"/>
        <v>0</v>
      </c>
      <c r="L533" s="111"/>
      <c r="Z533" s="100">
        <f t="shared" si="555"/>
        <v>0</v>
      </c>
      <c r="AB533" s="100">
        <f t="shared" si="556"/>
        <v>0</v>
      </c>
      <c r="AC533" s="100">
        <f t="shared" si="557"/>
        <v>0</v>
      </c>
      <c r="AD533" s="100">
        <f t="shared" si="558"/>
        <v>0</v>
      </c>
      <c r="AE533" s="100">
        <f t="shared" si="559"/>
        <v>0</v>
      </c>
      <c r="AF533" s="100">
        <f t="shared" si="560"/>
        <v>0</v>
      </c>
      <c r="AG533" s="100">
        <f t="shared" si="561"/>
        <v>0</v>
      </c>
      <c r="AH533" s="100">
        <f t="shared" si="562"/>
        <v>0</v>
      </c>
      <c r="AI533" s="109"/>
      <c r="AJ533" s="108">
        <f t="shared" si="563"/>
        <v>0</v>
      </c>
      <c r="AK533" s="108">
        <f t="shared" si="564"/>
        <v>0</v>
      </c>
      <c r="AL533" s="108">
        <f t="shared" si="565"/>
        <v>0</v>
      </c>
      <c r="AN533" s="100">
        <v>15</v>
      </c>
      <c r="AO533" s="100">
        <f t="shared" si="566"/>
        <v>0</v>
      </c>
      <c r="AP533" s="100">
        <f t="shared" si="567"/>
        <v>0</v>
      </c>
      <c r="AQ533" s="111" t="s">
        <v>7</v>
      </c>
      <c r="AV533" s="100">
        <f t="shared" si="568"/>
        <v>0</v>
      </c>
      <c r="AW533" s="100">
        <f t="shared" si="569"/>
        <v>0</v>
      </c>
      <c r="AX533" s="100">
        <f t="shared" si="570"/>
        <v>0</v>
      </c>
      <c r="AY533" s="110" t="s">
        <v>1722</v>
      </c>
      <c r="AZ533" s="110" t="s">
        <v>1730</v>
      </c>
      <c r="BA533" s="109" t="s">
        <v>1737</v>
      </c>
      <c r="BC533" s="100">
        <f t="shared" si="571"/>
        <v>0</v>
      </c>
      <c r="BD533" s="100">
        <f t="shared" si="572"/>
        <v>0</v>
      </c>
      <c r="BE533" s="100">
        <v>0</v>
      </c>
      <c r="BF533" s="100">
        <f>533</f>
        <v>533</v>
      </c>
      <c r="BH533" s="108">
        <f t="shared" si="573"/>
        <v>0</v>
      </c>
      <c r="BI533" s="108">
        <f t="shared" si="574"/>
        <v>0</v>
      </c>
      <c r="BJ533" s="108">
        <f t="shared" si="575"/>
        <v>0</v>
      </c>
    </row>
    <row r="534" spans="1:62" x14ac:dyDescent="0.2">
      <c r="A534" s="117" t="s">
        <v>482</v>
      </c>
      <c r="B534" s="117" t="s">
        <v>1953</v>
      </c>
      <c r="C534" s="304" t="s">
        <v>1575</v>
      </c>
      <c r="D534" s="305"/>
      <c r="E534" s="305"/>
      <c r="F534" s="117" t="s">
        <v>1644</v>
      </c>
      <c r="G534" s="116">
        <v>1</v>
      </c>
      <c r="H534" s="159"/>
      <c r="I534" s="108">
        <f t="shared" si="552"/>
        <v>0</v>
      </c>
      <c r="J534" s="108">
        <f t="shared" si="553"/>
        <v>0</v>
      </c>
      <c r="K534" s="108">
        <f t="shared" si="554"/>
        <v>0</v>
      </c>
      <c r="L534" s="111"/>
      <c r="Z534" s="100">
        <f t="shared" si="555"/>
        <v>0</v>
      </c>
      <c r="AB534" s="100">
        <f t="shared" si="556"/>
        <v>0</v>
      </c>
      <c r="AC534" s="100">
        <f t="shared" si="557"/>
        <v>0</v>
      </c>
      <c r="AD534" s="100">
        <f t="shared" si="558"/>
        <v>0</v>
      </c>
      <c r="AE534" s="100">
        <f t="shared" si="559"/>
        <v>0</v>
      </c>
      <c r="AF534" s="100">
        <f t="shared" si="560"/>
        <v>0</v>
      </c>
      <c r="AG534" s="100">
        <f t="shared" si="561"/>
        <v>0</v>
      </c>
      <c r="AH534" s="100">
        <f t="shared" si="562"/>
        <v>0</v>
      </c>
      <c r="AI534" s="109"/>
      <c r="AJ534" s="108">
        <f t="shared" si="563"/>
        <v>0</v>
      </c>
      <c r="AK534" s="108">
        <f t="shared" si="564"/>
        <v>0</v>
      </c>
      <c r="AL534" s="108">
        <f t="shared" si="565"/>
        <v>0</v>
      </c>
      <c r="AN534" s="100">
        <v>15</v>
      </c>
      <c r="AO534" s="100">
        <f t="shared" si="566"/>
        <v>0</v>
      </c>
      <c r="AP534" s="100">
        <f t="shared" si="567"/>
        <v>0</v>
      </c>
      <c r="AQ534" s="111" t="s">
        <v>7</v>
      </c>
      <c r="AV534" s="100">
        <f t="shared" si="568"/>
        <v>0</v>
      </c>
      <c r="AW534" s="100">
        <f t="shared" si="569"/>
        <v>0</v>
      </c>
      <c r="AX534" s="100">
        <f t="shared" si="570"/>
        <v>0</v>
      </c>
      <c r="AY534" s="110" t="s">
        <v>1722</v>
      </c>
      <c r="AZ534" s="110" t="s">
        <v>1730</v>
      </c>
      <c r="BA534" s="109" t="s">
        <v>1737</v>
      </c>
      <c r="BC534" s="100">
        <f t="shared" si="571"/>
        <v>0</v>
      </c>
      <c r="BD534" s="100">
        <f t="shared" si="572"/>
        <v>0</v>
      </c>
      <c r="BE534" s="100">
        <v>0</v>
      </c>
      <c r="BF534" s="100">
        <f>534</f>
        <v>534</v>
      </c>
      <c r="BH534" s="108">
        <f t="shared" si="573"/>
        <v>0</v>
      </c>
      <c r="BI534" s="108">
        <f t="shared" si="574"/>
        <v>0</v>
      </c>
      <c r="BJ534" s="108">
        <f t="shared" si="575"/>
        <v>0</v>
      </c>
    </row>
    <row r="535" spans="1:62" x14ac:dyDescent="0.2">
      <c r="A535" s="117" t="s">
        <v>483</v>
      </c>
      <c r="B535" s="117" t="s">
        <v>973</v>
      </c>
      <c r="C535" s="304" t="s">
        <v>1577</v>
      </c>
      <c r="D535" s="305"/>
      <c r="E535" s="305"/>
      <c r="F535" s="117" t="s">
        <v>1644</v>
      </c>
      <c r="G535" s="116">
        <v>1</v>
      </c>
      <c r="H535" s="159"/>
      <c r="I535" s="108">
        <f t="shared" si="552"/>
        <v>0</v>
      </c>
      <c r="J535" s="108">
        <f t="shared" si="553"/>
        <v>0</v>
      </c>
      <c r="K535" s="108">
        <f t="shared" si="554"/>
        <v>0</v>
      </c>
      <c r="L535" s="111"/>
      <c r="Z535" s="100">
        <f t="shared" si="555"/>
        <v>0</v>
      </c>
      <c r="AB535" s="100">
        <f t="shared" si="556"/>
        <v>0</v>
      </c>
      <c r="AC535" s="100">
        <f t="shared" si="557"/>
        <v>0</v>
      </c>
      <c r="AD535" s="100">
        <f t="shared" si="558"/>
        <v>0</v>
      </c>
      <c r="AE535" s="100">
        <f t="shared" si="559"/>
        <v>0</v>
      </c>
      <c r="AF535" s="100">
        <f t="shared" si="560"/>
        <v>0</v>
      </c>
      <c r="AG535" s="100">
        <f t="shared" si="561"/>
        <v>0</v>
      </c>
      <c r="AH535" s="100">
        <f t="shared" si="562"/>
        <v>0</v>
      </c>
      <c r="AI535" s="109"/>
      <c r="AJ535" s="108">
        <f t="shared" si="563"/>
        <v>0</v>
      </c>
      <c r="AK535" s="108">
        <f t="shared" si="564"/>
        <v>0</v>
      </c>
      <c r="AL535" s="108">
        <f t="shared" si="565"/>
        <v>0</v>
      </c>
      <c r="AN535" s="100">
        <v>15</v>
      </c>
      <c r="AO535" s="100">
        <f t="shared" si="566"/>
        <v>0</v>
      </c>
      <c r="AP535" s="100">
        <f t="shared" si="567"/>
        <v>0</v>
      </c>
      <c r="AQ535" s="111" t="s">
        <v>7</v>
      </c>
      <c r="AV535" s="100">
        <f t="shared" si="568"/>
        <v>0</v>
      </c>
      <c r="AW535" s="100">
        <f t="shared" si="569"/>
        <v>0</v>
      </c>
      <c r="AX535" s="100">
        <f t="shared" si="570"/>
        <v>0</v>
      </c>
      <c r="AY535" s="110" t="s">
        <v>1722</v>
      </c>
      <c r="AZ535" s="110" t="s">
        <v>1730</v>
      </c>
      <c r="BA535" s="109" t="s">
        <v>1737</v>
      </c>
      <c r="BC535" s="100">
        <f t="shared" si="571"/>
        <v>0</v>
      </c>
      <c r="BD535" s="100">
        <f t="shared" si="572"/>
        <v>0</v>
      </c>
      <c r="BE535" s="100">
        <v>0</v>
      </c>
      <c r="BF535" s="100">
        <f>535</f>
        <v>535</v>
      </c>
      <c r="BH535" s="108">
        <f t="shared" si="573"/>
        <v>0</v>
      </c>
      <c r="BI535" s="108">
        <f t="shared" si="574"/>
        <v>0</v>
      </c>
      <c r="BJ535" s="108">
        <f t="shared" si="575"/>
        <v>0</v>
      </c>
    </row>
    <row r="536" spans="1:62" x14ac:dyDescent="0.2">
      <c r="A536" s="117" t="s">
        <v>484</v>
      </c>
      <c r="B536" s="117" t="s">
        <v>988</v>
      </c>
      <c r="C536" s="304" t="s">
        <v>1578</v>
      </c>
      <c r="D536" s="305"/>
      <c r="E536" s="305"/>
      <c r="F536" s="117" t="s">
        <v>1644</v>
      </c>
      <c r="G536" s="116">
        <v>1</v>
      </c>
      <c r="H536" s="159"/>
      <c r="I536" s="108">
        <f t="shared" si="552"/>
        <v>0</v>
      </c>
      <c r="J536" s="108">
        <f t="shared" si="553"/>
        <v>0</v>
      </c>
      <c r="K536" s="108">
        <f t="shared" si="554"/>
        <v>0</v>
      </c>
      <c r="L536" s="111"/>
      <c r="Z536" s="100">
        <f t="shared" si="555"/>
        <v>0</v>
      </c>
      <c r="AB536" s="100">
        <f t="shared" si="556"/>
        <v>0</v>
      </c>
      <c r="AC536" s="100">
        <f t="shared" si="557"/>
        <v>0</v>
      </c>
      <c r="AD536" s="100">
        <f t="shared" si="558"/>
        <v>0</v>
      </c>
      <c r="AE536" s="100">
        <f t="shared" si="559"/>
        <v>0</v>
      </c>
      <c r="AF536" s="100">
        <f t="shared" si="560"/>
        <v>0</v>
      </c>
      <c r="AG536" s="100">
        <f t="shared" si="561"/>
        <v>0</v>
      </c>
      <c r="AH536" s="100">
        <f t="shared" si="562"/>
        <v>0</v>
      </c>
      <c r="AI536" s="109"/>
      <c r="AJ536" s="108">
        <f t="shared" si="563"/>
        <v>0</v>
      </c>
      <c r="AK536" s="108">
        <f t="shared" si="564"/>
        <v>0</v>
      </c>
      <c r="AL536" s="108">
        <f t="shared" si="565"/>
        <v>0</v>
      </c>
      <c r="AN536" s="100">
        <v>15</v>
      </c>
      <c r="AO536" s="100">
        <f t="shared" si="566"/>
        <v>0</v>
      </c>
      <c r="AP536" s="100">
        <f t="shared" si="567"/>
        <v>0</v>
      </c>
      <c r="AQ536" s="111" t="s">
        <v>7</v>
      </c>
      <c r="AV536" s="100">
        <f t="shared" si="568"/>
        <v>0</v>
      </c>
      <c r="AW536" s="100">
        <f t="shared" si="569"/>
        <v>0</v>
      </c>
      <c r="AX536" s="100">
        <f t="shared" si="570"/>
        <v>0</v>
      </c>
      <c r="AY536" s="110" t="s">
        <v>1722</v>
      </c>
      <c r="AZ536" s="110" t="s">
        <v>1730</v>
      </c>
      <c r="BA536" s="109" t="s">
        <v>1737</v>
      </c>
      <c r="BC536" s="100">
        <f t="shared" si="571"/>
        <v>0</v>
      </c>
      <c r="BD536" s="100">
        <f t="shared" si="572"/>
        <v>0</v>
      </c>
      <c r="BE536" s="100">
        <v>0</v>
      </c>
      <c r="BF536" s="100">
        <f>536</f>
        <v>536</v>
      </c>
      <c r="BH536" s="108">
        <f t="shared" si="573"/>
        <v>0</v>
      </c>
      <c r="BI536" s="108">
        <f t="shared" si="574"/>
        <v>0</v>
      </c>
      <c r="BJ536" s="108">
        <f t="shared" si="575"/>
        <v>0</v>
      </c>
    </row>
    <row r="537" spans="1:62" x14ac:dyDescent="0.2">
      <c r="A537" s="117" t="s">
        <v>485</v>
      </c>
      <c r="B537" s="117" t="s">
        <v>989</v>
      </c>
      <c r="C537" s="304" t="s">
        <v>1579</v>
      </c>
      <c r="D537" s="305"/>
      <c r="E537" s="305"/>
      <c r="F537" s="117" t="s">
        <v>1644</v>
      </c>
      <c r="G537" s="116">
        <v>1</v>
      </c>
      <c r="H537" s="159"/>
      <c r="I537" s="108">
        <f t="shared" si="552"/>
        <v>0</v>
      </c>
      <c r="J537" s="108">
        <f t="shared" si="553"/>
        <v>0</v>
      </c>
      <c r="K537" s="108">
        <f t="shared" si="554"/>
        <v>0</v>
      </c>
      <c r="L537" s="111"/>
      <c r="Z537" s="100">
        <f t="shared" si="555"/>
        <v>0</v>
      </c>
      <c r="AB537" s="100">
        <f t="shared" si="556"/>
        <v>0</v>
      </c>
      <c r="AC537" s="100">
        <f t="shared" si="557"/>
        <v>0</v>
      </c>
      <c r="AD537" s="100">
        <f t="shared" si="558"/>
        <v>0</v>
      </c>
      <c r="AE537" s="100">
        <f t="shared" si="559"/>
        <v>0</v>
      </c>
      <c r="AF537" s="100">
        <f t="shared" si="560"/>
        <v>0</v>
      </c>
      <c r="AG537" s="100">
        <f t="shared" si="561"/>
        <v>0</v>
      </c>
      <c r="AH537" s="100">
        <f t="shared" si="562"/>
        <v>0</v>
      </c>
      <c r="AI537" s="109"/>
      <c r="AJ537" s="108">
        <f t="shared" si="563"/>
        <v>0</v>
      </c>
      <c r="AK537" s="108">
        <f t="shared" si="564"/>
        <v>0</v>
      </c>
      <c r="AL537" s="108">
        <f t="shared" si="565"/>
        <v>0</v>
      </c>
      <c r="AN537" s="100">
        <v>15</v>
      </c>
      <c r="AO537" s="100">
        <f t="shared" si="566"/>
        <v>0</v>
      </c>
      <c r="AP537" s="100">
        <f t="shared" si="567"/>
        <v>0</v>
      </c>
      <c r="AQ537" s="111" t="s">
        <v>7</v>
      </c>
      <c r="AV537" s="100">
        <f t="shared" si="568"/>
        <v>0</v>
      </c>
      <c r="AW537" s="100">
        <f t="shared" si="569"/>
        <v>0</v>
      </c>
      <c r="AX537" s="100">
        <f t="shared" si="570"/>
        <v>0</v>
      </c>
      <c r="AY537" s="110" t="s">
        <v>1722</v>
      </c>
      <c r="AZ537" s="110" t="s">
        <v>1730</v>
      </c>
      <c r="BA537" s="109" t="s">
        <v>1737</v>
      </c>
      <c r="BC537" s="100">
        <f t="shared" si="571"/>
        <v>0</v>
      </c>
      <c r="BD537" s="100">
        <f t="shared" si="572"/>
        <v>0</v>
      </c>
      <c r="BE537" s="100">
        <v>0</v>
      </c>
      <c r="BF537" s="100">
        <f>537</f>
        <v>537</v>
      </c>
      <c r="BH537" s="108">
        <f t="shared" si="573"/>
        <v>0</v>
      </c>
      <c r="BI537" s="108">
        <f t="shared" si="574"/>
        <v>0</v>
      </c>
      <c r="BJ537" s="108">
        <f t="shared" si="575"/>
        <v>0</v>
      </c>
    </row>
    <row r="538" spans="1:62" x14ac:dyDescent="0.2">
      <c r="A538" s="117" t="s">
        <v>486</v>
      </c>
      <c r="B538" s="117" t="s">
        <v>990</v>
      </c>
      <c r="C538" s="304" t="s">
        <v>1580</v>
      </c>
      <c r="D538" s="305"/>
      <c r="E538" s="305"/>
      <c r="F538" s="117" t="s">
        <v>1644</v>
      </c>
      <c r="G538" s="116">
        <v>1</v>
      </c>
      <c r="H538" s="159"/>
      <c r="I538" s="108">
        <f t="shared" si="552"/>
        <v>0</v>
      </c>
      <c r="J538" s="108">
        <f t="shared" si="553"/>
        <v>0</v>
      </c>
      <c r="K538" s="108">
        <f t="shared" si="554"/>
        <v>0</v>
      </c>
      <c r="L538" s="111"/>
      <c r="Z538" s="100">
        <f t="shared" si="555"/>
        <v>0</v>
      </c>
      <c r="AB538" s="100">
        <f t="shared" si="556"/>
        <v>0</v>
      </c>
      <c r="AC538" s="100">
        <f t="shared" si="557"/>
        <v>0</v>
      </c>
      <c r="AD538" s="100">
        <f t="shared" si="558"/>
        <v>0</v>
      </c>
      <c r="AE538" s="100">
        <f t="shared" si="559"/>
        <v>0</v>
      </c>
      <c r="AF538" s="100">
        <f t="shared" si="560"/>
        <v>0</v>
      </c>
      <c r="AG538" s="100">
        <f t="shared" si="561"/>
        <v>0</v>
      </c>
      <c r="AH538" s="100">
        <f t="shared" si="562"/>
        <v>0</v>
      </c>
      <c r="AI538" s="109"/>
      <c r="AJ538" s="108">
        <f t="shared" si="563"/>
        <v>0</v>
      </c>
      <c r="AK538" s="108">
        <f t="shared" si="564"/>
        <v>0</v>
      </c>
      <c r="AL538" s="108">
        <f t="shared" si="565"/>
        <v>0</v>
      </c>
      <c r="AN538" s="100">
        <v>15</v>
      </c>
      <c r="AO538" s="100">
        <f t="shared" si="566"/>
        <v>0</v>
      </c>
      <c r="AP538" s="100">
        <f t="shared" si="567"/>
        <v>0</v>
      </c>
      <c r="AQ538" s="111" t="s">
        <v>7</v>
      </c>
      <c r="AV538" s="100">
        <f t="shared" si="568"/>
        <v>0</v>
      </c>
      <c r="AW538" s="100">
        <f t="shared" si="569"/>
        <v>0</v>
      </c>
      <c r="AX538" s="100">
        <f t="shared" si="570"/>
        <v>0</v>
      </c>
      <c r="AY538" s="110" t="s">
        <v>1722</v>
      </c>
      <c r="AZ538" s="110" t="s">
        <v>1730</v>
      </c>
      <c r="BA538" s="109" t="s">
        <v>1737</v>
      </c>
      <c r="BC538" s="100">
        <f t="shared" si="571"/>
        <v>0</v>
      </c>
      <c r="BD538" s="100">
        <f t="shared" si="572"/>
        <v>0</v>
      </c>
      <c r="BE538" s="100">
        <v>0</v>
      </c>
      <c r="BF538" s="100">
        <f>538</f>
        <v>538</v>
      </c>
      <c r="BH538" s="108">
        <f t="shared" si="573"/>
        <v>0</v>
      </c>
      <c r="BI538" s="108">
        <f t="shared" si="574"/>
        <v>0</v>
      </c>
      <c r="BJ538" s="108">
        <f t="shared" si="575"/>
        <v>0</v>
      </c>
    </row>
    <row r="539" spans="1:62" x14ac:dyDescent="0.2">
      <c r="A539" s="117" t="s">
        <v>487</v>
      </c>
      <c r="B539" s="117" t="s">
        <v>991</v>
      </c>
      <c r="C539" s="304" t="s">
        <v>1581</v>
      </c>
      <c r="D539" s="305"/>
      <c r="E539" s="305"/>
      <c r="F539" s="117" t="s">
        <v>1644</v>
      </c>
      <c r="G539" s="116">
        <v>2</v>
      </c>
      <c r="H539" s="159"/>
      <c r="I539" s="108">
        <f t="shared" si="552"/>
        <v>0</v>
      </c>
      <c r="J539" s="108">
        <f t="shared" si="553"/>
        <v>0</v>
      </c>
      <c r="K539" s="108">
        <f t="shared" si="554"/>
        <v>0</v>
      </c>
      <c r="L539" s="111"/>
      <c r="Z539" s="100">
        <f t="shared" si="555"/>
        <v>0</v>
      </c>
      <c r="AB539" s="100">
        <f t="shared" si="556"/>
        <v>0</v>
      </c>
      <c r="AC539" s="100">
        <f t="shared" si="557"/>
        <v>0</v>
      </c>
      <c r="AD539" s="100">
        <f t="shared" si="558"/>
        <v>0</v>
      </c>
      <c r="AE539" s="100">
        <f t="shared" si="559"/>
        <v>0</v>
      </c>
      <c r="AF539" s="100">
        <f t="shared" si="560"/>
        <v>0</v>
      </c>
      <c r="AG539" s="100">
        <f t="shared" si="561"/>
        <v>0</v>
      </c>
      <c r="AH539" s="100">
        <f t="shared" si="562"/>
        <v>0</v>
      </c>
      <c r="AI539" s="109"/>
      <c r="AJ539" s="108">
        <f t="shared" si="563"/>
        <v>0</v>
      </c>
      <c r="AK539" s="108">
        <f t="shared" si="564"/>
        <v>0</v>
      </c>
      <c r="AL539" s="108">
        <f t="shared" si="565"/>
        <v>0</v>
      </c>
      <c r="AN539" s="100">
        <v>15</v>
      </c>
      <c r="AO539" s="100">
        <f t="shared" si="566"/>
        <v>0</v>
      </c>
      <c r="AP539" s="100">
        <f t="shared" si="567"/>
        <v>0</v>
      </c>
      <c r="AQ539" s="111" t="s">
        <v>7</v>
      </c>
      <c r="AV539" s="100">
        <f t="shared" si="568"/>
        <v>0</v>
      </c>
      <c r="AW539" s="100">
        <f t="shared" si="569"/>
        <v>0</v>
      </c>
      <c r="AX539" s="100">
        <f t="shared" si="570"/>
        <v>0</v>
      </c>
      <c r="AY539" s="110" t="s">
        <v>1722</v>
      </c>
      <c r="AZ539" s="110" t="s">
        <v>1730</v>
      </c>
      <c r="BA539" s="109" t="s">
        <v>1737</v>
      </c>
      <c r="BC539" s="100">
        <f t="shared" si="571"/>
        <v>0</v>
      </c>
      <c r="BD539" s="100">
        <f t="shared" si="572"/>
        <v>0</v>
      </c>
      <c r="BE539" s="100">
        <v>0</v>
      </c>
      <c r="BF539" s="100">
        <f>539</f>
        <v>539</v>
      </c>
      <c r="BH539" s="108">
        <f t="shared" si="573"/>
        <v>0</v>
      </c>
      <c r="BI539" s="108">
        <f t="shared" si="574"/>
        <v>0</v>
      </c>
      <c r="BJ539" s="108">
        <f t="shared" si="575"/>
        <v>0</v>
      </c>
    </row>
    <row r="540" spans="1:62" x14ac:dyDescent="0.2">
      <c r="A540" s="117" t="s">
        <v>488</v>
      </c>
      <c r="B540" s="117" t="s">
        <v>992</v>
      </c>
      <c r="C540" s="304" t="s">
        <v>1582</v>
      </c>
      <c r="D540" s="305"/>
      <c r="E540" s="305"/>
      <c r="F540" s="117" t="s">
        <v>1644</v>
      </c>
      <c r="G540" s="116">
        <v>1</v>
      </c>
      <c r="H540" s="159"/>
      <c r="I540" s="108">
        <f t="shared" si="552"/>
        <v>0</v>
      </c>
      <c r="J540" s="108">
        <f t="shared" si="553"/>
        <v>0</v>
      </c>
      <c r="K540" s="108">
        <f t="shared" si="554"/>
        <v>0</v>
      </c>
      <c r="L540" s="111"/>
      <c r="Z540" s="100">
        <f t="shared" si="555"/>
        <v>0</v>
      </c>
      <c r="AB540" s="100">
        <f t="shared" si="556"/>
        <v>0</v>
      </c>
      <c r="AC540" s="100">
        <f t="shared" si="557"/>
        <v>0</v>
      </c>
      <c r="AD540" s="100">
        <f t="shared" si="558"/>
        <v>0</v>
      </c>
      <c r="AE540" s="100">
        <f t="shared" si="559"/>
        <v>0</v>
      </c>
      <c r="AF540" s="100">
        <f t="shared" si="560"/>
        <v>0</v>
      </c>
      <c r="AG540" s="100">
        <f t="shared" si="561"/>
        <v>0</v>
      </c>
      <c r="AH540" s="100">
        <f t="shared" si="562"/>
        <v>0</v>
      </c>
      <c r="AI540" s="109"/>
      <c r="AJ540" s="108">
        <f t="shared" si="563"/>
        <v>0</v>
      </c>
      <c r="AK540" s="108">
        <f t="shared" si="564"/>
        <v>0</v>
      </c>
      <c r="AL540" s="108">
        <f t="shared" si="565"/>
        <v>0</v>
      </c>
      <c r="AN540" s="100">
        <v>15</v>
      </c>
      <c r="AO540" s="100">
        <f t="shared" si="566"/>
        <v>0</v>
      </c>
      <c r="AP540" s="100">
        <f t="shared" si="567"/>
        <v>0</v>
      </c>
      <c r="AQ540" s="111" t="s">
        <v>7</v>
      </c>
      <c r="AV540" s="100">
        <f t="shared" si="568"/>
        <v>0</v>
      </c>
      <c r="AW540" s="100">
        <f t="shared" si="569"/>
        <v>0</v>
      </c>
      <c r="AX540" s="100">
        <f t="shared" si="570"/>
        <v>0</v>
      </c>
      <c r="AY540" s="110" t="s">
        <v>1722</v>
      </c>
      <c r="AZ540" s="110" t="s">
        <v>1730</v>
      </c>
      <c r="BA540" s="109" t="s">
        <v>1737</v>
      </c>
      <c r="BC540" s="100">
        <f t="shared" si="571"/>
        <v>0</v>
      </c>
      <c r="BD540" s="100">
        <f t="shared" si="572"/>
        <v>0</v>
      </c>
      <c r="BE540" s="100">
        <v>0</v>
      </c>
      <c r="BF540" s="100">
        <f>540</f>
        <v>540</v>
      </c>
      <c r="BH540" s="108">
        <f t="shared" si="573"/>
        <v>0</v>
      </c>
      <c r="BI540" s="108">
        <f t="shared" si="574"/>
        <v>0</v>
      </c>
      <c r="BJ540" s="108">
        <f t="shared" si="575"/>
        <v>0</v>
      </c>
    </row>
    <row r="541" spans="1:62" x14ac:dyDescent="0.2">
      <c r="A541" s="117" t="s">
        <v>489</v>
      </c>
      <c r="B541" s="117" t="s">
        <v>975</v>
      </c>
      <c r="C541" s="304" t="s">
        <v>1583</v>
      </c>
      <c r="D541" s="305"/>
      <c r="E541" s="305"/>
      <c r="F541" s="117" t="s">
        <v>1644</v>
      </c>
      <c r="G541" s="116">
        <v>1</v>
      </c>
      <c r="H541" s="159"/>
      <c r="I541" s="108">
        <f t="shared" si="552"/>
        <v>0</v>
      </c>
      <c r="J541" s="108">
        <f t="shared" si="553"/>
        <v>0</v>
      </c>
      <c r="K541" s="108">
        <f t="shared" si="554"/>
        <v>0</v>
      </c>
      <c r="L541" s="111"/>
      <c r="Z541" s="100">
        <f t="shared" si="555"/>
        <v>0</v>
      </c>
      <c r="AB541" s="100">
        <f t="shared" si="556"/>
        <v>0</v>
      </c>
      <c r="AC541" s="100">
        <f t="shared" si="557"/>
        <v>0</v>
      </c>
      <c r="AD541" s="100">
        <f t="shared" si="558"/>
        <v>0</v>
      </c>
      <c r="AE541" s="100">
        <f t="shared" si="559"/>
        <v>0</v>
      </c>
      <c r="AF541" s="100">
        <f t="shared" si="560"/>
        <v>0</v>
      </c>
      <c r="AG541" s="100">
        <f t="shared" si="561"/>
        <v>0</v>
      </c>
      <c r="AH541" s="100">
        <f t="shared" si="562"/>
        <v>0</v>
      </c>
      <c r="AI541" s="109"/>
      <c r="AJ541" s="108">
        <f t="shared" si="563"/>
        <v>0</v>
      </c>
      <c r="AK541" s="108">
        <f t="shared" si="564"/>
        <v>0</v>
      </c>
      <c r="AL541" s="108">
        <f t="shared" si="565"/>
        <v>0</v>
      </c>
      <c r="AN541" s="100">
        <v>15</v>
      </c>
      <c r="AO541" s="100">
        <f t="shared" si="566"/>
        <v>0</v>
      </c>
      <c r="AP541" s="100">
        <f t="shared" si="567"/>
        <v>0</v>
      </c>
      <c r="AQ541" s="111" t="s">
        <v>7</v>
      </c>
      <c r="AV541" s="100">
        <f t="shared" si="568"/>
        <v>0</v>
      </c>
      <c r="AW541" s="100">
        <f t="shared" si="569"/>
        <v>0</v>
      </c>
      <c r="AX541" s="100">
        <f t="shared" si="570"/>
        <v>0</v>
      </c>
      <c r="AY541" s="110" t="s">
        <v>1722</v>
      </c>
      <c r="AZ541" s="110" t="s">
        <v>1730</v>
      </c>
      <c r="BA541" s="109" t="s">
        <v>1737</v>
      </c>
      <c r="BC541" s="100">
        <f t="shared" si="571"/>
        <v>0</v>
      </c>
      <c r="BD541" s="100">
        <f t="shared" si="572"/>
        <v>0</v>
      </c>
      <c r="BE541" s="100">
        <v>0</v>
      </c>
      <c r="BF541" s="100">
        <f>541</f>
        <v>541</v>
      </c>
      <c r="BH541" s="108">
        <f t="shared" si="573"/>
        <v>0</v>
      </c>
      <c r="BI541" s="108">
        <f t="shared" si="574"/>
        <v>0</v>
      </c>
      <c r="BJ541" s="108">
        <f t="shared" si="575"/>
        <v>0</v>
      </c>
    </row>
    <row r="542" spans="1:62" x14ac:dyDescent="0.2">
      <c r="A542" s="117" t="s">
        <v>490</v>
      </c>
      <c r="B542" s="117" t="s">
        <v>993</v>
      </c>
      <c r="C542" s="304" t="s">
        <v>1581</v>
      </c>
      <c r="D542" s="305"/>
      <c r="E542" s="305"/>
      <c r="F542" s="117" t="s">
        <v>1644</v>
      </c>
      <c r="G542" s="116">
        <v>1</v>
      </c>
      <c r="H542" s="159"/>
      <c r="I542" s="108">
        <f t="shared" si="552"/>
        <v>0</v>
      </c>
      <c r="J542" s="108">
        <f t="shared" si="553"/>
        <v>0</v>
      </c>
      <c r="K542" s="108">
        <f t="shared" si="554"/>
        <v>0</v>
      </c>
      <c r="L542" s="111"/>
      <c r="Z542" s="100">
        <f t="shared" si="555"/>
        <v>0</v>
      </c>
      <c r="AB542" s="100">
        <f t="shared" si="556"/>
        <v>0</v>
      </c>
      <c r="AC542" s="100">
        <f t="shared" si="557"/>
        <v>0</v>
      </c>
      <c r="AD542" s="100">
        <f t="shared" si="558"/>
        <v>0</v>
      </c>
      <c r="AE542" s="100">
        <f t="shared" si="559"/>
        <v>0</v>
      </c>
      <c r="AF542" s="100">
        <f t="shared" si="560"/>
        <v>0</v>
      </c>
      <c r="AG542" s="100">
        <f t="shared" si="561"/>
        <v>0</v>
      </c>
      <c r="AH542" s="100">
        <f t="shared" si="562"/>
        <v>0</v>
      </c>
      <c r="AI542" s="109"/>
      <c r="AJ542" s="108">
        <f t="shared" si="563"/>
        <v>0</v>
      </c>
      <c r="AK542" s="108">
        <f t="shared" si="564"/>
        <v>0</v>
      </c>
      <c r="AL542" s="108">
        <f t="shared" si="565"/>
        <v>0</v>
      </c>
      <c r="AN542" s="100">
        <v>15</v>
      </c>
      <c r="AO542" s="100">
        <f t="shared" si="566"/>
        <v>0</v>
      </c>
      <c r="AP542" s="100">
        <f t="shared" si="567"/>
        <v>0</v>
      </c>
      <c r="AQ542" s="111" t="s">
        <v>7</v>
      </c>
      <c r="AV542" s="100">
        <f t="shared" si="568"/>
        <v>0</v>
      </c>
      <c r="AW542" s="100">
        <f t="shared" si="569"/>
        <v>0</v>
      </c>
      <c r="AX542" s="100">
        <f t="shared" si="570"/>
        <v>0</v>
      </c>
      <c r="AY542" s="110" t="s">
        <v>1722</v>
      </c>
      <c r="AZ542" s="110" t="s">
        <v>1730</v>
      </c>
      <c r="BA542" s="109" t="s">
        <v>1737</v>
      </c>
      <c r="BC542" s="100">
        <f t="shared" si="571"/>
        <v>0</v>
      </c>
      <c r="BD542" s="100">
        <f t="shared" si="572"/>
        <v>0</v>
      </c>
      <c r="BE542" s="100">
        <v>0</v>
      </c>
      <c r="BF542" s="100">
        <f>542</f>
        <v>542</v>
      </c>
      <c r="BH542" s="108">
        <f t="shared" si="573"/>
        <v>0</v>
      </c>
      <c r="BI542" s="108">
        <f t="shared" si="574"/>
        <v>0</v>
      </c>
      <c r="BJ542" s="108">
        <f t="shared" si="575"/>
        <v>0</v>
      </c>
    </row>
    <row r="543" spans="1:62" x14ac:dyDescent="0.2">
      <c r="A543" s="117" t="s">
        <v>491</v>
      </c>
      <c r="B543" s="117" t="s">
        <v>994</v>
      </c>
      <c r="C543" s="304" t="s">
        <v>1584</v>
      </c>
      <c r="D543" s="305"/>
      <c r="E543" s="305"/>
      <c r="F543" s="117" t="s">
        <v>1644</v>
      </c>
      <c r="G543" s="116">
        <v>2</v>
      </c>
      <c r="H543" s="159"/>
      <c r="I543" s="108">
        <f t="shared" si="552"/>
        <v>0</v>
      </c>
      <c r="J543" s="108">
        <f t="shared" si="553"/>
        <v>0</v>
      </c>
      <c r="K543" s="108">
        <f t="shared" si="554"/>
        <v>0</v>
      </c>
      <c r="L543" s="111"/>
      <c r="Z543" s="100">
        <f t="shared" si="555"/>
        <v>0</v>
      </c>
      <c r="AB543" s="100">
        <f t="shared" si="556"/>
        <v>0</v>
      </c>
      <c r="AC543" s="100">
        <f t="shared" si="557"/>
        <v>0</v>
      </c>
      <c r="AD543" s="100">
        <f t="shared" si="558"/>
        <v>0</v>
      </c>
      <c r="AE543" s="100">
        <f t="shared" si="559"/>
        <v>0</v>
      </c>
      <c r="AF543" s="100">
        <f t="shared" si="560"/>
        <v>0</v>
      </c>
      <c r="AG543" s="100">
        <f t="shared" si="561"/>
        <v>0</v>
      </c>
      <c r="AH543" s="100">
        <f t="shared" si="562"/>
        <v>0</v>
      </c>
      <c r="AI543" s="109"/>
      <c r="AJ543" s="108">
        <f t="shared" si="563"/>
        <v>0</v>
      </c>
      <c r="AK543" s="108">
        <f t="shared" si="564"/>
        <v>0</v>
      </c>
      <c r="AL543" s="108">
        <f t="shared" si="565"/>
        <v>0</v>
      </c>
      <c r="AN543" s="100">
        <v>15</v>
      </c>
      <c r="AO543" s="100">
        <f t="shared" si="566"/>
        <v>0</v>
      </c>
      <c r="AP543" s="100">
        <f t="shared" si="567"/>
        <v>0</v>
      </c>
      <c r="AQ543" s="111" t="s">
        <v>7</v>
      </c>
      <c r="AV543" s="100">
        <f t="shared" si="568"/>
        <v>0</v>
      </c>
      <c r="AW543" s="100">
        <f t="shared" si="569"/>
        <v>0</v>
      </c>
      <c r="AX543" s="100">
        <f t="shared" si="570"/>
        <v>0</v>
      </c>
      <c r="AY543" s="110" t="s">
        <v>1722</v>
      </c>
      <c r="AZ543" s="110" t="s">
        <v>1730</v>
      </c>
      <c r="BA543" s="109" t="s">
        <v>1737</v>
      </c>
      <c r="BC543" s="100">
        <f t="shared" si="571"/>
        <v>0</v>
      </c>
      <c r="BD543" s="100">
        <f t="shared" si="572"/>
        <v>0</v>
      </c>
      <c r="BE543" s="100">
        <v>0</v>
      </c>
      <c r="BF543" s="100">
        <f>543</f>
        <v>543</v>
      </c>
      <c r="BH543" s="108">
        <f t="shared" si="573"/>
        <v>0</v>
      </c>
      <c r="BI543" s="108">
        <f t="shared" si="574"/>
        <v>0</v>
      </c>
      <c r="BJ543" s="108">
        <f t="shared" si="575"/>
        <v>0</v>
      </c>
    </row>
    <row r="544" spans="1:62" x14ac:dyDescent="0.2">
      <c r="A544" s="117" t="s">
        <v>492</v>
      </c>
      <c r="B544" s="117" t="s">
        <v>995</v>
      </c>
      <c r="C544" s="304" t="s">
        <v>1585</v>
      </c>
      <c r="D544" s="305"/>
      <c r="E544" s="305"/>
      <c r="F544" s="117" t="s">
        <v>1644</v>
      </c>
      <c r="G544" s="116">
        <v>1</v>
      </c>
      <c r="H544" s="159"/>
      <c r="I544" s="108">
        <f t="shared" si="552"/>
        <v>0</v>
      </c>
      <c r="J544" s="108">
        <f t="shared" si="553"/>
        <v>0</v>
      </c>
      <c r="K544" s="108">
        <f t="shared" si="554"/>
        <v>0</v>
      </c>
      <c r="L544" s="111"/>
      <c r="Z544" s="100">
        <f t="shared" si="555"/>
        <v>0</v>
      </c>
      <c r="AB544" s="100">
        <f t="shared" si="556"/>
        <v>0</v>
      </c>
      <c r="AC544" s="100">
        <f t="shared" si="557"/>
        <v>0</v>
      </c>
      <c r="AD544" s="100">
        <f t="shared" si="558"/>
        <v>0</v>
      </c>
      <c r="AE544" s="100">
        <f t="shared" si="559"/>
        <v>0</v>
      </c>
      <c r="AF544" s="100">
        <f t="shared" si="560"/>
        <v>0</v>
      </c>
      <c r="AG544" s="100">
        <f t="shared" si="561"/>
        <v>0</v>
      </c>
      <c r="AH544" s="100">
        <f t="shared" si="562"/>
        <v>0</v>
      </c>
      <c r="AI544" s="109"/>
      <c r="AJ544" s="108">
        <f t="shared" si="563"/>
        <v>0</v>
      </c>
      <c r="AK544" s="108">
        <f t="shared" si="564"/>
        <v>0</v>
      </c>
      <c r="AL544" s="108">
        <f t="shared" si="565"/>
        <v>0</v>
      </c>
      <c r="AN544" s="100">
        <v>15</v>
      </c>
      <c r="AO544" s="100">
        <f t="shared" si="566"/>
        <v>0</v>
      </c>
      <c r="AP544" s="100">
        <f t="shared" si="567"/>
        <v>0</v>
      </c>
      <c r="AQ544" s="111" t="s">
        <v>7</v>
      </c>
      <c r="AV544" s="100">
        <f t="shared" si="568"/>
        <v>0</v>
      </c>
      <c r="AW544" s="100">
        <f t="shared" si="569"/>
        <v>0</v>
      </c>
      <c r="AX544" s="100">
        <f t="shared" si="570"/>
        <v>0</v>
      </c>
      <c r="AY544" s="110" t="s">
        <v>1722</v>
      </c>
      <c r="AZ544" s="110" t="s">
        <v>1730</v>
      </c>
      <c r="BA544" s="109" t="s">
        <v>1737</v>
      </c>
      <c r="BC544" s="100">
        <f t="shared" si="571"/>
        <v>0</v>
      </c>
      <c r="BD544" s="100">
        <f t="shared" si="572"/>
        <v>0</v>
      </c>
      <c r="BE544" s="100">
        <v>0</v>
      </c>
      <c r="BF544" s="100">
        <f>544</f>
        <v>544</v>
      </c>
      <c r="BH544" s="108">
        <f t="shared" si="573"/>
        <v>0</v>
      </c>
      <c r="BI544" s="108">
        <f t="shared" si="574"/>
        <v>0</v>
      </c>
      <c r="BJ544" s="108">
        <f t="shared" si="575"/>
        <v>0</v>
      </c>
    </row>
    <row r="545" spans="1:62" x14ac:dyDescent="0.2">
      <c r="A545" s="117" t="s">
        <v>493</v>
      </c>
      <c r="B545" s="117" t="s">
        <v>996</v>
      </c>
      <c r="C545" s="304" t="s">
        <v>1586</v>
      </c>
      <c r="D545" s="305"/>
      <c r="E545" s="305"/>
      <c r="F545" s="117" t="s">
        <v>1644</v>
      </c>
      <c r="G545" s="116">
        <v>1</v>
      </c>
      <c r="H545" s="159"/>
      <c r="I545" s="108">
        <f t="shared" si="552"/>
        <v>0</v>
      </c>
      <c r="J545" s="108">
        <f t="shared" si="553"/>
        <v>0</v>
      </c>
      <c r="K545" s="108">
        <f t="shared" si="554"/>
        <v>0</v>
      </c>
      <c r="L545" s="111"/>
      <c r="Z545" s="100">
        <f t="shared" si="555"/>
        <v>0</v>
      </c>
      <c r="AB545" s="100">
        <f t="shared" si="556"/>
        <v>0</v>
      </c>
      <c r="AC545" s="100">
        <f t="shared" si="557"/>
        <v>0</v>
      </c>
      <c r="AD545" s="100">
        <f t="shared" si="558"/>
        <v>0</v>
      </c>
      <c r="AE545" s="100">
        <f t="shared" si="559"/>
        <v>0</v>
      </c>
      <c r="AF545" s="100">
        <f t="shared" si="560"/>
        <v>0</v>
      </c>
      <c r="AG545" s="100">
        <f t="shared" si="561"/>
        <v>0</v>
      </c>
      <c r="AH545" s="100">
        <f t="shared" si="562"/>
        <v>0</v>
      </c>
      <c r="AI545" s="109"/>
      <c r="AJ545" s="108">
        <f t="shared" si="563"/>
        <v>0</v>
      </c>
      <c r="AK545" s="108">
        <f t="shared" si="564"/>
        <v>0</v>
      </c>
      <c r="AL545" s="108">
        <f t="shared" si="565"/>
        <v>0</v>
      </c>
      <c r="AN545" s="100">
        <v>15</v>
      </c>
      <c r="AO545" s="100">
        <f t="shared" si="566"/>
        <v>0</v>
      </c>
      <c r="AP545" s="100">
        <f t="shared" si="567"/>
        <v>0</v>
      </c>
      <c r="AQ545" s="111" t="s">
        <v>7</v>
      </c>
      <c r="AV545" s="100">
        <f t="shared" si="568"/>
        <v>0</v>
      </c>
      <c r="AW545" s="100">
        <f t="shared" si="569"/>
        <v>0</v>
      </c>
      <c r="AX545" s="100">
        <f t="shared" si="570"/>
        <v>0</v>
      </c>
      <c r="AY545" s="110" t="s">
        <v>1722</v>
      </c>
      <c r="AZ545" s="110" t="s">
        <v>1730</v>
      </c>
      <c r="BA545" s="109" t="s">
        <v>1737</v>
      </c>
      <c r="BC545" s="100">
        <f t="shared" si="571"/>
        <v>0</v>
      </c>
      <c r="BD545" s="100">
        <f t="shared" si="572"/>
        <v>0</v>
      </c>
      <c r="BE545" s="100">
        <v>0</v>
      </c>
      <c r="BF545" s="100">
        <f>545</f>
        <v>545</v>
      </c>
      <c r="BH545" s="108">
        <f t="shared" si="573"/>
        <v>0</v>
      </c>
      <c r="BI545" s="108">
        <f t="shared" si="574"/>
        <v>0</v>
      </c>
      <c r="BJ545" s="108">
        <f t="shared" si="575"/>
        <v>0</v>
      </c>
    </row>
    <row r="546" spans="1:62" x14ac:dyDescent="0.2">
      <c r="A546" s="117" t="s">
        <v>494</v>
      </c>
      <c r="B546" s="117" t="s">
        <v>996</v>
      </c>
      <c r="C546" s="304" t="s">
        <v>1587</v>
      </c>
      <c r="D546" s="305"/>
      <c r="E546" s="305"/>
      <c r="F546" s="117" t="s">
        <v>1644</v>
      </c>
      <c r="G546" s="116">
        <v>1</v>
      </c>
      <c r="H546" s="159"/>
      <c r="I546" s="108">
        <f t="shared" si="552"/>
        <v>0</v>
      </c>
      <c r="J546" s="108">
        <f t="shared" si="553"/>
        <v>0</v>
      </c>
      <c r="K546" s="108">
        <f t="shared" si="554"/>
        <v>0</v>
      </c>
      <c r="L546" s="111"/>
      <c r="Z546" s="100">
        <f t="shared" si="555"/>
        <v>0</v>
      </c>
      <c r="AB546" s="100">
        <f t="shared" si="556"/>
        <v>0</v>
      </c>
      <c r="AC546" s="100">
        <f t="shared" si="557"/>
        <v>0</v>
      </c>
      <c r="AD546" s="100">
        <f t="shared" si="558"/>
        <v>0</v>
      </c>
      <c r="AE546" s="100">
        <f t="shared" si="559"/>
        <v>0</v>
      </c>
      <c r="AF546" s="100">
        <f t="shared" si="560"/>
        <v>0</v>
      </c>
      <c r="AG546" s="100">
        <f t="shared" si="561"/>
        <v>0</v>
      </c>
      <c r="AH546" s="100">
        <f t="shared" si="562"/>
        <v>0</v>
      </c>
      <c r="AI546" s="109"/>
      <c r="AJ546" s="108">
        <f t="shared" si="563"/>
        <v>0</v>
      </c>
      <c r="AK546" s="108">
        <f t="shared" si="564"/>
        <v>0</v>
      </c>
      <c r="AL546" s="108">
        <f t="shared" si="565"/>
        <v>0</v>
      </c>
      <c r="AN546" s="100">
        <v>15</v>
      </c>
      <c r="AO546" s="100">
        <f t="shared" si="566"/>
        <v>0</v>
      </c>
      <c r="AP546" s="100">
        <f t="shared" si="567"/>
        <v>0</v>
      </c>
      <c r="AQ546" s="111" t="s">
        <v>7</v>
      </c>
      <c r="AV546" s="100">
        <f t="shared" si="568"/>
        <v>0</v>
      </c>
      <c r="AW546" s="100">
        <f t="shared" si="569"/>
        <v>0</v>
      </c>
      <c r="AX546" s="100">
        <f t="shared" si="570"/>
        <v>0</v>
      </c>
      <c r="AY546" s="110" t="s">
        <v>1722</v>
      </c>
      <c r="AZ546" s="110" t="s">
        <v>1730</v>
      </c>
      <c r="BA546" s="109" t="s">
        <v>1737</v>
      </c>
      <c r="BC546" s="100">
        <f t="shared" si="571"/>
        <v>0</v>
      </c>
      <c r="BD546" s="100">
        <f t="shared" si="572"/>
        <v>0</v>
      </c>
      <c r="BE546" s="100">
        <v>0</v>
      </c>
      <c r="BF546" s="100">
        <f>546</f>
        <v>546</v>
      </c>
      <c r="BH546" s="108">
        <f t="shared" si="573"/>
        <v>0</v>
      </c>
      <c r="BI546" s="108">
        <f t="shared" si="574"/>
        <v>0</v>
      </c>
      <c r="BJ546" s="108">
        <f t="shared" si="575"/>
        <v>0</v>
      </c>
    </row>
    <row r="547" spans="1:62" x14ac:dyDescent="0.2">
      <c r="A547" s="117" t="s">
        <v>495</v>
      </c>
      <c r="B547" s="117" t="s">
        <v>997</v>
      </c>
      <c r="C547" s="304" t="s">
        <v>1588</v>
      </c>
      <c r="D547" s="305"/>
      <c r="E547" s="305"/>
      <c r="F547" s="117" t="s">
        <v>1644</v>
      </c>
      <c r="G547" s="116">
        <v>1</v>
      </c>
      <c r="H547" s="159"/>
      <c r="I547" s="108">
        <f t="shared" si="552"/>
        <v>0</v>
      </c>
      <c r="J547" s="108">
        <f t="shared" si="553"/>
        <v>0</v>
      </c>
      <c r="K547" s="108">
        <f t="shared" si="554"/>
        <v>0</v>
      </c>
      <c r="L547" s="111"/>
      <c r="Z547" s="100">
        <f t="shared" si="555"/>
        <v>0</v>
      </c>
      <c r="AB547" s="100">
        <f t="shared" si="556"/>
        <v>0</v>
      </c>
      <c r="AC547" s="100">
        <f t="shared" si="557"/>
        <v>0</v>
      </c>
      <c r="AD547" s="100">
        <f t="shared" si="558"/>
        <v>0</v>
      </c>
      <c r="AE547" s="100">
        <f t="shared" si="559"/>
        <v>0</v>
      </c>
      <c r="AF547" s="100">
        <f t="shared" si="560"/>
        <v>0</v>
      </c>
      <c r="AG547" s="100">
        <f t="shared" si="561"/>
        <v>0</v>
      </c>
      <c r="AH547" s="100">
        <f t="shared" si="562"/>
        <v>0</v>
      </c>
      <c r="AI547" s="109"/>
      <c r="AJ547" s="108">
        <f t="shared" si="563"/>
        <v>0</v>
      </c>
      <c r="AK547" s="108">
        <f t="shared" si="564"/>
        <v>0</v>
      </c>
      <c r="AL547" s="108">
        <f t="shared" si="565"/>
        <v>0</v>
      </c>
      <c r="AN547" s="100">
        <v>15</v>
      </c>
      <c r="AO547" s="100">
        <f t="shared" si="566"/>
        <v>0</v>
      </c>
      <c r="AP547" s="100">
        <f t="shared" si="567"/>
        <v>0</v>
      </c>
      <c r="AQ547" s="111" t="s">
        <v>7</v>
      </c>
      <c r="AV547" s="100">
        <f t="shared" si="568"/>
        <v>0</v>
      </c>
      <c r="AW547" s="100">
        <f t="shared" si="569"/>
        <v>0</v>
      </c>
      <c r="AX547" s="100">
        <f t="shared" si="570"/>
        <v>0</v>
      </c>
      <c r="AY547" s="110" t="s">
        <v>1722</v>
      </c>
      <c r="AZ547" s="110" t="s">
        <v>1730</v>
      </c>
      <c r="BA547" s="109" t="s">
        <v>1737</v>
      </c>
      <c r="BC547" s="100">
        <f t="shared" si="571"/>
        <v>0</v>
      </c>
      <c r="BD547" s="100">
        <f t="shared" si="572"/>
        <v>0</v>
      </c>
      <c r="BE547" s="100">
        <v>0</v>
      </c>
      <c r="BF547" s="100">
        <f>547</f>
        <v>547</v>
      </c>
      <c r="BH547" s="108">
        <f t="shared" si="573"/>
        <v>0</v>
      </c>
      <c r="BI547" s="108">
        <f t="shared" si="574"/>
        <v>0</v>
      </c>
      <c r="BJ547" s="108">
        <f t="shared" si="575"/>
        <v>0</v>
      </c>
    </row>
    <row r="548" spans="1:62" x14ac:dyDescent="0.2">
      <c r="A548" s="117" t="s">
        <v>496</v>
      </c>
      <c r="B548" s="117" t="s">
        <v>997</v>
      </c>
      <c r="C548" s="304" t="s">
        <v>1589</v>
      </c>
      <c r="D548" s="305"/>
      <c r="E548" s="305"/>
      <c r="F548" s="117" t="s">
        <v>1644</v>
      </c>
      <c r="G548" s="116">
        <v>1</v>
      </c>
      <c r="H548" s="159"/>
      <c r="I548" s="108">
        <f t="shared" si="552"/>
        <v>0</v>
      </c>
      <c r="J548" s="108">
        <f t="shared" si="553"/>
        <v>0</v>
      </c>
      <c r="K548" s="108">
        <f t="shared" si="554"/>
        <v>0</v>
      </c>
      <c r="L548" s="111"/>
      <c r="Z548" s="100">
        <f t="shared" si="555"/>
        <v>0</v>
      </c>
      <c r="AB548" s="100">
        <f t="shared" si="556"/>
        <v>0</v>
      </c>
      <c r="AC548" s="100">
        <f t="shared" si="557"/>
        <v>0</v>
      </c>
      <c r="AD548" s="100">
        <f t="shared" si="558"/>
        <v>0</v>
      </c>
      <c r="AE548" s="100">
        <f t="shared" si="559"/>
        <v>0</v>
      </c>
      <c r="AF548" s="100">
        <f t="shared" si="560"/>
        <v>0</v>
      </c>
      <c r="AG548" s="100">
        <f t="shared" si="561"/>
        <v>0</v>
      </c>
      <c r="AH548" s="100">
        <f t="shared" si="562"/>
        <v>0</v>
      </c>
      <c r="AI548" s="109"/>
      <c r="AJ548" s="108">
        <f t="shared" si="563"/>
        <v>0</v>
      </c>
      <c r="AK548" s="108">
        <f t="shared" si="564"/>
        <v>0</v>
      </c>
      <c r="AL548" s="108">
        <f t="shared" si="565"/>
        <v>0</v>
      </c>
      <c r="AN548" s="100">
        <v>15</v>
      </c>
      <c r="AO548" s="100">
        <f t="shared" si="566"/>
        <v>0</v>
      </c>
      <c r="AP548" s="100">
        <f t="shared" si="567"/>
        <v>0</v>
      </c>
      <c r="AQ548" s="111" t="s">
        <v>7</v>
      </c>
      <c r="AV548" s="100">
        <f t="shared" si="568"/>
        <v>0</v>
      </c>
      <c r="AW548" s="100">
        <f t="shared" si="569"/>
        <v>0</v>
      </c>
      <c r="AX548" s="100">
        <f t="shared" si="570"/>
        <v>0</v>
      </c>
      <c r="AY548" s="110" t="s">
        <v>1722</v>
      </c>
      <c r="AZ548" s="110" t="s">
        <v>1730</v>
      </c>
      <c r="BA548" s="109" t="s">
        <v>1737</v>
      </c>
      <c r="BC548" s="100">
        <f t="shared" si="571"/>
        <v>0</v>
      </c>
      <c r="BD548" s="100">
        <f t="shared" si="572"/>
        <v>0</v>
      </c>
      <c r="BE548" s="100">
        <v>0</v>
      </c>
      <c r="BF548" s="100">
        <f>548</f>
        <v>548</v>
      </c>
      <c r="BH548" s="108">
        <f t="shared" si="573"/>
        <v>0</v>
      </c>
      <c r="BI548" s="108">
        <f t="shared" si="574"/>
        <v>0</v>
      </c>
      <c r="BJ548" s="108">
        <f t="shared" si="575"/>
        <v>0</v>
      </c>
    </row>
    <row r="549" spans="1:62" x14ac:dyDescent="0.2">
      <c r="A549" s="117" t="s">
        <v>497</v>
      </c>
      <c r="B549" s="117" t="s">
        <v>977</v>
      </c>
      <c r="C549" s="304" t="s">
        <v>1590</v>
      </c>
      <c r="D549" s="305"/>
      <c r="E549" s="305"/>
      <c r="F549" s="117" t="s">
        <v>1644</v>
      </c>
      <c r="G549" s="116">
        <v>1</v>
      </c>
      <c r="H549" s="159"/>
      <c r="I549" s="108">
        <f t="shared" si="552"/>
        <v>0</v>
      </c>
      <c r="J549" s="108">
        <f t="shared" si="553"/>
        <v>0</v>
      </c>
      <c r="K549" s="108">
        <f t="shared" si="554"/>
        <v>0</v>
      </c>
      <c r="L549" s="111"/>
      <c r="Z549" s="100">
        <f t="shared" si="555"/>
        <v>0</v>
      </c>
      <c r="AB549" s="100">
        <f t="shared" si="556"/>
        <v>0</v>
      </c>
      <c r="AC549" s="100">
        <f t="shared" si="557"/>
        <v>0</v>
      </c>
      <c r="AD549" s="100">
        <f t="shared" si="558"/>
        <v>0</v>
      </c>
      <c r="AE549" s="100">
        <f t="shared" si="559"/>
        <v>0</v>
      </c>
      <c r="AF549" s="100">
        <f t="shared" si="560"/>
        <v>0</v>
      </c>
      <c r="AG549" s="100">
        <f t="shared" si="561"/>
        <v>0</v>
      </c>
      <c r="AH549" s="100">
        <f t="shared" si="562"/>
        <v>0</v>
      </c>
      <c r="AI549" s="109"/>
      <c r="AJ549" s="108">
        <f t="shared" si="563"/>
        <v>0</v>
      </c>
      <c r="AK549" s="108">
        <f t="shared" si="564"/>
        <v>0</v>
      </c>
      <c r="AL549" s="108">
        <f t="shared" si="565"/>
        <v>0</v>
      </c>
      <c r="AN549" s="100">
        <v>15</v>
      </c>
      <c r="AO549" s="100">
        <f t="shared" si="566"/>
        <v>0</v>
      </c>
      <c r="AP549" s="100">
        <f t="shared" si="567"/>
        <v>0</v>
      </c>
      <c r="AQ549" s="111" t="s">
        <v>7</v>
      </c>
      <c r="AV549" s="100">
        <f t="shared" si="568"/>
        <v>0</v>
      </c>
      <c r="AW549" s="100">
        <f t="shared" si="569"/>
        <v>0</v>
      </c>
      <c r="AX549" s="100">
        <f t="shared" si="570"/>
        <v>0</v>
      </c>
      <c r="AY549" s="110" t="s">
        <v>1722</v>
      </c>
      <c r="AZ549" s="110" t="s">
        <v>1730</v>
      </c>
      <c r="BA549" s="109" t="s">
        <v>1737</v>
      </c>
      <c r="BC549" s="100">
        <f t="shared" si="571"/>
        <v>0</v>
      </c>
      <c r="BD549" s="100">
        <f t="shared" si="572"/>
        <v>0</v>
      </c>
      <c r="BE549" s="100">
        <v>0</v>
      </c>
      <c r="BF549" s="100">
        <f>549</f>
        <v>549</v>
      </c>
      <c r="BH549" s="108">
        <f t="shared" si="573"/>
        <v>0</v>
      </c>
      <c r="BI549" s="108">
        <f t="shared" si="574"/>
        <v>0</v>
      </c>
      <c r="BJ549" s="108">
        <f t="shared" si="575"/>
        <v>0</v>
      </c>
    </row>
    <row r="550" spans="1:62" x14ac:dyDescent="0.2">
      <c r="A550" s="117" t="s">
        <v>498</v>
      </c>
      <c r="B550" s="117" t="s">
        <v>998</v>
      </c>
      <c r="C550" s="304" t="s">
        <v>1591</v>
      </c>
      <c r="D550" s="305"/>
      <c r="E550" s="305"/>
      <c r="F550" s="117" t="s">
        <v>1644</v>
      </c>
      <c r="G550" s="116">
        <v>1</v>
      </c>
      <c r="H550" s="159"/>
      <c r="I550" s="108">
        <f t="shared" si="552"/>
        <v>0</v>
      </c>
      <c r="J550" s="108">
        <f t="shared" si="553"/>
        <v>0</v>
      </c>
      <c r="K550" s="108">
        <f t="shared" si="554"/>
        <v>0</v>
      </c>
      <c r="L550" s="111"/>
      <c r="Z550" s="100">
        <f t="shared" si="555"/>
        <v>0</v>
      </c>
      <c r="AB550" s="100">
        <f t="shared" si="556"/>
        <v>0</v>
      </c>
      <c r="AC550" s="100">
        <f t="shared" si="557"/>
        <v>0</v>
      </c>
      <c r="AD550" s="100">
        <f t="shared" si="558"/>
        <v>0</v>
      </c>
      <c r="AE550" s="100">
        <f t="shared" si="559"/>
        <v>0</v>
      </c>
      <c r="AF550" s="100">
        <f t="shared" si="560"/>
        <v>0</v>
      </c>
      <c r="AG550" s="100">
        <f t="shared" si="561"/>
        <v>0</v>
      </c>
      <c r="AH550" s="100">
        <f t="shared" si="562"/>
        <v>0</v>
      </c>
      <c r="AI550" s="109"/>
      <c r="AJ550" s="108">
        <f t="shared" si="563"/>
        <v>0</v>
      </c>
      <c r="AK550" s="108">
        <f t="shared" si="564"/>
        <v>0</v>
      </c>
      <c r="AL550" s="108">
        <f t="shared" si="565"/>
        <v>0</v>
      </c>
      <c r="AN550" s="100">
        <v>15</v>
      </c>
      <c r="AO550" s="100">
        <f t="shared" si="566"/>
        <v>0</v>
      </c>
      <c r="AP550" s="100">
        <f t="shared" si="567"/>
        <v>0</v>
      </c>
      <c r="AQ550" s="111" t="s">
        <v>7</v>
      </c>
      <c r="AV550" s="100">
        <f t="shared" si="568"/>
        <v>0</v>
      </c>
      <c r="AW550" s="100">
        <f t="shared" si="569"/>
        <v>0</v>
      </c>
      <c r="AX550" s="100">
        <f t="shared" si="570"/>
        <v>0</v>
      </c>
      <c r="AY550" s="110" t="s">
        <v>1722</v>
      </c>
      <c r="AZ550" s="110" t="s">
        <v>1730</v>
      </c>
      <c r="BA550" s="109" t="s">
        <v>1737</v>
      </c>
      <c r="BC550" s="100">
        <f t="shared" si="571"/>
        <v>0</v>
      </c>
      <c r="BD550" s="100">
        <f t="shared" si="572"/>
        <v>0</v>
      </c>
      <c r="BE550" s="100">
        <v>0</v>
      </c>
      <c r="BF550" s="100">
        <f>550</f>
        <v>550</v>
      </c>
      <c r="BH550" s="108">
        <f t="shared" si="573"/>
        <v>0</v>
      </c>
      <c r="BI550" s="108">
        <f t="shared" si="574"/>
        <v>0</v>
      </c>
      <c r="BJ550" s="108">
        <f t="shared" si="575"/>
        <v>0</v>
      </c>
    </row>
    <row r="551" spans="1:62" x14ac:dyDescent="0.2">
      <c r="A551" s="117" t="s">
        <v>499</v>
      </c>
      <c r="B551" s="117" t="s">
        <v>999</v>
      </c>
      <c r="C551" s="304" t="s">
        <v>1586</v>
      </c>
      <c r="D551" s="305"/>
      <c r="E551" s="305"/>
      <c r="F551" s="117" t="s">
        <v>1644</v>
      </c>
      <c r="G551" s="116">
        <v>2</v>
      </c>
      <c r="H551" s="159"/>
      <c r="I551" s="108">
        <f t="shared" ref="I551:I582" si="576">G551*AO551</f>
        <v>0</v>
      </c>
      <c r="J551" s="108">
        <f t="shared" ref="J551:J582" si="577">G551*AP551</f>
        <v>0</v>
      </c>
      <c r="K551" s="108">
        <f t="shared" ref="K551:K582" si="578">G551*H551</f>
        <v>0</v>
      </c>
      <c r="L551" s="111"/>
      <c r="Z551" s="100">
        <f t="shared" ref="Z551:Z582" si="579">IF(AQ551="5",BJ551,0)</f>
        <v>0</v>
      </c>
      <c r="AB551" s="100">
        <f t="shared" ref="AB551:AB582" si="580">IF(AQ551="1",BH551,0)</f>
        <v>0</v>
      </c>
      <c r="AC551" s="100">
        <f t="shared" ref="AC551:AC582" si="581">IF(AQ551="1",BI551,0)</f>
        <v>0</v>
      </c>
      <c r="AD551" s="100">
        <f t="shared" ref="AD551:AD582" si="582">IF(AQ551="7",BH551,0)</f>
        <v>0</v>
      </c>
      <c r="AE551" s="100">
        <f t="shared" ref="AE551:AE582" si="583">IF(AQ551="7",BI551,0)</f>
        <v>0</v>
      </c>
      <c r="AF551" s="100">
        <f t="shared" ref="AF551:AF582" si="584">IF(AQ551="2",BH551,0)</f>
        <v>0</v>
      </c>
      <c r="AG551" s="100">
        <f t="shared" ref="AG551:AG582" si="585">IF(AQ551="2",BI551,0)</f>
        <v>0</v>
      </c>
      <c r="AH551" s="100">
        <f t="shared" ref="AH551:AH582" si="586">IF(AQ551="0",BJ551,0)</f>
        <v>0</v>
      </c>
      <c r="AI551" s="109"/>
      <c r="AJ551" s="108">
        <f t="shared" ref="AJ551:AJ582" si="587">IF(AN551=0,K551,0)</f>
        <v>0</v>
      </c>
      <c r="AK551" s="108">
        <f t="shared" ref="AK551:AK582" si="588">IF(AN551=15,K551,0)</f>
        <v>0</v>
      </c>
      <c r="AL551" s="108">
        <f t="shared" ref="AL551:AL582" si="589">IF(AN551=21,K551,0)</f>
        <v>0</v>
      </c>
      <c r="AN551" s="100">
        <v>15</v>
      </c>
      <c r="AO551" s="100">
        <f t="shared" ref="AO551:AO582" si="590">H551*0</f>
        <v>0</v>
      </c>
      <c r="AP551" s="100">
        <f t="shared" ref="AP551:AP582" si="591">H551*(1-0)</f>
        <v>0</v>
      </c>
      <c r="AQ551" s="111" t="s">
        <v>7</v>
      </c>
      <c r="AV551" s="100">
        <f t="shared" ref="AV551:AV582" si="592">AW551+AX551</f>
        <v>0</v>
      </c>
      <c r="AW551" s="100">
        <f t="shared" ref="AW551:AW582" si="593">G551*AO551</f>
        <v>0</v>
      </c>
      <c r="AX551" s="100">
        <f t="shared" ref="AX551:AX582" si="594">G551*AP551</f>
        <v>0</v>
      </c>
      <c r="AY551" s="110" t="s">
        <v>1722</v>
      </c>
      <c r="AZ551" s="110" t="s">
        <v>1730</v>
      </c>
      <c r="BA551" s="109" t="s">
        <v>1737</v>
      </c>
      <c r="BC551" s="100">
        <f t="shared" ref="BC551:BC582" si="595">AW551+AX551</f>
        <v>0</v>
      </c>
      <c r="BD551" s="100">
        <f t="shared" ref="BD551:BD582" si="596">H551/(100-BE551)*100</f>
        <v>0</v>
      </c>
      <c r="BE551" s="100">
        <v>0</v>
      </c>
      <c r="BF551" s="100">
        <f>551</f>
        <v>551</v>
      </c>
      <c r="BH551" s="108">
        <f t="shared" ref="BH551:BH582" si="597">G551*AO551</f>
        <v>0</v>
      </c>
      <c r="BI551" s="108">
        <f t="shared" ref="BI551:BI582" si="598">G551*AP551</f>
        <v>0</v>
      </c>
      <c r="BJ551" s="108">
        <f t="shared" ref="BJ551:BJ582" si="599">G551*H551</f>
        <v>0</v>
      </c>
    </row>
    <row r="552" spans="1:62" x14ac:dyDescent="0.2">
      <c r="A552" s="117" t="s">
        <v>500</v>
      </c>
      <c r="B552" s="117" t="s">
        <v>999</v>
      </c>
      <c r="C552" s="304" t="s">
        <v>1587</v>
      </c>
      <c r="D552" s="305"/>
      <c r="E552" s="305"/>
      <c r="F552" s="117" t="s">
        <v>1644</v>
      </c>
      <c r="G552" s="116">
        <v>2</v>
      </c>
      <c r="H552" s="159"/>
      <c r="I552" s="108">
        <f t="shared" si="576"/>
        <v>0</v>
      </c>
      <c r="J552" s="108">
        <f t="shared" si="577"/>
        <v>0</v>
      </c>
      <c r="K552" s="108">
        <f t="shared" si="578"/>
        <v>0</v>
      </c>
      <c r="L552" s="111"/>
      <c r="Z552" s="100">
        <f t="shared" si="579"/>
        <v>0</v>
      </c>
      <c r="AB552" s="100">
        <f t="shared" si="580"/>
        <v>0</v>
      </c>
      <c r="AC552" s="100">
        <f t="shared" si="581"/>
        <v>0</v>
      </c>
      <c r="AD552" s="100">
        <f t="shared" si="582"/>
        <v>0</v>
      </c>
      <c r="AE552" s="100">
        <f t="shared" si="583"/>
        <v>0</v>
      </c>
      <c r="AF552" s="100">
        <f t="shared" si="584"/>
        <v>0</v>
      </c>
      <c r="AG552" s="100">
        <f t="shared" si="585"/>
        <v>0</v>
      </c>
      <c r="AH552" s="100">
        <f t="shared" si="586"/>
        <v>0</v>
      </c>
      <c r="AI552" s="109"/>
      <c r="AJ552" s="108">
        <f t="shared" si="587"/>
        <v>0</v>
      </c>
      <c r="AK552" s="108">
        <f t="shared" si="588"/>
        <v>0</v>
      </c>
      <c r="AL552" s="108">
        <f t="shared" si="589"/>
        <v>0</v>
      </c>
      <c r="AN552" s="100">
        <v>15</v>
      </c>
      <c r="AO552" s="100">
        <f t="shared" si="590"/>
        <v>0</v>
      </c>
      <c r="AP552" s="100">
        <f t="shared" si="591"/>
        <v>0</v>
      </c>
      <c r="AQ552" s="111" t="s">
        <v>7</v>
      </c>
      <c r="AV552" s="100">
        <f t="shared" si="592"/>
        <v>0</v>
      </c>
      <c r="AW552" s="100">
        <f t="shared" si="593"/>
        <v>0</v>
      </c>
      <c r="AX552" s="100">
        <f t="shared" si="594"/>
        <v>0</v>
      </c>
      <c r="AY552" s="110" t="s">
        <v>1722</v>
      </c>
      <c r="AZ552" s="110" t="s">
        <v>1730</v>
      </c>
      <c r="BA552" s="109" t="s">
        <v>1737</v>
      </c>
      <c r="BC552" s="100">
        <f t="shared" si="595"/>
        <v>0</v>
      </c>
      <c r="BD552" s="100">
        <f t="shared" si="596"/>
        <v>0</v>
      </c>
      <c r="BE552" s="100">
        <v>0</v>
      </c>
      <c r="BF552" s="100">
        <f>552</f>
        <v>552</v>
      </c>
      <c r="BH552" s="108">
        <f t="shared" si="597"/>
        <v>0</v>
      </c>
      <c r="BI552" s="108">
        <f t="shared" si="598"/>
        <v>0</v>
      </c>
      <c r="BJ552" s="108">
        <f t="shared" si="599"/>
        <v>0</v>
      </c>
    </row>
    <row r="553" spans="1:62" x14ac:dyDescent="0.2">
      <c r="A553" s="117" t="s">
        <v>501</v>
      </c>
      <c r="B553" s="117" t="s">
        <v>1000</v>
      </c>
      <c r="C553" s="304" t="s">
        <v>1581</v>
      </c>
      <c r="D553" s="305"/>
      <c r="E553" s="305"/>
      <c r="F553" s="117" t="s">
        <v>1644</v>
      </c>
      <c r="G553" s="116">
        <v>1</v>
      </c>
      <c r="H553" s="159"/>
      <c r="I553" s="108">
        <f t="shared" si="576"/>
        <v>0</v>
      </c>
      <c r="J553" s="108">
        <f t="shared" si="577"/>
        <v>0</v>
      </c>
      <c r="K553" s="108">
        <f t="shared" si="578"/>
        <v>0</v>
      </c>
      <c r="L553" s="111"/>
      <c r="Z553" s="100">
        <f t="shared" si="579"/>
        <v>0</v>
      </c>
      <c r="AB553" s="100">
        <f t="shared" si="580"/>
        <v>0</v>
      </c>
      <c r="AC553" s="100">
        <f t="shared" si="581"/>
        <v>0</v>
      </c>
      <c r="AD553" s="100">
        <f t="shared" si="582"/>
        <v>0</v>
      </c>
      <c r="AE553" s="100">
        <f t="shared" si="583"/>
        <v>0</v>
      </c>
      <c r="AF553" s="100">
        <f t="shared" si="584"/>
        <v>0</v>
      </c>
      <c r="AG553" s="100">
        <f t="shared" si="585"/>
        <v>0</v>
      </c>
      <c r="AH553" s="100">
        <f t="shared" si="586"/>
        <v>0</v>
      </c>
      <c r="AI553" s="109"/>
      <c r="AJ553" s="108">
        <f t="shared" si="587"/>
        <v>0</v>
      </c>
      <c r="AK553" s="108">
        <f t="shared" si="588"/>
        <v>0</v>
      </c>
      <c r="AL553" s="108">
        <f t="shared" si="589"/>
        <v>0</v>
      </c>
      <c r="AN553" s="100">
        <v>15</v>
      </c>
      <c r="AO553" s="100">
        <f t="shared" si="590"/>
        <v>0</v>
      </c>
      <c r="AP553" s="100">
        <f t="shared" si="591"/>
        <v>0</v>
      </c>
      <c r="AQ553" s="111" t="s">
        <v>7</v>
      </c>
      <c r="AV553" s="100">
        <f t="shared" si="592"/>
        <v>0</v>
      </c>
      <c r="AW553" s="100">
        <f t="shared" si="593"/>
        <v>0</v>
      </c>
      <c r="AX553" s="100">
        <f t="shared" si="594"/>
        <v>0</v>
      </c>
      <c r="AY553" s="110" t="s">
        <v>1722</v>
      </c>
      <c r="AZ553" s="110" t="s">
        <v>1730</v>
      </c>
      <c r="BA553" s="109" t="s">
        <v>1737</v>
      </c>
      <c r="BC553" s="100">
        <f t="shared" si="595"/>
        <v>0</v>
      </c>
      <c r="BD553" s="100">
        <f t="shared" si="596"/>
        <v>0</v>
      </c>
      <c r="BE553" s="100">
        <v>0</v>
      </c>
      <c r="BF553" s="100">
        <f>553</f>
        <v>553</v>
      </c>
      <c r="BH553" s="108">
        <f t="shared" si="597"/>
        <v>0</v>
      </c>
      <c r="BI553" s="108">
        <f t="shared" si="598"/>
        <v>0</v>
      </c>
      <c r="BJ553" s="108">
        <f t="shared" si="599"/>
        <v>0</v>
      </c>
    </row>
    <row r="554" spans="1:62" x14ac:dyDescent="0.2">
      <c r="A554" s="117" t="s">
        <v>502</v>
      </c>
      <c r="B554" s="117" t="s">
        <v>1001</v>
      </c>
      <c r="C554" s="304" t="s">
        <v>1592</v>
      </c>
      <c r="D554" s="305"/>
      <c r="E554" s="305"/>
      <c r="F554" s="117" t="s">
        <v>1644</v>
      </c>
      <c r="G554" s="116">
        <v>1</v>
      </c>
      <c r="H554" s="159"/>
      <c r="I554" s="108">
        <f t="shared" si="576"/>
        <v>0</v>
      </c>
      <c r="J554" s="108">
        <f t="shared" si="577"/>
        <v>0</v>
      </c>
      <c r="K554" s="108">
        <f t="shared" si="578"/>
        <v>0</v>
      </c>
      <c r="L554" s="111"/>
      <c r="Z554" s="100">
        <f t="shared" si="579"/>
        <v>0</v>
      </c>
      <c r="AB554" s="100">
        <f t="shared" si="580"/>
        <v>0</v>
      </c>
      <c r="AC554" s="100">
        <f t="shared" si="581"/>
        <v>0</v>
      </c>
      <c r="AD554" s="100">
        <f t="shared" si="582"/>
        <v>0</v>
      </c>
      <c r="AE554" s="100">
        <f t="shared" si="583"/>
        <v>0</v>
      </c>
      <c r="AF554" s="100">
        <f t="shared" si="584"/>
        <v>0</v>
      </c>
      <c r="AG554" s="100">
        <f t="shared" si="585"/>
        <v>0</v>
      </c>
      <c r="AH554" s="100">
        <f t="shared" si="586"/>
        <v>0</v>
      </c>
      <c r="AI554" s="109"/>
      <c r="AJ554" s="108">
        <f t="shared" si="587"/>
        <v>0</v>
      </c>
      <c r="AK554" s="108">
        <f t="shared" si="588"/>
        <v>0</v>
      </c>
      <c r="AL554" s="108">
        <f t="shared" si="589"/>
        <v>0</v>
      </c>
      <c r="AN554" s="100">
        <v>15</v>
      </c>
      <c r="AO554" s="100">
        <f t="shared" si="590"/>
        <v>0</v>
      </c>
      <c r="AP554" s="100">
        <f t="shared" si="591"/>
        <v>0</v>
      </c>
      <c r="AQ554" s="111" t="s">
        <v>7</v>
      </c>
      <c r="AV554" s="100">
        <f t="shared" si="592"/>
        <v>0</v>
      </c>
      <c r="AW554" s="100">
        <f t="shared" si="593"/>
        <v>0</v>
      </c>
      <c r="AX554" s="100">
        <f t="shared" si="594"/>
        <v>0</v>
      </c>
      <c r="AY554" s="110" t="s">
        <v>1722</v>
      </c>
      <c r="AZ554" s="110" t="s">
        <v>1730</v>
      </c>
      <c r="BA554" s="109" t="s">
        <v>1737</v>
      </c>
      <c r="BC554" s="100">
        <f t="shared" si="595"/>
        <v>0</v>
      </c>
      <c r="BD554" s="100">
        <f t="shared" si="596"/>
        <v>0</v>
      </c>
      <c r="BE554" s="100">
        <v>0</v>
      </c>
      <c r="BF554" s="100">
        <f>554</f>
        <v>554</v>
      </c>
      <c r="BH554" s="108">
        <f t="shared" si="597"/>
        <v>0</v>
      </c>
      <c r="BI554" s="108">
        <f t="shared" si="598"/>
        <v>0</v>
      </c>
      <c r="BJ554" s="108">
        <f t="shared" si="599"/>
        <v>0</v>
      </c>
    </row>
    <row r="555" spans="1:62" x14ac:dyDescent="0.2">
      <c r="A555" s="117" t="s">
        <v>503</v>
      </c>
      <c r="B555" s="117" t="s">
        <v>1002</v>
      </c>
      <c r="C555" s="304" t="s">
        <v>1593</v>
      </c>
      <c r="D555" s="305"/>
      <c r="E555" s="305"/>
      <c r="F555" s="117" t="s">
        <v>1644</v>
      </c>
      <c r="G555" s="116">
        <v>1</v>
      </c>
      <c r="H555" s="159"/>
      <c r="I555" s="108">
        <f t="shared" si="576"/>
        <v>0</v>
      </c>
      <c r="J555" s="108">
        <f t="shared" si="577"/>
        <v>0</v>
      </c>
      <c r="K555" s="108">
        <f t="shared" si="578"/>
        <v>0</v>
      </c>
      <c r="L555" s="111"/>
      <c r="Z555" s="100">
        <f t="shared" si="579"/>
        <v>0</v>
      </c>
      <c r="AB555" s="100">
        <f t="shared" si="580"/>
        <v>0</v>
      </c>
      <c r="AC555" s="100">
        <f t="shared" si="581"/>
        <v>0</v>
      </c>
      <c r="AD555" s="100">
        <f t="shared" si="582"/>
        <v>0</v>
      </c>
      <c r="AE555" s="100">
        <f t="shared" si="583"/>
        <v>0</v>
      </c>
      <c r="AF555" s="100">
        <f t="shared" si="584"/>
        <v>0</v>
      </c>
      <c r="AG555" s="100">
        <f t="shared" si="585"/>
        <v>0</v>
      </c>
      <c r="AH555" s="100">
        <f t="shared" si="586"/>
        <v>0</v>
      </c>
      <c r="AI555" s="109"/>
      <c r="AJ555" s="108">
        <f t="shared" si="587"/>
        <v>0</v>
      </c>
      <c r="AK555" s="108">
        <f t="shared" si="588"/>
        <v>0</v>
      </c>
      <c r="AL555" s="108">
        <f t="shared" si="589"/>
        <v>0</v>
      </c>
      <c r="AN555" s="100">
        <v>15</v>
      </c>
      <c r="AO555" s="100">
        <f t="shared" si="590"/>
        <v>0</v>
      </c>
      <c r="AP555" s="100">
        <f t="shared" si="591"/>
        <v>0</v>
      </c>
      <c r="AQ555" s="111" t="s">
        <v>7</v>
      </c>
      <c r="AV555" s="100">
        <f t="shared" si="592"/>
        <v>0</v>
      </c>
      <c r="AW555" s="100">
        <f t="shared" si="593"/>
        <v>0</v>
      </c>
      <c r="AX555" s="100">
        <f t="shared" si="594"/>
        <v>0</v>
      </c>
      <c r="AY555" s="110" t="s">
        <v>1722</v>
      </c>
      <c r="AZ555" s="110" t="s">
        <v>1730</v>
      </c>
      <c r="BA555" s="109" t="s">
        <v>1737</v>
      </c>
      <c r="BC555" s="100">
        <f t="shared" si="595"/>
        <v>0</v>
      </c>
      <c r="BD555" s="100">
        <f t="shared" si="596"/>
        <v>0</v>
      </c>
      <c r="BE555" s="100">
        <v>0</v>
      </c>
      <c r="BF555" s="100">
        <f>555</f>
        <v>555</v>
      </c>
      <c r="BH555" s="108">
        <f t="shared" si="597"/>
        <v>0</v>
      </c>
      <c r="BI555" s="108">
        <f t="shared" si="598"/>
        <v>0</v>
      </c>
      <c r="BJ555" s="108">
        <f t="shared" si="599"/>
        <v>0</v>
      </c>
    </row>
    <row r="556" spans="1:62" x14ac:dyDescent="0.2">
      <c r="A556" s="117" t="s">
        <v>504</v>
      </c>
      <c r="B556" s="117" t="s">
        <v>1003</v>
      </c>
      <c r="C556" s="304" t="s">
        <v>1594</v>
      </c>
      <c r="D556" s="305"/>
      <c r="E556" s="305"/>
      <c r="F556" s="117" t="s">
        <v>1644</v>
      </c>
      <c r="G556" s="116">
        <v>1</v>
      </c>
      <c r="H556" s="159"/>
      <c r="I556" s="108">
        <f t="shared" si="576"/>
        <v>0</v>
      </c>
      <c r="J556" s="108">
        <f t="shared" si="577"/>
        <v>0</v>
      </c>
      <c r="K556" s="108">
        <f t="shared" si="578"/>
        <v>0</v>
      </c>
      <c r="L556" s="111"/>
      <c r="Z556" s="100">
        <f t="shared" si="579"/>
        <v>0</v>
      </c>
      <c r="AB556" s="100">
        <f t="shared" si="580"/>
        <v>0</v>
      </c>
      <c r="AC556" s="100">
        <f t="shared" si="581"/>
        <v>0</v>
      </c>
      <c r="AD556" s="100">
        <f t="shared" si="582"/>
        <v>0</v>
      </c>
      <c r="AE556" s="100">
        <f t="shared" si="583"/>
        <v>0</v>
      </c>
      <c r="AF556" s="100">
        <f t="shared" si="584"/>
        <v>0</v>
      </c>
      <c r="AG556" s="100">
        <f t="shared" si="585"/>
        <v>0</v>
      </c>
      <c r="AH556" s="100">
        <f t="shared" si="586"/>
        <v>0</v>
      </c>
      <c r="AI556" s="109"/>
      <c r="AJ556" s="108">
        <f t="shared" si="587"/>
        <v>0</v>
      </c>
      <c r="AK556" s="108">
        <f t="shared" si="588"/>
        <v>0</v>
      </c>
      <c r="AL556" s="108">
        <f t="shared" si="589"/>
        <v>0</v>
      </c>
      <c r="AN556" s="100">
        <v>15</v>
      </c>
      <c r="AO556" s="100">
        <f t="shared" si="590"/>
        <v>0</v>
      </c>
      <c r="AP556" s="100">
        <f t="shared" si="591"/>
        <v>0</v>
      </c>
      <c r="AQ556" s="111" t="s">
        <v>7</v>
      </c>
      <c r="AV556" s="100">
        <f t="shared" si="592"/>
        <v>0</v>
      </c>
      <c r="AW556" s="100">
        <f t="shared" si="593"/>
        <v>0</v>
      </c>
      <c r="AX556" s="100">
        <f t="shared" si="594"/>
        <v>0</v>
      </c>
      <c r="AY556" s="110" t="s">
        <v>1722</v>
      </c>
      <c r="AZ556" s="110" t="s">
        <v>1730</v>
      </c>
      <c r="BA556" s="109" t="s">
        <v>1737</v>
      </c>
      <c r="BC556" s="100">
        <f t="shared" si="595"/>
        <v>0</v>
      </c>
      <c r="BD556" s="100">
        <f t="shared" si="596"/>
        <v>0</v>
      </c>
      <c r="BE556" s="100">
        <v>0</v>
      </c>
      <c r="BF556" s="100">
        <f>556</f>
        <v>556</v>
      </c>
      <c r="BH556" s="108">
        <f t="shared" si="597"/>
        <v>0</v>
      </c>
      <c r="BI556" s="108">
        <f t="shared" si="598"/>
        <v>0</v>
      </c>
      <c r="BJ556" s="108">
        <f t="shared" si="599"/>
        <v>0</v>
      </c>
    </row>
    <row r="557" spans="1:62" x14ac:dyDescent="0.2">
      <c r="A557" s="117" t="s">
        <v>505</v>
      </c>
      <c r="B557" s="117" t="s">
        <v>1003</v>
      </c>
      <c r="C557" s="304" t="s">
        <v>1595</v>
      </c>
      <c r="D557" s="305"/>
      <c r="E557" s="305"/>
      <c r="F557" s="117" t="s">
        <v>1644</v>
      </c>
      <c r="G557" s="116">
        <v>1</v>
      </c>
      <c r="H557" s="159"/>
      <c r="I557" s="108">
        <f t="shared" si="576"/>
        <v>0</v>
      </c>
      <c r="J557" s="108">
        <f t="shared" si="577"/>
        <v>0</v>
      </c>
      <c r="K557" s="108">
        <f t="shared" si="578"/>
        <v>0</v>
      </c>
      <c r="L557" s="111"/>
      <c r="Z557" s="100">
        <f t="shared" si="579"/>
        <v>0</v>
      </c>
      <c r="AB557" s="100">
        <f t="shared" si="580"/>
        <v>0</v>
      </c>
      <c r="AC557" s="100">
        <f t="shared" si="581"/>
        <v>0</v>
      </c>
      <c r="AD557" s="100">
        <f t="shared" si="582"/>
        <v>0</v>
      </c>
      <c r="AE557" s="100">
        <f t="shared" si="583"/>
        <v>0</v>
      </c>
      <c r="AF557" s="100">
        <f t="shared" si="584"/>
        <v>0</v>
      </c>
      <c r="AG557" s="100">
        <f t="shared" si="585"/>
        <v>0</v>
      </c>
      <c r="AH557" s="100">
        <f t="shared" si="586"/>
        <v>0</v>
      </c>
      <c r="AI557" s="109"/>
      <c r="AJ557" s="108">
        <f t="shared" si="587"/>
        <v>0</v>
      </c>
      <c r="AK557" s="108">
        <f t="shared" si="588"/>
        <v>0</v>
      </c>
      <c r="AL557" s="108">
        <f t="shared" si="589"/>
        <v>0</v>
      </c>
      <c r="AN557" s="100">
        <v>15</v>
      </c>
      <c r="AO557" s="100">
        <f t="shared" si="590"/>
        <v>0</v>
      </c>
      <c r="AP557" s="100">
        <f t="shared" si="591"/>
        <v>0</v>
      </c>
      <c r="AQ557" s="111" t="s">
        <v>7</v>
      </c>
      <c r="AV557" s="100">
        <f t="shared" si="592"/>
        <v>0</v>
      </c>
      <c r="AW557" s="100">
        <f t="shared" si="593"/>
        <v>0</v>
      </c>
      <c r="AX557" s="100">
        <f t="shared" si="594"/>
        <v>0</v>
      </c>
      <c r="AY557" s="110" t="s">
        <v>1722</v>
      </c>
      <c r="AZ557" s="110" t="s">
        <v>1730</v>
      </c>
      <c r="BA557" s="109" t="s">
        <v>1737</v>
      </c>
      <c r="BC557" s="100">
        <f t="shared" si="595"/>
        <v>0</v>
      </c>
      <c r="BD557" s="100">
        <f t="shared" si="596"/>
        <v>0</v>
      </c>
      <c r="BE557" s="100">
        <v>0</v>
      </c>
      <c r="BF557" s="100">
        <f>557</f>
        <v>557</v>
      </c>
      <c r="BH557" s="108">
        <f t="shared" si="597"/>
        <v>0</v>
      </c>
      <c r="BI557" s="108">
        <f t="shared" si="598"/>
        <v>0</v>
      </c>
      <c r="BJ557" s="108">
        <f t="shared" si="599"/>
        <v>0</v>
      </c>
    </row>
    <row r="558" spans="1:62" x14ac:dyDescent="0.2">
      <c r="A558" s="117" t="s">
        <v>506</v>
      </c>
      <c r="B558" s="117" t="s">
        <v>1004</v>
      </c>
      <c r="C558" s="304" t="s">
        <v>1596</v>
      </c>
      <c r="D558" s="305"/>
      <c r="E558" s="305"/>
      <c r="F558" s="117" t="s">
        <v>1644</v>
      </c>
      <c r="G558" s="116">
        <v>1</v>
      </c>
      <c r="H558" s="159"/>
      <c r="I558" s="108">
        <f t="shared" si="576"/>
        <v>0</v>
      </c>
      <c r="J558" s="108">
        <f t="shared" si="577"/>
        <v>0</v>
      </c>
      <c r="K558" s="108">
        <f t="shared" si="578"/>
        <v>0</v>
      </c>
      <c r="L558" s="111"/>
      <c r="Z558" s="100">
        <f t="shared" si="579"/>
        <v>0</v>
      </c>
      <c r="AB558" s="100">
        <f t="shared" si="580"/>
        <v>0</v>
      </c>
      <c r="AC558" s="100">
        <f t="shared" si="581"/>
        <v>0</v>
      </c>
      <c r="AD558" s="100">
        <f t="shared" si="582"/>
        <v>0</v>
      </c>
      <c r="AE558" s="100">
        <f t="shared" si="583"/>
        <v>0</v>
      </c>
      <c r="AF558" s="100">
        <f t="shared" si="584"/>
        <v>0</v>
      </c>
      <c r="AG558" s="100">
        <f t="shared" si="585"/>
        <v>0</v>
      </c>
      <c r="AH558" s="100">
        <f t="shared" si="586"/>
        <v>0</v>
      </c>
      <c r="AI558" s="109"/>
      <c r="AJ558" s="108">
        <f t="shared" si="587"/>
        <v>0</v>
      </c>
      <c r="AK558" s="108">
        <f t="shared" si="588"/>
        <v>0</v>
      </c>
      <c r="AL558" s="108">
        <f t="shared" si="589"/>
        <v>0</v>
      </c>
      <c r="AN558" s="100">
        <v>15</v>
      </c>
      <c r="AO558" s="100">
        <f t="shared" si="590"/>
        <v>0</v>
      </c>
      <c r="AP558" s="100">
        <f t="shared" si="591"/>
        <v>0</v>
      </c>
      <c r="AQ558" s="111" t="s">
        <v>7</v>
      </c>
      <c r="AV558" s="100">
        <f t="shared" si="592"/>
        <v>0</v>
      </c>
      <c r="AW558" s="100">
        <f t="shared" si="593"/>
        <v>0</v>
      </c>
      <c r="AX558" s="100">
        <f t="shared" si="594"/>
        <v>0</v>
      </c>
      <c r="AY558" s="110" t="s">
        <v>1722</v>
      </c>
      <c r="AZ558" s="110" t="s">
        <v>1730</v>
      </c>
      <c r="BA558" s="109" t="s">
        <v>1737</v>
      </c>
      <c r="BC558" s="100">
        <f t="shared" si="595"/>
        <v>0</v>
      </c>
      <c r="BD558" s="100">
        <f t="shared" si="596"/>
        <v>0</v>
      </c>
      <c r="BE558" s="100">
        <v>0</v>
      </c>
      <c r="BF558" s="100">
        <f>558</f>
        <v>558</v>
      </c>
      <c r="BH558" s="108">
        <f t="shared" si="597"/>
        <v>0</v>
      </c>
      <c r="BI558" s="108">
        <f t="shared" si="598"/>
        <v>0</v>
      </c>
      <c r="BJ558" s="108">
        <f t="shared" si="599"/>
        <v>0</v>
      </c>
    </row>
    <row r="559" spans="1:62" x14ac:dyDescent="0.2">
      <c r="A559" s="117" t="s">
        <v>507</v>
      </c>
      <c r="B559" s="117" t="s">
        <v>1005</v>
      </c>
      <c r="C559" s="304" t="s">
        <v>1597</v>
      </c>
      <c r="D559" s="305"/>
      <c r="E559" s="305"/>
      <c r="F559" s="117" t="s">
        <v>1644</v>
      </c>
      <c r="G559" s="116">
        <v>1</v>
      </c>
      <c r="H559" s="159"/>
      <c r="I559" s="108">
        <f t="shared" si="576"/>
        <v>0</v>
      </c>
      <c r="J559" s="108">
        <f t="shared" si="577"/>
        <v>0</v>
      </c>
      <c r="K559" s="108">
        <f t="shared" si="578"/>
        <v>0</v>
      </c>
      <c r="L559" s="111"/>
      <c r="Z559" s="100">
        <f t="shared" si="579"/>
        <v>0</v>
      </c>
      <c r="AB559" s="100">
        <f t="shared" si="580"/>
        <v>0</v>
      </c>
      <c r="AC559" s="100">
        <f t="shared" si="581"/>
        <v>0</v>
      </c>
      <c r="AD559" s="100">
        <f t="shared" si="582"/>
        <v>0</v>
      </c>
      <c r="AE559" s="100">
        <f t="shared" si="583"/>
        <v>0</v>
      </c>
      <c r="AF559" s="100">
        <f t="shared" si="584"/>
        <v>0</v>
      </c>
      <c r="AG559" s="100">
        <f t="shared" si="585"/>
        <v>0</v>
      </c>
      <c r="AH559" s="100">
        <f t="shared" si="586"/>
        <v>0</v>
      </c>
      <c r="AI559" s="109"/>
      <c r="AJ559" s="108">
        <f t="shared" si="587"/>
        <v>0</v>
      </c>
      <c r="AK559" s="108">
        <f t="shared" si="588"/>
        <v>0</v>
      </c>
      <c r="AL559" s="108">
        <f t="shared" si="589"/>
        <v>0</v>
      </c>
      <c r="AN559" s="100">
        <v>15</v>
      </c>
      <c r="AO559" s="100">
        <f t="shared" si="590"/>
        <v>0</v>
      </c>
      <c r="AP559" s="100">
        <f t="shared" si="591"/>
        <v>0</v>
      </c>
      <c r="AQ559" s="111" t="s">
        <v>7</v>
      </c>
      <c r="AV559" s="100">
        <f t="shared" si="592"/>
        <v>0</v>
      </c>
      <c r="AW559" s="100">
        <f t="shared" si="593"/>
        <v>0</v>
      </c>
      <c r="AX559" s="100">
        <f t="shared" si="594"/>
        <v>0</v>
      </c>
      <c r="AY559" s="110" t="s">
        <v>1722</v>
      </c>
      <c r="AZ559" s="110" t="s">
        <v>1730</v>
      </c>
      <c r="BA559" s="109" t="s">
        <v>1737</v>
      </c>
      <c r="BC559" s="100">
        <f t="shared" si="595"/>
        <v>0</v>
      </c>
      <c r="BD559" s="100">
        <f t="shared" si="596"/>
        <v>0</v>
      </c>
      <c r="BE559" s="100">
        <v>0</v>
      </c>
      <c r="BF559" s="100">
        <f>559</f>
        <v>559</v>
      </c>
      <c r="BH559" s="108">
        <f t="shared" si="597"/>
        <v>0</v>
      </c>
      <c r="BI559" s="108">
        <f t="shared" si="598"/>
        <v>0</v>
      </c>
      <c r="BJ559" s="108">
        <f t="shared" si="599"/>
        <v>0</v>
      </c>
    </row>
    <row r="560" spans="1:62" x14ac:dyDescent="0.2">
      <c r="A560" s="117" t="s">
        <v>508</v>
      </c>
      <c r="B560" s="117" t="s">
        <v>1006</v>
      </c>
      <c r="C560" s="304" t="s">
        <v>1598</v>
      </c>
      <c r="D560" s="305"/>
      <c r="E560" s="305"/>
      <c r="F560" s="117" t="s">
        <v>1644</v>
      </c>
      <c r="G560" s="116">
        <v>1</v>
      </c>
      <c r="H560" s="159"/>
      <c r="I560" s="108">
        <f t="shared" si="576"/>
        <v>0</v>
      </c>
      <c r="J560" s="108">
        <f t="shared" si="577"/>
        <v>0</v>
      </c>
      <c r="K560" s="108">
        <f t="shared" si="578"/>
        <v>0</v>
      </c>
      <c r="L560" s="111"/>
      <c r="Z560" s="100">
        <f t="shared" si="579"/>
        <v>0</v>
      </c>
      <c r="AB560" s="100">
        <f t="shared" si="580"/>
        <v>0</v>
      </c>
      <c r="AC560" s="100">
        <f t="shared" si="581"/>
        <v>0</v>
      </c>
      <c r="AD560" s="100">
        <f t="shared" si="582"/>
        <v>0</v>
      </c>
      <c r="AE560" s="100">
        <f t="shared" si="583"/>
        <v>0</v>
      </c>
      <c r="AF560" s="100">
        <f t="shared" si="584"/>
        <v>0</v>
      </c>
      <c r="AG560" s="100">
        <f t="shared" si="585"/>
        <v>0</v>
      </c>
      <c r="AH560" s="100">
        <f t="shared" si="586"/>
        <v>0</v>
      </c>
      <c r="AI560" s="109"/>
      <c r="AJ560" s="108">
        <f t="shared" si="587"/>
        <v>0</v>
      </c>
      <c r="AK560" s="108">
        <f t="shared" si="588"/>
        <v>0</v>
      </c>
      <c r="AL560" s="108">
        <f t="shared" si="589"/>
        <v>0</v>
      </c>
      <c r="AN560" s="100">
        <v>15</v>
      </c>
      <c r="AO560" s="100">
        <f t="shared" si="590"/>
        <v>0</v>
      </c>
      <c r="AP560" s="100">
        <f t="shared" si="591"/>
        <v>0</v>
      </c>
      <c r="AQ560" s="111" t="s">
        <v>7</v>
      </c>
      <c r="AV560" s="100">
        <f t="shared" si="592"/>
        <v>0</v>
      </c>
      <c r="AW560" s="100">
        <f t="shared" si="593"/>
        <v>0</v>
      </c>
      <c r="AX560" s="100">
        <f t="shared" si="594"/>
        <v>0</v>
      </c>
      <c r="AY560" s="110" t="s">
        <v>1722</v>
      </c>
      <c r="AZ560" s="110" t="s">
        <v>1730</v>
      </c>
      <c r="BA560" s="109" t="s">
        <v>1737</v>
      </c>
      <c r="BC560" s="100">
        <f t="shared" si="595"/>
        <v>0</v>
      </c>
      <c r="BD560" s="100">
        <f t="shared" si="596"/>
        <v>0</v>
      </c>
      <c r="BE560" s="100">
        <v>0</v>
      </c>
      <c r="BF560" s="100">
        <f>560</f>
        <v>560</v>
      </c>
      <c r="BH560" s="108">
        <f t="shared" si="597"/>
        <v>0</v>
      </c>
      <c r="BI560" s="108">
        <f t="shared" si="598"/>
        <v>0</v>
      </c>
      <c r="BJ560" s="108">
        <f t="shared" si="599"/>
        <v>0</v>
      </c>
    </row>
    <row r="561" spans="1:62" x14ac:dyDescent="0.2">
      <c r="A561" s="117" t="s">
        <v>509</v>
      </c>
      <c r="B561" s="117" t="s">
        <v>1007</v>
      </c>
      <c r="C561" s="304" t="s">
        <v>1599</v>
      </c>
      <c r="D561" s="305"/>
      <c r="E561" s="305"/>
      <c r="F561" s="117" t="s">
        <v>1644</v>
      </c>
      <c r="G561" s="116">
        <v>1</v>
      </c>
      <c r="H561" s="159"/>
      <c r="I561" s="108">
        <f t="shared" si="576"/>
        <v>0</v>
      </c>
      <c r="J561" s="108">
        <f t="shared" si="577"/>
        <v>0</v>
      </c>
      <c r="K561" s="108">
        <f t="shared" si="578"/>
        <v>0</v>
      </c>
      <c r="L561" s="111"/>
      <c r="Z561" s="100">
        <f t="shared" si="579"/>
        <v>0</v>
      </c>
      <c r="AB561" s="100">
        <f t="shared" si="580"/>
        <v>0</v>
      </c>
      <c r="AC561" s="100">
        <f t="shared" si="581"/>
        <v>0</v>
      </c>
      <c r="AD561" s="100">
        <f t="shared" si="582"/>
        <v>0</v>
      </c>
      <c r="AE561" s="100">
        <f t="shared" si="583"/>
        <v>0</v>
      </c>
      <c r="AF561" s="100">
        <f t="shared" si="584"/>
        <v>0</v>
      </c>
      <c r="AG561" s="100">
        <f t="shared" si="585"/>
        <v>0</v>
      </c>
      <c r="AH561" s="100">
        <f t="shared" si="586"/>
        <v>0</v>
      </c>
      <c r="AI561" s="109"/>
      <c r="AJ561" s="108">
        <f t="shared" si="587"/>
        <v>0</v>
      </c>
      <c r="AK561" s="108">
        <f t="shared" si="588"/>
        <v>0</v>
      </c>
      <c r="AL561" s="108">
        <f t="shared" si="589"/>
        <v>0</v>
      </c>
      <c r="AN561" s="100">
        <v>15</v>
      </c>
      <c r="AO561" s="100">
        <f t="shared" si="590"/>
        <v>0</v>
      </c>
      <c r="AP561" s="100">
        <f t="shared" si="591"/>
        <v>0</v>
      </c>
      <c r="AQ561" s="111" t="s">
        <v>7</v>
      </c>
      <c r="AV561" s="100">
        <f t="shared" si="592"/>
        <v>0</v>
      </c>
      <c r="AW561" s="100">
        <f t="shared" si="593"/>
        <v>0</v>
      </c>
      <c r="AX561" s="100">
        <f t="shared" si="594"/>
        <v>0</v>
      </c>
      <c r="AY561" s="110" t="s">
        <v>1722</v>
      </c>
      <c r="AZ561" s="110" t="s">
        <v>1730</v>
      </c>
      <c r="BA561" s="109" t="s">
        <v>1737</v>
      </c>
      <c r="BC561" s="100">
        <f t="shared" si="595"/>
        <v>0</v>
      </c>
      <c r="BD561" s="100">
        <f t="shared" si="596"/>
        <v>0</v>
      </c>
      <c r="BE561" s="100">
        <v>0</v>
      </c>
      <c r="BF561" s="100">
        <f>561</f>
        <v>561</v>
      </c>
      <c r="BH561" s="108">
        <f t="shared" si="597"/>
        <v>0</v>
      </c>
      <c r="BI561" s="108">
        <f t="shared" si="598"/>
        <v>0</v>
      </c>
      <c r="BJ561" s="108">
        <f t="shared" si="599"/>
        <v>0</v>
      </c>
    </row>
    <row r="562" spans="1:62" x14ac:dyDescent="0.2">
      <c r="A562" s="117" t="s">
        <v>510</v>
      </c>
      <c r="B562" s="117" t="s">
        <v>1008</v>
      </c>
      <c r="C562" s="304" t="s">
        <v>1600</v>
      </c>
      <c r="D562" s="305"/>
      <c r="E562" s="305"/>
      <c r="F562" s="117" t="s">
        <v>1644</v>
      </c>
      <c r="G562" s="116">
        <v>1</v>
      </c>
      <c r="H562" s="159"/>
      <c r="I562" s="108">
        <f t="shared" si="576"/>
        <v>0</v>
      </c>
      <c r="J562" s="108">
        <f t="shared" si="577"/>
        <v>0</v>
      </c>
      <c r="K562" s="108">
        <f t="shared" si="578"/>
        <v>0</v>
      </c>
      <c r="L562" s="111"/>
      <c r="Z562" s="100">
        <f t="shared" si="579"/>
        <v>0</v>
      </c>
      <c r="AB562" s="100">
        <f t="shared" si="580"/>
        <v>0</v>
      </c>
      <c r="AC562" s="100">
        <f t="shared" si="581"/>
        <v>0</v>
      </c>
      <c r="AD562" s="100">
        <f t="shared" si="582"/>
        <v>0</v>
      </c>
      <c r="AE562" s="100">
        <f t="shared" si="583"/>
        <v>0</v>
      </c>
      <c r="AF562" s="100">
        <f t="shared" si="584"/>
        <v>0</v>
      </c>
      <c r="AG562" s="100">
        <f t="shared" si="585"/>
        <v>0</v>
      </c>
      <c r="AH562" s="100">
        <f t="shared" si="586"/>
        <v>0</v>
      </c>
      <c r="AI562" s="109"/>
      <c r="AJ562" s="108">
        <f t="shared" si="587"/>
        <v>0</v>
      </c>
      <c r="AK562" s="108">
        <f t="shared" si="588"/>
        <v>0</v>
      </c>
      <c r="AL562" s="108">
        <f t="shared" si="589"/>
        <v>0</v>
      </c>
      <c r="AN562" s="100">
        <v>15</v>
      </c>
      <c r="AO562" s="100">
        <f t="shared" si="590"/>
        <v>0</v>
      </c>
      <c r="AP562" s="100">
        <f t="shared" si="591"/>
        <v>0</v>
      </c>
      <c r="AQ562" s="111" t="s">
        <v>7</v>
      </c>
      <c r="AV562" s="100">
        <f t="shared" si="592"/>
        <v>0</v>
      </c>
      <c r="AW562" s="100">
        <f t="shared" si="593"/>
        <v>0</v>
      </c>
      <c r="AX562" s="100">
        <f t="shared" si="594"/>
        <v>0</v>
      </c>
      <c r="AY562" s="110" t="s">
        <v>1722</v>
      </c>
      <c r="AZ562" s="110" t="s">
        <v>1730</v>
      </c>
      <c r="BA562" s="109" t="s">
        <v>1737</v>
      </c>
      <c r="BC562" s="100">
        <f t="shared" si="595"/>
        <v>0</v>
      </c>
      <c r="BD562" s="100">
        <f t="shared" si="596"/>
        <v>0</v>
      </c>
      <c r="BE562" s="100">
        <v>0</v>
      </c>
      <c r="BF562" s="100">
        <f>562</f>
        <v>562</v>
      </c>
      <c r="BH562" s="108">
        <f t="shared" si="597"/>
        <v>0</v>
      </c>
      <c r="BI562" s="108">
        <f t="shared" si="598"/>
        <v>0</v>
      </c>
      <c r="BJ562" s="108">
        <f t="shared" si="599"/>
        <v>0</v>
      </c>
    </row>
    <row r="563" spans="1:62" x14ac:dyDescent="0.2">
      <c r="A563" s="117" t="s">
        <v>511</v>
      </c>
      <c r="B563" s="117" t="s">
        <v>1009</v>
      </c>
      <c r="C563" s="304" t="s">
        <v>1601</v>
      </c>
      <c r="D563" s="305"/>
      <c r="E563" s="305"/>
      <c r="F563" s="117" t="s">
        <v>1644</v>
      </c>
      <c r="G563" s="116">
        <v>1</v>
      </c>
      <c r="H563" s="159"/>
      <c r="I563" s="108">
        <f t="shared" si="576"/>
        <v>0</v>
      </c>
      <c r="J563" s="108">
        <f t="shared" si="577"/>
        <v>0</v>
      </c>
      <c r="K563" s="108">
        <f t="shared" si="578"/>
        <v>0</v>
      </c>
      <c r="L563" s="111"/>
      <c r="Z563" s="100">
        <f t="shared" si="579"/>
        <v>0</v>
      </c>
      <c r="AB563" s="100">
        <f t="shared" si="580"/>
        <v>0</v>
      </c>
      <c r="AC563" s="100">
        <f t="shared" si="581"/>
        <v>0</v>
      </c>
      <c r="AD563" s="100">
        <f t="shared" si="582"/>
        <v>0</v>
      </c>
      <c r="AE563" s="100">
        <f t="shared" si="583"/>
        <v>0</v>
      </c>
      <c r="AF563" s="100">
        <f t="shared" si="584"/>
        <v>0</v>
      </c>
      <c r="AG563" s="100">
        <f t="shared" si="585"/>
        <v>0</v>
      </c>
      <c r="AH563" s="100">
        <f t="shared" si="586"/>
        <v>0</v>
      </c>
      <c r="AI563" s="109"/>
      <c r="AJ563" s="108">
        <f t="shared" si="587"/>
        <v>0</v>
      </c>
      <c r="AK563" s="108">
        <f t="shared" si="588"/>
        <v>0</v>
      </c>
      <c r="AL563" s="108">
        <f t="shared" si="589"/>
        <v>0</v>
      </c>
      <c r="AN563" s="100">
        <v>15</v>
      </c>
      <c r="AO563" s="100">
        <f t="shared" si="590"/>
        <v>0</v>
      </c>
      <c r="AP563" s="100">
        <f t="shared" si="591"/>
        <v>0</v>
      </c>
      <c r="AQ563" s="111" t="s">
        <v>7</v>
      </c>
      <c r="AV563" s="100">
        <f t="shared" si="592"/>
        <v>0</v>
      </c>
      <c r="AW563" s="100">
        <f t="shared" si="593"/>
        <v>0</v>
      </c>
      <c r="AX563" s="100">
        <f t="shared" si="594"/>
        <v>0</v>
      </c>
      <c r="AY563" s="110" t="s">
        <v>1722</v>
      </c>
      <c r="AZ563" s="110" t="s">
        <v>1730</v>
      </c>
      <c r="BA563" s="109" t="s">
        <v>1737</v>
      </c>
      <c r="BC563" s="100">
        <f t="shared" si="595"/>
        <v>0</v>
      </c>
      <c r="BD563" s="100">
        <f t="shared" si="596"/>
        <v>0</v>
      </c>
      <c r="BE563" s="100">
        <v>0</v>
      </c>
      <c r="BF563" s="100">
        <f>563</f>
        <v>563</v>
      </c>
      <c r="BH563" s="108">
        <f t="shared" si="597"/>
        <v>0</v>
      </c>
      <c r="BI563" s="108">
        <f t="shared" si="598"/>
        <v>0</v>
      </c>
      <c r="BJ563" s="108">
        <f t="shared" si="599"/>
        <v>0</v>
      </c>
    </row>
    <row r="564" spans="1:62" x14ac:dyDescent="0.2">
      <c r="A564" s="117" t="s">
        <v>512</v>
      </c>
      <c r="B564" s="117" t="s">
        <v>1952</v>
      </c>
      <c r="C564" s="304" t="s">
        <v>1602</v>
      </c>
      <c r="D564" s="305"/>
      <c r="E564" s="305"/>
      <c r="F564" s="117" t="s">
        <v>1646</v>
      </c>
      <c r="G564" s="116">
        <v>20</v>
      </c>
      <c r="H564" s="159"/>
      <c r="I564" s="108">
        <f t="shared" si="576"/>
        <v>0</v>
      </c>
      <c r="J564" s="108">
        <f t="shared" si="577"/>
        <v>0</v>
      </c>
      <c r="K564" s="108">
        <f t="shared" si="578"/>
        <v>0</v>
      </c>
      <c r="L564" s="111"/>
      <c r="Z564" s="100">
        <f t="shared" si="579"/>
        <v>0</v>
      </c>
      <c r="AB564" s="100">
        <f t="shared" si="580"/>
        <v>0</v>
      </c>
      <c r="AC564" s="100">
        <f t="shared" si="581"/>
        <v>0</v>
      </c>
      <c r="AD564" s="100">
        <f t="shared" si="582"/>
        <v>0</v>
      </c>
      <c r="AE564" s="100">
        <f t="shared" si="583"/>
        <v>0</v>
      </c>
      <c r="AF564" s="100">
        <f t="shared" si="584"/>
        <v>0</v>
      </c>
      <c r="AG564" s="100">
        <f t="shared" si="585"/>
        <v>0</v>
      </c>
      <c r="AH564" s="100">
        <f t="shared" si="586"/>
        <v>0</v>
      </c>
      <c r="AI564" s="109"/>
      <c r="AJ564" s="108">
        <f t="shared" si="587"/>
        <v>0</v>
      </c>
      <c r="AK564" s="108">
        <f t="shared" si="588"/>
        <v>0</v>
      </c>
      <c r="AL564" s="108">
        <f t="shared" si="589"/>
        <v>0</v>
      </c>
      <c r="AN564" s="100">
        <v>15</v>
      </c>
      <c r="AO564" s="100">
        <f t="shared" si="590"/>
        <v>0</v>
      </c>
      <c r="AP564" s="100">
        <f t="shared" si="591"/>
        <v>0</v>
      </c>
      <c r="AQ564" s="111" t="s">
        <v>7</v>
      </c>
      <c r="AV564" s="100">
        <f t="shared" si="592"/>
        <v>0</v>
      </c>
      <c r="AW564" s="100">
        <f t="shared" si="593"/>
        <v>0</v>
      </c>
      <c r="AX564" s="100">
        <f t="shared" si="594"/>
        <v>0</v>
      </c>
      <c r="AY564" s="110" t="s">
        <v>1722</v>
      </c>
      <c r="AZ564" s="110" t="s">
        <v>1730</v>
      </c>
      <c r="BA564" s="109" t="s">
        <v>1737</v>
      </c>
      <c r="BC564" s="100">
        <f t="shared" si="595"/>
        <v>0</v>
      </c>
      <c r="BD564" s="100">
        <f t="shared" si="596"/>
        <v>0</v>
      </c>
      <c r="BE564" s="100">
        <v>0</v>
      </c>
      <c r="BF564" s="100">
        <f>564</f>
        <v>564</v>
      </c>
      <c r="BH564" s="108">
        <f t="shared" si="597"/>
        <v>0</v>
      </c>
      <c r="BI564" s="108">
        <f t="shared" si="598"/>
        <v>0</v>
      </c>
      <c r="BJ564" s="108">
        <f t="shared" si="599"/>
        <v>0</v>
      </c>
    </row>
    <row r="565" spans="1:62" x14ac:dyDescent="0.2">
      <c r="A565" s="117" t="s">
        <v>513</v>
      </c>
      <c r="B565" s="117" t="s">
        <v>1951</v>
      </c>
      <c r="C565" s="304" t="s">
        <v>1603</v>
      </c>
      <c r="D565" s="305"/>
      <c r="E565" s="305"/>
      <c r="F565" s="117" t="s">
        <v>1646</v>
      </c>
      <c r="G565" s="116">
        <v>10</v>
      </c>
      <c r="H565" s="159"/>
      <c r="I565" s="108">
        <f t="shared" si="576"/>
        <v>0</v>
      </c>
      <c r="J565" s="108">
        <f t="shared" si="577"/>
        <v>0</v>
      </c>
      <c r="K565" s="108">
        <f t="shared" si="578"/>
        <v>0</v>
      </c>
      <c r="L565" s="111"/>
      <c r="Z565" s="100">
        <f t="shared" si="579"/>
        <v>0</v>
      </c>
      <c r="AB565" s="100">
        <f t="shared" si="580"/>
        <v>0</v>
      </c>
      <c r="AC565" s="100">
        <f t="shared" si="581"/>
        <v>0</v>
      </c>
      <c r="AD565" s="100">
        <f t="shared" si="582"/>
        <v>0</v>
      </c>
      <c r="AE565" s="100">
        <f t="shared" si="583"/>
        <v>0</v>
      </c>
      <c r="AF565" s="100">
        <f t="shared" si="584"/>
        <v>0</v>
      </c>
      <c r="AG565" s="100">
        <f t="shared" si="585"/>
        <v>0</v>
      </c>
      <c r="AH565" s="100">
        <f t="shared" si="586"/>
        <v>0</v>
      </c>
      <c r="AI565" s="109"/>
      <c r="AJ565" s="108">
        <f t="shared" si="587"/>
        <v>0</v>
      </c>
      <c r="AK565" s="108">
        <f t="shared" si="588"/>
        <v>0</v>
      </c>
      <c r="AL565" s="108">
        <f t="shared" si="589"/>
        <v>0</v>
      </c>
      <c r="AN565" s="100">
        <v>15</v>
      </c>
      <c r="AO565" s="100">
        <f t="shared" si="590"/>
        <v>0</v>
      </c>
      <c r="AP565" s="100">
        <f t="shared" si="591"/>
        <v>0</v>
      </c>
      <c r="AQ565" s="111" t="s">
        <v>7</v>
      </c>
      <c r="AV565" s="100">
        <f t="shared" si="592"/>
        <v>0</v>
      </c>
      <c r="AW565" s="100">
        <f t="shared" si="593"/>
        <v>0</v>
      </c>
      <c r="AX565" s="100">
        <f t="shared" si="594"/>
        <v>0</v>
      </c>
      <c r="AY565" s="110" t="s">
        <v>1722</v>
      </c>
      <c r="AZ565" s="110" t="s">
        <v>1730</v>
      </c>
      <c r="BA565" s="109" t="s">
        <v>1737</v>
      </c>
      <c r="BC565" s="100">
        <f t="shared" si="595"/>
        <v>0</v>
      </c>
      <c r="BD565" s="100">
        <f t="shared" si="596"/>
        <v>0</v>
      </c>
      <c r="BE565" s="100">
        <v>0</v>
      </c>
      <c r="BF565" s="100">
        <f>565</f>
        <v>565</v>
      </c>
      <c r="BH565" s="108">
        <f t="shared" si="597"/>
        <v>0</v>
      </c>
      <c r="BI565" s="108">
        <f t="shared" si="598"/>
        <v>0</v>
      </c>
      <c r="BJ565" s="108">
        <f t="shared" si="599"/>
        <v>0</v>
      </c>
    </row>
    <row r="566" spans="1:62" x14ac:dyDescent="0.2">
      <c r="A566" s="117" t="s">
        <v>514</v>
      </c>
      <c r="B566" s="117" t="s">
        <v>1950</v>
      </c>
      <c r="C566" s="304" t="s">
        <v>1604</v>
      </c>
      <c r="D566" s="305"/>
      <c r="E566" s="305"/>
      <c r="F566" s="117" t="s">
        <v>1646</v>
      </c>
      <c r="G566" s="116">
        <v>5</v>
      </c>
      <c r="H566" s="159"/>
      <c r="I566" s="108">
        <f t="shared" si="576"/>
        <v>0</v>
      </c>
      <c r="J566" s="108">
        <f t="shared" si="577"/>
        <v>0</v>
      </c>
      <c r="K566" s="108">
        <f t="shared" si="578"/>
        <v>0</v>
      </c>
      <c r="L566" s="111"/>
      <c r="Z566" s="100">
        <f t="shared" si="579"/>
        <v>0</v>
      </c>
      <c r="AB566" s="100">
        <f t="shared" si="580"/>
        <v>0</v>
      </c>
      <c r="AC566" s="100">
        <f t="shared" si="581"/>
        <v>0</v>
      </c>
      <c r="AD566" s="100">
        <f t="shared" si="582"/>
        <v>0</v>
      </c>
      <c r="AE566" s="100">
        <f t="shared" si="583"/>
        <v>0</v>
      </c>
      <c r="AF566" s="100">
        <f t="shared" si="584"/>
        <v>0</v>
      </c>
      <c r="AG566" s="100">
        <f t="shared" si="585"/>
        <v>0</v>
      </c>
      <c r="AH566" s="100">
        <f t="shared" si="586"/>
        <v>0</v>
      </c>
      <c r="AI566" s="109"/>
      <c r="AJ566" s="108">
        <f t="shared" si="587"/>
        <v>0</v>
      </c>
      <c r="AK566" s="108">
        <f t="shared" si="588"/>
        <v>0</v>
      </c>
      <c r="AL566" s="108">
        <f t="shared" si="589"/>
        <v>0</v>
      </c>
      <c r="AN566" s="100">
        <v>15</v>
      </c>
      <c r="AO566" s="100">
        <f t="shared" si="590"/>
        <v>0</v>
      </c>
      <c r="AP566" s="100">
        <f t="shared" si="591"/>
        <v>0</v>
      </c>
      <c r="AQ566" s="111" t="s">
        <v>7</v>
      </c>
      <c r="AV566" s="100">
        <f t="shared" si="592"/>
        <v>0</v>
      </c>
      <c r="AW566" s="100">
        <f t="shared" si="593"/>
        <v>0</v>
      </c>
      <c r="AX566" s="100">
        <f t="shared" si="594"/>
        <v>0</v>
      </c>
      <c r="AY566" s="110" t="s">
        <v>1722</v>
      </c>
      <c r="AZ566" s="110" t="s">
        <v>1730</v>
      </c>
      <c r="BA566" s="109" t="s">
        <v>1737</v>
      </c>
      <c r="BC566" s="100">
        <f t="shared" si="595"/>
        <v>0</v>
      </c>
      <c r="BD566" s="100">
        <f t="shared" si="596"/>
        <v>0</v>
      </c>
      <c r="BE566" s="100">
        <v>0</v>
      </c>
      <c r="BF566" s="100">
        <f>566</f>
        <v>566</v>
      </c>
      <c r="BH566" s="108">
        <f t="shared" si="597"/>
        <v>0</v>
      </c>
      <c r="BI566" s="108">
        <f t="shared" si="598"/>
        <v>0</v>
      </c>
      <c r="BJ566" s="108">
        <f t="shared" si="599"/>
        <v>0</v>
      </c>
    </row>
    <row r="567" spans="1:62" x14ac:dyDescent="0.2">
      <c r="A567" s="117" t="s">
        <v>515</v>
      </c>
      <c r="B567" s="117" t="s">
        <v>1949</v>
      </c>
      <c r="C567" s="304" t="s">
        <v>1605</v>
      </c>
      <c r="D567" s="305"/>
      <c r="E567" s="305"/>
      <c r="F567" s="117" t="s">
        <v>1646</v>
      </c>
      <c r="G567" s="116">
        <v>5</v>
      </c>
      <c r="H567" s="159"/>
      <c r="I567" s="108">
        <f t="shared" si="576"/>
        <v>0</v>
      </c>
      <c r="J567" s="108">
        <f t="shared" si="577"/>
        <v>0</v>
      </c>
      <c r="K567" s="108">
        <f t="shared" si="578"/>
        <v>0</v>
      </c>
      <c r="L567" s="111"/>
      <c r="Z567" s="100">
        <f t="shared" si="579"/>
        <v>0</v>
      </c>
      <c r="AB567" s="100">
        <f t="shared" si="580"/>
        <v>0</v>
      </c>
      <c r="AC567" s="100">
        <f t="shared" si="581"/>
        <v>0</v>
      </c>
      <c r="AD567" s="100">
        <f t="shared" si="582"/>
        <v>0</v>
      </c>
      <c r="AE567" s="100">
        <f t="shared" si="583"/>
        <v>0</v>
      </c>
      <c r="AF567" s="100">
        <f t="shared" si="584"/>
        <v>0</v>
      </c>
      <c r="AG567" s="100">
        <f t="shared" si="585"/>
        <v>0</v>
      </c>
      <c r="AH567" s="100">
        <f t="shared" si="586"/>
        <v>0</v>
      </c>
      <c r="AI567" s="109"/>
      <c r="AJ567" s="108">
        <f t="shared" si="587"/>
        <v>0</v>
      </c>
      <c r="AK567" s="108">
        <f t="shared" si="588"/>
        <v>0</v>
      </c>
      <c r="AL567" s="108">
        <f t="shared" si="589"/>
        <v>0</v>
      </c>
      <c r="AN567" s="100">
        <v>15</v>
      </c>
      <c r="AO567" s="100">
        <f t="shared" si="590"/>
        <v>0</v>
      </c>
      <c r="AP567" s="100">
        <f t="shared" si="591"/>
        <v>0</v>
      </c>
      <c r="AQ567" s="111" t="s">
        <v>7</v>
      </c>
      <c r="AV567" s="100">
        <f t="shared" si="592"/>
        <v>0</v>
      </c>
      <c r="AW567" s="100">
        <f t="shared" si="593"/>
        <v>0</v>
      </c>
      <c r="AX567" s="100">
        <f t="shared" si="594"/>
        <v>0</v>
      </c>
      <c r="AY567" s="110" t="s">
        <v>1722</v>
      </c>
      <c r="AZ567" s="110" t="s">
        <v>1730</v>
      </c>
      <c r="BA567" s="109" t="s">
        <v>1737</v>
      </c>
      <c r="BC567" s="100">
        <f t="shared" si="595"/>
        <v>0</v>
      </c>
      <c r="BD567" s="100">
        <f t="shared" si="596"/>
        <v>0</v>
      </c>
      <c r="BE567" s="100">
        <v>0</v>
      </c>
      <c r="BF567" s="100">
        <f>567</f>
        <v>567</v>
      </c>
      <c r="BH567" s="108">
        <f t="shared" si="597"/>
        <v>0</v>
      </c>
      <c r="BI567" s="108">
        <f t="shared" si="598"/>
        <v>0</v>
      </c>
      <c r="BJ567" s="108">
        <f t="shared" si="599"/>
        <v>0</v>
      </c>
    </row>
    <row r="568" spans="1:62" x14ac:dyDescent="0.2">
      <c r="A568" s="117" t="s">
        <v>516</v>
      </c>
      <c r="B568" s="117" t="s">
        <v>1948</v>
      </c>
      <c r="C568" s="304" t="s">
        <v>1606</v>
      </c>
      <c r="D568" s="305"/>
      <c r="E568" s="305"/>
      <c r="F568" s="117" t="s">
        <v>1646</v>
      </c>
      <c r="G568" s="116">
        <v>20</v>
      </c>
      <c r="H568" s="159"/>
      <c r="I568" s="108">
        <f t="shared" si="576"/>
        <v>0</v>
      </c>
      <c r="J568" s="108">
        <f t="shared" si="577"/>
        <v>0</v>
      </c>
      <c r="K568" s="108">
        <f t="shared" si="578"/>
        <v>0</v>
      </c>
      <c r="L568" s="111"/>
      <c r="Z568" s="100">
        <f t="shared" si="579"/>
        <v>0</v>
      </c>
      <c r="AB568" s="100">
        <f t="shared" si="580"/>
        <v>0</v>
      </c>
      <c r="AC568" s="100">
        <f t="shared" si="581"/>
        <v>0</v>
      </c>
      <c r="AD568" s="100">
        <f t="shared" si="582"/>
        <v>0</v>
      </c>
      <c r="AE568" s="100">
        <f t="shared" si="583"/>
        <v>0</v>
      </c>
      <c r="AF568" s="100">
        <f t="shared" si="584"/>
        <v>0</v>
      </c>
      <c r="AG568" s="100">
        <f t="shared" si="585"/>
        <v>0</v>
      </c>
      <c r="AH568" s="100">
        <f t="shared" si="586"/>
        <v>0</v>
      </c>
      <c r="AI568" s="109"/>
      <c r="AJ568" s="108">
        <f t="shared" si="587"/>
        <v>0</v>
      </c>
      <c r="AK568" s="108">
        <f t="shared" si="588"/>
        <v>0</v>
      </c>
      <c r="AL568" s="108">
        <f t="shared" si="589"/>
        <v>0</v>
      </c>
      <c r="AN568" s="100">
        <v>15</v>
      </c>
      <c r="AO568" s="100">
        <f t="shared" si="590"/>
        <v>0</v>
      </c>
      <c r="AP568" s="100">
        <f t="shared" si="591"/>
        <v>0</v>
      </c>
      <c r="AQ568" s="111" t="s">
        <v>7</v>
      </c>
      <c r="AV568" s="100">
        <f t="shared" si="592"/>
        <v>0</v>
      </c>
      <c r="AW568" s="100">
        <f t="shared" si="593"/>
        <v>0</v>
      </c>
      <c r="AX568" s="100">
        <f t="shared" si="594"/>
        <v>0</v>
      </c>
      <c r="AY568" s="110" t="s">
        <v>1722</v>
      </c>
      <c r="AZ568" s="110" t="s">
        <v>1730</v>
      </c>
      <c r="BA568" s="109" t="s">
        <v>1737</v>
      </c>
      <c r="BC568" s="100">
        <f t="shared" si="595"/>
        <v>0</v>
      </c>
      <c r="BD568" s="100">
        <f t="shared" si="596"/>
        <v>0</v>
      </c>
      <c r="BE568" s="100">
        <v>0</v>
      </c>
      <c r="BF568" s="100">
        <f>568</f>
        <v>568</v>
      </c>
      <c r="BH568" s="108">
        <f t="shared" si="597"/>
        <v>0</v>
      </c>
      <c r="BI568" s="108">
        <f t="shared" si="598"/>
        <v>0</v>
      </c>
      <c r="BJ568" s="108">
        <f t="shared" si="599"/>
        <v>0</v>
      </c>
    </row>
    <row r="569" spans="1:62" x14ac:dyDescent="0.2">
      <c r="A569" s="117" t="s">
        <v>517</v>
      </c>
      <c r="B569" s="117" t="s">
        <v>1947</v>
      </c>
      <c r="C569" s="304" t="s">
        <v>1607</v>
      </c>
      <c r="D569" s="305"/>
      <c r="E569" s="305"/>
      <c r="F569" s="117" t="s">
        <v>1646</v>
      </c>
      <c r="G569" s="116">
        <v>10</v>
      </c>
      <c r="H569" s="159"/>
      <c r="I569" s="108">
        <f t="shared" si="576"/>
        <v>0</v>
      </c>
      <c r="J569" s="108">
        <f t="shared" si="577"/>
        <v>0</v>
      </c>
      <c r="K569" s="108">
        <f t="shared" si="578"/>
        <v>0</v>
      </c>
      <c r="L569" s="111"/>
      <c r="Z569" s="100">
        <f t="shared" si="579"/>
        <v>0</v>
      </c>
      <c r="AB569" s="100">
        <f t="shared" si="580"/>
        <v>0</v>
      </c>
      <c r="AC569" s="100">
        <f t="shared" si="581"/>
        <v>0</v>
      </c>
      <c r="AD569" s="100">
        <f t="shared" si="582"/>
        <v>0</v>
      </c>
      <c r="AE569" s="100">
        <f t="shared" si="583"/>
        <v>0</v>
      </c>
      <c r="AF569" s="100">
        <f t="shared" si="584"/>
        <v>0</v>
      </c>
      <c r="AG569" s="100">
        <f t="shared" si="585"/>
        <v>0</v>
      </c>
      <c r="AH569" s="100">
        <f t="shared" si="586"/>
        <v>0</v>
      </c>
      <c r="AI569" s="109"/>
      <c r="AJ569" s="108">
        <f t="shared" si="587"/>
        <v>0</v>
      </c>
      <c r="AK569" s="108">
        <f t="shared" si="588"/>
        <v>0</v>
      </c>
      <c r="AL569" s="108">
        <f t="shared" si="589"/>
        <v>0</v>
      </c>
      <c r="AN569" s="100">
        <v>15</v>
      </c>
      <c r="AO569" s="100">
        <f t="shared" si="590"/>
        <v>0</v>
      </c>
      <c r="AP569" s="100">
        <f t="shared" si="591"/>
        <v>0</v>
      </c>
      <c r="AQ569" s="111" t="s">
        <v>7</v>
      </c>
      <c r="AV569" s="100">
        <f t="shared" si="592"/>
        <v>0</v>
      </c>
      <c r="AW569" s="100">
        <f t="shared" si="593"/>
        <v>0</v>
      </c>
      <c r="AX569" s="100">
        <f t="shared" si="594"/>
        <v>0</v>
      </c>
      <c r="AY569" s="110" t="s">
        <v>1722</v>
      </c>
      <c r="AZ569" s="110" t="s">
        <v>1730</v>
      </c>
      <c r="BA569" s="109" t="s">
        <v>1737</v>
      </c>
      <c r="BC569" s="100">
        <f t="shared" si="595"/>
        <v>0</v>
      </c>
      <c r="BD569" s="100">
        <f t="shared" si="596"/>
        <v>0</v>
      </c>
      <c r="BE569" s="100">
        <v>0</v>
      </c>
      <c r="BF569" s="100">
        <f>569</f>
        <v>569</v>
      </c>
      <c r="BH569" s="108">
        <f t="shared" si="597"/>
        <v>0</v>
      </c>
      <c r="BI569" s="108">
        <f t="shared" si="598"/>
        <v>0</v>
      </c>
      <c r="BJ569" s="108">
        <f t="shared" si="599"/>
        <v>0</v>
      </c>
    </row>
    <row r="570" spans="1:62" x14ac:dyDescent="0.2">
      <c r="A570" s="117" t="s">
        <v>518</v>
      </c>
      <c r="B570" s="117" t="s">
        <v>1946</v>
      </c>
      <c r="C570" s="304" t="s">
        <v>1608</v>
      </c>
      <c r="D570" s="305"/>
      <c r="E570" s="305"/>
      <c r="F570" s="117" t="s">
        <v>1644</v>
      </c>
      <c r="G570" s="116">
        <v>70</v>
      </c>
      <c r="H570" s="159"/>
      <c r="I570" s="108">
        <f t="shared" si="576"/>
        <v>0</v>
      </c>
      <c r="J570" s="108">
        <f t="shared" si="577"/>
        <v>0</v>
      </c>
      <c r="K570" s="108">
        <f t="shared" si="578"/>
        <v>0</v>
      </c>
      <c r="L570" s="111"/>
      <c r="Z570" s="100">
        <f t="shared" si="579"/>
        <v>0</v>
      </c>
      <c r="AB570" s="100">
        <f t="shared" si="580"/>
        <v>0</v>
      </c>
      <c r="AC570" s="100">
        <f t="shared" si="581"/>
        <v>0</v>
      </c>
      <c r="AD570" s="100">
        <f t="shared" si="582"/>
        <v>0</v>
      </c>
      <c r="AE570" s="100">
        <f t="shared" si="583"/>
        <v>0</v>
      </c>
      <c r="AF570" s="100">
        <f t="shared" si="584"/>
        <v>0</v>
      </c>
      <c r="AG570" s="100">
        <f t="shared" si="585"/>
        <v>0</v>
      </c>
      <c r="AH570" s="100">
        <f t="shared" si="586"/>
        <v>0</v>
      </c>
      <c r="AI570" s="109"/>
      <c r="AJ570" s="108">
        <f t="shared" si="587"/>
        <v>0</v>
      </c>
      <c r="AK570" s="108">
        <f t="shared" si="588"/>
        <v>0</v>
      </c>
      <c r="AL570" s="108">
        <f t="shared" si="589"/>
        <v>0</v>
      </c>
      <c r="AN570" s="100">
        <v>15</v>
      </c>
      <c r="AO570" s="100">
        <f t="shared" si="590"/>
        <v>0</v>
      </c>
      <c r="AP570" s="100">
        <f t="shared" si="591"/>
        <v>0</v>
      </c>
      <c r="AQ570" s="111" t="s">
        <v>7</v>
      </c>
      <c r="AV570" s="100">
        <f t="shared" si="592"/>
        <v>0</v>
      </c>
      <c r="AW570" s="100">
        <f t="shared" si="593"/>
        <v>0</v>
      </c>
      <c r="AX570" s="100">
        <f t="shared" si="594"/>
        <v>0</v>
      </c>
      <c r="AY570" s="110" t="s">
        <v>1722</v>
      </c>
      <c r="AZ570" s="110" t="s">
        <v>1730</v>
      </c>
      <c r="BA570" s="109" t="s">
        <v>1737</v>
      </c>
      <c r="BC570" s="100">
        <f t="shared" si="595"/>
        <v>0</v>
      </c>
      <c r="BD570" s="100">
        <f t="shared" si="596"/>
        <v>0</v>
      </c>
      <c r="BE570" s="100">
        <v>0</v>
      </c>
      <c r="BF570" s="100">
        <f>570</f>
        <v>570</v>
      </c>
      <c r="BH570" s="108">
        <f t="shared" si="597"/>
        <v>0</v>
      </c>
      <c r="BI570" s="108">
        <f t="shared" si="598"/>
        <v>0</v>
      </c>
      <c r="BJ570" s="108">
        <f t="shared" si="599"/>
        <v>0</v>
      </c>
    </row>
    <row r="571" spans="1:62" x14ac:dyDescent="0.2">
      <c r="A571" s="117" t="s">
        <v>519</v>
      </c>
      <c r="B571" s="117" t="s">
        <v>1945</v>
      </c>
      <c r="C571" s="304" t="s">
        <v>1609</v>
      </c>
      <c r="D571" s="305"/>
      <c r="E571" s="305"/>
      <c r="F571" s="117" t="s">
        <v>1644</v>
      </c>
      <c r="G571" s="116">
        <v>3</v>
      </c>
      <c r="H571" s="159"/>
      <c r="I571" s="108">
        <f t="shared" si="576"/>
        <v>0</v>
      </c>
      <c r="J571" s="108">
        <f t="shared" si="577"/>
        <v>0</v>
      </c>
      <c r="K571" s="108">
        <f t="shared" si="578"/>
        <v>0</v>
      </c>
      <c r="L571" s="111"/>
      <c r="Z571" s="100">
        <f t="shared" si="579"/>
        <v>0</v>
      </c>
      <c r="AB571" s="100">
        <f t="shared" si="580"/>
        <v>0</v>
      </c>
      <c r="AC571" s="100">
        <f t="shared" si="581"/>
        <v>0</v>
      </c>
      <c r="AD571" s="100">
        <f t="shared" si="582"/>
        <v>0</v>
      </c>
      <c r="AE571" s="100">
        <f t="shared" si="583"/>
        <v>0</v>
      </c>
      <c r="AF571" s="100">
        <f t="shared" si="584"/>
        <v>0</v>
      </c>
      <c r="AG571" s="100">
        <f t="shared" si="585"/>
        <v>0</v>
      </c>
      <c r="AH571" s="100">
        <f t="shared" si="586"/>
        <v>0</v>
      </c>
      <c r="AI571" s="109"/>
      <c r="AJ571" s="108">
        <f t="shared" si="587"/>
        <v>0</v>
      </c>
      <c r="AK571" s="108">
        <f t="shared" si="588"/>
        <v>0</v>
      </c>
      <c r="AL571" s="108">
        <f t="shared" si="589"/>
        <v>0</v>
      </c>
      <c r="AN571" s="100">
        <v>15</v>
      </c>
      <c r="AO571" s="100">
        <f t="shared" si="590"/>
        <v>0</v>
      </c>
      <c r="AP571" s="100">
        <f t="shared" si="591"/>
        <v>0</v>
      </c>
      <c r="AQ571" s="111" t="s">
        <v>7</v>
      </c>
      <c r="AV571" s="100">
        <f t="shared" si="592"/>
        <v>0</v>
      </c>
      <c r="AW571" s="100">
        <f t="shared" si="593"/>
        <v>0</v>
      </c>
      <c r="AX571" s="100">
        <f t="shared" si="594"/>
        <v>0</v>
      </c>
      <c r="AY571" s="110" t="s">
        <v>1722</v>
      </c>
      <c r="AZ571" s="110" t="s">
        <v>1730</v>
      </c>
      <c r="BA571" s="109" t="s">
        <v>1737</v>
      </c>
      <c r="BC571" s="100">
        <f t="shared" si="595"/>
        <v>0</v>
      </c>
      <c r="BD571" s="100">
        <f t="shared" si="596"/>
        <v>0</v>
      </c>
      <c r="BE571" s="100">
        <v>0</v>
      </c>
      <c r="BF571" s="100">
        <f>571</f>
        <v>571</v>
      </c>
      <c r="BH571" s="108">
        <f t="shared" si="597"/>
        <v>0</v>
      </c>
      <c r="BI571" s="108">
        <f t="shared" si="598"/>
        <v>0</v>
      </c>
      <c r="BJ571" s="108">
        <f t="shared" si="599"/>
        <v>0</v>
      </c>
    </row>
    <row r="572" spans="1:62" x14ac:dyDescent="0.2">
      <c r="A572" s="117" t="s">
        <v>520</v>
      </c>
      <c r="B572" s="117" t="s">
        <v>1944</v>
      </c>
      <c r="C572" s="304" t="s">
        <v>1610</v>
      </c>
      <c r="D572" s="305"/>
      <c r="E572" s="305"/>
      <c r="F572" s="117" t="s">
        <v>1644</v>
      </c>
      <c r="G572" s="116">
        <v>1</v>
      </c>
      <c r="H572" s="159"/>
      <c r="I572" s="108">
        <f t="shared" si="576"/>
        <v>0</v>
      </c>
      <c r="J572" s="108">
        <f t="shared" si="577"/>
        <v>0</v>
      </c>
      <c r="K572" s="108">
        <f t="shared" si="578"/>
        <v>0</v>
      </c>
      <c r="L572" s="111"/>
      <c r="Z572" s="100">
        <f t="shared" si="579"/>
        <v>0</v>
      </c>
      <c r="AB572" s="100">
        <f t="shared" si="580"/>
        <v>0</v>
      </c>
      <c r="AC572" s="100">
        <f t="shared" si="581"/>
        <v>0</v>
      </c>
      <c r="AD572" s="100">
        <f t="shared" si="582"/>
        <v>0</v>
      </c>
      <c r="AE572" s="100">
        <f t="shared" si="583"/>
        <v>0</v>
      </c>
      <c r="AF572" s="100">
        <f t="shared" si="584"/>
        <v>0</v>
      </c>
      <c r="AG572" s="100">
        <f t="shared" si="585"/>
        <v>0</v>
      </c>
      <c r="AH572" s="100">
        <f t="shared" si="586"/>
        <v>0</v>
      </c>
      <c r="AI572" s="109"/>
      <c r="AJ572" s="108">
        <f t="shared" si="587"/>
        <v>0</v>
      </c>
      <c r="AK572" s="108">
        <f t="shared" si="588"/>
        <v>0</v>
      </c>
      <c r="AL572" s="108">
        <f t="shared" si="589"/>
        <v>0</v>
      </c>
      <c r="AN572" s="100">
        <v>15</v>
      </c>
      <c r="AO572" s="100">
        <f t="shared" si="590"/>
        <v>0</v>
      </c>
      <c r="AP572" s="100">
        <f t="shared" si="591"/>
        <v>0</v>
      </c>
      <c r="AQ572" s="111" t="s">
        <v>7</v>
      </c>
      <c r="AV572" s="100">
        <f t="shared" si="592"/>
        <v>0</v>
      </c>
      <c r="AW572" s="100">
        <f t="shared" si="593"/>
        <v>0</v>
      </c>
      <c r="AX572" s="100">
        <f t="shared" si="594"/>
        <v>0</v>
      </c>
      <c r="AY572" s="110" t="s">
        <v>1722</v>
      </c>
      <c r="AZ572" s="110" t="s">
        <v>1730</v>
      </c>
      <c r="BA572" s="109" t="s">
        <v>1737</v>
      </c>
      <c r="BC572" s="100">
        <f t="shared" si="595"/>
        <v>0</v>
      </c>
      <c r="BD572" s="100">
        <f t="shared" si="596"/>
        <v>0</v>
      </c>
      <c r="BE572" s="100">
        <v>0</v>
      </c>
      <c r="BF572" s="100">
        <f>572</f>
        <v>572</v>
      </c>
      <c r="BH572" s="108">
        <f t="shared" si="597"/>
        <v>0</v>
      </c>
      <c r="BI572" s="108">
        <f t="shared" si="598"/>
        <v>0</v>
      </c>
      <c r="BJ572" s="108">
        <f t="shared" si="599"/>
        <v>0</v>
      </c>
    </row>
    <row r="573" spans="1:62" x14ac:dyDescent="0.2">
      <c r="A573" s="117" t="s">
        <v>521</v>
      </c>
      <c r="B573" s="117" t="s">
        <v>1943</v>
      </c>
      <c r="C573" s="304" t="s">
        <v>1611</v>
      </c>
      <c r="D573" s="305"/>
      <c r="E573" s="305"/>
      <c r="F573" s="117" t="s">
        <v>1651</v>
      </c>
      <c r="G573" s="116">
        <v>1</v>
      </c>
      <c r="H573" s="159"/>
      <c r="I573" s="108">
        <f t="shared" si="576"/>
        <v>0</v>
      </c>
      <c r="J573" s="108">
        <f t="shared" si="577"/>
        <v>0</v>
      </c>
      <c r="K573" s="108">
        <f t="shared" si="578"/>
        <v>0</v>
      </c>
      <c r="L573" s="111"/>
      <c r="Z573" s="100">
        <f t="shared" si="579"/>
        <v>0</v>
      </c>
      <c r="AB573" s="100">
        <f t="shared" si="580"/>
        <v>0</v>
      </c>
      <c r="AC573" s="100">
        <f t="shared" si="581"/>
        <v>0</v>
      </c>
      <c r="AD573" s="100">
        <f t="shared" si="582"/>
        <v>0</v>
      </c>
      <c r="AE573" s="100">
        <f t="shared" si="583"/>
        <v>0</v>
      </c>
      <c r="AF573" s="100">
        <f t="shared" si="584"/>
        <v>0</v>
      </c>
      <c r="AG573" s="100">
        <f t="shared" si="585"/>
        <v>0</v>
      </c>
      <c r="AH573" s="100">
        <f t="shared" si="586"/>
        <v>0</v>
      </c>
      <c r="AI573" s="109"/>
      <c r="AJ573" s="108">
        <f t="shared" si="587"/>
        <v>0</v>
      </c>
      <c r="AK573" s="108">
        <f t="shared" si="588"/>
        <v>0</v>
      </c>
      <c r="AL573" s="108">
        <f t="shared" si="589"/>
        <v>0</v>
      </c>
      <c r="AN573" s="100">
        <v>15</v>
      </c>
      <c r="AO573" s="100">
        <f t="shared" si="590"/>
        <v>0</v>
      </c>
      <c r="AP573" s="100">
        <f t="shared" si="591"/>
        <v>0</v>
      </c>
      <c r="AQ573" s="111" t="s">
        <v>7</v>
      </c>
      <c r="AV573" s="100">
        <f t="shared" si="592"/>
        <v>0</v>
      </c>
      <c r="AW573" s="100">
        <f t="shared" si="593"/>
        <v>0</v>
      </c>
      <c r="AX573" s="100">
        <f t="shared" si="594"/>
        <v>0</v>
      </c>
      <c r="AY573" s="110" t="s">
        <v>1722</v>
      </c>
      <c r="AZ573" s="110" t="s">
        <v>1730</v>
      </c>
      <c r="BA573" s="109" t="s">
        <v>1737</v>
      </c>
      <c r="BC573" s="100">
        <f t="shared" si="595"/>
        <v>0</v>
      </c>
      <c r="BD573" s="100">
        <f t="shared" si="596"/>
        <v>0</v>
      </c>
      <c r="BE573" s="100">
        <v>0</v>
      </c>
      <c r="BF573" s="100">
        <f>573</f>
        <v>573</v>
      </c>
      <c r="BH573" s="108">
        <f t="shared" si="597"/>
        <v>0</v>
      </c>
      <c r="BI573" s="108">
        <f t="shared" si="598"/>
        <v>0</v>
      </c>
      <c r="BJ573" s="108">
        <f t="shared" si="599"/>
        <v>0</v>
      </c>
    </row>
    <row r="574" spans="1:62" x14ac:dyDescent="0.2">
      <c r="A574" s="117" t="s">
        <v>522</v>
      </c>
      <c r="B574" s="117" t="s">
        <v>1942</v>
      </c>
      <c r="C574" s="304" t="s">
        <v>1612</v>
      </c>
      <c r="D574" s="305"/>
      <c r="E574" s="305"/>
      <c r="F574" s="117" t="s">
        <v>1646</v>
      </c>
      <c r="G574" s="116">
        <v>130</v>
      </c>
      <c r="H574" s="159"/>
      <c r="I574" s="108">
        <f t="shared" si="576"/>
        <v>0</v>
      </c>
      <c r="J574" s="108">
        <f t="shared" si="577"/>
        <v>0</v>
      </c>
      <c r="K574" s="108">
        <f t="shared" si="578"/>
        <v>0</v>
      </c>
      <c r="L574" s="111"/>
      <c r="Z574" s="100">
        <f t="shared" si="579"/>
        <v>0</v>
      </c>
      <c r="AB574" s="100">
        <f t="shared" si="580"/>
        <v>0</v>
      </c>
      <c r="AC574" s="100">
        <f t="shared" si="581"/>
        <v>0</v>
      </c>
      <c r="AD574" s="100">
        <f t="shared" si="582"/>
        <v>0</v>
      </c>
      <c r="AE574" s="100">
        <f t="shared" si="583"/>
        <v>0</v>
      </c>
      <c r="AF574" s="100">
        <f t="shared" si="584"/>
        <v>0</v>
      </c>
      <c r="AG574" s="100">
        <f t="shared" si="585"/>
        <v>0</v>
      </c>
      <c r="AH574" s="100">
        <f t="shared" si="586"/>
        <v>0</v>
      </c>
      <c r="AI574" s="109"/>
      <c r="AJ574" s="108">
        <f t="shared" si="587"/>
        <v>0</v>
      </c>
      <c r="AK574" s="108">
        <f t="shared" si="588"/>
        <v>0</v>
      </c>
      <c r="AL574" s="108">
        <f t="shared" si="589"/>
        <v>0</v>
      </c>
      <c r="AN574" s="100">
        <v>15</v>
      </c>
      <c r="AO574" s="100">
        <f t="shared" si="590"/>
        <v>0</v>
      </c>
      <c r="AP574" s="100">
        <f t="shared" si="591"/>
        <v>0</v>
      </c>
      <c r="AQ574" s="111" t="s">
        <v>7</v>
      </c>
      <c r="AV574" s="100">
        <f t="shared" si="592"/>
        <v>0</v>
      </c>
      <c r="AW574" s="100">
        <f t="shared" si="593"/>
        <v>0</v>
      </c>
      <c r="AX574" s="100">
        <f t="shared" si="594"/>
        <v>0</v>
      </c>
      <c r="AY574" s="110" t="s">
        <v>1722</v>
      </c>
      <c r="AZ574" s="110" t="s">
        <v>1730</v>
      </c>
      <c r="BA574" s="109" t="s">
        <v>1737</v>
      </c>
      <c r="BC574" s="100">
        <f t="shared" si="595"/>
        <v>0</v>
      </c>
      <c r="BD574" s="100">
        <f t="shared" si="596"/>
        <v>0</v>
      </c>
      <c r="BE574" s="100">
        <v>0</v>
      </c>
      <c r="BF574" s="100">
        <f>574</f>
        <v>574</v>
      </c>
      <c r="BH574" s="108">
        <f t="shared" si="597"/>
        <v>0</v>
      </c>
      <c r="BI574" s="108">
        <f t="shared" si="598"/>
        <v>0</v>
      </c>
      <c r="BJ574" s="108">
        <f t="shared" si="599"/>
        <v>0</v>
      </c>
    </row>
    <row r="575" spans="1:62" x14ac:dyDescent="0.2">
      <c r="A575" s="117" t="s">
        <v>523</v>
      </c>
      <c r="B575" s="117" t="s">
        <v>1941</v>
      </c>
      <c r="C575" s="304" t="s">
        <v>1613</v>
      </c>
      <c r="D575" s="305"/>
      <c r="E575" s="305"/>
      <c r="F575" s="117" t="s">
        <v>1646</v>
      </c>
      <c r="G575" s="116">
        <v>30</v>
      </c>
      <c r="H575" s="159"/>
      <c r="I575" s="108">
        <f t="shared" si="576"/>
        <v>0</v>
      </c>
      <c r="J575" s="108">
        <f t="shared" si="577"/>
        <v>0</v>
      </c>
      <c r="K575" s="108">
        <f t="shared" si="578"/>
        <v>0</v>
      </c>
      <c r="L575" s="111"/>
      <c r="Z575" s="100">
        <f t="shared" si="579"/>
        <v>0</v>
      </c>
      <c r="AB575" s="100">
        <f t="shared" si="580"/>
        <v>0</v>
      </c>
      <c r="AC575" s="100">
        <f t="shared" si="581"/>
        <v>0</v>
      </c>
      <c r="AD575" s="100">
        <f t="shared" si="582"/>
        <v>0</v>
      </c>
      <c r="AE575" s="100">
        <f t="shared" si="583"/>
        <v>0</v>
      </c>
      <c r="AF575" s="100">
        <f t="shared" si="584"/>
        <v>0</v>
      </c>
      <c r="AG575" s="100">
        <f t="shared" si="585"/>
        <v>0</v>
      </c>
      <c r="AH575" s="100">
        <f t="shared" si="586"/>
        <v>0</v>
      </c>
      <c r="AI575" s="109"/>
      <c r="AJ575" s="108">
        <f t="shared" si="587"/>
        <v>0</v>
      </c>
      <c r="AK575" s="108">
        <f t="shared" si="588"/>
        <v>0</v>
      </c>
      <c r="AL575" s="108">
        <f t="shared" si="589"/>
        <v>0</v>
      </c>
      <c r="AN575" s="100">
        <v>15</v>
      </c>
      <c r="AO575" s="100">
        <f t="shared" si="590"/>
        <v>0</v>
      </c>
      <c r="AP575" s="100">
        <f t="shared" si="591"/>
        <v>0</v>
      </c>
      <c r="AQ575" s="111" t="s">
        <v>7</v>
      </c>
      <c r="AV575" s="100">
        <f t="shared" si="592"/>
        <v>0</v>
      </c>
      <c r="AW575" s="100">
        <f t="shared" si="593"/>
        <v>0</v>
      </c>
      <c r="AX575" s="100">
        <f t="shared" si="594"/>
        <v>0</v>
      </c>
      <c r="AY575" s="110" t="s">
        <v>1722</v>
      </c>
      <c r="AZ575" s="110" t="s">
        <v>1730</v>
      </c>
      <c r="BA575" s="109" t="s">
        <v>1737</v>
      </c>
      <c r="BC575" s="100">
        <f t="shared" si="595"/>
        <v>0</v>
      </c>
      <c r="BD575" s="100">
        <f t="shared" si="596"/>
        <v>0</v>
      </c>
      <c r="BE575" s="100">
        <v>0</v>
      </c>
      <c r="BF575" s="100">
        <f>575</f>
        <v>575</v>
      </c>
      <c r="BH575" s="108">
        <f t="shared" si="597"/>
        <v>0</v>
      </c>
      <c r="BI575" s="108">
        <f t="shared" si="598"/>
        <v>0</v>
      </c>
      <c r="BJ575" s="108">
        <f t="shared" si="599"/>
        <v>0</v>
      </c>
    </row>
    <row r="576" spans="1:62" x14ac:dyDescent="0.2">
      <c r="A576" s="117" t="s">
        <v>524</v>
      </c>
      <c r="B576" s="117" t="s">
        <v>1940</v>
      </c>
      <c r="C576" s="304" t="s">
        <v>1614</v>
      </c>
      <c r="D576" s="305"/>
      <c r="E576" s="305"/>
      <c r="F576" s="117" t="s">
        <v>1646</v>
      </c>
      <c r="G576" s="116">
        <v>45</v>
      </c>
      <c r="H576" s="159"/>
      <c r="I576" s="108">
        <f t="shared" si="576"/>
        <v>0</v>
      </c>
      <c r="J576" s="108">
        <f t="shared" si="577"/>
        <v>0</v>
      </c>
      <c r="K576" s="108">
        <f t="shared" si="578"/>
        <v>0</v>
      </c>
      <c r="L576" s="111"/>
      <c r="Z576" s="100">
        <f t="shared" si="579"/>
        <v>0</v>
      </c>
      <c r="AB576" s="100">
        <f t="shared" si="580"/>
        <v>0</v>
      </c>
      <c r="AC576" s="100">
        <f t="shared" si="581"/>
        <v>0</v>
      </c>
      <c r="AD576" s="100">
        <f t="shared" si="582"/>
        <v>0</v>
      </c>
      <c r="AE576" s="100">
        <f t="shared" si="583"/>
        <v>0</v>
      </c>
      <c r="AF576" s="100">
        <f t="shared" si="584"/>
        <v>0</v>
      </c>
      <c r="AG576" s="100">
        <f t="shared" si="585"/>
        <v>0</v>
      </c>
      <c r="AH576" s="100">
        <f t="shared" si="586"/>
        <v>0</v>
      </c>
      <c r="AI576" s="109"/>
      <c r="AJ576" s="108">
        <f t="shared" si="587"/>
        <v>0</v>
      </c>
      <c r="AK576" s="108">
        <f t="shared" si="588"/>
        <v>0</v>
      </c>
      <c r="AL576" s="108">
        <f t="shared" si="589"/>
        <v>0</v>
      </c>
      <c r="AN576" s="100">
        <v>15</v>
      </c>
      <c r="AO576" s="100">
        <f t="shared" si="590"/>
        <v>0</v>
      </c>
      <c r="AP576" s="100">
        <f t="shared" si="591"/>
        <v>0</v>
      </c>
      <c r="AQ576" s="111" t="s">
        <v>7</v>
      </c>
      <c r="AV576" s="100">
        <f t="shared" si="592"/>
        <v>0</v>
      </c>
      <c r="AW576" s="100">
        <f t="shared" si="593"/>
        <v>0</v>
      </c>
      <c r="AX576" s="100">
        <f t="shared" si="594"/>
        <v>0</v>
      </c>
      <c r="AY576" s="110" t="s">
        <v>1722</v>
      </c>
      <c r="AZ576" s="110" t="s">
        <v>1730</v>
      </c>
      <c r="BA576" s="109" t="s">
        <v>1737</v>
      </c>
      <c r="BC576" s="100">
        <f t="shared" si="595"/>
        <v>0</v>
      </c>
      <c r="BD576" s="100">
        <f t="shared" si="596"/>
        <v>0</v>
      </c>
      <c r="BE576" s="100">
        <v>0</v>
      </c>
      <c r="BF576" s="100">
        <f>576</f>
        <v>576</v>
      </c>
      <c r="BH576" s="108">
        <f t="shared" si="597"/>
        <v>0</v>
      </c>
      <c r="BI576" s="108">
        <f t="shared" si="598"/>
        <v>0</v>
      </c>
      <c r="BJ576" s="108">
        <f t="shared" si="599"/>
        <v>0</v>
      </c>
    </row>
    <row r="577" spans="1:62" x14ac:dyDescent="0.2">
      <c r="A577" s="117" t="s">
        <v>525</v>
      </c>
      <c r="B577" s="117" t="s">
        <v>1939</v>
      </c>
      <c r="C577" s="304" t="s">
        <v>1615</v>
      </c>
      <c r="D577" s="305"/>
      <c r="E577" s="305"/>
      <c r="F577" s="117" t="s">
        <v>1646</v>
      </c>
      <c r="G577" s="116">
        <v>25</v>
      </c>
      <c r="H577" s="159"/>
      <c r="I577" s="108">
        <f t="shared" si="576"/>
        <v>0</v>
      </c>
      <c r="J577" s="108">
        <f t="shared" si="577"/>
        <v>0</v>
      </c>
      <c r="K577" s="108">
        <f t="shared" si="578"/>
        <v>0</v>
      </c>
      <c r="L577" s="111"/>
      <c r="Z577" s="100">
        <f t="shared" si="579"/>
        <v>0</v>
      </c>
      <c r="AB577" s="100">
        <f t="shared" si="580"/>
        <v>0</v>
      </c>
      <c r="AC577" s="100">
        <f t="shared" si="581"/>
        <v>0</v>
      </c>
      <c r="AD577" s="100">
        <f t="shared" si="582"/>
        <v>0</v>
      </c>
      <c r="AE577" s="100">
        <f t="shared" si="583"/>
        <v>0</v>
      </c>
      <c r="AF577" s="100">
        <f t="shared" si="584"/>
        <v>0</v>
      </c>
      <c r="AG577" s="100">
        <f t="shared" si="585"/>
        <v>0</v>
      </c>
      <c r="AH577" s="100">
        <f t="shared" si="586"/>
        <v>0</v>
      </c>
      <c r="AI577" s="109"/>
      <c r="AJ577" s="108">
        <f t="shared" si="587"/>
        <v>0</v>
      </c>
      <c r="AK577" s="108">
        <f t="shared" si="588"/>
        <v>0</v>
      </c>
      <c r="AL577" s="108">
        <f t="shared" si="589"/>
        <v>0</v>
      </c>
      <c r="AN577" s="100">
        <v>15</v>
      </c>
      <c r="AO577" s="100">
        <f t="shared" si="590"/>
        <v>0</v>
      </c>
      <c r="AP577" s="100">
        <f t="shared" si="591"/>
        <v>0</v>
      </c>
      <c r="AQ577" s="111" t="s">
        <v>7</v>
      </c>
      <c r="AV577" s="100">
        <f t="shared" si="592"/>
        <v>0</v>
      </c>
      <c r="AW577" s="100">
        <f t="shared" si="593"/>
        <v>0</v>
      </c>
      <c r="AX577" s="100">
        <f t="shared" si="594"/>
        <v>0</v>
      </c>
      <c r="AY577" s="110" t="s">
        <v>1722</v>
      </c>
      <c r="AZ577" s="110" t="s">
        <v>1730</v>
      </c>
      <c r="BA577" s="109" t="s">
        <v>1737</v>
      </c>
      <c r="BC577" s="100">
        <f t="shared" si="595"/>
        <v>0</v>
      </c>
      <c r="BD577" s="100">
        <f t="shared" si="596"/>
        <v>0</v>
      </c>
      <c r="BE577" s="100">
        <v>0</v>
      </c>
      <c r="BF577" s="100">
        <f>577</f>
        <v>577</v>
      </c>
      <c r="BH577" s="108">
        <f t="shared" si="597"/>
        <v>0</v>
      </c>
      <c r="BI577" s="108">
        <f t="shared" si="598"/>
        <v>0</v>
      </c>
      <c r="BJ577" s="108">
        <f t="shared" si="599"/>
        <v>0</v>
      </c>
    </row>
    <row r="578" spans="1:62" x14ac:dyDescent="0.2">
      <c r="A578" s="117" t="s">
        <v>526</v>
      </c>
      <c r="B578" s="117" t="s">
        <v>1938</v>
      </c>
      <c r="C578" s="304" t="s">
        <v>1616</v>
      </c>
      <c r="D578" s="305"/>
      <c r="E578" s="305"/>
      <c r="F578" s="117" t="s">
        <v>1646</v>
      </c>
      <c r="G578" s="116">
        <v>25</v>
      </c>
      <c r="H578" s="159"/>
      <c r="I578" s="108">
        <f t="shared" si="576"/>
        <v>0</v>
      </c>
      <c r="J578" s="108">
        <f t="shared" si="577"/>
        <v>0</v>
      </c>
      <c r="K578" s="108">
        <f t="shared" si="578"/>
        <v>0</v>
      </c>
      <c r="L578" s="111"/>
      <c r="Z578" s="100">
        <f t="shared" si="579"/>
        <v>0</v>
      </c>
      <c r="AB578" s="100">
        <f t="shared" si="580"/>
        <v>0</v>
      </c>
      <c r="AC578" s="100">
        <f t="shared" si="581"/>
        <v>0</v>
      </c>
      <c r="AD578" s="100">
        <f t="shared" si="582"/>
        <v>0</v>
      </c>
      <c r="AE578" s="100">
        <f t="shared" si="583"/>
        <v>0</v>
      </c>
      <c r="AF578" s="100">
        <f t="shared" si="584"/>
        <v>0</v>
      </c>
      <c r="AG578" s="100">
        <f t="shared" si="585"/>
        <v>0</v>
      </c>
      <c r="AH578" s="100">
        <f t="shared" si="586"/>
        <v>0</v>
      </c>
      <c r="AI578" s="109"/>
      <c r="AJ578" s="108">
        <f t="shared" si="587"/>
        <v>0</v>
      </c>
      <c r="AK578" s="108">
        <f t="shared" si="588"/>
        <v>0</v>
      </c>
      <c r="AL578" s="108">
        <f t="shared" si="589"/>
        <v>0</v>
      </c>
      <c r="AN578" s="100">
        <v>15</v>
      </c>
      <c r="AO578" s="100">
        <f t="shared" si="590"/>
        <v>0</v>
      </c>
      <c r="AP578" s="100">
        <f t="shared" si="591"/>
        <v>0</v>
      </c>
      <c r="AQ578" s="111" t="s">
        <v>7</v>
      </c>
      <c r="AV578" s="100">
        <f t="shared" si="592"/>
        <v>0</v>
      </c>
      <c r="AW578" s="100">
        <f t="shared" si="593"/>
        <v>0</v>
      </c>
      <c r="AX578" s="100">
        <f t="shared" si="594"/>
        <v>0</v>
      </c>
      <c r="AY578" s="110" t="s">
        <v>1722</v>
      </c>
      <c r="AZ578" s="110" t="s">
        <v>1730</v>
      </c>
      <c r="BA578" s="109" t="s">
        <v>1737</v>
      </c>
      <c r="BC578" s="100">
        <f t="shared" si="595"/>
        <v>0</v>
      </c>
      <c r="BD578" s="100">
        <f t="shared" si="596"/>
        <v>0</v>
      </c>
      <c r="BE578" s="100">
        <v>0</v>
      </c>
      <c r="BF578" s="100">
        <f>578</f>
        <v>578</v>
      </c>
      <c r="BH578" s="108">
        <f t="shared" si="597"/>
        <v>0</v>
      </c>
      <c r="BI578" s="108">
        <f t="shared" si="598"/>
        <v>0</v>
      </c>
      <c r="BJ578" s="108">
        <f t="shared" si="599"/>
        <v>0</v>
      </c>
    </row>
    <row r="579" spans="1:62" x14ac:dyDescent="0.2">
      <c r="A579" s="117" t="s">
        <v>527</v>
      </c>
      <c r="B579" s="117" t="s">
        <v>1937</v>
      </c>
      <c r="C579" s="304" t="s">
        <v>1617</v>
      </c>
      <c r="D579" s="305"/>
      <c r="E579" s="305"/>
      <c r="F579" s="117" t="s">
        <v>1646</v>
      </c>
      <c r="G579" s="116">
        <v>20</v>
      </c>
      <c r="H579" s="159"/>
      <c r="I579" s="108">
        <f t="shared" si="576"/>
        <v>0</v>
      </c>
      <c r="J579" s="108">
        <f t="shared" si="577"/>
        <v>0</v>
      </c>
      <c r="K579" s="108">
        <f t="shared" si="578"/>
        <v>0</v>
      </c>
      <c r="L579" s="111"/>
      <c r="Z579" s="100">
        <f t="shared" si="579"/>
        <v>0</v>
      </c>
      <c r="AB579" s="100">
        <f t="shared" si="580"/>
        <v>0</v>
      </c>
      <c r="AC579" s="100">
        <f t="shared" si="581"/>
        <v>0</v>
      </c>
      <c r="AD579" s="100">
        <f t="shared" si="582"/>
        <v>0</v>
      </c>
      <c r="AE579" s="100">
        <f t="shared" si="583"/>
        <v>0</v>
      </c>
      <c r="AF579" s="100">
        <f t="shared" si="584"/>
        <v>0</v>
      </c>
      <c r="AG579" s="100">
        <f t="shared" si="585"/>
        <v>0</v>
      </c>
      <c r="AH579" s="100">
        <f t="shared" si="586"/>
        <v>0</v>
      </c>
      <c r="AI579" s="109"/>
      <c r="AJ579" s="108">
        <f t="shared" si="587"/>
        <v>0</v>
      </c>
      <c r="AK579" s="108">
        <f t="shared" si="588"/>
        <v>0</v>
      </c>
      <c r="AL579" s="108">
        <f t="shared" si="589"/>
        <v>0</v>
      </c>
      <c r="AN579" s="100">
        <v>15</v>
      </c>
      <c r="AO579" s="100">
        <f t="shared" si="590"/>
        <v>0</v>
      </c>
      <c r="AP579" s="100">
        <f t="shared" si="591"/>
        <v>0</v>
      </c>
      <c r="AQ579" s="111" t="s">
        <v>7</v>
      </c>
      <c r="AV579" s="100">
        <f t="shared" si="592"/>
        <v>0</v>
      </c>
      <c r="AW579" s="100">
        <f t="shared" si="593"/>
        <v>0</v>
      </c>
      <c r="AX579" s="100">
        <f t="shared" si="594"/>
        <v>0</v>
      </c>
      <c r="AY579" s="110" t="s">
        <v>1722</v>
      </c>
      <c r="AZ579" s="110" t="s">
        <v>1730</v>
      </c>
      <c r="BA579" s="109" t="s">
        <v>1737</v>
      </c>
      <c r="BC579" s="100">
        <f t="shared" si="595"/>
        <v>0</v>
      </c>
      <c r="BD579" s="100">
        <f t="shared" si="596"/>
        <v>0</v>
      </c>
      <c r="BE579" s="100">
        <v>0</v>
      </c>
      <c r="BF579" s="100">
        <f>579</f>
        <v>579</v>
      </c>
      <c r="BH579" s="108">
        <f t="shared" si="597"/>
        <v>0</v>
      </c>
      <c r="BI579" s="108">
        <f t="shared" si="598"/>
        <v>0</v>
      </c>
      <c r="BJ579" s="108">
        <f t="shared" si="599"/>
        <v>0</v>
      </c>
    </row>
    <row r="580" spans="1:62" x14ac:dyDescent="0.2">
      <c r="A580" s="117" t="s">
        <v>528</v>
      </c>
      <c r="B580" s="117" t="s">
        <v>1936</v>
      </c>
      <c r="C580" s="304" t="s">
        <v>1618</v>
      </c>
      <c r="D580" s="305"/>
      <c r="E580" s="305"/>
      <c r="F580" s="117" t="s">
        <v>1646</v>
      </c>
      <c r="G580" s="116">
        <v>25</v>
      </c>
      <c r="H580" s="159"/>
      <c r="I580" s="108">
        <f t="shared" si="576"/>
        <v>0</v>
      </c>
      <c r="J580" s="108">
        <f t="shared" si="577"/>
        <v>0</v>
      </c>
      <c r="K580" s="108">
        <f t="shared" si="578"/>
        <v>0</v>
      </c>
      <c r="L580" s="111"/>
      <c r="Z580" s="100">
        <f t="shared" si="579"/>
        <v>0</v>
      </c>
      <c r="AB580" s="100">
        <f t="shared" si="580"/>
        <v>0</v>
      </c>
      <c r="AC580" s="100">
        <f t="shared" si="581"/>
        <v>0</v>
      </c>
      <c r="AD580" s="100">
        <f t="shared" si="582"/>
        <v>0</v>
      </c>
      <c r="AE580" s="100">
        <f t="shared" si="583"/>
        <v>0</v>
      </c>
      <c r="AF580" s="100">
        <f t="shared" si="584"/>
        <v>0</v>
      </c>
      <c r="AG580" s="100">
        <f t="shared" si="585"/>
        <v>0</v>
      </c>
      <c r="AH580" s="100">
        <f t="shared" si="586"/>
        <v>0</v>
      </c>
      <c r="AI580" s="109"/>
      <c r="AJ580" s="108">
        <f t="shared" si="587"/>
        <v>0</v>
      </c>
      <c r="AK580" s="108">
        <f t="shared" si="588"/>
        <v>0</v>
      </c>
      <c r="AL580" s="108">
        <f t="shared" si="589"/>
        <v>0</v>
      </c>
      <c r="AN580" s="100">
        <v>15</v>
      </c>
      <c r="AO580" s="100">
        <f t="shared" si="590"/>
        <v>0</v>
      </c>
      <c r="AP580" s="100">
        <f t="shared" si="591"/>
        <v>0</v>
      </c>
      <c r="AQ580" s="111" t="s">
        <v>7</v>
      </c>
      <c r="AV580" s="100">
        <f t="shared" si="592"/>
        <v>0</v>
      </c>
      <c r="AW580" s="100">
        <f t="shared" si="593"/>
        <v>0</v>
      </c>
      <c r="AX580" s="100">
        <f t="shared" si="594"/>
        <v>0</v>
      </c>
      <c r="AY580" s="110" t="s">
        <v>1722</v>
      </c>
      <c r="AZ580" s="110" t="s">
        <v>1730</v>
      </c>
      <c r="BA580" s="109" t="s">
        <v>1737</v>
      </c>
      <c r="BC580" s="100">
        <f t="shared" si="595"/>
        <v>0</v>
      </c>
      <c r="BD580" s="100">
        <f t="shared" si="596"/>
        <v>0</v>
      </c>
      <c r="BE580" s="100">
        <v>0</v>
      </c>
      <c r="BF580" s="100">
        <f>580</f>
        <v>580</v>
      </c>
      <c r="BH580" s="108">
        <f t="shared" si="597"/>
        <v>0</v>
      </c>
      <c r="BI580" s="108">
        <f t="shared" si="598"/>
        <v>0</v>
      </c>
      <c r="BJ580" s="108">
        <f t="shared" si="599"/>
        <v>0</v>
      </c>
    </row>
    <row r="581" spans="1:62" x14ac:dyDescent="0.2">
      <c r="A581" s="117" t="s">
        <v>529</v>
      </c>
      <c r="B581" s="117" t="s">
        <v>1935</v>
      </c>
      <c r="C581" s="304" t="s">
        <v>1619</v>
      </c>
      <c r="D581" s="305"/>
      <c r="E581" s="305"/>
      <c r="F581" s="117" t="s">
        <v>1644</v>
      </c>
      <c r="G581" s="116">
        <v>1</v>
      </c>
      <c r="H581" s="159"/>
      <c r="I581" s="108">
        <f t="shared" si="576"/>
        <v>0</v>
      </c>
      <c r="J581" s="108">
        <f t="shared" si="577"/>
        <v>0</v>
      </c>
      <c r="K581" s="108">
        <f t="shared" si="578"/>
        <v>0</v>
      </c>
      <c r="L581" s="111"/>
      <c r="Z581" s="100">
        <f t="shared" si="579"/>
        <v>0</v>
      </c>
      <c r="AB581" s="100">
        <f t="shared" si="580"/>
        <v>0</v>
      </c>
      <c r="AC581" s="100">
        <f t="shared" si="581"/>
        <v>0</v>
      </c>
      <c r="AD581" s="100">
        <f t="shared" si="582"/>
        <v>0</v>
      </c>
      <c r="AE581" s="100">
        <f t="shared" si="583"/>
        <v>0</v>
      </c>
      <c r="AF581" s="100">
        <f t="shared" si="584"/>
        <v>0</v>
      </c>
      <c r="AG581" s="100">
        <f t="shared" si="585"/>
        <v>0</v>
      </c>
      <c r="AH581" s="100">
        <f t="shared" si="586"/>
        <v>0</v>
      </c>
      <c r="AI581" s="109"/>
      <c r="AJ581" s="108">
        <f t="shared" si="587"/>
        <v>0</v>
      </c>
      <c r="AK581" s="108">
        <f t="shared" si="588"/>
        <v>0</v>
      </c>
      <c r="AL581" s="108">
        <f t="shared" si="589"/>
        <v>0</v>
      </c>
      <c r="AN581" s="100">
        <v>15</v>
      </c>
      <c r="AO581" s="100">
        <f t="shared" si="590"/>
        <v>0</v>
      </c>
      <c r="AP581" s="100">
        <f t="shared" si="591"/>
        <v>0</v>
      </c>
      <c r="AQ581" s="111" t="s">
        <v>7</v>
      </c>
      <c r="AV581" s="100">
        <f t="shared" si="592"/>
        <v>0</v>
      </c>
      <c r="AW581" s="100">
        <f t="shared" si="593"/>
        <v>0</v>
      </c>
      <c r="AX581" s="100">
        <f t="shared" si="594"/>
        <v>0</v>
      </c>
      <c r="AY581" s="110" t="s">
        <v>1722</v>
      </c>
      <c r="AZ581" s="110" t="s">
        <v>1730</v>
      </c>
      <c r="BA581" s="109" t="s">
        <v>1737</v>
      </c>
      <c r="BC581" s="100">
        <f t="shared" si="595"/>
        <v>0</v>
      </c>
      <c r="BD581" s="100">
        <f t="shared" si="596"/>
        <v>0</v>
      </c>
      <c r="BE581" s="100">
        <v>0</v>
      </c>
      <c r="BF581" s="100">
        <f>581</f>
        <v>581</v>
      </c>
      <c r="BH581" s="108">
        <f t="shared" si="597"/>
        <v>0</v>
      </c>
      <c r="BI581" s="108">
        <f t="shared" si="598"/>
        <v>0</v>
      </c>
      <c r="BJ581" s="108">
        <f t="shared" si="599"/>
        <v>0</v>
      </c>
    </row>
    <row r="582" spans="1:62" x14ac:dyDescent="0.2">
      <c r="A582" s="117" t="s">
        <v>530</v>
      </c>
      <c r="B582" s="117" t="s">
        <v>1934</v>
      </c>
      <c r="C582" s="304" t="s">
        <v>1620</v>
      </c>
      <c r="D582" s="305"/>
      <c r="E582" s="305"/>
      <c r="F582" s="117" t="s">
        <v>1644</v>
      </c>
      <c r="G582" s="116">
        <v>1</v>
      </c>
      <c r="H582" s="159"/>
      <c r="I582" s="108">
        <f t="shared" si="576"/>
        <v>0</v>
      </c>
      <c r="J582" s="108">
        <f t="shared" si="577"/>
        <v>0</v>
      </c>
      <c r="K582" s="108">
        <f t="shared" si="578"/>
        <v>0</v>
      </c>
      <c r="L582" s="111"/>
      <c r="Z582" s="100">
        <f t="shared" si="579"/>
        <v>0</v>
      </c>
      <c r="AB582" s="100">
        <f t="shared" si="580"/>
        <v>0</v>
      </c>
      <c r="AC582" s="100">
        <f t="shared" si="581"/>
        <v>0</v>
      </c>
      <c r="AD582" s="100">
        <f t="shared" si="582"/>
        <v>0</v>
      </c>
      <c r="AE582" s="100">
        <f t="shared" si="583"/>
        <v>0</v>
      </c>
      <c r="AF582" s="100">
        <f t="shared" si="584"/>
        <v>0</v>
      </c>
      <c r="AG582" s="100">
        <f t="shared" si="585"/>
        <v>0</v>
      </c>
      <c r="AH582" s="100">
        <f t="shared" si="586"/>
        <v>0</v>
      </c>
      <c r="AI582" s="109"/>
      <c r="AJ582" s="108">
        <f t="shared" si="587"/>
        <v>0</v>
      </c>
      <c r="AK582" s="108">
        <f t="shared" si="588"/>
        <v>0</v>
      </c>
      <c r="AL582" s="108">
        <f t="shared" si="589"/>
        <v>0</v>
      </c>
      <c r="AN582" s="100">
        <v>15</v>
      </c>
      <c r="AO582" s="100">
        <f t="shared" si="590"/>
        <v>0</v>
      </c>
      <c r="AP582" s="100">
        <f t="shared" si="591"/>
        <v>0</v>
      </c>
      <c r="AQ582" s="111" t="s">
        <v>7</v>
      </c>
      <c r="AV582" s="100">
        <f t="shared" si="592"/>
        <v>0</v>
      </c>
      <c r="AW582" s="100">
        <f t="shared" si="593"/>
        <v>0</v>
      </c>
      <c r="AX582" s="100">
        <f t="shared" si="594"/>
        <v>0</v>
      </c>
      <c r="AY582" s="110" t="s">
        <v>1722</v>
      </c>
      <c r="AZ582" s="110" t="s">
        <v>1730</v>
      </c>
      <c r="BA582" s="109" t="s">
        <v>1737</v>
      </c>
      <c r="BC582" s="100">
        <f t="shared" si="595"/>
        <v>0</v>
      </c>
      <c r="BD582" s="100">
        <f t="shared" si="596"/>
        <v>0</v>
      </c>
      <c r="BE582" s="100">
        <v>0</v>
      </c>
      <c r="BF582" s="100">
        <f>582</f>
        <v>582</v>
      </c>
      <c r="BH582" s="108">
        <f t="shared" si="597"/>
        <v>0</v>
      </c>
      <c r="BI582" s="108">
        <f t="shared" si="598"/>
        <v>0</v>
      </c>
      <c r="BJ582" s="108">
        <f t="shared" si="599"/>
        <v>0</v>
      </c>
    </row>
    <row r="583" spans="1:62" x14ac:dyDescent="0.2">
      <c r="A583" s="117" t="s">
        <v>531</v>
      </c>
      <c r="B583" s="117" t="s">
        <v>1933</v>
      </c>
      <c r="C583" s="304" t="s">
        <v>1621</v>
      </c>
      <c r="D583" s="305"/>
      <c r="E583" s="305"/>
      <c r="F583" s="117" t="s">
        <v>1644</v>
      </c>
      <c r="G583" s="116">
        <v>1</v>
      </c>
      <c r="H583" s="159"/>
      <c r="I583" s="108">
        <f t="shared" ref="I583:I592" si="600">G583*AO583</f>
        <v>0</v>
      </c>
      <c r="J583" s="108">
        <f t="shared" ref="J583:J592" si="601">G583*AP583</f>
        <v>0</v>
      </c>
      <c r="K583" s="108">
        <f t="shared" ref="K583:K592" si="602">G583*H583</f>
        <v>0</v>
      </c>
      <c r="L583" s="111"/>
      <c r="Z583" s="100">
        <f t="shared" ref="Z583:Z592" si="603">IF(AQ583="5",BJ583,0)</f>
        <v>0</v>
      </c>
      <c r="AB583" s="100">
        <f t="shared" ref="AB583:AB592" si="604">IF(AQ583="1",BH583,0)</f>
        <v>0</v>
      </c>
      <c r="AC583" s="100">
        <f t="shared" ref="AC583:AC592" si="605">IF(AQ583="1",BI583,0)</f>
        <v>0</v>
      </c>
      <c r="AD583" s="100">
        <f t="shared" ref="AD583:AD592" si="606">IF(AQ583="7",BH583,0)</f>
        <v>0</v>
      </c>
      <c r="AE583" s="100">
        <f t="shared" ref="AE583:AE592" si="607">IF(AQ583="7",BI583,0)</f>
        <v>0</v>
      </c>
      <c r="AF583" s="100">
        <f t="shared" ref="AF583:AF592" si="608">IF(AQ583="2",BH583,0)</f>
        <v>0</v>
      </c>
      <c r="AG583" s="100">
        <f t="shared" ref="AG583:AG592" si="609">IF(AQ583="2",BI583,0)</f>
        <v>0</v>
      </c>
      <c r="AH583" s="100">
        <f t="shared" ref="AH583:AH592" si="610">IF(AQ583="0",BJ583,0)</f>
        <v>0</v>
      </c>
      <c r="AI583" s="109"/>
      <c r="AJ583" s="108">
        <f t="shared" ref="AJ583:AJ592" si="611">IF(AN583=0,K583,0)</f>
        <v>0</v>
      </c>
      <c r="AK583" s="108">
        <f t="shared" ref="AK583:AK592" si="612">IF(AN583=15,K583,0)</f>
        <v>0</v>
      </c>
      <c r="AL583" s="108">
        <f t="shared" ref="AL583:AL592" si="613">IF(AN583=21,K583,0)</f>
        <v>0</v>
      </c>
      <c r="AN583" s="100">
        <v>15</v>
      </c>
      <c r="AO583" s="100">
        <f t="shared" ref="AO583:AO592" si="614">H583*0</f>
        <v>0</v>
      </c>
      <c r="AP583" s="100">
        <f t="shared" ref="AP583:AP592" si="615">H583*(1-0)</f>
        <v>0</v>
      </c>
      <c r="AQ583" s="111" t="s">
        <v>7</v>
      </c>
      <c r="AV583" s="100">
        <f t="shared" ref="AV583:AV592" si="616">AW583+AX583</f>
        <v>0</v>
      </c>
      <c r="AW583" s="100">
        <f t="shared" ref="AW583:AW592" si="617">G583*AO583</f>
        <v>0</v>
      </c>
      <c r="AX583" s="100">
        <f t="shared" ref="AX583:AX592" si="618">G583*AP583</f>
        <v>0</v>
      </c>
      <c r="AY583" s="110" t="s">
        <v>1722</v>
      </c>
      <c r="AZ583" s="110" t="s">
        <v>1730</v>
      </c>
      <c r="BA583" s="109" t="s">
        <v>1737</v>
      </c>
      <c r="BC583" s="100">
        <f t="shared" ref="BC583:BC592" si="619">AW583+AX583</f>
        <v>0</v>
      </c>
      <c r="BD583" s="100">
        <f t="shared" ref="BD583:BD592" si="620">H583/(100-BE583)*100</f>
        <v>0</v>
      </c>
      <c r="BE583" s="100">
        <v>0</v>
      </c>
      <c r="BF583" s="100">
        <f>583</f>
        <v>583</v>
      </c>
      <c r="BH583" s="108">
        <f t="shared" ref="BH583:BH592" si="621">G583*AO583</f>
        <v>0</v>
      </c>
      <c r="BI583" s="108">
        <f t="shared" ref="BI583:BI592" si="622">G583*AP583</f>
        <v>0</v>
      </c>
      <c r="BJ583" s="108">
        <f t="shared" ref="BJ583:BJ592" si="623">G583*H583</f>
        <v>0</v>
      </c>
    </row>
    <row r="584" spans="1:62" x14ac:dyDescent="0.2">
      <c r="A584" s="117" t="s">
        <v>532</v>
      </c>
      <c r="B584" s="117" t="s">
        <v>1932</v>
      </c>
      <c r="C584" s="304" t="s">
        <v>1622</v>
      </c>
      <c r="D584" s="305"/>
      <c r="E584" s="305"/>
      <c r="F584" s="117" t="s">
        <v>1644</v>
      </c>
      <c r="G584" s="116">
        <v>1</v>
      </c>
      <c r="H584" s="159"/>
      <c r="I584" s="108">
        <f t="shared" si="600"/>
        <v>0</v>
      </c>
      <c r="J584" s="108">
        <f t="shared" si="601"/>
        <v>0</v>
      </c>
      <c r="K584" s="108">
        <f t="shared" si="602"/>
        <v>0</v>
      </c>
      <c r="L584" s="111"/>
      <c r="Z584" s="100">
        <f t="shared" si="603"/>
        <v>0</v>
      </c>
      <c r="AB584" s="100">
        <f t="shared" si="604"/>
        <v>0</v>
      </c>
      <c r="AC584" s="100">
        <f t="shared" si="605"/>
        <v>0</v>
      </c>
      <c r="AD584" s="100">
        <f t="shared" si="606"/>
        <v>0</v>
      </c>
      <c r="AE584" s="100">
        <f t="shared" si="607"/>
        <v>0</v>
      </c>
      <c r="AF584" s="100">
        <f t="shared" si="608"/>
        <v>0</v>
      </c>
      <c r="AG584" s="100">
        <f t="shared" si="609"/>
        <v>0</v>
      </c>
      <c r="AH584" s="100">
        <f t="shared" si="610"/>
        <v>0</v>
      </c>
      <c r="AI584" s="109"/>
      <c r="AJ584" s="108">
        <f t="shared" si="611"/>
        <v>0</v>
      </c>
      <c r="AK584" s="108">
        <f t="shared" si="612"/>
        <v>0</v>
      </c>
      <c r="AL584" s="108">
        <f t="shared" si="613"/>
        <v>0</v>
      </c>
      <c r="AN584" s="100">
        <v>15</v>
      </c>
      <c r="AO584" s="100">
        <f t="shared" si="614"/>
        <v>0</v>
      </c>
      <c r="AP584" s="100">
        <f t="shared" si="615"/>
        <v>0</v>
      </c>
      <c r="AQ584" s="111" t="s">
        <v>7</v>
      </c>
      <c r="AV584" s="100">
        <f t="shared" si="616"/>
        <v>0</v>
      </c>
      <c r="AW584" s="100">
        <f t="shared" si="617"/>
        <v>0</v>
      </c>
      <c r="AX584" s="100">
        <f t="shared" si="618"/>
        <v>0</v>
      </c>
      <c r="AY584" s="110" t="s">
        <v>1722</v>
      </c>
      <c r="AZ584" s="110" t="s">
        <v>1730</v>
      </c>
      <c r="BA584" s="109" t="s">
        <v>1737</v>
      </c>
      <c r="BC584" s="100">
        <f t="shared" si="619"/>
        <v>0</v>
      </c>
      <c r="BD584" s="100">
        <f t="shared" si="620"/>
        <v>0</v>
      </c>
      <c r="BE584" s="100">
        <v>0</v>
      </c>
      <c r="BF584" s="100">
        <f>584</f>
        <v>584</v>
      </c>
      <c r="BH584" s="108">
        <f t="shared" si="621"/>
        <v>0</v>
      </c>
      <c r="BI584" s="108">
        <f t="shared" si="622"/>
        <v>0</v>
      </c>
      <c r="BJ584" s="108">
        <f t="shared" si="623"/>
        <v>0</v>
      </c>
    </row>
    <row r="585" spans="1:62" x14ac:dyDescent="0.2">
      <c r="A585" s="117" t="s">
        <v>533</v>
      </c>
      <c r="B585" s="117" t="s">
        <v>1931</v>
      </c>
      <c r="C585" s="304" t="s">
        <v>1623</v>
      </c>
      <c r="D585" s="305"/>
      <c r="E585" s="305"/>
      <c r="F585" s="117" t="s">
        <v>1644</v>
      </c>
      <c r="G585" s="116">
        <v>1</v>
      </c>
      <c r="H585" s="159"/>
      <c r="I585" s="108">
        <f t="shared" si="600"/>
        <v>0</v>
      </c>
      <c r="J585" s="108">
        <f t="shared" si="601"/>
        <v>0</v>
      </c>
      <c r="K585" s="108">
        <f t="shared" si="602"/>
        <v>0</v>
      </c>
      <c r="L585" s="111"/>
      <c r="Z585" s="100">
        <f t="shared" si="603"/>
        <v>0</v>
      </c>
      <c r="AB585" s="100">
        <f t="shared" si="604"/>
        <v>0</v>
      </c>
      <c r="AC585" s="100">
        <f t="shared" si="605"/>
        <v>0</v>
      </c>
      <c r="AD585" s="100">
        <f t="shared" si="606"/>
        <v>0</v>
      </c>
      <c r="AE585" s="100">
        <f t="shared" si="607"/>
        <v>0</v>
      </c>
      <c r="AF585" s="100">
        <f t="shared" si="608"/>
        <v>0</v>
      </c>
      <c r="AG585" s="100">
        <f t="shared" si="609"/>
        <v>0</v>
      </c>
      <c r="AH585" s="100">
        <f t="shared" si="610"/>
        <v>0</v>
      </c>
      <c r="AI585" s="109"/>
      <c r="AJ585" s="108">
        <f t="shared" si="611"/>
        <v>0</v>
      </c>
      <c r="AK585" s="108">
        <f t="shared" si="612"/>
        <v>0</v>
      </c>
      <c r="AL585" s="108">
        <f t="shared" si="613"/>
        <v>0</v>
      </c>
      <c r="AN585" s="100">
        <v>15</v>
      </c>
      <c r="AO585" s="100">
        <f t="shared" si="614"/>
        <v>0</v>
      </c>
      <c r="AP585" s="100">
        <f t="shared" si="615"/>
        <v>0</v>
      </c>
      <c r="AQ585" s="111" t="s">
        <v>7</v>
      </c>
      <c r="AV585" s="100">
        <f t="shared" si="616"/>
        <v>0</v>
      </c>
      <c r="AW585" s="100">
        <f t="shared" si="617"/>
        <v>0</v>
      </c>
      <c r="AX585" s="100">
        <f t="shared" si="618"/>
        <v>0</v>
      </c>
      <c r="AY585" s="110" t="s">
        <v>1722</v>
      </c>
      <c r="AZ585" s="110" t="s">
        <v>1730</v>
      </c>
      <c r="BA585" s="109" t="s">
        <v>1737</v>
      </c>
      <c r="BC585" s="100">
        <f t="shared" si="619"/>
        <v>0</v>
      </c>
      <c r="BD585" s="100">
        <f t="shared" si="620"/>
        <v>0</v>
      </c>
      <c r="BE585" s="100">
        <v>0</v>
      </c>
      <c r="BF585" s="100">
        <f>585</f>
        <v>585</v>
      </c>
      <c r="BH585" s="108">
        <f t="shared" si="621"/>
        <v>0</v>
      </c>
      <c r="BI585" s="108">
        <f t="shared" si="622"/>
        <v>0</v>
      </c>
      <c r="BJ585" s="108">
        <f t="shared" si="623"/>
        <v>0</v>
      </c>
    </row>
    <row r="586" spans="1:62" x14ac:dyDescent="0.2">
      <c r="A586" s="117" t="s">
        <v>534</v>
      </c>
      <c r="B586" s="117" t="s">
        <v>1930</v>
      </c>
      <c r="C586" s="304" t="s">
        <v>1624</v>
      </c>
      <c r="D586" s="305"/>
      <c r="E586" s="305"/>
      <c r="F586" s="117" t="s">
        <v>1644</v>
      </c>
      <c r="G586" s="116">
        <v>1</v>
      </c>
      <c r="H586" s="159"/>
      <c r="I586" s="108">
        <f t="shared" si="600"/>
        <v>0</v>
      </c>
      <c r="J586" s="108">
        <f t="shared" si="601"/>
        <v>0</v>
      </c>
      <c r="K586" s="108">
        <f t="shared" si="602"/>
        <v>0</v>
      </c>
      <c r="L586" s="111"/>
      <c r="Z586" s="100">
        <f t="shared" si="603"/>
        <v>0</v>
      </c>
      <c r="AB586" s="100">
        <f t="shared" si="604"/>
        <v>0</v>
      </c>
      <c r="AC586" s="100">
        <f t="shared" si="605"/>
        <v>0</v>
      </c>
      <c r="AD586" s="100">
        <f t="shared" si="606"/>
        <v>0</v>
      </c>
      <c r="AE586" s="100">
        <f t="shared" si="607"/>
        <v>0</v>
      </c>
      <c r="AF586" s="100">
        <f t="shared" si="608"/>
        <v>0</v>
      </c>
      <c r="AG586" s="100">
        <f t="shared" si="609"/>
        <v>0</v>
      </c>
      <c r="AH586" s="100">
        <f t="shared" si="610"/>
        <v>0</v>
      </c>
      <c r="AI586" s="109"/>
      <c r="AJ586" s="108">
        <f t="shared" si="611"/>
        <v>0</v>
      </c>
      <c r="AK586" s="108">
        <f t="shared" si="612"/>
        <v>0</v>
      </c>
      <c r="AL586" s="108">
        <f t="shared" si="613"/>
        <v>0</v>
      </c>
      <c r="AN586" s="100">
        <v>15</v>
      </c>
      <c r="AO586" s="100">
        <f t="shared" si="614"/>
        <v>0</v>
      </c>
      <c r="AP586" s="100">
        <f t="shared" si="615"/>
        <v>0</v>
      </c>
      <c r="AQ586" s="111" t="s">
        <v>7</v>
      </c>
      <c r="AV586" s="100">
        <f t="shared" si="616"/>
        <v>0</v>
      </c>
      <c r="AW586" s="100">
        <f t="shared" si="617"/>
        <v>0</v>
      </c>
      <c r="AX586" s="100">
        <f t="shared" si="618"/>
        <v>0</v>
      </c>
      <c r="AY586" s="110" t="s">
        <v>1722</v>
      </c>
      <c r="AZ586" s="110" t="s">
        <v>1730</v>
      </c>
      <c r="BA586" s="109" t="s">
        <v>1737</v>
      </c>
      <c r="BC586" s="100">
        <f t="shared" si="619"/>
        <v>0</v>
      </c>
      <c r="BD586" s="100">
        <f t="shared" si="620"/>
        <v>0</v>
      </c>
      <c r="BE586" s="100">
        <v>0</v>
      </c>
      <c r="BF586" s="100">
        <f>586</f>
        <v>586</v>
      </c>
      <c r="BH586" s="108">
        <f t="shared" si="621"/>
        <v>0</v>
      </c>
      <c r="BI586" s="108">
        <f t="shared" si="622"/>
        <v>0</v>
      </c>
      <c r="BJ586" s="108">
        <f t="shared" si="623"/>
        <v>0</v>
      </c>
    </row>
    <row r="587" spans="1:62" x14ac:dyDescent="0.2">
      <c r="A587" s="117" t="s">
        <v>535</v>
      </c>
      <c r="B587" s="117" t="s">
        <v>1929</v>
      </c>
      <c r="C587" s="304" t="s">
        <v>1625</v>
      </c>
      <c r="D587" s="305"/>
      <c r="E587" s="305"/>
      <c r="F587" s="117" t="s">
        <v>1644</v>
      </c>
      <c r="G587" s="116">
        <v>1</v>
      </c>
      <c r="H587" s="159"/>
      <c r="I587" s="108">
        <f t="shared" si="600"/>
        <v>0</v>
      </c>
      <c r="J587" s="108">
        <f t="shared" si="601"/>
        <v>0</v>
      </c>
      <c r="K587" s="108">
        <f t="shared" si="602"/>
        <v>0</v>
      </c>
      <c r="L587" s="111"/>
      <c r="Z587" s="100">
        <f t="shared" si="603"/>
        <v>0</v>
      </c>
      <c r="AB587" s="100">
        <f t="shared" si="604"/>
        <v>0</v>
      </c>
      <c r="AC587" s="100">
        <f t="shared" si="605"/>
        <v>0</v>
      </c>
      <c r="AD587" s="100">
        <f t="shared" si="606"/>
        <v>0</v>
      </c>
      <c r="AE587" s="100">
        <f t="shared" si="607"/>
        <v>0</v>
      </c>
      <c r="AF587" s="100">
        <f t="shared" si="608"/>
        <v>0</v>
      </c>
      <c r="AG587" s="100">
        <f t="shared" si="609"/>
        <v>0</v>
      </c>
      <c r="AH587" s="100">
        <f t="shared" si="610"/>
        <v>0</v>
      </c>
      <c r="AI587" s="109"/>
      <c r="AJ587" s="108">
        <f t="shared" si="611"/>
        <v>0</v>
      </c>
      <c r="AK587" s="108">
        <f t="shared" si="612"/>
        <v>0</v>
      </c>
      <c r="AL587" s="108">
        <f t="shared" si="613"/>
        <v>0</v>
      </c>
      <c r="AN587" s="100">
        <v>15</v>
      </c>
      <c r="AO587" s="100">
        <f t="shared" si="614"/>
        <v>0</v>
      </c>
      <c r="AP587" s="100">
        <f t="shared" si="615"/>
        <v>0</v>
      </c>
      <c r="AQ587" s="111" t="s">
        <v>7</v>
      </c>
      <c r="AV587" s="100">
        <f t="shared" si="616"/>
        <v>0</v>
      </c>
      <c r="AW587" s="100">
        <f t="shared" si="617"/>
        <v>0</v>
      </c>
      <c r="AX587" s="100">
        <f t="shared" si="618"/>
        <v>0</v>
      </c>
      <c r="AY587" s="110" t="s">
        <v>1722</v>
      </c>
      <c r="AZ587" s="110" t="s">
        <v>1730</v>
      </c>
      <c r="BA587" s="109" t="s">
        <v>1737</v>
      </c>
      <c r="BC587" s="100">
        <f t="shared" si="619"/>
        <v>0</v>
      </c>
      <c r="BD587" s="100">
        <f t="shared" si="620"/>
        <v>0</v>
      </c>
      <c r="BE587" s="100">
        <v>0</v>
      </c>
      <c r="BF587" s="100">
        <f>587</f>
        <v>587</v>
      </c>
      <c r="BH587" s="108">
        <f t="shared" si="621"/>
        <v>0</v>
      </c>
      <c r="BI587" s="108">
        <f t="shared" si="622"/>
        <v>0</v>
      </c>
      <c r="BJ587" s="108">
        <f t="shared" si="623"/>
        <v>0</v>
      </c>
    </row>
    <row r="588" spans="1:62" x14ac:dyDescent="0.2">
      <c r="A588" s="117" t="s">
        <v>536</v>
      </c>
      <c r="B588" s="117" t="s">
        <v>1928</v>
      </c>
      <c r="C588" s="304" t="s">
        <v>1626</v>
      </c>
      <c r="D588" s="305"/>
      <c r="E588" s="305"/>
      <c r="F588" s="117" t="s">
        <v>1644</v>
      </c>
      <c r="G588" s="116">
        <v>1</v>
      </c>
      <c r="H588" s="159"/>
      <c r="I588" s="108">
        <f t="shared" si="600"/>
        <v>0</v>
      </c>
      <c r="J588" s="108">
        <f t="shared" si="601"/>
        <v>0</v>
      </c>
      <c r="K588" s="108">
        <f t="shared" si="602"/>
        <v>0</v>
      </c>
      <c r="L588" s="111"/>
      <c r="Z588" s="100">
        <f t="shared" si="603"/>
        <v>0</v>
      </c>
      <c r="AB588" s="100">
        <f t="shared" si="604"/>
        <v>0</v>
      </c>
      <c r="AC588" s="100">
        <f t="shared" si="605"/>
        <v>0</v>
      </c>
      <c r="AD588" s="100">
        <f t="shared" si="606"/>
        <v>0</v>
      </c>
      <c r="AE588" s="100">
        <f t="shared" si="607"/>
        <v>0</v>
      </c>
      <c r="AF588" s="100">
        <f t="shared" si="608"/>
        <v>0</v>
      </c>
      <c r="AG588" s="100">
        <f t="shared" si="609"/>
        <v>0</v>
      </c>
      <c r="AH588" s="100">
        <f t="shared" si="610"/>
        <v>0</v>
      </c>
      <c r="AI588" s="109"/>
      <c r="AJ588" s="108">
        <f t="shared" si="611"/>
        <v>0</v>
      </c>
      <c r="AK588" s="108">
        <f t="shared" si="612"/>
        <v>0</v>
      </c>
      <c r="AL588" s="108">
        <f t="shared" si="613"/>
        <v>0</v>
      </c>
      <c r="AN588" s="100">
        <v>15</v>
      </c>
      <c r="AO588" s="100">
        <f t="shared" si="614"/>
        <v>0</v>
      </c>
      <c r="AP588" s="100">
        <f t="shared" si="615"/>
        <v>0</v>
      </c>
      <c r="AQ588" s="111" t="s">
        <v>7</v>
      </c>
      <c r="AV588" s="100">
        <f t="shared" si="616"/>
        <v>0</v>
      </c>
      <c r="AW588" s="100">
        <f t="shared" si="617"/>
        <v>0</v>
      </c>
      <c r="AX588" s="100">
        <f t="shared" si="618"/>
        <v>0</v>
      </c>
      <c r="AY588" s="110" t="s">
        <v>1722</v>
      </c>
      <c r="AZ588" s="110" t="s">
        <v>1730</v>
      </c>
      <c r="BA588" s="109" t="s">
        <v>1737</v>
      </c>
      <c r="BC588" s="100">
        <f t="shared" si="619"/>
        <v>0</v>
      </c>
      <c r="BD588" s="100">
        <f t="shared" si="620"/>
        <v>0</v>
      </c>
      <c r="BE588" s="100">
        <v>0</v>
      </c>
      <c r="BF588" s="100">
        <f>588</f>
        <v>588</v>
      </c>
      <c r="BH588" s="108">
        <f t="shared" si="621"/>
        <v>0</v>
      </c>
      <c r="BI588" s="108">
        <f t="shared" si="622"/>
        <v>0</v>
      </c>
      <c r="BJ588" s="108">
        <f t="shared" si="623"/>
        <v>0</v>
      </c>
    </row>
    <row r="589" spans="1:62" x14ac:dyDescent="0.2">
      <c r="A589" s="117" t="s">
        <v>537</v>
      </c>
      <c r="B589" s="117" t="s">
        <v>1927</v>
      </c>
      <c r="C589" s="304" t="s">
        <v>1627</v>
      </c>
      <c r="D589" s="305"/>
      <c r="E589" s="305"/>
      <c r="F589" s="117" t="s">
        <v>1644</v>
      </c>
      <c r="G589" s="116">
        <v>1</v>
      </c>
      <c r="H589" s="159"/>
      <c r="I589" s="108">
        <f t="shared" si="600"/>
        <v>0</v>
      </c>
      <c r="J589" s="108">
        <f t="shared" si="601"/>
        <v>0</v>
      </c>
      <c r="K589" s="108">
        <f t="shared" si="602"/>
        <v>0</v>
      </c>
      <c r="L589" s="111"/>
      <c r="Z589" s="100">
        <f t="shared" si="603"/>
        <v>0</v>
      </c>
      <c r="AB589" s="100">
        <f t="shared" si="604"/>
        <v>0</v>
      </c>
      <c r="AC589" s="100">
        <f t="shared" si="605"/>
        <v>0</v>
      </c>
      <c r="AD589" s="100">
        <f t="shared" si="606"/>
        <v>0</v>
      </c>
      <c r="AE589" s="100">
        <f t="shared" si="607"/>
        <v>0</v>
      </c>
      <c r="AF589" s="100">
        <f t="shared" si="608"/>
        <v>0</v>
      </c>
      <c r="AG589" s="100">
        <f t="shared" si="609"/>
        <v>0</v>
      </c>
      <c r="AH589" s="100">
        <f t="shared" si="610"/>
        <v>0</v>
      </c>
      <c r="AI589" s="109"/>
      <c r="AJ589" s="108">
        <f t="shared" si="611"/>
        <v>0</v>
      </c>
      <c r="AK589" s="108">
        <f t="shared" si="612"/>
        <v>0</v>
      </c>
      <c r="AL589" s="108">
        <f t="shared" si="613"/>
        <v>0</v>
      </c>
      <c r="AN589" s="100">
        <v>15</v>
      </c>
      <c r="AO589" s="100">
        <f t="shared" si="614"/>
        <v>0</v>
      </c>
      <c r="AP589" s="100">
        <f t="shared" si="615"/>
        <v>0</v>
      </c>
      <c r="AQ589" s="111" t="s">
        <v>7</v>
      </c>
      <c r="AV589" s="100">
        <f t="shared" si="616"/>
        <v>0</v>
      </c>
      <c r="AW589" s="100">
        <f t="shared" si="617"/>
        <v>0</v>
      </c>
      <c r="AX589" s="100">
        <f t="shared" si="618"/>
        <v>0</v>
      </c>
      <c r="AY589" s="110" t="s">
        <v>1722</v>
      </c>
      <c r="AZ589" s="110" t="s">
        <v>1730</v>
      </c>
      <c r="BA589" s="109" t="s">
        <v>1737</v>
      </c>
      <c r="BC589" s="100">
        <f t="shared" si="619"/>
        <v>0</v>
      </c>
      <c r="BD589" s="100">
        <f t="shared" si="620"/>
        <v>0</v>
      </c>
      <c r="BE589" s="100">
        <v>0</v>
      </c>
      <c r="BF589" s="100">
        <f>589</f>
        <v>589</v>
      </c>
      <c r="BH589" s="108">
        <f t="shared" si="621"/>
        <v>0</v>
      </c>
      <c r="BI589" s="108">
        <f t="shared" si="622"/>
        <v>0</v>
      </c>
      <c r="BJ589" s="108">
        <f t="shared" si="623"/>
        <v>0</v>
      </c>
    </row>
    <row r="590" spans="1:62" x14ac:dyDescent="0.2">
      <c r="A590" s="117" t="s">
        <v>538</v>
      </c>
      <c r="B590" s="117" t="s">
        <v>1926</v>
      </c>
      <c r="C590" s="304" t="s">
        <v>1628</v>
      </c>
      <c r="D590" s="305"/>
      <c r="E590" s="305"/>
      <c r="F590" s="117" t="s">
        <v>1644</v>
      </c>
      <c r="G590" s="116">
        <v>1</v>
      </c>
      <c r="H590" s="159"/>
      <c r="I590" s="108">
        <f t="shared" si="600"/>
        <v>0</v>
      </c>
      <c r="J590" s="108">
        <f t="shared" si="601"/>
        <v>0</v>
      </c>
      <c r="K590" s="108">
        <f t="shared" si="602"/>
        <v>0</v>
      </c>
      <c r="L590" s="111"/>
      <c r="Z590" s="100">
        <f t="shared" si="603"/>
        <v>0</v>
      </c>
      <c r="AB590" s="100">
        <f t="shared" si="604"/>
        <v>0</v>
      </c>
      <c r="AC590" s="100">
        <f t="shared" si="605"/>
        <v>0</v>
      </c>
      <c r="AD590" s="100">
        <f t="shared" si="606"/>
        <v>0</v>
      </c>
      <c r="AE590" s="100">
        <f t="shared" si="607"/>
        <v>0</v>
      </c>
      <c r="AF590" s="100">
        <f t="shared" si="608"/>
        <v>0</v>
      </c>
      <c r="AG590" s="100">
        <f t="shared" si="609"/>
        <v>0</v>
      </c>
      <c r="AH590" s="100">
        <f t="shared" si="610"/>
        <v>0</v>
      </c>
      <c r="AI590" s="109"/>
      <c r="AJ590" s="108">
        <f t="shared" si="611"/>
        <v>0</v>
      </c>
      <c r="AK590" s="108">
        <f t="shared" si="612"/>
        <v>0</v>
      </c>
      <c r="AL590" s="108">
        <f t="shared" si="613"/>
        <v>0</v>
      </c>
      <c r="AN590" s="100">
        <v>15</v>
      </c>
      <c r="AO590" s="100">
        <f t="shared" si="614"/>
        <v>0</v>
      </c>
      <c r="AP590" s="100">
        <f t="shared" si="615"/>
        <v>0</v>
      </c>
      <c r="AQ590" s="111" t="s">
        <v>7</v>
      </c>
      <c r="AV590" s="100">
        <f t="shared" si="616"/>
        <v>0</v>
      </c>
      <c r="AW590" s="100">
        <f t="shared" si="617"/>
        <v>0</v>
      </c>
      <c r="AX590" s="100">
        <f t="shared" si="618"/>
        <v>0</v>
      </c>
      <c r="AY590" s="110" t="s">
        <v>1722</v>
      </c>
      <c r="AZ590" s="110" t="s">
        <v>1730</v>
      </c>
      <c r="BA590" s="109" t="s">
        <v>1737</v>
      </c>
      <c r="BC590" s="100">
        <f t="shared" si="619"/>
        <v>0</v>
      </c>
      <c r="BD590" s="100">
        <f t="shared" si="620"/>
        <v>0</v>
      </c>
      <c r="BE590" s="100">
        <v>0</v>
      </c>
      <c r="BF590" s="100">
        <f>590</f>
        <v>590</v>
      </c>
      <c r="BH590" s="108">
        <f t="shared" si="621"/>
        <v>0</v>
      </c>
      <c r="BI590" s="108">
        <f t="shared" si="622"/>
        <v>0</v>
      </c>
      <c r="BJ590" s="108">
        <f t="shared" si="623"/>
        <v>0</v>
      </c>
    </row>
    <row r="591" spans="1:62" x14ac:dyDescent="0.2">
      <c r="A591" s="117" t="s">
        <v>539</v>
      </c>
      <c r="B591" s="117" t="s">
        <v>1925</v>
      </c>
      <c r="C591" s="304" t="s">
        <v>1629</v>
      </c>
      <c r="D591" s="305"/>
      <c r="E591" s="305"/>
      <c r="F591" s="117" t="s">
        <v>1644</v>
      </c>
      <c r="G591" s="116">
        <v>1</v>
      </c>
      <c r="H591" s="159"/>
      <c r="I591" s="108">
        <f t="shared" si="600"/>
        <v>0</v>
      </c>
      <c r="J591" s="108">
        <f t="shared" si="601"/>
        <v>0</v>
      </c>
      <c r="K591" s="108">
        <f t="shared" si="602"/>
        <v>0</v>
      </c>
      <c r="L591" s="111"/>
      <c r="Z591" s="100">
        <f t="shared" si="603"/>
        <v>0</v>
      </c>
      <c r="AB591" s="100">
        <f t="shared" si="604"/>
        <v>0</v>
      </c>
      <c r="AC591" s="100">
        <f t="shared" si="605"/>
        <v>0</v>
      </c>
      <c r="AD591" s="100">
        <f t="shared" si="606"/>
        <v>0</v>
      </c>
      <c r="AE591" s="100">
        <f t="shared" si="607"/>
        <v>0</v>
      </c>
      <c r="AF591" s="100">
        <f t="shared" si="608"/>
        <v>0</v>
      </c>
      <c r="AG591" s="100">
        <f t="shared" si="609"/>
        <v>0</v>
      </c>
      <c r="AH591" s="100">
        <f t="shared" si="610"/>
        <v>0</v>
      </c>
      <c r="AI591" s="109"/>
      <c r="AJ591" s="108">
        <f t="shared" si="611"/>
        <v>0</v>
      </c>
      <c r="AK591" s="108">
        <f t="shared" si="612"/>
        <v>0</v>
      </c>
      <c r="AL591" s="108">
        <f t="shared" si="613"/>
        <v>0</v>
      </c>
      <c r="AN591" s="100">
        <v>15</v>
      </c>
      <c r="AO591" s="100">
        <f t="shared" si="614"/>
        <v>0</v>
      </c>
      <c r="AP591" s="100">
        <f t="shared" si="615"/>
        <v>0</v>
      </c>
      <c r="AQ591" s="111" t="s">
        <v>7</v>
      </c>
      <c r="AV591" s="100">
        <f t="shared" si="616"/>
        <v>0</v>
      </c>
      <c r="AW591" s="100">
        <f t="shared" si="617"/>
        <v>0</v>
      </c>
      <c r="AX591" s="100">
        <f t="shared" si="618"/>
        <v>0</v>
      </c>
      <c r="AY591" s="110" t="s">
        <v>1722</v>
      </c>
      <c r="AZ591" s="110" t="s">
        <v>1730</v>
      </c>
      <c r="BA591" s="109" t="s">
        <v>1737</v>
      </c>
      <c r="BC591" s="100">
        <f t="shared" si="619"/>
        <v>0</v>
      </c>
      <c r="BD591" s="100">
        <f t="shared" si="620"/>
        <v>0</v>
      </c>
      <c r="BE591" s="100">
        <v>0</v>
      </c>
      <c r="BF591" s="100">
        <f>591</f>
        <v>591</v>
      </c>
      <c r="BH591" s="108">
        <f t="shared" si="621"/>
        <v>0</v>
      </c>
      <c r="BI591" s="108">
        <f t="shared" si="622"/>
        <v>0</v>
      </c>
      <c r="BJ591" s="108">
        <f t="shared" si="623"/>
        <v>0</v>
      </c>
    </row>
    <row r="592" spans="1:62" x14ac:dyDescent="0.2">
      <c r="A592" s="117" t="s">
        <v>540</v>
      </c>
      <c r="B592" s="117" t="s">
        <v>1924</v>
      </c>
      <c r="C592" s="304" t="s">
        <v>1630</v>
      </c>
      <c r="D592" s="305"/>
      <c r="E592" s="305"/>
      <c r="F592" s="117" t="s">
        <v>1644</v>
      </c>
      <c r="G592" s="116">
        <v>1</v>
      </c>
      <c r="H592" s="159"/>
      <c r="I592" s="108">
        <f t="shared" si="600"/>
        <v>0</v>
      </c>
      <c r="J592" s="108">
        <f t="shared" si="601"/>
        <v>0</v>
      </c>
      <c r="K592" s="108">
        <f t="shared" si="602"/>
        <v>0</v>
      </c>
      <c r="L592" s="111"/>
      <c r="Z592" s="100">
        <f t="shared" si="603"/>
        <v>0</v>
      </c>
      <c r="AB592" s="100">
        <f t="shared" si="604"/>
        <v>0</v>
      </c>
      <c r="AC592" s="100">
        <f t="shared" si="605"/>
        <v>0</v>
      </c>
      <c r="AD592" s="100">
        <f t="shared" si="606"/>
        <v>0</v>
      </c>
      <c r="AE592" s="100">
        <f t="shared" si="607"/>
        <v>0</v>
      </c>
      <c r="AF592" s="100">
        <f t="shared" si="608"/>
        <v>0</v>
      </c>
      <c r="AG592" s="100">
        <f t="shared" si="609"/>
        <v>0</v>
      </c>
      <c r="AH592" s="100">
        <f t="shared" si="610"/>
        <v>0</v>
      </c>
      <c r="AI592" s="109"/>
      <c r="AJ592" s="108">
        <f t="shared" si="611"/>
        <v>0</v>
      </c>
      <c r="AK592" s="108">
        <f t="shared" si="612"/>
        <v>0</v>
      </c>
      <c r="AL592" s="108">
        <f t="shared" si="613"/>
        <v>0</v>
      </c>
      <c r="AN592" s="100">
        <v>15</v>
      </c>
      <c r="AO592" s="100">
        <f t="shared" si="614"/>
        <v>0</v>
      </c>
      <c r="AP592" s="100">
        <f t="shared" si="615"/>
        <v>0</v>
      </c>
      <c r="AQ592" s="111" t="s">
        <v>7</v>
      </c>
      <c r="AV592" s="100">
        <f t="shared" si="616"/>
        <v>0</v>
      </c>
      <c r="AW592" s="100">
        <f t="shared" si="617"/>
        <v>0</v>
      </c>
      <c r="AX592" s="100">
        <f t="shared" si="618"/>
        <v>0</v>
      </c>
      <c r="AY592" s="110" t="s">
        <v>1722</v>
      </c>
      <c r="AZ592" s="110" t="s">
        <v>1730</v>
      </c>
      <c r="BA592" s="109" t="s">
        <v>1737</v>
      </c>
      <c r="BC592" s="100">
        <f t="shared" si="619"/>
        <v>0</v>
      </c>
      <c r="BD592" s="100">
        <f t="shared" si="620"/>
        <v>0</v>
      </c>
      <c r="BE592" s="100">
        <v>0</v>
      </c>
      <c r="BF592" s="100">
        <f>592</f>
        <v>592</v>
      </c>
      <c r="BH592" s="108">
        <f t="shared" si="621"/>
        <v>0</v>
      </c>
      <c r="BI592" s="108">
        <f t="shared" si="622"/>
        <v>0</v>
      </c>
      <c r="BJ592" s="108">
        <f t="shared" si="623"/>
        <v>0</v>
      </c>
    </row>
    <row r="593" spans="1:62" x14ac:dyDescent="0.2">
      <c r="A593" s="119"/>
      <c r="B593" s="120" t="s">
        <v>1039</v>
      </c>
      <c r="C593" s="306" t="s">
        <v>1631</v>
      </c>
      <c r="D593" s="307"/>
      <c r="E593" s="307"/>
      <c r="F593" s="119" t="s">
        <v>6</v>
      </c>
      <c r="G593" s="119" t="s">
        <v>6</v>
      </c>
      <c r="H593" s="119" t="s">
        <v>6</v>
      </c>
      <c r="I593" s="118">
        <f>SUM(I594:I600)</f>
        <v>0</v>
      </c>
      <c r="J593" s="118">
        <f>SUM(J594:J600)</f>
        <v>0</v>
      </c>
      <c r="K593" s="118">
        <f>SUM(K594:K600)</f>
        <v>0</v>
      </c>
      <c r="L593" s="109"/>
      <c r="AI593" s="109"/>
      <c r="AS593" s="118">
        <f>SUM(AJ594:AJ600)</f>
        <v>0</v>
      </c>
      <c r="AT593" s="118">
        <f>SUM(AK594:AK600)</f>
        <v>0</v>
      </c>
      <c r="AU593" s="118">
        <f>SUM(AL594:AL600)</f>
        <v>0</v>
      </c>
    </row>
    <row r="594" spans="1:62" x14ac:dyDescent="0.2">
      <c r="A594" s="117" t="s">
        <v>541</v>
      </c>
      <c r="B594" s="117" t="s">
        <v>1040</v>
      </c>
      <c r="C594" s="304" t="s">
        <v>1632</v>
      </c>
      <c r="D594" s="305"/>
      <c r="E594" s="305"/>
      <c r="F594" s="117" t="s">
        <v>1644</v>
      </c>
      <c r="G594" s="116">
        <v>1</v>
      </c>
      <c r="H594" s="159"/>
      <c r="I594" s="108">
        <f t="shared" ref="I594:I600" si="624">G594*AO594</f>
        <v>0</v>
      </c>
      <c r="J594" s="108">
        <f t="shared" ref="J594:J600" si="625">G594*AP594</f>
        <v>0</v>
      </c>
      <c r="K594" s="108">
        <f t="shared" ref="K594:K600" si="626">G594*H594</f>
        <v>0</v>
      </c>
      <c r="L594" s="111" t="s">
        <v>1671</v>
      </c>
      <c r="Z594" s="100">
        <f t="shared" ref="Z594:Z600" si="627">IF(AQ594="5",BJ594,0)</f>
        <v>0</v>
      </c>
      <c r="AB594" s="100">
        <f t="shared" ref="AB594:AB600" si="628">IF(AQ594="1",BH594,0)</f>
        <v>0</v>
      </c>
      <c r="AC594" s="100">
        <f t="shared" ref="AC594:AC600" si="629">IF(AQ594="1",BI594,0)</f>
        <v>0</v>
      </c>
      <c r="AD594" s="100">
        <f t="shared" ref="AD594:AD600" si="630">IF(AQ594="7",BH594,0)</f>
        <v>0</v>
      </c>
      <c r="AE594" s="100">
        <f t="shared" ref="AE594:AE600" si="631">IF(AQ594="7",BI594,0)</f>
        <v>0</v>
      </c>
      <c r="AF594" s="100">
        <f t="shared" ref="AF594:AF600" si="632">IF(AQ594="2",BH594,0)</f>
        <v>0</v>
      </c>
      <c r="AG594" s="100">
        <f t="shared" ref="AG594:AG600" si="633">IF(AQ594="2",BI594,0)</f>
        <v>0</v>
      </c>
      <c r="AH594" s="100">
        <f t="shared" ref="AH594:AH600" si="634">IF(AQ594="0",BJ594,0)</f>
        <v>0</v>
      </c>
      <c r="AI594" s="109"/>
      <c r="AJ594" s="108">
        <f t="shared" ref="AJ594:AJ600" si="635">IF(AN594=0,K594,0)</f>
        <v>0</v>
      </c>
      <c r="AK594" s="108">
        <f t="shared" ref="AK594:AK600" si="636">IF(AN594=15,K594,0)</f>
        <v>0</v>
      </c>
      <c r="AL594" s="108">
        <f t="shared" ref="AL594:AL600" si="637">IF(AN594=21,K594,0)</f>
        <v>0</v>
      </c>
      <c r="AN594" s="100">
        <v>15</v>
      </c>
      <c r="AO594" s="100">
        <f t="shared" ref="AO594:AO600" si="638">H594*0</f>
        <v>0</v>
      </c>
      <c r="AP594" s="100">
        <f t="shared" ref="AP594:AP600" si="639">H594*(1-0)</f>
        <v>0</v>
      </c>
      <c r="AQ594" s="111" t="s">
        <v>7</v>
      </c>
      <c r="AV594" s="100">
        <f t="shared" ref="AV594:AV600" si="640">AW594+AX594</f>
        <v>0</v>
      </c>
      <c r="AW594" s="100">
        <f t="shared" ref="AW594:AW600" si="641">G594*AO594</f>
        <v>0</v>
      </c>
      <c r="AX594" s="100">
        <f t="shared" ref="AX594:AX600" si="642">G594*AP594</f>
        <v>0</v>
      </c>
      <c r="AY594" s="110" t="s">
        <v>1723</v>
      </c>
      <c r="AZ594" s="110" t="s">
        <v>1730</v>
      </c>
      <c r="BA594" s="109" t="s">
        <v>1737</v>
      </c>
      <c r="BC594" s="100">
        <f t="shared" ref="BC594:BC600" si="643">AW594+AX594</f>
        <v>0</v>
      </c>
      <c r="BD594" s="100">
        <f t="shared" ref="BD594:BD600" si="644">H594/(100-BE594)*100</f>
        <v>0</v>
      </c>
      <c r="BE594" s="100">
        <v>0</v>
      </c>
      <c r="BF594" s="100">
        <f>594</f>
        <v>594</v>
      </c>
      <c r="BH594" s="108">
        <f t="shared" ref="BH594:BH600" si="645">G594*AO594</f>
        <v>0</v>
      </c>
      <c r="BI594" s="108">
        <f t="shared" ref="BI594:BI600" si="646">G594*AP594</f>
        <v>0</v>
      </c>
      <c r="BJ594" s="108">
        <f t="shared" ref="BJ594:BJ600" si="647">G594*H594</f>
        <v>0</v>
      </c>
    </row>
    <row r="595" spans="1:62" x14ac:dyDescent="0.2">
      <c r="A595" s="117" t="s">
        <v>542</v>
      </c>
      <c r="B595" s="117" t="s">
        <v>1041</v>
      </c>
      <c r="C595" s="304" t="s">
        <v>1633</v>
      </c>
      <c r="D595" s="305"/>
      <c r="E595" s="305"/>
      <c r="F595" s="117" t="s">
        <v>1644</v>
      </c>
      <c r="G595" s="116">
        <v>1</v>
      </c>
      <c r="H595" s="159"/>
      <c r="I595" s="108">
        <f t="shared" si="624"/>
        <v>0</v>
      </c>
      <c r="J595" s="108">
        <f t="shared" si="625"/>
        <v>0</v>
      </c>
      <c r="K595" s="108">
        <f t="shared" si="626"/>
        <v>0</v>
      </c>
      <c r="L595" s="111" t="s">
        <v>1671</v>
      </c>
      <c r="Z595" s="100">
        <f t="shared" si="627"/>
        <v>0</v>
      </c>
      <c r="AB595" s="100">
        <f t="shared" si="628"/>
        <v>0</v>
      </c>
      <c r="AC595" s="100">
        <f t="shared" si="629"/>
        <v>0</v>
      </c>
      <c r="AD595" s="100">
        <f t="shared" si="630"/>
        <v>0</v>
      </c>
      <c r="AE595" s="100">
        <f t="shared" si="631"/>
        <v>0</v>
      </c>
      <c r="AF595" s="100">
        <f t="shared" si="632"/>
        <v>0</v>
      </c>
      <c r="AG595" s="100">
        <f t="shared" si="633"/>
        <v>0</v>
      </c>
      <c r="AH595" s="100">
        <f t="shared" si="634"/>
        <v>0</v>
      </c>
      <c r="AI595" s="109"/>
      <c r="AJ595" s="108">
        <f t="shared" si="635"/>
        <v>0</v>
      </c>
      <c r="AK595" s="108">
        <f t="shared" si="636"/>
        <v>0</v>
      </c>
      <c r="AL595" s="108">
        <f t="shared" si="637"/>
        <v>0</v>
      </c>
      <c r="AN595" s="100">
        <v>15</v>
      </c>
      <c r="AO595" s="100">
        <f t="shared" si="638"/>
        <v>0</v>
      </c>
      <c r="AP595" s="100">
        <f t="shared" si="639"/>
        <v>0</v>
      </c>
      <c r="AQ595" s="111" t="s">
        <v>7</v>
      </c>
      <c r="AV595" s="100">
        <f t="shared" si="640"/>
        <v>0</v>
      </c>
      <c r="AW595" s="100">
        <f t="shared" si="641"/>
        <v>0</v>
      </c>
      <c r="AX595" s="100">
        <f t="shared" si="642"/>
        <v>0</v>
      </c>
      <c r="AY595" s="110" t="s">
        <v>1723</v>
      </c>
      <c r="AZ595" s="110" t="s">
        <v>1730</v>
      </c>
      <c r="BA595" s="109" t="s">
        <v>1737</v>
      </c>
      <c r="BC595" s="100">
        <f t="shared" si="643"/>
        <v>0</v>
      </c>
      <c r="BD595" s="100">
        <f t="shared" si="644"/>
        <v>0</v>
      </c>
      <c r="BE595" s="100">
        <v>0</v>
      </c>
      <c r="BF595" s="100">
        <f>595</f>
        <v>595</v>
      </c>
      <c r="BH595" s="108">
        <f t="shared" si="645"/>
        <v>0</v>
      </c>
      <c r="BI595" s="108">
        <f t="shared" si="646"/>
        <v>0</v>
      </c>
      <c r="BJ595" s="108">
        <f t="shared" si="647"/>
        <v>0</v>
      </c>
    </row>
    <row r="596" spans="1:62" x14ac:dyDescent="0.2">
      <c r="A596" s="117" t="s">
        <v>543</v>
      </c>
      <c r="B596" s="117" t="s">
        <v>1042</v>
      </c>
      <c r="C596" s="304" t="s">
        <v>1634</v>
      </c>
      <c r="D596" s="305"/>
      <c r="E596" s="305"/>
      <c r="F596" s="117" t="s">
        <v>1644</v>
      </c>
      <c r="G596" s="116">
        <v>1</v>
      </c>
      <c r="H596" s="159"/>
      <c r="I596" s="108">
        <f t="shared" si="624"/>
        <v>0</v>
      </c>
      <c r="J596" s="108">
        <f t="shared" si="625"/>
        <v>0</v>
      </c>
      <c r="K596" s="108">
        <f t="shared" si="626"/>
        <v>0</v>
      </c>
      <c r="L596" s="111" t="s">
        <v>1671</v>
      </c>
      <c r="Z596" s="100">
        <f t="shared" si="627"/>
        <v>0</v>
      </c>
      <c r="AB596" s="100">
        <f t="shared" si="628"/>
        <v>0</v>
      </c>
      <c r="AC596" s="100">
        <f t="shared" si="629"/>
        <v>0</v>
      </c>
      <c r="AD596" s="100">
        <f t="shared" si="630"/>
        <v>0</v>
      </c>
      <c r="AE596" s="100">
        <f t="shared" si="631"/>
        <v>0</v>
      </c>
      <c r="AF596" s="100">
        <f t="shared" si="632"/>
        <v>0</v>
      </c>
      <c r="AG596" s="100">
        <f t="shared" si="633"/>
        <v>0</v>
      </c>
      <c r="AH596" s="100">
        <f t="shared" si="634"/>
        <v>0</v>
      </c>
      <c r="AI596" s="109"/>
      <c r="AJ596" s="108">
        <f t="shared" si="635"/>
        <v>0</v>
      </c>
      <c r="AK596" s="108">
        <f t="shared" si="636"/>
        <v>0</v>
      </c>
      <c r="AL596" s="108">
        <f t="shared" si="637"/>
        <v>0</v>
      </c>
      <c r="AN596" s="100">
        <v>15</v>
      </c>
      <c r="AO596" s="100">
        <f t="shared" si="638"/>
        <v>0</v>
      </c>
      <c r="AP596" s="100">
        <f t="shared" si="639"/>
        <v>0</v>
      </c>
      <c r="AQ596" s="111" t="s">
        <v>7</v>
      </c>
      <c r="AV596" s="100">
        <f t="shared" si="640"/>
        <v>0</v>
      </c>
      <c r="AW596" s="100">
        <f t="shared" si="641"/>
        <v>0</v>
      </c>
      <c r="AX596" s="100">
        <f t="shared" si="642"/>
        <v>0</v>
      </c>
      <c r="AY596" s="110" t="s">
        <v>1723</v>
      </c>
      <c r="AZ596" s="110" t="s">
        <v>1730</v>
      </c>
      <c r="BA596" s="109" t="s">
        <v>1737</v>
      </c>
      <c r="BC596" s="100">
        <f t="shared" si="643"/>
        <v>0</v>
      </c>
      <c r="BD596" s="100">
        <f t="shared" si="644"/>
        <v>0</v>
      </c>
      <c r="BE596" s="100">
        <v>0</v>
      </c>
      <c r="BF596" s="100">
        <f>596</f>
        <v>596</v>
      </c>
      <c r="BH596" s="108">
        <f t="shared" si="645"/>
        <v>0</v>
      </c>
      <c r="BI596" s="108">
        <f t="shared" si="646"/>
        <v>0</v>
      </c>
      <c r="BJ596" s="108">
        <f t="shared" si="647"/>
        <v>0</v>
      </c>
    </row>
    <row r="597" spans="1:62" x14ac:dyDescent="0.2">
      <c r="A597" s="117" t="s">
        <v>544</v>
      </c>
      <c r="B597" s="117" t="s">
        <v>1043</v>
      </c>
      <c r="C597" s="304" t="s">
        <v>1635</v>
      </c>
      <c r="D597" s="305"/>
      <c r="E597" s="305"/>
      <c r="F597" s="117" t="s">
        <v>1644</v>
      </c>
      <c r="G597" s="116">
        <v>1</v>
      </c>
      <c r="H597" s="159"/>
      <c r="I597" s="108">
        <f t="shared" si="624"/>
        <v>0</v>
      </c>
      <c r="J597" s="108">
        <f t="shared" si="625"/>
        <v>0</v>
      </c>
      <c r="K597" s="108">
        <f t="shared" si="626"/>
        <v>0</v>
      </c>
      <c r="L597" s="111" t="s">
        <v>1671</v>
      </c>
      <c r="Z597" s="100">
        <f t="shared" si="627"/>
        <v>0</v>
      </c>
      <c r="AB597" s="100">
        <f t="shared" si="628"/>
        <v>0</v>
      </c>
      <c r="AC597" s="100">
        <f t="shared" si="629"/>
        <v>0</v>
      </c>
      <c r="AD597" s="100">
        <f t="shared" si="630"/>
        <v>0</v>
      </c>
      <c r="AE597" s="100">
        <f t="shared" si="631"/>
        <v>0</v>
      </c>
      <c r="AF597" s="100">
        <f t="shared" si="632"/>
        <v>0</v>
      </c>
      <c r="AG597" s="100">
        <f t="shared" si="633"/>
        <v>0</v>
      </c>
      <c r="AH597" s="100">
        <f t="shared" si="634"/>
        <v>0</v>
      </c>
      <c r="AI597" s="109"/>
      <c r="AJ597" s="108">
        <f t="shared" si="635"/>
        <v>0</v>
      </c>
      <c r="AK597" s="108">
        <f t="shared" si="636"/>
        <v>0</v>
      </c>
      <c r="AL597" s="108">
        <f t="shared" si="637"/>
        <v>0</v>
      </c>
      <c r="AN597" s="100">
        <v>15</v>
      </c>
      <c r="AO597" s="100">
        <f t="shared" si="638"/>
        <v>0</v>
      </c>
      <c r="AP597" s="100">
        <f t="shared" si="639"/>
        <v>0</v>
      </c>
      <c r="AQ597" s="111" t="s">
        <v>7</v>
      </c>
      <c r="AV597" s="100">
        <f t="shared" si="640"/>
        <v>0</v>
      </c>
      <c r="AW597" s="100">
        <f t="shared" si="641"/>
        <v>0</v>
      </c>
      <c r="AX597" s="100">
        <f t="shared" si="642"/>
        <v>0</v>
      </c>
      <c r="AY597" s="110" t="s">
        <v>1723</v>
      </c>
      <c r="AZ597" s="110" t="s">
        <v>1730</v>
      </c>
      <c r="BA597" s="109" t="s">
        <v>1737</v>
      </c>
      <c r="BC597" s="100">
        <f t="shared" si="643"/>
        <v>0</v>
      </c>
      <c r="BD597" s="100">
        <f t="shared" si="644"/>
        <v>0</v>
      </c>
      <c r="BE597" s="100">
        <v>0</v>
      </c>
      <c r="BF597" s="100">
        <f>597</f>
        <v>597</v>
      </c>
      <c r="BH597" s="108">
        <f t="shared" si="645"/>
        <v>0</v>
      </c>
      <c r="BI597" s="108">
        <f t="shared" si="646"/>
        <v>0</v>
      </c>
      <c r="BJ597" s="108">
        <f t="shared" si="647"/>
        <v>0</v>
      </c>
    </row>
    <row r="598" spans="1:62" x14ac:dyDescent="0.2">
      <c r="A598" s="117" t="s">
        <v>545</v>
      </c>
      <c r="B598" s="117" t="s">
        <v>1044</v>
      </c>
      <c r="C598" s="304" t="s">
        <v>1636</v>
      </c>
      <c r="D598" s="305"/>
      <c r="E598" s="305"/>
      <c r="F598" s="117" t="s">
        <v>1644</v>
      </c>
      <c r="G598" s="116">
        <v>1</v>
      </c>
      <c r="H598" s="159"/>
      <c r="I598" s="108">
        <f t="shared" si="624"/>
        <v>0</v>
      </c>
      <c r="J598" s="108">
        <f t="shared" si="625"/>
        <v>0</v>
      </c>
      <c r="K598" s="108">
        <f t="shared" si="626"/>
        <v>0</v>
      </c>
      <c r="L598" s="111" t="s">
        <v>1671</v>
      </c>
      <c r="Z598" s="100">
        <f t="shared" si="627"/>
        <v>0</v>
      </c>
      <c r="AB598" s="100">
        <f t="shared" si="628"/>
        <v>0</v>
      </c>
      <c r="AC598" s="100">
        <f t="shared" si="629"/>
        <v>0</v>
      </c>
      <c r="AD598" s="100">
        <f t="shared" si="630"/>
        <v>0</v>
      </c>
      <c r="AE598" s="100">
        <f t="shared" si="631"/>
        <v>0</v>
      </c>
      <c r="AF598" s="100">
        <f t="shared" si="632"/>
        <v>0</v>
      </c>
      <c r="AG598" s="100">
        <f t="shared" si="633"/>
        <v>0</v>
      </c>
      <c r="AH598" s="100">
        <f t="shared" si="634"/>
        <v>0</v>
      </c>
      <c r="AI598" s="109"/>
      <c r="AJ598" s="108">
        <f t="shared" si="635"/>
        <v>0</v>
      </c>
      <c r="AK598" s="108">
        <f t="shared" si="636"/>
        <v>0</v>
      </c>
      <c r="AL598" s="108">
        <f t="shared" si="637"/>
        <v>0</v>
      </c>
      <c r="AN598" s="100">
        <v>15</v>
      </c>
      <c r="AO598" s="100">
        <f t="shared" si="638"/>
        <v>0</v>
      </c>
      <c r="AP598" s="100">
        <f t="shared" si="639"/>
        <v>0</v>
      </c>
      <c r="AQ598" s="111" t="s">
        <v>7</v>
      </c>
      <c r="AV598" s="100">
        <f t="shared" si="640"/>
        <v>0</v>
      </c>
      <c r="AW598" s="100">
        <f t="shared" si="641"/>
        <v>0</v>
      </c>
      <c r="AX598" s="100">
        <f t="shared" si="642"/>
        <v>0</v>
      </c>
      <c r="AY598" s="110" t="s">
        <v>1723</v>
      </c>
      <c r="AZ598" s="110" t="s">
        <v>1730</v>
      </c>
      <c r="BA598" s="109" t="s">
        <v>1737</v>
      </c>
      <c r="BC598" s="100">
        <f t="shared" si="643"/>
        <v>0</v>
      </c>
      <c r="BD598" s="100">
        <f t="shared" si="644"/>
        <v>0</v>
      </c>
      <c r="BE598" s="100">
        <v>0</v>
      </c>
      <c r="BF598" s="100">
        <f>598</f>
        <v>598</v>
      </c>
      <c r="BH598" s="108">
        <f t="shared" si="645"/>
        <v>0</v>
      </c>
      <c r="BI598" s="108">
        <f t="shared" si="646"/>
        <v>0</v>
      </c>
      <c r="BJ598" s="108">
        <f t="shared" si="647"/>
        <v>0</v>
      </c>
    </row>
    <row r="599" spans="1:62" x14ac:dyDescent="0.2">
      <c r="A599" s="117" t="s">
        <v>546</v>
      </c>
      <c r="B599" s="117" t="s">
        <v>1045</v>
      </c>
      <c r="C599" s="304" t="s">
        <v>1637</v>
      </c>
      <c r="D599" s="305"/>
      <c r="E599" s="305"/>
      <c r="F599" s="117" t="s">
        <v>1644</v>
      </c>
      <c r="G599" s="116">
        <v>1</v>
      </c>
      <c r="H599" s="159"/>
      <c r="I599" s="108">
        <f t="shared" si="624"/>
        <v>0</v>
      </c>
      <c r="J599" s="108">
        <f t="shared" si="625"/>
        <v>0</v>
      </c>
      <c r="K599" s="108">
        <f t="shared" si="626"/>
        <v>0</v>
      </c>
      <c r="L599" s="111" t="s">
        <v>1671</v>
      </c>
      <c r="Z599" s="100">
        <f t="shared" si="627"/>
        <v>0</v>
      </c>
      <c r="AB599" s="100">
        <f t="shared" si="628"/>
        <v>0</v>
      </c>
      <c r="AC599" s="100">
        <f t="shared" si="629"/>
        <v>0</v>
      </c>
      <c r="AD599" s="100">
        <f t="shared" si="630"/>
        <v>0</v>
      </c>
      <c r="AE599" s="100">
        <f t="shared" si="631"/>
        <v>0</v>
      </c>
      <c r="AF599" s="100">
        <f t="shared" si="632"/>
        <v>0</v>
      </c>
      <c r="AG599" s="100">
        <f t="shared" si="633"/>
        <v>0</v>
      </c>
      <c r="AH599" s="100">
        <f t="shared" si="634"/>
        <v>0</v>
      </c>
      <c r="AI599" s="109"/>
      <c r="AJ599" s="108">
        <f t="shared" si="635"/>
        <v>0</v>
      </c>
      <c r="AK599" s="108">
        <f t="shared" si="636"/>
        <v>0</v>
      </c>
      <c r="AL599" s="108">
        <f t="shared" si="637"/>
        <v>0</v>
      </c>
      <c r="AN599" s="100">
        <v>15</v>
      </c>
      <c r="AO599" s="100">
        <f t="shared" si="638"/>
        <v>0</v>
      </c>
      <c r="AP599" s="100">
        <f t="shared" si="639"/>
        <v>0</v>
      </c>
      <c r="AQ599" s="111" t="s">
        <v>7</v>
      </c>
      <c r="AV599" s="100">
        <f t="shared" si="640"/>
        <v>0</v>
      </c>
      <c r="AW599" s="100">
        <f t="shared" si="641"/>
        <v>0</v>
      </c>
      <c r="AX599" s="100">
        <f t="shared" si="642"/>
        <v>0</v>
      </c>
      <c r="AY599" s="110" t="s">
        <v>1723</v>
      </c>
      <c r="AZ599" s="110" t="s">
        <v>1730</v>
      </c>
      <c r="BA599" s="109" t="s">
        <v>1737</v>
      </c>
      <c r="BC599" s="100">
        <f t="shared" si="643"/>
        <v>0</v>
      </c>
      <c r="BD599" s="100">
        <f t="shared" si="644"/>
        <v>0</v>
      </c>
      <c r="BE599" s="100">
        <v>0</v>
      </c>
      <c r="BF599" s="100">
        <f>599</f>
        <v>599</v>
      </c>
      <c r="BH599" s="108">
        <f t="shared" si="645"/>
        <v>0</v>
      </c>
      <c r="BI599" s="108">
        <f t="shared" si="646"/>
        <v>0</v>
      </c>
      <c r="BJ599" s="108">
        <f t="shared" si="647"/>
        <v>0</v>
      </c>
    </row>
    <row r="600" spans="1:62" x14ac:dyDescent="0.2">
      <c r="A600" s="115" t="s">
        <v>547</v>
      </c>
      <c r="B600" s="115" t="s">
        <v>1046</v>
      </c>
      <c r="C600" s="308" t="s">
        <v>1638</v>
      </c>
      <c r="D600" s="309"/>
      <c r="E600" s="309"/>
      <c r="F600" s="115" t="s">
        <v>1644</v>
      </c>
      <c r="G600" s="114">
        <v>1</v>
      </c>
      <c r="H600" s="161"/>
      <c r="I600" s="113">
        <f t="shared" si="624"/>
        <v>0</v>
      </c>
      <c r="J600" s="113">
        <f t="shared" si="625"/>
        <v>0</v>
      </c>
      <c r="K600" s="113">
        <f t="shared" si="626"/>
        <v>0</v>
      </c>
      <c r="L600" s="112" t="s">
        <v>1671</v>
      </c>
      <c r="Z600" s="100">
        <f t="shared" si="627"/>
        <v>0</v>
      </c>
      <c r="AB600" s="100">
        <f t="shared" si="628"/>
        <v>0</v>
      </c>
      <c r="AC600" s="100">
        <f t="shared" si="629"/>
        <v>0</v>
      </c>
      <c r="AD600" s="100">
        <f t="shared" si="630"/>
        <v>0</v>
      </c>
      <c r="AE600" s="100">
        <f t="shared" si="631"/>
        <v>0</v>
      </c>
      <c r="AF600" s="100">
        <f t="shared" si="632"/>
        <v>0</v>
      </c>
      <c r="AG600" s="100">
        <f t="shared" si="633"/>
        <v>0</v>
      </c>
      <c r="AH600" s="100">
        <f t="shared" si="634"/>
        <v>0</v>
      </c>
      <c r="AI600" s="109"/>
      <c r="AJ600" s="108">
        <f t="shared" si="635"/>
        <v>0</v>
      </c>
      <c r="AK600" s="108">
        <f t="shared" si="636"/>
        <v>0</v>
      </c>
      <c r="AL600" s="108">
        <f t="shared" si="637"/>
        <v>0</v>
      </c>
      <c r="AN600" s="100">
        <v>15</v>
      </c>
      <c r="AO600" s="100">
        <f t="shared" si="638"/>
        <v>0</v>
      </c>
      <c r="AP600" s="100">
        <f t="shared" si="639"/>
        <v>0</v>
      </c>
      <c r="AQ600" s="111" t="s">
        <v>7</v>
      </c>
      <c r="AV600" s="100">
        <f t="shared" si="640"/>
        <v>0</v>
      </c>
      <c r="AW600" s="100">
        <f t="shared" si="641"/>
        <v>0</v>
      </c>
      <c r="AX600" s="100">
        <f t="shared" si="642"/>
        <v>0</v>
      </c>
      <c r="AY600" s="110" t="s">
        <v>1723</v>
      </c>
      <c r="AZ600" s="110" t="s">
        <v>1730</v>
      </c>
      <c r="BA600" s="109" t="s">
        <v>1737</v>
      </c>
      <c r="BC600" s="100">
        <f t="shared" si="643"/>
        <v>0</v>
      </c>
      <c r="BD600" s="100">
        <f t="shared" si="644"/>
        <v>0</v>
      </c>
      <c r="BE600" s="100">
        <v>0</v>
      </c>
      <c r="BF600" s="100">
        <f>600</f>
        <v>600</v>
      </c>
      <c r="BH600" s="108">
        <f t="shared" si="645"/>
        <v>0</v>
      </c>
      <c r="BI600" s="108">
        <f t="shared" si="646"/>
        <v>0</v>
      </c>
      <c r="BJ600" s="108">
        <f t="shared" si="647"/>
        <v>0</v>
      </c>
    </row>
    <row r="601" spans="1:62" x14ac:dyDescent="0.2">
      <c r="A601" s="84"/>
      <c r="B601" s="84"/>
      <c r="C601" s="84"/>
      <c r="D601" s="84"/>
      <c r="E601" s="84"/>
      <c r="F601" s="84"/>
      <c r="G601" s="84"/>
      <c r="H601" s="154">
        <f>SUM(H13:H600)</f>
        <v>0</v>
      </c>
      <c r="I601" s="310" t="s">
        <v>1666</v>
      </c>
      <c r="J601" s="291"/>
      <c r="K601" s="107">
        <f>K12+K20+K22+K27+K32+K37+K40+K43+K46+K51+K55+K57+K59+K66+K90+K92+K95+K98+K102+K110+K121+K139+K155+K172+K174+K179+K188+K214+K230+K306+K330+K354+K383+K421+K434+K455+K459+K471+K479+K485+K515+K518+K593</f>
        <v>0</v>
      </c>
      <c r="L601" s="84"/>
    </row>
    <row r="602" spans="1:62" ht="11.25" customHeight="1" x14ac:dyDescent="0.2">
      <c r="A602" s="106" t="s">
        <v>569</v>
      </c>
    </row>
    <row r="603" spans="1:62" x14ac:dyDescent="0.2">
      <c r="A603" s="255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  <c r="L603" s="256"/>
    </row>
  </sheetData>
  <sheetProtection algorithmName="SHA-512" hashValue="VKYtzeYjL0qcgbPw95Ay4wMZVVQHhTBlhjh8AxUNwmhMDA/hO0FFoLo6tjkH/ActN6YUiQjGPb38SexT8nQeUg==" saltValue="I8L0VstrIPwbk6AymPnhfA==" spinCount="100000" sheet="1" objects="1" scenarios="1"/>
  <mergeCells count="614">
    <mergeCell ref="A1:L1"/>
    <mergeCell ref="A2:B3"/>
    <mergeCell ref="C2:C3"/>
    <mergeCell ref="D2:E3"/>
    <mergeCell ref="F2:G3"/>
    <mergeCell ref="H2:H3"/>
    <mergeCell ref="I2:L3"/>
    <mergeCell ref="A8:B9"/>
    <mergeCell ref="C8:C9"/>
    <mergeCell ref="D8:E9"/>
    <mergeCell ref="F8:G9"/>
    <mergeCell ref="H8:H9"/>
    <mergeCell ref="I8:L9"/>
    <mergeCell ref="A4:B5"/>
    <mergeCell ref="C4:C5"/>
    <mergeCell ref="D4:E5"/>
    <mergeCell ref="F4:G5"/>
    <mergeCell ref="H4:H5"/>
    <mergeCell ref="I4:L5"/>
    <mergeCell ref="A6:B7"/>
    <mergeCell ref="C6:C7"/>
    <mergeCell ref="D6:E7"/>
    <mergeCell ref="F6:G7"/>
    <mergeCell ref="H6:H7"/>
    <mergeCell ref="C10:E10"/>
    <mergeCell ref="I10:K10"/>
    <mergeCell ref="C11:E11"/>
    <mergeCell ref="C12:E12"/>
    <mergeCell ref="C13:E13"/>
    <mergeCell ref="C14:E14"/>
    <mergeCell ref="C15:E15"/>
    <mergeCell ref="C16:E16"/>
    <mergeCell ref="I6:L7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68:E68"/>
    <mergeCell ref="C69:E69"/>
    <mergeCell ref="C70:E70"/>
    <mergeCell ref="C71:E71"/>
    <mergeCell ref="C72:E72"/>
    <mergeCell ref="C74:E74"/>
    <mergeCell ref="C76:E76"/>
    <mergeCell ref="C78:E78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  <mergeCell ref="C95:E95"/>
    <mergeCell ref="C96:E96"/>
    <mergeCell ref="C97:E97"/>
    <mergeCell ref="C98:E98"/>
    <mergeCell ref="C99:E99"/>
    <mergeCell ref="C100:E100"/>
    <mergeCell ref="C101:E101"/>
    <mergeCell ref="C102:E102"/>
    <mergeCell ref="C103:E103"/>
    <mergeCell ref="C104:E104"/>
    <mergeCell ref="C105:E105"/>
    <mergeCell ref="C106:E106"/>
    <mergeCell ref="C107:E107"/>
    <mergeCell ref="C108:E108"/>
    <mergeCell ref="C109:E109"/>
    <mergeCell ref="C110:E110"/>
    <mergeCell ref="C111:E111"/>
    <mergeCell ref="C112:E112"/>
    <mergeCell ref="C113:E113"/>
    <mergeCell ref="C114:E114"/>
    <mergeCell ref="C115:E115"/>
    <mergeCell ref="C116:E116"/>
    <mergeCell ref="C117:E117"/>
    <mergeCell ref="C118:E118"/>
    <mergeCell ref="C119:E119"/>
    <mergeCell ref="C120:E120"/>
    <mergeCell ref="C121:E121"/>
    <mergeCell ref="C122:E122"/>
    <mergeCell ref="C123:E123"/>
    <mergeCell ref="C124:E124"/>
    <mergeCell ref="C125:E125"/>
    <mergeCell ref="C126:E126"/>
    <mergeCell ref="C127:E127"/>
    <mergeCell ref="C128:E128"/>
    <mergeCell ref="C129:E129"/>
    <mergeCell ref="C130:E130"/>
    <mergeCell ref="C131:E131"/>
    <mergeCell ref="C132:E132"/>
    <mergeCell ref="C133:E133"/>
    <mergeCell ref="C134:E134"/>
    <mergeCell ref="C135:E135"/>
    <mergeCell ref="C136:E136"/>
    <mergeCell ref="C137:E137"/>
    <mergeCell ref="C138:E138"/>
    <mergeCell ref="C139:E139"/>
    <mergeCell ref="C140:E140"/>
    <mergeCell ref="C141:E141"/>
    <mergeCell ref="C142:E142"/>
    <mergeCell ref="C143:E143"/>
    <mergeCell ref="C144:E144"/>
    <mergeCell ref="C145:E145"/>
    <mergeCell ref="C146:E146"/>
    <mergeCell ref="C147:E147"/>
    <mergeCell ref="C148:E148"/>
    <mergeCell ref="C149:E149"/>
    <mergeCell ref="C150:E150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C257:E257"/>
    <mergeCell ref="C258:E258"/>
    <mergeCell ref="C259:E259"/>
    <mergeCell ref="C260:E260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C278:E278"/>
    <mergeCell ref="C279:E279"/>
    <mergeCell ref="C280:E280"/>
    <mergeCell ref="C281:E28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C293:E29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C320:E320"/>
    <mergeCell ref="C321:E321"/>
    <mergeCell ref="C322:E322"/>
    <mergeCell ref="C323:E323"/>
    <mergeCell ref="C324:E324"/>
    <mergeCell ref="C325:E325"/>
    <mergeCell ref="C326:E326"/>
    <mergeCell ref="C327:E327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C355:E355"/>
    <mergeCell ref="C356:E356"/>
    <mergeCell ref="C357:E35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C370:E370"/>
    <mergeCell ref="C371:E371"/>
    <mergeCell ref="C372:E372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84:E384"/>
    <mergeCell ref="C385:E385"/>
    <mergeCell ref="C386:E386"/>
    <mergeCell ref="C387:E387"/>
    <mergeCell ref="C388:E388"/>
    <mergeCell ref="C389:E389"/>
    <mergeCell ref="C390:E390"/>
    <mergeCell ref="C391:E391"/>
    <mergeCell ref="C392:E392"/>
    <mergeCell ref="C393:E393"/>
    <mergeCell ref="C394:E394"/>
    <mergeCell ref="C395:E395"/>
    <mergeCell ref="C396:E396"/>
    <mergeCell ref="C397:E397"/>
    <mergeCell ref="C398:E398"/>
    <mergeCell ref="C399:E399"/>
    <mergeCell ref="C400:E400"/>
    <mergeCell ref="C401:E401"/>
    <mergeCell ref="C402:E402"/>
    <mergeCell ref="C403:E403"/>
    <mergeCell ref="C404:E404"/>
    <mergeCell ref="C405:E405"/>
    <mergeCell ref="C406:E406"/>
    <mergeCell ref="C407:E407"/>
    <mergeCell ref="C408:E408"/>
    <mergeCell ref="C409:E409"/>
    <mergeCell ref="C410:E410"/>
    <mergeCell ref="C411:E411"/>
    <mergeCell ref="C412:E412"/>
    <mergeCell ref="C413:E413"/>
    <mergeCell ref="C414:E414"/>
    <mergeCell ref="C415:E415"/>
    <mergeCell ref="C416:E416"/>
    <mergeCell ref="C417:E417"/>
    <mergeCell ref="C418:E418"/>
    <mergeCell ref="C419:E419"/>
    <mergeCell ref="C420:E420"/>
    <mergeCell ref="C421:E421"/>
    <mergeCell ref="C422:E422"/>
    <mergeCell ref="C423:E423"/>
    <mergeCell ref="C424:E424"/>
    <mergeCell ref="C425:E425"/>
    <mergeCell ref="C426:E426"/>
    <mergeCell ref="C427:E427"/>
    <mergeCell ref="C428:E428"/>
    <mergeCell ref="C429:E429"/>
    <mergeCell ref="C430:E430"/>
    <mergeCell ref="C431:E431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59:E459"/>
    <mergeCell ref="C460:E460"/>
    <mergeCell ref="C461:E461"/>
    <mergeCell ref="C462:E462"/>
    <mergeCell ref="C463:E463"/>
    <mergeCell ref="C464:E464"/>
    <mergeCell ref="C465:E465"/>
    <mergeCell ref="C466:E466"/>
    <mergeCell ref="C467:E467"/>
    <mergeCell ref="C468:E468"/>
    <mergeCell ref="C469:E469"/>
    <mergeCell ref="C470:E470"/>
    <mergeCell ref="C471:E471"/>
    <mergeCell ref="C472:E472"/>
    <mergeCell ref="C473:E473"/>
    <mergeCell ref="C474:E474"/>
    <mergeCell ref="C475:E475"/>
    <mergeCell ref="C476:E476"/>
    <mergeCell ref="C477:E477"/>
    <mergeCell ref="C478:E478"/>
    <mergeCell ref="C479:E479"/>
    <mergeCell ref="C480:E480"/>
    <mergeCell ref="C481:E481"/>
    <mergeCell ref="C482:E482"/>
    <mergeCell ref="C483:E483"/>
    <mergeCell ref="C484:E484"/>
    <mergeCell ref="C485:E485"/>
    <mergeCell ref="C486:E486"/>
    <mergeCell ref="C487:E487"/>
    <mergeCell ref="C488:E48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98:E498"/>
    <mergeCell ref="C499:E499"/>
    <mergeCell ref="C500:E500"/>
    <mergeCell ref="C501:E501"/>
    <mergeCell ref="C502:E502"/>
    <mergeCell ref="C503:E503"/>
    <mergeCell ref="C504:E504"/>
    <mergeCell ref="C505:E505"/>
    <mergeCell ref="C506:E506"/>
    <mergeCell ref="C507:E507"/>
    <mergeCell ref="C508:E508"/>
    <mergeCell ref="C509:E509"/>
    <mergeCell ref="C510:E510"/>
    <mergeCell ref="C511:E511"/>
    <mergeCell ref="C512:E512"/>
    <mergeCell ref="C513:E513"/>
    <mergeCell ref="C514:E514"/>
    <mergeCell ref="C515:E515"/>
    <mergeCell ref="C516:E516"/>
    <mergeCell ref="C517:E517"/>
    <mergeCell ref="C518:E518"/>
    <mergeCell ref="C519:E519"/>
    <mergeCell ref="C520:E520"/>
    <mergeCell ref="C521:E521"/>
    <mergeCell ref="C522:E522"/>
    <mergeCell ref="C523:E523"/>
    <mergeCell ref="C524:E524"/>
    <mergeCell ref="C525:E525"/>
    <mergeCell ref="C526:E526"/>
    <mergeCell ref="C527:E527"/>
    <mergeCell ref="C528:E528"/>
    <mergeCell ref="C529:E529"/>
    <mergeCell ref="C530:E530"/>
    <mergeCell ref="C531:E531"/>
    <mergeCell ref="C532:E532"/>
    <mergeCell ref="C533:E533"/>
    <mergeCell ref="C534:E534"/>
    <mergeCell ref="C535:E535"/>
    <mergeCell ref="C536:E536"/>
    <mergeCell ref="C537:E537"/>
    <mergeCell ref="C538:E538"/>
    <mergeCell ref="C539:E539"/>
    <mergeCell ref="C540:E540"/>
    <mergeCell ref="C541:E541"/>
    <mergeCell ref="C542:E542"/>
    <mergeCell ref="C543:E543"/>
    <mergeCell ref="C544:E544"/>
    <mergeCell ref="C545:E545"/>
    <mergeCell ref="C546:E546"/>
    <mergeCell ref="C547:E547"/>
    <mergeCell ref="C548:E548"/>
    <mergeCell ref="C549:E549"/>
    <mergeCell ref="C550:E550"/>
    <mergeCell ref="C551:E551"/>
    <mergeCell ref="C552:E552"/>
    <mergeCell ref="C553:E553"/>
    <mergeCell ref="C554:E554"/>
    <mergeCell ref="C555:E555"/>
    <mergeCell ref="C556:E556"/>
    <mergeCell ref="C557:E557"/>
    <mergeCell ref="C558:E558"/>
    <mergeCell ref="C559:E559"/>
    <mergeCell ref="C560:E560"/>
    <mergeCell ref="C561:E561"/>
    <mergeCell ref="C562:E562"/>
    <mergeCell ref="C563:E563"/>
    <mergeCell ref="C564:E564"/>
    <mergeCell ref="C565:E565"/>
    <mergeCell ref="C566:E566"/>
    <mergeCell ref="C567:E567"/>
    <mergeCell ref="C568:E568"/>
    <mergeCell ref="C569:E569"/>
    <mergeCell ref="C570:E570"/>
    <mergeCell ref="C571:E571"/>
    <mergeCell ref="C572:E572"/>
    <mergeCell ref="C573:E573"/>
    <mergeCell ref="C574:E574"/>
    <mergeCell ref="C575:E575"/>
    <mergeCell ref="C576:E576"/>
    <mergeCell ref="C577:E577"/>
    <mergeCell ref="C578:E578"/>
    <mergeCell ref="C579:E579"/>
    <mergeCell ref="C580:E580"/>
    <mergeCell ref="C581:E581"/>
    <mergeCell ref="C582:E582"/>
    <mergeCell ref="C583:E583"/>
    <mergeCell ref="C584:E584"/>
    <mergeCell ref="C585:E585"/>
    <mergeCell ref="C586:E586"/>
    <mergeCell ref="C587:E587"/>
    <mergeCell ref="C588:E588"/>
    <mergeCell ref="C589:E589"/>
    <mergeCell ref="C590:E590"/>
    <mergeCell ref="C591:E591"/>
    <mergeCell ref="C592:E592"/>
    <mergeCell ref="A603:L603"/>
    <mergeCell ref="C593:E593"/>
    <mergeCell ref="C594:E594"/>
    <mergeCell ref="C595:E595"/>
    <mergeCell ref="C596:E596"/>
    <mergeCell ref="C597:E597"/>
    <mergeCell ref="C598:E598"/>
    <mergeCell ref="C599:E599"/>
    <mergeCell ref="C600:E600"/>
    <mergeCell ref="I601:J601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62EB-3517-4341-B1DC-47165BF9DD8B}">
  <sheetPr>
    <pageSetUpPr fitToPage="1"/>
  </sheetPr>
  <dimension ref="A1:I821"/>
  <sheetViews>
    <sheetView workbookViewId="0">
      <pane ySplit="10" topLeftCell="A11" activePane="bottomLeft" state="frozenSplit"/>
      <selection pane="bottomLeft" activeCell="D38" sqref="D38:E38"/>
    </sheetView>
  </sheetViews>
  <sheetFormatPr defaultColWidth="11.5703125" defaultRowHeight="12.75" x14ac:dyDescent="0.2"/>
  <cols>
    <col min="1" max="2" width="9.140625" style="75" customWidth="1"/>
    <col min="3" max="3" width="13.28515625" style="75" customWidth="1"/>
    <col min="4" max="4" width="133" style="75" customWidth="1"/>
    <col min="5" max="5" width="14.5703125" style="75" customWidth="1"/>
    <col min="6" max="6" width="6.42578125" style="75" customWidth="1"/>
    <col min="7" max="7" width="13.85546875" style="75" customWidth="1"/>
    <col min="8" max="8" width="18.140625" style="75" hidden="1" customWidth="1"/>
    <col min="9" max="16384" width="11.5703125" style="75"/>
  </cols>
  <sheetData>
    <row r="1" spans="1:9" ht="72.95" customHeight="1" x14ac:dyDescent="0.35">
      <c r="A1" s="302" t="s">
        <v>1748</v>
      </c>
      <c r="B1" s="287"/>
      <c r="C1" s="287"/>
      <c r="D1" s="287"/>
      <c r="E1" s="287"/>
      <c r="F1" s="287"/>
      <c r="G1" s="287"/>
      <c r="H1" s="287"/>
    </row>
    <row r="2" spans="1:9" x14ac:dyDescent="0.2">
      <c r="A2" s="288" t="s">
        <v>1</v>
      </c>
      <c r="B2" s="289"/>
      <c r="C2" s="290" t="str">
        <f>'Stavební rozpočet-SO02'!C2</f>
        <v>Snížení energetické.náročnosti objektů Domova Kladno-Švermov</v>
      </c>
      <c r="D2" s="291"/>
      <c r="E2" s="293" t="s">
        <v>1657</v>
      </c>
      <c r="F2" s="293" t="str">
        <f>'Stavební rozpočet-SO02'!I2</f>
        <v> </v>
      </c>
      <c r="G2" s="289"/>
      <c r="H2" s="303"/>
      <c r="I2" s="80"/>
    </row>
    <row r="3" spans="1:9" x14ac:dyDescent="0.2">
      <c r="A3" s="285"/>
      <c r="B3" s="256"/>
      <c r="C3" s="292"/>
      <c r="D3" s="292"/>
      <c r="E3" s="256"/>
      <c r="F3" s="256"/>
      <c r="G3" s="256"/>
      <c r="H3" s="276"/>
      <c r="I3" s="80"/>
    </row>
    <row r="4" spans="1:9" x14ac:dyDescent="0.2">
      <c r="A4" s="277" t="s">
        <v>2</v>
      </c>
      <c r="B4" s="256"/>
      <c r="C4" s="255" t="str">
        <f>'Stavební rozpočet-SO02'!C4</f>
        <v>SO 02 - OBJEKT 2 - č.p.1357</v>
      </c>
      <c r="D4" s="256"/>
      <c r="E4" s="255" t="s">
        <v>1658</v>
      </c>
      <c r="F4" s="255" t="str">
        <f>'Stavební rozpočet-SO02'!I4</f>
        <v> </v>
      </c>
      <c r="G4" s="256"/>
      <c r="H4" s="276"/>
      <c r="I4" s="80"/>
    </row>
    <row r="5" spans="1:9" x14ac:dyDescent="0.2">
      <c r="A5" s="285"/>
      <c r="B5" s="256"/>
      <c r="C5" s="256"/>
      <c r="D5" s="256"/>
      <c r="E5" s="256"/>
      <c r="F5" s="256"/>
      <c r="G5" s="256"/>
      <c r="H5" s="276"/>
      <c r="I5" s="80"/>
    </row>
    <row r="6" spans="1:9" x14ac:dyDescent="0.2">
      <c r="A6" s="277" t="s">
        <v>3</v>
      </c>
      <c r="B6" s="256"/>
      <c r="C6" s="255" t="str">
        <f>'Stavební rozpočet-SO02'!C6</f>
        <v xml:space="preserve"> </v>
      </c>
      <c r="D6" s="256"/>
      <c r="E6" s="255" t="s">
        <v>1659</v>
      </c>
      <c r="F6" s="255" t="str">
        <f>'Stavební rozpočet-SO02'!I6</f>
        <v> </v>
      </c>
      <c r="G6" s="256"/>
      <c r="H6" s="276"/>
      <c r="I6" s="80"/>
    </row>
    <row r="7" spans="1:9" x14ac:dyDescent="0.2">
      <c r="A7" s="285"/>
      <c r="B7" s="256"/>
      <c r="C7" s="256"/>
      <c r="D7" s="256"/>
      <c r="E7" s="256"/>
      <c r="F7" s="256"/>
      <c r="G7" s="256"/>
      <c r="H7" s="276"/>
      <c r="I7" s="80"/>
    </row>
    <row r="8" spans="1:9" x14ac:dyDescent="0.2">
      <c r="A8" s="277" t="s">
        <v>1660</v>
      </c>
      <c r="B8" s="256"/>
      <c r="C8" s="255" t="str">
        <f>'Stavební rozpočet-SO02'!I8</f>
        <v> </v>
      </c>
      <c r="D8" s="256"/>
      <c r="E8" s="255" t="s">
        <v>1642</v>
      </c>
      <c r="F8" s="255"/>
      <c r="G8" s="256"/>
      <c r="H8" s="276"/>
      <c r="I8" s="80"/>
    </row>
    <row r="9" spans="1:9" ht="13.5" thickBot="1" x14ac:dyDescent="0.25">
      <c r="A9" s="299"/>
      <c r="B9" s="300"/>
      <c r="C9" s="300"/>
      <c r="D9" s="300"/>
      <c r="E9" s="300"/>
      <c r="F9" s="300"/>
      <c r="G9" s="300"/>
      <c r="H9" s="301"/>
      <c r="I9" s="80"/>
    </row>
    <row r="10" spans="1:9" ht="13.5" thickBot="1" x14ac:dyDescent="0.25">
      <c r="A10" s="104" t="s">
        <v>5</v>
      </c>
      <c r="B10" s="149" t="s">
        <v>1742</v>
      </c>
      <c r="C10" s="149" t="s">
        <v>570</v>
      </c>
      <c r="D10" s="295" t="s">
        <v>1049</v>
      </c>
      <c r="E10" s="296"/>
      <c r="F10" s="149" t="s">
        <v>1643</v>
      </c>
      <c r="G10" s="148" t="s">
        <v>1656</v>
      </c>
      <c r="H10" s="105" t="s">
        <v>1880</v>
      </c>
      <c r="I10" s="78"/>
    </row>
    <row r="11" spans="1:9" x14ac:dyDescent="0.2">
      <c r="A11" s="129"/>
      <c r="B11" s="129"/>
      <c r="C11" s="129" t="s">
        <v>17</v>
      </c>
      <c r="D11" s="322" t="s">
        <v>1051</v>
      </c>
      <c r="E11" s="323"/>
      <c r="F11" s="129"/>
      <c r="G11" s="147"/>
      <c r="H11" s="126"/>
    </row>
    <row r="12" spans="1:9" x14ac:dyDescent="0.2">
      <c r="A12" s="117" t="s">
        <v>7</v>
      </c>
      <c r="B12" s="117"/>
      <c r="C12" s="117" t="s">
        <v>571</v>
      </c>
      <c r="D12" s="304" t="s">
        <v>1052</v>
      </c>
      <c r="E12" s="305"/>
      <c r="F12" s="117" t="s">
        <v>1644</v>
      </c>
      <c r="G12" s="116">
        <v>1</v>
      </c>
      <c r="H12" s="108">
        <v>0</v>
      </c>
    </row>
    <row r="13" spans="1:9" ht="12.2" customHeight="1" x14ac:dyDescent="0.2">
      <c r="D13" s="334" t="s">
        <v>1749</v>
      </c>
      <c r="E13" s="335"/>
      <c r="F13" s="335"/>
      <c r="G13" s="143">
        <v>1</v>
      </c>
    </row>
    <row r="14" spans="1:9" x14ac:dyDescent="0.2">
      <c r="A14" s="117" t="s">
        <v>8</v>
      </c>
      <c r="B14" s="117"/>
      <c r="C14" s="117" t="s">
        <v>572</v>
      </c>
      <c r="D14" s="304" t="s">
        <v>1053</v>
      </c>
      <c r="E14" s="305"/>
      <c r="F14" s="117" t="s">
        <v>1644</v>
      </c>
      <c r="G14" s="116">
        <v>1</v>
      </c>
      <c r="H14" s="108">
        <v>0</v>
      </c>
    </row>
    <row r="15" spans="1:9" ht="12.2" customHeight="1" x14ac:dyDescent="0.2">
      <c r="D15" s="334" t="s">
        <v>1749</v>
      </c>
      <c r="E15" s="335"/>
      <c r="F15" s="335"/>
      <c r="G15" s="143">
        <v>1</v>
      </c>
    </row>
    <row r="16" spans="1:9" x14ac:dyDescent="0.2">
      <c r="A16" s="117" t="s">
        <v>9</v>
      </c>
      <c r="B16" s="117"/>
      <c r="C16" s="117" t="s">
        <v>573</v>
      </c>
      <c r="D16" s="304" t="s">
        <v>1054</v>
      </c>
      <c r="E16" s="305"/>
      <c r="F16" s="117" t="s">
        <v>1645</v>
      </c>
      <c r="G16" s="116">
        <v>38</v>
      </c>
      <c r="H16" s="108">
        <v>0</v>
      </c>
    </row>
    <row r="17" spans="1:8" ht="12.2" customHeight="1" x14ac:dyDescent="0.2">
      <c r="D17" s="334" t="s">
        <v>2227</v>
      </c>
      <c r="E17" s="335"/>
      <c r="F17" s="335"/>
      <c r="G17" s="143">
        <v>38</v>
      </c>
    </row>
    <row r="18" spans="1:8" x14ac:dyDescent="0.2">
      <c r="A18" s="117" t="s">
        <v>10</v>
      </c>
      <c r="B18" s="117"/>
      <c r="C18" s="117" t="s">
        <v>573</v>
      </c>
      <c r="D18" s="304" t="s">
        <v>1055</v>
      </c>
      <c r="E18" s="305"/>
      <c r="F18" s="117" t="s">
        <v>1645</v>
      </c>
      <c r="G18" s="116">
        <v>16.8</v>
      </c>
      <c r="H18" s="108">
        <v>0</v>
      </c>
    </row>
    <row r="19" spans="1:8" ht="12.2" customHeight="1" x14ac:dyDescent="0.2">
      <c r="D19" s="334" t="s">
        <v>2226</v>
      </c>
      <c r="E19" s="335"/>
      <c r="F19" s="335"/>
      <c r="G19" s="143">
        <v>16.8</v>
      </c>
    </row>
    <row r="20" spans="1:8" x14ac:dyDescent="0.2">
      <c r="A20" s="117" t="s">
        <v>11</v>
      </c>
      <c r="B20" s="117"/>
      <c r="C20" s="117" t="s">
        <v>2166</v>
      </c>
      <c r="D20" s="304" t="s">
        <v>2165</v>
      </c>
      <c r="E20" s="305"/>
      <c r="F20" s="117" t="s">
        <v>1645</v>
      </c>
      <c r="G20" s="116">
        <v>5.58</v>
      </c>
      <c r="H20" s="108">
        <v>0</v>
      </c>
    </row>
    <row r="21" spans="1:8" ht="12.2" customHeight="1" x14ac:dyDescent="0.2">
      <c r="D21" s="334" t="s">
        <v>2212</v>
      </c>
      <c r="E21" s="335"/>
      <c r="F21" s="335"/>
      <c r="G21" s="143">
        <v>5.58</v>
      </c>
    </row>
    <row r="22" spans="1:8" x14ac:dyDescent="0.2">
      <c r="A22" s="117" t="s">
        <v>12</v>
      </c>
      <c r="B22" s="117"/>
      <c r="C22" s="117" t="s">
        <v>2164</v>
      </c>
      <c r="D22" s="304" t="s">
        <v>2163</v>
      </c>
      <c r="E22" s="305"/>
      <c r="F22" s="117" t="s">
        <v>1645</v>
      </c>
      <c r="G22" s="116">
        <v>5.58</v>
      </c>
      <c r="H22" s="108">
        <v>0</v>
      </c>
    </row>
    <row r="23" spans="1:8" ht="12.2" customHeight="1" x14ac:dyDescent="0.2">
      <c r="D23" s="334" t="s">
        <v>2212</v>
      </c>
      <c r="E23" s="335"/>
      <c r="F23" s="335"/>
      <c r="G23" s="143">
        <v>5.58</v>
      </c>
    </row>
    <row r="24" spans="1:8" x14ac:dyDescent="0.2">
      <c r="A24" s="117" t="s">
        <v>13</v>
      </c>
      <c r="B24" s="117"/>
      <c r="C24" s="117" t="s">
        <v>575</v>
      </c>
      <c r="D24" s="304" t="s">
        <v>1057</v>
      </c>
      <c r="E24" s="305"/>
      <c r="F24" s="117" t="s">
        <v>1646</v>
      </c>
      <c r="G24" s="116">
        <v>3.6</v>
      </c>
      <c r="H24" s="108">
        <v>0</v>
      </c>
    </row>
    <row r="25" spans="1:8" ht="12.2" customHeight="1" x14ac:dyDescent="0.2">
      <c r="D25" s="334" t="s">
        <v>1753</v>
      </c>
      <c r="E25" s="335"/>
      <c r="F25" s="335"/>
      <c r="G25" s="143">
        <v>3.6</v>
      </c>
    </row>
    <row r="26" spans="1:8" x14ac:dyDescent="0.2">
      <c r="A26" s="120"/>
      <c r="B26" s="120"/>
      <c r="C26" s="120" t="s">
        <v>18</v>
      </c>
      <c r="D26" s="306" t="s">
        <v>1059</v>
      </c>
      <c r="E26" s="307"/>
      <c r="F26" s="120"/>
      <c r="G26" s="142"/>
      <c r="H26" s="109"/>
    </row>
    <row r="27" spans="1:8" x14ac:dyDescent="0.2">
      <c r="A27" s="117" t="s">
        <v>14</v>
      </c>
      <c r="B27" s="117"/>
      <c r="C27" s="117" t="s">
        <v>577</v>
      </c>
      <c r="D27" s="304" t="s">
        <v>1060</v>
      </c>
      <c r="E27" s="305"/>
      <c r="F27" s="117" t="s">
        <v>1647</v>
      </c>
      <c r="G27" s="116">
        <v>10.66</v>
      </c>
      <c r="H27" s="108">
        <v>0</v>
      </c>
    </row>
    <row r="28" spans="1:8" ht="12.2" customHeight="1" x14ac:dyDescent="0.2">
      <c r="D28" s="334" t="s">
        <v>2225</v>
      </c>
      <c r="E28" s="335"/>
      <c r="F28" s="335"/>
      <c r="G28" s="143">
        <v>10.66</v>
      </c>
    </row>
    <row r="29" spans="1:8" x14ac:dyDescent="0.2">
      <c r="A29" s="120"/>
      <c r="B29" s="120"/>
      <c r="C29" s="120" t="s">
        <v>19</v>
      </c>
      <c r="D29" s="306" t="s">
        <v>1061</v>
      </c>
      <c r="E29" s="307"/>
      <c r="F29" s="120"/>
      <c r="G29" s="142"/>
      <c r="H29" s="109"/>
    </row>
    <row r="30" spans="1:8" x14ac:dyDescent="0.2">
      <c r="A30" s="117" t="s">
        <v>15</v>
      </c>
      <c r="B30" s="117"/>
      <c r="C30" s="117" t="s">
        <v>578</v>
      </c>
      <c r="D30" s="304" t="s">
        <v>1062</v>
      </c>
      <c r="E30" s="305"/>
      <c r="F30" s="117" t="s">
        <v>1647</v>
      </c>
      <c r="G30" s="116">
        <v>111.592</v>
      </c>
      <c r="H30" s="108">
        <v>0</v>
      </c>
    </row>
    <row r="31" spans="1:8" ht="12.2" customHeight="1" x14ac:dyDescent="0.2">
      <c r="D31" s="334" t="s">
        <v>2224</v>
      </c>
      <c r="E31" s="335"/>
      <c r="F31" s="335"/>
      <c r="G31" s="143">
        <v>111.592</v>
      </c>
    </row>
    <row r="32" spans="1:8" x14ac:dyDescent="0.2">
      <c r="A32" s="117" t="s">
        <v>16</v>
      </c>
      <c r="B32" s="117"/>
      <c r="C32" s="117" t="s">
        <v>579</v>
      </c>
      <c r="D32" s="304" t="s">
        <v>1063</v>
      </c>
      <c r="E32" s="305"/>
      <c r="F32" s="117" t="s">
        <v>1647</v>
      </c>
      <c r="G32" s="116">
        <v>111.592</v>
      </c>
      <c r="H32" s="108">
        <v>0</v>
      </c>
    </row>
    <row r="33" spans="1:8" ht="12.2" customHeight="1" x14ac:dyDescent="0.2">
      <c r="D33" s="334" t="s">
        <v>2223</v>
      </c>
      <c r="E33" s="335"/>
      <c r="F33" s="335"/>
      <c r="G33" s="143">
        <v>111.592</v>
      </c>
    </row>
    <row r="34" spans="1:8" x14ac:dyDescent="0.2">
      <c r="A34" s="117" t="s">
        <v>17</v>
      </c>
      <c r="B34" s="117"/>
      <c r="C34" s="117" t="s">
        <v>580</v>
      </c>
      <c r="D34" s="304" t="s">
        <v>1064</v>
      </c>
      <c r="E34" s="305"/>
      <c r="F34" s="117" t="s">
        <v>1647</v>
      </c>
      <c r="G34" s="116">
        <v>2.2050000000000001</v>
      </c>
      <c r="H34" s="108">
        <v>0</v>
      </c>
    </row>
    <row r="35" spans="1:8" ht="12.2" customHeight="1" x14ac:dyDescent="0.2">
      <c r="D35" s="334" t="s">
        <v>1758</v>
      </c>
      <c r="E35" s="335"/>
      <c r="F35" s="335"/>
      <c r="G35" s="143">
        <v>2.2050000000000001</v>
      </c>
    </row>
    <row r="36" spans="1:8" x14ac:dyDescent="0.2">
      <c r="A36" s="117" t="s">
        <v>18</v>
      </c>
      <c r="B36" s="117"/>
      <c r="C36" s="117" t="s">
        <v>580</v>
      </c>
      <c r="D36" s="304" t="s">
        <v>2162</v>
      </c>
      <c r="E36" s="305"/>
      <c r="F36" s="117" t="s">
        <v>1647</v>
      </c>
      <c r="G36" s="116">
        <v>2.16</v>
      </c>
      <c r="H36" s="108">
        <v>0</v>
      </c>
    </row>
    <row r="37" spans="1:8" ht="12.2" customHeight="1" x14ac:dyDescent="0.2">
      <c r="D37" s="334" t="s">
        <v>2222</v>
      </c>
      <c r="E37" s="335"/>
      <c r="F37" s="335"/>
      <c r="G37" s="143">
        <v>2.16</v>
      </c>
    </row>
    <row r="38" spans="1:8" x14ac:dyDescent="0.2">
      <c r="A38" s="120"/>
      <c r="B38" s="120"/>
      <c r="C38" s="120" t="s">
        <v>22</v>
      </c>
      <c r="D38" s="306" t="s">
        <v>1066</v>
      </c>
      <c r="E38" s="307"/>
      <c r="F38" s="120"/>
      <c r="G38" s="142"/>
      <c r="H38" s="109"/>
    </row>
    <row r="39" spans="1:8" x14ac:dyDescent="0.2">
      <c r="A39" s="117" t="s">
        <v>19</v>
      </c>
      <c r="B39" s="117"/>
      <c r="C39" s="117" t="s">
        <v>581</v>
      </c>
      <c r="D39" s="304" t="s">
        <v>1067</v>
      </c>
      <c r="E39" s="305"/>
      <c r="F39" s="117" t="s">
        <v>1647</v>
      </c>
      <c r="G39" s="116">
        <v>26.234000000000002</v>
      </c>
      <c r="H39" s="108">
        <v>0</v>
      </c>
    </row>
    <row r="40" spans="1:8" ht="12.2" customHeight="1" x14ac:dyDescent="0.2">
      <c r="D40" s="334" t="s">
        <v>2221</v>
      </c>
      <c r="E40" s="335"/>
      <c r="F40" s="335"/>
      <c r="G40" s="143">
        <v>26.234000000000002</v>
      </c>
    </row>
    <row r="41" spans="1:8" x14ac:dyDescent="0.2">
      <c r="A41" s="117" t="s">
        <v>20</v>
      </c>
      <c r="B41" s="117"/>
      <c r="C41" s="117" t="s">
        <v>582</v>
      </c>
      <c r="D41" s="304" t="s">
        <v>1068</v>
      </c>
      <c r="E41" s="305"/>
      <c r="F41" s="117" t="s">
        <v>1648</v>
      </c>
      <c r="G41" s="116">
        <v>45.91</v>
      </c>
      <c r="H41" s="108">
        <v>0</v>
      </c>
    </row>
    <row r="42" spans="1:8" ht="12.2" customHeight="1" x14ac:dyDescent="0.2">
      <c r="D42" s="334" t="s">
        <v>2220</v>
      </c>
      <c r="E42" s="335"/>
      <c r="F42" s="335"/>
      <c r="G42" s="143">
        <v>45.91</v>
      </c>
    </row>
    <row r="43" spans="1:8" x14ac:dyDescent="0.2">
      <c r="A43" s="117" t="s">
        <v>21</v>
      </c>
      <c r="B43" s="117"/>
      <c r="C43" s="117" t="s">
        <v>583</v>
      </c>
      <c r="D43" s="304" t="s">
        <v>1069</v>
      </c>
      <c r="E43" s="305"/>
      <c r="F43" s="117" t="s">
        <v>1647</v>
      </c>
      <c r="G43" s="116">
        <v>26.234000000000002</v>
      </c>
      <c r="H43" s="108">
        <v>0</v>
      </c>
    </row>
    <row r="44" spans="1:8" ht="12.2" customHeight="1" x14ac:dyDescent="0.2">
      <c r="D44" s="334" t="s">
        <v>2219</v>
      </c>
      <c r="E44" s="335"/>
      <c r="F44" s="335"/>
      <c r="G44" s="143">
        <v>26.234000000000002</v>
      </c>
    </row>
    <row r="45" spans="1:8" x14ac:dyDescent="0.2">
      <c r="A45" s="120"/>
      <c r="B45" s="120"/>
      <c r="C45" s="120" t="s">
        <v>23</v>
      </c>
      <c r="D45" s="306" t="s">
        <v>1070</v>
      </c>
      <c r="E45" s="307"/>
      <c r="F45" s="120"/>
      <c r="G45" s="142"/>
      <c r="H45" s="109"/>
    </row>
    <row r="46" spans="1:8" x14ac:dyDescent="0.2">
      <c r="A46" s="117" t="s">
        <v>22</v>
      </c>
      <c r="B46" s="117"/>
      <c r="C46" s="117" t="s">
        <v>584</v>
      </c>
      <c r="D46" s="304" t="s">
        <v>1071</v>
      </c>
      <c r="E46" s="305"/>
      <c r="F46" s="117" t="s">
        <v>1647</v>
      </c>
      <c r="G46" s="116">
        <v>26.234000000000002</v>
      </c>
      <c r="H46" s="108">
        <v>0</v>
      </c>
    </row>
    <row r="47" spans="1:8" ht="12.2" customHeight="1" x14ac:dyDescent="0.2">
      <c r="D47" s="334" t="s">
        <v>2219</v>
      </c>
      <c r="E47" s="335"/>
      <c r="F47" s="335"/>
      <c r="G47" s="143">
        <v>26.234000000000002</v>
      </c>
    </row>
    <row r="48" spans="1:8" x14ac:dyDescent="0.2">
      <c r="A48" s="117" t="s">
        <v>23</v>
      </c>
      <c r="B48" s="117"/>
      <c r="C48" s="117" t="s">
        <v>585</v>
      </c>
      <c r="D48" s="304" t="s">
        <v>1072</v>
      </c>
      <c r="E48" s="305"/>
      <c r="F48" s="117" t="s">
        <v>1647</v>
      </c>
      <c r="G48" s="116">
        <v>65.551000000000002</v>
      </c>
      <c r="H48" s="108">
        <v>0</v>
      </c>
    </row>
    <row r="49" spans="1:8" ht="12.2" customHeight="1" x14ac:dyDescent="0.2">
      <c r="D49" s="334" t="s">
        <v>2218</v>
      </c>
      <c r="E49" s="335"/>
      <c r="F49" s="335"/>
      <c r="G49" s="143">
        <v>65.551000000000002</v>
      </c>
    </row>
    <row r="50" spans="1:8" x14ac:dyDescent="0.2">
      <c r="A50" s="117" t="s">
        <v>24</v>
      </c>
      <c r="B50" s="117"/>
      <c r="C50" s="117" t="s">
        <v>585</v>
      </c>
      <c r="D50" s="304" t="s">
        <v>1074</v>
      </c>
      <c r="E50" s="305"/>
      <c r="F50" s="117" t="s">
        <v>1647</v>
      </c>
      <c r="G50" s="116">
        <v>1.86</v>
      </c>
      <c r="H50" s="108">
        <v>0</v>
      </c>
    </row>
    <row r="51" spans="1:8" ht="12.2" customHeight="1" x14ac:dyDescent="0.2">
      <c r="D51" s="334" t="s">
        <v>1765</v>
      </c>
      <c r="E51" s="335"/>
      <c r="F51" s="335"/>
      <c r="G51" s="143">
        <v>1.86</v>
      </c>
    </row>
    <row r="52" spans="1:8" x14ac:dyDescent="0.2">
      <c r="A52" s="117" t="s">
        <v>25</v>
      </c>
      <c r="B52" s="117"/>
      <c r="C52" s="117" t="s">
        <v>586</v>
      </c>
      <c r="D52" s="304" t="s">
        <v>2160</v>
      </c>
      <c r="E52" s="305"/>
      <c r="F52" s="117" t="s">
        <v>1647</v>
      </c>
      <c r="G52" s="116">
        <v>1.944</v>
      </c>
      <c r="H52" s="108">
        <v>0</v>
      </c>
    </row>
    <row r="53" spans="1:8" ht="12.2" customHeight="1" x14ac:dyDescent="0.2">
      <c r="D53" s="334" t="s">
        <v>2217</v>
      </c>
      <c r="E53" s="335"/>
      <c r="F53" s="335"/>
      <c r="G53" s="143">
        <v>1.944</v>
      </c>
    </row>
    <row r="54" spans="1:8" x14ac:dyDescent="0.2">
      <c r="A54" s="120"/>
      <c r="B54" s="120"/>
      <c r="C54" s="120" t="s">
        <v>24</v>
      </c>
      <c r="D54" s="306" t="s">
        <v>1076</v>
      </c>
      <c r="E54" s="307"/>
      <c r="F54" s="120"/>
      <c r="G54" s="142"/>
      <c r="H54" s="109"/>
    </row>
    <row r="55" spans="1:8" x14ac:dyDescent="0.2">
      <c r="A55" s="117" t="s">
        <v>26</v>
      </c>
      <c r="B55" s="117"/>
      <c r="C55" s="117" t="s">
        <v>587</v>
      </c>
      <c r="D55" s="304" t="s">
        <v>1077</v>
      </c>
      <c r="E55" s="305"/>
      <c r="F55" s="117" t="s">
        <v>1645</v>
      </c>
      <c r="G55" s="116">
        <v>134.22300000000001</v>
      </c>
      <c r="H55" s="108">
        <v>0</v>
      </c>
    </row>
    <row r="56" spans="1:8" ht="12.2" customHeight="1" x14ac:dyDescent="0.2">
      <c r="D56" s="334" t="s">
        <v>2216</v>
      </c>
      <c r="E56" s="335"/>
      <c r="F56" s="335"/>
      <c r="G56" s="143">
        <v>34.222999999999999</v>
      </c>
    </row>
    <row r="57" spans="1:8" ht="12.2" customHeight="1" x14ac:dyDescent="0.2">
      <c r="A57" s="117"/>
      <c r="B57" s="117"/>
      <c r="C57" s="117"/>
      <c r="D57" s="334" t="s">
        <v>1769</v>
      </c>
      <c r="E57" s="335"/>
      <c r="F57" s="334"/>
      <c r="G57" s="144">
        <v>100</v>
      </c>
      <c r="H57" s="111"/>
    </row>
    <row r="58" spans="1:8" x14ac:dyDescent="0.2">
      <c r="A58" s="117" t="s">
        <v>27</v>
      </c>
      <c r="B58" s="117"/>
      <c r="C58" s="117" t="s">
        <v>2159</v>
      </c>
      <c r="D58" s="304" t="s">
        <v>2158</v>
      </c>
      <c r="E58" s="305"/>
      <c r="F58" s="117" t="s">
        <v>1645</v>
      </c>
      <c r="G58" s="116">
        <v>15.827999999999999</v>
      </c>
      <c r="H58" s="108">
        <v>0</v>
      </c>
    </row>
    <row r="59" spans="1:8" ht="12.2" customHeight="1" x14ac:dyDescent="0.2">
      <c r="D59" s="334" t="s">
        <v>2215</v>
      </c>
      <c r="E59" s="335"/>
      <c r="F59" s="335"/>
      <c r="G59" s="143">
        <v>15.827999999999999</v>
      </c>
    </row>
    <row r="60" spans="1:8" x14ac:dyDescent="0.2">
      <c r="A60" s="120"/>
      <c r="B60" s="120"/>
      <c r="C60" s="120" t="s">
        <v>27</v>
      </c>
      <c r="D60" s="306" t="s">
        <v>1078</v>
      </c>
      <c r="E60" s="307"/>
      <c r="F60" s="120"/>
      <c r="G60" s="142"/>
      <c r="H60" s="109"/>
    </row>
    <row r="61" spans="1:8" x14ac:dyDescent="0.2">
      <c r="A61" s="117" t="s">
        <v>28</v>
      </c>
      <c r="B61" s="117"/>
      <c r="C61" s="117" t="s">
        <v>588</v>
      </c>
      <c r="D61" s="304" t="s">
        <v>1079</v>
      </c>
      <c r="E61" s="305"/>
      <c r="F61" s="117" t="s">
        <v>1646</v>
      </c>
      <c r="G61" s="116">
        <v>83.2</v>
      </c>
      <c r="H61" s="108">
        <v>0</v>
      </c>
    </row>
    <row r="62" spans="1:8" ht="12.2" customHeight="1" x14ac:dyDescent="0.2">
      <c r="D62" s="334" t="s">
        <v>1770</v>
      </c>
      <c r="E62" s="335"/>
      <c r="F62" s="335"/>
      <c r="G62" s="143">
        <v>83.2</v>
      </c>
    </row>
    <row r="63" spans="1:8" x14ac:dyDescent="0.2">
      <c r="A63" s="117" t="s">
        <v>29</v>
      </c>
      <c r="B63" s="117"/>
      <c r="C63" s="117" t="s">
        <v>589</v>
      </c>
      <c r="D63" s="304" t="s">
        <v>1080</v>
      </c>
      <c r="E63" s="305"/>
      <c r="F63" s="117" t="s">
        <v>1646</v>
      </c>
      <c r="G63" s="116">
        <v>83.2</v>
      </c>
      <c r="H63" s="108">
        <v>0</v>
      </c>
    </row>
    <row r="64" spans="1:8" ht="12.2" customHeight="1" x14ac:dyDescent="0.2">
      <c r="D64" s="334" t="s">
        <v>1770</v>
      </c>
      <c r="E64" s="335"/>
      <c r="F64" s="335"/>
      <c r="G64" s="143">
        <v>83.2</v>
      </c>
    </row>
    <row r="65" spans="1:8" x14ac:dyDescent="0.2">
      <c r="A65" s="120"/>
      <c r="B65" s="120"/>
      <c r="C65" s="120" t="s">
        <v>33</v>
      </c>
      <c r="D65" s="306" t="s">
        <v>1081</v>
      </c>
      <c r="E65" s="307"/>
      <c r="F65" s="120"/>
      <c r="G65" s="142"/>
      <c r="H65" s="109"/>
    </row>
    <row r="66" spans="1:8" x14ac:dyDescent="0.2">
      <c r="A66" s="117" t="s">
        <v>30</v>
      </c>
      <c r="B66" s="117"/>
      <c r="C66" s="117" t="s">
        <v>590</v>
      </c>
      <c r="D66" s="304" t="s">
        <v>1082</v>
      </c>
      <c r="E66" s="305"/>
      <c r="F66" s="117" t="s">
        <v>1647</v>
      </c>
      <c r="G66" s="116">
        <v>6.4000000000000001E-2</v>
      </c>
      <c r="H66" s="108">
        <v>0</v>
      </c>
    </row>
    <row r="67" spans="1:8" ht="12.2" customHeight="1" x14ac:dyDescent="0.2">
      <c r="D67" s="334" t="s">
        <v>1771</v>
      </c>
      <c r="E67" s="335"/>
      <c r="F67" s="335"/>
      <c r="G67" s="143">
        <v>6.4000000000000001E-2</v>
      </c>
    </row>
    <row r="68" spans="1:8" x14ac:dyDescent="0.2">
      <c r="A68" s="117" t="s">
        <v>31</v>
      </c>
      <c r="B68" s="117"/>
      <c r="C68" s="117" t="s">
        <v>591</v>
      </c>
      <c r="D68" s="304" t="s">
        <v>1083</v>
      </c>
      <c r="E68" s="305"/>
      <c r="F68" s="117" t="s">
        <v>1647</v>
      </c>
      <c r="G68" s="116">
        <v>0.29499999999999998</v>
      </c>
      <c r="H68" s="108">
        <v>0</v>
      </c>
    </row>
    <row r="69" spans="1:8" ht="12.2" customHeight="1" x14ac:dyDescent="0.2">
      <c r="D69" s="334" t="s">
        <v>2214</v>
      </c>
      <c r="E69" s="335"/>
      <c r="F69" s="335"/>
      <c r="G69" s="143">
        <v>0.29499999999999998</v>
      </c>
    </row>
    <row r="70" spans="1:8" x14ac:dyDescent="0.2">
      <c r="A70" s="120"/>
      <c r="B70" s="120"/>
      <c r="C70" s="120" t="s">
        <v>37</v>
      </c>
      <c r="D70" s="306" t="s">
        <v>1084</v>
      </c>
      <c r="E70" s="307"/>
      <c r="F70" s="120"/>
      <c r="G70" s="142"/>
      <c r="H70" s="109"/>
    </row>
    <row r="71" spans="1:8" x14ac:dyDescent="0.2">
      <c r="A71" s="117" t="s">
        <v>32</v>
      </c>
      <c r="B71" s="117"/>
      <c r="C71" s="117" t="s">
        <v>592</v>
      </c>
      <c r="D71" s="304" t="s">
        <v>1086</v>
      </c>
      <c r="E71" s="305"/>
      <c r="F71" s="117" t="s">
        <v>1644</v>
      </c>
      <c r="G71" s="116">
        <v>1</v>
      </c>
      <c r="H71" s="108">
        <v>0</v>
      </c>
    </row>
    <row r="72" spans="1:8" ht="12.2" customHeight="1" x14ac:dyDescent="0.2">
      <c r="D72" s="334" t="s">
        <v>1749</v>
      </c>
      <c r="E72" s="335"/>
      <c r="F72" s="335"/>
      <c r="G72" s="143">
        <v>1</v>
      </c>
    </row>
    <row r="73" spans="1:8" x14ac:dyDescent="0.2">
      <c r="A73" s="117" t="s">
        <v>33</v>
      </c>
      <c r="B73" s="117"/>
      <c r="C73" s="117" t="s">
        <v>2157</v>
      </c>
      <c r="D73" s="304" t="s">
        <v>2156</v>
      </c>
      <c r="E73" s="305"/>
      <c r="F73" s="117" t="s">
        <v>1645</v>
      </c>
      <c r="G73" s="116">
        <v>21.76</v>
      </c>
      <c r="H73" s="108">
        <v>0</v>
      </c>
    </row>
    <row r="74" spans="1:8" ht="12.2" customHeight="1" x14ac:dyDescent="0.2">
      <c r="D74" s="334" t="s">
        <v>2213</v>
      </c>
      <c r="E74" s="335"/>
      <c r="F74" s="335"/>
      <c r="G74" s="143">
        <v>21.76</v>
      </c>
    </row>
    <row r="75" spans="1:8" x14ac:dyDescent="0.2">
      <c r="A75" s="117" t="s">
        <v>34</v>
      </c>
      <c r="B75" s="117"/>
      <c r="C75" s="117" t="s">
        <v>594</v>
      </c>
      <c r="D75" s="304" t="s">
        <v>2155</v>
      </c>
      <c r="E75" s="305"/>
      <c r="F75" s="117" t="s">
        <v>1648</v>
      </c>
      <c r="G75" s="116">
        <v>3.4000000000000002E-2</v>
      </c>
      <c r="H75" s="108">
        <v>0</v>
      </c>
    </row>
    <row r="76" spans="1:8" ht="12.2" customHeight="1" x14ac:dyDescent="0.2">
      <c r="D76" s="334" t="s">
        <v>1774</v>
      </c>
      <c r="E76" s="335"/>
      <c r="F76" s="335"/>
      <c r="G76" s="143">
        <v>3.4000000000000002E-2</v>
      </c>
    </row>
    <row r="77" spans="1:8" x14ac:dyDescent="0.2">
      <c r="A77" s="117" t="s">
        <v>35</v>
      </c>
      <c r="B77" s="117"/>
      <c r="C77" s="117" t="s">
        <v>595</v>
      </c>
      <c r="D77" s="304" t="s">
        <v>1089</v>
      </c>
      <c r="E77" s="305"/>
      <c r="F77" s="117" t="s">
        <v>1646</v>
      </c>
      <c r="G77" s="116">
        <v>100</v>
      </c>
      <c r="H77" s="108">
        <v>0</v>
      </c>
    </row>
    <row r="78" spans="1:8" ht="12.2" customHeight="1" x14ac:dyDescent="0.2">
      <c r="D78" s="334" t="s">
        <v>1769</v>
      </c>
      <c r="E78" s="335"/>
      <c r="F78" s="335"/>
      <c r="G78" s="143">
        <v>100</v>
      </c>
    </row>
    <row r="79" spans="1:8" x14ac:dyDescent="0.2">
      <c r="A79" s="120"/>
      <c r="B79" s="120"/>
      <c r="C79" s="120" t="s">
        <v>62</v>
      </c>
      <c r="D79" s="306" t="s">
        <v>1090</v>
      </c>
      <c r="E79" s="307"/>
      <c r="F79" s="120"/>
      <c r="G79" s="142"/>
      <c r="H79" s="109"/>
    </row>
    <row r="80" spans="1:8" x14ac:dyDescent="0.2">
      <c r="A80" s="117" t="s">
        <v>36</v>
      </c>
      <c r="B80" s="117"/>
      <c r="C80" s="117" t="s">
        <v>596</v>
      </c>
      <c r="D80" s="304" t="s">
        <v>1091</v>
      </c>
      <c r="E80" s="305"/>
      <c r="F80" s="117" t="s">
        <v>1645</v>
      </c>
      <c r="G80" s="116">
        <v>37.648000000000003</v>
      </c>
      <c r="H80" s="108">
        <v>0</v>
      </c>
    </row>
    <row r="81" spans="1:8" ht="12.2" customHeight="1" x14ac:dyDescent="0.2">
      <c r="D81" s="334" t="s">
        <v>2211</v>
      </c>
      <c r="E81" s="335"/>
      <c r="F81" s="335"/>
      <c r="G81" s="143">
        <v>37.648000000000003</v>
      </c>
    </row>
    <row r="82" spans="1:8" x14ac:dyDescent="0.2">
      <c r="A82" s="117" t="s">
        <v>37</v>
      </c>
      <c r="B82" s="117"/>
      <c r="C82" s="117" t="s">
        <v>597</v>
      </c>
      <c r="D82" s="304" t="s">
        <v>1092</v>
      </c>
      <c r="E82" s="305"/>
      <c r="F82" s="117" t="s">
        <v>1645</v>
      </c>
      <c r="G82" s="116">
        <v>37.648000000000003</v>
      </c>
      <c r="H82" s="108">
        <v>0</v>
      </c>
    </row>
    <row r="83" spans="1:8" ht="12.2" customHeight="1" x14ac:dyDescent="0.2">
      <c r="D83" s="334" t="s">
        <v>2211</v>
      </c>
      <c r="E83" s="335"/>
      <c r="F83" s="335"/>
      <c r="G83" s="143">
        <v>37.648000000000003</v>
      </c>
    </row>
    <row r="84" spans="1:8" x14ac:dyDescent="0.2">
      <c r="A84" s="117" t="s">
        <v>38</v>
      </c>
      <c r="B84" s="117"/>
      <c r="C84" s="117" t="s">
        <v>598</v>
      </c>
      <c r="D84" s="304" t="s">
        <v>1093</v>
      </c>
      <c r="E84" s="305"/>
      <c r="F84" s="117" t="s">
        <v>1645</v>
      </c>
      <c r="G84" s="116">
        <v>37.648000000000003</v>
      </c>
      <c r="H84" s="108">
        <v>0</v>
      </c>
    </row>
    <row r="85" spans="1:8" ht="12.2" customHeight="1" x14ac:dyDescent="0.2">
      <c r="D85" s="334" t="s">
        <v>2211</v>
      </c>
      <c r="E85" s="335"/>
      <c r="F85" s="335"/>
      <c r="G85" s="143">
        <v>37.648000000000003</v>
      </c>
    </row>
    <row r="86" spans="1:8" x14ac:dyDescent="0.2">
      <c r="A86" s="120"/>
      <c r="B86" s="120"/>
      <c r="C86" s="120" t="s">
        <v>63</v>
      </c>
      <c r="D86" s="306" t="s">
        <v>1923</v>
      </c>
      <c r="E86" s="307"/>
      <c r="F86" s="120"/>
      <c r="G86" s="142"/>
      <c r="H86" s="109"/>
    </row>
    <row r="87" spans="1:8" x14ac:dyDescent="0.2">
      <c r="A87" s="117" t="s">
        <v>39</v>
      </c>
      <c r="B87" s="117"/>
      <c r="C87" s="117" t="s">
        <v>2154</v>
      </c>
      <c r="D87" s="304" t="s">
        <v>2153</v>
      </c>
      <c r="E87" s="305"/>
      <c r="F87" s="117" t="s">
        <v>1645</v>
      </c>
      <c r="G87" s="116">
        <v>5.58</v>
      </c>
      <c r="H87" s="108">
        <v>0</v>
      </c>
    </row>
    <row r="88" spans="1:8" ht="12.2" customHeight="1" x14ac:dyDescent="0.2">
      <c r="D88" s="334" t="s">
        <v>2212</v>
      </c>
      <c r="E88" s="335"/>
      <c r="F88" s="335"/>
      <c r="G88" s="143">
        <v>5.58</v>
      </c>
    </row>
    <row r="89" spans="1:8" x14ac:dyDescent="0.2">
      <c r="A89" s="120"/>
      <c r="B89" s="120"/>
      <c r="C89" s="120" t="s">
        <v>65</v>
      </c>
      <c r="D89" s="306" t="s">
        <v>1094</v>
      </c>
      <c r="E89" s="307"/>
      <c r="F89" s="120"/>
      <c r="G89" s="142"/>
      <c r="H89" s="109"/>
    </row>
    <row r="90" spans="1:8" x14ac:dyDescent="0.2">
      <c r="A90" s="117" t="s">
        <v>40</v>
      </c>
      <c r="B90" s="117"/>
      <c r="C90" s="117" t="s">
        <v>600</v>
      </c>
      <c r="D90" s="304" t="s">
        <v>1096</v>
      </c>
      <c r="E90" s="305"/>
      <c r="F90" s="117" t="s">
        <v>1645</v>
      </c>
      <c r="G90" s="116">
        <v>37.648000000000003</v>
      </c>
      <c r="H90" s="108">
        <v>0</v>
      </c>
    </row>
    <row r="91" spans="1:8" ht="12.2" customHeight="1" x14ac:dyDescent="0.2">
      <c r="D91" s="334" t="s">
        <v>2211</v>
      </c>
      <c r="E91" s="335"/>
      <c r="F91" s="335"/>
      <c r="G91" s="143">
        <v>37.648000000000003</v>
      </c>
    </row>
    <row r="92" spans="1:8" x14ac:dyDescent="0.2">
      <c r="A92" s="120"/>
      <c r="B92" s="120"/>
      <c r="C92" s="120" t="s">
        <v>67</v>
      </c>
      <c r="D92" s="306" t="s">
        <v>1097</v>
      </c>
      <c r="E92" s="307"/>
      <c r="F92" s="120"/>
      <c r="G92" s="142"/>
      <c r="H92" s="109"/>
    </row>
    <row r="93" spans="1:8" x14ac:dyDescent="0.2">
      <c r="A93" s="117" t="s">
        <v>41</v>
      </c>
      <c r="B93" s="117"/>
      <c r="C93" s="117" t="s">
        <v>601</v>
      </c>
      <c r="D93" s="304" t="s">
        <v>1098</v>
      </c>
      <c r="E93" s="305"/>
      <c r="F93" s="117" t="s">
        <v>1645</v>
      </c>
      <c r="G93" s="116">
        <v>11.925000000000001</v>
      </c>
      <c r="H93" s="108">
        <v>0</v>
      </c>
    </row>
    <row r="94" spans="1:8" ht="12.2" customHeight="1" x14ac:dyDescent="0.2">
      <c r="D94" s="334" t="s">
        <v>2196</v>
      </c>
      <c r="E94" s="335"/>
      <c r="F94" s="335"/>
      <c r="G94" s="143">
        <v>11.925000000000001</v>
      </c>
    </row>
    <row r="95" spans="1:8" x14ac:dyDescent="0.2">
      <c r="A95" s="117" t="s">
        <v>42</v>
      </c>
      <c r="B95" s="117"/>
      <c r="C95" s="117" t="s">
        <v>602</v>
      </c>
      <c r="D95" s="304" t="s">
        <v>1099</v>
      </c>
      <c r="E95" s="305"/>
      <c r="F95" s="117" t="s">
        <v>1645</v>
      </c>
      <c r="G95" s="116">
        <v>0.15</v>
      </c>
      <c r="H95" s="108">
        <v>0</v>
      </c>
    </row>
    <row r="96" spans="1:8" ht="12.2" customHeight="1" x14ac:dyDescent="0.2">
      <c r="D96" s="334" t="s">
        <v>2210</v>
      </c>
      <c r="E96" s="335"/>
      <c r="F96" s="335"/>
      <c r="G96" s="143">
        <v>0.15</v>
      </c>
    </row>
    <row r="97" spans="1:8" x14ac:dyDescent="0.2">
      <c r="A97" s="117" t="s">
        <v>43</v>
      </c>
      <c r="B97" s="117"/>
      <c r="C97" s="117" t="s">
        <v>603</v>
      </c>
      <c r="D97" s="304" t="s">
        <v>1100</v>
      </c>
      <c r="E97" s="305"/>
      <c r="F97" s="117" t="s">
        <v>1645</v>
      </c>
      <c r="G97" s="116">
        <v>0.15</v>
      </c>
      <c r="H97" s="108">
        <v>0</v>
      </c>
    </row>
    <row r="98" spans="1:8" ht="12.2" customHeight="1" x14ac:dyDescent="0.2">
      <c r="D98" s="334" t="s">
        <v>2210</v>
      </c>
      <c r="E98" s="335"/>
      <c r="F98" s="335"/>
      <c r="G98" s="143">
        <v>0.15</v>
      </c>
    </row>
    <row r="99" spans="1:8" x14ac:dyDescent="0.2">
      <c r="A99" s="117" t="s">
        <v>44</v>
      </c>
      <c r="B99" s="117"/>
      <c r="C99" s="117" t="s">
        <v>604</v>
      </c>
      <c r="D99" s="304" t="s">
        <v>1101</v>
      </c>
      <c r="E99" s="305"/>
      <c r="F99" s="117" t="s">
        <v>1645</v>
      </c>
      <c r="G99" s="116">
        <v>10.137</v>
      </c>
      <c r="H99" s="108">
        <v>0</v>
      </c>
    </row>
    <row r="100" spans="1:8" ht="12.2" customHeight="1" x14ac:dyDescent="0.2">
      <c r="D100" s="334" t="s">
        <v>2195</v>
      </c>
      <c r="E100" s="335"/>
      <c r="F100" s="335"/>
      <c r="G100" s="143">
        <v>10.137</v>
      </c>
    </row>
    <row r="101" spans="1:8" x14ac:dyDescent="0.2">
      <c r="A101" s="117" t="s">
        <v>45</v>
      </c>
      <c r="B101" s="117"/>
      <c r="C101" s="117" t="s">
        <v>605</v>
      </c>
      <c r="D101" s="304" t="s">
        <v>1102</v>
      </c>
      <c r="E101" s="305"/>
      <c r="F101" s="117" t="s">
        <v>1645</v>
      </c>
      <c r="G101" s="116">
        <v>268.387</v>
      </c>
      <c r="H101" s="108">
        <v>0</v>
      </c>
    </row>
    <row r="102" spans="1:8" ht="12.2" customHeight="1" x14ac:dyDescent="0.2">
      <c r="D102" s="334" t="s">
        <v>1779</v>
      </c>
      <c r="E102" s="335"/>
      <c r="F102" s="335"/>
      <c r="G102" s="143">
        <v>268.387</v>
      </c>
    </row>
    <row r="103" spans="1:8" x14ac:dyDescent="0.2">
      <c r="A103" s="117" t="s">
        <v>46</v>
      </c>
      <c r="B103" s="117"/>
      <c r="C103" s="117" t="s">
        <v>606</v>
      </c>
      <c r="D103" s="304" t="s">
        <v>1103</v>
      </c>
      <c r="E103" s="305"/>
      <c r="F103" s="117" t="s">
        <v>1645</v>
      </c>
      <c r="G103" s="116">
        <v>19.77</v>
      </c>
      <c r="H103" s="108">
        <v>0</v>
      </c>
    </row>
    <row r="104" spans="1:8" ht="12.2" customHeight="1" x14ac:dyDescent="0.2">
      <c r="D104" s="334" t="s">
        <v>2191</v>
      </c>
      <c r="E104" s="335"/>
      <c r="F104" s="335"/>
      <c r="G104" s="143">
        <v>19.77</v>
      </c>
    </row>
    <row r="105" spans="1:8" x14ac:dyDescent="0.2">
      <c r="A105" s="120"/>
      <c r="B105" s="120"/>
      <c r="C105" s="120" t="s">
        <v>68</v>
      </c>
      <c r="D105" s="306" t="s">
        <v>1104</v>
      </c>
      <c r="E105" s="307"/>
      <c r="F105" s="120"/>
      <c r="G105" s="142"/>
      <c r="H105" s="109"/>
    </row>
    <row r="106" spans="1:8" x14ac:dyDescent="0.2">
      <c r="A106" s="117" t="s">
        <v>47</v>
      </c>
      <c r="B106" s="117"/>
      <c r="C106" s="117" t="s">
        <v>607</v>
      </c>
      <c r="D106" s="304" t="s">
        <v>1105</v>
      </c>
      <c r="E106" s="305"/>
      <c r="F106" s="117" t="s">
        <v>1645</v>
      </c>
      <c r="G106" s="116">
        <v>85.9</v>
      </c>
      <c r="H106" s="108">
        <v>0</v>
      </c>
    </row>
    <row r="107" spans="1:8" ht="12.2" customHeight="1" x14ac:dyDescent="0.2">
      <c r="D107" s="334" t="s">
        <v>1781</v>
      </c>
      <c r="E107" s="335"/>
      <c r="F107" s="335"/>
      <c r="G107" s="143">
        <v>85.9</v>
      </c>
    </row>
    <row r="108" spans="1:8" x14ac:dyDescent="0.2">
      <c r="A108" s="117" t="s">
        <v>48</v>
      </c>
      <c r="B108" s="117"/>
      <c r="C108" s="117" t="s">
        <v>608</v>
      </c>
      <c r="D108" s="304" t="s">
        <v>1106</v>
      </c>
      <c r="E108" s="305"/>
      <c r="F108" s="117" t="s">
        <v>1645</v>
      </c>
      <c r="G108" s="116">
        <v>705.60299999999995</v>
      </c>
      <c r="H108" s="108">
        <v>0</v>
      </c>
    </row>
    <row r="109" spans="1:8" ht="12.2" customHeight="1" x14ac:dyDescent="0.2">
      <c r="D109" s="334" t="s">
        <v>2208</v>
      </c>
      <c r="E109" s="335"/>
      <c r="F109" s="335"/>
      <c r="G109" s="143">
        <v>67.39</v>
      </c>
    </row>
    <row r="110" spans="1:8" ht="12.2" customHeight="1" x14ac:dyDescent="0.2">
      <c r="A110" s="117"/>
      <c r="B110" s="117"/>
      <c r="C110" s="117"/>
      <c r="D110" s="334" t="s">
        <v>2193</v>
      </c>
      <c r="E110" s="335"/>
      <c r="F110" s="334"/>
      <c r="G110" s="144">
        <v>108.25700000000001</v>
      </c>
      <c r="H110" s="111"/>
    </row>
    <row r="111" spans="1:8" ht="12.2" customHeight="1" x14ac:dyDescent="0.2">
      <c r="A111" s="117"/>
      <c r="B111" s="117"/>
      <c r="C111" s="117"/>
      <c r="D111" s="334" t="s">
        <v>2207</v>
      </c>
      <c r="E111" s="335"/>
      <c r="F111" s="334"/>
      <c r="G111" s="144">
        <v>479.11200000000002</v>
      </c>
      <c r="H111" s="111"/>
    </row>
    <row r="112" spans="1:8" ht="12.2" customHeight="1" x14ac:dyDescent="0.2">
      <c r="A112" s="117"/>
      <c r="B112" s="117"/>
      <c r="C112" s="117"/>
      <c r="D112" s="334" t="s">
        <v>1785</v>
      </c>
      <c r="E112" s="335"/>
      <c r="F112" s="334"/>
      <c r="G112" s="144">
        <v>50.844000000000001</v>
      </c>
      <c r="H112" s="111"/>
    </row>
    <row r="113" spans="1:8" x14ac:dyDescent="0.2">
      <c r="A113" s="117" t="s">
        <v>49</v>
      </c>
      <c r="B113" s="117"/>
      <c r="C113" s="117" t="s">
        <v>609</v>
      </c>
      <c r="D113" s="304" t="s">
        <v>1107</v>
      </c>
      <c r="E113" s="305"/>
      <c r="F113" s="117" t="s">
        <v>1646</v>
      </c>
      <c r="G113" s="116">
        <v>40</v>
      </c>
      <c r="H113" s="108">
        <v>0</v>
      </c>
    </row>
    <row r="114" spans="1:8" ht="12.2" customHeight="1" x14ac:dyDescent="0.2">
      <c r="D114" s="334" t="s">
        <v>1786</v>
      </c>
      <c r="E114" s="335"/>
      <c r="F114" s="335"/>
      <c r="G114" s="143">
        <v>40</v>
      </c>
    </row>
    <row r="115" spans="1:8" x14ac:dyDescent="0.2">
      <c r="A115" s="117" t="s">
        <v>50</v>
      </c>
      <c r="B115" s="117"/>
      <c r="C115" s="117" t="s">
        <v>610</v>
      </c>
      <c r="D115" s="304" t="s">
        <v>1108</v>
      </c>
      <c r="E115" s="305"/>
      <c r="F115" s="117" t="s">
        <v>1646</v>
      </c>
      <c r="G115" s="116">
        <v>80.19</v>
      </c>
      <c r="H115" s="108">
        <v>0</v>
      </c>
    </row>
    <row r="116" spans="1:8" ht="12.2" customHeight="1" x14ac:dyDescent="0.2">
      <c r="D116" s="334" t="s">
        <v>2209</v>
      </c>
      <c r="E116" s="335"/>
      <c r="F116" s="335"/>
      <c r="G116" s="143">
        <v>80.19</v>
      </c>
    </row>
    <row r="117" spans="1:8" x14ac:dyDescent="0.2">
      <c r="A117" s="117" t="s">
        <v>51</v>
      </c>
      <c r="B117" s="117"/>
      <c r="C117" s="117" t="s">
        <v>611</v>
      </c>
      <c r="D117" s="304" t="s">
        <v>1109</v>
      </c>
      <c r="E117" s="305"/>
      <c r="F117" s="117" t="s">
        <v>1646</v>
      </c>
      <c r="G117" s="116">
        <v>15.7</v>
      </c>
      <c r="H117" s="108">
        <v>0</v>
      </c>
    </row>
    <row r="118" spans="1:8" ht="12.2" customHeight="1" x14ac:dyDescent="0.2">
      <c r="D118" s="334" t="s">
        <v>1788</v>
      </c>
      <c r="E118" s="335"/>
      <c r="F118" s="335"/>
      <c r="G118" s="143">
        <v>15.7</v>
      </c>
    </row>
    <row r="119" spans="1:8" x14ac:dyDescent="0.2">
      <c r="A119" s="117" t="s">
        <v>52</v>
      </c>
      <c r="B119" s="117"/>
      <c r="C119" s="117" t="s">
        <v>612</v>
      </c>
      <c r="D119" s="304" t="s">
        <v>1110</v>
      </c>
      <c r="E119" s="305"/>
      <c r="F119" s="117" t="s">
        <v>1645</v>
      </c>
      <c r="G119" s="116">
        <v>108.25700000000001</v>
      </c>
      <c r="H119" s="108">
        <v>0</v>
      </c>
    </row>
    <row r="120" spans="1:8" ht="12.2" customHeight="1" x14ac:dyDescent="0.2">
      <c r="D120" s="334" t="s">
        <v>2193</v>
      </c>
      <c r="E120" s="335"/>
      <c r="F120" s="335"/>
      <c r="G120" s="143">
        <v>108.25700000000001</v>
      </c>
    </row>
    <row r="121" spans="1:8" x14ac:dyDescent="0.2">
      <c r="A121" s="117" t="s">
        <v>53</v>
      </c>
      <c r="B121" s="117"/>
      <c r="C121" s="117" t="s">
        <v>614</v>
      </c>
      <c r="D121" s="304" t="s">
        <v>1112</v>
      </c>
      <c r="E121" s="305"/>
      <c r="F121" s="117" t="s">
        <v>1645</v>
      </c>
      <c r="G121" s="116">
        <v>67.39</v>
      </c>
      <c r="H121" s="108">
        <v>0</v>
      </c>
    </row>
    <row r="122" spans="1:8" ht="12.2" customHeight="1" x14ac:dyDescent="0.2">
      <c r="D122" s="334" t="s">
        <v>2208</v>
      </c>
      <c r="E122" s="335"/>
      <c r="F122" s="335"/>
      <c r="G122" s="143">
        <v>67.39</v>
      </c>
    </row>
    <row r="123" spans="1:8" x14ac:dyDescent="0.2">
      <c r="A123" s="117" t="s">
        <v>54</v>
      </c>
      <c r="B123" s="117"/>
      <c r="C123" s="117" t="s">
        <v>615</v>
      </c>
      <c r="D123" s="304" t="s">
        <v>1114</v>
      </c>
      <c r="E123" s="305"/>
      <c r="F123" s="117" t="s">
        <v>1645</v>
      </c>
      <c r="G123" s="116">
        <v>479.11200000000002</v>
      </c>
      <c r="H123" s="108">
        <v>0</v>
      </c>
    </row>
    <row r="124" spans="1:8" ht="12.2" customHeight="1" x14ac:dyDescent="0.2">
      <c r="D124" s="334" t="s">
        <v>2207</v>
      </c>
      <c r="E124" s="335"/>
      <c r="F124" s="335"/>
      <c r="G124" s="143">
        <v>479.11200000000002</v>
      </c>
    </row>
    <row r="125" spans="1:8" x14ac:dyDescent="0.2">
      <c r="A125" s="117" t="s">
        <v>55</v>
      </c>
      <c r="B125" s="117"/>
      <c r="C125" s="117" t="s">
        <v>616</v>
      </c>
      <c r="D125" s="304" t="s">
        <v>1116</v>
      </c>
      <c r="E125" s="305"/>
      <c r="F125" s="117" t="s">
        <v>1645</v>
      </c>
      <c r="G125" s="116">
        <v>50.844000000000001</v>
      </c>
      <c r="H125" s="108">
        <v>0</v>
      </c>
    </row>
    <row r="126" spans="1:8" ht="12.2" customHeight="1" x14ac:dyDescent="0.2">
      <c r="D126" s="334" t="s">
        <v>1785</v>
      </c>
      <c r="E126" s="335"/>
      <c r="F126" s="335"/>
      <c r="G126" s="143">
        <v>50.844000000000001</v>
      </c>
    </row>
    <row r="127" spans="1:8" x14ac:dyDescent="0.2">
      <c r="A127" s="117" t="s">
        <v>56</v>
      </c>
      <c r="B127" s="117"/>
      <c r="C127" s="117" t="s">
        <v>617</v>
      </c>
      <c r="D127" s="304" t="s">
        <v>1118</v>
      </c>
      <c r="E127" s="305"/>
      <c r="F127" s="117" t="s">
        <v>1646</v>
      </c>
      <c r="G127" s="116">
        <v>65</v>
      </c>
      <c r="H127" s="108">
        <v>0</v>
      </c>
    </row>
    <row r="128" spans="1:8" ht="12.2" customHeight="1" x14ac:dyDescent="0.2">
      <c r="D128" s="334" t="s">
        <v>1789</v>
      </c>
      <c r="E128" s="335"/>
      <c r="F128" s="335"/>
      <c r="G128" s="143">
        <v>65</v>
      </c>
    </row>
    <row r="129" spans="1:8" x14ac:dyDescent="0.2">
      <c r="A129" s="117" t="s">
        <v>57</v>
      </c>
      <c r="B129" s="117"/>
      <c r="C129" s="117" t="s">
        <v>618</v>
      </c>
      <c r="D129" s="304" t="s">
        <v>1119</v>
      </c>
      <c r="E129" s="305"/>
      <c r="F129" s="117" t="s">
        <v>1645</v>
      </c>
      <c r="G129" s="116">
        <v>705.60299999999995</v>
      </c>
      <c r="H129" s="108">
        <v>0</v>
      </c>
    </row>
    <row r="130" spans="1:8" ht="12.2" customHeight="1" x14ac:dyDescent="0.2">
      <c r="D130" s="334" t="s">
        <v>2206</v>
      </c>
      <c r="E130" s="335"/>
      <c r="F130" s="335"/>
      <c r="G130" s="143">
        <v>705.60299999999995</v>
      </c>
    </row>
    <row r="131" spans="1:8" x14ac:dyDescent="0.2">
      <c r="A131" s="117" t="s">
        <v>58</v>
      </c>
      <c r="B131" s="117"/>
      <c r="C131" s="117" t="s">
        <v>619</v>
      </c>
      <c r="D131" s="304" t="s">
        <v>1120</v>
      </c>
      <c r="E131" s="305"/>
      <c r="F131" s="117" t="s">
        <v>1646</v>
      </c>
      <c r="G131" s="116">
        <v>202.8</v>
      </c>
      <c r="H131" s="108">
        <v>0</v>
      </c>
    </row>
    <row r="132" spans="1:8" ht="12.2" customHeight="1" x14ac:dyDescent="0.2">
      <c r="D132" s="334" t="s">
        <v>1791</v>
      </c>
      <c r="E132" s="335"/>
      <c r="F132" s="335"/>
      <c r="G132" s="143">
        <v>202.8</v>
      </c>
    </row>
    <row r="133" spans="1:8" x14ac:dyDescent="0.2">
      <c r="A133" s="117" t="s">
        <v>59</v>
      </c>
      <c r="B133" s="117"/>
      <c r="C133" s="117" t="s">
        <v>620</v>
      </c>
      <c r="D133" s="304" t="s">
        <v>1121</v>
      </c>
      <c r="E133" s="305"/>
      <c r="F133" s="117" t="s">
        <v>1646</v>
      </c>
      <c r="G133" s="116">
        <v>65</v>
      </c>
      <c r="H133" s="108">
        <v>0</v>
      </c>
    </row>
    <row r="134" spans="1:8" ht="12.2" customHeight="1" x14ac:dyDescent="0.2">
      <c r="D134" s="334" t="s">
        <v>1789</v>
      </c>
      <c r="E134" s="335"/>
      <c r="F134" s="335"/>
      <c r="G134" s="143">
        <v>65</v>
      </c>
    </row>
    <row r="135" spans="1:8" x14ac:dyDescent="0.2">
      <c r="A135" s="117" t="s">
        <v>60</v>
      </c>
      <c r="B135" s="117"/>
      <c r="C135" s="117" t="s">
        <v>621</v>
      </c>
      <c r="D135" s="304" t="s">
        <v>1122</v>
      </c>
      <c r="E135" s="305"/>
      <c r="F135" s="117" t="s">
        <v>1645</v>
      </c>
      <c r="G135" s="116">
        <v>108.25700000000001</v>
      </c>
      <c r="H135" s="108">
        <v>0</v>
      </c>
    </row>
    <row r="136" spans="1:8" ht="12.2" customHeight="1" x14ac:dyDescent="0.2">
      <c r="D136" s="334" t="s">
        <v>2193</v>
      </c>
      <c r="E136" s="335"/>
      <c r="F136" s="335"/>
      <c r="G136" s="143">
        <v>108.25700000000001</v>
      </c>
    </row>
    <row r="137" spans="1:8" x14ac:dyDescent="0.2">
      <c r="A137" s="117" t="s">
        <v>61</v>
      </c>
      <c r="B137" s="117"/>
      <c r="C137" s="117" t="s">
        <v>622</v>
      </c>
      <c r="D137" s="304" t="s">
        <v>1123</v>
      </c>
      <c r="E137" s="305"/>
      <c r="F137" s="117" t="s">
        <v>1646</v>
      </c>
      <c r="G137" s="116">
        <v>202.8</v>
      </c>
      <c r="H137" s="108">
        <v>0</v>
      </c>
    </row>
    <row r="138" spans="1:8" ht="12.2" customHeight="1" x14ac:dyDescent="0.2">
      <c r="D138" s="334" t="s">
        <v>1791</v>
      </c>
      <c r="E138" s="335"/>
      <c r="F138" s="335"/>
      <c r="G138" s="143">
        <v>202.8</v>
      </c>
    </row>
    <row r="139" spans="1:8" x14ac:dyDescent="0.2">
      <c r="A139" s="117" t="s">
        <v>62</v>
      </c>
      <c r="B139" s="117"/>
      <c r="C139" s="117" t="s">
        <v>623</v>
      </c>
      <c r="D139" s="304" t="s">
        <v>2151</v>
      </c>
      <c r="E139" s="305"/>
      <c r="F139" s="117" t="s">
        <v>1645</v>
      </c>
      <c r="G139" s="116">
        <v>705.60299999999995</v>
      </c>
      <c r="H139" s="108">
        <v>0</v>
      </c>
    </row>
    <row r="140" spans="1:8" ht="12.2" customHeight="1" x14ac:dyDescent="0.2">
      <c r="D140" s="334" t="s">
        <v>2205</v>
      </c>
      <c r="E140" s="335"/>
      <c r="F140" s="335"/>
      <c r="G140" s="143">
        <v>705.60299999999995</v>
      </c>
    </row>
    <row r="141" spans="1:8" x14ac:dyDescent="0.2">
      <c r="A141" s="117" t="s">
        <v>63</v>
      </c>
      <c r="B141" s="117"/>
      <c r="C141" s="117" t="s">
        <v>624</v>
      </c>
      <c r="D141" s="304" t="s">
        <v>2150</v>
      </c>
      <c r="E141" s="305"/>
      <c r="F141" s="117" t="s">
        <v>1645</v>
      </c>
      <c r="G141" s="116">
        <v>705.60299999999995</v>
      </c>
      <c r="H141" s="108">
        <v>0</v>
      </c>
    </row>
    <row r="142" spans="1:8" ht="12.2" customHeight="1" x14ac:dyDescent="0.2">
      <c r="D142" s="334" t="s">
        <v>2205</v>
      </c>
      <c r="E142" s="335"/>
      <c r="F142" s="335"/>
      <c r="G142" s="143">
        <v>705.60299999999995</v>
      </c>
    </row>
    <row r="143" spans="1:8" x14ac:dyDescent="0.2">
      <c r="A143" s="117" t="s">
        <v>64</v>
      </c>
      <c r="B143" s="117"/>
      <c r="C143" s="117" t="s">
        <v>625</v>
      </c>
      <c r="D143" s="304" t="s">
        <v>2149</v>
      </c>
      <c r="E143" s="305"/>
      <c r="F143" s="117" t="s">
        <v>1645</v>
      </c>
      <c r="G143" s="116">
        <v>352.80200000000002</v>
      </c>
      <c r="H143" s="108">
        <v>0</v>
      </c>
    </row>
    <row r="144" spans="1:8" ht="12.2" customHeight="1" x14ac:dyDescent="0.2">
      <c r="D144" s="334" t="s">
        <v>2204</v>
      </c>
      <c r="E144" s="335"/>
      <c r="F144" s="335"/>
      <c r="G144" s="143">
        <v>352.80200000000002</v>
      </c>
    </row>
    <row r="145" spans="1:8" x14ac:dyDescent="0.2">
      <c r="A145" s="117" t="s">
        <v>65</v>
      </c>
      <c r="B145" s="117"/>
      <c r="C145" s="117" t="s">
        <v>626</v>
      </c>
      <c r="D145" s="304" t="s">
        <v>2148</v>
      </c>
      <c r="E145" s="305"/>
      <c r="F145" s="117" t="s">
        <v>1645</v>
      </c>
      <c r="G145" s="116">
        <v>352.80200000000002</v>
      </c>
      <c r="H145" s="108">
        <v>0</v>
      </c>
    </row>
    <row r="146" spans="1:8" ht="12.2" customHeight="1" x14ac:dyDescent="0.2">
      <c r="D146" s="334" t="s">
        <v>2204</v>
      </c>
      <c r="E146" s="335"/>
      <c r="F146" s="335"/>
      <c r="G146" s="143">
        <v>352.80200000000002</v>
      </c>
    </row>
    <row r="147" spans="1:8" x14ac:dyDescent="0.2">
      <c r="A147" s="120"/>
      <c r="B147" s="120"/>
      <c r="C147" s="120" t="s">
        <v>69</v>
      </c>
      <c r="D147" s="306" t="s">
        <v>1128</v>
      </c>
      <c r="E147" s="307"/>
      <c r="F147" s="120"/>
      <c r="G147" s="142"/>
      <c r="H147" s="109"/>
    </row>
    <row r="148" spans="1:8" x14ac:dyDescent="0.2">
      <c r="A148" s="117" t="s">
        <v>66</v>
      </c>
      <c r="B148" s="117"/>
      <c r="C148" s="117" t="s">
        <v>627</v>
      </c>
      <c r="D148" s="304" t="s">
        <v>1129</v>
      </c>
      <c r="E148" s="305"/>
      <c r="F148" s="117" t="s">
        <v>1645</v>
      </c>
      <c r="G148" s="116">
        <v>1</v>
      </c>
      <c r="H148" s="108">
        <v>0</v>
      </c>
    </row>
    <row r="149" spans="1:8" ht="12.2" customHeight="1" x14ac:dyDescent="0.2">
      <c r="D149" s="334" t="s">
        <v>1794</v>
      </c>
      <c r="E149" s="335"/>
      <c r="F149" s="335"/>
      <c r="G149" s="143">
        <v>1</v>
      </c>
    </row>
    <row r="150" spans="1:8" x14ac:dyDescent="0.2">
      <c r="A150" s="120"/>
      <c r="B150" s="120"/>
      <c r="C150" s="120" t="s">
        <v>89</v>
      </c>
      <c r="D150" s="306" t="s">
        <v>1130</v>
      </c>
      <c r="E150" s="307"/>
      <c r="F150" s="120"/>
      <c r="G150" s="142"/>
      <c r="H150" s="109"/>
    </row>
    <row r="151" spans="1:8" x14ac:dyDescent="0.2">
      <c r="A151" s="117" t="s">
        <v>67</v>
      </c>
      <c r="B151" s="117"/>
      <c r="C151" s="117" t="s">
        <v>628</v>
      </c>
      <c r="D151" s="304" t="s">
        <v>1131</v>
      </c>
      <c r="E151" s="305"/>
      <c r="F151" s="117" t="s">
        <v>1644</v>
      </c>
      <c r="G151" s="116">
        <v>4</v>
      </c>
      <c r="H151" s="108">
        <v>0</v>
      </c>
    </row>
    <row r="152" spans="1:8" ht="12.2" customHeight="1" x14ac:dyDescent="0.2">
      <c r="D152" s="334" t="s">
        <v>1795</v>
      </c>
      <c r="E152" s="335"/>
      <c r="F152" s="335"/>
      <c r="G152" s="143">
        <v>4</v>
      </c>
    </row>
    <row r="153" spans="1:8" x14ac:dyDescent="0.2">
      <c r="A153" s="117" t="s">
        <v>68</v>
      </c>
      <c r="B153" s="117"/>
      <c r="C153" s="117" t="s">
        <v>629</v>
      </c>
      <c r="D153" s="304" t="s">
        <v>1132</v>
      </c>
      <c r="E153" s="305"/>
      <c r="F153" s="117" t="s">
        <v>1646</v>
      </c>
      <c r="G153" s="116">
        <v>30</v>
      </c>
      <c r="H153" s="108">
        <v>0</v>
      </c>
    </row>
    <row r="154" spans="1:8" ht="12.2" customHeight="1" x14ac:dyDescent="0.2">
      <c r="D154" s="334" t="s">
        <v>2203</v>
      </c>
      <c r="E154" s="335"/>
      <c r="F154" s="335"/>
      <c r="G154" s="143">
        <v>30</v>
      </c>
    </row>
    <row r="155" spans="1:8" x14ac:dyDescent="0.2">
      <c r="A155" s="120"/>
      <c r="B155" s="120"/>
      <c r="C155" s="120" t="s">
        <v>95</v>
      </c>
      <c r="D155" s="306" t="s">
        <v>1133</v>
      </c>
      <c r="E155" s="307"/>
      <c r="F155" s="120"/>
      <c r="G155" s="142"/>
      <c r="H155" s="109"/>
    </row>
    <row r="156" spans="1:8" x14ac:dyDescent="0.2">
      <c r="A156" s="117" t="s">
        <v>69</v>
      </c>
      <c r="B156" s="117"/>
      <c r="C156" s="117" t="s">
        <v>630</v>
      </c>
      <c r="D156" s="304" t="s">
        <v>1134</v>
      </c>
      <c r="E156" s="305"/>
      <c r="F156" s="117" t="s">
        <v>1644</v>
      </c>
      <c r="G156" s="116">
        <v>8</v>
      </c>
      <c r="H156" s="108">
        <v>0</v>
      </c>
    </row>
    <row r="157" spans="1:8" ht="12.2" customHeight="1" x14ac:dyDescent="0.2">
      <c r="D157" s="334" t="s">
        <v>1796</v>
      </c>
      <c r="E157" s="335"/>
      <c r="F157" s="335"/>
      <c r="G157" s="143">
        <v>8</v>
      </c>
    </row>
    <row r="158" spans="1:8" x14ac:dyDescent="0.2">
      <c r="A158" s="117" t="s">
        <v>70</v>
      </c>
      <c r="B158" s="117"/>
      <c r="C158" s="117" t="s">
        <v>631</v>
      </c>
      <c r="D158" s="304" t="s">
        <v>1135</v>
      </c>
      <c r="E158" s="305"/>
      <c r="F158" s="117" t="s">
        <v>1644</v>
      </c>
      <c r="G158" s="116">
        <v>3</v>
      </c>
      <c r="H158" s="108">
        <v>0</v>
      </c>
    </row>
    <row r="159" spans="1:8" ht="12.2" customHeight="1" x14ac:dyDescent="0.2">
      <c r="D159" s="334" t="s">
        <v>1797</v>
      </c>
      <c r="E159" s="335"/>
      <c r="F159" s="335"/>
      <c r="G159" s="143">
        <v>3</v>
      </c>
    </row>
    <row r="160" spans="1:8" x14ac:dyDescent="0.2">
      <c r="A160" s="120"/>
      <c r="B160" s="120"/>
      <c r="C160" s="120" t="s">
        <v>97</v>
      </c>
      <c r="D160" s="306" t="s">
        <v>1136</v>
      </c>
      <c r="E160" s="307"/>
      <c r="F160" s="120"/>
      <c r="G160" s="142"/>
      <c r="H160" s="109"/>
    </row>
    <row r="161" spans="1:8" x14ac:dyDescent="0.2">
      <c r="A161" s="117" t="s">
        <v>71</v>
      </c>
      <c r="B161" s="117"/>
      <c r="C161" s="117" t="s">
        <v>632</v>
      </c>
      <c r="D161" s="304" t="s">
        <v>1137</v>
      </c>
      <c r="E161" s="305"/>
      <c r="F161" s="117" t="s">
        <v>1646</v>
      </c>
      <c r="G161" s="116">
        <v>4</v>
      </c>
      <c r="H161" s="108">
        <v>0</v>
      </c>
    </row>
    <row r="162" spans="1:8" ht="12.2" customHeight="1" x14ac:dyDescent="0.2">
      <c r="D162" s="334" t="s">
        <v>1798</v>
      </c>
      <c r="E162" s="335"/>
      <c r="F162" s="335"/>
      <c r="G162" s="143">
        <v>4</v>
      </c>
    </row>
    <row r="163" spans="1:8" x14ac:dyDescent="0.2">
      <c r="A163" s="117" t="s">
        <v>72</v>
      </c>
      <c r="B163" s="117"/>
      <c r="C163" s="117" t="s">
        <v>633</v>
      </c>
      <c r="D163" s="304" t="s">
        <v>1138</v>
      </c>
      <c r="E163" s="305"/>
      <c r="F163" s="117" t="s">
        <v>1647</v>
      </c>
      <c r="G163" s="116">
        <v>0.16200000000000001</v>
      </c>
      <c r="H163" s="108">
        <v>0</v>
      </c>
    </row>
    <row r="164" spans="1:8" ht="12.2" customHeight="1" x14ac:dyDescent="0.2">
      <c r="D164" s="334" t="s">
        <v>1799</v>
      </c>
      <c r="E164" s="335"/>
      <c r="F164" s="335"/>
      <c r="G164" s="143">
        <v>0.16200000000000001</v>
      </c>
    </row>
    <row r="165" spans="1:8" x14ac:dyDescent="0.2">
      <c r="A165" s="117" t="s">
        <v>73</v>
      </c>
      <c r="B165" s="117"/>
      <c r="C165" s="117" t="s">
        <v>2147</v>
      </c>
      <c r="D165" s="304" t="s">
        <v>2146</v>
      </c>
      <c r="E165" s="305"/>
      <c r="F165" s="117" t="s">
        <v>1646</v>
      </c>
      <c r="G165" s="116">
        <v>6.2</v>
      </c>
      <c r="H165" s="108">
        <v>0</v>
      </c>
    </row>
    <row r="166" spans="1:8" ht="12.2" customHeight="1" x14ac:dyDescent="0.2">
      <c r="D166" s="334" t="s">
        <v>1863</v>
      </c>
      <c r="E166" s="335"/>
      <c r="F166" s="335"/>
      <c r="G166" s="143">
        <v>6.2</v>
      </c>
    </row>
    <row r="167" spans="1:8" x14ac:dyDescent="0.2">
      <c r="A167" s="120"/>
      <c r="B167" s="120"/>
      <c r="C167" s="120" t="s">
        <v>100</v>
      </c>
      <c r="D167" s="306" t="s">
        <v>1139</v>
      </c>
      <c r="E167" s="307"/>
      <c r="F167" s="120"/>
      <c r="G167" s="142"/>
      <c r="H167" s="109"/>
    </row>
    <row r="168" spans="1:8" x14ac:dyDescent="0.2">
      <c r="A168" s="117" t="s">
        <v>74</v>
      </c>
      <c r="B168" s="117"/>
      <c r="C168" s="117" t="s">
        <v>634</v>
      </c>
      <c r="D168" s="304" t="s">
        <v>1140</v>
      </c>
      <c r="E168" s="305"/>
      <c r="F168" s="117" t="s">
        <v>1645</v>
      </c>
      <c r="G168" s="116">
        <v>746.58</v>
      </c>
      <c r="H168" s="108">
        <v>0</v>
      </c>
    </row>
    <row r="169" spans="1:8" ht="12.2" customHeight="1" x14ac:dyDescent="0.2">
      <c r="D169" s="334" t="s">
        <v>2201</v>
      </c>
      <c r="E169" s="335"/>
      <c r="F169" s="335"/>
      <c r="G169" s="143">
        <v>746.58</v>
      </c>
    </row>
    <row r="170" spans="1:8" x14ac:dyDescent="0.2">
      <c r="A170" s="117" t="s">
        <v>75</v>
      </c>
      <c r="B170" s="117"/>
      <c r="C170" s="117" t="s">
        <v>635</v>
      </c>
      <c r="D170" s="304" t="s">
        <v>1141</v>
      </c>
      <c r="E170" s="305"/>
      <c r="F170" s="117" t="s">
        <v>1645</v>
      </c>
      <c r="G170" s="116">
        <v>1493.16</v>
      </c>
      <c r="H170" s="108">
        <v>0</v>
      </c>
    </row>
    <row r="171" spans="1:8" ht="12.2" customHeight="1" x14ac:dyDescent="0.2">
      <c r="D171" s="334" t="s">
        <v>2202</v>
      </c>
      <c r="E171" s="335"/>
      <c r="F171" s="335"/>
      <c r="G171" s="143">
        <v>1493.16</v>
      </c>
    </row>
    <row r="172" spans="1:8" x14ac:dyDescent="0.2">
      <c r="A172" s="117" t="s">
        <v>76</v>
      </c>
      <c r="B172" s="117"/>
      <c r="C172" s="117" t="s">
        <v>636</v>
      </c>
      <c r="D172" s="304" t="s">
        <v>1142</v>
      </c>
      <c r="E172" s="305"/>
      <c r="F172" s="117" t="s">
        <v>1645</v>
      </c>
      <c r="G172" s="116">
        <v>746.58</v>
      </c>
      <c r="H172" s="108">
        <v>0</v>
      </c>
    </row>
    <row r="173" spans="1:8" ht="12.2" customHeight="1" x14ac:dyDescent="0.2">
      <c r="D173" s="334" t="s">
        <v>2201</v>
      </c>
      <c r="E173" s="335"/>
      <c r="F173" s="335"/>
      <c r="G173" s="143">
        <v>746.58</v>
      </c>
    </row>
    <row r="174" spans="1:8" x14ac:dyDescent="0.2">
      <c r="A174" s="117" t="s">
        <v>77</v>
      </c>
      <c r="B174" s="117"/>
      <c r="C174" s="117" t="s">
        <v>637</v>
      </c>
      <c r="D174" s="304" t="s">
        <v>1143</v>
      </c>
      <c r="E174" s="305"/>
      <c r="F174" s="117" t="s">
        <v>1645</v>
      </c>
      <c r="G174" s="116">
        <v>746.58</v>
      </c>
      <c r="H174" s="108">
        <v>0</v>
      </c>
    </row>
    <row r="175" spans="1:8" ht="12.2" customHeight="1" x14ac:dyDescent="0.2">
      <c r="D175" s="334" t="s">
        <v>2201</v>
      </c>
      <c r="E175" s="335"/>
      <c r="F175" s="335"/>
      <c r="G175" s="143">
        <v>746.58</v>
      </c>
    </row>
    <row r="176" spans="1:8" x14ac:dyDescent="0.2">
      <c r="A176" s="117" t="s">
        <v>78</v>
      </c>
      <c r="B176" s="117"/>
      <c r="C176" s="117" t="s">
        <v>638</v>
      </c>
      <c r="D176" s="304" t="s">
        <v>1144</v>
      </c>
      <c r="E176" s="305"/>
      <c r="F176" s="117" t="s">
        <v>1645</v>
      </c>
      <c r="G176" s="116">
        <v>1493.16</v>
      </c>
      <c r="H176" s="108">
        <v>0</v>
      </c>
    </row>
    <row r="177" spans="1:8" ht="12.2" customHeight="1" x14ac:dyDescent="0.2">
      <c r="D177" s="334" t="s">
        <v>2202</v>
      </c>
      <c r="E177" s="335"/>
      <c r="F177" s="335"/>
      <c r="G177" s="143">
        <v>1493.16</v>
      </c>
    </row>
    <row r="178" spans="1:8" x14ac:dyDescent="0.2">
      <c r="A178" s="117" t="s">
        <v>79</v>
      </c>
      <c r="B178" s="117"/>
      <c r="C178" s="117" t="s">
        <v>639</v>
      </c>
      <c r="D178" s="304" t="s">
        <v>1145</v>
      </c>
      <c r="E178" s="305"/>
      <c r="F178" s="117" t="s">
        <v>1645</v>
      </c>
      <c r="G178" s="116">
        <v>746.58</v>
      </c>
      <c r="H178" s="108">
        <v>0</v>
      </c>
    </row>
    <row r="179" spans="1:8" ht="12.2" customHeight="1" x14ac:dyDescent="0.2">
      <c r="D179" s="334" t="s">
        <v>2201</v>
      </c>
      <c r="E179" s="335"/>
      <c r="F179" s="335"/>
      <c r="G179" s="143">
        <v>746.58</v>
      </c>
    </row>
    <row r="180" spans="1:8" x14ac:dyDescent="0.2">
      <c r="A180" s="117" t="s">
        <v>80</v>
      </c>
      <c r="B180" s="117"/>
      <c r="C180" s="117" t="s">
        <v>640</v>
      </c>
      <c r="D180" s="304" t="s">
        <v>1146</v>
      </c>
      <c r="E180" s="305"/>
      <c r="F180" s="117" t="s">
        <v>1649</v>
      </c>
      <c r="G180" s="116">
        <v>20</v>
      </c>
      <c r="H180" s="108">
        <v>0</v>
      </c>
    </row>
    <row r="181" spans="1:8" ht="12.2" customHeight="1" x14ac:dyDescent="0.2">
      <c r="D181" s="334" t="s">
        <v>1802</v>
      </c>
      <c r="E181" s="335"/>
      <c r="F181" s="335"/>
      <c r="G181" s="143">
        <v>20</v>
      </c>
    </row>
    <row r="182" spans="1:8" x14ac:dyDescent="0.2">
      <c r="A182" s="120"/>
      <c r="B182" s="120"/>
      <c r="C182" s="120" t="s">
        <v>101</v>
      </c>
      <c r="D182" s="306" t="s">
        <v>1147</v>
      </c>
      <c r="E182" s="307"/>
      <c r="F182" s="120"/>
      <c r="G182" s="142"/>
      <c r="H182" s="109"/>
    </row>
    <row r="183" spans="1:8" x14ac:dyDescent="0.2">
      <c r="A183" s="117" t="s">
        <v>81</v>
      </c>
      <c r="B183" s="117"/>
      <c r="C183" s="117" t="s">
        <v>641</v>
      </c>
      <c r="D183" s="304" t="s">
        <v>1148</v>
      </c>
      <c r="E183" s="305"/>
      <c r="F183" s="117" t="s">
        <v>1645</v>
      </c>
      <c r="G183" s="116">
        <v>85.9</v>
      </c>
      <c r="H183" s="108">
        <v>0</v>
      </c>
    </row>
    <row r="184" spans="1:8" ht="12.2" customHeight="1" x14ac:dyDescent="0.2">
      <c r="D184" s="334" t="s">
        <v>1781</v>
      </c>
      <c r="E184" s="335"/>
      <c r="F184" s="335"/>
      <c r="G184" s="143">
        <v>85.9</v>
      </c>
    </row>
    <row r="185" spans="1:8" x14ac:dyDescent="0.2">
      <c r="A185" s="117" t="s">
        <v>82</v>
      </c>
      <c r="B185" s="117"/>
      <c r="C185" s="117" t="s">
        <v>642</v>
      </c>
      <c r="D185" s="304" t="s">
        <v>1149</v>
      </c>
      <c r="E185" s="305"/>
      <c r="F185" s="117" t="s">
        <v>1645</v>
      </c>
      <c r="G185" s="116">
        <v>11.925000000000001</v>
      </c>
      <c r="H185" s="108">
        <v>0</v>
      </c>
    </row>
    <row r="186" spans="1:8" ht="12.2" customHeight="1" x14ac:dyDescent="0.2">
      <c r="D186" s="334" t="s">
        <v>2196</v>
      </c>
      <c r="E186" s="335"/>
      <c r="F186" s="335"/>
      <c r="G186" s="143">
        <v>11.925000000000001</v>
      </c>
    </row>
    <row r="187" spans="1:8" x14ac:dyDescent="0.2">
      <c r="A187" s="117" t="s">
        <v>83</v>
      </c>
      <c r="B187" s="117"/>
      <c r="C187" s="117" t="s">
        <v>643</v>
      </c>
      <c r="D187" s="304" t="s">
        <v>1150</v>
      </c>
      <c r="E187" s="305"/>
      <c r="F187" s="117" t="s">
        <v>1645</v>
      </c>
      <c r="G187" s="116">
        <v>345.786</v>
      </c>
      <c r="H187" s="108">
        <v>0</v>
      </c>
    </row>
    <row r="188" spans="1:8" ht="12.2" customHeight="1" x14ac:dyDescent="0.2">
      <c r="D188" s="334" t="s">
        <v>1803</v>
      </c>
      <c r="E188" s="335"/>
      <c r="F188" s="335"/>
      <c r="G188" s="143">
        <v>345.786</v>
      </c>
    </row>
    <row r="189" spans="1:8" x14ac:dyDescent="0.2">
      <c r="A189" s="117" t="s">
        <v>84</v>
      </c>
      <c r="B189" s="117"/>
      <c r="C189" s="117" t="s">
        <v>644</v>
      </c>
      <c r="D189" s="304" t="s">
        <v>1151</v>
      </c>
      <c r="E189" s="305"/>
      <c r="F189" s="117" t="s">
        <v>1644</v>
      </c>
      <c r="G189" s="116">
        <v>1</v>
      </c>
      <c r="H189" s="108">
        <v>0</v>
      </c>
    </row>
    <row r="190" spans="1:8" ht="12.2" customHeight="1" x14ac:dyDescent="0.2">
      <c r="D190" s="334" t="s">
        <v>1749</v>
      </c>
      <c r="E190" s="335"/>
      <c r="F190" s="335"/>
      <c r="G190" s="143">
        <v>1</v>
      </c>
    </row>
    <row r="191" spans="1:8" x14ac:dyDescent="0.2">
      <c r="A191" s="117" t="s">
        <v>85</v>
      </c>
      <c r="B191" s="117"/>
      <c r="C191" s="117" t="s">
        <v>645</v>
      </c>
      <c r="D191" s="304" t="s">
        <v>1152</v>
      </c>
      <c r="E191" s="305"/>
      <c r="F191" s="117" t="s">
        <v>1645</v>
      </c>
      <c r="G191" s="116">
        <v>20.399999999999999</v>
      </c>
      <c r="H191" s="108">
        <v>0</v>
      </c>
    </row>
    <row r="192" spans="1:8" ht="12.2" customHeight="1" x14ac:dyDescent="0.2">
      <c r="D192" s="334" t="s">
        <v>2200</v>
      </c>
      <c r="E192" s="335"/>
      <c r="F192" s="335"/>
      <c r="G192" s="143">
        <v>20.399999999999999</v>
      </c>
    </row>
    <row r="193" spans="1:8" x14ac:dyDescent="0.2">
      <c r="A193" s="117" t="s">
        <v>86</v>
      </c>
      <c r="B193" s="117"/>
      <c r="C193" s="117" t="s">
        <v>646</v>
      </c>
      <c r="D193" s="304" t="s">
        <v>1153</v>
      </c>
      <c r="E193" s="305"/>
      <c r="F193" s="117" t="s">
        <v>1650</v>
      </c>
      <c r="G193" s="116">
        <v>150</v>
      </c>
      <c r="H193" s="108">
        <v>0</v>
      </c>
    </row>
    <row r="194" spans="1:8" ht="12.2" customHeight="1" x14ac:dyDescent="0.2">
      <c r="D194" s="334" t="s">
        <v>1805</v>
      </c>
      <c r="E194" s="335"/>
      <c r="F194" s="335"/>
      <c r="G194" s="143">
        <v>150</v>
      </c>
    </row>
    <row r="195" spans="1:8" x14ac:dyDescent="0.2">
      <c r="A195" s="117" t="s">
        <v>87</v>
      </c>
      <c r="B195" s="117"/>
      <c r="C195" s="117" t="s">
        <v>647</v>
      </c>
      <c r="D195" s="304" t="s">
        <v>1154</v>
      </c>
      <c r="E195" s="305"/>
      <c r="F195" s="117" t="s">
        <v>1644</v>
      </c>
      <c r="G195" s="116">
        <v>6</v>
      </c>
      <c r="H195" s="108">
        <v>0</v>
      </c>
    </row>
    <row r="196" spans="1:8" ht="12.2" customHeight="1" x14ac:dyDescent="0.2">
      <c r="D196" s="334" t="s">
        <v>1806</v>
      </c>
      <c r="E196" s="335"/>
      <c r="F196" s="335"/>
      <c r="G196" s="143">
        <v>6</v>
      </c>
    </row>
    <row r="197" spans="1:8" x14ac:dyDescent="0.2">
      <c r="A197" s="117" t="s">
        <v>88</v>
      </c>
      <c r="B197" s="117"/>
      <c r="C197" s="117" t="s">
        <v>648</v>
      </c>
      <c r="D197" s="304" t="s">
        <v>1155</v>
      </c>
      <c r="E197" s="305"/>
      <c r="F197" s="117" t="s">
        <v>1644</v>
      </c>
      <c r="G197" s="116">
        <v>1</v>
      </c>
      <c r="H197" s="108">
        <v>0</v>
      </c>
    </row>
    <row r="198" spans="1:8" ht="12.2" customHeight="1" x14ac:dyDescent="0.2">
      <c r="D198" s="334" t="s">
        <v>1749</v>
      </c>
      <c r="E198" s="335"/>
      <c r="F198" s="335"/>
      <c r="G198" s="143">
        <v>1</v>
      </c>
    </row>
    <row r="199" spans="1:8" x14ac:dyDescent="0.2">
      <c r="A199" s="117" t="s">
        <v>89</v>
      </c>
      <c r="B199" s="117"/>
      <c r="C199" s="117" t="s">
        <v>649</v>
      </c>
      <c r="D199" s="304" t="s">
        <v>1156</v>
      </c>
      <c r="E199" s="305"/>
      <c r="F199" s="117" t="s">
        <v>1644</v>
      </c>
      <c r="G199" s="116">
        <v>1</v>
      </c>
      <c r="H199" s="108">
        <v>0</v>
      </c>
    </row>
    <row r="200" spans="1:8" ht="12.2" customHeight="1" x14ac:dyDescent="0.2">
      <c r="D200" s="334" t="s">
        <v>1749</v>
      </c>
      <c r="E200" s="335"/>
      <c r="F200" s="335"/>
      <c r="G200" s="143">
        <v>1</v>
      </c>
    </row>
    <row r="201" spans="1:8" x14ac:dyDescent="0.2">
      <c r="A201" s="117" t="s">
        <v>90</v>
      </c>
      <c r="B201" s="117"/>
      <c r="C201" s="117" t="s">
        <v>650</v>
      </c>
      <c r="D201" s="304" t="s">
        <v>1157</v>
      </c>
      <c r="E201" s="305"/>
      <c r="F201" s="117" t="s">
        <v>1644</v>
      </c>
      <c r="G201" s="116">
        <v>1</v>
      </c>
      <c r="H201" s="108">
        <v>0</v>
      </c>
    </row>
    <row r="202" spans="1:8" ht="12.2" customHeight="1" x14ac:dyDescent="0.2">
      <c r="D202" s="334" t="s">
        <v>1749</v>
      </c>
      <c r="E202" s="335"/>
      <c r="F202" s="335"/>
      <c r="G202" s="143">
        <v>1</v>
      </c>
    </row>
    <row r="203" spans="1:8" x14ac:dyDescent="0.2">
      <c r="A203" s="120"/>
      <c r="B203" s="120"/>
      <c r="C203" s="120" t="s">
        <v>102</v>
      </c>
      <c r="D203" s="306" t="s">
        <v>1158</v>
      </c>
      <c r="E203" s="307"/>
      <c r="F203" s="120"/>
      <c r="G203" s="142"/>
      <c r="H203" s="109"/>
    </row>
    <row r="204" spans="1:8" x14ac:dyDescent="0.2">
      <c r="A204" s="117" t="s">
        <v>91</v>
      </c>
      <c r="B204" s="117"/>
      <c r="C204" s="117" t="s">
        <v>651</v>
      </c>
      <c r="D204" s="304" t="s">
        <v>1159</v>
      </c>
      <c r="E204" s="305"/>
      <c r="F204" s="117" t="s">
        <v>1645</v>
      </c>
      <c r="G204" s="116">
        <v>108.31100000000001</v>
      </c>
      <c r="H204" s="108">
        <v>0</v>
      </c>
    </row>
    <row r="205" spans="1:8" ht="12.2" customHeight="1" x14ac:dyDescent="0.2">
      <c r="D205" s="334" t="s">
        <v>1783</v>
      </c>
      <c r="E205" s="335"/>
      <c r="F205" s="335"/>
      <c r="G205" s="143">
        <v>108.31100000000001</v>
      </c>
    </row>
    <row r="206" spans="1:8" x14ac:dyDescent="0.2">
      <c r="A206" s="117" t="s">
        <v>92</v>
      </c>
      <c r="B206" s="117"/>
      <c r="C206" s="117" t="s">
        <v>652</v>
      </c>
      <c r="D206" s="304" t="s">
        <v>1160</v>
      </c>
      <c r="E206" s="305"/>
      <c r="F206" s="117" t="s">
        <v>1644</v>
      </c>
      <c r="G206" s="116">
        <v>4</v>
      </c>
      <c r="H206" s="108">
        <v>0</v>
      </c>
    </row>
    <row r="207" spans="1:8" ht="12.2" customHeight="1" x14ac:dyDescent="0.2">
      <c r="D207" s="334" t="s">
        <v>1795</v>
      </c>
      <c r="E207" s="335"/>
      <c r="F207" s="335"/>
      <c r="G207" s="143">
        <v>4</v>
      </c>
    </row>
    <row r="208" spans="1:8" x14ac:dyDescent="0.2">
      <c r="A208" s="117" t="s">
        <v>93</v>
      </c>
      <c r="B208" s="117"/>
      <c r="C208" s="117" t="s">
        <v>653</v>
      </c>
      <c r="D208" s="304" t="s">
        <v>1161</v>
      </c>
      <c r="E208" s="305"/>
      <c r="F208" s="117" t="s">
        <v>1647</v>
      </c>
      <c r="G208" s="116">
        <v>0.12</v>
      </c>
      <c r="H208" s="108">
        <v>0</v>
      </c>
    </row>
    <row r="209" spans="1:8" ht="12.2" customHeight="1" x14ac:dyDescent="0.2">
      <c r="D209" s="334" t="s">
        <v>1807</v>
      </c>
      <c r="E209" s="335"/>
      <c r="F209" s="335"/>
      <c r="G209" s="143">
        <v>0.12</v>
      </c>
    </row>
    <row r="210" spans="1:8" x14ac:dyDescent="0.2">
      <c r="A210" s="117" t="s">
        <v>94</v>
      </c>
      <c r="B210" s="117"/>
      <c r="C210" s="117" t="s">
        <v>654</v>
      </c>
      <c r="D210" s="304" t="s">
        <v>1162</v>
      </c>
      <c r="E210" s="305"/>
      <c r="F210" s="117" t="s">
        <v>1645</v>
      </c>
      <c r="G210" s="116">
        <v>108.31100000000001</v>
      </c>
      <c r="H210" s="108">
        <v>0</v>
      </c>
    </row>
    <row r="211" spans="1:8" ht="12.2" customHeight="1" x14ac:dyDescent="0.2">
      <c r="D211" s="334" t="s">
        <v>1783</v>
      </c>
      <c r="E211" s="335"/>
      <c r="F211" s="335"/>
      <c r="G211" s="143">
        <v>108.31100000000001</v>
      </c>
    </row>
    <row r="212" spans="1:8" x14ac:dyDescent="0.2">
      <c r="A212" s="117" t="s">
        <v>95</v>
      </c>
      <c r="B212" s="117"/>
      <c r="C212" s="117" t="s">
        <v>655</v>
      </c>
      <c r="D212" s="304" t="s">
        <v>1163</v>
      </c>
      <c r="E212" s="305"/>
      <c r="F212" s="117" t="s">
        <v>1647</v>
      </c>
      <c r="G212" s="116">
        <v>1.1000000000000001</v>
      </c>
      <c r="H212" s="108">
        <v>0</v>
      </c>
    </row>
    <row r="213" spans="1:8" ht="12.2" customHeight="1" x14ac:dyDescent="0.2">
      <c r="D213" s="334" t="s">
        <v>1808</v>
      </c>
      <c r="E213" s="335"/>
      <c r="F213" s="335"/>
      <c r="G213" s="143">
        <v>1.1000000000000001</v>
      </c>
    </row>
    <row r="214" spans="1:8" x14ac:dyDescent="0.2">
      <c r="A214" s="117" t="s">
        <v>96</v>
      </c>
      <c r="B214" s="117"/>
      <c r="C214" s="117" t="s">
        <v>657</v>
      </c>
      <c r="D214" s="304" t="s">
        <v>1165</v>
      </c>
      <c r="E214" s="305"/>
      <c r="F214" s="117" t="s">
        <v>1647</v>
      </c>
      <c r="G214" s="116">
        <v>0.33800000000000002</v>
      </c>
      <c r="H214" s="108">
        <v>0</v>
      </c>
    </row>
    <row r="215" spans="1:8" ht="12.2" customHeight="1" x14ac:dyDescent="0.2">
      <c r="D215" s="334" t="s">
        <v>1810</v>
      </c>
      <c r="E215" s="335"/>
      <c r="F215" s="335"/>
      <c r="G215" s="143">
        <v>0.33800000000000002</v>
      </c>
    </row>
    <row r="216" spans="1:8" x14ac:dyDescent="0.2">
      <c r="A216" s="117" t="s">
        <v>97</v>
      </c>
      <c r="B216" s="117"/>
      <c r="C216" s="117" t="s">
        <v>658</v>
      </c>
      <c r="D216" s="304" t="s">
        <v>1166</v>
      </c>
      <c r="E216" s="305"/>
      <c r="F216" s="117" t="s">
        <v>1645</v>
      </c>
      <c r="G216" s="116">
        <v>10.725</v>
      </c>
      <c r="H216" s="108">
        <v>0</v>
      </c>
    </row>
    <row r="217" spans="1:8" ht="12.2" customHeight="1" x14ac:dyDescent="0.2">
      <c r="D217" s="334" t="s">
        <v>2198</v>
      </c>
      <c r="E217" s="335"/>
      <c r="F217" s="335"/>
      <c r="G217" s="143">
        <v>10.725</v>
      </c>
    </row>
    <row r="218" spans="1:8" x14ac:dyDescent="0.2">
      <c r="A218" s="117" t="s">
        <v>98</v>
      </c>
      <c r="B218" s="117"/>
      <c r="C218" s="117" t="s">
        <v>659</v>
      </c>
      <c r="D218" s="304" t="s">
        <v>1167</v>
      </c>
      <c r="E218" s="305"/>
      <c r="F218" s="117" t="s">
        <v>1646</v>
      </c>
      <c r="G218" s="116">
        <v>17.7</v>
      </c>
      <c r="H218" s="108">
        <v>0</v>
      </c>
    </row>
    <row r="219" spans="1:8" ht="12.2" customHeight="1" x14ac:dyDescent="0.2">
      <c r="D219" s="334" t="s">
        <v>2199</v>
      </c>
      <c r="E219" s="335"/>
      <c r="F219" s="335"/>
      <c r="G219" s="143">
        <v>17.7</v>
      </c>
    </row>
    <row r="220" spans="1:8" x14ac:dyDescent="0.2">
      <c r="A220" s="117" t="s">
        <v>99</v>
      </c>
      <c r="B220" s="117"/>
      <c r="C220" s="117" t="s">
        <v>660</v>
      </c>
      <c r="D220" s="304" t="s">
        <v>1168</v>
      </c>
      <c r="E220" s="305"/>
      <c r="F220" s="117" t="s">
        <v>1645</v>
      </c>
      <c r="G220" s="116">
        <v>10.725</v>
      </c>
      <c r="H220" s="108">
        <v>0</v>
      </c>
    </row>
    <row r="221" spans="1:8" ht="12.2" customHeight="1" x14ac:dyDescent="0.2">
      <c r="D221" s="334" t="s">
        <v>2198</v>
      </c>
      <c r="E221" s="335"/>
      <c r="F221" s="335"/>
      <c r="G221" s="143">
        <v>10.725</v>
      </c>
    </row>
    <row r="222" spans="1:8" x14ac:dyDescent="0.2">
      <c r="A222" s="117" t="s">
        <v>100</v>
      </c>
      <c r="B222" s="117"/>
      <c r="C222" s="117" t="s">
        <v>661</v>
      </c>
      <c r="D222" s="304" t="s">
        <v>1169</v>
      </c>
      <c r="E222" s="305"/>
      <c r="F222" s="117" t="s">
        <v>1644</v>
      </c>
      <c r="G222" s="116">
        <v>1</v>
      </c>
      <c r="H222" s="108">
        <v>0</v>
      </c>
    </row>
    <row r="223" spans="1:8" ht="12.2" customHeight="1" x14ac:dyDescent="0.2">
      <c r="D223" s="334" t="s">
        <v>1749</v>
      </c>
      <c r="E223" s="335"/>
      <c r="F223" s="335"/>
      <c r="G223" s="143">
        <v>1</v>
      </c>
    </row>
    <row r="224" spans="1:8" x14ac:dyDescent="0.2">
      <c r="A224" s="117" t="s">
        <v>101</v>
      </c>
      <c r="B224" s="117"/>
      <c r="C224" s="117" t="s">
        <v>662</v>
      </c>
      <c r="D224" s="304" t="s">
        <v>1170</v>
      </c>
      <c r="E224" s="305"/>
      <c r="F224" s="117" t="s">
        <v>1644</v>
      </c>
      <c r="G224" s="116">
        <v>1</v>
      </c>
      <c r="H224" s="108">
        <v>0</v>
      </c>
    </row>
    <row r="225" spans="1:8" ht="12.2" customHeight="1" x14ac:dyDescent="0.2">
      <c r="D225" s="334" t="s">
        <v>1749</v>
      </c>
      <c r="E225" s="335"/>
      <c r="F225" s="335"/>
      <c r="G225" s="143">
        <v>1</v>
      </c>
    </row>
    <row r="226" spans="1:8" x14ac:dyDescent="0.2">
      <c r="A226" s="117" t="s">
        <v>102</v>
      </c>
      <c r="B226" s="117"/>
      <c r="C226" s="117" t="s">
        <v>2145</v>
      </c>
      <c r="D226" s="304" t="s">
        <v>2144</v>
      </c>
      <c r="E226" s="305"/>
      <c r="F226" s="117" t="s">
        <v>1644</v>
      </c>
      <c r="G226" s="116">
        <v>1</v>
      </c>
      <c r="H226" s="108">
        <v>0</v>
      </c>
    </row>
    <row r="227" spans="1:8" ht="12.2" customHeight="1" x14ac:dyDescent="0.2">
      <c r="D227" s="334" t="s">
        <v>1749</v>
      </c>
      <c r="E227" s="335"/>
      <c r="F227" s="335"/>
      <c r="G227" s="143">
        <v>1</v>
      </c>
    </row>
    <row r="228" spans="1:8" x14ac:dyDescent="0.2">
      <c r="A228" s="117" t="s">
        <v>103</v>
      </c>
      <c r="B228" s="117"/>
      <c r="C228" s="117" t="s">
        <v>663</v>
      </c>
      <c r="D228" s="304" t="s">
        <v>1171</v>
      </c>
      <c r="E228" s="305"/>
      <c r="F228" s="117" t="s">
        <v>1644</v>
      </c>
      <c r="G228" s="116">
        <v>15</v>
      </c>
      <c r="H228" s="108">
        <v>0</v>
      </c>
    </row>
    <row r="229" spans="1:8" ht="12.2" customHeight="1" x14ac:dyDescent="0.2">
      <c r="D229" s="334" t="s">
        <v>1813</v>
      </c>
      <c r="E229" s="335"/>
      <c r="F229" s="335"/>
      <c r="G229" s="143">
        <v>15</v>
      </c>
    </row>
    <row r="230" spans="1:8" x14ac:dyDescent="0.2">
      <c r="A230" s="117" t="s">
        <v>104</v>
      </c>
      <c r="B230" s="117"/>
      <c r="C230" s="117" t="s">
        <v>665</v>
      </c>
      <c r="D230" s="304" t="s">
        <v>1173</v>
      </c>
      <c r="E230" s="305"/>
      <c r="F230" s="117" t="s">
        <v>1645</v>
      </c>
      <c r="G230" s="116">
        <v>75.816999999999993</v>
      </c>
      <c r="H230" s="108">
        <v>0</v>
      </c>
    </row>
    <row r="231" spans="1:8" ht="12.2" customHeight="1" x14ac:dyDescent="0.2">
      <c r="D231" s="334" t="s">
        <v>1815</v>
      </c>
      <c r="E231" s="335"/>
      <c r="F231" s="335"/>
      <c r="G231" s="143">
        <v>75.816999999999993</v>
      </c>
    </row>
    <row r="232" spans="1:8" x14ac:dyDescent="0.2">
      <c r="A232" s="117" t="s">
        <v>105</v>
      </c>
      <c r="B232" s="117"/>
      <c r="C232" s="117" t="s">
        <v>666</v>
      </c>
      <c r="D232" s="304" t="s">
        <v>1174</v>
      </c>
      <c r="E232" s="305"/>
      <c r="F232" s="117" t="s">
        <v>1645</v>
      </c>
      <c r="G232" s="116">
        <v>32.493000000000002</v>
      </c>
      <c r="H232" s="108">
        <v>0</v>
      </c>
    </row>
    <row r="233" spans="1:8" ht="12.2" customHeight="1" x14ac:dyDescent="0.2">
      <c r="D233" s="334" t="s">
        <v>1816</v>
      </c>
      <c r="E233" s="335"/>
      <c r="F233" s="335"/>
      <c r="G233" s="143">
        <v>32.493000000000002</v>
      </c>
    </row>
    <row r="234" spans="1:8" x14ac:dyDescent="0.2">
      <c r="A234" s="117" t="s">
        <v>106</v>
      </c>
      <c r="B234" s="117"/>
      <c r="C234" s="117" t="s">
        <v>667</v>
      </c>
      <c r="D234" s="304" t="s">
        <v>2143</v>
      </c>
      <c r="E234" s="305"/>
      <c r="F234" s="117" t="s">
        <v>1644</v>
      </c>
      <c r="G234" s="116">
        <v>1</v>
      </c>
      <c r="H234" s="108">
        <v>0</v>
      </c>
    </row>
    <row r="235" spans="1:8" ht="12.2" customHeight="1" x14ac:dyDescent="0.2">
      <c r="D235" s="334" t="s">
        <v>1749</v>
      </c>
      <c r="E235" s="335"/>
      <c r="F235" s="335"/>
      <c r="G235" s="143">
        <v>1</v>
      </c>
    </row>
    <row r="236" spans="1:8" x14ac:dyDescent="0.2">
      <c r="A236" s="117" t="s">
        <v>107</v>
      </c>
      <c r="B236" s="117"/>
      <c r="C236" s="117" t="s">
        <v>668</v>
      </c>
      <c r="D236" s="304" t="s">
        <v>1176</v>
      </c>
      <c r="E236" s="305"/>
      <c r="F236" s="117" t="s">
        <v>1645</v>
      </c>
      <c r="G236" s="116">
        <v>1.56</v>
      </c>
      <c r="H236" s="108">
        <v>0</v>
      </c>
    </row>
    <row r="237" spans="1:8" ht="12.2" customHeight="1" x14ac:dyDescent="0.2">
      <c r="D237" s="334" t="s">
        <v>1817</v>
      </c>
      <c r="E237" s="335"/>
      <c r="F237" s="335"/>
      <c r="G237" s="143">
        <v>1.56</v>
      </c>
    </row>
    <row r="238" spans="1:8" x14ac:dyDescent="0.2">
      <c r="A238" s="120"/>
      <c r="B238" s="120"/>
      <c r="C238" s="120" t="s">
        <v>103</v>
      </c>
      <c r="D238" s="306" t="s">
        <v>1178</v>
      </c>
      <c r="E238" s="307"/>
      <c r="F238" s="120"/>
      <c r="G238" s="142"/>
      <c r="H238" s="109"/>
    </row>
    <row r="239" spans="1:8" x14ac:dyDescent="0.2">
      <c r="A239" s="117" t="s">
        <v>108</v>
      </c>
      <c r="B239" s="117"/>
      <c r="C239" s="117" t="s">
        <v>670</v>
      </c>
      <c r="D239" s="304" t="s">
        <v>1179</v>
      </c>
      <c r="E239" s="305"/>
      <c r="F239" s="117" t="s">
        <v>1646</v>
      </c>
      <c r="G239" s="116">
        <v>1</v>
      </c>
      <c r="H239" s="108">
        <v>0</v>
      </c>
    </row>
    <row r="240" spans="1:8" ht="12.2" customHeight="1" x14ac:dyDescent="0.2">
      <c r="D240" s="334" t="s">
        <v>2197</v>
      </c>
      <c r="E240" s="335"/>
      <c r="F240" s="335"/>
      <c r="G240" s="143">
        <v>1</v>
      </c>
    </row>
    <row r="241" spans="1:8" x14ac:dyDescent="0.2">
      <c r="A241" s="117" t="s">
        <v>109</v>
      </c>
      <c r="B241" s="117"/>
      <c r="C241" s="117" t="s">
        <v>671</v>
      </c>
      <c r="D241" s="304" t="s">
        <v>1180</v>
      </c>
      <c r="E241" s="305"/>
      <c r="F241" s="117" t="s">
        <v>1646</v>
      </c>
      <c r="G241" s="116">
        <v>1</v>
      </c>
      <c r="H241" s="108">
        <v>0</v>
      </c>
    </row>
    <row r="242" spans="1:8" ht="12.2" customHeight="1" x14ac:dyDescent="0.2">
      <c r="D242" s="334" t="s">
        <v>2197</v>
      </c>
      <c r="E242" s="335"/>
      <c r="F242" s="335"/>
      <c r="G242" s="143">
        <v>1</v>
      </c>
    </row>
    <row r="243" spans="1:8" x14ac:dyDescent="0.2">
      <c r="A243" s="117" t="s">
        <v>110</v>
      </c>
      <c r="B243" s="117"/>
      <c r="C243" s="117" t="s">
        <v>672</v>
      </c>
      <c r="D243" s="304" t="s">
        <v>1181</v>
      </c>
      <c r="E243" s="305"/>
      <c r="F243" s="117" t="s">
        <v>1646</v>
      </c>
      <c r="G243" s="116">
        <v>1</v>
      </c>
      <c r="H243" s="108">
        <v>0</v>
      </c>
    </row>
    <row r="244" spans="1:8" ht="12.2" customHeight="1" x14ac:dyDescent="0.2">
      <c r="D244" s="334" t="s">
        <v>2197</v>
      </c>
      <c r="E244" s="335"/>
      <c r="F244" s="335"/>
      <c r="G244" s="143">
        <v>1</v>
      </c>
    </row>
    <row r="245" spans="1:8" x14ac:dyDescent="0.2">
      <c r="A245" s="117" t="s">
        <v>111</v>
      </c>
      <c r="B245" s="117"/>
      <c r="C245" s="117" t="s">
        <v>673</v>
      </c>
      <c r="D245" s="304" t="s">
        <v>1182</v>
      </c>
      <c r="E245" s="305"/>
      <c r="F245" s="117" t="s">
        <v>1644</v>
      </c>
      <c r="G245" s="116">
        <v>8</v>
      </c>
      <c r="H245" s="108">
        <v>0</v>
      </c>
    </row>
    <row r="246" spans="1:8" ht="12.2" customHeight="1" x14ac:dyDescent="0.2">
      <c r="D246" s="334" t="s">
        <v>1821</v>
      </c>
      <c r="E246" s="335"/>
      <c r="F246" s="335"/>
      <c r="G246" s="143">
        <v>8</v>
      </c>
    </row>
    <row r="247" spans="1:8" x14ac:dyDescent="0.2">
      <c r="A247" s="117" t="s">
        <v>112</v>
      </c>
      <c r="B247" s="117"/>
      <c r="C247" s="117" t="s">
        <v>674</v>
      </c>
      <c r="D247" s="304" t="s">
        <v>2142</v>
      </c>
      <c r="E247" s="305"/>
      <c r="F247" s="117" t="s">
        <v>1646</v>
      </c>
      <c r="G247" s="116">
        <v>2.25</v>
      </c>
      <c r="H247" s="108">
        <v>0</v>
      </c>
    </row>
    <row r="248" spans="1:8" ht="12.2" customHeight="1" x14ac:dyDescent="0.2">
      <c r="D248" s="334" t="s">
        <v>1822</v>
      </c>
      <c r="E248" s="335"/>
      <c r="F248" s="335"/>
      <c r="G248" s="143">
        <v>2.25</v>
      </c>
    </row>
    <row r="249" spans="1:8" x14ac:dyDescent="0.2">
      <c r="A249" s="117" t="s">
        <v>113</v>
      </c>
      <c r="B249" s="117"/>
      <c r="C249" s="117" t="s">
        <v>675</v>
      </c>
      <c r="D249" s="304" t="s">
        <v>2141</v>
      </c>
      <c r="E249" s="305"/>
      <c r="F249" s="117" t="s">
        <v>1646</v>
      </c>
      <c r="G249" s="116">
        <v>2.25</v>
      </c>
      <c r="H249" s="108">
        <v>0</v>
      </c>
    </row>
    <row r="250" spans="1:8" ht="12.2" customHeight="1" x14ac:dyDescent="0.2">
      <c r="D250" s="334" t="s">
        <v>1822</v>
      </c>
      <c r="E250" s="335"/>
      <c r="F250" s="335"/>
      <c r="G250" s="143">
        <v>2.25</v>
      </c>
    </row>
    <row r="251" spans="1:8" x14ac:dyDescent="0.2">
      <c r="A251" s="117" t="s">
        <v>114</v>
      </c>
      <c r="B251" s="117"/>
      <c r="C251" s="117" t="s">
        <v>676</v>
      </c>
      <c r="D251" s="304" t="s">
        <v>1185</v>
      </c>
      <c r="E251" s="305"/>
      <c r="F251" s="117" t="s">
        <v>1645</v>
      </c>
      <c r="G251" s="116">
        <v>268.387</v>
      </c>
      <c r="H251" s="108">
        <v>0</v>
      </c>
    </row>
    <row r="252" spans="1:8" ht="12.2" customHeight="1" x14ac:dyDescent="0.2">
      <c r="D252" s="334" t="s">
        <v>1779</v>
      </c>
      <c r="E252" s="335"/>
      <c r="F252" s="335"/>
      <c r="G252" s="143">
        <v>268.387</v>
      </c>
    </row>
    <row r="253" spans="1:8" x14ac:dyDescent="0.2">
      <c r="A253" s="117" t="s">
        <v>115</v>
      </c>
      <c r="B253" s="117"/>
      <c r="C253" s="117" t="s">
        <v>677</v>
      </c>
      <c r="D253" s="304" t="s">
        <v>1186</v>
      </c>
      <c r="E253" s="305"/>
      <c r="F253" s="117" t="s">
        <v>1645</v>
      </c>
      <c r="G253" s="116">
        <v>11.925000000000001</v>
      </c>
      <c r="H253" s="108">
        <v>0</v>
      </c>
    </row>
    <row r="254" spans="1:8" ht="12.2" customHeight="1" x14ac:dyDescent="0.2">
      <c r="D254" s="334" t="s">
        <v>2196</v>
      </c>
      <c r="E254" s="335"/>
      <c r="F254" s="335"/>
      <c r="G254" s="143">
        <v>11.925000000000001</v>
      </c>
    </row>
    <row r="255" spans="1:8" x14ac:dyDescent="0.2">
      <c r="A255" s="117" t="s">
        <v>116</v>
      </c>
      <c r="B255" s="117"/>
      <c r="C255" s="117" t="s">
        <v>678</v>
      </c>
      <c r="D255" s="304" t="s">
        <v>1187</v>
      </c>
      <c r="E255" s="305"/>
      <c r="F255" s="117" t="s">
        <v>1645</v>
      </c>
      <c r="G255" s="116">
        <v>19.77</v>
      </c>
      <c r="H255" s="108">
        <v>0</v>
      </c>
    </row>
    <row r="256" spans="1:8" ht="12.2" customHeight="1" x14ac:dyDescent="0.2">
      <c r="D256" s="334" t="s">
        <v>2191</v>
      </c>
      <c r="E256" s="335"/>
      <c r="F256" s="335"/>
      <c r="G256" s="143">
        <v>19.77</v>
      </c>
    </row>
    <row r="257" spans="1:8" x14ac:dyDescent="0.2">
      <c r="A257" s="117" t="s">
        <v>117</v>
      </c>
      <c r="B257" s="117"/>
      <c r="C257" s="117" t="s">
        <v>679</v>
      </c>
      <c r="D257" s="304" t="s">
        <v>1188</v>
      </c>
      <c r="E257" s="305"/>
      <c r="F257" s="117" t="s">
        <v>1645</v>
      </c>
      <c r="G257" s="116">
        <v>10.137</v>
      </c>
      <c r="H257" s="108">
        <v>0</v>
      </c>
    </row>
    <row r="258" spans="1:8" ht="12.2" customHeight="1" x14ac:dyDescent="0.2">
      <c r="D258" s="334" t="s">
        <v>2195</v>
      </c>
      <c r="E258" s="335"/>
      <c r="F258" s="335"/>
      <c r="G258" s="143">
        <v>10.137</v>
      </c>
    </row>
    <row r="259" spans="1:8" x14ac:dyDescent="0.2">
      <c r="A259" s="117" t="s">
        <v>118</v>
      </c>
      <c r="B259" s="117"/>
      <c r="C259" s="117" t="s">
        <v>680</v>
      </c>
      <c r="D259" s="304" t="s">
        <v>1189</v>
      </c>
      <c r="E259" s="305"/>
      <c r="F259" s="117" t="s">
        <v>1645</v>
      </c>
      <c r="G259" s="116">
        <v>479.11200000000002</v>
      </c>
      <c r="H259" s="108">
        <v>0</v>
      </c>
    </row>
    <row r="260" spans="1:8" ht="12.2" customHeight="1" x14ac:dyDescent="0.2">
      <c r="D260" s="334" t="s">
        <v>2194</v>
      </c>
      <c r="E260" s="335"/>
      <c r="F260" s="335"/>
      <c r="G260" s="143">
        <v>479.11200000000002</v>
      </c>
    </row>
    <row r="261" spans="1:8" x14ac:dyDescent="0.2">
      <c r="A261" s="117" t="s">
        <v>119</v>
      </c>
      <c r="B261" s="117"/>
      <c r="C261" s="117" t="s">
        <v>681</v>
      </c>
      <c r="D261" s="304" t="s">
        <v>1190</v>
      </c>
      <c r="E261" s="305"/>
      <c r="F261" s="117" t="s">
        <v>1645</v>
      </c>
      <c r="G261" s="116">
        <v>479.11200000000002</v>
      </c>
      <c r="H261" s="108">
        <v>0</v>
      </c>
    </row>
    <row r="262" spans="1:8" ht="12.2" customHeight="1" x14ac:dyDescent="0.2">
      <c r="D262" s="334" t="s">
        <v>2194</v>
      </c>
      <c r="E262" s="335"/>
      <c r="F262" s="335"/>
      <c r="G262" s="143">
        <v>479.11200000000002</v>
      </c>
    </row>
    <row r="263" spans="1:8" x14ac:dyDescent="0.2">
      <c r="A263" s="117" t="s">
        <v>120</v>
      </c>
      <c r="B263" s="117"/>
      <c r="C263" s="117" t="s">
        <v>682</v>
      </c>
      <c r="D263" s="304" t="s">
        <v>1191</v>
      </c>
      <c r="E263" s="305"/>
      <c r="F263" s="117" t="s">
        <v>1645</v>
      </c>
      <c r="G263" s="116">
        <v>108.25700000000001</v>
      </c>
      <c r="H263" s="108">
        <v>0</v>
      </c>
    </row>
    <row r="264" spans="1:8" ht="12.2" customHeight="1" x14ac:dyDescent="0.2">
      <c r="D264" s="334" t="s">
        <v>2193</v>
      </c>
      <c r="E264" s="335"/>
      <c r="F264" s="335"/>
      <c r="G264" s="143">
        <v>108.25700000000001</v>
      </c>
    </row>
    <row r="265" spans="1:8" x14ac:dyDescent="0.2">
      <c r="A265" s="117" t="s">
        <v>121</v>
      </c>
      <c r="B265" s="117"/>
      <c r="C265" s="117" t="s">
        <v>682</v>
      </c>
      <c r="D265" s="304" t="s">
        <v>1192</v>
      </c>
      <c r="E265" s="305"/>
      <c r="F265" s="117" t="s">
        <v>1645</v>
      </c>
      <c r="G265" s="116">
        <v>67.39</v>
      </c>
      <c r="H265" s="108">
        <v>0</v>
      </c>
    </row>
    <row r="266" spans="1:8" ht="12.2" customHeight="1" x14ac:dyDescent="0.2">
      <c r="D266" s="334" t="s">
        <v>2192</v>
      </c>
      <c r="E266" s="335"/>
      <c r="F266" s="335"/>
      <c r="G266" s="143">
        <v>67.39</v>
      </c>
    </row>
    <row r="267" spans="1:8" x14ac:dyDescent="0.2">
      <c r="A267" s="117" t="s">
        <v>122</v>
      </c>
      <c r="B267" s="117"/>
      <c r="C267" s="117" t="s">
        <v>683</v>
      </c>
      <c r="D267" s="304" t="s">
        <v>1194</v>
      </c>
      <c r="E267" s="305"/>
      <c r="F267" s="117" t="s">
        <v>1645</v>
      </c>
      <c r="G267" s="116">
        <v>19.77</v>
      </c>
      <c r="H267" s="108">
        <v>0</v>
      </c>
    </row>
    <row r="268" spans="1:8" ht="12.2" customHeight="1" x14ac:dyDescent="0.2">
      <c r="D268" s="334" t="s">
        <v>2191</v>
      </c>
      <c r="E268" s="335"/>
      <c r="F268" s="335"/>
      <c r="G268" s="143">
        <v>19.77</v>
      </c>
    </row>
    <row r="269" spans="1:8" x14ac:dyDescent="0.2">
      <c r="A269" s="120"/>
      <c r="B269" s="120"/>
      <c r="C269" s="120" t="s">
        <v>686</v>
      </c>
      <c r="D269" s="306" t="s">
        <v>1198</v>
      </c>
      <c r="E269" s="307"/>
      <c r="F269" s="120"/>
      <c r="G269" s="142"/>
      <c r="H269" s="109"/>
    </row>
    <row r="270" spans="1:8" x14ac:dyDescent="0.2">
      <c r="A270" s="117" t="s">
        <v>123</v>
      </c>
      <c r="B270" s="117"/>
      <c r="C270" s="117" t="s">
        <v>687</v>
      </c>
      <c r="D270" s="304" t="s">
        <v>1199</v>
      </c>
      <c r="E270" s="305"/>
      <c r="F270" s="117" t="s">
        <v>1648</v>
      </c>
      <c r="G270" s="116">
        <v>24.497</v>
      </c>
      <c r="H270" s="108">
        <v>0</v>
      </c>
    </row>
    <row r="271" spans="1:8" ht="12.2" customHeight="1" x14ac:dyDescent="0.2">
      <c r="D271" s="334" t="s">
        <v>2190</v>
      </c>
      <c r="E271" s="335"/>
      <c r="F271" s="335"/>
      <c r="G271" s="143">
        <v>24.497</v>
      </c>
    </row>
    <row r="272" spans="1:8" x14ac:dyDescent="0.2">
      <c r="A272" s="117" t="s">
        <v>124</v>
      </c>
      <c r="B272" s="117"/>
      <c r="C272" s="117" t="s">
        <v>688</v>
      </c>
      <c r="D272" s="304" t="s">
        <v>1200</v>
      </c>
      <c r="E272" s="305"/>
      <c r="F272" s="117" t="s">
        <v>1648</v>
      </c>
      <c r="G272" s="116">
        <v>14.698</v>
      </c>
      <c r="H272" s="108">
        <v>0</v>
      </c>
    </row>
    <row r="273" spans="1:8" ht="12.2" customHeight="1" x14ac:dyDescent="0.2">
      <c r="D273" s="334" t="s">
        <v>2189</v>
      </c>
      <c r="E273" s="335"/>
      <c r="F273" s="335"/>
      <c r="G273" s="143">
        <v>14.698</v>
      </c>
    </row>
    <row r="274" spans="1:8" x14ac:dyDescent="0.2">
      <c r="A274" s="117" t="s">
        <v>125</v>
      </c>
      <c r="B274" s="117"/>
      <c r="C274" s="117" t="s">
        <v>689</v>
      </c>
      <c r="D274" s="304" t="s">
        <v>1201</v>
      </c>
      <c r="E274" s="305"/>
      <c r="F274" s="117" t="s">
        <v>1648</v>
      </c>
      <c r="G274" s="116">
        <v>73.489999999999995</v>
      </c>
      <c r="H274" s="108">
        <v>0</v>
      </c>
    </row>
    <row r="275" spans="1:8" ht="12.2" customHeight="1" x14ac:dyDescent="0.2">
      <c r="D275" s="334" t="s">
        <v>2186</v>
      </c>
      <c r="E275" s="335"/>
      <c r="F275" s="335"/>
      <c r="G275" s="143">
        <v>73.489999999999995</v>
      </c>
    </row>
    <row r="276" spans="1:8" x14ac:dyDescent="0.2">
      <c r="A276" s="117" t="s">
        <v>126</v>
      </c>
      <c r="B276" s="117"/>
      <c r="C276" s="117" t="s">
        <v>690</v>
      </c>
      <c r="D276" s="304" t="s">
        <v>1202</v>
      </c>
      <c r="E276" s="305"/>
      <c r="F276" s="117" t="s">
        <v>1648</v>
      </c>
      <c r="G276" s="116">
        <v>661.41</v>
      </c>
      <c r="H276" s="108">
        <v>0</v>
      </c>
    </row>
    <row r="277" spans="1:8" ht="12.2" customHeight="1" x14ac:dyDescent="0.2">
      <c r="D277" s="334" t="s">
        <v>2188</v>
      </c>
      <c r="E277" s="335"/>
      <c r="F277" s="335"/>
      <c r="G277" s="143">
        <v>661.41</v>
      </c>
    </row>
    <row r="278" spans="1:8" x14ac:dyDescent="0.2">
      <c r="A278" s="117" t="s">
        <v>127</v>
      </c>
      <c r="B278" s="117"/>
      <c r="C278" s="117" t="s">
        <v>691</v>
      </c>
      <c r="D278" s="304" t="s">
        <v>1203</v>
      </c>
      <c r="E278" s="305"/>
      <c r="F278" s="117" t="s">
        <v>1648</v>
      </c>
      <c r="G278" s="116">
        <v>73.489999999999995</v>
      </c>
      <c r="H278" s="108">
        <v>0</v>
      </c>
    </row>
    <row r="279" spans="1:8" ht="12.2" customHeight="1" x14ac:dyDescent="0.2">
      <c r="D279" s="334" t="s">
        <v>2186</v>
      </c>
      <c r="E279" s="335"/>
      <c r="F279" s="335"/>
      <c r="G279" s="143">
        <v>73.489999999999995</v>
      </c>
    </row>
    <row r="280" spans="1:8" x14ac:dyDescent="0.2">
      <c r="A280" s="117" t="s">
        <v>128</v>
      </c>
      <c r="B280" s="117"/>
      <c r="C280" s="117" t="s">
        <v>692</v>
      </c>
      <c r="D280" s="304" t="s">
        <v>1204</v>
      </c>
      <c r="E280" s="305"/>
      <c r="F280" s="117" t="s">
        <v>1648</v>
      </c>
      <c r="G280" s="116">
        <v>293.95999999999998</v>
      </c>
      <c r="H280" s="108">
        <v>0</v>
      </c>
    </row>
    <row r="281" spans="1:8" ht="12.2" customHeight="1" x14ac:dyDescent="0.2">
      <c r="D281" s="334" t="s">
        <v>2187</v>
      </c>
      <c r="E281" s="335"/>
      <c r="F281" s="335"/>
      <c r="G281" s="143">
        <v>293.95999999999998</v>
      </c>
    </row>
    <row r="282" spans="1:8" x14ac:dyDescent="0.2">
      <c r="A282" s="117" t="s">
        <v>129</v>
      </c>
      <c r="B282" s="117"/>
      <c r="C282" s="117" t="s">
        <v>693</v>
      </c>
      <c r="D282" s="304" t="s">
        <v>1205</v>
      </c>
      <c r="E282" s="305"/>
      <c r="F282" s="117" t="s">
        <v>1648</v>
      </c>
      <c r="G282" s="116">
        <v>73.489999999999995</v>
      </c>
      <c r="H282" s="108">
        <v>0</v>
      </c>
    </row>
    <row r="283" spans="1:8" ht="12.2" customHeight="1" x14ac:dyDescent="0.2">
      <c r="D283" s="334" t="s">
        <v>2186</v>
      </c>
      <c r="E283" s="335"/>
      <c r="F283" s="335"/>
      <c r="G283" s="143">
        <v>73.489999999999995</v>
      </c>
    </row>
    <row r="284" spans="1:8" x14ac:dyDescent="0.2">
      <c r="A284" s="117" t="s">
        <v>130</v>
      </c>
      <c r="B284" s="117"/>
      <c r="C284" s="117" t="s">
        <v>694</v>
      </c>
      <c r="D284" s="304" t="s">
        <v>1206</v>
      </c>
      <c r="E284" s="305"/>
      <c r="F284" s="117" t="s">
        <v>1648</v>
      </c>
      <c r="G284" s="116">
        <v>73.489999999999995</v>
      </c>
      <c r="H284" s="108">
        <v>0</v>
      </c>
    </row>
    <row r="285" spans="1:8" ht="12.2" customHeight="1" x14ac:dyDescent="0.2">
      <c r="D285" s="334" t="s">
        <v>2186</v>
      </c>
      <c r="E285" s="335"/>
      <c r="F285" s="335"/>
      <c r="G285" s="143">
        <v>73.489999999999995</v>
      </c>
    </row>
    <row r="286" spans="1:8" x14ac:dyDescent="0.2">
      <c r="A286" s="117" t="s">
        <v>131</v>
      </c>
      <c r="B286" s="117"/>
      <c r="C286" s="117" t="s">
        <v>695</v>
      </c>
      <c r="D286" s="304" t="s">
        <v>1207</v>
      </c>
      <c r="E286" s="305"/>
      <c r="F286" s="117" t="s">
        <v>1648</v>
      </c>
      <c r="G286" s="116">
        <v>3.3780000000000001</v>
      </c>
      <c r="H286" s="108">
        <v>0</v>
      </c>
    </row>
    <row r="287" spans="1:8" ht="12.2" customHeight="1" x14ac:dyDescent="0.2">
      <c r="D287" s="334" t="s">
        <v>1833</v>
      </c>
      <c r="E287" s="335"/>
      <c r="F287" s="335"/>
      <c r="G287" s="143">
        <v>3.3780000000000001</v>
      </c>
    </row>
    <row r="288" spans="1:8" x14ac:dyDescent="0.2">
      <c r="A288" s="117" t="s">
        <v>132</v>
      </c>
      <c r="B288" s="117"/>
      <c r="C288" s="117" t="s">
        <v>696</v>
      </c>
      <c r="D288" s="304" t="s">
        <v>1208</v>
      </c>
      <c r="E288" s="305"/>
      <c r="F288" s="117" t="s">
        <v>1648</v>
      </c>
      <c r="G288" s="116">
        <v>9.0440000000000005</v>
      </c>
      <c r="H288" s="108">
        <v>0</v>
      </c>
    </row>
    <row r="289" spans="1:8" ht="12.2" customHeight="1" x14ac:dyDescent="0.2">
      <c r="D289" s="334" t="s">
        <v>2185</v>
      </c>
      <c r="E289" s="335"/>
      <c r="F289" s="335"/>
      <c r="G289" s="143">
        <v>9.0440000000000005</v>
      </c>
    </row>
    <row r="290" spans="1:8" x14ac:dyDescent="0.2">
      <c r="A290" s="117" t="s">
        <v>133</v>
      </c>
      <c r="B290" s="117"/>
      <c r="C290" s="117" t="s">
        <v>697</v>
      </c>
      <c r="D290" s="304" t="s">
        <v>1209</v>
      </c>
      <c r="E290" s="305"/>
      <c r="F290" s="117" t="s">
        <v>1648</v>
      </c>
      <c r="G290" s="116">
        <v>30.001999999999999</v>
      </c>
      <c r="H290" s="108">
        <v>0</v>
      </c>
    </row>
    <row r="291" spans="1:8" ht="12.2" customHeight="1" x14ac:dyDescent="0.2">
      <c r="D291" s="334" t="s">
        <v>2184</v>
      </c>
      <c r="E291" s="335"/>
      <c r="F291" s="335"/>
      <c r="G291" s="143">
        <v>30.001999999999999</v>
      </c>
    </row>
    <row r="292" spans="1:8" x14ac:dyDescent="0.2">
      <c r="A292" s="117" t="s">
        <v>134</v>
      </c>
      <c r="B292" s="117"/>
      <c r="C292" s="117" t="s">
        <v>698</v>
      </c>
      <c r="D292" s="304" t="s">
        <v>1210</v>
      </c>
      <c r="E292" s="305"/>
      <c r="F292" s="117" t="s">
        <v>1648</v>
      </c>
      <c r="G292" s="116">
        <v>18.013000000000002</v>
      </c>
      <c r="H292" s="108">
        <v>0</v>
      </c>
    </row>
    <row r="293" spans="1:8" ht="12.2" customHeight="1" x14ac:dyDescent="0.2">
      <c r="D293" s="334" t="s">
        <v>2183</v>
      </c>
      <c r="E293" s="335"/>
      <c r="F293" s="335"/>
      <c r="G293" s="143">
        <v>18.013000000000002</v>
      </c>
    </row>
    <row r="294" spans="1:8" x14ac:dyDescent="0.2">
      <c r="A294" s="117" t="s">
        <v>135</v>
      </c>
      <c r="B294" s="117"/>
      <c r="C294" s="117" t="s">
        <v>700</v>
      </c>
      <c r="D294" s="304" t="s">
        <v>1212</v>
      </c>
      <c r="E294" s="305"/>
      <c r="F294" s="117" t="s">
        <v>1648</v>
      </c>
      <c r="G294" s="116">
        <v>0.222</v>
      </c>
      <c r="H294" s="108">
        <v>0</v>
      </c>
    </row>
    <row r="295" spans="1:8" ht="12.2" customHeight="1" x14ac:dyDescent="0.2">
      <c r="D295" s="334" t="s">
        <v>2182</v>
      </c>
      <c r="E295" s="335"/>
      <c r="F295" s="335"/>
      <c r="G295" s="143">
        <v>0.222</v>
      </c>
    </row>
    <row r="296" spans="1:8" x14ac:dyDescent="0.2">
      <c r="A296" s="117" t="s">
        <v>136</v>
      </c>
      <c r="B296" s="117"/>
      <c r="C296" s="117" t="s">
        <v>2140</v>
      </c>
      <c r="D296" s="304" t="s">
        <v>2139</v>
      </c>
      <c r="E296" s="305"/>
      <c r="F296" s="117" t="s">
        <v>1648</v>
      </c>
      <c r="G296" s="116">
        <v>0.61399999999999999</v>
      </c>
      <c r="H296" s="108">
        <v>0</v>
      </c>
    </row>
    <row r="297" spans="1:8" ht="12.2" customHeight="1" x14ac:dyDescent="0.2">
      <c r="D297" s="334" t="s">
        <v>2181</v>
      </c>
      <c r="E297" s="335"/>
      <c r="F297" s="335"/>
      <c r="G297" s="143">
        <v>0.61399999999999999</v>
      </c>
    </row>
    <row r="298" spans="1:8" x14ac:dyDescent="0.2">
      <c r="A298" s="117" t="s">
        <v>137</v>
      </c>
      <c r="B298" s="117"/>
      <c r="C298" s="117" t="s">
        <v>701</v>
      </c>
      <c r="D298" s="304" t="s">
        <v>1213</v>
      </c>
      <c r="E298" s="305"/>
      <c r="F298" s="117" t="s">
        <v>1648</v>
      </c>
      <c r="G298" s="116">
        <v>4.5650000000000004</v>
      </c>
      <c r="H298" s="108">
        <v>0</v>
      </c>
    </row>
    <row r="299" spans="1:8" ht="12.2" customHeight="1" x14ac:dyDescent="0.2">
      <c r="D299" s="334" t="s">
        <v>2180</v>
      </c>
      <c r="E299" s="335"/>
      <c r="F299" s="335"/>
      <c r="G299" s="143">
        <v>4.5650000000000004</v>
      </c>
    </row>
    <row r="300" spans="1:8" x14ac:dyDescent="0.2">
      <c r="A300" s="117" t="s">
        <v>138</v>
      </c>
      <c r="B300" s="117"/>
      <c r="C300" s="117" t="s">
        <v>702</v>
      </c>
      <c r="D300" s="304" t="s">
        <v>1214</v>
      </c>
      <c r="E300" s="305"/>
      <c r="F300" s="117" t="s">
        <v>1648</v>
      </c>
      <c r="G300" s="116">
        <v>7.6520000000000001</v>
      </c>
      <c r="H300" s="108">
        <v>0</v>
      </c>
    </row>
    <row r="301" spans="1:8" ht="12.2" customHeight="1" x14ac:dyDescent="0.2">
      <c r="D301" s="334" t="s">
        <v>1840</v>
      </c>
      <c r="E301" s="335"/>
      <c r="F301" s="335"/>
      <c r="G301" s="143">
        <v>7.6520000000000001</v>
      </c>
    </row>
    <row r="302" spans="1:8" x14ac:dyDescent="0.2">
      <c r="A302" s="120"/>
      <c r="B302" s="120"/>
      <c r="C302" s="120" t="s">
        <v>703</v>
      </c>
      <c r="D302" s="306" t="s">
        <v>1215</v>
      </c>
      <c r="E302" s="307"/>
      <c r="F302" s="120"/>
      <c r="G302" s="142"/>
      <c r="H302" s="109"/>
    </row>
    <row r="303" spans="1:8" x14ac:dyDescent="0.2">
      <c r="A303" s="117" t="s">
        <v>139</v>
      </c>
      <c r="B303" s="117"/>
      <c r="C303" s="117" t="s">
        <v>704</v>
      </c>
      <c r="D303" s="304" t="s">
        <v>1216</v>
      </c>
      <c r="E303" s="305"/>
      <c r="F303" s="117" t="s">
        <v>1648</v>
      </c>
      <c r="G303" s="116">
        <v>153.08799999999999</v>
      </c>
      <c r="H303" s="108">
        <v>0</v>
      </c>
    </row>
    <row r="304" spans="1:8" ht="12.2" customHeight="1" x14ac:dyDescent="0.2">
      <c r="D304" s="334" t="s">
        <v>2179</v>
      </c>
      <c r="E304" s="335"/>
      <c r="F304" s="335"/>
      <c r="G304" s="143">
        <v>153.08799999999999</v>
      </c>
    </row>
    <row r="305" spans="1:8" x14ac:dyDescent="0.2">
      <c r="A305" s="120"/>
      <c r="B305" s="120"/>
      <c r="C305" s="120" t="s">
        <v>705</v>
      </c>
      <c r="D305" s="306" t="s">
        <v>1217</v>
      </c>
      <c r="E305" s="307"/>
      <c r="F305" s="120"/>
      <c r="G305" s="142"/>
      <c r="H305" s="109"/>
    </row>
    <row r="306" spans="1:8" x14ac:dyDescent="0.2">
      <c r="A306" s="117" t="s">
        <v>140</v>
      </c>
      <c r="B306" s="117"/>
      <c r="C306" s="117" t="s">
        <v>706</v>
      </c>
      <c r="D306" s="304" t="s">
        <v>1218</v>
      </c>
      <c r="E306" s="305"/>
      <c r="F306" s="117" t="s">
        <v>1645</v>
      </c>
      <c r="G306" s="116">
        <v>344.89400000000001</v>
      </c>
      <c r="H306" s="108">
        <v>0</v>
      </c>
    </row>
    <row r="307" spans="1:8" ht="12.2" customHeight="1" x14ac:dyDescent="0.2">
      <c r="D307" s="334" t="s">
        <v>1842</v>
      </c>
      <c r="E307" s="335"/>
      <c r="F307" s="335"/>
      <c r="G307" s="143">
        <v>344.89400000000001</v>
      </c>
    </row>
    <row r="308" spans="1:8" x14ac:dyDescent="0.2">
      <c r="A308" s="117" t="s">
        <v>141</v>
      </c>
      <c r="B308" s="117"/>
      <c r="C308" s="117" t="s">
        <v>707</v>
      </c>
      <c r="D308" s="304" t="s">
        <v>1219</v>
      </c>
      <c r="E308" s="305"/>
      <c r="F308" s="117" t="s">
        <v>1644</v>
      </c>
      <c r="G308" s="116">
        <v>6</v>
      </c>
      <c r="H308" s="108">
        <v>0</v>
      </c>
    </row>
    <row r="309" spans="1:8" ht="12.2" customHeight="1" x14ac:dyDescent="0.2">
      <c r="D309" s="334" t="s">
        <v>1806</v>
      </c>
      <c r="E309" s="335"/>
      <c r="F309" s="335"/>
      <c r="G309" s="143">
        <v>6</v>
      </c>
    </row>
    <row r="310" spans="1:8" x14ac:dyDescent="0.2">
      <c r="A310" s="117" t="s">
        <v>142</v>
      </c>
      <c r="B310" s="117"/>
      <c r="C310" s="117" t="s">
        <v>708</v>
      </c>
      <c r="D310" s="304" t="s">
        <v>1220</v>
      </c>
      <c r="E310" s="305"/>
      <c r="F310" s="117" t="s">
        <v>1645</v>
      </c>
      <c r="G310" s="116">
        <v>345.786</v>
      </c>
      <c r="H310" s="108">
        <v>0</v>
      </c>
    </row>
    <row r="311" spans="1:8" ht="12.2" customHeight="1" x14ac:dyDescent="0.2">
      <c r="D311" s="334" t="s">
        <v>1843</v>
      </c>
      <c r="E311" s="335"/>
      <c r="F311" s="335"/>
      <c r="G311" s="143">
        <v>345.786</v>
      </c>
    </row>
    <row r="312" spans="1:8" x14ac:dyDescent="0.2">
      <c r="A312" s="117" t="s">
        <v>143</v>
      </c>
      <c r="B312" s="117"/>
      <c r="C312" s="117" t="s">
        <v>709</v>
      </c>
      <c r="D312" s="304" t="s">
        <v>1221</v>
      </c>
      <c r="E312" s="305"/>
      <c r="F312" s="117" t="s">
        <v>1648</v>
      </c>
      <c r="G312" s="116">
        <v>4.24</v>
      </c>
      <c r="H312" s="108">
        <v>0</v>
      </c>
    </row>
    <row r="313" spans="1:8" ht="12.2" customHeight="1" x14ac:dyDescent="0.2">
      <c r="D313" s="334" t="s">
        <v>2178</v>
      </c>
      <c r="E313" s="335"/>
      <c r="F313" s="335"/>
      <c r="G313" s="143">
        <v>4.24</v>
      </c>
    </row>
    <row r="314" spans="1:8" x14ac:dyDescent="0.2">
      <c r="A314" s="120"/>
      <c r="B314" s="120"/>
      <c r="C314" s="120" t="s">
        <v>710</v>
      </c>
      <c r="D314" s="306" t="s">
        <v>1222</v>
      </c>
      <c r="E314" s="307"/>
      <c r="F314" s="120"/>
      <c r="G314" s="142"/>
      <c r="H314" s="109"/>
    </row>
    <row r="315" spans="1:8" x14ac:dyDescent="0.2">
      <c r="A315" s="117" t="s">
        <v>144</v>
      </c>
      <c r="B315" s="117"/>
      <c r="C315" s="117" t="s">
        <v>711</v>
      </c>
      <c r="D315" s="304" t="s">
        <v>1223</v>
      </c>
      <c r="E315" s="305"/>
      <c r="F315" s="117" t="s">
        <v>1645</v>
      </c>
      <c r="G315" s="116">
        <v>302</v>
      </c>
      <c r="H315" s="108">
        <v>0</v>
      </c>
    </row>
    <row r="316" spans="1:8" ht="12.2" customHeight="1" x14ac:dyDescent="0.2">
      <c r="D316" s="334" t="s">
        <v>1845</v>
      </c>
      <c r="E316" s="335"/>
      <c r="F316" s="335"/>
      <c r="G316" s="143">
        <v>302</v>
      </c>
    </row>
    <row r="317" spans="1:8" x14ac:dyDescent="0.2">
      <c r="A317" s="124" t="s">
        <v>145</v>
      </c>
      <c r="B317" s="124"/>
      <c r="C317" s="124" t="s">
        <v>712</v>
      </c>
      <c r="D317" s="311" t="s">
        <v>1224</v>
      </c>
      <c r="E317" s="312"/>
      <c r="F317" s="124" t="s">
        <v>1645</v>
      </c>
      <c r="G317" s="123">
        <v>332.2</v>
      </c>
      <c r="H317" s="121">
        <v>0</v>
      </c>
    </row>
    <row r="318" spans="1:8" ht="12.2" customHeight="1" x14ac:dyDescent="0.2">
      <c r="D318" s="336" t="s">
        <v>1845</v>
      </c>
      <c r="E318" s="337"/>
      <c r="F318" s="337"/>
      <c r="G318" s="146">
        <v>302</v>
      </c>
    </row>
    <row r="319" spans="1:8" ht="12.2" customHeight="1" x14ac:dyDescent="0.2">
      <c r="A319" s="124"/>
      <c r="B319" s="124"/>
      <c r="C319" s="124"/>
      <c r="D319" s="336" t="s">
        <v>1846</v>
      </c>
      <c r="E319" s="337"/>
      <c r="F319" s="336"/>
      <c r="G319" s="145">
        <v>30.2</v>
      </c>
      <c r="H319" s="122"/>
    </row>
    <row r="320" spans="1:8" x14ac:dyDescent="0.2">
      <c r="A320" s="124" t="s">
        <v>146</v>
      </c>
      <c r="B320" s="124"/>
      <c r="C320" s="124" t="s">
        <v>713</v>
      </c>
      <c r="D320" s="311" t="s">
        <v>1225</v>
      </c>
      <c r="E320" s="312"/>
      <c r="F320" s="124" t="s">
        <v>1645</v>
      </c>
      <c r="G320" s="123">
        <v>332.2</v>
      </c>
      <c r="H320" s="121">
        <v>0</v>
      </c>
    </row>
    <row r="321" spans="1:8" ht="12.2" customHeight="1" x14ac:dyDescent="0.2">
      <c r="D321" s="336" t="s">
        <v>1845</v>
      </c>
      <c r="E321" s="337"/>
      <c r="F321" s="337"/>
      <c r="G321" s="146">
        <v>302</v>
      </c>
    </row>
    <row r="322" spans="1:8" ht="12.2" customHeight="1" x14ac:dyDescent="0.2">
      <c r="A322" s="124"/>
      <c r="B322" s="124"/>
      <c r="C322" s="124"/>
      <c r="D322" s="336" t="s">
        <v>1846</v>
      </c>
      <c r="E322" s="337"/>
      <c r="F322" s="336"/>
      <c r="G322" s="145">
        <v>30.2</v>
      </c>
      <c r="H322" s="122"/>
    </row>
    <row r="323" spans="1:8" x14ac:dyDescent="0.2">
      <c r="A323" s="117" t="s">
        <v>147</v>
      </c>
      <c r="B323" s="117"/>
      <c r="C323" s="117" t="s">
        <v>714</v>
      </c>
      <c r="D323" s="304" t="s">
        <v>1226</v>
      </c>
      <c r="E323" s="305"/>
      <c r="F323" s="117" t="s">
        <v>1646</v>
      </c>
      <c r="G323" s="116">
        <v>62.5</v>
      </c>
      <c r="H323" s="108">
        <v>0</v>
      </c>
    </row>
    <row r="324" spans="1:8" ht="12.2" customHeight="1" x14ac:dyDescent="0.2">
      <c r="D324" s="334" t="s">
        <v>1847</v>
      </c>
      <c r="E324" s="335"/>
      <c r="F324" s="335"/>
      <c r="G324" s="143">
        <v>62.5</v>
      </c>
    </row>
    <row r="325" spans="1:8" x14ac:dyDescent="0.2">
      <c r="A325" s="117" t="s">
        <v>148</v>
      </c>
      <c r="B325" s="117"/>
      <c r="C325" s="117" t="s">
        <v>715</v>
      </c>
      <c r="D325" s="304" t="s">
        <v>1227</v>
      </c>
      <c r="E325" s="305"/>
      <c r="F325" s="117" t="s">
        <v>1645</v>
      </c>
      <c r="G325" s="116">
        <v>302</v>
      </c>
      <c r="H325" s="108">
        <v>0</v>
      </c>
    </row>
    <row r="326" spans="1:8" ht="12.2" customHeight="1" x14ac:dyDescent="0.2">
      <c r="D326" s="334" t="s">
        <v>1845</v>
      </c>
      <c r="E326" s="335"/>
      <c r="F326" s="335"/>
      <c r="G326" s="143">
        <v>302</v>
      </c>
    </row>
    <row r="327" spans="1:8" x14ac:dyDescent="0.2">
      <c r="A327" s="117" t="s">
        <v>149</v>
      </c>
      <c r="B327" s="117"/>
      <c r="C327" s="117" t="s">
        <v>716</v>
      </c>
      <c r="D327" s="304" t="s">
        <v>1228</v>
      </c>
      <c r="E327" s="305"/>
      <c r="F327" s="117" t="s">
        <v>1645</v>
      </c>
      <c r="G327" s="116">
        <v>302</v>
      </c>
      <c r="H327" s="108">
        <v>0</v>
      </c>
    </row>
    <row r="328" spans="1:8" ht="12.2" customHeight="1" x14ac:dyDescent="0.2">
      <c r="D328" s="334" t="s">
        <v>1845</v>
      </c>
      <c r="E328" s="335"/>
      <c r="F328" s="335"/>
      <c r="G328" s="143">
        <v>302</v>
      </c>
    </row>
    <row r="329" spans="1:8" x14ac:dyDescent="0.2">
      <c r="A329" s="117" t="s">
        <v>150</v>
      </c>
      <c r="B329" s="117"/>
      <c r="C329" s="117" t="s">
        <v>717</v>
      </c>
      <c r="D329" s="304" t="s">
        <v>1229</v>
      </c>
      <c r="E329" s="305"/>
      <c r="F329" s="117" t="s">
        <v>1645</v>
      </c>
      <c r="G329" s="116">
        <v>345.786</v>
      </c>
      <c r="H329" s="108">
        <v>0</v>
      </c>
    </row>
    <row r="330" spans="1:8" ht="12.2" customHeight="1" x14ac:dyDescent="0.2">
      <c r="D330" s="334" t="s">
        <v>1843</v>
      </c>
      <c r="E330" s="335"/>
      <c r="F330" s="335"/>
      <c r="G330" s="143">
        <v>345.786</v>
      </c>
    </row>
    <row r="331" spans="1:8" x14ac:dyDescent="0.2">
      <c r="A331" s="117" t="s">
        <v>151</v>
      </c>
      <c r="B331" s="117"/>
      <c r="C331" s="117" t="s">
        <v>718</v>
      </c>
      <c r="D331" s="304" t="s">
        <v>1230</v>
      </c>
      <c r="E331" s="305"/>
      <c r="F331" s="117" t="s">
        <v>1648</v>
      </c>
      <c r="G331" s="116">
        <v>1.4390000000000001</v>
      </c>
      <c r="H331" s="108">
        <v>0</v>
      </c>
    </row>
    <row r="332" spans="1:8" ht="12.2" customHeight="1" x14ac:dyDescent="0.2">
      <c r="D332" s="334" t="s">
        <v>1848</v>
      </c>
      <c r="E332" s="335"/>
      <c r="F332" s="335"/>
      <c r="G332" s="143">
        <v>1.4390000000000001</v>
      </c>
    </row>
    <row r="333" spans="1:8" x14ac:dyDescent="0.2">
      <c r="A333" s="120"/>
      <c r="B333" s="120"/>
      <c r="C333" s="120" t="s">
        <v>719</v>
      </c>
      <c r="D333" s="306" t="s">
        <v>1231</v>
      </c>
      <c r="E333" s="307"/>
      <c r="F333" s="120"/>
      <c r="G333" s="142"/>
      <c r="H333" s="109"/>
    </row>
    <row r="334" spans="1:8" x14ac:dyDescent="0.2">
      <c r="A334" s="117" t="s">
        <v>152</v>
      </c>
      <c r="B334" s="117"/>
      <c r="C334" s="117" t="s">
        <v>720</v>
      </c>
      <c r="D334" s="304" t="s">
        <v>1232</v>
      </c>
      <c r="E334" s="305"/>
      <c r="F334" s="117" t="s">
        <v>1646</v>
      </c>
      <c r="G334" s="116">
        <v>3.5</v>
      </c>
      <c r="H334" s="108">
        <v>0</v>
      </c>
    </row>
    <row r="335" spans="1:8" x14ac:dyDescent="0.2">
      <c r="A335" s="117" t="s">
        <v>153</v>
      </c>
      <c r="B335" s="117"/>
      <c r="C335" s="117" t="s">
        <v>721</v>
      </c>
      <c r="D335" s="304" t="s">
        <v>1233</v>
      </c>
      <c r="E335" s="305"/>
      <c r="F335" s="117" t="s">
        <v>1646</v>
      </c>
      <c r="G335" s="116">
        <v>3</v>
      </c>
      <c r="H335" s="108">
        <v>0</v>
      </c>
    </row>
    <row r="336" spans="1:8" x14ac:dyDescent="0.2">
      <c r="A336" s="117" t="s">
        <v>154</v>
      </c>
      <c r="B336" s="117"/>
      <c r="C336" s="117" t="s">
        <v>722</v>
      </c>
      <c r="D336" s="304" t="s">
        <v>1234</v>
      </c>
      <c r="E336" s="305"/>
      <c r="F336" s="117" t="s">
        <v>1646</v>
      </c>
      <c r="G336" s="116">
        <v>1.5</v>
      </c>
      <c r="H336" s="108">
        <v>0</v>
      </c>
    </row>
    <row r="337" spans="1:8" x14ac:dyDescent="0.2">
      <c r="A337" s="117" t="s">
        <v>155</v>
      </c>
      <c r="B337" s="117"/>
      <c r="C337" s="117" t="s">
        <v>723</v>
      </c>
      <c r="D337" s="304" t="s">
        <v>1235</v>
      </c>
      <c r="E337" s="305"/>
      <c r="F337" s="117" t="s">
        <v>1646</v>
      </c>
      <c r="G337" s="116">
        <v>3</v>
      </c>
      <c r="H337" s="108">
        <v>0</v>
      </c>
    </row>
    <row r="338" spans="1:8" x14ac:dyDescent="0.2">
      <c r="A338" s="117" t="s">
        <v>156</v>
      </c>
      <c r="B338" s="117"/>
      <c r="C338" s="117" t="s">
        <v>724</v>
      </c>
      <c r="D338" s="304" t="s">
        <v>1236</v>
      </c>
      <c r="E338" s="305"/>
      <c r="F338" s="117" t="s">
        <v>1646</v>
      </c>
      <c r="G338" s="116">
        <v>1</v>
      </c>
      <c r="H338" s="108">
        <v>0</v>
      </c>
    </row>
    <row r="339" spans="1:8" x14ac:dyDescent="0.2">
      <c r="A339" s="117" t="s">
        <v>157</v>
      </c>
      <c r="B339" s="117"/>
      <c r="C339" s="117" t="s">
        <v>725</v>
      </c>
      <c r="D339" s="304" t="s">
        <v>1237</v>
      </c>
      <c r="E339" s="305"/>
      <c r="F339" s="117" t="s">
        <v>1646</v>
      </c>
      <c r="G339" s="116">
        <v>25</v>
      </c>
      <c r="H339" s="108">
        <v>0</v>
      </c>
    </row>
    <row r="340" spans="1:8" x14ac:dyDescent="0.2">
      <c r="A340" s="117" t="s">
        <v>158</v>
      </c>
      <c r="B340" s="117"/>
      <c r="C340" s="117" t="s">
        <v>726</v>
      </c>
      <c r="D340" s="304" t="s">
        <v>1238</v>
      </c>
      <c r="E340" s="305"/>
      <c r="F340" s="117" t="s">
        <v>1644</v>
      </c>
      <c r="G340" s="116">
        <v>2</v>
      </c>
      <c r="H340" s="108">
        <v>0</v>
      </c>
    </row>
    <row r="341" spans="1:8" x14ac:dyDescent="0.2">
      <c r="A341" s="117" t="s">
        <v>159</v>
      </c>
      <c r="B341" s="117"/>
      <c r="C341" s="117" t="s">
        <v>727</v>
      </c>
      <c r="D341" s="304" t="s">
        <v>1239</v>
      </c>
      <c r="E341" s="305"/>
      <c r="F341" s="117" t="s">
        <v>1644</v>
      </c>
      <c r="G341" s="116">
        <v>1</v>
      </c>
      <c r="H341" s="108">
        <v>0</v>
      </c>
    </row>
    <row r="342" spans="1:8" x14ac:dyDescent="0.2">
      <c r="A342" s="117" t="s">
        <v>160</v>
      </c>
      <c r="B342" s="117"/>
      <c r="C342" s="117" t="s">
        <v>728</v>
      </c>
      <c r="D342" s="304" t="s">
        <v>1240</v>
      </c>
      <c r="E342" s="305"/>
      <c r="F342" s="117" t="s">
        <v>1644</v>
      </c>
      <c r="G342" s="116">
        <v>1</v>
      </c>
      <c r="H342" s="108">
        <v>0</v>
      </c>
    </row>
    <row r="343" spans="1:8" x14ac:dyDescent="0.2">
      <c r="A343" s="117" t="s">
        <v>161</v>
      </c>
      <c r="B343" s="117"/>
      <c r="C343" s="117" t="s">
        <v>729</v>
      </c>
      <c r="D343" s="304" t="s">
        <v>1241</v>
      </c>
      <c r="E343" s="305"/>
      <c r="F343" s="117" t="s">
        <v>1644</v>
      </c>
      <c r="G343" s="116">
        <v>1</v>
      </c>
      <c r="H343" s="108">
        <v>0</v>
      </c>
    </row>
    <row r="344" spans="1:8" x14ac:dyDescent="0.2">
      <c r="A344" s="117" t="s">
        <v>162</v>
      </c>
      <c r="B344" s="117"/>
      <c r="C344" s="117" t="s">
        <v>730</v>
      </c>
      <c r="D344" s="304" t="s">
        <v>1242</v>
      </c>
      <c r="E344" s="305"/>
      <c r="F344" s="117" t="s">
        <v>1644</v>
      </c>
      <c r="G344" s="116">
        <v>2</v>
      </c>
      <c r="H344" s="108">
        <v>0</v>
      </c>
    </row>
    <row r="345" spans="1:8" x14ac:dyDescent="0.2">
      <c r="A345" s="117" t="s">
        <v>163</v>
      </c>
      <c r="B345" s="117"/>
      <c r="C345" s="117" t="s">
        <v>731</v>
      </c>
      <c r="D345" s="304" t="s">
        <v>1243</v>
      </c>
      <c r="E345" s="305"/>
      <c r="F345" s="117" t="s">
        <v>1651</v>
      </c>
      <c r="G345" s="116">
        <v>1</v>
      </c>
      <c r="H345" s="108">
        <v>0</v>
      </c>
    </row>
    <row r="346" spans="1:8" x14ac:dyDescent="0.2">
      <c r="A346" s="117" t="s">
        <v>164</v>
      </c>
      <c r="B346" s="117"/>
      <c r="C346" s="117" t="s">
        <v>732</v>
      </c>
      <c r="D346" s="304" t="s">
        <v>1244</v>
      </c>
      <c r="E346" s="305"/>
      <c r="F346" s="117" t="s">
        <v>1651</v>
      </c>
      <c r="G346" s="116">
        <v>1</v>
      </c>
      <c r="H346" s="108">
        <v>0</v>
      </c>
    </row>
    <row r="347" spans="1:8" x14ac:dyDescent="0.2">
      <c r="A347" s="117" t="s">
        <v>165</v>
      </c>
      <c r="B347" s="117"/>
      <c r="C347" s="117" t="s">
        <v>733</v>
      </c>
      <c r="D347" s="304" t="s">
        <v>1245</v>
      </c>
      <c r="E347" s="305"/>
      <c r="F347" s="117" t="s">
        <v>1644</v>
      </c>
      <c r="G347" s="116">
        <v>1</v>
      </c>
      <c r="H347" s="108">
        <v>0</v>
      </c>
    </row>
    <row r="348" spans="1:8" x14ac:dyDescent="0.2">
      <c r="A348" s="117" t="s">
        <v>166</v>
      </c>
      <c r="B348" s="117"/>
      <c r="C348" s="117" t="s">
        <v>2138</v>
      </c>
      <c r="D348" s="304" t="s">
        <v>2137</v>
      </c>
      <c r="E348" s="305"/>
      <c r="F348" s="117" t="s">
        <v>1644</v>
      </c>
      <c r="G348" s="116">
        <v>1</v>
      </c>
      <c r="H348" s="108">
        <v>0</v>
      </c>
    </row>
    <row r="349" spans="1:8" x14ac:dyDescent="0.2">
      <c r="A349" s="117" t="s">
        <v>167</v>
      </c>
      <c r="B349" s="117"/>
      <c r="C349" s="117" t="s">
        <v>734</v>
      </c>
      <c r="D349" s="304" t="s">
        <v>1246</v>
      </c>
      <c r="E349" s="305"/>
      <c r="F349" s="117" t="s">
        <v>1644</v>
      </c>
      <c r="G349" s="116">
        <v>2</v>
      </c>
      <c r="H349" s="108">
        <v>0</v>
      </c>
    </row>
    <row r="350" spans="1:8" x14ac:dyDescent="0.2">
      <c r="A350" s="117" t="s">
        <v>168</v>
      </c>
      <c r="B350" s="117"/>
      <c r="C350" s="117" t="s">
        <v>735</v>
      </c>
      <c r="D350" s="304" t="s">
        <v>1247</v>
      </c>
      <c r="E350" s="305"/>
      <c r="F350" s="117" t="s">
        <v>1650</v>
      </c>
      <c r="G350" s="116">
        <v>30</v>
      </c>
      <c r="H350" s="108">
        <v>0</v>
      </c>
    </row>
    <row r="351" spans="1:8" x14ac:dyDescent="0.2">
      <c r="A351" s="117" t="s">
        <v>169</v>
      </c>
      <c r="B351" s="117"/>
      <c r="C351" s="117" t="s">
        <v>736</v>
      </c>
      <c r="D351" s="304" t="s">
        <v>1248</v>
      </c>
      <c r="E351" s="305"/>
      <c r="F351" s="117" t="s">
        <v>1646</v>
      </c>
      <c r="G351" s="116">
        <v>37</v>
      </c>
      <c r="H351" s="108">
        <v>0</v>
      </c>
    </row>
    <row r="352" spans="1:8" x14ac:dyDescent="0.2">
      <c r="A352" s="117" t="s">
        <v>170</v>
      </c>
      <c r="B352" s="117"/>
      <c r="C352" s="117" t="s">
        <v>737</v>
      </c>
      <c r="D352" s="304" t="s">
        <v>1249</v>
      </c>
      <c r="E352" s="305"/>
      <c r="F352" s="117" t="s">
        <v>1646</v>
      </c>
      <c r="G352" s="116">
        <v>37</v>
      </c>
      <c r="H352" s="108">
        <v>0</v>
      </c>
    </row>
    <row r="353" spans="1:8" x14ac:dyDescent="0.2">
      <c r="A353" s="117" t="s">
        <v>171</v>
      </c>
      <c r="B353" s="117"/>
      <c r="C353" s="117" t="s">
        <v>738</v>
      </c>
      <c r="D353" s="304" t="s">
        <v>1250</v>
      </c>
      <c r="E353" s="305"/>
      <c r="F353" s="117" t="s">
        <v>1646</v>
      </c>
      <c r="G353" s="116">
        <v>37</v>
      </c>
      <c r="H353" s="108">
        <v>0</v>
      </c>
    </row>
    <row r="354" spans="1:8" x14ac:dyDescent="0.2">
      <c r="A354" s="117" t="s">
        <v>172</v>
      </c>
      <c r="B354" s="117"/>
      <c r="C354" s="117" t="s">
        <v>739</v>
      </c>
      <c r="D354" s="304" t="s">
        <v>1251</v>
      </c>
      <c r="E354" s="305"/>
      <c r="F354" s="117" t="s">
        <v>1650</v>
      </c>
      <c r="G354" s="116">
        <v>10</v>
      </c>
      <c r="H354" s="108">
        <v>0</v>
      </c>
    </row>
    <row r="355" spans="1:8" x14ac:dyDescent="0.2">
      <c r="A355" s="117" t="s">
        <v>173</v>
      </c>
      <c r="B355" s="117"/>
      <c r="C355" s="117" t="s">
        <v>740</v>
      </c>
      <c r="D355" s="304" t="s">
        <v>1252</v>
      </c>
      <c r="E355" s="305"/>
      <c r="F355" s="117" t="s">
        <v>1644</v>
      </c>
      <c r="G355" s="116">
        <v>1</v>
      </c>
      <c r="H355" s="108">
        <v>0</v>
      </c>
    </row>
    <row r="356" spans="1:8" x14ac:dyDescent="0.2">
      <c r="A356" s="117" t="s">
        <v>174</v>
      </c>
      <c r="B356" s="117"/>
      <c r="C356" s="117" t="s">
        <v>741</v>
      </c>
      <c r="D356" s="304" t="s">
        <v>1253</v>
      </c>
      <c r="E356" s="305"/>
      <c r="F356" s="117" t="s">
        <v>1644</v>
      </c>
      <c r="G356" s="116">
        <v>1</v>
      </c>
      <c r="H356" s="108">
        <v>0</v>
      </c>
    </row>
    <row r="357" spans="1:8" x14ac:dyDescent="0.2">
      <c r="A357" s="117" t="s">
        <v>175</v>
      </c>
      <c r="B357" s="117"/>
      <c r="C357" s="117" t="s">
        <v>742</v>
      </c>
      <c r="D357" s="304" t="s">
        <v>1254</v>
      </c>
      <c r="E357" s="305"/>
      <c r="F357" s="117" t="s">
        <v>1644</v>
      </c>
      <c r="G357" s="116">
        <v>1</v>
      </c>
      <c r="H357" s="108">
        <v>0</v>
      </c>
    </row>
    <row r="358" spans="1:8" x14ac:dyDescent="0.2">
      <c r="A358" s="117" t="s">
        <v>176</v>
      </c>
      <c r="B358" s="117"/>
      <c r="C358" s="117" t="s">
        <v>743</v>
      </c>
      <c r="D358" s="304" t="s">
        <v>1255</v>
      </c>
      <c r="E358" s="305"/>
      <c r="F358" s="117" t="s">
        <v>1644</v>
      </c>
      <c r="G358" s="116">
        <v>1</v>
      </c>
      <c r="H358" s="108">
        <v>0</v>
      </c>
    </row>
    <row r="359" spans="1:8" x14ac:dyDescent="0.2">
      <c r="A359" s="120"/>
      <c r="B359" s="120"/>
      <c r="C359" s="120" t="s">
        <v>744</v>
      </c>
      <c r="D359" s="306" t="s">
        <v>1256</v>
      </c>
      <c r="E359" s="307"/>
      <c r="F359" s="120"/>
      <c r="G359" s="142"/>
      <c r="H359" s="109"/>
    </row>
    <row r="360" spans="1:8" x14ac:dyDescent="0.2">
      <c r="A360" s="117" t="s">
        <v>177</v>
      </c>
      <c r="B360" s="117"/>
      <c r="C360" s="117" t="s">
        <v>2136</v>
      </c>
      <c r="D360" s="304" t="s">
        <v>1257</v>
      </c>
      <c r="E360" s="305"/>
      <c r="F360" s="117" t="s">
        <v>1646</v>
      </c>
      <c r="G360" s="116">
        <v>1</v>
      </c>
      <c r="H360" s="108">
        <v>0</v>
      </c>
    </row>
    <row r="361" spans="1:8" x14ac:dyDescent="0.2">
      <c r="A361" s="117" t="s">
        <v>178</v>
      </c>
      <c r="B361" s="117"/>
      <c r="C361" s="117" t="s">
        <v>2135</v>
      </c>
      <c r="D361" s="304" t="s">
        <v>1258</v>
      </c>
      <c r="E361" s="305"/>
      <c r="F361" s="117" t="s">
        <v>1646</v>
      </c>
      <c r="G361" s="116">
        <v>1.5</v>
      </c>
      <c r="H361" s="108">
        <v>0</v>
      </c>
    </row>
    <row r="362" spans="1:8" x14ac:dyDescent="0.2">
      <c r="A362" s="117" t="s">
        <v>179</v>
      </c>
      <c r="B362" s="117"/>
      <c r="C362" s="117" t="s">
        <v>2134</v>
      </c>
      <c r="D362" s="304" t="s">
        <v>2133</v>
      </c>
      <c r="E362" s="305"/>
      <c r="F362" s="117" t="s">
        <v>1646</v>
      </c>
      <c r="G362" s="116">
        <v>2</v>
      </c>
      <c r="H362" s="108">
        <v>0</v>
      </c>
    </row>
    <row r="363" spans="1:8" x14ac:dyDescent="0.2">
      <c r="A363" s="117" t="s">
        <v>180</v>
      </c>
      <c r="B363" s="117"/>
      <c r="C363" s="117" t="s">
        <v>2132</v>
      </c>
      <c r="D363" s="304" t="s">
        <v>1262</v>
      </c>
      <c r="E363" s="305"/>
      <c r="F363" s="117" t="s">
        <v>1644</v>
      </c>
      <c r="G363" s="116">
        <v>1</v>
      </c>
      <c r="H363" s="108">
        <v>0</v>
      </c>
    </row>
    <row r="364" spans="1:8" x14ac:dyDescent="0.2">
      <c r="A364" s="117" t="s">
        <v>181</v>
      </c>
      <c r="B364" s="117"/>
      <c r="C364" s="117" t="s">
        <v>2131</v>
      </c>
      <c r="D364" s="304" t="s">
        <v>1263</v>
      </c>
      <c r="E364" s="305"/>
      <c r="F364" s="117" t="s">
        <v>1644</v>
      </c>
      <c r="G364" s="116">
        <v>2</v>
      </c>
      <c r="H364" s="108">
        <v>0</v>
      </c>
    </row>
    <row r="365" spans="1:8" x14ac:dyDescent="0.2">
      <c r="A365" s="117" t="s">
        <v>182</v>
      </c>
      <c r="B365" s="117"/>
      <c r="C365" s="117" t="s">
        <v>2130</v>
      </c>
      <c r="D365" s="304" t="s">
        <v>1269</v>
      </c>
      <c r="E365" s="305"/>
      <c r="F365" s="117" t="s">
        <v>1644</v>
      </c>
      <c r="G365" s="116">
        <v>1</v>
      </c>
      <c r="H365" s="108">
        <v>0</v>
      </c>
    </row>
    <row r="366" spans="1:8" x14ac:dyDescent="0.2">
      <c r="A366" s="117" t="s">
        <v>183</v>
      </c>
      <c r="B366" s="117"/>
      <c r="C366" s="117" t="s">
        <v>2129</v>
      </c>
      <c r="D366" s="304" t="s">
        <v>1270</v>
      </c>
      <c r="E366" s="305"/>
      <c r="F366" s="117" t="s">
        <v>1644</v>
      </c>
      <c r="G366" s="116">
        <v>1</v>
      </c>
      <c r="H366" s="108">
        <v>0</v>
      </c>
    </row>
    <row r="367" spans="1:8" x14ac:dyDescent="0.2">
      <c r="A367" s="117" t="s">
        <v>184</v>
      </c>
      <c r="B367" s="117"/>
      <c r="C367" s="117" t="s">
        <v>2128</v>
      </c>
      <c r="D367" s="304" t="s">
        <v>1271</v>
      </c>
      <c r="E367" s="305"/>
      <c r="F367" s="117" t="s">
        <v>1644</v>
      </c>
      <c r="G367" s="116">
        <v>1</v>
      </c>
      <c r="H367" s="108">
        <v>0</v>
      </c>
    </row>
    <row r="368" spans="1:8" x14ac:dyDescent="0.2">
      <c r="A368" s="117" t="s">
        <v>185</v>
      </c>
      <c r="B368" s="117"/>
      <c r="C368" s="117" t="s">
        <v>2127</v>
      </c>
      <c r="D368" s="304" t="s">
        <v>1272</v>
      </c>
      <c r="E368" s="305"/>
      <c r="F368" s="117" t="s">
        <v>1644</v>
      </c>
      <c r="G368" s="116">
        <v>1</v>
      </c>
      <c r="H368" s="108">
        <v>0</v>
      </c>
    </row>
    <row r="369" spans="1:8" x14ac:dyDescent="0.2">
      <c r="A369" s="117" t="s">
        <v>186</v>
      </c>
      <c r="B369" s="117"/>
      <c r="C369" s="117" t="s">
        <v>2126</v>
      </c>
      <c r="D369" s="304" t="s">
        <v>1276</v>
      </c>
      <c r="E369" s="305"/>
      <c r="F369" s="117" t="s">
        <v>1644</v>
      </c>
      <c r="G369" s="116">
        <v>1</v>
      </c>
      <c r="H369" s="108">
        <v>0</v>
      </c>
    </row>
    <row r="370" spans="1:8" x14ac:dyDescent="0.2">
      <c r="A370" s="117" t="s">
        <v>187</v>
      </c>
      <c r="B370" s="117"/>
      <c r="C370" s="117" t="s">
        <v>2125</v>
      </c>
      <c r="D370" s="304" t="s">
        <v>1278</v>
      </c>
      <c r="E370" s="305"/>
      <c r="F370" s="117" t="s">
        <v>1644</v>
      </c>
      <c r="G370" s="116">
        <v>2</v>
      </c>
      <c r="H370" s="108">
        <v>0</v>
      </c>
    </row>
    <row r="371" spans="1:8" x14ac:dyDescent="0.2">
      <c r="A371" s="117" t="s">
        <v>188</v>
      </c>
      <c r="B371" s="117"/>
      <c r="C371" s="117" t="s">
        <v>2124</v>
      </c>
      <c r="D371" s="304" t="s">
        <v>2123</v>
      </c>
      <c r="E371" s="305"/>
      <c r="F371" s="117" t="s">
        <v>1644</v>
      </c>
      <c r="G371" s="116">
        <v>2</v>
      </c>
      <c r="H371" s="108">
        <v>0</v>
      </c>
    </row>
    <row r="372" spans="1:8" x14ac:dyDescent="0.2">
      <c r="A372" s="117" t="s">
        <v>189</v>
      </c>
      <c r="B372" s="117"/>
      <c r="C372" s="117" t="s">
        <v>2122</v>
      </c>
      <c r="D372" s="304" t="s">
        <v>1280</v>
      </c>
      <c r="E372" s="305"/>
      <c r="F372" s="117" t="s">
        <v>1646</v>
      </c>
      <c r="G372" s="116">
        <v>10</v>
      </c>
      <c r="H372" s="108">
        <v>0</v>
      </c>
    </row>
    <row r="373" spans="1:8" x14ac:dyDescent="0.2">
      <c r="A373" s="117" t="s">
        <v>190</v>
      </c>
      <c r="B373" s="117"/>
      <c r="C373" s="117" t="s">
        <v>2121</v>
      </c>
      <c r="D373" s="304" t="s">
        <v>1281</v>
      </c>
      <c r="E373" s="305"/>
      <c r="F373" s="117" t="s">
        <v>1646</v>
      </c>
      <c r="G373" s="116">
        <v>4</v>
      </c>
      <c r="H373" s="108">
        <v>0</v>
      </c>
    </row>
    <row r="374" spans="1:8" x14ac:dyDescent="0.2">
      <c r="A374" s="117" t="s">
        <v>191</v>
      </c>
      <c r="B374" s="117"/>
      <c r="C374" s="117" t="s">
        <v>2120</v>
      </c>
      <c r="D374" s="304" t="s">
        <v>1282</v>
      </c>
      <c r="E374" s="305"/>
      <c r="F374" s="117" t="s">
        <v>1644</v>
      </c>
      <c r="G374" s="116">
        <v>1</v>
      </c>
      <c r="H374" s="108">
        <v>0</v>
      </c>
    </row>
    <row r="375" spans="1:8" x14ac:dyDescent="0.2">
      <c r="A375" s="120"/>
      <c r="B375" s="120"/>
      <c r="C375" s="120" t="s">
        <v>771</v>
      </c>
      <c r="D375" s="306" t="s">
        <v>1283</v>
      </c>
      <c r="E375" s="307"/>
      <c r="F375" s="120"/>
      <c r="G375" s="142"/>
      <c r="H375" s="109"/>
    </row>
    <row r="376" spans="1:8" x14ac:dyDescent="0.2">
      <c r="A376" s="117" t="s">
        <v>192</v>
      </c>
      <c r="B376" s="117"/>
      <c r="C376" s="117" t="s">
        <v>2119</v>
      </c>
      <c r="D376" s="304" t="s">
        <v>1284</v>
      </c>
      <c r="E376" s="305"/>
      <c r="F376" s="117" t="s">
        <v>1644</v>
      </c>
      <c r="G376" s="116">
        <v>1</v>
      </c>
      <c r="H376" s="108">
        <v>0</v>
      </c>
    </row>
    <row r="377" spans="1:8" x14ac:dyDescent="0.2">
      <c r="A377" s="117" t="s">
        <v>193</v>
      </c>
      <c r="B377" s="117"/>
      <c r="C377" s="117" t="s">
        <v>2118</v>
      </c>
      <c r="D377" s="304" t="s">
        <v>1285</v>
      </c>
      <c r="E377" s="305"/>
      <c r="F377" s="117" t="s">
        <v>1644</v>
      </c>
      <c r="G377" s="116">
        <v>1</v>
      </c>
      <c r="H377" s="108">
        <v>0</v>
      </c>
    </row>
    <row r="378" spans="1:8" x14ac:dyDescent="0.2">
      <c r="A378" s="117" t="s">
        <v>194</v>
      </c>
      <c r="B378" s="117"/>
      <c r="C378" s="117" t="s">
        <v>2117</v>
      </c>
      <c r="D378" s="304" t="s">
        <v>1286</v>
      </c>
      <c r="E378" s="305"/>
      <c r="F378" s="117" t="s">
        <v>1644</v>
      </c>
      <c r="G378" s="116">
        <v>2</v>
      </c>
      <c r="H378" s="108">
        <v>0</v>
      </c>
    </row>
    <row r="379" spans="1:8" x14ac:dyDescent="0.2">
      <c r="A379" s="117" t="s">
        <v>195</v>
      </c>
      <c r="B379" s="117"/>
      <c r="C379" s="117" t="s">
        <v>2116</v>
      </c>
      <c r="D379" s="304" t="s">
        <v>1287</v>
      </c>
      <c r="E379" s="305"/>
      <c r="F379" s="117" t="s">
        <v>1644</v>
      </c>
      <c r="G379" s="116">
        <v>1</v>
      </c>
      <c r="H379" s="108">
        <v>0</v>
      </c>
    </row>
    <row r="380" spans="1:8" x14ac:dyDescent="0.2">
      <c r="A380" s="117" t="s">
        <v>196</v>
      </c>
      <c r="B380" s="117"/>
      <c r="C380" s="117" t="s">
        <v>2115</v>
      </c>
      <c r="D380" s="304" t="s">
        <v>1288</v>
      </c>
      <c r="E380" s="305"/>
      <c r="F380" s="117" t="s">
        <v>1644</v>
      </c>
      <c r="G380" s="116">
        <v>1</v>
      </c>
      <c r="H380" s="108">
        <v>0</v>
      </c>
    </row>
    <row r="381" spans="1:8" x14ac:dyDescent="0.2">
      <c r="A381" s="117" t="s">
        <v>197</v>
      </c>
      <c r="B381" s="117"/>
      <c r="C381" s="117" t="s">
        <v>2114</v>
      </c>
      <c r="D381" s="304" t="s">
        <v>1289</v>
      </c>
      <c r="E381" s="305"/>
      <c r="F381" s="117" t="s">
        <v>1644</v>
      </c>
      <c r="G381" s="116">
        <v>3</v>
      </c>
      <c r="H381" s="108">
        <v>0</v>
      </c>
    </row>
    <row r="382" spans="1:8" x14ac:dyDescent="0.2">
      <c r="A382" s="117" t="s">
        <v>198</v>
      </c>
      <c r="B382" s="117"/>
      <c r="C382" s="117" t="s">
        <v>2113</v>
      </c>
      <c r="D382" s="304" t="s">
        <v>1290</v>
      </c>
      <c r="E382" s="305"/>
      <c r="F382" s="117" t="s">
        <v>1644</v>
      </c>
      <c r="G382" s="116">
        <v>2</v>
      </c>
      <c r="H382" s="108">
        <v>0</v>
      </c>
    </row>
    <row r="383" spans="1:8" x14ac:dyDescent="0.2">
      <c r="A383" s="117" t="s">
        <v>199</v>
      </c>
      <c r="B383" s="117"/>
      <c r="C383" s="117" t="s">
        <v>2112</v>
      </c>
      <c r="D383" s="304" t="s">
        <v>1291</v>
      </c>
      <c r="E383" s="305"/>
      <c r="F383" s="117" t="s">
        <v>1644</v>
      </c>
      <c r="G383" s="116">
        <v>2</v>
      </c>
      <c r="H383" s="108">
        <v>0</v>
      </c>
    </row>
    <row r="384" spans="1:8" x14ac:dyDescent="0.2">
      <c r="A384" s="117" t="s">
        <v>200</v>
      </c>
      <c r="B384" s="117"/>
      <c r="C384" s="117" t="s">
        <v>2111</v>
      </c>
      <c r="D384" s="304" t="s">
        <v>1292</v>
      </c>
      <c r="E384" s="305"/>
      <c r="F384" s="117" t="s">
        <v>1644</v>
      </c>
      <c r="G384" s="116">
        <v>1</v>
      </c>
      <c r="H384" s="108">
        <v>0</v>
      </c>
    </row>
    <row r="385" spans="1:8" x14ac:dyDescent="0.2">
      <c r="A385" s="117" t="s">
        <v>201</v>
      </c>
      <c r="B385" s="117"/>
      <c r="C385" s="117" t="s">
        <v>2110</v>
      </c>
      <c r="D385" s="304" t="s">
        <v>1293</v>
      </c>
      <c r="E385" s="305"/>
      <c r="F385" s="117" t="s">
        <v>1644</v>
      </c>
      <c r="G385" s="116">
        <v>1</v>
      </c>
      <c r="H385" s="108">
        <v>0</v>
      </c>
    </row>
    <row r="386" spans="1:8" x14ac:dyDescent="0.2">
      <c r="A386" s="117" t="s">
        <v>202</v>
      </c>
      <c r="B386" s="117"/>
      <c r="C386" s="117" t="s">
        <v>2109</v>
      </c>
      <c r="D386" s="304" t="s">
        <v>1294</v>
      </c>
      <c r="E386" s="305"/>
      <c r="F386" s="117" t="s">
        <v>1644</v>
      </c>
      <c r="G386" s="116">
        <v>1</v>
      </c>
      <c r="H386" s="108">
        <v>0</v>
      </c>
    </row>
    <row r="387" spans="1:8" x14ac:dyDescent="0.2">
      <c r="A387" s="117" t="s">
        <v>203</v>
      </c>
      <c r="B387" s="117"/>
      <c r="C387" s="117" t="s">
        <v>2108</v>
      </c>
      <c r="D387" s="304" t="s">
        <v>1295</v>
      </c>
      <c r="E387" s="305"/>
      <c r="F387" s="117" t="s">
        <v>1644</v>
      </c>
      <c r="G387" s="116">
        <v>1</v>
      </c>
      <c r="H387" s="108">
        <v>0</v>
      </c>
    </row>
    <row r="388" spans="1:8" x14ac:dyDescent="0.2">
      <c r="A388" s="117" t="s">
        <v>204</v>
      </c>
      <c r="B388" s="117"/>
      <c r="C388" s="117" t="s">
        <v>2107</v>
      </c>
      <c r="D388" s="304" t="s">
        <v>1296</v>
      </c>
      <c r="E388" s="305"/>
      <c r="F388" s="117" t="s">
        <v>1644</v>
      </c>
      <c r="G388" s="116">
        <v>2</v>
      </c>
      <c r="H388" s="108">
        <v>0</v>
      </c>
    </row>
    <row r="389" spans="1:8" x14ac:dyDescent="0.2">
      <c r="A389" s="117" t="s">
        <v>205</v>
      </c>
      <c r="B389" s="117"/>
      <c r="C389" s="117" t="s">
        <v>2106</v>
      </c>
      <c r="D389" s="304" t="s">
        <v>1297</v>
      </c>
      <c r="E389" s="305"/>
      <c r="F389" s="117" t="s">
        <v>1644</v>
      </c>
      <c r="G389" s="116">
        <v>2</v>
      </c>
      <c r="H389" s="108">
        <v>0</v>
      </c>
    </row>
    <row r="390" spans="1:8" x14ac:dyDescent="0.2">
      <c r="A390" s="117" t="s">
        <v>206</v>
      </c>
      <c r="B390" s="117"/>
      <c r="C390" s="117" t="s">
        <v>2105</v>
      </c>
      <c r="D390" s="304" t="s">
        <v>1298</v>
      </c>
      <c r="E390" s="305"/>
      <c r="F390" s="117" t="s">
        <v>1644</v>
      </c>
      <c r="G390" s="116">
        <v>1</v>
      </c>
      <c r="H390" s="108">
        <v>0</v>
      </c>
    </row>
    <row r="391" spans="1:8" x14ac:dyDescent="0.2">
      <c r="A391" s="117" t="s">
        <v>207</v>
      </c>
      <c r="B391" s="117"/>
      <c r="C391" s="117" t="s">
        <v>2104</v>
      </c>
      <c r="D391" s="304" t="s">
        <v>1299</v>
      </c>
      <c r="E391" s="305"/>
      <c r="F391" s="117" t="s">
        <v>1646</v>
      </c>
      <c r="G391" s="116">
        <v>10</v>
      </c>
      <c r="H391" s="108">
        <v>0</v>
      </c>
    </row>
    <row r="392" spans="1:8" x14ac:dyDescent="0.2">
      <c r="A392" s="117" t="s">
        <v>208</v>
      </c>
      <c r="B392" s="117"/>
      <c r="C392" s="117" t="s">
        <v>2103</v>
      </c>
      <c r="D392" s="304" t="s">
        <v>1300</v>
      </c>
      <c r="E392" s="305"/>
      <c r="F392" s="117" t="s">
        <v>1646</v>
      </c>
      <c r="G392" s="116">
        <v>15</v>
      </c>
      <c r="H392" s="108">
        <v>0</v>
      </c>
    </row>
    <row r="393" spans="1:8" x14ac:dyDescent="0.2">
      <c r="A393" s="117" t="s">
        <v>209</v>
      </c>
      <c r="B393" s="117"/>
      <c r="C393" s="117" t="s">
        <v>2102</v>
      </c>
      <c r="D393" s="304" t="s">
        <v>1301</v>
      </c>
      <c r="E393" s="305"/>
      <c r="F393" s="117" t="s">
        <v>1646</v>
      </c>
      <c r="G393" s="116">
        <v>10</v>
      </c>
      <c r="H393" s="108">
        <v>0</v>
      </c>
    </row>
    <row r="394" spans="1:8" x14ac:dyDescent="0.2">
      <c r="A394" s="117" t="s">
        <v>210</v>
      </c>
      <c r="B394" s="117"/>
      <c r="C394" s="117" t="s">
        <v>2101</v>
      </c>
      <c r="D394" s="304" t="s">
        <v>1302</v>
      </c>
      <c r="E394" s="305"/>
      <c r="F394" s="117" t="s">
        <v>1644</v>
      </c>
      <c r="G394" s="116">
        <v>1</v>
      </c>
      <c r="H394" s="108">
        <v>0</v>
      </c>
    </row>
    <row r="395" spans="1:8" x14ac:dyDescent="0.2">
      <c r="A395" s="117" t="s">
        <v>211</v>
      </c>
      <c r="B395" s="117"/>
      <c r="C395" s="117" t="s">
        <v>2100</v>
      </c>
      <c r="D395" s="304" t="s">
        <v>1303</v>
      </c>
      <c r="E395" s="305"/>
      <c r="F395" s="117" t="s">
        <v>1644</v>
      </c>
      <c r="G395" s="116">
        <v>1</v>
      </c>
      <c r="H395" s="108">
        <v>0</v>
      </c>
    </row>
    <row r="396" spans="1:8" x14ac:dyDescent="0.2">
      <c r="A396" s="117" t="s">
        <v>212</v>
      </c>
      <c r="B396" s="117"/>
      <c r="C396" s="117" t="s">
        <v>2099</v>
      </c>
      <c r="D396" s="304" t="s">
        <v>1304</v>
      </c>
      <c r="E396" s="305"/>
      <c r="F396" s="117" t="s">
        <v>1644</v>
      </c>
      <c r="G396" s="116">
        <v>1</v>
      </c>
      <c r="H396" s="108">
        <v>0</v>
      </c>
    </row>
    <row r="397" spans="1:8" x14ac:dyDescent="0.2">
      <c r="A397" s="117" t="s">
        <v>213</v>
      </c>
      <c r="B397" s="117"/>
      <c r="C397" s="117" t="s">
        <v>2098</v>
      </c>
      <c r="D397" s="304" t="s">
        <v>1305</v>
      </c>
      <c r="E397" s="305"/>
      <c r="F397" s="117" t="s">
        <v>1644</v>
      </c>
      <c r="G397" s="116">
        <v>1</v>
      </c>
      <c r="H397" s="108">
        <v>0</v>
      </c>
    </row>
    <row r="398" spans="1:8" x14ac:dyDescent="0.2">
      <c r="A398" s="117" t="s">
        <v>214</v>
      </c>
      <c r="B398" s="117"/>
      <c r="C398" s="117" t="s">
        <v>2097</v>
      </c>
      <c r="D398" s="304" t="s">
        <v>1306</v>
      </c>
      <c r="E398" s="305"/>
      <c r="F398" s="117" t="s">
        <v>1646</v>
      </c>
      <c r="G398" s="116">
        <v>15</v>
      </c>
      <c r="H398" s="108">
        <v>0</v>
      </c>
    </row>
    <row r="399" spans="1:8" x14ac:dyDescent="0.2">
      <c r="A399" s="117" t="s">
        <v>215</v>
      </c>
      <c r="B399" s="117"/>
      <c r="C399" s="117" t="s">
        <v>2096</v>
      </c>
      <c r="D399" s="304" t="s">
        <v>1286</v>
      </c>
      <c r="E399" s="305"/>
      <c r="F399" s="117" t="s">
        <v>1644</v>
      </c>
      <c r="G399" s="116">
        <v>2</v>
      </c>
      <c r="H399" s="108">
        <v>0</v>
      </c>
    </row>
    <row r="400" spans="1:8" x14ac:dyDescent="0.2">
      <c r="A400" s="117" t="s">
        <v>216</v>
      </c>
      <c r="B400" s="117"/>
      <c r="C400" s="117" t="s">
        <v>2095</v>
      </c>
      <c r="D400" s="304" t="s">
        <v>1307</v>
      </c>
      <c r="E400" s="305"/>
      <c r="F400" s="117" t="s">
        <v>1644</v>
      </c>
      <c r="G400" s="116">
        <v>1</v>
      </c>
      <c r="H400" s="108">
        <v>0</v>
      </c>
    </row>
    <row r="401" spans="1:8" x14ac:dyDescent="0.2">
      <c r="A401" s="117" t="s">
        <v>217</v>
      </c>
      <c r="B401" s="117"/>
      <c r="C401" s="117" t="s">
        <v>2094</v>
      </c>
      <c r="D401" s="304" t="s">
        <v>1308</v>
      </c>
      <c r="E401" s="305"/>
      <c r="F401" s="117" t="s">
        <v>1644</v>
      </c>
      <c r="G401" s="116">
        <v>1</v>
      </c>
      <c r="H401" s="108">
        <v>0</v>
      </c>
    </row>
    <row r="402" spans="1:8" x14ac:dyDescent="0.2">
      <c r="A402" s="117" t="s">
        <v>218</v>
      </c>
      <c r="B402" s="117"/>
      <c r="C402" s="117" t="s">
        <v>2093</v>
      </c>
      <c r="D402" s="304" t="s">
        <v>1309</v>
      </c>
      <c r="E402" s="305"/>
      <c r="F402" s="117" t="s">
        <v>1644</v>
      </c>
      <c r="G402" s="116">
        <v>1</v>
      </c>
      <c r="H402" s="108">
        <v>0</v>
      </c>
    </row>
    <row r="403" spans="1:8" x14ac:dyDescent="0.2">
      <c r="A403" s="117" t="s">
        <v>219</v>
      </c>
      <c r="B403" s="117"/>
      <c r="C403" s="117" t="s">
        <v>2092</v>
      </c>
      <c r="D403" s="304" t="s">
        <v>1310</v>
      </c>
      <c r="E403" s="305"/>
      <c r="F403" s="117" t="s">
        <v>1644</v>
      </c>
      <c r="G403" s="116">
        <v>1</v>
      </c>
      <c r="H403" s="108">
        <v>0</v>
      </c>
    </row>
    <row r="404" spans="1:8" x14ac:dyDescent="0.2">
      <c r="A404" s="117" t="s">
        <v>220</v>
      </c>
      <c r="B404" s="117"/>
      <c r="C404" s="117" t="s">
        <v>2091</v>
      </c>
      <c r="D404" s="304" t="s">
        <v>1311</v>
      </c>
      <c r="E404" s="305"/>
      <c r="F404" s="117" t="s">
        <v>1644</v>
      </c>
      <c r="G404" s="116">
        <v>1</v>
      </c>
      <c r="H404" s="108">
        <v>0</v>
      </c>
    </row>
    <row r="405" spans="1:8" x14ac:dyDescent="0.2">
      <c r="A405" s="117" t="s">
        <v>221</v>
      </c>
      <c r="B405" s="117"/>
      <c r="C405" s="117" t="s">
        <v>2090</v>
      </c>
      <c r="D405" s="304" t="s">
        <v>1312</v>
      </c>
      <c r="E405" s="305"/>
      <c r="F405" s="117" t="s">
        <v>1644</v>
      </c>
      <c r="G405" s="116">
        <v>2</v>
      </c>
      <c r="H405" s="108">
        <v>0</v>
      </c>
    </row>
    <row r="406" spans="1:8" x14ac:dyDescent="0.2">
      <c r="A406" s="117" t="s">
        <v>222</v>
      </c>
      <c r="B406" s="117"/>
      <c r="C406" s="117" t="s">
        <v>2089</v>
      </c>
      <c r="D406" s="304" t="s">
        <v>1313</v>
      </c>
      <c r="E406" s="305"/>
      <c r="F406" s="117" t="s">
        <v>1644</v>
      </c>
      <c r="G406" s="116">
        <v>2</v>
      </c>
      <c r="H406" s="108">
        <v>0</v>
      </c>
    </row>
    <row r="407" spans="1:8" x14ac:dyDescent="0.2">
      <c r="A407" s="117" t="s">
        <v>223</v>
      </c>
      <c r="B407" s="117"/>
      <c r="C407" s="117" t="s">
        <v>2088</v>
      </c>
      <c r="D407" s="304" t="s">
        <v>1314</v>
      </c>
      <c r="E407" s="305"/>
      <c r="F407" s="117" t="s">
        <v>1644</v>
      </c>
      <c r="G407" s="116">
        <v>1</v>
      </c>
      <c r="H407" s="108">
        <v>0</v>
      </c>
    </row>
    <row r="408" spans="1:8" x14ac:dyDescent="0.2">
      <c r="A408" s="117" t="s">
        <v>224</v>
      </c>
      <c r="B408" s="117"/>
      <c r="C408" s="117" t="s">
        <v>2087</v>
      </c>
      <c r="D408" s="304" t="s">
        <v>1315</v>
      </c>
      <c r="E408" s="305"/>
      <c r="F408" s="117" t="s">
        <v>1644</v>
      </c>
      <c r="G408" s="116">
        <v>1</v>
      </c>
      <c r="H408" s="108">
        <v>0</v>
      </c>
    </row>
    <row r="409" spans="1:8" x14ac:dyDescent="0.2">
      <c r="A409" s="117" t="s">
        <v>225</v>
      </c>
      <c r="B409" s="117"/>
      <c r="C409" s="117" t="s">
        <v>2086</v>
      </c>
      <c r="D409" s="304" t="s">
        <v>1316</v>
      </c>
      <c r="E409" s="305"/>
      <c r="F409" s="117" t="s">
        <v>1644</v>
      </c>
      <c r="G409" s="116">
        <v>2</v>
      </c>
      <c r="H409" s="108">
        <v>0</v>
      </c>
    </row>
    <row r="410" spans="1:8" x14ac:dyDescent="0.2">
      <c r="A410" s="117" t="s">
        <v>226</v>
      </c>
      <c r="B410" s="117"/>
      <c r="C410" s="117" t="s">
        <v>2085</v>
      </c>
      <c r="D410" s="304" t="s">
        <v>1317</v>
      </c>
      <c r="E410" s="305"/>
      <c r="F410" s="117" t="s">
        <v>1644</v>
      </c>
      <c r="G410" s="116">
        <v>1</v>
      </c>
      <c r="H410" s="108">
        <v>0</v>
      </c>
    </row>
    <row r="411" spans="1:8" x14ac:dyDescent="0.2">
      <c r="A411" s="117" t="s">
        <v>227</v>
      </c>
      <c r="B411" s="117"/>
      <c r="C411" s="117" t="s">
        <v>2084</v>
      </c>
      <c r="D411" s="304" t="s">
        <v>1318</v>
      </c>
      <c r="E411" s="305"/>
      <c r="F411" s="117" t="s">
        <v>1644</v>
      </c>
      <c r="G411" s="116">
        <v>2</v>
      </c>
      <c r="H411" s="108">
        <v>0</v>
      </c>
    </row>
    <row r="412" spans="1:8" x14ac:dyDescent="0.2">
      <c r="A412" s="117" t="s">
        <v>228</v>
      </c>
      <c r="B412" s="117"/>
      <c r="C412" s="117" t="s">
        <v>2083</v>
      </c>
      <c r="D412" s="304" t="s">
        <v>1319</v>
      </c>
      <c r="E412" s="305"/>
      <c r="F412" s="117" t="s">
        <v>1644</v>
      </c>
      <c r="G412" s="116">
        <v>6</v>
      </c>
      <c r="H412" s="108">
        <v>0</v>
      </c>
    </row>
    <row r="413" spans="1:8" x14ac:dyDescent="0.2">
      <c r="A413" s="117" t="s">
        <v>229</v>
      </c>
      <c r="B413" s="117"/>
      <c r="C413" s="117" t="s">
        <v>2082</v>
      </c>
      <c r="D413" s="304" t="s">
        <v>1320</v>
      </c>
      <c r="E413" s="305"/>
      <c r="F413" s="117" t="s">
        <v>1644</v>
      </c>
      <c r="G413" s="116">
        <v>14</v>
      </c>
      <c r="H413" s="108">
        <v>0</v>
      </c>
    </row>
    <row r="414" spans="1:8" x14ac:dyDescent="0.2">
      <c r="A414" s="117" t="s">
        <v>230</v>
      </c>
      <c r="B414" s="117"/>
      <c r="C414" s="117" t="s">
        <v>2081</v>
      </c>
      <c r="D414" s="304" t="s">
        <v>1321</v>
      </c>
      <c r="E414" s="305"/>
      <c r="F414" s="117" t="s">
        <v>1644</v>
      </c>
      <c r="G414" s="116">
        <v>1</v>
      </c>
      <c r="H414" s="108">
        <v>0</v>
      </c>
    </row>
    <row r="415" spans="1:8" x14ac:dyDescent="0.2">
      <c r="A415" s="117" t="s">
        <v>231</v>
      </c>
      <c r="B415" s="117"/>
      <c r="C415" s="117" t="s">
        <v>2080</v>
      </c>
      <c r="D415" s="304" t="s">
        <v>1322</v>
      </c>
      <c r="E415" s="305"/>
      <c r="F415" s="117" t="s">
        <v>1644</v>
      </c>
      <c r="G415" s="116">
        <v>2</v>
      </c>
      <c r="H415" s="108">
        <v>0</v>
      </c>
    </row>
    <row r="416" spans="1:8" x14ac:dyDescent="0.2">
      <c r="A416" s="117" t="s">
        <v>232</v>
      </c>
      <c r="B416" s="117"/>
      <c r="C416" s="117" t="s">
        <v>2079</v>
      </c>
      <c r="D416" s="304" t="s">
        <v>1323</v>
      </c>
      <c r="E416" s="305"/>
      <c r="F416" s="117" t="s">
        <v>1644</v>
      </c>
      <c r="G416" s="116">
        <v>1</v>
      </c>
      <c r="H416" s="108">
        <v>0</v>
      </c>
    </row>
    <row r="417" spans="1:8" x14ac:dyDescent="0.2">
      <c r="A417" s="117" t="s">
        <v>233</v>
      </c>
      <c r="B417" s="117"/>
      <c r="C417" s="117" t="s">
        <v>2078</v>
      </c>
      <c r="D417" s="304" t="s">
        <v>1324</v>
      </c>
      <c r="E417" s="305"/>
      <c r="F417" s="117" t="s">
        <v>1644</v>
      </c>
      <c r="G417" s="116">
        <v>2</v>
      </c>
      <c r="H417" s="108">
        <v>0</v>
      </c>
    </row>
    <row r="418" spans="1:8" x14ac:dyDescent="0.2">
      <c r="A418" s="117" t="s">
        <v>234</v>
      </c>
      <c r="B418" s="117"/>
      <c r="C418" s="117" t="s">
        <v>2077</v>
      </c>
      <c r="D418" s="304" t="s">
        <v>1325</v>
      </c>
      <c r="E418" s="305"/>
      <c r="F418" s="117" t="s">
        <v>1644</v>
      </c>
      <c r="G418" s="116">
        <v>1</v>
      </c>
      <c r="H418" s="108">
        <v>0</v>
      </c>
    </row>
    <row r="419" spans="1:8" x14ac:dyDescent="0.2">
      <c r="A419" s="117" t="s">
        <v>235</v>
      </c>
      <c r="B419" s="117"/>
      <c r="C419" s="117" t="s">
        <v>2076</v>
      </c>
      <c r="D419" s="304" t="s">
        <v>1297</v>
      </c>
      <c r="E419" s="305"/>
      <c r="F419" s="117" t="s">
        <v>1644</v>
      </c>
      <c r="G419" s="116">
        <v>8</v>
      </c>
      <c r="H419" s="108">
        <v>0</v>
      </c>
    </row>
    <row r="420" spans="1:8" x14ac:dyDescent="0.2">
      <c r="A420" s="117" t="s">
        <v>236</v>
      </c>
      <c r="B420" s="117"/>
      <c r="C420" s="117" t="s">
        <v>2075</v>
      </c>
      <c r="D420" s="304" t="s">
        <v>1326</v>
      </c>
      <c r="E420" s="305"/>
      <c r="F420" s="117" t="s">
        <v>1644</v>
      </c>
      <c r="G420" s="116">
        <v>8</v>
      </c>
      <c r="H420" s="108">
        <v>0</v>
      </c>
    </row>
    <row r="421" spans="1:8" x14ac:dyDescent="0.2">
      <c r="A421" s="117" t="s">
        <v>237</v>
      </c>
      <c r="B421" s="117"/>
      <c r="C421" s="117" t="s">
        <v>2074</v>
      </c>
      <c r="D421" s="304" t="s">
        <v>1327</v>
      </c>
      <c r="E421" s="305"/>
      <c r="F421" s="117" t="s">
        <v>1644</v>
      </c>
      <c r="G421" s="116">
        <v>6</v>
      </c>
      <c r="H421" s="108">
        <v>0</v>
      </c>
    </row>
    <row r="422" spans="1:8" x14ac:dyDescent="0.2">
      <c r="A422" s="117" t="s">
        <v>238</v>
      </c>
      <c r="B422" s="117"/>
      <c r="C422" s="117" t="s">
        <v>2073</v>
      </c>
      <c r="D422" s="304" t="s">
        <v>1294</v>
      </c>
      <c r="E422" s="305"/>
      <c r="F422" s="117" t="s">
        <v>1644</v>
      </c>
      <c r="G422" s="116">
        <v>2</v>
      </c>
      <c r="H422" s="108">
        <v>0</v>
      </c>
    </row>
    <row r="423" spans="1:8" x14ac:dyDescent="0.2">
      <c r="A423" s="117" t="s">
        <v>239</v>
      </c>
      <c r="B423" s="117"/>
      <c r="C423" s="117" t="s">
        <v>2072</v>
      </c>
      <c r="D423" s="304" t="s">
        <v>1295</v>
      </c>
      <c r="E423" s="305"/>
      <c r="F423" s="117" t="s">
        <v>1644</v>
      </c>
      <c r="G423" s="116">
        <v>2</v>
      </c>
      <c r="H423" s="108">
        <v>0</v>
      </c>
    </row>
    <row r="424" spans="1:8" x14ac:dyDescent="0.2">
      <c r="A424" s="117" t="s">
        <v>240</v>
      </c>
      <c r="B424" s="117"/>
      <c r="C424" s="117" t="s">
        <v>2071</v>
      </c>
      <c r="D424" s="304" t="s">
        <v>1328</v>
      </c>
      <c r="E424" s="305"/>
      <c r="F424" s="117" t="s">
        <v>1644</v>
      </c>
      <c r="G424" s="116">
        <v>22</v>
      </c>
      <c r="H424" s="108">
        <v>0</v>
      </c>
    </row>
    <row r="425" spans="1:8" x14ac:dyDescent="0.2">
      <c r="A425" s="117" t="s">
        <v>241</v>
      </c>
      <c r="B425" s="117"/>
      <c r="C425" s="117" t="s">
        <v>2070</v>
      </c>
      <c r="D425" s="304" t="s">
        <v>1329</v>
      </c>
      <c r="E425" s="305"/>
      <c r="F425" s="117" t="s">
        <v>1644</v>
      </c>
      <c r="G425" s="116">
        <v>1</v>
      </c>
      <c r="H425" s="108">
        <v>0</v>
      </c>
    </row>
    <row r="426" spans="1:8" x14ac:dyDescent="0.2">
      <c r="A426" s="117" t="s">
        <v>242</v>
      </c>
      <c r="B426" s="117"/>
      <c r="C426" s="117" t="s">
        <v>2069</v>
      </c>
      <c r="D426" s="304" t="s">
        <v>1330</v>
      </c>
      <c r="E426" s="305"/>
      <c r="F426" s="117" t="s">
        <v>1646</v>
      </c>
      <c r="G426" s="116">
        <v>60</v>
      </c>
      <c r="H426" s="108">
        <v>0</v>
      </c>
    </row>
    <row r="427" spans="1:8" x14ac:dyDescent="0.2">
      <c r="A427" s="117" t="s">
        <v>243</v>
      </c>
      <c r="B427" s="117"/>
      <c r="C427" s="117" t="s">
        <v>2068</v>
      </c>
      <c r="D427" s="304" t="s">
        <v>1331</v>
      </c>
      <c r="E427" s="305"/>
      <c r="F427" s="117" t="s">
        <v>1646</v>
      </c>
      <c r="G427" s="116">
        <v>24</v>
      </c>
      <c r="H427" s="108">
        <v>0</v>
      </c>
    </row>
    <row r="428" spans="1:8" x14ac:dyDescent="0.2">
      <c r="A428" s="117" t="s">
        <v>244</v>
      </c>
      <c r="B428" s="117"/>
      <c r="C428" s="117" t="s">
        <v>2067</v>
      </c>
      <c r="D428" s="304" t="s">
        <v>1332</v>
      </c>
      <c r="E428" s="305"/>
      <c r="F428" s="117" t="s">
        <v>1646</v>
      </c>
      <c r="G428" s="116">
        <v>4</v>
      </c>
      <c r="H428" s="108">
        <v>0</v>
      </c>
    </row>
    <row r="429" spans="1:8" x14ac:dyDescent="0.2">
      <c r="A429" s="117" t="s">
        <v>245</v>
      </c>
      <c r="B429" s="117"/>
      <c r="C429" s="117" t="s">
        <v>2066</v>
      </c>
      <c r="D429" s="304" t="s">
        <v>1333</v>
      </c>
      <c r="E429" s="305"/>
      <c r="F429" s="117" t="s">
        <v>1646</v>
      </c>
      <c r="G429" s="116">
        <v>60</v>
      </c>
      <c r="H429" s="108">
        <v>0</v>
      </c>
    </row>
    <row r="430" spans="1:8" x14ac:dyDescent="0.2">
      <c r="A430" s="117" t="s">
        <v>246</v>
      </c>
      <c r="B430" s="117"/>
      <c r="C430" s="117" t="s">
        <v>2065</v>
      </c>
      <c r="D430" s="304" t="s">
        <v>1334</v>
      </c>
      <c r="E430" s="305"/>
      <c r="F430" s="117" t="s">
        <v>1646</v>
      </c>
      <c r="G430" s="116">
        <v>24</v>
      </c>
      <c r="H430" s="108">
        <v>0</v>
      </c>
    </row>
    <row r="431" spans="1:8" x14ac:dyDescent="0.2">
      <c r="A431" s="117" t="s">
        <v>247</v>
      </c>
      <c r="B431" s="117"/>
      <c r="C431" s="117" t="s">
        <v>2064</v>
      </c>
      <c r="D431" s="304" t="s">
        <v>1335</v>
      </c>
      <c r="E431" s="305"/>
      <c r="F431" s="117" t="s">
        <v>1645</v>
      </c>
      <c r="G431" s="116">
        <v>0.7</v>
      </c>
      <c r="H431" s="108">
        <v>0</v>
      </c>
    </row>
    <row r="432" spans="1:8" x14ac:dyDescent="0.2">
      <c r="A432" s="117" t="s">
        <v>248</v>
      </c>
      <c r="B432" s="117"/>
      <c r="C432" s="117" t="s">
        <v>2063</v>
      </c>
      <c r="D432" s="304" t="s">
        <v>1336</v>
      </c>
      <c r="E432" s="305"/>
      <c r="F432" s="117" t="s">
        <v>1644</v>
      </c>
      <c r="G432" s="116">
        <v>1</v>
      </c>
      <c r="H432" s="108">
        <v>0</v>
      </c>
    </row>
    <row r="433" spans="1:8" x14ac:dyDescent="0.2">
      <c r="A433" s="117" t="s">
        <v>249</v>
      </c>
      <c r="B433" s="117"/>
      <c r="C433" s="117" t="s">
        <v>2062</v>
      </c>
      <c r="D433" s="304" t="s">
        <v>1337</v>
      </c>
      <c r="E433" s="305"/>
      <c r="F433" s="117" t="s">
        <v>2061</v>
      </c>
      <c r="G433" s="116">
        <v>1</v>
      </c>
      <c r="H433" s="108">
        <v>0</v>
      </c>
    </row>
    <row r="434" spans="1:8" x14ac:dyDescent="0.2">
      <c r="A434" s="117" t="s">
        <v>250</v>
      </c>
      <c r="B434" s="117"/>
      <c r="C434" s="117" t="s">
        <v>2060</v>
      </c>
      <c r="D434" s="304" t="s">
        <v>1338</v>
      </c>
      <c r="E434" s="305"/>
      <c r="F434" s="117" t="s">
        <v>1644</v>
      </c>
      <c r="G434" s="116">
        <v>1</v>
      </c>
      <c r="H434" s="108">
        <v>0</v>
      </c>
    </row>
    <row r="435" spans="1:8" x14ac:dyDescent="0.2">
      <c r="A435" s="117" t="s">
        <v>251</v>
      </c>
      <c r="B435" s="117"/>
      <c r="C435" s="117" t="s">
        <v>2059</v>
      </c>
      <c r="D435" s="304" t="s">
        <v>1339</v>
      </c>
      <c r="E435" s="305"/>
      <c r="F435" s="117" t="s">
        <v>1644</v>
      </c>
      <c r="G435" s="116">
        <v>1</v>
      </c>
      <c r="H435" s="108">
        <v>0</v>
      </c>
    </row>
    <row r="436" spans="1:8" x14ac:dyDescent="0.2">
      <c r="A436" s="117" t="s">
        <v>252</v>
      </c>
      <c r="B436" s="117"/>
      <c r="C436" s="117" t="s">
        <v>2058</v>
      </c>
      <c r="D436" s="304" t="s">
        <v>1341</v>
      </c>
      <c r="E436" s="305"/>
      <c r="F436" s="117" t="s">
        <v>1644</v>
      </c>
      <c r="G436" s="116">
        <v>1</v>
      </c>
      <c r="H436" s="108">
        <v>0</v>
      </c>
    </row>
    <row r="437" spans="1:8" x14ac:dyDescent="0.2">
      <c r="A437" s="117" t="s">
        <v>253</v>
      </c>
      <c r="B437" s="117"/>
      <c r="C437" s="117" t="s">
        <v>2057</v>
      </c>
      <c r="D437" s="304" t="s">
        <v>1342</v>
      </c>
      <c r="E437" s="305"/>
      <c r="F437" s="117" t="s">
        <v>1646</v>
      </c>
      <c r="G437" s="116">
        <v>5</v>
      </c>
      <c r="H437" s="108">
        <v>0</v>
      </c>
    </row>
    <row r="438" spans="1:8" x14ac:dyDescent="0.2">
      <c r="A438" s="117" t="s">
        <v>254</v>
      </c>
      <c r="B438" s="117"/>
      <c r="C438" s="117" t="s">
        <v>2056</v>
      </c>
      <c r="D438" s="304" t="s">
        <v>1343</v>
      </c>
      <c r="E438" s="305"/>
      <c r="F438" s="117" t="s">
        <v>1646</v>
      </c>
      <c r="G438" s="116">
        <v>9</v>
      </c>
      <c r="H438" s="108">
        <v>0</v>
      </c>
    </row>
    <row r="439" spans="1:8" x14ac:dyDescent="0.2">
      <c r="A439" s="117" t="s">
        <v>255</v>
      </c>
      <c r="B439" s="117"/>
      <c r="C439" s="117" t="s">
        <v>2055</v>
      </c>
      <c r="D439" s="304" t="s">
        <v>1344</v>
      </c>
      <c r="E439" s="305"/>
      <c r="F439" s="117" t="s">
        <v>1646</v>
      </c>
      <c r="G439" s="116">
        <v>20</v>
      </c>
      <c r="H439" s="108">
        <v>0</v>
      </c>
    </row>
    <row r="440" spans="1:8" x14ac:dyDescent="0.2">
      <c r="A440" s="117" t="s">
        <v>256</v>
      </c>
      <c r="B440" s="117"/>
      <c r="C440" s="117" t="s">
        <v>2054</v>
      </c>
      <c r="D440" s="304" t="s">
        <v>1345</v>
      </c>
      <c r="E440" s="305"/>
      <c r="F440" s="117" t="s">
        <v>1646</v>
      </c>
      <c r="G440" s="116">
        <v>20</v>
      </c>
      <c r="H440" s="108">
        <v>0</v>
      </c>
    </row>
    <row r="441" spans="1:8" x14ac:dyDescent="0.2">
      <c r="A441" s="117" t="s">
        <v>257</v>
      </c>
      <c r="B441" s="117"/>
      <c r="C441" s="117" t="s">
        <v>2053</v>
      </c>
      <c r="D441" s="304" t="s">
        <v>1346</v>
      </c>
      <c r="E441" s="305"/>
      <c r="F441" s="117" t="s">
        <v>1644</v>
      </c>
      <c r="G441" s="116">
        <v>1</v>
      </c>
      <c r="H441" s="108">
        <v>0</v>
      </c>
    </row>
    <row r="442" spans="1:8" x14ac:dyDescent="0.2">
      <c r="A442" s="117" t="s">
        <v>258</v>
      </c>
      <c r="B442" s="117"/>
      <c r="C442" s="117" t="s">
        <v>2052</v>
      </c>
      <c r="D442" s="304" t="s">
        <v>1253</v>
      </c>
      <c r="E442" s="305"/>
      <c r="F442" s="117" t="s">
        <v>1644</v>
      </c>
      <c r="G442" s="116">
        <v>1</v>
      </c>
      <c r="H442" s="108">
        <v>0</v>
      </c>
    </row>
    <row r="443" spans="1:8" x14ac:dyDescent="0.2">
      <c r="A443" s="117" t="s">
        <v>259</v>
      </c>
      <c r="B443" s="117"/>
      <c r="C443" s="117" t="s">
        <v>2051</v>
      </c>
      <c r="D443" s="304" t="s">
        <v>1347</v>
      </c>
      <c r="E443" s="305"/>
      <c r="F443" s="117" t="s">
        <v>1646</v>
      </c>
      <c r="G443" s="116">
        <v>103</v>
      </c>
      <c r="H443" s="108">
        <v>0</v>
      </c>
    </row>
    <row r="444" spans="1:8" x14ac:dyDescent="0.2">
      <c r="A444" s="117" t="s">
        <v>260</v>
      </c>
      <c r="B444" s="117"/>
      <c r="C444" s="117" t="s">
        <v>2050</v>
      </c>
      <c r="D444" s="304" t="s">
        <v>1348</v>
      </c>
      <c r="E444" s="305"/>
      <c r="F444" s="117" t="s">
        <v>1644</v>
      </c>
      <c r="G444" s="116">
        <v>1</v>
      </c>
      <c r="H444" s="108">
        <v>0</v>
      </c>
    </row>
    <row r="445" spans="1:8" x14ac:dyDescent="0.2">
      <c r="A445" s="117" t="s">
        <v>261</v>
      </c>
      <c r="B445" s="117"/>
      <c r="C445" s="117" t="s">
        <v>2049</v>
      </c>
      <c r="D445" s="304" t="s">
        <v>1349</v>
      </c>
      <c r="E445" s="305"/>
      <c r="F445" s="117" t="s">
        <v>1644</v>
      </c>
      <c r="G445" s="116">
        <v>2</v>
      </c>
      <c r="H445" s="108">
        <v>0</v>
      </c>
    </row>
    <row r="446" spans="1:8" x14ac:dyDescent="0.2">
      <c r="A446" s="117" t="s">
        <v>262</v>
      </c>
      <c r="B446" s="117"/>
      <c r="C446" s="117" t="s">
        <v>2048</v>
      </c>
      <c r="D446" s="304" t="s">
        <v>1350</v>
      </c>
      <c r="E446" s="305"/>
      <c r="F446" s="117" t="s">
        <v>1644</v>
      </c>
      <c r="G446" s="116">
        <v>1</v>
      </c>
      <c r="H446" s="108">
        <v>0</v>
      </c>
    </row>
    <row r="447" spans="1:8" x14ac:dyDescent="0.2">
      <c r="A447" s="117" t="s">
        <v>263</v>
      </c>
      <c r="B447" s="117"/>
      <c r="C447" s="117" t="s">
        <v>2047</v>
      </c>
      <c r="D447" s="304" t="s">
        <v>1351</v>
      </c>
      <c r="E447" s="305"/>
      <c r="F447" s="117" t="s">
        <v>1644</v>
      </c>
      <c r="G447" s="116">
        <v>1</v>
      </c>
      <c r="H447" s="108">
        <v>0</v>
      </c>
    </row>
    <row r="448" spans="1:8" x14ac:dyDescent="0.2">
      <c r="A448" s="117" t="s">
        <v>264</v>
      </c>
      <c r="B448" s="117"/>
      <c r="C448" s="117" t="s">
        <v>2046</v>
      </c>
      <c r="D448" s="304" t="s">
        <v>1352</v>
      </c>
      <c r="E448" s="305"/>
      <c r="F448" s="117" t="s">
        <v>1644</v>
      </c>
      <c r="G448" s="116">
        <v>16</v>
      </c>
      <c r="H448" s="108">
        <v>0</v>
      </c>
    </row>
    <row r="449" spans="1:8" x14ac:dyDescent="0.2">
      <c r="A449" s="117" t="s">
        <v>265</v>
      </c>
      <c r="B449" s="117"/>
      <c r="C449" s="117" t="s">
        <v>2045</v>
      </c>
      <c r="D449" s="304" t="s">
        <v>1353</v>
      </c>
      <c r="E449" s="305"/>
      <c r="F449" s="117" t="s">
        <v>1644</v>
      </c>
      <c r="G449" s="116">
        <v>1</v>
      </c>
      <c r="H449" s="108">
        <v>0</v>
      </c>
    </row>
    <row r="450" spans="1:8" x14ac:dyDescent="0.2">
      <c r="A450" s="117" t="s">
        <v>266</v>
      </c>
      <c r="B450" s="117"/>
      <c r="C450" s="117" t="s">
        <v>2044</v>
      </c>
      <c r="D450" s="304" t="s">
        <v>1354</v>
      </c>
      <c r="E450" s="305"/>
      <c r="F450" s="117" t="s">
        <v>1644</v>
      </c>
      <c r="G450" s="116">
        <v>1</v>
      </c>
      <c r="H450" s="108">
        <v>0</v>
      </c>
    </row>
    <row r="451" spans="1:8" x14ac:dyDescent="0.2">
      <c r="A451" s="120"/>
      <c r="B451" s="120"/>
      <c r="C451" s="120" t="s">
        <v>772</v>
      </c>
      <c r="D451" s="306" t="s">
        <v>1355</v>
      </c>
      <c r="E451" s="307"/>
      <c r="F451" s="120"/>
      <c r="G451" s="142"/>
      <c r="H451" s="109"/>
    </row>
    <row r="452" spans="1:8" x14ac:dyDescent="0.2">
      <c r="A452" s="117" t="s">
        <v>267</v>
      </c>
      <c r="B452" s="117"/>
      <c r="C452" s="117" t="s">
        <v>2043</v>
      </c>
      <c r="D452" s="304" t="s">
        <v>1356</v>
      </c>
      <c r="E452" s="305"/>
      <c r="F452" s="117" t="s">
        <v>1644</v>
      </c>
      <c r="G452" s="116">
        <v>1</v>
      </c>
      <c r="H452" s="108">
        <v>0</v>
      </c>
    </row>
    <row r="453" spans="1:8" x14ac:dyDescent="0.2">
      <c r="A453" s="117" t="s">
        <v>268</v>
      </c>
      <c r="B453" s="117"/>
      <c r="C453" s="117" t="s">
        <v>2042</v>
      </c>
      <c r="D453" s="304" t="s">
        <v>1357</v>
      </c>
      <c r="E453" s="305"/>
      <c r="F453" s="117" t="s">
        <v>1644</v>
      </c>
      <c r="G453" s="116">
        <v>1</v>
      </c>
      <c r="H453" s="108">
        <v>0</v>
      </c>
    </row>
    <row r="454" spans="1:8" x14ac:dyDescent="0.2">
      <c r="A454" s="117" t="s">
        <v>269</v>
      </c>
      <c r="B454" s="117"/>
      <c r="C454" s="117" t="s">
        <v>2041</v>
      </c>
      <c r="D454" s="304" t="s">
        <v>1358</v>
      </c>
      <c r="E454" s="305"/>
      <c r="F454" s="117" t="s">
        <v>1644</v>
      </c>
      <c r="G454" s="116">
        <v>1</v>
      </c>
      <c r="H454" s="108">
        <v>0</v>
      </c>
    </row>
    <row r="455" spans="1:8" x14ac:dyDescent="0.2">
      <c r="A455" s="117" t="s">
        <v>270</v>
      </c>
      <c r="B455" s="117"/>
      <c r="C455" s="117" t="s">
        <v>2040</v>
      </c>
      <c r="D455" s="304" t="s">
        <v>1359</v>
      </c>
      <c r="E455" s="305"/>
      <c r="F455" s="117" t="s">
        <v>1644</v>
      </c>
      <c r="G455" s="116">
        <v>1</v>
      </c>
      <c r="H455" s="108">
        <v>0</v>
      </c>
    </row>
    <row r="456" spans="1:8" x14ac:dyDescent="0.2">
      <c r="A456" s="117" t="s">
        <v>271</v>
      </c>
      <c r="B456" s="117"/>
      <c r="C456" s="117" t="s">
        <v>2039</v>
      </c>
      <c r="D456" s="304" t="s">
        <v>1360</v>
      </c>
      <c r="E456" s="305"/>
      <c r="F456" s="117" t="s">
        <v>1644</v>
      </c>
      <c r="G456" s="116">
        <v>1</v>
      </c>
      <c r="H456" s="108">
        <v>0</v>
      </c>
    </row>
    <row r="457" spans="1:8" x14ac:dyDescent="0.2">
      <c r="A457" s="117" t="s">
        <v>272</v>
      </c>
      <c r="B457" s="117"/>
      <c r="C457" s="117" t="s">
        <v>2038</v>
      </c>
      <c r="D457" s="304" t="s">
        <v>1361</v>
      </c>
      <c r="E457" s="305"/>
      <c r="F457" s="117" t="s">
        <v>1644</v>
      </c>
      <c r="G457" s="116">
        <v>1</v>
      </c>
      <c r="H457" s="108">
        <v>0</v>
      </c>
    </row>
    <row r="458" spans="1:8" x14ac:dyDescent="0.2">
      <c r="A458" s="117" t="s">
        <v>273</v>
      </c>
      <c r="B458" s="117"/>
      <c r="C458" s="117" t="s">
        <v>2037</v>
      </c>
      <c r="D458" s="304" t="s">
        <v>1362</v>
      </c>
      <c r="E458" s="305"/>
      <c r="F458" s="117" t="s">
        <v>1644</v>
      </c>
      <c r="G458" s="116">
        <v>1</v>
      </c>
      <c r="H458" s="108">
        <v>0</v>
      </c>
    </row>
    <row r="459" spans="1:8" x14ac:dyDescent="0.2">
      <c r="A459" s="117" t="s">
        <v>274</v>
      </c>
      <c r="B459" s="117"/>
      <c r="C459" s="117" t="s">
        <v>2036</v>
      </c>
      <c r="D459" s="304" t="s">
        <v>1363</v>
      </c>
      <c r="E459" s="305"/>
      <c r="F459" s="117" t="s">
        <v>1644</v>
      </c>
      <c r="G459" s="116">
        <v>1</v>
      </c>
      <c r="H459" s="108">
        <v>0</v>
      </c>
    </row>
    <row r="460" spans="1:8" x14ac:dyDescent="0.2">
      <c r="A460" s="117" t="s">
        <v>275</v>
      </c>
      <c r="B460" s="117"/>
      <c r="C460" s="117" t="s">
        <v>2035</v>
      </c>
      <c r="D460" s="304" t="s">
        <v>1364</v>
      </c>
      <c r="E460" s="305"/>
      <c r="F460" s="117" t="s">
        <v>1644</v>
      </c>
      <c r="G460" s="116">
        <v>2</v>
      </c>
      <c r="H460" s="108">
        <v>0</v>
      </c>
    </row>
    <row r="461" spans="1:8" x14ac:dyDescent="0.2">
      <c r="A461" s="117" t="s">
        <v>276</v>
      </c>
      <c r="B461" s="117"/>
      <c r="C461" s="117" t="s">
        <v>2034</v>
      </c>
      <c r="D461" s="304" t="s">
        <v>1365</v>
      </c>
      <c r="E461" s="305"/>
      <c r="F461" s="117" t="s">
        <v>1644</v>
      </c>
      <c r="G461" s="116">
        <v>1</v>
      </c>
      <c r="H461" s="108">
        <v>0</v>
      </c>
    </row>
    <row r="462" spans="1:8" x14ac:dyDescent="0.2">
      <c r="A462" s="117" t="s">
        <v>277</v>
      </c>
      <c r="B462" s="117"/>
      <c r="C462" s="117" t="s">
        <v>2033</v>
      </c>
      <c r="D462" s="304" t="s">
        <v>1366</v>
      </c>
      <c r="E462" s="305"/>
      <c r="F462" s="117" t="s">
        <v>1644</v>
      </c>
      <c r="G462" s="116">
        <v>1</v>
      </c>
      <c r="H462" s="108">
        <v>0</v>
      </c>
    </row>
    <row r="463" spans="1:8" x14ac:dyDescent="0.2">
      <c r="A463" s="117" t="s">
        <v>278</v>
      </c>
      <c r="B463" s="117"/>
      <c r="C463" s="117" t="s">
        <v>2032</v>
      </c>
      <c r="D463" s="304" t="s">
        <v>1367</v>
      </c>
      <c r="E463" s="305"/>
      <c r="F463" s="117" t="s">
        <v>1644</v>
      </c>
      <c r="G463" s="116">
        <v>1</v>
      </c>
      <c r="H463" s="108">
        <v>0</v>
      </c>
    </row>
    <row r="464" spans="1:8" x14ac:dyDescent="0.2">
      <c r="A464" s="117" t="s">
        <v>279</v>
      </c>
      <c r="B464" s="117"/>
      <c r="C464" s="117" t="s">
        <v>2031</v>
      </c>
      <c r="D464" s="304" t="s">
        <v>1368</v>
      </c>
      <c r="E464" s="305"/>
      <c r="F464" s="117" t="s">
        <v>1644</v>
      </c>
      <c r="G464" s="116">
        <v>5</v>
      </c>
      <c r="H464" s="108">
        <v>0</v>
      </c>
    </row>
    <row r="465" spans="1:8" x14ac:dyDescent="0.2">
      <c r="A465" s="117" t="s">
        <v>280</v>
      </c>
      <c r="B465" s="117"/>
      <c r="C465" s="117" t="s">
        <v>2030</v>
      </c>
      <c r="D465" s="304" t="s">
        <v>1369</v>
      </c>
      <c r="E465" s="305"/>
      <c r="F465" s="117" t="s">
        <v>1644</v>
      </c>
      <c r="G465" s="116">
        <v>2</v>
      </c>
      <c r="H465" s="108">
        <v>0</v>
      </c>
    </row>
    <row r="466" spans="1:8" x14ac:dyDescent="0.2">
      <c r="A466" s="117" t="s">
        <v>281</v>
      </c>
      <c r="B466" s="117"/>
      <c r="C466" s="117" t="s">
        <v>2029</v>
      </c>
      <c r="D466" s="304" t="s">
        <v>1326</v>
      </c>
      <c r="E466" s="305"/>
      <c r="F466" s="117" t="s">
        <v>1644</v>
      </c>
      <c r="G466" s="116">
        <v>1</v>
      </c>
      <c r="H466" s="108">
        <v>0</v>
      </c>
    </row>
    <row r="467" spans="1:8" x14ac:dyDescent="0.2">
      <c r="A467" s="117" t="s">
        <v>282</v>
      </c>
      <c r="B467" s="117"/>
      <c r="C467" s="117" t="s">
        <v>2028</v>
      </c>
      <c r="D467" s="304" t="s">
        <v>1327</v>
      </c>
      <c r="E467" s="305"/>
      <c r="F467" s="117" t="s">
        <v>1644</v>
      </c>
      <c r="G467" s="116">
        <v>1</v>
      </c>
      <c r="H467" s="108">
        <v>0</v>
      </c>
    </row>
    <row r="468" spans="1:8" x14ac:dyDescent="0.2">
      <c r="A468" s="117" t="s">
        <v>283</v>
      </c>
      <c r="B468" s="117"/>
      <c r="C468" s="117" t="s">
        <v>2027</v>
      </c>
      <c r="D468" s="304" t="s">
        <v>1372</v>
      </c>
      <c r="E468" s="305"/>
      <c r="F468" s="117" t="s">
        <v>1646</v>
      </c>
      <c r="G468" s="116">
        <v>14</v>
      </c>
      <c r="H468" s="108">
        <v>0</v>
      </c>
    </row>
    <row r="469" spans="1:8" x14ac:dyDescent="0.2">
      <c r="A469" s="117" t="s">
        <v>284</v>
      </c>
      <c r="B469" s="117"/>
      <c r="C469" s="117" t="s">
        <v>2026</v>
      </c>
      <c r="D469" s="304" t="s">
        <v>1373</v>
      </c>
      <c r="E469" s="305"/>
      <c r="F469" s="117" t="s">
        <v>1646</v>
      </c>
      <c r="G469" s="116">
        <v>8</v>
      </c>
      <c r="H469" s="108">
        <v>0</v>
      </c>
    </row>
    <row r="470" spans="1:8" x14ac:dyDescent="0.2">
      <c r="A470" s="117" t="s">
        <v>285</v>
      </c>
      <c r="B470" s="117"/>
      <c r="C470" s="117" t="s">
        <v>2025</v>
      </c>
      <c r="D470" s="304" t="s">
        <v>1374</v>
      </c>
      <c r="E470" s="305"/>
      <c r="F470" s="117" t="s">
        <v>1646</v>
      </c>
      <c r="G470" s="116">
        <v>6</v>
      </c>
      <c r="H470" s="108">
        <v>0</v>
      </c>
    </row>
    <row r="471" spans="1:8" x14ac:dyDescent="0.2">
      <c r="A471" s="117" t="s">
        <v>286</v>
      </c>
      <c r="B471" s="117"/>
      <c r="C471" s="117" t="s">
        <v>2024</v>
      </c>
      <c r="D471" s="304" t="s">
        <v>1375</v>
      </c>
      <c r="E471" s="305"/>
      <c r="F471" s="117" t="s">
        <v>1646</v>
      </c>
      <c r="G471" s="116">
        <v>6</v>
      </c>
      <c r="H471" s="108">
        <v>0</v>
      </c>
    </row>
    <row r="472" spans="1:8" x14ac:dyDescent="0.2">
      <c r="A472" s="117" t="s">
        <v>287</v>
      </c>
      <c r="B472" s="117"/>
      <c r="C472" s="117" t="s">
        <v>2023</v>
      </c>
      <c r="D472" s="304" t="s">
        <v>1376</v>
      </c>
      <c r="E472" s="305"/>
      <c r="F472" s="117" t="s">
        <v>1646</v>
      </c>
      <c r="G472" s="116">
        <v>8</v>
      </c>
      <c r="H472" s="108">
        <v>0</v>
      </c>
    </row>
    <row r="473" spans="1:8" x14ac:dyDescent="0.2">
      <c r="A473" s="117" t="s">
        <v>288</v>
      </c>
      <c r="B473" s="117"/>
      <c r="C473" s="117" t="s">
        <v>2022</v>
      </c>
      <c r="D473" s="304" t="s">
        <v>1377</v>
      </c>
      <c r="E473" s="305"/>
      <c r="F473" s="117" t="s">
        <v>1646</v>
      </c>
      <c r="G473" s="116">
        <v>20</v>
      </c>
      <c r="H473" s="108">
        <v>0</v>
      </c>
    </row>
    <row r="474" spans="1:8" x14ac:dyDescent="0.2">
      <c r="A474" s="117" t="s">
        <v>289</v>
      </c>
      <c r="B474" s="117"/>
      <c r="C474" s="117" t="s">
        <v>2021</v>
      </c>
      <c r="D474" s="304" t="s">
        <v>1378</v>
      </c>
      <c r="E474" s="305"/>
      <c r="F474" s="117" t="s">
        <v>1646</v>
      </c>
      <c r="G474" s="116">
        <v>6</v>
      </c>
      <c r="H474" s="108">
        <v>0</v>
      </c>
    </row>
    <row r="475" spans="1:8" x14ac:dyDescent="0.2">
      <c r="A475" s="120"/>
      <c r="B475" s="120"/>
      <c r="C475" s="120" t="s">
        <v>798</v>
      </c>
      <c r="D475" s="306" t="s">
        <v>1379</v>
      </c>
      <c r="E475" s="307"/>
      <c r="F475" s="120"/>
      <c r="G475" s="142"/>
      <c r="H475" s="109"/>
    </row>
    <row r="476" spans="1:8" x14ac:dyDescent="0.2">
      <c r="A476" s="117" t="s">
        <v>290</v>
      </c>
      <c r="B476" s="117"/>
      <c r="C476" s="117" t="s">
        <v>2020</v>
      </c>
      <c r="D476" s="304" t="s">
        <v>1380</v>
      </c>
      <c r="E476" s="305"/>
      <c r="F476" s="117" t="s">
        <v>1646</v>
      </c>
      <c r="G476" s="116">
        <v>1.5</v>
      </c>
      <c r="H476" s="108">
        <v>0</v>
      </c>
    </row>
    <row r="477" spans="1:8" x14ac:dyDescent="0.2">
      <c r="A477" s="117" t="s">
        <v>291</v>
      </c>
      <c r="B477" s="117"/>
      <c r="C477" s="117" t="s">
        <v>2019</v>
      </c>
      <c r="D477" s="304" t="s">
        <v>1381</v>
      </c>
      <c r="E477" s="305"/>
      <c r="F477" s="117" t="s">
        <v>1644</v>
      </c>
      <c r="G477" s="116">
        <v>1</v>
      </c>
      <c r="H477" s="108">
        <v>0</v>
      </c>
    </row>
    <row r="478" spans="1:8" x14ac:dyDescent="0.2">
      <c r="A478" s="117" t="s">
        <v>292</v>
      </c>
      <c r="B478" s="117"/>
      <c r="C478" s="117" t="s">
        <v>2018</v>
      </c>
      <c r="D478" s="304" t="s">
        <v>1382</v>
      </c>
      <c r="E478" s="305"/>
      <c r="F478" s="117" t="s">
        <v>1644</v>
      </c>
      <c r="G478" s="116">
        <v>1</v>
      </c>
      <c r="H478" s="108">
        <v>0</v>
      </c>
    </row>
    <row r="479" spans="1:8" x14ac:dyDescent="0.2">
      <c r="A479" s="117" t="s">
        <v>293</v>
      </c>
      <c r="B479" s="117"/>
      <c r="C479" s="117" t="s">
        <v>2017</v>
      </c>
      <c r="D479" s="304" t="s">
        <v>1383</v>
      </c>
      <c r="E479" s="305"/>
      <c r="F479" s="117" t="s">
        <v>1644</v>
      </c>
      <c r="G479" s="116">
        <v>1</v>
      </c>
      <c r="H479" s="108">
        <v>0</v>
      </c>
    </row>
    <row r="480" spans="1:8" x14ac:dyDescent="0.2">
      <c r="A480" s="117" t="s">
        <v>294</v>
      </c>
      <c r="B480" s="117"/>
      <c r="C480" s="117" t="s">
        <v>2016</v>
      </c>
      <c r="D480" s="304" t="s">
        <v>1384</v>
      </c>
      <c r="E480" s="305"/>
      <c r="F480" s="117" t="s">
        <v>1644</v>
      </c>
      <c r="G480" s="116">
        <v>1</v>
      </c>
      <c r="H480" s="108">
        <v>0</v>
      </c>
    </row>
    <row r="481" spans="1:8" x14ac:dyDescent="0.2">
      <c r="A481" s="117" t="s">
        <v>295</v>
      </c>
      <c r="B481" s="117"/>
      <c r="C481" s="117" t="s">
        <v>2015</v>
      </c>
      <c r="D481" s="304" t="s">
        <v>1385</v>
      </c>
      <c r="E481" s="305"/>
      <c r="F481" s="117" t="s">
        <v>1646</v>
      </c>
      <c r="G481" s="116">
        <v>9</v>
      </c>
      <c r="H481" s="108">
        <v>0</v>
      </c>
    </row>
    <row r="482" spans="1:8" x14ac:dyDescent="0.2">
      <c r="A482" s="117" t="s">
        <v>296</v>
      </c>
      <c r="B482" s="117"/>
      <c r="C482" s="117" t="s">
        <v>2014</v>
      </c>
      <c r="D482" s="304" t="s">
        <v>1386</v>
      </c>
      <c r="E482" s="305"/>
      <c r="F482" s="117" t="s">
        <v>1644</v>
      </c>
      <c r="G482" s="116">
        <v>1</v>
      </c>
      <c r="H482" s="108">
        <v>0</v>
      </c>
    </row>
    <row r="483" spans="1:8" x14ac:dyDescent="0.2">
      <c r="A483" s="117" t="s">
        <v>297</v>
      </c>
      <c r="B483" s="117"/>
      <c r="C483" s="117" t="s">
        <v>2013</v>
      </c>
      <c r="D483" s="304" t="s">
        <v>1387</v>
      </c>
      <c r="E483" s="305"/>
      <c r="F483" s="117" t="s">
        <v>1644</v>
      </c>
      <c r="G483" s="116">
        <v>1</v>
      </c>
      <c r="H483" s="108">
        <v>0</v>
      </c>
    </row>
    <row r="484" spans="1:8" x14ac:dyDescent="0.2">
      <c r="A484" s="117" t="s">
        <v>298</v>
      </c>
      <c r="B484" s="117"/>
      <c r="C484" s="117" t="s">
        <v>2012</v>
      </c>
      <c r="D484" s="304" t="s">
        <v>1388</v>
      </c>
      <c r="E484" s="305"/>
      <c r="F484" s="117" t="s">
        <v>1644</v>
      </c>
      <c r="G484" s="116">
        <v>1</v>
      </c>
      <c r="H484" s="108">
        <v>0</v>
      </c>
    </row>
    <row r="485" spans="1:8" x14ac:dyDescent="0.2">
      <c r="A485" s="117" t="s">
        <v>299</v>
      </c>
      <c r="B485" s="117"/>
      <c r="C485" s="117" t="s">
        <v>2011</v>
      </c>
      <c r="D485" s="304" t="s">
        <v>1389</v>
      </c>
      <c r="E485" s="305"/>
      <c r="F485" s="117" t="s">
        <v>1644</v>
      </c>
      <c r="G485" s="116">
        <v>1</v>
      </c>
      <c r="H485" s="108">
        <v>0</v>
      </c>
    </row>
    <row r="486" spans="1:8" x14ac:dyDescent="0.2">
      <c r="A486" s="117" t="s">
        <v>300</v>
      </c>
      <c r="B486" s="117"/>
      <c r="C486" s="117" t="s">
        <v>2010</v>
      </c>
      <c r="D486" s="304" t="s">
        <v>1380</v>
      </c>
      <c r="E486" s="305"/>
      <c r="F486" s="117" t="s">
        <v>1646</v>
      </c>
      <c r="G486" s="116">
        <v>1.5</v>
      </c>
      <c r="H486" s="108">
        <v>0</v>
      </c>
    </row>
    <row r="487" spans="1:8" x14ac:dyDescent="0.2">
      <c r="A487" s="117" t="s">
        <v>301</v>
      </c>
      <c r="B487" s="117"/>
      <c r="C487" s="117" t="s">
        <v>2009</v>
      </c>
      <c r="D487" s="304" t="s">
        <v>1390</v>
      </c>
      <c r="E487" s="305"/>
      <c r="F487" s="117" t="s">
        <v>1644</v>
      </c>
      <c r="G487" s="116">
        <v>1</v>
      </c>
      <c r="H487" s="108">
        <v>0</v>
      </c>
    </row>
    <row r="488" spans="1:8" x14ac:dyDescent="0.2">
      <c r="A488" s="117" t="s">
        <v>302</v>
      </c>
      <c r="B488" s="117"/>
      <c r="C488" s="117" t="s">
        <v>2008</v>
      </c>
      <c r="D488" s="304" t="s">
        <v>1391</v>
      </c>
      <c r="E488" s="305"/>
      <c r="F488" s="117" t="s">
        <v>1644</v>
      </c>
      <c r="G488" s="116">
        <v>3</v>
      </c>
      <c r="H488" s="108">
        <v>0</v>
      </c>
    </row>
    <row r="489" spans="1:8" x14ac:dyDescent="0.2">
      <c r="A489" s="117" t="s">
        <v>303</v>
      </c>
      <c r="B489" s="117"/>
      <c r="C489" s="117" t="s">
        <v>2007</v>
      </c>
      <c r="D489" s="304" t="s">
        <v>1388</v>
      </c>
      <c r="E489" s="305"/>
      <c r="F489" s="117" t="s">
        <v>1644</v>
      </c>
      <c r="G489" s="116">
        <v>1</v>
      </c>
      <c r="H489" s="108">
        <v>0</v>
      </c>
    </row>
    <row r="490" spans="1:8" x14ac:dyDescent="0.2">
      <c r="A490" s="117" t="s">
        <v>304</v>
      </c>
      <c r="B490" s="117"/>
      <c r="C490" s="117" t="s">
        <v>2006</v>
      </c>
      <c r="D490" s="304" t="s">
        <v>1383</v>
      </c>
      <c r="E490" s="305"/>
      <c r="F490" s="117" t="s">
        <v>1644</v>
      </c>
      <c r="G490" s="116">
        <v>1</v>
      </c>
      <c r="H490" s="108">
        <v>0</v>
      </c>
    </row>
    <row r="491" spans="1:8" x14ac:dyDescent="0.2">
      <c r="A491" s="117" t="s">
        <v>305</v>
      </c>
      <c r="B491" s="117"/>
      <c r="C491" s="117" t="s">
        <v>2005</v>
      </c>
      <c r="D491" s="304" t="s">
        <v>1385</v>
      </c>
      <c r="E491" s="305"/>
      <c r="F491" s="117" t="s">
        <v>1646</v>
      </c>
      <c r="G491" s="116">
        <v>9</v>
      </c>
      <c r="H491" s="108">
        <v>0</v>
      </c>
    </row>
    <row r="492" spans="1:8" x14ac:dyDescent="0.2">
      <c r="A492" s="117" t="s">
        <v>306</v>
      </c>
      <c r="B492" s="117"/>
      <c r="C492" s="117" t="s">
        <v>2004</v>
      </c>
      <c r="D492" s="304" t="s">
        <v>1386</v>
      </c>
      <c r="E492" s="305"/>
      <c r="F492" s="117" t="s">
        <v>1644</v>
      </c>
      <c r="G492" s="116">
        <v>1</v>
      </c>
      <c r="H492" s="108">
        <v>0</v>
      </c>
    </row>
    <row r="493" spans="1:8" x14ac:dyDescent="0.2">
      <c r="A493" s="117" t="s">
        <v>307</v>
      </c>
      <c r="B493" s="117"/>
      <c r="C493" s="117" t="s">
        <v>2003</v>
      </c>
      <c r="D493" s="304" t="s">
        <v>1387</v>
      </c>
      <c r="E493" s="305"/>
      <c r="F493" s="117" t="s">
        <v>1644</v>
      </c>
      <c r="G493" s="116">
        <v>1</v>
      </c>
      <c r="H493" s="108">
        <v>0</v>
      </c>
    </row>
    <row r="494" spans="1:8" x14ac:dyDescent="0.2">
      <c r="A494" s="117" t="s">
        <v>308</v>
      </c>
      <c r="B494" s="117"/>
      <c r="C494" s="117" t="s">
        <v>2002</v>
      </c>
      <c r="D494" s="304" t="s">
        <v>1388</v>
      </c>
      <c r="E494" s="305"/>
      <c r="F494" s="117" t="s">
        <v>1644</v>
      </c>
      <c r="G494" s="116">
        <v>1</v>
      </c>
      <c r="H494" s="108">
        <v>0</v>
      </c>
    </row>
    <row r="495" spans="1:8" x14ac:dyDescent="0.2">
      <c r="A495" s="117" t="s">
        <v>309</v>
      </c>
      <c r="B495" s="117"/>
      <c r="C495" s="117" t="s">
        <v>2001</v>
      </c>
      <c r="D495" s="304" t="s">
        <v>1389</v>
      </c>
      <c r="E495" s="305"/>
      <c r="F495" s="117" t="s">
        <v>1644</v>
      </c>
      <c r="G495" s="116">
        <v>1</v>
      </c>
      <c r="H495" s="108">
        <v>0</v>
      </c>
    </row>
    <row r="496" spans="1:8" x14ac:dyDescent="0.2">
      <c r="A496" s="117" t="s">
        <v>310</v>
      </c>
      <c r="B496" s="117"/>
      <c r="C496" s="117" t="s">
        <v>2000</v>
      </c>
      <c r="D496" s="304" t="s">
        <v>1392</v>
      </c>
      <c r="E496" s="305"/>
      <c r="F496" s="117" t="s">
        <v>1644</v>
      </c>
      <c r="G496" s="116">
        <v>2</v>
      </c>
      <c r="H496" s="108">
        <v>0</v>
      </c>
    </row>
    <row r="497" spans="1:8" x14ac:dyDescent="0.2">
      <c r="A497" s="117" t="s">
        <v>311</v>
      </c>
      <c r="B497" s="117"/>
      <c r="C497" s="117" t="s">
        <v>1999</v>
      </c>
      <c r="D497" s="304" t="s">
        <v>1393</v>
      </c>
      <c r="E497" s="305"/>
      <c r="F497" s="117" t="s">
        <v>1644</v>
      </c>
      <c r="G497" s="116">
        <v>1</v>
      </c>
      <c r="H497" s="108">
        <v>0</v>
      </c>
    </row>
    <row r="498" spans="1:8" x14ac:dyDescent="0.2">
      <c r="A498" s="117" t="s">
        <v>312</v>
      </c>
      <c r="B498" s="117"/>
      <c r="C498" s="117" t="s">
        <v>1998</v>
      </c>
      <c r="D498" s="304" t="s">
        <v>1394</v>
      </c>
      <c r="E498" s="305"/>
      <c r="F498" s="117" t="s">
        <v>1644</v>
      </c>
      <c r="G498" s="116">
        <v>1</v>
      </c>
      <c r="H498" s="108">
        <v>0</v>
      </c>
    </row>
    <row r="499" spans="1:8" x14ac:dyDescent="0.2">
      <c r="A499" s="120"/>
      <c r="B499" s="120"/>
      <c r="C499" s="120" t="s">
        <v>822</v>
      </c>
      <c r="D499" s="306" t="s">
        <v>1395</v>
      </c>
      <c r="E499" s="307"/>
      <c r="F499" s="120"/>
      <c r="G499" s="142"/>
      <c r="H499" s="109"/>
    </row>
    <row r="500" spans="1:8" x14ac:dyDescent="0.2">
      <c r="A500" s="117" t="s">
        <v>313</v>
      </c>
      <c r="B500" s="117"/>
      <c r="C500" s="117" t="s">
        <v>117</v>
      </c>
      <c r="D500" s="304" t="s">
        <v>1396</v>
      </c>
      <c r="E500" s="305"/>
      <c r="F500" s="117" t="s">
        <v>1652</v>
      </c>
      <c r="G500" s="116">
        <v>1</v>
      </c>
      <c r="H500" s="108">
        <v>0</v>
      </c>
    </row>
    <row r="501" spans="1:8" x14ac:dyDescent="0.2">
      <c r="A501" s="117" t="s">
        <v>314</v>
      </c>
      <c r="B501" s="117"/>
      <c r="C501" s="117" t="s">
        <v>118</v>
      </c>
      <c r="D501" s="304" t="s">
        <v>1397</v>
      </c>
      <c r="E501" s="305"/>
      <c r="F501" s="117" t="s">
        <v>1652</v>
      </c>
      <c r="G501" s="116">
        <v>1</v>
      </c>
      <c r="H501" s="108">
        <v>0</v>
      </c>
    </row>
    <row r="502" spans="1:8" x14ac:dyDescent="0.2">
      <c r="A502" s="117" t="s">
        <v>315</v>
      </c>
      <c r="B502" s="117"/>
      <c r="C502" s="117" t="s">
        <v>119</v>
      </c>
      <c r="D502" s="304" t="s">
        <v>1398</v>
      </c>
      <c r="E502" s="305"/>
      <c r="F502" s="117" t="s">
        <v>1652</v>
      </c>
      <c r="G502" s="116">
        <v>1</v>
      </c>
      <c r="H502" s="108">
        <v>0</v>
      </c>
    </row>
    <row r="503" spans="1:8" x14ac:dyDescent="0.2">
      <c r="A503" s="117" t="s">
        <v>316</v>
      </c>
      <c r="B503" s="117"/>
      <c r="C503" s="117" t="s">
        <v>120</v>
      </c>
      <c r="D503" s="304" t="s">
        <v>1399</v>
      </c>
      <c r="E503" s="305"/>
      <c r="F503" s="117" t="s">
        <v>1652</v>
      </c>
      <c r="G503" s="116">
        <v>1</v>
      </c>
      <c r="H503" s="108">
        <v>0</v>
      </c>
    </row>
    <row r="504" spans="1:8" x14ac:dyDescent="0.2">
      <c r="A504" s="117" t="s">
        <v>317</v>
      </c>
      <c r="B504" s="117"/>
      <c r="C504" s="117" t="s">
        <v>121</v>
      </c>
      <c r="D504" s="304" t="s">
        <v>1400</v>
      </c>
      <c r="E504" s="305"/>
      <c r="F504" s="117" t="s">
        <v>1652</v>
      </c>
      <c r="G504" s="116">
        <v>1</v>
      </c>
      <c r="H504" s="108">
        <v>0</v>
      </c>
    </row>
    <row r="505" spans="1:8" x14ac:dyDescent="0.2">
      <c r="A505" s="117" t="s">
        <v>318</v>
      </c>
      <c r="B505" s="117"/>
      <c r="C505" s="117" t="s">
        <v>122</v>
      </c>
      <c r="D505" s="304" t="s">
        <v>1401</v>
      </c>
      <c r="E505" s="305"/>
      <c r="F505" s="117" t="s">
        <v>1652</v>
      </c>
      <c r="G505" s="116">
        <v>1</v>
      </c>
      <c r="H505" s="108">
        <v>0</v>
      </c>
    </row>
    <row r="506" spans="1:8" x14ac:dyDescent="0.2">
      <c r="A506" s="117" t="s">
        <v>319</v>
      </c>
      <c r="B506" s="117"/>
      <c r="C506" s="117" t="s">
        <v>123</v>
      </c>
      <c r="D506" s="304" t="s">
        <v>1402</v>
      </c>
      <c r="E506" s="305"/>
      <c r="F506" s="117" t="s">
        <v>1652</v>
      </c>
      <c r="G506" s="116">
        <v>1</v>
      </c>
      <c r="H506" s="108">
        <v>0</v>
      </c>
    </row>
    <row r="507" spans="1:8" x14ac:dyDescent="0.2">
      <c r="A507" s="117" t="s">
        <v>320</v>
      </c>
      <c r="B507" s="117"/>
      <c r="C507" s="117" t="s">
        <v>124</v>
      </c>
      <c r="D507" s="304" t="s">
        <v>1403</v>
      </c>
      <c r="E507" s="305"/>
      <c r="F507" s="117" t="s">
        <v>1652</v>
      </c>
      <c r="G507" s="116">
        <v>1</v>
      </c>
      <c r="H507" s="108">
        <v>0</v>
      </c>
    </row>
    <row r="508" spans="1:8" x14ac:dyDescent="0.2">
      <c r="A508" s="117" t="s">
        <v>321</v>
      </c>
      <c r="B508" s="117"/>
      <c r="C508" s="117" t="s">
        <v>125</v>
      </c>
      <c r="D508" s="304" t="s">
        <v>1404</v>
      </c>
      <c r="E508" s="305"/>
      <c r="F508" s="117" t="s">
        <v>1646</v>
      </c>
      <c r="G508" s="116">
        <v>450</v>
      </c>
      <c r="H508" s="108">
        <v>0</v>
      </c>
    </row>
    <row r="509" spans="1:8" x14ac:dyDescent="0.2">
      <c r="A509" s="117" t="s">
        <v>322</v>
      </c>
      <c r="B509" s="117"/>
      <c r="C509" s="117" t="s">
        <v>823</v>
      </c>
      <c r="D509" s="304" t="s">
        <v>1405</v>
      </c>
      <c r="E509" s="305"/>
      <c r="F509" s="117" t="s">
        <v>1646</v>
      </c>
      <c r="G509" s="116">
        <v>180</v>
      </c>
      <c r="H509" s="108">
        <v>0</v>
      </c>
    </row>
    <row r="510" spans="1:8" x14ac:dyDescent="0.2">
      <c r="A510" s="117" t="s">
        <v>323</v>
      </c>
      <c r="B510" s="117"/>
      <c r="C510" s="117" t="s">
        <v>824</v>
      </c>
      <c r="D510" s="304" t="s">
        <v>1406</v>
      </c>
      <c r="E510" s="305"/>
      <c r="F510" s="117" t="s">
        <v>1652</v>
      </c>
      <c r="G510" s="116">
        <v>3</v>
      </c>
      <c r="H510" s="108">
        <v>0</v>
      </c>
    </row>
    <row r="511" spans="1:8" x14ac:dyDescent="0.2">
      <c r="A511" s="117" t="s">
        <v>324</v>
      </c>
      <c r="B511" s="117"/>
      <c r="C511" s="117" t="s">
        <v>825</v>
      </c>
      <c r="D511" s="304" t="s">
        <v>1407</v>
      </c>
      <c r="E511" s="305"/>
      <c r="F511" s="117" t="s">
        <v>1644</v>
      </c>
      <c r="G511" s="116">
        <v>3</v>
      </c>
      <c r="H511" s="108">
        <v>0</v>
      </c>
    </row>
    <row r="512" spans="1:8" x14ac:dyDescent="0.2">
      <c r="A512" s="117" t="s">
        <v>325</v>
      </c>
      <c r="B512" s="117"/>
      <c r="C512" s="117" t="s">
        <v>826</v>
      </c>
      <c r="D512" s="304" t="s">
        <v>1408</v>
      </c>
      <c r="E512" s="305"/>
      <c r="F512" s="117" t="s">
        <v>1644</v>
      </c>
      <c r="G512" s="116">
        <v>3</v>
      </c>
      <c r="H512" s="108">
        <v>0</v>
      </c>
    </row>
    <row r="513" spans="1:8" x14ac:dyDescent="0.2">
      <c r="A513" s="117" t="s">
        <v>326</v>
      </c>
      <c r="B513" s="117"/>
      <c r="C513" s="117" t="s">
        <v>827</v>
      </c>
      <c r="D513" s="304" t="s">
        <v>1409</v>
      </c>
      <c r="E513" s="305"/>
      <c r="F513" s="117" t="s">
        <v>1644</v>
      </c>
      <c r="G513" s="116">
        <v>3</v>
      </c>
      <c r="H513" s="108">
        <v>0</v>
      </c>
    </row>
    <row r="514" spans="1:8" x14ac:dyDescent="0.2">
      <c r="A514" s="117" t="s">
        <v>327</v>
      </c>
      <c r="B514" s="117"/>
      <c r="C514" s="117" t="s">
        <v>828</v>
      </c>
      <c r="D514" s="304" t="s">
        <v>1410</v>
      </c>
      <c r="E514" s="305"/>
      <c r="F514" s="117" t="s">
        <v>1652</v>
      </c>
      <c r="G514" s="116">
        <v>3</v>
      </c>
      <c r="H514" s="108">
        <v>0</v>
      </c>
    </row>
    <row r="515" spans="1:8" x14ac:dyDescent="0.2">
      <c r="A515" s="117" t="s">
        <v>328</v>
      </c>
      <c r="B515" s="117"/>
      <c r="C515" s="117" t="s">
        <v>829</v>
      </c>
      <c r="D515" s="304" t="s">
        <v>1411</v>
      </c>
      <c r="E515" s="305"/>
      <c r="F515" s="117" t="s">
        <v>1652</v>
      </c>
      <c r="G515" s="116">
        <v>3</v>
      </c>
      <c r="H515" s="108">
        <v>0</v>
      </c>
    </row>
    <row r="516" spans="1:8" x14ac:dyDescent="0.2">
      <c r="A516" s="117" t="s">
        <v>329</v>
      </c>
      <c r="B516" s="117"/>
      <c r="C516" s="117" t="s">
        <v>830</v>
      </c>
      <c r="D516" s="304" t="s">
        <v>1412</v>
      </c>
      <c r="E516" s="305"/>
      <c r="F516" s="117" t="s">
        <v>1647</v>
      </c>
      <c r="G516" s="116">
        <v>7</v>
      </c>
      <c r="H516" s="108">
        <v>0</v>
      </c>
    </row>
    <row r="517" spans="1:8" x14ac:dyDescent="0.2">
      <c r="A517" s="117" t="s">
        <v>330</v>
      </c>
      <c r="B517" s="117"/>
      <c r="C517" s="117" t="s">
        <v>831</v>
      </c>
      <c r="D517" s="304" t="s">
        <v>1413</v>
      </c>
      <c r="E517" s="305"/>
      <c r="F517" s="117" t="s">
        <v>1652</v>
      </c>
      <c r="G517" s="116">
        <v>1</v>
      </c>
      <c r="H517" s="108">
        <v>0</v>
      </c>
    </row>
    <row r="518" spans="1:8" x14ac:dyDescent="0.2">
      <c r="A518" s="117" t="s">
        <v>331</v>
      </c>
      <c r="B518" s="117"/>
      <c r="C518" s="117" t="s">
        <v>832</v>
      </c>
      <c r="D518" s="304" t="s">
        <v>1414</v>
      </c>
      <c r="E518" s="305"/>
      <c r="F518" s="117" t="s">
        <v>1652</v>
      </c>
      <c r="G518" s="116">
        <v>1</v>
      </c>
      <c r="H518" s="108">
        <v>0</v>
      </c>
    </row>
    <row r="519" spans="1:8" x14ac:dyDescent="0.2">
      <c r="A519" s="117" t="s">
        <v>332</v>
      </c>
      <c r="B519" s="117"/>
      <c r="C519" s="117" t="s">
        <v>833</v>
      </c>
      <c r="D519" s="304" t="s">
        <v>1415</v>
      </c>
      <c r="E519" s="305"/>
      <c r="F519" s="117" t="s">
        <v>1652</v>
      </c>
      <c r="G519" s="116">
        <v>1</v>
      </c>
      <c r="H519" s="108">
        <v>0</v>
      </c>
    </row>
    <row r="520" spans="1:8" x14ac:dyDescent="0.2">
      <c r="A520" s="117" t="s">
        <v>333</v>
      </c>
      <c r="B520" s="117"/>
      <c r="C520" s="117" t="s">
        <v>834</v>
      </c>
      <c r="D520" s="304" t="s">
        <v>1416</v>
      </c>
      <c r="E520" s="305"/>
      <c r="F520" s="117" t="s">
        <v>1652</v>
      </c>
      <c r="G520" s="116">
        <v>6</v>
      </c>
      <c r="H520" s="108">
        <v>0</v>
      </c>
    </row>
    <row r="521" spans="1:8" x14ac:dyDescent="0.2">
      <c r="A521" s="117" t="s">
        <v>334</v>
      </c>
      <c r="B521" s="117"/>
      <c r="C521" s="117" t="s">
        <v>835</v>
      </c>
      <c r="D521" s="304" t="s">
        <v>1417</v>
      </c>
      <c r="E521" s="305"/>
      <c r="F521" s="117" t="s">
        <v>1653</v>
      </c>
      <c r="G521" s="116">
        <v>6</v>
      </c>
      <c r="H521" s="108">
        <v>0</v>
      </c>
    </row>
    <row r="522" spans="1:8" x14ac:dyDescent="0.2">
      <c r="A522" s="117" t="s">
        <v>335</v>
      </c>
      <c r="B522" s="117"/>
      <c r="C522" s="117" t="s">
        <v>836</v>
      </c>
      <c r="D522" s="304" t="s">
        <v>1418</v>
      </c>
      <c r="E522" s="305"/>
      <c r="F522" s="117" t="s">
        <v>1997</v>
      </c>
      <c r="G522" s="116">
        <v>1</v>
      </c>
      <c r="H522" s="108">
        <v>0</v>
      </c>
    </row>
    <row r="523" spans="1:8" x14ac:dyDescent="0.2">
      <c r="A523" s="117" t="s">
        <v>336</v>
      </c>
      <c r="B523" s="117"/>
      <c r="C523" s="117" t="s">
        <v>837</v>
      </c>
      <c r="D523" s="304" t="s">
        <v>1419</v>
      </c>
      <c r="E523" s="305"/>
      <c r="F523" s="117" t="s">
        <v>1652</v>
      </c>
      <c r="G523" s="116">
        <v>1</v>
      </c>
      <c r="H523" s="108">
        <v>0</v>
      </c>
    </row>
    <row r="524" spans="1:8" x14ac:dyDescent="0.2">
      <c r="A524" s="117" t="s">
        <v>337</v>
      </c>
      <c r="B524" s="117"/>
      <c r="C524" s="117" t="s">
        <v>838</v>
      </c>
      <c r="D524" s="304" t="s">
        <v>1420</v>
      </c>
      <c r="E524" s="305"/>
      <c r="F524" s="117" t="s">
        <v>1652</v>
      </c>
      <c r="G524" s="116">
        <v>1</v>
      </c>
      <c r="H524" s="108">
        <v>0</v>
      </c>
    </row>
    <row r="525" spans="1:8" x14ac:dyDescent="0.2">
      <c r="A525" s="117" t="s">
        <v>338</v>
      </c>
      <c r="B525" s="117"/>
      <c r="C525" s="117" t="s">
        <v>839</v>
      </c>
      <c r="D525" s="304" t="s">
        <v>1421</v>
      </c>
      <c r="E525" s="305"/>
      <c r="F525" s="117" t="s">
        <v>1652</v>
      </c>
      <c r="G525" s="116">
        <v>1</v>
      </c>
      <c r="H525" s="108">
        <v>0</v>
      </c>
    </row>
    <row r="526" spans="1:8" x14ac:dyDescent="0.2">
      <c r="A526" s="117" t="s">
        <v>339</v>
      </c>
      <c r="B526" s="117"/>
      <c r="C526" s="117" t="s">
        <v>840</v>
      </c>
      <c r="D526" s="304" t="s">
        <v>1422</v>
      </c>
      <c r="E526" s="305"/>
      <c r="F526" s="117" t="s">
        <v>1652</v>
      </c>
      <c r="G526" s="116">
        <v>1</v>
      </c>
      <c r="H526" s="108">
        <v>0</v>
      </c>
    </row>
    <row r="527" spans="1:8" x14ac:dyDescent="0.2">
      <c r="A527" s="117" t="s">
        <v>340</v>
      </c>
      <c r="B527" s="117"/>
      <c r="C527" s="117" t="s">
        <v>841</v>
      </c>
      <c r="D527" s="304" t="s">
        <v>1423</v>
      </c>
      <c r="E527" s="305"/>
      <c r="F527" s="117" t="s">
        <v>1652</v>
      </c>
      <c r="G527" s="116">
        <v>1</v>
      </c>
      <c r="H527" s="108">
        <v>0</v>
      </c>
    </row>
    <row r="528" spans="1:8" x14ac:dyDescent="0.2">
      <c r="A528" s="120"/>
      <c r="B528" s="120"/>
      <c r="C528" s="120" t="s">
        <v>842</v>
      </c>
      <c r="D528" s="306" t="s">
        <v>1424</v>
      </c>
      <c r="E528" s="307"/>
      <c r="F528" s="120"/>
      <c r="G528" s="142"/>
      <c r="H528" s="109"/>
    </row>
    <row r="529" spans="1:8" x14ac:dyDescent="0.2">
      <c r="A529" s="117" t="s">
        <v>341</v>
      </c>
      <c r="B529" s="117"/>
      <c r="C529" s="117" t="s">
        <v>127</v>
      </c>
      <c r="D529" s="304" t="s">
        <v>1425</v>
      </c>
      <c r="E529" s="305"/>
      <c r="F529" s="117" t="s">
        <v>1644</v>
      </c>
      <c r="G529" s="116">
        <v>6</v>
      </c>
      <c r="H529" s="108">
        <v>0</v>
      </c>
    </row>
    <row r="530" spans="1:8" x14ac:dyDescent="0.2">
      <c r="A530" s="117" t="s">
        <v>342</v>
      </c>
      <c r="B530" s="117"/>
      <c r="C530" s="117" t="s">
        <v>128</v>
      </c>
      <c r="D530" s="304" t="s">
        <v>1426</v>
      </c>
      <c r="E530" s="305"/>
      <c r="F530" s="117" t="s">
        <v>1646</v>
      </c>
      <c r="G530" s="116">
        <v>65</v>
      </c>
      <c r="H530" s="108">
        <v>0</v>
      </c>
    </row>
    <row r="531" spans="1:8" x14ac:dyDescent="0.2">
      <c r="A531" s="117" t="s">
        <v>343</v>
      </c>
      <c r="B531" s="117"/>
      <c r="C531" s="117" t="s">
        <v>129</v>
      </c>
      <c r="D531" s="304" t="s">
        <v>1427</v>
      </c>
      <c r="E531" s="305"/>
      <c r="F531" s="117" t="s">
        <v>1644</v>
      </c>
      <c r="G531" s="116">
        <v>6</v>
      </c>
      <c r="H531" s="108">
        <v>0</v>
      </c>
    </row>
    <row r="532" spans="1:8" x14ac:dyDescent="0.2">
      <c r="A532" s="117" t="s">
        <v>344</v>
      </c>
      <c r="B532" s="117"/>
      <c r="C532" s="117" t="s">
        <v>130</v>
      </c>
      <c r="D532" s="304" t="s">
        <v>1430</v>
      </c>
      <c r="E532" s="305"/>
      <c r="F532" s="117" t="s">
        <v>1644</v>
      </c>
      <c r="G532" s="116">
        <v>1</v>
      </c>
      <c r="H532" s="108">
        <v>0</v>
      </c>
    </row>
    <row r="533" spans="1:8" x14ac:dyDescent="0.2">
      <c r="A533" s="117" t="s">
        <v>345</v>
      </c>
      <c r="B533" s="117"/>
      <c r="C533" s="117" t="s">
        <v>131</v>
      </c>
      <c r="D533" s="304" t="s">
        <v>1431</v>
      </c>
      <c r="E533" s="305"/>
      <c r="F533" s="117" t="s">
        <v>1646</v>
      </c>
      <c r="G533" s="116">
        <v>135</v>
      </c>
      <c r="H533" s="108">
        <v>0</v>
      </c>
    </row>
    <row r="534" spans="1:8" x14ac:dyDescent="0.2">
      <c r="A534" s="117" t="s">
        <v>346</v>
      </c>
      <c r="B534" s="117"/>
      <c r="C534" s="117" t="s">
        <v>132</v>
      </c>
      <c r="D534" s="304" t="s">
        <v>1432</v>
      </c>
      <c r="E534" s="305"/>
      <c r="F534" s="117" t="s">
        <v>1644</v>
      </c>
      <c r="G534" s="116">
        <v>6</v>
      </c>
      <c r="H534" s="108">
        <v>0</v>
      </c>
    </row>
    <row r="535" spans="1:8" x14ac:dyDescent="0.2">
      <c r="A535" s="117" t="s">
        <v>347</v>
      </c>
      <c r="B535" s="117"/>
      <c r="C535" s="117" t="s">
        <v>133</v>
      </c>
      <c r="D535" s="304" t="s">
        <v>1996</v>
      </c>
      <c r="E535" s="305"/>
      <c r="F535" s="117" t="s">
        <v>1644</v>
      </c>
      <c r="G535" s="116">
        <v>4</v>
      </c>
      <c r="H535" s="108">
        <v>0</v>
      </c>
    </row>
    <row r="536" spans="1:8" x14ac:dyDescent="0.2">
      <c r="A536" s="117" t="s">
        <v>348</v>
      </c>
      <c r="B536" s="117"/>
      <c r="C536" s="117" t="s">
        <v>134</v>
      </c>
      <c r="D536" s="304" t="s">
        <v>1995</v>
      </c>
      <c r="E536" s="305"/>
      <c r="F536" s="117" t="s">
        <v>1644</v>
      </c>
      <c r="G536" s="116">
        <v>4</v>
      </c>
      <c r="H536" s="108">
        <v>0</v>
      </c>
    </row>
    <row r="537" spans="1:8" x14ac:dyDescent="0.2">
      <c r="A537" s="117" t="s">
        <v>349</v>
      </c>
      <c r="B537" s="117"/>
      <c r="C537" s="117" t="s">
        <v>135</v>
      </c>
      <c r="D537" s="304" t="s">
        <v>1433</v>
      </c>
      <c r="E537" s="305"/>
      <c r="F537" s="117" t="s">
        <v>1646</v>
      </c>
      <c r="G537" s="116">
        <v>135</v>
      </c>
      <c r="H537" s="108">
        <v>0</v>
      </c>
    </row>
    <row r="538" spans="1:8" x14ac:dyDescent="0.2">
      <c r="A538" s="117" t="s">
        <v>350</v>
      </c>
      <c r="B538" s="117"/>
      <c r="C538" s="117" t="s">
        <v>843</v>
      </c>
      <c r="D538" s="304" t="s">
        <v>1434</v>
      </c>
      <c r="E538" s="305"/>
      <c r="F538" s="117" t="s">
        <v>1646</v>
      </c>
      <c r="G538" s="116">
        <v>135</v>
      </c>
      <c r="H538" s="108">
        <v>0</v>
      </c>
    </row>
    <row r="539" spans="1:8" x14ac:dyDescent="0.2">
      <c r="A539" s="117" t="s">
        <v>351</v>
      </c>
      <c r="B539" s="117"/>
      <c r="C539" s="117" t="s">
        <v>844</v>
      </c>
      <c r="D539" s="304" t="s">
        <v>1435</v>
      </c>
      <c r="E539" s="305"/>
      <c r="F539" s="117" t="s">
        <v>1652</v>
      </c>
      <c r="G539" s="116">
        <v>1</v>
      </c>
      <c r="H539" s="108">
        <v>0</v>
      </c>
    </row>
    <row r="540" spans="1:8" x14ac:dyDescent="0.2">
      <c r="A540" s="117" t="s">
        <v>352</v>
      </c>
      <c r="B540" s="117"/>
      <c r="C540" s="117" t="s">
        <v>845</v>
      </c>
      <c r="D540" s="304" t="s">
        <v>1436</v>
      </c>
      <c r="E540" s="305"/>
      <c r="F540" s="117" t="s">
        <v>1652</v>
      </c>
      <c r="G540" s="116">
        <v>1</v>
      </c>
      <c r="H540" s="108">
        <v>0</v>
      </c>
    </row>
    <row r="541" spans="1:8" x14ac:dyDescent="0.2">
      <c r="A541" s="117" t="s">
        <v>353</v>
      </c>
      <c r="B541" s="117"/>
      <c r="C541" s="117" t="s">
        <v>846</v>
      </c>
      <c r="D541" s="304" t="s">
        <v>1437</v>
      </c>
      <c r="E541" s="305"/>
      <c r="F541" s="117" t="s">
        <v>1654</v>
      </c>
      <c r="G541" s="116">
        <v>410</v>
      </c>
      <c r="H541" s="108">
        <v>0</v>
      </c>
    </row>
    <row r="542" spans="1:8" x14ac:dyDescent="0.2">
      <c r="A542" s="117" t="s">
        <v>354</v>
      </c>
      <c r="B542" s="117"/>
      <c r="C542" s="117" t="s">
        <v>847</v>
      </c>
      <c r="D542" s="304" t="s">
        <v>1438</v>
      </c>
      <c r="E542" s="305"/>
      <c r="F542" s="117" t="s">
        <v>1652</v>
      </c>
      <c r="G542" s="116">
        <v>1</v>
      </c>
      <c r="H542" s="108">
        <v>0</v>
      </c>
    </row>
    <row r="543" spans="1:8" x14ac:dyDescent="0.2">
      <c r="A543" s="117" t="s">
        <v>355</v>
      </c>
      <c r="B543" s="117"/>
      <c r="C543" s="117" t="s">
        <v>848</v>
      </c>
      <c r="D543" s="304" t="s">
        <v>1439</v>
      </c>
      <c r="E543" s="305"/>
      <c r="F543" s="117" t="s">
        <v>1652</v>
      </c>
      <c r="G543" s="116">
        <v>1</v>
      </c>
      <c r="H543" s="108">
        <v>0</v>
      </c>
    </row>
    <row r="544" spans="1:8" x14ac:dyDescent="0.2">
      <c r="A544" s="117" t="s">
        <v>356</v>
      </c>
      <c r="B544" s="117"/>
      <c r="C544" s="117" t="s">
        <v>849</v>
      </c>
      <c r="D544" s="304" t="s">
        <v>1440</v>
      </c>
      <c r="E544" s="305"/>
      <c r="F544" s="117" t="s">
        <v>1652</v>
      </c>
      <c r="G544" s="116">
        <v>1</v>
      </c>
      <c r="H544" s="108">
        <v>0</v>
      </c>
    </row>
    <row r="545" spans="1:8" x14ac:dyDescent="0.2">
      <c r="A545" s="117" t="s">
        <v>357</v>
      </c>
      <c r="B545" s="117"/>
      <c r="C545" s="117" t="s">
        <v>850</v>
      </c>
      <c r="D545" s="304" t="s">
        <v>1441</v>
      </c>
      <c r="E545" s="305"/>
      <c r="F545" s="117" t="s">
        <v>1652</v>
      </c>
      <c r="G545" s="116">
        <v>1</v>
      </c>
      <c r="H545" s="108">
        <v>0</v>
      </c>
    </row>
    <row r="546" spans="1:8" x14ac:dyDescent="0.2">
      <c r="A546" s="117" t="s">
        <v>358</v>
      </c>
      <c r="B546" s="117"/>
      <c r="C546" s="117" t="s">
        <v>851</v>
      </c>
      <c r="D546" s="304" t="s">
        <v>1442</v>
      </c>
      <c r="E546" s="305"/>
      <c r="F546" s="117" t="s">
        <v>1652</v>
      </c>
      <c r="G546" s="116">
        <v>1</v>
      </c>
      <c r="H546" s="108">
        <v>0</v>
      </c>
    </row>
    <row r="547" spans="1:8" x14ac:dyDescent="0.2">
      <c r="A547" s="117" t="s">
        <v>359</v>
      </c>
      <c r="B547" s="117"/>
      <c r="C547" s="117" t="s">
        <v>852</v>
      </c>
      <c r="D547" s="304" t="s">
        <v>1443</v>
      </c>
      <c r="E547" s="305"/>
      <c r="F547" s="117" t="s">
        <v>1645</v>
      </c>
      <c r="G547" s="116">
        <v>25</v>
      </c>
      <c r="H547" s="108">
        <v>0</v>
      </c>
    </row>
    <row r="548" spans="1:8" x14ac:dyDescent="0.2">
      <c r="A548" s="117" t="s">
        <v>360</v>
      </c>
      <c r="B548" s="117"/>
      <c r="C548" s="117" t="s">
        <v>853</v>
      </c>
      <c r="D548" s="304" t="s">
        <v>1994</v>
      </c>
      <c r="E548" s="305"/>
      <c r="F548" s="117" t="s">
        <v>1645</v>
      </c>
      <c r="G548" s="116">
        <v>1</v>
      </c>
      <c r="H548" s="108">
        <v>0</v>
      </c>
    </row>
    <row r="549" spans="1:8" x14ac:dyDescent="0.2">
      <c r="A549" s="117" t="s">
        <v>361</v>
      </c>
      <c r="B549" s="117"/>
      <c r="C549" s="117" t="s">
        <v>854</v>
      </c>
      <c r="D549" s="304" t="s">
        <v>1444</v>
      </c>
      <c r="E549" s="305"/>
      <c r="F549" s="117" t="s">
        <v>1647</v>
      </c>
      <c r="G549" s="116">
        <v>28</v>
      </c>
      <c r="H549" s="108">
        <v>0</v>
      </c>
    </row>
    <row r="550" spans="1:8" x14ac:dyDescent="0.2">
      <c r="A550" s="117" t="s">
        <v>362</v>
      </c>
      <c r="B550" s="117"/>
      <c r="C550" s="117" t="s">
        <v>855</v>
      </c>
      <c r="D550" s="304" t="s">
        <v>1445</v>
      </c>
      <c r="E550" s="305"/>
      <c r="F550" s="117" t="s">
        <v>1647</v>
      </c>
      <c r="G550" s="116">
        <v>1</v>
      </c>
      <c r="H550" s="108">
        <v>0</v>
      </c>
    </row>
    <row r="551" spans="1:8" x14ac:dyDescent="0.2">
      <c r="A551" s="117" t="s">
        <v>363</v>
      </c>
      <c r="B551" s="117"/>
      <c r="C551" s="117" t="s">
        <v>856</v>
      </c>
      <c r="D551" s="304" t="s">
        <v>1446</v>
      </c>
      <c r="E551" s="305"/>
      <c r="F551" s="117" t="s">
        <v>1647</v>
      </c>
      <c r="G551" s="116">
        <v>29</v>
      </c>
      <c r="H551" s="108">
        <v>0</v>
      </c>
    </row>
    <row r="552" spans="1:8" x14ac:dyDescent="0.2">
      <c r="A552" s="117" t="s">
        <v>364</v>
      </c>
      <c r="B552" s="117"/>
      <c r="C552" s="117" t="s">
        <v>857</v>
      </c>
      <c r="D552" s="304" t="s">
        <v>1447</v>
      </c>
      <c r="E552" s="305"/>
      <c r="F552" s="117" t="s">
        <v>1647</v>
      </c>
      <c r="G552" s="116">
        <v>29</v>
      </c>
      <c r="H552" s="108">
        <v>0</v>
      </c>
    </row>
    <row r="553" spans="1:8" x14ac:dyDescent="0.2">
      <c r="A553" s="117" t="s">
        <v>365</v>
      </c>
      <c r="B553" s="117"/>
      <c r="C553" s="117" t="s">
        <v>858</v>
      </c>
      <c r="D553" s="304" t="s">
        <v>1448</v>
      </c>
      <c r="E553" s="305"/>
      <c r="F553" s="117" t="s">
        <v>1647</v>
      </c>
      <c r="G553" s="116">
        <v>6</v>
      </c>
      <c r="H553" s="108">
        <v>0</v>
      </c>
    </row>
    <row r="554" spans="1:8" x14ac:dyDescent="0.2">
      <c r="A554" s="117" t="s">
        <v>366</v>
      </c>
      <c r="B554" s="117"/>
      <c r="C554" s="117" t="s">
        <v>859</v>
      </c>
      <c r="D554" s="304" t="s">
        <v>1449</v>
      </c>
      <c r="E554" s="305"/>
      <c r="F554" s="117" t="s">
        <v>1647</v>
      </c>
      <c r="G554" s="116">
        <v>9</v>
      </c>
      <c r="H554" s="108">
        <v>0</v>
      </c>
    </row>
    <row r="555" spans="1:8" x14ac:dyDescent="0.2">
      <c r="A555" s="117" t="s">
        <v>367</v>
      </c>
      <c r="B555" s="117"/>
      <c r="C555" s="117" t="s">
        <v>860</v>
      </c>
      <c r="D555" s="304" t="s">
        <v>1450</v>
      </c>
      <c r="E555" s="305"/>
      <c r="F555" s="117" t="s">
        <v>1647</v>
      </c>
      <c r="G555" s="116">
        <v>6</v>
      </c>
      <c r="H555" s="108">
        <v>0</v>
      </c>
    </row>
    <row r="556" spans="1:8" x14ac:dyDescent="0.2">
      <c r="A556" s="117" t="s">
        <v>368</v>
      </c>
      <c r="B556" s="117"/>
      <c r="C556" s="117" t="s">
        <v>861</v>
      </c>
      <c r="D556" s="304" t="s">
        <v>1451</v>
      </c>
      <c r="E556" s="305"/>
      <c r="F556" s="117" t="s">
        <v>1647</v>
      </c>
      <c r="G556" s="116">
        <v>29</v>
      </c>
      <c r="H556" s="108">
        <v>0</v>
      </c>
    </row>
    <row r="557" spans="1:8" x14ac:dyDescent="0.2">
      <c r="A557" s="117" t="s">
        <v>369</v>
      </c>
      <c r="B557" s="117"/>
      <c r="C557" s="117" t="s">
        <v>862</v>
      </c>
      <c r="D557" s="304" t="s">
        <v>1452</v>
      </c>
      <c r="E557" s="305"/>
      <c r="F557" s="117" t="s">
        <v>1644</v>
      </c>
      <c r="G557" s="116">
        <v>1</v>
      </c>
      <c r="H557" s="108">
        <v>0</v>
      </c>
    </row>
    <row r="558" spans="1:8" x14ac:dyDescent="0.2">
      <c r="A558" s="117" t="s">
        <v>370</v>
      </c>
      <c r="B558" s="117"/>
      <c r="C558" s="117" t="s">
        <v>863</v>
      </c>
      <c r="D558" s="304" t="s">
        <v>1453</v>
      </c>
      <c r="E558" s="305"/>
      <c r="F558" s="117" t="s">
        <v>1645</v>
      </c>
      <c r="G558" s="116">
        <v>25</v>
      </c>
      <c r="H558" s="108">
        <v>0</v>
      </c>
    </row>
    <row r="559" spans="1:8" x14ac:dyDescent="0.2">
      <c r="A559" s="117" t="s">
        <v>371</v>
      </c>
      <c r="B559" s="117"/>
      <c r="C559" s="117" t="s">
        <v>864</v>
      </c>
      <c r="D559" s="304" t="s">
        <v>1993</v>
      </c>
      <c r="E559" s="305"/>
      <c r="F559" s="117" t="s">
        <v>1645</v>
      </c>
      <c r="G559" s="116">
        <v>1</v>
      </c>
      <c r="H559" s="108">
        <v>0</v>
      </c>
    </row>
    <row r="560" spans="1:8" x14ac:dyDescent="0.2">
      <c r="A560" s="117" t="s">
        <v>372</v>
      </c>
      <c r="B560" s="117"/>
      <c r="C560" s="117" t="s">
        <v>865</v>
      </c>
      <c r="D560" s="304" t="s">
        <v>1454</v>
      </c>
      <c r="E560" s="305"/>
      <c r="F560" s="117" t="s">
        <v>1652</v>
      </c>
      <c r="G560" s="116">
        <v>1</v>
      </c>
      <c r="H560" s="108">
        <v>0</v>
      </c>
    </row>
    <row r="561" spans="1:8" x14ac:dyDescent="0.2">
      <c r="A561" s="117" t="s">
        <v>373</v>
      </c>
      <c r="B561" s="117"/>
      <c r="C561" s="117" t="s">
        <v>866</v>
      </c>
      <c r="D561" s="304" t="s">
        <v>1455</v>
      </c>
      <c r="E561" s="305"/>
      <c r="F561" s="117" t="s">
        <v>1652</v>
      </c>
      <c r="G561" s="116">
        <v>1</v>
      </c>
      <c r="H561" s="108">
        <v>0</v>
      </c>
    </row>
    <row r="562" spans="1:8" x14ac:dyDescent="0.2">
      <c r="A562" s="117" t="s">
        <v>374</v>
      </c>
      <c r="B562" s="117"/>
      <c r="C562" s="117" t="s">
        <v>867</v>
      </c>
      <c r="D562" s="304" t="s">
        <v>1456</v>
      </c>
      <c r="E562" s="305"/>
      <c r="F562" s="117" t="s">
        <v>1652</v>
      </c>
      <c r="G562" s="116">
        <v>1</v>
      </c>
      <c r="H562" s="108">
        <v>0</v>
      </c>
    </row>
    <row r="563" spans="1:8" x14ac:dyDescent="0.2">
      <c r="A563" s="117" t="s">
        <v>375</v>
      </c>
      <c r="B563" s="117"/>
      <c r="C563" s="117" t="s">
        <v>868</v>
      </c>
      <c r="D563" s="304" t="s">
        <v>1420</v>
      </c>
      <c r="E563" s="305"/>
      <c r="F563" s="117" t="s">
        <v>1652</v>
      </c>
      <c r="G563" s="116">
        <v>1</v>
      </c>
      <c r="H563" s="108">
        <v>0</v>
      </c>
    </row>
    <row r="564" spans="1:8" x14ac:dyDescent="0.2">
      <c r="A564" s="117" t="s">
        <v>376</v>
      </c>
      <c r="B564" s="117"/>
      <c r="C564" s="117" t="s">
        <v>1992</v>
      </c>
      <c r="D564" s="304" t="s">
        <v>1421</v>
      </c>
      <c r="E564" s="305"/>
      <c r="F564" s="117" t="s">
        <v>1652</v>
      </c>
      <c r="G564" s="116">
        <v>1</v>
      </c>
      <c r="H564" s="108">
        <v>0</v>
      </c>
    </row>
    <row r="565" spans="1:8" x14ac:dyDescent="0.2">
      <c r="A565" s="117" t="s">
        <v>377</v>
      </c>
      <c r="B565" s="117"/>
      <c r="C565" s="117" t="s">
        <v>1991</v>
      </c>
      <c r="D565" s="304" t="s">
        <v>1457</v>
      </c>
      <c r="E565" s="305"/>
      <c r="F565" s="117" t="s">
        <v>1652</v>
      </c>
      <c r="G565" s="116">
        <v>1</v>
      </c>
      <c r="H565" s="108">
        <v>0</v>
      </c>
    </row>
    <row r="566" spans="1:8" x14ac:dyDescent="0.2">
      <c r="A566" s="120"/>
      <c r="B566" s="120"/>
      <c r="C566" s="120" t="s">
        <v>869</v>
      </c>
      <c r="D566" s="306" t="s">
        <v>1458</v>
      </c>
      <c r="E566" s="307"/>
      <c r="F566" s="120"/>
      <c r="G566" s="142"/>
      <c r="H566" s="109"/>
    </row>
    <row r="567" spans="1:8" x14ac:dyDescent="0.2">
      <c r="A567" s="117" t="s">
        <v>378</v>
      </c>
      <c r="B567" s="117"/>
      <c r="C567" s="117" t="s">
        <v>870</v>
      </c>
      <c r="D567" s="304" t="s">
        <v>1459</v>
      </c>
      <c r="E567" s="305"/>
      <c r="F567" s="117" t="s">
        <v>1644</v>
      </c>
      <c r="G567" s="116">
        <v>3</v>
      </c>
      <c r="H567" s="108">
        <v>0</v>
      </c>
    </row>
    <row r="568" spans="1:8" ht="12.2" customHeight="1" x14ac:dyDescent="0.2">
      <c r="D568" s="334" t="s">
        <v>1797</v>
      </c>
      <c r="E568" s="335"/>
      <c r="F568" s="335"/>
      <c r="G568" s="143">
        <v>3</v>
      </c>
    </row>
    <row r="569" spans="1:8" x14ac:dyDescent="0.2">
      <c r="A569" s="117" t="s">
        <v>379</v>
      </c>
      <c r="B569" s="117"/>
      <c r="C569" s="117" t="s">
        <v>871</v>
      </c>
      <c r="D569" s="304" t="s">
        <v>1460</v>
      </c>
      <c r="E569" s="305"/>
      <c r="F569" s="117" t="s">
        <v>1645</v>
      </c>
      <c r="G569" s="116">
        <v>302</v>
      </c>
      <c r="H569" s="108">
        <v>0</v>
      </c>
    </row>
    <row r="570" spans="1:8" ht="12.2" customHeight="1" x14ac:dyDescent="0.2">
      <c r="D570" s="334" t="s">
        <v>1850</v>
      </c>
      <c r="E570" s="335"/>
      <c r="F570" s="335"/>
      <c r="G570" s="143">
        <v>302</v>
      </c>
    </row>
    <row r="571" spans="1:8" x14ac:dyDescent="0.2">
      <c r="A571" s="117" t="s">
        <v>380</v>
      </c>
      <c r="B571" s="117"/>
      <c r="C571" s="117" t="s">
        <v>872</v>
      </c>
      <c r="D571" s="304" t="s">
        <v>1461</v>
      </c>
      <c r="E571" s="305"/>
      <c r="F571" s="117" t="s">
        <v>1645</v>
      </c>
      <c r="G571" s="116">
        <v>345.786</v>
      </c>
      <c r="H571" s="108">
        <v>0</v>
      </c>
    </row>
    <row r="572" spans="1:8" ht="12.2" customHeight="1" x14ac:dyDescent="0.2">
      <c r="D572" s="334" t="s">
        <v>1843</v>
      </c>
      <c r="E572" s="335"/>
      <c r="F572" s="335"/>
      <c r="G572" s="143">
        <v>345.786</v>
      </c>
    </row>
    <row r="573" spans="1:8" x14ac:dyDescent="0.2">
      <c r="A573" s="117" t="s">
        <v>381</v>
      </c>
      <c r="B573" s="117"/>
      <c r="C573" s="117" t="s">
        <v>873</v>
      </c>
      <c r="D573" s="304" t="s">
        <v>1462</v>
      </c>
      <c r="E573" s="305"/>
      <c r="F573" s="117" t="s">
        <v>1645</v>
      </c>
      <c r="G573" s="116">
        <v>345.786</v>
      </c>
      <c r="H573" s="108">
        <v>0</v>
      </c>
    </row>
    <row r="574" spans="1:8" ht="12.2" customHeight="1" x14ac:dyDescent="0.2">
      <c r="D574" s="334" t="s">
        <v>1843</v>
      </c>
      <c r="E574" s="335"/>
      <c r="F574" s="335"/>
      <c r="G574" s="143">
        <v>345.786</v>
      </c>
    </row>
    <row r="575" spans="1:8" x14ac:dyDescent="0.2">
      <c r="A575" s="117" t="s">
        <v>382</v>
      </c>
      <c r="B575" s="117"/>
      <c r="C575" s="117" t="s">
        <v>874</v>
      </c>
      <c r="D575" s="304" t="s">
        <v>1463</v>
      </c>
      <c r="E575" s="305"/>
      <c r="F575" s="117" t="s">
        <v>1645</v>
      </c>
      <c r="G575" s="116">
        <v>345.786</v>
      </c>
      <c r="H575" s="108">
        <v>0</v>
      </c>
    </row>
    <row r="576" spans="1:8" ht="12.2" customHeight="1" x14ac:dyDescent="0.2">
      <c r="D576" s="334" t="s">
        <v>1843</v>
      </c>
      <c r="E576" s="335"/>
      <c r="F576" s="335"/>
      <c r="G576" s="143">
        <v>345.786</v>
      </c>
    </row>
    <row r="577" spans="1:8" x14ac:dyDescent="0.2">
      <c r="A577" s="124" t="s">
        <v>383</v>
      </c>
      <c r="B577" s="124"/>
      <c r="C577" s="124" t="s">
        <v>875</v>
      </c>
      <c r="D577" s="311" t="s">
        <v>1464</v>
      </c>
      <c r="E577" s="312"/>
      <c r="F577" s="124" t="s">
        <v>1645</v>
      </c>
      <c r="G577" s="123">
        <v>363.07499999999999</v>
      </c>
      <c r="H577" s="121">
        <v>0</v>
      </c>
    </row>
    <row r="578" spans="1:8" ht="12.2" customHeight="1" x14ac:dyDescent="0.2">
      <c r="D578" s="336" t="s">
        <v>1803</v>
      </c>
      <c r="E578" s="337"/>
      <c r="F578" s="337"/>
      <c r="G578" s="146">
        <v>345.786</v>
      </c>
    </row>
    <row r="579" spans="1:8" ht="12.2" customHeight="1" x14ac:dyDescent="0.2">
      <c r="A579" s="124"/>
      <c r="B579" s="124"/>
      <c r="C579" s="124"/>
      <c r="D579" s="336" t="s">
        <v>1851</v>
      </c>
      <c r="E579" s="337"/>
      <c r="F579" s="336"/>
      <c r="G579" s="145">
        <v>17.289000000000001</v>
      </c>
      <c r="H579" s="122"/>
    </row>
    <row r="580" spans="1:8" x14ac:dyDescent="0.2">
      <c r="A580" s="117" t="s">
        <v>384</v>
      </c>
      <c r="B580" s="117"/>
      <c r="C580" s="117" t="s">
        <v>876</v>
      </c>
      <c r="D580" s="304" t="s">
        <v>1465</v>
      </c>
      <c r="E580" s="305"/>
      <c r="F580" s="117" t="s">
        <v>1645</v>
      </c>
      <c r="G580" s="116">
        <v>344.89400000000001</v>
      </c>
      <c r="H580" s="108">
        <v>0</v>
      </c>
    </row>
    <row r="581" spans="1:8" ht="12.2" customHeight="1" x14ac:dyDescent="0.2">
      <c r="D581" s="334" t="s">
        <v>1842</v>
      </c>
      <c r="E581" s="335"/>
      <c r="F581" s="335"/>
      <c r="G581" s="143">
        <v>344.89400000000001</v>
      </c>
    </row>
    <row r="582" spans="1:8" x14ac:dyDescent="0.2">
      <c r="A582" s="117" t="s">
        <v>385</v>
      </c>
      <c r="B582" s="117"/>
      <c r="C582" s="117" t="s">
        <v>877</v>
      </c>
      <c r="D582" s="304" t="s">
        <v>1466</v>
      </c>
      <c r="E582" s="305"/>
      <c r="F582" s="117" t="s">
        <v>1647</v>
      </c>
      <c r="G582" s="116">
        <v>7.6070000000000002</v>
      </c>
      <c r="H582" s="108">
        <v>0</v>
      </c>
    </row>
    <row r="583" spans="1:8" ht="12.2" customHeight="1" x14ac:dyDescent="0.2">
      <c r="D583" s="334" t="s">
        <v>1852</v>
      </c>
      <c r="E583" s="335"/>
      <c r="F583" s="335"/>
      <c r="G583" s="143">
        <v>7.6070000000000002</v>
      </c>
    </row>
    <row r="584" spans="1:8" x14ac:dyDescent="0.2">
      <c r="A584" s="117" t="s">
        <v>386</v>
      </c>
      <c r="B584" s="117"/>
      <c r="C584" s="117" t="s">
        <v>878</v>
      </c>
      <c r="D584" s="304" t="s">
        <v>1467</v>
      </c>
      <c r="E584" s="305"/>
      <c r="F584" s="117" t="s">
        <v>1645</v>
      </c>
      <c r="G584" s="116">
        <v>54.9</v>
      </c>
      <c r="H584" s="108">
        <v>0</v>
      </c>
    </row>
    <row r="585" spans="1:8" ht="12.2" customHeight="1" x14ac:dyDescent="0.2">
      <c r="D585" s="334" t="s">
        <v>1853</v>
      </c>
      <c r="E585" s="335"/>
      <c r="F585" s="335"/>
      <c r="G585" s="143">
        <v>54.9</v>
      </c>
    </row>
    <row r="586" spans="1:8" x14ac:dyDescent="0.2">
      <c r="A586" s="117" t="s">
        <v>387</v>
      </c>
      <c r="B586" s="117"/>
      <c r="C586" s="117" t="s">
        <v>879</v>
      </c>
      <c r="D586" s="304" t="s">
        <v>1468</v>
      </c>
      <c r="E586" s="305"/>
      <c r="F586" s="117" t="s">
        <v>1645</v>
      </c>
      <c r="G586" s="116">
        <v>54.9</v>
      </c>
      <c r="H586" s="108">
        <v>0</v>
      </c>
    </row>
    <row r="587" spans="1:8" ht="12.2" customHeight="1" x14ac:dyDescent="0.2">
      <c r="D587" s="334" t="s">
        <v>1853</v>
      </c>
      <c r="E587" s="335"/>
      <c r="F587" s="335"/>
      <c r="G587" s="143">
        <v>54.9</v>
      </c>
    </row>
    <row r="588" spans="1:8" x14ac:dyDescent="0.2">
      <c r="A588" s="117" t="s">
        <v>388</v>
      </c>
      <c r="B588" s="117"/>
      <c r="C588" s="117" t="s">
        <v>880</v>
      </c>
      <c r="D588" s="304" t="s">
        <v>1469</v>
      </c>
      <c r="E588" s="305"/>
      <c r="F588" s="117" t="s">
        <v>1647</v>
      </c>
      <c r="G588" s="116">
        <v>1.0429999999999999</v>
      </c>
      <c r="H588" s="108">
        <v>0</v>
      </c>
    </row>
    <row r="589" spans="1:8" ht="12.2" customHeight="1" x14ac:dyDescent="0.2">
      <c r="D589" s="334" t="s">
        <v>1854</v>
      </c>
      <c r="E589" s="335"/>
      <c r="F589" s="335"/>
      <c r="G589" s="143">
        <v>1.0429999999999999</v>
      </c>
    </row>
    <row r="590" spans="1:8" x14ac:dyDescent="0.2">
      <c r="A590" s="117" t="s">
        <v>389</v>
      </c>
      <c r="B590" s="117"/>
      <c r="C590" s="117" t="s">
        <v>881</v>
      </c>
      <c r="D590" s="304" t="s">
        <v>1470</v>
      </c>
      <c r="E590" s="305"/>
      <c r="F590" s="117" t="s">
        <v>1648</v>
      </c>
      <c r="G590" s="116">
        <v>31.597999999999999</v>
      </c>
      <c r="H590" s="108">
        <v>0</v>
      </c>
    </row>
    <row r="591" spans="1:8" ht="12.2" customHeight="1" x14ac:dyDescent="0.2">
      <c r="D591" s="334" t="s">
        <v>1855</v>
      </c>
      <c r="E591" s="335"/>
      <c r="F591" s="335"/>
      <c r="G591" s="143">
        <v>31.597999999999999</v>
      </c>
    </row>
    <row r="592" spans="1:8" x14ac:dyDescent="0.2">
      <c r="A592" s="120"/>
      <c r="B592" s="120"/>
      <c r="C592" s="120" t="s">
        <v>882</v>
      </c>
      <c r="D592" s="306" t="s">
        <v>1471</v>
      </c>
      <c r="E592" s="307"/>
      <c r="F592" s="120"/>
      <c r="G592" s="142"/>
      <c r="H592" s="109"/>
    </row>
    <row r="593" spans="1:8" x14ac:dyDescent="0.2">
      <c r="A593" s="117" t="s">
        <v>390</v>
      </c>
      <c r="B593" s="117"/>
      <c r="C593" s="117" t="s">
        <v>883</v>
      </c>
      <c r="D593" s="304" t="s">
        <v>1472</v>
      </c>
      <c r="E593" s="305"/>
      <c r="F593" s="117" t="s">
        <v>1645</v>
      </c>
      <c r="G593" s="116">
        <v>344.89400000000001</v>
      </c>
      <c r="H593" s="108">
        <v>0</v>
      </c>
    </row>
    <row r="594" spans="1:8" ht="12.2" customHeight="1" x14ac:dyDescent="0.2">
      <c r="D594" s="334" t="s">
        <v>1842</v>
      </c>
      <c r="E594" s="335"/>
      <c r="F594" s="335"/>
      <c r="G594" s="143">
        <v>344.89400000000001</v>
      </c>
    </row>
    <row r="595" spans="1:8" x14ac:dyDescent="0.2">
      <c r="A595" s="117" t="s">
        <v>391</v>
      </c>
      <c r="B595" s="117"/>
      <c r="C595" s="117" t="s">
        <v>884</v>
      </c>
      <c r="D595" s="304" t="s">
        <v>1473</v>
      </c>
      <c r="E595" s="305"/>
      <c r="F595" s="117" t="s">
        <v>1646</v>
      </c>
      <c r="G595" s="116">
        <v>106</v>
      </c>
      <c r="H595" s="108">
        <v>0</v>
      </c>
    </row>
    <row r="596" spans="1:8" ht="12.2" customHeight="1" x14ac:dyDescent="0.2">
      <c r="D596" s="334" t="s">
        <v>1856</v>
      </c>
      <c r="E596" s="335"/>
      <c r="F596" s="335"/>
      <c r="G596" s="143">
        <v>106</v>
      </c>
    </row>
    <row r="597" spans="1:8" x14ac:dyDescent="0.2">
      <c r="A597" s="117" t="s">
        <v>392</v>
      </c>
      <c r="B597" s="117"/>
      <c r="C597" s="117" t="s">
        <v>885</v>
      </c>
      <c r="D597" s="304" t="s">
        <v>1474</v>
      </c>
      <c r="E597" s="305"/>
      <c r="F597" s="117" t="s">
        <v>1645</v>
      </c>
      <c r="G597" s="116">
        <v>1.952</v>
      </c>
      <c r="H597" s="108">
        <v>0</v>
      </c>
    </row>
    <row r="598" spans="1:8" ht="12.2" customHeight="1" x14ac:dyDescent="0.2">
      <c r="D598" s="334" t="s">
        <v>1857</v>
      </c>
      <c r="E598" s="335"/>
      <c r="F598" s="335"/>
      <c r="G598" s="143">
        <v>1.952</v>
      </c>
    </row>
    <row r="599" spans="1:8" x14ac:dyDescent="0.2">
      <c r="A599" s="117" t="s">
        <v>393</v>
      </c>
      <c r="B599" s="117"/>
      <c r="C599" s="117" t="s">
        <v>886</v>
      </c>
      <c r="D599" s="304" t="s">
        <v>1475</v>
      </c>
      <c r="E599" s="305"/>
      <c r="F599" s="117" t="s">
        <v>1646</v>
      </c>
      <c r="G599" s="116">
        <v>62.5</v>
      </c>
      <c r="H599" s="108">
        <v>0</v>
      </c>
    </row>
    <row r="600" spans="1:8" ht="12.2" customHeight="1" x14ac:dyDescent="0.2">
      <c r="D600" s="334" t="s">
        <v>1847</v>
      </c>
      <c r="E600" s="335"/>
      <c r="F600" s="335"/>
      <c r="G600" s="143">
        <v>62.5</v>
      </c>
    </row>
    <row r="601" spans="1:8" x14ac:dyDescent="0.2">
      <c r="A601" s="117" t="s">
        <v>394</v>
      </c>
      <c r="B601" s="117"/>
      <c r="C601" s="117" t="s">
        <v>887</v>
      </c>
      <c r="D601" s="304" t="s">
        <v>1476</v>
      </c>
      <c r="E601" s="305"/>
      <c r="F601" s="117" t="s">
        <v>1644</v>
      </c>
      <c r="G601" s="116">
        <v>4</v>
      </c>
      <c r="H601" s="108">
        <v>0</v>
      </c>
    </row>
    <row r="602" spans="1:8" ht="12.2" customHeight="1" x14ac:dyDescent="0.2">
      <c r="D602" s="334" t="s">
        <v>1795</v>
      </c>
      <c r="E602" s="335"/>
      <c r="F602" s="335"/>
      <c r="G602" s="143">
        <v>4</v>
      </c>
    </row>
    <row r="603" spans="1:8" x14ac:dyDescent="0.2">
      <c r="A603" s="117" t="s">
        <v>395</v>
      </c>
      <c r="B603" s="117"/>
      <c r="C603" s="117" t="s">
        <v>888</v>
      </c>
      <c r="D603" s="304" t="s">
        <v>1477</v>
      </c>
      <c r="E603" s="305"/>
      <c r="F603" s="117" t="s">
        <v>1644</v>
      </c>
      <c r="G603" s="116">
        <v>1</v>
      </c>
      <c r="H603" s="108">
        <v>0</v>
      </c>
    </row>
    <row r="604" spans="1:8" ht="12.2" customHeight="1" x14ac:dyDescent="0.2">
      <c r="D604" s="334" t="s">
        <v>1749</v>
      </c>
      <c r="E604" s="335"/>
      <c r="F604" s="335"/>
      <c r="G604" s="143">
        <v>1</v>
      </c>
    </row>
    <row r="605" spans="1:8" x14ac:dyDescent="0.2">
      <c r="A605" s="117" t="s">
        <v>396</v>
      </c>
      <c r="B605" s="117"/>
      <c r="C605" s="117" t="s">
        <v>889</v>
      </c>
      <c r="D605" s="304" t="s">
        <v>1478</v>
      </c>
      <c r="E605" s="305"/>
      <c r="F605" s="117" t="s">
        <v>1646</v>
      </c>
      <c r="G605" s="116">
        <v>47</v>
      </c>
      <c r="H605" s="108">
        <v>0</v>
      </c>
    </row>
    <row r="606" spans="1:8" ht="12.2" customHeight="1" x14ac:dyDescent="0.2">
      <c r="D606" s="334" t="s">
        <v>1858</v>
      </c>
      <c r="E606" s="335"/>
      <c r="F606" s="335"/>
      <c r="G606" s="143">
        <v>47</v>
      </c>
    </row>
    <row r="607" spans="1:8" x14ac:dyDescent="0.2">
      <c r="A607" s="117" t="s">
        <v>397</v>
      </c>
      <c r="B607" s="117"/>
      <c r="C607" s="117" t="s">
        <v>890</v>
      </c>
      <c r="D607" s="304" t="s">
        <v>1479</v>
      </c>
      <c r="E607" s="305"/>
      <c r="F607" s="117" t="s">
        <v>1646</v>
      </c>
      <c r="G607" s="116">
        <v>18</v>
      </c>
      <c r="H607" s="108">
        <v>0</v>
      </c>
    </row>
    <row r="608" spans="1:8" ht="12.2" customHeight="1" x14ac:dyDescent="0.2">
      <c r="D608" s="334" t="s">
        <v>1859</v>
      </c>
      <c r="E608" s="335"/>
      <c r="F608" s="335"/>
      <c r="G608" s="143">
        <v>18</v>
      </c>
    </row>
    <row r="609" spans="1:8" x14ac:dyDescent="0.2">
      <c r="A609" s="117" t="s">
        <v>398</v>
      </c>
      <c r="B609" s="117"/>
      <c r="C609" s="117" t="s">
        <v>891</v>
      </c>
      <c r="D609" s="304" t="s">
        <v>1480</v>
      </c>
      <c r="E609" s="305"/>
      <c r="F609" s="117" t="s">
        <v>1646</v>
      </c>
      <c r="G609" s="116">
        <v>65.004999999999995</v>
      </c>
      <c r="H609" s="108">
        <v>0</v>
      </c>
    </row>
    <row r="610" spans="1:8" ht="12.2" customHeight="1" x14ac:dyDescent="0.2">
      <c r="D610" s="334" t="s">
        <v>1860</v>
      </c>
      <c r="E610" s="335"/>
      <c r="F610" s="335"/>
      <c r="G610" s="143">
        <v>65.004999999999995</v>
      </c>
    </row>
    <row r="611" spans="1:8" x14ac:dyDescent="0.2">
      <c r="A611" s="117" t="s">
        <v>399</v>
      </c>
      <c r="B611" s="117"/>
      <c r="C611" s="117" t="s">
        <v>892</v>
      </c>
      <c r="D611" s="304" t="s">
        <v>1481</v>
      </c>
      <c r="E611" s="305"/>
      <c r="F611" s="117" t="s">
        <v>1646</v>
      </c>
      <c r="G611" s="116">
        <v>31</v>
      </c>
      <c r="H611" s="108">
        <v>0</v>
      </c>
    </row>
    <row r="612" spans="1:8" ht="12.2" customHeight="1" x14ac:dyDescent="0.2">
      <c r="D612" s="334" t="s">
        <v>1861</v>
      </c>
      <c r="E612" s="335"/>
      <c r="F612" s="335"/>
      <c r="G612" s="143">
        <v>31</v>
      </c>
    </row>
    <row r="613" spans="1:8" x14ac:dyDescent="0.2">
      <c r="A613" s="117" t="s">
        <v>400</v>
      </c>
      <c r="B613" s="117"/>
      <c r="C613" s="117" t="s">
        <v>893</v>
      </c>
      <c r="D613" s="304" t="s">
        <v>1482</v>
      </c>
      <c r="E613" s="305"/>
      <c r="F613" s="117" t="s">
        <v>1646</v>
      </c>
      <c r="G613" s="116">
        <v>62.5</v>
      </c>
      <c r="H613" s="108">
        <v>0</v>
      </c>
    </row>
    <row r="614" spans="1:8" ht="12.2" customHeight="1" x14ac:dyDescent="0.2">
      <c r="D614" s="334" t="s">
        <v>1847</v>
      </c>
      <c r="E614" s="335"/>
      <c r="F614" s="335"/>
      <c r="G614" s="143">
        <v>62.5</v>
      </c>
    </row>
    <row r="615" spans="1:8" x14ac:dyDescent="0.2">
      <c r="A615" s="117" t="s">
        <v>401</v>
      </c>
      <c r="B615" s="117"/>
      <c r="C615" s="117" t="s">
        <v>894</v>
      </c>
      <c r="D615" s="304" t="s">
        <v>1483</v>
      </c>
      <c r="E615" s="305"/>
      <c r="F615" s="117" t="s">
        <v>1644</v>
      </c>
      <c r="G615" s="116">
        <v>4</v>
      </c>
      <c r="H615" s="108">
        <v>0</v>
      </c>
    </row>
    <row r="616" spans="1:8" ht="12.2" customHeight="1" x14ac:dyDescent="0.2">
      <c r="D616" s="334" t="s">
        <v>1795</v>
      </c>
      <c r="E616" s="335"/>
      <c r="F616" s="335"/>
      <c r="G616" s="143">
        <v>4</v>
      </c>
    </row>
    <row r="617" spans="1:8" x14ac:dyDescent="0.2">
      <c r="A617" s="117" t="s">
        <v>402</v>
      </c>
      <c r="B617" s="117"/>
      <c r="C617" s="117" t="s">
        <v>895</v>
      </c>
      <c r="D617" s="304" t="s">
        <v>1484</v>
      </c>
      <c r="E617" s="305"/>
      <c r="F617" s="117" t="s">
        <v>1646</v>
      </c>
      <c r="G617" s="116">
        <v>31</v>
      </c>
      <c r="H617" s="108">
        <v>0</v>
      </c>
    </row>
    <row r="618" spans="1:8" ht="12.2" customHeight="1" x14ac:dyDescent="0.2">
      <c r="D618" s="334" t="s">
        <v>1861</v>
      </c>
      <c r="E618" s="335"/>
      <c r="F618" s="335"/>
      <c r="G618" s="143">
        <v>31</v>
      </c>
    </row>
    <row r="619" spans="1:8" x14ac:dyDescent="0.2">
      <c r="A619" s="117" t="s">
        <v>403</v>
      </c>
      <c r="B619" s="117"/>
      <c r="C619" s="117" t="s">
        <v>896</v>
      </c>
      <c r="D619" s="304" t="s">
        <v>1990</v>
      </c>
      <c r="E619" s="305"/>
      <c r="F619" s="117" t="s">
        <v>1646</v>
      </c>
      <c r="G619" s="116">
        <v>106</v>
      </c>
      <c r="H619" s="108">
        <v>0</v>
      </c>
    </row>
    <row r="620" spans="1:8" ht="12.2" customHeight="1" x14ac:dyDescent="0.2">
      <c r="D620" s="334" t="s">
        <v>1862</v>
      </c>
      <c r="E620" s="335"/>
      <c r="F620" s="335"/>
      <c r="G620" s="143">
        <v>106</v>
      </c>
    </row>
    <row r="621" spans="1:8" x14ac:dyDescent="0.2">
      <c r="A621" s="117" t="s">
        <v>404</v>
      </c>
      <c r="B621" s="117"/>
      <c r="C621" s="117" t="s">
        <v>897</v>
      </c>
      <c r="D621" s="304" t="s">
        <v>1989</v>
      </c>
      <c r="E621" s="305"/>
      <c r="F621" s="117" t="s">
        <v>1646</v>
      </c>
      <c r="G621" s="116">
        <v>6.2</v>
      </c>
      <c r="H621" s="108">
        <v>0</v>
      </c>
    </row>
    <row r="622" spans="1:8" ht="12.2" customHeight="1" x14ac:dyDescent="0.2">
      <c r="D622" s="334" t="s">
        <v>1863</v>
      </c>
      <c r="E622" s="335"/>
      <c r="F622" s="335"/>
      <c r="G622" s="143">
        <v>6.2</v>
      </c>
    </row>
    <row r="623" spans="1:8" x14ac:dyDescent="0.2">
      <c r="A623" s="117" t="s">
        <v>405</v>
      </c>
      <c r="B623" s="117"/>
      <c r="C623" s="117" t="s">
        <v>898</v>
      </c>
      <c r="D623" s="304" t="s">
        <v>1487</v>
      </c>
      <c r="E623" s="305"/>
      <c r="F623" s="117" t="s">
        <v>1646</v>
      </c>
      <c r="G623" s="116">
        <v>3.2</v>
      </c>
      <c r="H623" s="108">
        <v>0</v>
      </c>
    </row>
    <row r="624" spans="1:8" ht="12.2" customHeight="1" x14ac:dyDescent="0.2">
      <c r="D624" s="334" t="s">
        <v>1864</v>
      </c>
      <c r="E624" s="335"/>
      <c r="F624" s="335"/>
      <c r="G624" s="143">
        <v>3.2</v>
      </c>
    </row>
    <row r="625" spans="1:8" x14ac:dyDescent="0.2">
      <c r="A625" s="117" t="s">
        <v>406</v>
      </c>
      <c r="B625" s="117"/>
      <c r="C625" s="117" t="s">
        <v>899</v>
      </c>
      <c r="D625" s="304" t="s">
        <v>1988</v>
      </c>
      <c r="E625" s="305"/>
      <c r="F625" s="117" t="s">
        <v>1646</v>
      </c>
      <c r="G625" s="116">
        <v>31.18</v>
      </c>
      <c r="H625" s="108">
        <v>0</v>
      </c>
    </row>
    <row r="626" spans="1:8" ht="12.2" customHeight="1" x14ac:dyDescent="0.2">
      <c r="D626" s="334" t="s">
        <v>1865</v>
      </c>
      <c r="E626" s="335"/>
      <c r="F626" s="335"/>
      <c r="G626" s="143">
        <v>31.18</v>
      </c>
    </row>
    <row r="627" spans="1:8" x14ac:dyDescent="0.2">
      <c r="A627" s="117" t="s">
        <v>407</v>
      </c>
      <c r="B627" s="117"/>
      <c r="C627" s="117" t="s">
        <v>900</v>
      </c>
      <c r="D627" s="304" t="s">
        <v>1489</v>
      </c>
      <c r="E627" s="305"/>
      <c r="F627" s="117" t="s">
        <v>1646</v>
      </c>
      <c r="G627" s="116">
        <v>31.18</v>
      </c>
      <c r="H627" s="108">
        <v>0</v>
      </c>
    </row>
    <row r="628" spans="1:8" ht="12.2" customHeight="1" x14ac:dyDescent="0.2">
      <c r="D628" s="334" t="s">
        <v>1865</v>
      </c>
      <c r="E628" s="335"/>
      <c r="F628" s="335"/>
      <c r="G628" s="143">
        <v>31.18</v>
      </c>
    </row>
    <row r="629" spans="1:8" x14ac:dyDescent="0.2">
      <c r="A629" s="117" t="s">
        <v>408</v>
      </c>
      <c r="B629" s="117"/>
      <c r="C629" s="117" t="s">
        <v>901</v>
      </c>
      <c r="D629" s="304" t="s">
        <v>1490</v>
      </c>
      <c r="E629" s="305"/>
      <c r="F629" s="117" t="s">
        <v>1646</v>
      </c>
      <c r="G629" s="116">
        <v>62.5</v>
      </c>
      <c r="H629" s="108">
        <v>0</v>
      </c>
    </row>
    <row r="630" spans="1:8" ht="12.2" customHeight="1" x14ac:dyDescent="0.2">
      <c r="D630" s="334" t="s">
        <v>1847</v>
      </c>
      <c r="E630" s="335"/>
      <c r="F630" s="335"/>
      <c r="G630" s="143">
        <v>62.5</v>
      </c>
    </row>
    <row r="631" spans="1:8" x14ac:dyDescent="0.2">
      <c r="A631" s="117" t="s">
        <v>409</v>
      </c>
      <c r="B631" s="117"/>
      <c r="C631" s="117" t="s">
        <v>902</v>
      </c>
      <c r="D631" s="304" t="s">
        <v>1491</v>
      </c>
      <c r="E631" s="305"/>
      <c r="F631" s="117" t="s">
        <v>1648</v>
      </c>
      <c r="G631" s="116">
        <v>4.7439999999999998</v>
      </c>
      <c r="H631" s="108">
        <v>0</v>
      </c>
    </row>
    <row r="632" spans="1:8" ht="12.2" customHeight="1" x14ac:dyDescent="0.2">
      <c r="D632" s="334" t="s">
        <v>1866</v>
      </c>
      <c r="E632" s="335"/>
      <c r="F632" s="335"/>
      <c r="G632" s="143">
        <v>4.7439999999999998</v>
      </c>
    </row>
    <row r="633" spans="1:8" x14ac:dyDescent="0.2">
      <c r="A633" s="120"/>
      <c r="B633" s="120"/>
      <c r="C633" s="120" t="s">
        <v>903</v>
      </c>
      <c r="D633" s="306" t="s">
        <v>1492</v>
      </c>
      <c r="E633" s="307"/>
      <c r="F633" s="120"/>
      <c r="G633" s="142"/>
      <c r="H633" s="109"/>
    </row>
    <row r="634" spans="1:8" x14ac:dyDescent="0.2">
      <c r="A634" s="117" t="s">
        <v>410</v>
      </c>
      <c r="B634" s="117"/>
      <c r="C634" s="117" t="s">
        <v>904</v>
      </c>
      <c r="D634" s="304" t="s">
        <v>1493</v>
      </c>
      <c r="E634" s="305"/>
      <c r="F634" s="117" t="s">
        <v>1644</v>
      </c>
      <c r="G634" s="116">
        <v>1</v>
      </c>
      <c r="H634" s="108">
        <v>0</v>
      </c>
    </row>
    <row r="635" spans="1:8" ht="12.2" customHeight="1" x14ac:dyDescent="0.2">
      <c r="D635" s="334" t="s">
        <v>1749</v>
      </c>
      <c r="E635" s="335"/>
      <c r="F635" s="335"/>
      <c r="G635" s="143">
        <v>1</v>
      </c>
    </row>
    <row r="636" spans="1:8" x14ac:dyDescent="0.2">
      <c r="A636" s="117" t="s">
        <v>411</v>
      </c>
      <c r="B636" s="117"/>
      <c r="C636" s="117" t="s">
        <v>905</v>
      </c>
      <c r="D636" s="304" t="s">
        <v>1987</v>
      </c>
      <c r="E636" s="305"/>
      <c r="F636" s="117" t="s">
        <v>1644</v>
      </c>
      <c r="G636" s="116">
        <v>1</v>
      </c>
      <c r="H636" s="108">
        <v>0</v>
      </c>
    </row>
    <row r="637" spans="1:8" ht="12.2" customHeight="1" x14ac:dyDescent="0.2">
      <c r="D637" s="334" t="s">
        <v>1749</v>
      </c>
      <c r="E637" s="335"/>
      <c r="F637" s="335"/>
      <c r="G637" s="143">
        <v>1</v>
      </c>
    </row>
    <row r="638" spans="1:8" x14ac:dyDescent="0.2">
      <c r="A638" s="117" t="s">
        <v>412</v>
      </c>
      <c r="B638" s="117"/>
      <c r="C638" s="117" t="s">
        <v>906</v>
      </c>
      <c r="D638" s="304" t="s">
        <v>1495</v>
      </c>
      <c r="E638" s="305"/>
      <c r="F638" s="117" t="s">
        <v>1648</v>
      </c>
      <c r="G638" s="116">
        <v>4.7E-2</v>
      </c>
      <c r="H638" s="108">
        <v>0</v>
      </c>
    </row>
    <row r="639" spans="1:8" ht="12.2" customHeight="1" x14ac:dyDescent="0.2">
      <c r="D639" s="334" t="s">
        <v>1867</v>
      </c>
      <c r="E639" s="335"/>
      <c r="F639" s="335"/>
      <c r="G639" s="143">
        <v>4.7E-2</v>
      </c>
    </row>
    <row r="640" spans="1:8" x14ac:dyDescent="0.2">
      <c r="A640" s="120"/>
      <c r="B640" s="120"/>
      <c r="C640" s="120" t="s">
        <v>907</v>
      </c>
      <c r="D640" s="306" t="s">
        <v>1496</v>
      </c>
      <c r="E640" s="307"/>
      <c r="F640" s="120"/>
      <c r="G640" s="142"/>
      <c r="H640" s="109"/>
    </row>
    <row r="641" spans="1:8" x14ac:dyDescent="0.2">
      <c r="A641" s="117" t="s">
        <v>413</v>
      </c>
      <c r="B641" s="117"/>
      <c r="C641" s="117" t="s">
        <v>908</v>
      </c>
      <c r="D641" s="304" t="s">
        <v>1497</v>
      </c>
      <c r="E641" s="305"/>
      <c r="F641" s="117" t="s">
        <v>1644</v>
      </c>
      <c r="G641" s="116">
        <v>1</v>
      </c>
      <c r="H641" s="108">
        <v>0</v>
      </c>
    </row>
    <row r="642" spans="1:8" ht="12.2" customHeight="1" x14ac:dyDescent="0.2">
      <c r="D642" s="334" t="s">
        <v>1749</v>
      </c>
      <c r="E642" s="335"/>
      <c r="F642" s="335"/>
      <c r="G642" s="143">
        <v>1</v>
      </c>
    </row>
    <row r="643" spans="1:8" x14ac:dyDescent="0.2">
      <c r="A643" s="117" t="s">
        <v>414</v>
      </c>
      <c r="B643" s="117"/>
      <c r="C643" s="117" t="s">
        <v>909</v>
      </c>
      <c r="D643" s="304" t="s">
        <v>1498</v>
      </c>
      <c r="E643" s="305"/>
      <c r="F643" s="117" t="s">
        <v>1644</v>
      </c>
      <c r="G643" s="116">
        <v>1</v>
      </c>
      <c r="H643" s="108">
        <v>0</v>
      </c>
    </row>
    <row r="644" spans="1:8" ht="12.2" customHeight="1" x14ac:dyDescent="0.2">
      <c r="D644" s="334" t="s">
        <v>1749</v>
      </c>
      <c r="E644" s="335"/>
      <c r="F644" s="335"/>
      <c r="G644" s="143">
        <v>1</v>
      </c>
    </row>
    <row r="645" spans="1:8" x14ac:dyDescent="0.2">
      <c r="A645" s="117" t="s">
        <v>415</v>
      </c>
      <c r="B645" s="117"/>
      <c r="C645" s="117" t="s">
        <v>910</v>
      </c>
      <c r="D645" s="304" t="s">
        <v>1499</v>
      </c>
      <c r="E645" s="305"/>
      <c r="F645" s="117" t="s">
        <v>1644</v>
      </c>
      <c r="G645" s="116">
        <v>10</v>
      </c>
      <c r="H645" s="108">
        <v>0</v>
      </c>
    </row>
    <row r="646" spans="1:8" ht="12.2" customHeight="1" x14ac:dyDescent="0.2">
      <c r="D646" s="334" t="s">
        <v>2177</v>
      </c>
      <c r="E646" s="335"/>
      <c r="F646" s="335"/>
      <c r="G646" s="143">
        <v>10</v>
      </c>
    </row>
    <row r="647" spans="1:8" x14ac:dyDescent="0.2">
      <c r="A647" s="117" t="s">
        <v>416</v>
      </c>
      <c r="B647" s="117"/>
      <c r="C647" s="117" t="s">
        <v>913</v>
      </c>
      <c r="D647" s="304" t="s">
        <v>1502</v>
      </c>
      <c r="E647" s="305"/>
      <c r="F647" s="117" t="s">
        <v>1644</v>
      </c>
      <c r="G647" s="116">
        <v>2</v>
      </c>
      <c r="H647" s="108">
        <v>0</v>
      </c>
    </row>
    <row r="648" spans="1:8" ht="12.2" customHeight="1" x14ac:dyDescent="0.2">
      <c r="D648" s="334" t="s">
        <v>1849</v>
      </c>
      <c r="E648" s="335"/>
      <c r="F648" s="335"/>
      <c r="G648" s="143">
        <v>2</v>
      </c>
    </row>
    <row r="649" spans="1:8" x14ac:dyDescent="0.2">
      <c r="A649" s="117" t="s">
        <v>417</v>
      </c>
      <c r="B649" s="117"/>
      <c r="C649" s="117" t="s">
        <v>914</v>
      </c>
      <c r="D649" s="304" t="s">
        <v>1503</v>
      </c>
      <c r="E649" s="305"/>
      <c r="F649" s="117" t="s">
        <v>1644</v>
      </c>
      <c r="G649" s="116">
        <v>2</v>
      </c>
      <c r="H649" s="108">
        <v>0</v>
      </c>
    </row>
    <row r="650" spans="1:8" ht="12.2" customHeight="1" x14ac:dyDescent="0.2">
      <c r="D650" s="334" t="s">
        <v>1849</v>
      </c>
      <c r="E650" s="335"/>
      <c r="F650" s="335"/>
      <c r="G650" s="143">
        <v>2</v>
      </c>
    </row>
    <row r="651" spans="1:8" x14ac:dyDescent="0.2">
      <c r="A651" s="117" t="s">
        <v>418</v>
      </c>
      <c r="B651" s="117"/>
      <c r="C651" s="117" t="s">
        <v>916</v>
      </c>
      <c r="D651" s="304" t="s">
        <v>1505</v>
      </c>
      <c r="E651" s="305"/>
      <c r="F651" s="117" t="s">
        <v>1644</v>
      </c>
      <c r="G651" s="116">
        <v>1</v>
      </c>
      <c r="H651" s="108">
        <v>0</v>
      </c>
    </row>
    <row r="652" spans="1:8" ht="12.2" customHeight="1" x14ac:dyDescent="0.2">
      <c r="D652" s="334" t="s">
        <v>1749</v>
      </c>
      <c r="E652" s="335"/>
      <c r="F652" s="335"/>
      <c r="G652" s="143">
        <v>1</v>
      </c>
    </row>
    <row r="653" spans="1:8" x14ac:dyDescent="0.2">
      <c r="A653" s="117" t="s">
        <v>419</v>
      </c>
      <c r="B653" s="117"/>
      <c r="C653" s="117" t="s">
        <v>918</v>
      </c>
      <c r="D653" s="304" t="s">
        <v>1986</v>
      </c>
      <c r="E653" s="305"/>
      <c r="F653" s="117" t="s">
        <v>1644</v>
      </c>
      <c r="G653" s="116">
        <v>2</v>
      </c>
      <c r="H653" s="108">
        <v>0</v>
      </c>
    </row>
    <row r="654" spans="1:8" ht="12.2" customHeight="1" x14ac:dyDescent="0.2">
      <c r="D654" s="334" t="s">
        <v>1849</v>
      </c>
      <c r="E654" s="335"/>
      <c r="F654" s="335"/>
      <c r="G654" s="143">
        <v>2</v>
      </c>
    </row>
    <row r="655" spans="1:8" x14ac:dyDescent="0.2">
      <c r="A655" s="117" t="s">
        <v>420</v>
      </c>
      <c r="B655" s="117"/>
      <c r="C655" s="117" t="s">
        <v>919</v>
      </c>
      <c r="D655" s="304" t="s">
        <v>1508</v>
      </c>
      <c r="E655" s="305"/>
      <c r="F655" s="117" t="s">
        <v>1644</v>
      </c>
      <c r="G655" s="116">
        <v>2</v>
      </c>
      <c r="H655" s="108">
        <v>0</v>
      </c>
    </row>
    <row r="656" spans="1:8" ht="12.2" customHeight="1" x14ac:dyDescent="0.2">
      <c r="D656" s="334" t="s">
        <v>1849</v>
      </c>
      <c r="E656" s="335"/>
      <c r="F656" s="335"/>
      <c r="G656" s="143">
        <v>2</v>
      </c>
    </row>
    <row r="657" spans="1:8" x14ac:dyDescent="0.2">
      <c r="A657" s="117" t="s">
        <v>421</v>
      </c>
      <c r="B657" s="117"/>
      <c r="C657" s="117" t="s">
        <v>917</v>
      </c>
      <c r="D657" s="304" t="s">
        <v>1506</v>
      </c>
      <c r="E657" s="305"/>
      <c r="F657" s="117" t="s">
        <v>1644</v>
      </c>
      <c r="G657" s="116">
        <v>1</v>
      </c>
      <c r="H657" s="108">
        <v>0</v>
      </c>
    </row>
    <row r="658" spans="1:8" ht="12.2" customHeight="1" x14ac:dyDescent="0.2">
      <c r="D658" s="334" t="s">
        <v>1749</v>
      </c>
      <c r="E658" s="335"/>
      <c r="F658" s="335"/>
      <c r="G658" s="143">
        <v>1</v>
      </c>
    </row>
    <row r="659" spans="1:8" x14ac:dyDescent="0.2">
      <c r="A659" s="117" t="s">
        <v>422</v>
      </c>
      <c r="B659" s="117"/>
      <c r="C659" s="117" t="s">
        <v>920</v>
      </c>
      <c r="D659" s="304" t="s">
        <v>1509</v>
      </c>
      <c r="E659" s="305"/>
      <c r="F659" s="117" t="s">
        <v>1644</v>
      </c>
      <c r="G659" s="116">
        <v>2</v>
      </c>
      <c r="H659" s="108">
        <v>0</v>
      </c>
    </row>
    <row r="660" spans="1:8" ht="12.2" customHeight="1" x14ac:dyDescent="0.2">
      <c r="D660" s="334" t="s">
        <v>1849</v>
      </c>
      <c r="E660" s="335"/>
      <c r="F660" s="335"/>
      <c r="G660" s="143">
        <v>2</v>
      </c>
    </row>
    <row r="661" spans="1:8" x14ac:dyDescent="0.2">
      <c r="A661" s="117" t="s">
        <v>423</v>
      </c>
      <c r="B661" s="117"/>
      <c r="C661" s="117" t="s">
        <v>921</v>
      </c>
      <c r="D661" s="304" t="s">
        <v>1510</v>
      </c>
      <c r="E661" s="305"/>
      <c r="F661" s="117" t="s">
        <v>1648</v>
      </c>
      <c r="G661" s="116">
        <v>0.72099999999999997</v>
      </c>
      <c r="H661" s="108">
        <v>0</v>
      </c>
    </row>
    <row r="662" spans="1:8" ht="12.2" customHeight="1" x14ac:dyDescent="0.2">
      <c r="D662" s="334" t="s">
        <v>2176</v>
      </c>
      <c r="E662" s="335"/>
      <c r="F662" s="335"/>
      <c r="G662" s="143">
        <v>0.72099999999999997</v>
      </c>
    </row>
    <row r="663" spans="1:8" x14ac:dyDescent="0.2">
      <c r="A663" s="120"/>
      <c r="B663" s="120"/>
      <c r="C663" s="120" t="s">
        <v>922</v>
      </c>
      <c r="D663" s="306" t="s">
        <v>1511</v>
      </c>
      <c r="E663" s="307"/>
      <c r="F663" s="120"/>
      <c r="G663" s="142"/>
      <c r="H663" s="109"/>
    </row>
    <row r="664" spans="1:8" x14ac:dyDescent="0.2">
      <c r="A664" s="117" t="s">
        <v>424</v>
      </c>
      <c r="B664" s="117"/>
      <c r="C664" s="117" t="s">
        <v>923</v>
      </c>
      <c r="D664" s="304" t="s">
        <v>1512</v>
      </c>
      <c r="E664" s="305"/>
      <c r="F664" s="117" t="s">
        <v>1645</v>
      </c>
      <c r="G664" s="116">
        <v>8.9760000000000009</v>
      </c>
      <c r="H664" s="108">
        <v>0</v>
      </c>
    </row>
    <row r="665" spans="1:8" ht="12.2" customHeight="1" x14ac:dyDescent="0.2">
      <c r="D665" s="334" t="s">
        <v>2175</v>
      </c>
      <c r="E665" s="335"/>
      <c r="F665" s="335"/>
      <c r="G665" s="143">
        <v>8.9760000000000009</v>
      </c>
    </row>
    <row r="666" spans="1:8" x14ac:dyDescent="0.2">
      <c r="A666" s="117" t="s">
        <v>425</v>
      </c>
      <c r="B666" s="117"/>
      <c r="C666" s="117" t="s">
        <v>924</v>
      </c>
      <c r="D666" s="304" t="s">
        <v>1513</v>
      </c>
      <c r="E666" s="305"/>
      <c r="F666" s="117" t="s">
        <v>1645</v>
      </c>
      <c r="G666" s="116">
        <v>8.9760000000000009</v>
      </c>
      <c r="H666" s="108">
        <v>0</v>
      </c>
    </row>
    <row r="667" spans="1:8" ht="12.2" customHeight="1" x14ac:dyDescent="0.2">
      <c r="D667" s="334" t="s">
        <v>2175</v>
      </c>
      <c r="E667" s="335"/>
      <c r="F667" s="335"/>
      <c r="G667" s="143">
        <v>8.9760000000000009</v>
      </c>
    </row>
    <row r="668" spans="1:8" x14ac:dyDescent="0.2">
      <c r="A668" s="117" t="s">
        <v>426</v>
      </c>
      <c r="B668" s="117"/>
      <c r="C668" s="117" t="s">
        <v>925</v>
      </c>
      <c r="D668" s="304" t="s">
        <v>1514</v>
      </c>
      <c r="E668" s="305"/>
      <c r="F668" s="117" t="s">
        <v>1645</v>
      </c>
      <c r="G668" s="116">
        <v>8.9760000000000009</v>
      </c>
      <c r="H668" s="108">
        <v>0</v>
      </c>
    </row>
    <row r="669" spans="1:8" ht="12.2" customHeight="1" x14ac:dyDescent="0.2">
      <c r="D669" s="334" t="s">
        <v>2175</v>
      </c>
      <c r="E669" s="335"/>
      <c r="F669" s="335"/>
      <c r="G669" s="143">
        <v>8.9760000000000009</v>
      </c>
    </row>
    <row r="670" spans="1:8" x14ac:dyDescent="0.2">
      <c r="A670" s="124" t="s">
        <v>427</v>
      </c>
      <c r="B670" s="124"/>
      <c r="C670" s="124" t="s">
        <v>926</v>
      </c>
      <c r="D670" s="311" t="s">
        <v>1515</v>
      </c>
      <c r="E670" s="312"/>
      <c r="F670" s="124" t="s">
        <v>1645</v>
      </c>
      <c r="G670" s="123">
        <v>9.4250000000000007</v>
      </c>
      <c r="H670" s="121">
        <v>0</v>
      </c>
    </row>
    <row r="671" spans="1:8" ht="12.2" customHeight="1" x14ac:dyDescent="0.2">
      <c r="D671" s="336" t="s">
        <v>2174</v>
      </c>
      <c r="E671" s="337"/>
      <c r="F671" s="337"/>
      <c r="G671" s="146">
        <v>8.9760000000000009</v>
      </c>
    </row>
    <row r="672" spans="1:8" ht="12.2" customHeight="1" x14ac:dyDescent="0.2">
      <c r="A672" s="124"/>
      <c r="B672" s="124"/>
      <c r="C672" s="124"/>
      <c r="D672" s="336" t="s">
        <v>2173</v>
      </c>
      <c r="E672" s="337"/>
      <c r="F672" s="336"/>
      <c r="G672" s="145">
        <v>0.44900000000000001</v>
      </c>
      <c r="H672" s="122"/>
    </row>
    <row r="673" spans="1:8" x14ac:dyDescent="0.2">
      <c r="A673" s="117" t="s">
        <v>428</v>
      </c>
      <c r="B673" s="117"/>
      <c r="C673" s="117" t="s">
        <v>927</v>
      </c>
      <c r="D673" s="304" t="s">
        <v>1516</v>
      </c>
      <c r="E673" s="305"/>
      <c r="F673" s="117" t="s">
        <v>1646</v>
      </c>
      <c r="G673" s="116">
        <v>16.670000000000002</v>
      </c>
      <c r="H673" s="108">
        <v>0</v>
      </c>
    </row>
    <row r="674" spans="1:8" ht="12.2" customHeight="1" x14ac:dyDescent="0.2">
      <c r="D674" s="334" t="s">
        <v>2172</v>
      </c>
      <c r="E674" s="335"/>
      <c r="F674" s="335"/>
      <c r="G674" s="143">
        <v>16.670000000000002</v>
      </c>
    </row>
    <row r="675" spans="1:8" x14ac:dyDescent="0.2">
      <c r="A675" s="124" t="s">
        <v>429</v>
      </c>
      <c r="B675" s="124"/>
      <c r="C675" s="124" t="s">
        <v>928</v>
      </c>
      <c r="D675" s="311" t="s">
        <v>1517</v>
      </c>
      <c r="E675" s="312"/>
      <c r="F675" s="124" t="s">
        <v>1645</v>
      </c>
      <c r="G675" s="123">
        <v>2.0840000000000001</v>
      </c>
      <c r="H675" s="121">
        <v>0</v>
      </c>
    </row>
    <row r="676" spans="1:8" ht="12.2" customHeight="1" x14ac:dyDescent="0.2">
      <c r="D676" s="336" t="s">
        <v>2171</v>
      </c>
      <c r="E676" s="337"/>
      <c r="F676" s="337"/>
      <c r="G676" s="146">
        <v>1.667</v>
      </c>
    </row>
    <row r="677" spans="1:8" ht="12.2" customHeight="1" x14ac:dyDescent="0.2">
      <c r="A677" s="124"/>
      <c r="B677" s="124"/>
      <c r="C677" s="124"/>
      <c r="D677" s="336" t="s">
        <v>2170</v>
      </c>
      <c r="E677" s="337"/>
      <c r="F677" s="336"/>
      <c r="G677" s="145">
        <v>0.41699999999999998</v>
      </c>
      <c r="H677" s="122"/>
    </row>
    <row r="678" spans="1:8" x14ac:dyDescent="0.2">
      <c r="A678" s="117" t="s">
        <v>430</v>
      </c>
      <c r="B678" s="117"/>
      <c r="C678" s="117" t="s">
        <v>929</v>
      </c>
      <c r="D678" s="304" t="s">
        <v>1518</v>
      </c>
      <c r="E678" s="305"/>
      <c r="F678" s="117" t="s">
        <v>1648</v>
      </c>
      <c r="G678" s="116">
        <v>0.27300000000000002</v>
      </c>
      <c r="H678" s="108">
        <v>0</v>
      </c>
    </row>
    <row r="679" spans="1:8" ht="12.2" customHeight="1" x14ac:dyDescent="0.2">
      <c r="D679" s="334" t="s">
        <v>2169</v>
      </c>
      <c r="E679" s="335"/>
      <c r="F679" s="335"/>
      <c r="G679" s="143">
        <v>0.27300000000000002</v>
      </c>
    </row>
    <row r="680" spans="1:8" x14ac:dyDescent="0.2">
      <c r="A680" s="120"/>
      <c r="B680" s="120"/>
      <c r="C680" s="120" t="s">
        <v>930</v>
      </c>
      <c r="D680" s="306" t="s">
        <v>1519</v>
      </c>
      <c r="E680" s="307"/>
      <c r="F680" s="120"/>
      <c r="G680" s="142"/>
      <c r="H680" s="109"/>
    </row>
    <row r="681" spans="1:8" x14ac:dyDescent="0.2">
      <c r="A681" s="117" t="s">
        <v>431</v>
      </c>
      <c r="B681" s="117"/>
      <c r="C681" s="117" t="s">
        <v>931</v>
      </c>
      <c r="D681" s="304" t="s">
        <v>1520</v>
      </c>
      <c r="E681" s="305"/>
      <c r="F681" s="117" t="s">
        <v>1645</v>
      </c>
      <c r="G681" s="116">
        <v>839.04499999999996</v>
      </c>
      <c r="H681" s="108">
        <v>0</v>
      </c>
    </row>
    <row r="682" spans="1:8" ht="12.2" customHeight="1" x14ac:dyDescent="0.2">
      <c r="D682" s="334" t="s">
        <v>2168</v>
      </c>
      <c r="E682" s="335"/>
      <c r="F682" s="335"/>
      <c r="G682" s="143">
        <v>280.31200000000001</v>
      </c>
    </row>
    <row r="683" spans="1:8" ht="12.2" customHeight="1" x14ac:dyDescent="0.2">
      <c r="A683" s="117"/>
      <c r="B683" s="117"/>
      <c r="C683" s="117"/>
      <c r="D683" s="334" t="s">
        <v>1877</v>
      </c>
      <c r="E683" s="335"/>
      <c r="F683" s="334"/>
      <c r="G683" s="144">
        <v>241.65700000000001</v>
      </c>
      <c r="H683" s="111"/>
    </row>
    <row r="684" spans="1:8" ht="12.2" customHeight="1" x14ac:dyDescent="0.2">
      <c r="A684" s="117"/>
      <c r="B684" s="117"/>
      <c r="C684" s="117"/>
      <c r="D684" s="334" t="s">
        <v>1878</v>
      </c>
      <c r="E684" s="335"/>
      <c r="F684" s="334"/>
      <c r="G684" s="144">
        <v>317.07600000000002</v>
      </c>
      <c r="H684" s="111"/>
    </row>
    <row r="685" spans="1:8" x14ac:dyDescent="0.2">
      <c r="A685" s="117" t="s">
        <v>432</v>
      </c>
      <c r="B685" s="117"/>
      <c r="C685" s="117" t="s">
        <v>932</v>
      </c>
      <c r="D685" s="304" t="s">
        <v>1521</v>
      </c>
      <c r="E685" s="305"/>
      <c r="F685" s="117" t="s">
        <v>1645</v>
      </c>
      <c r="G685" s="116">
        <v>433.59699999999998</v>
      </c>
      <c r="H685" s="108">
        <v>0</v>
      </c>
    </row>
    <row r="686" spans="1:8" ht="12.2" customHeight="1" x14ac:dyDescent="0.2">
      <c r="D686" s="334" t="s">
        <v>2168</v>
      </c>
      <c r="E686" s="335"/>
      <c r="F686" s="335"/>
      <c r="G686" s="143">
        <v>280.31200000000001</v>
      </c>
    </row>
    <row r="687" spans="1:8" ht="12.2" customHeight="1" x14ac:dyDescent="0.2">
      <c r="A687" s="117"/>
      <c r="B687" s="117"/>
      <c r="C687" s="117"/>
      <c r="D687" s="334" t="s">
        <v>1879</v>
      </c>
      <c r="E687" s="335"/>
      <c r="F687" s="334"/>
      <c r="G687" s="144">
        <v>153.285</v>
      </c>
      <c r="H687" s="111"/>
    </row>
    <row r="688" spans="1:8" x14ac:dyDescent="0.2">
      <c r="A688" s="117" t="s">
        <v>433</v>
      </c>
      <c r="B688" s="117"/>
      <c r="C688" s="117" t="s">
        <v>933</v>
      </c>
      <c r="D688" s="304" t="s">
        <v>1522</v>
      </c>
      <c r="E688" s="305"/>
      <c r="F688" s="117" t="s">
        <v>1645</v>
      </c>
      <c r="G688" s="116">
        <v>839.04499999999996</v>
      </c>
      <c r="H688" s="108">
        <v>0</v>
      </c>
    </row>
    <row r="689" spans="1:8" ht="12.2" customHeight="1" x14ac:dyDescent="0.2">
      <c r="D689" s="334" t="s">
        <v>2168</v>
      </c>
      <c r="E689" s="335"/>
      <c r="F689" s="335"/>
      <c r="G689" s="143">
        <v>280.31200000000001</v>
      </c>
    </row>
    <row r="690" spans="1:8" ht="12.2" customHeight="1" x14ac:dyDescent="0.2">
      <c r="A690" s="117"/>
      <c r="B690" s="117"/>
      <c r="C690" s="117"/>
      <c r="D690" s="334" t="s">
        <v>1877</v>
      </c>
      <c r="E690" s="335"/>
      <c r="F690" s="334"/>
      <c r="G690" s="144">
        <v>241.65700000000001</v>
      </c>
      <c r="H690" s="111"/>
    </row>
    <row r="691" spans="1:8" ht="12.2" customHeight="1" x14ac:dyDescent="0.2">
      <c r="A691" s="117"/>
      <c r="B691" s="117"/>
      <c r="C691" s="117"/>
      <c r="D691" s="334" t="s">
        <v>1878</v>
      </c>
      <c r="E691" s="335"/>
      <c r="F691" s="334"/>
      <c r="G691" s="144">
        <v>317.07600000000002</v>
      </c>
      <c r="H691" s="111"/>
    </row>
    <row r="692" spans="1:8" x14ac:dyDescent="0.2">
      <c r="A692" s="117" t="s">
        <v>434</v>
      </c>
      <c r="B692" s="117"/>
      <c r="C692" s="117" t="s">
        <v>934</v>
      </c>
      <c r="D692" s="304" t="s">
        <v>1523</v>
      </c>
      <c r="E692" s="305"/>
      <c r="F692" s="117" t="s">
        <v>1645</v>
      </c>
      <c r="G692" s="116">
        <v>241.65700000000001</v>
      </c>
      <c r="H692" s="108">
        <v>0</v>
      </c>
    </row>
    <row r="693" spans="1:8" ht="12.2" customHeight="1" x14ac:dyDescent="0.2">
      <c r="D693" s="334" t="s">
        <v>1877</v>
      </c>
      <c r="E693" s="335"/>
      <c r="F693" s="335"/>
      <c r="G693" s="143">
        <v>241.65700000000001</v>
      </c>
    </row>
    <row r="694" spans="1:8" x14ac:dyDescent="0.2">
      <c r="A694" s="117" t="s">
        <v>435</v>
      </c>
      <c r="B694" s="117"/>
      <c r="C694" s="117" t="s">
        <v>935</v>
      </c>
      <c r="D694" s="304" t="s">
        <v>1524</v>
      </c>
      <c r="E694" s="305"/>
      <c r="F694" s="117" t="s">
        <v>1645</v>
      </c>
      <c r="G694" s="116">
        <v>597.38800000000003</v>
      </c>
      <c r="H694" s="108">
        <v>0</v>
      </c>
    </row>
    <row r="695" spans="1:8" ht="12.2" customHeight="1" x14ac:dyDescent="0.2">
      <c r="D695" s="334" t="s">
        <v>2168</v>
      </c>
      <c r="E695" s="335"/>
      <c r="F695" s="335"/>
      <c r="G695" s="143">
        <v>280.31200000000001</v>
      </c>
    </row>
    <row r="696" spans="1:8" ht="12.2" customHeight="1" x14ac:dyDescent="0.2">
      <c r="A696" s="117"/>
      <c r="B696" s="117"/>
      <c r="C696" s="117"/>
      <c r="D696" s="334" t="s">
        <v>1878</v>
      </c>
      <c r="E696" s="335"/>
      <c r="F696" s="334"/>
      <c r="G696" s="144">
        <v>317.07600000000002</v>
      </c>
      <c r="H696" s="111"/>
    </row>
    <row r="697" spans="1:8" x14ac:dyDescent="0.2">
      <c r="A697" s="120"/>
      <c r="B697" s="120"/>
      <c r="C697" s="120" t="s">
        <v>936</v>
      </c>
      <c r="D697" s="306" t="s">
        <v>1525</v>
      </c>
      <c r="E697" s="307"/>
      <c r="F697" s="120"/>
      <c r="G697" s="142"/>
      <c r="H697" s="109"/>
    </row>
    <row r="698" spans="1:8" x14ac:dyDescent="0.2">
      <c r="A698" s="117" t="s">
        <v>436</v>
      </c>
      <c r="B698" s="117"/>
      <c r="C698" s="117" t="s">
        <v>937</v>
      </c>
      <c r="D698" s="304" t="s">
        <v>1526</v>
      </c>
      <c r="E698" s="305"/>
      <c r="F698" s="117" t="s">
        <v>1644</v>
      </c>
      <c r="G698" s="116">
        <v>2</v>
      </c>
      <c r="H698" s="108">
        <v>0</v>
      </c>
    </row>
    <row r="699" spans="1:8" ht="12.2" customHeight="1" x14ac:dyDescent="0.2">
      <c r="D699" s="334" t="s">
        <v>1849</v>
      </c>
      <c r="E699" s="335"/>
      <c r="F699" s="335"/>
      <c r="G699" s="143">
        <v>2</v>
      </c>
    </row>
    <row r="700" spans="1:8" x14ac:dyDescent="0.2">
      <c r="A700" s="117" t="s">
        <v>437</v>
      </c>
      <c r="B700" s="117"/>
      <c r="C700" s="117" t="s">
        <v>939</v>
      </c>
      <c r="D700" s="304" t="s">
        <v>1528</v>
      </c>
      <c r="E700" s="305"/>
      <c r="F700" s="117" t="s">
        <v>1644</v>
      </c>
      <c r="G700" s="116">
        <v>1</v>
      </c>
      <c r="H700" s="108">
        <v>0</v>
      </c>
    </row>
    <row r="701" spans="1:8" ht="12.2" customHeight="1" x14ac:dyDescent="0.2">
      <c r="D701" s="334" t="s">
        <v>1749</v>
      </c>
      <c r="E701" s="335"/>
      <c r="F701" s="335"/>
      <c r="G701" s="143">
        <v>1</v>
      </c>
    </row>
    <row r="702" spans="1:8" x14ac:dyDescent="0.2">
      <c r="A702" s="117" t="s">
        <v>438</v>
      </c>
      <c r="B702" s="117"/>
      <c r="C702" s="117" t="s">
        <v>940</v>
      </c>
      <c r="D702" s="304" t="s">
        <v>1529</v>
      </c>
      <c r="E702" s="305"/>
      <c r="F702" s="117" t="s">
        <v>1644</v>
      </c>
      <c r="G702" s="116">
        <v>1</v>
      </c>
      <c r="H702" s="108">
        <v>0</v>
      </c>
    </row>
    <row r="703" spans="1:8" ht="12.2" customHeight="1" x14ac:dyDescent="0.2">
      <c r="D703" s="334" t="s">
        <v>1749</v>
      </c>
      <c r="E703" s="335"/>
      <c r="F703" s="335"/>
      <c r="G703" s="143">
        <v>1</v>
      </c>
    </row>
    <row r="704" spans="1:8" x14ac:dyDescent="0.2">
      <c r="A704" s="117" t="s">
        <v>439</v>
      </c>
      <c r="B704" s="117"/>
      <c r="C704" s="117" t="s">
        <v>941</v>
      </c>
      <c r="D704" s="304" t="s">
        <v>1530</v>
      </c>
      <c r="E704" s="305"/>
      <c r="F704" s="117" t="s">
        <v>1644</v>
      </c>
      <c r="G704" s="116">
        <v>1</v>
      </c>
      <c r="H704" s="108">
        <v>0</v>
      </c>
    </row>
    <row r="705" spans="1:8" ht="12.2" customHeight="1" x14ac:dyDescent="0.2">
      <c r="D705" s="334" t="s">
        <v>1749</v>
      </c>
      <c r="E705" s="335"/>
      <c r="F705" s="335"/>
      <c r="G705" s="143">
        <v>1</v>
      </c>
    </row>
    <row r="706" spans="1:8" x14ac:dyDescent="0.2">
      <c r="A706" s="117" t="s">
        <v>440</v>
      </c>
      <c r="B706" s="117"/>
      <c r="C706" s="117" t="s">
        <v>1985</v>
      </c>
      <c r="D706" s="304" t="s">
        <v>1531</v>
      </c>
      <c r="E706" s="305"/>
      <c r="F706" s="117" t="s">
        <v>1644</v>
      </c>
      <c r="G706" s="116">
        <v>1</v>
      </c>
      <c r="H706" s="108">
        <v>0</v>
      </c>
    </row>
    <row r="707" spans="1:8" x14ac:dyDescent="0.2">
      <c r="A707" s="117" t="s">
        <v>441</v>
      </c>
      <c r="B707" s="117"/>
      <c r="C707" s="117" t="s">
        <v>1984</v>
      </c>
      <c r="D707" s="304" t="s">
        <v>1532</v>
      </c>
      <c r="E707" s="305"/>
      <c r="F707" s="117" t="s">
        <v>1646</v>
      </c>
      <c r="G707" s="116">
        <v>60</v>
      </c>
      <c r="H707" s="108">
        <v>0</v>
      </c>
    </row>
    <row r="708" spans="1:8" x14ac:dyDescent="0.2">
      <c r="A708" s="117" t="s">
        <v>442</v>
      </c>
      <c r="B708" s="117"/>
      <c r="C708" s="117" t="s">
        <v>1983</v>
      </c>
      <c r="D708" s="304" t="s">
        <v>1533</v>
      </c>
      <c r="E708" s="305"/>
      <c r="F708" s="117" t="s">
        <v>1646</v>
      </c>
      <c r="G708" s="116">
        <v>30</v>
      </c>
      <c r="H708" s="108">
        <v>0</v>
      </c>
    </row>
    <row r="709" spans="1:8" x14ac:dyDescent="0.2">
      <c r="A709" s="117" t="s">
        <v>443</v>
      </c>
      <c r="B709" s="117"/>
      <c r="C709" s="117" t="s">
        <v>1982</v>
      </c>
      <c r="D709" s="304" t="s">
        <v>1534</v>
      </c>
      <c r="E709" s="305"/>
      <c r="F709" s="117" t="s">
        <v>1644</v>
      </c>
      <c r="G709" s="116">
        <v>5</v>
      </c>
      <c r="H709" s="108">
        <v>0</v>
      </c>
    </row>
    <row r="710" spans="1:8" x14ac:dyDescent="0.2">
      <c r="A710" s="117" t="s">
        <v>444</v>
      </c>
      <c r="B710" s="117"/>
      <c r="C710" s="117" t="s">
        <v>1981</v>
      </c>
      <c r="D710" s="304" t="s">
        <v>1535</v>
      </c>
      <c r="E710" s="305"/>
      <c r="F710" s="117" t="s">
        <v>1644</v>
      </c>
      <c r="G710" s="116">
        <v>3</v>
      </c>
      <c r="H710" s="108">
        <v>0</v>
      </c>
    </row>
    <row r="711" spans="1:8" x14ac:dyDescent="0.2">
      <c r="A711" s="117" t="s">
        <v>445</v>
      </c>
      <c r="B711" s="117"/>
      <c r="C711" s="117" t="s">
        <v>1980</v>
      </c>
      <c r="D711" s="304" t="s">
        <v>1536</v>
      </c>
      <c r="E711" s="305"/>
      <c r="F711" s="117" t="s">
        <v>1644</v>
      </c>
      <c r="G711" s="116">
        <v>24</v>
      </c>
      <c r="H711" s="108">
        <v>0</v>
      </c>
    </row>
    <row r="712" spans="1:8" x14ac:dyDescent="0.2">
      <c r="A712" s="117" t="s">
        <v>446</v>
      </c>
      <c r="B712" s="117"/>
      <c r="C712" s="117" t="s">
        <v>1979</v>
      </c>
      <c r="D712" s="304" t="s">
        <v>1537</v>
      </c>
      <c r="E712" s="305"/>
      <c r="F712" s="117" t="s">
        <v>1644</v>
      </c>
      <c r="G712" s="116">
        <v>1</v>
      </c>
      <c r="H712" s="108">
        <v>0</v>
      </c>
    </row>
    <row r="713" spans="1:8" x14ac:dyDescent="0.2">
      <c r="A713" s="117" t="s">
        <v>447</v>
      </c>
      <c r="B713" s="117"/>
      <c r="C713" s="117" t="s">
        <v>1978</v>
      </c>
      <c r="D713" s="304" t="s">
        <v>1538</v>
      </c>
      <c r="E713" s="305"/>
      <c r="F713" s="117" t="s">
        <v>1646</v>
      </c>
      <c r="G713" s="116">
        <v>10</v>
      </c>
      <c r="H713" s="108">
        <v>0</v>
      </c>
    </row>
    <row r="714" spans="1:8" x14ac:dyDescent="0.2">
      <c r="A714" s="117" t="s">
        <v>448</v>
      </c>
      <c r="B714" s="117"/>
      <c r="C714" s="117" t="s">
        <v>1977</v>
      </c>
      <c r="D714" s="304" t="s">
        <v>1539</v>
      </c>
      <c r="E714" s="305"/>
      <c r="F714" s="117" t="s">
        <v>1646</v>
      </c>
      <c r="G714" s="116">
        <v>30</v>
      </c>
      <c r="H714" s="108">
        <v>0</v>
      </c>
    </row>
    <row r="715" spans="1:8" x14ac:dyDescent="0.2">
      <c r="A715" s="117" t="s">
        <v>449</v>
      </c>
      <c r="B715" s="117"/>
      <c r="C715" s="117" t="s">
        <v>1976</v>
      </c>
      <c r="D715" s="304" t="s">
        <v>1540</v>
      </c>
      <c r="E715" s="305"/>
      <c r="F715" s="117" t="s">
        <v>1646</v>
      </c>
      <c r="G715" s="116">
        <v>40</v>
      </c>
      <c r="H715" s="108">
        <v>0</v>
      </c>
    </row>
    <row r="716" spans="1:8" x14ac:dyDescent="0.2">
      <c r="A716" s="117" t="s">
        <v>450</v>
      </c>
      <c r="B716" s="117"/>
      <c r="C716" s="117" t="s">
        <v>1975</v>
      </c>
      <c r="D716" s="304" t="s">
        <v>1541</v>
      </c>
      <c r="E716" s="305"/>
      <c r="F716" s="117" t="s">
        <v>1646</v>
      </c>
      <c r="G716" s="116">
        <v>40</v>
      </c>
      <c r="H716" s="108">
        <v>0</v>
      </c>
    </row>
    <row r="717" spans="1:8" x14ac:dyDescent="0.2">
      <c r="A717" s="117" t="s">
        <v>451</v>
      </c>
      <c r="B717" s="117"/>
      <c r="C717" s="117" t="s">
        <v>1974</v>
      </c>
      <c r="D717" s="304" t="s">
        <v>1542</v>
      </c>
      <c r="E717" s="305"/>
      <c r="F717" s="117" t="s">
        <v>1646</v>
      </c>
      <c r="G717" s="116">
        <v>30</v>
      </c>
      <c r="H717" s="108">
        <v>0</v>
      </c>
    </row>
    <row r="718" spans="1:8" x14ac:dyDescent="0.2">
      <c r="A718" s="117" t="s">
        <v>452</v>
      </c>
      <c r="B718" s="117"/>
      <c r="C718" s="117" t="s">
        <v>1973</v>
      </c>
      <c r="D718" s="304" t="s">
        <v>1543</v>
      </c>
      <c r="E718" s="305"/>
      <c r="F718" s="117" t="s">
        <v>1644</v>
      </c>
      <c r="G718" s="116">
        <v>1</v>
      </c>
      <c r="H718" s="108">
        <v>0</v>
      </c>
    </row>
    <row r="719" spans="1:8" x14ac:dyDescent="0.2">
      <c r="A719" s="117" t="s">
        <v>453</v>
      </c>
      <c r="B719" s="117"/>
      <c r="C719" s="117" t="s">
        <v>1972</v>
      </c>
      <c r="D719" s="304" t="s">
        <v>1544</v>
      </c>
      <c r="E719" s="305"/>
      <c r="F719" s="117" t="s">
        <v>1644</v>
      </c>
      <c r="G719" s="116">
        <v>4</v>
      </c>
      <c r="H719" s="108">
        <v>0</v>
      </c>
    </row>
    <row r="720" spans="1:8" x14ac:dyDescent="0.2">
      <c r="A720" s="117" t="s">
        <v>454</v>
      </c>
      <c r="B720" s="117"/>
      <c r="C720" s="117" t="s">
        <v>1971</v>
      </c>
      <c r="D720" s="304" t="s">
        <v>1545</v>
      </c>
      <c r="E720" s="305"/>
      <c r="F720" s="117" t="s">
        <v>1646</v>
      </c>
      <c r="G720" s="116">
        <v>120</v>
      </c>
      <c r="H720" s="108">
        <v>0</v>
      </c>
    </row>
    <row r="721" spans="1:8" x14ac:dyDescent="0.2">
      <c r="A721" s="117" t="s">
        <v>455</v>
      </c>
      <c r="B721" s="117"/>
      <c r="C721" s="117" t="s">
        <v>1970</v>
      </c>
      <c r="D721" s="304" t="s">
        <v>1546</v>
      </c>
      <c r="E721" s="305"/>
      <c r="F721" s="117" t="s">
        <v>1646</v>
      </c>
      <c r="G721" s="116">
        <v>30</v>
      </c>
      <c r="H721" s="108">
        <v>0</v>
      </c>
    </row>
    <row r="722" spans="1:8" x14ac:dyDescent="0.2">
      <c r="A722" s="117" t="s">
        <v>456</v>
      </c>
      <c r="B722" s="117"/>
      <c r="C722" s="117" t="s">
        <v>1969</v>
      </c>
      <c r="D722" s="304" t="s">
        <v>1547</v>
      </c>
      <c r="E722" s="305"/>
      <c r="F722" s="117" t="s">
        <v>1646</v>
      </c>
      <c r="G722" s="116">
        <v>100</v>
      </c>
      <c r="H722" s="108">
        <v>0</v>
      </c>
    </row>
    <row r="723" spans="1:8" x14ac:dyDescent="0.2">
      <c r="A723" s="117" t="s">
        <v>457</v>
      </c>
      <c r="B723" s="117"/>
      <c r="C723" s="117" t="s">
        <v>1968</v>
      </c>
      <c r="D723" s="304" t="s">
        <v>1548</v>
      </c>
      <c r="E723" s="305"/>
      <c r="F723" s="117" t="s">
        <v>1644</v>
      </c>
      <c r="G723" s="116">
        <v>4</v>
      </c>
      <c r="H723" s="108">
        <v>0</v>
      </c>
    </row>
    <row r="724" spans="1:8" x14ac:dyDescent="0.2">
      <c r="A724" s="117" t="s">
        <v>458</v>
      </c>
      <c r="B724" s="117"/>
      <c r="C724" s="117" t="s">
        <v>1967</v>
      </c>
      <c r="D724" s="304" t="s">
        <v>1549</v>
      </c>
      <c r="E724" s="305"/>
      <c r="F724" s="117" t="s">
        <v>1644</v>
      </c>
      <c r="G724" s="116">
        <v>5</v>
      </c>
      <c r="H724" s="108">
        <v>0</v>
      </c>
    </row>
    <row r="725" spans="1:8" x14ac:dyDescent="0.2">
      <c r="A725" s="117" t="s">
        <v>459</v>
      </c>
      <c r="B725" s="117"/>
      <c r="C725" s="117" t="s">
        <v>1966</v>
      </c>
      <c r="D725" s="304" t="s">
        <v>1550</v>
      </c>
      <c r="E725" s="305"/>
      <c r="F725" s="117" t="s">
        <v>1646</v>
      </c>
      <c r="G725" s="116">
        <v>80</v>
      </c>
      <c r="H725" s="108">
        <v>0</v>
      </c>
    </row>
    <row r="726" spans="1:8" x14ac:dyDescent="0.2">
      <c r="A726" s="117" t="s">
        <v>460</v>
      </c>
      <c r="B726" s="117"/>
      <c r="C726" s="117" t="s">
        <v>1966</v>
      </c>
      <c r="D726" s="304" t="s">
        <v>1551</v>
      </c>
      <c r="E726" s="305"/>
      <c r="F726" s="117" t="s">
        <v>1644</v>
      </c>
      <c r="G726" s="116">
        <v>1</v>
      </c>
      <c r="H726" s="108">
        <v>0</v>
      </c>
    </row>
    <row r="727" spans="1:8" x14ac:dyDescent="0.2">
      <c r="A727" s="117" t="s">
        <v>461</v>
      </c>
      <c r="B727" s="117"/>
      <c r="C727" s="117" t="s">
        <v>1965</v>
      </c>
      <c r="D727" s="304" t="s">
        <v>1552</v>
      </c>
      <c r="E727" s="305"/>
      <c r="F727" s="117" t="s">
        <v>1644</v>
      </c>
      <c r="G727" s="116">
        <v>1</v>
      </c>
      <c r="H727" s="108">
        <v>0</v>
      </c>
    </row>
    <row r="728" spans="1:8" x14ac:dyDescent="0.2">
      <c r="A728" s="117" t="s">
        <v>462</v>
      </c>
      <c r="B728" s="117"/>
      <c r="C728" s="117" t="s">
        <v>1964</v>
      </c>
      <c r="D728" s="304" t="s">
        <v>1553</v>
      </c>
      <c r="E728" s="305"/>
      <c r="F728" s="117" t="s">
        <v>1644</v>
      </c>
      <c r="G728" s="116">
        <v>1</v>
      </c>
      <c r="H728" s="108">
        <v>0</v>
      </c>
    </row>
    <row r="729" spans="1:8" x14ac:dyDescent="0.2">
      <c r="A729" s="117" t="s">
        <v>463</v>
      </c>
      <c r="B729" s="117"/>
      <c r="C729" s="117" t="s">
        <v>1963</v>
      </c>
      <c r="D729" s="304" t="s">
        <v>1554</v>
      </c>
      <c r="E729" s="305"/>
      <c r="F729" s="117" t="s">
        <v>1644</v>
      </c>
      <c r="G729" s="116">
        <v>1</v>
      </c>
      <c r="H729" s="108">
        <v>0</v>
      </c>
    </row>
    <row r="730" spans="1:8" x14ac:dyDescent="0.2">
      <c r="A730" s="117" t="s">
        <v>464</v>
      </c>
      <c r="B730" s="117"/>
      <c r="C730" s="117" t="s">
        <v>1962</v>
      </c>
      <c r="D730" s="304" t="s">
        <v>1555</v>
      </c>
      <c r="E730" s="305"/>
      <c r="F730" s="117" t="s">
        <v>1644</v>
      </c>
      <c r="G730" s="116">
        <v>1</v>
      </c>
      <c r="H730" s="108">
        <v>0</v>
      </c>
    </row>
    <row r="731" spans="1:8" x14ac:dyDescent="0.2">
      <c r="A731" s="120"/>
      <c r="B731" s="120"/>
      <c r="C731" s="120" t="s">
        <v>967</v>
      </c>
      <c r="D731" s="306" t="s">
        <v>1556</v>
      </c>
      <c r="E731" s="307"/>
      <c r="F731" s="120"/>
      <c r="G731" s="142"/>
      <c r="H731" s="109"/>
    </row>
    <row r="732" spans="1:8" x14ac:dyDescent="0.2">
      <c r="A732" s="117" t="s">
        <v>465</v>
      </c>
      <c r="B732" s="117"/>
      <c r="C732" s="117" t="s">
        <v>968</v>
      </c>
      <c r="D732" s="304" t="s">
        <v>1557</v>
      </c>
      <c r="E732" s="305"/>
      <c r="F732" s="117" t="s">
        <v>1644</v>
      </c>
      <c r="G732" s="116">
        <v>1</v>
      </c>
      <c r="H732" s="108">
        <v>0</v>
      </c>
    </row>
    <row r="733" spans="1:8" ht="12.2" customHeight="1" x14ac:dyDescent="0.2">
      <c r="D733" s="334" t="s">
        <v>1749</v>
      </c>
      <c r="E733" s="335"/>
      <c r="F733" s="335"/>
      <c r="G733" s="143">
        <v>1</v>
      </c>
    </row>
    <row r="734" spans="1:8" x14ac:dyDescent="0.2">
      <c r="A734" s="117" t="s">
        <v>466</v>
      </c>
      <c r="B734" s="117"/>
      <c r="C734" s="117" t="s">
        <v>969</v>
      </c>
      <c r="D734" s="304" t="s">
        <v>1558</v>
      </c>
      <c r="E734" s="305"/>
      <c r="F734" s="117" t="s">
        <v>1644</v>
      </c>
      <c r="G734" s="116">
        <v>1</v>
      </c>
      <c r="H734" s="108">
        <v>0</v>
      </c>
    </row>
    <row r="735" spans="1:8" ht="12.2" customHeight="1" x14ac:dyDescent="0.2">
      <c r="D735" s="334" t="s">
        <v>1749</v>
      </c>
      <c r="E735" s="335"/>
      <c r="F735" s="335"/>
      <c r="G735" s="143">
        <v>1</v>
      </c>
    </row>
    <row r="736" spans="1:8" x14ac:dyDescent="0.2">
      <c r="A736" s="120"/>
      <c r="B736" s="120"/>
      <c r="C736" s="120" t="s">
        <v>970</v>
      </c>
      <c r="D736" s="306" t="s">
        <v>1559</v>
      </c>
      <c r="E736" s="307"/>
      <c r="F736" s="120"/>
      <c r="G736" s="142"/>
      <c r="H736" s="109"/>
    </row>
    <row r="737" spans="1:8" x14ac:dyDescent="0.2">
      <c r="A737" s="117" t="s">
        <v>467</v>
      </c>
      <c r="B737" s="117"/>
      <c r="C737" s="117" t="s">
        <v>1961</v>
      </c>
      <c r="D737" s="304" t="s">
        <v>1560</v>
      </c>
      <c r="E737" s="305"/>
      <c r="F737" s="117" t="s">
        <v>1644</v>
      </c>
      <c r="G737" s="116">
        <v>1</v>
      </c>
      <c r="H737" s="108">
        <v>0</v>
      </c>
    </row>
    <row r="738" spans="1:8" x14ac:dyDescent="0.2">
      <c r="A738" s="117" t="s">
        <v>468</v>
      </c>
      <c r="B738" s="117"/>
      <c r="C738" s="117" t="s">
        <v>1960</v>
      </c>
      <c r="D738" s="304" t="s">
        <v>1561</v>
      </c>
      <c r="E738" s="305"/>
      <c r="F738" s="117" t="s">
        <v>1644</v>
      </c>
      <c r="G738" s="116">
        <v>1</v>
      </c>
      <c r="H738" s="108">
        <v>0</v>
      </c>
    </row>
    <row r="739" spans="1:8" x14ac:dyDescent="0.2">
      <c r="A739" s="117" t="s">
        <v>469</v>
      </c>
      <c r="B739" s="117"/>
      <c r="C739" s="117" t="s">
        <v>973</v>
      </c>
      <c r="D739" s="304" t="s">
        <v>1562</v>
      </c>
      <c r="E739" s="305"/>
      <c r="F739" s="117" t="s">
        <v>1644</v>
      </c>
      <c r="G739" s="116">
        <v>1</v>
      </c>
      <c r="H739" s="108">
        <v>0</v>
      </c>
    </row>
    <row r="740" spans="1:8" x14ac:dyDescent="0.2">
      <c r="A740" s="117" t="s">
        <v>470</v>
      </c>
      <c r="B740" s="117"/>
      <c r="C740" s="117" t="s">
        <v>974</v>
      </c>
      <c r="D740" s="304" t="s">
        <v>1563</v>
      </c>
      <c r="E740" s="305"/>
      <c r="F740" s="117" t="s">
        <v>1644</v>
      </c>
      <c r="G740" s="116">
        <v>1</v>
      </c>
      <c r="H740" s="108">
        <v>0</v>
      </c>
    </row>
    <row r="741" spans="1:8" x14ac:dyDescent="0.2">
      <c r="A741" s="117" t="s">
        <v>471</v>
      </c>
      <c r="B741" s="117"/>
      <c r="C741" s="117" t="s">
        <v>975</v>
      </c>
      <c r="D741" s="304" t="s">
        <v>1564</v>
      </c>
      <c r="E741" s="305"/>
      <c r="F741" s="117" t="s">
        <v>1644</v>
      </c>
      <c r="G741" s="116">
        <v>1</v>
      </c>
      <c r="H741" s="108">
        <v>0</v>
      </c>
    </row>
    <row r="742" spans="1:8" x14ac:dyDescent="0.2">
      <c r="A742" s="117" t="s">
        <v>472</v>
      </c>
      <c r="B742" s="117"/>
      <c r="C742" s="117" t="s">
        <v>976</v>
      </c>
      <c r="D742" s="304" t="s">
        <v>1565</v>
      </c>
      <c r="E742" s="305"/>
      <c r="F742" s="117" t="s">
        <v>1644</v>
      </c>
      <c r="G742" s="116">
        <v>2</v>
      </c>
      <c r="H742" s="108">
        <v>0</v>
      </c>
    </row>
    <row r="743" spans="1:8" x14ac:dyDescent="0.2">
      <c r="A743" s="117" t="s">
        <v>473</v>
      </c>
      <c r="B743" s="117"/>
      <c r="C743" s="117" t="s">
        <v>977</v>
      </c>
      <c r="D743" s="304" t="s">
        <v>1566</v>
      </c>
      <c r="E743" s="305"/>
      <c r="F743" s="117" t="s">
        <v>1644</v>
      </c>
      <c r="G743" s="116">
        <v>1</v>
      </c>
      <c r="H743" s="108">
        <v>0</v>
      </c>
    </row>
    <row r="744" spans="1:8" x14ac:dyDescent="0.2">
      <c r="A744" s="117" t="s">
        <v>474</v>
      </c>
      <c r="B744" s="117"/>
      <c r="C744" s="117" t="s">
        <v>978</v>
      </c>
      <c r="D744" s="304" t="s">
        <v>1567</v>
      </c>
      <c r="E744" s="305"/>
      <c r="F744" s="117" t="s">
        <v>1644</v>
      </c>
      <c r="G744" s="116">
        <v>1</v>
      </c>
      <c r="H744" s="108">
        <v>0</v>
      </c>
    </row>
    <row r="745" spans="1:8" x14ac:dyDescent="0.2">
      <c r="A745" s="117" t="s">
        <v>475</v>
      </c>
      <c r="B745" s="117"/>
      <c r="C745" s="117" t="s">
        <v>979</v>
      </c>
      <c r="D745" s="304" t="s">
        <v>1568</v>
      </c>
      <c r="E745" s="305"/>
      <c r="F745" s="117" t="s">
        <v>1644</v>
      </c>
      <c r="G745" s="116">
        <v>1</v>
      </c>
      <c r="H745" s="108">
        <v>0</v>
      </c>
    </row>
    <row r="746" spans="1:8" x14ac:dyDescent="0.2">
      <c r="A746" s="117" t="s">
        <v>476</v>
      </c>
      <c r="B746" s="117"/>
      <c r="C746" s="117" t="s">
        <v>1959</v>
      </c>
      <c r="D746" s="304" t="s">
        <v>1569</v>
      </c>
      <c r="E746" s="305"/>
      <c r="F746" s="117" t="s">
        <v>1644</v>
      </c>
      <c r="G746" s="116">
        <v>1</v>
      </c>
      <c r="H746" s="108">
        <v>0</v>
      </c>
    </row>
    <row r="747" spans="1:8" x14ac:dyDescent="0.2">
      <c r="A747" s="117" t="s">
        <v>477</v>
      </c>
      <c r="B747" s="117"/>
      <c r="C747" s="117" t="s">
        <v>1958</v>
      </c>
      <c r="D747" s="304" t="s">
        <v>1570</v>
      </c>
      <c r="E747" s="305"/>
      <c r="F747" s="117" t="s">
        <v>1644</v>
      </c>
      <c r="G747" s="116">
        <v>1</v>
      </c>
      <c r="H747" s="108">
        <v>0</v>
      </c>
    </row>
    <row r="748" spans="1:8" x14ac:dyDescent="0.2">
      <c r="A748" s="117" t="s">
        <v>478</v>
      </c>
      <c r="B748" s="117"/>
      <c r="C748" s="117" t="s">
        <v>1957</v>
      </c>
      <c r="D748" s="304" t="s">
        <v>1571</v>
      </c>
      <c r="E748" s="305"/>
      <c r="F748" s="117" t="s">
        <v>1644</v>
      </c>
      <c r="G748" s="116">
        <v>1</v>
      </c>
      <c r="H748" s="108">
        <v>0</v>
      </c>
    </row>
    <row r="749" spans="1:8" x14ac:dyDescent="0.2">
      <c r="A749" s="117" t="s">
        <v>479</v>
      </c>
      <c r="B749" s="117"/>
      <c r="C749" s="117" t="s">
        <v>1956</v>
      </c>
      <c r="D749" s="304" t="s">
        <v>1572</v>
      </c>
      <c r="E749" s="305"/>
      <c r="F749" s="117" t="s">
        <v>1644</v>
      </c>
      <c r="G749" s="116">
        <v>1</v>
      </c>
      <c r="H749" s="108">
        <v>0</v>
      </c>
    </row>
    <row r="750" spans="1:8" x14ac:dyDescent="0.2">
      <c r="A750" s="117" t="s">
        <v>480</v>
      </c>
      <c r="B750" s="117"/>
      <c r="C750" s="117" t="s">
        <v>1955</v>
      </c>
      <c r="D750" s="304" t="s">
        <v>1573</v>
      </c>
      <c r="E750" s="305"/>
      <c r="F750" s="117" t="s">
        <v>1644</v>
      </c>
      <c r="G750" s="116">
        <v>1</v>
      </c>
      <c r="H750" s="108">
        <v>0</v>
      </c>
    </row>
    <row r="751" spans="1:8" x14ac:dyDescent="0.2">
      <c r="A751" s="117" t="s">
        <v>481</v>
      </c>
      <c r="B751" s="117"/>
      <c r="C751" s="117" t="s">
        <v>1954</v>
      </c>
      <c r="D751" s="304" t="s">
        <v>1574</v>
      </c>
      <c r="E751" s="305"/>
      <c r="F751" s="117" t="s">
        <v>1644</v>
      </c>
      <c r="G751" s="116">
        <v>1</v>
      </c>
      <c r="H751" s="108">
        <v>0</v>
      </c>
    </row>
    <row r="752" spans="1:8" x14ac:dyDescent="0.2">
      <c r="A752" s="117" t="s">
        <v>482</v>
      </c>
      <c r="B752" s="117"/>
      <c r="C752" s="117" t="s">
        <v>1953</v>
      </c>
      <c r="D752" s="304" t="s">
        <v>1575</v>
      </c>
      <c r="E752" s="305"/>
      <c r="F752" s="117" t="s">
        <v>1644</v>
      </c>
      <c r="G752" s="116">
        <v>1</v>
      </c>
      <c r="H752" s="108">
        <v>0</v>
      </c>
    </row>
    <row r="753" spans="1:8" x14ac:dyDescent="0.2">
      <c r="A753" s="117" t="s">
        <v>483</v>
      </c>
      <c r="B753" s="117"/>
      <c r="C753" s="117" t="s">
        <v>973</v>
      </c>
      <c r="D753" s="304" t="s">
        <v>1577</v>
      </c>
      <c r="E753" s="305"/>
      <c r="F753" s="117" t="s">
        <v>1644</v>
      </c>
      <c r="G753" s="116">
        <v>1</v>
      </c>
      <c r="H753" s="108">
        <v>0</v>
      </c>
    </row>
    <row r="754" spans="1:8" x14ac:dyDescent="0.2">
      <c r="A754" s="117" t="s">
        <v>484</v>
      </c>
      <c r="B754" s="117"/>
      <c r="C754" s="117" t="s">
        <v>988</v>
      </c>
      <c r="D754" s="304" t="s">
        <v>1578</v>
      </c>
      <c r="E754" s="305"/>
      <c r="F754" s="117" t="s">
        <v>1644</v>
      </c>
      <c r="G754" s="116">
        <v>1</v>
      </c>
      <c r="H754" s="108">
        <v>0</v>
      </c>
    </row>
    <row r="755" spans="1:8" x14ac:dyDescent="0.2">
      <c r="A755" s="117" t="s">
        <v>485</v>
      </c>
      <c r="B755" s="117"/>
      <c r="C755" s="117" t="s">
        <v>989</v>
      </c>
      <c r="D755" s="304" t="s">
        <v>1579</v>
      </c>
      <c r="E755" s="305"/>
      <c r="F755" s="117" t="s">
        <v>1644</v>
      </c>
      <c r="G755" s="116">
        <v>1</v>
      </c>
      <c r="H755" s="108">
        <v>0</v>
      </c>
    </row>
    <row r="756" spans="1:8" x14ac:dyDescent="0.2">
      <c r="A756" s="117" t="s">
        <v>486</v>
      </c>
      <c r="B756" s="117"/>
      <c r="C756" s="117" t="s">
        <v>990</v>
      </c>
      <c r="D756" s="304" t="s">
        <v>1580</v>
      </c>
      <c r="E756" s="305"/>
      <c r="F756" s="117" t="s">
        <v>1644</v>
      </c>
      <c r="G756" s="116">
        <v>1</v>
      </c>
      <c r="H756" s="108">
        <v>0</v>
      </c>
    </row>
    <row r="757" spans="1:8" x14ac:dyDescent="0.2">
      <c r="A757" s="117" t="s">
        <v>487</v>
      </c>
      <c r="B757" s="117"/>
      <c r="C757" s="117" t="s">
        <v>991</v>
      </c>
      <c r="D757" s="304" t="s">
        <v>1581</v>
      </c>
      <c r="E757" s="305"/>
      <c r="F757" s="117" t="s">
        <v>1644</v>
      </c>
      <c r="G757" s="116">
        <v>2</v>
      </c>
      <c r="H757" s="108">
        <v>0</v>
      </c>
    </row>
    <row r="758" spans="1:8" x14ac:dyDescent="0.2">
      <c r="A758" s="117" t="s">
        <v>488</v>
      </c>
      <c r="B758" s="117"/>
      <c r="C758" s="117" t="s">
        <v>992</v>
      </c>
      <c r="D758" s="304" t="s">
        <v>1582</v>
      </c>
      <c r="E758" s="305"/>
      <c r="F758" s="117" t="s">
        <v>1644</v>
      </c>
      <c r="G758" s="116">
        <v>1</v>
      </c>
      <c r="H758" s="108">
        <v>0</v>
      </c>
    </row>
    <row r="759" spans="1:8" x14ac:dyDescent="0.2">
      <c r="A759" s="117" t="s">
        <v>489</v>
      </c>
      <c r="B759" s="117"/>
      <c r="C759" s="117" t="s">
        <v>975</v>
      </c>
      <c r="D759" s="304" t="s">
        <v>1583</v>
      </c>
      <c r="E759" s="305"/>
      <c r="F759" s="117" t="s">
        <v>1644</v>
      </c>
      <c r="G759" s="116">
        <v>1</v>
      </c>
      <c r="H759" s="108">
        <v>0</v>
      </c>
    </row>
    <row r="760" spans="1:8" x14ac:dyDescent="0.2">
      <c r="A760" s="117" t="s">
        <v>490</v>
      </c>
      <c r="B760" s="117"/>
      <c r="C760" s="117" t="s">
        <v>993</v>
      </c>
      <c r="D760" s="304" t="s">
        <v>1581</v>
      </c>
      <c r="E760" s="305"/>
      <c r="F760" s="117" t="s">
        <v>1644</v>
      </c>
      <c r="G760" s="116">
        <v>1</v>
      </c>
      <c r="H760" s="108">
        <v>0</v>
      </c>
    </row>
    <row r="761" spans="1:8" x14ac:dyDescent="0.2">
      <c r="A761" s="117" t="s">
        <v>491</v>
      </c>
      <c r="B761" s="117"/>
      <c r="C761" s="117" t="s">
        <v>994</v>
      </c>
      <c r="D761" s="304" t="s">
        <v>1584</v>
      </c>
      <c r="E761" s="305"/>
      <c r="F761" s="117" t="s">
        <v>1644</v>
      </c>
      <c r="G761" s="116">
        <v>2</v>
      </c>
      <c r="H761" s="108">
        <v>0</v>
      </c>
    </row>
    <row r="762" spans="1:8" x14ac:dyDescent="0.2">
      <c r="A762" s="117" t="s">
        <v>492</v>
      </c>
      <c r="B762" s="117"/>
      <c r="C762" s="117" t="s">
        <v>995</v>
      </c>
      <c r="D762" s="304" t="s">
        <v>1585</v>
      </c>
      <c r="E762" s="305"/>
      <c r="F762" s="117" t="s">
        <v>1644</v>
      </c>
      <c r="G762" s="116">
        <v>1</v>
      </c>
      <c r="H762" s="108">
        <v>0</v>
      </c>
    </row>
    <row r="763" spans="1:8" x14ac:dyDescent="0.2">
      <c r="A763" s="117" t="s">
        <v>493</v>
      </c>
      <c r="B763" s="117"/>
      <c r="C763" s="117" t="s">
        <v>996</v>
      </c>
      <c r="D763" s="304" t="s">
        <v>1586</v>
      </c>
      <c r="E763" s="305"/>
      <c r="F763" s="117" t="s">
        <v>1644</v>
      </c>
      <c r="G763" s="116">
        <v>1</v>
      </c>
      <c r="H763" s="108">
        <v>0</v>
      </c>
    </row>
    <row r="764" spans="1:8" x14ac:dyDescent="0.2">
      <c r="A764" s="117" t="s">
        <v>494</v>
      </c>
      <c r="B764" s="117"/>
      <c r="C764" s="117" t="s">
        <v>996</v>
      </c>
      <c r="D764" s="304" t="s">
        <v>1587</v>
      </c>
      <c r="E764" s="305"/>
      <c r="F764" s="117" t="s">
        <v>1644</v>
      </c>
      <c r="G764" s="116">
        <v>1</v>
      </c>
      <c r="H764" s="108">
        <v>0</v>
      </c>
    </row>
    <row r="765" spans="1:8" x14ac:dyDescent="0.2">
      <c r="A765" s="117" t="s">
        <v>495</v>
      </c>
      <c r="B765" s="117"/>
      <c r="C765" s="117" t="s">
        <v>997</v>
      </c>
      <c r="D765" s="304" t="s">
        <v>1588</v>
      </c>
      <c r="E765" s="305"/>
      <c r="F765" s="117" t="s">
        <v>1644</v>
      </c>
      <c r="G765" s="116">
        <v>1</v>
      </c>
      <c r="H765" s="108">
        <v>0</v>
      </c>
    </row>
    <row r="766" spans="1:8" x14ac:dyDescent="0.2">
      <c r="A766" s="117" t="s">
        <v>496</v>
      </c>
      <c r="B766" s="117"/>
      <c r="C766" s="117" t="s">
        <v>997</v>
      </c>
      <c r="D766" s="304" t="s">
        <v>1589</v>
      </c>
      <c r="E766" s="305"/>
      <c r="F766" s="117" t="s">
        <v>1644</v>
      </c>
      <c r="G766" s="116">
        <v>1</v>
      </c>
      <c r="H766" s="108">
        <v>0</v>
      </c>
    </row>
    <row r="767" spans="1:8" x14ac:dyDescent="0.2">
      <c r="A767" s="117" t="s">
        <v>497</v>
      </c>
      <c r="B767" s="117"/>
      <c r="C767" s="117" t="s">
        <v>977</v>
      </c>
      <c r="D767" s="304" t="s">
        <v>1590</v>
      </c>
      <c r="E767" s="305"/>
      <c r="F767" s="117" t="s">
        <v>1644</v>
      </c>
      <c r="G767" s="116">
        <v>1</v>
      </c>
      <c r="H767" s="108">
        <v>0</v>
      </c>
    </row>
    <row r="768" spans="1:8" x14ac:dyDescent="0.2">
      <c r="A768" s="117" t="s">
        <v>498</v>
      </c>
      <c r="B768" s="117"/>
      <c r="C768" s="117" t="s">
        <v>998</v>
      </c>
      <c r="D768" s="304" t="s">
        <v>1591</v>
      </c>
      <c r="E768" s="305"/>
      <c r="F768" s="117" t="s">
        <v>1644</v>
      </c>
      <c r="G768" s="116">
        <v>1</v>
      </c>
      <c r="H768" s="108">
        <v>0</v>
      </c>
    </row>
    <row r="769" spans="1:8" x14ac:dyDescent="0.2">
      <c r="A769" s="117" t="s">
        <v>499</v>
      </c>
      <c r="B769" s="117"/>
      <c r="C769" s="117" t="s">
        <v>999</v>
      </c>
      <c r="D769" s="304" t="s">
        <v>1586</v>
      </c>
      <c r="E769" s="305"/>
      <c r="F769" s="117" t="s">
        <v>1644</v>
      </c>
      <c r="G769" s="116">
        <v>2</v>
      </c>
      <c r="H769" s="108">
        <v>0</v>
      </c>
    </row>
    <row r="770" spans="1:8" x14ac:dyDescent="0.2">
      <c r="A770" s="117" t="s">
        <v>500</v>
      </c>
      <c r="B770" s="117"/>
      <c r="C770" s="117" t="s">
        <v>999</v>
      </c>
      <c r="D770" s="304" t="s">
        <v>1587</v>
      </c>
      <c r="E770" s="305"/>
      <c r="F770" s="117" t="s">
        <v>1644</v>
      </c>
      <c r="G770" s="116">
        <v>2</v>
      </c>
      <c r="H770" s="108">
        <v>0</v>
      </c>
    </row>
    <row r="771" spans="1:8" x14ac:dyDescent="0.2">
      <c r="A771" s="117" t="s">
        <v>501</v>
      </c>
      <c r="B771" s="117"/>
      <c r="C771" s="117" t="s">
        <v>1000</v>
      </c>
      <c r="D771" s="304" t="s">
        <v>1581</v>
      </c>
      <c r="E771" s="305"/>
      <c r="F771" s="117" t="s">
        <v>1644</v>
      </c>
      <c r="G771" s="116">
        <v>1</v>
      </c>
      <c r="H771" s="108">
        <v>0</v>
      </c>
    </row>
    <row r="772" spans="1:8" x14ac:dyDescent="0.2">
      <c r="A772" s="117" t="s">
        <v>502</v>
      </c>
      <c r="B772" s="117"/>
      <c r="C772" s="117" t="s">
        <v>1001</v>
      </c>
      <c r="D772" s="304" t="s">
        <v>1592</v>
      </c>
      <c r="E772" s="305"/>
      <c r="F772" s="117" t="s">
        <v>1644</v>
      </c>
      <c r="G772" s="116">
        <v>1</v>
      </c>
      <c r="H772" s="108">
        <v>0</v>
      </c>
    </row>
    <row r="773" spans="1:8" x14ac:dyDescent="0.2">
      <c r="A773" s="117" t="s">
        <v>503</v>
      </c>
      <c r="B773" s="117"/>
      <c r="C773" s="117" t="s">
        <v>1002</v>
      </c>
      <c r="D773" s="304" t="s">
        <v>1593</v>
      </c>
      <c r="E773" s="305"/>
      <c r="F773" s="117" t="s">
        <v>1644</v>
      </c>
      <c r="G773" s="116">
        <v>1</v>
      </c>
      <c r="H773" s="108">
        <v>0</v>
      </c>
    </row>
    <row r="774" spans="1:8" x14ac:dyDescent="0.2">
      <c r="A774" s="117" t="s">
        <v>504</v>
      </c>
      <c r="B774" s="117"/>
      <c r="C774" s="117" t="s">
        <v>1003</v>
      </c>
      <c r="D774" s="304" t="s">
        <v>1594</v>
      </c>
      <c r="E774" s="305"/>
      <c r="F774" s="117" t="s">
        <v>1644</v>
      </c>
      <c r="G774" s="116">
        <v>1</v>
      </c>
      <c r="H774" s="108">
        <v>0</v>
      </c>
    </row>
    <row r="775" spans="1:8" x14ac:dyDescent="0.2">
      <c r="A775" s="117" t="s">
        <v>505</v>
      </c>
      <c r="B775" s="117"/>
      <c r="C775" s="117" t="s">
        <v>1003</v>
      </c>
      <c r="D775" s="304" t="s">
        <v>1595</v>
      </c>
      <c r="E775" s="305"/>
      <c r="F775" s="117" t="s">
        <v>1644</v>
      </c>
      <c r="G775" s="116">
        <v>1</v>
      </c>
      <c r="H775" s="108">
        <v>0</v>
      </c>
    </row>
    <row r="776" spans="1:8" x14ac:dyDescent="0.2">
      <c r="A776" s="117" t="s">
        <v>506</v>
      </c>
      <c r="B776" s="117"/>
      <c r="C776" s="117" t="s">
        <v>1004</v>
      </c>
      <c r="D776" s="304" t="s">
        <v>1596</v>
      </c>
      <c r="E776" s="305"/>
      <c r="F776" s="117" t="s">
        <v>1644</v>
      </c>
      <c r="G776" s="116">
        <v>1</v>
      </c>
      <c r="H776" s="108">
        <v>0</v>
      </c>
    </row>
    <row r="777" spans="1:8" x14ac:dyDescent="0.2">
      <c r="A777" s="117" t="s">
        <v>507</v>
      </c>
      <c r="B777" s="117"/>
      <c r="C777" s="117" t="s">
        <v>1005</v>
      </c>
      <c r="D777" s="304" t="s">
        <v>1597</v>
      </c>
      <c r="E777" s="305"/>
      <c r="F777" s="117" t="s">
        <v>1644</v>
      </c>
      <c r="G777" s="116">
        <v>1</v>
      </c>
      <c r="H777" s="108">
        <v>0</v>
      </c>
    </row>
    <row r="778" spans="1:8" x14ac:dyDescent="0.2">
      <c r="A778" s="117" t="s">
        <v>508</v>
      </c>
      <c r="B778" s="117"/>
      <c r="C778" s="117" t="s">
        <v>1006</v>
      </c>
      <c r="D778" s="304" t="s">
        <v>1598</v>
      </c>
      <c r="E778" s="305"/>
      <c r="F778" s="117" t="s">
        <v>1644</v>
      </c>
      <c r="G778" s="116">
        <v>1</v>
      </c>
      <c r="H778" s="108">
        <v>0</v>
      </c>
    </row>
    <row r="779" spans="1:8" x14ac:dyDescent="0.2">
      <c r="A779" s="117" t="s">
        <v>509</v>
      </c>
      <c r="B779" s="117"/>
      <c r="C779" s="117" t="s">
        <v>1007</v>
      </c>
      <c r="D779" s="304" t="s">
        <v>1599</v>
      </c>
      <c r="E779" s="305"/>
      <c r="F779" s="117" t="s">
        <v>1644</v>
      </c>
      <c r="G779" s="116">
        <v>1</v>
      </c>
      <c r="H779" s="108">
        <v>0</v>
      </c>
    </row>
    <row r="780" spans="1:8" x14ac:dyDescent="0.2">
      <c r="A780" s="117" t="s">
        <v>510</v>
      </c>
      <c r="B780" s="117"/>
      <c r="C780" s="117" t="s">
        <v>1008</v>
      </c>
      <c r="D780" s="304" t="s">
        <v>1600</v>
      </c>
      <c r="E780" s="305"/>
      <c r="F780" s="117" t="s">
        <v>1644</v>
      </c>
      <c r="G780" s="116">
        <v>1</v>
      </c>
      <c r="H780" s="108">
        <v>0</v>
      </c>
    </row>
    <row r="781" spans="1:8" x14ac:dyDescent="0.2">
      <c r="A781" s="117" t="s">
        <v>511</v>
      </c>
      <c r="B781" s="117"/>
      <c r="C781" s="117" t="s">
        <v>1009</v>
      </c>
      <c r="D781" s="304" t="s">
        <v>1601</v>
      </c>
      <c r="E781" s="305"/>
      <c r="F781" s="117" t="s">
        <v>1644</v>
      </c>
      <c r="G781" s="116">
        <v>1</v>
      </c>
      <c r="H781" s="108">
        <v>0</v>
      </c>
    </row>
    <row r="782" spans="1:8" x14ac:dyDescent="0.2">
      <c r="A782" s="117" t="s">
        <v>512</v>
      </c>
      <c r="B782" s="117"/>
      <c r="C782" s="117" t="s">
        <v>1952</v>
      </c>
      <c r="D782" s="304" t="s">
        <v>1602</v>
      </c>
      <c r="E782" s="305"/>
      <c r="F782" s="117" t="s">
        <v>1646</v>
      </c>
      <c r="G782" s="116">
        <v>20</v>
      </c>
      <c r="H782" s="108">
        <v>0</v>
      </c>
    </row>
    <row r="783" spans="1:8" x14ac:dyDescent="0.2">
      <c r="A783" s="117" t="s">
        <v>513</v>
      </c>
      <c r="B783" s="117"/>
      <c r="C783" s="117" t="s">
        <v>1951</v>
      </c>
      <c r="D783" s="304" t="s">
        <v>1603</v>
      </c>
      <c r="E783" s="305"/>
      <c r="F783" s="117" t="s">
        <v>1646</v>
      </c>
      <c r="G783" s="116">
        <v>10</v>
      </c>
      <c r="H783" s="108">
        <v>0</v>
      </c>
    </row>
    <row r="784" spans="1:8" x14ac:dyDescent="0.2">
      <c r="A784" s="117" t="s">
        <v>514</v>
      </c>
      <c r="B784" s="117"/>
      <c r="C784" s="117" t="s">
        <v>1950</v>
      </c>
      <c r="D784" s="304" t="s">
        <v>1604</v>
      </c>
      <c r="E784" s="305"/>
      <c r="F784" s="117" t="s">
        <v>1646</v>
      </c>
      <c r="G784" s="116">
        <v>5</v>
      </c>
      <c r="H784" s="108">
        <v>0</v>
      </c>
    </row>
    <row r="785" spans="1:8" x14ac:dyDescent="0.2">
      <c r="A785" s="117" t="s">
        <v>515</v>
      </c>
      <c r="B785" s="117"/>
      <c r="C785" s="117" t="s">
        <v>1949</v>
      </c>
      <c r="D785" s="304" t="s">
        <v>1605</v>
      </c>
      <c r="E785" s="305"/>
      <c r="F785" s="117" t="s">
        <v>1646</v>
      </c>
      <c r="G785" s="116">
        <v>5</v>
      </c>
      <c r="H785" s="108">
        <v>0</v>
      </c>
    </row>
    <row r="786" spans="1:8" x14ac:dyDescent="0.2">
      <c r="A786" s="117" t="s">
        <v>516</v>
      </c>
      <c r="B786" s="117"/>
      <c r="C786" s="117" t="s">
        <v>1948</v>
      </c>
      <c r="D786" s="304" t="s">
        <v>1606</v>
      </c>
      <c r="E786" s="305"/>
      <c r="F786" s="117" t="s">
        <v>1646</v>
      </c>
      <c r="G786" s="116">
        <v>20</v>
      </c>
      <c r="H786" s="108">
        <v>0</v>
      </c>
    </row>
    <row r="787" spans="1:8" x14ac:dyDescent="0.2">
      <c r="A787" s="117" t="s">
        <v>517</v>
      </c>
      <c r="B787" s="117"/>
      <c r="C787" s="117" t="s">
        <v>1947</v>
      </c>
      <c r="D787" s="304" t="s">
        <v>1607</v>
      </c>
      <c r="E787" s="305"/>
      <c r="F787" s="117" t="s">
        <v>1646</v>
      </c>
      <c r="G787" s="116">
        <v>10</v>
      </c>
      <c r="H787" s="108">
        <v>0</v>
      </c>
    </row>
    <row r="788" spans="1:8" x14ac:dyDescent="0.2">
      <c r="A788" s="117" t="s">
        <v>518</v>
      </c>
      <c r="B788" s="117"/>
      <c r="C788" s="117" t="s">
        <v>1946</v>
      </c>
      <c r="D788" s="304" t="s">
        <v>1608</v>
      </c>
      <c r="E788" s="305"/>
      <c r="F788" s="117" t="s">
        <v>1644</v>
      </c>
      <c r="G788" s="116">
        <v>70</v>
      </c>
      <c r="H788" s="108">
        <v>0</v>
      </c>
    </row>
    <row r="789" spans="1:8" x14ac:dyDescent="0.2">
      <c r="A789" s="117" t="s">
        <v>519</v>
      </c>
      <c r="B789" s="117"/>
      <c r="C789" s="117" t="s">
        <v>1945</v>
      </c>
      <c r="D789" s="304" t="s">
        <v>1609</v>
      </c>
      <c r="E789" s="305"/>
      <c r="F789" s="117" t="s">
        <v>1644</v>
      </c>
      <c r="G789" s="116">
        <v>3</v>
      </c>
      <c r="H789" s="108">
        <v>0</v>
      </c>
    </row>
    <row r="790" spans="1:8" x14ac:dyDescent="0.2">
      <c r="A790" s="117" t="s">
        <v>520</v>
      </c>
      <c r="B790" s="117"/>
      <c r="C790" s="117" t="s">
        <v>1944</v>
      </c>
      <c r="D790" s="304" t="s">
        <v>1610</v>
      </c>
      <c r="E790" s="305"/>
      <c r="F790" s="117" t="s">
        <v>1644</v>
      </c>
      <c r="G790" s="116">
        <v>1</v>
      </c>
      <c r="H790" s="108">
        <v>0</v>
      </c>
    </row>
    <row r="791" spans="1:8" x14ac:dyDescent="0.2">
      <c r="A791" s="117" t="s">
        <v>521</v>
      </c>
      <c r="B791" s="117"/>
      <c r="C791" s="117" t="s">
        <v>1943</v>
      </c>
      <c r="D791" s="304" t="s">
        <v>1611</v>
      </c>
      <c r="E791" s="305"/>
      <c r="F791" s="117" t="s">
        <v>1651</v>
      </c>
      <c r="G791" s="116">
        <v>1</v>
      </c>
      <c r="H791" s="108">
        <v>0</v>
      </c>
    </row>
    <row r="792" spans="1:8" x14ac:dyDescent="0.2">
      <c r="A792" s="117" t="s">
        <v>522</v>
      </c>
      <c r="B792" s="117"/>
      <c r="C792" s="117" t="s">
        <v>1942</v>
      </c>
      <c r="D792" s="304" t="s">
        <v>1612</v>
      </c>
      <c r="E792" s="305"/>
      <c r="F792" s="117" t="s">
        <v>1646</v>
      </c>
      <c r="G792" s="116">
        <v>130</v>
      </c>
      <c r="H792" s="108">
        <v>0</v>
      </c>
    </row>
    <row r="793" spans="1:8" x14ac:dyDescent="0.2">
      <c r="A793" s="117" t="s">
        <v>523</v>
      </c>
      <c r="B793" s="117"/>
      <c r="C793" s="117" t="s">
        <v>1941</v>
      </c>
      <c r="D793" s="304" t="s">
        <v>1613</v>
      </c>
      <c r="E793" s="305"/>
      <c r="F793" s="117" t="s">
        <v>1646</v>
      </c>
      <c r="G793" s="116">
        <v>30</v>
      </c>
      <c r="H793" s="108">
        <v>0</v>
      </c>
    </row>
    <row r="794" spans="1:8" x14ac:dyDescent="0.2">
      <c r="A794" s="117" t="s">
        <v>524</v>
      </c>
      <c r="B794" s="117"/>
      <c r="C794" s="117" t="s">
        <v>1940</v>
      </c>
      <c r="D794" s="304" t="s">
        <v>1614</v>
      </c>
      <c r="E794" s="305"/>
      <c r="F794" s="117" t="s">
        <v>1646</v>
      </c>
      <c r="G794" s="116">
        <v>45</v>
      </c>
      <c r="H794" s="108">
        <v>0</v>
      </c>
    </row>
    <row r="795" spans="1:8" x14ac:dyDescent="0.2">
      <c r="A795" s="117" t="s">
        <v>525</v>
      </c>
      <c r="B795" s="117"/>
      <c r="C795" s="117" t="s">
        <v>1939</v>
      </c>
      <c r="D795" s="304" t="s">
        <v>1615</v>
      </c>
      <c r="E795" s="305"/>
      <c r="F795" s="117" t="s">
        <v>1646</v>
      </c>
      <c r="G795" s="116">
        <v>25</v>
      </c>
      <c r="H795" s="108">
        <v>0</v>
      </c>
    </row>
    <row r="796" spans="1:8" x14ac:dyDescent="0.2">
      <c r="A796" s="117" t="s">
        <v>526</v>
      </c>
      <c r="B796" s="117"/>
      <c r="C796" s="117" t="s">
        <v>1938</v>
      </c>
      <c r="D796" s="304" t="s">
        <v>1616</v>
      </c>
      <c r="E796" s="305"/>
      <c r="F796" s="117" t="s">
        <v>1646</v>
      </c>
      <c r="G796" s="116">
        <v>25</v>
      </c>
      <c r="H796" s="108">
        <v>0</v>
      </c>
    </row>
    <row r="797" spans="1:8" x14ac:dyDescent="0.2">
      <c r="A797" s="117" t="s">
        <v>527</v>
      </c>
      <c r="B797" s="117"/>
      <c r="C797" s="117" t="s">
        <v>1937</v>
      </c>
      <c r="D797" s="304" t="s">
        <v>1617</v>
      </c>
      <c r="E797" s="305"/>
      <c r="F797" s="117" t="s">
        <v>1646</v>
      </c>
      <c r="G797" s="116">
        <v>20</v>
      </c>
      <c r="H797" s="108">
        <v>0</v>
      </c>
    </row>
    <row r="798" spans="1:8" x14ac:dyDescent="0.2">
      <c r="A798" s="117" t="s">
        <v>528</v>
      </c>
      <c r="B798" s="117"/>
      <c r="C798" s="117" t="s">
        <v>1936</v>
      </c>
      <c r="D798" s="304" t="s">
        <v>1618</v>
      </c>
      <c r="E798" s="305"/>
      <c r="F798" s="117" t="s">
        <v>1646</v>
      </c>
      <c r="G798" s="116">
        <v>25</v>
      </c>
      <c r="H798" s="108">
        <v>0</v>
      </c>
    </row>
    <row r="799" spans="1:8" x14ac:dyDescent="0.2">
      <c r="A799" s="117" t="s">
        <v>529</v>
      </c>
      <c r="B799" s="117"/>
      <c r="C799" s="117" t="s">
        <v>1935</v>
      </c>
      <c r="D799" s="304" t="s">
        <v>1619</v>
      </c>
      <c r="E799" s="305"/>
      <c r="F799" s="117" t="s">
        <v>1644</v>
      </c>
      <c r="G799" s="116">
        <v>1</v>
      </c>
      <c r="H799" s="108">
        <v>0</v>
      </c>
    </row>
    <row r="800" spans="1:8" x14ac:dyDescent="0.2">
      <c r="A800" s="117" t="s">
        <v>530</v>
      </c>
      <c r="B800" s="117"/>
      <c r="C800" s="117" t="s">
        <v>1934</v>
      </c>
      <c r="D800" s="304" t="s">
        <v>1620</v>
      </c>
      <c r="E800" s="305"/>
      <c r="F800" s="117" t="s">
        <v>1644</v>
      </c>
      <c r="G800" s="116">
        <v>1</v>
      </c>
      <c r="H800" s="108">
        <v>0</v>
      </c>
    </row>
    <row r="801" spans="1:8" x14ac:dyDescent="0.2">
      <c r="A801" s="117" t="s">
        <v>531</v>
      </c>
      <c r="B801" s="117"/>
      <c r="C801" s="117" t="s">
        <v>1933</v>
      </c>
      <c r="D801" s="304" t="s">
        <v>1621</v>
      </c>
      <c r="E801" s="305"/>
      <c r="F801" s="117" t="s">
        <v>1644</v>
      </c>
      <c r="G801" s="116">
        <v>1</v>
      </c>
      <c r="H801" s="108">
        <v>0</v>
      </c>
    </row>
    <row r="802" spans="1:8" x14ac:dyDescent="0.2">
      <c r="A802" s="117" t="s">
        <v>532</v>
      </c>
      <c r="B802" s="117"/>
      <c r="C802" s="117" t="s">
        <v>1932</v>
      </c>
      <c r="D802" s="304" t="s">
        <v>1622</v>
      </c>
      <c r="E802" s="305"/>
      <c r="F802" s="117" t="s">
        <v>1644</v>
      </c>
      <c r="G802" s="116">
        <v>1</v>
      </c>
      <c r="H802" s="108">
        <v>0</v>
      </c>
    </row>
    <row r="803" spans="1:8" x14ac:dyDescent="0.2">
      <c r="A803" s="117" t="s">
        <v>533</v>
      </c>
      <c r="B803" s="117"/>
      <c r="C803" s="117" t="s">
        <v>1931</v>
      </c>
      <c r="D803" s="304" t="s">
        <v>1623</v>
      </c>
      <c r="E803" s="305"/>
      <c r="F803" s="117" t="s">
        <v>1644</v>
      </c>
      <c r="G803" s="116">
        <v>1</v>
      </c>
      <c r="H803" s="108">
        <v>0</v>
      </c>
    </row>
    <row r="804" spans="1:8" x14ac:dyDescent="0.2">
      <c r="A804" s="117" t="s">
        <v>534</v>
      </c>
      <c r="B804" s="117"/>
      <c r="C804" s="117" t="s">
        <v>1930</v>
      </c>
      <c r="D804" s="304" t="s">
        <v>1624</v>
      </c>
      <c r="E804" s="305"/>
      <c r="F804" s="117" t="s">
        <v>1644</v>
      </c>
      <c r="G804" s="116">
        <v>1</v>
      </c>
      <c r="H804" s="108">
        <v>0</v>
      </c>
    </row>
    <row r="805" spans="1:8" x14ac:dyDescent="0.2">
      <c r="A805" s="117" t="s">
        <v>535</v>
      </c>
      <c r="B805" s="117"/>
      <c r="C805" s="117" t="s">
        <v>1929</v>
      </c>
      <c r="D805" s="304" t="s">
        <v>1625</v>
      </c>
      <c r="E805" s="305"/>
      <c r="F805" s="117" t="s">
        <v>1644</v>
      </c>
      <c r="G805" s="116">
        <v>1</v>
      </c>
      <c r="H805" s="108">
        <v>0</v>
      </c>
    </row>
    <row r="806" spans="1:8" x14ac:dyDescent="0.2">
      <c r="A806" s="117" t="s">
        <v>536</v>
      </c>
      <c r="B806" s="117"/>
      <c r="C806" s="117" t="s">
        <v>1928</v>
      </c>
      <c r="D806" s="304" t="s">
        <v>1626</v>
      </c>
      <c r="E806" s="305"/>
      <c r="F806" s="117" t="s">
        <v>1644</v>
      </c>
      <c r="G806" s="116">
        <v>1</v>
      </c>
      <c r="H806" s="108">
        <v>0</v>
      </c>
    </row>
    <row r="807" spans="1:8" x14ac:dyDescent="0.2">
      <c r="A807" s="117" t="s">
        <v>537</v>
      </c>
      <c r="B807" s="117"/>
      <c r="C807" s="117" t="s">
        <v>1927</v>
      </c>
      <c r="D807" s="304" t="s">
        <v>1627</v>
      </c>
      <c r="E807" s="305"/>
      <c r="F807" s="117" t="s">
        <v>1644</v>
      </c>
      <c r="G807" s="116">
        <v>1</v>
      </c>
      <c r="H807" s="108">
        <v>0</v>
      </c>
    </row>
    <row r="808" spans="1:8" x14ac:dyDescent="0.2">
      <c r="A808" s="117" t="s">
        <v>538</v>
      </c>
      <c r="B808" s="117"/>
      <c r="C808" s="117" t="s">
        <v>1926</v>
      </c>
      <c r="D808" s="304" t="s">
        <v>1628</v>
      </c>
      <c r="E808" s="305"/>
      <c r="F808" s="117" t="s">
        <v>1644</v>
      </c>
      <c r="G808" s="116">
        <v>1</v>
      </c>
      <c r="H808" s="108">
        <v>0</v>
      </c>
    </row>
    <row r="809" spans="1:8" x14ac:dyDescent="0.2">
      <c r="A809" s="117" t="s">
        <v>539</v>
      </c>
      <c r="B809" s="117"/>
      <c r="C809" s="117" t="s">
        <v>1925</v>
      </c>
      <c r="D809" s="304" t="s">
        <v>1629</v>
      </c>
      <c r="E809" s="305"/>
      <c r="F809" s="117" t="s">
        <v>1644</v>
      </c>
      <c r="G809" s="116">
        <v>1</v>
      </c>
      <c r="H809" s="108">
        <v>0</v>
      </c>
    </row>
    <row r="810" spans="1:8" x14ac:dyDescent="0.2">
      <c r="A810" s="117" t="s">
        <v>540</v>
      </c>
      <c r="B810" s="117"/>
      <c r="C810" s="117" t="s">
        <v>1924</v>
      </c>
      <c r="D810" s="304" t="s">
        <v>1630</v>
      </c>
      <c r="E810" s="305"/>
      <c r="F810" s="117" t="s">
        <v>1644</v>
      </c>
      <c r="G810" s="116">
        <v>1</v>
      </c>
      <c r="H810" s="108">
        <v>0</v>
      </c>
    </row>
    <row r="811" spans="1:8" x14ac:dyDescent="0.2">
      <c r="A811" s="120"/>
      <c r="B811" s="120"/>
      <c r="C811" s="120" t="s">
        <v>1039</v>
      </c>
      <c r="D811" s="306" t="s">
        <v>1631</v>
      </c>
      <c r="E811" s="307"/>
      <c r="F811" s="120"/>
      <c r="G811" s="142"/>
      <c r="H811" s="109"/>
    </row>
    <row r="812" spans="1:8" x14ac:dyDescent="0.2">
      <c r="A812" s="117" t="s">
        <v>541</v>
      </c>
      <c r="B812" s="117"/>
      <c r="C812" s="117" t="s">
        <v>1040</v>
      </c>
      <c r="D812" s="304" t="s">
        <v>1632</v>
      </c>
      <c r="E812" s="305"/>
      <c r="F812" s="117" t="s">
        <v>1644</v>
      </c>
      <c r="G812" s="116">
        <v>1</v>
      </c>
      <c r="H812" s="108">
        <v>0</v>
      </c>
    </row>
    <row r="813" spans="1:8" x14ac:dyDescent="0.2">
      <c r="A813" s="117" t="s">
        <v>542</v>
      </c>
      <c r="B813" s="117"/>
      <c r="C813" s="117" t="s">
        <v>1041</v>
      </c>
      <c r="D813" s="304" t="s">
        <v>1633</v>
      </c>
      <c r="E813" s="305"/>
      <c r="F813" s="117" t="s">
        <v>1644</v>
      </c>
      <c r="G813" s="116">
        <v>1</v>
      </c>
      <c r="H813" s="108">
        <v>0</v>
      </c>
    </row>
    <row r="814" spans="1:8" x14ac:dyDescent="0.2">
      <c r="A814" s="117" t="s">
        <v>543</v>
      </c>
      <c r="B814" s="117"/>
      <c r="C814" s="117" t="s">
        <v>1042</v>
      </c>
      <c r="D814" s="304" t="s">
        <v>1634</v>
      </c>
      <c r="E814" s="305"/>
      <c r="F814" s="117" t="s">
        <v>1644</v>
      </c>
      <c r="G814" s="116">
        <v>1</v>
      </c>
      <c r="H814" s="108">
        <v>0</v>
      </c>
    </row>
    <row r="815" spans="1:8" x14ac:dyDescent="0.2">
      <c r="A815" s="117" t="s">
        <v>544</v>
      </c>
      <c r="B815" s="117"/>
      <c r="C815" s="117" t="s">
        <v>1043</v>
      </c>
      <c r="D815" s="304" t="s">
        <v>1635</v>
      </c>
      <c r="E815" s="305"/>
      <c r="F815" s="117" t="s">
        <v>1644</v>
      </c>
      <c r="G815" s="116">
        <v>1</v>
      </c>
      <c r="H815" s="108">
        <v>0</v>
      </c>
    </row>
    <row r="816" spans="1:8" x14ac:dyDescent="0.2">
      <c r="A816" s="117" t="s">
        <v>545</v>
      </c>
      <c r="B816" s="117"/>
      <c r="C816" s="117" t="s">
        <v>1044</v>
      </c>
      <c r="D816" s="304" t="s">
        <v>1636</v>
      </c>
      <c r="E816" s="305"/>
      <c r="F816" s="117" t="s">
        <v>1644</v>
      </c>
      <c r="G816" s="116">
        <v>1</v>
      </c>
      <c r="H816" s="108">
        <v>0</v>
      </c>
    </row>
    <row r="817" spans="1:8" x14ac:dyDescent="0.2">
      <c r="A817" s="117" t="s">
        <v>546</v>
      </c>
      <c r="B817" s="117"/>
      <c r="C817" s="117" t="s">
        <v>1045</v>
      </c>
      <c r="D817" s="304" t="s">
        <v>1637</v>
      </c>
      <c r="E817" s="305"/>
      <c r="F817" s="117" t="s">
        <v>1644</v>
      </c>
      <c r="G817" s="116">
        <v>1</v>
      </c>
      <c r="H817" s="108">
        <v>0</v>
      </c>
    </row>
    <row r="818" spans="1:8" x14ac:dyDescent="0.2">
      <c r="A818" s="117" t="s">
        <v>547</v>
      </c>
      <c r="B818" s="117"/>
      <c r="C818" s="117" t="s">
        <v>1046</v>
      </c>
      <c r="D818" s="304" t="s">
        <v>1638</v>
      </c>
      <c r="E818" s="305"/>
      <c r="F818" s="117" t="s">
        <v>1644</v>
      </c>
      <c r="G818" s="116">
        <v>1</v>
      </c>
      <c r="H818" s="108">
        <v>0</v>
      </c>
    </row>
    <row r="820" spans="1:8" ht="11.25" customHeight="1" x14ac:dyDescent="0.2">
      <c r="A820" s="106" t="s">
        <v>569</v>
      </c>
    </row>
    <row r="821" spans="1:8" x14ac:dyDescent="0.2">
      <c r="A821" s="255"/>
      <c r="B821" s="256"/>
      <c r="C821" s="256"/>
      <c r="D821" s="256"/>
      <c r="E821" s="256"/>
      <c r="F821" s="256"/>
      <c r="G821" s="256"/>
    </row>
  </sheetData>
  <sheetProtection algorithmName="SHA-512" hashValue="nndEMFe3luMikE2719lStZo2t9/Uqxnjh3/2dDVYjZezgNPoGF27r9uLA2Lbv0Mha/XdQEBpA/wlcBkClFFjdg==" saltValue="07nIcp090Mtv2RF6snXAZQ==" spinCount="100000" sheet="1" objects="1" scenarios="1"/>
  <mergeCells count="827">
    <mergeCell ref="A1:H1"/>
    <mergeCell ref="A2:B3"/>
    <mergeCell ref="C2:D3"/>
    <mergeCell ref="E2:E3"/>
    <mergeCell ref="F2:H3"/>
    <mergeCell ref="A4:B5"/>
    <mergeCell ref="C4:D5"/>
    <mergeCell ref="E4:E5"/>
    <mergeCell ref="F4:H5"/>
    <mergeCell ref="A6:B7"/>
    <mergeCell ref="C6:D7"/>
    <mergeCell ref="E6:E7"/>
    <mergeCell ref="F6:H7"/>
    <mergeCell ref="A8:B9"/>
    <mergeCell ref="C8:D9"/>
    <mergeCell ref="E8:E9"/>
    <mergeCell ref="F8:H9"/>
    <mergeCell ref="D10:E10"/>
    <mergeCell ref="D11:E11"/>
    <mergeCell ref="D12:E12"/>
    <mergeCell ref="D13:F13"/>
    <mergeCell ref="D14:E14"/>
    <mergeCell ref="D15:F15"/>
    <mergeCell ref="D16:E16"/>
    <mergeCell ref="D17:F17"/>
    <mergeCell ref="D18:E18"/>
    <mergeCell ref="D19:F19"/>
    <mergeCell ref="D20:E20"/>
    <mergeCell ref="D21:F21"/>
    <mergeCell ref="D22:E22"/>
    <mergeCell ref="D23:F23"/>
    <mergeCell ref="D24:E24"/>
    <mergeCell ref="D25:F25"/>
    <mergeCell ref="D26:E26"/>
    <mergeCell ref="D27:E27"/>
    <mergeCell ref="D28:F28"/>
    <mergeCell ref="D29:E29"/>
    <mergeCell ref="D30:E30"/>
    <mergeCell ref="D31:F31"/>
    <mergeCell ref="D32:E32"/>
    <mergeCell ref="D33:F33"/>
    <mergeCell ref="D34:E34"/>
    <mergeCell ref="D35:F35"/>
    <mergeCell ref="D36:E36"/>
    <mergeCell ref="D37:F37"/>
    <mergeCell ref="D38:E38"/>
    <mergeCell ref="D39:E39"/>
    <mergeCell ref="D40:F40"/>
    <mergeCell ref="D41:E41"/>
    <mergeCell ref="D42:F42"/>
    <mergeCell ref="D43:E43"/>
    <mergeCell ref="D44:F44"/>
    <mergeCell ref="D45:E45"/>
    <mergeCell ref="D46:E46"/>
    <mergeCell ref="D47:F47"/>
    <mergeCell ref="D48:E48"/>
    <mergeCell ref="D49:F49"/>
    <mergeCell ref="D50:E50"/>
    <mergeCell ref="D51:F51"/>
    <mergeCell ref="D52:E52"/>
    <mergeCell ref="D53:F53"/>
    <mergeCell ref="D54:E54"/>
    <mergeCell ref="D55:E55"/>
    <mergeCell ref="D56:F56"/>
    <mergeCell ref="D57:F57"/>
    <mergeCell ref="D58:E58"/>
    <mergeCell ref="D59:F59"/>
    <mergeCell ref="D60:E60"/>
    <mergeCell ref="D61:E61"/>
    <mergeCell ref="D62:F62"/>
    <mergeCell ref="D63:E63"/>
    <mergeCell ref="D64:F64"/>
    <mergeCell ref="D65:E65"/>
    <mergeCell ref="D66:E66"/>
    <mergeCell ref="D67:F67"/>
    <mergeCell ref="D68:E68"/>
    <mergeCell ref="D69:F69"/>
    <mergeCell ref="D70:E70"/>
    <mergeCell ref="D71:E71"/>
    <mergeCell ref="D72:F72"/>
    <mergeCell ref="D73:E73"/>
    <mergeCell ref="D74:F74"/>
    <mergeCell ref="D75:E75"/>
    <mergeCell ref="D76:F76"/>
    <mergeCell ref="D77:E77"/>
    <mergeCell ref="D78:F78"/>
    <mergeCell ref="D79:E79"/>
    <mergeCell ref="D80:E80"/>
    <mergeCell ref="D81:F81"/>
    <mergeCell ref="D82:E82"/>
    <mergeCell ref="D83:F83"/>
    <mergeCell ref="D84:E84"/>
    <mergeCell ref="D85:F85"/>
    <mergeCell ref="D86:E86"/>
    <mergeCell ref="D87:E87"/>
    <mergeCell ref="D88:F88"/>
    <mergeCell ref="D89:E89"/>
    <mergeCell ref="D90:E90"/>
    <mergeCell ref="D91:F91"/>
    <mergeCell ref="D92:E92"/>
    <mergeCell ref="D93:E93"/>
    <mergeCell ref="D94:F94"/>
    <mergeCell ref="D95:E95"/>
    <mergeCell ref="D96:F96"/>
    <mergeCell ref="D97:E97"/>
    <mergeCell ref="D98:F98"/>
    <mergeCell ref="D99:E99"/>
    <mergeCell ref="D100:F100"/>
    <mergeCell ref="D101:E101"/>
    <mergeCell ref="D102:F102"/>
    <mergeCell ref="D103:E103"/>
    <mergeCell ref="D104:F104"/>
    <mergeCell ref="D105:E105"/>
    <mergeCell ref="D106:E106"/>
    <mergeCell ref="D107:F107"/>
    <mergeCell ref="D108:E108"/>
    <mergeCell ref="D109:F109"/>
    <mergeCell ref="D110:F110"/>
    <mergeCell ref="D111:F111"/>
    <mergeCell ref="D112:F112"/>
    <mergeCell ref="D113:E113"/>
    <mergeCell ref="D114:F114"/>
    <mergeCell ref="D115:E115"/>
    <mergeCell ref="D116:F116"/>
    <mergeCell ref="D117:E117"/>
    <mergeCell ref="D118:F118"/>
    <mergeCell ref="D119:E119"/>
    <mergeCell ref="D120:F120"/>
    <mergeCell ref="D121:E121"/>
    <mergeCell ref="D122:F122"/>
    <mergeCell ref="D123:E123"/>
    <mergeCell ref="D124:F124"/>
    <mergeCell ref="D125:E125"/>
    <mergeCell ref="D126:F126"/>
    <mergeCell ref="D127:E127"/>
    <mergeCell ref="D128:F128"/>
    <mergeCell ref="D129:E129"/>
    <mergeCell ref="D130:F130"/>
    <mergeCell ref="D131:E131"/>
    <mergeCell ref="D132:F132"/>
    <mergeCell ref="D133:E133"/>
    <mergeCell ref="D134:F134"/>
    <mergeCell ref="D135:E135"/>
    <mergeCell ref="D136:F136"/>
    <mergeCell ref="D137:E137"/>
    <mergeCell ref="D138:F138"/>
    <mergeCell ref="D139:E139"/>
    <mergeCell ref="D140:F140"/>
    <mergeCell ref="D141:E141"/>
    <mergeCell ref="D142:F142"/>
    <mergeCell ref="D143:E143"/>
    <mergeCell ref="D144:F144"/>
    <mergeCell ref="D145:E145"/>
    <mergeCell ref="D146:F146"/>
    <mergeCell ref="D147:E147"/>
    <mergeCell ref="D148:E148"/>
    <mergeCell ref="D149:F149"/>
    <mergeCell ref="D150:E150"/>
    <mergeCell ref="D151:E151"/>
    <mergeCell ref="D152:F152"/>
    <mergeCell ref="D153:E153"/>
    <mergeCell ref="D154:F154"/>
    <mergeCell ref="D155:E155"/>
    <mergeCell ref="D156:E156"/>
    <mergeCell ref="D157:F157"/>
    <mergeCell ref="D158:E158"/>
    <mergeCell ref="D159:F159"/>
    <mergeCell ref="D160:E160"/>
    <mergeCell ref="D161:E161"/>
    <mergeCell ref="D162:F162"/>
    <mergeCell ref="D163:E163"/>
    <mergeCell ref="D164:F164"/>
    <mergeCell ref="D165:E165"/>
    <mergeCell ref="D166:F166"/>
    <mergeCell ref="D167:E167"/>
    <mergeCell ref="D168:E168"/>
    <mergeCell ref="D169:F169"/>
    <mergeCell ref="D170:E170"/>
    <mergeCell ref="D171:F171"/>
    <mergeCell ref="D172:E172"/>
    <mergeCell ref="D173:F173"/>
    <mergeCell ref="D174:E174"/>
    <mergeCell ref="D175:F175"/>
    <mergeCell ref="D176:E176"/>
    <mergeCell ref="D177:F177"/>
    <mergeCell ref="D178:E178"/>
    <mergeCell ref="D179:F179"/>
    <mergeCell ref="D180:E180"/>
    <mergeCell ref="D181:F181"/>
    <mergeCell ref="D182:E182"/>
    <mergeCell ref="D183:E183"/>
    <mergeCell ref="D184:F184"/>
    <mergeCell ref="D185:E185"/>
    <mergeCell ref="D186:F186"/>
    <mergeCell ref="D187:E187"/>
    <mergeCell ref="D188:F188"/>
    <mergeCell ref="D189:E189"/>
    <mergeCell ref="D190:F190"/>
    <mergeCell ref="D191:E191"/>
    <mergeCell ref="D192:F192"/>
    <mergeCell ref="D193:E193"/>
    <mergeCell ref="D194:F194"/>
    <mergeCell ref="D195:E195"/>
    <mergeCell ref="D196:F196"/>
    <mergeCell ref="D197:E197"/>
    <mergeCell ref="D198:F198"/>
    <mergeCell ref="D199:E199"/>
    <mergeCell ref="D200:F200"/>
    <mergeCell ref="D201:E201"/>
    <mergeCell ref="D202:F202"/>
    <mergeCell ref="D203:E203"/>
    <mergeCell ref="D204:E204"/>
    <mergeCell ref="D205:F205"/>
    <mergeCell ref="D206:E206"/>
    <mergeCell ref="D207:F207"/>
    <mergeCell ref="D208:E208"/>
    <mergeCell ref="D209:F209"/>
    <mergeCell ref="D210:E210"/>
    <mergeCell ref="D211:F211"/>
    <mergeCell ref="D212:E212"/>
    <mergeCell ref="D213:F213"/>
    <mergeCell ref="D214:E214"/>
    <mergeCell ref="D215:F215"/>
    <mergeCell ref="D216:E216"/>
    <mergeCell ref="D217:F217"/>
    <mergeCell ref="D218:E218"/>
    <mergeCell ref="D219:F219"/>
    <mergeCell ref="D220:E220"/>
    <mergeCell ref="D221:F221"/>
    <mergeCell ref="D222:E222"/>
    <mergeCell ref="D223:F223"/>
    <mergeCell ref="D224:E224"/>
    <mergeCell ref="D225:F225"/>
    <mergeCell ref="D226:E226"/>
    <mergeCell ref="D227:F227"/>
    <mergeCell ref="D228:E228"/>
    <mergeCell ref="D229:F229"/>
    <mergeCell ref="D230:E230"/>
    <mergeCell ref="D231:F231"/>
    <mergeCell ref="D232:E232"/>
    <mergeCell ref="D233:F233"/>
    <mergeCell ref="D234:E234"/>
    <mergeCell ref="D235:F235"/>
    <mergeCell ref="D236:E236"/>
    <mergeCell ref="D237:F237"/>
    <mergeCell ref="D238:E238"/>
    <mergeCell ref="D239:E239"/>
    <mergeCell ref="D240:F240"/>
    <mergeCell ref="D241:E241"/>
    <mergeCell ref="D242:F242"/>
    <mergeCell ref="D243:E243"/>
    <mergeCell ref="D244:F244"/>
    <mergeCell ref="D245:E245"/>
    <mergeCell ref="D246:F246"/>
    <mergeCell ref="D247:E247"/>
    <mergeCell ref="D248:F248"/>
    <mergeCell ref="D249:E249"/>
    <mergeCell ref="D250:F250"/>
    <mergeCell ref="D251:E251"/>
    <mergeCell ref="D252:F252"/>
    <mergeCell ref="D253:E253"/>
    <mergeCell ref="D254:F254"/>
    <mergeCell ref="D255:E255"/>
    <mergeCell ref="D256:F256"/>
    <mergeCell ref="D257:E257"/>
    <mergeCell ref="D258:F258"/>
    <mergeCell ref="D259:E259"/>
    <mergeCell ref="D260:F260"/>
    <mergeCell ref="D261:E261"/>
    <mergeCell ref="D262:F262"/>
    <mergeCell ref="D263:E263"/>
    <mergeCell ref="D264:F264"/>
    <mergeCell ref="D265:E265"/>
    <mergeCell ref="D266:F266"/>
    <mergeCell ref="D267:E267"/>
    <mergeCell ref="D268:F268"/>
    <mergeCell ref="D269:E269"/>
    <mergeCell ref="D270:E270"/>
    <mergeCell ref="D271:F271"/>
    <mergeCell ref="D272:E272"/>
    <mergeCell ref="D273:F273"/>
    <mergeCell ref="D274:E274"/>
    <mergeCell ref="D275:F275"/>
    <mergeCell ref="D276:E276"/>
    <mergeCell ref="D277:F277"/>
    <mergeCell ref="D278:E278"/>
    <mergeCell ref="D279:F279"/>
    <mergeCell ref="D280:E280"/>
    <mergeCell ref="D281:F281"/>
    <mergeCell ref="D282:E282"/>
    <mergeCell ref="D283:F283"/>
    <mergeCell ref="D284:E284"/>
    <mergeCell ref="D285:F285"/>
    <mergeCell ref="D286:E286"/>
    <mergeCell ref="D287:F287"/>
    <mergeCell ref="D288:E288"/>
    <mergeCell ref="D289:F289"/>
    <mergeCell ref="D290:E290"/>
    <mergeCell ref="D291:F291"/>
    <mergeCell ref="D292:E292"/>
    <mergeCell ref="D293:F293"/>
    <mergeCell ref="D294:E294"/>
    <mergeCell ref="D295:F295"/>
    <mergeCell ref="D296:E296"/>
    <mergeCell ref="D297:F297"/>
    <mergeCell ref="D298:E298"/>
    <mergeCell ref="D299:F299"/>
    <mergeCell ref="D300:E300"/>
    <mergeCell ref="D301:F301"/>
    <mergeCell ref="D302:E302"/>
    <mergeCell ref="D303:E303"/>
    <mergeCell ref="D304:F304"/>
    <mergeCell ref="D305:E305"/>
    <mergeCell ref="D306:E306"/>
    <mergeCell ref="D307:F307"/>
    <mergeCell ref="D308:E308"/>
    <mergeCell ref="D309:F309"/>
    <mergeCell ref="D310:E310"/>
    <mergeCell ref="D311:F311"/>
    <mergeCell ref="D312:E312"/>
    <mergeCell ref="D313:F313"/>
    <mergeCell ref="D314:E314"/>
    <mergeCell ref="D315:E315"/>
    <mergeCell ref="D316:F316"/>
    <mergeCell ref="D317:E317"/>
    <mergeCell ref="D318:F318"/>
    <mergeCell ref="D319:F319"/>
    <mergeCell ref="D320:E320"/>
    <mergeCell ref="D321:F321"/>
    <mergeCell ref="D322:F322"/>
    <mergeCell ref="D323:E323"/>
    <mergeCell ref="D324:F324"/>
    <mergeCell ref="D325:E325"/>
    <mergeCell ref="D326:F326"/>
    <mergeCell ref="D327:E327"/>
    <mergeCell ref="D328:F328"/>
    <mergeCell ref="D329:E329"/>
    <mergeCell ref="D330:F330"/>
    <mergeCell ref="D331:E331"/>
    <mergeCell ref="D332:F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66:E566"/>
    <mergeCell ref="D567:E567"/>
    <mergeCell ref="D568:F568"/>
    <mergeCell ref="D569:E569"/>
    <mergeCell ref="D570:F570"/>
    <mergeCell ref="D571:E571"/>
    <mergeCell ref="D572:F572"/>
    <mergeCell ref="D573:E573"/>
    <mergeCell ref="D574:F574"/>
    <mergeCell ref="D575:E575"/>
    <mergeCell ref="D576:F576"/>
    <mergeCell ref="D577:E577"/>
    <mergeCell ref="D578:F578"/>
    <mergeCell ref="D579:F579"/>
    <mergeCell ref="D580:E580"/>
    <mergeCell ref="D581:F581"/>
    <mergeCell ref="D582:E582"/>
    <mergeCell ref="D583:F583"/>
    <mergeCell ref="D584:E584"/>
    <mergeCell ref="D585:F585"/>
    <mergeCell ref="D586:E586"/>
    <mergeCell ref="D587:F587"/>
    <mergeCell ref="D588:E588"/>
    <mergeCell ref="D589:F589"/>
    <mergeCell ref="D590:E590"/>
    <mergeCell ref="D591:F591"/>
    <mergeCell ref="D592:E592"/>
    <mergeCell ref="D593:E593"/>
    <mergeCell ref="D594:F594"/>
    <mergeCell ref="D595:E595"/>
    <mergeCell ref="D596:F596"/>
    <mergeCell ref="D597:E597"/>
    <mergeCell ref="D598:F598"/>
    <mergeCell ref="D599:E599"/>
    <mergeCell ref="D600:F600"/>
    <mergeCell ref="D601:E601"/>
    <mergeCell ref="D602:F602"/>
    <mergeCell ref="D603:E603"/>
    <mergeCell ref="D604:F604"/>
    <mergeCell ref="D605:E605"/>
    <mergeCell ref="D606:F606"/>
    <mergeCell ref="D607:E607"/>
    <mergeCell ref="D608:F608"/>
    <mergeCell ref="D609:E609"/>
    <mergeCell ref="D610:F610"/>
    <mergeCell ref="D611:E611"/>
    <mergeCell ref="D612:F612"/>
    <mergeCell ref="D613:E613"/>
    <mergeCell ref="D614:F614"/>
    <mergeCell ref="D615:E615"/>
    <mergeCell ref="D616:F616"/>
    <mergeCell ref="D617:E617"/>
    <mergeCell ref="D618:F618"/>
    <mergeCell ref="D619:E619"/>
    <mergeCell ref="D620:F620"/>
    <mergeCell ref="D621:E621"/>
    <mergeCell ref="D622:F622"/>
    <mergeCell ref="D623:E623"/>
    <mergeCell ref="D624:F624"/>
    <mergeCell ref="D625:E625"/>
    <mergeCell ref="D626:F626"/>
    <mergeCell ref="D627:E627"/>
    <mergeCell ref="D628:F628"/>
    <mergeCell ref="D629:E629"/>
    <mergeCell ref="D630:F630"/>
    <mergeCell ref="D631:E631"/>
    <mergeCell ref="D632:F632"/>
    <mergeCell ref="D633:E633"/>
    <mergeCell ref="D634:E634"/>
    <mergeCell ref="D635:F635"/>
    <mergeCell ref="D636:E636"/>
    <mergeCell ref="D637:F637"/>
    <mergeCell ref="D638:E638"/>
    <mergeCell ref="D639:F639"/>
    <mergeCell ref="D640:E640"/>
    <mergeCell ref="D641:E641"/>
    <mergeCell ref="D642:F642"/>
    <mergeCell ref="D643:E643"/>
    <mergeCell ref="D644:F644"/>
    <mergeCell ref="D645:E645"/>
    <mergeCell ref="D646:F646"/>
    <mergeCell ref="D647:E647"/>
    <mergeCell ref="D648:F648"/>
    <mergeCell ref="D649:E649"/>
    <mergeCell ref="D650:F650"/>
    <mergeCell ref="D651:E651"/>
    <mergeCell ref="D652:F652"/>
    <mergeCell ref="D653:E653"/>
    <mergeCell ref="D654:F654"/>
    <mergeCell ref="D655:E655"/>
    <mergeCell ref="D656:F656"/>
    <mergeCell ref="D657:E657"/>
    <mergeCell ref="D658:F658"/>
    <mergeCell ref="D659:E659"/>
    <mergeCell ref="D660:F660"/>
    <mergeCell ref="D661:E661"/>
    <mergeCell ref="D662:F662"/>
    <mergeCell ref="D663:E663"/>
    <mergeCell ref="D664:E664"/>
    <mergeCell ref="D665:F665"/>
    <mergeCell ref="D666:E666"/>
    <mergeCell ref="D667:F667"/>
    <mergeCell ref="D668:E668"/>
    <mergeCell ref="D669:F669"/>
    <mergeCell ref="D670:E670"/>
    <mergeCell ref="D671:F671"/>
    <mergeCell ref="D672:F672"/>
    <mergeCell ref="D673:E673"/>
    <mergeCell ref="D674:F674"/>
    <mergeCell ref="D675:E675"/>
    <mergeCell ref="D676:F676"/>
    <mergeCell ref="D677:F677"/>
    <mergeCell ref="D678:E678"/>
    <mergeCell ref="D679:F679"/>
    <mergeCell ref="D680:E680"/>
    <mergeCell ref="D681:E681"/>
    <mergeCell ref="D682:F682"/>
    <mergeCell ref="D683:F683"/>
    <mergeCell ref="D684:F684"/>
    <mergeCell ref="D685:E685"/>
    <mergeCell ref="D686:F686"/>
    <mergeCell ref="D687:F687"/>
    <mergeCell ref="D688:E688"/>
    <mergeCell ref="D689:F689"/>
    <mergeCell ref="D690:F690"/>
    <mergeCell ref="D691:F691"/>
    <mergeCell ref="D692:E692"/>
    <mergeCell ref="D693:F693"/>
    <mergeCell ref="D694:E694"/>
    <mergeCell ref="D695:F695"/>
    <mergeCell ref="D696:F696"/>
    <mergeCell ref="D697:E697"/>
    <mergeCell ref="D698:E698"/>
    <mergeCell ref="D699:F699"/>
    <mergeCell ref="D700:E700"/>
    <mergeCell ref="D701:F701"/>
    <mergeCell ref="D702:E702"/>
    <mergeCell ref="D703:F703"/>
    <mergeCell ref="D704:E704"/>
    <mergeCell ref="D705:F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F733"/>
    <mergeCell ref="D734:E734"/>
    <mergeCell ref="D735:F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12:E812"/>
    <mergeCell ref="D813:E813"/>
    <mergeCell ref="D814:E814"/>
    <mergeCell ref="D815:E815"/>
    <mergeCell ref="D816:E816"/>
    <mergeCell ref="D817:E817"/>
    <mergeCell ref="D818:E818"/>
    <mergeCell ref="A821:G821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</mergeCells>
  <pageMargins left="0.39400000000000002" right="0.39400000000000002" top="0.59099999999999997" bottom="0.59099999999999997" header="0.5" footer="0.5"/>
  <pageSetup paperSize="0" fitToHeight="0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DB93-717D-453A-89FA-9581E982CF94}">
  <sheetPr>
    <pageSetUpPr fitToPage="1"/>
  </sheetPr>
  <dimension ref="A1:J37"/>
  <sheetViews>
    <sheetView topLeftCell="A13" workbookViewId="0">
      <selection activeCell="A28" sqref="A28:B28"/>
    </sheetView>
  </sheetViews>
  <sheetFormatPr defaultColWidth="11.5703125" defaultRowHeight="12.75" x14ac:dyDescent="0.2"/>
  <cols>
    <col min="1" max="1" width="9.140625" style="75" customWidth="1"/>
    <col min="2" max="2" width="12.85546875" style="75" customWidth="1"/>
    <col min="3" max="3" width="22.85546875" style="75" customWidth="1"/>
    <col min="4" max="4" width="10" style="75" customWidth="1"/>
    <col min="5" max="5" width="14" style="75" customWidth="1"/>
    <col min="6" max="6" width="22.85546875" style="75" customWidth="1"/>
    <col min="7" max="7" width="9.140625" style="75" customWidth="1"/>
    <col min="8" max="8" width="12.85546875" style="75" customWidth="1"/>
    <col min="9" max="9" width="22.85546875" style="75" customWidth="1"/>
    <col min="10" max="16384" width="11.5703125" style="75"/>
  </cols>
  <sheetData>
    <row r="1" spans="1:10" ht="72.95" customHeight="1" x14ac:dyDescent="0.2">
      <c r="A1" s="97"/>
      <c r="B1" s="82"/>
      <c r="C1" s="286" t="s">
        <v>1895</v>
      </c>
      <c r="D1" s="287"/>
      <c r="E1" s="287"/>
      <c r="F1" s="287"/>
      <c r="G1" s="287"/>
      <c r="H1" s="287"/>
      <c r="I1" s="287"/>
    </row>
    <row r="2" spans="1:10" x14ac:dyDescent="0.2">
      <c r="A2" s="288" t="s">
        <v>1</v>
      </c>
      <c r="B2" s="289"/>
      <c r="C2" s="290" t="str">
        <f>'Stavební rozpočet-SO03'!C2</f>
        <v>Snížení energetické.náročnosti objektů Domova Kladno-Švermov</v>
      </c>
      <c r="D2" s="291"/>
      <c r="E2" s="293" t="s">
        <v>1657</v>
      </c>
      <c r="F2" s="293" t="str">
        <f>'Stavební rozpočet-SO03'!I2</f>
        <v> </v>
      </c>
      <c r="G2" s="289"/>
      <c r="H2" s="293" t="s">
        <v>1919</v>
      </c>
      <c r="I2" s="294"/>
      <c r="J2" s="80"/>
    </row>
    <row r="3" spans="1:10" x14ac:dyDescent="0.2">
      <c r="A3" s="285"/>
      <c r="B3" s="256"/>
      <c r="C3" s="292"/>
      <c r="D3" s="292"/>
      <c r="E3" s="256"/>
      <c r="F3" s="256"/>
      <c r="G3" s="256"/>
      <c r="H3" s="256"/>
      <c r="I3" s="276"/>
      <c r="J3" s="80"/>
    </row>
    <row r="4" spans="1:10" x14ac:dyDescent="0.2">
      <c r="A4" s="277" t="s">
        <v>2</v>
      </c>
      <c r="B4" s="256"/>
      <c r="C4" s="255" t="str">
        <f>'Stavební rozpočet-SO03'!C4</f>
        <v>SO 03 - OBJEKT 3 - č.p.1472</v>
      </c>
      <c r="D4" s="256"/>
      <c r="E4" s="255" t="s">
        <v>1658</v>
      </c>
      <c r="F4" s="255" t="str">
        <f>'Stavební rozpočet-SO03'!I4</f>
        <v> </v>
      </c>
      <c r="G4" s="256"/>
      <c r="H4" s="255" t="s">
        <v>1919</v>
      </c>
      <c r="I4" s="275"/>
      <c r="J4" s="80"/>
    </row>
    <row r="5" spans="1:10" x14ac:dyDescent="0.2">
      <c r="A5" s="285"/>
      <c r="B5" s="256"/>
      <c r="C5" s="256"/>
      <c r="D5" s="256"/>
      <c r="E5" s="256"/>
      <c r="F5" s="256"/>
      <c r="G5" s="256"/>
      <c r="H5" s="256"/>
      <c r="I5" s="276"/>
      <c r="J5" s="80"/>
    </row>
    <row r="6" spans="1:10" x14ac:dyDescent="0.2">
      <c r="A6" s="277" t="s">
        <v>3</v>
      </c>
      <c r="B6" s="256"/>
      <c r="C6" s="255" t="str">
        <f>'Stavební rozpočet-SO03'!C6</f>
        <v xml:space="preserve"> </v>
      </c>
      <c r="D6" s="256"/>
      <c r="E6" s="255" t="s">
        <v>1659</v>
      </c>
      <c r="F6" s="255" t="str">
        <f>'Stavební rozpočet-SO03'!I6</f>
        <v> </v>
      </c>
      <c r="G6" s="256"/>
      <c r="H6" s="255" t="s">
        <v>1919</v>
      </c>
      <c r="I6" s="275"/>
      <c r="J6" s="80"/>
    </row>
    <row r="7" spans="1:10" x14ac:dyDescent="0.2">
      <c r="A7" s="285"/>
      <c r="B7" s="256"/>
      <c r="C7" s="256"/>
      <c r="D7" s="256"/>
      <c r="E7" s="256"/>
      <c r="F7" s="256"/>
      <c r="G7" s="256"/>
      <c r="H7" s="256"/>
      <c r="I7" s="276"/>
      <c r="J7" s="80"/>
    </row>
    <row r="8" spans="1:10" x14ac:dyDescent="0.2">
      <c r="A8" s="277" t="s">
        <v>1640</v>
      </c>
      <c r="B8" s="256"/>
      <c r="C8" s="255"/>
      <c r="D8" s="256"/>
      <c r="E8" s="255" t="s">
        <v>1641</v>
      </c>
      <c r="F8" s="255"/>
      <c r="G8" s="256"/>
      <c r="H8" s="282" t="s">
        <v>1920</v>
      </c>
      <c r="I8" s="275" t="s">
        <v>2228</v>
      </c>
      <c r="J8" s="80"/>
    </row>
    <row r="9" spans="1:10" x14ac:dyDescent="0.2">
      <c r="A9" s="285"/>
      <c r="B9" s="256"/>
      <c r="C9" s="256"/>
      <c r="D9" s="256"/>
      <c r="E9" s="256"/>
      <c r="F9" s="256"/>
      <c r="G9" s="256"/>
      <c r="H9" s="256"/>
      <c r="I9" s="276"/>
      <c r="J9" s="80"/>
    </row>
    <row r="10" spans="1:10" x14ac:dyDescent="0.2">
      <c r="A10" s="277" t="s">
        <v>4</v>
      </c>
      <c r="B10" s="256"/>
      <c r="C10" s="255" t="str">
        <f>'Stavební rozpočet-SO03'!C8</f>
        <v xml:space="preserve"> </v>
      </c>
      <c r="D10" s="256"/>
      <c r="E10" s="255" t="s">
        <v>1660</v>
      </c>
      <c r="F10" s="255" t="str">
        <f>'Stavební rozpočet-SO03'!I8</f>
        <v> </v>
      </c>
      <c r="G10" s="256"/>
      <c r="H10" s="282" t="s">
        <v>1921</v>
      </c>
      <c r="I10" s="283"/>
      <c r="J10" s="80"/>
    </row>
    <row r="11" spans="1:10" x14ac:dyDescent="0.2">
      <c r="A11" s="278"/>
      <c r="B11" s="279"/>
      <c r="C11" s="279"/>
      <c r="D11" s="279"/>
      <c r="E11" s="279"/>
      <c r="F11" s="279"/>
      <c r="G11" s="279"/>
      <c r="H11" s="279"/>
      <c r="I11" s="284"/>
      <c r="J11" s="80"/>
    </row>
    <row r="12" spans="1:10" ht="23.45" customHeight="1" x14ac:dyDescent="0.2">
      <c r="A12" s="280" t="s">
        <v>1881</v>
      </c>
      <c r="B12" s="281"/>
      <c r="C12" s="281"/>
      <c r="D12" s="281"/>
      <c r="E12" s="281"/>
      <c r="F12" s="281"/>
      <c r="G12" s="281"/>
      <c r="H12" s="281"/>
      <c r="I12" s="281"/>
    </row>
    <row r="13" spans="1:10" ht="26.45" customHeight="1" x14ac:dyDescent="0.2">
      <c r="A13" s="95" t="s">
        <v>1882</v>
      </c>
      <c r="B13" s="273" t="s">
        <v>1893</v>
      </c>
      <c r="C13" s="274"/>
      <c r="D13" s="95" t="s">
        <v>1896</v>
      </c>
      <c r="E13" s="273" t="s">
        <v>1905</v>
      </c>
      <c r="F13" s="274"/>
      <c r="G13" s="95" t="s">
        <v>1906</v>
      </c>
      <c r="H13" s="273" t="s">
        <v>1922</v>
      </c>
      <c r="I13" s="274"/>
      <c r="J13" s="80"/>
    </row>
    <row r="14" spans="1:10" ht="15.2" customHeight="1" x14ac:dyDescent="0.2">
      <c r="A14" s="94" t="s">
        <v>1883</v>
      </c>
      <c r="B14" s="92" t="s">
        <v>1894</v>
      </c>
      <c r="C14" s="85">
        <f>SUM('Stavební rozpočet-SO03'!AB12:AB624)</f>
        <v>0</v>
      </c>
      <c r="D14" s="271" t="s">
        <v>1897</v>
      </c>
      <c r="E14" s="272"/>
      <c r="F14" s="85">
        <v>0</v>
      </c>
      <c r="G14" s="271" t="s">
        <v>1633</v>
      </c>
      <c r="H14" s="272"/>
      <c r="I14" s="85">
        <v>0</v>
      </c>
      <c r="J14" s="80"/>
    </row>
    <row r="15" spans="1:10" ht="15.2" customHeight="1" x14ac:dyDescent="0.2">
      <c r="A15" s="93"/>
      <c r="B15" s="92" t="s">
        <v>1667</v>
      </c>
      <c r="C15" s="85">
        <f>SUM('Stavební rozpočet-SO03'!AC12:AC624)</f>
        <v>0</v>
      </c>
      <c r="D15" s="271" t="s">
        <v>1898</v>
      </c>
      <c r="E15" s="272"/>
      <c r="F15" s="85">
        <v>0</v>
      </c>
      <c r="G15" s="271" t="s">
        <v>1907</v>
      </c>
      <c r="H15" s="272"/>
      <c r="I15" s="85">
        <v>0</v>
      </c>
      <c r="J15" s="80"/>
    </row>
    <row r="16" spans="1:10" ht="15.2" customHeight="1" x14ac:dyDescent="0.2">
      <c r="A16" s="94" t="s">
        <v>1884</v>
      </c>
      <c r="B16" s="92" t="s">
        <v>1894</v>
      </c>
      <c r="C16" s="85">
        <f>SUM('Stavební rozpočet-SO03'!AD12:AD624)</f>
        <v>0</v>
      </c>
      <c r="D16" s="271" t="s">
        <v>1899</v>
      </c>
      <c r="E16" s="272"/>
      <c r="F16" s="85">
        <v>0</v>
      </c>
      <c r="G16" s="271" t="s">
        <v>1908</v>
      </c>
      <c r="H16" s="272"/>
      <c r="I16" s="85">
        <v>0</v>
      </c>
      <c r="J16" s="80"/>
    </row>
    <row r="17" spans="1:10" ht="15.2" customHeight="1" x14ac:dyDescent="0.2">
      <c r="A17" s="93"/>
      <c r="B17" s="92" t="s">
        <v>1667</v>
      </c>
      <c r="C17" s="85">
        <f>SUM('Stavební rozpočet-SO03'!AE12:AE624)</f>
        <v>0</v>
      </c>
      <c r="D17" s="271" t="s">
        <v>1900</v>
      </c>
      <c r="E17" s="272"/>
      <c r="F17" s="85">
        <v>0</v>
      </c>
      <c r="G17" s="271" t="s">
        <v>1909</v>
      </c>
      <c r="H17" s="272"/>
      <c r="I17" s="85">
        <v>0</v>
      </c>
      <c r="J17" s="80"/>
    </row>
    <row r="18" spans="1:10" ht="15.2" customHeight="1" x14ac:dyDescent="0.2">
      <c r="A18" s="94" t="s">
        <v>1885</v>
      </c>
      <c r="B18" s="92" t="s">
        <v>1894</v>
      </c>
      <c r="C18" s="85">
        <f>SUM('Stavební rozpočet-SO03'!AF12:AF624)</f>
        <v>0</v>
      </c>
      <c r="D18" s="271"/>
      <c r="E18" s="272"/>
      <c r="F18" s="91"/>
      <c r="G18" s="271" t="s">
        <v>1910</v>
      </c>
      <c r="H18" s="272"/>
      <c r="I18" s="85">
        <v>0</v>
      </c>
      <c r="J18" s="80"/>
    </row>
    <row r="19" spans="1:10" ht="15.2" customHeight="1" x14ac:dyDescent="0.2">
      <c r="A19" s="93"/>
      <c r="B19" s="92" t="s">
        <v>1667</v>
      </c>
      <c r="C19" s="85">
        <f>SUM('Stavební rozpočet-SO03'!AG12:AG624)</f>
        <v>0</v>
      </c>
      <c r="D19" s="271"/>
      <c r="E19" s="272"/>
      <c r="F19" s="91"/>
      <c r="G19" s="271" t="s">
        <v>1911</v>
      </c>
      <c r="H19" s="272"/>
      <c r="I19" s="85">
        <v>0</v>
      </c>
      <c r="J19" s="80"/>
    </row>
    <row r="20" spans="1:10" ht="15.2" customHeight="1" x14ac:dyDescent="0.2">
      <c r="A20" s="269" t="s">
        <v>1886</v>
      </c>
      <c r="B20" s="270"/>
      <c r="C20" s="85">
        <f>SUM('Stavební rozpočet-SO03'!AH12:AH624)</f>
        <v>0</v>
      </c>
      <c r="D20" s="271"/>
      <c r="E20" s="272"/>
      <c r="F20" s="91"/>
      <c r="G20" s="271"/>
      <c r="H20" s="272"/>
      <c r="I20" s="91"/>
      <c r="J20" s="80"/>
    </row>
    <row r="21" spans="1:10" ht="15.2" customHeight="1" x14ac:dyDescent="0.2">
      <c r="A21" s="269" t="s">
        <v>1887</v>
      </c>
      <c r="B21" s="270"/>
      <c r="C21" s="85">
        <f>SUM('Stavební rozpočet-SO03'!Z12:Z624)</f>
        <v>0</v>
      </c>
      <c r="D21" s="271"/>
      <c r="E21" s="272"/>
      <c r="F21" s="91"/>
      <c r="G21" s="271"/>
      <c r="H21" s="272"/>
      <c r="I21" s="91"/>
      <c r="J21" s="80"/>
    </row>
    <row r="22" spans="1:10" ht="16.7" customHeight="1" x14ac:dyDescent="0.2">
      <c r="A22" s="269" t="s">
        <v>1888</v>
      </c>
      <c r="B22" s="270"/>
      <c r="C22" s="85">
        <f>SUM(C14:C21)</f>
        <v>0</v>
      </c>
      <c r="D22" s="269" t="s">
        <v>1901</v>
      </c>
      <c r="E22" s="270"/>
      <c r="F22" s="85">
        <f>SUM(F14:F21)</f>
        <v>0</v>
      </c>
      <c r="G22" s="269" t="s">
        <v>1912</v>
      </c>
      <c r="H22" s="270"/>
      <c r="I22" s="85">
        <f>SUM(I14:I21)</f>
        <v>0</v>
      </c>
      <c r="J22" s="80"/>
    </row>
    <row r="23" spans="1:10" ht="15.2" customHeight="1" thickBot="1" x14ac:dyDescent="0.25">
      <c r="A23" s="84"/>
      <c r="B23" s="84"/>
      <c r="C23" s="90"/>
      <c r="D23" s="269" t="s">
        <v>1902</v>
      </c>
      <c r="E23" s="270"/>
      <c r="F23" s="89">
        <v>0</v>
      </c>
      <c r="G23" s="269" t="s">
        <v>1913</v>
      </c>
      <c r="H23" s="270"/>
      <c r="I23" s="85">
        <v>0</v>
      </c>
      <c r="J23" s="80"/>
    </row>
    <row r="24" spans="1:10" ht="15.2" customHeight="1" x14ac:dyDescent="0.2">
      <c r="D24" s="84"/>
      <c r="E24" s="84"/>
      <c r="F24" s="88"/>
      <c r="G24" s="269" t="s">
        <v>1914</v>
      </c>
      <c r="H24" s="270"/>
      <c r="I24" s="87"/>
    </row>
    <row r="25" spans="1:10" ht="15.2" customHeight="1" x14ac:dyDescent="0.2">
      <c r="F25" s="86"/>
      <c r="G25" s="269" t="s">
        <v>1915</v>
      </c>
      <c r="H25" s="270"/>
      <c r="I25" s="85">
        <v>0</v>
      </c>
      <c r="J25" s="80"/>
    </row>
    <row r="26" spans="1:10" x14ac:dyDescent="0.2">
      <c r="A26" s="82"/>
      <c r="B26" s="82"/>
      <c r="C26" s="82"/>
      <c r="G26" s="84"/>
      <c r="H26" s="84"/>
      <c r="I26" s="84"/>
    </row>
    <row r="27" spans="1:10" ht="15.2" customHeight="1" x14ac:dyDescent="0.2">
      <c r="A27" s="263" t="s">
        <v>1889</v>
      </c>
      <c r="B27" s="264"/>
      <c r="C27" s="81">
        <f>SUM('Stavební rozpočet-SO03'!AJ12:AJ624)</f>
        <v>0</v>
      </c>
      <c r="D27" s="83"/>
      <c r="E27" s="82"/>
      <c r="F27" s="82"/>
      <c r="G27" s="82"/>
      <c r="H27" s="82"/>
      <c r="I27" s="82"/>
    </row>
    <row r="28" spans="1:10" ht="15.2" customHeight="1" x14ac:dyDescent="0.2">
      <c r="A28" s="268" t="s">
        <v>4657</v>
      </c>
      <c r="B28" s="264"/>
      <c r="C28" s="81">
        <f>SUM('Stavební rozpočet-SO03'!AK12:AK624)+(F22+I22+F23+I23+I24+I25)</f>
        <v>0</v>
      </c>
      <c r="D28" s="268" t="s">
        <v>4658</v>
      </c>
      <c r="E28" s="264"/>
      <c r="F28" s="81">
        <f>ROUND(C28*(12/100),2)</f>
        <v>0</v>
      </c>
      <c r="G28" s="263" t="s">
        <v>1916</v>
      </c>
      <c r="H28" s="264"/>
      <c r="I28" s="81">
        <f>SUM(C27:C29)</f>
        <v>0</v>
      </c>
      <c r="J28" s="80"/>
    </row>
    <row r="29" spans="1:10" ht="15.2" customHeight="1" x14ac:dyDescent="0.2">
      <c r="A29" s="263" t="s">
        <v>1890</v>
      </c>
      <c r="B29" s="264"/>
      <c r="C29" s="81">
        <f>SUM('Stavební rozpočet-SO03'!AL12:AL624)</f>
        <v>0</v>
      </c>
      <c r="D29" s="263" t="s">
        <v>1903</v>
      </c>
      <c r="E29" s="264"/>
      <c r="F29" s="81">
        <f>ROUND(C29*(21/100),2)</f>
        <v>0</v>
      </c>
      <c r="G29" s="263" t="s">
        <v>1917</v>
      </c>
      <c r="H29" s="264"/>
      <c r="I29" s="81">
        <f>SUM(F28:F29)+I28</f>
        <v>0</v>
      </c>
      <c r="J29" s="80"/>
    </row>
    <row r="30" spans="1:10" ht="13.5" thickBot="1" x14ac:dyDescent="0.25">
      <c r="A30" s="79"/>
      <c r="B30" s="79"/>
      <c r="C30" s="79"/>
      <c r="D30" s="79"/>
      <c r="E30" s="79"/>
      <c r="F30" s="79"/>
      <c r="G30" s="79"/>
      <c r="H30" s="79"/>
      <c r="I30" s="79"/>
    </row>
    <row r="31" spans="1:10" ht="14.45" customHeight="1" x14ac:dyDescent="0.2">
      <c r="A31" s="265" t="s">
        <v>1891</v>
      </c>
      <c r="B31" s="266"/>
      <c r="C31" s="267"/>
      <c r="D31" s="265" t="s">
        <v>1904</v>
      </c>
      <c r="E31" s="266"/>
      <c r="F31" s="267"/>
      <c r="G31" s="265" t="s">
        <v>1918</v>
      </c>
      <c r="H31" s="266"/>
      <c r="I31" s="267"/>
      <c r="J31" s="78"/>
    </row>
    <row r="32" spans="1:10" ht="14.45" customHeight="1" x14ac:dyDescent="0.2">
      <c r="A32" s="257"/>
      <c r="B32" s="258"/>
      <c r="C32" s="259"/>
      <c r="D32" s="257"/>
      <c r="E32" s="258"/>
      <c r="F32" s="259"/>
      <c r="G32" s="257"/>
      <c r="H32" s="258"/>
      <c r="I32" s="259"/>
      <c r="J32" s="78"/>
    </row>
    <row r="33" spans="1:10" ht="14.45" customHeight="1" x14ac:dyDescent="0.2">
      <c r="A33" s="257"/>
      <c r="B33" s="258"/>
      <c r="C33" s="259"/>
      <c r="D33" s="257"/>
      <c r="E33" s="258"/>
      <c r="F33" s="259"/>
      <c r="G33" s="257"/>
      <c r="H33" s="258"/>
      <c r="I33" s="259"/>
      <c r="J33" s="78"/>
    </row>
    <row r="34" spans="1:10" ht="14.45" customHeight="1" x14ac:dyDescent="0.2">
      <c r="A34" s="257"/>
      <c r="B34" s="258"/>
      <c r="C34" s="259"/>
      <c r="D34" s="257"/>
      <c r="E34" s="258"/>
      <c r="F34" s="259"/>
      <c r="G34" s="257"/>
      <c r="H34" s="258"/>
      <c r="I34" s="259"/>
      <c r="J34" s="78"/>
    </row>
    <row r="35" spans="1:10" ht="14.45" customHeight="1" thickBot="1" x14ac:dyDescent="0.25">
      <c r="A35" s="260" t="s">
        <v>1892</v>
      </c>
      <c r="B35" s="261"/>
      <c r="C35" s="262"/>
      <c r="D35" s="260" t="s">
        <v>1892</v>
      </c>
      <c r="E35" s="261"/>
      <c r="F35" s="262"/>
      <c r="G35" s="260" t="s">
        <v>1892</v>
      </c>
      <c r="H35" s="261"/>
      <c r="I35" s="262"/>
      <c r="J35" s="78"/>
    </row>
    <row r="36" spans="1:10" ht="11.25" customHeight="1" x14ac:dyDescent="0.2">
      <c r="A36" s="77" t="s">
        <v>569</v>
      </c>
      <c r="B36" s="76"/>
      <c r="C36" s="76"/>
      <c r="D36" s="76"/>
      <c r="E36" s="76"/>
      <c r="F36" s="76"/>
      <c r="G36" s="76"/>
      <c r="H36" s="76"/>
      <c r="I36" s="76"/>
    </row>
    <row r="37" spans="1:10" x14ac:dyDescent="0.2">
      <c r="A37" s="255"/>
      <c r="B37" s="256"/>
      <c r="C37" s="256"/>
      <c r="D37" s="256"/>
      <c r="E37" s="256"/>
      <c r="F37" s="256"/>
      <c r="G37" s="256"/>
      <c r="H37" s="256"/>
      <c r="I37" s="256"/>
    </row>
  </sheetData>
  <sheetProtection algorithmName="SHA-512" hashValue="OBBcke0rlMycq6ynV1hMnqY0qzqU5wta0ZKCBLrnnyJmU8pytLV6Wwh2uoecPpB74V3T9984dJGrTOifpyEgMQ==" saltValue="gUihVRmgfPebMcDSr+xV1w==" spinCount="100000" sheet="1" objects="1" scenarios="1"/>
  <mergeCells count="83">
    <mergeCell ref="A37:I37"/>
    <mergeCell ref="A34:C34"/>
    <mergeCell ref="D34:F34"/>
    <mergeCell ref="G34:I34"/>
    <mergeCell ref="A35:C35"/>
    <mergeCell ref="D35:F35"/>
    <mergeCell ref="G35:I35"/>
    <mergeCell ref="A32:C32"/>
    <mergeCell ref="D32:F32"/>
    <mergeCell ref="G32:I32"/>
    <mergeCell ref="A33:C33"/>
    <mergeCell ref="D33:F33"/>
    <mergeCell ref="G33:I33"/>
    <mergeCell ref="A29:B29"/>
    <mergeCell ref="D29:E29"/>
    <mergeCell ref="G29:H29"/>
    <mergeCell ref="A31:C31"/>
    <mergeCell ref="D31:F31"/>
    <mergeCell ref="G31:I31"/>
    <mergeCell ref="A20:B20"/>
    <mergeCell ref="D20:E20"/>
    <mergeCell ref="G20:H20"/>
    <mergeCell ref="A28:B28"/>
    <mergeCell ref="D28:E28"/>
    <mergeCell ref="G28:H28"/>
    <mergeCell ref="A21:B21"/>
    <mergeCell ref="D21:E21"/>
    <mergeCell ref="G21:H21"/>
    <mergeCell ref="A22:B22"/>
    <mergeCell ref="D22:E22"/>
    <mergeCell ref="G22:H22"/>
    <mergeCell ref="D23:E23"/>
    <mergeCell ref="G23:H23"/>
    <mergeCell ref="G24:H24"/>
    <mergeCell ref="A27:B27"/>
    <mergeCell ref="D18:E18"/>
    <mergeCell ref="G18:H18"/>
    <mergeCell ref="D19:E19"/>
    <mergeCell ref="G19:H19"/>
    <mergeCell ref="G25:H25"/>
    <mergeCell ref="D15:E15"/>
    <mergeCell ref="G15:H15"/>
    <mergeCell ref="D16:E16"/>
    <mergeCell ref="G16:H16"/>
    <mergeCell ref="D17:E17"/>
    <mergeCell ref="G17:H17"/>
    <mergeCell ref="A12:I12"/>
    <mergeCell ref="D14:E14"/>
    <mergeCell ref="G14:H14"/>
    <mergeCell ref="B13:C13"/>
    <mergeCell ref="E13:F13"/>
    <mergeCell ref="H13:I13"/>
    <mergeCell ref="F6:G7"/>
    <mergeCell ref="H6:H7"/>
    <mergeCell ref="I10:I11"/>
    <mergeCell ref="A8:B9"/>
    <mergeCell ref="C8:D9"/>
    <mergeCell ref="E8:E9"/>
    <mergeCell ref="F8:G9"/>
    <mergeCell ref="H8:H9"/>
    <mergeCell ref="I8:I9"/>
    <mergeCell ref="A10:B11"/>
    <mergeCell ref="I6:I7"/>
    <mergeCell ref="C10:D11"/>
    <mergeCell ref="E10:E11"/>
    <mergeCell ref="F10:G11"/>
    <mergeCell ref="H10:H11"/>
    <mergeCell ref="I4:I5"/>
    <mergeCell ref="A6:B7"/>
    <mergeCell ref="C6:D7"/>
    <mergeCell ref="E6:E7"/>
    <mergeCell ref="C1:I1"/>
    <mergeCell ref="A2:B3"/>
    <mergeCell ref="C2:D3"/>
    <mergeCell ref="E2:E3"/>
    <mergeCell ref="F2:G3"/>
    <mergeCell ref="H2:H3"/>
    <mergeCell ref="I2:I3"/>
    <mergeCell ref="A4:B5"/>
    <mergeCell ref="C4:D5"/>
    <mergeCell ref="E4:E5"/>
    <mergeCell ref="F4:G5"/>
    <mergeCell ref="H4:H5"/>
  </mergeCells>
  <pageMargins left="0.39400000000000002" right="0.39400000000000002" top="0.59099999999999997" bottom="0.59099999999999997" header="0.5" footer="0.5"/>
  <pageSetup paperSize="0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Listy</vt:lpstr>
      </vt:variant>
      <vt:variant>
        <vt:i4>37</vt:i4>
      </vt:variant>
    </vt:vector>
  </HeadingPairs>
  <TitlesOfParts>
    <vt:vector size="37" baseType="lpstr">
      <vt:lpstr>Krycí list rozpočtu-SO01</vt:lpstr>
      <vt:lpstr>Stavební rozpočet - součet-SO01</vt:lpstr>
      <vt:lpstr>Stavební rozpočet-SO01</vt:lpstr>
      <vt:lpstr>Výkaz výměr-SO01</vt:lpstr>
      <vt:lpstr>Krycí list rozpočtu-SO02</vt:lpstr>
      <vt:lpstr>Stavební rozpočet - součet-SO02</vt:lpstr>
      <vt:lpstr>Stavební rozpočet-SO02</vt:lpstr>
      <vt:lpstr>Výkaz výměr-SO02</vt:lpstr>
      <vt:lpstr>Krycí list rozpočtu-SO03</vt:lpstr>
      <vt:lpstr>Stavební rozpočet - součet-SO03</vt:lpstr>
      <vt:lpstr>Stavební rozpočet-SO03</vt:lpstr>
      <vt:lpstr>Výkaz výměr-SO03</vt:lpstr>
      <vt:lpstr>Krycí list rozpočtu-SO04</vt:lpstr>
      <vt:lpstr>Stavební rozpočet - součet-SO04</vt:lpstr>
      <vt:lpstr>Stavební rozpočet-SO04</vt:lpstr>
      <vt:lpstr>Výkaz výměr-SO04</vt:lpstr>
      <vt:lpstr>Krycí list rozpočtu-SO05</vt:lpstr>
      <vt:lpstr>Stavební rozpočet - součet-SO05</vt:lpstr>
      <vt:lpstr>Stavební rozpočet-SO05</vt:lpstr>
      <vt:lpstr>Výkaz výměr-SO05</vt:lpstr>
      <vt:lpstr>Krycí list rozpočtu-SO06+SO07</vt:lpstr>
      <vt:lpstr>Stav_rozpočet-součet-SO06+SO07</vt:lpstr>
      <vt:lpstr>Stavební rozpočet-SO06+SO07</vt:lpstr>
      <vt:lpstr>Výkaz výměr-SO06+SO07</vt:lpstr>
      <vt:lpstr>Krycí list rozpočtu-SO08</vt:lpstr>
      <vt:lpstr>Stavební rozpočet - součet-SO08</vt:lpstr>
      <vt:lpstr>Stavební rozpočet-SO08</vt:lpstr>
      <vt:lpstr>Výkaz výměr-SO08</vt:lpstr>
      <vt:lpstr>Krycí list rozpočtu-SO09</vt:lpstr>
      <vt:lpstr>Stavební rozpočet - součet-SO09</vt:lpstr>
      <vt:lpstr>Stavební rozpočet-SO09</vt:lpstr>
      <vt:lpstr>Výkaz výměr-SO09</vt:lpstr>
      <vt:lpstr>Krycí list rozpočtu-SO10</vt:lpstr>
      <vt:lpstr>Stavební rozpočet - součet-SO10</vt:lpstr>
      <vt:lpstr>Stavební rozpočet-SO10</vt:lpstr>
      <vt:lpstr>Výkaz výměr-SO10</vt:lpstr>
      <vt:lpstr>Stavební rozpočet_SO01-SO010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Hefner</dc:creator>
  <cp:lastModifiedBy>Cveček  Jiří - Energy Benefit Centre a.s.</cp:lastModifiedBy>
  <dcterms:created xsi:type="dcterms:W3CDTF">2020-06-03T19:27:04Z</dcterms:created>
  <dcterms:modified xsi:type="dcterms:W3CDTF">2025-05-19T15:09:10Z</dcterms:modified>
</cp:coreProperties>
</file>